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ystemiq.sharepoint.com/Projects/UOT0002/Shared Documents/14_Japan Analysis/Dashboard - Shared with EXTERNALS/"/>
    </mc:Choice>
  </mc:AlternateContent>
  <xr:revisionPtr revIDLastSave="217" documentId="8_{88BAB101-28CD-4E72-81D1-A029351460A8}" xr6:coauthVersionLast="47" xr6:coauthVersionMax="47" xr10:uidLastSave="{15C6D136-DF6B-4BF6-8A9F-0E0FBB7A2DB5}"/>
  <bookViews>
    <workbookView xWindow="-90" yWindow="-90" windowWidth="19380" windowHeight="10380" tabRatio="709" firstSheet="28" activeTab="30" xr2:uid="{00000000-000D-0000-FFFF-FFFF00000000}"/>
  </bookViews>
  <sheets>
    <sheet name="COVER SHEET" sheetId="58" r:id="rId1"/>
    <sheet name="Waste Summary Yearly" sheetId="55" state="hidden" r:id="rId2"/>
    <sheet name="Yearly Butadiene" sheetId="51" r:id="rId3"/>
    <sheet name="Yearly Methanol" sheetId="36" r:id="rId4"/>
    <sheet name="Yearly BTX" sheetId="45" r:id="rId5"/>
    <sheet name="Yearly HC Ethylene" sheetId="12" r:id="rId6"/>
    <sheet name="Yearly LC Ethylene" sheetId="14" r:id="rId7"/>
    <sheet name="Yearly HC Propylene" sheetId="15" r:id="rId8"/>
    <sheet name="Yearly LC Propylene" sheetId="16" r:id="rId9"/>
    <sheet name="Yearly Demand Japan" sheetId="57" r:id="rId10"/>
    <sheet name="Yearly Demand - C4" sheetId="50" r:id="rId11"/>
    <sheet name="Yearly Demand - BTX" sheetId="43" r:id="rId12"/>
    <sheet name="Yearly Demand - meth." sheetId="39" r:id="rId13"/>
    <sheet name="Yearly Demand - Eth-Prop" sheetId="6" r:id="rId14"/>
    <sheet name="Propylene" sheetId="2" state="hidden" r:id="rId15"/>
    <sheet name="Ethylene" sheetId="1" state="hidden" r:id="rId16"/>
    <sheet name="Demand - Ethylene" sheetId="7" r:id="rId17"/>
    <sheet name="Demand - Propylene" sheetId="25" r:id="rId18"/>
    <sheet name="Demand - Methanol" sheetId="40" r:id="rId19"/>
    <sheet name="Demand - C4" sheetId="49" r:id="rId20"/>
    <sheet name="Demand - BTX" sheetId="44" r:id="rId21"/>
    <sheet name="Demand - Solar" sheetId="13" r:id="rId22"/>
    <sheet name="Demand - Wind" sheetId="11" r:id="rId23"/>
    <sheet name="Production - Industry shares" sheetId="24" r:id="rId24"/>
    <sheet name="R&amp;S - Packaging and hh goods" sheetId="8" r:id="rId25"/>
    <sheet name="R&amp;S - Buildings" sheetId="4" r:id="rId26"/>
    <sheet name="R&amp;S - Transportation" sheetId="3" r:id="rId27"/>
    <sheet name="R&amp;S - Apparel" sheetId="9" r:id="rId28"/>
    <sheet name="R&amp;S - Others" sheetId="26" r:id="rId29"/>
    <sheet name="Ethylene Recycling LC" sheetId="19" r:id="rId30"/>
    <sheet name="Ethylene Recycling HC" sheetId="20" r:id="rId31"/>
    <sheet name="Propylene Recycling LC" sheetId="29" r:id="rId32"/>
    <sheet name="Propylene Recycling HC" sheetId="28" r:id="rId33"/>
    <sheet name="Methanol Recycling LC" sheetId="42" r:id="rId34"/>
    <sheet name="Methanol Recycling HC" sheetId="38" r:id="rId35"/>
    <sheet name="BTX Recycling HC" sheetId="46" r:id="rId36"/>
    <sheet name="BTX Recycling LC" sheetId="48" r:id="rId37"/>
    <sheet name="Butadiene Recycling HC" sheetId="53" r:id="rId38"/>
    <sheet name="Butadiene Recycling LC" sheetId="54" r:id="rId39"/>
    <sheet name="Overall recycling rates" sheetId="33" r:id="rId40"/>
    <sheet name="BTX recycling rates" sheetId="47" r:id="rId41"/>
    <sheet name="Methanol recycling rates" sheetId="41" r:id="rId42"/>
    <sheet name="Ethylene recycling rates" sheetId="34" r:id="rId43"/>
    <sheet name="Waste gen. - Industry shares" sheetId="27" r:id="rId44"/>
    <sheet name="Sankey Ethylene" sheetId="30" r:id="rId45"/>
    <sheet name="Sankey Methanol_detailed" sheetId="37" r:id="rId46"/>
  </sheets>
  <calcPr calcId="191028"/>
  <pivotCaches>
    <pivotCache cacheId="2" r:id="rId47"/>
    <pivotCache cacheId="3" r:id="rId4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2" i="19" l="1"/>
  <c r="AI179" i="19"/>
  <c r="C92" i="29"/>
  <c r="C93" i="29"/>
  <c r="C94" i="29"/>
  <c r="C95" i="29"/>
  <c r="C96" i="29"/>
  <c r="C97" i="29"/>
  <c r="M96" i="29" s="1"/>
  <c r="C98" i="29"/>
  <c r="AI2" i="29"/>
  <c r="AJ246" i="42"/>
  <c r="AI246" i="42"/>
  <c r="AI2" i="42"/>
  <c r="AK359" i="46"/>
  <c r="AK358" i="46"/>
  <c r="AK357" i="46"/>
  <c r="AK356" i="46"/>
  <c r="AJ274" i="46"/>
  <c r="AI274" i="46"/>
  <c r="AI2" i="46"/>
  <c r="AJ162" i="53"/>
  <c r="AI162" i="53"/>
  <c r="AI2" i="53"/>
  <c r="M95" i="29" l="1"/>
  <c r="M94" i="29"/>
  <c r="M93" i="29"/>
  <c r="M92" i="29"/>
  <c r="C15" i="57" l="1"/>
  <c r="P2" i="50"/>
  <c r="Q2" i="50"/>
  <c r="R2" i="50" s="1"/>
  <c r="S2" i="50" s="1"/>
  <c r="T2" i="50" s="1"/>
  <c r="U2" i="50" s="1"/>
  <c r="V2" i="50" s="1"/>
  <c r="W2" i="50" s="1"/>
  <c r="X2" i="50" s="1"/>
  <c r="Y2" i="50" s="1"/>
  <c r="Z2" i="50" s="1"/>
  <c r="AA2" i="50" s="1"/>
  <c r="AB2" i="50" s="1"/>
  <c r="AC2" i="50" s="1"/>
  <c r="AD2" i="50" s="1"/>
  <c r="AE2" i="50" s="1"/>
  <c r="AF2" i="50" s="1"/>
  <c r="AG2" i="50" s="1"/>
  <c r="AH2" i="50" s="1"/>
  <c r="AI2" i="50" s="1"/>
  <c r="AJ2" i="50" s="1"/>
  <c r="AK2" i="50" s="1"/>
  <c r="AL2" i="50" s="1"/>
  <c r="AM2" i="50" s="1"/>
  <c r="AN2" i="50" s="1"/>
  <c r="AO2" i="50" s="1"/>
  <c r="AP2" i="50" s="1"/>
  <c r="AQ2" i="50" s="1"/>
  <c r="AR2" i="50" s="1"/>
  <c r="AS2" i="50" s="1"/>
  <c r="O3" i="50"/>
  <c r="P3" i="50"/>
  <c r="Q3" i="50"/>
  <c r="R3" i="50"/>
  <c r="S3" i="50" s="1"/>
  <c r="T3" i="50" s="1"/>
  <c r="U3" i="50" s="1"/>
  <c r="V3" i="50" s="1"/>
  <c r="W3" i="50" s="1"/>
  <c r="X3" i="50" s="1"/>
  <c r="Y3" i="50" s="1"/>
  <c r="Z3" i="50" s="1"/>
  <c r="AA3" i="50" s="1"/>
  <c r="AB3" i="50" s="1"/>
  <c r="AC3" i="50" s="1"/>
  <c r="AD3" i="50" s="1"/>
  <c r="AE3" i="50" s="1"/>
  <c r="AF3" i="50" s="1"/>
  <c r="AG3" i="50" s="1"/>
  <c r="AH3" i="50" s="1"/>
  <c r="AI3" i="50" s="1"/>
  <c r="AJ3" i="50" s="1"/>
  <c r="AK3" i="50" s="1"/>
  <c r="AL3" i="50" s="1"/>
  <c r="AM3" i="50" s="1"/>
  <c r="AN3" i="50" s="1"/>
  <c r="AO3" i="50" s="1"/>
  <c r="AP3" i="50" s="1"/>
  <c r="AQ3" i="50" s="1"/>
  <c r="AR3" i="50" s="1"/>
  <c r="AS3" i="50" s="1"/>
  <c r="AU3" i="50" s="1"/>
  <c r="O5" i="50"/>
  <c r="P5" i="50"/>
  <c r="Q5" i="50"/>
  <c r="R5" i="50"/>
  <c r="S5" i="50" s="1"/>
  <c r="T5" i="50" s="1"/>
  <c r="U5" i="50" s="1"/>
  <c r="V5" i="50" s="1"/>
  <c r="W5" i="50" s="1"/>
  <c r="X5" i="50" s="1"/>
  <c r="Y5" i="50" s="1"/>
  <c r="Z5" i="50" s="1"/>
  <c r="AA5" i="50" s="1"/>
  <c r="AB5" i="50" s="1"/>
  <c r="AC5" i="50" s="1"/>
  <c r="AD5" i="50" s="1"/>
  <c r="AE5" i="50" s="1"/>
  <c r="AF5" i="50" s="1"/>
  <c r="AG5" i="50" s="1"/>
  <c r="AH5" i="50" s="1"/>
  <c r="AI5" i="50" s="1"/>
  <c r="AJ5" i="50" s="1"/>
  <c r="AK5" i="50" s="1"/>
  <c r="AL5" i="50" s="1"/>
  <c r="AM5" i="50" s="1"/>
  <c r="AN5" i="50" s="1"/>
  <c r="AO5" i="50" s="1"/>
  <c r="AP5" i="50" s="1"/>
  <c r="AQ5" i="50" s="1"/>
  <c r="AR5" i="50" s="1"/>
  <c r="AS5" i="50" s="1"/>
  <c r="G5" i="37" l="1"/>
  <c r="H5" i="37"/>
  <c r="L44" i="40"/>
  <c r="C50" i="20" l="1"/>
  <c r="D189" i="54" l="1"/>
  <c r="E189" i="54" s="1"/>
  <c r="F189" i="54" s="1"/>
  <c r="G189" i="54" s="1"/>
  <c r="H189" i="54" s="1"/>
  <c r="I189" i="54" s="1"/>
  <c r="J189" i="54" s="1"/>
  <c r="K189" i="54" s="1"/>
  <c r="L189" i="54" s="1"/>
  <c r="M189" i="54" s="1"/>
  <c r="N189" i="54" s="1"/>
  <c r="O189" i="54" s="1"/>
  <c r="P189" i="54" s="1"/>
  <c r="Q189" i="54" s="1"/>
  <c r="R189" i="54" s="1"/>
  <c r="S189" i="54" s="1"/>
  <c r="T189" i="54" s="1"/>
  <c r="U189" i="54" s="1"/>
  <c r="V189" i="54" s="1"/>
  <c r="W189" i="54" s="1"/>
  <c r="X189" i="54" s="1"/>
  <c r="Y189" i="54" s="1"/>
  <c r="Z189" i="54" s="1"/>
  <c r="AA189" i="54" s="1"/>
  <c r="AB189" i="54" s="1"/>
  <c r="AC189" i="54" s="1"/>
  <c r="AD189" i="54" s="1"/>
  <c r="AE189" i="54" s="1"/>
  <c r="AF189" i="54" s="1"/>
  <c r="AG188" i="54"/>
  <c r="C188" i="54"/>
  <c r="D168" i="54"/>
  <c r="E168" i="54" s="1"/>
  <c r="F168" i="54" s="1"/>
  <c r="G168" i="54" s="1"/>
  <c r="H168" i="54" s="1"/>
  <c r="I168" i="54" s="1"/>
  <c r="J168" i="54" s="1"/>
  <c r="K168" i="54" s="1"/>
  <c r="L168" i="54" s="1"/>
  <c r="M168" i="54" s="1"/>
  <c r="N168" i="54" s="1"/>
  <c r="O168" i="54" s="1"/>
  <c r="P168" i="54" s="1"/>
  <c r="Q168" i="54" s="1"/>
  <c r="R168" i="54" s="1"/>
  <c r="S168" i="54" s="1"/>
  <c r="T168" i="54" s="1"/>
  <c r="U168" i="54" s="1"/>
  <c r="V168" i="54" s="1"/>
  <c r="W168" i="54" s="1"/>
  <c r="X168" i="54" s="1"/>
  <c r="Y168" i="54" s="1"/>
  <c r="Z168" i="54" s="1"/>
  <c r="AA168" i="54" s="1"/>
  <c r="AB168" i="54" s="1"/>
  <c r="AC168" i="54" s="1"/>
  <c r="AD168" i="54" s="1"/>
  <c r="AE168" i="54" s="1"/>
  <c r="AF168" i="54" s="1"/>
  <c r="AG167" i="54"/>
  <c r="D167" i="54"/>
  <c r="C167" i="54"/>
  <c r="D189" i="53"/>
  <c r="E189" i="53" s="1"/>
  <c r="F189" i="53" s="1"/>
  <c r="G189" i="53" s="1"/>
  <c r="H189" i="53" s="1"/>
  <c r="I189" i="53" s="1"/>
  <c r="J189" i="53" s="1"/>
  <c r="K189" i="53" s="1"/>
  <c r="L189" i="53" s="1"/>
  <c r="M189" i="53" s="1"/>
  <c r="N189" i="53" s="1"/>
  <c r="O189" i="53" s="1"/>
  <c r="P189" i="53" s="1"/>
  <c r="Q189" i="53" s="1"/>
  <c r="R189" i="53" s="1"/>
  <c r="S189" i="53" s="1"/>
  <c r="T189" i="53" s="1"/>
  <c r="U189" i="53" s="1"/>
  <c r="V189" i="53" s="1"/>
  <c r="W189" i="53" s="1"/>
  <c r="X189" i="53" s="1"/>
  <c r="Y189" i="53" s="1"/>
  <c r="Z189" i="53" s="1"/>
  <c r="AA189" i="53" s="1"/>
  <c r="AB189" i="53" s="1"/>
  <c r="AC189" i="53" s="1"/>
  <c r="AD189" i="53" s="1"/>
  <c r="AE189" i="53" s="1"/>
  <c r="AF189" i="53" s="1"/>
  <c r="AG188" i="53"/>
  <c r="D188" i="53"/>
  <c r="E188" i="53" s="1"/>
  <c r="C188" i="53"/>
  <c r="D168" i="53"/>
  <c r="E168" i="53" s="1"/>
  <c r="F168" i="53" s="1"/>
  <c r="G168" i="53" s="1"/>
  <c r="H168" i="53" s="1"/>
  <c r="I168" i="53" s="1"/>
  <c r="J168" i="53" s="1"/>
  <c r="K168" i="53" s="1"/>
  <c r="L168" i="53" s="1"/>
  <c r="M168" i="53" s="1"/>
  <c r="N168" i="53" s="1"/>
  <c r="O168" i="53" s="1"/>
  <c r="P168" i="53" s="1"/>
  <c r="Q168" i="53" s="1"/>
  <c r="R168" i="53" s="1"/>
  <c r="S168" i="53" s="1"/>
  <c r="T168" i="53" s="1"/>
  <c r="U168" i="53" s="1"/>
  <c r="V168" i="53" s="1"/>
  <c r="W168" i="53" s="1"/>
  <c r="X168" i="53" s="1"/>
  <c r="Y168" i="53" s="1"/>
  <c r="Z168" i="53" s="1"/>
  <c r="AA168" i="53" s="1"/>
  <c r="AB168" i="53" s="1"/>
  <c r="AC168" i="53" s="1"/>
  <c r="AD168" i="53" s="1"/>
  <c r="AE168" i="53" s="1"/>
  <c r="AF168" i="53" s="1"/>
  <c r="AG167" i="53"/>
  <c r="C167" i="53"/>
  <c r="D301" i="48"/>
  <c r="E301" i="48" s="1"/>
  <c r="F301" i="48" s="1"/>
  <c r="G301" i="48" s="1"/>
  <c r="H301" i="48" s="1"/>
  <c r="I301" i="48" s="1"/>
  <c r="J301" i="48" s="1"/>
  <c r="K301" i="48" s="1"/>
  <c r="L301" i="48" s="1"/>
  <c r="M301" i="48" s="1"/>
  <c r="N301" i="48" s="1"/>
  <c r="O301" i="48" s="1"/>
  <c r="P301" i="48" s="1"/>
  <c r="Q301" i="48" s="1"/>
  <c r="R301" i="48" s="1"/>
  <c r="S301" i="48" s="1"/>
  <c r="T301" i="48" s="1"/>
  <c r="U301" i="48" s="1"/>
  <c r="V301" i="48" s="1"/>
  <c r="W301" i="48" s="1"/>
  <c r="X301" i="48" s="1"/>
  <c r="Y301" i="48" s="1"/>
  <c r="Z301" i="48" s="1"/>
  <c r="AA301" i="48" s="1"/>
  <c r="AB301" i="48" s="1"/>
  <c r="AC301" i="48" s="1"/>
  <c r="AD301" i="48" s="1"/>
  <c r="AE301" i="48" s="1"/>
  <c r="AF301" i="48" s="1"/>
  <c r="AG300" i="48"/>
  <c r="C300" i="48"/>
  <c r="E280" i="48"/>
  <c r="F280" i="48" s="1"/>
  <c r="G280" i="48" s="1"/>
  <c r="H280" i="48" s="1"/>
  <c r="I280" i="48" s="1"/>
  <c r="J280" i="48" s="1"/>
  <c r="K280" i="48" s="1"/>
  <c r="L280" i="48" s="1"/>
  <c r="M280" i="48" s="1"/>
  <c r="N280" i="48" s="1"/>
  <c r="O280" i="48" s="1"/>
  <c r="P280" i="48" s="1"/>
  <c r="Q280" i="48" s="1"/>
  <c r="R280" i="48" s="1"/>
  <c r="S280" i="48" s="1"/>
  <c r="T280" i="48" s="1"/>
  <c r="U280" i="48" s="1"/>
  <c r="V280" i="48" s="1"/>
  <c r="W280" i="48" s="1"/>
  <c r="X280" i="48" s="1"/>
  <c r="Y280" i="48" s="1"/>
  <c r="Z280" i="48" s="1"/>
  <c r="AA280" i="48" s="1"/>
  <c r="AB280" i="48" s="1"/>
  <c r="AC280" i="48" s="1"/>
  <c r="AD280" i="48" s="1"/>
  <c r="AE280" i="48" s="1"/>
  <c r="AF280" i="48" s="1"/>
  <c r="D280" i="48"/>
  <c r="AG279" i="48"/>
  <c r="C279" i="48"/>
  <c r="D301" i="46"/>
  <c r="E301" i="46" s="1"/>
  <c r="F301" i="46" s="1"/>
  <c r="G301" i="46" s="1"/>
  <c r="H301" i="46" s="1"/>
  <c r="I301" i="46" s="1"/>
  <c r="J301" i="46" s="1"/>
  <c r="K301" i="46" s="1"/>
  <c r="L301" i="46" s="1"/>
  <c r="M301" i="46" s="1"/>
  <c r="N301" i="46" s="1"/>
  <c r="O301" i="46" s="1"/>
  <c r="P301" i="46" s="1"/>
  <c r="Q301" i="46" s="1"/>
  <c r="R301" i="46" s="1"/>
  <c r="S301" i="46" s="1"/>
  <c r="T301" i="46" s="1"/>
  <c r="U301" i="46" s="1"/>
  <c r="V301" i="46" s="1"/>
  <c r="W301" i="46" s="1"/>
  <c r="X301" i="46" s="1"/>
  <c r="Y301" i="46" s="1"/>
  <c r="Z301" i="46" s="1"/>
  <c r="AA301" i="46" s="1"/>
  <c r="AB301" i="46" s="1"/>
  <c r="AC301" i="46" s="1"/>
  <c r="AD301" i="46" s="1"/>
  <c r="AE301" i="46" s="1"/>
  <c r="AF301" i="46" s="1"/>
  <c r="AG300" i="46"/>
  <c r="C300" i="46"/>
  <c r="D280" i="46"/>
  <c r="E280" i="46" s="1"/>
  <c r="F280" i="46" s="1"/>
  <c r="G280" i="46" s="1"/>
  <c r="H280" i="46" s="1"/>
  <c r="I280" i="46" s="1"/>
  <c r="J280" i="46" s="1"/>
  <c r="K280" i="46" s="1"/>
  <c r="L280" i="46" s="1"/>
  <c r="M280" i="46" s="1"/>
  <c r="N280" i="46" s="1"/>
  <c r="O280" i="46" s="1"/>
  <c r="P280" i="46" s="1"/>
  <c r="Q280" i="46" s="1"/>
  <c r="R280" i="46" s="1"/>
  <c r="S280" i="46" s="1"/>
  <c r="T280" i="46" s="1"/>
  <c r="U280" i="46" s="1"/>
  <c r="V280" i="46" s="1"/>
  <c r="W280" i="46" s="1"/>
  <c r="X280" i="46" s="1"/>
  <c r="Y280" i="46" s="1"/>
  <c r="Z280" i="46" s="1"/>
  <c r="AA280" i="46" s="1"/>
  <c r="AB280" i="46" s="1"/>
  <c r="AC280" i="46" s="1"/>
  <c r="AD280" i="46" s="1"/>
  <c r="AE280" i="46" s="1"/>
  <c r="AF280" i="46" s="1"/>
  <c r="AG279" i="46"/>
  <c r="C279" i="46"/>
  <c r="E273" i="38"/>
  <c r="F273" i="38" s="1"/>
  <c r="G273" i="38" s="1"/>
  <c r="H273" i="38" s="1"/>
  <c r="I273" i="38" s="1"/>
  <c r="J273" i="38" s="1"/>
  <c r="K273" i="38" s="1"/>
  <c r="L273" i="38" s="1"/>
  <c r="M273" i="38" s="1"/>
  <c r="N273" i="38" s="1"/>
  <c r="O273" i="38" s="1"/>
  <c r="P273" i="38" s="1"/>
  <c r="Q273" i="38" s="1"/>
  <c r="R273" i="38" s="1"/>
  <c r="S273" i="38" s="1"/>
  <c r="T273" i="38" s="1"/>
  <c r="U273" i="38" s="1"/>
  <c r="V273" i="38" s="1"/>
  <c r="W273" i="38" s="1"/>
  <c r="X273" i="38" s="1"/>
  <c r="Y273" i="38" s="1"/>
  <c r="Z273" i="38" s="1"/>
  <c r="AA273" i="38" s="1"/>
  <c r="AB273" i="38" s="1"/>
  <c r="AC273" i="38" s="1"/>
  <c r="AD273" i="38" s="1"/>
  <c r="AE273" i="38" s="1"/>
  <c r="AF273" i="38" s="1"/>
  <c r="D273" i="38"/>
  <c r="AG272" i="38"/>
  <c r="C272" i="38"/>
  <c r="D252" i="38"/>
  <c r="E252" i="38" s="1"/>
  <c r="F252" i="38" s="1"/>
  <c r="G252" i="38" s="1"/>
  <c r="H252" i="38" s="1"/>
  <c r="I252" i="38" s="1"/>
  <c r="J252" i="38" s="1"/>
  <c r="K252" i="38" s="1"/>
  <c r="L252" i="38" s="1"/>
  <c r="M252" i="38" s="1"/>
  <c r="N252" i="38" s="1"/>
  <c r="O252" i="38" s="1"/>
  <c r="P252" i="38" s="1"/>
  <c r="Q252" i="38" s="1"/>
  <c r="R252" i="38" s="1"/>
  <c r="S252" i="38" s="1"/>
  <c r="T252" i="38" s="1"/>
  <c r="U252" i="38" s="1"/>
  <c r="V252" i="38" s="1"/>
  <c r="W252" i="38" s="1"/>
  <c r="X252" i="38" s="1"/>
  <c r="Y252" i="38" s="1"/>
  <c r="Z252" i="38" s="1"/>
  <c r="AA252" i="38" s="1"/>
  <c r="AB252" i="38" s="1"/>
  <c r="AC252" i="38" s="1"/>
  <c r="AD252" i="38" s="1"/>
  <c r="AE252" i="38" s="1"/>
  <c r="AF252" i="38" s="1"/>
  <c r="AG251" i="38"/>
  <c r="C251" i="38"/>
  <c r="D273" i="42"/>
  <c r="E273" i="42" s="1"/>
  <c r="F273" i="42" s="1"/>
  <c r="G273" i="42" s="1"/>
  <c r="H273" i="42" s="1"/>
  <c r="I273" i="42" s="1"/>
  <c r="J273" i="42" s="1"/>
  <c r="K273" i="42" s="1"/>
  <c r="L273" i="42" s="1"/>
  <c r="M273" i="42" s="1"/>
  <c r="N273" i="42" s="1"/>
  <c r="O273" i="42" s="1"/>
  <c r="P273" i="42" s="1"/>
  <c r="Q273" i="42" s="1"/>
  <c r="R273" i="42" s="1"/>
  <c r="S273" i="42" s="1"/>
  <c r="T273" i="42" s="1"/>
  <c r="U273" i="42" s="1"/>
  <c r="V273" i="42" s="1"/>
  <c r="W273" i="42" s="1"/>
  <c r="X273" i="42" s="1"/>
  <c r="Y273" i="42" s="1"/>
  <c r="Z273" i="42" s="1"/>
  <c r="AA273" i="42" s="1"/>
  <c r="AB273" i="42" s="1"/>
  <c r="AC273" i="42" s="1"/>
  <c r="AD273" i="42" s="1"/>
  <c r="AE273" i="42" s="1"/>
  <c r="AF273" i="42" s="1"/>
  <c r="AG272" i="42"/>
  <c r="C272" i="42"/>
  <c r="D252" i="42"/>
  <c r="E252" i="42" s="1"/>
  <c r="F252" i="42" s="1"/>
  <c r="G252" i="42" s="1"/>
  <c r="H252" i="42" s="1"/>
  <c r="I252" i="42" s="1"/>
  <c r="J252" i="42" s="1"/>
  <c r="K252" i="42" s="1"/>
  <c r="L252" i="42" s="1"/>
  <c r="M252" i="42" s="1"/>
  <c r="N252" i="42" s="1"/>
  <c r="O252" i="42" s="1"/>
  <c r="P252" i="42" s="1"/>
  <c r="Q252" i="42" s="1"/>
  <c r="R252" i="42" s="1"/>
  <c r="S252" i="42" s="1"/>
  <c r="T252" i="42" s="1"/>
  <c r="U252" i="42" s="1"/>
  <c r="V252" i="42" s="1"/>
  <c r="W252" i="42" s="1"/>
  <c r="X252" i="42" s="1"/>
  <c r="Y252" i="42" s="1"/>
  <c r="Z252" i="42" s="1"/>
  <c r="AA252" i="42" s="1"/>
  <c r="AB252" i="42" s="1"/>
  <c r="AC252" i="42" s="1"/>
  <c r="AD252" i="42" s="1"/>
  <c r="AE252" i="42" s="1"/>
  <c r="AF252" i="42" s="1"/>
  <c r="AG251" i="42"/>
  <c r="D251" i="42"/>
  <c r="C251" i="42"/>
  <c r="D141" i="28"/>
  <c r="E141" i="28" s="1"/>
  <c r="F141" i="28" s="1"/>
  <c r="G141" i="28" s="1"/>
  <c r="H141" i="28" s="1"/>
  <c r="I141" i="28" s="1"/>
  <c r="J141" i="28" s="1"/>
  <c r="K141" i="28" s="1"/>
  <c r="L141" i="28" s="1"/>
  <c r="M141" i="28" s="1"/>
  <c r="N141" i="28" s="1"/>
  <c r="O141" i="28" s="1"/>
  <c r="P141" i="28" s="1"/>
  <c r="Q141" i="28" s="1"/>
  <c r="R141" i="28" s="1"/>
  <c r="S141" i="28" s="1"/>
  <c r="T141" i="28" s="1"/>
  <c r="U141" i="28" s="1"/>
  <c r="V141" i="28" s="1"/>
  <c r="W141" i="28" s="1"/>
  <c r="X141" i="28" s="1"/>
  <c r="Y141" i="28" s="1"/>
  <c r="Z141" i="28" s="1"/>
  <c r="AA141" i="28" s="1"/>
  <c r="AB141" i="28" s="1"/>
  <c r="AC141" i="28" s="1"/>
  <c r="AD141" i="28" s="1"/>
  <c r="AE141" i="28" s="1"/>
  <c r="AF141" i="28" s="1"/>
  <c r="AG140" i="28"/>
  <c r="C140" i="28"/>
  <c r="D120" i="28"/>
  <c r="E120" i="28" s="1"/>
  <c r="F120" i="28" s="1"/>
  <c r="G120" i="28" s="1"/>
  <c r="H120" i="28" s="1"/>
  <c r="I120" i="28" s="1"/>
  <c r="J120" i="28" s="1"/>
  <c r="K120" i="28" s="1"/>
  <c r="L120" i="28" s="1"/>
  <c r="M120" i="28" s="1"/>
  <c r="N120" i="28" s="1"/>
  <c r="O120" i="28" s="1"/>
  <c r="P120" i="28" s="1"/>
  <c r="Q120" i="28" s="1"/>
  <c r="R120" i="28" s="1"/>
  <c r="S120" i="28" s="1"/>
  <c r="T120" i="28" s="1"/>
  <c r="U120" i="28" s="1"/>
  <c r="V120" i="28" s="1"/>
  <c r="W120" i="28" s="1"/>
  <c r="X120" i="28" s="1"/>
  <c r="Y120" i="28" s="1"/>
  <c r="Z120" i="28" s="1"/>
  <c r="AA120" i="28" s="1"/>
  <c r="AB120" i="28" s="1"/>
  <c r="AC120" i="28" s="1"/>
  <c r="AD120" i="28" s="1"/>
  <c r="AE120" i="28" s="1"/>
  <c r="AF120" i="28" s="1"/>
  <c r="AG119" i="28"/>
  <c r="C119" i="28"/>
  <c r="D127" i="29"/>
  <c r="E127" i="29" s="1"/>
  <c r="F127" i="29" s="1"/>
  <c r="G127" i="29" s="1"/>
  <c r="H127" i="29" s="1"/>
  <c r="I127" i="29" s="1"/>
  <c r="J127" i="29" s="1"/>
  <c r="K127" i="29" s="1"/>
  <c r="L127" i="29" s="1"/>
  <c r="M127" i="29" s="1"/>
  <c r="N127" i="29" s="1"/>
  <c r="O127" i="29" s="1"/>
  <c r="P127" i="29" s="1"/>
  <c r="Q127" i="29" s="1"/>
  <c r="R127" i="29" s="1"/>
  <c r="S127" i="29" s="1"/>
  <c r="T127" i="29" s="1"/>
  <c r="U127" i="29" s="1"/>
  <c r="V127" i="29" s="1"/>
  <c r="W127" i="29" s="1"/>
  <c r="X127" i="29" s="1"/>
  <c r="Y127" i="29" s="1"/>
  <c r="Z127" i="29" s="1"/>
  <c r="AA127" i="29" s="1"/>
  <c r="AB127" i="29" s="1"/>
  <c r="AC127" i="29" s="1"/>
  <c r="AD127" i="29" s="1"/>
  <c r="AE127" i="29" s="1"/>
  <c r="AF127" i="29" s="1"/>
  <c r="AG126" i="29"/>
  <c r="C126" i="29"/>
  <c r="D106" i="29"/>
  <c r="E106" i="29" s="1"/>
  <c r="F106" i="29" s="1"/>
  <c r="G106" i="29" s="1"/>
  <c r="H106" i="29" s="1"/>
  <c r="I106" i="29" s="1"/>
  <c r="J106" i="29" s="1"/>
  <c r="K106" i="29" s="1"/>
  <c r="L106" i="29" s="1"/>
  <c r="M106" i="29" s="1"/>
  <c r="N106" i="29" s="1"/>
  <c r="O106" i="29" s="1"/>
  <c r="P106" i="29" s="1"/>
  <c r="Q106" i="29" s="1"/>
  <c r="R106" i="29" s="1"/>
  <c r="S106" i="29" s="1"/>
  <c r="T106" i="29" s="1"/>
  <c r="U106" i="29" s="1"/>
  <c r="V106" i="29" s="1"/>
  <c r="W106" i="29" s="1"/>
  <c r="X106" i="29" s="1"/>
  <c r="Y106" i="29" s="1"/>
  <c r="Z106" i="29" s="1"/>
  <c r="AA106" i="29" s="1"/>
  <c r="AB106" i="29" s="1"/>
  <c r="AC106" i="29" s="1"/>
  <c r="AD106" i="29" s="1"/>
  <c r="AE106" i="29" s="1"/>
  <c r="AF106" i="29" s="1"/>
  <c r="AG105" i="29"/>
  <c r="C105" i="29"/>
  <c r="D206" i="19"/>
  <c r="E206" i="19" s="1"/>
  <c r="F206" i="19" s="1"/>
  <c r="G206" i="19" s="1"/>
  <c r="H206" i="19" s="1"/>
  <c r="I206" i="19" s="1"/>
  <c r="J206" i="19" s="1"/>
  <c r="K206" i="19" s="1"/>
  <c r="L206" i="19" s="1"/>
  <c r="M206" i="19" s="1"/>
  <c r="N206" i="19" s="1"/>
  <c r="O206" i="19" s="1"/>
  <c r="P206" i="19" s="1"/>
  <c r="Q206" i="19" s="1"/>
  <c r="R206" i="19" s="1"/>
  <c r="S206" i="19" s="1"/>
  <c r="T206" i="19" s="1"/>
  <c r="U206" i="19" s="1"/>
  <c r="V206" i="19" s="1"/>
  <c r="W206" i="19" s="1"/>
  <c r="X206" i="19" s="1"/>
  <c r="Y206" i="19" s="1"/>
  <c r="Z206" i="19" s="1"/>
  <c r="AA206" i="19" s="1"/>
  <c r="AB206" i="19" s="1"/>
  <c r="AC206" i="19" s="1"/>
  <c r="AD206" i="19" s="1"/>
  <c r="AE206" i="19" s="1"/>
  <c r="AF206" i="19" s="1"/>
  <c r="AG205" i="19"/>
  <c r="C205" i="19"/>
  <c r="D185" i="19"/>
  <c r="E185" i="19" s="1"/>
  <c r="F185" i="19" s="1"/>
  <c r="G185" i="19" s="1"/>
  <c r="H185" i="19" s="1"/>
  <c r="I185" i="19" s="1"/>
  <c r="J185" i="19" s="1"/>
  <c r="K185" i="19" s="1"/>
  <c r="L185" i="19" s="1"/>
  <c r="M185" i="19" s="1"/>
  <c r="N185" i="19" s="1"/>
  <c r="O185" i="19" s="1"/>
  <c r="P185" i="19" s="1"/>
  <c r="Q185" i="19" s="1"/>
  <c r="R185" i="19" s="1"/>
  <c r="S185" i="19" s="1"/>
  <c r="T185" i="19" s="1"/>
  <c r="U185" i="19" s="1"/>
  <c r="V185" i="19" s="1"/>
  <c r="W185" i="19" s="1"/>
  <c r="X185" i="19" s="1"/>
  <c r="Y185" i="19" s="1"/>
  <c r="Z185" i="19" s="1"/>
  <c r="AA185" i="19" s="1"/>
  <c r="AB185" i="19" s="1"/>
  <c r="AC185" i="19" s="1"/>
  <c r="AD185" i="19" s="1"/>
  <c r="AE185" i="19" s="1"/>
  <c r="AF185" i="19" s="1"/>
  <c r="AG184" i="19"/>
  <c r="D184" i="19"/>
  <c r="E184" i="19" s="1"/>
  <c r="F184" i="19" s="1"/>
  <c r="G184" i="19" s="1"/>
  <c r="C184" i="19"/>
  <c r="D227" i="20"/>
  <c r="E227" i="20" s="1"/>
  <c r="F227" i="20" s="1"/>
  <c r="G227" i="20" s="1"/>
  <c r="H227" i="20" s="1"/>
  <c r="I227" i="20" s="1"/>
  <c r="J227" i="20" s="1"/>
  <c r="K227" i="20" s="1"/>
  <c r="L227" i="20" s="1"/>
  <c r="M227" i="20" s="1"/>
  <c r="N227" i="20" s="1"/>
  <c r="O227" i="20" s="1"/>
  <c r="P227" i="20" s="1"/>
  <c r="Q227" i="20" s="1"/>
  <c r="R227" i="20" s="1"/>
  <c r="S227" i="20" s="1"/>
  <c r="T227" i="20" s="1"/>
  <c r="U227" i="20" s="1"/>
  <c r="V227" i="20" s="1"/>
  <c r="W227" i="20" s="1"/>
  <c r="X227" i="20" s="1"/>
  <c r="Y227" i="20" s="1"/>
  <c r="Z227" i="20" s="1"/>
  <c r="AA227" i="20" s="1"/>
  <c r="AB227" i="20" s="1"/>
  <c r="AC227" i="20" s="1"/>
  <c r="AD227" i="20" s="1"/>
  <c r="AE227" i="20" s="1"/>
  <c r="AF227" i="20" s="1"/>
  <c r="AG226" i="20"/>
  <c r="C226" i="20"/>
  <c r="AG247" i="20"/>
  <c r="C247" i="20"/>
  <c r="D188" i="54" l="1"/>
  <c r="E188" i="54"/>
  <c r="F188" i="54" s="1"/>
  <c r="G188" i="54" s="1"/>
  <c r="H188" i="54" s="1"/>
  <c r="I188" i="54" s="1"/>
  <c r="J188" i="54" s="1"/>
  <c r="K188" i="54" s="1"/>
  <c r="L188" i="54" s="1"/>
  <c r="M188" i="54" s="1"/>
  <c r="N188" i="54" s="1"/>
  <c r="O188" i="54" s="1"/>
  <c r="P188" i="54" s="1"/>
  <c r="Q188" i="54" s="1"/>
  <c r="R188" i="54" s="1"/>
  <c r="S188" i="54" s="1"/>
  <c r="T188" i="54" s="1"/>
  <c r="U188" i="54" s="1"/>
  <c r="V188" i="54" s="1"/>
  <c r="W188" i="54" s="1"/>
  <c r="X188" i="54" s="1"/>
  <c r="Y188" i="54" s="1"/>
  <c r="Z188" i="54" s="1"/>
  <c r="AA188" i="54" s="1"/>
  <c r="AB188" i="54" s="1"/>
  <c r="AC188" i="54" s="1"/>
  <c r="AD188" i="54" s="1"/>
  <c r="AE188" i="54" s="1"/>
  <c r="AF188" i="54" s="1"/>
  <c r="E167" i="54"/>
  <c r="F167" i="54" s="1"/>
  <c r="G167" i="54" s="1"/>
  <c r="H167" i="54" s="1"/>
  <c r="I167" i="54" s="1"/>
  <c r="J167" i="54" s="1"/>
  <c r="K167" i="54" s="1"/>
  <c r="L167" i="54" s="1"/>
  <c r="M167" i="54" s="1"/>
  <c r="N167" i="54" s="1"/>
  <c r="O167" i="54" s="1"/>
  <c r="P167" i="54" s="1"/>
  <c r="Q167" i="54" s="1"/>
  <c r="R167" i="54" s="1"/>
  <c r="S167" i="54" s="1"/>
  <c r="T167" i="54" s="1"/>
  <c r="U167" i="54" s="1"/>
  <c r="V167" i="54" s="1"/>
  <c r="W167" i="54" s="1"/>
  <c r="X167" i="54" s="1"/>
  <c r="Y167" i="54" s="1"/>
  <c r="Z167" i="54" s="1"/>
  <c r="AA167" i="54" s="1"/>
  <c r="AB167" i="54" s="1"/>
  <c r="AC167" i="54" s="1"/>
  <c r="AD167" i="54" s="1"/>
  <c r="AE167" i="54" s="1"/>
  <c r="AF167" i="54" s="1"/>
  <c r="H188" i="53"/>
  <c r="I188" i="53" s="1"/>
  <c r="J188" i="53" s="1"/>
  <c r="K188" i="53" s="1"/>
  <c r="L188" i="53" s="1"/>
  <c r="M188" i="53" s="1"/>
  <c r="N188" i="53" s="1"/>
  <c r="O188" i="53" s="1"/>
  <c r="P188" i="53" s="1"/>
  <c r="Q188" i="53" s="1"/>
  <c r="R188" i="53" s="1"/>
  <c r="S188" i="53" s="1"/>
  <c r="T188" i="53" s="1"/>
  <c r="U188" i="53" s="1"/>
  <c r="V188" i="53" s="1"/>
  <c r="W188" i="53" s="1"/>
  <c r="X188" i="53" s="1"/>
  <c r="Y188" i="53" s="1"/>
  <c r="Z188" i="53" s="1"/>
  <c r="AA188" i="53" s="1"/>
  <c r="AB188" i="53" s="1"/>
  <c r="AC188" i="53" s="1"/>
  <c r="AD188" i="53" s="1"/>
  <c r="AE188" i="53" s="1"/>
  <c r="AF188" i="53" s="1"/>
  <c r="F188" i="53"/>
  <c r="G188" i="53" s="1"/>
  <c r="D167" i="53"/>
  <c r="E167" i="53" s="1"/>
  <c r="F167" i="53" s="1"/>
  <c r="G167" i="53" s="1"/>
  <c r="H167" i="53" s="1"/>
  <c r="I167" i="53" s="1"/>
  <c r="J167" i="53" s="1"/>
  <c r="K167" i="53" s="1"/>
  <c r="L167" i="53" s="1"/>
  <c r="M167" i="53" s="1"/>
  <c r="N167" i="53" s="1"/>
  <c r="O167" i="53" s="1"/>
  <c r="P167" i="53" s="1"/>
  <c r="Q167" i="53" s="1"/>
  <c r="R167" i="53" s="1"/>
  <c r="S167" i="53" s="1"/>
  <c r="T167" i="53" s="1"/>
  <c r="U167" i="53" s="1"/>
  <c r="V167" i="53" s="1"/>
  <c r="W167" i="53" s="1"/>
  <c r="X167" i="53" s="1"/>
  <c r="Y167" i="53" s="1"/>
  <c r="Z167" i="53" s="1"/>
  <c r="AA167" i="53" s="1"/>
  <c r="AB167" i="53" s="1"/>
  <c r="AC167" i="53" s="1"/>
  <c r="AD167" i="53" s="1"/>
  <c r="AE167" i="53" s="1"/>
  <c r="AF167" i="53" s="1"/>
  <c r="D300" i="48"/>
  <c r="E300" i="48" s="1"/>
  <c r="F300" i="48" s="1"/>
  <c r="G300" i="48" s="1"/>
  <c r="H300" i="48" s="1"/>
  <c r="I300" i="48" s="1"/>
  <c r="J300" i="48" s="1"/>
  <c r="K300" i="48" s="1"/>
  <c r="L300" i="48" s="1"/>
  <c r="M300" i="48" s="1"/>
  <c r="N300" i="48" s="1"/>
  <c r="O300" i="48" s="1"/>
  <c r="P300" i="48" s="1"/>
  <c r="Q300" i="48" s="1"/>
  <c r="R300" i="48" s="1"/>
  <c r="S300" i="48" s="1"/>
  <c r="T300" i="48" s="1"/>
  <c r="U300" i="48" s="1"/>
  <c r="V300" i="48" s="1"/>
  <c r="W300" i="48" s="1"/>
  <c r="X300" i="48" s="1"/>
  <c r="Y300" i="48" s="1"/>
  <c r="Z300" i="48" s="1"/>
  <c r="AA300" i="48" s="1"/>
  <c r="AB300" i="48" s="1"/>
  <c r="AC300" i="48" s="1"/>
  <c r="AD300" i="48" s="1"/>
  <c r="AE300" i="48" s="1"/>
  <c r="AF300" i="48" s="1"/>
  <c r="D279" i="48"/>
  <c r="E279" i="48" s="1"/>
  <c r="F279" i="48" s="1"/>
  <c r="G279" i="48" s="1"/>
  <c r="H279" i="48" s="1"/>
  <c r="I279" i="48" s="1"/>
  <c r="J279" i="48" s="1"/>
  <c r="K279" i="48" s="1"/>
  <c r="L279" i="48" s="1"/>
  <c r="M279" i="48" s="1"/>
  <c r="N279" i="48" s="1"/>
  <c r="O279" i="48" s="1"/>
  <c r="P279" i="48" s="1"/>
  <c r="Q279" i="48" s="1"/>
  <c r="R279" i="48" s="1"/>
  <c r="S279" i="48" s="1"/>
  <c r="T279" i="48" s="1"/>
  <c r="U279" i="48" s="1"/>
  <c r="V279" i="48" s="1"/>
  <c r="W279" i="48" s="1"/>
  <c r="X279" i="48" s="1"/>
  <c r="Y279" i="48" s="1"/>
  <c r="Z279" i="48" s="1"/>
  <c r="AA279" i="48" s="1"/>
  <c r="AB279" i="48" s="1"/>
  <c r="AC279" i="48" s="1"/>
  <c r="AD279" i="48" s="1"/>
  <c r="AE279" i="48" s="1"/>
  <c r="AF279" i="48" s="1"/>
  <c r="D300" i="46"/>
  <c r="E300" i="46" s="1"/>
  <c r="F300" i="46" s="1"/>
  <c r="G300" i="46" s="1"/>
  <c r="H300" i="46" s="1"/>
  <c r="I300" i="46" s="1"/>
  <c r="J300" i="46" s="1"/>
  <c r="K300" i="46" s="1"/>
  <c r="L300" i="46" s="1"/>
  <c r="M300" i="46" s="1"/>
  <c r="N300" i="46" s="1"/>
  <c r="O300" i="46" s="1"/>
  <c r="P300" i="46" s="1"/>
  <c r="Q300" i="46" s="1"/>
  <c r="R300" i="46" s="1"/>
  <c r="S300" i="46" s="1"/>
  <c r="T300" i="46" s="1"/>
  <c r="U300" i="46" s="1"/>
  <c r="V300" i="46" s="1"/>
  <c r="W300" i="46" s="1"/>
  <c r="X300" i="46" s="1"/>
  <c r="Y300" i="46" s="1"/>
  <c r="Z300" i="46" s="1"/>
  <c r="AA300" i="46" s="1"/>
  <c r="AB300" i="46" s="1"/>
  <c r="AC300" i="46" s="1"/>
  <c r="AD300" i="46" s="1"/>
  <c r="AE300" i="46" s="1"/>
  <c r="AF300" i="46" s="1"/>
  <c r="D279" i="46"/>
  <c r="E279" i="46" s="1"/>
  <c r="F279" i="46" s="1"/>
  <c r="G279" i="46" s="1"/>
  <c r="H279" i="46" s="1"/>
  <c r="I279" i="46" s="1"/>
  <c r="J279" i="46" s="1"/>
  <c r="K279" i="46" s="1"/>
  <c r="L279" i="46" s="1"/>
  <c r="M279" i="46" s="1"/>
  <c r="N279" i="46" s="1"/>
  <c r="O279" i="46" s="1"/>
  <c r="P279" i="46" s="1"/>
  <c r="Q279" i="46" s="1"/>
  <c r="R279" i="46" s="1"/>
  <c r="S279" i="46" s="1"/>
  <c r="T279" i="46" s="1"/>
  <c r="U279" i="46" s="1"/>
  <c r="V279" i="46" s="1"/>
  <c r="W279" i="46" s="1"/>
  <c r="X279" i="46" s="1"/>
  <c r="Y279" i="46" s="1"/>
  <c r="Z279" i="46" s="1"/>
  <c r="AA279" i="46" s="1"/>
  <c r="AB279" i="46" s="1"/>
  <c r="AC279" i="46" s="1"/>
  <c r="AD279" i="46" s="1"/>
  <c r="AE279" i="46" s="1"/>
  <c r="AF279" i="46" s="1"/>
  <c r="D272" i="38"/>
  <c r="E272" i="38"/>
  <c r="F272" i="38" s="1"/>
  <c r="G272" i="38" s="1"/>
  <c r="H272" i="38" s="1"/>
  <c r="I272" i="38" s="1"/>
  <c r="J272" i="38" s="1"/>
  <c r="K272" i="38" s="1"/>
  <c r="L272" i="38" s="1"/>
  <c r="M272" i="38" s="1"/>
  <c r="N272" i="38" s="1"/>
  <c r="O272" i="38" s="1"/>
  <c r="P272" i="38" s="1"/>
  <c r="Q272" i="38" s="1"/>
  <c r="R272" i="38" s="1"/>
  <c r="S272" i="38" s="1"/>
  <c r="T272" i="38" s="1"/>
  <c r="U272" i="38" s="1"/>
  <c r="V272" i="38" s="1"/>
  <c r="W272" i="38" s="1"/>
  <c r="X272" i="38" s="1"/>
  <c r="Y272" i="38" s="1"/>
  <c r="Z272" i="38" s="1"/>
  <c r="AA272" i="38" s="1"/>
  <c r="AB272" i="38" s="1"/>
  <c r="AC272" i="38" s="1"/>
  <c r="AD272" i="38" s="1"/>
  <c r="AE272" i="38" s="1"/>
  <c r="AF272" i="38" s="1"/>
  <c r="D251" i="38"/>
  <c r="E251" i="38"/>
  <c r="F251" i="38" s="1"/>
  <c r="G251" i="38" s="1"/>
  <c r="H251" i="38" s="1"/>
  <c r="I251" i="38" s="1"/>
  <c r="J251" i="38" s="1"/>
  <c r="K251" i="38" s="1"/>
  <c r="L251" i="38" s="1"/>
  <c r="M251" i="38" s="1"/>
  <c r="N251" i="38" s="1"/>
  <c r="O251" i="38" s="1"/>
  <c r="P251" i="38" s="1"/>
  <c r="Q251" i="38" s="1"/>
  <c r="R251" i="38" s="1"/>
  <c r="S251" i="38" s="1"/>
  <c r="T251" i="38" s="1"/>
  <c r="U251" i="38" s="1"/>
  <c r="V251" i="38" s="1"/>
  <c r="W251" i="38" s="1"/>
  <c r="X251" i="38" s="1"/>
  <c r="Y251" i="38" s="1"/>
  <c r="Z251" i="38" s="1"/>
  <c r="AA251" i="38" s="1"/>
  <c r="AB251" i="38" s="1"/>
  <c r="AC251" i="38" s="1"/>
  <c r="AD251" i="38" s="1"/>
  <c r="AE251" i="38" s="1"/>
  <c r="AF251" i="38" s="1"/>
  <c r="D272" i="42"/>
  <c r="E272" i="42"/>
  <c r="F272" i="42" s="1"/>
  <c r="G272" i="42" s="1"/>
  <c r="H272" i="42" s="1"/>
  <c r="I272" i="42" s="1"/>
  <c r="J272" i="42" s="1"/>
  <c r="K272" i="42" s="1"/>
  <c r="L272" i="42" s="1"/>
  <c r="M272" i="42" s="1"/>
  <c r="N272" i="42" s="1"/>
  <c r="O272" i="42" s="1"/>
  <c r="P272" i="42" s="1"/>
  <c r="Q272" i="42" s="1"/>
  <c r="R272" i="42" s="1"/>
  <c r="S272" i="42" s="1"/>
  <c r="T272" i="42" s="1"/>
  <c r="U272" i="42" s="1"/>
  <c r="V272" i="42" s="1"/>
  <c r="W272" i="42" s="1"/>
  <c r="X272" i="42" s="1"/>
  <c r="Y272" i="42" s="1"/>
  <c r="Z272" i="42" s="1"/>
  <c r="AA272" i="42" s="1"/>
  <c r="AB272" i="42" s="1"/>
  <c r="AC272" i="42" s="1"/>
  <c r="AD272" i="42" s="1"/>
  <c r="AE272" i="42" s="1"/>
  <c r="AF272" i="42" s="1"/>
  <c r="E251" i="42"/>
  <c r="F251" i="42" s="1"/>
  <c r="G251" i="42" s="1"/>
  <c r="H251" i="42" s="1"/>
  <c r="I251" i="42" s="1"/>
  <c r="J251" i="42" s="1"/>
  <c r="K251" i="42" s="1"/>
  <c r="L251" i="42" s="1"/>
  <c r="M251" i="42" s="1"/>
  <c r="N251" i="42" s="1"/>
  <c r="O251" i="42" s="1"/>
  <c r="P251" i="42" s="1"/>
  <c r="Q251" i="42" s="1"/>
  <c r="R251" i="42" s="1"/>
  <c r="S251" i="42" s="1"/>
  <c r="T251" i="42" s="1"/>
  <c r="U251" i="42" s="1"/>
  <c r="V251" i="42" s="1"/>
  <c r="W251" i="42" s="1"/>
  <c r="X251" i="42" s="1"/>
  <c r="Y251" i="42" s="1"/>
  <c r="Z251" i="42" s="1"/>
  <c r="AA251" i="42" s="1"/>
  <c r="AB251" i="42" s="1"/>
  <c r="AC251" i="42" s="1"/>
  <c r="AD251" i="42" s="1"/>
  <c r="AE251" i="42" s="1"/>
  <c r="AF251" i="42" s="1"/>
  <c r="D140" i="28"/>
  <c r="E140" i="28"/>
  <c r="F140" i="28" s="1"/>
  <c r="G140" i="28" s="1"/>
  <c r="H140" i="28" s="1"/>
  <c r="I140" i="28" s="1"/>
  <c r="J140" i="28" s="1"/>
  <c r="K140" i="28" s="1"/>
  <c r="L140" i="28" s="1"/>
  <c r="M140" i="28" s="1"/>
  <c r="N140" i="28" s="1"/>
  <c r="O140" i="28" s="1"/>
  <c r="P140" i="28" s="1"/>
  <c r="Q140" i="28" s="1"/>
  <c r="R140" i="28" s="1"/>
  <c r="S140" i="28" s="1"/>
  <c r="T140" i="28" s="1"/>
  <c r="U140" i="28" s="1"/>
  <c r="V140" i="28" s="1"/>
  <c r="W140" i="28" s="1"/>
  <c r="X140" i="28" s="1"/>
  <c r="Y140" i="28" s="1"/>
  <c r="Z140" i="28" s="1"/>
  <c r="AA140" i="28" s="1"/>
  <c r="AB140" i="28" s="1"/>
  <c r="AC140" i="28" s="1"/>
  <c r="AD140" i="28" s="1"/>
  <c r="AE140" i="28" s="1"/>
  <c r="AF140" i="28" s="1"/>
  <c r="D119" i="28"/>
  <c r="E119" i="28" s="1"/>
  <c r="F119" i="28" s="1"/>
  <c r="G119" i="28" s="1"/>
  <c r="H119" i="28" s="1"/>
  <c r="I119" i="28" s="1"/>
  <c r="J119" i="28" s="1"/>
  <c r="K119" i="28" s="1"/>
  <c r="L119" i="28" s="1"/>
  <c r="M119" i="28" s="1"/>
  <c r="N119" i="28" s="1"/>
  <c r="O119" i="28" s="1"/>
  <c r="P119" i="28" s="1"/>
  <c r="Q119" i="28" s="1"/>
  <c r="R119" i="28" s="1"/>
  <c r="S119" i="28" s="1"/>
  <c r="T119" i="28" s="1"/>
  <c r="U119" i="28" s="1"/>
  <c r="V119" i="28" s="1"/>
  <c r="W119" i="28" s="1"/>
  <c r="X119" i="28" s="1"/>
  <c r="Y119" i="28" s="1"/>
  <c r="Z119" i="28" s="1"/>
  <c r="AA119" i="28" s="1"/>
  <c r="AB119" i="28" s="1"/>
  <c r="AC119" i="28" s="1"/>
  <c r="AD119" i="28" s="1"/>
  <c r="AE119" i="28" s="1"/>
  <c r="AF119" i="28" s="1"/>
  <c r="D126" i="29"/>
  <c r="E126" i="29"/>
  <c r="F126" i="29" s="1"/>
  <c r="G126" i="29" s="1"/>
  <c r="H126" i="29" s="1"/>
  <c r="I126" i="29" s="1"/>
  <c r="J126" i="29" s="1"/>
  <c r="K126" i="29" s="1"/>
  <c r="L126" i="29" s="1"/>
  <c r="M126" i="29" s="1"/>
  <c r="N126" i="29" s="1"/>
  <c r="O126" i="29" s="1"/>
  <c r="P126" i="29" s="1"/>
  <c r="Q126" i="29" s="1"/>
  <c r="R126" i="29" s="1"/>
  <c r="S126" i="29" s="1"/>
  <c r="T126" i="29" s="1"/>
  <c r="U126" i="29" s="1"/>
  <c r="V126" i="29" s="1"/>
  <c r="W126" i="29" s="1"/>
  <c r="X126" i="29" s="1"/>
  <c r="Y126" i="29" s="1"/>
  <c r="Z126" i="29" s="1"/>
  <c r="AA126" i="29" s="1"/>
  <c r="AB126" i="29" s="1"/>
  <c r="AC126" i="29" s="1"/>
  <c r="AD126" i="29" s="1"/>
  <c r="AE126" i="29" s="1"/>
  <c r="AF126" i="29" s="1"/>
  <c r="F105" i="29"/>
  <c r="G105" i="29" s="1"/>
  <c r="H105" i="29" s="1"/>
  <c r="I105" i="29" s="1"/>
  <c r="J105" i="29" s="1"/>
  <c r="K105" i="29" s="1"/>
  <c r="L105" i="29" s="1"/>
  <c r="M105" i="29" s="1"/>
  <c r="N105" i="29" s="1"/>
  <c r="O105" i="29" s="1"/>
  <c r="P105" i="29" s="1"/>
  <c r="Q105" i="29" s="1"/>
  <c r="R105" i="29" s="1"/>
  <c r="S105" i="29" s="1"/>
  <c r="T105" i="29" s="1"/>
  <c r="U105" i="29" s="1"/>
  <c r="V105" i="29" s="1"/>
  <c r="W105" i="29" s="1"/>
  <c r="X105" i="29" s="1"/>
  <c r="Y105" i="29" s="1"/>
  <c r="Z105" i="29" s="1"/>
  <c r="AA105" i="29" s="1"/>
  <c r="AB105" i="29" s="1"/>
  <c r="AC105" i="29" s="1"/>
  <c r="AD105" i="29" s="1"/>
  <c r="AE105" i="29" s="1"/>
  <c r="AF105" i="29" s="1"/>
  <c r="D105" i="29"/>
  <c r="E105" i="29" s="1"/>
  <c r="D205" i="19"/>
  <c r="E205" i="19" s="1"/>
  <c r="F205" i="19" s="1"/>
  <c r="G205" i="19" s="1"/>
  <c r="H205" i="19" s="1"/>
  <c r="I205" i="19" s="1"/>
  <c r="J205" i="19" s="1"/>
  <c r="K205" i="19" s="1"/>
  <c r="L205" i="19" s="1"/>
  <c r="M205" i="19" s="1"/>
  <c r="N205" i="19" s="1"/>
  <c r="O205" i="19" s="1"/>
  <c r="P205" i="19" s="1"/>
  <c r="Q205" i="19" s="1"/>
  <c r="R205" i="19" s="1"/>
  <c r="S205" i="19" s="1"/>
  <c r="T205" i="19" s="1"/>
  <c r="U205" i="19" s="1"/>
  <c r="V205" i="19" s="1"/>
  <c r="W205" i="19" s="1"/>
  <c r="X205" i="19" s="1"/>
  <c r="Y205" i="19" s="1"/>
  <c r="Z205" i="19" s="1"/>
  <c r="AA205" i="19" s="1"/>
  <c r="AB205" i="19" s="1"/>
  <c r="AC205" i="19" s="1"/>
  <c r="AD205" i="19" s="1"/>
  <c r="AE205" i="19" s="1"/>
  <c r="AF205" i="19" s="1"/>
  <c r="H184" i="19"/>
  <c r="I184" i="19" s="1"/>
  <c r="J184" i="19"/>
  <c r="K184" i="19"/>
  <c r="L184" i="19" s="1"/>
  <c r="M184" i="19" s="1"/>
  <c r="N184" i="19" s="1"/>
  <c r="O184" i="19" s="1"/>
  <c r="P184" i="19" s="1"/>
  <c r="Q184" i="19" s="1"/>
  <c r="R184" i="19" s="1"/>
  <c r="S184" i="19" s="1"/>
  <c r="T184" i="19" s="1"/>
  <c r="U184" i="19" s="1"/>
  <c r="V184" i="19" s="1"/>
  <c r="W184" i="19" s="1"/>
  <c r="X184" i="19" s="1"/>
  <c r="Y184" i="19" s="1"/>
  <c r="Z184" i="19" s="1"/>
  <c r="AA184" i="19" s="1"/>
  <c r="AB184" i="19" s="1"/>
  <c r="AC184" i="19" s="1"/>
  <c r="AD184" i="19" s="1"/>
  <c r="AE184" i="19" s="1"/>
  <c r="AF184" i="19" s="1"/>
  <c r="D226" i="20"/>
  <c r="E226" i="20"/>
  <c r="F226" i="20"/>
  <c r="G226" i="20" s="1"/>
  <c r="H226" i="20" s="1"/>
  <c r="I226" i="20" s="1"/>
  <c r="J226" i="20" s="1"/>
  <c r="K226" i="20" s="1"/>
  <c r="L226" i="20" s="1"/>
  <c r="M226" i="20" s="1"/>
  <c r="N226" i="20" s="1"/>
  <c r="O226" i="20" s="1"/>
  <c r="P226" i="20" s="1"/>
  <c r="Q226" i="20" s="1"/>
  <c r="R226" i="20" s="1"/>
  <c r="S226" i="20" s="1"/>
  <c r="T226" i="20" s="1"/>
  <c r="U226" i="20" s="1"/>
  <c r="V226" i="20" s="1"/>
  <c r="W226" i="20" s="1"/>
  <c r="X226" i="20" s="1"/>
  <c r="Y226" i="20" s="1"/>
  <c r="Z226" i="20" s="1"/>
  <c r="AA226" i="20" s="1"/>
  <c r="AB226" i="20" s="1"/>
  <c r="AC226" i="20" s="1"/>
  <c r="AD226" i="20" s="1"/>
  <c r="AE226" i="20" s="1"/>
  <c r="AF226" i="20" s="1"/>
  <c r="C16" i="43" l="1"/>
  <c r="J27" i="57"/>
  <c r="H27" i="57"/>
  <c r="F27" i="57"/>
  <c r="F28" i="57" s="1"/>
  <c r="H25" i="57"/>
  <c r="J25" i="57"/>
  <c r="F25" i="57"/>
  <c r="J28" i="57" l="1"/>
  <c r="J30" i="57" s="1"/>
  <c r="J26" i="57"/>
  <c r="F3" i="57" s="1"/>
  <c r="H28" i="57"/>
  <c r="H31" i="57" s="1"/>
  <c r="H26" i="57"/>
  <c r="E3" i="57" s="1"/>
  <c r="N16" i="57"/>
  <c r="F26" i="57"/>
  <c r="D3" i="57" s="1"/>
  <c r="H32" i="57" l="1"/>
  <c r="J31" i="57"/>
  <c r="J32" i="57" s="1"/>
  <c r="K14" i="57" s="1"/>
  <c r="J14" i="57" s="1"/>
  <c r="J15" i="57" s="1"/>
  <c r="H30" i="57"/>
  <c r="J22" i="57" l="1"/>
  <c r="C9" i="43"/>
  <c r="J16" i="57"/>
  <c r="J21" i="57"/>
  <c r="J17" i="57"/>
  <c r="J19" i="57"/>
  <c r="J18" i="57"/>
  <c r="J20" i="57"/>
  <c r="K15" i="57"/>
  <c r="K16" i="57" s="1"/>
  <c r="D53" i="12"/>
  <c r="D72" i="12"/>
  <c r="D74" i="12" s="1"/>
  <c r="D83" i="12" s="1"/>
  <c r="D73" i="12"/>
  <c r="D75" i="12"/>
  <c r="D77" i="12"/>
  <c r="D78" i="12"/>
  <c r="D79" i="12"/>
  <c r="D80" i="12"/>
  <c r="D81" i="12"/>
  <c r="D82" i="12"/>
  <c r="D16" i="7"/>
  <c r="I9" i="43" l="1"/>
  <c r="G9" i="43"/>
  <c r="F4" i="57"/>
  <c r="D9" i="43"/>
  <c r="F9" i="43"/>
  <c r="C10" i="43"/>
  <c r="C11" i="43"/>
  <c r="C12" i="43"/>
  <c r="H9" i="43"/>
  <c r="E9" i="43"/>
  <c r="J9" i="43"/>
  <c r="D76" i="12"/>
  <c r="E12" i="43" l="1"/>
  <c r="E11" i="43"/>
  <c r="E10" i="43"/>
  <c r="G11" i="43"/>
  <c r="G10" i="43"/>
  <c r="G12" i="43"/>
  <c r="F10" i="43"/>
  <c r="F11" i="43"/>
  <c r="F12" i="43"/>
  <c r="H12" i="43"/>
  <c r="H10" i="43"/>
  <c r="H11" i="43"/>
  <c r="D12" i="43"/>
  <c r="D11" i="43"/>
  <c r="D10" i="43"/>
  <c r="I12" i="43"/>
  <c r="I11" i="43"/>
  <c r="I10" i="43"/>
  <c r="J12" i="43"/>
  <c r="J11" i="43"/>
  <c r="J10" i="43"/>
  <c r="C81" i="54" l="1"/>
  <c r="AG255" i="48"/>
  <c r="C255" i="48"/>
  <c r="AG255" i="46"/>
  <c r="C255" i="46"/>
  <c r="AG229" i="38"/>
  <c r="C229" i="38"/>
  <c r="C214" i="38"/>
  <c r="AG214" i="38"/>
  <c r="AG229" i="42"/>
  <c r="C229" i="42"/>
  <c r="AG238" i="48"/>
  <c r="C238" i="48"/>
  <c r="AG238" i="46"/>
  <c r="C238" i="46"/>
  <c r="AG214" i="42"/>
  <c r="C214" i="42"/>
  <c r="AG186" i="48"/>
  <c r="C186" i="48"/>
  <c r="AG186" i="46"/>
  <c r="C186" i="46"/>
  <c r="AG168" i="38"/>
  <c r="C168" i="38"/>
  <c r="AG168" i="42"/>
  <c r="C168" i="42"/>
  <c r="AG121" i="48"/>
  <c r="C121" i="48"/>
  <c r="AG121" i="46"/>
  <c r="C121" i="46"/>
  <c r="AG111" i="38"/>
  <c r="C111" i="38"/>
  <c r="AG111" i="42"/>
  <c r="C111" i="42"/>
  <c r="N17" i="57" l="1"/>
  <c r="H2" i="39" s="1"/>
  <c r="N18" i="57"/>
  <c r="I2" i="39" s="1"/>
  <c r="N19" i="57"/>
  <c r="J2" i="39" s="1"/>
  <c r="N20" i="57"/>
  <c r="K2" i="39" s="1"/>
  <c r="N21" i="57"/>
  <c r="L2" i="39" s="1"/>
  <c r="N22" i="57"/>
  <c r="M2" i="39" s="1"/>
  <c r="N2" i="39" s="1"/>
  <c r="G2" i="39"/>
  <c r="F2" i="39"/>
  <c r="H3" i="39" l="1"/>
  <c r="D66" i="45" l="1"/>
  <c r="D64" i="45"/>
  <c r="B28" i="57" l="1"/>
  <c r="B30" i="57" s="1"/>
  <c r="B26" i="57"/>
  <c r="D61" i="45" l="1"/>
  <c r="D63" i="36"/>
  <c r="D62" i="36"/>
  <c r="D73" i="14"/>
  <c r="D72" i="14"/>
  <c r="C51" i="28"/>
  <c r="C50" i="28"/>
  <c r="B2" i="54"/>
  <c r="A2" i="54"/>
  <c r="B2" i="53"/>
  <c r="A2" i="53"/>
  <c r="B2" i="48"/>
  <c r="A2" i="48"/>
  <c r="B2" i="46"/>
  <c r="A2" i="46"/>
  <c r="B2" i="38"/>
  <c r="A2" i="38"/>
  <c r="B2" i="42"/>
  <c r="A2" i="42"/>
  <c r="B2" i="28"/>
  <c r="A2" i="28"/>
  <c r="B2" i="29"/>
  <c r="A2" i="29"/>
  <c r="D193" i="54"/>
  <c r="E193" i="54" s="1"/>
  <c r="F193" i="54" s="1"/>
  <c r="G193" i="54" s="1"/>
  <c r="H193" i="54" s="1"/>
  <c r="I193" i="54" s="1"/>
  <c r="J193" i="54" s="1"/>
  <c r="K193" i="54" s="1"/>
  <c r="L193" i="54" s="1"/>
  <c r="M193" i="54" s="1"/>
  <c r="N193" i="54" s="1"/>
  <c r="O193" i="54" s="1"/>
  <c r="P193" i="54" s="1"/>
  <c r="Q193" i="54" s="1"/>
  <c r="R193" i="54" s="1"/>
  <c r="S193" i="54" s="1"/>
  <c r="T193" i="54" s="1"/>
  <c r="U193" i="54" s="1"/>
  <c r="V193" i="54" s="1"/>
  <c r="W193" i="54" s="1"/>
  <c r="X193" i="54" s="1"/>
  <c r="Y193" i="54" s="1"/>
  <c r="Z193" i="54" s="1"/>
  <c r="AA193" i="54" s="1"/>
  <c r="AB193" i="54" s="1"/>
  <c r="AC193" i="54" s="1"/>
  <c r="AD193" i="54" s="1"/>
  <c r="AE193" i="54" s="1"/>
  <c r="AF193" i="54" s="1"/>
  <c r="D192" i="54"/>
  <c r="E192" i="54" s="1"/>
  <c r="F192" i="54" s="1"/>
  <c r="G192" i="54" s="1"/>
  <c r="H192" i="54" s="1"/>
  <c r="I192" i="54" s="1"/>
  <c r="J192" i="54" s="1"/>
  <c r="K192" i="54" s="1"/>
  <c r="L192" i="54" s="1"/>
  <c r="M192" i="54" s="1"/>
  <c r="N192" i="54" s="1"/>
  <c r="O192" i="54" s="1"/>
  <c r="P192" i="54" s="1"/>
  <c r="Q192" i="54" s="1"/>
  <c r="R192" i="54" s="1"/>
  <c r="S192" i="54" s="1"/>
  <c r="T192" i="54" s="1"/>
  <c r="U192" i="54" s="1"/>
  <c r="V192" i="54" s="1"/>
  <c r="W192" i="54" s="1"/>
  <c r="X192" i="54" s="1"/>
  <c r="Y192" i="54" s="1"/>
  <c r="Z192" i="54" s="1"/>
  <c r="AA192" i="54" s="1"/>
  <c r="AB192" i="54" s="1"/>
  <c r="AC192" i="54" s="1"/>
  <c r="AD192" i="54" s="1"/>
  <c r="AE192" i="54" s="1"/>
  <c r="AF192" i="54" s="1"/>
  <c r="D191" i="54"/>
  <c r="E191" i="54" s="1"/>
  <c r="F191" i="54" s="1"/>
  <c r="G191" i="54" s="1"/>
  <c r="H191" i="54" s="1"/>
  <c r="I191" i="54" s="1"/>
  <c r="J191" i="54" s="1"/>
  <c r="K191" i="54" s="1"/>
  <c r="L191" i="54" s="1"/>
  <c r="M191" i="54" s="1"/>
  <c r="N191" i="54" s="1"/>
  <c r="O191" i="54" s="1"/>
  <c r="P191" i="54" s="1"/>
  <c r="Q191" i="54" s="1"/>
  <c r="R191" i="54" s="1"/>
  <c r="S191" i="54" s="1"/>
  <c r="T191" i="54" s="1"/>
  <c r="U191" i="54" s="1"/>
  <c r="V191" i="54" s="1"/>
  <c r="W191" i="54" s="1"/>
  <c r="X191" i="54" s="1"/>
  <c r="Y191" i="54" s="1"/>
  <c r="Z191" i="54" s="1"/>
  <c r="AA191" i="54" s="1"/>
  <c r="AB191" i="54" s="1"/>
  <c r="AC191" i="54" s="1"/>
  <c r="AD191" i="54" s="1"/>
  <c r="AE191" i="54" s="1"/>
  <c r="AF191" i="54" s="1"/>
  <c r="D190" i="54"/>
  <c r="E190" i="54" s="1"/>
  <c r="F190" i="54" s="1"/>
  <c r="G190" i="54" s="1"/>
  <c r="H190" i="54" s="1"/>
  <c r="I190" i="54" s="1"/>
  <c r="J190" i="54" s="1"/>
  <c r="K190" i="54" s="1"/>
  <c r="L190" i="54" s="1"/>
  <c r="M190" i="54" s="1"/>
  <c r="N190" i="54" s="1"/>
  <c r="O190" i="54" s="1"/>
  <c r="P190" i="54" s="1"/>
  <c r="Q190" i="54" s="1"/>
  <c r="R190" i="54" s="1"/>
  <c r="S190" i="54" s="1"/>
  <c r="T190" i="54" s="1"/>
  <c r="U190" i="54" s="1"/>
  <c r="V190" i="54" s="1"/>
  <c r="W190" i="54" s="1"/>
  <c r="X190" i="54" s="1"/>
  <c r="Y190" i="54" s="1"/>
  <c r="Z190" i="54" s="1"/>
  <c r="AA190" i="54" s="1"/>
  <c r="AB190" i="54" s="1"/>
  <c r="AC190" i="54" s="1"/>
  <c r="AD190" i="54" s="1"/>
  <c r="AE190" i="54" s="1"/>
  <c r="AF190" i="54" s="1"/>
  <c r="D187" i="54"/>
  <c r="E187" i="54" s="1"/>
  <c r="F187" i="54" s="1"/>
  <c r="G187" i="54" s="1"/>
  <c r="H187" i="54" s="1"/>
  <c r="I187" i="54" s="1"/>
  <c r="J187" i="54" s="1"/>
  <c r="K187" i="54" s="1"/>
  <c r="L187" i="54" s="1"/>
  <c r="M187" i="54" s="1"/>
  <c r="N187" i="54" s="1"/>
  <c r="O187" i="54" s="1"/>
  <c r="P187" i="54" s="1"/>
  <c r="Q187" i="54" s="1"/>
  <c r="R187" i="54" s="1"/>
  <c r="S187" i="54" s="1"/>
  <c r="T187" i="54" s="1"/>
  <c r="U187" i="54" s="1"/>
  <c r="V187" i="54" s="1"/>
  <c r="W187" i="54" s="1"/>
  <c r="X187" i="54" s="1"/>
  <c r="Y187" i="54" s="1"/>
  <c r="Z187" i="54" s="1"/>
  <c r="AA187" i="54" s="1"/>
  <c r="AB187" i="54" s="1"/>
  <c r="AC187" i="54" s="1"/>
  <c r="AD187" i="54" s="1"/>
  <c r="AE187" i="54" s="1"/>
  <c r="AF187" i="54" s="1"/>
  <c r="E186" i="54"/>
  <c r="F186" i="54" s="1"/>
  <c r="G186" i="54" s="1"/>
  <c r="H186" i="54" s="1"/>
  <c r="I186" i="54" s="1"/>
  <c r="J186" i="54" s="1"/>
  <c r="K186" i="54" s="1"/>
  <c r="L186" i="54" s="1"/>
  <c r="M186" i="54" s="1"/>
  <c r="N186" i="54" s="1"/>
  <c r="O186" i="54" s="1"/>
  <c r="P186" i="54" s="1"/>
  <c r="Q186" i="54" s="1"/>
  <c r="R186" i="54" s="1"/>
  <c r="S186" i="54" s="1"/>
  <c r="T186" i="54" s="1"/>
  <c r="U186" i="54" s="1"/>
  <c r="V186" i="54" s="1"/>
  <c r="W186" i="54" s="1"/>
  <c r="X186" i="54" s="1"/>
  <c r="Y186" i="54" s="1"/>
  <c r="Z186" i="54" s="1"/>
  <c r="AA186" i="54" s="1"/>
  <c r="AB186" i="54" s="1"/>
  <c r="AC186" i="54" s="1"/>
  <c r="AD186" i="54" s="1"/>
  <c r="AE186" i="54" s="1"/>
  <c r="AF186" i="54" s="1"/>
  <c r="D186" i="54"/>
  <c r="D185" i="54"/>
  <c r="E185" i="54" s="1"/>
  <c r="F185" i="54" s="1"/>
  <c r="G185" i="54" s="1"/>
  <c r="H185" i="54" s="1"/>
  <c r="I185" i="54" s="1"/>
  <c r="J185" i="54" s="1"/>
  <c r="K185" i="54" s="1"/>
  <c r="L185" i="54" s="1"/>
  <c r="M185" i="54" s="1"/>
  <c r="N185" i="54" s="1"/>
  <c r="O185" i="54" s="1"/>
  <c r="P185" i="54" s="1"/>
  <c r="Q185" i="54" s="1"/>
  <c r="R185" i="54" s="1"/>
  <c r="S185" i="54" s="1"/>
  <c r="T185" i="54" s="1"/>
  <c r="U185" i="54" s="1"/>
  <c r="V185" i="54" s="1"/>
  <c r="W185" i="54" s="1"/>
  <c r="X185" i="54" s="1"/>
  <c r="Y185" i="54" s="1"/>
  <c r="Z185" i="54" s="1"/>
  <c r="AA185" i="54" s="1"/>
  <c r="AB185" i="54" s="1"/>
  <c r="AC185" i="54" s="1"/>
  <c r="AD185" i="54" s="1"/>
  <c r="AE185" i="54" s="1"/>
  <c r="AF185" i="54" s="1"/>
  <c r="D184" i="54"/>
  <c r="E184" i="54" s="1"/>
  <c r="F184" i="54" s="1"/>
  <c r="G184" i="54" s="1"/>
  <c r="H184" i="54" s="1"/>
  <c r="I184" i="54" s="1"/>
  <c r="J184" i="54" s="1"/>
  <c r="K184" i="54" s="1"/>
  <c r="L184" i="54" s="1"/>
  <c r="M184" i="54" s="1"/>
  <c r="N184" i="54" s="1"/>
  <c r="O184" i="54" s="1"/>
  <c r="P184" i="54" s="1"/>
  <c r="Q184" i="54" s="1"/>
  <c r="R184" i="54" s="1"/>
  <c r="S184" i="54" s="1"/>
  <c r="T184" i="54" s="1"/>
  <c r="U184" i="54" s="1"/>
  <c r="V184" i="54" s="1"/>
  <c r="W184" i="54" s="1"/>
  <c r="X184" i="54" s="1"/>
  <c r="Y184" i="54" s="1"/>
  <c r="Z184" i="54" s="1"/>
  <c r="AA184" i="54" s="1"/>
  <c r="AB184" i="54" s="1"/>
  <c r="AC184" i="54" s="1"/>
  <c r="AD184" i="54" s="1"/>
  <c r="AE184" i="54" s="1"/>
  <c r="AF184" i="54" s="1"/>
  <c r="D183" i="54"/>
  <c r="E183" i="54" s="1"/>
  <c r="F183" i="54" s="1"/>
  <c r="G183" i="54" s="1"/>
  <c r="H183" i="54" s="1"/>
  <c r="I183" i="54" s="1"/>
  <c r="J183" i="54" s="1"/>
  <c r="K183" i="54" s="1"/>
  <c r="L183" i="54" s="1"/>
  <c r="M183" i="54" s="1"/>
  <c r="N183" i="54" s="1"/>
  <c r="O183" i="54" s="1"/>
  <c r="P183" i="54" s="1"/>
  <c r="Q183" i="54" s="1"/>
  <c r="R183" i="54" s="1"/>
  <c r="S183" i="54" s="1"/>
  <c r="T183" i="54" s="1"/>
  <c r="U183" i="54" s="1"/>
  <c r="V183" i="54" s="1"/>
  <c r="W183" i="54" s="1"/>
  <c r="X183" i="54" s="1"/>
  <c r="Y183" i="54" s="1"/>
  <c r="Z183" i="54" s="1"/>
  <c r="AA183" i="54" s="1"/>
  <c r="AB183" i="54" s="1"/>
  <c r="AC183" i="54" s="1"/>
  <c r="AD183" i="54" s="1"/>
  <c r="AE183" i="54" s="1"/>
  <c r="AF183" i="54" s="1"/>
  <c r="D182" i="54"/>
  <c r="E182" i="54" s="1"/>
  <c r="F182" i="54" s="1"/>
  <c r="G182" i="54" s="1"/>
  <c r="H182" i="54" s="1"/>
  <c r="I182" i="54" s="1"/>
  <c r="J182" i="54" s="1"/>
  <c r="K182" i="54" s="1"/>
  <c r="L182" i="54" s="1"/>
  <c r="M182" i="54" s="1"/>
  <c r="N182" i="54" s="1"/>
  <c r="O182" i="54" s="1"/>
  <c r="P182" i="54" s="1"/>
  <c r="Q182" i="54" s="1"/>
  <c r="R182" i="54" s="1"/>
  <c r="S182" i="54" s="1"/>
  <c r="T182" i="54" s="1"/>
  <c r="U182" i="54" s="1"/>
  <c r="V182" i="54" s="1"/>
  <c r="W182" i="54" s="1"/>
  <c r="X182" i="54" s="1"/>
  <c r="Y182" i="54" s="1"/>
  <c r="Z182" i="54" s="1"/>
  <c r="AA182" i="54" s="1"/>
  <c r="AB182" i="54" s="1"/>
  <c r="AC182" i="54" s="1"/>
  <c r="AD182" i="54" s="1"/>
  <c r="AE182" i="54" s="1"/>
  <c r="AF182" i="54" s="1"/>
  <c r="D181" i="54"/>
  <c r="E181" i="54" s="1"/>
  <c r="F181" i="54" s="1"/>
  <c r="G181" i="54" s="1"/>
  <c r="H181" i="54" s="1"/>
  <c r="I181" i="54" s="1"/>
  <c r="J181" i="54" s="1"/>
  <c r="K181" i="54" s="1"/>
  <c r="L181" i="54" s="1"/>
  <c r="M181" i="54" s="1"/>
  <c r="N181" i="54" s="1"/>
  <c r="O181" i="54" s="1"/>
  <c r="P181" i="54" s="1"/>
  <c r="Q181" i="54" s="1"/>
  <c r="R181" i="54" s="1"/>
  <c r="S181" i="54" s="1"/>
  <c r="T181" i="54" s="1"/>
  <c r="U181" i="54" s="1"/>
  <c r="V181" i="54" s="1"/>
  <c r="W181" i="54" s="1"/>
  <c r="X181" i="54" s="1"/>
  <c r="Y181" i="54" s="1"/>
  <c r="Z181" i="54" s="1"/>
  <c r="AA181" i="54" s="1"/>
  <c r="AB181" i="54" s="1"/>
  <c r="AC181" i="54" s="1"/>
  <c r="AD181" i="54" s="1"/>
  <c r="AE181" i="54" s="1"/>
  <c r="AF181" i="54" s="1"/>
  <c r="AG180" i="54"/>
  <c r="C180" i="54"/>
  <c r="D179" i="54"/>
  <c r="E179" i="54" s="1"/>
  <c r="F179" i="54" s="1"/>
  <c r="G179" i="54" s="1"/>
  <c r="H179" i="54" s="1"/>
  <c r="I179" i="54" s="1"/>
  <c r="J179" i="54" s="1"/>
  <c r="K179" i="54" s="1"/>
  <c r="L179" i="54" s="1"/>
  <c r="M179" i="54" s="1"/>
  <c r="N179" i="54" s="1"/>
  <c r="O179" i="54" s="1"/>
  <c r="P179" i="54" s="1"/>
  <c r="Q179" i="54" s="1"/>
  <c r="R179" i="54" s="1"/>
  <c r="S179" i="54" s="1"/>
  <c r="T179" i="54" s="1"/>
  <c r="U179" i="54" s="1"/>
  <c r="V179" i="54" s="1"/>
  <c r="W179" i="54" s="1"/>
  <c r="X179" i="54" s="1"/>
  <c r="Y179" i="54" s="1"/>
  <c r="Z179" i="54" s="1"/>
  <c r="AA179" i="54" s="1"/>
  <c r="AB179" i="54" s="1"/>
  <c r="AC179" i="54" s="1"/>
  <c r="AD179" i="54" s="1"/>
  <c r="AE179" i="54" s="1"/>
  <c r="AF179" i="54" s="1"/>
  <c r="D178" i="54"/>
  <c r="E178" i="54" s="1"/>
  <c r="F178" i="54" s="1"/>
  <c r="G178" i="54" s="1"/>
  <c r="H178" i="54" s="1"/>
  <c r="I178" i="54" s="1"/>
  <c r="J178" i="54" s="1"/>
  <c r="K178" i="54" s="1"/>
  <c r="L178" i="54" s="1"/>
  <c r="M178" i="54" s="1"/>
  <c r="N178" i="54" s="1"/>
  <c r="O178" i="54" s="1"/>
  <c r="P178" i="54" s="1"/>
  <c r="Q178" i="54" s="1"/>
  <c r="R178" i="54" s="1"/>
  <c r="S178" i="54" s="1"/>
  <c r="T178" i="54" s="1"/>
  <c r="U178" i="54" s="1"/>
  <c r="V178" i="54" s="1"/>
  <c r="W178" i="54" s="1"/>
  <c r="X178" i="54" s="1"/>
  <c r="Y178" i="54" s="1"/>
  <c r="Z178" i="54" s="1"/>
  <c r="AA178" i="54" s="1"/>
  <c r="AB178" i="54" s="1"/>
  <c r="AC178" i="54" s="1"/>
  <c r="AD178" i="54" s="1"/>
  <c r="AE178" i="54" s="1"/>
  <c r="AF178" i="54" s="1"/>
  <c r="D177" i="54"/>
  <c r="E177" i="54" s="1"/>
  <c r="F177" i="54" s="1"/>
  <c r="G177" i="54" s="1"/>
  <c r="H177" i="54" s="1"/>
  <c r="I177" i="54" s="1"/>
  <c r="J177" i="54" s="1"/>
  <c r="K177" i="54" s="1"/>
  <c r="L177" i="54" s="1"/>
  <c r="M177" i="54" s="1"/>
  <c r="N177" i="54" s="1"/>
  <c r="O177" i="54" s="1"/>
  <c r="P177" i="54" s="1"/>
  <c r="Q177" i="54" s="1"/>
  <c r="R177" i="54" s="1"/>
  <c r="S177" i="54" s="1"/>
  <c r="T177" i="54" s="1"/>
  <c r="U177" i="54" s="1"/>
  <c r="V177" i="54" s="1"/>
  <c r="W177" i="54" s="1"/>
  <c r="X177" i="54" s="1"/>
  <c r="Y177" i="54" s="1"/>
  <c r="Z177" i="54" s="1"/>
  <c r="AA177" i="54" s="1"/>
  <c r="AB177" i="54" s="1"/>
  <c r="AC177" i="54" s="1"/>
  <c r="AD177" i="54" s="1"/>
  <c r="AE177" i="54" s="1"/>
  <c r="AF177" i="54" s="1"/>
  <c r="AG176" i="54"/>
  <c r="C176" i="54"/>
  <c r="D175" i="54"/>
  <c r="E175" i="54" s="1"/>
  <c r="AG174" i="54"/>
  <c r="C174" i="54"/>
  <c r="D172" i="54"/>
  <c r="E172" i="54" s="1"/>
  <c r="F172" i="54" s="1"/>
  <c r="G172" i="54" s="1"/>
  <c r="H172" i="54" s="1"/>
  <c r="I172" i="54" s="1"/>
  <c r="J172" i="54" s="1"/>
  <c r="K172" i="54" s="1"/>
  <c r="L172" i="54" s="1"/>
  <c r="M172" i="54" s="1"/>
  <c r="N172" i="54" s="1"/>
  <c r="O172" i="54" s="1"/>
  <c r="P172" i="54" s="1"/>
  <c r="Q172" i="54" s="1"/>
  <c r="R172" i="54" s="1"/>
  <c r="S172" i="54" s="1"/>
  <c r="T172" i="54" s="1"/>
  <c r="U172" i="54" s="1"/>
  <c r="V172" i="54" s="1"/>
  <c r="W172" i="54" s="1"/>
  <c r="X172" i="54" s="1"/>
  <c r="Y172" i="54" s="1"/>
  <c r="Z172" i="54" s="1"/>
  <c r="AA172" i="54" s="1"/>
  <c r="AB172" i="54" s="1"/>
  <c r="AC172" i="54" s="1"/>
  <c r="AD172" i="54" s="1"/>
  <c r="AE172" i="54" s="1"/>
  <c r="AF172" i="54" s="1"/>
  <c r="D171" i="54"/>
  <c r="E171" i="54" s="1"/>
  <c r="F171" i="54" s="1"/>
  <c r="G171" i="54" s="1"/>
  <c r="H171" i="54" s="1"/>
  <c r="I171" i="54" s="1"/>
  <c r="J171" i="54" s="1"/>
  <c r="K171" i="54" s="1"/>
  <c r="L171" i="54" s="1"/>
  <c r="M171" i="54" s="1"/>
  <c r="N171" i="54" s="1"/>
  <c r="O171" i="54" s="1"/>
  <c r="P171" i="54" s="1"/>
  <c r="Q171" i="54" s="1"/>
  <c r="R171" i="54" s="1"/>
  <c r="S171" i="54" s="1"/>
  <c r="T171" i="54" s="1"/>
  <c r="U171" i="54" s="1"/>
  <c r="V171" i="54" s="1"/>
  <c r="W171" i="54" s="1"/>
  <c r="X171" i="54" s="1"/>
  <c r="Y171" i="54" s="1"/>
  <c r="Z171" i="54" s="1"/>
  <c r="AA171" i="54" s="1"/>
  <c r="AB171" i="54" s="1"/>
  <c r="AC171" i="54" s="1"/>
  <c r="AD171" i="54" s="1"/>
  <c r="AE171" i="54" s="1"/>
  <c r="AF171" i="54" s="1"/>
  <c r="F170" i="54"/>
  <c r="G170" i="54" s="1"/>
  <c r="H170" i="54" s="1"/>
  <c r="I170" i="54" s="1"/>
  <c r="J170" i="54" s="1"/>
  <c r="K170" i="54" s="1"/>
  <c r="L170" i="54" s="1"/>
  <c r="M170" i="54" s="1"/>
  <c r="N170" i="54" s="1"/>
  <c r="O170" i="54" s="1"/>
  <c r="P170" i="54" s="1"/>
  <c r="Q170" i="54" s="1"/>
  <c r="R170" i="54" s="1"/>
  <c r="S170" i="54" s="1"/>
  <c r="T170" i="54" s="1"/>
  <c r="U170" i="54" s="1"/>
  <c r="V170" i="54" s="1"/>
  <c r="W170" i="54" s="1"/>
  <c r="X170" i="54" s="1"/>
  <c r="Y170" i="54" s="1"/>
  <c r="Z170" i="54" s="1"/>
  <c r="AA170" i="54" s="1"/>
  <c r="AB170" i="54" s="1"/>
  <c r="AC170" i="54" s="1"/>
  <c r="AD170" i="54" s="1"/>
  <c r="AE170" i="54" s="1"/>
  <c r="AF170" i="54" s="1"/>
  <c r="D170" i="54"/>
  <c r="E170" i="54" s="1"/>
  <c r="D169" i="54"/>
  <c r="E169" i="54" s="1"/>
  <c r="F169" i="54" s="1"/>
  <c r="G169" i="54" s="1"/>
  <c r="H169" i="54" s="1"/>
  <c r="I169" i="54" s="1"/>
  <c r="J169" i="54" s="1"/>
  <c r="K169" i="54" s="1"/>
  <c r="L169" i="54" s="1"/>
  <c r="M169" i="54" s="1"/>
  <c r="N169" i="54" s="1"/>
  <c r="O169" i="54" s="1"/>
  <c r="P169" i="54" s="1"/>
  <c r="Q169" i="54" s="1"/>
  <c r="R169" i="54" s="1"/>
  <c r="S169" i="54" s="1"/>
  <c r="T169" i="54" s="1"/>
  <c r="U169" i="54" s="1"/>
  <c r="V169" i="54" s="1"/>
  <c r="W169" i="54" s="1"/>
  <c r="X169" i="54" s="1"/>
  <c r="Y169" i="54" s="1"/>
  <c r="Z169" i="54" s="1"/>
  <c r="AA169" i="54" s="1"/>
  <c r="AB169" i="54" s="1"/>
  <c r="AC169" i="54" s="1"/>
  <c r="AD169" i="54" s="1"/>
  <c r="AE169" i="54" s="1"/>
  <c r="AF169" i="54" s="1"/>
  <c r="D166" i="54"/>
  <c r="E166" i="54" s="1"/>
  <c r="F166" i="54" s="1"/>
  <c r="G166" i="54" s="1"/>
  <c r="H166" i="54" s="1"/>
  <c r="I166" i="54" s="1"/>
  <c r="J166" i="54" s="1"/>
  <c r="K166" i="54" s="1"/>
  <c r="L166" i="54" s="1"/>
  <c r="M166" i="54" s="1"/>
  <c r="N166" i="54" s="1"/>
  <c r="O166" i="54" s="1"/>
  <c r="P166" i="54" s="1"/>
  <c r="Q166" i="54" s="1"/>
  <c r="R166" i="54" s="1"/>
  <c r="S166" i="54" s="1"/>
  <c r="T166" i="54" s="1"/>
  <c r="U166" i="54" s="1"/>
  <c r="V166" i="54" s="1"/>
  <c r="W166" i="54" s="1"/>
  <c r="X166" i="54" s="1"/>
  <c r="Y166" i="54" s="1"/>
  <c r="Z166" i="54" s="1"/>
  <c r="AA166" i="54" s="1"/>
  <c r="AB166" i="54" s="1"/>
  <c r="AC166" i="54" s="1"/>
  <c r="AD166" i="54" s="1"/>
  <c r="AE166" i="54" s="1"/>
  <c r="AF166" i="54" s="1"/>
  <c r="D193" i="53"/>
  <c r="E193" i="53" s="1"/>
  <c r="F193" i="53" s="1"/>
  <c r="G193" i="53" s="1"/>
  <c r="H193" i="53" s="1"/>
  <c r="I193" i="53" s="1"/>
  <c r="J193" i="53" s="1"/>
  <c r="K193" i="53" s="1"/>
  <c r="L193" i="53" s="1"/>
  <c r="M193" i="53" s="1"/>
  <c r="N193" i="53" s="1"/>
  <c r="O193" i="53" s="1"/>
  <c r="P193" i="53" s="1"/>
  <c r="Q193" i="53" s="1"/>
  <c r="R193" i="53" s="1"/>
  <c r="S193" i="53" s="1"/>
  <c r="T193" i="53" s="1"/>
  <c r="U193" i="53" s="1"/>
  <c r="V193" i="53" s="1"/>
  <c r="W193" i="53" s="1"/>
  <c r="X193" i="53" s="1"/>
  <c r="Y193" i="53" s="1"/>
  <c r="Z193" i="53" s="1"/>
  <c r="AA193" i="53" s="1"/>
  <c r="AB193" i="53" s="1"/>
  <c r="AC193" i="53" s="1"/>
  <c r="AD193" i="53" s="1"/>
  <c r="AE193" i="53" s="1"/>
  <c r="AF193" i="53" s="1"/>
  <c r="D192" i="53"/>
  <c r="E192" i="53" s="1"/>
  <c r="F192" i="53" s="1"/>
  <c r="G192" i="53" s="1"/>
  <c r="H192" i="53" s="1"/>
  <c r="I192" i="53" s="1"/>
  <c r="J192" i="53" s="1"/>
  <c r="K192" i="53" s="1"/>
  <c r="L192" i="53" s="1"/>
  <c r="M192" i="53" s="1"/>
  <c r="N192" i="53" s="1"/>
  <c r="O192" i="53" s="1"/>
  <c r="P192" i="53" s="1"/>
  <c r="Q192" i="53" s="1"/>
  <c r="R192" i="53" s="1"/>
  <c r="S192" i="53" s="1"/>
  <c r="T192" i="53" s="1"/>
  <c r="U192" i="53" s="1"/>
  <c r="V192" i="53" s="1"/>
  <c r="W192" i="53" s="1"/>
  <c r="X192" i="53" s="1"/>
  <c r="Y192" i="53" s="1"/>
  <c r="Z192" i="53" s="1"/>
  <c r="AA192" i="53" s="1"/>
  <c r="AB192" i="53" s="1"/>
  <c r="AC192" i="53" s="1"/>
  <c r="AD192" i="53" s="1"/>
  <c r="AE192" i="53" s="1"/>
  <c r="AF192" i="53" s="1"/>
  <c r="F191" i="53"/>
  <c r="G191" i="53" s="1"/>
  <c r="H191" i="53" s="1"/>
  <c r="I191" i="53" s="1"/>
  <c r="J191" i="53" s="1"/>
  <c r="K191" i="53" s="1"/>
  <c r="L191" i="53" s="1"/>
  <c r="M191" i="53" s="1"/>
  <c r="N191" i="53" s="1"/>
  <c r="O191" i="53" s="1"/>
  <c r="P191" i="53" s="1"/>
  <c r="Q191" i="53" s="1"/>
  <c r="R191" i="53" s="1"/>
  <c r="S191" i="53" s="1"/>
  <c r="T191" i="53" s="1"/>
  <c r="U191" i="53" s="1"/>
  <c r="V191" i="53" s="1"/>
  <c r="W191" i="53" s="1"/>
  <c r="X191" i="53" s="1"/>
  <c r="Y191" i="53" s="1"/>
  <c r="Z191" i="53" s="1"/>
  <c r="AA191" i="53" s="1"/>
  <c r="AB191" i="53" s="1"/>
  <c r="AC191" i="53" s="1"/>
  <c r="AD191" i="53" s="1"/>
  <c r="AE191" i="53" s="1"/>
  <c r="AF191" i="53" s="1"/>
  <c r="D191" i="53"/>
  <c r="E191" i="53" s="1"/>
  <c r="D190" i="53"/>
  <c r="E190" i="53" s="1"/>
  <c r="F190" i="53" s="1"/>
  <c r="G190" i="53" s="1"/>
  <c r="H190" i="53" s="1"/>
  <c r="I190" i="53" s="1"/>
  <c r="J190" i="53" s="1"/>
  <c r="K190" i="53" s="1"/>
  <c r="L190" i="53" s="1"/>
  <c r="M190" i="53" s="1"/>
  <c r="N190" i="53" s="1"/>
  <c r="O190" i="53" s="1"/>
  <c r="P190" i="53" s="1"/>
  <c r="Q190" i="53" s="1"/>
  <c r="R190" i="53" s="1"/>
  <c r="S190" i="53" s="1"/>
  <c r="T190" i="53" s="1"/>
  <c r="U190" i="53" s="1"/>
  <c r="V190" i="53" s="1"/>
  <c r="W190" i="53" s="1"/>
  <c r="X190" i="53" s="1"/>
  <c r="Y190" i="53" s="1"/>
  <c r="Z190" i="53" s="1"/>
  <c r="AA190" i="53" s="1"/>
  <c r="AB190" i="53" s="1"/>
  <c r="AC190" i="53" s="1"/>
  <c r="AD190" i="53" s="1"/>
  <c r="AE190" i="53" s="1"/>
  <c r="AF190" i="53" s="1"/>
  <c r="D187" i="53"/>
  <c r="E187" i="53" s="1"/>
  <c r="F187" i="53" s="1"/>
  <c r="G187" i="53" s="1"/>
  <c r="H187" i="53" s="1"/>
  <c r="I187" i="53" s="1"/>
  <c r="J187" i="53" s="1"/>
  <c r="K187" i="53" s="1"/>
  <c r="L187" i="53" s="1"/>
  <c r="M187" i="53" s="1"/>
  <c r="N187" i="53" s="1"/>
  <c r="O187" i="53" s="1"/>
  <c r="P187" i="53" s="1"/>
  <c r="Q187" i="53" s="1"/>
  <c r="R187" i="53" s="1"/>
  <c r="S187" i="53" s="1"/>
  <c r="T187" i="53" s="1"/>
  <c r="U187" i="53" s="1"/>
  <c r="V187" i="53" s="1"/>
  <c r="W187" i="53" s="1"/>
  <c r="X187" i="53" s="1"/>
  <c r="Y187" i="53" s="1"/>
  <c r="Z187" i="53" s="1"/>
  <c r="AA187" i="53" s="1"/>
  <c r="AB187" i="53" s="1"/>
  <c r="AC187" i="53" s="1"/>
  <c r="AD187" i="53" s="1"/>
  <c r="AE187" i="53" s="1"/>
  <c r="AF187" i="53" s="1"/>
  <c r="D186" i="53"/>
  <c r="E186" i="53" s="1"/>
  <c r="F186" i="53" s="1"/>
  <c r="G186" i="53" s="1"/>
  <c r="H186" i="53" s="1"/>
  <c r="I186" i="53" s="1"/>
  <c r="J186" i="53" s="1"/>
  <c r="K186" i="53" s="1"/>
  <c r="L186" i="53" s="1"/>
  <c r="M186" i="53" s="1"/>
  <c r="N186" i="53" s="1"/>
  <c r="O186" i="53" s="1"/>
  <c r="P186" i="53" s="1"/>
  <c r="Q186" i="53" s="1"/>
  <c r="R186" i="53" s="1"/>
  <c r="S186" i="53" s="1"/>
  <c r="T186" i="53" s="1"/>
  <c r="U186" i="53" s="1"/>
  <c r="V186" i="53" s="1"/>
  <c r="W186" i="53" s="1"/>
  <c r="X186" i="53" s="1"/>
  <c r="Y186" i="53" s="1"/>
  <c r="Z186" i="53" s="1"/>
  <c r="AA186" i="53" s="1"/>
  <c r="AB186" i="53" s="1"/>
  <c r="AC186" i="53" s="1"/>
  <c r="AD186" i="53" s="1"/>
  <c r="AE186" i="53" s="1"/>
  <c r="AF186" i="53" s="1"/>
  <c r="D185" i="53"/>
  <c r="E185" i="53" s="1"/>
  <c r="F185" i="53" s="1"/>
  <c r="G185" i="53" s="1"/>
  <c r="H185" i="53" s="1"/>
  <c r="I185" i="53" s="1"/>
  <c r="J185" i="53" s="1"/>
  <c r="K185" i="53" s="1"/>
  <c r="L185" i="53" s="1"/>
  <c r="M185" i="53" s="1"/>
  <c r="N185" i="53" s="1"/>
  <c r="O185" i="53" s="1"/>
  <c r="P185" i="53" s="1"/>
  <c r="Q185" i="53" s="1"/>
  <c r="R185" i="53" s="1"/>
  <c r="S185" i="53" s="1"/>
  <c r="T185" i="53" s="1"/>
  <c r="U185" i="53" s="1"/>
  <c r="V185" i="53" s="1"/>
  <c r="W185" i="53" s="1"/>
  <c r="X185" i="53" s="1"/>
  <c r="Y185" i="53" s="1"/>
  <c r="Z185" i="53" s="1"/>
  <c r="AA185" i="53" s="1"/>
  <c r="AB185" i="53" s="1"/>
  <c r="AC185" i="53" s="1"/>
  <c r="AD185" i="53" s="1"/>
  <c r="AE185" i="53" s="1"/>
  <c r="AF185" i="53" s="1"/>
  <c r="D184" i="53"/>
  <c r="E184" i="53" s="1"/>
  <c r="F184" i="53" s="1"/>
  <c r="G184" i="53" s="1"/>
  <c r="H184" i="53" s="1"/>
  <c r="I184" i="53" s="1"/>
  <c r="J184" i="53" s="1"/>
  <c r="K184" i="53" s="1"/>
  <c r="L184" i="53" s="1"/>
  <c r="M184" i="53" s="1"/>
  <c r="N184" i="53" s="1"/>
  <c r="O184" i="53" s="1"/>
  <c r="P184" i="53" s="1"/>
  <c r="Q184" i="53" s="1"/>
  <c r="R184" i="53" s="1"/>
  <c r="S184" i="53" s="1"/>
  <c r="T184" i="53" s="1"/>
  <c r="U184" i="53" s="1"/>
  <c r="V184" i="53" s="1"/>
  <c r="W184" i="53" s="1"/>
  <c r="X184" i="53" s="1"/>
  <c r="Y184" i="53" s="1"/>
  <c r="Z184" i="53" s="1"/>
  <c r="AA184" i="53" s="1"/>
  <c r="AB184" i="53" s="1"/>
  <c r="AC184" i="53" s="1"/>
  <c r="AD184" i="53" s="1"/>
  <c r="AE184" i="53" s="1"/>
  <c r="AF184" i="53" s="1"/>
  <c r="D183" i="53"/>
  <c r="E183" i="53" s="1"/>
  <c r="F183" i="53" s="1"/>
  <c r="G183" i="53" s="1"/>
  <c r="H183" i="53" s="1"/>
  <c r="I183" i="53" s="1"/>
  <c r="J183" i="53" s="1"/>
  <c r="K183" i="53" s="1"/>
  <c r="L183" i="53" s="1"/>
  <c r="M183" i="53" s="1"/>
  <c r="N183" i="53" s="1"/>
  <c r="O183" i="53" s="1"/>
  <c r="P183" i="53" s="1"/>
  <c r="Q183" i="53" s="1"/>
  <c r="R183" i="53" s="1"/>
  <c r="S183" i="53" s="1"/>
  <c r="T183" i="53" s="1"/>
  <c r="U183" i="53" s="1"/>
  <c r="V183" i="53" s="1"/>
  <c r="W183" i="53" s="1"/>
  <c r="X183" i="53" s="1"/>
  <c r="Y183" i="53" s="1"/>
  <c r="Z183" i="53" s="1"/>
  <c r="AA183" i="53" s="1"/>
  <c r="AB183" i="53" s="1"/>
  <c r="AC183" i="53" s="1"/>
  <c r="AD183" i="53" s="1"/>
  <c r="AE183" i="53" s="1"/>
  <c r="AF183" i="53" s="1"/>
  <c r="D182" i="53"/>
  <c r="E182" i="53" s="1"/>
  <c r="F182" i="53" s="1"/>
  <c r="G182" i="53" s="1"/>
  <c r="H182" i="53" s="1"/>
  <c r="I182" i="53" s="1"/>
  <c r="J182" i="53" s="1"/>
  <c r="K182" i="53" s="1"/>
  <c r="L182" i="53" s="1"/>
  <c r="M182" i="53" s="1"/>
  <c r="N182" i="53" s="1"/>
  <c r="O182" i="53" s="1"/>
  <c r="P182" i="53" s="1"/>
  <c r="Q182" i="53" s="1"/>
  <c r="R182" i="53" s="1"/>
  <c r="S182" i="53" s="1"/>
  <c r="T182" i="53" s="1"/>
  <c r="U182" i="53" s="1"/>
  <c r="V182" i="53" s="1"/>
  <c r="W182" i="53" s="1"/>
  <c r="X182" i="53" s="1"/>
  <c r="Y182" i="53" s="1"/>
  <c r="Z182" i="53" s="1"/>
  <c r="AA182" i="53" s="1"/>
  <c r="AB182" i="53" s="1"/>
  <c r="AC182" i="53" s="1"/>
  <c r="AD182" i="53" s="1"/>
  <c r="AE182" i="53" s="1"/>
  <c r="AF182" i="53" s="1"/>
  <c r="D181" i="53"/>
  <c r="E181" i="53" s="1"/>
  <c r="F181" i="53" s="1"/>
  <c r="G181" i="53" s="1"/>
  <c r="H181" i="53" s="1"/>
  <c r="I181" i="53" s="1"/>
  <c r="J181" i="53" s="1"/>
  <c r="K181" i="53" s="1"/>
  <c r="L181" i="53" s="1"/>
  <c r="M181" i="53" s="1"/>
  <c r="N181" i="53" s="1"/>
  <c r="O181" i="53" s="1"/>
  <c r="P181" i="53" s="1"/>
  <c r="Q181" i="53" s="1"/>
  <c r="R181" i="53" s="1"/>
  <c r="S181" i="53" s="1"/>
  <c r="T181" i="53" s="1"/>
  <c r="U181" i="53" s="1"/>
  <c r="V181" i="53" s="1"/>
  <c r="W181" i="53" s="1"/>
  <c r="X181" i="53" s="1"/>
  <c r="Y181" i="53" s="1"/>
  <c r="Z181" i="53" s="1"/>
  <c r="AA181" i="53" s="1"/>
  <c r="AB181" i="53" s="1"/>
  <c r="AC181" i="53" s="1"/>
  <c r="AD181" i="53" s="1"/>
  <c r="AE181" i="53" s="1"/>
  <c r="AF181" i="53" s="1"/>
  <c r="AG180" i="53"/>
  <c r="D180" i="53"/>
  <c r="E180" i="53" s="1"/>
  <c r="F180" i="53" s="1"/>
  <c r="G180" i="53" s="1"/>
  <c r="H180" i="53" s="1"/>
  <c r="I180" i="53" s="1"/>
  <c r="J180" i="53" s="1"/>
  <c r="C180" i="53"/>
  <c r="D179" i="53"/>
  <c r="E179" i="53" s="1"/>
  <c r="F179" i="53" s="1"/>
  <c r="G179" i="53" s="1"/>
  <c r="H179" i="53" s="1"/>
  <c r="I179" i="53" s="1"/>
  <c r="J179" i="53" s="1"/>
  <c r="K179" i="53" s="1"/>
  <c r="L179" i="53" s="1"/>
  <c r="M179" i="53" s="1"/>
  <c r="N179" i="53" s="1"/>
  <c r="O179" i="53" s="1"/>
  <c r="P179" i="53" s="1"/>
  <c r="Q179" i="53" s="1"/>
  <c r="R179" i="53" s="1"/>
  <c r="S179" i="53" s="1"/>
  <c r="T179" i="53" s="1"/>
  <c r="U179" i="53" s="1"/>
  <c r="V179" i="53" s="1"/>
  <c r="W179" i="53" s="1"/>
  <c r="X179" i="53" s="1"/>
  <c r="Y179" i="53" s="1"/>
  <c r="Z179" i="53" s="1"/>
  <c r="AA179" i="53" s="1"/>
  <c r="AB179" i="53" s="1"/>
  <c r="AC179" i="53" s="1"/>
  <c r="AD179" i="53" s="1"/>
  <c r="AE179" i="53" s="1"/>
  <c r="AF179" i="53" s="1"/>
  <c r="E178" i="53"/>
  <c r="F178" i="53" s="1"/>
  <c r="G178" i="53" s="1"/>
  <c r="H178" i="53" s="1"/>
  <c r="I178" i="53" s="1"/>
  <c r="J178" i="53" s="1"/>
  <c r="K178" i="53" s="1"/>
  <c r="L178" i="53" s="1"/>
  <c r="M178" i="53" s="1"/>
  <c r="N178" i="53" s="1"/>
  <c r="O178" i="53" s="1"/>
  <c r="P178" i="53" s="1"/>
  <c r="Q178" i="53" s="1"/>
  <c r="R178" i="53" s="1"/>
  <c r="S178" i="53" s="1"/>
  <c r="T178" i="53" s="1"/>
  <c r="U178" i="53" s="1"/>
  <c r="V178" i="53" s="1"/>
  <c r="W178" i="53" s="1"/>
  <c r="X178" i="53" s="1"/>
  <c r="Y178" i="53" s="1"/>
  <c r="Z178" i="53" s="1"/>
  <c r="AA178" i="53" s="1"/>
  <c r="AB178" i="53" s="1"/>
  <c r="AC178" i="53" s="1"/>
  <c r="AD178" i="53" s="1"/>
  <c r="AE178" i="53" s="1"/>
  <c r="AF178" i="53" s="1"/>
  <c r="D178" i="53"/>
  <c r="D177" i="53"/>
  <c r="E177" i="53" s="1"/>
  <c r="F177" i="53" s="1"/>
  <c r="G177" i="53" s="1"/>
  <c r="H177" i="53" s="1"/>
  <c r="I177" i="53" s="1"/>
  <c r="J177" i="53" s="1"/>
  <c r="K177" i="53" s="1"/>
  <c r="L177" i="53" s="1"/>
  <c r="M177" i="53" s="1"/>
  <c r="N177" i="53" s="1"/>
  <c r="O177" i="53" s="1"/>
  <c r="P177" i="53" s="1"/>
  <c r="Q177" i="53" s="1"/>
  <c r="R177" i="53" s="1"/>
  <c r="S177" i="53" s="1"/>
  <c r="T177" i="53" s="1"/>
  <c r="U177" i="53" s="1"/>
  <c r="V177" i="53" s="1"/>
  <c r="W177" i="53" s="1"/>
  <c r="X177" i="53" s="1"/>
  <c r="Y177" i="53" s="1"/>
  <c r="Z177" i="53" s="1"/>
  <c r="AA177" i="53" s="1"/>
  <c r="AB177" i="53" s="1"/>
  <c r="AC177" i="53" s="1"/>
  <c r="AD177" i="53" s="1"/>
  <c r="AE177" i="53" s="1"/>
  <c r="AF177" i="53" s="1"/>
  <c r="AG176" i="53"/>
  <c r="C176" i="53"/>
  <c r="D175" i="53"/>
  <c r="E175" i="53" s="1"/>
  <c r="E176" i="53" s="1"/>
  <c r="AG174" i="53"/>
  <c r="C174" i="53"/>
  <c r="D172" i="53"/>
  <c r="E172" i="53" s="1"/>
  <c r="F172" i="53" s="1"/>
  <c r="G172" i="53" s="1"/>
  <c r="H172" i="53" s="1"/>
  <c r="I172" i="53" s="1"/>
  <c r="J172" i="53" s="1"/>
  <c r="K172" i="53" s="1"/>
  <c r="L172" i="53" s="1"/>
  <c r="M172" i="53" s="1"/>
  <c r="N172" i="53" s="1"/>
  <c r="O172" i="53" s="1"/>
  <c r="P172" i="53" s="1"/>
  <c r="Q172" i="53" s="1"/>
  <c r="R172" i="53" s="1"/>
  <c r="S172" i="53" s="1"/>
  <c r="T172" i="53" s="1"/>
  <c r="U172" i="53" s="1"/>
  <c r="V172" i="53" s="1"/>
  <c r="W172" i="53" s="1"/>
  <c r="X172" i="53" s="1"/>
  <c r="Y172" i="53" s="1"/>
  <c r="Z172" i="53" s="1"/>
  <c r="AA172" i="53" s="1"/>
  <c r="AB172" i="53" s="1"/>
  <c r="AC172" i="53" s="1"/>
  <c r="AD172" i="53" s="1"/>
  <c r="AE172" i="53" s="1"/>
  <c r="AF172" i="53" s="1"/>
  <c r="E171" i="53"/>
  <c r="F171" i="53" s="1"/>
  <c r="G171" i="53" s="1"/>
  <c r="H171" i="53" s="1"/>
  <c r="I171" i="53" s="1"/>
  <c r="J171" i="53" s="1"/>
  <c r="K171" i="53" s="1"/>
  <c r="L171" i="53" s="1"/>
  <c r="M171" i="53" s="1"/>
  <c r="N171" i="53" s="1"/>
  <c r="O171" i="53" s="1"/>
  <c r="P171" i="53" s="1"/>
  <c r="Q171" i="53" s="1"/>
  <c r="R171" i="53" s="1"/>
  <c r="S171" i="53" s="1"/>
  <c r="T171" i="53" s="1"/>
  <c r="U171" i="53" s="1"/>
  <c r="V171" i="53" s="1"/>
  <c r="W171" i="53" s="1"/>
  <c r="X171" i="53" s="1"/>
  <c r="Y171" i="53" s="1"/>
  <c r="Z171" i="53" s="1"/>
  <c r="AA171" i="53" s="1"/>
  <c r="AB171" i="53" s="1"/>
  <c r="AC171" i="53" s="1"/>
  <c r="AD171" i="53" s="1"/>
  <c r="AE171" i="53" s="1"/>
  <c r="AF171" i="53" s="1"/>
  <c r="D171" i="53"/>
  <c r="D170" i="53"/>
  <c r="E170" i="53" s="1"/>
  <c r="F170" i="53" s="1"/>
  <c r="G170" i="53" s="1"/>
  <c r="H170" i="53" s="1"/>
  <c r="I170" i="53" s="1"/>
  <c r="J170" i="53" s="1"/>
  <c r="K170" i="53" s="1"/>
  <c r="L170" i="53" s="1"/>
  <c r="M170" i="53" s="1"/>
  <c r="N170" i="53" s="1"/>
  <c r="O170" i="53" s="1"/>
  <c r="P170" i="53" s="1"/>
  <c r="Q170" i="53" s="1"/>
  <c r="R170" i="53" s="1"/>
  <c r="S170" i="53" s="1"/>
  <c r="T170" i="53" s="1"/>
  <c r="U170" i="53" s="1"/>
  <c r="V170" i="53" s="1"/>
  <c r="W170" i="53" s="1"/>
  <c r="X170" i="53" s="1"/>
  <c r="Y170" i="53" s="1"/>
  <c r="Z170" i="53" s="1"/>
  <c r="AA170" i="53" s="1"/>
  <c r="AB170" i="53" s="1"/>
  <c r="AC170" i="53" s="1"/>
  <c r="AD170" i="53" s="1"/>
  <c r="AE170" i="53" s="1"/>
  <c r="AF170" i="53" s="1"/>
  <c r="D169" i="53"/>
  <c r="E169" i="53" s="1"/>
  <c r="F169" i="53" s="1"/>
  <c r="G169" i="53" s="1"/>
  <c r="H169" i="53" s="1"/>
  <c r="I169" i="53" s="1"/>
  <c r="J169" i="53" s="1"/>
  <c r="K169" i="53" s="1"/>
  <c r="L169" i="53" s="1"/>
  <c r="M169" i="53" s="1"/>
  <c r="N169" i="53" s="1"/>
  <c r="O169" i="53" s="1"/>
  <c r="P169" i="53" s="1"/>
  <c r="Q169" i="53" s="1"/>
  <c r="R169" i="53" s="1"/>
  <c r="S169" i="53" s="1"/>
  <c r="T169" i="53" s="1"/>
  <c r="U169" i="53" s="1"/>
  <c r="V169" i="53" s="1"/>
  <c r="W169" i="53" s="1"/>
  <c r="X169" i="53" s="1"/>
  <c r="Y169" i="53" s="1"/>
  <c r="Z169" i="53" s="1"/>
  <c r="AA169" i="53" s="1"/>
  <c r="AB169" i="53" s="1"/>
  <c r="AC169" i="53" s="1"/>
  <c r="AD169" i="53" s="1"/>
  <c r="AE169" i="53" s="1"/>
  <c r="AF169" i="53" s="1"/>
  <c r="D166" i="53"/>
  <c r="E166" i="53" s="1"/>
  <c r="F166" i="53" s="1"/>
  <c r="G166" i="53" s="1"/>
  <c r="H166" i="53" s="1"/>
  <c r="I166" i="53" s="1"/>
  <c r="J166" i="53" s="1"/>
  <c r="K166" i="53" s="1"/>
  <c r="L166" i="53" s="1"/>
  <c r="M166" i="53" s="1"/>
  <c r="N166" i="53" s="1"/>
  <c r="O166" i="53" s="1"/>
  <c r="P166" i="53" s="1"/>
  <c r="Q166" i="53" s="1"/>
  <c r="R166" i="53" s="1"/>
  <c r="S166" i="53" s="1"/>
  <c r="T166" i="53" s="1"/>
  <c r="U166" i="53" s="1"/>
  <c r="V166" i="53" s="1"/>
  <c r="W166" i="53" s="1"/>
  <c r="X166" i="53" s="1"/>
  <c r="Y166" i="53" s="1"/>
  <c r="Z166" i="53" s="1"/>
  <c r="AA166" i="53" s="1"/>
  <c r="AB166" i="53" s="1"/>
  <c r="AC166" i="53" s="1"/>
  <c r="AD166" i="53" s="1"/>
  <c r="AE166" i="53" s="1"/>
  <c r="AF166" i="53" s="1"/>
  <c r="D305" i="48"/>
  <c r="E305" i="48" s="1"/>
  <c r="F305" i="48" s="1"/>
  <c r="G305" i="48" s="1"/>
  <c r="H305" i="48" s="1"/>
  <c r="I305" i="48" s="1"/>
  <c r="J305" i="48" s="1"/>
  <c r="K305" i="48" s="1"/>
  <c r="L305" i="48" s="1"/>
  <c r="M305" i="48" s="1"/>
  <c r="N305" i="48" s="1"/>
  <c r="O305" i="48" s="1"/>
  <c r="P305" i="48" s="1"/>
  <c r="Q305" i="48" s="1"/>
  <c r="R305" i="48" s="1"/>
  <c r="S305" i="48" s="1"/>
  <c r="T305" i="48" s="1"/>
  <c r="U305" i="48" s="1"/>
  <c r="V305" i="48" s="1"/>
  <c r="W305" i="48" s="1"/>
  <c r="X305" i="48" s="1"/>
  <c r="Y305" i="48" s="1"/>
  <c r="Z305" i="48" s="1"/>
  <c r="AA305" i="48" s="1"/>
  <c r="AB305" i="48" s="1"/>
  <c r="AC305" i="48" s="1"/>
  <c r="AD305" i="48" s="1"/>
  <c r="AE305" i="48" s="1"/>
  <c r="AF305" i="48" s="1"/>
  <c r="D304" i="48"/>
  <c r="E304" i="48" s="1"/>
  <c r="F304" i="48" s="1"/>
  <c r="G304" i="48" s="1"/>
  <c r="H304" i="48" s="1"/>
  <c r="I304" i="48" s="1"/>
  <c r="J304" i="48" s="1"/>
  <c r="K304" i="48" s="1"/>
  <c r="L304" i="48" s="1"/>
  <c r="M304" i="48" s="1"/>
  <c r="N304" i="48" s="1"/>
  <c r="O304" i="48" s="1"/>
  <c r="P304" i="48" s="1"/>
  <c r="Q304" i="48" s="1"/>
  <c r="R304" i="48" s="1"/>
  <c r="S304" i="48" s="1"/>
  <c r="T304" i="48" s="1"/>
  <c r="U304" i="48" s="1"/>
  <c r="V304" i="48" s="1"/>
  <c r="W304" i="48" s="1"/>
  <c r="X304" i="48" s="1"/>
  <c r="Y304" i="48" s="1"/>
  <c r="Z304" i="48" s="1"/>
  <c r="AA304" i="48" s="1"/>
  <c r="AB304" i="48" s="1"/>
  <c r="AC304" i="48" s="1"/>
  <c r="AD304" i="48" s="1"/>
  <c r="AE304" i="48" s="1"/>
  <c r="AF304" i="48" s="1"/>
  <c r="D303" i="48"/>
  <c r="E303" i="48" s="1"/>
  <c r="F303" i="48" s="1"/>
  <c r="G303" i="48" s="1"/>
  <c r="H303" i="48" s="1"/>
  <c r="I303" i="48" s="1"/>
  <c r="J303" i="48" s="1"/>
  <c r="K303" i="48" s="1"/>
  <c r="L303" i="48" s="1"/>
  <c r="M303" i="48" s="1"/>
  <c r="N303" i="48" s="1"/>
  <c r="O303" i="48" s="1"/>
  <c r="P303" i="48" s="1"/>
  <c r="Q303" i="48" s="1"/>
  <c r="R303" i="48" s="1"/>
  <c r="S303" i="48" s="1"/>
  <c r="T303" i="48" s="1"/>
  <c r="U303" i="48" s="1"/>
  <c r="V303" i="48" s="1"/>
  <c r="W303" i="48" s="1"/>
  <c r="X303" i="48" s="1"/>
  <c r="Y303" i="48" s="1"/>
  <c r="Z303" i="48" s="1"/>
  <c r="AA303" i="48" s="1"/>
  <c r="AB303" i="48" s="1"/>
  <c r="AC303" i="48" s="1"/>
  <c r="AD303" i="48" s="1"/>
  <c r="AE303" i="48" s="1"/>
  <c r="AF303" i="48" s="1"/>
  <c r="D302" i="48"/>
  <c r="E302" i="48" s="1"/>
  <c r="F302" i="48" s="1"/>
  <c r="G302" i="48" s="1"/>
  <c r="H302" i="48" s="1"/>
  <c r="I302" i="48" s="1"/>
  <c r="J302" i="48" s="1"/>
  <c r="K302" i="48" s="1"/>
  <c r="L302" i="48" s="1"/>
  <c r="M302" i="48" s="1"/>
  <c r="N302" i="48" s="1"/>
  <c r="O302" i="48" s="1"/>
  <c r="P302" i="48" s="1"/>
  <c r="Q302" i="48" s="1"/>
  <c r="R302" i="48" s="1"/>
  <c r="S302" i="48" s="1"/>
  <c r="T302" i="48" s="1"/>
  <c r="U302" i="48" s="1"/>
  <c r="V302" i="48" s="1"/>
  <c r="W302" i="48" s="1"/>
  <c r="X302" i="48" s="1"/>
  <c r="Y302" i="48" s="1"/>
  <c r="Z302" i="48" s="1"/>
  <c r="AA302" i="48" s="1"/>
  <c r="AB302" i="48" s="1"/>
  <c r="AC302" i="48" s="1"/>
  <c r="AD302" i="48" s="1"/>
  <c r="AE302" i="48" s="1"/>
  <c r="AF302" i="48" s="1"/>
  <c r="D299" i="48"/>
  <c r="E299" i="48" s="1"/>
  <c r="F299" i="48" s="1"/>
  <c r="G299" i="48" s="1"/>
  <c r="H299" i="48" s="1"/>
  <c r="I299" i="48" s="1"/>
  <c r="J299" i="48" s="1"/>
  <c r="K299" i="48" s="1"/>
  <c r="L299" i="48" s="1"/>
  <c r="M299" i="48" s="1"/>
  <c r="N299" i="48" s="1"/>
  <c r="O299" i="48" s="1"/>
  <c r="P299" i="48" s="1"/>
  <c r="Q299" i="48" s="1"/>
  <c r="R299" i="48" s="1"/>
  <c r="S299" i="48" s="1"/>
  <c r="T299" i="48" s="1"/>
  <c r="U299" i="48" s="1"/>
  <c r="V299" i="48" s="1"/>
  <c r="W299" i="48" s="1"/>
  <c r="X299" i="48" s="1"/>
  <c r="Y299" i="48" s="1"/>
  <c r="Z299" i="48" s="1"/>
  <c r="AA299" i="48" s="1"/>
  <c r="AB299" i="48" s="1"/>
  <c r="AC299" i="48" s="1"/>
  <c r="AD299" i="48" s="1"/>
  <c r="AE299" i="48" s="1"/>
  <c r="AF299" i="48" s="1"/>
  <c r="D298" i="48"/>
  <c r="E298" i="48" s="1"/>
  <c r="F298" i="48" s="1"/>
  <c r="G298" i="48" s="1"/>
  <c r="H298" i="48" s="1"/>
  <c r="I298" i="48" s="1"/>
  <c r="J298" i="48" s="1"/>
  <c r="K298" i="48" s="1"/>
  <c r="L298" i="48" s="1"/>
  <c r="M298" i="48" s="1"/>
  <c r="N298" i="48" s="1"/>
  <c r="O298" i="48" s="1"/>
  <c r="P298" i="48" s="1"/>
  <c r="Q298" i="48" s="1"/>
  <c r="R298" i="48" s="1"/>
  <c r="S298" i="48" s="1"/>
  <c r="T298" i="48" s="1"/>
  <c r="U298" i="48" s="1"/>
  <c r="V298" i="48" s="1"/>
  <c r="W298" i="48" s="1"/>
  <c r="X298" i="48" s="1"/>
  <c r="Y298" i="48" s="1"/>
  <c r="Z298" i="48" s="1"/>
  <c r="AA298" i="48" s="1"/>
  <c r="AB298" i="48" s="1"/>
  <c r="AC298" i="48" s="1"/>
  <c r="AD298" i="48" s="1"/>
  <c r="AE298" i="48" s="1"/>
  <c r="AF298" i="48" s="1"/>
  <c r="D297" i="48"/>
  <c r="E297" i="48" s="1"/>
  <c r="F297" i="48" s="1"/>
  <c r="G297" i="48" s="1"/>
  <c r="H297" i="48" s="1"/>
  <c r="I297" i="48" s="1"/>
  <c r="J297" i="48" s="1"/>
  <c r="K297" i="48" s="1"/>
  <c r="L297" i="48" s="1"/>
  <c r="M297" i="48" s="1"/>
  <c r="N297" i="48" s="1"/>
  <c r="O297" i="48" s="1"/>
  <c r="P297" i="48" s="1"/>
  <c r="Q297" i="48" s="1"/>
  <c r="R297" i="48" s="1"/>
  <c r="S297" i="48" s="1"/>
  <c r="T297" i="48" s="1"/>
  <c r="U297" i="48" s="1"/>
  <c r="V297" i="48" s="1"/>
  <c r="W297" i="48" s="1"/>
  <c r="X297" i="48" s="1"/>
  <c r="Y297" i="48" s="1"/>
  <c r="Z297" i="48" s="1"/>
  <c r="AA297" i="48" s="1"/>
  <c r="AB297" i="48" s="1"/>
  <c r="AC297" i="48" s="1"/>
  <c r="AD297" i="48" s="1"/>
  <c r="AE297" i="48" s="1"/>
  <c r="AF297" i="48" s="1"/>
  <c r="D296" i="48"/>
  <c r="E296" i="48" s="1"/>
  <c r="F296" i="48" s="1"/>
  <c r="G296" i="48" s="1"/>
  <c r="H296" i="48" s="1"/>
  <c r="I296" i="48" s="1"/>
  <c r="J296" i="48" s="1"/>
  <c r="K296" i="48" s="1"/>
  <c r="L296" i="48" s="1"/>
  <c r="M296" i="48" s="1"/>
  <c r="N296" i="48" s="1"/>
  <c r="O296" i="48" s="1"/>
  <c r="P296" i="48" s="1"/>
  <c r="Q296" i="48" s="1"/>
  <c r="R296" i="48" s="1"/>
  <c r="S296" i="48" s="1"/>
  <c r="T296" i="48" s="1"/>
  <c r="U296" i="48" s="1"/>
  <c r="V296" i="48" s="1"/>
  <c r="W296" i="48" s="1"/>
  <c r="X296" i="48" s="1"/>
  <c r="Y296" i="48" s="1"/>
  <c r="Z296" i="48" s="1"/>
  <c r="AA296" i="48" s="1"/>
  <c r="AB296" i="48" s="1"/>
  <c r="AC296" i="48" s="1"/>
  <c r="AD296" i="48" s="1"/>
  <c r="AE296" i="48" s="1"/>
  <c r="AF296" i="48" s="1"/>
  <c r="D295" i="48"/>
  <c r="E295" i="48" s="1"/>
  <c r="F295" i="48" s="1"/>
  <c r="G295" i="48" s="1"/>
  <c r="H295" i="48" s="1"/>
  <c r="I295" i="48" s="1"/>
  <c r="J295" i="48" s="1"/>
  <c r="K295" i="48" s="1"/>
  <c r="L295" i="48" s="1"/>
  <c r="M295" i="48" s="1"/>
  <c r="N295" i="48" s="1"/>
  <c r="O295" i="48" s="1"/>
  <c r="P295" i="48" s="1"/>
  <c r="Q295" i="48" s="1"/>
  <c r="R295" i="48" s="1"/>
  <c r="S295" i="48" s="1"/>
  <c r="T295" i="48" s="1"/>
  <c r="U295" i="48" s="1"/>
  <c r="V295" i="48" s="1"/>
  <c r="W295" i="48" s="1"/>
  <c r="X295" i="48" s="1"/>
  <c r="Y295" i="48" s="1"/>
  <c r="Z295" i="48" s="1"/>
  <c r="AA295" i="48" s="1"/>
  <c r="AB295" i="48" s="1"/>
  <c r="AC295" i="48" s="1"/>
  <c r="AD295" i="48" s="1"/>
  <c r="AE295" i="48" s="1"/>
  <c r="AF295" i="48" s="1"/>
  <c r="D294" i="48"/>
  <c r="E294" i="48" s="1"/>
  <c r="F294" i="48" s="1"/>
  <c r="G294" i="48" s="1"/>
  <c r="H294" i="48" s="1"/>
  <c r="I294" i="48" s="1"/>
  <c r="J294" i="48" s="1"/>
  <c r="K294" i="48" s="1"/>
  <c r="L294" i="48" s="1"/>
  <c r="M294" i="48" s="1"/>
  <c r="N294" i="48" s="1"/>
  <c r="O294" i="48" s="1"/>
  <c r="P294" i="48" s="1"/>
  <c r="Q294" i="48" s="1"/>
  <c r="R294" i="48" s="1"/>
  <c r="S294" i="48" s="1"/>
  <c r="T294" i="48" s="1"/>
  <c r="U294" i="48" s="1"/>
  <c r="V294" i="48" s="1"/>
  <c r="W294" i="48" s="1"/>
  <c r="X294" i="48" s="1"/>
  <c r="Y294" i="48" s="1"/>
  <c r="Z294" i="48" s="1"/>
  <c r="AA294" i="48" s="1"/>
  <c r="AB294" i="48" s="1"/>
  <c r="AC294" i="48" s="1"/>
  <c r="AD294" i="48" s="1"/>
  <c r="AE294" i="48" s="1"/>
  <c r="AF294" i="48" s="1"/>
  <c r="D293" i="48"/>
  <c r="E293" i="48" s="1"/>
  <c r="F293" i="48" s="1"/>
  <c r="G293" i="48" s="1"/>
  <c r="H293" i="48" s="1"/>
  <c r="I293" i="48" s="1"/>
  <c r="J293" i="48" s="1"/>
  <c r="K293" i="48" s="1"/>
  <c r="L293" i="48" s="1"/>
  <c r="M293" i="48" s="1"/>
  <c r="N293" i="48" s="1"/>
  <c r="O293" i="48" s="1"/>
  <c r="P293" i="48" s="1"/>
  <c r="Q293" i="48" s="1"/>
  <c r="R293" i="48" s="1"/>
  <c r="S293" i="48" s="1"/>
  <c r="T293" i="48" s="1"/>
  <c r="U293" i="48" s="1"/>
  <c r="V293" i="48" s="1"/>
  <c r="W293" i="48" s="1"/>
  <c r="X293" i="48" s="1"/>
  <c r="Y293" i="48" s="1"/>
  <c r="Z293" i="48" s="1"/>
  <c r="AA293" i="48" s="1"/>
  <c r="AB293" i="48" s="1"/>
  <c r="AC293" i="48" s="1"/>
  <c r="AD293" i="48" s="1"/>
  <c r="AE293" i="48" s="1"/>
  <c r="AF293" i="48" s="1"/>
  <c r="AG292" i="48"/>
  <c r="C292" i="48"/>
  <c r="D292" i="48" s="1"/>
  <c r="E292" i="48" s="1"/>
  <c r="D291" i="48"/>
  <c r="E291" i="48" s="1"/>
  <c r="F291" i="48" s="1"/>
  <c r="G291" i="48" s="1"/>
  <c r="H291" i="48" s="1"/>
  <c r="I291" i="48" s="1"/>
  <c r="J291" i="48" s="1"/>
  <c r="K291" i="48" s="1"/>
  <c r="L291" i="48" s="1"/>
  <c r="M291" i="48" s="1"/>
  <c r="N291" i="48" s="1"/>
  <c r="O291" i="48" s="1"/>
  <c r="P291" i="48" s="1"/>
  <c r="Q291" i="48" s="1"/>
  <c r="R291" i="48" s="1"/>
  <c r="S291" i="48" s="1"/>
  <c r="T291" i="48" s="1"/>
  <c r="U291" i="48" s="1"/>
  <c r="V291" i="48" s="1"/>
  <c r="W291" i="48" s="1"/>
  <c r="X291" i="48" s="1"/>
  <c r="Y291" i="48" s="1"/>
  <c r="Z291" i="48" s="1"/>
  <c r="AA291" i="48" s="1"/>
  <c r="AB291" i="48" s="1"/>
  <c r="AC291" i="48" s="1"/>
  <c r="AD291" i="48" s="1"/>
  <c r="AE291" i="48" s="1"/>
  <c r="AF291" i="48" s="1"/>
  <c r="D290" i="48"/>
  <c r="E290" i="48" s="1"/>
  <c r="F290" i="48" s="1"/>
  <c r="G290" i="48" s="1"/>
  <c r="H290" i="48" s="1"/>
  <c r="I290" i="48" s="1"/>
  <c r="J290" i="48" s="1"/>
  <c r="K290" i="48" s="1"/>
  <c r="L290" i="48" s="1"/>
  <c r="M290" i="48" s="1"/>
  <c r="N290" i="48" s="1"/>
  <c r="O290" i="48" s="1"/>
  <c r="P290" i="48" s="1"/>
  <c r="Q290" i="48" s="1"/>
  <c r="R290" i="48" s="1"/>
  <c r="S290" i="48" s="1"/>
  <c r="T290" i="48" s="1"/>
  <c r="U290" i="48" s="1"/>
  <c r="V290" i="48" s="1"/>
  <c r="W290" i="48" s="1"/>
  <c r="X290" i="48" s="1"/>
  <c r="Y290" i="48" s="1"/>
  <c r="Z290" i="48" s="1"/>
  <c r="AA290" i="48" s="1"/>
  <c r="AB290" i="48" s="1"/>
  <c r="AC290" i="48" s="1"/>
  <c r="AD290" i="48" s="1"/>
  <c r="AE290" i="48" s="1"/>
  <c r="AF290" i="48" s="1"/>
  <c r="D289" i="48"/>
  <c r="E289" i="48" s="1"/>
  <c r="F289" i="48" s="1"/>
  <c r="G289" i="48" s="1"/>
  <c r="H289" i="48" s="1"/>
  <c r="I289" i="48" s="1"/>
  <c r="J289" i="48" s="1"/>
  <c r="K289" i="48" s="1"/>
  <c r="L289" i="48" s="1"/>
  <c r="M289" i="48" s="1"/>
  <c r="N289" i="48" s="1"/>
  <c r="O289" i="48" s="1"/>
  <c r="P289" i="48" s="1"/>
  <c r="Q289" i="48" s="1"/>
  <c r="R289" i="48" s="1"/>
  <c r="S289" i="48" s="1"/>
  <c r="T289" i="48" s="1"/>
  <c r="U289" i="48" s="1"/>
  <c r="V289" i="48" s="1"/>
  <c r="W289" i="48" s="1"/>
  <c r="X289" i="48" s="1"/>
  <c r="Y289" i="48" s="1"/>
  <c r="Z289" i="48" s="1"/>
  <c r="AA289" i="48" s="1"/>
  <c r="AB289" i="48" s="1"/>
  <c r="AC289" i="48" s="1"/>
  <c r="AD289" i="48" s="1"/>
  <c r="AE289" i="48" s="1"/>
  <c r="AF289" i="48" s="1"/>
  <c r="AG288" i="48"/>
  <c r="C288" i="48"/>
  <c r="D287" i="48"/>
  <c r="D288" i="48" s="1"/>
  <c r="AG286" i="48"/>
  <c r="C286" i="48"/>
  <c r="D284" i="48"/>
  <c r="E284" i="48" s="1"/>
  <c r="F284" i="48" s="1"/>
  <c r="G284" i="48" s="1"/>
  <c r="H284" i="48" s="1"/>
  <c r="I284" i="48" s="1"/>
  <c r="J284" i="48" s="1"/>
  <c r="K284" i="48" s="1"/>
  <c r="L284" i="48" s="1"/>
  <c r="M284" i="48" s="1"/>
  <c r="N284" i="48" s="1"/>
  <c r="O284" i="48" s="1"/>
  <c r="P284" i="48" s="1"/>
  <c r="Q284" i="48" s="1"/>
  <c r="R284" i="48" s="1"/>
  <c r="S284" i="48" s="1"/>
  <c r="T284" i="48" s="1"/>
  <c r="U284" i="48" s="1"/>
  <c r="V284" i="48" s="1"/>
  <c r="W284" i="48" s="1"/>
  <c r="X284" i="48" s="1"/>
  <c r="Y284" i="48" s="1"/>
  <c r="Z284" i="48" s="1"/>
  <c r="AA284" i="48" s="1"/>
  <c r="AB284" i="48" s="1"/>
  <c r="AC284" i="48" s="1"/>
  <c r="AD284" i="48" s="1"/>
  <c r="AE284" i="48" s="1"/>
  <c r="AF284" i="48" s="1"/>
  <c r="D283" i="48"/>
  <c r="E283" i="48" s="1"/>
  <c r="F283" i="48" s="1"/>
  <c r="G283" i="48" s="1"/>
  <c r="H283" i="48" s="1"/>
  <c r="I283" i="48" s="1"/>
  <c r="J283" i="48" s="1"/>
  <c r="K283" i="48" s="1"/>
  <c r="L283" i="48" s="1"/>
  <c r="M283" i="48" s="1"/>
  <c r="N283" i="48" s="1"/>
  <c r="O283" i="48" s="1"/>
  <c r="P283" i="48" s="1"/>
  <c r="Q283" i="48" s="1"/>
  <c r="R283" i="48" s="1"/>
  <c r="S283" i="48" s="1"/>
  <c r="T283" i="48" s="1"/>
  <c r="U283" i="48" s="1"/>
  <c r="V283" i="48" s="1"/>
  <c r="W283" i="48" s="1"/>
  <c r="X283" i="48" s="1"/>
  <c r="Y283" i="48" s="1"/>
  <c r="Z283" i="48" s="1"/>
  <c r="AA283" i="48" s="1"/>
  <c r="AB283" i="48" s="1"/>
  <c r="AC283" i="48" s="1"/>
  <c r="AD283" i="48" s="1"/>
  <c r="AE283" i="48" s="1"/>
  <c r="AF283" i="48" s="1"/>
  <c r="D282" i="48"/>
  <c r="E282" i="48" s="1"/>
  <c r="F282" i="48" s="1"/>
  <c r="G282" i="48" s="1"/>
  <c r="H282" i="48" s="1"/>
  <c r="I282" i="48" s="1"/>
  <c r="J282" i="48" s="1"/>
  <c r="K282" i="48" s="1"/>
  <c r="L282" i="48" s="1"/>
  <c r="M282" i="48" s="1"/>
  <c r="N282" i="48" s="1"/>
  <c r="O282" i="48" s="1"/>
  <c r="P282" i="48" s="1"/>
  <c r="Q282" i="48" s="1"/>
  <c r="R282" i="48" s="1"/>
  <c r="S282" i="48" s="1"/>
  <c r="T282" i="48" s="1"/>
  <c r="U282" i="48" s="1"/>
  <c r="V282" i="48" s="1"/>
  <c r="W282" i="48" s="1"/>
  <c r="X282" i="48" s="1"/>
  <c r="Y282" i="48" s="1"/>
  <c r="Z282" i="48" s="1"/>
  <c r="AA282" i="48" s="1"/>
  <c r="AB282" i="48" s="1"/>
  <c r="AC282" i="48" s="1"/>
  <c r="AD282" i="48" s="1"/>
  <c r="AE282" i="48" s="1"/>
  <c r="AF282" i="48" s="1"/>
  <c r="D281" i="48"/>
  <c r="E281" i="48" s="1"/>
  <c r="F281" i="48" s="1"/>
  <c r="G281" i="48" s="1"/>
  <c r="H281" i="48" s="1"/>
  <c r="I281" i="48" s="1"/>
  <c r="J281" i="48" s="1"/>
  <c r="K281" i="48" s="1"/>
  <c r="L281" i="48" s="1"/>
  <c r="M281" i="48" s="1"/>
  <c r="N281" i="48" s="1"/>
  <c r="O281" i="48" s="1"/>
  <c r="P281" i="48" s="1"/>
  <c r="Q281" i="48" s="1"/>
  <c r="R281" i="48" s="1"/>
  <c r="S281" i="48" s="1"/>
  <c r="T281" i="48" s="1"/>
  <c r="U281" i="48" s="1"/>
  <c r="V281" i="48" s="1"/>
  <c r="W281" i="48" s="1"/>
  <c r="X281" i="48" s="1"/>
  <c r="Y281" i="48" s="1"/>
  <c r="Z281" i="48" s="1"/>
  <c r="AA281" i="48" s="1"/>
  <c r="AB281" i="48" s="1"/>
  <c r="AC281" i="48" s="1"/>
  <c r="AD281" i="48" s="1"/>
  <c r="AE281" i="48" s="1"/>
  <c r="AF281" i="48" s="1"/>
  <c r="D278" i="48"/>
  <c r="E278" i="48" s="1"/>
  <c r="F278" i="48" s="1"/>
  <c r="G278" i="48" s="1"/>
  <c r="H278" i="48" s="1"/>
  <c r="I278" i="48" s="1"/>
  <c r="J278" i="48" s="1"/>
  <c r="K278" i="48" s="1"/>
  <c r="L278" i="48" s="1"/>
  <c r="M278" i="48" s="1"/>
  <c r="N278" i="48" s="1"/>
  <c r="O278" i="48" s="1"/>
  <c r="P278" i="48" s="1"/>
  <c r="Q278" i="48" s="1"/>
  <c r="R278" i="48" s="1"/>
  <c r="S278" i="48" s="1"/>
  <c r="T278" i="48" s="1"/>
  <c r="U278" i="48" s="1"/>
  <c r="V278" i="48" s="1"/>
  <c r="W278" i="48" s="1"/>
  <c r="X278" i="48" s="1"/>
  <c r="Y278" i="48" s="1"/>
  <c r="Z278" i="48" s="1"/>
  <c r="AA278" i="48" s="1"/>
  <c r="AB278" i="48" s="1"/>
  <c r="AC278" i="48" s="1"/>
  <c r="AD278" i="48" s="1"/>
  <c r="AE278" i="48" s="1"/>
  <c r="AF278" i="48" s="1"/>
  <c r="D305" i="46"/>
  <c r="E305" i="46" s="1"/>
  <c r="F305" i="46" s="1"/>
  <c r="G305" i="46" s="1"/>
  <c r="H305" i="46" s="1"/>
  <c r="I305" i="46" s="1"/>
  <c r="J305" i="46" s="1"/>
  <c r="K305" i="46" s="1"/>
  <c r="L305" i="46" s="1"/>
  <c r="M305" i="46" s="1"/>
  <c r="N305" i="46" s="1"/>
  <c r="O305" i="46" s="1"/>
  <c r="P305" i="46" s="1"/>
  <c r="Q305" i="46" s="1"/>
  <c r="R305" i="46" s="1"/>
  <c r="S305" i="46" s="1"/>
  <c r="T305" i="46" s="1"/>
  <c r="U305" i="46" s="1"/>
  <c r="V305" i="46" s="1"/>
  <c r="W305" i="46" s="1"/>
  <c r="X305" i="46" s="1"/>
  <c r="Y305" i="46" s="1"/>
  <c r="Z305" i="46" s="1"/>
  <c r="AA305" i="46" s="1"/>
  <c r="AB305" i="46" s="1"/>
  <c r="AC305" i="46" s="1"/>
  <c r="AD305" i="46" s="1"/>
  <c r="AE305" i="46" s="1"/>
  <c r="AF305" i="46" s="1"/>
  <c r="D304" i="46"/>
  <c r="E304" i="46" s="1"/>
  <c r="F304" i="46" s="1"/>
  <c r="G304" i="46" s="1"/>
  <c r="H304" i="46" s="1"/>
  <c r="I304" i="46" s="1"/>
  <c r="J304" i="46" s="1"/>
  <c r="K304" i="46" s="1"/>
  <c r="L304" i="46" s="1"/>
  <c r="M304" i="46" s="1"/>
  <c r="N304" i="46" s="1"/>
  <c r="O304" i="46" s="1"/>
  <c r="P304" i="46" s="1"/>
  <c r="Q304" i="46" s="1"/>
  <c r="R304" i="46" s="1"/>
  <c r="S304" i="46" s="1"/>
  <c r="T304" i="46" s="1"/>
  <c r="U304" i="46" s="1"/>
  <c r="V304" i="46" s="1"/>
  <c r="W304" i="46" s="1"/>
  <c r="X304" i="46" s="1"/>
  <c r="Y304" i="46" s="1"/>
  <c r="Z304" i="46" s="1"/>
  <c r="AA304" i="46" s="1"/>
  <c r="AB304" i="46" s="1"/>
  <c r="AC304" i="46" s="1"/>
  <c r="AD304" i="46" s="1"/>
  <c r="AE304" i="46" s="1"/>
  <c r="AF304" i="46" s="1"/>
  <c r="D303" i="46"/>
  <c r="E303" i="46" s="1"/>
  <c r="F303" i="46" s="1"/>
  <c r="G303" i="46" s="1"/>
  <c r="H303" i="46" s="1"/>
  <c r="I303" i="46" s="1"/>
  <c r="J303" i="46" s="1"/>
  <c r="K303" i="46" s="1"/>
  <c r="L303" i="46" s="1"/>
  <c r="M303" i="46" s="1"/>
  <c r="N303" i="46" s="1"/>
  <c r="O303" i="46" s="1"/>
  <c r="P303" i="46" s="1"/>
  <c r="Q303" i="46" s="1"/>
  <c r="R303" i="46" s="1"/>
  <c r="S303" i="46" s="1"/>
  <c r="T303" i="46" s="1"/>
  <c r="U303" i="46" s="1"/>
  <c r="V303" i="46" s="1"/>
  <c r="W303" i="46" s="1"/>
  <c r="X303" i="46" s="1"/>
  <c r="Y303" i="46" s="1"/>
  <c r="Z303" i="46" s="1"/>
  <c r="AA303" i="46" s="1"/>
  <c r="AB303" i="46" s="1"/>
  <c r="AC303" i="46" s="1"/>
  <c r="AD303" i="46" s="1"/>
  <c r="AE303" i="46" s="1"/>
  <c r="AF303" i="46" s="1"/>
  <c r="D302" i="46"/>
  <c r="E302" i="46" s="1"/>
  <c r="F302" i="46" s="1"/>
  <c r="G302" i="46" s="1"/>
  <c r="H302" i="46" s="1"/>
  <c r="I302" i="46" s="1"/>
  <c r="J302" i="46" s="1"/>
  <c r="K302" i="46" s="1"/>
  <c r="L302" i="46" s="1"/>
  <c r="M302" i="46" s="1"/>
  <c r="N302" i="46" s="1"/>
  <c r="O302" i="46" s="1"/>
  <c r="P302" i="46" s="1"/>
  <c r="Q302" i="46" s="1"/>
  <c r="R302" i="46" s="1"/>
  <c r="S302" i="46" s="1"/>
  <c r="T302" i="46" s="1"/>
  <c r="U302" i="46" s="1"/>
  <c r="V302" i="46" s="1"/>
  <c r="W302" i="46" s="1"/>
  <c r="X302" i="46" s="1"/>
  <c r="Y302" i="46" s="1"/>
  <c r="Z302" i="46" s="1"/>
  <c r="AA302" i="46" s="1"/>
  <c r="AB302" i="46" s="1"/>
  <c r="AC302" i="46" s="1"/>
  <c r="AD302" i="46" s="1"/>
  <c r="AE302" i="46" s="1"/>
  <c r="AF302" i="46" s="1"/>
  <c r="D299" i="46"/>
  <c r="E299" i="46" s="1"/>
  <c r="F299" i="46" s="1"/>
  <c r="G299" i="46" s="1"/>
  <c r="H299" i="46" s="1"/>
  <c r="I299" i="46" s="1"/>
  <c r="J299" i="46" s="1"/>
  <c r="K299" i="46" s="1"/>
  <c r="L299" i="46" s="1"/>
  <c r="M299" i="46" s="1"/>
  <c r="N299" i="46" s="1"/>
  <c r="O299" i="46" s="1"/>
  <c r="P299" i="46" s="1"/>
  <c r="Q299" i="46" s="1"/>
  <c r="R299" i="46" s="1"/>
  <c r="S299" i="46" s="1"/>
  <c r="T299" i="46" s="1"/>
  <c r="U299" i="46" s="1"/>
  <c r="V299" i="46" s="1"/>
  <c r="W299" i="46" s="1"/>
  <c r="X299" i="46" s="1"/>
  <c r="Y299" i="46" s="1"/>
  <c r="Z299" i="46" s="1"/>
  <c r="AA299" i="46" s="1"/>
  <c r="AB299" i="46" s="1"/>
  <c r="AC299" i="46" s="1"/>
  <c r="AD299" i="46" s="1"/>
  <c r="AE299" i="46" s="1"/>
  <c r="AF299" i="46" s="1"/>
  <c r="D298" i="46"/>
  <c r="E298" i="46" s="1"/>
  <c r="F298" i="46" s="1"/>
  <c r="G298" i="46" s="1"/>
  <c r="H298" i="46" s="1"/>
  <c r="I298" i="46" s="1"/>
  <c r="J298" i="46" s="1"/>
  <c r="K298" i="46" s="1"/>
  <c r="L298" i="46" s="1"/>
  <c r="M298" i="46" s="1"/>
  <c r="N298" i="46" s="1"/>
  <c r="O298" i="46" s="1"/>
  <c r="P298" i="46" s="1"/>
  <c r="Q298" i="46" s="1"/>
  <c r="R298" i="46" s="1"/>
  <c r="S298" i="46" s="1"/>
  <c r="T298" i="46" s="1"/>
  <c r="U298" i="46" s="1"/>
  <c r="V298" i="46" s="1"/>
  <c r="W298" i="46" s="1"/>
  <c r="X298" i="46" s="1"/>
  <c r="Y298" i="46" s="1"/>
  <c r="Z298" i="46" s="1"/>
  <c r="AA298" i="46" s="1"/>
  <c r="AB298" i="46" s="1"/>
  <c r="AC298" i="46" s="1"/>
  <c r="AD298" i="46" s="1"/>
  <c r="AE298" i="46" s="1"/>
  <c r="AF298" i="46" s="1"/>
  <c r="D297" i="46"/>
  <c r="E297" i="46" s="1"/>
  <c r="F297" i="46" s="1"/>
  <c r="G297" i="46" s="1"/>
  <c r="H297" i="46" s="1"/>
  <c r="I297" i="46" s="1"/>
  <c r="J297" i="46" s="1"/>
  <c r="K297" i="46" s="1"/>
  <c r="L297" i="46" s="1"/>
  <c r="M297" i="46" s="1"/>
  <c r="N297" i="46" s="1"/>
  <c r="O297" i="46" s="1"/>
  <c r="P297" i="46" s="1"/>
  <c r="Q297" i="46" s="1"/>
  <c r="R297" i="46" s="1"/>
  <c r="S297" i="46" s="1"/>
  <c r="T297" i="46" s="1"/>
  <c r="U297" i="46" s="1"/>
  <c r="V297" i="46" s="1"/>
  <c r="W297" i="46" s="1"/>
  <c r="X297" i="46" s="1"/>
  <c r="Y297" i="46" s="1"/>
  <c r="Z297" i="46" s="1"/>
  <c r="AA297" i="46" s="1"/>
  <c r="AB297" i="46" s="1"/>
  <c r="AC297" i="46" s="1"/>
  <c r="AD297" i="46" s="1"/>
  <c r="AE297" i="46" s="1"/>
  <c r="AF297" i="46" s="1"/>
  <c r="D296" i="46"/>
  <c r="E296" i="46" s="1"/>
  <c r="F296" i="46" s="1"/>
  <c r="G296" i="46" s="1"/>
  <c r="H296" i="46" s="1"/>
  <c r="I296" i="46" s="1"/>
  <c r="J296" i="46" s="1"/>
  <c r="K296" i="46" s="1"/>
  <c r="L296" i="46" s="1"/>
  <c r="M296" i="46" s="1"/>
  <c r="N296" i="46" s="1"/>
  <c r="O296" i="46" s="1"/>
  <c r="P296" i="46" s="1"/>
  <c r="Q296" i="46" s="1"/>
  <c r="R296" i="46" s="1"/>
  <c r="S296" i="46" s="1"/>
  <c r="T296" i="46" s="1"/>
  <c r="U296" i="46" s="1"/>
  <c r="V296" i="46" s="1"/>
  <c r="W296" i="46" s="1"/>
  <c r="X296" i="46" s="1"/>
  <c r="Y296" i="46" s="1"/>
  <c r="Z296" i="46" s="1"/>
  <c r="AA296" i="46" s="1"/>
  <c r="AB296" i="46" s="1"/>
  <c r="AC296" i="46" s="1"/>
  <c r="AD296" i="46" s="1"/>
  <c r="AE296" i="46" s="1"/>
  <c r="AF296" i="46" s="1"/>
  <c r="D295" i="46"/>
  <c r="E295" i="46" s="1"/>
  <c r="F295" i="46" s="1"/>
  <c r="G295" i="46" s="1"/>
  <c r="H295" i="46" s="1"/>
  <c r="I295" i="46" s="1"/>
  <c r="J295" i="46" s="1"/>
  <c r="K295" i="46" s="1"/>
  <c r="L295" i="46" s="1"/>
  <c r="M295" i="46" s="1"/>
  <c r="N295" i="46" s="1"/>
  <c r="O295" i="46" s="1"/>
  <c r="P295" i="46" s="1"/>
  <c r="Q295" i="46" s="1"/>
  <c r="R295" i="46" s="1"/>
  <c r="S295" i="46" s="1"/>
  <c r="T295" i="46" s="1"/>
  <c r="U295" i="46" s="1"/>
  <c r="V295" i="46" s="1"/>
  <c r="W295" i="46" s="1"/>
  <c r="X295" i="46" s="1"/>
  <c r="Y295" i="46" s="1"/>
  <c r="Z295" i="46" s="1"/>
  <c r="AA295" i="46" s="1"/>
  <c r="AB295" i="46" s="1"/>
  <c r="AC295" i="46" s="1"/>
  <c r="AD295" i="46" s="1"/>
  <c r="AE295" i="46" s="1"/>
  <c r="AF295" i="46" s="1"/>
  <c r="D294" i="46"/>
  <c r="E294" i="46" s="1"/>
  <c r="F294" i="46" s="1"/>
  <c r="G294" i="46" s="1"/>
  <c r="H294" i="46" s="1"/>
  <c r="I294" i="46" s="1"/>
  <c r="J294" i="46" s="1"/>
  <c r="K294" i="46" s="1"/>
  <c r="L294" i="46" s="1"/>
  <c r="M294" i="46" s="1"/>
  <c r="N294" i="46" s="1"/>
  <c r="O294" i="46" s="1"/>
  <c r="P294" i="46" s="1"/>
  <c r="Q294" i="46" s="1"/>
  <c r="R294" i="46" s="1"/>
  <c r="S294" i="46" s="1"/>
  <c r="T294" i="46" s="1"/>
  <c r="U294" i="46" s="1"/>
  <c r="V294" i="46" s="1"/>
  <c r="W294" i="46" s="1"/>
  <c r="X294" i="46" s="1"/>
  <c r="Y294" i="46" s="1"/>
  <c r="Z294" i="46" s="1"/>
  <c r="AA294" i="46" s="1"/>
  <c r="AB294" i="46" s="1"/>
  <c r="AC294" i="46" s="1"/>
  <c r="AD294" i="46" s="1"/>
  <c r="AE294" i="46" s="1"/>
  <c r="AF294" i="46" s="1"/>
  <c r="D293" i="46"/>
  <c r="E293" i="46" s="1"/>
  <c r="F293" i="46" s="1"/>
  <c r="G293" i="46" s="1"/>
  <c r="H293" i="46" s="1"/>
  <c r="I293" i="46" s="1"/>
  <c r="J293" i="46" s="1"/>
  <c r="K293" i="46" s="1"/>
  <c r="L293" i="46" s="1"/>
  <c r="M293" i="46" s="1"/>
  <c r="N293" i="46" s="1"/>
  <c r="O293" i="46" s="1"/>
  <c r="P293" i="46" s="1"/>
  <c r="Q293" i="46" s="1"/>
  <c r="R293" i="46" s="1"/>
  <c r="S293" i="46" s="1"/>
  <c r="T293" i="46" s="1"/>
  <c r="U293" i="46" s="1"/>
  <c r="V293" i="46" s="1"/>
  <c r="W293" i="46" s="1"/>
  <c r="X293" i="46" s="1"/>
  <c r="Y293" i="46" s="1"/>
  <c r="Z293" i="46" s="1"/>
  <c r="AA293" i="46" s="1"/>
  <c r="AB293" i="46" s="1"/>
  <c r="AC293" i="46" s="1"/>
  <c r="AD293" i="46" s="1"/>
  <c r="AE293" i="46" s="1"/>
  <c r="AF293" i="46" s="1"/>
  <c r="AG292" i="46"/>
  <c r="C292" i="46"/>
  <c r="D291" i="46"/>
  <c r="E291" i="46" s="1"/>
  <c r="F291" i="46" s="1"/>
  <c r="G291" i="46" s="1"/>
  <c r="H291" i="46" s="1"/>
  <c r="I291" i="46" s="1"/>
  <c r="J291" i="46" s="1"/>
  <c r="K291" i="46" s="1"/>
  <c r="L291" i="46" s="1"/>
  <c r="M291" i="46" s="1"/>
  <c r="N291" i="46" s="1"/>
  <c r="O291" i="46" s="1"/>
  <c r="P291" i="46" s="1"/>
  <c r="Q291" i="46" s="1"/>
  <c r="R291" i="46" s="1"/>
  <c r="S291" i="46" s="1"/>
  <c r="T291" i="46" s="1"/>
  <c r="U291" i="46" s="1"/>
  <c r="V291" i="46" s="1"/>
  <c r="W291" i="46" s="1"/>
  <c r="X291" i="46" s="1"/>
  <c r="Y291" i="46" s="1"/>
  <c r="Z291" i="46" s="1"/>
  <c r="AA291" i="46" s="1"/>
  <c r="AB291" i="46" s="1"/>
  <c r="AC291" i="46" s="1"/>
  <c r="AD291" i="46" s="1"/>
  <c r="AE291" i="46" s="1"/>
  <c r="AF291" i="46" s="1"/>
  <c r="D290" i="46"/>
  <c r="E290" i="46" s="1"/>
  <c r="F290" i="46" s="1"/>
  <c r="G290" i="46" s="1"/>
  <c r="H290" i="46" s="1"/>
  <c r="I290" i="46" s="1"/>
  <c r="J290" i="46" s="1"/>
  <c r="K290" i="46" s="1"/>
  <c r="L290" i="46" s="1"/>
  <c r="M290" i="46" s="1"/>
  <c r="N290" i="46" s="1"/>
  <c r="O290" i="46" s="1"/>
  <c r="P290" i="46" s="1"/>
  <c r="Q290" i="46" s="1"/>
  <c r="R290" i="46" s="1"/>
  <c r="S290" i="46" s="1"/>
  <c r="T290" i="46" s="1"/>
  <c r="U290" i="46" s="1"/>
  <c r="V290" i="46" s="1"/>
  <c r="W290" i="46" s="1"/>
  <c r="X290" i="46" s="1"/>
  <c r="Y290" i="46" s="1"/>
  <c r="Z290" i="46" s="1"/>
  <c r="AA290" i="46" s="1"/>
  <c r="AB290" i="46" s="1"/>
  <c r="AC290" i="46" s="1"/>
  <c r="AD290" i="46" s="1"/>
  <c r="AE290" i="46" s="1"/>
  <c r="AF290" i="46" s="1"/>
  <c r="D289" i="46"/>
  <c r="E289" i="46" s="1"/>
  <c r="F289" i="46" s="1"/>
  <c r="G289" i="46" s="1"/>
  <c r="H289" i="46" s="1"/>
  <c r="I289" i="46" s="1"/>
  <c r="J289" i="46" s="1"/>
  <c r="K289" i="46" s="1"/>
  <c r="L289" i="46" s="1"/>
  <c r="M289" i="46" s="1"/>
  <c r="N289" i="46" s="1"/>
  <c r="O289" i="46" s="1"/>
  <c r="P289" i="46" s="1"/>
  <c r="Q289" i="46" s="1"/>
  <c r="R289" i="46" s="1"/>
  <c r="S289" i="46" s="1"/>
  <c r="T289" i="46" s="1"/>
  <c r="U289" i="46" s="1"/>
  <c r="V289" i="46" s="1"/>
  <c r="W289" i="46" s="1"/>
  <c r="X289" i="46" s="1"/>
  <c r="Y289" i="46" s="1"/>
  <c r="Z289" i="46" s="1"/>
  <c r="AA289" i="46" s="1"/>
  <c r="AB289" i="46" s="1"/>
  <c r="AC289" i="46" s="1"/>
  <c r="AD289" i="46" s="1"/>
  <c r="AE289" i="46" s="1"/>
  <c r="AF289" i="46" s="1"/>
  <c r="AG288" i="46"/>
  <c r="C288" i="46"/>
  <c r="E287" i="46"/>
  <c r="F287" i="46" s="1"/>
  <c r="D287" i="46"/>
  <c r="D288" i="46" s="1"/>
  <c r="AG286" i="46"/>
  <c r="C286" i="46"/>
  <c r="D284" i="46"/>
  <c r="E284" i="46" s="1"/>
  <c r="F284" i="46" s="1"/>
  <c r="G284" i="46" s="1"/>
  <c r="H284" i="46" s="1"/>
  <c r="I284" i="46" s="1"/>
  <c r="J284" i="46" s="1"/>
  <c r="K284" i="46" s="1"/>
  <c r="L284" i="46" s="1"/>
  <c r="M284" i="46" s="1"/>
  <c r="N284" i="46" s="1"/>
  <c r="O284" i="46" s="1"/>
  <c r="P284" i="46" s="1"/>
  <c r="Q284" i="46" s="1"/>
  <c r="R284" i="46" s="1"/>
  <c r="S284" i="46" s="1"/>
  <c r="T284" i="46" s="1"/>
  <c r="U284" i="46" s="1"/>
  <c r="V284" i="46" s="1"/>
  <c r="W284" i="46" s="1"/>
  <c r="X284" i="46" s="1"/>
  <c r="Y284" i="46" s="1"/>
  <c r="Z284" i="46" s="1"/>
  <c r="AA284" i="46" s="1"/>
  <c r="AB284" i="46" s="1"/>
  <c r="AC284" i="46" s="1"/>
  <c r="AD284" i="46" s="1"/>
  <c r="AE284" i="46" s="1"/>
  <c r="AF284" i="46" s="1"/>
  <c r="P283" i="46"/>
  <c r="Q283" i="46" s="1"/>
  <c r="R283" i="46" s="1"/>
  <c r="S283" i="46" s="1"/>
  <c r="T283" i="46" s="1"/>
  <c r="U283" i="46" s="1"/>
  <c r="V283" i="46" s="1"/>
  <c r="W283" i="46" s="1"/>
  <c r="X283" i="46" s="1"/>
  <c r="Y283" i="46" s="1"/>
  <c r="Z283" i="46" s="1"/>
  <c r="AA283" i="46" s="1"/>
  <c r="AB283" i="46" s="1"/>
  <c r="AC283" i="46" s="1"/>
  <c r="AD283" i="46" s="1"/>
  <c r="AE283" i="46" s="1"/>
  <c r="AF283" i="46" s="1"/>
  <c r="D283" i="46"/>
  <c r="E283" i="46" s="1"/>
  <c r="F283" i="46" s="1"/>
  <c r="G283" i="46" s="1"/>
  <c r="H283" i="46" s="1"/>
  <c r="I283" i="46" s="1"/>
  <c r="J283" i="46" s="1"/>
  <c r="K283" i="46" s="1"/>
  <c r="L283" i="46" s="1"/>
  <c r="M283" i="46" s="1"/>
  <c r="N283" i="46" s="1"/>
  <c r="O283" i="46" s="1"/>
  <c r="D282" i="46"/>
  <c r="E282" i="46" s="1"/>
  <c r="F282" i="46" s="1"/>
  <c r="G282" i="46" s="1"/>
  <c r="H282" i="46" s="1"/>
  <c r="I282" i="46" s="1"/>
  <c r="J282" i="46" s="1"/>
  <c r="K282" i="46" s="1"/>
  <c r="L282" i="46" s="1"/>
  <c r="M282" i="46" s="1"/>
  <c r="N282" i="46" s="1"/>
  <c r="O282" i="46" s="1"/>
  <c r="P282" i="46" s="1"/>
  <c r="Q282" i="46" s="1"/>
  <c r="R282" i="46" s="1"/>
  <c r="S282" i="46" s="1"/>
  <c r="T282" i="46" s="1"/>
  <c r="U282" i="46" s="1"/>
  <c r="V282" i="46" s="1"/>
  <c r="W282" i="46" s="1"/>
  <c r="X282" i="46" s="1"/>
  <c r="Y282" i="46" s="1"/>
  <c r="Z282" i="46" s="1"/>
  <c r="AA282" i="46" s="1"/>
  <c r="AB282" i="46" s="1"/>
  <c r="AC282" i="46" s="1"/>
  <c r="AD282" i="46" s="1"/>
  <c r="AE282" i="46" s="1"/>
  <c r="AF282" i="46" s="1"/>
  <c r="D281" i="46"/>
  <c r="E281" i="46" s="1"/>
  <c r="F281" i="46" s="1"/>
  <c r="G281" i="46" s="1"/>
  <c r="H281" i="46" s="1"/>
  <c r="I281" i="46" s="1"/>
  <c r="J281" i="46" s="1"/>
  <c r="K281" i="46" s="1"/>
  <c r="L281" i="46" s="1"/>
  <c r="M281" i="46" s="1"/>
  <c r="N281" i="46" s="1"/>
  <c r="O281" i="46" s="1"/>
  <c r="P281" i="46" s="1"/>
  <c r="Q281" i="46" s="1"/>
  <c r="R281" i="46" s="1"/>
  <c r="S281" i="46" s="1"/>
  <c r="T281" i="46" s="1"/>
  <c r="U281" i="46" s="1"/>
  <c r="V281" i="46" s="1"/>
  <c r="W281" i="46" s="1"/>
  <c r="X281" i="46" s="1"/>
  <c r="Y281" i="46" s="1"/>
  <c r="Z281" i="46" s="1"/>
  <c r="AA281" i="46" s="1"/>
  <c r="AB281" i="46" s="1"/>
  <c r="AC281" i="46" s="1"/>
  <c r="AD281" i="46" s="1"/>
  <c r="AE281" i="46" s="1"/>
  <c r="AF281" i="46" s="1"/>
  <c r="D278" i="46"/>
  <c r="E278" i="46" s="1"/>
  <c r="F278" i="46" s="1"/>
  <c r="G278" i="46" s="1"/>
  <c r="H278" i="46" s="1"/>
  <c r="I278" i="46" s="1"/>
  <c r="J278" i="46" s="1"/>
  <c r="K278" i="46" s="1"/>
  <c r="L278" i="46" s="1"/>
  <c r="M278" i="46" s="1"/>
  <c r="N278" i="46" s="1"/>
  <c r="O278" i="46" s="1"/>
  <c r="P278" i="46" s="1"/>
  <c r="Q278" i="46" s="1"/>
  <c r="R278" i="46" s="1"/>
  <c r="S278" i="46" s="1"/>
  <c r="T278" i="46" s="1"/>
  <c r="U278" i="46" s="1"/>
  <c r="V278" i="46" s="1"/>
  <c r="W278" i="46" s="1"/>
  <c r="X278" i="46" s="1"/>
  <c r="Y278" i="46" s="1"/>
  <c r="Z278" i="46" s="1"/>
  <c r="AA278" i="46" s="1"/>
  <c r="AB278" i="46" s="1"/>
  <c r="AC278" i="46" s="1"/>
  <c r="AD278" i="46" s="1"/>
  <c r="AE278" i="46" s="1"/>
  <c r="AF278" i="46" s="1"/>
  <c r="D277" i="38"/>
  <c r="E277" i="38" s="1"/>
  <c r="F277" i="38" s="1"/>
  <c r="G277" i="38" s="1"/>
  <c r="H277" i="38" s="1"/>
  <c r="I277" i="38" s="1"/>
  <c r="J277" i="38" s="1"/>
  <c r="K277" i="38" s="1"/>
  <c r="L277" i="38" s="1"/>
  <c r="M277" i="38" s="1"/>
  <c r="N277" i="38" s="1"/>
  <c r="O277" i="38" s="1"/>
  <c r="P277" i="38" s="1"/>
  <c r="Q277" i="38" s="1"/>
  <c r="R277" i="38" s="1"/>
  <c r="S277" i="38" s="1"/>
  <c r="T277" i="38" s="1"/>
  <c r="U277" i="38" s="1"/>
  <c r="V277" i="38" s="1"/>
  <c r="W277" i="38" s="1"/>
  <c r="X277" i="38" s="1"/>
  <c r="Y277" i="38" s="1"/>
  <c r="Z277" i="38" s="1"/>
  <c r="AA277" i="38" s="1"/>
  <c r="AB277" i="38" s="1"/>
  <c r="AC277" i="38" s="1"/>
  <c r="AD277" i="38" s="1"/>
  <c r="AE277" i="38" s="1"/>
  <c r="AF277" i="38" s="1"/>
  <c r="D276" i="38"/>
  <c r="E276" i="38" s="1"/>
  <c r="F276" i="38" s="1"/>
  <c r="G276" i="38" s="1"/>
  <c r="H276" i="38" s="1"/>
  <c r="I276" i="38" s="1"/>
  <c r="J276" i="38" s="1"/>
  <c r="K276" i="38" s="1"/>
  <c r="L276" i="38" s="1"/>
  <c r="M276" i="38" s="1"/>
  <c r="N276" i="38" s="1"/>
  <c r="O276" i="38" s="1"/>
  <c r="P276" i="38" s="1"/>
  <c r="Q276" i="38" s="1"/>
  <c r="R276" i="38" s="1"/>
  <c r="S276" i="38" s="1"/>
  <c r="T276" i="38" s="1"/>
  <c r="U276" i="38" s="1"/>
  <c r="V276" i="38" s="1"/>
  <c r="W276" i="38" s="1"/>
  <c r="X276" i="38" s="1"/>
  <c r="Y276" i="38" s="1"/>
  <c r="Z276" i="38" s="1"/>
  <c r="AA276" i="38" s="1"/>
  <c r="AB276" i="38" s="1"/>
  <c r="AC276" i="38" s="1"/>
  <c r="AD276" i="38" s="1"/>
  <c r="AE276" i="38" s="1"/>
  <c r="AF276" i="38" s="1"/>
  <c r="D275" i="38"/>
  <c r="E275" i="38" s="1"/>
  <c r="F275" i="38" s="1"/>
  <c r="G275" i="38" s="1"/>
  <c r="H275" i="38" s="1"/>
  <c r="I275" i="38" s="1"/>
  <c r="J275" i="38" s="1"/>
  <c r="K275" i="38" s="1"/>
  <c r="L275" i="38" s="1"/>
  <c r="M275" i="38" s="1"/>
  <c r="N275" i="38" s="1"/>
  <c r="O275" i="38" s="1"/>
  <c r="P275" i="38" s="1"/>
  <c r="Q275" i="38" s="1"/>
  <c r="R275" i="38" s="1"/>
  <c r="S275" i="38" s="1"/>
  <c r="T275" i="38" s="1"/>
  <c r="U275" i="38" s="1"/>
  <c r="V275" i="38" s="1"/>
  <c r="W275" i="38" s="1"/>
  <c r="X275" i="38" s="1"/>
  <c r="Y275" i="38" s="1"/>
  <c r="Z275" i="38" s="1"/>
  <c r="AA275" i="38" s="1"/>
  <c r="AB275" i="38" s="1"/>
  <c r="AC275" i="38" s="1"/>
  <c r="AD275" i="38" s="1"/>
  <c r="AE275" i="38" s="1"/>
  <c r="AF275" i="38" s="1"/>
  <c r="D274" i="38"/>
  <c r="E274" i="38" s="1"/>
  <c r="F274" i="38" s="1"/>
  <c r="G274" i="38" s="1"/>
  <c r="H274" i="38" s="1"/>
  <c r="I274" i="38" s="1"/>
  <c r="J274" i="38" s="1"/>
  <c r="K274" i="38" s="1"/>
  <c r="L274" i="38" s="1"/>
  <c r="M274" i="38" s="1"/>
  <c r="N274" i="38" s="1"/>
  <c r="O274" i="38" s="1"/>
  <c r="P274" i="38" s="1"/>
  <c r="Q274" i="38" s="1"/>
  <c r="R274" i="38" s="1"/>
  <c r="S274" i="38" s="1"/>
  <c r="T274" i="38" s="1"/>
  <c r="U274" i="38" s="1"/>
  <c r="V274" i="38" s="1"/>
  <c r="W274" i="38" s="1"/>
  <c r="X274" i="38" s="1"/>
  <c r="Y274" i="38" s="1"/>
  <c r="Z274" i="38" s="1"/>
  <c r="AA274" i="38" s="1"/>
  <c r="AB274" i="38" s="1"/>
  <c r="AC274" i="38" s="1"/>
  <c r="AD274" i="38" s="1"/>
  <c r="AE274" i="38" s="1"/>
  <c r="AF274" i="38" s="1"/>
  <c r="D271" i="38"/>
  <c r="E271" i="38" s="1"/>
  <c r="F271" i="38" s="1"/>
  <c r="G271" i="38" s="1"/>
  <c r="H271" i="38" s="1"/>
  <c r="I271" i="38" s="1"/>
  <c r="J271" i="38" s="1"/>
  <c r="K271" i="38" s="1"/>
  <c r="L271" i="38" s="1"/>
  <c r="M271" i="38" s="1"/>
  <c r="N271" i="38" s="1"/>
  <c r="O271" i="38" s="1"/>
  <c r="P271" i="38" s="1"/>
  <c r="Q271" i="38" s="1"/>
  <c r="R271" i="38" s="1"/>
  <c r="S271" i="38" s="1"/>
  <c r="T271" i="38" s="1"/>
  <c r="U271" i="38" s="1"/>
  <c r="V271" i="38" s="1"/>
  <c r="W271" i="38" s="1"/>
  <c r="X271" i="38" s="1"/>
  <c r="Y271" i="38" s="1"/>
  <c r="Z271" i="38" s="1"/>
  <c r="AA271" i="38" s="1"/>
  <c r="AB271" i="38" s="1"/>
  <c r="AC271" i="38" s="1"/>
  <c r="AD271" i="38" s="1"/>
  <c r="AE271" i="38" s="1"/>
  <c r="AF271" i="38" s="1"/>
  <c r="D270" i="38"/>
  <c r="E270" i="38" s="1"/>
  <c r="F270" i="38" s="1"/>
  <c r="G270" i="38" s="1"/>
  <c r="H270" i="38" s="1"/>
  <c r="I270" i="38" s="1"/>
  <c r="J270" i="38" s="1"/>
  <c r="K270" i="38" s="1"/>
  <c r="L270" i="38" s="1"/>
  <c r="M270" i="38" s="1"/>
  <c r="N270" i="38" s="1"/>
  <c r="O270" i="38" s="1"/>
  <c r="P270" i="38" s="1"/>
  <c r="Q270" i="38" s="1"/>
  <c r="R270" i="38" s="1"/>
  <c r="S270" i="38" s="1"/>
  <c r="T270" i="38" s="1"/>
  <c r="U270" i="38" s="1"/>
  <c r="V270" i="38" s="1"/>
  <c r="W270" i="38" s="1"/>
  <c r="X270" i="38" s="1"/>
  <c r="Y270" i="38" s="1"/>
  <c r="Z270" i="38" s="1"/>
  <c r="AA270" i="38" s="1"/>
  <c r="AB270" i="38" s="1"/>
  <c r="AC270" i="38" s="1"/>
  <c r="AD270" i="38" s="1"/>
  <c r="AE270" i="38" s="1"/>
  <c r="AF270" i="38" s="1"/>
  <c r="D269" i="38"/>
  <c r="E269" i="38" s="1"/>
  <c r="F269" i="38" s="1"/>
  <c r="G269" i="38" s="1"/>
  <c r="H269" i="38" s="1"/>
  <c r="I269" i="38" s="1"/>
  <c r="J269" i="38" s="1"/>
  <c r="K269" i="38" s="1"/>
  <c r="L269" i="38" s="1"/>
  <c r="M269" i="38" s="1"/>
  <c r="N269" i="38" s="1"/>
  <c r="O269" i="38" s="1"/>
  <c r="P269" i="38" s="1"/>
  <c r="Q269" i="38" s="1"/>
  <c r="R269" i="38" s="1"/>
  <c r="S269" i="38" s="1"/>
  <c r="T269" i="38" s="1"/>
  <c r="U269" i="38" s="1"/>
  <c r="V269" i="38" s="1"/>
  <c r="W269" i="38" s="1"/>
  <c r="X269" i="38" s="1"/>
  <c r="Y269" i="38" s="1"/>
  <c r="Z269" i="38" s="1"/>
  <c r="AA269" i="38" s="1"/>
  <c r="AB269" i="38" s="1"/>
  <c r="AC269" i="38" s="1"/>
  <c r="AD269" i="38" s="1"/>
  <c r="AE269" i="38" s="1"/>
  <c r="AF269" i="38" s="1"/>
  <c r="G268" i="38"/>
  <c r="H268" i="38" s="1"/>
  <c r="I268" i="38" s="1"/>
  <c r="J268" i="38" s="1"/>
  <c r="K268" i="38" s="1"/>
  <c r="L268" i="38" s="1"/>
  <c r="M268" i="38" s="1"/>
  <c r="N268" i="38" s="1"/>
  <c r="O268" i="38" s="1"/>
  <c r="P268" i="38" s="1"/>
  <c r="Q268" i="38" s="1"/>
  <c r="R268" i="38" s="1"/>
  <c r="S268" i="38" s="1"/>
  <c r="T268" i="38" s="1"/>
  <c r="U268" i="38" s="1"/>
  <c r="V268" i="38" s="1"/>
  <c r="W268" i="38" s="1"/>
  <c r="X268" i="38" s="1"/>
  <c r="Y268" i="38" s="1"/>
  <c r="Z268" i="38" s="1"/>
  <c r="AA268" i="38" s="1"/>
  <c r="AB268" i="38" s="1"/>
  <c r="AC268" i="38" s="1"/>
  <c r="AD268" i="38" s="1"/>
  <c r="AE268" i="38" s="1"/>
  <c r="AF268" i="38" s="1"/>
  <c r="D268" i="38"/>
  <c r="E268" i="38" s="1"/>
  <c r="F268" i="38" s="1"/>
  <c r="D267" i="38"/>
  <c r="E267" i="38" s="1"/>
  <c r="F267" i="38" s="1"/>
  <c r="G267" i="38" s="1"/>
  <c r="H267" i="38" s="1"/>
  <c r="I267" i="38" s="1"/>
  <c r="J267" i="38" s="1"/>
  <c r="K267" i="38" s="1"/>
  <c r="L267" i="38" s="1"/>
  <c r="M267" i="38" s="1"/>
  <c r="N267" i="38" s="1"/>
  <c r="O267" i="38" s="1"/>
  <c r="P267" i="38" s="1"/>
  <c r="Q267" i="38" s="1"/>
  <c r="R267" i="38" s="1"/>
  <c r="S267" i="38" s="1"/>
  <c r="T267" i="38" s="1"/>
  <c r="U267" i="38" s="1"/>
  <c r="V267" i="38" s="1"/>
  <c r="W267" i="38" s="1"/>
  <c r="X267" i="38" s="1"/>
  <c r="Y267" i="38" s="1"/>
  <c r="Z267" i="38" s="1"/>
  <c r="AA267" i="38" s="1"/>
  <c r="AB267" i="38" s="1"/>
  <c r="AC267" i="38" s="1"/>
  <c r="AD267" i="38" s="1"/>
  <c r="AE267" i="38" s="1"/>
  <c r="AF267" i="38" s="1"/>
  <c r="D266" i="38"/>
  <c r="E266" i="38" s="1"/>
  <c r="F266" i="38" s="1"/>
  <c r="G266" i="38" s="1"/>
  <c r="H266" i="38" s="1"/>
  <c r="I266" i="38" s="1"/>
  <c r="J266" i="38" s="1"/>
  <c r="K266" i="38" s="1"/>
  <c r="L266" i="38" s="1"/>
  <c r="M266" i="38" s="1"/>
  <c r="N266" i="38" s="1"/>
  <c r="O266" i="38" s="1"/>
  <c r="P266" i="38" s="1"/>
  <c r="Q266" i="38" s="1"/>
  <c r="R266" i="38" s="1"/>
  <c r="S266" i="38" s="1"/>
  <c r="T266" i="38" s="1"/>
  <c r="U266" i="38" s="1"/>
  <c r="V266" i="38" s="1"/>
  <c r="W266" i="38" s="1"/>
  <c r="X266" i="38" s="1"/>
  <c r="Y266" i="38" s="1"/>
  <c r="Z266" i="38" s="1"/>
  <c r="AA266" i="38" s="1"/>
  <c r="AB266" i="38" s="1"/>
  <c r="AC266" i="38" s="1"/>
  <c r="AD266" i="38" s="1"/>
  <c r="AE266" i="38" s="1"/>
  <c r="AF266" i="38" s="1"/>
  <c r="D265" i="38"/>
  <c r="E265" i="38" s="1"/>
  <c r="F265" i="38" s="1"/>
  <c r="G265" i="38" s="1"/>
  <c r="H265" i="38" s="1"/>
  <c r="I265" i="38" s="1"/>
  <c r="J265" i="38" s="1"/>
  <c r="K265" i="38" s="1"/>
  <c r="L265" i="38" s="1"/>
  <c r="M265" i="38" s="1"/>
  <c r="N265" i="38" s="1"/>
  <c r="O265" i="38" s="1"/>
  <c r="P265" i="38" s="1"/>
  <c r="Q265" i="38" s="1"/>
  <c r="R265" i="38" s="1"/>
  <c r="S265" i="38" s="1"/>
  <c r="T265" i="38" s="1"/>
  <c r="U265" i="38" s="1"/>
  <c r="V265" i="38" s="1"/>
  <c r="W265" i="38" s="1"/>
  <c r="X265" i="38" s="1"/>
  <c r="Y265" i="38" s="1"/>
  <c r="Z265" i="38" s="1"/>
  <c r="AA265" i="38" s="1"/>
  <c r="AB265" i="38" s="1"/>
  <c r="AC265" i="38" s="1"/>
  <c r="AD265" i="38" s="1"/>
  <c r="AE265" i="38" s="1"/>
  <c r="AF265" i="38" s="1"/>
  <c r="AG264" i="38"/>
  <c r="C264" i="38"/>
  <c r="D263" i="38"/>
  <c r="E263" i="38" s="1"/>
  <c r="F263" i="38" s="1"/>
  <c r="G263" i="38" s="1"/>
  <c r="H263" i="38" s="1"/>
  <c r="I263" i="38" s="1"/>
  <c r="J263" i="38" s="1"/>
  <c r="K263" i="38" s="1"/>
  <c r="L263" i="38" s="1"/>
  <c r="M263" i="38" s="1"/>
  <c r="N263" i="38" s="1"/>
  <c r="O263" i="38" s="1"/>
  <c r="P263" i="38" s="1"/>
  <c r="Q263" i="38" s="1"/>
  <c r="R263" i="38" s="1"/>
  <c r="S263" i="38" s="1"/>
  <c r="T263" i="38" s="1"/>
  <c r="U263" i="38" s="1"/>
  <c r="V263" i="38" s="1"/>
  <c r="W263" i="38" s="1"/>
  <c r="X263" i="38" s="1"/>
  <c r="Y263" i="38" s="1"/>
  <c r="Z263" i="38" s="1"/>
  <c r="AA263" i="38" s="1"/>
  <c r="AB263" i="38" s="1"/>
  <c r="AC263" i="38" s="1"/>
  <c r="AD263" i="38" s="1"/>
  <c r="AE263" i="38" s="1"/>
  <c r="AF263" i="38" s="1"/>
  <c r="D262" i="38"/>
  <c r="E262" i="38" s="1"/>
  <c r="F262" i="38" s="1"/>
  <c r="G262" i="38" s="1"/>
  <c r="H262" i="38" s="1"/>
  <c r="I262" i="38" s="1"/>
  <c r="J262" i="38" s="1"/>
  <c r="K262" i="38" s="1"/>
  <c r="L262" i="38" s="1"/>
  <c r="M262" i="38" s="1"/>
  <c r="N262" i="38" s="1"/>
  <c r="O262" i="38" s="1"/>
  <c r="P262" i="38" s="1"/>
  <c r="Q262" i="38" s="1"/>
  <c r="R262" i="38" s="1"/>
  <c r="S262" i="38" s="1"/>
  <c r="T262" i="38" s="1"/>
  <c r="U262" i="38" s="1"/>
  <c r="V262" i="38" s="1"/>
  <c r="W262" i="38" s="1"/>
  <c r="X262" i="38" s="1"/>
  <c r="Y262" i="38" s="1"/>
  <c r="Z262" i="38" s="1"/>
  <c r="AA262" i="38" s="1"/>
  <c r="AB262" i="38" s="1"/>
  <c r="AC262" i="38" s="1"/>
  <c r="AD262" i="38" s="1"/>
  <c r="AE262" i="38" s="1"/>
  <c r="AF262" i="38" s="1"/>
  <c r="D261" i="38"/>
  <c r="E261" i="38" s="1"/>
  <c r="F261" i="38" s="1"/>
  <c r="G261" i="38" s="1"/>
  <c r="H261" i="38" s="1"/>
  <c r="I261" i="38" s="1"/>
  <c r="J261" i="38" s="1"/>
  <c r="K261" i="38" s="1"/>
  <c r="L261" i="38" s="1"/>
  <c r="M261" i="38" s="1"/>
  <c r="N261" i="38" s="1"/>
  <c r="O261" i="38" s="1"/>
  <c r="P261" i="38" s="1"/>
  <c r="Q261" i="38" s="1"/>
  <c r="R261" i="38" s="1"/>
  <c r="S261" i="38" s="1"/>
  <c r="T261" i="38" s="1"/>
  <c r="U261" i="38" s="1"/>
  <c r="V261" i="38" s="1"/>
  <c r="W261" i="38" s="1"/>
  <c r="X261" i="38" s="1"/>
  <c r="Y261" i="38" s="1"/>
  <c r="Z261" i="38" s="1"/>
  <c r="AA261" i="38" s="1"/>
  <c r="AB261" i="38" s="1"/>
  <c r="AC261" i="38" s="1"/>
  <c r="AD261" i="38" s="1"/>
  <c r="AE261" i="38" s="1"/>
  <c r="AF261" i="38" s="1"/>
  <c r="AG260" i="38"/>
  <c r="C260" i="38"/>
  <c r="D259" i="38"/>
  <c r="D260" i="38" s="1"/>
  <c r="AG258" i="38"/>
  <c r="C258" i="38"/>
  <c r="D256" i="38"/>
  <c r="E256" i="38" s="1"/>
  <c r="F256" i="38" s="1"/>
  <c r="G256" i="38" s="1"/>
  <c r="H256" i="38" s="1"/>
  <c r="I256" i="38" s="1"/>
  <c r="J256" i="38" s="1"/>
  <c r="K256" i="38" s="1"/>
  <c r="L256" i="38" s="1"/>
  <c r="M256" i="38" s="1"/>
  <c r="N256" i="38" s="1"/>
  <c r="O256" i="38" s="1"/>
  <c r="P256" i="38" s="1"/>
  <c r="Q256" i="38" s="1"/>
  <c r="R256" i="38" s="1"/>
  <c r="S256" i="38" s="1"/>
  <c r="T256" i="38" s="1"/>
  <c r="U256" i="38" s="1"/>
  <c r="V256" i="38" s="1"/>
  <c r="W256" i="38" s="1"/>
  <c r="X256" i="38" s="1"/>
  <c r="Y256" i="38" s="1"/>
  <c r="Z256" i="38" s="1"/>
  <c r="AA256" i="38" s="1"/>
  <c r="AB256" i="38" s="1"/>
  <c r="AC256" i="38" s="1"/>
  <c r="AD256" i="38" s="1"/>
  <c r="AE256" i="38" s="1"/>
  <c r="AF256" i="38" s="1"/>
  <c r="D255" i="38"/>
  <c r="E255" i="38" s="1"/>
  <c r="F255" i="38" s="1"/>
  <c r="G255" i="38" s="1"/>
  <c r="H255" i="38" s="1"/>
  <c r="I255" i="38" s="1"/>
  <c r="J255" i="38" s="1"/>
  <c r="K255" i="38" s="1"/>
  <c r="L255" i="38" s="1"/>
  <c r="M255" i="38" s="1"/>
  <c r="N255" i="38" s="1"/>
  <c r="O255" i="38" s="1"/>
  <c r="P255" i="38" s="1"/>
  <c r="Q255" i="38" s="1"/>
  <c r="R255" i="38" s="1"/>
  <c r="S255" i="38" s="1"/>
  <c r="T255" i="38" s="1"/>
  <c r="U255" i="38" s="1"/>
  <c r="V255" i="38" s="1"/>
  <c r="W255" i="38" s="1"/>
  <c r="X255" i="38" s="1"/>
  <c r="Y255" i="38" s="1"/>
  <c r="Z255" i="38" s="1"/>
  <c r="AA255" i="38" s="1"/>
  <c r="AB255" i="38" s="1"/>
  <c r="AC255" i="38" s="1"/>
  <c r="AD255" i="38" s="1"/>
  <c r="AE255" i="38" s="1"/>
  <c r="AF255" i="38" s="1"/>
  <c r="D254" i="38"/>
  <c r="E254" i="38" s="1"/>
  <c r="F254" i="38" s="1"/>
  <c r="G254" i="38" s="1"/>
  <c r="H254" i="38" s="1"/>
  <c r="I254" i="38" s="1"/>
  <c r="J254" i="38" s="1"/>
  <c r="K254" i="38" s="1"/>
  <c r="L254" i="38" s="1"/>
  <c r="M254" i="38" s="1"/>
  <c r="N254" i="38" s="1"/>
  <c r="O254" i="38" s="1"/>
  <c r="P254" i="38" s="1"/>
  <c r="Q254" i="38" s="1"/>
  <c r="R254" i="38" s="1"/>
  <c r="S254" i="38" s="1"/>
  <c r="T254" i="38" s="1"/>
  <c r="U254" i="38" s="1"/>
  <c r="V254" i="38" s="1"/>
  <c r="W254" i="38" s="1"/>
  <c r="X254" i="38" s="1"/>
  <c r="Y254" i="38" s="1"/>
  <c r="Z254" i="38" s="1"/>
  <c r="AA254" i="38" s="1"/>
  <c r="AB254" i="38" s="1"/>
  <c r="AC254" i="38" s="1"/>
  <c r="AD254" i="38" s="1"/>
  <c r="AE254" i="38" s="1"/>
  <c r="AF254" i="38" s="1"/>
  <c r="D253" i="38"/>
  <c r="E253" i="38" s="1"/>
  <c r="F253" i="38" s="1"/>
  <c r="G253" i="38" s="1"/>
  <c r="H253" i="38" s="1"/>
  <c r="I253" i="38" s="1"/>
  <c r="J253" i="38" s="1"/>
  <c r="K253" i="38" s="1"/>
  <c r="L253" i="38" s="1"/>
  <c r="M253" i="38" s="1"/>
  <c r="N253" i="38" s="1"/>
  <c r="O253" i="38" s="1"/>
  <c r="P253" i="38" s="1"/>
  <c r="Q253" i="38" s="1"/>
  <c r="R253" i="38" s="1"/>
  <c r="S253" i="38" s="1"/>
  <c r="T253" i="38" s="1"/>
  <c r="U253" i="38" s="1"/>
  <c r="V253" i="38" s="1"/>
  <c r="W253" i="38" s="1"/>
  <c r="X253" i="38" s="1"/>
  <c r="Y253" i="38" s="1"/>
  <c r="Z253" i="38" s="1"/>
  <c r="AA253" i="38" s="1"/>
  <c r="AB253" i="38" s="1"/>
  <c r="AC253" i="38" s="1"/>
  <c r="AD253" i="38" s="1"/>
  <c r="AE253" i="38" s="1"/>
  <c r="AF253" i="38" s="1"/>
  <c r="D250" i="38"/>
  <c r="E250" i="38" s="1"/>
  <c r="F250" i="38" s="1"/>
  <c r="G250" i="38" s="1"/>
  <c r="H250" i="38" s="1"/>
  <c r="I250" i="38" s="1"/>
  <c r="J250" i="38" s="1"/>
  <c r="K250" i="38" s="1"/>
  <c r="L250" i="38" s="1"/>
  <c r="M250" i="38" s="1"/>
  <c r="N250" i="38" s="1"/>
  <c r="O250" i="38" s="1"/>
  <c r="P250" i="38" s="1"/>
  <c r="Q250" i="38" s="1"/>
  <c r="R250" i="38" s="1"/>
  <c r="S250" i="38" s="1"/>
  <c r="T250" i="38" s="1"/>
  <c r="U250" i="38" s="1"/>
  <c r="V250" i="38" s="1"/>
  <c r="W250" i="38" s="1"/>
  <c r="X250" i="38" s="1"/>
  <c r="Y250" i="38" s="1"/>
  <c r="Z250" i="38" s="1"/>
  <c r="AA250" i="38" s="1"/>
  <c r="AB250" i="38" s="1"/>
  <c r="AC250" i="38" s="1"/>
  <c r="AD250" i="38" s="1"/>
  <c r="AE250" i="38" s="1"/>
  <c r="AF250" i="38" s="1"/>
  <c r="D277" i="42"/>
  <c r="E277" i="42" s="1"/>
  <c r="F277" i="42" s="1"/>
  <c r="G277" i="42" s="1"/>
  <c r="H277" i="42" s="1"/>
  <c r="I277" i="42" s="1"/>
  <c r="J277" i="42" s="1"/>
  <c r="K277" i="42" s="1"/>
  <c r="L277" i="42" s="1"/>
  <c r="M277" i="42" s="1"/>
  <c r="N277" i="42" s="1"/>
  <c r="O277" i="42" s="1"/>
  <c r="P277" i="42" s="1"/>
  <c r="Q277" i="42" s="1"/>
  <c r="R277" i="42" s="1"/>
  <c r="S277" i="42" s="1"/>
  <c r="T277" i="42" s="1"/>
  <c r="U277" i="42" s="1"/>
  <c r="V277" i="42" s="1"/>
  <c r="W277" i="42" s="1"/>
  <c r="X277" i="42" s="1"/>
  <c r="Y277" i="42" s="1"/>
  <c r="Z277" i="42" s="1"/>
  <c r="AA277" i="42" s="1"/>
  <c r="AB277" i="42" s="1"/>
  <c r="AC277" i="42" s="1"/>
  <c r="AD277" i="42" s="1"/>
  <c r="AE277" i="42" s="1"/>
  <c r="AF277" i="42" s="1"/>
  <c r="D276" i="42"/>
  <c r="E276" i="42" s="1"/>
  <c r="F276" i="42" s="1"/>
  <c r="G276" i="42" s="1"/>
  <c r="H276" i="42" s="1"/>
  <c r="I276" i="42" s="1"/>
  <c r="J276" i="42" s="1"/>
  <c r="K276" i="42" s="1"/>
  <c r="L276" i="42" s="1"/>
  <c r="M276" i="42" s="1"/>
  <c r="N276" i="42" s="1"/>
  <c r="O276" i="42" s="1"/>
  <c r="P276" i="42" s="1"/>
  <c r="Q276" i="42" s="1"/>
  <c r="R276" i="42" s="1"/>
  <c r="S276" i="42" s="1"/>
  <c r="T276" i="42" s="1"/>
  <c r="U276" i="42" s="1"/>
  <c r="V276" i="42" s="1"/>
  <c r="W276" i="42" s="1"/>
  <c r="X276" i="42" s="1"/>
  <c r="Y276" i="42" s="1"/>
  <c r="Z276" i="42" s="1"/>
  <c r="AA276" i="42" s="1"/>
  <c r="AB276" i="42" s="1"/>
  <c r="AC276" i="42" s="1"/>
  <c r="AD276" i="42" s="1"/>
  <c r="AE276" i="42" s="1"/>
  <c r="AF276" i="42" s="1"/>
  <c r="D275" i="42"/>
  <c r="E275" i="42" s="1"/>
  <c r="F275" i="42" s="1"/>
  <c r="G275" i="42" s="1"/>
  <c r="H275" i="42" s="1"/>
  <c r="I275" i="42" s="1"/>
  <c r="J275" i="42" s="1"/>
  <c r="K275" i="42" s="1"/>
  <c r="L275" i="42" s="1"/>
  <c r="M275" i="42" s="1"/>
  <c r="N275" i="42" s="1"/>
  <c r="O275" i="42" s="1"/>
  <c r="P275" i="42" s="1"/>
  <c r="Q275" i="42" s="1"/>
  <c r="R275" i="42" s="1"/>
  <c r="S275" i="42" s="1"/>
  <c r="T275" i="42" s="1"/>
  <c r="U275" i="42" s="1"/>
  <c r="V275" i="42" s="1"/>
  <c r="W275" i="42" s="1"/>
  <c r="X275" i="42" s="1"/>
  <c r="Y275" i="42" s="1"/>
  <c r="Z275" i="42" s="1"/>
  <c r="AA275" i="42" s="1"/>
  <c r="AB275" i="42" s="1"/>
  <c r="AC275" i="42" s="1"/>
  <c r="AD275" i="42" s="1"/>
  <c r="AE275" i="42" s="1"/>
  <c r="AF275" i="42" s="1"/>
  <c r="D274" i="42"/>
  <c r="E274" i="42" s="1"/>
  <c r="F274" i="42" s="1"/>
  <c r="G274" i="42" s="1"/>
  <c r="H274" i="42" s="1"/>
  <c r="I274" i="42" s="1"/>
  <c r="J274" i="42" s="1"/>
  <c r="K274" i="42" s="1"/>
  <c r="L274" i="42" s="1"/>
  <c r="M274" i="42" s="1"/>
  <c r="N274" i="42" s="1"/>
  <c r="O274" i="42" s="1"/>
  <c r="P274" i="42" s="1"/>
  <c r="Q274" i="42" s="1"/>
  <c r="R274" i="42" s="1"/>
  <c r="S274" i="42" s="1"/>
  <c r="T274" i="42" s="1"/>
  <c r="U274" i="42" s="1"/>
  <c r="V274" i="42" s="1"/>
  <c r="W274" i="42" s="1"/>
  <c r="X274" i="42" s="1"/>
  <c r="Y274" i="42" s="1"/>
  <c r="Z274" i="42" s="1"/>
  <c r="AA274" i="42" s="1"/>
  <c r="AB274" i="42" s="1"/>
  <c r="AC274" i="42" s="1"/>
  <c r="AD274" i="42" s="1"/>
  <c r="AE274" i="42" s="1"/>
  <c r="AF274" i="42" s="1"/>
  <c r="D271" i="42"/>
  <c r="E271" i="42" s="1"/>
  <c r="F271" i="42" s="1"/>
  <c r="G271" i="42" s="1"/>
  <c r="H271" i="42" s="1"/>
  <c r="I271" i="42" s="1"/>
  <c r="J271" i="42" s="1"/>
  <c r="K271" i="42" s="1"/>
  <c r="L271" i="42" s="1"/>
  <c r="M271" i="42" s="1"/>
  <c r="N271" i="42" s="1"/>
  <c r="O271" i="42" s="1"/>
  <c r="P271" i="42" s="1"/>
  <c r="Q271" i="42" s="1"/>
  <c r="R271" i="42" s="1"/>
  <c r="S271" i="42" s="1"/>
  <c r="T271" i="42" s="1"/>
  <c r="U271" i="42" s="1"/>
  <c r="V271" i="42" s="1"/>
  <c r="W271" i="42" s="1"/>
  <c r="X271" i="42" s="1"/>
  <c r="Y271" i="42" s="1"/>
  <c r="Z271" i="42" s="1"/>
  <c r="AA271" i="42" s="1"/>
  <c r="AB271" i="42" s="1"/>
  <c r="AC271" i="42" s="1"/>
  <c r="AD271" i="42" s="1"/>
  <c r="AE271" i="42" s="1"/>
  <c r="AF271" i="42" s="1"/>
  <c r="D270" i="42"/>
  <c r="E270" i="42" s="1"/>
  <c r="F270" i="42" s="1"/>
  <c r="G270" i="42" s="1"/>
  <c r="H270" i="42" s="1"/>
  <c r="I270" i="42" s="1"/>
  <c r="J270" i="42" s="1"/>
  <c r="K270" i="42" s="1"/>
  <c r="L270" i="42" s="1"/>
  <c r="M270" i="42" s="1"/>
  <c r="N270" i="42" s="1"/>
  <c r="O270" i="42" s="1"/>
  <c r="P270" i="42" s="1"/>
  <c r="Q270" i="42" s="1"/>
  <c r="R270" i="42" s="1"/>
  <c r="S270" i="42" s="1"/>
  <c r="T270" i="42" s="1"/>
  <c r="U270" i="42" s="1"/>
  <c r="V270" i="42" s="1"/>
  <c r="W270" i="42" s="1"/>
  <c r="X270" i="42" s="1"/>
  <c r="Y270" i="42" s="1"/>
  <c r="Z270" i="42" s="1"/>
  <c r="AA270" i="42" s="1"/>
  <c r="AB270" i="42" s="1"/>
  <c r="AC270" i="42" s="1"/>
  <c r="AD270" i="42" s="1"/>
  <c r="AE270" i="42" s="1"/>
  <c r="AF270" i="42" s="1"/>
  <c r="D269" i="42"/>
  <c r="E269" i="42" s="1"/>
  <c r="F269" i="42" s="1"/>
  <c r="G269" i="42" s="1"/>
  <c r="H269" i="42" s="1"/>
  <c r="I269" i="42" s="1"/>
  <c r="J269" i="42" s="1"/>
  <c r="K269" i="42" s="1"/>
  <c r="L269" i="42" s="1"/>
  <c r="M269" i="42" s="1"/>
  <c r="N269" i="42" s="1"/>
  <c r="O269" i="42" s="1"/>
  <c r="P269" i="42" s="1"/>
  <c r="Q269" i="42" s="1"/>
  <c r="R269" i="42" s="1"/>
  <c r="S269" i="42" s="1"/>
  <c r="T269" i="42" s="1"/>
  <c r="U269" i="42" s="1"/>
  <c r="V269" i="42" s="1"/>
  <c r="W269" i="42" s="1"/>
  <c r="X269" i="42" s="1"/>
  <c r="Y269" i="42" s="1"/>
  <c r="Z269" i="42" s="1"/>
  <c r="AA269" i="42" s="1"/>
  <c r="AB269" i="42" s="1"/>
  <c r="AC269" i="42" s="1"/>
  <c r="AD269" i="42" s="1"/>
  <c r="AE269" i="42" s="1"/>
  <c r="AF269" i="42" s="1"/>
  <c r="D268" i="42"/>
  <c r="E268" i="42" s="1"/>
  <c r="F268" i="42" s="1"/>
  <c r="G268" i="42" s="1"/>
  <c r="H268" i="42" s="1"/>
  <c r="I268" i="42" s="1"/>
  <c r="J268" i="42" s="1"/>
  <c r="K268" i="42" s="1"/>
  <c r="L268" i="42" s="1"/>
  <c r="M268" i="42" s="1"/>
  <c r="N268" i="42" s="1"/>
  <c r="O268" i="42" s="1"/>
  <c r="P268" i="42" s="1"/>
  <c r="Q268" i="42" s="1"/>
  <c r="R268" i="42" s="1"/>
  <c r="S268" i="42" s="1"/>
  <c r="T268" i="42" s="1"/>
  <c r="U268" i="42" s="1"/>
  <c r="V268" i="42" s="1"/>
  <c r="W268" i="42" s="1"/>
  <c r="X268" i="42" s="1"/>
  <c r="Y268" i="42" s="1"/>
  <c r="Z268" i="42" s="1"/>
  <c r="AA268" i="42" s="1"/>
  <c r="AB268" i="42" s="1"/>
  <c r="AC268" i="42" s="1"/>
  <c r="AD268" i="42" s="1"/>
  <c r="AE268" i="42" s="1"/>
  <c r="AF268" i="42" s="1"/>
  <c r="E267" i="42"/>
  <c r="F267" i="42" s="1"/>
  <c r="G267" i="42" s="1"/>
  <c r="H267" i="42" s="1"/>
  <c r="I267" i="42" s="1"/>
  <c r="J267" i="42" s="1"/>
  <c r="K267" i="42" s="1"/>
  <c r="L267" i="42" s="1"/>
  <c r="M267" i="42" s="1"/>
  <c r="N267" i="42" s="1"/>
  <c r="O267" i="42" s="1"/>
  <c r="P267" i="42" s="1"/>
  <c r="Q267" i="42" s="1"/>
  <c r="R267" i="42" s="1"/>
  <c r="S267" i="42" s="1"/>
  <c r="T267" i="42" s="1"/>
  <c r="U267" i="42" s="1"/>
  <c r="V267" i="42" s="1"/>
  <c r="W267" i="42" s="1"/>
  <c r="X267" i="42" s="1"/>
  <c r="Y267" i="42" s="1"/>
  <c r="Z267" i="42" s="1"/>
  <c r="AA267" i="42" s="1"/>
  <c r="AB267" i="42" s="1"/>
  <c r="AC267" i="42" s="1"/>
  <c r="AD267" i="42" s="1"/>
  <c r="AE267" i="42" s="1"/>
  <c r="AF267" i="42" s="1"/>
  <c r="D267" i="42"/>
  <c r="D266" i="42"/>
  <c r="E266" i="42" s="1"/>
  <c r="F266" i="42" s="1"/>
  <c r="G266" i="42" s="1"/>
  <c r="H266" i="42" s="1"/>
  <c r="I266" i="42" s="1"/>
  <c r="J266" i="42" s="1"/>
  <c r="K266" i="42" s="1"/>
  <c r="L266" i="42" s="1"/>
  <c r="M266" i="42" s="1"/>
  <c r="N266" i="42" s="1"/>
  <c r="O266" i="42" s="1"/>
  <c r="P266" i="42" s="1"/>
  <c r="Q266" i="42" s="1"/>
  <c r="R266" i="42" s="1"/>
  <c r="S266" i="42" s="1"/>
  <c r="T266" i="42" s="1"/>
  <c r="U266" i="42" s="1"/>
  <c r="V266" i="42" s="1"/>
  <c r="W266" i="42" s="1"/>
  <c r="X266" i="42" s="1"/>
  <c r="Y266" i="42" s="1"/>
  <c r="Z266" i="42" s="1"/>
  <c r="AA266" i="42" s="1"/>
  <c r="AB266" i="42" s="1"/>
  <c r="AC266" i="42" s="1"/>
  <c r="AD266" i="42" s="1"/>
  <c r="AE266" i="42" s="1"/>
  <c r="AF266" i="42" s="1"/>
  <c r="D265" i="42"/>
  <c r="E265" i="42" s="1"/>
  <c r="F265" i="42" s="1"/>
  <c r="G265" i="42" s="1"/>
  <c r="H265" i="42" s="1"/>
  <c r="I265" i="42" s="1"/>
  <c r="J265" i="42" s="1"/>
  <c r="K265" i="42" s="1"/>
  <c r="L265" i="42" s="1"/>
  <c r="M265" i="42" s="1"/>
  <c r="N265" i="42" s="1"/>
  <c r="O265" i="42" s="1"/>
  <c r="P265" i="42" s="1"/>
  <c r="Q265" i="42" s="1"/>
  <c r="R265" i="42" s="1"/>
  <c r="S265" i="42" s="1"/>
  <c r="T265" i="42" s="1"/>
  <c r="U265" i="42" s="1"/>
  <c r="V265" i="42" s="1"/>
  <c r="W265" i="42" s="1"/>
  <c r="X265" i="42" s="1"/>
  <c r="Y265" i="42" s="1"/>
  <c r="Z265" i="42" s="1"/>
  <c r="AA265" i="42" s="1"/>
  <c r="AB265" i="42" s="1"/>
  <c r="AC265" i="42" s="1"/>
  <c r="AD265" i="42" s="1"/>
  <c r="AE265" i="42" s="1"/>
  <c r="AF265" i="42" s="1"/>
  <c r="AG264" i="42"/>
  <c r="C264" i="42"/>
  <c r="D263" i="42"/>
  <c r="E263" i="42" s="1"/>
  <c r="F263" i="42" s="1"/>
  <c r="G263" i="42" s="1"/>
  <c r="H263" i="42" s="1"/>
  <c r="I263" i="42" s="1"/>
  <c r="J263" i="42" s="1"/>
  <c r="K263" i="42" s="1"/>
  <c r="L263" i="42" s="1"/>
  <c r="M263" i="42" s="1"/>
  <c r="N263" i="42" s="1"/>
  <c r="O263" i="42" s="1"/>
  <c r="P263" i="42" s="1"/>
  <c r="Q263" i="42" s="1"/>
  <c r="R263" i="42" s="1"/>
  <c r="S263" i="42" s="1"/>
  <c r="T263" i="42" s="1"/>
  <c r="U263" i="42" s="1"/>
  <c r="V263" i="42" s="1"/>
  <c r="W263" i="42" s="1"/>
  <c r="X263" i="42" s="1"/>
  <c r="Y263" i="42" s="1"/>
  <c r="Z263" i="42" s="1"/>
  <c r="AA263" i="42" s="1"/>
  <c r="AB263" i="42" s="1"/>
  <c r="AC263" i="42" s="1"/>
  <c r="AD263" i="42" s="1"/>
  <c r="AE263" i="42" s="1"/>
  <c r="AF263" i="42" s="1"/>
  <c r="D262" i="42"/>
  <c r="E262" i="42" s="1"/>
  <c r="F262" i="42" s="1"/>
  <c r="G262" i="42" s="1"/>
  <c r="H262" i="42" s="1"/>
  <c r="I262" i="42" s="1"/>
  <c r="J262" i="42" s="1"/>
  <c r="K262" i="42" s="1"/>
  <c r="L262" i="42" s="1"/>
  <c r="M262" i="42" s="1"/>
  <c r="N262" i="42" s="1"/>
  <c r="O262" i="42" s="1"/>
  <c r="P262" i="42" s="1"/>
  <c r="Q262" i="42" s="1"/>
  <c r="R262" i="42" s="1"/>
  <c r="S262" i="42" s="1"/>
  <c r="T262" i="42" s="1"/>
  <c r="U262" i="42" s="1"/>
  <c r="V262" i="42" s="1"/>
  <c r="W262" i="42" s="1"/>
  <c r="X262" i="42" s="1"/>
  <c r="Y262" i="42" s="1"/>
  <c r="Z262" i="42" s="1"/>
  <c r="AA262" i="42" s="1"/>
  <c r="AB262" i="42" s="1"/>
  <c r="AC262" i="42" s="1"/>
  <c r="AD262" i="42" s="1"/>
  <c r="AE262" i="42" s="1"/>
  <c r="AF262" i="42" s="1"/>
  <c r="D261" i="42"/>
  <c r="E261" i="42" s="1"/>
  <c r="F261" i="42" s="1"/>
  <c r="G261" i="42" s="1"/>
  <c r="H261" i="42" s="1"/>
  <c r="I261" i="42" s="1"/>
  <c r="J261" i="42" s="1"/>
  <c r="K261" i="42" s="1"/>
  <c r="L261" i="42" s="1"/>
  <c r="M261" i="42" s="1"/>
  <c r="N261" i="42" s="1"/>
  <c r="O261" i="42" s="1"/>
  <c r="P261" i="42" s="1"/>
  <c r="Q261" i="42" s="1"/>
  <c r="R261" i="42" s="1"/>
  <c r="S261" i="42" s="1"/>
  <c r="T261" i="42" s="1"/>
  <c r="U261" i="42" s="1"/>
  <c r="V261" i="42" s="1"/>
  <c r="W261" i="42" s="1"/>
  <c r="X261" i="42" s="1"/>
  <c r="Y261" i="42" s="1"/>
  <c r="Z261" i="42" s="1"/>
  <c r="AA261" i="42" s="1"/>
  <c r="AB261" i="42" s="1"/>
  <c r="AC261" i="42" s="1"/>
  <c r="AD261" i="42" s="1"/>
  <c r="AE261" i="42" s="1"/>
  <c r="AF261" i="42" s="1"/>
  <c r="AG260" i="42"/>
  <c r="C260" i="42"/>
  <c r="D259" i="42"/>
  <c r="E259" i="42" s="1"/>
  <c r="AG258" i="42"/>
  <c r="C258" i="42"/>
  <c r="D256" i="42"/>
  <c r="E256" i="42" s="1"/>
  <c r="F256" i="42" s="1"/>
  <c r="G256" i="42" s="1"/>
  <c r="H256" i="42" s="1"/>
  <c r="I256" i="42" s="1"/>
  <c r="J256" i="42" s="1"/>
  <c r="K256" i="42" s="1"/>
  <c r="L256" i="42" s="1"/>
  <c r="M256" i="42" s="1"/>
  <c r="N256" i="42" s="1"/>
  <c r="O256" i="42" s="1"/>
  <c r="P256" i="42" s="1"/>
  <c r="Q256" i="42" s="1"/>
  <c r="R256" i="42" s="1"/>
  <c r="S256" i="42" s="1"/>
  <c r="T256" i="42" s="1"/>
  <c r="U256" i="42" s="1"/>
  <c r="V256" i="42" s="1"/>
  <c r="W256" i="42" s="1"/>
  <c r="X256" i="42" s="1"/>
  <c r="Y256" i="42" s="1"/>
  <c r="Z256" i="42" s="1"/>
  <c r="AA256" i="42" s="1"/>
  <c r="AB256" i="42" s="1"/>
  <c r="AC256" i="42" s="1"/>
  <c r="AD256" i="42" s="1"/>
  <c r="AE256" i="42" s="1"/>
  <c r="AF256" i="42" s="1"/>
  <c r="D255" i="42"/>
  <c r="E255" i="42" s="1"/>
  <c r="F255" i="42" s="1"/>
  <c r="G255" i="42" s="1"/>
  <c r="H255" i="42" s="1"/>
  <c r="I255" i="42" s="1"/>
  <c r="J255" i="42" s="1"/>
  <c r="K255" i="42" s="1"/>
  <c r="L255" i="42" s="1"/>
  <c r="M255" i="42" s="1"/>
  <c r="N255" i="42" s="1"/>
  <c r="O255" i="42" s="1"/>
  <c r="P255" i="42" s="1"/>
  <c r="Q255" i="42" s="1"/>
  <c r="R255" i="42" s="1"/>
  <c r="S255" i="42" s="1"/>
  <c r="T255" i="42" s="1"/>
  <c r="U255" i="42" s="1"/>
  <c r="V255" i="42" s="1"/>
  <c r="W255" i="42" s="1"/>
  <c r="X255" i="42" s="1"/>
  <c r="Y255" i="42" s="1"/>
  <c r="Z255" i="42" s="1"/>
  <c r="AA255" i="42" s="1"/>
  <c r="AB255" i="42" s="1"/>
  <c r="AC255" i="42" s="1"/>
  <c r="AD255" i="42" s="1"/>
  <c r="AE255" i="42" s="1"/>
  <c r="AF255" i="42" s="1"/>
  <c r="D254" i="42"/>
  <c r="E254" i="42" s="1"/>
  <c r="F254" i="42" s="1"/>
  <c r="G254" i="42" s="1"/>
  <c r="H254" i="42" s="1"/>
  <c r="I254" i="42" s="1"/>
  <c r="J254" i="42" s="1"/>
  <c r="K254" i="42" s="1"/>
  <c r="L254" i="42" s="1"/>
  <c r="M254" i="42" s="1"/>
  <c r="N254" i="42" s="1"/>
  <c r="O254" i="42" s="1"/>
  <c r="P254" i="42" s="1"/>
  <c r="Q254" i="42" s="1"/>
  <c r="R254" i="42" s="1"/>
  <c r="S254" i="42" s="1"/>
  <c r="T254" i="42" s="1"/>
  <c r="U254" i="42" s="1"/>
  <c r="V254" i="42" s="1"/>
  <c r="W254" i="42" s="1"/>
  <c r="X254" i="42" s="1"/>
  <c r="Y254" i="42" s="1"/>
  <c r="Z254" i="42" s="1"/>
  <c r="AA254" i="42" s="1"/>
  <c r="AB254" i="42" s="1"/>
  <c r="AC254" i="42" s="1"/>
  <c r="AD254" i="42" s="1"/>
  <c r="AE254" i="42" s="1"/>
  <c r="AF254" i="42" s="1"/>
  <c r="E253" i="42"/>
  <c r="F253" i="42" s="1"/>
  <c r="G253" i="42" s="1"/>
  <c r="H253" i="42" s="1"/>
  <c r="I253" i="42" s="1"/>
  <c r="J253" i="42" s="1"/>
  <c r="K253" i="42" s="1"/>
  <c r="L253" i="42" s="1"/>
  <c r="M253" i="42" s="1"/>
  <c r="N253" i="42" s="1"/>
  <c r="O253" i="42" s="1"/>
  <c r="P253" i="42" s="1"/>
  <c r="Q253" i="42" s="1"/>
  <c r="R253" i="42" s="1"/>
  <c r="S253" i="42" s="1"/>
  <c r="T253" i="42" s="1"/>
  <c r="U253" i="42" s="1"/>
  <c r="V253" i="42" s="1"/>
  <c r="W253" i="42" s="1"/>
  <c r="X253" i="42" s="1"/>
  <c r="Y253" i="42" s="1"/>
  <c r="Z253" i="42" s="1"/>
  <c r="AA253" i="42" s="1"/>
  <c r="AB253" i="42" s="1"/>
  <c r="AC253" i="42" s="1"/>
  <c r="AD253" i="42" s="1"/>
  <c r="AE253" i="42" s="1"/>
  <c r="AF253" i="42" s="1"/>
  <c r="D253" i="42"/>
  <c r="D250" i="42"/>
  <c r="E250" i="42" s="1"/>
  <c r="F250" i="42" s="1"/>
  <c r="G250" i="42" s="1"/>
  <c r="H250" i="42" s="1"/>
  <c r="I250" i="42" s="1"/>
  <c r="J250" i="42" s="1"/>
  <c r="K250" i="42" s="1"/>
  <c r="L250" i="42" s="1"/>
  <c r="M250" i="42" s="1"/>
  <c r="N250" i="42" s="1"/>
  <c r="O250" i="42" s="1"/>
  <c r="P250" i="42" s="1"/>
  <c r="Q250" i="42" s="1"/>
  <c r="R250" i="42" s="1"/>
  <c r="S250" i="42" s="1"/>
  <c r="T250" i="42" s="1"/>
  <c r="U250" i="42" s="1"/>
  <c r="V250" i="42" s="1"/>
  <c r="W250" i="42" s="1"/>
  <c r="X250" i="42" s="1"/>
  <c r="Y250" i="42" s="1"/>
  <c r="Z250" i="42" s="1"/>
  <c r="AA250" i="42" s="1"/>
  <c r="AB250" i="42" s="1"/>
  <c r="AC250" i="42" s="1"/>
  <c r="AD250" i="42" s="1"/>
  <c r="AE250" i="42" s="1"/>
  <c r="AF250" i="42" s="1"/>
  <c r="D145" i="28"/>
  <c r="E145" i="28" s="1"/>
  <c r="F145" i="28" s="1"/>
  <c r="G145" i="28" s="1"/>
  <c r="H145" i="28" s="1"/>
  <c r="I145" i="28" s="1"/>
  <c r="J145" i="28" s="1"/>
  <c r="K145" i="28" s="1"/>
  <c r="L145" i="28" s="1"/>
  <c r="M145" i="28" s="1"/>
  <c r="N145" i="28" s="1"/>
  <c r="O145" i="28" s="1"/>
  <c r="P145" i="28" s="1"/>
  <c r="Q145" i="28" s="1"/>
  <c r="R145" i="28" s="1"/>
  <c r="S145" i="28" s="1"/>
  <c r="T145" i="28" s="1"/>
  <c r="U145" i="28" s="1"/>
  <c r="V145" i="28" s="1"/>
  <c r="W145" i="28" s="1"/>
  <c r="X145" i="28" s="1"/>
  <c r="Y145" i="28" s="1"/>
  <c r="Z145" i="28" s="1"/>
  <c r="AA145" i="28" s="1"/>
  <c r="AB145" i="28" s="1"/>
  <c r="AC145" i="28" s="1"/>
  <c r="AD145" i="28" s="1"/>
  <c r="AE145" i="28" s="1"/>
  <c r="AF145" i="28" s="1"/>
  <c r="D144" i="28"/>
  <c r="E144" i="28" s="1"/>
  <c r="F144" i="28" s="1"/>
  <c r="G144" i="28" s="1"/>
  <c r="H144" i="28" s="1"/>
  <c r="I144" i="28" s="1"/>
  <c r="J144" i="28" s="1"/>
  <c r="K144" i="28" s="1"/>
  <c r="L144" i="28" s="1"/>
  <c r="M144" i="28" s="1"/>
  <c r="N144" i="28" s="1"/>
  <c r="O144" i="28" s="1"/>
  <c r="P144" i="28" s="1"/>
  <c r="Q144" i="28" s="1"/>
  <c r="R144" i="28" s="1"/>
  <c r="S144" i="28" s="1"/>
  <c r="T144" i="28" s="1"/>
  <c r="U144" i="28" s="1"/>
  <c r="V144" i="28" s="1"/>
  <c r="W144" i="28" s="1"/>
  <c r="X144" i="28" s="1"/>
  <c r="Y144" i="28" s="1"/>
  <c r="Z144" i="28" s="1"/>
  <c r="AA144" i="28" s="1"/>
  <c r="AB144" i="28" s="1"/>
  <c r="AC144" i="28" s="1"/>
  <c r="AD144" i="28" s="1"/>
  <c r="AE144" i="28" s="1"/>
  <c r="AF144" i="28" s="1"/>
  <c r="N143" i="28"/>
  <c r="O143" i="28" s="1"/>
  <c r="P143" i="28" s="1"/>
  <c r="Q143" i="28" s="1"/>
  <c r="R143" i="28" s="1"/>
  <c r="S143" i="28" s="1"/>
  <c r="T143" i="28" s="1"/>
  <c r="U143" i="28" s="1"/>
  <c r="V143" i="28" s="1"/>
  <c r="W143" i="28" s="1"/>
  <c r="X143" i="28" s="1"/>
  <c r="Y143" i="28" s="1"/>
  <c r="Z143" i="28" s="1"/>
  <c r="AA143" i="28" s="1"/>
  <c r="AB143" i="28" s="1"/>
  <c r="AC143" i="28" s="1"/>
  <c r="AD143" i="28" s="1"/>
  <c r="AE143" i="28" s="1"/>
  <c r="AF143" i="28" s="1"/>
  <c r="D143" i="28"/>
  <c r="E143" i="28" s="1"/>
  <c r="F143" i="28" s="1"/>
  <c r="G143" i="28" s="1"/>
  <c r="H143" i="28" s="1"/>
  <c r="I143" i="28" s="1"/>
  <c r="J143" i="28" s="1"/>
  <c r="K143" i="28" s="1"/>
  <c r="L143" i="28" s="1"/>
  <c r="M143" i="28" s="1"/>
  <c r="D142" i="28"/>
  <c r="E142" i="28" s="1"/>
  <c r="F142" i="28" s="1"/>
  <c r="G142" i="28" s="1"/>
  <c r="H142" i="28" s="1"/>
  <c r="I142" i="28" s="1"/>
  <c r="J142" i="28" s="1"/>
  <c r="K142" i="28" s="1"/>
  <c r="L142" i="28" s="1"/>
  <c r="M142" i="28" s="1"/>
  <c r="N142" i="28" s="1"/>
  <c r="O142" i="28" s="1"/>
  <c r="P142" i="28" s="1"/>
  <c r="Q142" i="28" s="1"/>
  <c r="R142" i="28" s="1"/>
  <c r="S142" i="28" s="1"/>
  <c r="T142" i="28" s="1"/>
  <c r="U142" i="28" s="1"/>
  <c r="V142" i="28" s="1"/>
  <c r="W142" i="28" s="1"/>
  <c r="X142" i="28" s="1"/>
  <c r="Y142" i="28" s="1"/>
  <c r="Z142" i="28" s="1"/>
  <c r="AA142" i="28" s="1"/>
  <c r="AB142" i="28" s="1"/>
  <c r="AC142" i="28" s="1"/>
  <c r="AD142" i="28" s="1"/>
  <c r="AE142" i="28" s="1"/>
  <c r="AF142" i="28" s="1"/>
  <c r="D139" i="28"/>
  <c r="E139" i="28" s="1"/>
  <c r="F139" i="28" s="1"/>
  <c r="G139" i="28" s="1"/>
  <c r="H139" i="28" s="1"/>
  <c r="I139" i="28" s="1"/>
  <c r="J139" i="28" s="1"/>
  <c r="K139" i="28" s="1"/>
  <c r="L139" i="28" s="1"/>
  <c r="M139" i="28" s="1"/>
  <c r="N139" i="28" s="1"/>
  <c r="O139" i="28" s="1"/>
  <c r="P139" i="28" s="1"/>
  <c r="Q139" i="28" s="1"/>
  <c r="R139" i="28" s="1"/>
  <c r="S139" i="28" s="1"/>
  <c r="T139" i="28" s="1"/>
  <c r="U139" i="28" s="1"/>
  <c r="V139" i="28" s="1"/>
  <c r="W139" i="28" s="1"/>
  <c r="X139" i="28" s="1"/>
  <c r="Y139" i="28" s="1"/>
  <c r="Z139" i="28" s="1"/>
  <c r="AA139" i="28" s="1"/>
  <c r="AB139" i="28" s="1"/>
  <c r="AC139" i="28" s="1"/>
  <c r="AD139" i="28" s="1"/>
  <c r="AE139" i="28" s="1"/>
  <c r="AF139" i="28" s="1"/>
  <c r="D138" i="28"/>
  <c r="E138" i="28" s="1"/>
  <c r="F138" i="28" s="1"/>
  <c r="G138" i="28" s="1"/>
  <c r="H138" i="28" s="1"/>
  <c r="I138" i="28" s="1"/>
  <c r="J138" i="28" s="1"/>
  <c r="K138" i="28" s="1"/>
  <c r="L138" i="28" s="1"/>
  <c r="M138" i="28" s="1"/>
  <c r="N138" i="28" s="1"/>
  <c r="O138" i="28" s="1"/>
  <c r="P138" i="28" s="1"/>
  <c r="Q138" i="28" s="1"/>
  <c r="R138" i="28" s="1"/>
  <c r="S138" i="28" s="1"/>
  <c r="T138" i="28" s="1"/>
  <c r="U138" i="28" s="1"/>
  <c r="V138" i="28" s="1"/>
  <c r="W138" i="28" s="1"/>
  <c r="X138" i="28" s="1"/>
  <c r="Y138" i="28" s="1"/>
  <c r="Z138" i="28" s="1"/>
  <c r="AA138" i="28" s="1"/>
  <c r="AB138" i="28" s="1"/>
  <c r="AC138" i="28" s="1"/>
  <c r="AD138" i="28" s="1"/>
  <c r="AE138" i="28" s="1"/>
  <c r="AF138" i="28" s="1"/>
  <c r="D137" i="28"/>
  <c r="E137" i="28" s="1"/>
  <c r="F137" i="28" s="1"/>
  <c r="G137" i="28" s="1"/>
  <c r="H137" i="28" s="1"/>
  <c r="I137" i="28" s="1"/>
  <c r="J137" i="28" s="1"/>
  <c r="K137" i="28" s="1"/>
  <c r="L137" i="28" s="1"/>
  <c r="M137" i="28" s="1"/>
  <c r="N137" i="28" s="1"/>
  <c r="O137" i="28" s="1"/>
  <c r="P137" i="28" s="1"/>
  <c r="Q137" i="28" s="1"/>
  <c r="R137" i="28" s="1"/>
  <c r="S137" i="28" s="1"/>
  <c r="T137" i="28" s="1"/>
  <c r="U137" i="28" s="1"/>
  <c r="V137" i="28" s="1"/>
  <c r="W137" i="28" s="1"/>
  <c r="X137" i="28" s="1"/>
  <c r="Y137" i="28" s="1"/>
  <c r="Z137" i="28" s="1"/>
  <c r="AA137" i="28" s="1"/>
  <c r="AB137" i="28" s="1"/>
  <c r="AC137" i="28" s="1"/>
  <c r="AD137" i="28" s="1"/>
  <c r="AE137" i="28" s="1"/>
  <c r="AF137" i="28" s="1"/>
  <c r="D136" i="28"/>
  <c r="E136" i="28" s="1"/>
  <c r="F136" i="28" s="1"/>
  <c r="G136" i="28" s="1"/>
  <c r="H136" i="28" s="1"/>
  <c r="I136" i="28" s="1"/>
  <c r="J136" i="28" s="1"/>
  <c r="K136" i="28" s="1"/>
  <c r="L136" i="28" s="1"/>
  <c r="M136" i="28" s="1"/>
  <c r="N136" i="28" s="1"/>
  <c r="O136" i="28" s="1"/>
  <c r="P136" i="28" s="1"/>
  <c r="Q136" i="28" s="1"/>
  <c r="R136" i="28" s="1"/>
  <c r="S136" i="28" s="1"/>
  <c r="T136" i="28" s="1"/>
  <c r="U136" i="28" s="1"/>
  <c r="V136" i="28" s="1"/>
  <c r="W136" i="28" s="1"/>
  <c r="X136" i="28" s="1"/>
  <c r="Y136" i="28" s="1"/>
  <c r="Z136" i="28" s="1"/>
  <c r="AA136" i="28" s="1"/>
  <c r="AB136" i="28" s="1"/>
  <c r="AC136" i="28" s="1"/>
  <c r="AD136" i="28" s="1"/>
  <c r="AE136" i="28" s="1"/>
  <c r="AF136" i="28" s="1"/>
  <c r="D135" i="28"/>
  <c r="E135" i="28" s="1"/>
  <c r="F135" i="28" s="1"/>
  <c r="G135" i="28" s="1"/>
  <c r="H135" i="28" s="1"/>
  <c r="I135" i="28" s="1"/>
  <c r="J135" i="28" s="1"/>
  <c r="K135" i="28" s="1"/>
  <c r="L135" i="28" s="1"/>
  <c r="M135" i="28" s="1"/>
  <c r="N135" i="28" s="1"/>
  <c r="O135" i="28" s="1"/>
  <c r="P135" i="28" s="1"/>
  <c r="Q135" i="28" s="1"/>
  <c r="R135" i="28" s="1"/>
  <c r="S135" i="28" s="1"/>
  <c r="T135" i="28" s="1"/>
  <c r="U135" i="28" s="1"/>
  <c r="V135" i="28" s="1"/>
  <c r="W135" i="28" s="1"/>
  <c r="X135" i="28" s="1"/>
  <c r="Y135" i="28" s="1"/>
  <c r="Z135" i="28" s="1"/>
  <c r="AA135" i="28" s="1"/>
  <c r="AB135" i="28" s="1"/>
  <c r="AC135" i="28" s="1"/>
  <c r="AD135" i="28" s="1"/>
  <c r="AE135" i="28" s="1"/>
  <c r="AF135" i="28" s="1"/>
  <c r="D134" i="28"/>
  <c r="E134" i="28" s="1"/>
  <c r="F134" i="28" s="1"/>
  <c r="G134" i="28" s="1"/>
  <c r="H134" i="28" s="1"/>
  <c r="I134" i="28" s="1"/>
  <c r="J134" i="28" s="1"/>
  <c r="K134" i="28" s="1"/>
  <c r="L134" i="28" s="1"/>
  <c r="M134" i="28" s="1"/>
  <c r="N134" i="28" s="1"/>
  <c r="O134" i="28" s="1"/>
  <c r="P134" i="28" s="1"/>
  <c r="Q134" i="28" s="1"/>
  <c r="R134" i="28" s="1"/>
  <c r="S134" i="28" s="1"/>
  <c r="T134" i="28" s="1"/>
  <c r="U134" i="28" s="1"/>
  <c r="V134" i="28" s="1"/>
  <c r="W134" i="28" s="1"/>
  <c r="X134" i="28" s="1"/>
  <c r="Y134" i="28" s="1"/>
  <c r="Z134" i="28" s="1"/>
  <c r="AA134" i="28" s="1"/>
  <c r="AB134" i="28" s="1"/>
  <c r="AC134" i="28" s="1"/>
  <c r="AD134" i="28" s="1"/>
  <c r="AE134" i="28" s="1"/>
  <c r="AF134" i="28" s="1"/>
  <c r="D133" i="28"/>
  <c r="E133" i="28" s="1"/>
  <c r="F133" i="28" s="1"/>
  <c r="G133" i="28" s="1"/>
  <c r="H133" i="28" s="1"/>
  <c r="I133" i="28" s="1"/>
  <c r="J133" i="28" s="1"/>
  <c r="K133" i="28" s="1"/>
  <c r="L133" i="28" s="1"/>
  <c r="M133" i="28" s="1"/>
  <c r="N133" i="28" s="1"/>
  <c r="O133" i="28" s="1"/>
  <c r="P133" i="28" s="1"/>
  <c r="Q133" i="28" s="1"/>
  <c r="R133" i="28" s="1"/>
  <c r="S133" i="28" s="1"/>
  <c r="T133" i="28" s="1"/>
  <c r="U133" i="28" s="1"/>
  <c r="V133" i="28" s="1"/>
  <c r="W133" i="28" s="1"/>
  <c r="X133" i="28" s="1"/>
  <c r="Y133" i="28" s="1"/>
  <c r="Z133" i="28" s="1"/>
  <c r="AA133" i="28" s="1"/>
  <c r="AB133" i="28" s="1"/>
  <c r="AC133" i="28" s="1"/>
  <c r="AD133" i="28" s="1"/>
  <c r="AE133" i="28" s="1"/>
  <c r="AF133" i="28" s="1"/>
  <c r="AG132" i="28"/>
  <c r="C132" i="28"/>
  <c r="D131" i="28"/>
  <c r="E131" i="28" s="1"/>
  <c r="F131" i="28" s="1"/>
  <c r="G131" i="28" s="1"/>
  <c r="H131" i="28" s="1"/>
  <c r="I131" i="28" s="1"/>
  <c r="J131" i="28" s="1"/>
  <c r="K131" i="28" s="1"/>
  <c r="L131" i="28" s="1"/>
  <c r="M131" i="28" s="1"/>
  <c r="N131" i="28" s="1"/>
  <c r="O131" i="28" s="1"/>
  <c r="P131" i="28" s="1"/>
  <c r="Q131" i="28" s="1"/>
  <c r="R131" i="28" s="1"/>
  <c r="S131" i="28" s="1"/>
  <c r="T131" i="28" s="1"/>
  <c r="U131" i="28" s="1"/>
  <c r="V131" i="28" s="1"/>
  <c r="W131" i="28" s="1"/>
  <c r="X131" i="28" s="1"/>
  <c r="Y131" i="28" s="1"/>
  <c r="Z131" i="28" s="1"/>
  <c r="AA131" i="28" s="1"/>
  <c r="AB131" i="28" s="1"/>
  <c r="AC131" i="28" s="1"/>
  <c r="AD131" i="28" s="1"/>
  <c r="AE131" i="28" s="1"/>
  <c r="AF131" i="28" s="1"/>
  <c r="G130" i="28"/>
  <c r="H130" i="28" s="1"/>
  <c r="I130" i="28" s="1"/>
  <c r="J130" i="28" s="1"/>
  <c r="K130" i="28" s="1"/>
  <c r="L130" i="28" s="1"/>
  <c r="M130" i="28" s="1"/>
  <c r="N130" i="28" s="1"/>
  <c r="O130" i="28" s="1"/>
  <c r="P130" i="28" s="1"/>
  <c r="Q130" i="28" s="1"/>
  <c r="R130" i="28" s="1"/>
  <c r="S130" i="28" s="1"/>
  <c r="T130" i="28" s="1"/>
  <c r="U130" i="28" s="1"/>
  <c r="V130" i="28" s="1"/>
  <c r="W130" i="28" s="1"/>
  <c r="X130" i="28" s="1"/>
  <c r="Y130" i="28" s="1"/>
  <c r="Z130" i="28" s="1"/>
  <c r="AA130" i="28" s="1"/>
  <c r="AB130" i="28" s="1"/>
  <c r="AC130" i="28" s="1"/>
  <c r="AD130" i="28" s="1"/>
  <c r="AE130" i="28" s="1"/>
  <c r="AF130" i="28" s="1"/>
  <c r="D130" i="28"/>
  <c r="E130" i="28" s="1"/>
  <c r="F130" i="28" s="1"/>
  <c r="D129" i="28"/>
  <c r="E129" i="28" s="1"/>
  <c r="F129" i="28" s="1"/>
  <c r="G129" i="28" s="1"/>
  <c r="H129" i="28" s="1"/>
  <c r="I129" i="28" s="1"/>
  <c r="J129" i="28" s="1"/>
  <c r="K129" i="28" s="1"/>
  <c r="L129" i="28" s="1"/>
  <c r="M129" i="28" s="1"/>
  <c r="N129" i="28" s="1"/>
  <c r="O129" i="28" s="1"/>
  <c r="P129" i="28" s="1"/>
  <c r="Q129" i="28" s="1"/>
  <c r="R129" i="28" s="1"/>
  <c r="S129" i="28" s="1"/>
  <c r="T129" i="28" s="1"/>
  <c r="U129" i="28" s="1"/>
  <c r="V129" i="28" s="1"/>
  <c r="W129" i="28" s="1"/>
  <c r="X129" i="28" s="1"/>
  <c r="Y129" i="28" s="1"/>
  <c r="Z129" i="28" s="1"/>
  <c r="AA129" i="28" s="1"/>
  <c r="AB129" i="28" s="1"/>
  <c r="AC129" i="28" s="1"/>
  <c r="AD129" i="28" s="1"/>
  <c r="AE129" i="28" s="1"/>
  <c r="AF129" i="28" s="1"/>
  <c r="AG128" i="28"/>
  <c r="C128" i="28"/>
  <c r="D127" i="28"/>
  <c r="D128" i="28" s="1"/>
  <c r="AG126" i="28"/>
  <c r="C126" i="28"/>
  <c r="D126" i="28" s="1"/>
  <c r="D124" i="28"/>
  <c r="E124" i="28" s="1"/>
  <c r="F124" i="28" s="1"/>
  <c r="G124" i="28" s="1"/>
  <c r="H124" i="28" s="1"/>
  <c r="I124" i="28" s="1"/>
  <c r="J124" i="28" s="1"/>
  <c r="K124" i="28" s="1"/>
  <c r="L124" i="28" s="1"/>
  <c r="M124" i="28" s="1"/>
  <c r="N124" i="28" s="1"/>
  <c r="O124" i="28" s="1"/>
  <c r="P124" i="28" s="1"/>
  <c r="Q124" i="28" s="1"/>
  <c r="R124" i="28" s="1"/>
  <c r="S124" i="28" s="1"/>
  <c r="T124" i="28" s="1"/>
  <c r="U124" i="28" s="1"/>
  <c r="V124" i="28" s="1"/>
  <c r="W124" i="28" s="1"/>
  <c r="X124" i="28" s="1"/>
  <c r="Y124" i="28" s="1"/>
  <c r="Z124" i="28" s="1"/>
  <c r="AA124" i="28" s="1"/>
  <c r="AB124" i="28" s="1"/>
  <c r="AC124" i="28" s="1"/>
  <c r="AD124" i="28" s="1"/>
  <c r="AE124" i="28" s="1"/>
  <c r="AF124" i="28" s="1"/>
  <c r="D123" i="28"/>
  <c r="E123" i="28" s="1"/>
  <c r="F123" i="28" s="1"/>
  <c r="G123" i="28" s="1"/>
  <c r="H123" i="28" s="1"/>
  <c r="I123" i="28" s="1"/>
  <c r="J123" i="28" s="1"/>
  <c r="K123" i="28" s="1"/>
  <c r="L123" i="28" s="1"/>
  <c r="M123" i="28" s="1"/>
  <c r="N123" i="28" s="1"/>
  <c r="O123" i="28" s="1"/>
  <c r="P123" i="28" s="1"/>
  <c r="Q123" i="28" s="1"/>
  <c r="R123" i="28" s="1"/>
  <c r="S123" i="28" s="1"/>
  <c r="T123" i="28" s="1"/>
  <c r="U123" i="28" s="1"/>
  <c r="V123" i="28" s="1"/>
  <c r="W123" i="28" s="1"/>
  <c r="X123" i="28" s="1"/>
  <c r="Y123" i="28" s="1"/>
  <c r="Z123" i="28" s="1"/>
  <c r="AA123" i="28" s="1"/>
  <c r="AB123" i="28" s="1"/>
  <c r="AC123" i="28" s="1"/>
  <c r="AD123" i="28" s="1"/>
  <c r="AE123" i="28" s="1"/>
  <c r="AF123" i="28" s="1"/>
  <c r="D122" i="28"/>
  <c r="E122" i="28" s="1"/>
  <c r="F122" i="28" s="1"/>
  <c r="G122" i="28" s="1"/>
  <c r="H122" i="28" s="1"/>
  <c r="I122" i="28" s="1"/>
  <c r="J122" i="28" s="1"/>
  <c r="K122" i="28" s="1"/>
  <c r="L122" i="28" s="1"/>
  <c r="M122" i="28" s="1"/>
  <c r="N122" i="28" s="1"/>
  <c r="O122" i="28" s="1"/>
  <c r="P122" i="28" s="1"/>
  <c r="Q122" i="28" s="1"/>
  <c r="R122" i="28" s="1"/>
  <c r="S122" i="28" s="1"/>
  <c r="T122" i="28" s="1"/>
  <c r="U122" i="28" s="1"/>
  <c r="V122" i="28" s="1"/>
  <c r="W122" i="28" s="1"/>
  <c r="X122" i="28" s="1"/>
  <c r="Y122" i="28" s="1"/>
  <c r="Z122" i="28" s="1"/>
  <c r="AA122" i="28" s="1"/>
  <c r="AB122" i="28" s="1"/>
  <c r="AC122" i="28" s="1"/>
  <c r="AD122" i="28" s="1"/>
  <c r="AE122" i="28" s="1"/>
  <c r="AF122" i="28" s="1"/>
  <c r="D121" i="28"/>
  <c r="E121" i="28" s="1"/>
  <c r="F121" i="28" s="1"/>
  <c r="G121" i="28" s="1"/>
  <c r="H121" i="28" s="1"/>
  <c r="I121" i="28" s="1"/>
  <c r="J121" i="28" s="1"/>
  <c r="K121" i="28" s="1"/>
  <c r="L121" i="28" s="1"/>
  <c r="M121" i="28" s="1"/>
  <c r="N121" i="28" s="1"/>
  <c r="O121" i="28" s="1"/>
  <c r="P121" i="28" s="1"/>
  <c r="Q121" i="28" s="1"/>
  <c r="R121" i="28" s="1"/>
  <c r="S121" i="28" s="1"/>
  <c r="T121" i="28" s="1"/>
  <c r="U121" i="28" s="1"/>
  <c r="V121" i="28" s="1"/>
  <c r="W121" i="28" s="1"/>
  <c r="X121" i="28" s="1"/>
  <c r="Y121" i="28" s="1"/>
  <c r="Z121" i="28" s="1"/>
  <c r="AA121" i="28" s="1"/>
  <c r="AB121" i="28" s="1"/>
  <c r="AC121" i="28" s="1"/>
  <c r="AD121" i="28" s="1"/>
  <c r="AE121" i="28" s="1"/>
  <c r="AF121" i="28" s="1"/>
  <c r="D118" i="28"/>
  <c r="E118" i="28" s="1"/>
  <c r="F118" i="28" s="1"/>
  <c r="G118" i="28" s="1"/>
  <c r="H118" i="28" s="1"/>
  <c r="I118" i="28" s="1"/>
  <c r="J118" i="28" s="1"/>
  <c r="K118" i="28" s="1"/>
  <c r="L118" i="28" s="1"/>
  <c r="M118" i="28" s="1"/>
  <c r="N118" i="28" s="1"/>
  <c r="O118" i="28" s="1"/>
  <c r="P118" i="28" s="1"/>
  <c r="Q118" i="28" s="1"/>
  <c r="R118" i="28" s="1"/>
  <c r="S118" i="28" s="1"/>
  <c r="T118" i="28" s="1"/>
  <c r="U118" i="28" s="1"/>
  <c r="V118" i="28" s="1"/>
  <c r="W118" i="28" s="1"/>
  <c r="X118" i="28" s="1"/>
  <c r="Y118" i="28" s="1"/>
  <c r="Z118" i="28" s="1"/>
  <c r="AA118" i="28" s="1"/>
  <c r="AB118" i="28" s="1"/>
  <c r="AC118" i="28" s="1"/>
  <c r="AD118" i="28" s="1"/>
  <c r="AE118" i="28" s="1"/>
  <c r="AF118" i="28" s="1"/>
  <c r="D131" i="29"/>
  <c r="E131" i="29" s="1"/>
  <c r="F131" i="29" s="1"/>
  <c r="G131" i="29" s="1"/>
  <c r="H131" i="29" s="1"/>
  <c r="I131" i="29" s="1"/>
  <c r="J131" i="29" s="1"/>
  <c r="K131" i="29" s="1"/>
  <c r="L131" i="29" s="1"/>
  <c r="M131" i="29" s="1"/>
  <c r="N131" i="29" s="1"/>
  <c r="O131" i="29" s="1"/>
  <c r="P131" i="29" s="1"/>
  <c r="Q131" i="29" s="1"/>
  <c r="R131" i="29" s="1"/>
  <c r="S131" i="29" s="1"/>
  <c r="T131" i="29" s="1"/>
  <c r="U131" i="29" s="1"/>
  <c r="V131" i="29" s="1"/>
  <c r="W131" i="29" s="1"/>
  <c r="X131" i="29" s="1"/>
  <c r="Y131" i="29" s="1"/>
  <c r="Z131" i="29" s="1"/>
  <c r="AA131" i="29" s="1"/>
  <c r="AB131" i="29" s="1"/>
  <c r="AC131" i="29" s="1"/>
  <c r="AD131" i="29" s="1"/>
  <c r="AE131" i="29" s="1"/>
  <c r="AF131" i="29" s="1"/>
  <c r="D130" i="29"/>
  <c r="E130" i="29" s="1"/>
  <c r="F130" i="29" s="1"/>
  <c r="G130" i="29" s="1"/>
  <c r="H130" i="29" s="1"/>
  <c r="I130" i="29" s="1"/>
  <c r="J130" i="29" s="1"/>
  <c r="K130" i="29" s="1"/>
  <c r="L130" i="29" s="1"/>
  <c r="M130" i="29" s="1"/>
  <c r="N130" i="29" s="1"/>
  <c r="O130" i="29" s="1"/>
  <c r="P130" i="29" s="1"/>
  <c r="Q130" i="29" s="1"/>
  <c r="R130" i="29" s="1"/>
  <c r="S130" i="29" s="1"/>
  <c r="T130" i="29" s="1"/>
  <c r="U130" i="29" s="1"/>
  <c r="V130" i="29" s="1"/>
  <c r="W130" i="29" s="1"/>
  <c r="X130" i="29" s="1"/>
  <c r="Y130" i="29" s="1"/>
  <c r="Z130" i="29" s="1"/>
  <c r="AA130" i="29" s="1"/>
  <c r="AB130" i="29" s="1"/>
  <c r="AC130" i="29" s="1"/>
  <c r="AD130" i="29" s="1"/>
  <c r="AE130" i="29" s="1"/>
  <c r="AF130" i="29" s="1"/>
  <c r="D129" i="29"/>
  <c r="E129" i="29" s="1"/>
  <c r="F129" i="29" s="1"/>
  <c r="G129" i="29" s="1"/>
  <c r="H129" i="29" s="1"/>
  <c r="I129" i="29" s="1"/>
  <c r="J129" i="29" s="1"/>
  <c r="K129" i="29" s="1"/>
  <c r="L129" i="29" s="1"/>
  <c r="M129" i="29" s="1"/>
  <c r="N129" i="29" s="1"/>
  <c r="O129" i="29" s="1"/>
  <c r="P129" i="29" s="1"/>
  <c r="Q129" i="29" s="1"/>
  <c r="R129" i="29" s="1"/>
  <c r="S129" i="29" s="1"/>
  <c r="T129" i="29" s="1"/>
  <c r="U129" i="29" s="1"/>
  <c r="V129" i="29" s="1"/>
  <c r="W129" i="29" s="1"/>
  <c r="X129" i="29" s="1"/>
  <c r="Y129" i="29" s="1"/>
  <c r="Z129" i="29" s="1"/>
  <c r="AA129" i="29" s="1"/>
  <c r="AB129" i="29" s="1"/>
  <c r="AC129" i="29" s="1"/>
  <c r="AD129" i="29" s="1"/>
  <c r="AE129" i="29" s="1"/>
  <c r="AF129" i="29" s="1"/>
  <c r="D128" i="29"/>
  <c r="E128" i="29" s="1"/>
  <c r="F128" i="29" s="1"/>
  <c r="G128" i="29" s="1"/>
  <c r="H128" i="29" s="1"/>
  <c r="I128" i="29" s="1"/>
  <c r="J128" i="29" s="1"/>
  <c r="K128" i="29" s="1"/>
  <c r="L128" i="29" s="1"/>
  <c r="M128" i="29" s="1"/>
  <c r="N128" i="29" s="1"/>
  <c r="O128" i="29" s="1"/>
  <c r="P128" i="29" s="1"/>
  <c r="Q128" i="29" s="1"/>
  <c r="R128" i="29" s="1"/>
  <c r="S128" i="29" s="1"/>
  <c r="T128" i="29" s="1"/>
  <c r="U128" i="29" s="1"/>
  <c r="V128" i="29" s="1"/>
  <c r="W128" i="29" s="1"/>
  <c r="X128" i="29" s="1"/>
  <c r="Y128" i="29" s="1"/>
  <c r="Z128" i="29" s="1"/>
  <c r="AA128" i="29" s="1"/>
  <c r="AB128" i="29" s="1"/>
  <c r="AC128" i="29" s="1"/>
  <c r="AD128" i="29" s="1"/>
  <c r="AE128" i="29" s="1"/>
  <c r="AF128" i="29" s="1"/>
  <c r="D125" i="29"/>
  <c r="E125" i="29" s="1"/>
  <c r="F125" i="29" s="1"/>
  <c r="G125" i="29" s="1"/>
  <c r="H125" i="29" s="1"/>
  <c r="I125" i="29" s="1"/>
  <c r="J125" i="29" s="1"/>
  <c r="K125" i="29" s="1"/>
  <c r="L125" i="29" s="1"/>
  <c r="M125" i="29" s="1"/>
  <c r="N125" i="29" s="1"/>
  <c r="O125" i="29" s="1"/>
  <c r="P125" i="29" s="1"/>
  <c r="Q125" i="29" s="1"/>
  <c r="R125" i="29" s="1"/>
  <c r="S125" i="29" s="1"/>
  <c r="T125" i="29" s="1"/>
  <c r="U125" i="29" s="1"/>
  <c r="V125" i="29" s="1"/>
  <c r="W125" i="29" s="1"/>
  <c r="X125" i="29" s="1"/>
  <c r="Y125" i="29" s="1"/>
  <c r="Z125" i="29" s="1"/>
  <c r="AA125" i="29" s="1"/>
  <c r="AB125" i="29" s="1"/>
  <c r="AC125" i="29" s="1"/>
  <c r="AD125" i="29" s="1"/>
  <c r="AE125" i="29" s="1"/>
  <c r="AF125" i="29" s="1"/>
  <c r="D124" i="29"/>
  <c r="E124" i="29" s="1"/>
  <c r="F124" i="29" s="1"/>
  <c r="G124" i="29" s="1"/>
  <c r="H124" i="29" s="1"/>
  <c r="I124" i="29" s="1"/>
  <c r="J124" i="29" s="1"/>
  <c r="K124" i="29" s="1"/>
  <c r="L124" i="29" s="1"/>
  <c r="M124" i="29" s="1"/>
  <c r="N124" i="29" s="1"/>
  <c r="O124" i="29" s="1"/>
  <c r="P124" i="29" s="1"/>
  <c r="Q124" i="29" s="1"/>
  <c r="R124" i="29" s="1"/>
  <c r="S124" i="29" s="1"/>
  <c r="T124" i="29" s="1"/>
  <c r="U124" i="29" s="1"/>
  <c r="V124" i="29" s="1"/>
  <c r="W124" i="29" s="1"/>
  <c r="X124" i="29" s="1"/>
  <c r="Y124" i="29" s="1"/>
  <c r="Z124" i="29" s="1"/>
  <c r="AA124" i="29" s="1"/>
  <c r="AB124" i="29" s="1"/>
  <c r="AC124" i="29" s="1"/>
  <c r="AD124" i="29" s="1"/>
  <c r="AE124" i="29" s="1"/>
  <c r="AF124" i="29" s="1"/>
  <c r="D123" i="29"/>
  <c r="E123" i="29" s="1"/>
  <c r="F123" i="29" s="1"/>
  <c r="G123" i="29" s="1"/>
  <c r="H123" i="29" s="1"/>
  <c r="I123" i="29" s="1"/>
  <c r="J123" i="29" s="1"/>
  <c r="K123" i="29" s="1"/>
  <c r="L123" i="29" s="1"/>
  <c r="M123" i="29" s="1"/>
  <c r="N123" i="29" s="1"/>
  <c r="O123" i="29" s="1"/>
  <c r="P123" i="29" s="1"/>
  <c r="Q123" i="29" s="1"/>
  <c r="R123" i="29" s="1"/>
  <c r="S123" i="29" s="1"/>
  <c r="T123" i="29" s="1"/>
  <c r="U123" i="29" s="1"/>
  <c r="V123" i="29" s="1"/>
  <c r="W123" i="29" s="1"/>
  <c r="X123" i="29" s="1"/>
  <c r="Y123" i="29" s="1"/>
  <c r="Z123" i="29" s="1"/>
  <c r="AA123" i="29" s="1"/>
  <c r="AB123" i="29" s="1"/>
  <c r="AC123" i="29" s="1"/>
  <c r="AD123" i="29" s="1"/>
  <c r="AE123" i="29" s="1"/>
  <c r="AF123" i="29" s="1"/>
  <c r="D122" i="29"/>
  <c r="E122" i="29" s="1"/>
  <c r="F122" i="29" s="1"/>
  <c r="G122" i="29" s="1"/>
  <c r="H122" i="29" s="1"/>
  <c r="I122" i="29" s="1"/>
  <c r="J122" i="29" s="1"/>
  <c r="K122" i="29" s="1"/>
  <c r="L122" i="29" s="1"/>
  <c r="M122" i="29" s="1"/>
  <c r="N122" i="29" s="1"/>
  <c r="O122" i="29" s="1"/>
  <c r="P122" i="29" s="1"/>
  <c r="Q122" i="29" s="1"/>
  <c r="R122" i="29" s="1"/>
  <c r="S122" i="29" s="1"/>
  <c r="T122" i="29" s="1"/>
  <c r="U122" i="29" s="1"/>
  <c r="V122" i="29" s="1"/>
  <c r="W122" i="29" s="1"/>
  <c r="X122" i="29" s="1"/>
  <c r="Y122" i="29" s="1"/>
  <c r="Z122" i="29" s="1"/>
  <c r="AA122" i="29" s="1"/>
  <c r="AB122" i="29" s="1"/>
  <c r="AC122" i="29" s="1"/>
  <c r="AD122" i="29" s="1"/>
  <c r="AE122" i="29" s="1"/>
  <c r="AF122" i="29" s="1"/>
  <c r="D121" i="29"/>
  <c r="E121" i="29" s="1"/>
  <c r="F121" i="29" s="1"/>
  <c r="G121" i="29" s="1"/>
  <c r="H121" i="29" s="1"/>
  <c r="I121" i="29" s="1"/>
  <c r="J121" i="29" s="1"/>
  <c r="K121" i="29" s="1"/>
  <c r="L121" i="29" s="1"/>
  <c r="M121" i="29" s="1"/>
  <c r="N121" i="29" s="1"/>
  <c r="O121" i="29" s="1"/>
  <c r="P121" i="29" s="1"/>
  <c r="Q121" i="29" s="1"/>
  <c r="R121" i="29" s="1"/>
  <c r="S121" i="29" s="1"/>
  <c r="T121" i="29" s="1"/>
  <c r="U121" i="29" s="1"/>
  <c r="V121" i="29" s="1"/>
  <c r="W121" i="29" s="1"/>
  <c r="X121" i="29" s="1"/>
  <c r="Y121" i="29" s="1"/>
  <c r="Z121" i="29" s="1"/>
  <c r="AA121" i="29" s="1"/>
  <c r="AB121" i="29" s="1"/>
  <c r="AC121" i="29" s="1"/>
  <c r="AD121" i="29" s="1"/>
  <c r="AE121" i="29" s="1"/>
  <c r="AF121" i="29" s="1"/>
  <c r="D120" i="29"/>
  <c r="E120" i="29" s="1"/>
  <c r="F120" i="29" s="1"/>
  <c r="G120" i="29" s="1"/>
  <c r="H120" i="29" s="1"/>
  <c r="I120" i="29" s="1"/>
  <c r="J120" i="29" s="1"/>
  <c r="K120" i="29" s="1"/>
  <c r="L120" i="29" s="1"/>
  <c r="M120" i="29" s="1"/>
  <c r="N120" i="29" s="1"/>
  <c r="O120" i="29" s="1"/>
  <c r="P120" i="29" s="1"/>
  <c r="Q120" i="29" s="1"/>
  <c r="R120" i="29" s="1"/>
  <c r="S120" i="29" s="1"/>
  <c r="T120" i="29" s="1"/>
  <c r="U120" i="29" s="1"/>
  <c r="V120" i="29" s="1"/>
  <c r="W120" i="29" s="1"/>
  <c r="X120" i="29" s="1"/>
  <c r="Y120" i="29" s="1"/>
  <c r="Z120" i="29" s="1"/>
  <c r="AA120" i="29" s="1"/>
  <c r="AB120" i="29" s="1"/>
  <c r="AC120" i="29" s="1"/>
  <c r="AD120" i="29" s="1"/>
  <c r="AE120" i="29" s="1"/>
  <c r="AF120" i="29" s="1"/>
  <c r="D119" i="29"/>
  <c r="E119" i="29" s="1"/>
  <c r="F119" i="29" s="1"/>
  <c r="G119" i="29" s="1"/>
  <c r="H119" i="29" s="1"/>
  <c r="I119" i="29" s="1"/>
  <c r="J119" i="29" s="1"/>
  <c r="K119" i="29" s="1"/>
  <c r="L119" i="29" s="1"/>
  <c r="M119" i="29" s="1"/>
  <c r="N119" i="29" s="1"/>
  <c r="O119" i="29" s="1"/>
  <c r="P119" i="29" s="1"/>
  <c r="Q119" i="29" s="1"/>
  <c r="R119" i="29" s="1"/>
  <c r="S119" i="29" s="1"/>
  <c r="T119" i="29" s="1"/>
  <c r="U119" i="29" s="1"/>
  <c r="V119" i="29" s="1"/>
  <c r="W119" i="29" s="1"/>
  <c r="X119" i="29" s="1"/>
  <c r="Y119" i="29" s="1"/>
  <c r="Z119" i="29" s="1"/>
  <c r="AA119" i="29" s="1"/>
  <c r="AB119" i="29" s="1"/>
  <c r="AC119" i="29" s="1"/>
  <c r="AD119" i="29" s="1"/>
  <c r="AE119" i="29" s="1"/>
  <c r="AF119" i="29" s="1"/>
  <c r="AG118" i="29"/>
  <c r="C118" i="29"/>
  <c r="D117" i="29"/>
  <c r="E117" i="29" s="1"/>
  <c r="F117" i="29" s="1"/>
  <c r="G117" i="29" s="1"/>
  <c r="H117" i="29" s="1"/>
  <c r="I117" i="29" s="1"/>
  <c r="J117" i="29" s="1"/>
  <c r="K117" i="29" s="1"/>
  <c r="L117" i="29" s="1"/>
  <c r="M117" i="29" s="1"/>
  <c r="N117" i="29" s="1"/>
  <c r="O117" i="29" s="1"/>
  <c r="P117" i="29" s="1"/>
  <c r="Q117" i="29" s="1"/>
  <c r="R117" i="29" s="1"/>
  <c r="S117" i="29" s="1"/>
  <c r="T117" i="29" s="1"/>
  <c r="U117" i="29" s="1"/>
  <c r="V117" i="29" s="1"/>
  <c r="W117" i="29" s="1"/>
  <c r="X117" i="29" s="1"/>
  <c r="Y117" i="29" s="1"/>
  <c r="Z117" i="29" s="1"/>
  <c r="AA117" i="29" s="1"/>
  <c r="AB117" i="29" s="1"/>
  <c r="AC117" i="29" s="1"/>
  <c r="AD117" i="29" s="1"/>
  <c r="AE117" i="29" s="1"/>
  <c r="AF117" i="29" s="1"/>
  <c r="D116" i="29"/>
  <c r="E116" i="29" s="1"/>
  <c r="F116" i="29" s="1"/>
  <c r="G116" i="29" s="1"/>
  <c r="H116" i="29" s="1"/>
  <c r="I116" i="29" s="1"/>
  <c r="J116" i="29" s="1"/>
  <c r="K116" i="29" s="1"/>
  <c r="L116" i="29" s="1"/>
  <c r="M116" i="29" s="1"/>
  <c r="N116" i="29" s="1"/>
  <c r="O116" i="29" s="1"/>
  <c r="P116" i="29" s="1"/>
  <c r="Q116" i="29" s="1"/>
  <c r="R116" i="29" s="1"/>
  <c r="S116" i="29" s="1"/>
  <c r="T116" i="29" s="1"/>
  <c r="U116" i="29" s="1"/>
  <c r="V116" i="29" s="1"/>
  <c r="W116" i="29" s="1"/>
  <c r="X116" i="29" s="1"/>
  <c r="Y116" i="29" s="1"/>
  <c r="Z116" i="29" s="1"/>
  <c r="AA116" i="29" s="1"/>
  <c r="AB116" i="29" s="1"/>
  <c r="AC116" i="29" s="1"/>
  <c r="AD116" i="29" s="1"/>
  <c r="AE116" i="29" s="1"/>
  <c r="AF116" i="29" s="1"/>
  <c r="D115" i="29"/>
  <c r="E115" i="29" s="1"/>
  <c r="F115" i="29" s="1"/>
  <c r="G115" i="29" s="1"/>
  <c r="H115" i="29" s="1"/>
  <c r="I115" i="29" s="1"/>
  <c r="J115" i="29" s="1"/>
  <c r="K115" i="29" s="1"/>
  <c r="L115" i="29" s="1"/>
  <c r="M115" i="29" s="1"/>
  <c r="N115" i="29" s="1"/>
  <c r="O115" i="29" s="1"/>
  <c r="P115" i="29" s="1"/>
  <c r="Q115" i="29" s="1"/>
  <c r="R115" i="29" s="1"/>
  <c r="S115" i="29" s="1"/>
  <c r="T115" i="29" s="1"/>
  <c r="U115" i="29" s="1"/>
  <c r="V115" i="29" s="1"/>
  <c r="W115" i="29" s="1"/>
  <c r="X115" i="29" s="1"/>
  <c r="Y115" i="29" s="1"/>
  <c r="Z115" i="29" s="1"/>
  <c r="AA115" i="29" s="1"/>
  <c r="AB115" i="29" s="1"/>
  <c r="AC115" i="29" s="1"/>
  <c r="AD115" i="29" s="1"/>
  <c r="AE115" i="29" s="1"/>
  <c r="AF115" i="29" s="1"/>
  <c r="AG114" i="29"/>
  <c r="C114" i="29"/>
  <c r="D113" i="29"/>
  <c r="E113" i="29" s="1"/>
  <c r="F113" i="29" s="1"/>
  <c r="AG112" i="29"/>
  <c r="C112" i="29"/>
  <c r="D110" i="29"/>
  <c r="E110" i="29" s="1"/>
  <c r="F110" i="29" s="1"/>
  <c r="G110" i="29" s="1"/>
  <c r="H110" i="29" s="1"/>
  <c r="I110" i="29" s="1"/>
  <c r="J110" i="29" s="1"/>
  <c r="K110" i="29" s="1"/>
  <c r="L110" i="29" s="1"/>
  <c r="M110" i="29" s="1"/>
  <c r="N110" i="29" s="1"/>
  <c r="O110" i="29" s="1"/>
  <c r="P110" i="29" s="1"/>
  <c r="Q110" i="29" s="1"/>
  <c r="R110" i="29" s="1"/>
  <c r="S110" i="29" s="1"/>
  <c r="T110" i="29" s="1"/>
  <c r="U110" i="29" s="1"/>
  <c r="V110" i="29" s="1"/>
  <c r="W110" i="29" s="1"/>
  <c r="X110" i="29" s="1"/>
  <c r="Y110" i="29" s="1"/>
  <c r="Z110" i="29" s="1"/>
  <c r="AA110" i="29" s="1"/>
  <c r="AB110" i="29" s="1"/>
  <c r="AC110" i="29" s="1"/>
  <c r="AD110" i="29" s="1"/>
  <c r="AE110" i="29" s="1"/>
  <c r="AF110" i="29" s="1"/>
  <c r="D109" i="29"/>
  <c r="E109" i="29" s="1"/>
  <c r="F109" i="29" s="1"/>
  <c r="G109" i="29" s="1"/>
  <c r="H109" i="29" s="1"/>
  <c r="I109" i="29" s="1"/>
  <c r="J109" i="29" s="1"/>
  <c r="K109" i="29" s="1"/>
  <c r="L109" i="29" s="1"/>
  <c r="M109" i="29" s="1"/>
  <c r="N109" i="29" s="1"/>
  <c r="O109" i="29" s="1"/>
  <c r="P109" i="29" s="1"/>
  <c r="Q109" i="29" s="1"/>
  <c r="R109" i="29" s="1"/>
  <c r="S109" i="29" s="1"/>
  <c r="T109" i="29" s="1"/>
  <c r="U109" i="29" s="1"/>
  <c r="V109" i="29" s="1"/>
  <c r="W109" i="29" s="1"/>
  <c r="X109" i="29" s="1"/>
  <c r="Y109" i="29" s="1"/>
  <c r="Z109" i="29" s="1"/>
  <c r="AA109" i="29" s="1"/>
  <c r="AB109" i="29" s="1"/>
  <c r="AC109" i="29" s="1"/>
  <c r="AD109" i="29" s="1"/>
  <c r="AE109" i="29" s="1"/>
  <c r="AF109" i="29" s="1"/>
  <c r="D108" i="29"/>
  <c r="E108" i="29" s="1"/>
  <c r="F108" i="29" s="1"/>
  <c r="G108" i="29" s="1"/>
  <c r="H108" i="29" s="1"/>
  <c r="I108" i="29" s="1"/>
  <c r="J108" i="29" s="1"/>
  <c r="K108" i="29" s="1"/>
  <c r="L108" i="29" s="1"/>
  <c r="M108" i="29" s="1"/>
  <c r="N108" i="29" s="1"/>
  <c r="O108" i="29" s="1"/>
  <c r="P108" i="29" s="1"/>
  <c r="Q108" i="29" s="1"/>
  <c r="R108" i="29" s="1"/>
  <c r="S108" i="29" s="1"/>
  <c r="T108" i="29" s="1"/>
  <c r="U108" i="29" s="1"/>
  <c r="V108" i="29" s="1"/>
  <c r="W108" i="29" s="1"/>
  <c r="X108" i="29" s="1"/>
  <c r="Y108" i="29" s="1"/>
  <c r="Z108" i="29" s="1"/>
  <c r="AA108" i="29" s="1"/>
  <c r="AB108" i="29" s="1"/>
  <c r="AC108" i="29" s="1"/>
  <c r="AD108" i="29" s="1"/>
  <c r="AE108" i="29" s="1"/>
  <c r="AF108" i="29" s="1"/>
  <c r="D107" i="29"/>
  <c r="E107" i="29" s="1"/>
  <c r="F107" i="29" s="1"/>
  <c r="G107" i="29" s="1"/>
  <c r="H107" i="29" s="1"/>
  <c r="I107" i="29" s="1"/>
  <c r="J107" i="29" s="1"/>
  <c r="K107" i="29" s="1"/>
  <c r="L107" i="29" s="1"/>
  <c r="M107" i="29" s="1"/>
  <c r="N107" i="29" s="1"/>
  <c r="O107" i="29" s="1"/>
  <c r="P107" i="29" s="1"/>
  <c r="Q107" i="29" s="1"/>
  <c r="R107" i="29" s="1"/>
  <c r="S107" i="29" s="1"/>
  <c r="T107" i="29" s="1"/>
  <c r="U107" i="29" s="1"/>
  <c r="V107" i="29" s="1"/>
  <c r="W107" i="29" s="1"/>
  <c r="X107" i="29" s="1"/>
  <c r="Y107" i="29" s="1"/>
  <c r="Z107" i="29" s="1"/>
  <c r="AA107" i="29" s="1"/>
  <c r="AB107" i="29" s="1"/>
  <c r="AC107" i="29" s="1"/>
  <c r="AD107" i="29" s="1"/>
  <c r="AE107" i="29" s="1"/>
  <c r="AF107" i="29" s="1"/>
  <c r="E104" i="29"/>
  <c r="F104" i="29" s="1"/>
  <c r="G104" i="29" s="1"/>
  <c r="H104" i="29" s="1"/>
  <c r="I104" i="29" s="1"/>
  <c r="J104" i="29" s="1"/>
  <c r="K104" i="29" s="1"/>
  <c r="L104" i="29" s="1"/>
  <c r="M104" i="29" s="1"/>
  <c r="N104" i="29" s="1"/>
  <c r="O104" i="29" s="1"/>
  <c r="P104" i="29" s="1"/>
  <c r="Q104" i="29" s="1"/>
  <c r="R104" i="29" s="1"/>
  <c r="S104" i="29" s="1"/>
  <c r="T104" i="29" s="1"/>
  <c r="U104" i="29" s="1"/>
  <c r="V104" i="29" s="1"/>
  <c r="W104" i="29" s="1"/>
  <c r="X104" i="29" s="1"/>
  <c r="Y104" i="29" s="1"/>
  <c r="Z104" i="29" s="1"/>
  <c r="AA104" i="29" s="1"/>
  <c r="AB104" i="29" s="1"/>
  <c r="AC104" i="29" s="1"/>
  <c r="AD104" i="29" s="1"/>
  <c r="AE104" i="29" s="1"/>
  <c r="AF104" i="29" s="1"/>
  <c r="D104" i="29"/>
  <c r="D210" i="19"/>
  <c r="E210" i="19" s="1"/>
  <c r="F210" i="19" s="1"/>
  <c r="G210" i="19" s="1"/>
  <c r="H210" i="19" s="1"/>
  <c r="I210" i="19" s="1"/>
  <c r="J210" i="19" s="1"/>
  <c r="K210" i="19" s="1"/>
  <c r="L210" i="19" s="1"/>
  <c r="M210" i="19" s="1"/>
  <c r="N210" i="19" s="1"/>
  <c r="O210" i="19" s="1"/>
  <c r="P210" i="19" s="1"/>
  <c r="Q210" i="19" s="1"/>
  <c r="R210" i="19" s="1"/>
  <c r="S210" i="19" s="1"/>
  <c r="T210" i="19" s="1"/>
  <c r="U210" i="19" s="1"/>
  <c r="V210" i="19" s="1"/>
  <c r="W210" i="19" s="1"/>
  <c r="X210" i="19" s="1"/>
  <c r="Y210" i="19" s="1"/>
  <c r="Z210" i="19" s="1"/>
  <c r="AA210" i="19" s="1"/>
  <c r="AB210" i="19" s="1"/>
  <c r="AC210" i="19" s="1"/>
  <c r="AD210" i="19" s="1"/>
  <c r="AE210" i="19" s="1"/>
  <c r="AF210" i="19" s="1"/>
  <c r="E209" i="19"/>
  <c r="F209" i="19" s="1"/>
  <c r="G209" i="19" s="1"/>
  <c r="H209" i="19" s="1"/>
  <c r="I209" i="19" s="1"/>
  <c r="J209" i="19" s="1"/>
  <c r="K209" i="19" s="1"/>
  <c r="L209" i="19" s="1"/>
  <c r="M209" i="19" s="1"/>
  <c r="N209" i="19" s="1"/>
  <c r="O209" i="19" s="1"/>
  <c r="P209" i="19" s="1"/>
  <c r="Q209" i="19" s="1"/>
  <c r="R209" i="19" s="1"/>
  <c r="S209" i="19" s="1"/>
  <c r="T209" i="19" s="1"/>
  <c r="U209" i="19" s="1"/>
  <c r="V209" i="19" s="1"/>
  <c r="W209" i="19" s="1"/>
  <c r="X209" i="19" s="1"/>
  <c r="Y209" i="19" s="1"/>
  <c r="Z209" i="19" s="1"/>
  <c r="AA209" i="19" s="1"/>
  <c r="AB209" i="19" s="1"/>
  <c r="AC209" i="19" s="1"/>
  <c r="AD209" i="19" s="1"/>
  <c r="AE209" i="19" s="1"/>
  <c r="AF209" i="19" s="1"/>
  <c r="D209" i="19"/>
  <c r="D208" i="19"/>
  <c r="E208" i="19" s="1"/>
  <c r="F208" i="19" s="1"/>
  <c r="G208" i="19" s="1"/>
  <c r="H208" i="19" s="1"/>
  <c r="I208" i="19" s="1"/>
  <c r="J208" i="19" s="1"/>
  <c r="K208" i="19" s="1"/>
  <c r="L208" i="19" s="1"/>
  <c r="M208" i="19" s="1"/>
  <c r="N208" i="19" s="1"/>
  <c r="O208" i="19" s="1"/>
  <c r="P208" i="19" s="1"/>
  <c r="Q208" i="19" s="1"/>
  <c r="R208" i="19" s="1"/>
  <c r="S208" i="19" s="1"/>
  <c r="T208" i="19" s="1"/>
  <c r="U208" i="19" s="1"/>
  <c r="V208" i="19" s="1"/>
  <c r="W208" i="19" s="1"/>
  <c r="X208" i="19" s="1"/>
  <c r="Y208" i="19" s="1"/>
  <c r="Z208" i="19" s="1"/>
  <c r="AA208" i="19" s="1"/>
  <c r="AB208" i="19" s="1"/>
  <c r="AC208" i="19" s="1"/>
  <c r="AD208" i="19" s="1"/>
  <c r="AE208" i="19" s="1"/>
  <c r="AF208" i="19" s="1"/>
  <c r="D207" i="19"/>
  <c r="E207" i="19" s="1"/>
  <c r="F207" i="19" s="1"/>
  <c r="G207" i="19" s="1"/>
  <c r="H207" i="19" s="1"/>
  <c r="I207" i="19" s="1"/>
  <c r="J207" i="19" s="1"/>
  <c r="K207" i="19" s="1"/>
  <c r="L207" i="19" s="1"/>
  <c r="M207" i="19" s="1"/>
  <c r="N207" i="19" s="1"/>
  <c r="O207" i="19" s="1"/>
  <c r="P207" i="19" s="1"/>
  <c r="Q207" i="19" s="1"/>
  <c r="R207" i="19" s="1"/>
  <c r="S207" i="19" s="1"/>
  <c r="T207" i="19" s="1"/>
  <c r="U207" i="19" s="1"/>
  <c r="V207" i="19" s="1"/>
  <c r="W207" i="19" s="1"/>
  <c r="X207" i="19" s="1"/>
  <c r="Y207" i="19" s="1"/>
  <c r="Z207" i="19" s="1"/>
  <c r="AA207" i="19" s="1"/>
  <c r="AB207" i="19" s="1"/>
  <c r="AC207" i="19" s="1"/>
  <c r="AD207" i="19" s="1"/>
  <c r="AE207" i="19" s="1"/>
  <c r="AF207" i="19" s="1"/>
  <c r="D204" i="19"/>
  <c r="E204" i="19" s="1"/>
  <c r="F204" i="19" s="1"/>
  <c r="G204" i="19" s="1"/>
  <c r="H204" i="19" s="1"/>
  <c r="I204" i="19" s="1"/>
  <c r="J204" i="19" s="1"/>
  <c r="K204" i="19" s="1"/>
  <c r="L204" i="19" s="1"/>
  <c r="M204" i="19" s="1"/>
  <c r="N204" i="19" s="1"/>
  <c r="O204" i="19" s="1"/>
  <c r="P204" i="19" s="1"/>
  <c r="Q204" i="19" s="1"/>
  <c r="R204" i="19" s="1"/>
  <c r="S204" i="19" s="1"/>
  <c r="T204" i="19" s="1"/>
  <c r="U204" i="19" s="1"/>
  <c r="V204" i="19" s="1"/>
  <c r="W204" i="19" s="1"/>
  <c r="X204" i="19" s="1"/>
  <c r="Y204" i="19" s="1"/>
  <c r="Z204" i="19" s="1"/>
  <c r="AA204" i="19" s="1"/>
  <c r="AB204" i="19" s="1"/>
  <c r="AC204" i="19" s="1"/>
  <c r="AD204" i="19" s="1"/>
  <c r="AE204" i="19" s="1"/>
  <c r="AF204" i="19" s="1"/>
  <c r="D203" i="19"/>
  <c r="E203" i="19" s="1"/>
  <c r="F203" i="19" s="1"/>
  <c r="G203" i="19" s="1"/>
  <c r="H203" i="19" s="1"/>
  <c r="I203" i="19" s="1"/>
  <c r="J203" i="19" s="1"/>
  <c r="K203" i="19" s="1"/>
  <c r="L203" i="19" s="1"/>
  <c r="M203" i="19" s="1"/>
  <c r="N203" i="19" s="1"/>
  <c r="O203" i="19" s="1"/>
  <c r="P203" i="19" s="1"/>
  <c r="Q203" i="19" s="1"/>
  <c r="R203" i="19" s="1"/>
  <c r="S203" i="19" s="1"/>
  <c r="T203" i="19" s="1"/>
  <c r="U203" i="19" s="1"/>
  <c r="V203" i="19" s="1"/>
  <c r="W203" i="19" s="1"/>
  <c r="X203" i="19" s="1"/>
  <c r="Y203" i="19" s="1"/>
  <c r="Z203" i="19" s="1"/>
  <c r="AA203" i="19" s="1"/>
  <c r="AB203" i="19" s="1"/>
  <c r="AC203" i="19" s="1"/>
  <c r="AD203" i="19" s="1"/>
  <c r="AE203" i="19" s="1"/>
  <c r="AF203" i="19" s="1"/>
  <c r="D202" i="19"/>
  <c r="E202" i="19" s="1"/>
  <c r="F202" i="19" s="1"/>
  <c r="G202" i="19" s="1"/>
  <c r="H202" i="19" s="1"/>
  <c r="I202" i="19" s="1"/>
  <c r="J202" i="19" s="1"/>
  <c r="K202" i="19" s="1"/>
  <c r="L202" i="19" s="1"/>
  <c r="M202" i="19" s="1"/>
  <c r="N202" i="19" s="1"/>
  <c r="O202" i="19" s="1"/>
  <c r="P202" i="19" s="1"/>
  <c r="Q202" i="19" s="1"/>
  <c r="R202" i="19" s="1"/>
  <c r="S202" i="19" s="1"/>
  <c r="T202" i="19" s="1"/>
  <c r="U202" i="19" s="1"/>
  <c r="V202" i="19" s="1"/>
  <c r="W202" i="19" s="1"/>
  <c r="X202" i="19" s="1"/>
  <c r="Y202" i="19" s="1"/>
  <c r="Z202" i="19" s="1"/>
  <c r="AA202" i="19" s="1"/>
  <c r="AB202" i="19" s="1"/>
  <c r="AC202" i="19" s="1"/>
  <c r="AD202" i="19" s="1"/>
  <c r="AE202" i="19" s="1"/>
  <c r="AF202" i="19" s="1"/>
  <c r="D201" i="19"/>
  <c r="E201" i="19" s="1"/>
  <c r="F201" i="19" s="1"/>
  <c r="G201" i="19" s="1"/>
  <c r="H201" i="19" s="1"/>
  <c r="I201" i="19" s="1"/>
  <c r="J201" i="19" s="1"/>
  <c r="K201" i="19" s="1"/>
  <c r="L201" i="19" s="1"/>
  <c r="M201" i="19" s="1"/>
  <c r="N201" i="19" s="1"/>
  <c r="O201" i="19" s="1"/>
  <c r="P201" i="19" s="1"/>
  <c r="Q201" i="19" s="1"/>
  <c r="R201" i="19" s="1"/>
  <c r="S201" i="19" s="1"/>
  <c r="T201" i="19" s="1"/>
  <c r="U201" i="19" s="1"/>
  <c r="V201" i="19" s="1"/>
  <c r="W201" i="19" s="1"/>
  <c r="X201" i="19" s="1"/>
  <c r="Y201" i="19" s="1"/>
  <c r="Z201" i="19" s="1"/>
  <c r="AA201" i="19" s="1"/>
  <c r="AB201" i="19" s="1"/>
  <c r="AC201" i="19" s="1"/>
  <c r="AD201" i="19" s="1"/>
  <c r="AE201" i="19" s="1"/>
  <c r="AF201" i="19" s="1"/>
  <c r="F200" i="19"/>
  <c r="G200" i="19" s="1"/>
  <c r="H200" i="19" s="1"/>
  <c r="I200" i="19" s="1"/>
  <c r="J200" i="19" s="1"/>
  <c r="K200" i="19" s="1"/>
  <c r="L200" i="19" s="1"/>
  <c r="M200" i="19" s="1"/>
  <c r="N200" i="19" s="1"/>
  <c r="O200" i="19" s="1"/>
  <c r="P200" i="19" s="1"/>
  <c r="Q200" i="19" s="1"/>
  <c r="R200" i="19" s="1"/>
  <c r="S200" i="19" s="1"/>
  <c r="T200" i="19" s="1"/>
  <c r="U200" i="19" s="1"/>
  <c r="V200" i="19" s="1"/>
  <c r="W200" i="19" s="1"/>
  <c r="X200" i="19" s="1"/>
  <c r="Y200" i="19" s="1"/>
  <c r="Z200" i="19" s="1"/>
  <c r="AA200" i="19" s="1"/>
  <c r="AB200" i="19" s="1"/>
  <c r="AC200" i="19" s="1"/>
  <c r="AD200" i="19" s="1"/>
  <c r="AE200" i="19" s="1"/>
  <c r="AF200" i="19" s="1"/>
  <c r="D200" i="19"/>
  <c r="E200" i="19" s="1"/>
  <c r="D199" i="19"/>
  <c r="E199" i="19" s="1"/>
  <c r="F199" i="19" s="1"/>
  <c r="G199" i="19" s="1"/>
  <c r="H199" i="19" s="1"/>
  <c r="I199" i="19" s="1"/>
  <c r="J199" i="19" s="1"/>
  <c r="K199" i="19" s="1"/>
  <c r="L199" i="19" s="1"/>
  <c r="M199" i="19" s="1"/>
  <c r="N199" i="19" s="1"/>
  <c r="O199" i="19" s="1"/>
  <c r="P199" i="19" s="1"/>
  <c r="Q199" i="19" s="1"/>
  <c r="R199" i="19" s="1"/>
  <c r="S199" i="19" s="1"/>
  <c r="T199" i="19" s="1"/>
  <c r="U199" i="19" s="1"/>
  <c r="V199" i="19" s="1"/>
  <c r="W199" i="19" s="1"/>
  <c r="X199" i="19" s="1"/>
  <c r="Y199" i="19" s="1"/>
  <c r="Z199" i="19" s="1"/>
  <c r="AA199" i="19" s="1"/>
  <c r="AB199" i="19" s="1"/>
  <c r="AC199" i="19" s="1"/>
  <c r="AD199" i="19" s="1"/>
  <c r="AE199" i="19" s="1"/>
  <c r="AF199" i="19" s="1"/>
  <c r="D198" i="19"/>
  <c r="E198" i="19" s="1"/>
  <c r="F198" i="19" s="1"/>
  <c r="G198" i="19" s="1"/>
  <c r="H198" i="19" s="1"/>
  <c r="I198" i="19" s="1"/>
  <c r="J198" i="19" s="1"/>
  <c r="K198" i="19" s="1"/>
  <c r="L198" i="19" s="1"/>
  <c r="M198" i="19" s="1"/>
  <c r="N198" i="19" s="1"/>
  <c r="O198" i="19" s="1"/>
  <c r="P198" i="19" s="1"/>
  <c r="Q198" i="19" s="1"/>
  <c r="R198" i="19" s="1"/>
  <c r="S198" i="19" s="1"/>
  <c r="T198" i="19" s="1"/>
  <c r="U198" i="19" s="1"/>
  <c r="V198" i="19" s="1"/>
  <c r="W198" i="19" s="1"/>
  <c r="X198" i="19" s="1"/>
  <c r="Y198" i="19" s="1"/>
  <c r="Z198" i="19" s="1"/>
  <c r="AA198" i="19" s="1"/>
  <c r="AB198" i="19" s="1"/>
  <c r="AC198" i="19" s="1"/>
  <c r="AD198" i="19" s="1"/>
  <c r="AE198" i="19" s="1"/>
  <c r="AF198" i="19" s="1"/>
  <c r="AG197" i="19"/>
  <c r="C197" i="19"/>
  <c r="D196" i="19"/>
  <c r="E196" i="19" s="1"/>
  <c r="F196" i="19" s="1"/>
  <c r="G196" i="19" s="1"/>
  <c r="H196" i="19" s="1"/>
  <c r="I196" i="19" s="1"/>
  <c r="J196" i="19" s="1"/>
  <c r="K196" i="19" s="1"/>
  <c r="L196" i="19" s="1"/>
  <c r="M196" i="19" s="1"/>
  <c r="N196" i="19" s="1"/>
  <c r="O196" i="19" s="1"/>
  <c r="P196" i="19" s="1"/>
  <c r="Q196" i="19" s="1"/>
  <c r="R196" i="19" s="1"/>
  <c r="S196" i="19" s="1"/>
  <c r="T196" i="19" s="1"/>
  <c r="U196" i="19" s="1"/>
  <c r="V196" i="19" s="1"/>
  <c r="W196" i="19" s="1"/>
  <c r="X196" i="19" s="1"/>
  <c r="Y196" i="19" s="1"/>
  <c r="Z196" i="19" s="1"/>
  <c r="AA196" i="19" s="1"/>
  <c r="AB196" i="19" s="1"/>
  <c r="AC196" i="19" s="1"/>
  <c r="AD196" i="19" s="1"/>
  <c r="AE196" i="19" s="1"/>
  <c r="AF196" i="19" s="1"/>
  <c r="D195" i="19"/>
  <c r="E195" i="19" s="1"/>
  <c r="F195" i="19" s="1"/>
  <c r="G195" i="19" s="1"/>
  <c r="H195" i="19" s="1"/>
  <c r="I195" i="19" s="1"/>
  <c r="J195" i="19" s="1"/>
  <c r="K195" i="19" s="1"/>
  <c r="L195" i="19" s="1"/>
  <c r="M195" i="19" s="1"/>
  <c r="N195" i="19" s="1"/>
  <c r="O195" i="19" s="1"/>
  <c r="P195" i="19" s="1"/>
  <c r="Q195" i="19" s="1"/>
  <c r="R195" i="19" s="1"/>
  <c r="S195" i="19" s="1"/>
  <c r="T195" i="19" s="1"/>
  <c r="U195" i="19" s="1"/>
  <c r="V195" i="19" s="1"/>
  <c r="W195" i="19" s="1"/>
  <c r="X195" i="19" s="1"/>
  <c r="Y195" i="19" s="1"/>
  <c r="Z195" i="19" s="1"/>
  <c r="AA195" i="19" s="1"/>
  <c r="AB195" i="19" s="1"/>
  <c r="AC195" i="19" s="1"/>
  <c r="AD195" i="19" s="1"/>
  <c r="AE195" i="19" s="1"/>
  <c r="AF195" i="19" s="1"/>
  <c r="F194" i="19"/>
  <c r="G194" i="19" s="1"/>
  <c r="H194" i="19" s="1"/>
  <c r="I194" i="19" s="1"/>
  <c r="J194" i="19" s="1"/>
  <c r="K194" i="19" s="1"/>
  <c r="L194" i="19" s="1"/>
  <c r="M194" i="19" s="1"/>
  <c r="N194" i="19" s="1"/>
  <c r="O194" i="19" s="1"/>
  <c r="P194" i="19" s="1"/>
  <c r="Q194" i="19" s="1"/>
  <c r="R194" i="19" s="1"/>
  <c r="S194" i="19" s="1"/>
  <c r="T194" i="19" s="1"/>
  <c r="U194" i="19" s="1"/>
  <c r="V194" i="19" s="1"/>
  <c r="W194" i="19" s="1"/>
  <c r="X194" i="19" s="1"/>
  <c r="Y194" i="19" s="1"/>
  <c r="Z194" i="19" s="1"/>
  <c r="AA194" i="19" s="1"/>
  <c r="AB194" i="19" s="1"/>
  <c r="AC194" i="19" s="1"/>
  <c r="AD194" i="19" s="1"/>
  <c r="AE194" i="19" s="1"/>
  <c r="AF194" i="19" s="1"/>
  <c r="D194" i="19"/>
  <c r="E194" i="19" s="1"/>
  <c r="AG193" i="19"/>
  <c r="C193" i="19"/>
  <c r="D192" i="19"/>
  <c r="E192" i="19" s="1"/>
  <c r="F192" i="19" s="1"/>
  <c r="F193" i="19" s="1"/>
  <c r="AG191" i="19"/>
  <c r="C191" i="19"/>
  <c r="D189" i="19"/>
  <c r="E189" i="19" s="1"/>
  <c r="F189" i="19" s="1"/>
  <c r="G189" i="19" s="1"/>
  <c r="H189" i="19" s="1"/>
  <c r="I189" i="19" s="1"/>
  <c r="J189" i="19" s="1"/>
  <c r="K189" i="19" s="1"/>
  <c r="L189" i="19" s="1"/>
  <c r="M189" i="19" s="1"/>
  <c r="N189" i="19" s="1"/>
  <c r="O189" i="19" s="1"/>
  <c r="P189" i="19" s="1"/>
  <c r="Q189" i="19" s="1"/>
  <c r="R189" i="19" s="1"/>
  <c r="S189" i="19" s="1"/>
  <c r="T189" i="19" s="1"/>
  <c r="U189" i="19" s="1"/>
  <c r="V189" i="19" s="1"/>
  <c r="W189" i="19" s="1"/>
  <c r="X189" i="19" s="1"/>
  <c r="Y189" i="19" s="1"/>
  <c r="Z189" i="19" s="1"/>
  <c r="AA189" i="19" s="1"/>
  <c r="AB189" i="19" s="1"/>
  <c r="AC189" i="19" s="1"/>
  <c r="AD189" i="19" s="1"/>
  <c r="AE189" i="19" s="1"/>
  <c r="AF189" i="19" s="1"/>
  <c r="D188" i="19"/>
  <c r="E188" i="19" s="1"/>
  <c r="F188" i="19" s="1"/>
  <c r="G188" i="19" s="1"/>
  <c r="H188" i="19" s="1"/>
  <c r="I188" i="19" s="1"/>
  <c r="J188" i="19" s="1"/>
  <c r="K188" i="19" s="1"/>
  <c r="L188" i="19" s="1"/>
  <c r="M188" i="19" s="1"/>
  <c r="N188" i="19" s="1"/>
  <c r="O188" i="19" s="1"/>
  <c r="P188" i="19" s="1"/>
  <c r="Q188" i="19" s="1"/>
  <c r="R188" i="19" s="1"/>
  <c r="S188" i="19" s="1"/>
  <c r="T188" i="19" s="1"/>
  <c r="U188" i="19" s="1"/>
  <c r="V188" i="19" s="1"/>
  <c r="W188" i="19" s="1"/>
  <c r="X188" i="19" s="1"/>
  <c r="Y188" i="19" s="1"/>
  <c r="Z188" i="19" s="1"/>
  <c r="AA188" i="19" s="1"/>
  <c r="AB188" i="19" s="1"/>
  <c r="AC188" i="19" s="1"/>
  <c r="AD188" i="19" s="1"/>
  <c r="AE188" i="19" s="1"/>
  <c r="AF188" i="19" s="1"/>
  <c r="D187" i="19"/>
  <c r="E187" i="19" s="1"/>
  <c r="F187" i="19" s="1"/>
  <c r="G187" i="19" s="1"/>
  <c r="H187" i="19" s="1"/>
  <c r="I187" i="19" s="1"/>
  <c r="J187" i="19" s="1"/>
  <c r="K187" i="19" s="1"/>
  <c r="L187" i="19" s="1"/>
  <c r="M187" i="19" s="1"/>
  <c r="N187" i="19" s="1"/>
  <c r="O187" i="19" s="1"/>
  <c r="P187" i="19" s="1"/>
  <c r="Q187" i="19" s="1"/>
  <c r="R187" i="19" s="1"/>
  <c r="S187" i="19" s="1"/>
  <c r="T187" i="19" s="1"/>
  <c r="U187" i="19" s="1"/>
  <c r="V187" i="19" s="1"/>
  <c r="W187" i="19" s="1"/>
  <c r="X187" i="19" s="1"/>
  <c r="Y187" i="19" s="1"/>
  <c r="Z187" i="19" s="1"/>
  <c r="AA187" i="19" s="1"/>
  <c r="AB187" i="19" s="1"/>
  <c r="AC187" i="19" s="1"/>
  <c r="AD187" i="19" s="1"/>
  <c r="AE187" i="19" s="1"/>
  <c r="AF187" i="19" s="1"/>
  <c r="D186" i="19"/>
  <c r="E186" i="19" s="1"/>
  <c r="F186" i="19" s="1"/>
  <c r="G186" i="19" s="1"/>
  <c r="H186" i="19" s="1"/>
  <c r="I186" i="19" s="1"/>
  <c r="J186" i="19" s="1"/>
  <c r="K186" i="19" s="1"/>
  <c r="L186" i="19" s="1"/>
  <c r="M186" i="19" s="1"/>
  <c r="N186" i="19" s="1"/>
  <c r="O186" i="19" s="1"/>
  <c r="P186" i="19" s="1"/>
  <c r="Q186" i="19" s="1"/>
  <c r="R186" i="19" s="1"/>
  <c r="S186" i="19" s="1"/>
  <c r="T186" i="19" s="1"/>
  <c r="U186" i="19" s="1"/>
  <c r="V186" i="19" s="1"/>
  <c r="W186" i="19" s="1"/>
  <c r="X186" i="19" s="1"/>
  <c r="Y186" i="19" s="1"/>
  <c r="Z186" i="19" s="1"/>
  <c r="AA186" i="19" s="1"/>
  <c r="AB186" i="19" s="1"/>
  <c r="AC186" i="19" s="1"/>
  <c r="AD186" i="19" s="1"/>
  <c r="AE186" i="19" s="1"/>
  <c r="AF186" i="19" s="1"/>
  <c r="E183" i="19"/>
  <c r="F183" i="19" s="1"/>
  <c r="G183" i="19" s="1"/>
  <c r="H183" i="19" s="1"/>
  <c r="I183" i="19" s="1"/>
  <c r="J183" i="19" s="1"/>
  <c r="K183" i="19" s="1"/>
  <c r="L183" i="19" s="1"/>
  <c r="M183" i="19" s="1"/>
  <c r="N183" i="19" s="1"/>
  <c r="O183" i="19" s="1"/>
  <c r="P183" i="19" s="1"/>
  <c r="Q183" i="19" s="1"/>
  <c r="R183" i="19" s="1"/>
  <c r="S183" i="19" s="1"/>
  <c r="T183" i="19" s="1"/>
  <c r="U183" i="19" s="1"/>
  <c r="V183" i="19" s="1"/>
  <c r="W183" i="19" s="1"/>
  <c r="X183" i="19" s="1"/>
  <c r="Y183" i="19" s="1"/>
  <c r="Z183" i="19" s="1"/>
  <c r="AA183" i="19" s="1"/>
  <c r="AB183" i="19" s="1"/>
  <c r="AC183" i="19" s="1"/>
  <c r="AD183" i="19" s="1"/>
  <c r="AE183" i="19" s="1"/>
  <c r="AF183" i="19" s="1"/>
  <c r="D183" i="19"/>
  <c r="D252" i="20"/>
  <c r="E252" i="20" s="1"/>
  <c r="F252" i="20" s="1"/>
  <c r="G252" i="20" s="1"/>
  <c r="H252" i="20" s="1"/>
  <c r="I252" i="20" s="1"/>
  <c r="J252" i="20" s="1"/>
  <c r="K252" i="20" s="1"/>
  <c r="L252" i="20" s="1"/>
  <c r="M252" i="20" s="1"/>
  <c r="N252" i="20" s="1"/>
  <c r="O252" i="20" s="1"/>
  <c r="P252" i="20" s="1"/>
  <c r="Q252" i="20" s="1"/>
  <c r="R252" i="20" s="1"/>
  <c r="S252" i="20" s="1"/>
  <c r="T252" i="20" s="1"/>
  <c r="U252" i="20" s="1"/>
  <c r="V252" i="20" s="1"/>
  <c r="W252" i="20" s="1"/>
  <c r="X252" i="20" s="1"/>
  <c r="Y252" i="20" s="1"/>
  <c r="Z252" i="20" s="1"/>
  <c r="AA252" i="20" s="1"/>
  <c r="AB252" i="20" s="1"/>
  <c r="AC252" i="20" s="1"/>
  <c r="AD252" i="20" s="1"/>
  <c r="AE252" i="20" s="1"/>
  <c r="AF252" i="20" s="1"/>
  <c r="E251" i="20"/>
  <c r="F251" i="20" s="1"/>
  <c r="G251" i="20" s="1"/>
  <c r="H251" i="20" s="1"/>
  <c r="I251" i="20" s="1"/>
  <c r="J251" i="20" s="1"/>
  <c r="K251" i="20" s="1"/>
  <c r="L251" i="20" s="1"/>
  <c r="M251" i="20" s="1"/>
  <c r="N251" i="20" s="1"/>
  <c r="O251" i="20" s="1"/>
  <c r="P251" i="20" s="1"/>
  <c r="Q251" i="20" s="1"/>
  <c r="R251" i="20" s="1"/>
  <c r="S251" i="20" s="1"/>
  <c r="T251" i="20" s="1"/>
  <c r="U251" i="20" s="1"/>
  <c r="V251" i="20" s="1"/>
  <c r="W251" i="20" s="1"/>
  <c r="X251" i="20" s="1"/>
  <c r="Y251" i="20" s="1"/>
  <c r="Z251" i="20" s="1"/>
  <c r="AA251" i="20" s="1"/>
  <c r="AB251" i="20" s="1"/>
  <c r="AC251" i="20" s="1"/>
  <c r="AD251" i="20" s="1"/>
  <c r="AE251" i="20" s="1"/>
  <c r="AF251" i="20" s="1"/>
  <c r="D251" i="20"/>
  <c r="D250" i="20"/>
  <c r="E250" i="20" s="1"/>
  <c r="F250" i="20" s="1"/>
  <c r="G250" i="20" s="1"/>
  <c r="H250" i="20" s="1"/>
  <c r="I250" i="20" s="1"/>
  <c r="J250" i="20" s="1"/>
  <c r="K250" i="20" s="1"/>
  <c r="L250" i="20" s="1"/>
  <c r="M250" i="20" s="1"/>
  <c r="N250" i="20" s="1"/>
  <c r="O250" i="20" s="1"/>
  <c r="P250" i="20" s="1"/>
  <c r="Q250" i="20" s="1"/>
  <c r="R250" i="20" s="1"/>
  <c r="S250" i="20" s="1"/>
  <c r="T250" i="20" s="1"/>
  <c r="U250" i="20" s="1"/>
  <c r="V250" i="20" s="1"/>
  <c r="W250" i="20" s="1"/>
  <c r="X250" i="20" s="1"/>
  <c r="Y250" i="20" s="1"/>
  <c r="Z250" i="20" s="1"/>
  <c r="AA250" i="20" s="1"/>
  <c r="AB250" i="20" s="1"/>
  <c r="AC250" i="20" s="1"/>
  <c r="AD250" i="20" s="1"/>
  <c r="AE250" i="20" s="1"/>
  <c r="AF250" i="20" s="1"/>
  <c r="D249" i="20"/>
  <c r="E249" i="20" s="1"/>
  <c r="F249" i="20" s="1"/>
  <c r="G249" i="20" s="1"/>
  <c r="H249" i="20" s="1"/>
  <c r="I249" i="20" s="1"/>
  <c r="J249" i="20" s="1"/>
  <c r="K249" i="20" s="1"/>
  <c r="L249" i="20" s="1"/>
  <c r="M249" i="20" s="1"/>
  <c r="N249" i="20" s="1"/>
  <c r="O249" i="20" s="1"/>
  <c r="P249" i="20" s="1"/>
  <c r="Q249" i="20" s="1"/>
  <c r="R249" i="20" s="1"/>
  <c r="S249" i="20" s="1"/>
  <c r="T249" i="20" s="1"/>
  <c r="U249" i="20" s="1"/>
  <c r="V249" i="20" s="1"/>
  <c r="W249" i="20" s="1"/>
  <c r="X249" i="20" s="1"/>
  <c r="Y249" i="20" s="1"/>
  <c r="Z249" i="20" s="1"/>
  <c r="AA249" i="20" s="1"/>
  <c r="AB249" i="20" s="1"/>
  <c r="AC249" i="20" s="1"/>
  <c r="AD249" i="20" s="1"/>
  <c r="AE249" i="20" s="1"/>
  <c r="AF249" i="20" s="1"/>
  <c r="D248" i="20"/>
  <c r="E248" i="20" s="1"/>
  <c r="F248" i="20" s="1"/>
  <c r="G248" i="20" s="1"/>
  <c r="H248" i="20" s="1"/>
  <c r="I248" i="20" s="1"/>
  <c r="J248" i="20" s="1"/>
  <c r="K248" i="20" s="1"/>
  <c r="L248" i="20" s="1"/>
  <c r="M248" i="20" s="1"/>
  <c r="N248" i="20" s="1"/>
  <c r="O248" i="20" s="1"/>
  <c r="P248" i="20" s="1"/>
  <c r="Q248" i="20" s="1"/>
  <c r="R248" i="20" s="1"/>
  <c r="S248" i="20" s="1"/>
  <c r="T248" i="20" s="1"/>
  <c r="U248" i="20" s="1"/>
  <c r="V248" i="20" s="1"/>
  <c r="W248" i="20" s="1"/>
  <c r="X248" i="20" s="1"/>
  <c r="Y248" i="20" s="1"/>
  <c r="Z248" i="20" s="1"/>
  <c r="AA248" i="20" s="1"/>
  <c r="AB248" i="20" s="1"/>
  <c r="AC248" i="20" s="1"/>
  <c r="AD248" i="20" s="1"/>
  <c r="AE248" i="20" s="1"/>
  <c r="AF248" i="20" s="1"/>
  <c r="D247" i="20"/>
  <c r="E247" i="20" s="1"/>
  <c r="F247" i="20" s="1"/>
  <c r="G247" i="20" s="1"/>
  <c r="H247" i="20" s="1"/>
  <c r="I247" i="20" s="1"/>
  <c r="J247" i="20" s="1"/>
  <c r="K247" i="20" s="1"/>
  <c r="L247" i="20" s="1"/>
  <c r="M247" i="20" s="1"/>
  <c r="N247" i="20" s="1"/>
  <c r="O247" i="20" s="1"/>
  <c r="P247" i="20" s="1"/>
  <c r="Q247" i="20" s="1"/>
  <c r="R247" i="20" s="1"/>
  <c r="S247" i="20" s="1"/>
  <c r="T247" i="20" s="1"/>
  <c r="U247" i="20" s="1"/>
  <c r="V247" i="20" s="1"/>
  <c r="W247" i="20" s="1"/>
  <c r="X247" i="20" s="1"/>
  <c r="Y247" i="20" s="1"/>
  <c r="Z247" i="20" s="1"/>
  <c r="AA247" i="20" s="1"/>
  <c r="AB247" i="20" s="1"/>
  <c r="AC247" i="20" s="1"/>
  <c r="AD247" i="20" s="1"/>
  <c r="AE247" i="20" s="1"/>
  <c r="AF247" i="20" s="1"/>
  <c r="D246" i="20"/>
  <c r="E246" i="20" s="1"/>
  <c r="F246" i="20" s="1"/>
  <c r="G246" i="20" s="1"/>
  <c r="H246" i="20" s="1"/>
  <c r="I246" i="20" s="1"/>
  <c r="J246" i="20" s="1"/>
  <c r="K246" i="20" s="1"/>
  <c r="L246" i="20" s="1"/>
  <c r="M246" i="20" s="1"/>
  <c r="N246" i="20" s="1"/>
  <c r="O246" i="20" s="1"/>
  <c r="P246" i="20" s="1"/>
  <c r="Q246" i="20" s="1"/>
  <c r="R246" i="20" s="1"/>
  <c r="S246" i="20" s="1"/>
  <c r="T246" i="20" s="1"/>
  <c r="U246" i="20" s="1"/>
  <c r="V246" i="20" s="1"/>
  <c r="W246" i="20" s="1"/>
  <c r="X246" i="20" s="1"/>
  <c r="Y246" i="20" s="1"/>
  <c r="Z246" i="20" s="1"/>
  <c r="AA246" i="20" s="1"/>
  <c r="AB246" i="20" s="1"/>
  <c r="AC246" i="20" s="1"/>
  <c r="AD246" i="20" s="1"/>
  <c r="AE246" i="20" s="1"/>
  <c r="AF246" i="20" s="1"/>
  <c r="D245" i="20"/>
  <c r="E245" i="20" s="1"/>
  <c r="F245" i="20" s="1"/>
  <c r="G245" i="20" s="1"/>
  <c r="H245" i="20" s="1"/>
  <c r="I245" i="20" s="1"/>
  <c r="J245" i="20" s="1"/>
  <c r="K245" i="20" s="1"/>
  <c r="L245" i="20" s="1"/>
  <c r="M245" i="20" s="1"/>
  <c r="N245" i="20" s="1"/>
  <c r="O245" i="20" s="1"/>
  <c r="P245" i="20" s="1"/>
  <c r="Q245" i="20" s="1"/>
  <c r="R245" i="20" s="1"/>
  <c r="S245" i="20" s="1"/>
  <c r="T245" i="20" s="1"/>
  <c r="U245" i="20" s="1"/>
  <c r="V245" i="20" s="1"/>
  <c r="W245" i="20" s="1"/>
  <c r="X245" i="20" s="1"/>
  <c r="Y245" i="20" s="1"/>
  <c r="Z245" i="20" s="1"/>
  <c r="AA245" i="20" s="1"/>
  <c r="AB245" i="20" s="1"/>
  <c r="AC245" i="20" s="1"/>
  <c r="AD245" i="20" s="1"/>
  <c r="AE245" i="20" s="1"/>
  <c r="AF245" i="20" s="1"/>
  <c r="D244" i="20"/>
  <c r="E244" i="20" s="1"/>
  <c r="F244" i="20" s="1"/>
  <c r="G244" i="20" s="1"/>
  <c r="H244" i="20" s="1"/>
  <c r="I244" i="20" s="1"/>
  <c r="J244" i="20" s="1"/>
  <c r="K244" i="20" s="1"/>
  <c r="L244" i="20" s="1"/>
  <c r="M244" i="20" s="1"/>
  <c r="N244" i="20" s="1"/>
  <c r="O244" i="20" s="1"/>
  <c r="P244" i="20" s="1"/>
  <c r="Q244" i="20" s="1"/>
  <c r="R244" i="20" s="1"/>
  <c r="S244" i="20" s="1"/>
  <c r="T244" i="20" s="1"/>
  <c r="U244" i="20" s="1"/>
  <c r="V244" i="20" s="1"/>
  <c r="W244" i="20" s="1"/>
  <c r="X244" i="20" s="1"/>
  <c r="Y244" i="20" s="1"/>
  <c r="Z244" i="20" s="1"/>
  <c r="AA244" i="20" s="1"/>
  <c r="AB244" i="20" s="1"/>
  <c r="AC244" i="20" s="1"/>
  <c r="AD244" i="20" s="1"/>
  <c r="AE244" i="20" s="1"/>
  <c r="AF244" i="20" s="1"/>
  <c r="E243" i="20"/>
  <c r="F243" i="20" s="1"/>
  <c r="G243" i="20" s="1"/>
  <c r="H243" i="20" s="1"/>
  <c r="I243" i="20" s="1"/>
  <c r="J243" i="20" s="1"/>
  <c r="K243" i="20" s="1"/>
  <c r="L243" i="20" s="1"/>
  <c r="M243" i="20" s="1"/>
  <c r="N243" i="20" s="1"/>
  <c r="O243" i="20" s="1"/>
  <c r="P243" i="20" s="1"/>
  <c r="Q243" i="20" s="1"/>
  <c r="R243" i="20" s="1"/>
  <c r="S243" i="20" s="1"/>
  <c r="T243" i="20" s="1"/>
  <c r="U243" i="20" s="1"/>
  <c r="V243" i="20" s="1"/>
  <c r="W243" i="20" s="1"/>
  <c r="X243" i="20" s="1"/>
  <c r="Y243" i="20" s="1"/>
  <c r="Z243" i="20" s="1"/>
  <c r="AA243" i="20" s="1"/>
  <c r="AB243" i="20" s="1"/>
  <c r="AC243" i="20" s="1"/>
  <c r="AD243" i="20" s="1"/>
  <c r="AE243" i="20" s="1"/>
  <c r="AF243" i="20" s="1"/>
  <c r="D243" i="20"/>
  <c r="D242" i="20"/>
  <c r="E242" i="20" s="1"/>
  <c r="F242" i="20" s="1"/>
  <c r="G242" i="20" s="1"/>
  <c r="H242" i="20" s="1"/>
  <c r="I242" i="20" s="1"/>
  <c r="J242" i="20" s="1"/>
  <c r="K242" i="20" s="1"/>
  <c r="L242" i="20" s="1"/>
  <c r="M242" i="20" s="1"/>
  <c r="N242" i="20" s="1"/>
  <c r="O242" i="20" s="1"/>
  <c r="P242" i="20" s="1"/>
  <c r="Q242" i="20" s="1"/>
  <c r="R242" i="20" s="1"/>
  <c r="S242" i="20" s="1"/>
  <c r="T242" i="20" s="1"/>
  <c r="U242" i="20" s="1"/>
  <c r="V242" i="20" s="1"/>
  <c r="W242" i="20" s="1"/>
  <c r="X242" i="20" s="1"/>
  <c r="Y242" i="20" s="1"/>
  <c r="Z242" i="20" s="1"/>
  <c r="AA242" i="20" s="1"/>
  <c r="AB242" i="20" s="1"/>
  <c r="AC242" i="20" s="1"/>
  <c r="AD242" i="20" s="1"/>
  <c r="AE242" i="20" s="1"/>
  <c r="AF242" i="20" s="1"/>
  <c r="E241" i="20"/>
  <c r="F241" i="20" s="1"/>
  <c r="G241" i="20" s="1"/>
  <c r="H241" i="20" s="1"/>
  <c r="I241" i="20" s="1"/>
  <c r="J241" i="20" s="1"/>
  <c r="K241" i="20" s="1"/>
  <c r="L241" i="20" s="1"/>
  <c r="M241" i="20" s="1"/>
  <c r="N241" i="20" s="1"/>
  <c r="O241" i="20" s="1"/>
  <c r="P241" i="20" s="1"/>
  <c r="Q241" i="20" s="1"/>
  <c r="R241" i="20" s="1"/>
  <c r="S241" i="20" s="1"/>
  <c r="T241" i="20" s="1"/>
  <c r="U241" i="20" s="1"/>
  <c r="V241" i="20" s="1"/>
  <c r="W241" i="20" s="1"/>
  <c r="X241" i="20" s="1"/>
  <c r="Y241" i="20" s="1"/>
  <c r="Z241" i="20" s="1"/>
  <c r="AA241" i="20" s="1"/>
  <c r="AB241" i="20" s="1"/>
  <c r="AC241" i="20" s="1"/>
  <c r="AD241" i="20" s="1"/>
  <c r="AE241" i="20" s="1"/>
  <c r="AF241" i="20" s="1"/>
  <c r="D241" i="20"/>
  <c r="D240" i="20"/>
  <c r="E240" i="20" s="1"/>
  <c r="F240" i="20" s="1"/>
  <c r="G240" i="20" s="1"/>
  <c r="H240" i="20" s="1"/>
  <c r="I240" i="20" s="1"/>
  <c r="J240" i="20" s="1"/>
  <c r="K240" i="20" s="1"/>
  <c r="L240" i="20" s="1"/>
  <c r="M240" i="20" s="1"/>
  <c r="N240" i="20" s="1"/>
  <c r="O240" i="20" s="1"/>
  <c r="P240" i="20" s="1"/>
  <c r="Q240" i="20" s="1"/>
  <c r="R240" i="20" s="1"/>
  <c r="S240" i="20" s="1"/>
  <c r="T240" i="20" s="1"/>
  <c r="U240" i="20" s="1"/>
  <c r="V240" i="20" s="1"/>
  <c r="W240" i="20" s="1"/>
  <c r="X240" i="20" s="1"/>
  <c r="Y240" i="20" s="1"/>
  <c r="Z240" i="20" s="1"/>
  <c r="AA240" i="20" s="1"/>
  <c r="AB240" i="20" s="1"/>
  <c r="AC240" i="20" s="1"/>
  <c r="AD240" i="20" s="1"/>
  <c r="AE240" i="20" s="1"/>
  <c r="AF240" i="20" s="1"/>
  <c r="AG239" i="20"/>
  <c r="C239" i="20"/>
  <c r="D238" i="20"/>
  <c r="E238" i="20" s="1"/>
  <c r="F238" i="20" s="1"/>
  <c r="G238" i="20" s="1"/>
  <c r="H238" i="20" s="1"/>
  <c r="I238" i="20" s="1"/>
  <c r="J238" i="20" s="1"/>
  <c r="K238" i="20" s="1"/>
  <c r="L238" i="20" s="1"/>
  <c r="M238" i="20" s="1"/>
  <c r="N238" i="20" s="1"/>
  <c r="O238" i="20" s="1"/>
  <c r="P238" i="20" s="1"/>
  <c r="Q238" i="20" s="1"/>
  <c r="R238" i="20" s="1"/>
  <c r="S238" i="20" s="1"/>
  <c r="T238" i="20" s="1"/>
  <c r="U238" i="20" s="1"/>
  <c r="V238" i="20" s="1"/>
  <c r="W238" i="20" s="1"/>
  <c r="X238" i="20" s="1"/>
  <c r="Y238" i="20" s="1"/>
  <c r="Z238" i="20" s="1"/>
  <c r="AA238" i="20" s="1"/>
  <c r="AB238" i="20" s="1"/>
  <c r="AC238" i="20" s="1"/>
  <c r="AD238" i="20" s="1"/>
  <c r="AE238" i="20" s="1"/>
  <c r="AF238" i="20" s="1"/>
  <c r="D237" i="20"/>
  <c r="E237" i="20" s="1"/>
  <c r="F237" i="20" s="1"/>
  <c r="G237" i="20" s="1"/>
  <c r="H237" i="20" s="1"/>
  <c r="I237" i="20" s="1"/>
  <c r="J237" i="20" s="1"/>
  <c r="K237" i="20" s="1"/>
  <c r="L237" i="20" s="1"/>
  <c r="M237" i="20" s="1"/>
  <c r="N237" i="20" s="1"/>
  <c r="O237" i="20" s="1"/>
  <c r="P237" i="20" s="1"/>
  <c r="Q237" i="20" s="1"/>
  <c r="R237" i="20" s="1"/>
  <c r="S237" i="20" s="1"/>
  <c r="T237" i="20" s="1"/>
  <c r="U237" i="20" s="1"/>
  <c r="V237" i="20" s="1"/>
  <c r="W237" i="20" s="1"/>
  <c r="X237" i="20" s="1"/>
  <c r="Y237" i="20" s="1"/>
  <c r="Z237" i="20" s="1"/>
  <c r="AA237" i="20" s="1"/>
  <c r="AB237" i="20" s="1"/>
  <c r="AC237" i="20" s="1"/>
  <c r="AD237" i="20" s="1"/>
  <c r="AE237" i="20" s="1"/>
  <c r="AF237" i="20" s="1"/>
  <c r="D236" i="20"/>
  <c r="E236" i="20" s="1"/>
  <c r="F236" i="20" s="1"/>
  <c r="G236" i="20" s="1"/>
  <c r="H236" i="20" s="1"/>
  <c r="I236" i="20" s="1"/>
  <c r="J236" i="20" s="1"/>
  <c r="K236" i="20" s="1"/>
  <c r="L236" i="20" s="1"/>
  <c r="M236" i="20" s="1"/>
  <c r="N236" i="20" s="1"/>
  <c r="O236" i="20" s="1"/>
  <c r="P236" i="20" s="1"/>
  <c r="Q236" i="20" s="1"/>
  <c r="R236" i="20" s="1"/>
  <c r="S236" i="20" s="1"/>
  <c r="T236" i="20" s="1"/>
  <c r="U236" i="20" s="1"/>
  <c r="V236" i="20" s="1"/>
  <c r="W236" i="20" s="1"/>
  <c r="X236" i="20" s="1"/>
  <c r="Y236" i="20" s="1"/>
  <c r="Z236" i="20" s="1"/>
  <c r="AA236" i="20" s="1"/>
  <c r="AB236" i="20" s="1"/>
  <c r="AC236" i="20" s="1"/>
  <c r="AD236" i="20" s="1"/>
  <c r="AE236" i="20" s="1"/>
  <c r="AF236" i="20" s="1"/>
  <c r="AG235" i="20"/>
  <c r="C235" i="20"/>
  <c r="D234" i="20"/>
  <c r="E234" i="20" s="1"/>
  <c r="AG233" i="20"/>
  <c r="C233" i="20"/>
  <c r="D231" i="20"/>
  <c r="E231" i="20" s="1"/>
  <c r="F231" i="20" s="1"/>
  <c r="G231" i="20" s="1"/>
  <c r="H231" i="20" s="1"/>
  <c r="I231" i="20" s="1"/>
  <c r="J231" i="20" s="1"/>
  <c r="K231" i="20" s="1"/>
  <c r="L231" i="20" s="1"/>
  <c r="M231" i="20" s="1"/>
  <c r="N231" i="20" s="1"/>
  <c r="O231" i="20" s="1"/>
  <c r="P231" i="20" s="1"/>
  <c r="Q231" i="20" s="1"/>
  <c r="R231" i="20" s="1"/>
  <c r="S231" i="20" s="1"/>
  <c r="T231" i="20" s="1"/>
  <c r="U231" i="20" s="1"/>
  <c r="V231" i="20" s="1"/>
  <c r="W231" i="20" s="1"/>
  <c r="X231" i="20" s="1"/>
  <c r="Y231" i="20" s="1"/>
  <c r="Z231" i="20" s="1"/>
  <c r="AA231" i="20" s="1"/>
  <c r="AB231" i="20" s="1"/>
  <c r="AC231" i="20" s="1"/>
  <c r="AD231" i="20" s="1"/>
  <c r="AE231" i="20" s="1"/>
  <c r="AF231" i="20" s="1"/>
  <c r="E230" i="20"/>
  <c r="F230" i="20" s="1"/>
  <c r="G230" i="20" s="1"/>
  <c r="H230" i="20" s="1"/>
  <c r="I230" i="20" s="1"/>
  <c r="J230" i="20" s="1"/>
  <c r="K230" i="20" s="1"/>
  <c r="L230" i="20" s="1"/>
  <c r="M230" i="20" s="1"/>
  <c r="N230" i="20" s="1"/>
  <c r="O230" i="20" s="1"/>
  <c r="P230" i="20" s="1"/>
  <c r="Q230" i="20" s="1"/>
  <c r="R230" i="20" s="1"/>
  <c r="S230" i="20" s="1"/>
  <c r="T230" i="20" s="1"/>
  <c r="U230" i="20" s="1"/>
  <c r="V230" i="20" s="1"/>
  <c r="W230" i="20" s="1"/>
  <c r="X230" i="20" s="1"/>
  <c r="Y230" i="20" s="1"/>
  <c r="Z230" i="20" s="1"/>
  <c r="AA230" i="20" s="1"/>
  <c r="AB230" i="20" s="1"/>
  <c r="AC230" i="20" s="1"/>
  <c r="AD230" i="20" s="1"/>
  <c r="AE230" i="20" s="1"/>
  <c r="AF230" i="20" s="1"/>
  <c r="D230" i="20"/>
  <c r="D229" i="20"/>
  <c r="E229" i="20" s="1"/>
  <c r="F229" i="20" s="1"/>
  <c r="G229" i="20" s="1"/>
  <c r="H229" i="20" s="1"/>
  <c r="I229" i="20" s="1"/>
  <c r="J229" i="20" s="1"/>
  <c r="K229" i="20" s="1"/>
  <c r="L229" i="20" s="1"/>
  <c r="M229" i="20" s="1"/>
  <c r="N229" i="20" s="1"/>
  <c r="O229" i="20" s="1"/>
  <c r="P229" i="20" s="1"/>
  <c r="Q229" i="20" s="1"/>
  <c r="R229" i="20" s="1"/>
  <c r="S229" i="20" s="1"/>
  <c r="T229" i="20" s="1"/>
  <c r="U229" i="20" s="1"/>
  <c r="V229" i="20" s="1"/>
  <c r="W229" i="20" s="1"/>
  <c r="X229" i="20" s="1"/>
  <c r="Y229" i="20" s="1"/>
  <c r="Z229" i="20" s="1"/>
  <c r="AA229" i="20" s="1"/>
  <c r="AB229" i="20" s="1"/>
  <c r="AC229" i="20" s="1"/>
  <c r="AD229" i="20" s="1"/>
  <c r="AE229" i="20" s="1"/>
  <c r="AF229" i="20" s="1"/>
  <c r="D228" i="20"/>
  <c r="E228" i="20" s="1"/>
  <c r="F228" i="20" s="1"/>
  <c r="G228" i="20" s="1"/>
  <c r="H228" i="20" s="1"/>
  <c r="I228" i="20" s="1"/>
  <c r="J228" i="20" s="1"/>
  <c r="K228" i="20" s="1"/>
  <c r="L228" i="20" s="1"/>
  <c r="M228" i="20" s="1"/>
  <c r="N228" i="20" s="1"/>
  <c r="O228" i="20" s="1"/>
  <c r="P228" i="20" s="1"/>
  <c r="Q228" i="20" s="1"/>
  <c r="R228" i="20" s="1"/>
  <c r="S228" i="20" s="1"/>
  <c r="T228" i="20" s="1"/>
  <c r="U228" i="20" s="1"/>
  <c r="V228" i="20" s="1"/>
  <c r="W228" i="20" s="1"/>
  <c r="X228" i="20" s="1"/>
  <c r="Y228" i="20" s="1"/>
  <c r="Z228" i="20" s="1"/>
  <c r="AA228" i="20" s="1"/>
  <c r="AB228" i="20" s="1"/>
  <c r="AC228" i="20" s="1"/>
  <c r="AD228" i="20" s="1"/>
  <c r="AE228" i="20" s="1"/>
  <c r="AF228" i="20" s="1"/>
  <c r="D225" i="20"/>
  <c r="E225" i="20" s="1"/>
  <c r="F225" i="20" s="1"/>
  <c r="G225" i="20" s="1"/>
  <c r="H225" i="20" s="1"/>
  <c r="I225" i="20" s="1"/>
  <c r="J225" i="20" s="1"/>
  <c r="K225" i="20" s="1"/>
  <c r="L225" i="20" s="1"/>
  <c r="M225" i="20" s="1"/>
  <c r="N225" i="20" s="1"/>
  <c r="O225" i="20" s="1"/>
  <c r="P225" i="20" s="1"/>
  <c r="Q225" i="20" s="1"/>
  <c r="R225" i="20" s="1"/>
  <c r="S225" i="20" s="1"/>
  <c r="T225" i="20" s="1"/>
  <c r="U225" i="20" s="1"/>
  <c r="V225" i="20" s="1"/>
  <c r="W225" i="20" s="1"/>
  <c r="X225" i="20" s="1"/>
  <c r="Y225" i="20" s="1"/>
  <c r="Z225" i="20" s="1"/>
  <c r="AA225" i="20" s="1"/>
  <c r="AB225" i="20" s="1"/>
  <c r="AC225" i="20" s="1"/>
  <c r="AD225" i="20" s="1"/>
  <c r="AE225" i="20" s="1"/>
  <c r="AF225" i="20" s="1"/>
  <c r="C51" i="20"/>
  <c r="L15" i="24"/>
  <c r="B9" i="27"/>
  <c r="C2" i="20"/>
  <c r="C2" i="38" s="1"/>
  <c r="C2" i="19"/>
  <c r="E235" i="20" l="1"/>
  <c r="F234" i="20"/>
  <c r="E233" i="20"/>
  <c r="E287" i="48"/>
  <c r="E288" i="48" s="1"/>
  <c r="D176" i="53"/>
  <c r="C2" i="28"/>
  <c r="C2" i="53"/>
  <c r="D233" i="20"/>
  <c r="D132" i="28"/>
  <c r="C2" i="46"/>
  <c r="F233" i="20"/>
  <c r="G233" i="20" s="1"/>
  <c r="H233" i="20" s="1"/>
  <c r="I233" i="20" s="1"/>
  <c r="J233" i="20" s="1"/>
  <c r="K233" i="20" s="1"/>
  <c r="L233" i="20" s="1"/>
  <c r="M233" i="20" s="1"/>
  <c r="N233" i="20" s="1"/>
  <c r="O233" i="20" s="1"/>
  <c r="P233" i="20" s="1"/>
  <c r="Q233" i="20" s="1"/>
  <c r="R233" i="20" s="1"/>
  <c r="S233" i="20" s="1"/>
  <c r="T233" i="20" s="1"/>
  <c r="U233" i="20" s="1"/>
  <c r="V233" i="20" s="1"/>
  <c r="W233" i="20" s="1"/>
  <c r="X233" i="20" s="1"/>
  <c r="Y233" i="20" s="1"/>
  <c r="Z233" i="20" s="1"/>
  <c r="AA233" i="20" s="1"/>
  <c r="AB233" i="20" s="1"/>
  <c r="AC233" i="20" s="1"/>
  <c r="AD233" i="20" s="1"/>
  <c r="AE233" i="20" s="1"/>
  <c r="AF233" i="20" s="1"/>
  <c r="D235" i="20"/>
  <c r="D174" i="53"/>
  <c r="D180" i="54"/>
  <c r="C2" i="42"/>
  <c r="C2" i="54"/>
  <c r="D292" i="46"/>
  <c r="C2" i="29"/>
  <c r="C2" i="48"/>
  <c r="C47" i="38"/>
  <c r="C47" i="46"/>
  <c r="C47" i="48"/>
  <c r="C47" i="42"/>
  <c r="C48" i="38"/>
  <c r="C48" i="46"/>
  <c r="C48" i="42"/>
  <c r="C48" i="48"/>
  <c r="M50" i="20"/>
  <c r="M51" i="20"/>
  <c r="F175" i="53"/>
  <c r="G175" i="53" s="1"/>
  <c r="G176" i="53" s="1"/>
  <c r="E114" i="29"/>
  <c r="D2" i="20"/>
  <c r="M51" i="28"/>
  <c r="M50" i="28"/>
  <c r="F176" i="53"/>
  <c r="H175" i="53"/>
  <c r="I175" i="53" s="1"/>
  <c r="I176" i="53" s="1"/>
  <c r="F287" i="48"/>
  <c r="G287" i="48" s="1"/>
  <c r="D286" i="46"/>
  <c r="E286" i="46" s="1"/>
  <c r="F286" i="46" s="1"/>
  <c r="G286" i="46" s="1"/>
  <c r="H286" i="46" s="1"/>
  <c r="I286" i="46" s="1"/>
  <c r="J286" i="46" s="1"/>
  <c r="K286" i="46" s="1"/>
  <c r="L286" i="46" s="1"/>
  <c r="M286" i="46" s="1"/>
  <c r="N286" i="46" s="1"/>
  <c r="O286" i="46" s="1"/>
  <c r="P286" i="46" s="1"/>
  <c r="Q286" i="46" s="1"/>
  <c r="R286" i="46" s="1"/>
  <c r="S286" i="46" s="1"/>
  <c r="T286" i="46" s="1"/>
  <c r="U286" i="46" s="1"/>
  <c r="V286" i="46" s="1"/>
  <c r="W286" i="46" s="1"/>
  <c r="X286" i="46" s="1"/>
  <c r="Y286" i="46" s="1"/>
  <c r="Z286" i="46" s="1"/>
  <c r="AA286" i="46" s="1"/>
  <c r="AB286" i="46" s="1"/>
  <c r="AC286" i="46" s="1"/>
  <c r="AD286" i="46" s="1"/>
  <c r="AE286" i="46" s="1"/>
  <c r="AF286" i="46" s="1"/>
  <c r="E127" i="28"/>
  <c r="F127" i="28" s="1"/>
  <c r="F175" i="54"/>
  <c r="E176" i="54"/>
  <c r="E180" i="54"/>
  <c r="F180" i="54" s="1"/>
  <c r="G180" i="54" s="1"/>
  <c r="H180" i="54" s="1"/>
  <c r="I180" i="54" s="1"/>
  <c r="J180" i="54" s="1"/>
  <c r="K180" i="54" s="1"/>
  <c r="L180" i="54" s="1"/>
  <c r="M180" i="54" s="1"/>
  <c r="N180" i="54" s="1"/>
  <c r="O180" i="54" s="1"/>
  <c r="P180" i="54" s="1"/>
  <c r="Q180" i="54" s="1"/>
  <c r="R180" i="54" s="1"/>
  <c r="S180" i="54" s="1"/>
  <c r="T180" i="54" s="1"/>
  <c r="U180" i="54" s="1"/>
  <c r="V180" i="54" s="1"/>
  <c r="W180" i="54" s="1"/>
  <c r="X180" i="54" s="1"/>
  <c r="Y180" i="54" s="1"/>
  <c r="Z180" i="54" s="1"/>
  <c r="AA180" i="54" s="1"/>
  <c r="AB180" i="54" s="1"/>
  <c r="AC180" i="54" s="1"/>
  <c r="AD180" i="54" s="1"/>
  <c r="AE180" i="54" s="1"/>
  <c r="AF180" i="54" s="1"/>
  <c r="D176" i="54"/>
  <c r="D174" i="54"/>
  <c r="E174" i="54" s="1"/>
  <c r="F174" i="54" s="1"/>
  <c r="G174" i="54" s="1"/>
  <c r="H174" i="54" s="1"/>
  <c r="I174" i="54" s="1"/>
  <c r="J174" i="54" s="1"/>
  <c r="K174" i="54" s="1"/>
  <c r="L174" i="54" s="1"/>
  <c r="M174" i="54" s="1"/>
  <c r="N174" i="54" s="1"/>
  <c r="O174" i="54" s="1"/>
  <c r="P174" i="54" s="1"/>
  <c r="Q174" i="54" s="1"/>
  <c r="R174" i="54" s="1"/>
  <c r="S174" i="54" s="1"/>
  <c r="T174" i="54" s="1"/>
  <c r="U174" i="54" s="1"/>
  <c r="V174" i="54" s="1"/>
  <c r="W174" i="54" s="1"/>
  <c r="X174" i="54" s="1"/>
  <c r="Y174" i="54" s="1"/>
  <c r="Z174" i="54" s="1"/>
  <c r="AA174" i="54" s="1"/>
  <c r="AB174" i="54" s="1"/>
  <c r="AC174" i="54" s="1"/>
  <c r="AD174" i="54" s="1"/>
  <c r="AE174" i="54" s="1"/>
  <c r="AF174" i="54" s="1"/>
  <c r="J175" i="53"/>
  <c r="H176" i="53"/>
  <c r="E174" i="53"/>
  <c r="F174" i="53" s="1"/>
  <c r="G174" i="53" s="1"/>
  <c r="H174" i="53" s="1"/>
  <c r="I174" i="53" s="1"/>
  <c r="J174" i="53" s="1"/>
  <c r="K174" i="53" s="1"/>
  <c r="L174" i="53" s="1"/>
  <c r="M174" i="53" s="1"/>
  <c r="N174" i="53" s="1"/>
  <c r="O174" i="53" s="1"/>
  <c r="P174" i="53" s="1"/>
  <c r="Q174" i="53" s="1"/>
  <c r="R174" i="53" s="1"/>
  <c r="S174" i="53" s="1"/>
  <c r="T174" i="53" s="1"/>
  <c r="U174" i="53" s="1"/>
  <c r="V174" i="53" s="1"/>
  <c r="W174" i="53" s="1"/>
  <c r="X174" i="53" s="1"/>
  <c r="Y174" i="53" s="1"/>
  <c r="Z174" i="53" s="1"/>
  <c r="AA174" i="53" s="1"/>
  <c r="AB174" i="53" s="1"/>
  <c r="AC174" i="53" s="1"/>
  <c r="AD174" i="53" s="1"/>
  <c r="AE174" i="53" s="1"/>
  <c r="AF174" i="53" s="1"/>
  <c r="K180" i="53"/>
  <c r="L180" i="53" s="1"/>
  <c r="M180" i="53" s="1"/>
  <c r="N180" i="53" s="1"/>
  <c r="O180" i="53"/>
  <c r="P180" i="53" s="1"/>
  <c r="Q180" i="53" s="1"/>
  <c r="R180" i="53" s="1"/>
  <c r="S180" i="53" s="1"/>
  <c r="T180" i="53" s="1"/>
  <c r="U180" i="53" s="1"/>
  <c r="V180" i="53" s="1"/>
  <c r="W180" i="53" s="1"/>
  <c r="X180" i="53" s="1"/>
  <c r="Y180" i="53" s="1"/>
  <c r="Z180" i="53" s="1"/>
  <c r="AA180" i="53" s="1"/>
  <c r="AB180" i="53" s="1"/>
  <c r="AC180" i="53" s="1"/>
  <c r="AD180" i="53" s="1"/>
  <c r="AE180" i="53" s="1"/>
  <c r="AF180" i="53" s="1"/>
  <c r="D286" i="48"/>
  <c r="E286" i="48" s="1"/>
  <c r="F286" i="48" s="1"/>
  <c r="G286" i="48" s="1"/>
  <c r="H286" i="48" s="1"/>
  <c r="I286" i="48" s="1"/>
  <c r="J286" i="48" s="1"/>
  <c r="K286" i="48" s="1"/>
  <c r="L286" i="48" s="1"/>
  <c r="M286" i="48" s="1"/>
  <c r="N286" i="48" s="1"/>
  <c r="O286" i="48" s="1"/>
  <c r="P286" i="48" s="1"/>
  <c r="Q286" i="48" s="1"/>
  <c r="R286" i="48" s="1"/>
  <c r="S286" i="48" s="1"/>
  <c r="T286" i="48" s="1"/>
  <c r="U286" i="48" s="1"/>
  <c r="V286" i="48" s="1"/>
  <c r="W286" i="48" s="1"/>
  <c r="X286" i="48" s="1"/>
  <c r="Y286" i="48" s="1"/>
  <c r="Z286" i="48" s="1"/>
  <c r="AA286" i="48" s="1"/>
  <c r="AB286" i="48" s="1"/>
  <c r="AC286" i="48" s="1"/>
  <c r="AD286" i="48" s="1"/>
  <c r="AE286" i="48" s="1"/>
  <c r="AF286" i="48" s="1"/>
  <c r="F292" i="48"/>
  <c r="G292" i="48" s="1"/>
  <c r="H292" i="48" s="1"/>
  <c r="I292" i="48" s="1"/>
  <c r="J292" i="48" s="1"/>
  <c r="K292" i="48" s="1"/>
  <c r="L292" i="48" s="1"/>
  <c r="M292" i="48" s="1"/>
  <c r="N292" i="48" s="1"/>
  <c r="O292" i="48" s="1"/>
  <c r="P292" i="48" s="1"/>
  <c r="Q292" i="48" s="1"/>
  <c r="R292" i="48" s="1"/>
  <c r="S292" i="48" s="1"/>
  <c r="T292" i="48" s="1"/>
  <c r="U292" i="48" s="1"/>
  <c r="V292" i="48" s="1"/>
  <c r="W292" i="48" s="1"/>
  <c r="X292" i="48" s="1"/>
  <c r="Y292" i="48" s="1"/>
  <c r="Z292" i="48" s="1"/>
  <c r="AA292" i="48" s="1"/>
  <c r="AB292" i="48" s="1"/>
  <c r="AC292" i="48" s="1"/>
  <c r="AD292" i="48" s="1"/>
  <c r="AE292" i="48" s="1"/>
  <c r="AF292" i="48" s="1"/>
  <c r="F288" i="46"/>
  <c r="G287" i="46"/>
  <c r="E288" i="46"/>
  <c r="E292" i="46"/>
  <c r="F292" i="46" s="1"/>
  <c r="G292" i="46" s="1"/>
  <c r="H292" i="46" s="1"/>
  <c r="I292" i="46" s="1"/>
  <c r="J292" i="46" s="1"/>
  <c r="K292" i="46" s="1"/>
  <c r="L292" i="46" s="1"/>
  <c r="M292" i="46" s="1"/>
  <c r="N292" i="46" s="1"/>
  <c r="O292" i="46" s="1"/>
  <c r="P292" i="46" s="1"/>
  <c r="Q292" i="46" s="1"/>
  <c r="R292" i="46" s="1"/>
  <c r="S292" i="46" s="1"/>
  <c r="T292" i="46" s="1"/>
  <c r="U292" i="46" s="1"/>
  <c r="V292" i="46" s="1"/>
  <c r="W292" i="46" s="1"/>
  <c r="X292" i="46" s="1"/>
  <c r="Y292" i="46" s="1"/>
  <c r="Z292" i="46" s="1"/>
  <c r="AA292" i="46" s="1"/>
  <c r="AB292" i="46" s="1"/>
  <c r="AC292" i="46" s="1"/>
  <c r="AD292" i="46" s="1"/>
  <c r="AE292" i="46" s="1"/>
  <c r="AF292" i="46" s="1"/>
  <c r="D258" i="38"/>
  <c r="E258" i="38" s="1"/>
  <c r="F258" i="38" s="1"/>
  <c r="G258" i="38" s="1"/>
  <c r="H258" i="38" s="1"/>
  <c r="I258" i="38" s="1"/>
  <c r="J258" i="38" s="1"/>
  <c r="K258" i="38" s="1"/>
  <c r="L258" i="38" s="1"/>
  <c r="M258" i="38" s="1"/>
  <c r="N258" i="38" s="1"/>
  <c r="O258" i="38" s="1"/>
  <c r="P258" i="38" s="1"/>
  <c r="Q258" i="38" s="1"/>
  <c r="R258" i="38" s="1"/>
  <c r="S258" i="38" s="1"/>
  <c r="T258" i="38" s="1"/>
  <c r="U258" i="38" s="1"/>
  <c r="V258" i="38" s="1"/>
  <c r="W258" i="38" s="1"/>
  <c r="X258" i="38" s="1"/>
  <c r="Y258" i="38" s="1"/>
  <c r="Z258" i="38" s="1"/>
  <c r="AA258" i="38" s="1"/>
  <c r="AB258" i="38" s="1"/>
  <c r="AC258" i="38" s="1"/>
  <c r="AD258" i="38" s="1"/>
  <c r="AE258" i="38" s="1"/>
  <c r="AF258" i="38" s="1"/>
  <c r="E259" i="38"/>
  <c r="D264" i="38"/>
  <c r="E264" i="38" s="1"/>
  <c r="F264" i="38" s="1"/>
  <c r="G264" i="38" s="1"/>
  <c r="H264" i="38" s="1"/>
  <c r="I264" i="38" s="1"/>
  <c r="J264" i="38" s="1"/>
  <c r="K264" i="38" s="1"/>
  <c r="L264" i="38" s="1"/>
  <c r="M264" i="38" s="1"/>
  <c r="N264" i="38" s="1"/>
  <c r="O264" i="38" s="1"/>
  <c r="P264" i="38" s="1"/>
  <c r="Q264" i="38" s="1"/>
  <c r="R264" i="38" s="1"/>
  <c r="S264" i="38" s="1"/>
  <c r="T264" i="38" s="1"/>
  <c r="U264" i="38" s="1"/>
  <c r="V264" i="38" s="1"/>
  <c r="W264" i="38" s="1"/>
  <c r="X264" i="38" s="1"/>
  <c r="Y264" i="38" s="1"/>
  <c r="Z264" i="38" s="1"/>
  <c r="AA264" i="38" s="1"/>
  <c r="AB264" i="38" s="1"/>
  <c r="AC264" i="38" s="1"/>
  <c r="AD264" i="38" s="1"/>
  <c r="AE264" i="38" s="1"/>
  <c r="AF264" i="38" s="1"/>
  <c r="F259" i="42"/>
  <c r="E260" i="42"/>
  <c r="D264" i="42"/>
  <c r="E264" i="42" s="1"/>
  <c r="F264" i="42" s="1"/>
  <c r="G264" i="42" s="1"/>
  <c r="H264" i="42" s="1"/>
  <c r="I264" i="42" s="1"/>
  <c r="J264" i="42" s="1"/>
  <c r="K264" i="42" s="1"/>
  <c r="L264" i="42" s="1"/>
  <c r="M264" i="42" s="1"/>
  <c r="N264" i="42" s="1"/>
  <c r="O264" i="42" s="1"/>
  <c r="P264" i="42" s="1"/>
  <c r="Q264" i="42" s="1"/>
  <c r="R264" i="42" s="1"/>
  <c r="S264" i="42" s="1"/>
  <c r="T264" i="42" s="1"/>
  <c r="U264" i="42" s="1"/>
  <c r="V264" i="42" s="1"/>
  <c r="W264" i="42" s="1"/>
  <c r="X264" i="42" s="1"/>
  <c r="Y264" i="42" s="1"/>
  <c r="Z264" i="42" s="1"/>
  <c r="AA264" i="42" s="1"/>
  <c r="AB264" i="42" s="1"/>
  <c r="AC264" i="42" s="1"/>
  <c r="AD264" i="42" s="1"/>
  <c r="AE264" i="42" s="1"/>
  <c r="AF264" i="42" s="1"/>
  <c r="D260" i="42"/>
  <c r="D258" i="42"/>
  <c r="E258" i="42" s="1"/>
  <c r="F258" i="42" s="1"/>
  <c r="G258" i="42" s="1"/>
  <c r="H258" i="42" s="1"/>
  <c r="I258" i="42" s="1"/>
  <c r="J258" i="42" s="1"/>
  <c r="K258" i="42" s="1"/>
  <c r="L258" i="42" s="1"/>
  <c r="M258" i="42" s="1"/>
  <c r="N258" i="42" s="1"/>
  <c r="O258" i="42" s="1"/>
  <c r="P258" i="42" s="1"/>
  <c r="Q258" i="42" s="1"/>
  <c r="R258" i="42" s="1"/>
  <c r="S258" i="42" s="1"/>
  <c r="T258" i="42" s="1"/>
  <c r="U258" i="42" s="1"/>
  <c r="V258" i="42" s="1"/>
  <c r="W258" i="42" s="1"/>
  <c r="X258" i="42" s="1"/>
  <c r="Y258" i="42" s="1"/>
  <c r="Z258" i="42" s="1"/>
  <c r="AA258" i="42" s="1"/>
  <c r="AB258" i="42" s="1"/>
  <c r="AC258" i="42" s="1"/>
  <c r="AD258" i="42" s="1"/>
  <c r="AE258" i="42" s="1"/>
  <c r="AF258" i="42" s="1"/>
  <c r="E128" i="28"/>
  <c r="E126" i="28"/>
  <c r="F126" i="28" s="1"/>
  <c r="G126" i="28" s="1"/>
  <c r="H126" i="28" s="1"/>
  <c r="I126" i="28" s="1"/>
  <c r="J126" i="28" s="1"/>
  <c r="K126" i="28" s="1"/>
  <c r="L126" i="28" s="1"/>
  <c r="M126" i="28" s="1"/>
  <c r="N126" i="28" s="1"/>
  <c r="O126" i="28" s="1"/>
  <c r="P126" i="28" s="1"/>
  <c r="Q126" i="28" s="1"/>
  <c r="R126" i="28" s="1"/>
  <c r="S126" i="28" s="1"/>
  <c r="T126" i="28" s="1"/>
  <c r="U126" i="28" s="1"/>
  <c r="V126" i="28" s="1"/>
  <c r="W126" i="28" s="1"/>
  <c r="X126" i="28" s="1"/>
  <c r="Y126" i="28" s="1"/>
  <c r="Z126" i="28" s="1"/>
  <c r="AA126" i="28" s="1"/>
  <c r="AB126" i="28" s="1"/>
  <c r="AC126" i="28" s="1"/>
  <c r="AD126" i="28" s="1"/>
  <c r="AE126" i="28" s="1"/>
  <c r="AF126" i="28" s="1"/>
  <c r="E132" i="28"/>
  <c r="F132" i="28" s="1"/>
  <c r="G132" i="28" s="1"/>
  <c r="H132" i="28" s="1"/>
  <c r="I132" i="28" s="1"/>
  <c r="J132" i="28" s="1"/>
  <c r="K132" i="28" s="1"/>
  <c r="L132" i="28" s="1"/>
  <c r="M132" i="28" s="1"/>
  <c r="N132" i="28" s="1"/>
  <c r="O132" i="28" s="1"/>
  <c r="P132" i="28" s="1"/>
  <c r="Q132" i="28" s="1"/>
  <c r="R132" i="28" s="1"/>
  <c r="S132" i="28" s="1"/>
  <c r="T132" i="28" s="1"/>
  <c r="U132" i="28" s="1"/>
  <c r="V132" i="28" s="1"/>
  <c r="W132" i="28" s="1"/>
  <c r="X132" i="28" s="1"/>
  <c r="Y132" i="28" s="1"/>
  <c r="Z132" i="28" s="1"/>
  <c r="AA132" i="28" s="1"/>
  <c r="AB132" i="28" s="1"/>
  <c r="AC132" i="28" s="1"/>
  <c r="AD132" i="28" s="1"/>
  <c r="AE132" i="28" s="1"/>
  <c r="AF132" i="28" s="1"/>
  <c r="F114" i="29"/>
  <c r="G113" i="29"/>
  <c r="D112" i="29"/>
  <c r="E112" i="29" s="1"/>
  <c r="F112" i="29" s="1"/>
  <c r="G112" i="29" s="1"/>
  <c r="H112" i="29" s="1"/>
  <c r="I112" i="29" s="1"/>
  <c r="J112" i="29" s="1"/>
  <c r="K112" i="29" s="1"/>
  <c r="L112" i="29" s="1"/>
  <c r="M112" i="29" s="1"/>
  <c r="N112" i="29" s="1"/>
  <c r="O112" i="29" s="1"/>
  <c r="P112" i="29" s="1"/>
  <c r="Q112" i="29" s="1"/>
  <c r="R112" i="29" s="1"/>
  <c r="S112" i="29" s="1"/>
  <c r="T112" i="29" s="1"/>
  <c r="U112" i="29" s="1"/>
  <c r="V112" i="29" s="1"/>
  <c r="W112" i="29" s="1"/>
  <c r="X112" i="29" s="1"/>
  <c r="Y112" i="29" s="1"/>
  <c r="Z112" i="29" s="1"/>
  <c r="AA112" i="29" s="1"/>
  <c r="AB112" i="29" s="1"/>
  <c r="AC112" i="29" s="1"/>
  <c r="AD112" i="29" s="1"/>
  <c r="AE112" i="29" s="1"/>
  <c r="AF112" i="29" s="1"/>
  <c r="D118" i="29"/>
  <c r="E118" i="29" s="1"/>
  <c r="F118" i="29" s="1"/>
  <c r="G118" i="29" s="1"/>
  <c r="H118" i="29" s="1"/>
  <c r="I118" i="29" s="1"/>
  <c r="J118" i="29" s="1"/>
  <c r="K118" i="29" s="1"/>
  <c r="L118" i="29" s="1"/>
  <c r="M118" i="29" s="1"/>
  <c r="N118" i="29" s="1"/>
  <c r="O118" i="29" s="1"/>
  <c r="P118" i="29" s="1"/>
  <c r="Q118" i="29" s="1"/>
  <c r="R118" i="29" s="1"/>
  <c r="S118" i="29" s="1"/>
  <c r="T118" i="29" s="1"/>
  <c r="U118" i="29" s="1"/>
  <c r="V118" i="29" s="1"/>
  <c r="W118" i="29" s="1"/>
  <c r="X118" i="29" s="1"/>
  <c r="Y118" i="29" s="1"/>
  <c r="Z118" i="29" s="1"/>
  <c r="AA118" i="29" s="1"/>
  <c r="AB118" i="29" s="1"/>
  <c r="AC118" i="29" s="1"/>
  <c r="AD118" i="29" s="1"/>
  <c r="AE118" i="29" s="1"/>
  <c r="AF118" i="29" s="1"/>
  <c r="D114" i="29"/>
  <c r="D193" i="19"/>
  <c r="D191" i="19"/>
  <c r="E191" i="19" s="1"/>
  <c r="F191" i="19" s="1"/>
  <c r="G191" i="19" s="1"/>
  <c r="H191" i="19" s="1"/>
  <c r="I191" i="19" s="1"/>
  <c r="J191" i="19" s="1"/>
  <c r="K191" i="19" s="1"/>
  <c r="L191" i="19" s="1"/>
  <c r="M191" i="19" s="1"/>
  <c r="N191" i="19" s="1"/>
  <c r="O191" i="19" s="1"/>
  <c r="P191" i="19" s="1"/>
  <c r="Q191" i="19" s="1"/>
  <c r="R191" i="19" s="1"/>
  <c r="S191" i="19" s="1"/>
  <c r="T191" i="19" s="1"/>
  <c r="U191" i="19" s="1"/>
  <c r="V191" i="19" s="1"/>
  <c r="W191" i="19" s="1"/>
  <c r="X191" i="19" s="1"/>
  <c r="Y191" i="19" s="1"/>
  <c r="Z191" i="19" s="1"/>
  <c r="AA191" i="19" s="1"/>
  <c r="AB191" i="19" s="1"/>
  <c r="AC191" i="19" s="1"/>
  <c r="AD191" i="19" s="1"/>
  <c r="AE191" i="19" s="1"/>
  <c r="AF191" i="19" s="1"/>
  <c r="E193" i="19"/>
  <c r="D197" i="19"/>
  <c r="E197" i="19" s="1"/>
  <c r="F197" i="19" s="1"/>
  <c r="G197" i="19" s="1"/>
  <c r="H197" i="19" s="1"/>
  <c r="I197" i="19" s="1"/>
  <c r="J197" i="19" s="1"/>
  <c r="K197" i="19" s="1"/>
  <c r="L197" i="19" s="1"/>
  <c r="M197" i="19" s="1"/>
  <c r="N197" i="19" s="1"/>
  <c r="O197" i="19" s="1"/>
  <c r="P197" i="19" s="1"/>
  <c r="Q197" i="19" s="1"/>
  <c r="R197" i="19" s="1"/>
  <c r="S197" i="19" s="1"/>
  <c r="T197" i="19" s="1"/>
  <c r="U197" i="19" s="1"/>
  <c r="V197" i="19" s="1"/>
  <c r="W197" i="19" s="1"/>
  <c r="X197" i="19" s="1"/>
  <c r="Y197" i="19" s="1"/>
  <c r="Z197" i="19" s="1"/>
  <c r="AA197" i="19" s="1"/>
  <c r="AB197" i="19" s="1"/>
  <c r="AC197" i="19" s="1"/>
  <c r="AD197" i="19" s="1"/>
  <c r="AE197" i="19" s="1"/>
  <c r="AF197" i="19" s="1"/>
  <c r="G192" i="19"/>
  <c r="D239" i="20"/>
  <c r="E239" i="20"/>
  <c r="F239" i="20" s="1"/>
  <c r="G239" i="20" s="1"/>
  <c r="H239" i="20" s="1"/>
  <c r="I239" i="20" s="1"/>
  <c r="J239" i="20" s="1"/>
  <c r="K239" i="20" s="1"/>
  <c r="L239" i="20" s="1"/>
  <c r="M239" i="20" s="1"/>
  <c r="N239" i="20" s="1"/>
  <c r="O239" i="20" s="1"/>
  <c r="P239" i="20" s="1"/>
  <c r="Q239" i="20" s="1"/>
  <c r="R239" i="20" s="1"/>
  <c r="S239" i="20" s="1"/>
  <c r="T239" i="20" s="1"/>
  <c r="U239" i="20" s="1"/>
  <c r="V239" i="20" s="1"/>
  <c r="W239" i="20" s="1"/>
  <c r="X239" i="20" s="1"/>
  <c r="Y239" i="20" s="1"/>
  <c r="Z239" i="20" s="1"/>
  <c r="AA239" i="20" s="1"/>
  <c r="AB239" i="20" s="1"/>
  <c r="AC239" i="20" s="1"/>
  <c r="AD239" i="20" s="1"/>
  <c r="AE239" i="20" s="1"/>
  <c r="AF239" i="20" s="1"/>
  <c r="W50" i="20"/>
  <c r="D14" i="8"/>
  <c r="B14" i="8"/>
  <c r="H12" i="24"/>
  <c r="F12" i="24"/>
  <c r="E12" i="24"/>
  <c r="D12" i="24"/>
  <c r="B12" i="24"/>
  <c r="H11" i="24"/>
  <c r="F11" i="24"/>
  <c r="E11" i="24"/>
  <c r="D11" i="24"/>
  <c r="B11" i="24"/>
  <c r="H10" i="24"/>
  <c r="F10" i="24"/>
  <c r="E10" i="24"/>
  <c r="D10" i="24"/>
  <c r="B10" i="24"/>
  <c r="H9" i="24"/>
  <c r="F9" i="24"/>
  <c r="E9" i="24"/>
  <c r="D9" i="24"/>
  <c r="B9" i="24"/>
  <c r="H8" i="24"/>
  <c r="G8" i="24"/>
  <c r="F8" i="24"/>
  <c r="E8" i="24"/>
  <c r="D8" i="24"/>
  <c r="B8" i="24"/>
  <c r="H7" i="24"/>
  <c r="G7" i="24"/>
  <c r="F7" i="24"/>
  <c r="E7" i="24"/>
  <c r="D7" i="24"/>
  <c r="B7" i="24"/>
  <c r="H6" i="24"/>
  <c r="G6" i="24"/>
  <c r="F6" i="24"/>
  <c r="E6" i="24"/>
  <c r="D6" i="24"/>
  <c r="B6" i="24"/>
  <c r="I13" i="24"/>
  <c r="I6" i="24" s="1"/>
  <c r="L13" i="44"/>
  <c r="L14" i="44" s="1"/>
  <c r="M6" i="44" s="1"/>
  <c r="L12" i="44"/>
  <c r="D28" i="44"/>
  <c r="I10" i="24" l="1"/>
  <c r="F288" i="48"/>
  <c r="W51" i="20"/>
  <c r="M48" i="46"/>
  <c r="M48" i="48"/>
  <c r="M48" i="38"/>
  <c r="M48" i="42"/>
  <c r="I9" i="24"/>
  <c r="M47" i="46"/>
  <c r="M47" i="42"/>
  <c r="M47" i="48"/>
  <c r="M47" i="38"/>
  <c r="I12" i="24"/>
  <c r="I8" i="24"/>
  <c r="I7" i="24"/>
  <c r="W47" i="48"/>
  <c r="W47" i="42"/>
  <c r="W47" i="38"/>
  <c r="W47" i="46"/>
  <c r="F235" i="20"/>
  <c r="G234" i="20"/>
  <c r="D2" i="54"/>
  <c r="D2" i="28"/>
  <c r="D2" i="53"/>
  <c r="D2" i="48"/>
  <c r="D2" i="42"/>
  <c r="D2" i="38"/>
  <c r="D2" i="29"/>
  <c r="D2" i="46"/>
  <c r="D2" i="19"/>
  <c r="E2" i="20"/>
  <c r="F2" i="20" s="1"/>
  <c r="W50" i="28"/>
  <c r="W51" i="28"/>
  <c r="F176" i="54"/>
  <c r="G175" i="54"/>
  <c r="K175" i="53"/>
  <c r="J176" i="53"/>
  <c r="H287" i="48"/>
  <c r="G288" i="48"/>
  <c r="G288" i="46"/>
  <c r="H287" i="46"/>
  <c r="F259" i="38"/>
  <c r="E260" i="38"/>
  <c r="F260" i="42"/>
  <c r="G259" i="42"/>
  <c r="F128" i="28"/>
  <c r="G127" i="28"/>
  <c r="G114" i="29"/>
  <c r="H113" i="29"/>
  <c r="G193" i="19"/>
  <c r="H192" i="19"/>
  <c r="W48" i="48" l="1"/>
  <c r="W48" i="42"/>
  <c r="W48" i="38"/>
  <c r="W48" i="46"/>
  <c r="G235" i="20"/>
  <c r="H234" i="20"/>
  <c r="F2" i="48"/>
  <c r="F2" i="46"/>
  <c r="F2" i="38"/>
  <c r="F2" i="42"/>
  <c r="F2" i="28"/>
  <c r="F2" i="54"/>
  <c r="F2" i="29"/>
  <c r="F2" i="53"/>
  <c r="E2" i="53"/>
  <c r="E2" i="42"/>
  <c r="E2" i="48"/>
  <c r="E2" i="38"/>
  <c r="E2" i="46"/>
  <c r="E2" i="28"/>
  <c r="E2" i="29"/>
  <c r="E2" i="54"/>
  <c r="E2" i="19"/>
  <c r="AG50" i="28"/>
  <c r="AG51" i="28"/>
  <c r="G176" i="54"/>
  <c r="H175" i="54"/>
  <c r="K176" i="53"/>
  <c r="L175" i="53"/>
  <c r="I287" i="48"/>
  <c r="H288" i="48"/>
  <c r="I287" i="46"/>
  <c r="H288" i="46"/>
  <c r="G259" i="38"/>
  <c r="F260" i="38"/>
  <c r="G260" i="42"/>
  <c r="H259" i="42"/>
  <c r="H127" i="28"/>
  <c r="G128" i="28"/>
  <c r="I113" i="29"/>
  <c r="H114" i="29"/>
  <c r="I192" i="19"/>
  <c r="H193" i="19"/>
  <c r="G2" i="20"/>
  <c r="F2" i="19"/>
  <c r="H235" i="20" l="1"/>
  <c r="I234" i="20"/>
  <c r="G2" i="46"/>
  <c r="G2" i="38"/>
  <c r="G2" i="54"/>
  <c r="G2" i="42"/>
  <c r="G2" i="53"/>
  <c r="G2" i="28"/>
  <c r="G2" i="48"/>
  <c r="G2" i="29"/>
  <c r="H176" i="54"/>
  <c r="I175" i="54"/>
  <c r="M175" i="53"/>
  <c r="L176" i="53"/>
  <c r="J287" i="48"/>
  <c r="I288" i="48"/>
  <c r="J287" i="46"/>
  <c r="I288" i="46"/>
  <c r="H259" i="38"/>
  <c r="G260" i="38"/>
  <c r="H260" i="42"/>
  <c r="I259" i="42"/>
  <c r="H128" i="28"/>
  <c r="I127" i="28"/>
  <c r="J113" i="29"/>
  <c r="I114" i="29"/>
  <c r="J192" i="19"/>
  <c r="I193" i="19"/>
  <c r="H2" i="20"/>
  <c r="G2" i="19"/>
  <c r="I235" i="20" l="1"/>
  <c r="J234" i="20"/>
  <c r="H2" i="38"/>
  <c r="H2" i="29"/>
  <c r="H2" i="54"/>
  <c r="H2" i="53"/>
  <c r="H2" i="48"/>
  <c r="H2" i="42"/>
  <c r="H2" i="46"/>
  <c r="H2" i="28"/>
  <c r="J175" i="54"/>
  <c r="I176" i="54"/>
  <c r="M176" i="53"/>
  <c r="N175" i="53"/>
  <c r="K287" i="48"/>
  <c r="J288" i="48"/>
  <c r="K287" i="46"/>
  <c r="J288" i="46"/>
  <c r="I259" i="38"/>
  <c r="H260" i="38"/>
  <c r="J259" i="42"/>
  <c r="I260" i="42"/>
  <c r="I128" i="28"/>
  <c r="J127" i="28"/>
  <c r="J114" i="29"/>
  <c r="K113" i="29"/>
  <c r="J193" i="19"/>
  <c r="K192" i="19"/>
  <c r="I2" i="20"/>
  <c r="H2" i="19"/>
  <c r="J235" i="20" l="1"/>
  <c r="K234" i="20"/>
  <c r="I2" i="28"/>
  <c r="I2" i="29"/>
  <c r="I2" i="54"/>
  <c r="I2" i="53"/>
  <c r="I2" i="48"/>
  <c r="I2" i="46"/>
  <c r="I2" i="38"/>
  <c r="I2" i="42"/>
  <c r="K175" i="54"/>
  <c r="J176" i="54"/>
  <c r="O175" i="53"/>
  <c r="N176" i="53"/>
  <c r="K288" i="48"/>
  <c r="L287" i="48"/>
  <c r="L287" i="46"/>
  <c r="K288" i="46"/>
  <c r="J259" i="38"/>
  <c r="I260" i="38"/>
  <c r="K259" i="42"/>
  <c r="J260" i="42"/>
  <c r="K127" i="28"/>
  <c r="J128" i="28"/>
  <c r="L113" i="29"/>
  <c r="K114" i="29"/>
  <c r="K193" i="19"/>
  <c r="L192" i="19"/>
  <c r="J2" i="20"/>
  <c r="I2" i="19"/>
  <c r="L234" i="20" l="1"/>
  <c r="K235" i="20"/>
  <c r="J2" i="42"/>
  <c r="J2" i="53"/>
  <c r="J2" i="28"/>
  <c r="J2" i="54"/>
  <c r="J2" i="29"/>
  <c r="J2" i="48"/>
  <c r="J2" i="46"/>
  <c r="J2" i="38"/>
  <c r="L175" i="54"/>
  <c r="K176" i="54"/>
  <c r="O176" i="53"/>
  <c r="P175" i="53"/>
  <c r="L288" i="48"/>
  <c r="M287" i="48"/>
  <c r="L288" i="46"/>
  <c r="M287" i="46"/>
  <c r="J260" i="38"/>
  <c r="K259" i="38"/>
  <c r="L259" i="42"/>
  <c r="K260" i="42"/>
  <c r="L127" i="28"/>
  <c r="K128" i="28"/>
  <c r="M113" i="29"/>
  <c r="L114" i="29"/>
  <c r="M192" i="19"/>
  <c r="L193" i="19"/>
  <c r="K2" i="20"/>
  <c r="J2" i="19"/>
  <c r="L235" i="20" l="1"/>
  <c r="M234" i="20"/>
  <c r="K2" i="54"/>
  <c r="K2" i="42"/>
  <c r="K2" i="53"/>
  <c r="K2" i="28"/>
  <c r="K2" i="29"/>
  <c r="K2" i="46"/>
  <c r="K2" i="38"/>
  <c r="K2" i="48"/>
  <c r="M175" i="54"/>
  <c r="L176" i="54"/>
  <c r="P176" i="53"/>
  <c r="Q175" i="53"/>
  <c r="M288" i="48"/>
  <c r="N287" i="48"/>
  <c r="N287" i="46"/>
  <c r="M288" i="46"/>
  <c r="K260" i="38"/>
  <c r="L259" i="38"/>
  <c r="M259" i="42"/>
  <c r="L260" i="42"/>
  <c r="M127" i="28"/>
  <c r="L128" i="28"/>
  <c r="M114" i="29"/>
  <c r="N113" i="29"/>
  <c r="N192" i="19"/>
  <c r="M193" i="19"/>
  <c r="L2" i="20"/>
  <c r="K2" i="19"/>
  <c r="N234" i="20" l="1"/>
  <c r="M235" i="20"/>
  <c r="L2" i="54"/>
  <c r="L2" i="53"/>
  <c r="L2" i="28"/>
  <c r="L2" i="48"/>
  <c r="L2" i="42"/>
  <c r="L2" i="38"/>
  <c r="L2" i="29"/>
  <c r="L2" i="46"/>
  <c r="N175" i="54"/>
  <c r="M176" i="54"/>
  <c r="Q176" i="53"/>
  <c r="R175" i="53"/>
  <c r="O287" i="48"/>
  <c r="N288" i="48"/>
  <c r="N288" i="46"/>
  <c r="O287" i="46"/>
  <c r="L260" i="38"/>
  <c r="M259" i="38"/>
  <c r="N259" i="42"/>
  <c r="M260" i="42"/>
  <c r="N127" i="28"/>
  <c r="M128" i="28"/>
  <c r="N114" i="29"/>
  <c r="O113" i="29"/>
  <c r="N193" i="19"/>
  <c r="O192" i="19"/>
  <c r="M2" i="20"/>
  <c r="L2" i="19"/>
  <c r="N235" i="20" l="1"/>
  <c r="O234" i="20"/>
  <c r="M2" i="53"/>
  <c r="M2" i="48"/>
  <c r="M2" i="38"/>
  <c r="M2" i="42"/>
  <c r="M2" i="46"/>
  <c r="M2" i="28"/>
  <c r="M2" i="29"/>
  <c r="M2" i="54"/>
  <c r="N176" i="54"/>
  <c r="O175" i="54"/>
  <c r="S175" i="53"/>
  <c r="R176" i="53"/>
  <c r="O288" i="48"/>
  <c r="P287" i="48"/>
  <c r="P287" i="46"/>
  <c r="O288" i="46"/>
  <c r="M260" i="38"/>
  <c r="N259" i="38"/>
  <c r="N260" i="42"/>
  <c r="O259" i="42"/>
  <c r="N128" i="28"/>
  <c r="O127" i="28"/>
  <c r="O114" i="29"/>
  <c r="P113" i="29"/>
  <c r="O193" i="19"/>
  <c r="P192" i="19"/>
  <c r="N2" i="20"/>
  <c r="M2" i="19"/>
  <c r="P234" i="20" l="1"/>
  <c r="O235" i="20"/>
  <c r="N2" i="48"/>
  <c r="N2" i="46"/>
  <c r="N2" i="38"/>
  <c r="N2" i="42"/>
  <c r="N2" i="28"/>
  <c r="N2" i="54"/>
  <c r="N2" i="29"/>
  <c r="N2" i="53"/>
  <c r="O176" i="54"/>
  <c r="P175" i="54"/>
  <c r="T175" i="53"/>
  <c r="S176" i="53"/>
  <c r="P288" i="48"/>
  <c r="Q287" i="48"/>
  <c r="Q287" i="46"/>
  <c r="P288" i="46"/>
  <c r="O259" i="38"/>
  <c r="N260" i="38"/>
  <c r="O260" i="42"/>
  <c r="P259" i="42"/>
  <c r="O128" i="28"/>
  <c r="P127" i="28"/>
  <c r="Q113" i="29"/>
  <c r="P114" i="29"/>
  <c r="Q192" i="19"/>
  <c r="P193" i="19"/>
  <c r="O2" i="20"/>
  <c r="N2" i="19"/>
  <c r="P235" i="20" l="1"/>
  <c r="Q234" i="20"/>
  <c r="O2" i="46"/>
  <c r="O2" i="38"/>
  <c r="O2" i="54"/>
  <c r="O2" i="42"/>
  <c r="O2" i="53"/>
  <c r="O2" i="28"/>
  <c r="O2" i="48"/>
  <c r="O2" i="29"/>
  <c r="P176" i="54"/>
  <c r="Q175" i="54"/>
  <c r="U175" i="53"/>
  <c r="T176" i="53"/>
  <c r="R287" i="48"/>
  <c r="Q288" i="48"/>
  <c r="R287" i="46"/>
  <c r="Q288" i="46"/>
  <c r="O260" i="38"/>
  <c r="P259" i="38"/>
  <c r="P260" i="42"/>
  <c r="Q259" i="42"/>
  <c r="Q127" i="28"/>
  <c r="P128" i="28"/>
  <c r="R113" i="29"/>
  <c r="Q114" i="29"/>
  <c r="Q193" i="19"/>
  <c r="R192" i="19"/>
  <c r="P2" i="20"/>
  <c r="O2" i="19"/>
  <c r="R234" i="20" l="1"/>
  <c r="Q235" i="20"/>
  <c r="P2" i="38"/>
  <c r="P2" i="29"/>
  <c r="P2" i="54"/>
  <c r="P2" i="53"/>
  <c r="P2" i="48"/>
  <c r="P2" i="42"/>
  <c r="P2" i="46"/>
  <c r="P2" i="28"/>
  <c r="R175" i="54"/>
  <c r="Q176" i="54"/>
  <c r="U176" i="53"/>
  <c r="V175" i="53"/>
  <c r="S287" i="48"/>
  <c r="R288" i="48"/>
  <c r="S287" i="46"/>
  <c r="R288" i="46"/>
  <c r="Q259" i="38"/>
  <c r="P260" i="38"/>
  <c r="R259" i="42"/>
  <c r="Q260" i="42"/>
  <c r="Q128" i="28"/>
  <c r="R127" i="28"/>
  <c r="R114" i="29"/>
  <c r="S113" i="29"/>
  <c r="S192" i="19"/>
  <c r="R193" i="19"/>
  <c r="Q2" i="20"/>
  <c r="P2" i="19"/>
  <c r="S234" i="20" l="1"/>
  <c r="R235" i="20"/>
  <c r="Q2" i="28"/>
  <c r="Q2" i="54"/>
  <c r="Q2" i="29"/>
  <c r="Q2" i="53"/>
  <c r="Q2" i="48"/>
  <c r="Q2" i="46"/>
  <c r="Q2" i="38"/>
  <c r="Q2" i="42"/>
  <c r="S175" i="54"/>
  <c r="R176" i="54"/>
  <c r="W175" i="53"/>
  <c r="V176" i="53"/>
  <c r="T287" i="48"/>
  <c r="S288" i="48"/>
  <c r="T287" i="46"/>
  <c r="S288" i="46"/>
  <c r="R259" i="38"/>
  <c r="Q260" i="38"/>
  <c r="S259" i="42"/>
  <c r="R260" i="42"/>
  <c r="R128" i="28"/>
  <c r="S127" i="28"/>
  <c r="T113" i="29"/>
  <c r="S114" i="29"/>
  <c r="S193" i="19"/>
  <c r="T192" i="19"/>
  <c r="R2" i="20"/>
  <c r="Q2" i="19"/>
  <c r="T234" i="20" l="1"/>
  <c r="S235" i="20"/>
  <c r="R2" i="42"/>
  <c r="R2" i="28"/>
  <c r="R2" i="53"/>
  <c r="R2" i="54"/>
  <c r="R2" i="29"/>
  <c r="R2" i="48"/>
  <c r="R2" i="46"/>
  <c r="R2" i="38"/>
  <c r="T175" i="54"/>
  <c r="S176" i="54"/>
  <c r="W176" i="53"/>
  <c r="X175" i="53"/>
  <c r="T288" i="48"/>
  <c r="U287" i="48"/>
  <c r="T288" i="46"/>
  <c r="U287" i="46"/>
  <c r="S259" i="38"/>
  <c r="R260" i="38"/>
  <c r="T259" i="42"/>
  <c r="S260" i="42"/>
  <c r="T127" i="28"/>
  <c r="S128" i="28"/>
  <c r="U113" i="29"/>
  <c r="T114" i="29"/>
  <c r="U192" i="19"/>
  <c r="T193" i="19"/>
  <c r="S2" i="20"/>
  <c r="R2" i="19"/>
  <c r="U234" i="20" l="1"/>
  <c r="T235" i="20"/>
  <c r="S2" i="48"/>
  <c r="S2" i="54"/>
  <c r="S2" i="42"/>
  <c r="S2" i="29"/>
  <c r="S2" i="53"/>
  <c r="S2" i="28"/>
  <c r="S2" i="46"/>
  <c r="S2" i="38"/>
  <c r="U175" i="54"/>
  <c r="T176" i="54"/>
  <c r="X176" i="53"/>
  <c r="Y175" i="53"/>
  <c r="U288" i="48"/>
  <c r="V287" i="48"/>
  <c r="U288" i="46"/>
  <c r="V287" i="46"/>
  <c r="S260" i="38"/>
  <c r="T259" i="38"/>
  <c r="U259" i="42"/>
  <c r="T260" i="42"/>
  <c r="U127" i="28"/>
  <c r="T128" i="28"/>
  <c r="V113" i="29"/>
  <c r="U114" i="29"/>
  <c r="U193" i="19"/>
  <c r="V192" i="19"/>
  <c r="T2" i="20"/>
  <c r="S2" i="19"/>
  <c r="U235" i="20" l="1"/>
  <c r="V234" i="20"/>
  <c r="T2" i="54"/>
  <c r="T2" i="46"/>
  <c r="T2" i="53"/>
  <c r="T2" i="28"/>
  <c r="T2" i="48"/>
  <c r="T2" i="42"/>
  <c r="T2" i="38"/>
  <c r="T2" i="29"/>
  <c r="V175" i="54"/>
  <c r="U176" i="54"/>
  <c r="Y176" i="53"/>
  <c r="Z175" i="53"/>
  <c r="W287" i="48"/>
  <c r="V288" i="48"/>
  <c r="V288" i="46"/>
  <c r="W287" i="46"/>
  <c r="T260" i="38"/>
  <c r="U259" i="38"/>
  <c r="V259" i="42"/>
  <c r="U260" i="42"/>
  <c r="V127" i="28"/>
  <c r="U128" i="28"/>
  <c r="V114" i="29"/>
  <c r="W113" i="29"/>
  <c r="W192" i="19"/>
  <c r="V193" i="19"/>
  <c r="U2" i="20"/>
  <c r="T2" i="19"/>
  <c r="V235" i="20" l="1"/>
  <c r="W234" i="20"/>
  <c r="U2" i="53"/>
  <c r="U2" i="38"/>
  <c r="U2" i="48"/>
  <c r="U2" i="42"/>
  <c r="U2" i="46"/>
  <c r="U2" i="28"/>
  <c r="U2" i="29"/>
  <c r="U2" i="54"/>
  <c r="V176" i="54"/>
  <c r="W175" i="54"/>
  <c r="AA175" i="53"/>
  <c r="Z176" i="53"/>
  <c r="W288" i="48"/>
  <c r="X287" i="48"/>
  <c r="X287" i="46"/>
  <c r="W288" i="46"/>
  <c r="U260" i="38"/>
  <c r="V259" i="38"/>
  <c r="V260" i="42"/>
  <c r="W259" i="42"/>
  <c r="V128" i="28"/>
  <c r="W127" i="28"/>
  <c r="W114" i="29"/>
  <c r="X113" i="29"/>
  <c r="W193" i="19"/>
  <c r="X192" i="19"/>
  <c r="V2" i="20"/>
  <c r="U2" i="19"/>
  <c r="W235" i="20" l="1"/>
  <c r="X234" i="20"/>
  <c r="V2" i="48"/>
  <c r="V2" i="46"/>
  <c r="V2" i="38"/>
  <c r="V2" i="42"/>
  <c r="V2" i="28"/>
  <c r="V2" i="54"/>
  <c r="V2" i="29"/>
  <c r="V2" i="53"/>
  <c r="W176" i="54"/>
  <c r="X175" i="54"/>
  <c r="AA176" i="53"/>
  <c r="AB175" i="53"/>
  <c r="Y287" i="48"/>
  <c r="X288" i="48"/>
  <c r="Y287" i="46"/>
  <c r="X288" i="46"/>
  <c r="W259" i="38"/>
  <c r="V260" i="38"/>
  <c r="W260" i="42"/>
  <c r="X259" i="42"/>
  <c r="X127" i="28"/>
  <c r="W128" i="28"/>
  <c r="Y113" i="29"/>
  <c r="X114" i="29"/>
  <c r="Y192" i="19"/>
  <c r="X193" i="19"/>
  <c r="W2" i="20"/>
  <c r="V2" i="19"/>
  <c r="X235" i="20" l="1"/>
  <c r="Y234" i="20"/>
  <c r="W2" i="46"/>
  <c r="W2" i="38"/>
  <c r="W2" i="54"/>
  <c r="W2" i="42"/>
  <c r="W2" i="53"/>
  <c r="W2" i="28"/>
  <c r="W2" i="48"/>
  <c r="W2" i="29"/>
  <c r="X176" i="54"/>
  <c r="Y175" i="54"/>
  <c r="AC175" i="53"/>
  <c r="AB176" i="53"/>
  <c r="Z287" i="48"/>
  <c r="Y288" i="48"/>
  <c r="Z287" i="46"/>
  <c r="Y288" i="46"/>
  <c r="W260" i="38"/>
  <c r="X259" i="38"/>
  <c r="X260" i="42"/>
  <c r="Y259" i="42"/>
  <c r="Y127" i="28"/>
  <c r="X128" i="28"/>
  <c r="Z113" i="29"/>
  <c r="Y114" i="29"/>
  <c r="Z192" i="19"/>
  <c r="Y193" i="19"/>
  <c r="X2" i="20"/>
  <c r="W2" i="19"/>
  <c r="Z234" i="20" l="1"/>
  <c r="Y235" i="20"/>
  <c r="X2" i="38"/>
  <c r="X2" i="29"/>
  <c r="X2" i="54"/>
  <c r="X2" i="53"/>
  <c r="X2" i="48"/>
  <c r="X2" i="42"/>
  <c r="X2" i="46"/>
  <c r="X2" i="28"/>
  <c r="Z175" i="54"/>
  <c r="Y176" i="54"/>
  <c r="AC176" i="53"/>
  <c r="AD175" i="53"/>
  <c r="AA287" i="48"/>
  <c r="Z288" i="48"/>
  <c r="AA287" i="46"/>
  <c r="Z288" i="46"/>
  <c r="Y259" i="38"/>
  <c r="X260" i="38"/>
  <c r="Z259" i="42"/>
  <c r="Y260" i="42"/>
  <c r="Y128" i="28"/>
  <c r="Z127" i="28"/>
  <c r="Z114" i="29"/>
  <c r="AA113" i="29"/>
  <c r="AA192" i="19"/>
  <c r="Z193" i="19"/>
  <c r="Y2" i="20"/>
  <c r="X2" i="19"/>
  <c r="Z235" i="20" l="1"/>
  <c r="AA234" i="20"/>
  <c r="Y2" i="28"/>
  <c r="Y2" i="29"/>
  <c r="Y2" i="54"/>
  <c r="Y2" i="53"/>
  <c r="Y2" i="48"/>
  <c r="Y2" i="46"/>
  <c r="Y2" i="38"/>
  <c r="Y2" i="42"/>
  <c r="AA175" i="54"/>
  <c r="Z176" i="54"/>
  <c r="AE175" i="53"/>
  <c r="AD176" i="53"/>
  <c r="AA288" i="48"/>
  <c r="AB287" i="48"/>
  <c r="AB287" i="46"/>
  <c r="AA288" i="46"/>
  <c r="Z259" i="38"/>
  <c r="Y260" i="38"/>
  <c r="AA259" i="42"/>
  <c r="Z260" i="42"/>
  <c r="AA127" i="28"/>
  <c r="Z128" i="28"/>
  <c r="AB113" i="29"/>
  <c r="AA114" i="29"/>
  <c r="AA193" i="19"/>
  <c r="AB192" i="19"/>
  <c r="Z2" i="20"/>
  <c r="Y2" i="19"/>
  <c r="AB234" i="20" l="1"/>
  <c r="AA235" i="20"/>
  <c r="Z2" i="42"/>
  <c r="Z2" i="53"/>
  <c r="Z2" i="28"/>
  <c r="Z2" i="54"/>
  <c r="Z2" i="29"/>
  <c r="Z2" i="48"/>
  <c r="Z2" i="46"/>
  <c r="Z2" i="38"/>
  <c r="AB175" i="54"/>
  <c r="AA176" i="54"/>
  <c r="AE176" i="53"/>
  <c r="AF175" i="53"/>
  <c r="AF176" i="53" s="1"/>
  <c r="AB288" i="48"/>
  <c r="AC287" i="48"/>
  <c r="AB288" i="46"/>
  <c r="AC287" i="46"/>
  <c r="AA259" i="38"/>
  <c r="Z260" i="38"/>
  <c r="AB259" i="42"/>
  <c r="AA260" i="42"/>
  <c r="AB127" i="28"/>
  <c r="AA128" i="28"/>
  <c r="AC113" i="29"/>
  <c r="AB114" i="29"/>
  <c r="AC192" i="19"/>
  <c r="AB193" i="19"/>
  <c r="AA2" i="20"/>
  <c r="Z2" i="19"/>
  <c r="AC234" i="20" l="1"/>
  <c r="AB235" i="20"/>
  <c r="AA2" i="29"/>
  <c r="AA2" i="54"/>
  <c r="AA2" i="42"/>
  <c r="AA2" i="48"/>
  <c r="AA2" i="53"/>
  <c r="AA2" i="28"/>
  <c r="AA2" i="46"/>
  <c r="AA2" i="38"/>
  <c r="AC175" i="54"/>
  <c r="AB176" i="54"/>
  <c r="AD287" i="48"/>
  <c r="AC288" i="48"/>
  <c r="AD287" i="46"/>
  <c r="AC288" i="46"/>
  <c r="AA260" i="38"/>
  <c r="AB259" i="38"/>
  <c r="AC259" i="42"/>
  <c r="AB260" i="42"/>
  <c r="AC127" i="28"/>
  <c r="AB128" i="28"/>
  <c r="AD113" i="29"/>
  <c r="AC114" i="29"/>
  <c r="AD192" i="19"/>
  <c r="AC193" i="19"/>
  <c r="AB2" i="20"/>
  <c r="AA2" i="19"/>
  <c r="AD234" i="20" l="1"/>
  <c r="AC235" i="20"/>
  <c r="AB2" i="54"/>
  <c r="AB2" i="28"/>
  <c r="AB2" i="53"/>
  <c r="AB2" i="46"/>
  <c r="AB2" i="48"/>
  <c r="AB2" i="42"/>
  <c r="AB2" i="38"/>
  <c r="AB2" i="29"/>
  <c r="AD175" i="54"/>
  <c r="AC176" i="54"/>
  <c r="AE287" i="48"/>
  <c r="AD288" i="48"/>
  <c r="AD288" i="46"/>
  <c r="AE287" i="46"/>
  <c r="AB260" i="38"/>
  <c r="AC259" i="38"/>
  <c r="AD259" i="42"/>
  <c r="AC260" i="42"/>
  <c r="AC128" i="28"/>
  <c r="AD127" i="28"/>
  <c r="AD114" i="29"/>
  <c r="AE113" i="29"/>
  <c r="AE192" i="19"/>
  <c r="AD193" i="19"/>
  <c r="AC2" i="20"/>
  <c r="AB2" i="19"/>
  <c r="AE234" i="20" l="1"/>
  <c r="AD235" i="20"/>
  <c r="AC2" i="53"/>
  <c r="AC2" i="48"/>
  <c r="AC2" i="38"/>
  <c r="AC2" i="46"/>
  <c r="AC2" i="42"/>
  <c r="AC2" i="28"/>
  <c r="AC2" i="29"/>
  <c r="AC2" i="54"/>
  <c r="AD176" i="54"/>
  <c r="AE175" i="54"/>
  <c r="AF287" i="48"/>
  <c r="AF288" i="48" s="1"/>
  <c r="AE288" i="48"/>
  <c r="AE288" i="46"/>
  <c r="AF287" i="46"/>
  <c r="AF288" i="46" s="1"/>
  <c r="AC260" i="38"/>
  <c r="AD259" i="38"/>
  <c r="AD260" i="42"/>
  <c r="AE259" i="42"/>
  <c r="AD128" i="28"/>
  <c r="AE127" i="28"/>
  <c r="AE114" i="29"/>
  <c r="AF113" i="29"/>
  <c r="AF114" i="29" s="1"/>
  <c r="AE193" i="19"/>
  <c r="AF192" i="19"/>
  <c r="AF193" i="19" s="1"/>
  <c r="AD2" i="20"/>
  <c r="AC2" i="19"/>
  <c r="AE235" i="20" l="1"/>
  <c r="AF234" i="20"/>
  <c r="AF235" i="20" s="1"/>
  <c r="AD2" i="48"/>
  <c r="AD2" i="46"/>
  <c r="AD2" i="38"/>
  <c r="AD2" i="42"/>
  <c r="AD2" i="28"/>
  <c r="AD2" i="54"/>
  <c r="AD2" i="29"/>
  <c r="AD2" i="53"/>
  <c r="AE176" i="54"/>
  <c r="AF175" i="54"/>
  <c r="AF176" i="54" s="1"/>
  <c r="AE259" i="38"/>
  <c r="AD260" i="38"/>
  <c r="AE260" i="42"/>
  <c r="AF259" i="42"/>
  <c r="AF260" i="42" s="1"/>
  <c r="AF127" i="28"/>
  <c r="AF128" i="28" s="1"/>
  <c r="AE128" i="28"/>
  <c r="AE2" i="20"/>
  <c r="AD2" i="19"/>
  <c r="AE2" i="46" l="1"/>
  <c r="AE2" i="38"/>
  <c r="AE2" i="54"/>
  <c r="AE2" i="42"/>
  <c r="AE2" i="53"/>
  <c r="AE2" i="28"/>
  <c r="AE2" i="48"/>
  <c r="AE2" i="29"/>
  <c r="AF259" i="38"/>
  <c r="AF260" i="38" s="1"/>
  <c r="AE260" i="38"/>
  <c r="AF2" i="20"/>
  <c r="AE2" i="19"/>
  <c r="AF2" i="38" l="1"/>
  <c r="AF2" i="29"/>
  <c r="AF2" i="54"/>
  <c r="AF2" i="53"/>
  <c r="AF2" i="48"/>
  <c r="AF2" i="42"/>
  <c r="AF2" i="46"/>
  <c r="AF2" i="28"/>
  <c r="AG2" i="20"/>
  <c r="AF2" i="19"/>
  <c r="AG2" i="19" l="1"/>
  <c r="AG2" i="28"/>
  <c r="AG2" i="29"/>
  <c r="AG2" i="54"/>
  <c r="AI2" i="54" s="1"/>
  <c r="AG2" i="53"/>
  <c r="AG2" i="48"/>
  <c r="AI2" i="48" s="1"/>
  <c r="AG2" i="46"/>
  <c r="AG2" i="38"/>
  <c r="AI2" i="38" s="1"/>
  <c r="AG2" i="42"/>
  <c r="D17" i="25"/>
  <c r="D18" i="25" s="1"/>
  <c r="C16" i="25" s="1"/>
  <c r="D16" i="25"/>
  <c r="R20" i="7"/>
  <c r="R21" i="7" s="1"/>
  <c r="D6" i="7"/>
  <c r="D15" i="7"/>
  <c r="D14" i="7"/>
  <c r="L28" i="57"/>
  <c r="L30" i="57" s="1"/>
  <c r="F30" i="57"/>
  <c r="D28" i="57"/>
  <c r="D30" i="57" s="1"/>
  <c r="B31" i="57"/>
  <c r="B32" i="57" s="1"/>
  <c r="C14" i="57" s="1"/>
  <c r="B14" i="57" s="1"/>
  <c r="L26" i="57"/>
  <c r="G3" i="57" s="1"/>
  <c r="D26" i="57"/>
  <c r="C3" i="57"/>
  <c r="B3" i="57"/>
  <c r="B15" i="57" l="1"/>
  <c r="B3" i="6" s="1"/>
  <c r="D6" i="25"/>
  <c r="C17" i="25"/>
  <c r="C18" i="25" s="1"/>
  <c r="C16" i="57"/>
  <c r="D31" i="57"/>
  <c r="D32" i="57" s="1"/>
  <c r="E14" i="57" s="1"/>
  <c r="L31" i="57"/>
  <c r="L32" i="57" s="1"/>
  <c r="H3" i="57"/>
  <c r="F31" i="57"/>
  <c r="F32" i="57" s="1"/>
  <c r="G14" i="57" s="1"/>
  <c r="F14" i="57" l="1"/>
  <c r="F15" i="57" s="1"/>
  <c r="G15" i="57"/>
  <c r="C17" i="57"/>
  <c r="C18" i="57" s="1"/>
  <c r="C19" i="57" s="1"/>
  <c r="C20" i="57" s="1"/>
  <c r="C21" i="57" s="1"/>
  <c r="C22" i="57" s="1"/>
  <c r="M14" i="57"/>
  <c r="M15" i="57" s="1"/>
  <c r="M16" i="57" s="1"/>
  <c r="M17" i="57" s="1"/>
  <c r="M18" i="57" s="1"/>
  <c r="M19" i="57" s="1"/>
  <c r="M20" i="57" s="1"/>
  <c r="M21" i="57" s="1"/>
  <c r="M22" i="57" s="1"/>
  <c r="I14" i="57"/>
  <c r="I15" i="57" s="1"/>
  <c r="K17" i="57"/>
  <c r="G16" i="57"/>
  <c r="G17" i="57" s="1"/>
  <c r="G18" i="57" s="1"/>
  <c r="G19" i="57" s="1"/>
  <c r="G20" i="57" s="1"/>
  <c r="G21" i="57" s="1"/>
  <c r="G22" i="57" s="1"/>
  <c r="D14" i="57"/>
  <c r="D15" i="57" s="1"/>
  <c r="B4" i="6" s="1"/>
  <c r="E15" i="57"/>
  <c r="E16" i="57" s="1"/>
  <c r="E17" i="57" s="1"/>
  <c r="E18" i="57" s="1"/>
  <c r="E19" i="57" s="1"/>
  <c r="E20" i="57" s="1"/>
  <c r="E21" i="57" s="1"/>
  <c r="E22" i="57" s="1"/>
  <c r="L14" i="57"/>
  <c r="L15" i="57" s="1"/>
  <c r="B22" i="57"/>
  <c r="B17" i="57"/>
  <c r="B19" i="57"/>
  <c r="B18" i="57"/>
  <c r="B20" i="57"/>
  <c r="B16" i="57"/>
  <c r="B21" i="57"/>
  <c r="K18" i="57" l="1"/>
  <c r="F5" i="57"/>
  <c r="C3" i="43"/>
  <c r="F16" i="57"/>
  <c r="C7" i="43"/>
  <c r="I16" i="57"/>
  <c r="H14" i="57"/>
  <c r="H15" i="57" s="1"/>
  <c r="B5" i="57"/>
  <c r="D3" i="6"/>
  <c r="B10" i="57"/>
  <c r="I3" i="6"/>
  <c r="B9" i="57"/>
  <c r="H3" i="6"/>
  <c r="B4" i="57"/>
  <c r="C3" i="6"/>
  <c r="B8" i="57"/>
  <c r="G3" i="6"/>
  <c r="B6" i="57"/>
  <c r="E3" i="6"/>
  <c r="B7" i="57"/>
  <c r="F3" i="6"/>
  <c r="C23" i="57"/>
  <c r="F22" i="57"/>
  <c r="F21" i="57"/>
  <c r="F20" i="57"/>
  <c r="F19" i="57"/>
  <c r="F18" i="57"/>
  <c r="F17" i="57"/>
  <c r="L22" i="57"/>
  <c r="L21" i="57"/>
  <c r="L20" i="57"/>
  <c r="L19" i="57"/>
  <c r="L18" i="57"/>
  <c r="L17" i="57"/>
  <c r="L16" i="57"/>
  <c r="G4" i="57" s="1"/>
  <c r="D21" i="57"/>
  <c r="D18" i="57"/>
  <c r="D17" i="57"/>
  <c r="D20" i="57"/>
  <c r="D16" i="57"/>
  <c r="D22" i="57"/>
  <c r="D19" i="57"/>
  <c r="F7" i="43" l="1"/>
  <c r="D7" i="43"/>
  <c r="D4" i="57"/>
  <c r="G7" i="43"/>
  <c r="H7" i="43"/>
  <c r="I7" i="43"/>
  <c r="I3" i="43"/>
  <c r="E7" i="43"/>
  <c r="J7" i="43"/>
  <c r="H21" i="57"/>
  <c r="C8" i="43"/>
  <c r="I17" i="43" s="1"/>
  <c r="J17" i="43" s="1"/>
  <c r="H18" i="57"/>
  <c r="H20" i="57"/>
  <c r="H17" i="57"/>
  <c r="H16" i="57"/>
  <c r="H22" i="57"/>
  <c r="J3" i="43" s="1"/>
  <c r="H19" i="57"/>
  <c r="K19" i="57"/>
  <c r="F6" i="57"/>
  <c r="I17" i="57"/>
  <c r="I18" i="57" s="1"/>
  <c r="I19" i="57" s="1"/>
  <c r="I20" i="57" s="1"/>
  <c r="I21" i="57" s="1"/>
  <c r="I22" i="57" s="1"/>
  <c r="I23" i="57"/>
  <c r="E2" i="7"/>
  <c r="C6" i="7" s="1"/>
  <c r="C7" i="7" s="1"/>
  <c r="D7" i="57"/>
  <c r="D8" i="57"/>
  <c r="C10" i="57"/>
  <c r="I4" i="6"/>
  <c r="C8" i="57"/>
  <c r="G4" i="6"/>
  <c r="D10" i="57"/>
  <c r="G5" i="57"/>
  <c r="D5" i="50"/>
  <c r="G9" i="57"/>
  <c r="H5" i="50"/>
  <c r="C7" i="57"/>
  <c r="F4" i="6"/>
  <c r="D9" i="57"/>
  <c r="G23" i="57"/>
  <c r="G6" i="57"/>
  <c r="E5" i="50"/>
  <c r="C4" i="57"/>
  <c r="C4" i="6"/>
  <c r="G8" i="57"/>
  <c r="G5" i="50"/>
  <c r="C6" i="57"/>
  <c r="E4" i="6"/>
  <c r="C9" i="57"/>
  <c r="H4" i="6"/>
  <c r="D5" i="57"/>
  <c r="G7" i="57"/>
  <c r="F5" i="50"/>
  <c r="C5" i="57"/>
  <c r="D4" i="6"/>
  <c r="G10" i="57"/>
  <c r="I5" i="50"/>
  <c r="C5" i="50"/>
  <c r="D6" i="57"/>
  <c r="E23" i="57"/>
  <c r="M23" i="57"/>
  <c r="E4" i="57" l="1"/>
  <c r="D8" i="43"/>
  <c r="E5" i="57"/>
  <c r="E8" i="43"/>
  <c r="E3" i="43"/>
  <c r="E4" i="43" s="1"/>
  <c r="D3" i="43"/>
  <c r="E8" i="57"/>
  <c r="H8" i="43"/>
  <c r="E6" i="57"/>
  <c r="F8" i="43"/>
  <c r="H3" i="43"/>
  <c r="F3" i="43"/>
  <c r="F4" i="43" s="1"/>
  <c r="H6" i="57"/>
  <c r="K20" i="57"/>
  <c r="F7" i="57"/>
  <c r="E9" i="57"/>
  <c r="I8" i="43"/>
  <c r="I18" i="43"/>
  <c r="E7" i="57"/>
  <c r="G8" i="43"/>
  <c r="G3" i="43"/>
  <c r="I16" i="43"/>
  <c r="J16" i="43" s="1"/>
  <c r="E10" i="57"/>
  <c r="J8" i="43"/>
  <c r="H5" i="57"/>
  <c r="H7" i="57"/>
  <c r="H4" i="57"/>
  <c r="N3" i="43" l="1"/>
  <c r="D4" i="43"/>
  <c r="I20" i="43"/>
  <c r="I21" i="43"/>
  <c r="N12" i="43" s="1"/>
  <c r="I19" i="43"/>
  <c r="N10" i="43" s="1"/>
  <c r="J18" i="43"/>
  <c r="K21" i="57"/>
  <c r="F8" i="57"/>
  <c r="H8" i="57" s="1"/>
  <c r="N17" i="43"/>
  <c r="N16" i="43"/>
  <c r="N8" i="43"/>
  <c r="D6" i="45" s="1"/>
  <c r="N11" i="43"/>
  <c r="D24" i="55"/>
  <c r="C304" i="20"/>
  <c r="E23" i="55"/>
  <c r="F23" i="55" s="1"/>
  <c r="F24" i="55" s="1"/>
  <c r="BQ3" i="55"/>
  <c r="BR3" i="55" s="1"/>
  <c r="BS3" i="55" s="1"/>
  <c r="BT3" i="55" s="1"/>
  <c r="BU3" i="55" s="1"/>
  <c r="BV3" i="55" s="1"/>
  <c r="BW3" i="55" s="1"/>
  <c r="BX3" i="55" s="1"/>
  <c r="BY3" i="55" s="1"/>
  <c r="BZ3" i="55" s="1"/>
  <c r="CA3" i="55" s="1"/>
  <c r="CB3" i="55" s="1"/>
  <c r="CC3" i="55" s="1"/>
  <c r="CD3" i="55" s="1"/>
  <c r="CE3" i="55" s="1"/>
  <c r="CF3" i="55" s="1"/>
  <c r="CG3" i="55" s="1"/>
  <c r="CH3" i="55" s="1"/>
  <c r="CI3" i="55" s="1"/>
  <c r="CJ3" i="55" s="1"/>
  <c r="CK3" i="55" s="1"/>
  <c r="CL3" i="55" s="1"/>
  <c r="CM3" i="55" s="1"/>
  <c r="CN3" i="55" s="1"/>
  <c r="CO3" i="55" s="1"/>
  <c r="CP3" i="55" s="1"/>
  <c r="CQ3" i="55" s="1"/>
  <c r="CR3" i="55" s="1"/>
  <c r="CS3" i="55" s="1"/>
  <c r="CT3" i="55" s="1"/>
  <c r="AK3" i="55"/>
  <c r="AL3" i="55" s="1"/>
  <c r="AM3" i="55" s="1"/>
  <c r="AN3" i="55" s="1"/>
  <c r="AO3" i="55" s="1"/>
  <c r="AP3" i="55" s="1"/>
  <c r="AQ3" i="55" s="1"/>
  <c r="AR3" i="55" s="1"/>
  <c r="AS3" i="55" s="1"/>
  <c r="AT3" i="55" s="1"/>
  <c r="AU3" i="55" s="1"/>
  <c r="AV3" i="55" s="1"/>
  <c r="AW3" i="55" s="1"/>
  <c r="AX3" i="55" s="1"/>
  <c r="AY3" i="55" s="1"/>
  <c r="AZ3" i="55" s="1"/>
  <c r="BA3" i="55" s="1"/>
  <c r="BB3" i="55" s="1"/>
  <c r="BC3" i="55" s="1"/>
  <c r="BD3" i="55" s="1"/>
  <c r="BE3" i="55" s="1"/>
  <c r="BF3" i="55" s="1"/>
  <c r="BG3" i="55" s="1"/>
  <c r="BH3" i="55" s="1"/>
  <c r="BI3" i="55" s="1"/>
  <c r="BJ3" i="55" s="1"/>
  <c r="BK3" i="55" s="1"/>
  <c r="BL3" i="55" s="1"/>
  <c r="BM3" i="55" s="1"/>
  <c r="BN3" i="55" s="1"/>
  <c r="E3" i="55"/>
  <c r="N248" i="54"/>
  <c r="O248" i="54" s="1"/>
  <c r="P248" i="54" s="1"/>
  <c r="D248" i="54"/>
  <c r="E248" i="54" s="1"/>
  <c r="F248" i="54" s="1"/>
  <c r="G248" i="54" s="1"/>
  <c r="D244" i="54"/>
  <c r="E244" i="54" s="1"/>
  <c r="F244" i="54" s="1"/>
  <c r="G244" i="54" s="1"/>
  <c r="H244" i="54" s="1"/>
  <c r="I244" i="54" s="1"/>
  <c r="J244" i="54" s="1"/>
  <c r="D239" i="54"/>
  <c r="E239" i="54" s="1"/>
  <c r="F239" i="54" s="1"/>
  <c r="G239" i="54" s="1"/>
  <c r="H239" i="54" s="1"/>
  <c r="I239" i="54" s="1"/>
  <c r="J239" i="54" s="1"/>
  <c r="K239" i="54" s="1"/>
  <c r="L239" i="54" s="1"/>
  <c r="M239" i="54" s="1"/>
  <c r="N239" i="54" s="1"/>
  <c r="O239" i="54" s="1"/>
  <c r="P239" i="54" s="1"/>
  <c r="Q239" i="54" s="1"/>
  <c r="R239" i="54" s="1"/>
  <c r="S239" i="54" s="1"/>
  <c r="T239" i="54" s="1"/>
  <c r="U239" i="54" s="1"/>
  <c r="V239" i="54" s="1"/>
  <c r="W239" i="54" s="1"/>
  <c r="X239" i="54" s="1"/>
  <c r="Y239" i="54" s="1"/>
  <c r="Z239" i="54" s="1"/>
  <c r="AA239" i="54" s="1"/>
  <c r="AB239" i="54" s="1"/>
  <c r="AC239" i="54" s="1"/>
  <c r="AD239" i="54" s="1"/>
  <c r="AE239" i="54" s="1"/>
  <c r="AF239" i="54" s="1"/>
  <c r="AG239" i="54" s="1"/>
  <c r="AG150" i="54"/>
  <c r="W150" i="54"/>
  <c r="M150" i="54"/>
  <c r="C150" i="54"/>
  <c r="AG145" i="54"/>
  <c r="C145" i="54"/>
  <c r="D144" i="54"/>
  <c r="E144" i="54" s="1"/>
  <c r="F144" i="54" s="1"/>
  <c r="G144" i="54" s="1"/>
  <c r="H144" i="54" s="1"/>
  <c r="I144" i="54" s="1"/>
  <c r="J144" i="54" s="1"/>
  <c r="K144" i="54" s="1"/>
  <c r="L144" i="54" s="1"/>
  <c r="M144" i="54" s="1"/>
  <c r="W142" i="54"/>
  <c r="W141" i="54" s="1"/>
  <c r="M142" i="54"/>
  <c r="AG141" i="54"/>
  <c r="C141" i="54"/>
  <c r="AG129" i="54"/>
  <c r="W129" i="54"/>
  <c r="W132" i="54" s="1"/>
  <c r="M129" i="54"/>
  <c r="M132" i="54" s="1"/>
  <c r="C121" i="54"/>
  <c r="D121" i="54" s="1"/>
  <c r="E121" i="54" s="1"/>
  <c r="F121" i="54" s="1"/>
  <c r="G121" i="54" s="1"/>
  <c r="H121" i="54" s="1"/>
  <c r="I121" i="54" s="1"/>
  <c r="J121" i="54" s="1"/>
  <c r="K121" i="54" s="1"/>
  <c r="L121" i="54" s="1"/>
  <c r="M121" i="54" s="1"/>
  <c r="D120" i="54"/>
  <c r="E120" i="54" s="1"/>
  <c r="F120" i="54" s="1"/>
  <c r="AG118" i="54"/>
  <c r="W118" i="54"/>
  <c r="M118" i="54"/>
  <c r="C118" i="54"/>
  <c r="AG117" i="54"/>
  <c r="AG128" i="54" s="1"/>
  <c r="W117" i="54"/>
  <c r="W128" i="54" s="1"/>
  <c r="M117" i="54"/>
  <c r="M128" i="54" s="1"/>
  <c r="C117" i="54"/>
  <c r="X115" i="54"/>
  <c r="X116" i="54" s="1"/>
  <c r="N115" i="54"/>
  <c r="N116" i="54" s="1"/>
  <c r="D115" i="54"/>
  <c r="D116" i="54" s="1"/>
  <c r="AG113" i="54"/>
  <c r="W113" i="54"/>
  <c r="M113" i="54"/>
  <c r="C113" i="54"/>
  <c r="C89" i="54"/>
  <c r="D89" i="54" s="1"/>
  <c r="E89" i="54" s="1"/>
  <c r="D88" i="54"/>
  <c r="E88" i="54" s="1"/>
  <c r="D87" i="54"/>
  <c r="AG84" i="54"/>
  <c r="AG97" i="54" s="1"/>
  <c r="C84" i="54"/>
  <c r="C97" i="54" s="1"/>
  <c r="AG83" i="54"/>
  <c r="AG85" i="54" s="1"/>
  <c r="AG98" i="54" s="1"/>
  <c r="C83" i="54"/>
  <c r="C85" i="54" s="1"/>
  <c r="D82" i="54"/>
  <c r="D83" i="54" s="1"/>
  <c r="W81" i="54"/>
  <c r="W80" i="54" s="1"/>
  <c r="M81" i="54"/>
  <c r="M80" i="54" s="1"/>
  <c r="AG80" i="54"/>
  <c r="C80" i="54"/>
  <c r="AG51" i="54"/>
  <c r="AF51" i="54"/>
  <c r="AE51" i="54"/>
  <c r="AD51" i="54"/>
  <c r="AC51" i="54"/>
  <c r="AB51" i="54"/>
  <c r="AA51" i="54"/>
  <c r="Z51" i="54"/>
  <c r="Y51" i="54"/>
  <c r="X51" i="54"/>
  <c r="W51" i="54"/>
  <c r="V51" i="54"/>
  <c r="U51" i="54"/>
  <c r="T51" i="54"/>
  <c r="S51" i="54"/>
  <c r="R51" i="54"/>
  <c r="Q51" i="54"/>
  <c r="P51" i="54"/>
  <c r="O51" i="54"/>
  <c r="N51" i="54"/>
  <c r="M51" i="54"/>
  <c r="L51" i="54"/>
  <c r="K51" i="54"/>
  <c r="J51" i="54"/>
  <c r="I51" i="54"/>
  <c r="H51" i="54"/>
  <c r="G51" i="54"/>
  <c r="F51" i="54"/>
  <c r="E51" i="54"/>
  <c r="D51" i="54"/>
  <c r="C51" i="54"/>
  <c r="AG49" i="54"/>
  <c r="AG46" i="54" s="1"/>
  <c r="W49" i="54"/>
  <c r="W46" i="54" s="1"/>
  <c r="M49" i="54"/>
  <c r="M46" i="54" s="1"/>
  <c r="C49" i="54"/>
  <c r="C46" i="54" s="1"/>
  <c r="X1" i="54"/>
  <c r="N1" i="54"/>
  <c r="O1" i="54" s="1"/>
  <c r="O48" i="54" s="1"/>
  <c r="D1" i="54"/>
  <c r="W142" i="53"/>
  <c r="M142" i="53"/>
  <c r="W81" i="53"/>
  <c r="M8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T51" i="53"/>
  <c r="U51" i="53"/>
  <c r="V51" i="53"/>
  <c r="W51" i="53"/>
  <c r="X51" i="53"/>
  <c r="Y51" i="53"/>
  <c r="Z51" i="53"/>
  <c r="AA51" i="53"/>
  <c r="AB51" i="53"/>
  <c r="AC51" i="53"/>
  <c r="AD51" i="53"/>
  <c r="AE51" i="53"/>
  <c r="AF51" i="53"/>
  <c r="AG51" i="53"/>
  <c r="C51" i="53"/>
  <c r="F21" i="49"/>
  <c r="F19" i="49"/>
  <c r="K64" i="33"/>
  <c r="J64" i="33"/>
  <c r="I57" i="33"/>
  <c r="I59" i="33"/>
  <c r="I60" i="33"/>
  <c r="I61" i="33"/>
  <c r="I62" i="33"/>
  <c r="D244" i="53"/>
  <c r="E244" i="53" s="1"/>
  <c r="D239" i="53"/>
  <c r="E239" i="53" s="1"/>
  <c r="F239" i="53" s="1"/>
  <c r="G239" i="53" s="1"/>
  <c r="H239" i="53" s="1"/>
  <c r="I239" i="53" s="1"/>
  <c r="J239" i="53" s="1"/>
  <c r="K239" i="53" s="1"/>
  <c r="L239" i="53" s="1"/>
  <c r="M239" i="53" s="1"/>
  <c r="N239" i="53" s="1"/>
  <c r="O239" i="53" s="1"/>
  <c r="P239" i="53" s="1"/>
  <c r="Q239" i="53" s="1"/>
  <c r="R239" i="53" s="1"/>
  <c r="S239" i="53" s="1"/>
  <c r="T239" i="53" s="1"/>
  <c r="U239" i="53" s="1"/>
  <c r="V239" i="53" s="1"/>
  <c r="W239" i="53" s="1"/>
  <c r="X239" i="53" s="1"/>
  <c r="Y239" i="53" s="1"/>
  <c r="Z239" i="53" s="1"/>
  <c r="AA239" i="53" s="1"/>
  <c r="AB239" i="53" s="1"/>
  <c r="AC239" i="53" s="1"/>
  <c r="AD239" i="53" s="1"/>
  <c r="AE239" i="53" s="1"/>
  <c r="AF239" i="53" s="1"/>
  <c r="AG239" i="53" s="1"/>
  <c r="AG150" i="53"/>
  <c r="C150" i="53"/>
  <c r="AG141" i="53"/>
  <c r="C141" i="53"/>
  <c r="C121" i="53"/>
  <c r="C122" i="53" s="1"/>
  <c r="D120" i="53"/>
  <c r="E120" i="53" s="1"/>
  <c r="AG117" i="53"/>
  <c r="C117" i="53"/>
  <c r="AG118" i="53"/>
  <c r="C118" i="53"/>
  <c r="D115" i="53"/>
  <c r="D116" i="53" s="1"/>
  <c r="AG113" i="53"/>
  <c r="C113" i="53"/>
  <c r="C89" i="53"/>
  <c r="C90" i="53" s="1"/>
  <c r="D88" i="53"/>
  <c r="E88" i="53" s="1"/>
  <c r="F88" i="53" s="1"/>
  <c r="D87" i="53"/>
  <c r="AG84" i="53"/>
  <c r="C84" i="53"/>
  <c r="AG83" i="53"/>
  <c r="AG85" i="53" s="1"/>
  <c r="C83" i="53"/>
  <c r="C85" i="53" s="1"/>
  <c r="C93" i="53" s="1"/>
  <c r="D82" i="53"/>
  <c r="D83" i="53" s="1"/>
  <c r="AG80" i="53"/>
  <c r="C80" i="53"/>
  <c r="W49" i="53"/>
  <c r="W46" i="53" s="1"/>
  <c r="M49" i="53"/>
  <c r="M46" i="53" s="1"/>
  <c r="C49" i="53"/>
  <c r="C46" i="53" s="1"/>
  <c r="X1" i="53"/>
  <c r="Y1" i="53" s="1"/>
  <c r="N1" i="53"/>
  <c r="N48" i="53" s="1"/>
  <c r="D1" i="53"/>
  <c r="D48" i="53" s="1"/>
  <c r="AJ24" i="51"/>
  <c r="AJ21" i="51"/>
  <c r="D24" i="51"/>
  <c r="D21" i="51"/>
  <c r="BN41" i="51"/>
  <c r="BM41" i="51"/>
  <c r="BL41" i="51"/>
  <c r="BK41" i="51"/>
  <c r="BJ41" i="51"/>
  <c r="BI41" i="51"/>
  <c r="BH41" i="51"/>
  <c r="BG41" i="51"/>
  <c r="BF41" i="51"/>
  <c r="BE41" i="51"/>
  <c r="BD41" i="51"/>
  <c r="BC41" i="51"/>
  <c r="BB41" i="51"/>
  <c r="BA41" i="51"/>
  <c r="AZ41" i="51"/>
  <c r="AY41" i="51"/>
  <c r="AX41" i="51"/>
  <c r="AW41" i="51"/>
  <c r="AV41" i="51"/>
  <c r="AU41" i="51"/>
  <c r="AT41" i="51"/>
  <c r="AS41" i="51"/>
  <c r="AR41" i="51"/>
  <c r="AQ41" i="51"/>
  <c r="AP41" i="51"/>
  <c r="AO41" i="51"/>
  <c r="AN41" i="51"/>
  <c r="AM41" i="51"/>
  <c r="AL41" i="51"/>
  <c r="AK41" i="51"/>
  <c r="AJ41" i="51"/>
  <c r="AH42" i="51"/>
  <c r="AF42" i="51"/>
  <c r="AE42" i="51"/>
  <c r="AD42" i="51"/>
  <c r="AB42" i="51"/>
  <c r="AA42" i="51"/>
  <c r="Z42" i="51"/>
  <c r="X42" i="51"/>
  <c r="W42" i="51"/>
  <c r="V42" i="51"/>
  <c r="BA40" i="51"/>
  <c r="T42" i="51"/>
  <c r="S42" i="51"/>
  <c r="R42" i="51"/>
  <c r="AV40" i="51"/>
  <c r="O42" i="51"/>
  <c r="N42" i="51"/>
  <c r="AR40" i="51"/>
  <c r="K42" i="51"/>
  <c r="J42" i="51"/>
  <c r="AN40" i="51"/>
  <c r="G42" i="51"/>
  <c r="F42" i="51"/>
  <c r="AJ40" i="51"/>
  <c r="AJ15" i="51"/>
  <c r="D15" i="51"/>
  <c r="AK3" i="51"/>
  <c r="AL3" i="51" s="1"/>
  <c r="AM3" i="51" s="1"/>
  <c r="AN3" i="51" s="1"/>
  <c r="AO3" i="51" s="1"/>
  <c r="AP3" i="51" s="1"/>
  <c r="AQ3" i="51" s="1"/>
  <c r="AR3" i="51" s="1"/>
  <c r="AS3" i="51" s="1"/>
  <c r="AT3" i="51" s="1"/>
  <c r="AU3" i="51" s="1"/>
  <c r="AV3" i="51" s="1"/>
  <c r="AW3" i="51" s="1"/>
  <c r="AX3" i="51" s="1"/>
  <c r="AY3" i="51" s="1"/>
  <c r="AZ3" i="51" s="1"/>
  <c r="BA3" i="51" s="1"/>
  <c r="BB3" i="51" s="1"/>
  <c r="BC3" i="51" s="1"/>
  <c r="BD3" i="51" s="1"/>
  <c r="BE3" i="51" s="1"/>
  <c r="BF3" i="51" s="1"/>
  <c r="BG3" i="51" s="1"/>
  <c r="BH3" i="51" s="1"/>
  <c r="BI3" i="51" s="1"/>
  <c r="BJ3" i="51" s="1"/>
  <c r="BK3" i="51" s="1"/>
  <c r="BL3" i="51" s="1"/>
  <c r="BM3" i="51" s="1"/>
  <c r="BN3" i="51" s="1"/>
  <c r="E3" i="51"/>
  <c r="F30" i="49"/>
  <c r="G30" i="49"/>
  <c r="C30" i="49"/>
  <c r="C31" i="49" s="1"/>
  <c r="B27" i="49"/>
  <c r="B28" i="49"/>
  <c r="B29" i="49"/>
  <c r="B30" i="49"/>
  <c r="B31" i="49"/>
  <c r="B26" i="49"/>
  <c r="G4" i="43"/>
  <c r="F3" i="50" s="1"/>
  <c r="H4" i="43"/>
  <c r="G3" i="50" s="1"/>
  <c r="I4" i="43"/>
  <c r="H3" i="50" s="1"/>
  <c r="J4" i="43"/>
  <c r="I3" i="50" s="1"/>
  <c r="E3" i="50"/>
  <c r="C3" i="50"/>
  <c r="D3" i="50"/>
  <c r="O4" i="49"/>
  <c r="O5" i="49" s="1"/>
  <c r="I7" i="49"/>
  <c r="I6" i="49"/>
  <c r="I5" i="49"/>
  <c r="I4" i="49"/>
  <c r="K22" i="57" l="1"/>
  <c r="F9" i="57"/>
  <c r="H9" i="57" s="1"/>
  <c r="N7" i="43"/>
  <c r="D5" i="45" s="1"/>
  <c r="O3" i="43"/>
  <c r="J20" i="43"/>
  <c r="N20" i="43" s="1"/>
  <c r="N18" i="43" s="1"/>
  <c r="J21" i="43"/>
  <c r="N21" i="43" s="1"/>
  <c r="J19" i="43"/>
  <c r="N19" i="43" s="1"/>
  <c r="N9" i="43"/>
  <c r="D7" i="45" s="1"/>
  <c r="E24" i="55"/>
  <c r="G23" i="55"/>
  <c r="G24" i="55" s="1"/>
  <c r="F3" i="55"/>
  <c r="G3" i="55" s="1"/>
  <c r="H3" i="55" s="1"/>
  <c r="C90" i="54"/>
  <c r="M131" i="54"/>
  <c r="W130" i="54"/>
  <c r="AG130" i="54"/>
  <c r="D90" i="54"/>
  <c r="AG131" i="54"/>
  <c r="O115" i="54"/>
  <c r="O116" i="54" s="1"/>
  <c r="C122" i="54"/>
  <c r="AG99" i="54"/>
  <c r="E87" i="54"/>
  <c r="F87" i="54" s="1"/>
  <c r="E115" i="53"/>
  <c r="E116" i="53" s="1"/>
  <c r="E1" i="53"/>
  <c r="F1" i="53" s="1"/>
  <c r="G1" i="53" s="1"/>
  <c r="C125" i="53"/>
  <c r="C255" i="53" s="1"/>
  <c r="D121" i="53"/>
  <c r="E121" i="53" s="1"/>
  <c r="F121" i="53" s="1"/>
  <c r="G121" i="53" s="1"/>
  <c r="H121" i="53" s="1"/>
  <c r="I121" i="53" s="1"/>
  <c r="J121" i="53" s="1"/>
  <c r="K121" i="53" s="1"/>
  <c r="L121" i="53" s="1"/>
  <c r="M121" i="53" s="1"/>
  <c r="N121" i="53" s="1"/>
  <c r="O121" i="53" s="1"/>
  <c r="P121" i="53" s="1"/>
  <c r="Q121" i="53" s="1"/>
  <c r="R121" i="53" s="1"/>
  <c r="S121" i="53" s="1"/>
  <c r="T121" i="53" s="1"/>
  <c r="U121" i="53" s="1"/>
  <c r="V121" i="53" s="1"/>
  <c r="W121" i="53" s="1"/>
  <c r="X121" i="53" s="1"/>
  <c r="Y121" i="53" s="1"/>
  <c r="Z121" i="53" s="1"/>
  <c r="AA121" i="53" s="1"/>
  <c r="AB121" i="53" s="1"/>
  <c r="AC121" i="53" s="1"/>
  <c r="AD121" i="53" s="1"/>
  <c r="AE121" i="53" s="1"/>
  <c r="AF121" i="53" s="1"/>
  <c r="AG121" i="53" s="1"/>
  <c r="AG125" i="53" s="1"/>
  <c r="AG255" i="53" s="1"/>
  <c r="F244" i="53"/>
  <c r="G244" i="53" s="1"/>
  <c r="O1" i="53"/>
  <c r="O47" i="53" s="1"/>
  <c r="D151" i="54"/>
  <c r="D114" i="54"/>
  <c r="D81" i="54"/>
  <c r="D48" i="54"/>
  <c r="D47" i="54"/>
  <c r="E1" i="54"/>
  <c r="N151" i="54"/>
  <c r="N114" i="54"/>
  <c r="N81" i="54"/>
  <c r="N47" i="54"/>
  <c r="N48" i="54"/>
  <c r="O151" i="54"/>
  <c r="O114" i="54"/>
  <c r="O81" i="54"/>
  <c r="O47" i="54"/>
  <c r="X151" i="54"/>
  <c r="X142" i="54"/>
  <c r="X114" i="54"/>
  <c r="X81" i="54"/>
  <c r="X47" i="54"/>
  <c r="P1" i="54"/>
  <c r="Y1" i="54"/>
  <c r="X48" i="54"/>
  <c r="C92" i="54"/>
  <c r="C93" i="54"/>
  <c r="C94" i="54"/>
  <c r="C98" i="54"/>
  <c r="C99" i="54" s="1"/>
  <c r="F88" i="54"/>
  <c r="F89" i="54"/>
  <c r="E82" i="54"/>
  <c r="M125" i="54"/>
  <c r="N121" i="54"/>
  <c r="O121" i="54" s="1"/>
  <c r="P121" i="54" s="1"/>
  <c r="Q121" i="54" s="1"/>
  <c r="R121" i="54" s="1"/>
  <c r="S121" i="54" s="1"/>
  <c r="T121" i="54" s="1"/>
  <c r="U121" i="54" s="1"/>
  <c r="V121" i="54" s="1"/>
  <c r="W121" i="54" s="1"/>
  <c r="Y115" i="54"/>
  <c r="C124" i="54"/>
  <c r="D129" i="54"/>
  <c r="D132" i="54" s="1"/>
  <c r="N129" i="54"/>
  <c r="N132" i="54" s="1"/>
  <c r="X129" i="54"/>
  <c r="X132" i="54" s="1"/>
  <c r="E115" i="54"/>
  <c r="W131" i="54"/>
  <c r="D122" i="54"/>
  <c r="E122" i="54"/>
  <c r="F122" i="54"/>
  <c r="AG132" i="54"/>
  <c r="M145" i="54"/>
  <c r="N144" i="54"/>
  <c r="O144" i="54" s="1"/>
  <c r="P144" i="54" s="1"/>
  <c r="Q144" i="54" s="1"/>
  <c r="R144" i="54" s="1"/>
  <c r="S144" i="54" s="1"/>
  <c r="T144" i="54" s="1"/>
  <c r="U144" i="54" s="1"/>
  <c r="V144" i="54" s="1"/>
  <c r="W144" i="54" s="1"/>
  <c r="G120" i="54"/>
  <c r="C125" i="54"/>
  <c r="C255" i="54" s="1"/>
  <c r="M130" i="54"/>
  <c r="O142" i="54"/>
  <c r="M141" i="54"/>
  <c r="N142" i="54"/>
  <c r="D142" i="54"/>
  <c r="H248" i="54"/>
  <c r="K244" i="54"/>
  <c r="L244" i="54" s="1"/>
  <c r="M244" i="54" s="1"/>
  <c r="N244" i="54" s="1"/>
  <c r="O244" i="54" s="1"/>
  <c r="P244" i="54" s="1"/>
  <c r="Q244" i="54" s="1"/>
  <c r="R244" i="54" s="1"/>
  <c r="Q248" i="54"/>
  <c r="N142" i="53"/>
  <c r="D89" i="53"/>
  <c r="D90" i="53" s="1"/>
  <c r="E87" i="53"/>
  <c r="F87" i="53" s="1"/>
  <c r="E82" i="53"/>
  <c r="E83" i="53" s="1"/>
  <c r="I64" i="33"/>
  <c r="Z1" i="53"/>
  <c r="Z47" i="53" s="1"/>
  <c r="Y48" i="53"/>
  <c r="N47" i="53"/>
  <c r="Y47" i="53"/>
  <c r="X47" i="53"/>
  <c r="AG49" i="53"/>
  <c r="D47" i="53"/>
  <c r="X48" i="53"/>
  <c r="G88" i="53"/>
  <c r="C94" i="53"/>
  <c r="C92" i="53"/>
  <c r="C124" i="53"/>
  <c r="F120" i="53"/>
  <c r="AJ42" i="51"/>
  <c r="AN42" i="51"/>
  <c r="AR42" i="51"/>
  <c r="AV42" i="51"/>
  <c r="BA42" i="51"/>
  <c r="D42" i="51"/>
  <c r="AX40" i="51"/>
  <c r="AL40" i="51"/>
  <c r="BB40" i="51"/>
  <c r="H42" i="51"/>
  <c r="BN40" i="51"/>
  <c r="AP40" i="51"/>
  <c r="BF40" i="51"/>
  <c r="L42" i="51"/>
  <c r="AT40" i="51"/>
  <c r="BJ40" i="51"/>
  <c r="P42" i="51"/>
  <c r="F3" i="51"/>
  <c r="G3" i="51" s="1"/>
  <c r="AK40" i="51"/>
  <c r="E42" i="51"/>
  <c r="AO40" i="51"/>
  <c r="I42" i="51"/>
  <c r="AS40" i="51"/>
  <c r="M42" i="51"/>
  <c r="AW40" i="51"/>
  <c r="Q42" i="51"/>
  <c r="Y42" i="51"/>
  <c r="BE40" i="51"/>
  <c r="AC42" i="51"/>
  <c r="BI40" i="51"/>
  <c r="AG42" i="51"/>
  <c r="BM40" i="51"/>
  <c r="U42" i="51"/>
  <c r="AM40" i="51"/>
  <c r="AQ40" i="51"/>
  <c r="AU40" i="51"/>
  <c r="AY40" i="51"/>
  <c r="BC40" i="51"/>
  <c r="BG40" i="51"/>
  <c r="BK40" i="51"/>
  <c r="AZ40" i="51"/>
  <c r="BD40" i="51"/>
  <c r="BH40" i="51"/>
  <c r="BL40" i="51"/>
  <c r="I8" i="49"/>
  <c r="I9" i="49"/>
  <c r="F10" i="57" l="1"/>
  <c r="H10" i="57" s="1"/>
  <c r="K23" i="57"/>
  <c r="BJ42" i="51"/>
  <c r="BG42" i="51"/>
  <c r="AS42" i="51"/>
  <c r="AT42" i="51"/>
  <c r="AX42" i="51"/>
  <c r="BB42" i="51"/>
  <c r="AL42" i="51"/>
  <c r="D45" i="51"/>
  <c r="BK42" i="51"/>
  <c r="AO42" i="51"/>
  <c r="AW42" i="51"/>
  <c r="BC42" i="51"/>
  <c r="BI42" i="51"/>
  <c r="AY42" i="51"/>
  <c r="BF42" i="51"/>
  <c r="AP42" i="51"/>
  <c r="AJ45" i="51"/>
  <c r="BM42" i="51"/>
  <c r="BL42" i="51"/>
  <c r="AU42" i="51"/>
  <c r="BE42" i="51"/>
  <c r="BH42" i="51"/>
  <c r="AQ42" i="51"/>
  <c r="AK42" i="51"/>
  <c r="BN42" i="51"/>
  <c r="AZ42" i="51"/>
  <c r="BD42" i="51"/>
  <c r="AM42" i="51"/>
  <c r="H23" i="55"/>
  <c r="H24" i="55" s="1"/>
  <c r="I3" i="55"/>
  <c r="P115" i="54"/>
  <c r="O129" i="54"/>
  <c r="O132" i="54" s="1"/>
  <c r="E90" i="54"/>
  <c r="C256" i="53"/>
  <c r="O48" i="53"/>
  <c r="O49" i="53" s="1"/>
  <c r="O46" i="53" s="1"/>
  <c r="F47" i="53"/>
  <c r="E47" i="53"/>
  <c r="F48" i="53"/>
  <c r="O142" i="53"/>
  <c r="P1" i="53"/>
  <c r="P142" i="53" s="1"/>
  <c r="E48" i="53"/>
  <c r="E89" i="53"/>
  <c r="E90" i="53" s="1"/>
  <c r="H244" i="53"/>
  <c r="I244" i="53" s="1"/>
  <c r="F115" i="53"/>
  <c r="F116" i="53" s="1"/>
  <c r="D122" i="53"/>
  <c r="E122" i="53"/>
  <c r="F82" i="53"/>
  <c r="F83" i="53" s="1"/>
  <c r="N145" i="54"/>
  <c r="N141" i="54"/>
  <c r="I248" i="54"/>
  <c r="C102" i="54"/>
  <c r="Y142" i="54"/>
  <c r="Y151" i="54"/>
  <c r="Y114" i="54"/>
  <c r="Y81" i="54"/>
  <c r="Y48" i="54"/>
  <c r="Y47" i="54"/>
  <c r="Z1" i="54"/>
  <c r="O80" i="54"/>
  <c r="O49" i="54"/>
  <c r="O46" i="54" s="1"/>
  <c r="D49" i="54"/>
  <c r="D46" i="54" s="1"/>
  <c r="O141" i="54"/>
  <c r="O145" i="54"/>
  <c r="W125" i="54"/>
  <c r="X121" i="54"/>
  <c r="Y121" i="54" s="1"/>
  <c r="Z121" i="54" s="1"/>
  <c r="AA121" i="54" s="1"/>
  <c r="AB121" i="54" s="1"/>
  <c r="AC121" i="54" s="1"/>
  <c r="AD121" i="54" s="1"/>
  <c r="AE121" i="54" s="1"/>
  <c r="AF121" i="54" s="1"/>
  <c r="AG121" i="54" s="1"/>
  <c r="AG125" i="54" s="1"/>
  <c r="P151" i="54"/>
  <c r="P142" i="54"/>
  <c r="P114" i="54"/>
  <c r="P81" i="54"/>
  <c r="P48" i="54"/>
  <c r="P47" i="54"/>
  <c r="Q1" i="54"/>
  <c r="O113" i="54"/>
  <c r="O118" i="54"/>
  <c r="O125" i="54" s="1"/>
  <c r="O117" i="54"/>
  <c r="D85" i="54"/>
  <c r="D80" i="54"/>
  <c r="D84" i="54"/>
  <c r="D97" i="54" s="1"/>
  <c r="R248" i="54"/>
  <c r="C256" i="54"/>
  <c r="H120" i="54"/>
  <c r="G122" i="54"/>
  <c r="G89" i="54"/>
  <c r="G87" i="54"/>
  <c r="F90" i="54"/>
  <c r="X49" i="54"/>
  <c r="X46" i="54" s="1"/>
  <c r="O150" i="54"/>
  <c r="D118" i="54"/>
  <c r="D113" i="54"/>
  <c r="D117" i="54"/>
  <c r="D145" i="54"/>
  <c r="D141" i="54"/>
  <c r="X144" i="54"/>
  <c r="Y144" i="54" s="1"/>
  <c r="Z144" i="54" s="1"/>
  <c r="AA144" i="54" s="1"/>
  <c r="AB144" i="54" s="1"/>
  <c r="AC144" i="54" s="1"/>
  <c r="AD144" i="54" s="1"/>
  <c r="AE144" i="54" s="1"/>
  <c r="AF144" i="54" s="1"/>
  <c r="W145" i="54"/>
  <c r="P116" i="54"/>
  <c r="Q115" i="54"/>
  <c r="P129" i="54"/>
  <c r="P132" i="54" s="1"/>
  <c r="F82" i="54"/>
  <c r="E83" i="54"/>
  <c r="G88" i="54"/>
  <c r="X80" i="54"/>
  <c r="N49" i="54"/>
  <c r="N46" i="54" s="1"/>
  <c r="D150" i="54"/>
  <c r="E129" i="54"/>
  <c r="E132" i="54" s="1"/>
  <c r="E116" i="54"/>
  <c r="F115" i="54"/>
  <c r="X113" i="54"/>
  <c r="X118" i="54"/>
  <c r="X117" i="54"/>
  <c r="N80" i="54"/>
  <c r="X141" i="54"/>
  <c r="Y116" i="54"/>
  <c r="Z115" i="54"/>
  <c r="Y129" i="54"/>
  <c r="Y132" i="54" s="1"/>
  <c r="C100" i="54"/>
  <c r="C101" i="54"/>
  <c r="N113" i="54"/>
  <c r="N118" i="54"/>
  <c r="N125" i="54" s="1"/>
  <c r="N117" i="54"/>
  <c r="S244" i="54"/>
  <c r="X150" i="54"/>
  <c r="N150" i="54"/>
  <c r="E151" i="54"/>
  <c r="E142" i="54"/>
  <c r="E114" i="54"/>
  <c r="E81" i="54"/>
  <c r="E47" i="54"/>
  <c r="E48" i="54"/>
  <c r="F1" i="54"/>
  <c r="AG256" i="53"/>
  <c r="G82" i="53"/>
  <c r="H82" i="53" s="1"/>
  <c r="M113" i="53"/>
  <c r="G142" i="53"/>
  <c r="X114" i="53"/>
  <c r="W80" i="53"/>
  <c r="D49" i="53"/>
  <c r="D46" i="53" s="1"/>
  <c r="AG46" i="53"/>
  <c r="G87" i="53"/>
  <c r="F122" i="53"/>
  <c r="G120" i="53"/>
  <c r="X49" i="53"/>
  <c r="X46" i="53" s="1"/>
  <c r="Y49" i="53"/>
  <c r="Y46" i="53" s="1"/>
  <c r="Y151" i="53"/>
  <c r="W150" i="53"/>
  <c r="Z151" i="53"/>
  <c r="X151" i="53"/>
  <c r="G47" i="53"/>
  <c r="H1" i="53"/>
  <c r="G48" i="53"/>
  <c r="N49" i="53"/>
  <c r="N46" i="53" s="1"/>
  <c r="H88" i="53"/>
  <c r="Z48" i="53"/>
  <c r="Z49" i="53" s="1"/>
  <c r="Z46" i="53" s="1"/>
  <c r="AA1" i="53"/>
  <c r="AA151" i="53" s="1"/>
  <c r="F49" i="53"/>
  <c r="F46" i="53" s="1"/>
  <c r="E45" i="51"/>
  <c r="H3" i="51"/>
  <c r="I23" i="55" l="1"/>
  <c r="I24" i="55" s="1"/>
  <c r="J3" i="55"/>
  <c r="X125" i="54"/>
  <c r="F89" i="53"/>
  <c r="G89" i="53" s="1"/>
  <c r="G90" i="53" s="1"/>
  <c r="G115" i="53"/>
  <c r="H115" i="53" s="1"/>
  <c r="P151" i="53"/>
  <c r="P150" i="53" s="1"/>
  <c r="E49" i="53"/>
  <c r="E46" i="53" s="1"/>
  <c r="Q1" i="53"/>
  <c r="Q142" i="53" s="1"/>
  <c r="Q141" i="53" s="1"/>
  <c r="P47" i="53"/>
  <c r="P48" i="53"/>
  <c r="J244" i="53"/>
  <c r="Z151" i="54"/>
  <c r="Z142" i="54"/>
  <c r="Z114" i="54"/>
  <c r="Z81" i="54"/>
  <c r="Z48" i="54"/>
  <c r="Z47" i="54"/>
  <c r="AA1" i="54"/>
  <c r="F151" i="54"/>
  <c r="F114" i="54"/>
  <c r="F81" i="54"/>
  <c r="F48" i="54"/>
  <c r="F47" i="54"/>
  <c r="G1" i="54"/>
  <c r="F142" i="54"/>
  <c r="Y49" i="54"/>
  <c r="Y46" i="54" s="1"/>
  <c r="D128" i="54"/>
  <c r="D131" i="54"/>
  <c r="X131" i="54"/>
  <c r="X128" i="54"/>
  <c r="H88" i="54"/>
  <c r="D124" i="54"/>
  <c r="D125" i="54"/>
  <c r="Q151" i="54"/>
  <c r="Q114" i="54"/>
  <c r="Q81" i="54"/>
  <c r="Q48" i="54"/>
  <c r="R1" i="54"/>
  <c r="Q47" i="54"/>
  <c r="Q142" i="54"/>
  <c r="E150" i="54"/>
  <c r="H122" i="54"/>
  <c r="I120" i="54"/>
  <c r="P49" i="54"/>
  <c r="P46" i="54" s="1"/>
  <c r="AG255" i="54"/>
  <c r="AG256" i="54"/>
  <c r="Y80" i="54"/>
  <c r="J248" i="54"/>
  <c r="O131" i="54"/>
  <c r="O128" i="54"/>
  <c r="E84" i="54"/>
  <c r="E97" i="54" s="1"/>
  <c r="E80" i="54"/>
  <c r="E85" i="54"/>
  <c r="Q116" i="54"/>
  <c r="Q129" i="54"/>
  <c r="Q132" i="54" s="1"/>
  <c r="R115" i="54"/>
  <c r="Y117" i="54"/>
  <c r="Y113" i="54"/>
  <c r="Y118" i="54"/>
  <c r="Y125" i="54" s="1"/>
  <c r="N131" i="54"/>
  <c r="N128" i="54"/>
  <c r="P145" i="54"/>
  <c r="P141" i="54"/>
  <c r="H89" i="54"/>
  <c r="S248" i="54"/>
  <c r="P150" i="54"/>
  <c r="E49" i="54"/>
  <c r="E46" i="54" s="1"/>
  <c r="E113" i="54"/>
  <c r="E118" i="54"/>
  <c r="E117" i="54"/>
  <c r="Z116" i="54"/>
  <c r="Z129" i="54"/>
  <c r="Z132" i="54" s="1"/>
  <c r="AA115" i="54"/>
  <c r="X145" i="54"/>
  <c r="F116" i="54"/>
  <c r="G115" i="54"/>
  <c r="F129" i="54"/>
  <c r="F132" i="54" s="1"/>
  <c r="F83" i="54"/>
  <c r="G82" i="54"/>
  <c r="P80" i="54"/>
  <c r="Y150" i="54"/>
  <c r="E141" i="54"/>
  <c r="E145" i="54"/>
  <c r="T244" i="54"/>
  <c r="H87" i="54"/>
  <c r="G90" i="54"/>
  <c r="D93" i="54"/>
  <c r="D92" i="54"/>
  <c r="D94" i="54"/>
  <c r="D98" i="54"/>
  <c r="D99" i="54" s="1"/>
  <c r="P113" i="54"/>
  <c r="P118" i="54"/>
  <c r="P125" i="54" s="1"/>
  <c r="P117" i="54"/>
  <c r="Y145" i="54"/>
  <c r="Y141" i="54"/>
  <c r="E142" i="53"/>
  <c r="E141" i="53" s="1"/>
  <c r="Y114" i="53"/>
  <c r="Y113" i="53" s="1"/>
  <c r="G83" i="53"/>
  <c r="D142" i="53"/>
  <c r="D141" i="53" s="1"/>
  <c r="M141" i="53"/>
  <c r="G114" i="53"/>
  <c r="G117" i="53" s="1"/>
  <c r="F114" i="53"/>
  <c r="F113" i="53" s="1"/>
  <c r="E114" i="53"/>
  <c r="E118" i="53" s="1"/>
  <c r="D114" i="53"/>
  <c r="D117" i="53" s="1"/>
  <c r="N114" i="53"/>
  <c r="N113" i="53" s="1"/>
  <c r="P114" i="53"/>
  <c r="P113" i="53" s="1"/>
  <c r="Z114" i="53"/>
  <c r="Z113" i="53" s="1"/>
  <c r="O114" i="53"/>
  <c r="O113" i="53" s="1"/>
  <c r="W113" i="53"/>
  <c r="F142" i="53"/>
  <c r="F141" i="53" s="1"/>
  <c r="P141" i="53"/>
  <c r="N141" i="53"/>
  <c r="X142" i="53"/>
  <c r="X141" i="53" s="1"/>
  <c r="Z142" i="53"/>
  <c r="Z141" i="53" s="1"/>
  <c r="W141" i="53"/>
  <c r="O141" i="53"/>
  <c r="Y142" i="53"/>
  <c r="Y141" i="53" s="1"/>
  <c r="Y81" i="53"/>
  <c r="Y80" i="53" s="1"/>
  <c r="F151" i="53"/>
  <c r="F150" i="53" s="1"/>
  <c r="M150" i="53"/>
  <c r="G151" i="53"/>
  <c r="G150" i="53" s="1"/>
  <c r="O151" i="53"/>
  <c r="O150" i="53" s="1"/>
  <c r="D151" i="53"/>
  <c r="D150" i="53" s="1"/>
  <c r="N151" i="53"/>
  <c r="N150" i="53" s="1"/>
  <c r="Z81" i="53"/>
  <c r="Z80" i="53" s="1"/>
  <c r="E151" i="53"/>
  <c r="E150" i="53" s="1"/>
  <c r="X81" i="53"/>
  <c r="X80" i="53" s="1"/>
  <c r="AA150" i="53"/>
  <c r="Z150" i="53"/>
  <c r="G141" i="53"/>
  <c r="H47" i="53"/>
  <c r="H48" i="53"/>
  <c r="I1" i="53"/>
  <c r="I81" i="53" s="1"/>
  <c r="G49" i="53"/>
  <c r="G46" i="53" s="1"/>
  <c r="X113" i="53"/>
  <c r="H151" i="53"/>
  <c r="O81" i="53"/>
  <c r="G81" i="53"/>
  <c r="M80" i="53"/>
  <c r="F81" i="53"/>
  <c r="N81" i="53"/>
  <c r="H81" i="53"/>
  <c r="E81" i="53"/>
  <c r="P81" i="53"/>
  <c r="D81" i="53"/>
  <c r="G116" i="53"/>
  <c r="AB1" i="53"/>
  <c r="AA48" i="53"/>
  <c r="AA47" i="53"/>
  <c r="H120" i="53"/>
  <c r="G122" i="53"/>
  <c r="H87" i="53"/>
  <c r="AA142" i="53"/>
  <c r="Y150" i="53"/>
  <c r="H142" i="53"/>
  <c r="I88" i="53"/>
  <c r="AA114" i="53"/>
  <c r="AA81" i="53"/>
  <c r="X150" i="53"/>
  <c r="H83" i="53"/>
  <c r="I82" i="53"/>
  <c r="H114" i="53"/>
  <c r="AK45" i="51"/>
  <c r="I3" i="51"/>
  <c r="F45" i="51"/>
  <c r="T6" i="49"/>
  <c r="T5" i="49"/>
  <c r="T4" i="49"/>
  <c r="D12" i="49"/>
  <c r="J23" i="55" l="1"/>
  <c r="J24" i="55" s="1"/>
  <c r="K3" i="55"/>
  <c r="P49" i="53"/>
  <c r="P46" i="53" s="1"/>
  <c r="F90" i="53"/>
  <c r="Q48" i="53"/>
  <c r="Q47" i="53"/>
  <c r="Q49" i="53" s="1"/>
  <c r="Q46" i="53" s="1"/>
  <c r="Q114" i="53"/>
  <c r="Q113" i="53" s="1"/>
  <c r="Q81" i="53"/>
  <c r="Q80" i="53" s="1"/>
  <c r="R1" i="53"/>
  <c r="R47" i="53" s="1"/>
  <c r="Q151" i="53"/>
  <c r="Q150" i="53" s="1"/>
  <c r="K244" i="53"/>
  <c r="G116" i="54"/>
  <c r="H115" i="54"/>
  <c r="G129" i="54"/>
  <c r="G132" i="54" s="1"/>
  <c r="E131" i="54"/>
  <c r="E128" i="54"/>
  <c r="D255" i="54"/>
  <c r="D256" i="54"/>
  <c r="F85" i="54"/>
  <c r="F80" i="54"/>
  <c r="F84" i="54"/>
  <c r="F97" i="54" s="1"/>
  <c r="Z141" i="54"/>
  <c r="Z145" i="54"/>
  <c r="U244" i="54"/>
  <c r="E94" i="54"/>
  <c r="E93" i="54"/>
  <c r="E98" i="54"/>
  <c r="E99" i="54" s="1"/>
  <c r="E92" i="54"/>
  <c r="I122" i="54"/>
  <c r="J120" i="54"/>
  <c r="Q49" i="54"/>
  <c r="Q46" i="54" s="1"/>
  <c r="F150" i="54"/>
  <c r="E125" i="54"/>
  <c r="E124" i="54"/>
  <c r="F113" i="54"/>
  <c r="F118" i="54"/>
  <c r="F117" i="54"/>
  <c r="P128" i="54"/>
  <c r="P131" i="54"/>
  <c r="Y131" i="54"/>
  <c r="Y128" i="54"/>
  <c r="R151" i="54"/>
  <c r="R114" i="54"/>
  <c r="R81" i="54"/>
  <c r="S1" i="54"/>
  <c r="R48" i="54"/>
  <c r="R47" i="54"/>
  <c r="R142" i="54"/>
  <c r="AA151" i="54"/>
  <c r="AA142" i="54"/>
  <c r="AA114" i="54"/>
  <c r="AA81" i="54"/>
  <c r="AA48" i="54"/>
  <c r="AB1" i="54"/>
  <c r="AA47" i="54"/>
  <c r="Q141" i="54"/>
  <c r="Q145" i="54"/>
  <c r="T248" i="54"/>
  <c r="N130" i="54"/>
  <c r="F145" i="54"/>
  <c r="F141" i="54"/>
  <c r="Z49" i="54"/>
  <c r="Z46" i="54" s="1"/>
  <c r="H82" i="54"/>
  <c r="G83" i="54"/>
  <c r="AB115" i="54"/>
  <c r="AA129" i="54"/>
  <c r="AA132" i="54" s="1"/>
  <c r="AA116" i="54"/>
  <c r="O130" i="54"/>
  <c r="Q80" i="54"/>
  <c r="I88" i="54"/>
  <c r="G151" i="54"/>
  <c r="G114" i="54"/>
  <c r="G81" i="54"/>
  <c r="G48" i="54"/>
  <c r="G47" i="54"/>
  <c r="H1" i="54"/>
  <c r="G142" i="54"/>
  <c r="Z150" i="54"/>
  <c r="D102" i="54"/>
  <c r="D101" i="54"/>
  <c r="D100" i="54"/>
  <c r="Q117" i="54"/>
  <c r="Q113" i="54"/>
  <c r="Q118" i="54"/>
  <c r="Q125" i="54" s="1"/>
  <c r="X130" i="54"/>
  <c r="F49" i="54"/>
  <c r="F46" i="54" s="1"/>
  <c r="Z80" i="54"/>
  <c r="D130" i="54"/>
  <c r="I87" i="54"/>
  <c r="H90" i="54"/>
  <c r="I89" i="54"/>
  <c r="S115" i="54"/>
  <c r="R116" i="54"/>
  <c r="R129" i="54"/>
  <c r="R132" i="54" s="1"/>
  <c r="K248" i="54"/>
  <c r="Q150" i="54"/>
  <c r="Z118" i="54"/>
  <c r="Z125" i="54" s="1"/>
  <c r="Z113" i="54"/>
  <c r="Z117" i="54"/>
  <c r="D118" i="53"/>
  <c r="D124" i="53" s="1"/>
  <c r="D113" i="53"/>
  <c r="E117" i="53"/>
  <c r="E113" i="53"/>
  <c r="F117" i="53"/>
  <c r="F118" i="53"/>
  <c r="F125" i="53" s="1"/>
  <c r="F255" i="53" s="1"/>
  <c r="G118" i="53"/>
  <c r="G124" i="53" s="1"/>
  <c r="G113" i="53"/>
  <c r="I120" i="53"/>
  <c r="H122" i="53"/>
  <c r="F85" i="53"/>
  <c r="F84" i="53"/>
  <c r="F80" i="53"/>
  <c r="I80" i="53"/>
  <c r="I84" i="53"/>
  <c r="H141" i="53"/>
  <c r="AC1" i="53"/>
  <c r="AB47" i="53"/>
  <c r="AB48" i="53"/>
  <c r="AB114" i="53"/>
  <c r="AB151" i="53"/>
  <c r="AB81" i="53"/>
  <c r="AB142" i="53"/>
  <c r="H116" i="53"/>
  <c r="H118" i="53" s="1"/>
  <c r="H125" i="53" s="1"/>
  <c r="I115" i="53"/>
  <c r="E84" i="53"/>
  <c r="E80" i="53"/>
  <c r="E85" i="53"/>
  <c r="I48" i="53"/>
  <c r="J1" i="53"/>
  <c r="I47" i="53"/>
  <c r="I114" i="53"/>
  <c r="I142" i="53"/>
  <c r="I151" i="53"/>
  <c r="AA113" i="53"/>
  <c r="I87" i="53"/>
  <c r="AA141" i="53"/>
  <c r="H85" i="53"/>
  <c r="H92" i="53" s="1"/>
  <c r="H80" i="53"/>
  <c r="H84" i="53"/>
  <c r="H150" i="53"/>
  <c r="H49" i="53"/>
  <c r="H46" i="53" s="1"/>
  <c r="H89" i="53"/>
  <c r="E125" i="53"/>
  <c r="E124" i="53"/>
  <c r="D85" i="53"/>
  <c r="D80" i="53"/>
  <c r="D84" i="53"/>
  <c r="G84" i="53"/>
  <c r="G80" i="53"/>
  <c r="G85" i="53"/>
  <c r="H117" i="53"/>
  <c r="H113" i="53"/>
  <c r="AA80" i="53"/>
  <c r="O80" i="53"/>
  <c r="J82" i="53"/>
  <c r="I83" i="53"/>
  <c r="I85" i="53" s="1"/>
  <c r="J88" i="53"/>
  <c r="AA49" i="53"/>
  <c r="AA46" i="53" s="1"/>
  <c r="P80" i="53"/>
  <c r="N80" i="53"/>
  <c r="J3" i="51"/>
  <c r="AL45" i="51"/>
  <c r="G45" i="51"/>
  <c r="D13" i="49"/>
  <c r="T7" i="49"/>
  <c r="K23" i="55" l="1"/>
  <c r="K24" i="55" s="1"/>
  <c r="L3" i="55"/>
  <c r="R151" i="53"/>
  <c r="R142" i="53"/>
  <c r="R114" i="53"/>
  <c r="R81" i="53"/>
  <c r="R80" i="53" s="1"/>
  <c r="R48" i="53"/>
  <c r="S1" i="53"/>
  <c r="S142" i="53" s="1"/>
  <c r="D125" i="53"/>
  <c r="D256" i="53" s="1"/>
  <c r="L244" i="53"/>
  <c r="J89" i="54"/>
  <c r="G118" i="54"/>
  <c r="G117" i="54"/>
  <c r="G113" i="54"/>
  <c r="H83" i="54"/>
  <c r="I82" i="54"/>
  <c r="AA49" i="54"/>
  <c r="AA46" i="54" s="1"/>
  <c r="R49" i="54"/>
  <c r="R46" i="54" s="1"/>
  <c r="Y130" i="54"/>
  <c r="V244" i="54"/>
  <c r="AB151" i="54"/>
  <c r="AB142" i="54"/>
  <c r="AB114" i="54"/>
  <c r="AB81" i="54"/>
  <c r="AB48" i="54"/>
  <c r="AB47" i="54"/>
  <c r="AC1" i="54"/>
  <c r="Q128" i="54"/>
  <c r="Q131" i="54"/>
  <c r="S151" i="54"/>
  <c r="S142" i="54"/>
  <c r="S114" i="54"/>
  <c r="S81" i="54"/>
  <c r="S48" i="54"/>
  <c r="S47" i="54"/>
  <c r="T1" i="54"/>
  <c r="E255" i="54"/>
  <c r="E256" i="54"/>
  <c r="J88" i="54"/>
  <c r="Z128" i="54"/>
  <c r="Z131" i="54"/>
  <c r="J87" i="54"/>
  <c r="I90" i="54"/>
  <c r="G141" i="54"/>
  <c r="G145" i="54"/>
  <c r="AA80" i="54"/>
  <c r="R80" i="54"/>
  <c r="L248" i="54"/>
  <c r="S129" i="54"/>
  <c r="S132" i="54" s="1"/>
  <c r="T115" i="54"/>
  <c r="S116" i="54"/>
  <c r="H151" i="54"/>
  <c r="H142" i="54"/>
  <c r="H114" i="54"/>
  <c r="H81" i="54"/>
  <c r="H48" i="54"/>
  <c r="H47" i="54"/>
  <c r="I1" i="54"/>
  <c r="AA117" i="54"/>
  <c r="AA113" i="54"/>
  <c r="AA118" i="54"/>
  <c r="AA125" i="54" s="1"/>
  <c r="R118" i="54"/>
  <c r="R125" i="54" s="1"/>
  <c r="R117" i="54"/>
  <c r="R113" i="54"/>
  <c r="P130" i="54"/>
  <c r="G49" i="54"/>
  <c r="G46" i="54" s="1"/>
  <c r="U248" i="54"/>
  <c r="AA145" i="54"/>
  <c r="AA141" i="54"/>
  <c r="R150" i="54"/>
  <c r="F128" i="54"/>
  <c r="F131" i="54"/>
  <c r="I115" i="54"/>
  <c r="H129" i="54"/>
  <c r="H132" i="54" s="1"/>
  <c r="H116" i="54"/>
  <c r="AB116" i="54"/>
  <c r="AB129" i="54"/>
  <c r="AB132" i="54" s="1"/>
  <c r="AC115" i="54"/>
  <c r="AA150" i="54"/>
  <c r="F125" i="54"/>
  <c r="F124" i="54"/>
  <c r="J122" i="54"/>
  <c r="K120" i="54"/>
  <c r="E100" i="54"/>
  <c r="E102" i="54"/>
  <c r="E101" i="54"/>
  <c r="E130" i="54"/>
  <c r="G150" i="54"/>
  <c r="G84" i="54"/>
  <c r="G97" i="54" s="1"/>
  <c r="G85" i="54"/>
  <c r="G80" i="54"/>
  <c r="R141" i="54"/>
  <c r="R145" i="54"/>
  <c r="F93" i="54"/>
  <c r="F94" i="54"/>
  <c r="F98" i="54"/>
  <c r="F99" i="54" s="1"/>
  <c r="F92" i="54"/>
  <c r="F124" i="53"/>
  <c r="G125" i="53"/>
  <c r="G255" i="53" s="1"/>
  <c r="I93" i="53"/>
  <c r="H255" i="53"/>
  <c r="H256" i="53"/>
  <c r="R150" i="53"/>
  <c r="I116" i="53"/>
  <c r="I118" i="53" s="1"/>
  <c r="I125" i="53" s="1"/>
  <c r="J115" i="53"/>
  <c r="AB150" i="53"/>
  <c r="H124" i="53"/>
  <c r="E255" i="53"/>
  <c r="E256" i="53"/>
  <c r="R113" i="53"/>
  <c r="I150" i="53"/>
  <c r="AB113" i="53"/>
  <c r="F256" i="53"/>
  <c r="I92" i="53"/>
  <c r="J87" i="53"/>
  <c r="I141" i="53"/>
  <c r="F94" i="53"/>
  <c r="F93" i="53"/>
  <c r="F92" i="53"/>
  <c r="I89" i="53"/>
  <c r="H90" i="53"/>
  <c r="I117" i="53"/>
  <c r="I113" i="53"/>
  <c r="AB49" i="53"/>
  <c r="AB46" i="53" s="1"/>
  <c r="D93" i="53"/>
  <c r="D94" i="53"/>
  <c r="D92" i="53"/>
  <c r="R49" i="53"/>
  <c r="R46" i="53" s="1"/>
  <c r="I49" i="53"/>
  <c r="I46" i="53" s="1"/>
  <c r="E94" i="53"/>
  <c r="E93" i="53"/>
  <c r="E92" i="53"/>
  <c r="AD1" i="53"/>
  <c r="AC48" i="53"/>
  <c r="AC47" i="53"/>
  <c r="AC114" i="53"/>
  <c r="AC142" i="53"/>
  <c r="AC151" i="53"/>
  <c r="AC81" i="53"/>
  <c r="K82" i="53"/>
  <c r="J83" i="53"/>
  <c r="H93" i="53"/>
  <c r="H94" i="53"/>
  <c r="J48" i="53"/>
  <c r="J47" i="53"/>
  <c r="K1" i="53"/>
  <c r="J114" i="53"/>
  <c r="J142" i="53"/>
  <c r="J151" i="53"/>
  <c r="J81" i="53"/>
  <c r="K88" i="53"/>
  <c r="AB141" i="53"/>
  <c r="G94" i="53"/>
  <c r="G93" i="53"/>
  <c r="G92" i="53"/>
  <c r="R141" i="53"/>
  <c r="AB80" i="53"/>
  <c r="J120" i="53"/>
  <c r="I122" i="53"/>
  <c r="H45" i="51"/>
  <c r="AM45" i="51"/>
  <c r="K3" i="51"/>
  <c r="T8" i="49"/>
  <c r="L23" i="55" l="1"/>
  <c r="L24" i="55" s="1"/>
  <c r="M3" i="55"/>
  <c r="D255" i="53"/>
  <c r="S114" i="53"/>
  <c r="S113" i="53" s="1"/>
  <c r="S47" i="53"/>
  <c r="S81" i="53"/>
  <c r="S80" i="53" s="1"/>
  <c r="S151" i="53"/>
  <c r="S150" i="53" s="1"/>
  <c r="T1" i="53"/>
  <c r="T142" i="53" s="1"/>
  <c r="S48" i="53"/>
  <c r="M244" i="53"/>
  <c r="H150" i="54"/>
  <c r="S80" i="54"/>
  <c r="AC151" i="54"/>
  <c r="AC142" i="54"/>
  <c r="AC114" i="54"/>
  <c r="AC47" i="54"/>
  <c r="AC48" i="54"/>
  <c r="AD1" i="54"/>
  <c r="AC81" i="54"/>
  <c r="V248" i="54"/>
  <c r="Z130" i="54"/>
  <c r="S117" i="54"/>
  <c r="S113" i="54"/>
  <c r="S118" i="54"/>
  <c r="S125" i="54" s="1"/>
  <c r="AB49" i="54"/>
  <c r="AB46" i="54" s="1"/>
  <c r="G131" i="54"/>
  <c r="G128" i="54"/>
  <c r="AC129" i="54"/>
  <c r="AC132" i="54" s="1"/>
  <c r="AC116" i="54"/>
  <c r="AD115" i="54"/>
  <c r="F255" i="54"/>
  <c r="F256" i="54"/>
  <c r="R128" i="54"/>
  <c r="R131" i="54"/>
  <c r="I151" i="54"/>
  <c r="I114" i="54"/>
  <c r="I81" i="54"/>
  <c r="I48" i="54"/>
  <c r="I47" i="54"/>
  <c r="J1" i="54"/>
  <c r="I142" i="54"/>
  <c r="T129" i="54"/>
  <c r="T132" i="54" s="1"/>
  <c r="U115" i="54"/>
  <c r="T116" i="54"/>
  <c r="S145" i="54"/>
  <c r="S141" i="54"/>
  <c r="G125" i="54"/>
  <c r="G124" i="54"/>
  <c r="K89" i="54"/>
  <c r="F130" i="54"/>
  <c r="H49" i="54"/>
  <c r="H46" i="54" s="1"/>
  <c r="K88" i="54"/>
  <c r="S150" i="54"/>
  <c r="AB80" i="54"/>
  <c r="Q130" i="54"/>
  <c r="AB118" i="54"/>
  <c r="AB125" i="54" s="1"/>
  <c r="AB113" i="54"/>
  <c r="AB117" i="54"/>
  <c r="H141" i="54"/>
  <c r="H145" i="54"/>
  <c r="F101" i="54"/>
  <c r="F102" i="54"/>
  <c r="F100" i="54"/>
  <c r="G94" i="54"/>
  <c r="G98" i="54"/>
  <c r="G99" i="54" s="1"/>
  <c r="G93" i="54"/>
  <c r="G92" i="54"/>
  <c r="L120" i="54"/>
  <c r="K122" i="54"/>
  <c r="H84" i="54"/>
  <c r="H97" i="54" s="1"/>
  <c r="H85" i="54"/>
  <c r="H80" i="54"/>
  <c r="T151" i="54"/>
  <c r="T142" i="54"/>
  <c r="T114" i="54"/>
  <c r="T81" i="54"/>
  <c r="T47" i="54"/>
  <c r="T48" i="54"/>
  <c r="U1" i="54"/>
  <c r="AB145" i="54"/>
  <c r="AB141" i="54"/>
  <c r="W244" i="54"/>
  <c r="J115" i="54"/>
  <c r="I129" i="54"/>
  <c r="I132" i="54" s="1"/>
  <c r="I116" i="54"/>
  <c r="AA128" i="54"/>
  <c r="AA131" i="54"/>
  <c r="H118" i="54"/>
  <c r="H117" i="54"/>
  <c r="H113" i="54"/>
  <c r="J90" i="54"/>
  <c r="K87" i="54"/>
  <c r="S49" i="54"/>
  <c r="S46" i="54" s="1"/>
  <c r="AB150" i="54"/>
  <c r="J82" i="54"/>
  <c r="I83" i="54"/>
  <c r="G256" i="53"/>
  <c r="I124" i="53"/>
  <c r="AC141" i="53"/>
  <c r="J85" i="53"/>
  <c r="J92" i="53" s="1"/>
  <c r="J80" i="53"/>
  <c r="J84" i="53"/>
  <c r="AC80" i="53"/>
  <c r="S141" i="53"/>
  <c r="L88" i="53"/>
  <c r="J150" i="53"/>
  <c r="AC150" i="53"/>
  <c r="J117" i="53"/>
  <c r="J113" i="53"/>
  <c r="AC113" i="53"/>
  <c r="J141" i="53"/>
  <c r="K47" i="53"/>
  <c r="K48" i="53"/>
  <c r="L1" i="53"/>
  <c r="K151" i="53"/>
  <c r="K142" i="53"/>
  <c r="K114" i="53"/>
  <c r="K81" i="53"/>
  <c r="AC49" i="53"/>
  <c r="AC46" i="53" s="1"/>
  <c r="AE1" i="53"/>
  <c r="AD48" i="53"/>
  <c r="AD47" i="53"/>
  <c r="AD81" i="53"/>
  <c r="AD114" i="53"/>
  <c r="AD151" i="53"/>
  <c r="AD142" i="53"/>
  <c r="J89" i="53"/>
  <c r="J90" i="53" s="1"/>
  <c r="K87" i="53"/>
  <c r="I94" i="53"/>
  <c r="J49" i="53"/>
  <c r="J46" i="53" s="1"/>
  <c r="I255" i="53"/>
  <c r="I256" i="53"/>
  <c r="J122" i="53"/>
  <c r="K120" i="53"/>
  <c r="L82" i="53"/>
  <c r="K83" i="53"/>
  <c r="I90" i="53"/>
  <c r="K115" i="53"/>
  <c r="J116" i="53"/>
  <c r="J118" i="53" s="1"/>
  <c r="AN45" i="51"/>
  <c r="I45" i="51"/>
  <c r="L3" i="51"/>
  <c r="T47" i="53" l="1"/>
  <c r="S49" i="53"/>
  <c r="S46" i="53" s="1"/>
  <c r="M23" i="55"/>
  <c r="M24" i="55" s="1"/>
  <c r="N3" i="55"/>
  <c r="T81" i="53"/>
  <c r="T80" i="53" s="1"/>
  <c r="T151" i="53"/>
  <c r="T114" i="53"/>
  <c r="T113" i="53" s="1"/>
  <c r="T48" i="53"/>
  <c r="T49" i="53" s="1"/>
  <c r="T46" i="53" s="1"/>
  <c r="U1" i="53"/>
  <c r="U142" i="53" s="1"/>
  <c r="N244" i="53"/>
  <c r="G255" i="54"/>
  <c r="G256" i="54"/>
  <c r="AC141" i="54"/>
  <c r="AC145" i="54"/>
  <c r="J83" i="54"/>
  <c r="K82" i="54"/>
  <c r="X244" i="54"/>
  <c r="T145" i="54"/>
  <c r="T141" i="54"/>
  <c r="M120" i="54"/>
  <c r="L122" i="54"/>
  <c r="J151" i="54"/>
  <c r="J142" i="54"/>
  <c r="J114" i="54"/>
  <c r="J81" i="54"/>
  <c r="J48" i="54"/>
  <c r="J47" i="54"/>
  <c r="K1" i="54"/>
  <c r="W248" i="54"/>
  <c r="AC150" i="54"/>
  <c r="T118" i="54"/>
  <c r="T125" i="54" s="1"/>
  <c r="T117" i="54"/>
  <c r="T113" i="54"/>
  <c r="I49" i="54"/>
  <c r="I46" i="54" s="1"/>
  <c r="AC80" i="54"/>
  <c r="H98" i="54"/>
  <c r="H99" i="54" s="1"/>
  <c r="H93" i="54"/>
  <c r="H94" i="54"/>
  <c r="H92" i="54"/>
  <c r="I145" i="54"/>
  <c r="I141" i="54"/>
  <c r="T150" i="54"/>
  <c r="AB128" i="54"/>
  <c r="AB131" i="54"/>
  <c r="G102" i="54"/>
  <c r="G100" i="54"/>
  <c r="G101" i="54"/>
  <c r="I85" i="54"/>
  <c r="I80" i="54"/>
  <c r="I84" i="54"/>
  <c r="I97" i="54" s="1"/>
  <c r="AD129" i="54"/>
  <c r="AD132" i="54" s="1"/>
  <c r="AE115" i="54"/>
  <c r="AD116" i="54"/>
  <c r="AD151" i="54"/>
  <c r="AD142" i="54"/>
  <c r="AD114" i="54"/>
  <c r="AD81" i="54"/>
  <c r="AD48" i="54"/>
  <c r="AD47" i="54"/>
  <c r="AE1" i="54"/>
  <c r="K115" i="54"/>
  <c r="J129" i="54"/>
  <c r="J132" i="54" s="1"/>
  <c r="J116" i="54"/>
  <c r="U151" i="54"/>
  <c r="U142" i="54"/>
  <c r="U114" i="54"/>
  <c r="U48" i="54"/>
  <c r="U47" i="54"/>
  <c r="V1" i="54"/>
  <c r="U81" i="54"/>
  <c r="H125" i="54"/>
  <c r="H124" i="54"/>
  <c r="I117" i="54"/>
  <c r="I113" i="54"/>
  <c r="I118" i="54"/>
  <c r="K90" i="54"/>
  <c r="L87" i="54"/>
  <c r="H128" i="54"/>
  <c r="H131" i="54"/>
  <c r="T49" i="54"/>
  <c r="T46" i="54" s="1"/>
  <c r="L88" i="54"/>
  <c r="L89" i="54"/>
  <c r="U129" i="54"/>
  <c r="U132" i="54" s="1"/>
  <c r="V115" i="54"/>
  <c r="U116" i="54"/>
  <c r="I150" i="54"/>
  <c r="S128" i="54"/>
  <c r="S131" i="54"/>
  <c r="AC49" i="54"/>
  <c r="AC46" i="54" s="1"/>
  <c r="R130" i="54"/>
  <c r="AA130" i="54"/>
  <c r="T80" i="54"/>
  <c r="G130" i="54"/>
  <c r="AC118" i="54"/>
  <c r="AC125" i="54" s="1"/>
  <c r="AC117" i="54"/>
  <c r="AC113" i="54"/>
  <c r="J125" i="53"/>
  <c r="J255" i="53" s="1"/>
  <c r="J124" i="53"/>
  <c r="L83" i="53"/>
  <c r="M82" i="53"/>
  <c r="AD150" i="53"/>
  <c r="U48" i="53"/>
  <c r="U81" i="53"/>
  <c r="AD113" i="53"/>
  <c r="K49" i="53"/>
  <c r="K46" i="53" s="1"/>
  <c r="AD80" i="53"/>
  <c r="J93" i="53"/>
  <c r="J94" i="53"/>
  <c r="L120" i="53"/>
  <c r="K122" i="53"/>
  <c r="K89" i="53"/>
  <c r="K90" i="53" s="1"/>
  <c r="AD49" i="53"/>
  <c r="AD46" i="53" s="1"/>
  <c r="K84" i="53"/>
  <c r="K85" i="53"/>
  <c r="K92" i="53" s="1"/>
  <c r="K80" i="53"/>
  <c r="T150" i="53"/>
  <c r="M88" i="53"/>
  <c r="K113" i="53"/>
  <c r="K117" i="53"/>
  <c r="AF1" i="53"/>
  <c r="AE48" i="53"/>
  <c r="AE47" i="53"/>
  <c r="AE114" i="53"/>
  <c r="AE142" i="53"/>
  <c r="AE81" i="53"/>
  <c r="AE151" i="53"/>
  <c r="K141" i="53"/>
  <c r="T141" i="53"/>
  <c r="L115" i="53"/>
  <c r="K116" i="53"/>
  <c r="K118" i="53" s="1"/>
  <c r="K125" i="53" s="1"/>
  <c r="K150" i="53"/>
  <c r="L87" i="53"/>
  <c r="AD141" i="53"/>
  <c r="L48" i="53"/>
  <c r="L47" i="53"/>
  <c r="L151" i="53"/>
  <c r="L142" i="53"/>
  <c r="L114" i="53"/>
  <c r="L81" i="53"/>
  <c r="AO45" i="51"/>
  <c r="M3" i="51"/>
  <c r="J45" i="51"/>
  <c r="D356" i="48"/>
  <c r="E356" i="48" s="1"/>
  <c r="D351" i="48"/>
  <c r="E351" i="48" s="1"/>
  <c r="F351" i="48" s="1"/>
  <c r="G351" i="48" s="1"/>
  <c r="H351" i="48" s="1"/>
  <c r="I351" i="48" s="1"/>
  <c r="J351" i="48" s="1"/>
  <c r="K351" i="48" s="1"/>
  <c r="L351" i="48" s="1"/>
  <c r="M351" i="48" s="1"/>
  <c r="N351" i="48" s="1"/>
  <c r="O351" i="48" s="1"/>
  <c r="P351" i="48" s="1"/>
  <c r="Q351" i="48" s="1"/>
  <c r="R351" i="48" s="1"/>
  <c r="S351" i="48" s="1"/>
  <c r="T351" i="48" s="1"/>
  <c r="U351" i="48" s="1"/>
  <c r="V351" i="48" s="1"/>
  <c r="W351" i="48" s="1"/>
  <c r="X351" i="48" s="1"/>
  <c r="Y351" i="48" s="1"/>
  <c r="Z351" i="48" s="1"/>
  <c r="AA351" i="48" s="1"/>
  <c r="AB351" i="48" s="1"/>
  <c r="AC351" i="48" s="1"/>
  <c r="AD351" i="48" s="1"/>
  <c r="AE351" i="48" s="1"/>
  <c r="AF351" i="48" s="1"/>
  <c r="AG351" i="48" s="1"/>
  <c r="AG254" i="48"/>
  <c r="C254" i="48"/>
  <c r="AG237" i="48"/>
  <c r="C237" i="48"/>
  <c r="C193" i="48"/>
  <c r="D193" i="48" s="1"/>
  <c r="E193" i="48" s="1"/>
  <c r="F193" i="48" s="1"/>
  <c r="G193" i="48" s="1"/>
  <c r="H193" i="48" s="1"/>
  <c r="I193" i="48" s="1"/>
  <c r="J193" i="48" s="1"/>
  <c r="K193" i="48" s="1"/>
  <c r="L193" i="48" s="1"/>
  <c r="M193" i="48" s="1"/>
  <c r="N193" i="48" s="1"/>
  <c r="O193" i="48" s="1"/>
  <c r="P193" i="48" s="1"/>
  <c r="Q193" i="48" s="1"/>
  <c r="R193" i="48" s="1"/>
  <c r="S193" i="48" s="1"/>
  <c r="T193" i="48" s="1"/>
  <c r="U193" i="48" s="1"/>
  <c r="V193" i="48" s="1"/>
  <c r="W193" i="48" s="1"/>
  <c r="X193" i="48" s="1"/>
  <c r="Y193" i="48" s="1"/>
  <c r="Z193" i="48" s="1"/>
  <c r="AA193" i="48" s="1"/>
  <c r="AB193" i="48" s="1"/>
  <c r="AC193" i="48" s="1"/>
  <c r="AD193" i="48" s="1"/>
  <c r="AE193" i="48" s="1"/>
  <c r="AF193" i="48" s="1"/>
  <c r="AG193" i="48" s="1"/>
  <c r="D192" i="48"/>
  <c r="AG190" i="48"/>
  <c r="AG189" i="48"/>
  <c r="C189" i="48"/>
  <c r="AG188" i="48"/>
  <c r="C188" i="48"/>
  <c r="C190" i="48" s="1"/>
  <c r="D187" i="48"/>
  <c r="D188" i="48" s="1"/>
  <c r="AG185" i="48"/>
  <c r="C185" i="48"/>
  <c r="C129" i="48"/>
  <c r="C130" i="48" s="1"/>
  <c r="D128" i="48"/>
  <c r="E128" i="48" s="1"/>
  <c r="D127" i="48"/>
  <c r="E127" i="48" s="1"/>
  <c r="F127" i="48" s="1"/>
  <c r="AG124" i="48"/>
  <c r="C124" i="48"/>
  <c r="AG123" i="48"/>
  <c r="AG125" i="48" s="1"/>
  <c r="C123" i="48"/>
  <c r="C125" i="48" s="1"/>
  <c r="D122" i="48"/>
  <c r="D123" i="48" s="1"/>
  <c r="AG120" i="48"/>
  <c r="C120" i="48"/>
  <c r="AG51" i="48"/>
  <c r="W49" i="48"/>
  <c r="M49" i="48"/>
  <c r="M46" i="48" s="1"/>
  <c r="C49" i="48"/>
  <c r="C46" i="48" s="1"/>
  <c r="X1" i="48"/>
  <c r="Y1" i="48" s="1"/>
  <c r="N1" i="48"/>
  <c r="D1" i="48"/>
  <c r="E1" i="48" s="1"/>
  <c r="AI51" i="47"/>
  <c r="AI47" i="47"/>
  <c r="AI53" i="47"/>
  <c r="AI52" i="47"/>
  <c r="AI50" i="47"/>
  <c r="AI49" i="47"/>
  <c r="AI48" i="47"/>
  <c r="AI46" i="47"/>
  <c r="F37" i="47"/>
  <c r="G37" i="47" s="1"/>
  <c r="H37" i="47" s="1"/>
  <c r="I37" i="47" s="1"/>
  <c r="J37" i="47" s="1"/>
  <c r="K37" i="47" s="1"/>
  <c r="L37" i="47" s="1"/>
  <c r="M37" i="47" s="1"/>
  <c r="N37" i="47" s="1"/>
  <c r="O37" i="47" s="1"/>
  <c r="P37" i="47" s="1"/>
  <c r="Q37" i="47" s="1"/>
  <c r="R37" i="47" s="1"/>
  <c r="S37" i="47" s="1"/>
  <c r="T37" i="47" s="1"/>
  <c r="U37" i="47" s="1"/>
  <c r="V37" i="47" s="1"/>
  <c r="W37" i="47" s="1"/>
  <c r="X37" i="47" s="1"/>
  <c r="Y37" i="47" s="1"/>
  <c r="Z37" i="47" s="1"/>
  <c r="AA37" i="47" s="1"/>
  <c r="AB37" i="47" s="1"/>
  <c r="AC37" i="47" s="1"/>
  <c r="AD37" i="47" s="1"/>
  <c r="AE37" i="47" s="1"/>
  <c r="AF37" i="47" s="1"/>
  <c r="AG37" i="47" s="1"/>
  <c r="AH37" i="47" s="1"/>
  <c r="AI37" i="47" s="1"/>
  <c r="Q7" i="47"/>
  <c r="P7" i="47"/>
  <c r="D356" i="46"/>
  <c r="E356" i="46" s="1"/>
  <c r="F356" i="46" s="1"/>
  <c r="G356" i="46" s="1"/>
  <c r="H356" i="46" s="1"/>
  <c r="I356" i="46" s="1"/>
  <c r="J356" i="46" s="1"/>
  <c r="K356" i="46" s="1"/>
  <c r="L356" i="46" s="1"/>
  <c r="M356" i="46" s="1"/>
  <c r="N356" i="46" s="1"/>
  <c r="O356" i="46" s="1"/>
  <c r="P356" i="46" s="1"/>
  <c r="Q356" i="46" s="1"/>
  <c r="R356" i="46" s="1"/>
  <c r="S356" i="46" s="1"/>
  <c r="T356" i="46" s="1"/>
  <c r="U356" i="46" s="1"/>
  <c r="V356" i="46" s="1"/>
  <c r="W356" i="46" s="1"/>
  <c r="X356" i="46" s="1"/>
  <c r="Y356" i="46" s="1"/>
  <c r="Z356" i="46" s="1"/>
  <c r="AA356" i="46" s="1"/>
  <c r="AB356" i="46" s="1"/>
  <c r="AC356" i="46" s="1"/>
  <c r="AD356" i="46" s="1"/>
  <c r="AE356" i="46" s="1"/>
  <c r="AF356" i="46" s="1"/>
  <c r="AG356" i="46" s="1"/>
  <c r="D351" i="46"/>
  <c r="E351" i="46" s="1"/>
  <c r="F351" i="46" s="1"/>
  <c r="G351" i="46" s="1"/>
  <c r="H351" i="46" s="1"/>
  <c r="I351" i="46" s="1"/>
  <c r="J351" i="46" s="1"/>
  <c r="K351" i="46" s="1"/>
  <c r="L351" i="46" s="1"/>
  <c r="M351" i="46" s="1"/>
  <c r="N351" i="46" s="1"/>
  <c r="O351" i="46" s="1"/>
  <c r="P351" i="46" s="1"/>
  <c r="Q351" i="46" s="1"/>
  <c r="R351" i="46" s="1"/>
  <c r="S351" i="46" s="1"/>
  <c r="T351" i="46" s="1"/>
  <c r="U351" i="46" s="1"/>
  <c r="V351" i="46" s="1"/>
  <c r="W351" i="46" s="1"/>
  <c r="X351" i="46" s="1"/>
  <c r="Y351" i="46" s="1"/>
  <c r="Z351" i="46" s="1"/>
  <c r="AA351" i="46" s="1"/>
  <c r="AB351" i="46" s="1"/>
  <c r="AC351" i="46" s="1"/>
  <c r="AD351" i="46" s="1"/>
  <c r="AE351" i="46" s="1"/>
  <c r="AF351" i="46" s="1"/>
  <c r="AG351" i="46" s="1"/>
  <c r="AG254" i="46"/>
  <c r="C254" i="46"/>
  <c r="AG237" i="46"/>
  <c r="C237" i="46"/>
  <c r="C193" i="46"/>
  <c r="D193" i="46" s="1"/>
  <c r="E193" i="46" s="1"/>
  <c r="F193" i="46" s="1"/>
  <c r="G193" i="46" s="1"/>
  <c r="H193" i="46" s="1"/>
  <c r="I193" i="46" s="1"/>
  <c r="J193" i="46" s="1"/>
  <c r="K193" i="46" s="1"/>
  <c r="L193" i="46" s="1"/>
  <c r="M193" i="46" s="1"/>
  <c r="N193" i="46" s="1"/>
  <c r="O193" i="46" s="1"/>
  <c r="P193" i="46" s="1"/>
  <c r="Q193" i="46" s="1"/>
  <c r="R193" i="46" s="1"/>
  <c r="S193" i="46" s="1"/>
  <c r="T193" i="46" s="1"/>
  <c r="U193" i="46" s="1"/>
  <c r="V193" i="46" s="1"/>
  <c r="W193" i="46" s="1"/>
  <c r="X193" i="46" s="1"/>
  <c r="Y193" i="46" s="1"/>
  <c r="Z193" i="46" s="1"/>
  <c r="AA193" i="46" s="1"/>
  <c r="AB193" i="46" s="1"/>
  <c r="AC193" i="46" s="1"/>
  <c r="AD193" i="46" s="1"/>
  <c r="AE193" i="46" s="1"/>
  <c r="AF193" i="46" s="1"/>
  <c r="AG193" i="46" s="1"/>
  <c r="D192" i="46"/>
  <c r="AG189" i="46"/>
  <c r="C189" i="46"/>
  <c r="AG188" i="46"/>
  <c r="AG190" i="46" s="1"/>
  <c r="C188" i="46"/>
  <c r="C190" i="46" s="1"/>
  <c r="D187" i="46"/>
  <c r="E187" i="46" s="1"/>
  <c r="E188" i="46" s="1"/>
  <c r="AG185" i="46"/>
  <c r="C185" i="46"/>
  <c r="C129" i="46"/>
  <c r="C130" i="46" s="1"/>
  <c r="D128" i="46"/>
  <c r="E128" i="46" s="1"/>
  <c r="F128" i="46" s="1"/>
  <c r="G128" i="46" s="1"/>
  <c r="D127" i="46"/>
  <c r="E127" i="46" s="1"/>
  <c r="AG124" i="46"/>
  <c r="C124" i="46"/>
  <c r="AG123" i="46"/>
  <c r="AG125" i="46" s="1"/>
  <c r="C123" i="46"/>
  <c r="C125" i="46" s="1"/>
  <c r="C133" i="46" s="1"/>
  <c r="D122" i="46"/>
  <c r="E122" i="46" s="1"/>
  <c r="E123" i="46" s="1"/>
  <c r="AG120" i="46"/>
  <c r="C120" i="46"/>
  <c r="AG51" i="46"/>
  <c r="W49" i="46"/>
  <c r="W46" i="46" s="1"/>
  <c r="M49" i="46"/>
  <c r="M46" i="46" s="1"/>
  <c r="C49" i="46"/>
  <c r="C46" i="46" s="1"/>
  <c r="X1" i="46"/>
  <c r="Y1" i="46" s="1"/>
  <c r="N1" i="46"/>
  <c r="D1" i="46"/>
  <c r="AK65" i="45"/>
  <c r="AL65" i="45"/>
  <c r="AM65" i="45"/>
  <c r="AN65" i="45"/>
  <c r="AO65" i="45"/>
  <c r="AP65" i="45"/>
  <c r="AQ65" i="45"/>
  <c r="AR65" i="45"/>
  <c r="AS65" i="45"/>
  <c r="AT65" i="45"/>
  <c r="AU65" i="45"/>
  <c r="AV65" i="45"/>
  <c r="AW65" i="45"/>
  <c r="AX65" i="45"/>
  <c r="AY65" i="45"/>
  <c r="AZ65" i="45"/>
  <c r="BA65" i="45"/>
  <c r="BB65" i="45"/>
  <c r="BC65" i="45"/>
  <c r="BD65" i="45"/>
  <c r="BE65" i="45"/>
  <c r="BF65" i="45"/>
  <c r="BG65" i="45"/>
  <c r="BH65" i="45"/>
  <c r="BI65" i="45"/>
  <c r="BJ65" i="45"/>
  <c r="BK65" i="45"/>
  <c r="BL65" i="45"/>
  <c r="BM65" i="45"/>
  <c r="BN65" i="45"/>
  <c r="AJ65" i="45"/>
  <c r="AK62" i="45"/>
  <c r="AL62" i="45"/>
  <c r="AM62" i="45"/>
  <c r="AN62" i="45"/>
  <c r="AO62" i="45"/>
  <c r="AP62" i="45"/>
  <c r="AQ62" i="45"/>
  <c r="AR62" i="45"/>
  <c r="AS62" i="45"/>
  <c r="AT62" i="45"/>
  <c r="AU62" i="45"/>
  <c r="AV62" i="45"/>
  <c r="AW62" i="45"/>
  <c r="AX62" i="45"/>
  <c r="AY62" i="45"/>
  <c r="AZ62" i="45"/>
  <c r="BA62" i="45"/>
  <c r="BB62" i="45"/>
  <c r="BC62" i="45"/>
  <c r="BD62" i="45"/>
  <c r="BE62" i="45"/>
  <c r="BF62" i="45"/>
  <c r="BG62" i="45"/>
  <c r="BH62" i="45"/>
  <c r="BI62" i="45"/>
  <c r="BJ62" i="45"/>
  <c r="BK62" i="45"/>
  <c r="BL62" i="45"/>
  <c r="BM62" i="45"/>
  <c r="BN62" i="45"/>
  <c r="AJ62" i="45"/>
  <c r="AJ33" i="45"/>
  <c r="AJ30" i="45"/>
  <c r="AJ21" i="45"/>
  <c r="AJ66" i="45"/>
  <c r="AJ64" i="45"/>
  <c r="AJ61" i="45"/>
  <c r="AJ63" i="45" l="1"/>
  <c r="E187" i="48"/>
  <c r="D129" i="48"/>
  <c r="E129" i="48" s="1"/>
  <c r="Z1" i="48"/>
  <c r="AA1" i="48" s="1"/>
  <c r="AB1" i="48" s="1"/>
  <c r="AC1" i="48" s="1"/>
  <c r="E122" i="48"/>
  <c r="AG197" i="48"/>
  <c r="AG367" i="48" s="1"/>
  <c r="D194" i="48"/>
  <c r="N23" i="55"/>
  <c r="N24" i="55" s="1"/>
  <c r="O3" i="55"/>
  <c r="U114" i="53"/>
  <c r="U113" i="53" s="1"/>
  <c r="U47" i="53"/>
  <c r="V1" i="53"/>
  <c r="V142" i="53" s="1"/>
  <c r="U151" i="53"/>
  <c r="O244" i="53"/>
  <c r="U49" i="54"/>
  <c r="U46" i="54" s="1"/>
  <c r="AE151" i="54"/>
  <c r="AE114" i="54"/>
  <c r="AE47" i="54"/>
  <c r="AE48" i="54"/>
  <c r="AF1" i="54"/>
  <c r="AE81" i="54"/>
  <c r="AE142" i="54"/>
  <c r="AE116" i="54"/>
  <c r="AE129" i="54"/>
  <c r="AE132" i="54" s="1"/>
  <c r="AF115" i="54"/>
  <c r="J150" i="54"/>
  <c r="AC131" i="54"/>
  <c r="AC128" i="54"/>
  <c r="V116" i="54"/>
  <c r="V129" i="54"/>
  <c r="V132" i="54" s="1"/>
  <c r="AD49" i="54"/>
  <c r="AD46" i="54" s="1"/>
  <c r="N120" i="54"/>
  <c r="M122" i="54"/>
  <c r="M124" i="54"/>
  <c r="M89" i="54"/>
  <c r="U141" i="54"/>
  <c r="U145" i="54"/>
  <c r="AD80" i="54"/>
  <c r="J49" i="54"/>
  <c r="J46" i="54" s="1"/>
  <c r="M88" i="54"/>
  <c r="I128" i="54"/>
  <c r="I131" i="54"/>
  <c r="U150" i="54"/>
  <c r="AD118" i="54"/>
  <c r="AD125" i="54" s="1"/>
  <c r="AD117" i="54"/>
  <c r="AD113" i="54"/>
  <c r="I98" i="54"/>
  <c r="I99" i="54" s="1"/>
  <c r="I93" i="54"/>
  <c r="I94" i="54"/>
  <c r="I92" i="54"/>
  <c r="AB130" i="54"/>
  <c r="S130" i="54"/>
  <c r="H255" i="54"/>
  <c r="H256" i="54"/>
  <c r="AD145" i="54"/>
  <c r="AD141" i="54"/>
  <c r="J84" i="54"/>
  <c r="J97" i="54" s="1"/>
  <c r="J85" i="54"/>
  <c r="J80" i="54"/>
  <c r="H130" i="54"/>
  <c r="I125" i="54"/>
  <c r="I124" i="54"/>
  <c r="U113" i="54"/>
  <c r="U118" i="54"/>
  <c r="U125" i="54" s="1"/>
  <c r="U117" i="54"/>
  <c r="H102" i="54"/>
  <c r="H100" i="54"/>
  <c r="H101" i="54"/>
  <c r="T128" i="54"/>
  <c r="T131" i="54"/>
  <c r="K151" i="54"/>
  <c r="K114" i="54"/>
  <c r="K47" i="54"/>
  <c r="K81" i="54"/>
  <c r="K48" i="54"/>
  <c r="L1" i="54"/>
  <c r="K142" i="54"/>
  <c r="L90" i="54"/>
  <c r="M87" i="54"/>
  <c r="U80" i="54"/>
  <c r="AD150" i="54"/>
  <c r="J118" i="54"/>
  <c r="J113" i="54"/>
  <c r="J117" i="54"/>
  <c r="K83" i="54"/>
  <c r="L82" i="54"/>
  <c r="V151" i="54"/>
  <c r="V142" i="54"/>
  <c r="V114" i="54"/>
  <c r="V81" i="54"/>
  <c r="V47" i="54"/>
  <c r="V48" i="54"/>
  <c r="K129" i="54"/>
  <c r="K132" i="54" s="1"/>
  <c r="L115" i="54"/>
  <c r="K116" i="54"/>
  <c r="X248" i="54"/>
  <c r="J141" i="54"/>
  <c r="J145" i="54"/>
  <c r="Y244" i="54"/>
  <c r="J256" i="53"/>
  <c r="L113" i="53"/>
  <c r="L117" i="53"/>
  <c r="L122" i="53"/>
  <c r="M120" i="53"/>
  <c r="L141" i="53"/>
  <c r="M87" i="53"/>
  <c r="AE150" i="53"/>
  <c r="L150" i="53"/>
  <c r="L116" i="53"/>
  <c r="L118" i="53" s="1"/>
  <c r="AE80" i="53"/>
  <c r="U80" i="53"/>
  <c r="L49" i="53"/>
  <c r="L46" i="53" s="1"/>
  <c r="AE141" i="53"/>
  <c r="N88" i="53"/>
  <c r="K255" i="53"/>
  <c r="K256" i="53"/>
  <c r="U141" i="53"/>
  <c r="M83" i="53"/>
  <c r="M85" i="53" s="1"/>
  <c r="N82" i="53"/>
  <c r="M84" i="53"/>
  <c r="AE113" i="53"/>
  <c r="L89" i="53"/>
  <c r="U150" i="53"/>
  <c r="AE49" i="53"/>
  <c r="AE46" i="53" s="1"/>
  <c r="U49" i="53"/>
  <c r="U46" i="53" s="1"/>
  <c r="L85" i="53"/>
  <c r="L84" i="53"/>
  <c r="L80" i="53"/>
  <c r="AF47" i="53"/>
  <c r="AF48" i="53"/>
  <c r="AF151" i="53"/>
  <c r="AF81" i="53"/>
  <c r="AF142" i="53"/>
  <c r="AF114" i="53"/>
  <c r="K94" i="53"/>
  <c r="K93" i="53"/>
  <c r="K124" i="53"/>
  <c r="V114" i="53"/>
  <c r="AP45" i="51"/>
  <c r="N3" i="51"/>
  <c r="K45" i="51"/>
  <c r="F1" i="48"/>
  <c r="AD1" i="48"/>
  <c r="O1" i="48"/>
  <c r="W46" i="48"/>
  <c r="E123" i="48"/>
  <c r="F122" i="48"/>
  <c r="F128" i="48"/>
  <c r="C133" i="48"/>
  <c r="C134" i="48"/>
  <c r="C132" i="48"/>
  <c r="G127" i="48"/>
  <c r="F129" i="48"/>
  <c r="D130" i="48"/>
  <c r="E130" i="48"/>
  <c r="C196" i="48"/>
  <c r="C197" i="48"/>
  <c r="C367" i="48" s="1"/>
  <c r="F187" i="48"/>
  <c r="E188" i="48"/>
  <c r="E192" i="48"/>
  <c r="C194" i="48"/>
  <c r="F356" i="48"/>
  <c r="D129" i="46"/>
  <c r="E129" i="46" s="1"/>
  <c r="O1" i="46"/>
  <c r="E1" i="46"/>
  <c r="Z1" i="46"/>
  <c r="AA1" i="46" s="1"/>
  <c r="AB1" i="46" s="1"/>
  <c r="AC1" i="46" s="1"/>
  <c r="C134" i="46"/>
  <c r="C132" i="46"/>
  <c r="H128" i="46"/>
  <c r="D123" i="46"/>
  <c r="F127" i="46"/>
  <c r="F122" i="46"/>
  <c r="C196" i="46"/>
  <c r="C197" i="46"/>
  <c r="C367" i="46" s="1"/>
  <c r="AG197" i="46"/>
  <c r="AG367" i="46" s="1"/>
  <c r="D194" i="46"/>
  <c r="F187" i="46"/>
  <c r="D188" i="46"/>
  <c r="E192" i="46"/>
  <c r="C194" i="46"/>
  <c r="G9" i="9"/>
  <c r="G6" i="9"/>
  <c r="L14" i="8"/>
  <c r="J14" i="8"/>
  <c r="H14" i="8"/>
  <c r="AG368" i="48" l="1"/>
  <c r="C368" i="48"/>
  <c r="G11" i="9"/>
  <c r="AJ69" i="45"/>
  <c r="O23" i="55"/>
  <c r="O24" i="55" s="1"/>
  <c r="P3" i="55"/>
  <c r="V81" i="53"/>
  <c r="V151" i="53"/>
  <c r="V150" i="53" s="1"/>
  <c r="V48" i="53"/>
  <c r="V47" i="53"/>
  <c r="P244" i="53"/>
  <c r="V49" i="54"/>
  <c r="V46" i="54" s="1"/>
  <c r="AE80" i="54"/>
  <c r="N88" i="54"/>
  <c r="V113" i="54"/>
  <c r="V118" i="54"/>
  <c r="V125" i="54" s="1"/>
  <c r="V117" i="54"/>
  <c r="J128" i="54"/>
  <c r="J131" i="54"/>
  <c r="K150" i="54"/>
  <c r="N89" i="54"/>
  <c r="N122" i="54"/>
  <c r="O120" i="54"/>
  <c r="N124" i="54"/>
  <c r="V145" i="54"/>
  <c r="V141" i="54"/>
  <c r="AE49" i="54"/>
  <c r="AE46" i="54" s="1"/>
  <c r="U131" i="54"/>
  <c r="U128" i="54"/>
  <c r="V150" i="54"/>
  <c r="J125" i="54"/>
  <c r="J124" i="54"/>
  <c r="K141" i="54"/>
  <c r="K145" i="54"/>
  <c r="T130" i="54"/>
  <c r="I255" i="54"/>
  <c r="I256" i="54"/>
  <c r="AF129" i="54"/>
  <c r="AF132" i="54" s="1"/>
  <c r="AF116" i="54"/>
  <c r="AE113" i="54"/>
  <c r="AE118" i="54"/>
  <c r="AE125" i="54" s="1"/>
  <c r="AE117" i="54"/>
  <c r="AF151" i="54"/>
  <c r="AF142" i="54"/>
  <c r="AF114" i="54"/>
  <c r="AF81" i="54"/>
  <c r="AF47" i="54"/>
  <c r="AF48" i="54"/>
  <c r="Y248" i="54"/>
  <c r="L129" i="54"/>
  <c r="L132" i="54" s="1"/>
  <c r="L116" i="54"/>
  <c r="L151" i="54"/>
  <c r="L142" i="54"/>
  <c r="L114" i="54"/>
  <c r="L81" i="54"/>
  <c r="L48" i="54"/>
  <c r="L47" i="54"/>
  <c r="I100" i="54"/>
  <c r="I102" i="54"/>
  <c r="I101" i="54"/>
  <c r="AE150" i="54"/>
  <c r="L83" i="54"/>
  <c r="M82" i="54"/>
  <c r="N87" i="54"/>
  <c r="M90" i="54"/>
  <c r="I130" i="54"/>
  <c r="AC130" i="54"/>
  <c r="Z244" i="54"/>
  <c r="K49" i="54"/>
  <c r="K46" i="54" s="1"/>
  <c r="V80" i="54"/>
  <c r="K117" i="54"/>
  <c r="K113" i="54"/>
  <c r="K118" i="54"/>
  <c r="J94" i="54"/>
  <c r="J98" i="54"/>
  <c r="J99" i="54" s="1"/>
  <c r="J93" i="54"/>
  <c r="J92" i="54"/>
  <c r="K84" i="54"/>
  <c r="K97" i="54" s="1"/>
  <c r="K80" i="54"/>
  <c r="K85" i="54"/>
  <c r="AD128" i="54"/>
  <c r="AD131" i="54"/>
  <c r="AE141" i="54"/>
  <c r="AE145" i="54"/>
  <c r="L125" i="53"/>
  <c r="L255" i="53" s="1"/>
  <c r="L124" i="53"/>
  <c r="V80" i="53"/>
  <c r="AF49" i="53"/>
  <c r="AF46" i="53" s="1"/>
  <c r="M93" i="53"/>
  <c r="V141" i="53"/>
  <c r="V113" i="53"/>
  <c r="L93" i="53"/>
  <c r="L94" i="53"/>
  <c r="AF113" i="53"/>
  <c r="AF141" i="53"/>
  <c r="M122" i="53"/>
  <c r="N120" i="53"/>
  <c r="V49" i="53"/>
  <c r="V46" i="53" s="1"/>
  <c r="AF80" i="53"/>
  <c r="M89" i="53"/>
  <c r="M94" i="53" s="1"/>
  <c r="M92" i="53"/>
  <c r="N87" i="53"/>
  <c r="AF150" i="53"/>
  <c r="L90" i="53"/>
  <c r="N83" i="53"/>
  <c r="N85" i="53" s="1"/>
  <c r="O82" i="53"/>
  <c r="N84" i="53"/>
  <c r="O88" i="53"/>
  <c r="N115" i="53"/>
  <c r="M118" i="53"/>
  <c r="M125" i="53" s="1"/>
  <c r="M117" i="53"/>
  <c r="L92" i="53"/>
  <c r="O3" i="51"/>
  <c r="AQ45" i="51"/>
  <c r="L45" i="51"/>
  <c r="F192" i="48"/>
  <c r="E194" i="48"/>
  <c r="G128" i="48"/>
  <c r="P1" i="48"/>
  <c r="G356" i="48"/>
  <c r="F188" i="48"/>
  <c r="G187" i="48"/>
  <c r="G129" i="48"/>
  <c r="F130" i="48"/>
  <c r="AE1" i="48"/>
  <c r="H127" i="48"/>
  <c r="G130" i="48"/>
  <c r="G1" i="48"/>
  <c r="G122" i="48"/>
  <c r="F123" i="48"/>
  <c r="AG368" i="46"/>
  <c r="C368" i="46"/>
  <c r="D130" i="46"/>
  <c r="P1" i="46"/>
  <c r="E194" i="46"/>
  <c r="F192" i="46"/>
  <c r="F123" i="46"/>
  <c r="G122" i="46"/>
  <c r="I128" i="46"/>
  <c r="AD1" i="46"/>
  <c r="G187" i="46"/>
  <c r="F188" i="46"/>
  <c r="G127" i="46"/>
  <c r="F129" i="46"/>
  <c r="F130" i="46" s="1"/>
  <c r="E130" i="46"/>
  <c r="F1" i="46"/>
  <c r="H118" i="24"/>
  <c r="K102" i="24"/>
  <c r="D77" i="44"/>
  <c r="C37" i="44"/>
  <c r="C33" i="44"/>
  <c r="R18" i="44"/>
  <c r="Z137" i="24"/>
  <c r="Z118" i="24"/>
  <c r="Z117" i="24"/>
  <c r="Z113" i="24"/>
  <c r="Z102" i="24"/>
  <c r="Z95" i="24"/>
  <c r="Z93" i="24"/>
  <c r="Z74" i="24"/>
  <c r="Z141" i="24" s="1"/>
  <c r="Z119" i="24" l="1"/>
  <c r="Z122" i="24" s="1"/>
  <c r="P23" i="55"/>
  <c r="P24" i="55" s="1"/>
  <c r="Q3" i="55"/>
  <c r="Q244" i="53"/>
  <c r="K125" i="54"/>
  <c r="K124" i="54"/>
  <c r="AF145" i="54"/>
  <c r="AF141" i="54"/>
  <c r="K93" i="54"/>
  <c r="K98" i="54"/>
  <c r="K94" i="54"/>
  <c r="K92" i="54"/>
  <c r="N82" i="54"/>
  <c r="M83" i="54"/>
  <c r="M85" i="54" s="1"/>
  <c r="M84" i="54"/>
  <c r="M97" i="54" s="1"/>
  <c r="L85" i="54"/>
  <c r="L80" i="54"/>
  <c r="L84" i="54"/>
  <c r="L97" i="54" s="1"/>
  <c r="Z248" i="54"/>
  <c r="AF150" i="54"/>
  <c r="O89" i="54"/>
  <c r="O88" i="54"/>
  <c r="AD130" i="54"/>
  <c r="L145" i="54"/>
  <c r="L141" i="54"/>
  <c r="AE131" i="54"/>
  <c r="AE128" i="54"/>
  <c r="J130" i="54"/>
  <c r="L118" i="54"/>
  <c r="L113" i="54"/>
  <c r="L117" i="54"/>
  <c r="L150" i="54"/>
  <c r="AF49" i="54"/>
  <c r="AF46" i="54" s="1"/>
  <c r="O124" i="54"/>
  <c r="P120" i="54"/>
  <c r="O122" i="54"/>
  <c r="M255" i="54"/>
  <c r="M256" i="54"/>
  <c r="V128" i="54"/>
  <c r="V131" i="54"/>
  <c r="K128" i="54"/>
  <c r="K131" i="54"/>
  <c r="J101" i="54"/>
  <c r="J102" i="54"/>
  <c r="J100" i="54"/>
  <c r="AF80" i="54"/>
  <c r="U130" i="54"/>
  <c r="AA244" i="54"/>
  <c r="N90" i="54"/>
  <c r="O87" i="54"/>
  <c r="L49" i="54"/>
  <c r="L46" i="54" s="1"/>
  <c r="AF113" i="54"/>
  <c r="AF118" i="54"/>
  <c r="AF125" i="54" s="1"/>
  <c r="AF117" i="54"/>
  <c r="J255" i="54"/>
  <c r="J256" i="54"/>
  <c r="M90" i="53"/>
  <c r="L256" i="53"/>
  <c r="N93" i="53"/>
  <c r="N92" i="53"/>
  <c r="O87" i="53"/>
  <c r="N116" i="53"/>
  <c r="N118" i="53" s="1"/>
  <c r="N125" i="53" s="1"/>
  <c r="O115" i="53"/>
  <c r="N117" i="53"/>
  <c r="N122" i="53"/>
  <c r="O120" i="53"/>
  <c r="P88" i="53"/>
  <c r="M124" i="53"/>
  <c r="N89" i="53"/>
  <c r="P82" i="53"/>
  <c r="O83" i="53"/>
  <c r="O85" i="53" s="1"/>
  <c r="O84" i="53"/>
  <c r="M255" i="53"/>
  <c r="M256" i="53"/>
  <c r="M45" i="51"/>
  <c r="AR45" i="51"/>
  <c r="P3" i="51"/>
  <c r="AF1" i="48"/>
  <c r="H129" i="48"/>
  <c r="H187" i="48"/>
  <c r="G188" i="48"/>
  <c r="Q1" i="48"/>
  <c r="H122" i="48"/>
  <c r="G123" i="48"/>
  <c r="I127" i="48"/>
  <c r="H128" i="48"/>
  <c r="H356" i="48"/>
  <c r="F194" i="48"/>
  <c r="G192" i="48"/>
  <c r="H1" i="48"/>
  <c r="Q1" i="46"/>
  <c r="G1" i="46"/>
  <c r="AE1" i="46"/>
  <c r="G129" i="46"/>
  <c r="G188" i="46"/>
  <c r="H187" i="46"/>
  <c r="G123" i="46"/>
  <c r="H122" i="46"/>
  <c r="H127" i="46"/>
  <c r="J128" i="46"/>
  <c r="F194" i="46"/>
  <c r="G192" i="46"/>
  <c r="Z101" i="24"/>
  <c r="Z142" i="24"/>
  <c r="Z143" i="24" s="1"/>
  <c r="Z125" i="24"/>
  <c r="Z127" i="24" s="1"/>
  <c r="Z135" i="24"/>
  <c r="Z138" i="24" s="1"/>
  <c r="Z92" i="24"/>
  <c r="Z96" i="24" s="1"/>
  <c r="Z112" i="24"/>
  <c r="Z114" i="24" s="1"/>
  <c r="Z104" i="24"/>
  <c r="Z107" i="24"/>
  <c r="Z109" i="24" s="1"/>
  <c r="Z129" i="24" l="1"/>
  <c r="J81" i="24" s="1"/>
  <c r="Q23" i="55"/>
  <c r="Q24" i="55" s="1"/>
  <c r="R3" i="55"/>
  <c r="R244" i="53"/>
  <c r="K101" i="54"/>
  <c r="K102" i="54"/>
  <c r="K100" i="54"/>
  <c r="AB244" i="54"/>
  <c r="K130" i="54"/>
  <c r="P122" i="54"/>
  <c r="Q120" i="54"/>
  <c r="P124" i="54"/>
  <c r="L128" i="54"/>
  <c r="L131" i="54"/>
  <c r="AE130" i="54"/>
  <c r="P89" i="54"/>
  <c r="AA248" i="54"/>
  <c r="AF128" i="54"/>
  <c r="AF131" i="54"/>
  <c r="V130" i="54"/>
  <c r="L125" i="54"/>
  <c r="L124" i="54"/>
  <c r="P87" i="54"/>
  <c r="O90" i="54"/>
  <c r="N255" i="54"/>
  <c r="N256" i="54"/>
  <c r="K99" i="54"/>
  <c r="L93" i="54"/>
  <c r="L94" i="54"/>
  <c r="L98" i="54"/>
  <c r="L99" i="54" s="1"/>
  <c r="L92" i="54"/>
  <c r="M94" i="54"/>
  <c r="M93" i="54"/>
  <c r="M98" i="54"/>
  <c r="M99" i="54" s="1"/>
  <c r="M92" i="54"/>
  <c r="K255" i="54"/>
  <c r="K256" i="54"/>
  <c r="P88" i="54"/>
  <c r="O82" i="54"/>
  <c r="N83" i="54"/>
  <c r="N85" i="54" s="1"/>
  <c r="N84" i="54"/>
  <c r="N97" i="54" s="1"/>
  <c r="N124" i="53"/>
  <c r="P120" i="53"/>
  <c r="O122" i="53"/>
  <c r="P115" i="53"/>
  <c r="O116" i="53"/>
  <c r="O118" i="53" s="1"/>
  <c r="O125" i="53" s="1"/>
  <c r="O117" i="53"/>
  <c r="P87" i="53"/>
  <c r="O92" i="53"/>
  <c r="O93" i="53"/>
  <c r="O89" i="53"/>
  <c r="N90" i="53"/>
  <c r="Q82" i="53"/>
  <c r="P83" i="53"/>
  <c r="P85" i="53" s="1"/>
  <c r="P84" i="53"/>
  <c r="N94" i="53"/>
  <c r="Q88" i="53"/>
  <c r="N255" i="53"/>
  <c r="N256" i="53"/>
  <c r="AS45" i="51"/>
  <c r="N45" i="51"/>
  <c r="Q3" i="51"/>
  <c r="G194" i="48"/>
  <c r="H192" i="48"/>
  <c r="J127" i="48"/>
  <c r="H188" i="48"/>
  <c r="I187" i="48"/>
  <c r="I128" i="48"/>
  <c r="H130" i="48"/>
  <c r="R1" i="48"/>
  <c r="I129" i="48"/>
  <c r="I1" i="48"/>
  <c r="I356" i="48"/>
  <c r="H123" i="48"/>
  <c r="I122" i="48"/>
  <c r="R1" i="46"/>
  <c r="S1" i="46" s="1"/>
  <c r="H1" i="46"/>
  <c r="I127" i="46"/>
  <c r="K128" i="46"/>
  <c r="H188" i="46"/>
  <c r="I187" i="46"/>
  <c r="AF1" i="46"/>
  <c r="H129" i="46"/>
  <c r="H130" i="46" s="1"/>
  <c r="G194" i="46"/>
  <c r="H192" i="46"/>
  <c r="G130" i="46"/>
  <c r="I122" i="46"/>
  <c r="H123" i="46"/>
  <c r="T10" i="44"/>
  <c r="R23" i="55" l="1"/>
  <c r="R24" i="55" s="1"/>
  <c r="S3" i="55"/>
  <c r="S244" i="53"/>
  <c r="P90" i="54"/>
  <c r="Q87" i="54"/>
  <c r="AB248" i="54"/>
  <c r="Q124" i="54"/>
  <c r="R120" i="54"/>
  <c r="Q122" i="54"/>
  <c r="Q88" i="54"/>
  <c r="O255" i="54"/>
  <c r="O256" i="54"/>
  <c r="Q89" i="54"/>
  <c r="L255" i="54"/>
  <c r="L256" i="54"/>
  <c r="L100" i="54"/>
  <c r="L102" i="54"/>
  <c r="L101" i="54"/>
  <c r="AC244" i="54"/>
  <c r="M100" i="54"/>
  <c r="M102" i="54"/>
  <c r="M101" i="54"/>
  <c r="N93" i="54"/>
  <c r="N94" i="54"/>
  <c r="N98" i="54"/>
  <c r="N99" i="54" s="1"/>
  <c r="N92" i="54"/>
  <c r="L130" i="54"/>
  <c r="P82" i="54"/>
  <c r="O83" i="54"/>
  <c r="O85" i="54" s="1"/>
  <c r="O84" i="54"/>
  <c r="O97" i="54" s="1"/>
  <c r="AF130" i="54"/>
  <c r="P122" i="53"/>
  <c r="Q120" i="53"/>
  <c r="P89" i="53"/>
  <c r="P90" i="53" s="1"/>
  <c r="O124" i="53"/>
  <c r="P93" i="53"/>
  <c r="P92" i="53"/>
  <c r="Q87" i="53"/>
  <c r="O255" i="53"/>
  <c r="O256" i="53"/>
  <c r="R88" i="53"/>
  <c r="R82" i="53"/>
  <c r="Q83" i="53"/>
  <c r="Q85" i="53" s="1"/>
  <c r="Q84" i="53"/>
  <c r="O90" i="53"/>
  <c r="P116" i="53"/>
  <c r="P118" i="53" s="1"/>
  <c r="P125" i="53" s="1"/>
  <c r="Q115" i="53"/>
  <c r="P117" i="53"/>
  <c r="O94" i="53"/>
  <c r="AT45" i="51"/>
  <c r="R3" i="51"/>
  <c r="O45" i="51"/>
  <c r="K127" i="48"/>
  <c r="J356" i="48"/>
  <c r="J128" i="48"/>
  <c r="H194" i="48"/>
  <c r="I192" i="48"/>
  <c r="J1" i="48"/>
  <c r="I188" i="48"/>
  <c r="J187" i="48"/>
  <c r="I130" i="48"/>
  <c r="I123" i="48"/>
  <c r="J122" i="48"/>
  <c r="J129" i="48"/>
  <c r="S1" i="48"/>
  <c r="I192" i="46"/>
  <c r="H194" i="46"/>
  <c r="J127" i="46"/>
  <c r="I1" i="46"/>
  <c r="I188" i="46"/>
  <c r="J187" i="46"/>
  <c r="L128" i="46"/>
  <c r="I123" i="46"/>
  <c r="J122" i="46"/>
  <c r="I129" i="46"/>
  <c r="I130" i="46" s="1"/>
  <c r="T1" i="46"/>
  <c r="D26" i="11"/>
  <c r="D24" i="11"/>
  <c r="J130" i="48" l="1"/>
  <c r="S23" i="55"/>
  <c r="S24" i="55" s="1"/>
  <c r="T3" i="55"/>
  <c r="T244" i="53"/>
  <c r="R89" i="54"/>
  <c r="R88" i="54"/>
  <c r="R87" i="54"/>
  <c r="Q90" i="54"/>
  <c r="AD244" i="54"/>
  <c r="P255" i="54"/>
  <c r="P256" i="54"/>
  <c r="S120" i="54"/>
  <c r="R122" i="54"/>
  <c r="R124" i="54"/>
  <c r="O94" i="54"/>
  <c r="O98" i="54"/>
  <c r="O99" i="54" s="1"/>
  <c r="O93" i="54"/>
  <c r="O92" i="54"/>
  <c r="N101" i="54"/>
  <c r="N100" i="54"/>
  <c r="N102" i="54"/>
  <c r="AC248" i="54"/>
  <c r="Q82" i="54"/>
  <c r="P83" i="54"/>
  <c r="P85" i="54" s="1"/>
  <c r="P84" i="54"/>
  <c r="P97" i="54" s="1"/>
  <c r="P94" i="53"/>
  <c r="Q116" i="53"/>
  <c r="Q118" i="53" s="1"/>
  <c r="Q125" i="53" s="1"/>
  <c r="R115" i="53"/>
  <c r="Q117" i="53"/>
  <c r="P124" i="53"/>
  <c r="Q89" i="53"/>
  <c r="Q94" i="53" s="1"/>
  <c r="Q93" i="53"/>
  <c r="S82" i="53"/>
  <c r="R83" i="53"/>
  <c r="R85" i="53" s="1"/>
  <c r="R84" i="53"/>
  <c r="Q92" i="53"/>
  <c r="R87" i="53"/>
  <c r="P255" i="53"/>
  <c r="P256" i="53"/>
  <c r="S88" i="53"/>
  <c r="R120" i="53"/>
  <c r="Q122" i="53"/>
  <c r="AU45" i="51"/>
  <c r="P45" i="51"/>
  <c r="S3" i="51"/>
  <c r="K122" i="48"/>
  <c r="J123" i="48"/>
  <c r="J192" i="48"/>
  <c r="I194" i="48"/>
  <c r="L127" i="48"/>
  <c r="K129" i="48"/>
  <c r="J188" i="48"/>
  <c r="K187" i="48"/>
  <c r="K1" i="48"/>
  <c r="K356" i="48"/>
  <c r="T1" i="48"/>
  <c r="K128" i="48"/>
  <c r="U1" i="46"/>
  <c r="M128" i="46"/>
  <c r="K187" i="46"/>
  <c r="J188" i="46"/>
  <c r="I194" i="46"/>
  <c r="J192" i="46"/>
  <c r="J129" i="46"/>
  <c r="J130" i="46" s="1"/>
  <c r="J123" i="46"/>
  <c r="K122" i="46"/>
  <c r="J1" i="46"/>
  <c r="K127" i="46"/>
  <c r="F19" i="43"/>
  <c r="F18" i="43"/>
  <c r="F17" i="43"/>
  <c r="B26" i="43" s="1"/>
  <c r="F16" i="43"/>
  <c r="B27" i="43" s="1"/>
  <c r="D63" i="45"/>
  <c r="D33" i="45"/>
  <c r="D30" i="45"/>
  <c r="D21" i="45"/>
  <c r="AK3" i="45"/>
  <c r="AL3" i="45" s="1"/>
  <c r="AM3" i="45" s="1"/>
  <c r="AN3" i="45" s="1"/>
  <c r="AO3" i="45" s="1"/>
  <c r="AP3" i="45" s="1"/>
  <c r="AQ3" i="45" s="1"/>
  <c r="AR3" i="45" s="1"/>
  <c r="AS3" i="45" s="1"/>
  <c r="AT3" i="45" s="1"/>
  <c r="AU3" i="45" s="1"/>
  <c r="AV3" i="45" s="1"/>
  <c r="AW3" i="45" s="1"/>
  <c r="AX3" i="45" s="1"/>
  <c r="AY3" i="45" s="1"/>
  <c r="AZ3" i="45" s="1"/>
  <c r="BA3" i="45" s="1"/>
  <c r="BB3" i="45" s="1"/>
  <c r="BC3" i="45" s="1"/>
  <c r="BD3" i="45" s="1"/>
  <c r="BE3" i="45" s="1"/>
  <c r="BF3" i="45" s="1"/>
  <c r="BG3" i="45" s="1"/>
  <c r="BH3" i="45" s="1"/>
  <c r="BI3" i="45" s="1"/>
  <c r="BJ3" i="45" s="1"/>
  <c r="BK3" i="45" s="1"/>
  <c r="BL3" i="45" s="1"/>
  <c r="BM3" i="45" s="1"/>
  <c r="BN3" i="45" s="1"/>
  <c r="E3" i="45"/>
  <c r="O19" i="43" l="1"/>
  <c r="O10" i="43"/>
  <c r="O17" i="43"/>
  <c r="O8" i="43"/>
  <c r="E6" i="45" s="1"/>
  <c r="O12" i="43"/>
  <c r="O21" i="43"/>
  <c r="O7" i="43"/>
  <c r="E5" i="45" s="1"/>
  <c r="O11" i="43"/>
  <c r="O16" i="43"/>
  <c r="O20" i="43"/>
  <c r="D69" i="45"/>
  <c r="B28" i="43"/>
  <c r="T23" i="55"/>
  <c r="T24" i="55" s="1"/>
  <c r="U3" i="55"/>
  <c r="U244" i="53"/>
  <c r="S89" i="54"/>
  <c r="Q255" i="54"/>
  <c r="Q256" i="54"/>
  <c r="AE244" i="54"/>
  <c r="P93" i="54"/>
  <c r="P94" i="54"/>
  <c r="P98" i="54"/>
  <c r="P92" i="54"/>
  <c r="O100" i="54"/>
  <c r="O102" i="54"/>
  <c r="O101" i="54"/>
  <c r="R82" i="54"/>
  <c r="Q83" i="54"/>
  <c r="Q85" i="54" s="1"/>
  <c r="Q84" i="54"/>
  <c r="Q97" i="54" s="1"/>
  <c r="AD248" i="54"/>
  <c r="R90" i="54"/>
  <c r="S87" i="54"/>
  <c r="T120" i="54"/>
  <c r="S122" i="54"/>
  <c r="S124" i="54"/>
  <c r="S88" i="54"/>
  <c r="Q90" i="53"/>
  <c r="Q124" i="53"/>
  <c r="T88" i="53"/>
  <c r="R92" i="53"/>
  <c r="S87" i="53"/>
  <c r="S120" i="53"/>
  <c r="R122" i="53"/>
  <c r="R93" i="53"/>
  <c r="T82" i="53"/>
  <c r="S83" i="53"/>
  <c r="S85" i="53" s="1"/>
  <c r="S84" i="53"/>
  <c r="R116" i="53"/>
  <c r="R118" i="53" s="1"/>
  <c r="R125" i="53" s="1"/>
  <c r="S115" i="53"/>
  <c r="R117" i="53"/>
  <c r="Q255" i="53"/>
  <c r="Q256" i="53"/>
  <c r="R89" i="53"/>
  <c r="Q45" i="51"/>
  <c r="T3" i="51"/>
  <c r="AV45" i="51"/>
  <c r="L129" i="48"/>
  <c r="L128" i="48"/>
  <c r="L130" i="48" s="1"/>
  <c r="L1" i="48"/>
  <c r="K123" i="48"/>
  <c r="L122" i="48"/>
  <c r="M127" i="48"/>
  <c r="L356" i="48"/>
  <c r="L187" i="48"/>
  <c r="K188" i="48"/>
  <c r="K130" i="48"/>
  <c r="U1" i="48"/>
  <c r="J194" i="48"/>
  <c r="K192" i="48"/>
  <c r="J194" i="46"/>
  <c r="K192" i="46"/>
  <c r="V1" i="46"/>
  <c r="K188" i="46"/>
  <c r="L187" i="46"/>
  <c r="K1" i="46"/>
  <c r="K129" i="46"/>
  <c r="K130" i="46" s="1"/>
  <c r="N128" i="46"/>
  <c r="L127" i="46"/>
  <c r="K123" i="46"/>
  <c r="L122" i="46"/>
  <c r="F21" i="43"/>
  <c r="D4" i="45"/>
  <c r="F3" i="45"/>
  <c r="O9" i="43" l="1"/>
  <c r="O18" i="43"/>
  <c r="U23" i="55"/>
  <c r="U24" i="55" s="1"/>
  <c r="V3" i="55"/>
  <c r="V244" i="53"/>
  <c r="AE248" i="54"/>
  <c r="T89" i="54"/>
  <c r="P100" i="54"/>
  <c r="P101" i="54"/>
  <c r="P102" i="54"/>
  <c r="AF244" i="54"/>
  <c r="Q98" i="54"/>
  <c r="Q99" i="54" s="1"/>
  <c r="Q94" i="54"/>
  <c r="Q93" i="54"/>
  <c r="Q92" i="54"/>
  <c r="T122" i="54"/>
  <c r="T124" i="54"/>
  <c r="U120" i="54"/>
  <c r="T87" i="54"/>
  <c r="S90" i="54"/>
  <c r="R83" i="54"/>
  <c r="R85" i="54" s="1"/>
  <c r="S82" i="54"/>
  <c r="R84" i="54"/>
  <c r="R97" i="54" s="1"/>
  <c r="R255" i="54"/>
  <c r="R256" i="54"/>
  <c r="T88" i="54"/>
  <c r="P99" i="54"/>
  <c r="S93" i="53"/>
  <c r="T83" i="53"/>
  <c r="T85" i="53" s="1"/>
  <c r="U82" i="53"/>
  <c r="T84" i="53"/>
  <c r="S89" i="53"/>
  <c r="S94" i="53" s="1"/>
  <c r="R94" i="53"/>
  <c r="R255" i="53"/>
  <c r="R256" i="53"/>
  <c r="R124" i="53"/>
  <c r="T120" i="53"/>
  <c r="S122" i="53"/>
  <c r="S92" i="53"/>
  <c r="T87" i="53"/>
  <c r="T115" i="53"/>
  <c r="S116" i="53"/>
  <c r="S118" i="53" s="1"/>
  <c r="S125" i="53" s="1"/>
  <c r="S117" i="53"/>
  <c r="R90" i="53"/>
  <c r="U88" i="53"/>
  <c r="U3" i="51"/>
  <c r="AW45" i="51"/>
  <c r="R45" i="51"/>
  <c r="G20" i="43"/>
  <c r="G18" i="43"/>
  <c r="G16" i="43"/>
  <c r="G17" i="43"/>
  <c r="G19" i="43"/>
  <c r="K194" i="48"/>
  <c r="L192" i="48"/>
  <c r="N127" i="48"/>
  <c r="V1" i="48"/>
  <c r="L188" i="48"/>
  <c r="M187" i="48"/>
  <c r="M356" i="48"/>
  <c r="M128" i="48"/>
  <c r="L123" i="48"/>
  <c r="M122" i="48"/>
  <c r="M129" i="48"/>
  <c r="M127" i="46"/>
  <c r="M122" i="46"/>
  <c r="L123" i="46"/>
  <c r="L1" i="46"/>
  <c r="K194" i="46"/>
  <c r="L192" i="46"/>
  <c r="L129" i="46"/>
  <c r="O128" i="46"/>
  <c r="L188" i="46"/>
  <c r="M187" i="46"/>
  <c r="P3" i="43"/>
  <c r="E4" i="45"/>
  <c r="AJ4" i="45"/>
  <c r="G3" i="45"/>
  <c r="H45" i="37"/>
  <c r="J7" i="37"/>
  <c r="H6" i="37"/>
  <c r="G6" i="37"/>
  <c r="O13" i="43" l="1"/>
  <c r="E7" i="45"/>
  <c r="P11" i="43"/>
  <c r="P19" i="43"/>
  <c r="P17" i="43"/>
  <c r="P21" i="43"/>
  <c r="P7" i="43"/>
  <c r="F5" i="45" s="1"/>
  <c r="P8" i="43"/>
  <c r="F6" i="45" s="1"/>
  <c r="P12" i="43"/>
  <c r="P10" i="43"/>
  <c r="P9" i="43" s="1"/>
  <c r="F7" i="45" s="1"/>
  <c r="P16" i="43"/>
  <c r="P20" i="43"/>
  <c r="V23" i="55"/>
  <c r="V24" i="55" s="1"/>
  <c r="W3" i="55"/>
  <c r="AK4" i="45"/>
  <c r="S90" i="53"/>
  <c r="W244" i="53"/>
  <c r="U88" i="54"/>
  <c r="AF248" i="54"/>
  <c r="S83" i="54"/>
  <c r="S85" i="54" s="1"/>
  <c r="T82" i="54"/>
  <c r="S84" i="54"/>
  <c r="S97" i="54" s="1"/>
  <c r="R98" i="54"/>
  <c r="R99" i="54" s="1"/>
  <c r="R93" i="54"/>
  <c r="R94" i="54"/>
  <c r="R92" i="54"/>
  <c r="AG244" i="54"/>
  <c r="U89" i="54"/>
  <c r="S255" i="54"/>
  <c r="S256" i="54"/>
  <c r="T90" i="54"/>
  <c r="U87" i="54"/>
  <c r="Q100" i="54"/>
  <c r="Q101" i="54"/>
  <c r="Q102" i="54"/>
  <c r="V120" i="54"/>
  <c r="U122" i="54"/>
  <c r="U124" i="54"/>
  <c r="T122" i="53"/>
  <c r="U120" i="53"/>
  <c r="V82" i="53"/>
  <c r="U83" i="53"/>
  <c r="U85" i="53" s="1"/>
  <c r="U84" i="53"/>
  <c r="T92" i="53"/>
  <c r="U87" i="53"/>
  <c r="T93" i="53"/>
  <c r="S124" i="53"/>
  <c r="V88" i="53"/>
  <c r="U115" i="53"/>
  <c r="T116" i="53"/>
  <c r="T118" i="53" s="1"/>
  <c r="T125" i="53" s="1"/>
  <c r="T117" i="53"/>
  <c r="S255" i="53"/>
  <c r="S256" i="53"/>
  <c r="T89" i="53"/>
  <c r="T90" i="53" s="1"/>
  <c r="AX45" i="51"/>
  <c r="S45" i="51"/>
  <c r="V3" i="51"/>
  <c r="E13" i="45"/>
  <c r="AK5" i="45"/>
  <c r="M8" i="44"/>
  <c r="K6" i="44" s="1"/>
  <c r="G21" i="43"/>
  <c r="L194" i="48"/>
  <c r="M192" i="48"/>
  <c r="O127" i="48"/>
  <c r="M123" i="48"/>
  <c r="N122" i="48"/>
  <c r="N128" i="48"/>
  <c r="M188" i="48"/>
  <c r="N187" i="48"/>
  <c r="N129" i="48"/>
  <c r="N130" i="48" s="1"/>
  <c r="N356" i="48"/>
  <c r="M130" i="48"/>
  <c r="P128" i="46"/>
  <c r="M123" i="46"/>
  <c r="N122" i="46"/>
  <c r="N127" i="46"/>
  <c r="M188" i="46"/>
  <c r="N187" i="46"/>
  <c r="M129" i="46"/>
  <c r="M130" i="46" s="1"/>
  <c r="M192" i="46"/>
  <c r="L194" i="46"/>
  <c r="L130" i="46"/>
  <c r="F4" i="45"/>
  <c r="H3" i="45"/>
  <c r="P18" i="43" l="1"/>
  <c r="P13" i="43"/>
  <c r="AK13" i="45"/>
  <c r="AK6" i="45"/>
  <c r="AJ6" i="45"/>
  <c r="F15" i="45"/>
  <c r="W23" i="55"/>
  <c r="W24" i="55" s="1"/>
  <c r="X3" i="55"/>
  <c r="AL4" i="45"/>
  <c r="X244" i="53"/>
  <c r="S98" i="54"/>
  <c r="S99" i="54" s="1"/>
  <c r="S93" i="54"/>
  <c r="S94" i="54"/>
  <c r="S92" i="54"/>
  <c r="AG248" i="54"/>
  <c r="T83" i="54"/>
  <c r="T85" i="54" s="1"/>
  <c r="U82" i="54"/>
  <c r="T84" i="54"/>
  <c r="T97" i="54" s="1"/>
  <c r="V122" i="54"/>
  <c r="V124" i="54"/>
  <c r="W120" i="54"/>
  <c r="V87" i="54"/>
  <c r="U90" i="54"/>
  <c r="V89" i="54"/>
  <c r="T255" i="54"/>
  <c r="T256" i="54"/>
  <c r="V88" i="54"/>
  <c r="R102" i="54"/>
  <c r="R101" i="54"/>
  <c r="R100" i="54"/>
  <c r="T255" i="53"/>
  <c r="T256" i="53"/>
  <c r="V115" i="53"/>
  <c r="U116" i="53"/>
  <c r="U118" i="53" s="1"/>
  <c r="U125" i="53" s="1"/>
  <c r="U117" i="53"/>
  <c r="V120" i="53"/>
  <c r="U122" i="53"/>
  <c r="T124" i="53"/>
  <c r="U89" i="53"/>
  <c r="U90" i="53" s="1"/>
  <c r="T94" i="53"/>
  <c r="U93" i="53"/>
  <c r="W88" i="53"/>
  <c r="V83" i="53"/>
  <c r="V85" i="53" s="1"/>
  <c r="W82" i="53"/>
  <c r="V84" i="53"/>
  <c r="U92" i="53"/>
  <c r="V87" i="53"/>
  <c r="AY45" i="51"/>
  <c r="W3" i="51"/>
  <c r="T45" i="51"/>
  <c r="L132" i="24"/>
  <c r="L104" i="24"/>
  <c r="N22" i="43"/>
  <c r="AL5" i="45"/>
  <c r="F13" i="45"/>
  <c r="M4" i="44"/>
  <c r="M3" i="44"/>
  <c r="H23" i="44" s="1"/>
  <c r="I23" i="44" s="1"/>
  <c r="O22" i="43"/>
  <c r="O356" i="48"/>
  <c r="O129" i="48"/>
  <c r="N188" i="48"/>
  <c r="O187" i="48"/>
  <c r="O128" i="48"/>
  <c r="O122" i="48"/>
  <c r="N123" i="48"/>
  <c r="P127" i="48"/>
  <c r="N192" i="48"/>
  <c r="M194" i="48"/>
  <c r="M194" i="46"/>
  <c r="N192" i="46"/>
  <c r="N123" i="46"/>
  <c r="O122" i="46"/>
  <c r="N129" i="46"/>
  <c r="N130" i="46" s="1"/>
  <c r="O127" i="46"/>
  <c r="O187" i="46"/>
  <c r="N188" i="46"/>
  <c r="Q128" i="46"/>
  <c r="I3" i="45"/>
  <c r="B22" i="27"/>
  <c r="B21" i="27"/>
  <c r="B20" i="27"/>
  <c r="B19" i="27"/>
  <c r="B18" i="27"/>
  <c r="P22" i="43" l="1"/>
  <c r="AL15" i="45"/>
  <c r="AL7" i="45"/>
  <c r="AL13" i="45"/>
  <c r="E15" i="45"/>
  <c r="AL6" i="45"/>
  <c r="AK7" i="45"/>
  <c r="X23" i="55"/>
  <c r="X24" i="55" s="1"/>
  <c r="Y3" i="55"/>
  <c r="Y244" i="53"/>
  <c r="V90" i="54"/>
  <c r="W87" i="54"/>
  <c r="W89" i="54"/>
  <c r="W88" i="54"/>
  <c r="U83" i="54"/>
  <c r="U85" i="54" s="1"/>
  <c r="V82" i="54"/>
  <c r="U84" i="54"/>
  <c r="U97" i="54" s="1"/>
  <c r="U255" i="54"/>
  <c r="U256" i="54"/>
  <c r="T93" i="54"/>
  <c r="T94" i="54"/>
  <c r="T98" i="54"/>
  <c r="T99" i="54" s="1"/>
  <c r="T92" i="54"/>
  <c r="S102" i="54"/>
  <c r="S101" i="54"/>
  <c r="S100" i="54"/>
  <c r="W124" i="54"/>
  <c r="X120" i="54"/>
  <c r="W122" i="54"/>
  <c r="U94" i="53"/>
  <c r="U124" i="53"/>
  <c r="V116" i="53"/>
  <c r="V118" i="53" s="1"/>
  <c r="V125" i="53" s="1"/>
  <c r="V117" i="53"/>
  <c r="X88" i="53"/>
  <c r="U255" i="53"/>
  <c r="U256" i="53"/>
  <c r="W87" i="53"/>
  <c r="V92" i="53"/>
  <c r="W83" i="53"/>
  <c r="W85" i="53" s="1"/>
  <c r="X82" i="53"/>
  <c r="W84" i="53"/>
  <c r="V93" i="53"/>
  <c r="V89" i="53"/>
  <c r="V94" i="53" s="1"/>
  <c r="V122" i="53"/>
  <c r="W120" i="53"/>
  <c r="AZ45" i="51"/>
  <c r="U45" i="51"/>
  <c r="X3" i="51"/>
  <c r="D13" i="45"/>
  <c r="AJ5" i="45"/>
  <c r="D15" i="45"/>
  <c r="AJ7" i="45"/>
  <c r="P129" i="48"/>
  <c r="P130" i="48" s="1"/>
  <c r="N194" i="48"/>
  <c r="O192" i="48"/>
  <c r="Q127" i="48"/>
  <c r="O130" i="48"/>
  <c r="P122" i="48"/>
  <c r="O123" i="48"/>
  <c r="P128" i="48"/>
  <c r="P187" i="48"/>
  <c r="O188" i="48"/>
  <c r="P356" i="48"/>
  <c r="N194" i="46"/>
  <c r="O192" i="46"/>
  <c r="R128" i="46"/>
  <c r="O188" i="46"/>
  <c r="P187" i="46"/>
  <c r="P127" i="46"/>
  <c r="O129" i="46"/>
  <c r="O130" i="46" s="1"/>
  <c r="O123" i="46"/>
  <c r="P122" i="46"/>
  <c r="J3" i="45"/>
  <c r="G61" i="44"/>
  <c r="F61" i="44"/>
  <c r="E61" i="44"/>
  <c r="D61" i="44"/>
  <c r="C61" i="44"/>
  <c r="D59" i="44"/>
  <c r="E58" i="44"/>
  <c r="E57" i="44"/>
  <c r="D58" i="44"/>
  <c r="D56" i="44"/>
  <c r="C56" i="44"/>
  <c r="AK15" i="45" l="1"/>
  <c r="AJ15" i="45"/>
  <c r="AJ13" i="45"/>
  <c r="Y23" i="55"/>
  <c r="Z3" i="55"/>
  <c r="Z244" i="53"/>
  <c r="X87" i="54"/>
  <c r="W90" i="54"/>
  <c r="X88" i="54"/>
  <c r="V255" i="54"/>
  <c r="V256" i="54"/>
  <c r="W82" i="54"/>
  <c r="V83" i="54"/>
  <c r="V85" i="54" s="1"/>
  <c r="V84" i="54"/>
  <c r="V97" i="54" s="1"/>
  <c r="X122" i="54"/>
  <c r="Y120" i="54"/>
  <c r="X124" i="54"/>
  <c r="T101" i="54"/>
  <c r="T102" i="54"/>
  <c r="T100" i="54"/>
  <c r="U94" i="54"/>
  <c r="U98" i="54"/>
  <c r="U93" i="54"/>
  <c r="U92" i="54"/>
  <c r="X89" i="54"/>
  <c r="V124" i="53"/>
  <c r="W92" i="53"/>
  <c r="X87" i="53"/>
  <c r="V255" i="53"/>
  <c r="V256" i="53"/>
  <c r="X115" i="53"/>
  <c r="W118" i="53"/>
  <c r="W125" i="53" s="1"/>
  <c r="W117" i="53"/>
  <c r="W122" i="53"/>
  <c r="X120" i="53"/>
  <c r="X83" i="53"/>
  <c r="X85" i="53" s="1"/>
  <c r="Y82" i="53"/>
  <c r="X84" i="53"/>
  <c r="Y88" i="53"/>
  <c r="W89" i="53"/>
  <c r="W93" i="53"/>
  <c r="V90" i="53"/>
  <c r="V45" i="51"/>
  <c r="Y3" i="51"/>
  <c r="BA45" i="51"/>
  <c r="P188" i="48"/>
  <c r="Q187" i="48"/>
  <c r="Q356" i="48"/>
  <c r="R127" i="48"/>
  <c r="Q129" i="48"/>
  <c r="Q128" i="48"/>
  <c r="P123" i="48"/>
  <c r="Q122" i="48"/>
  <c r="O194" i="48"/>
  <c r="P192" i="48"/>
  <c r="P188" i="46"/>
  <c r="Q187" i="46"/>
  <c r="Q122" i="46"/>
  <c r="P123" i="46"/>
  <c r="P129" i="46"/>
  <c r="P130" i="46" s="1"/>
  <c r="Q127" i="46"/>
  <c r="S128" i="46"/>
  <c r="O194" i="46"/>
  <c r="P192" i="46"/>
  <c r="K3" i="45"/>
  <c r="Z23" i="55" l="1"/>
  <c r="Z24" i="55" s="1"/>
  <c r="Y24" i="55"/>
  <c r="AA23" i="55"/>
  <c r="AA24" i="55" s="1"/>
  <c r="AA3" i="55"/>
  <c r="AA244" i="53"/>
  <c r="U101" i="54"/>
  <c r="U100" i="54"/>
  <c r="U102" i="54"/>
  <c r="X82" i="54"/>
  <c r="W84" i="54"/>
  <c r="W97" i="54" s="1"/>
  <c r="W83" i="54"/>
  <c r="W85" i="54" s="1"/>
  <c r="Y88" i="54"/>
  <c r="V93" i="54"/>
  <c r="V98" i="54"/>
  <c r="V94" i="54"/>
  <c r="V92" i="54"/>
  <c r="U99" i="54"/>
  <c r="W255" i="54"/>
  <c r="W256" i="54"/>
  <c r="Y89" i="54"/>
  <c r="Y124" i="54"/>
  <c r="Z120" i="54"/>
  <c r="Y122" i="54"/>
  <c r="X90" i="54"/>
  <c r="Y87" i="54"/>
  <c r="V99" i="54"/>
  <c r="W124" i="53"/>
  <c r="W255" i="53"/>
  <c r="W256" i="53"/>
  <c r="X92" i="53"/>
  <c r="Y87" i="53"/>
  <c r="X89" i="53"/>
  <c r="X90" i="53" s="1"/>
  <c r="X122" i="53"/>
  <c r="Y120" i="53"/>
  <c r="Z82" i="53"/>
  <c r="Y83" i="53"/>
  <c r="Y85" i="53" s="1"/>
  <c r="Y84" i="53"/>
  <c r="Z88" i="53"/>
  <c r="X93" i="53"/>
  <c r="X116" i="53"/>
  <c r="X118" i="53" s="1"/>
  <c r="X125" i="53" s="1"/>
  <c r="Y115" i="53"/>
  <c r="X117" i="53"/>
  <c r="W94" i="53"/>
  <c r="W90" i="53"/>
  <c r="W45" i="51"/>
  <c r="Z3" i="51"/>
  <c r="BB45" i="51"/>
  <c r="R129" i="48"/>
  <c r="S127" i="48"/>
  <c r="R356" i="48"/>
  <c r="Q188" i="48"/>
  <c r="R187" i="48"/>
  <c r="Q123" i="48"/>
  <c r="R122" i="48"/>
  <c r="P194" i="48"/>
  <c r="Q192" i="48"/>
  <c r="R128" i="48"/>
  <c r="R130" i="48" s="1"/>
  <c r="Q130" i="48"/>
  <c r="T128" i="46"/>
  <c r="R127" i="46"/>
  <c r="Q129" i="46"/>
  <c r="Q130" i="46" s="1"/>
  <c r="Q192" i="46"/>
  <c r="P194" i="46"/>
  <c r="Q123" i="46"/>
  <c r="R122" i="46"/>
  <c r="Q188" i="46"/>
  <c r="R187" i="46"/>
  <c r="L3" i="45"/>
  <c r="C28" i="44"/>
  <c r="C29" i="44" s="1"/>
  <c r="D29" i="44" s="1"/>
  <c r="G38" i="44"/>
  <c r="G37" i="44"/>
  <c r="C39" i="44"/>
  <c r="C38" i="44"/>
  <c r="AD74" i="24"/>
  <c r="K33" i="44"/>
  <c r="K32" i="44"/>
  <c r="C24" i="44"/>
  <c r="Z13" i="44"/>
  <c r="Z12" i="44"/>
  <c r="AF7" i="44"/>
  <c r="AF17" i="44"/>
  <c r="AF18" i="44" s="1"/>
  <c r="Z7" i="44"/>
  <c r="R20" i="44"/>
  <c r="S5" i="44"/>
  <c r="K14" i="44"/>
  <c r="C18" i="44"/>
  <c r="C17" i="44"/>
  <c r="K5" i="44"/>
  <c r="M5" i="44" s="1"/>
  <c r="E34" i="44"/>
  <c r="C34" i="44"/>
  <c r="E33" i="44"/>
  <c r="AR3" i="43"/>
  <c r="AM3" i="43"/>
  <c r="AH3" i="43"/>
  <c r="AC3" i="43"/>
  <c r="X3" i="43"/>
  <c r="S3" i="43"/>
  <c r="O2" i="43"/>
  <c r="P2" i="43" s="1"/>
  <c r="Q2" i="43" s="1"/>
  <c r="R2" i="43" s="1"/>
  <c r="S2" i="43" s="1"/>
  <c r="T2" i="43" s="1"/>
  <c r="U2" i="43" s="1"/>
  <c r="V2" i="43" s="1"/>
  <c r="W2" i="43" s="1"/>
  <c r="X2" i="43" s="1"/>
  <c r="Y2" i="43" s="1"/>
  <c r="Z2" i="43" s="1"/>
  <c r="AA2" i="43" s="1"/>
  <c r="AB2" i="43" s="1"/>
  <c r="AC2" i="43" s="1"/>
  <c r="AD2" i="43" s="1"/>
  <c r="AE2" i="43" s="1"/>
  <c r="AF2" i="43" s="1"/>
  <c r="AG2" i="43" s="1"/>
  <c r="AH2" i="43" s="1"/>
  <c r="AI2" i="43" s="1"/>
  <c r="AJ2" i="43" s="1"/>
  <c r="AK2" i="43" s="1"/>
  <c r="AL2" i="43" s="1"/>
  <c r="AM2" i="43" s="1"/>
  <c r="AN2" i="43" s="1"/>
  <c r="AO2" i="43" s="1"/>
  <c r="AP2" i="43" s="1"/>
  <c r="AQ2" i="43" s="1"/>
  <c r="AR2" i="43" s="1"/>
  <c r="B21" i="43"/>
  <c r="C20" i="43" s="1"/>
  <c r="E103" i="36"/>
  <c r="F103" i="36"/>
  <c r="G103" i="36"/>
  <c r="H103" i="36"/>
  <c r="I103" i="36"/>
  <c r="J103" i="36"/>
  <c r="K103" i="36"/>
  <c r="L103" i="36"/>
  <c r="M103" i="36"/>
  <c r="N103" i="36"/>
  <c r="O103" i="36"/>
  <c r="P103" i="36"/>
  <c r="Q103" i="36"/>
  <c r="R103" i="36"/>
  <c r="S103" i="36"/>
  <c r="T103" i="36"/>
  <c r="U103" i="36"/>
  <c r="V103" i="36"/>
  <c r="W103" i="36"/>
  <c r="X103" i="36"/>
  <c r="Y103" i="36"/>
  <c r="Z103" i="36"/>
  <c r="AA103" i="36"/>
  <c r="AB103" i="36"/>
  <c r="AC103" i="36"/>
  <c r="AD103" i="36"/>
  <c r="AE103" i="36"/>
  <c r="AF103" i="36"/>
  <c r="AG103" i="36"/>
  <c r="AH103" i="36"/>
  <c r="BN103" i="36"/>
  <c r="BM103" i="36"/>
  <c r="BL103" i="36"/>
  <c r="BK103" i="36"/>
  <c r="BJ103" i="36"/>
  <c r="BI103" i="36"/>
  <c r="BH103" i="36"/>
  <c r="BG103" i="36"/>
  <c r="BF103" i="36"/>
  <c r="BE103" i="36"/>
  <c r="BD103" i="36"/>
  <c r="BC103" i="36"/>
  <c r="BB103" i="36"/>
  <c r="BA103" i="36"/>
  <c r="AZ103" i="36"/>
  <c r="AY103" i="36"/>
  <c r="AX103" i="36"/>
  <c r="AW103" i="36"/>
  <c r="AV103" i="36"/>
  <c r="AU103" i="36"/>
  <c r="AT103" i="36"/>
  <c r="AS103" i="36"/>
  <c r="AR103" i="36"/>
  <c r="AQ103" i="36"/>
  <c r="AP103" i="36"/>
  <c r="AO103" i="36"/>
  <c r="AN103" i="36"/>
  <c r="AM103" i="36"/>
  <c r="AL103" i="36"/>
  <c r="AK103" i="36"/>
  <c r="AJ103" i="36"/>
  <c r="D103" i="36"/>
  <c r="BN94" i="36"/>
  <c r="BM94" i="36"/>
  <c r="BL94" i="36"/>
  <c r="BK94" i="36"/>
  <c r="BJ94" i="36"/>
  <c r="BI94" i="36"/>
  <c r="BH94" i="36"/>
  <c r="BG94" i="36"/>
  <c r="BF94" i="36"/>
  <c r="BE94" i="36"/>
  <c r="BD94" i="36"/>
  <c r="BC94" i="36"/>
  <c r="BB94" i="36"/>
  <c r="BA94" i="36"/>
  <c r="AZ94" i="36"/>
  <c r="AY94" i="36"/>
  <c r="AX94" i="36"/>
  <c r="AW94" i="36"/>
  <c r="AV94" i="36"/>
  <c r="AU94" i="36"/>
  <c r="AT94" i="36"/>
  <c r="AS94" i="36"/>
  <c r="AR94" i="36"/>
  <c r="AQ94" i="36"/>
  <c r="AP94" i="36"/>
  <c r="AO94" i="36"/>
  <c r="AN94" i="36"/>
  <c r="AM94" i="36"/>
  <c r="AL94" i="36"/>
  <c r="AK94" i="36"/>
  <c r="AJ94" i="36"/>
  <c r="E94" i="36"/>
  <c r="F94" i="36"/>
  <c r="G94" i="36"/>
  <c r="H94" i="36"/>
  <c r="I94" i="36"/>
  <c r="J94" i="36"/>
  <c r="K94" i="36"/>
  <c r="L94" i="36"/>
  <c r="M94" i="36"/>
  <c r="N94" i="36"/>
  <c r="O94" i="36"/>
  <c r="P94" i="36"/>
  <c r="Q94" i="36"/>
  <c r="R94" i="36"/>
  <c r="S94" i="36"/>
  <c r="T94" i="36"/>
  <c r="U94" i="36"/>
  <c r="V94" i="36"/>
  <c r="W94" i="36"/>
  <c r="X94" i="36"/>
  <c r="Y94" i="36"/>
  <c r="Z94" i="36"/>
  <c r="AA94" i="36"/>
  <c r="AB94" i="36"/>
  <c r="AC94" i="36"/>
  <c r="AD94" i="36"/>
  <c r="AE94" i="36"/>
  <c r="AF94" i="36"/>
  <c r="AG94" i="36"/>
  <c r="AH94" i="36"/>
  <c r="D94" i="36"/>
  <c r="AJ87" i="36"/>
  <c r="D87" i="36"/>
  <c r="BN81" i="36"/>
  <c r="BM81" i="36"/>
  <c r="BL81" i="36"/>
  <c r="BK81" i="36"/>
  <c r="BJ81" i="36"/>
  <c r="BI81" i="36"/>
  <c r="BH81" i="36"/>
  <c r="BG81" i="36"/>
  <c r="BF81" i="36"/>
  <c r="BE81" i="36"/>
  <c r="BD81" i="36"/>
  <c r="BC81" i="36"/>
  <c r="BB81" i="36"/>
  <c r="BA81" i="36"/>
  <c r="AZ81" i="36"/>
  <c r="AY81" i="36"/>
  <c r="AX81" i="36"/>
  <c r="AW81" i="36"/>
  <c r="AV81" i="36"/>
  <c r="AU81" i="36"/>
  <c r="AT81" i="36"/>
  <c r="AS81" i="36"/>
  <c r="AR81" i="36"/>
  <c r="AQ81" i="36"/>
  <c r="AP81" i="36"/>
  <c r="AO81" i="36"/>
  <c r="AN81" i="36"/>
  <c r="AM81" i="36"/>
  <c r="AL81" i="36"/>
  <c r="AK81" i="36"/>
  <c r="AJ81" i="36"/>
  <c r="E81" i="36"/>
  <c r="F81" i="36"/>
  <c r="G81" i="36"/>
  <c r="H81" i="36"/>
  <c r="I81" i="36"/>
  <c r="J81" i="36"/>
  <c r="K81" i="36"/>
  <c r="L81" i="36"/>
  <c r="M81" i="36"/>
  <c r="N81" i="36"/>
  <c r="O81" i="36"/>
  <c r="P81" i="36"/>
  <c r="Q81" i="36"/>
  <c r="R81" i="36"/>
  <c r="S81" i="36"/>
  <c r="T81" i="36"/>
  <c r="U81" i="36"/>
  <c r="V81" i="36"/>
  <c r="W81" i="36"/>
  <c r="X81" i="36"/>
  <c r="Y81" i="36"/>
  <c r="Z81" i="36"/>
  <c r="AA81" i="36"/>
  <c r="AB81" i="36"/>
  <c r="AC81" i="36"/>
  <c r="AD81" i="36"/>
  <c r="AE81" i="36"/>
  <c r="AF81" i="36"/>
  <c r="AG81" i="36"/>
  <c r="AH81" i="36"/>
  <c r="D81" i="36"/>
  <c r="X10" i="43" l="1"/>
  <c r="X17" i="43"/>
  <c r="X19" i="43"/>
  <c r="X16" i="43"/>
  <c r="X11" i="43"/>
  <c r="X8" i="43"/>
  <c r="N6" i="45" s="1"/>
  <c r="X20" i="43"/>
  <c r="X12" i="43"/>
  <c r="X7" i="43"/>
  <c r="X21" i="43"/>
  <c r="AC20" i="43"/>
  <c r="AC12" i="43"/>
  <c r="AC7" i="43"/>
  <c r="S5" i="45" s="1"/>
  <c r="AC21" i="43"/>
  <c r="AC11" i="43"/>
  <c r="AC8" i="43"/>
  <c r="AC16" i="43"/>
  <c r="AC17" i="43"/>
  <c r="AC19" i="43"/>
  <c r="AC10" i="43"/>
  <c r="AH8" i="43"/>
  <c r="X6" i="45" s="1"/>
  <c r="AH16" i="43"/>
  <c r="AH10" i="43"/>
  <c r="AH21" i="43"/>
  <c r="AH17" i="43"/>
  <c r="AH19" i="43"/>
  <c r="AH12" i="43"/>
  <c r="AH11" i="43"/>
  <c r="AH7" i="43"/>
  <c r="AH20" i="43"/>
  <c r="AM17" i="43"/>
  <c r="AM19" i="43"/>
  <c r="AM11" i="43"/>
  <c r="AM16" i="43"/>
  <c r="AM10" i="43"/>
  <c r="AM20" i="43"/>
  <c r="AM12" i="43"/>
  <c r="AM8" i="43"/>
  <c r="AC6" i="45" s="1"/>
  <c r="AM7" i="43"/>
  <c r="AM21" i="43"/>
  <c r="AM18" i="43" s="1"/>
  <c r="AR12" i="43"/>
  <c r="AR7" i="43"/>
  <c r="AR21" i="43"/>
  <c r="AR8" i="43"/>
  <c r="AH6" i="45" s="1"/>
  <c r="AR16" i="43"/>
  <c r="AR20" i="43"/>
  <c r="AR10" i="43"/>
  <c r="AR9" i="43" s="1"/>
  <c r="AH7" i="45" s="1"/>
  <c r="AR11" i="43"/>
  <c r="AR17" i="43"/>
  <c r="AR19" i="43"/>
  <c r="S7" i="43"/>
  <c r="S21" i="43"/>
  <c r="S20" i="43"/>
  <c r="S8" i="43"/>
  <c r="I6" i="45" s="1"/>
  <c r="S16" i="43"/>
  <c r="S10" i="43"/>
  <c r="S9" i="43" s="1"/>
  <c r="I7" i="45" s="1"/>
  <c r="S12" i="43"/>
  <c r="S17" i="43"/>
  <c r="S19" i="43"/>
  <c r="S11" i="43"/>
  <c r="T3" i="43"/>
  <c r="AB23" i="55"/>
  <c r="AB24" i="55" s="1"/>
  <c r="AB3" i="55"/>
  <c r="AB244" i="53"/>
  <c r="X94" i="53"/>
  <c r="W94" i="54"/>
  <c r="W98" i="54"/>
  <c r="W99" i="54" s="1"/>
  <c r="W93" i="54"/>
  <c r="W92" i="54"/>
  <c r="Y82" i="54"/>
  <c r="X83" i="54"/>
  <c r="X85" i="54" s="1"/>
  <c r="X84" i="54"/>
  <c r="X97" i="54" s="1"/>
  <c r="Z87" i="54"/>
  <c r="Y90" i="54"/>
  <c r="X255" i="54"/>
  <c r="X256" i="54"/>
  <c r="Z89" i="54"/>
  <c r="AA120" i="54"/>
  <c r="Z122" i="54"/>
  <c r="Z124" i="54"/>
  <c r="V102" i="54"/>
  <c r="V101" i="54"/>
  <c r="V100" i="54"/>
  <c r="Z88" i="54"/>
  <c r="Y92" i="53"/>
  <c r="Z87" i="53"/>
  <c r="X255" i="53"/>
  <c r="X256" i="53"/>
  <c r="AA88" i="53"/>
  <c r="Y93" i="53"/>
  <c r="Z115" i="53"/>
  <c r="Y116" i="53"/>
  <c r="Y118" i="53" s="1"/>
  <c r="Y125" i="53" s="1"/>
  <c r="Y117" i="53"/>
  <c r="Z83" i="53"/>
  <c r="Z85" i="53" s="1"/>
  <c r="AA82" i="53"/>
  <c r="Z84" i="53"/>
  <c r="X124" i="53"/>
  <c r="Z120" i="53"/>
  <c r="Y122" i="53"/>
  <c r="Y89" i="53"/>
  <c r="AA3" i="51"/>
  <c r="X45" i="51"/>
  <c r="BC45" i="51"/>
  <c r="AT3" i="43"/>
  <c r="Y3" i="43"/>
  <c r="S122" i="48"/>
  <c r="R123" i="48"/>
  <c r="R188" i="48"/>
  <c r="S187" i="48"/>
  <c r="S128" i="48"/>
  <c r="R192" i="48"/>
  <c r="Q194" i="48"/>
  <c r="S356" i="48"/>
  <c r="T127" i="48"/>
  <c r="S129" i="48"/>
  <c r="S187" i="46"/>
  <c r="R188" i="46"/>
  <c r="Q194" i="46"/>
  <c r="R192" i="46"/>
  <c r="U128" i="46"/>
  <c r="R123" i="46"/>
  <c r="S122" i="46"/>
  <c r="R129" i="46"/>
  <c r="S127" i="46"/>
  <c r="K7" i="44"/>
  <c r="AH4" i="45"/>
  <c r="J4" i="45"/>
  <c r="I4" i="45"/>
  <c r="X4" i="45"/>
  <c r="S4" i="45"/>
  <c r="N4" i="45"/>
  <c r="AC4" i="45"/>
  <c r="M3" i="45"/>
  <c r="AG7" i="44"/>
  <c r="AG6" i="44" s="1"/>
  <c r="AD3" i="43"/>
  <c r="AN3" i="43"/>
  <c r="AI3" i="43"/>
  <c r="G39" i="44"/>
  <c r="H37" i="44" s="1"/>
  <c r="C30" i="44"/>
  <c r="C19" i="44"/>
  <c r="C40" i="44"/>
  <c r="D39" i="44" s="1"/>
  <c r="R19" i="44"/>
  <c r="H38" i="44"/>
  <c r="Z15" i="44"/>
  <c r="Z16" i="44" s="1"/>
  <c r="D60" i="44"/>
  <c r="C19" i="43"/>
  <c r="C17" i="43"/>
  <c r="C18" i="43"/>
  <c r="S6" i="45" l="1"/>
  <c r="AC5" i="45"/>
  <c r="AN10" i="43"/>
  <c r="AN16" i="43"/>
  <c r="AN17" i="43"/>
  <c r="AN19" i="43"/>
  <c r="AN11" i="43"/>
  <c r="AN20" i="43"/>
  <c r="AN12" i="43"/>
  <c r="AN8" i="43"/>
  <c r="AD6" i="45" s="1"/>
  <c r="AN7" i="43"/>
  <c r="AN21" i="43"/>
  <c r="AC9" i="43"/>
  <c r="S7" i="45" s="1"/>
  <c r="AD11" i="43"/>
  <c r="AD20" i="43"/>
  <c r="AD19" i="43"/>
  <c r="AD12" i="43"/>
  <c r="AD17" i="43"/>
  <c r="AD7" i="43"/>
  <c r="AD21" i="43"/>
  <c r="AD10" i="43"/>
  <c r="AD9" i="43" s="1"/>
  <c r="T7" i="45" s="1"/>
  <c r="AD8" i="43"/>
  <c r="T6" i="45" s="1"/>
  <c r="AD16" i="43"/>
  <c r="T12" i="43"/>
  <c r="T20" i="43"/>
  <c r="T7" i="43"/>
  <c r="T21" i="43"/>
  <c r="T8" i="43"/>
  <c r="J6" i="45" s="1"/>
  <c r="T16" i="43"/>
  <c r="T10" i="43"/>
  <c r="T9" i="43" s="1"/>
  <c r="J7" i="45" s="1"/>
  <c r="T17" i="43"/>
  <c r="T19" i="43"/>
  <c r="T11" i="43"/>
  <c r="S18" i="43"/>
  <c r="S13" i="43"/>
  <c r="I5" i="45"/>
  <c r="AM9" i="43"/>
  <c r="AC7" i="45" s="1"/>
  <c r="AH9" i="43"/>
  <c r="X7" i="45" s="1"/>
  <c r="AC18" i="43"/>
  <c r="X18" i="43"/>
  <c r="X5" i="45"/>
  <c r="AH13" i="43"/>
  <c r="AR18" i="43"/>
  <c r="AR13" i="43"/>
  <c r="AH5" i="45"/>
  <c r="AH18" i="43"/>
  <c r="AI7" i="43"/>
  <c r="AI21" i="43"/>
  <c r="AI12" i="43"/>
  <c r="AI8" i="43"/>
  <c r="Y6" i="45" s="1"/>
  <c r="AI16" i="43"/>
  <c r="AI10" i="43"/>
  <c r="AI9" i="43" s="1"/>
  <c r="Y7" i="45" s="1"/>
  <c r="AI20" i="43"/>
  <c r="AI17" i="43"/>
  <c r="AI19" i="43"/>
  <c r="AI11" i="43"/>
  <c r="U3" i="43"/>
  <c r="Y8" i="43"/>
  <c r="O6" i="45" s="1"/>
  <c r="Y16" i="43"/>
  <c r="Y10" i="43"/>
  <c r="Y7" i="43"/>
  <c r="O5" i="45" s="1"/>
  <c r="Y17" i="43"/>
  <c r="Y19" i="43"/>
  <c r="Y11" i="43"/>
  <c r="Y20" i="43"/>
  <c r="Y21" i="43"/>
  <c r="Y12" i="43"/>
  <c r="N5" i="45"/>
  <c r="X13" i="43"/>
  <c r="X9" i="43"/>
  <c r="N7" i="45" s="1"/>
  <c r="AY6" i="45"/>
  <c r="S130" i="48"/>
  <c r="AO6" i="45"/>
  <c r="BI6" i="45"/>
  <c r="AT7" i="45"/>
  <c r="BD6" i="45"/>
  <c r="AG4" i="44"/>
  <c r="M7" i="44"/>
  <c r="K8" i="44"/>
  <c r="L77" i="44"/>
  <c r="L94" i="44" s="1"/>
  <c r="E5" i="8"/>
  <c r="F5" i="8"/>
  <c r="G5" i="8"/>
  <c r="AC23" i="55"/>
  <c r="AC24" i="55" s="1"/>
  <c r="AC3" i="55"/>
  <c r="BD4" i="45"/>
  <c r="AO4" i="45"/>
  <c r="AP4" i="45"/>
  <c r="BI4" i="45"/>
  <c r="AT4" i="45"/>
  <c r="AY4" i="45"/>
  <c r="AC244" i="53"/>
  <c r="AA88" i="54"/>
  <c r="AB120" i="54"/>
  <c r="AA122" i="54"/>
  <c r="AA124" i="54"/>
  <c r="Y255" i="54"/>
  <c r="Y256" i="54"/>
  <c r="Z90" i="54"/>
  <c r="AA87" i="54"/>
  <c r="W102" i="54"/>
  <c r="W100" i="54"/>
  <c r="W101" i="54"/>
  <c r="X93" i="54"/>
  <c r="X94" i="54"/>
  <c r="X98" i="54"/>
  <c r="X92" i="54"/>
  <c r="AA89" i="54"/>
  <c r="Z82" i="54"/>
  <c r="Y83" i="54"/>
  <c r="Y85" i="54" s="1"/>
  <c r="Y84" i="54"/>
  <c r="Y97" i="54" s="1"/>
  <c r="Y124" i="53"/>
  <c r="AB88" i="53"/>
  <c r="Z116" i="53"/>
  <c r="Z118" i="53" s="1"/>
  <c r="Z125" i="53" s="1"/>
  <c r="AA115" i="53"/>
  <c r="Z117" i="53"/>
  <c r="Z89" i="53"/>
  <c r="Z94" i="53" s="1"/>
  <c r="Y90" i="53"/>
  <c r="AB82" i="53"/>
  <c r="AA83" i="53"/>
  <c r="AA85" i="53" s="1"/>
  <c r="AA84" i="53"/>
  <c r="Z92" i="53"/>
  <c r="AA87" i="53"/>
  <c r="Z93" i="53"/>
  <c r="AA120" i="53"/>
  <c r="Z122" i="53"/>
  <c r="Y255" i="53"/>
  <c r="Y256" i="53"/>
  <c r="Y94" i="53"/>
  <c r="BD45" i="51"/>
  <c r="AB3" i="51"/>
  <c r="Y45" i="51"/>
  <c r="I13" i="45"/>
  <c r="AO5" i="45"/>
  <c r="L95" i="44"/>
  <c r="L74" i="44"/>
  <c r="L83" i="44"/>
  <c r="L76" i="44"/>
  <c r="L81" i="44"/>
  <c r="F5" i="4" s="1"/>
  <c r="L70" i="44"/>
  <c r="L91" i="44"/>
  <c r="G5" i="4" s="1"/>
  <c r="L80" i="44"/>
  <c r="L90" i="44"/>
  <c r="L71" i="44"/>
  <c r="E5" i="4" s="1"/>
  <c r="L87" i="44"/>
  <c r="L97" i="44" s="1"/>
  <c r="L86" i="44"/>
  <c r="L72" i="44"/>
  <c r="BD5" i="45"/>
  <c r="X13" i="45"/>
  <c r="BN5" i="45"/>
  <c r="AH13" i="45"/>
  <c r="Z3" i="43"/>
  <c r="O4" i="45"/>
  <c r="AT5" i="45"/>
  <c r="N13" i="45"/>
  <c r="AC13" i="45"/>
  <c r="BI5" i="45"/>
  <c r="T129" i="48"/>
  <c r="T187" i="48"/>
  <c r="S188" i="48"/>
  <c r="U127" i="48"/>
  <c r="S123" i="48"/>
  <c r="T122" i="48"/>
  <c r="R194" i="48"/>
  <c r="S192" i="48"/>
  <c r="T128" i="48"/>
  <c r="T356" i="48"/>
  <c r="T127" i="46"/>
  <c r="S188" i="46"/>
  <c r="T187" i="46"/>
  <c r="S129" i="46"/>
  <c r="R130" i="46"/>
  <c r="V128" i="46"/>
  <c r="R194" i="46"/>
  <c r="S192" i="46"/>
  <c r="S123" i="46"/>
  <c r="T122" i="46"/>
  <c r="K34" i="44"/>
  <c r="K35" i="44" s="1"/>
  <c r="Y4" i="45"/>
  <c r="AD4" i="45"/>
  <c r="C21" i="43"/>
  <c r="T4" i="45"/>
  <c r="BN4" i="45"/>
  <c r="K4" i="45"/>
  <c r="T5" i="44"/>
  <c r="N3" i="45"/>
  <c r="AJ3" i="43"/>
  <c r="AE3" i="43"/>
  <c r="V3" i="43"/>
  <c r="AO3" i="43"/>
  <c r="G47" i="44"/>
  <c r="AA7" i="44"/>
  <c r="AG3" i="44"/>
  <c r="AG5" i="44"/>
  <c r="D38" i="44"/>
  <c r="D37" i="44"/>
  <c r="L8" i="44"/>
  <c r="D9" i="45"/>
  <c r="AJ34" i="36"/>
  <c r="AJ31" i="36"/>
  <c r="AJ22" i="36"/>
  <c r="AK3" i="36"/>
  <c r="AA3" i="43" l="1"/>
  <c r="Z8" i="43"/>
  <c r="P6" i="45" s="1"/>
  <c r="Z16" i="43"/>
  <c r="Z12" i="43"/>
  <c r="Z9" i="43" s="1"/>
  <c r="P7" i="45" s="1"/>
  <c r="Z7" i="43"/>
  <c r="Z10" i="43"/>
  <c r="Z17" i="43"/>
  <c r="Z19" i="43"/>
  <c r="Z11" i="43"/>
  <c r="Z21" i="43"/>
  <c r="Z20" i="43"/>
  <c r="AN18" i="43"/>
  <c r="AO8" i="43"/>
  <c r="AE6" i="45" s="1"/>
  <c r="AO16" i="43"/>
  <c r="AO10" i="43"/>
  <c r="AO9" i="43" s="1"/>
  <c r="AO17" i="43"/>
  <c r="AO19" i="43"/>
  <c r="AO11" i="43"/>
  <c r="AO21" i="43"/>
  <c r="AO20" i="43"/>
  <c r="AO12" i="43"/>
  <c r="AO7" i="43"/>
  <c r="AE5" i="45" s="1"/>
  <c r="AD13" i="43"/>
  <c r="T5" i="45"/>
  <c r="V11" i="43"/>
  <c r="V20" i="43"/>
  <c r="V18" i="43" s="1"/>
  <c r="V12" i="43"/>
  <c r="V19" i="43"/>
  <c r="V7" i="43"/>
  <c r="V21" i="43"/>
  <c r="V10" i="43"/>
  <c r="V9" i="43" s="1"/>
  <c r="L7" i="45" s="1"/>
  <c r="V17" i="43"/>
  <c r="V8" i="43"/>
  <c r="L6" i="45" s="1"/>
  <c r="V16" i="43"/>
  <c r="Y18" i="43"/>
  <c r="U20" i="43"/>
  <c r="U12" i="43"/>
  <c r="U7" i="43"/>
  <c r="K5" i="45" s="1"/>
  <c r="U21" i="43"/>
  <c r="U19" i="43"/>
  <c r="U11" i="43"/>
  <c r="U8" i="43"/>
  <c r="U16" i="43"/>
  <c r="U17" i="43"/>
  <c r="U10" i="43"/>
  <c r="T13" i="43"/>
  <c r="J5" i="45"/>
  <c r="AE17" i="43"/>
  <c r="AE19" i="43"/>
  <c r="AE11" i="43"/>
  <c r="AE20" i="43"/>
  <c r="AE16" i="43"/>
  <c r="AE12" i="43"/>
  <c r="AE7" i="43"/>
  <c r="AE21" i="43"/>
  <c r="AE18" i="43" s="1"/>
  <c r="AE8" i="43"/>
  <c r="U6" i="45" s="1"/>
  <c r="AE10" i="43"/>
  <c r="AD5" i="45"/>
  <c r="AN9" i="43"/>
  <c r="AD7" i="45" s="1"/>
  <c r="AC13" i="43"/>
  <c r="AJ12" i="43"/>
  <c r="AJ7" i="43"/>
  <c r="AJ21" i="43"/>
  <c r="AJ20" i="43"/>
  <c r="AJ8" i="43"/>
  <c r="Z6" i="45" s="1"/>
  <c r="AJ16" i="43"/>
  <c r="AJ11" i="43"/>
  <c r="AJ10" i="43"/>
  <c r="AJ9" i="43" s="1"/>
  <c r="Z7" i="45" s="1"/>
  <c r="AJ17" i="43"/>
  <c r="AJ19" i="43"/>
  <c r="AJ18" i="43" s="1"/>
  <c r="AI18" i="43"/>
  <c r="AI13" i="43"/>
  <c r="Y5" i="45"/>
  <c r="T18" i="43"/>
  <c r="AM13" i="43"/>
  <c r="Y9" i="43"/>
  <c r="AD18" i="43"/>
  <c r="L92" i="44"/>
  <c r="L84" i="44"/>
  <c r="L82" i="44"/>
  <c r="L73" i="44"/>
  <c r="L93" i="44"/>
  <c r="L85" i="44"/>
  <c r="L75" i="44"/>
  <c r="L96" i="44"/>
  <c r="X22" i="43"/>
  <c r="N15" i="45"/>
  <c r="AT6" i="45"/>
  <c r="AO13" i="45"/>
  <c r="J13" i="45"/>
  <c r="BN13" i="45"/>
  <c r="AT15" i="45"/>
  <c r="BD13" i="45"/>
  <c r="P4" i="45"/>
  <c r="T130" i="48"/>
  <c r="BI13" i="45"/>
  <c r="BE6" i="45"/>
  <c r="AU6" i="45"/>
  <c r="AP6" i="45"/>
  <c r="AT13" i="45"/>
  <c r="BN6" i="45"/>
  <c r="AZ6" i="45"/>
  <c r="AD15" i="45"/>
  <c r="AD23" i="55"/>
  <c r="AD24" i="55" s="1"/>
  <c r="AD3" i="55"/>
  <c r="AZ4" i="45"/>
  <c r="AU4" i="45"/>
  <c r="BE4" i="45"/>
  <c r="AQ4" i="45"/>
  <c r="BJ4" i="45"/>
  <c r="AD244" i="53"/>
  <c r="Y98" i="54"/>
  <c r="Y99" i="54" s="1"/>
  <c r="Y93" i="54"/>
  <c r="Y94" i="54"/>
  <c r="Y92" i="54"/>
  <c r="AC120" i="54"/>
  <c r="AB122" i="54"/>
  <c r="AB124" i="54"/>
  <c r="Z83" i="54"/>
  <c r="Z85" i="54" s="1"/>
  <c r="AA82" i="54"/>
  <c r="Z84" i="54"/>
  <c r="Z97" i="54" s="1"/>
  <c r="X102" i="54"/>
  <c r="X101" i="54"/>
  <c r="X100" i="54"/>
  <c r="AB88" i="54"/>
  <c r="X99" i="54"/>
  <c r="Z255" i="54"/>
  <c r="Z256" i="54"/>
  <c r="AB89" i="54"/>
  <c r="AB87" i="54"/>
  <c r="AA90" i="54"/>
  <c r="Z90" i="53"/>
  <c r="Z124" i="53"/>
  <c r="Z255" i="53"/>
  <c r="Z256" i="53"/>
  <c r="AB83" i="53"/>
  <c r="AB85" i="53" s="1"/>
  <c r="AC82" i="53"/>
  <c r="AB84" i="53"/>
  <c r="AB120" i="53"/>
  <c r="AA122" i="53"/>
  <c r="AA89" i="53"/>
  <c r="AA90" i="53" s="1"/>
  <c r="AB115" i="53"/>
  <c r="AA116" i="53"/>
  <c r="AA118" i="53" s="1"/>
  <c r="AA125" i="53" s="1"/>
  <c r="AA117" i="53"/>
  <c r="AB87" i="53"/>
  <c r="AA92" i="53"/>
  <c r="AC88" i="53"/>
  <c r="AA93" i="53"/>
  <c r="BE45" i="51"/>
  <c r="Z45" i="51"/>
  <c r="AC3" i="51"/>
  <c r="S22" i="43"/>
  <c r="AC22" i="43"/>
  <c r="S15" i="45"/>
  <c r="AY7" i="45"/>
  <c r="AY5" i="45"/>
  <c r="S13" i="45"/>
  <c r="AP7" i="45"/>
  <c r="J15" i="45"/>
  <c r="AM22" i="43"/>
  <c r="AZ5" i="45"/>
  <c r="T13" i="45"/>
  <c r="BJ5" i="45"/>
  <c r="AD13" i="45"/>
  <c r="BN7" i="45"/>
  <c r="AH15" i="45"/>
  <c r="T22" i="43"/>
  <c r="Y13" i="45"/>
  <c r="BE5" i="45"/>
  <c r="AH22" i="43"/>
  <c r="AR22" i="43"/>
  <c r="U129" i="48"/>
  <c r="U128" i="48"/>
  <c r="V127" i="48"/>
  <c r="T188" i="48"/>
  <c r="U187" i="48"/>
  <c r="U356" i="48"/>
  <c r="S194" i="48"/>
  <c r="T192" i="48"/>
  <c r="T123" i="48"/>
  <c r="U122" i="48"/>
  <c r="W128" i="46"/>
  <c r="T188" i="46"/>
  <c r="U187" i="46"/>
  <c r="U127" i="46"/>
  <c r="S194" i="46"/>
  <c r="T192" i="46"/>
  <c r="T129" i="46"/>
  <c r="S130" i="46"/>
  <c r="U122" i="46"/>
  <c r="T123" i="46"/>
  <c r="L118" i="24"/>
  <c r="F9" i="45"/>
  <c r="J9" i="45"/>
  <c r="N9" i="45"/>
  <c r="AJ9" i="45"/>
  <c r="G9" i="45"/>
  <c r="K9" i="45"/>
  <c r="E9" i="45"/>
  <c r="H9" i="45"/>
  <c r="L9" i="45"/>
  <c r="D10" i="45"/>
  <c r="I9" i="45"/>
  <c r="M9" i="45"/>
  <c r="D30" i="44"/>
  <c r="D22" i="44" s="1"/>
  <c r="L4" i="45"/>
  <c r="U4" i="45"/>
  <c r="H22" i="44"/>
  <c r="I22" i="44" s="1"/>
  <c r="Q4" i="45"/>
  <c r="Z4" i="45"/>
  <c r="AE4" i="45"/>
  <c r="M13" i="44"/>
  <c r="O3" i="45"/>
  <c r="O9" i="45" s="1"/>
  <c r="AB3" i="43"/>
  <c r="Q3" i="43"/>
  <c r="E8" i="44"/>
  <c r="AF3" i="43"/>
  <c r="AK3" i="43"/>
  <c r="AA5" i="44"/>
  <c r="AA4" i="44"/>
  <c r="AA3" i="44"/>
  <c r="AA6" i="44"/>
  <c r="W3" i="43"/>
  <c r="AP3" i="43"/>
  <c r="AJ62" i="36"/>
  <c r="D67" i="36"/>
  <c r="AL3" i="36"/>
  <c r="AM3" i="36" s="1"/>
  <c r="AN3" i="36" s="1"/>
  <c r="AO3" i="36" s="1"/>
  <c r="AP3" i="36" s="1"/>
  <c r="AQ3" i="36" s="1"/>
  <c r="AR3" i="36" s="1"/>
  <c r="AS3" i="36" s="1"/>
  <c r="AT3" i="36" s="1"/>
  <c r="AU3" i="36" s="1"/>
  <c r="AV3" i="36" s="1"/>
  <c r="AW3" i="36" s="1"/>
  <c r="AX3" i="36" s="1"/>
  <c r="AY3" i="36" s="1"/>
  <c r="AZ3" i="36" s="1"/>
  <c r="BA3" i="36" s="1"/>
  <c r="BB3" i="36" s="1"/>
  <c r="BC3" i="36" s="1"/>
  <c r="BD3" i="36" s="1"/>
  <c r="BE3" i="36" s="1"/>
  <c r="BF3" i="36" s="1"/>
  <c r="BG3" i="36" s="1"/>
  <c r="BH3" i="36" s="1"/>
  <c r="BI3" i="36" s="1"/>
  <c r="BJ3" i="36" s="1"/>
  <c r="BK3" i="36" s="1"/>
  <c r="BL3" i="36" s="1"/>
  <c r="BM3" i="36" s="1"/>
  <c r="BN3" i="36" s="1"/>
  <c r="AA7" i="8"/>
  <c r="AA10" i="8"/>
  <c r="AA9" i="8"/>
  <c r="AA8" i="8"/>
  <c r="AB12" i="43" l="1"/>
  <c r="AB7" i="43"/>
  <c r="AB21" i="43"/>
  <c r="AB11" i="43"/>
  <c r="AB20" i="43"/>
  <c r="AB8" i="43"/>
  <c r="R6" i="45" s="1"/>
  <c r="AB16" i="43"/>
  <c r="AB10" i="43"/>
  <c r="AB9" i="43" s="1"/>
  <c r="R7" i="45" s="1"/>
  <c r="AB17" i="43"/>
  <c r="AB19" i="43"/>
  <c r="Z5" i="45"/>
  <c r="AJ13" i="43"/>
  <c r="U5" i="45"/>
  <c r="AP5" i="45"/>
  <c r="K6" i="45"/>
  <c r="AO18" i="43"/>
  <c r="AA7" i="43"/>
  <c r="AA21" i="43"/>
  <c r="AA12" i="43"/>
  <c r="AA8" i="43"/>
  <c r="Q6" i="45" s="1"/>
  <c r="AA16" i="43"/>
  <c r="AA10" i="43"/>
  <c r="AA17" i="43"/>
  <c r="AA19" i="43"/>
  <c r="AA20" i="43"/>
  <c r="AA11" i="43"/>
  <c r="AN13" i="43"/>
  <c r="U18" i="43"/>
  <c r="AO13" i="43"/>
  <c r="AE7" i="45"/>
  <c r="Z18" i="43"/>
  <c r="AK20" i="43"/>
  <c r="AK12" i="43"/>
  <c r="AK7" i="43"/>
  <c r="AA5" i="45" s="1"/>
  <c r="AK21" i="43"/>
  <c r="AK19" i="43"/>
  <c r="AK8" i="43"/>
  <c r="AK16" i="43"/>
  <c r="AK11" i="43"/>
  <c r="AK10" i="43"/>
  <c r="AK17" i="43"/>
  <c r="V13" i="43"/>
  <c r="L5" i="45"/>
  <c r="AF10" i="43"/>
  <c r="AF17" i="43"/>
  <c r="AF19" i="43"/>
  <c r="AF8" i="43"/>
  <c r="V6" i="45" s="1"/>
  <c r="AF11" i="43"/>
  <c r="AF16" i="43"/>
  <c r="AF20" i="43"/>
  <c r="AF12" i="43"/>
  <c r="AF21" i="43"/>
  <c r="AF7" i="43"/>
  <c r="AP8" i="43"/>
  <c r="AF6" i="45" s="1"/>
  <c r="AP16" i="43"/>
  <c r="AP21" i="43"/>
  <c r="AP10" i="43"/>
  <c r="AP17" i="43"/>
  <c r="AP19" i="43"/>
  <c r="AP7" i="43"/>
  <c r="AP11" i="43"/>
  <c r="AP12" i="43"/>
  <c r="AP20" i="43"/>
  <c r="Y13" i="43"/>
  <c r="O7" i="45"/>
  <c r="AE9" i="43"/>
  <c r="U7" i="45" s="1"/>
  <c r="W17" i="43"/>
  <c r="W19" i="43"/>
  <c r="W8" i="43"/>
  <c r="M6" i="45" s="1"/>
  <c r="W10" i="43"/>
  <c r="W11" i="43"/>
  <c r="W20" i="43"/>
  <c r="W12" i="43"/>
  <c r="W7" i="43"/>
  <c r="W21" i="43"/>
  <c r="W16" i="43"/>
  <c r="U9" i="43"/>
  <c r="K7" i="45" s="1"/>
  <c r="P5" i="45"/>
  <c r="Z13" i="43"/>
  <c r="Q20" i="43"/>
  <c r="Q11" i="43"/>
  <c r="Q10" i="43"/>
  <c r="Q8" i="43"/>
  <c r="G6" i="45" s="1"/>
  <c r="Q17" i="43"/>
  <c r="Q21" i="43"/>
  <c r="Q7" i="43"/>
  <c r="G5" i="45" s="1"/>
  <c r="Q19" i="43"/>
  <c r="Q12" i="43"/>
  <c r="Q16" i="43"/>
  <c r="AV4" i="45"/>
  <c r="AP15" i="45"/>
  <c r="AU9" i="45"/>
  <c r="AR9" i="45"/>
  <c r="AL9" i="45"/>
  <c r="BN15" i="45"/>
  <c r="BJ13" i="45"/>
  <c r="O15" i="45"/>
  <c r="AN9" i="45"/>
  <c r="BJ7" i="45"/>
  <c r="AK9" i="45"/>
  <c r="AZ13" i="45"/>
  <c r="AP9" i="45"/>
  <c r="AY15" i="45"/>
  <c r="AQ9" i="45"/>
  <c r="AR6" i="45"/>
  <c r="AY13" i="45"/>
  <c r="AJ67" i="36"/>
  <c r="G46" i="44"/>
  <c r="G48" i="44" s="1"/>
  <c r="D23" i="44"/>
  <c r="D24" i="44" s="1"/>
  <c r="E6" i="44" s="1"/>
  <c r="AM9" i="45"/>
  <c r="BK6" i="45"/>
  <c r="AP13" i="45"/>
  <c r="AW6" i="45"/>
  <c r="AV6" i="45"/>
  <c r="BJ15" i="45"/>
  <c r="AS9" i="45"/>
  <c r="AO9" i="45"/>
  <c r="AT9" i="45"/>
  <c r="U130" i="48"/>
  <c r="BE13" i="45"/>
  <c r="BJ6" i="45"/>
  <c r="BA6" i="45"/>
  <c r="U22" i="43"/>
  <c r="D6" i="44"/>
  <c r="AN22" i="43"/>
  <c r="Y22" i="43"/>
  <c r="AU7" i="45"/>
  <c r="AE22" i="43"/>
  <c r="V22" i="43"/>
  <c r="AE23" i="55"/>
  <c r="AE24" i="55" s="1"/>
  <c r="AE3" i="55"/>
  <c r="BK4" i="45"/>
  <c r="BA4" i="45"/>
  <c r="AW4" i="45"/>
  <c r="AR4" i="45"/>
  <c r="BF4" i="45"/>
  <c r="AA94" i="53"/>
  <c r="AE244" i="53"/>
  <c r="AC89" i="54"/>
  <c r="AA255" i="54"/>
  <c r="AA256" i="54"/>
  <c r="AC88" i="54"/>
  <c r="AD120" i="54"/>
  <c r="AC122" i="54"/>
  <c r="AC124" i="54"/>
  <c r="AB90" i="54"/>
  <c r="AC87" i="54"/>
  <c r="AB82" i="54"/>
  <c r="AA83" i="54"/>
  <c r="AA85" i="54" s="1"/>
  <c r="AA84" i="54"/>
  <c r="AA97" i="54" s="1"/>
  <c r="Y100" i="54"/>
  <c r="Y102" i="54"/>
  <c r="Y101" i="54"/>
  <c r="Z93" i="54"/>
  <c r="Z94" i="54"/>
  <c r="Z98" i="54"/>
  <c r="Z99" i="54" s="1"/>
  <c r="Z92" i="54"/>
  <c r="AB89" i="53"/>
  <c r="AB90" i="53" s="1"/>
  <c r="AD82" i="53"/>
  <c r="AC83" i="53"/>
  <c r="AC85" i="53" s="1"/>
  <c r="AC84" i="53"/>
  <c r="AA124" i="53"/>
  <c r="AB93" i="53"/>
  <c r="AB122" i="53"/>
  <c r="AC120" i="53"/>
  <c r="AD88" i="53"/>
  <c r="AB92" i="53"/>
  <c r="AC87" i="53"/>
  <c r="AB116" i="53"/>
  <c r="AB118" i="53" s="1"/>
  <c r="AB125" i="53" s="1"/>
  <c r="AC115" i="53"/>
  <c r="AB117" i="53"/>
  <c r="AA255" i="53"/>
  <c r="AA256" i="53"/>
  <c r="AD3" i="51"/>
  <c r="BF45" i="51"/>
  <c r="AA45" i="51"/>
  <c r="BF5" i="45"/>
  <c r="Z13" i="45"/>
  <c r="AI22" i="43"/>
  <c r="AC15" i="45"/>
  <c r="BI7" i="45"/>
  <c r="U13" i="45"/>
  <c r="BA5" i="45"/>
  <c r="AQ5" i="45"/>
  <c r="K13" i="45"/>
  <c r="AD22" i="43"/>
  <c r="AV5" i="45"/>
  <c r="P13" i="45"/>
  <c r="K15" i="45"/>
  <c r="AQ7" i="45"/>
  <c r="X15" i="45"/>
  <c r="BD7" i="45"/>
  <c r="AR5" i="45"/>
  <c r="L13" i="45"/>
  <c r="AU5" i="45"/>
  <c r="O13" i="45"/>
  <c r="I15" i="45"/>
  <c r="AO7" i="45"/>
  <c r="V356" i="48"/>
  <c r="U123" i="48"/>
  <c r="V122" i="48"/>
  <c r="T194" i="48"/>
  <c r="U192" i="48"/>
  <c r="V128" i="48"/>
  <c r="W127" i="48"/>
  <c r="U188" i="48"/>
  <c r="V187" i="48"/>
  <c r="V129" i="48"/>
  <c r="V127" i="46"/>
  <c r="U123" i="46"/>
  <c r="V122" i="46"/>
  <c r="U129" i="46"/>
  <c r="U130" i="46" s="1"/>
  <c r="X128" i="46"/>
  <c r="T130" i="46"/>
  <c r="U192" i="46"/>
  <c r="T194" i="46"/>
  <c r="U188" i="46"/>
  <c r="V187" i="46"/>
  <c r="AJ10" i="45"/>
  <c r="D14" i="45"/>
  <c r="D12" i="45"/>
  <c r="M12" i="44"/>
  <c r="D57" i="44" s="1"/>
  <c r="E29" i="44"/>
  <c r="E75" i="44"/>
  <c r="E77" i="44" s="1"/>
  <c r="G4" i="45"/>
  <c r="M4" i="45"/>
  <c r="AA4" i="45"/>
  <c r="R4" i="45"/>
  <c r="E28" i="44"/>
  <c r="C57" i="44" s="1"/>
  <c r="E23" i="44"/>
  <c r="AF4" i="45"/>
  <c r="V4" i="45"/>
  <c r="N13" i="43"/>
  <c r="P3" i="45"/>
  <c r="P9" i="45" s="1"/>
  <c r="AQ3" i="43"/>
  <c r="AL3" i="43"/>
  <c r="AG3" i="43"/>
  <c r="R3" i="43"/>
  <c r="AG17" i="44"/>
  <c r="AH17" i="44" s="1"/>
  <c r="AG12" i="44"/>
  <c r="AH12" i="44" s="1"/>
  <c r="AG14" i="44"/>
  <c r="AH14" i="44" s="1"/>
  <c r="AG16" i="44"/>
  <c r="AH16" i="44" s="1"/>
  <c r="AA14" i="44"/>
  <c r="AB14" i="44" s="1"/>
  <c r="AA12" i="44"/>
  <c r="AB12" i="44" s="1"/>
  <c r="AA15" i="44"/>
  <c r="AB15" i="44" s="1"/>
  <c r="AG13" i="44"/>
  <c r="AH13" i="44" s="1"/>
  <c r="AG15" i="44"/>
  <c r="AH15" i="44" s="1"/>
  <c r="AG18" i="44"/>
  <c r="AA13" i="44"/>
  <c r="AB13" i="44" s="1"/>
  <c r="AA11" i="44"/>
  <c r="E5" i="44"/>
  <c r="E22" i="44"/>
  <c r="F14" i="8"/>
  <c r="M5" i="45" l="1"/>
  <c r="AA6" i="45"/>
  <c r="AG8" i="43"/>
  <c r="W6" i="45" s="1"/>
  <c r="AG16" i="43"/>
  <c r="AG10" i="43"/>
  <c r="AG17" i="43"/>
  <c r="AG19" i="43"/>
  <c r="AG21" i="43"/>
  <c r="AG11" i="43"/>
  <c r="AG20" i="43"/>
  <c r="AG7" i="43"/>
  <c r="W5" i="45" s="1"/>
  <c r="AG12" i="43"/>
  <c r="AK18" i="43"/>
  <c r="AL11" i="43"/>
  <c r="AL10" i="43"/>
  <c r="AL20" i="43"/>
  <c r="AL18" i="43" s="1"/>
  <c r="AL17" i="43"/>
  <c r="AL12" i="43"/>
  <c r="AL7" i="43"/>
  <c r="AL21" i="43"/>
  <c r="AL19" i="43"/>
  <c r="AL8" i="43"/>
  <c r="AB6" i="45" s="1"/>
  <c r="AL16" i="43"/>
  <c r="AP9" i="43"/>
  <c r="AF7" i="45" s="1"/>
  <c r="AF18" i="43"/>
  <c r="Q5" i="45"/>
  <c r="W9" i="43"/>
  <c r="M7" i="45" s="1"/>
  <c r="V5" i="45"/>
  <c r="AA18" i="43"/>
  <c r="AQ6" i="45"/>
  <c r="AQ7" i="43"/>
  <c r="AQ21" i="43"/>
  <c r="AQ8" i="43"/>
  <c r="AG6" i="45" s="1"/>
  <c r="AQ16" i="43"/>
  <c r="AQ12" i="43"/>
  <c r="AQ10" i="43"/>
  <c r="AQ9" i="43" s="1"/>
  <c r="AG7" i="45" s="1"/>
  <c r="AQ17" i="43"/>
  <c r="AQ19" i="43"/>
  <c r="AQ18" i="43" s="1"/>
  <c r="AQ11" i="43"/>
  <c r="AQ20" i="43"/>
  <c r="AF5" i="45"/>
  <c r="AP13" i="43"/>
  <c r="AF9" i="43"/>
  <c r="V7" i="45" s="1"/>
  <c r="AK9" i="43"/>
  <c r="AA7" i="45" s="1"/>
  <c r="U13" i="43"/>
  <c r="AP18" i="43"/>
  <c r="AA9" i="43"/>
  <c r="Q7" i="45" s="1"/>
  <c r="AE13" i="43"/>
  <c r="AB18" i="43"/>
  <c r="AB13" i="43"/>
  <c r="R5" i="45"/>
  <c r="W18" i="43"/>
  <c r="Q18" i="43"/>
  <c r="R8" i="43"/>
  <c r="H6" i="45" s="1"/>
  <c r="R7" i="43"/>
  <c r="H5" i="45" s="1"/>
  <c r="R12" i="43"/>
  <c r="R16" i="43"/>
  <c r="R20" i="43"/>
  <c r="R19" i="43"/>
  <c r="R10" i="43"/>
  <c r="R17" i="43"/>
  <c r="R11" i="43"/>
  <c r="R21" i="43"/>
  <c r="Q9" i="43"/>
  <c r="Z22" i="43"/>
  <c r="AV9" i="45"/>
  <c r="BG6" i="45"/>
  <c r="BI15" i="45"/>
  <c r="AJ12" i="45"/>
  <c r="AQ15" i="45"/>
  <c r="AM6" i="45"/>
  <c r="AJ14" i="45"/>
  <c r="AQ13" i="45"/>
  <c r="AS6" i="45"/>
  <c r="BF13" i="45"/>
  <c r="BL6" i="45"/>
  <c r="AR13" i="45"/>
  <c r="BF6" i="45"/>
  <c r="AU15" i="45"/>
  <c r="AO15" i="45"/>
  <c r="AV13" i="45"/>
  <c r="BA13" i="45"/>
  <c r="AU13" i="45"/>
  <c r="BD15" i="45"/>
  <c r="AR7" i="45"/>
  <c r="AF23" i="55"/>
  <c r="AF24" i="55" s="1"/>
  <c r="AF3" i="55"/>
  <c r="AS4" i="45"/>
  <c r="AX4" i="45"/>
  <c r="AM4" i="45"/>
  <c r="BB4" i="45"/>
  <c r="BL4" i="45"/>
  <c r="BG4" i="45"/>
  <c r="AF244" i="53"/>
  <c r="AD87" i="54"/>
  <c r="AC90" i="54"/>
  <c r="AD89" i="54"/>
  <c r="Z102" i="54"/>
  <c r="Z101" i="54"/>
  <c r="Z100" i="54"/>
  <c r="AB255" i="54"/>
  <c r="AB256" i="54"/>
  <c r="AD88" i="54"/>
  <c r="AA94" i="54"/>
  <c r="AA98" i="54"/>
  <c r="AA93" i="54"/>
  <c r="AA92" i="54"/>
  <c r="AB83" i="54"/>
  <c r="AB85" i="54" s="1"/>
  <c r="AC82" i="54"/>
  <c r="AB84" i="54"/>
  <c r="AB97" i="54" s="1"/>
  <c r="AD122" i="54"/>
  <c r="AE120" i="54"/>
  <c r="AD124" i="54"/>
  <c r="AB94" i="53"/>
  <c r="AE88" i="53"/>
  <c r="AC92" i="53"/>
  <c r="AD87" i="53"/>
  <c r="AD120" i="53"/>
  <c r="AC122" i="53"/>
  <c r="AC93" i="53"/>
  <c r="AB255" i="53"/>
  <c r="AB256" i="53"/>
  <c r="AB124" i="53"/>
  <c r="AD83" i="53"/>
  <c r="AD85" i="53" s="1"/>
  <c r="AE82" i="53"/>
  <c r="AD84" i="53"/>
  <c r="AC89" i="53"/>
  <c r="AD115" i="53"/>
  <c r="AC116" i="53"/>
  <c r="AC118" i="53" s="1"/>
  <c r="AC125" i="53" s="1"/>
  <c r="AC117" i="53"/>
  <c r="BG45" i="51"/>
  <c r="AE3" i="51"/>
  <c r="AB45" i="51"/>
  <c r="AB11" i="44"/>
  <c r="F59" i="44" s="1"/>
  <c r="T15" i="45"/>
  <c r="AZ7" i="45"/>
  <c r="AE15" i="45"/>
  <c r="BK7" i="45"/>
  <c r="AA22" i="43"/>
  <c r="BF7" i="45"/>
  <c r="Z15" i="45"/>
  <c r="BB5" i="45"/>
  <c r="V13" i="45"/>
  <c r="W22" i="43"/>
  <c r="AO22" i="43"/>
  <c r="Y15" i="45"/>
  <c r="BE7" i="45"/>
  <c r="AX5" i="45"/>
  <c r="R13" i="45"/>
  <c r="BK5" i="45"/>
  <c r="AE13" i="45"/>
  <c r="AJ22" i="43"/>
  <c r="P15" i="45"/>
  <c r="AV7" i="45"/>
  <c r="BL5" i="45"/>
  <c r="AF13" i="45"/>
  <c r="M13" i="45"/>
  <c r="AS5" i="45"/>
  <c r="W128" i="48"/>
  <c r="W129" i="48"/>
  <c r="W130" i="48" s="1"/>
  <c r="X127" i="48"/>
  <c r="V188" i="48"/>
  <c r="W187" i="48"/>
  <c r="V130" i="48"/>
  <c r="V192" i="48"/>
  <c r="U194" i="48"/>
  <c r="W122" i="48"/>
  <c r="V123" i="48"/>
  <c r="W356" i="48"/>
  <c r="U194" i="46"/>
  <c r="V192" i="46"/>
  <c r="W187" i="46"/>
  <c r="V188" i="46"/>
  <c r="Y128" i="46"/>
  <c r="V129" i="46"/>
  <c r="V130" i="46" s="1"/>
  <c r="V123" i="46"/>
  <c r="W122" i="46"/>
  <c r="W127" i="46"/>
  <c r="I110" i="24"/>
  <c r="H61" i="33" s="1"/>
  <c r="I96" i="24"/>
  <c r="H60" i="33" s="1"/>
  <c r="D62" i="44"/>
  <c r="D63" i="44" s="1"/>
  <c r="G59" i="44"/>
  <c r="G62" i="44" s="1"/>
  <c r="AB4" i="45"/>
  <c r="AG4" i="45"/>
  <c r="H4" i="45"/>
  <c r="W4" i="45"/>
  <c r="T3" i="44"/>
  <c r="T4" i="44"/>
  <c r="Q3" i="45"/>
  <c r="Q9" i="45" s="1"/>
  <c r="D31" i="36"/>
  <c r="AB5" i="45" l="1"/>
  <c r="AK13" i="43"/>
  <c r="Q13" i="43"/>
  <c r="G7" i="45"/>
  <c r="AL9" i="43"/>
  <c r="AB7" i="45" s="1"/>
  <c r="AG18" i="43"/>
  <c r="AF13" i="43"/>
  <c r="Q13" i="45"/>
  <c r="AW5" i="45"/>
  <c r="W13" i="43"/>
  <c r="AQ13" i="43"/>
  <c r="AG5" i="45"/>
  <c r="AA13" i="43"/>
  <c r="AG9" i="43"/>
  <c r="R18" i="43"/>
  <c r="R9" i="43"/>
  <c r="BL13" i="45"/>
  <c r="AX6" i="45"/>
  <c r="BA7" i="45"/>
  <c r="BM6" i="45"/>
  <c r="BK15" i="45"/>
  <c r="AV15" i="45"/>
  <c r="BC6" i="45"/>
  <c r="U15" i="45"/>
  <c r="BH6" i="45"/>
  <c r="AZ15" i="45"/>
  <c r="AN6" i="45"/>
  <c r="BB7" i="45"/>
  <c r="AX13" i="45"/>
  <c r="BF15" i="45"/>
  <c r="BB6" i="45"/>
  <c r="BK13" i="45"/>
  <c r="BB13" i="45"/>
  <c r="R15" i="45"/>
  <c r="BE15" i="45"/>
  <c r="AW9" i="45"/>
  <c r="AS13" i="45"/>
  <c r="L15" i="45"/>
  <c r="V15" i="45"/>
  <c r="AX7" i="45"/>
  <c r="AB22" i="43"/>
  <c r="Q22" i="43"/>
  <c r="AF22" i="43"/>
  <c r="AK22" i="43"/>
  <c r="AG23" i="55"/>
  <c r="AG24" i="55" s="1"/>
  <c r="AG3" i="55"/>
  <c r="BC4" i="45"/>
  <c r="BM4" i="45"/>
  <c r="BH4" i="45"/>
  <c r="AN4" i="45"/>
  <c r="AG244" i="53"/>
  <c r="AB93" i="54"/>
  <c r="AB98" i="54"/>
  <c r="AB99" i="54" s="1"/>
  <c r="AB94" i="54"/>
  <c r="AB92" i="54"/>
  <c r="AA101" i="54"/>
  <c r="AA100" i="54"/>
  <c r="AA102" i="54"/>
  <c r="AE89" i="54"/>
  <c r="AE87" i="54"/>
  <c r="AD90" i="54"/>
  <c r="AE124" i="54"/>
  <c r="AE122" i="54"/>
  <c r="AF120" i="54"/>
  <c r="AC255" i="54"/>
  <c r="AC256" i="54"/>
  <c r="AA99" i="54"/>
  <c r="AC83" i="54"/>
  <c r="AC85" i="54" s="1"/>
  <c r="AD82" i="54"/>
  <c r="AC84" i="54"/>
  <c r="AC97" i="54" s="1"/>
  <c r="AE88" i="54"/>
  <c r="AF82" i="53"/>
  <c r="AE83" i="53"/>
  <c r="AE85" i="53" s="1"/>
  <c r="AE84" i="53"/>
  <c r="AF88" i="53"/>
  <c r="AD93" i="53"/>
  <c r="AD89" i="53"/>
  <c r="AD90" i="53" s="1"/>
  <c r="AC255" i="53"/>
  <c r="AC256" i="53"/>
  <c r="AD92" i="53"/>
  <c r="AE87" i="53"/>
  <c r="AD122" i="53"/>
  <c r="AE120" i="53"/>
  <c r="AC124" i="53"/>
  <c r="AC94" i="53"/>
  <c r="AC90" i="53"/>
  <c r="AD116" i="53"/>
  <c r="AD118" i="53" s="1"/>
  <c r="AD125" i="53" s="1"/>
  <c r="AE115" i="53"/>
  <c r="AD117" i="53"/>
  <c r="BH45" i="51"/>
  <c r="AF3" i="51"/>
  <c r="AC45" i="51"/>
  <c r="AM5" i="45"/>
  <c r="G13" i="45"/>
  <c r="AN5" i="45"/>
  <c r="H13" i="45"/>
  <c r="M15" i="45"/>
  <c r="AS7" i="45"/>
  <c r="Q15" i="45"/>
  <c r="AW7" i="45"/>
  <c r="BH5" i="45"/>
  <c r="AB13" i="45"/>
  <c r="AA15" i="45"/>
  <c r="BG7" i="45"/>
  <c r="BG5" i="45"/>
  <c r="AA13" i="45"/>
  <c r="AG13" i="45"/>
  <c r="BM5" i="45"/>
  <c r="G15" i="45"/>
  <c r="AM7" i="45"/>
  <c r="AP22" i="43"/>
  <c r="T9" i="44"/>
  <c r="H21" i="44" s="1"/>
  <c r="X356" i="48"/>
  <c r="X122" i="48"/>
  <c r="W123" i="48"/>
  <c r="X128" i="48"/>
  <c r="X187" i="48"/>
  <c r="W188" i="48"/>
  <c r="Y127" i="48"/>
  <c r="X129" i="48"/>
  <c r="V194" i="48"/>
  <c r="W192" i="48"/>
  <c r="V194" i="46"/>
  <c r="W192" i="46"/>
  <c r="W123" i="46"/>
  <c r="X122" i="46"/>
  <c r="Z128" i="46"/>
  <c r="W129" i="46"/>
  <c r="W130" i="46" s="1"/>
  <c r="X127" i="46"/>
  <c r="W188" i="46"/>
  <c r="X187" i="46"/>
  <c r="G63" i="44"/>
  <c r="T13" i="44"/>
  <c r="S10" i="44" s="1"/>
  <c r="R3" i="45"/>
  <c r="R9" i="45" s="1"/>
  <c r="F62" i="44"/>
  <c r="AJ63" i="36"/>
  <c r="D65" i="36"/>
  <c r="D328" i="42"/>
  <c r="D323" i="42"/>
  <c r="E323" i="42" s="1"/>
  <c r="F323" i="42" s="1"/>
  <c r="G323" i="42" s="1"/>
  <c r="H323" i="42" s="1"/>
  <c r="I323" i="42" s="1"/>
  <c r="J323" i="42" s="1"/>
  <c r="K323" i="42" s="1"/>
  <c r="L323" i="42" s="1"/>
  <c r="M323" i="42" s="1"/>
  <c r="N323" i="42" s="1"/>
  <c r="O323" i="42" s="1"/>
  <c r="P323" i="42" s="1"/>
  <c r="Q323" i="42" s="1"/>
  <c r="R323" i="42" s="1"/>
  <c r="S323" i="42" s="1"/>
  <c r="T323" i="42" s="1"/>
  <c r="U323" i="42" s="1"/>
  <c r="V323" i="42" s="1"/>
  <c r="W323" i="42" s="1"/>
  <c r="X323" i="42" s="1"/>
  <c r="Y323" i="42" s="1"/>
  <c r="Z323" i="42" s="1"/>
  <c r="AA323" i="42" s="1"/>
  <c r="AB323" i="42" s="1"/>
  <c r="AC323" i="42" s="1"/>
  <c r="AD323" i="42" s="1"/>
  <c r="AE323" i="42" s="1"/>
  <c r="AF323" i="42" s="1"/>
  <c r="AG323" i="42" s="1"/>
  <c r="AG228" i="42"/>
  <c r="C228" i="42"/>
  <c r="AG213" i="42"/>
  <c r="C213" i="42"/>
  <c r="C175" i="42"/>
  <c r="C176" i="42" s="1"/>
  <c r="D174" i="42"/>
  <c r="AG171" i="42"/>
  <c r="C171" i="42"/>
  <c r="AG170" i="42"/>
  <c r="AG172" i="42" s="1"/>
  <c r="C170" i="42"/>
  <c r="C172" i="42" s="1"/>
  <c r="D169" i="42"/>
  <c r="E169" i="42" s="1"/>
  <c r="F169" i="42" s="1"/>
  <c r="AG167" i="42"/>
  <c r="C167" i="42"/>
  <c r="C119" i="42"/>
  <c r="D118" i="42"/>
  <c r="E118" i="42" s="1"/>
  <c r="F118" i="42" s="1"/>
  <c r="D117" i="42"/>
  <c r="AG114" i="42"/>
  <c r="C114" i="42"/>
  <c r="AG113" i="42"/>
  <c r="AG115" i="42" s="1"/>
  <c r="C113" i="42"/>
  <c r="C115" i="42" s="1"/>
  <c r="D112" i="42"/>
  <c r="D113" i="42" s="1"/>
  <c r="AG110" i="42"/>
  <c r="C110" i="42"/>
  <c r="AG51" i="42"/>
  <c r="W49" i="42"/>
  <c r="W46" i="42" s="1"/>
  <c r="M49" i="42"/>
  <c r="M46" i="42" s="1"/>
  <c r="C49" i="42"/>
  <c r="C46" i="42" s="1"/>
  <c r="X1" i="42"/>
  <c r="N1" i="42"/>
  <c r="D1" i="42"/>
  <c r="E1" i="42" s="1"/>
  <c r="D328" i="38"/>
  <c r="E328" i="38" s="1"/>
  <c r="D323" i="38"/>
  <c r="E323" i="38" s="1"/>
  <c r="F323" i="38" s="1"/>
  <c r="G323" i="38" s="1"/>
  <c r="H323" i="38" s="1"/>
  <c r="I323" i="38" s="1"/>
  <c r="J323" i="38" s="1"/>
  <c r="K323" i="38" s="1"/>
  <c r="L323" i="38" s="1"/>
  <c r="H39" i="40"/>
  <c r="R13" i="43" l="1"/>
  <c r="H7" i="45"/>
  <c r="AG13" i="43"/>
  <c r="W7" i="45"/>
  <c r="AL13" i="43"/>
  <c r="AW13" i="45"/>
  <c r="AW15" i="45"/>
  <c r="AG22" i="43"/>
  <c r="BG15" i="45"/>
  <c r="BA15" i="45"/>
  <c r="AX9" i="45"/>
  <c r="BB15" i="45"/>
  <c r="AM15" i="45"/>
  <c r="BH13" i="45"/>
  <c r="AS15" i="45"/>
  <c r="AX15" i="45"/>
  <c r="AN13" i="45"/>
  <c r="AR15" i="45"/>
  <c r="E112" i="42"/>
  <c r="E113" i="42" s="1"/>
  <c r="BM13" i="45"/>
  <c r="BC7" i="45"/>
  <c r="BG13" i="45"/>
  <c r="AM13" i="45"/>
  <c r="M323" i="38"/>
  <c r="N323" i="38" s="1"/>
  <c r="O323" i="38" s="1"/>
  <c r="P323" i="38" s="1"/>
  <c r="Q323" i="38" s="1"/>
  <c r="R323" i="38" s="1"/>
  <c r="S323" i="38" s="1"/>
  <c r="T323" i="38" s="1"/>
  <c r="U323" i="38" s="1"/>
  <c r="V323" i="38" s="1"/>
  <c r="W323" i="38" s="1"/>
  <c r="X323" i="38" s="1"/>
  <c r="Y323" i="38" s="1"/>
  <c r="Z323" i="38" s="1"/>
  <c r="AA323" i="38" s="1"/>
  <c r="AB323" i="38" s="1"/>
  <c r="AC323" i="38" s="1"/>
  <c r="AD323" i="38" s="1"/>
  <c r="AE323" i="38" s="1"/>
  <c r="AF323" i="38" s="1"/>
  <c r="AG323" i="38" s="1"/>
  <c r="C179" i="42"/>
  <c r="C339" i="42" s="1"/>
  <c r="C178" i="42"/>
  <c r="O1" i="42"/>
  <c r="F112" i="42"/>
  <c r="D170" i="42"/>
  <c r="Y1" i="42"/>
  <c r="Z1" i="42" s="1"/>
  <c r="AA1" i="42" s="1"/>
  <c r="AH23" i="55"/>
  <c r="AH24" i="55" s="1"/>
  <c r="AH3" i="55"/>
  <c r="AF89" i="54"/>
  <c r="AF122" i="54"/>
  <c r="AF124" i="54"/>
  <c r="AG120" i="54"/>
  <c r="AD83" i="54"/>
  <c r="AD85" i="54" s="1"/>
  <c r="AE82" i="54"/>
  <c r="AD84" i="54"/>
  <c r="AD97" i="54" s="1"/>
  <c r="AB102" i="54"/>
  <c r="AB101" i="54"/>
  <c r="AB100" i="54"/>
  <c r="AF88" i="54"/>
  <c r="AC94" i="54"/>
  <c r="AC98" i="54"/>
  <c r="AC99" i="54" s="1"/>
  <c r="AC93" i="54"/>
  <c r="AC92" i="54"/>
  <c r="AF87" i="54"/>
  <c r="AE90" i="54"/>
  <c r="AD255" i="54"/>
  <c r="AD256" i="54"/>
  <c r="AE93" i="53"/>
  <c r="AF83" i="53"/>
  <c r="AF85" i="53" s="1"/>
  <c r="AF84" i="53"/>
  <c r="AE89" i="53"/>
  <c r="AE94" i="53" s="1"/>
  <c r="AD255" i="53"/>
  <c r="AD256" i="53"/>
  <c r="AG88" i="53"/>
  <c r="AD124" i="53"/>
  <c r="AE122" i="53"/>
  <c r="AF120" i="53"/>
  <c r="AE116" i="53"/>
  <c r="AE118" i="53" s="1"/>
  <c r="AE125" i="53" s="1"/>
  <c r="AF115" i="53"/>
  <c r="AE117" i="53"/>
  <c r="AF87" i="53"/>
  <c r="AE92" i="53"/>
  <c r="AD94" i="53"/>
  <c r="BI45" i="51"/>
  <c r="AD45" i="51"/>
  <c r="AG3" i="51"/>
  <c r="I21" i="44"/>
  <c r="AQ22" i="43"/>
  <c r="AL22" i="43"/>
  <c r="AF15" i="45"/>
  <c r="BL7" i="45"/>
  <c r="R22" i="43"/>
  <c r="BC5" i="45"/>
  <c r="W13" i="45"/>
  <c r="W194" i="48"/>
  <c r="X192" i="48"/>
  <c r="Z127" i="48"/>
  <c r="X188" i="48"/>
  <c r="Y187" i="48"/>
  <c r="Y128" i="48"/>
  <c r="Y129" i="48"/>
  <c r="X123" i="48"/>
  <c r="Y122" i="48"/>
  <c r="X130" i="48"/>
  <c r="Y356" i="48"/>
  <c r="X129" i="46"/>
  <c r="X130" i="46" s="1"/>
  <c r="Y122" i="46"/>
  <c r="X123" i="46"/>
  <c r="X188" i="46"/>
  <c r="Y187" i="46"/>
  <c r="AA128" i="46"/>
  <c r="Y127" i="46"/>
  <c r="W194" i="46"/>
  <c r="X192" i="46"/>
  <c r="T11" i="44"/>
  <c r="S11" i="44" s="1"/>
  <c r="S12" i="44" s="1"/>
  <c r="S13" i="44" s="1"/>
  <c r="T12" i="44"/>
  <c r="F63" i="44"/>
  <c r="U9" i="44"/>
  <c r="S3" i="45"/>
  <c r="S9" i="45" s="1"/>
  <c r="AJ65" i="36"/>
  <c r="AJ64" i="36"/>
  <c r="F1" i="42"/>
  <c r="F113" i="42"/>
  <c r="G112" i="42"/>
  <c r="G118" i="42"/>
  <c r="C122" i="42"/>
  <c r="C123" i="42"/>
  <c r="C124" i="42"/>
  <c r="C120" i="42"/>
  <c r="D119" i="42"/>
  <c r="E117" i="42"/>
  <c r="F170" i="42"/>
  <c r="G169" i="42"/>
  <c r="E174" i="42"/>
  <c r="E170" i="42"/>
  <c r="D175" i="42"/>
  <c r="E175" i="42" s="1"/>
  <c r="F175" i="42" s="1"/>
  <c r="G175" i="42" s="1"/>
  <c r="H175" i="42" s="1"/>
  <c r="I175" i="42" s="1"/>
  <c r="J175" i="42" s="1"/>
  <c r="K175" i="42" s="1"/>
  <c r="L175" i="42" s="1"/>
  <c r="M175" i="42" s="1"/>
  <c r="N175" i="42" s="1"/>
  <c r="O175" i="42" s="1"/>
  <c r="P175" i="42" s="1"/>
  <c r="Q175" i="42" s="1"/>
  <c r="R175" i="42" s="1"/>
  <c r="S175" i="42" s="1"/>
  <c r="T175" i="42" s="1"/>
  <c r="U175" i="42" s="1"/>
  <c r="V175" i="42" s="1"/>
  <c r="W175" i="42" s="1"/>
  <c r="X175" i="42" s="1"/>
  <c r="Y175" i="42" s="1"/>
  <c r="Z175" i="42" s="1"/>
  <c r="AA175" i="42" s="1"/>
  <c r="AB175" i="42" s="1"/>
  <c r="AC175" i="42" s="1"/>
  <c r="AD175" i="42" s="1"/>
  <c r="AE175" i="42" s="1"/>
  <c r="AF175" i="42" s="1"/>
  <c r="AG175" i="42" s="1"/>
  <c r="AG179" i="42" s="1"/>
  <c r="C340" i="42"/>
  <c r="E328" i="42"/>
  <c r="F328" i="38"/>
  <c r="W15" i="45" l="1"/>
  <c r="AJ70" i="36"/>
  <c r="Y130" i="48"/>
  <c r="BC13" i="45"/>
  <c r="AY9" i="45"/>
  <c r="BL15" i="45"/>
  <c r="AB1" i="42"/>
  <c r="P1" i="42"/>
  <c r="AG88" i="54"/>
  <c r="AG124" i="54"/>
  <c r="AG122" i="54"/>
  <c r="AE255" i="54"/>
  <c r="AE256" i="54"/>
  <c r="AG89" i="54"/>
  <c r="AC102" i="54"/>
  <c r="AC100" i="54"/>
  <c r="AC101" i="54"/>
  <c r="AG87" i="54"/>
  <c r="AF90" i="54"/>
  <c r="AF82" i="54"/>
  <c r="AE83" i="54"/>
  <c r="AE85" i="54" s="1"/>
  <c r="AE84" i="54"/>
  <c r="AE97" i="54" s="1"/>
  <c r="AD93" i="54"/>
  <c r="AD94" i="54"/>
  <c r="AD98" i="54"/>
  <c r="AD92" i="54"/>
  <c r="AE90" i="53"/>
  <c r="AE124" i="53"/>
  <c r="AF116" i="53"/>
  <c r="AF118" i="53" s="1"/>
  <c r="AF125" i="53" s="1"/>
  <c r="AF117" i="53"/>
  <c r="AG93" i="53"/>
  <c r="AE255" i="53"/>
  <c r="AE256" i="53"/>
  <c r="AF92" i="53"/>
  <c r="AG87" i="53"/>
  <c r="AF89" i="53"/>
  <c r="AF90" i="53" s="1"/>
  <c r="AF122" i="53"/>
  <c r="AG120" i="53"/>
  <c r="AF93" i="53"/>
  <c r="AH3" i="51"/>
  <c r="AE45" i="51"/>
  <c r="BJ45" i="51"/>
  <c r="AB15" i="45"/>
  <c r="BH7" i="45"/>
  <c r="H15" i="45"/>
  <c r="AN7" i="45"/>
  <c r="AG15" i="45"/>
  <c r="BM7" i="45"/>
  <c r="Z356" i="48"/>
  <c r="Y123" i="48"/>
  <c r="Z122" i="48"/>
  <c r="X194" i="48"/>
  <c r="Y192" i="48"/>
  <c r="Z129" i="48"/>
  <c r="Z128" i="48"/>
  <c r="Y188" i="48"/>
  <c r="Z187" i="48"/>
  <c r="AA127" i="48"/>
  <c r="Z127" i="46"/>
  <c r="Y192" i="46"/>
  <c r="X194" i="46"/>
  <c r="Y188" i="46"/>
  <c r="Z187" i="46"/>
  <c r="Y129" i="46"/>
  <c r="Y123" i="46"/>
  <c r="Z122" i="46"/>
  <c r="AB128" i="46"/>
  <c r="U10" i="44"/>
  <c r="E56" i="44" s="1"/>
  <c r="T3" i="45"/>
  <c r="T9" i="45" s="1"/>
  <c r="AG339" i="42"/>
  <c r="AG340" i="42"/>
  <c r="D176" i="42"/>
  <c r="H118" i="42"/>
  <c r="E119" i="42"/>
  <c r="E120" i="42" s="1"/>
  <c r="D120" i="42"/>
  <c r="F328" i="42"/>
  <c r="E176" i="42"/>
  <c r="F174" i="42"/>
  <c r="G113" i="42"/>
  <c r="H112" i="42"/>
  <c r="G1" i="42"/>
  <c r="G170" i="42"/>
  <c r="H169" i="42"/>
  <c r="F117" i="42"/>
  <c r="G328" i="38"/>
  <c r="BC15" i="45" l="1"/>
  <c r="AZ9" i="45"/>
  <c r="BM15" i="45"/>
  <c r="AN15" i="45"/>
  <c r="Z130" i="48"/>
  <c r="BH15" i="45"/>
  <c r="Q1" i="42"/>
  <c r="AC1" i="42"/>
  <c r="AF94" i="53"/>
  <c r="AG101" i="54"/>
  <c r="AG93" i="54"/>
  <c r="AG102" i="54"/>
  <c r="AG94" i="54"/>
  <c r="AF83" i="54"/>
  <c r="AF85" i="54" s="1"/>
  <c r="AF84" i="54"/>
  <c r="AF97" i="54" s="1"/>
  <c r="AD102" i="54"/>
  <c r="AD100" i="54"/>
  <c r="AD101" i="54"/>
  <c r="AD99" i="54"/>
  <c r="AF255" i="54"/>
  <c r="AF256" i="54"/>
  <c r="AG100" i="54"/>
  <c r="AG90" i="54"/>
  <c r="AG92" i="54"/>
  <c r="AE94" i="54"/>
  <c r="AE98" i="54"/>
  <c r="AE93" i="54"/>
  <c r="AE92" i="54"/>
  <c r="AF124" i="53"/>
  <c r="AG89" i="53"/>
  <c r="AG92" i="53"/>
  <c r="AF255" i="53"/>
  <c r="AF256" i="53"/>
  <c r="AG124" i="53"/>
  <c r="AG122" i="53"/>
  <c r="AF45" i="51"/>
  <c r="BK45" i="51"/>
  <c r="AA356" i="48"/>
  <c r="AB127" i="48"/>
  <c r="AA129" i="48"/>
  <c r="Z192" i="48"/>
  <c r="Y194" i="48"/>
  <c r="AA122" i="48"/>
  <c r="Z123" i="48"/>
  <c r="Z188" i="48"/>
  <c r="AA187" i="48"/>
  <c r="AA128" i="48"/>
  <c r="AA127" i="46"/>
  <c r="AA187" i="46"/>
  <c r="Z188" i="46"/>
  <c r="AC128" i="46"/>
  <c r="Z123" i="46"/>
  <c r="AA122" i="46"/>
  <c r="Y194" i="46"/>
  <c r="Z192" i="46"/>
  <c r="Z129" i="46"/>
  <c r="Y130" i="46"/>
  <c r="G110" i="24"/>
  <c r="G61" i="33" s="1"/>
  <c r="H110" i="24"/>
  <c r="U12" i="44"/>
  <c r="U3" i="45"/>
  <c r="U9" i="45" s="1"/>
  <c r="I169" i="42"/>
  <c r="H170" i="42"/>
  <c r="H1" i="42"/>
  <c r="G328" i="42"/>
  <c r="I112" i="42"/>
  <c r="H113" i="42"/>
  <c r="G117" i="42"/>
  <c r="G174" i="42"/>
  <c r="F176" i="42"/>
  <c r="F119" i="42"/>
  <c r="F120" i="42" s="1"/>
  <c r="I118" i="42"/>
  <c r="H328" i="38"/>
  <c r="BA9" i="45" l="1"/>
  <c r="AA130" i="48"/>
  <c r="AD1" i="42"/>
  <c r="R1" i="42"/>
  <c r="AE101" i="54"/>
  <c r="AE100" i="54"/>
  <c r="AE102" i="54"/>
  <c r="AE99" i="54"/>
  <c r="AF94" i="54"/>
  <c r="AF98" i="54"/>
  <c r="AF99" i="54" s="1"/>
  <c r="AF93" i="54"/>
  <c r="AF92" i="54"/>
  <c r="AG94" i="53"/>
  <c r="AG90" i="53"/>
  <c r="BL45" i="51"/>
  <c r="AG45" i="51"/>
  <c r="AA123" i="48"/>
  <c r="AB122" i="48"/>
  <c r="Z194" i="48"/>
  <c r="AA192" i="48"/>
  <c r="AB128" i="48"/>
  <c r="AB187" i="48"/>
  <c r="AA188" i="48"/>
  <c r="AC127" i="48"/>
  <c r="AB129" i="48"/>
  <c r="AB130" i="48" s="1"/>
  <c r="AB356" i="48"/>
  <c r="AA123" i="46"/>
  <c r="AB122" i="46"/>
  <c r="AA188" i="46"/>
  <c r="AB187" i="46"/>
  <c r="AA129" i="46"/>
  <c r="AA130" i="46" s="1"/>
  <c r="AD128" i="46"/>
  <c r="AB127" i="46"/>
  <c r="Z194" i="46"/>
  <c r="AA192" i="46"/>
  <c r="Z130" i="46"/>
  <c r="G124" i="24"/>
  <c r="G62" i="33" s="1"/>
  <c r="H124" i="24"/>
  <c r="V3" i="45"/>
  <c r="V9" i="45" s="1"/>
  <c r="H117" i="42"/>
  <c r="G176" i="42"/>
  <c r="H174" i="42"/>
  <c r="I113" i="42"/>
  <c r="J112" i="42"/>
  <c r="H328" i="42"/>
  <c r="I170" i="42"/>
  <c r="J169" i="42"/>
  <c r="J118" i="42"/>
  <c r="G119" i="42"/>
  <c r="G120" i="42" s="1"/>
  <c r="I1" i="42"/>
  <c r="I328" i="38"/>
  <c r="AG51" i="38"/>
  <c r="AI39" i="41"/>
  <c r="AI44" i="41"/>
  <c r="AI43" i="41"/>
  <c r="AI42" i="41"/>
  <c r="AI41" i="41"/>
  <c r="AI40" i="41"/>
  <c r="F32" i="41"/>
  <c r="G32" i="41" s="1"/>
  <c r="H32" i="41" s="1"/>
  <c r="I32" i="41" s="1"/>
  <c r="J32" i="41" s="1"/>
  <c r="K32" i="41" s="1"/>
  <c r="L32" i="41" s="1"/>
  <c r="M32" i="41" s="1"/>
  <c r="N32" i="41" s="1"/>
  <c r="O32" i="41" s="1"/>
  <c r="P32" i="41" s="1"/>
  <c r="Q32" i="41" s="1"/>
  <c r="R32" i="41" s="1"/>
  <c r="S32" i="41" s="1"/>
  <c r="T32" i="41" s="1"/>
  <c r="U32" i="41" s="1"/>
  <c r="V32" i="41" s="1"/>
  <c r="W32" i="41" s="1"/>
  <c r="X32" i="41" s="1"/>
  <c r="Y32" i="41" s="1"/>
  <c r="Z32" i="41" s="1"/>
  <c r="AA32" i="41" s="1"/>
  <c r="AB32" i="41" s="1"/>
  <c r="AC32" i="41" s="1"/>
  <c r="AD32" i="41" s="1"/>
  <c r="AE32" i="41" s="1"/>
  <c r="AF32" i="41" s="1"/>
  <c r="AG32" i="41" s="1"/>
  <c r="AH32" i="41" s="1"/>
  <c r="AI32" i="41" s="1"/>
  <c r="Q6" i="41"/>
  <c r="D59" i="33"/>
  <c r="E59" i="33"/>
  <c r="F59" i="33"/>
  <c r="C59" i="33"/>
  <c r="BB9" i="45" l="1"/>
  <c r="AE1" i="42"/>
  <c r="S1" i="42"/>
  <c r="AF101" i="54"/>
  <c r="AF100" i="54"/>
  <c r="AF102" i="54"/>
  <c r="BM45" i="51"/>
  <c r="AC356" i="48"/>
  <c r="AB123" i="48"/>
  <c r="AC122" i="48"/>
  <c r="AB188" i="48"/>
  <c r="AC187" i="48"/>
  <c r="AD127" i="48"/>
  <c r="AC128" i="48"/>
  <c r="AC129" i="48"/>
  <c r="AA194" i="48"/>
  <c r="AB192" i="48"/>
  <c r="AA194" i="46"/>
  <c r="AB192" i="46"/>
  <c r="AE128" i="46"/>
  <c r="AC122" i="46"/>
  <c r="AB123" i="46"/>
  <c r="AB188" i="46"/>
  <c r="AC187" i="46"/>
  <c r="AC127" i="46"/>
  <c r="AB129" i="46"/>
  <c r="AB130" i="46" s="1"/>
  <c r="W3" i="45"/>
  <c r="W9" i="45" s="1"/>
  <c r="J1" i="42"/>
  <c r="J170" i="42"/>
  <c r="K169" i="42"/>
  <c r="J113" i="42"/>
  <c r="K112" i="42"/>
  <c r="H176" i="42"/>
  <c r="I174" i="42"/>
  <c r="H119" i="42"/>
  <c r="K118" i="42"/>
  <c r="I328" i="42"/>
  <c r="I117" i="42"/>
  <c r="H120" i="42"/>
  <c r="J328" i="38"/>
  <c r="P6" i="41"/>
  <c r="C78" i="40"/>
  <c r="C74" i="40"/>
  <c r="I23" i="40"/>
  <c r="I33" i="40" s="1"/>
  <c r="H23" i="40"/>
  <c r="H33" i="40" s="1"/>
  <c r="G23" i="40"/>
  <c r="F23" i="40"/>
  <c r="F32" i="40" s="1"/>
  <c r="E23" i="40"/>
  <c r="E33" i="40" s="1"/>
  <c r="D23" i="40"/>
  <c r="D33" i="40" s="1"/>
  <c r="C23" i="40"/>
  <c r="B23" i="40"/>
  <c r="J22" i="40"/>
  <c r="J21" i="40"/>
  <c r="J20" i="40"/>
  <c r="J19" i="40"/>
  <c r="J18" i="40"/>
  <c r="J17" i="40"/>
  <c r="BC9" i="45" l="1"/>
  <c r="AC130" i="48"/>
  <c r="T1" i="42"/>
  <c r="AF1" i="42"/>
  <c r="BN45" i="51"/>
  <c r="AH45" i="51"/>
  <c r="AD129" i="48"/>
  <c r="AC188" i="48"/>
  <c r="AD187" i="48"/>
  <c r="AC123" i="48"/>
  <c r="AD122" i="48"/>
  <c r="AD128" i="48"/>
  <c r="AD130" i="48" s="1"/>
  <c r="AE127" i="48"/>
  <c r="AB194" i="48"/>
  <c r="AC192" i="48"/>
  <c r="AD356" i="48"/>
  <c r="AC192" i="46"/>
  <c r="AB194" i="46"/>
  <c r="AC188" i="46"/>
  <c r="AD187" i="46"/>
  <c r="AD127" i="46"/>
  <c r="AF128" i="46"/>
  <c r="AC129" i="46"/>
  <c r="AC130" i="46" s="1"/>
  <c r="AC123" i="46"/>
  <c r="AD122" i="46"/>
  <c r="X3" i="45"/>
  <c r="X9" i="45" s="1"/>
  <c r="J23" i="40"/>
  <c r="B79" i="40"/>
  <c r="B29" i="40"/>
  <c r="B33" i="40"/>
  <c r="F27" i="40"/>
  <c r="F33" i="40"/>
  <c r="B28" i="40"/>
  <c r="B30" i="40"/>
  <c r="B32" i="40"/>
  <c r="B27" i="40"/>
  <c r="B37" i="40" s="1"/>
  <c r="B31" i="40"/>
  <c r="F29" i="40"/>
  <c r="F31" i="40"/>
  <c r="F28" i="40"/>
  <c r="F30" i="40"/>
  <c r="I119" i="42"/>
  <c r="I120" i="42" s="1"/>
  <c r="K1" i="42"/>
  <c r="I176" i="42"/>
  <c r="J174" i="42"/>
  <c r="J117" i="42"/>
  <c r="J328" i="42"/>
  <c r="L118" i="42"/>
  <c r="K113" i="42"/>
  <c r="L112" i="42"/>
  <c r="K170" i="42"/>
  <c r="L169" i="42"/>
  <c r="K328" i="38"/>
  <c r="C29" i="40"/>
  <c r="C33" i="40"/>
  <c r="C32" i="40"/>
  <c r="C31" i="40"/>
  <c r="C30" i="40"/>
  <c r="C28" i="40"/>
  <c r="C27" i="40"/>
  <c r="G30" i="40"/>
  <c r="G27" i="40"/>
  <c r="G33" i="40"/>
  <c r="G32" i="40"/>
  <c r="G31" i="40"/>
  <c r="G29" i="40"/>
  <c r="G28" i="40"/>
  <c r="D27" i="40"/>
  <c r="H27" i="40"/>
  <c r="D28" i="40"/>
  <c r="H28" i="40"/>
  <c r="D29" i="40"/>
  <c r="H29" i="40"/>
  <c r="D30" i="40"/>
  <c r="H30" i="40"/>
  <c r="D31" i="40"/>
  <c r="H31" i="40"/>
  <c r="D32" i="40"/>
  <c r="H32" i="40"/>
  <c r="E27" i="40"/>
  <c r="I27" i="40"/>
  <c r="E28" i="40"/>
  <c r="I28" i="40"/>
  <c r="E29" i="40"/>
  <c r="I29" i="40"/>
  <c r="E30" i="40"/>
  <c r="I30" i="40"/>
  <c r="E31" i="40"/>
  <c r="I31" i="40"/>
  <c r="E32" i="40"/>
  <c r="I32" i="40"/>
  <c r="BD9" i="45" l="1"/>
  <c r="U1" i="42"/>
  <c r="AE356" i="48"/>
  <c r="AE128" i="48"/>
  <c r="AE130" i="48" s="1"/>
  <c r="AE129" i="48"/>
  <c r="AD192" i="48"/>
  <c r="AC194" i="48"/>
  <c r="AF127" i="48"/>
  <c r="AE122" i="48"/>
  <c r="AD123" i="48"/>
  <c r="AD188" i="48"/>
  <c r="AE187" i="48"/>
  <c r="AG128" i="46"/>
  <c r="AD123" i="46"/>
  <c r="AE122" i="46"/>
  <c r="AD129" i="46"/>
  <c r="AD130" i="46" s="1"/>
  <c r="AE127" i="46"/>
  <c r="AE187" i="46"/>
  <c r="AD188" i="46"/>
  <c r="AC194" i="46"/>
  <c r="AD192" i="46"/>
  <c r="Y3" i="45"/>
  <c r="Y9" i="45" s="1"/>
  <c r="M118" i="42"/>
  <c r="J119" i="42"/>
  <c r="M169" i="42"/>
  <c r="L170" i="42"/>
  <c r="M112" i="42"/>
  <c r="L113" i="42"/>
  <c r="K328" i="42"/>
  <c r="K174" i="42"/>
  <c r="J176" i="42"/>
  <c r="L1" i="42"/>
  <c r="K117" i="42"/>
  <c r="J120" i="42"/>
  <c r="L328" i="38"/>
  <c r="BE9" i="45" l="1"/>
  <c r="V1" i="42"/>
  <c r="AF356" i="48"/>
  <c r="AF128" i="48"/>
  <c r="AF187" i="48"/>
  <c r="AE188" i="48"/>
  <c r="AG127" i="48"/>
  <c r="AF122" i="48"/>
  <c r="AE123" i="48"/>
  <c r="AD194" i="48"/>
  <c r="AE192" i="48"/>
  <c r="AF129" i="48"/>
  <c r="AD194" i="46"/>
  <c r="AE192" i="46"/>
  <c r="AE188" i="46"/>
  <c r="AF187" i="46"/>
  <c r="AE129" i="46"/>
  <c r="AE123" i="46"/>
  <c r="AF122" i="46"/>
  <c r="AG133" i="46"/>
  <c r="AF127" i="46"/>
  <c r="Z3" i="45"/>
  <c r="Z9" i="45" s="1"/>
  <c r="K176" i="42"/>
  <c r="L174" i="42"/>
  <c r="L328" i="42"/>
  <c r="M113" i="42"/>
  <c r="N112" i="42"/>
  <c r="K119" i="42"/>
  <c r="K120" i="42" s="1"/>
  <c r="N118" i="42"/>
  <c r="L117" i="42"/>
  <c r="M170" i="42"/>
  <c r="N169" i="42"/>
  <c r="M328" i="38"/>
  <c r="BF9" i="45" l="1"/>
  <c r="AE194" i="48"/>
  <c r="AF192" i="48"/>
  <c r="AG129" i="48"/>
  <c r="AF130" i="48"/>
  <c r="AF123" i="48"/>
  <c r="AG128" i="48"/>
  <c r="AG130" i="48"/>
  <c r="AG132" i="48"/>
  <c r="AF188" i="48"/>
  <c r="AG356" i="48"/>
  <c r="AF129" i="46"/>
  <c r="AF130" i="46" s="1"/>
  <c r="AE130" i="46"/>
  <c r="AF123" i="46"/>
  <c r="AE194" i="46"/>
  <c r="AF192" i="46"/>
  <c r="AG127" i="46"/>
  <c r="AF188" i="46"/>
  <c r="AA3" i="45"/>
  <c r="AA9" i="45" s="1"/>
  <c r="N170" i="42"/>
  <c r="O169" i="42"/>
  <c r="M117" i="42"/>
  <c r="M328" i="42"/>
  <c r="L119" i="42"/>
  <c r="N113" i="42"/>
  <c r="O112" i="42"/>
  <c r="O118" i="42"/>
  <c r="L176" i="42"/>
  <c r="M174" i="42"/>
  <c r="N328" i="38"/>
  <c r="BG9" i="45" l="1"/>
  <c r="AG134" i="48"/>
  <c r="AF194" i="48"/>
  <c r="AG192" i="48"/>
  <c r="AG133" i="48"/>
  <c r="AG192" i="46"/>
  <c r="AF194" i="46"/>
  <c r="AG129" i="46"/>
  <c r="AG130" i="46" s="1"/>
  <c r="AG132" i="46"/>
  <c r="AB3" i="45"/>
  <c r="AB9" i="45" s="1"/>
  <c r="O113" i="42"/>
  <c r="P112" i="42"/>
  <c r="N117" i="42"/>
  <c r="O170" i="42"/>
  <c r="P169" i="42"/>
  <c r="N328" i="42"/>
  <c r="M176" i="42"/>
  <c r="N174" i="42"/>
  <c r="P118" i="42"/>
  <c r="M119" i="42"/>
  <c r="M120" i="42" s="1"/>
  <c r="L120" i="42"/>
  <c r="O328" i="38"/>
  <c r="X4" i="36"/>
  <c r="D3" i="37"/>
  <c r="AG228" i="38"/>
  <c r="C228" i="38"/>
  <c r="AG213" i="38"/>
  <c r="C213" i="38"/>
  <c r="C175" i="38"/>
  <c r="D174" i="38"/>
  <c r="AG171" i="38"/>
  <c r="C171" i="38"/>
  <c r="AG170" i="38"/>
  <c r="AG172" i="38" s="1"/>
  <c r="C170" i="38"/>
  <c r="C172" i="38" s="1"/>
  <c r="D169" i="38"/>
  <c r="AG167" i="38"/>
  <c r="C167" i="38"/>
  <c r="C119" i="38"/>
  <c r="D118" i="38"/>
  <c r="D117" i="38"/>
  <c r="AG114" i="38"/>
  <c r="C114" i="38"/>
  <c r="AG113" i="38"/>
  <c r="AG115" i="38" s="1"/>
  <c r="C113" i="38"/>
  <c r="C115" i="38" s="1"/>
  <c r="D112" i="38"/>
  <c r="AG110" i="38"/>
  <c r="C110" i="38"/>
  <c r="W49" i="38"/>
  <c r="M49" i="38"/>
  <c r="M46" i="38" s="1"/>
  <c r="C49" i="38"/>
  <c r="X1" i="38"/>
  <c r="N1" i="38"/>
  <c r="D1" i="38"/>
  <c r="E1" i="38" s="1"/>
  <c r="BH9" i="45" l="1"/>
  <c r="X5" i="36"/>
  <c r="J3" i="39"/>
  <c r="S4" i="36"/>
  <c r="BD4" i="36"/>
  <c r="L3" i="39"/>
  <c r="AC4" i="36"/>
  <c r="M3" i="39"/>
  <c r="AH4" i="36"/>
  <c r="K3" i="39"/>
  <c r="I3" i="39"/>
  <c r="N4" i="36"/>
  <c r="AG196" i="48"/>
  <c r="AG194" i="48"/>
  <c r="AG194" i="46"/>
  <c r="AG196" i="46"/>
  <c r="AG134" i="46"/>
  <c r="AC3" i="45"/>
  <c r="AC9" i="45" s="1"/>
  <c r="D4" i="36"/>
  <c r="B13" i="40"/>
  <c r="O328" i="42"/>
  <c r="Q118" i="42"/>
  <c r="O174" i="42"/>
  <c r="N176" i="42"/>
  <c r="N119" i="42"/>
  <c r="Q169" i="42"/>
  <c r="P170" i="42"/>
  <c r="Q112" i="42"/>
  <c r="P113" i="42"/>
  <c r="O117" i="42"/>
  <c r="N120" i="42"/>
  <c r="P328" i="38"/>
  <c r="C176" i="38"/>
  <c r="E118" i="38"/>
  <c r="D170" i="38"/>
  <c r="C122" i="38"/>
  <c r="C120" i="38"/>
  <c r="E169" i="38"/>
  <c r="D119" i="38"/>
  <c r="D175" i="38"/>
  <c r="E175" i="38" s="1"/>
  <c r="F175" i="38" s="1"/>
  <c r="G175" i="38" s="1"/>
  <c r="H175" i="38" s="1"/>
  <c r="I175" i="38" s="1"/>
  <c r="J175" i="38" s="1"/>
  <c r="K175" i="38" s="1"/>
  <c r="L175" i="38" s="1"/>
  <c r="M175" i="38" s="1"/>
  <c r="N175" i="38" s="1"/>
  <c r="O175" i="38" s="1"/>
  <c r="P175" i="38" s="1"/>
  <c r="Q175" i="38" s="1"/>
  <c r="R175" i="38" s="1"/>
  <c r="S175" i="38" s="1"/>
  <c r="T175" i="38" s="1"/>
  <c r="U175" i="38" s="1"/>
  <c r="V175" i="38" s="1"/>
  <c r="W175" i="38" s="1"/>
  <c r="X175" i="38" s="1"/>
  <c r="Y175" i="38" s="1"/>
  <c r="Z175" i="38" s="1"/>
  <c r="AA175" i="38" s="1"/>
  <c r="AB175" i="38" s="1"/>
  <c r="AC175" i="38" s="1"/>
  <c r="AD175" i="38" s="1"/>
  <c r="AE175" i="38" s="1"/>
  <c r="AF175" i="38" s="1"/>
  <c r="AG175" i="38" s="1"/>
  <c r="AG179" i="38" s="1"/>
  <c r="Y1" i="38"/>
  <c r="G3" i="39"/>
  <c r="F1" i="38"/>
  <c r="O1" i="38"/>
  <c r="C46" i="38"/>
  <c r="W46" i="38"/>
  <c r="D113" i="38"/>
  <c r="E112" i="38"/>
  <c r="C123" i="38"/>
  <c r="C124" i="38"/>
  <c r="C179" i="38"/>
  <c r="C178" i="38"/>
  <c r="E117" i="38"/>
  <c r="E174" i="38"/>
  <c r="D5" i="36" l="1"/>
  <c r="S5" i="36"/>
  <c r="BI9" i="45"/>
  <c r="AH5" i="36"/>
  <c r="AC5" i="36"/>
  <c r="B4" i="40"/>
  <c r="B3" i="40"/>
  <c r="B5" i="40"/>
  <c r="B6" i="40"/>
  <c r="B7" i="40"/>
  <c r="B8" i="40"/>
  <c r="B9" i="40"/>
  <c r="B10" i="40"/>
  <c r="B11" i="40"/>
  <c r="N5" i="36"/>
  <c r="N44" i="40"/>
  <c r="N43" i="40"/>
  <c r="N42" i="40"/>
  <c r="N39" i="40"/>
  <c r="N41" i="40"/>
  <c r="D5" i="26" s="1"/>
  <c r="N38" i="40"/>
  <c r="D5" i="4" s="1"/>
  <c r="N45" i="40"/>
  <c r="N37" i="40"/>
  <c r="N40" i="40"/>
  <c r="BN4" i="36"/>
  <c r="BI4" i="36"/>
  <c r="AT4" i="36"/>
  <c r="AJ4" i="36"/>
  <c r="AY4" i="36"/>
  <c r="AG340" i="38"/>
  <c r="AG339" i="38"/>
  <c r="C340" i="38"/>
  <c r="C339" i="38"/>
  <c r="AD3" i="45"/>
  <c r="AD9" i="45" s="1"/>
  <c r="P328" i="42"/>
  <c r="Q113" i="42"/>
  <c r="R112" i="42"/>
  <c r="Q170" i="42"/>
  <c r="R169" i="42"/>
  <c r="O119" i="42"/>
  <c r="O120" i="42" s="1"/>
  <c r="O176" i="42"/>
  <c r="P174" i="42"/>
  <c r="P117" i="42"/>
  <c r="R118" i="42"/>
  <c r="Q328" i="38"/>
  <c r="E170" i="38"/>
  <c r="F118" i="38"/>
  <c r="D176" i="38"/>
  <c r="F169" i="38"/>
  <c r="E119" i="38"/>
  <c r="D120" i="38"/>
  <c r="Z1" i="38"/>
  <c r="P1" i="38"/>
  <c r="F117" i="38"/>
  <c r="F174" i="38"/>
  <c r="E176" i="38"/>
  <c r="E113" i="38"/>
  <c r="F112" i="38"/>
  <c r="G1" i="38"/>
  <c r="BJ9" i="45" l="1"/>
  <c r="D6" i="36"/>
  <c r="D5" i="8"/>
  <c r="B6" i="3"/>
  <c r="AE3" i="45"/>
  <c r="AE9" i="45" s="1"/>
  <c r="R170" i="42"/>
  <c r="S169" i="42"/>
  <c r="R113" i="42"/>
  <c r="S112" i="42"/>
  <c r="Q328" i="42"/>
  <c r="Q117" i="42"/>
  <c r="P119" i="42"/>
  <c r="P120" i="42" s="1"/>
  <c r="S118" i="42"/>
  <c r="P176" i="42"/>
  <c r="Q174" i="42"/>
  <c r="R328" i="38"/>
  <c r="G169" i="38"/>
  <c r="E120" i="38"/>
  <c r="G118" i="38"/>
  <c r="F170" i="38"/>
  <c r="F119" i="38"/>
  <c r="AA1" i="38"/>
  <c r="Q1" i="38"/>
  <c r="H1" i="38"/>
  <c r="F176" i="38"/>
  <c r="G174" i="38"/>
  <c r="G112" i="38"/>
  <c r="F113" i="38"/>
  <c r="G117" i="38"/>
  <c r="BK9" i="45" l="1"/>
  <c r="N6" i="36"/>
  <c r="AJ6" i="36"/>
  <c r="D14" i="36"/>
  <c r="AF3" i="45"/>
  <c r="AF9" i="45" s="1"/>
  <c r="R117" i="42"/>
  <c r="R328" i="42"/>
  <c r="Q176" i="42"/>
  <c r="R174" i="42"/>
  <c r="S170" i="42"/>
  <c r="T169" i="42"/>
  <c r="T118" i="42"/>
  <c r="Q119" i="42"/>
  <c r="Q120" i="42" s="1"/>
  <c r="S113" i="42"/>
  <c r="T112" i="42"/>
  <c r="S328" i="38"/>
  <c r="G170" i="38"/>
  <c r="H169" i="38"/>
  <c r="F120" i="38"/>
  <c r="H118" i="38"/>
  <c r="G119" i="38"/>
  <c r="AB1" i="38"/>
  <c r="H117" i="38"/>
  <c r="G113" i="38"/>
  <c r="H112" i="38"/>
  <c r="G176" i="38"/>
  <c r="H174" i="38"/>
  <c r="I1" i="38"/>
  <c r="R1" i="38"/>
  <c r="AJ14" i="36" l="1"/>
  <c r="BL9" i="45"/>
  <c r="AG3" i="45"/>
  <c r="AG9" i="45" s="1"/>
  <c r="S174" i="42"/>
  <c r="R176" i="42"/>
  <c r="U112" i="42"/>
  <c r="T113" i="42"/>
  <c r="R119" i="42"/>
  <c r="R120" i="42" s="1"/>
  <c r="U118" i="42"/>
  <c r="U169" i="42"/>
  <c r="T170" i="42"/>
  <c r="S328" i="42"/>
  <c r="S117" i="42"/>
  <c r="T328" i="38"/>
  <c r="G120" i="38"/>
  <c r="H170" i="38"/>
  <c r="I169" i="38"/>
  <c r="I118" i="38"/>
  <c r="H119" i="38"/>
  <c r="AC1" i="38"/>
  <c r="S1" i="38"/>
  <c r="J1" i="38"/>
  <c r="H113" i="38"/>
  <c r="I112" i="38"/>
  <c r="H176" i="38"/>
  <c r="I174" i="38"/>
  <c r="I117" i="38"/>
  <c r="BM9" i="45" l="1"/>
  <c r="AH3" i="45"/>
  <c r="AH9" i="45" s="1"/>
  <c r="S119" i="42"/>
  <c r="U113" i="42"/>
  <c r="V112" i="42"/>
  <c r="V118" i="42"/>
  <c r="U170" i="42"/>
  <c r="V169" i="42"/>
  <c r="S176" i="42"/>
  <c r="T174" i="42"/>
  <c r="S120" i="42"/>
  <c r="T117" i="42"/>
  <c r="T328" i="42"/>
  <c r="U328" i="38"/>
  <c r="H120" i="38"/>
  <c r="J118" i="38"/>
  <c r="I170" i="38"/>
  <c r="J169" i="38"/>
  <c r="I119" i="38"/>
  <c r="AD1" i="38"/>
  <c r="J174" i="38"/>
  <c r="I176" i="38"/>
  <c r="K1" i="38"/>
  <c r="T1" i="38"/>
  <c r="J117" i="38"/>
  <c r="I113" i="38"/>
  <c r="J112" i="38"/>
  <c r="BN9" i="45" l="1"/>
  <c r="T176" i="42"/>
  <c r="U174" i="42"/>
  <c r="U117" i="42"/>
  <c r="T119" i="42"/>
  <c r="W118" i="42"/>
  <c r="V113" i="42"/>
  <c r="W112" i="42"/>
  <c r="U328" i="42"/>
  <c r="V170" i="42"/>
  <c r="W169" i="42"/>
  <c r="V328" i="38"/>
  <c r="J170" i="38"/>
  <c r="K169" i="38"/>
  <c r="K118" i="38"/>
  <c r="I120" i="38"/>
  <c r="J119" i="38"/>
  <c r="AE1" i="38"/>
  <c r="U1" i="38"/>
  <c r="L1" i="38"/>
  <c r="J176" i="38"/>
  <c r="K174" i="38"/>
  <c r="K112" i="38"/>
  <c r="J113" i="38"/>
  <c r="K117" i="38"/>
  <c r="W170" i="42" l="1"/>
  <c r="X169" i="42"/>
  <c r="U119" i="42"/>
  <c r="U120" i="42" s="1"/>
  <c r="V328" i="42"/>
  <c r="X118" i="42"/>
  <c r="V117" i="42"/>
  <c r="W113" i="42"/>
  <c r="X112" i="42"/>
  <c r="T120" i="42"/>
  <c r="U176" i="42"/>
  <c r="V174" i="42"/>
  <c r="W328" i="38"/>
  <c r="J120" i="38"/>
  <c r="L118" i="38"/>
  <c r="K170" i="38"/>
  <c r="L169" i="38"/>
  <c r="K119" i="38"/>
  <c r="K120" i="38" s="1"/>
  <c r="AF1" i="38"/>
  <c r="L117" i="38"/>
  <c r="K176" i="38"/>
  <c r="L174" i="38"/>
  <c r="K113" i="38"/>
  <c r="L112" i="38"/>
  <c r="V1" i="38"/>
  <c r="Y118" i="42" l="1"/>
  <c r="W328" i="42"/>
  <c r="V119" i="42"/>
  <c r="W117" i="42"/>
  <c r="V120" i="42"/>
  <c r="Y169" i="42"/>
  <c r="X170" i="42"/>
  <c r="W174" i="42"/>
  <c r="V176" i="42"/>
  <c r="Y112" i="42"/>
  <c r="X113" i="42"/>
  <c r="X328" i="38"/>
  <c r="M169" i="38"/>
  <c r="L170" i="38"/>
  <c r="M118" i="38"/>
  <c r="L119" i="38"/>
  <c r="L120" i="38" s="1"/>
  <c r="L176" i="38"/>
  <c r="M174" i="38"/>
  <c r="M117" i="38"/>
  <c r="L113" i="38"/>
  <c r="M112" i="38"/>
  <c r="Y113" i="42" l="1"/>
  <c r="Z112" i="42"/>
  <c r="X117" i="42"/>
  <c r="W119" i="42"/>
  <c r="W176" i="42"/>
  <c r="X174" i="42"/>
  <c r="Y170" i="42"/>
  <c r="Z169" i="42"/>
  <c r="X328" i="42"/>
  <c r="Z118" i="42"/>
  <c r="Y328" i="38"/>
  <c r="N118" i="38"/>
  <c r="N169" i="38"/>
  <c r="M170" i="38"/>
  <c r="M119" i="38"/>
  <c r="M120" i="38" s="1"/>
  <c r="M113" i="38"/>
  <c r="N112" i="38"/>
  <c r="N117" i="38"/>
  <c r="N174" i="38"/>
  <c r="M176" i="38"/>
  <c r="Z113" i="42" l="1"/>
  <c r="AA112" i="42"/>
  <c r="Y328" i="42"/>
  <c r="X119" i="42"/>
  <c r="X120" i="42" s="1"/>
  <c r="Y117" i="42"/>
  <c r="AA118" i="42"/>
  <c r="X176" i="42"/>
  <c r="Y174" i="42"/>
  <c r="Z170" i="42"/>
  <c r="AA169" i="42"/>
  <c r="W120" i="42"/>
  <c r="Z328" i="38"/>
  <c r="O118" i="38"/>
  <c r="N170" i="38"/>
  <c r="O169" i="38"/>
  <c r="N119" i="38"/>
  <c r="N120" i="38" s="1"/>
  <c r="N176" i="38"/>
  <c r="O174" i="38"/>
  <c r="O117" i="38"/>
  <c r="O112" i="38"/>
  <c r="N113" i="38"/>
  <c r="Z117" i="42" l="1"/>
  <c r="AA170" i="42"/>
  <c r="AB169" i="42"/>
  <c r="Y176" i="42"/>
  <c r="Z174" i="42"/>
  <c r="Z328" i="42"/>
  <c r="AA113" i="42"/>
  <c r="AB112" i="42"/>
  <c r="AB118" i="42"/>
  <c r="Y119" i="42"/>
  <c r="Y120" i="42" s="1"/>
  <c r="AA328" i="38"/>
  <c r="P118" i="38"/>
  <c r="O170" i="38"/>
  <c r="P169" i="38"/>
  <c r="O119" i="38"/>
  <c r="O120" i="38" s="1"/>
  <c r="O113" i="38"/>
  <c r="P112" i="38"/>
  <c r="P117" i="38"/>
  <c r="O176" i="38"/>
  <c r="P174" i="38"/>
  <c r="AA328" i="42" l="1"/>
  <c r="Z119" i="42"/>
  <c r="Z120" i="42" s="1"/>
  <c r="AC118" i="42"/>
  <c r="AC112" i="42"/>
  <c r="AB113" i="42"/>
  <c r="AC169" i="42"/>
  <c r="AB170" i="42"/>
  <c r="AA117" i="42"/>
  <c r="AA174" i="42"/>
  <c r="Z176" i="42"/>
  <c r="AB328" i="38"/>
  <c r="Q118" i="38"/>
  <c r="Q169" i="38"/>
  <c r="P170" i="38"/>
  <c r="P119" i="38"/>
  <c r="P176" i="38"/>
  <c r="Q174" i="38"/>
  <c r="Q117" i="38"/>
  <c r="P113" i="38"/>
  <c r="Q112" i="38"/>
  <c r="AB117" i="42" l="1"/>
  <c r="AD118" i="42"/>
  <c r="AA119" i="42"/>
  <c r="AA176" i="42"/>
  <c r="AB174" i="42"/>
  <c r="AB328" i="42"/>
  <c r="AC113" i="42"/>
  <c r="AD112" i="42"/>
  <c r="AC170" i="42"/>
  <c r="AD169" i="42"/>
  <c r="AC328" i="38"/>
  <c r="R118" i="38"/>
  <c r="P120" i="38"/>
  <c r="R169" i="38"/>
  <c r="Q170" i="38"/>
  <c r="Q119" i="38"/>
  <c r="R117" i="38"/>
  <c r="Q113" i="38"/>
  <c r="R112" i="38"/>
  <c r="R174" i="38"/>
  <c r="Q176" i="38"/>
  <c r="AD113" i="42" l="1"/>
  <c r="AE112" i="42"/>
  <c r="AD170" i="42"/>
  <c r="AE169" i="42"/>
  <c r="AC328" i="42"/>
  <c r="AC117" i="42"/>
  <c r="AE118" i="42"/>
  <c r="AB176" i="42"/>
  <c r="AC174" i="42"/>
  <c r="AB119" i="42"/>
  <c r="AB120" i="42" s="1"/>
  <c r="AA120" i="42"/>
  <c r="AD328" i="38"/>
  <c r="Q120" i="38"/>
  <c r="S169" i="38"/>
  <c r="R170" i="38"/>
  <c r="S118" i="38"/>
  <c r="R119" i="38"/>
  <c r="S112" i="38"/>
  <c r="R113" i="38"/>
  <c r="R176" i="38"/>
  <c r="S174" i="38"/>
  <c r="S117" i="38"/>
  <c r="AE170" i="42" l="1"/>
  <c r="AF169" i="42"/>
  <c r="AF118" i="42"/>
  <c r="AD117" i="42"/>
  <c r="AC176" i="42"/>
  <c r="AD174" i="42"/>
  <c r="AD328" i="42"/>
  <c r="AE113" i="42"/>
  <c r="AF112" i="42"/>
  <c r="AC119" i="42"/>
  <c r="AE328" i="38"/>
  <c r="S170" i="38"/>
  <c r="T169" i="38"/>
  <c r="T118" i="38"/>
  <c r="R120" i="38"/>
  <c r="S119" i="38"/>
  <c r="T117" i="38"/>
  <c r="S176" i="38"/>
  <c r="T174" i="38"/>
  <c r="S113" i="38"/>
  <c r="T112" i="38"/>
  <c r="AD119" i="42" l="1"/>
  <c r="AD120" i="42" s="1"/>
  <c r="AG118" i="42"/>
  <c r="AF170" i="42"/>
  <c r="AC120" i="42"/>
  <c r="AE117" i="42"/>
  <c r="AE328" i="42"/>
  <c r="AF113" i="42"/>
  <c r="AE174" i="42"/>
  <c r="AD176" i="42"/>
  <c r="AF328" i="38"/>
  <c r="U169" i="38"/>
  <c r="T170" i="38"/>
  <c r="S120" i="38"/>
  <c r="U118" i="38"/>
  <c r="T119" i="38"/>
  <c r="T113" i="38"/>
  <c r="U112" i="38"/>
  <c r="T176" i="38"/>
  <c r="U174" i="38"/>
  <c r="U117" i="38"/>
  <c r="AE119" i="42" l="1"/>
  <c r="AE120" i="42" s="1"/>
  <c r="AF117" i="42"/>
  <c r="AG123" i="42"/>
  <c r="AE176" i="42"/>
  <c r="AF174" i="42"/>
  <c r="AF328" i="42"/>
  <c r="AG328" i="38"/>
  <c r="V118" i="38"/>
  <c r="U170" i="38"/>
  <c r="V169" i="38"/>
  <c r="T120" i="38"/>
  <c r="U119" i="38"/>
  <c r="V117" i="38"/>
  <c r="U113" i="38"/>
  <c r="V112" i="38"/>
  <c r="V174" i="38"/>
  <c r="U176" i="38"/>
  <c r="AF176" i="42" l="1"/>
  <c r="AG174" i="42"/>
  <c r="AF119" i="42"/>
  <c r="AF120" i="42" s="1"/>
  <c r="AG328" i="42"/>
  <c r="AG117" i="42"/>
  <c r="W118" i="38"/>
  <c r="U120" i="38"/>
  <c r="V170" i="38"/>
  <c r="W169" i="38"/>
  <c r="V119" i="38"/>
  <c r="V120" i="38" s="1"/>
  <c r="W117" i="38"/>
  <c r="W112" i="38"/>
  <c r="V113" i="38"/>
  <c r="V176" i="38"/>
  <c r="W174" i="38"/>
  <c r="AG122" i="42" l="1"/>
  <c r="AG119" i="42"/>
  <c r="AG120" i="42" s="1"/>
  <c r="AG176" i="42"/>
  <c r="AG178" i="42"/>
  <c r="X118" i="38"/>
  <c r="X169" i="38"/>
  <c r="W170" i="38"/>
  <c r="W119" i="38"/>
  <c r="X117" i="38"/>
  <c r="W113" i="38"/>
  <c r="X112" i="38"/>
  <c r="W176" i="38"/>
  <c r="X174" i="38"/>
  <c r="AG124" i="42" l="1"/>
  <c r="Y169" i="38"/>
  <c r="X170" i="38"/>
  <c r="Y118" i="38"/>
  <c r="W120" i="38"/>
  <c r="X119" i="38"/>
  <c r="X176" i="38"/>
  <c r="Y174" i="38"/>
  <c r="X113" i="38"/>
  <c r="Y112" i="38"/>
  <c r="Y117" i="38"/>
  <c r="Z118" i="38" l="1"/>
  <c r="X120" i="38"/>
  <c r="Z169" i="38"/>
  <c r="Y170" i="38"/>
  <c r="Y119" i="38"/>
  <c r="Y120" i="38" s="1"/>
  <c r="Z117" i="38"/>
  <c r="Y113" i="38"/>
  <c r="Z112" i="38"/>
  <c r="Z174" i="38"/>
  <c r="Y176" i="38"/>
  <c r="AA118" i="38" l="1"/>
  <c r="AA169" i="38"/>
  <c r="Z170" i="38"/>
  <c r="Z119" i="38"/>
  <c r="AA112" i="38"/>
  <c r="Z113" i="38"/>
  <c r="AA117" i="38"/>
  <c r="Z176" i="38"/>
  <c r="AA174" i="38"/>
  <c r="AB169" i="38" l="1"/>
  <c r="AA170" i="38"/>
  <c r="AB118" i="38"/>
  <c r="Z120" i="38"/>
  <c r="AA119" i="38"/>
  <c r="AB117" i="38"/>
  <c r="AA176" i="38"/>
  <c r="AB174" i="38"/>
  <c r="AA113" i="38"/>
  <c r="AB112" i="38"/>
  <c r="AB170" i="38" l="1"/>
  <c r="AC169" i="38"/>
  <c r="AC118" i="38"/>
  <c r="AA120" i="38"/>
  <c r="AB119" i="38"/>
  <c r="AB113" i="38"/>
  <c r="AC112" i="38"/>
  <c r="AC117" i="38"/>
  <c r="AB176" i="38"/>
  <c r="AC174" i="38"/>
  <c r="AD118" i="38" l="1"/>
  <c r="AB120" i="38"/>
  <c r="AC170" i="38"/>
  <c r="AD169" i="38"/>
  <c r="AC119" i="38"/>
  <c r="AD117" i="38"/>
  <c r="AC113" i="38"/>
  <c r="AD112" i="38"/>
  <c r="AD174" i="38"/>
  <c r="AC176" i="38"/>
  <c r="AC120" i="38" l="1"/>
  <c r="AE169" i="38"/>
  <c r="AD170" i="38"/>
  <c r="AE118" i="38"/>
  <c r="AD119" i="38"/>
  <c r="AD176" i="38"/>
  <c r="AE174" i="38"/>
  <c r="AE117" i="38"/>
  <c r="AE112" i="38"/>
  <c r="AD113" i="38"/>
  <c r="AF118" i="38" l="1"/>
  <c r="AE170" i="38"/>
  <c r="AF169" i="38"/>
  <c r="AD120" i="38"/>
  <c r="AE119" i="38"/>
  <c r="AE113" i="38"/>
  <c r="AF112" i="38"/>
  <c r="AF117" i="38"/>
  <c r="AE176" i="38"/>
  <c r="AF174" i="38"/>
  <c r="AF170" i="38" l="1"/>
  <c r="AE120" i="38"/>
  <c r="AG118" i="38"/>
  <c r="AF119" i="38"/>
  <c r="AF113" i="38"/>
  <c r="AG117" i="38"/>
  <c r="AF176" i="38"/>
  <c r="AG174" i="38"/>
  <c r="AG123" i="38" l="1"/>
  <c r="AF120" i="38"/>
  <c r="AG119" i="38"/>
  <c r="AG178" i="38"/>
  <c r="AG176" i="38"/>
  <c r="AG122" i="38"/>
  <c r="AG120" i="38" l="1"/>
  <c r="AG124" i="38"/>
  <c r="J118" i="37" l="1"/>
  <c r="H117" i="37"/>
  <c r="H119" i="37" s="1"/>
  <c r="J119" i="37" s="1"/>
  <c r="J116" i="37"/>
  <c r="J115" i="37"/>
  <c r="J114" i="37"/>
  <c r="J113" i="37"/>
  <c r="J112" i="37"/>
  <c r="J111" i="37"/>
  <c r="J110" i="37"/>
  <c r="J109" i="37"/>
  <c r="J108" i="37"/>
  <c r="J107" i="37"/>
  <c r="J106" i="37"/>
  <c r="J105" i="37"/>
  <c r="J104" i="37"/>
  <c r="J103" i="37"/>
  <c r="J102" i="37"/>
  <c r="J101" i="37"/>
  <c r="J100" i="37"/>
  <c r="J99" i="37"/>
  <c r="J98" i="37"/>
  <c r="J97" i="37"/>
  <c r="G96" i="37"/>
  <c r="G95" i="37"/>
  <c r="J94" i="37"/>
  <c r="M93" i="37"/>
  <c r="M92" i="37"/>
  <c r="J91" i="37"/>
  <c r="J90" i="37"/>
  <c r="J89" i="37"/>
  <c r="M88" i="37"/>
  <c r="M87" i="37"/>
  <c r="M86" i="37"/>
  <c r="H86" i="37"/>
  <c r="J86" i="37" s="1"/>
  <c r="L86" i="37" s="1"/>
  <c r="M85" i="37"/>
  <c r="H85" i="37"/>
  <c r="M84" i="37"/>
  <c r="H84" i="37"/>
  <c r="J84" i="37" s="1"/>
  <c r="M83" i="37"/>
  <c r="H83" i="37"/>
  <c r="M82" i="37"/>
  <c r="N82" i="37" s="1"/>
  <c r="J82" i="37"/>
  <c r="M81" i="37"/>
  <c r="N81" i="37" s="1"/>
  <c r="J81" i="37"/>
  <c r="L81" i="37" s="1"/>
  <c r="M80" i="37"/>
  <c r="G80" i="37"/>
  <c r="H80" i="37" s="1"/>
  <c r="M79" i="37"/>
  <c r="H79" i="37"/>
  <c r="T86" i="24" s="1"/>
  <c r="L89" i="24" s="1"/>
  <c r="M78" i="37"/>
  <c r="G78" i="37"/>
  <c r="H78" i="37" s="1"/>
  <c r="M77" i="37"/>
  <c r="H77" i="37"/>
  <c r="T87" i="24" s="1"/>
  <c r="M76" i="37"/>
  <c r="N76" i="37" s="1"/>
  <c r="J76" i="37"/>
  <c r="L76" i="37" s="1"/>
  <c r="M75" i="37"/>
  <c r="N75" i="37" s="1"/>
  <c r="J75" i="37"/>
  <c r="M74" i="37"/>
  <c r="N74" i="37" s="1"/>
  <c r="J74" i="37"/>
  <c r="M73" i="37"/>
  <c r="N73" i="37" s="1"/>
  <c r="J73" i="37"/>
  <c r="M72" i="37"/>
  <c r="N72" i="37" s="1"/>
  <c r="J72" i="37"/>
  <c r="M71" i="37"/>
  <c r="N71" i="37" s="1"/>
  <c r="J71" i="37"/>
  <c r="M70" i="37"/>
  <c r="N70" i="37" s="1"/>
  <c r="J70" i="37"/>
  <c r="M69" i="37"/>
  <c r="N69" i="37" s="1"/>
  <c r="J69" i="37"/>
  <c r="M68" i="37"/>
  <c r="N68" i="37" s="1"/>
  <c r="J68" i="37"/>
  <c r="M67" i="37"/>
  <c r="N67" i="37" s="1"/>
  <c r="J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G43" i="37"/>
  <c r="G44" i="37" s="1"/>
  <c r="M42" i="37"/>
  <c r="M41" i="37"/>
  <c r="M40" i="37"/>
  <c r="M39" i="37"/>
  <c r="M38" i="37"/>
  <c r="M37" i="37"/>
  <c r="M36" i="37"/>
  <c r="M35" i="37"/>
  <c r="M34" i="37"/>
  <c r="M33" i="37"/>
  <c r="M32" i="37"/>
  <c r="M31" i="37"/>
  <c r="G31" i="37"/>
  <c r="M30" i="37"/>
  <c r="M29" i="37"/>
  <c r="M28" i="37"/>
  <c r="M27" i="37"/>
  <c r="M26" i="37"/>
  <c r="N26" i="37" s="1"/>
  <c r="J26" i="37"/>
  <c r="M25" i="37"/>
  <c r="N25" i="37" s="1"/>
  <c r="J25" i="37"/>
  <c r="M24" i="37"/>
  <c r="N24" i="37" s="1"/>
  <c r="J24" i="37"/>
  <c r="M23" i="37"/>
  <c r="N23" i="37" s="1"/>
  <c r="J23" i="37"/>
  <c r="M22" i="37"/>
  <c r="N22" i="37" s="1"/>
  <c r="J22" i="37"/>
  <c r="M21" i="37"/>
  <c r="N21" i="37" s="1"/>
  <c r="J21" i="37"/>
  <c r="M20" i="37"/>
  <c r="N20" i="37" s="1"/>
  <c r="J20" i="37"/>
  <c r="M19" i="37"/>
  <c r="H19" i="37"/>
  <c r="T90" i="24" s="1"/>
  <c r="M18" i="37"/>
  <c r="H18" i="37"/>
  <c r="T88" i="24" s="1"/>
  <c r="M17" i="37"/>
  <c r="N17" i="37" s="1"/>
  <c r="J17" i="37"/>
  <c r="M16" i="37"/>
  <c r="N16" i="37" s="1"/>
  <c r="J16" i="37"/>
  <c r="M15" i="37"/>
  <c r="N15" i="37" s="1"/>
  <c r="J15" i="37"/>
  <c r="M14" i="37"/>
  <c r="N14" i="37" s="1"/>
  <c r="J14" i="37"/>
  <c r="M13" i="37"/>
  <c r="N13" i="37" s="1"/>
  <c r="J13" i="37"/>
  <c r="M12" i="37"/>
  <c r="N12" i="37" s="1"/>
  <c r="J12" i="37"/>
  <c r="M11" i="37"/>
  <c r="N11" i="37" s="1"/>
  <c r="J11" i="37"/>
  <c r="M10" i="37"/>
  <c r="N10" i="37" s="1"/>
  <c r="J10" i="37"/>
  <c r="M9" i="37"/>
  <c r="N9" i="37" s="1"/>
  <c r="J9" i="37"/>
  <c r="M8" i="37"/>
  <c r="N8" i="37" s="1"/>
  <c r="J8" i="37"/>
  <c r="M7" i="37"/>
  <c r="N7" i="37" s="1"/>
  <c r="M6" i="37"/>
  <c r="H51" i="37"/>
  <c r="M5" i="37"/>
  <c r="D34" i="36"/>
  <c r="D22" i="36"/>
  <c r="E3" i="36"/>
  <c r="G45" i="13"/>
  <c r="G46" i="13" s="1"/>
  <c r="G43" i="13"/>
  <c r="G41" i="13"/>
  <c r="G40" i="13"/>
  <c r="G39" i="13"/>
  <c r="G38" i="13"/>
  <c r="C15" i="3"/>
  <c r="B15" i="3"/>
  <c r="AE2" i="3"/>
  <c r="C46" i="4"/>
  <c r="I45" i="4"/>
  <c r="J45" i="4" s="1"/>
  <c r="I44" i="4"/>
  <c r="J44" i="4" s="1"/>
  <c r="I43" i="4"/>
  <c r="J43" i="4" s="1"/>
  <c r="I42" i="4"/>
  <c r="J42" i="4" s="1"/>
  <c r="I41" i="4"/>
  <c r="J41" i="4" s="1"/>
  <c r="I40" i="4"/>
  <c r="J40" i="4" s="1"/>
  <c r="I39" i="4"/>
  <c r="J39" i="4" s="1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E168" i="14"/>
  <c r="F168" i="14"/>
  <c r="G168" i="14"/>
  <c r="H168" i="14"/>
  <c r="I168" i="14"/>
  <c r="J168" i="14"/>
  <c r="K168" i="14"/>
  <c r="L168" i="14"/>
  <c r="M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E169" i="14"/>
  <c r="F169" i="14"/>
  <c r="G169" i="14"/>
  <c r="H169" i="14"/>
  <c r="I169" i="14"/>
  <c r="J169" i="14"/>
  <c r="K169" i="14"/>
  <c r="L169" i="14"/>
  <c r="M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K197" i="28"/>
  <c r="AK198" i="28"/>
  <c r="AK199" i="28"/>
  <c r="AK196" i="28"/>
  <c r="R21" i="37"/>
  <c r="R23" i="37"/>
  <c r="G44" i="13" l="1"/>
  <c r="G42" i="13"/>
  <c r="D24" i="13" s="1"/>
  <c r="AK244" i="53"/>
  <c r="AK244" i="54"/>
  <c r="AK356" i="48"/>
  <c r="AK328" i="38"/>
  <c r="AK328" i="42"/>
  <c r="AK247" i="53"/>
  <c r="AK247" i="54"/>
  <c r="AK359" i="48"/>
  <c r="AK331" i="38"/>
  <c r="AK331" i="42"/>
  <c r="AK246" i="53"/>
  <c r="AK246" i="54"/>
  <c r="AK358" i="48"/>
  <c r="AK330" i="42"/>
  <c r="AK330" i="38"/>
  <c r="AK245" i="53"/>
  <c r="AK245" i="54"/>
  <c r="AK357" i="48"/>
  <c r="AK329" i="42"/>
  <c r="AK329" i="38"/>
  <c r="D23" i="11"/>
  <c r="L98" i="37"/>
  <c r="J77" i="37"/>
  <c r="L77" i="37" s="1"/>
  <c r="N85" i="37"/>
  <c r="H30" i="37"/>
  <c r="L68" i="37"/>
  <c r="L69" i="37"/>
  <c r="J85" i="37"/>
  <c r="L85" i="37" s="1"/>
  <c r="L102" i="37"/>
  <c r="L106" i="37"/>
  <c r="L110" i="37"/>
  <c r="L114" i="37"/>
  <c r="N18" i="37"/>
  <c r="L24" i="37"/>
  <c r="L72" i="37"/>
  <c r="L73" i="37"/>
  <c r="N78" i="37"/>
  <c r="L82" i="37"/>
  <c r="N83" i="37"/>
  <c r="L91" i="37"/>
  <c r="L97" i="37"/>
  <c r="L90" i="37"/>
  <c r="J83" i="37"/>
  <c r="N84" i="37"/>
  <c r="L94" i="37"/>
  <c r="N19" i="37"/>
  <c r="L12" i="37"/>
  <c r="L13" i="37"/>
  <c r="L26" i="37"/>
  <c r="N77" i="37"/>
  <c r="N6" i="37"/>
  <c r="N79" i="37"/>
  <c r="T80" i="24"/>
  <c r="N86" i="37"/>
  <c r="J6" i="37"/>
  <c r="L8" i="37"/>
  <c r="L9" i="37"/>
  <c r="L16" i="37"/>
  <c r="L17" i="37"/>
  <c r="L23" i="37"/>
  <c r="H31" i="37"/>
  <c r="N31" i="37" s="1"/>
  <c r="L101" i="37"/>
  <c r="L105" i="37"/>
  <c r="L109" i="37"/>
  <c r="L113" i="37"/>
  <c r="J117" i="37"/>
  <c r="L117" i="37" s="1"/>
  <c r="L67" i="37"/>
  <c r="L107" i="37"/>
  <c r="L118" i="37"/>
  <c r="L6" i="37"/>
  <c r="L7" i="37"/>
  <c r="L20" i="37"/>
  <c r="L21" i="37"/>
  <c r="L83" i="37"/>
  <c r="L116" i="37"/>
  <c r="L10" i="37"/>
  <c r="L11" i="37"/>
  <c r="L104" i="37"/>
  <c r="L111" i="37"/>
  <c r="L100" i="37"/>
  <c r="L74" i="37"/>
  <c r="L75" i="37"/>
  <c r="L84" i="37"/>
  <c r="L99" i="37"/>
  <c r="L108" i="37"/>
  <c r="L115" i="37"/>
  <c r="D64" i="36"/>
  <c r="L14" i="37"/>
  <c r="L15" i="37"/>
  <c r="L22" i="37"/>
  <c r="L25" i="37"/>
  <c r="L70" i="37"/>
  <c r="L71" i="37"/>
  <c r="L89" i="37"/>
  <c r="L103" i="37"/>
  <c r="L112" i="37"/>
  <c r="L119" i="37"/>
  <c r="Y5" i="3"/>
  <c r="Y7" i="3" s="1"/>
  <c r="H44" i="37"/>
  <c r="N80" i="37"/>
  <c r="J80" i="37"/>
  <c r="L80" i="37" s="1"/>
  <c r="N30" i="37"/>
  <c r="J30" i="37"/>
  <c r="L30" i="37" s="1"/>
  <c r="H43" i="37"/>
  <c r="N51" i="37"/>
  <c r="J51" i="37"/>
  <c r="L51" i="37" s="1"/>
  <c r="H29" i="37"/>
  <c r="H27" i="37"/>
  <c r="J5" i="37"/>
  <c r="L5" i="37" s="1"/>
  <c r="N5" i="37"/>
  <c r="J18" i="37"/>
  <c r="L18" i="37" s="1"/>
  <c r="H46" i="37"/>
  <c r="H48" i="37"/>
  <c r="H50" i="37"/>
  <c r="J78" i="37"/>
  <c r="L78" i="37" s="1"/>
  <c r="H28" i="37"/>
  <c r="J19" i="37"/>
  <c r="L19" i="37" s="1"/>
  <c r="H47" i="37"/>
  <c r="H49" i="37"/>
  <c r="J79" i="37"/>
  <c r="L79" i="37" s="1"/>
  <c r="I81" i="24"/>
  <c r="F3" i="36"/>
  <c r="G48" i="13"/>
  <c r="E357" i="48" l="1"/>
  <c r="T358" i="48" s="1"/>
  <c r="D357" i="48"/>
  <c r="S358" i="48" s="1"/>
  <c r="C357" i="48"/>
  <c r="F357" i="48"/>
  <c r="U358" i="48" s="1"/>
  <c r="G357" i="48"/>
  <c r="V358" i="48" s="1"/>
  <c r="H357" i="48"/>
  <c r="W358" i="48" s="1"/>
  <c r="I357" i="48"/>
  <c r="X358" i="48" s="1"/>
  <c r="J357" i="48"/>
  <c r="Y358" i="48" s="1"/>
  <c r="K357" i="48"/>
  <c r="Z358" i="48" s="1"/>
  <c r="L357" i="48"/>
  <c r="AA358" i="48" s="1"/>
  <c r="M357" i="48"/>
  <c r="AB358" i="48" s="1"/>
  <c r="N357" i="48"/>
  <c r="AC358" i="48" s="1"/>
  <c r="O357" i="48"/>
  <c r="AD358" i="48" s="1"/>
  <c r="P357" i="48"/>
  <c r="AE358" i="48" s="1"/>
  <c r="Q357" i="48"/>
  <c r="AF358" i="48" s="1"/>
  <c r="R357" i="48"/>
  <c r="AG358" i="48" s="1"/>
  <c r="S357" i="48"/>
  <c r="T357" i="48"/>
  <c r="U357" i="48"/>
  <c r="V357" i="48"/>
  <c r="W357" i="48"/>
  <c r="X357" i="48"/>
  <c r="Y357" i="48"/>
  <c r="Z357" i="48"/>
  <c r="AA357" i="48"/>
  <c r="AB357" i="48"/>
  <c r="AC357" i="48"/>
  <c r="AD357" i="48"/>
  <c r="AE357" i="48"/>
  <c r="AF357" i="48"/>
  <c r="AG357" i="48"/>
  <c r="T357" i="46"/>
  <c r="N357" i="46"/>
  <c r="AC358" i="46" s="1"/>
  <c r="F357" i="46"/>
  <c r="U358" i="46" s="1"/>
  <c r="O357" i="46"/>
  <c r="AD358" i="46" s="1"/>
  <c r="S357" i="46"/>
  <c r="P357" i="46"/>
  <c r="AE358" i="46" s="1"/>
  <c r="I357" i="46"/>
  <c r="X358" i="46" s="1"/>
  <c r="AE357" i="46"/>
  <c r="E357" i="46"/>
  <c r="T358" i="46" s="1"/>
  <c r="L357" i="46"/>
  <c r="AA358" i="46" s="1"/>
  <c r="C357" i="46"/>
  <c r="U357" i="46"/>
  <c r="M357" i="46"/>
  <c r="AB358" i="46" s="1"/>
  <c r="X357" i="46"/>
  <c r="H357" i="46"/>
  <c r="W358" i="46" s="1"/>
  <c r="AG357" i="46"/>
  <c r="J357" i="46"/>
  <c r="Y358" i="46" s="1"/>
  <c r="W357" i="46"/>
  <c r="Z357" i="46"/>
  <c r="D357" i="46"/>
  <c r="S358" i="46" s="1"/>
  <c r="AA357" i="46"/>
  <c r="AC357" i="46"/>
  <c r="AF357" i="46"/>
  <c r="AD357" i="46"/>
  <c r="V357" i="46"/>
  <c r="R357" i="46"/>
  <c r="AG358" i="46" s="1"/>
  <c r="K357" i="46"/>
  <c r="Z358" i="46" s="1"/>
  <c r="AB357" i="46"/>
  <c r="Y357" i="46"/>
  <c r="Q357" i="46"/>
  <c r="AF358" i="46" s="1"/>
  <c r="G357" i="46"/>
  <c r="V358" i="46" s="1"/>
  <c r="C245" i="54"/>
  <c r="E245" i="54"/>
  <c r="T246" i="54" s="1"/>
  <c r="I245" i="54"/>
  <c r="X246" i="54" s="1"/>
  <c r="H245" i="54"/>
  <c r="W246" i="54" s="1"/>
  <c r="G245" i="54"/>
  <c r="V246" i="54" s="1"/>
  <c r="F245" i="54"/>
  <c r="U246" i="54" s="1"/>
  <c r="D245" i="54"/>
  <c r="S246" i="54" s="1"/>
  <c r="J245" i="54"/>
  <c r="Y246" i="54" s="1"/>
  <c r="R245" i="54"/>
  <c r="AG246" i="54" s="1"/>
  <c r="L245" i="54"/>
  <c r="AA246" i="54" s="1"/>
  <c r="N245" i="54"/>
  <c r="AC246" i="54" s="1"/>
  <c r="O245" i="54"/>
  <c r="AD246" i="54" s="1"/>
  <c r="P245" i="54"/>
  <c r="AE246" i="54" s="1"/>
  <c r="Q245" i="54"/>
  <c r="AF246" i="54" s="1"/>
  <c r="M245" i="54"/>
  <c r="AB246" i="54" s="1"/>
  <c r="K245" i="54"/>
  <c r="Z246" i="54" s="1"/>
  <c r="S245" i="54"/>
  <c r="T245" i="54"/>
  <c r="U245" i="54"/>
  <c r="V245" i="54"/>
  <c r="W245" i="54"/>
  <c r="X245" i="54"/>
  <c r="Y245" i="54"/>
  <c r="Z245" i="54"/>
  <c r="AA245" i="54"/>
  <c r="AB245" i="54"/>
  <c r="AC245" i="54"/>
  <c r="AD245" i="54"/>
  <c r="AE245" i="54"/>
  <c r="AF245" i="54"/>
  <c r="AG245" i="54"/>
  <c r="E245" i="53"/>
  <c r="T246" i="53" s="1"/>
  <c r="D245" i="53"/>
  <c r="S246" i="53" s="1"/>
  <c r="C245" i="53"/>
  <c r="F245" i="53"/>
  <c r="U246" i="53" s="1"/>
  <c r="G245" i="53"/>
  <c r="V246" i="53" s="1"/>
  <c r="I245" i="53"/>
  <c r="X246" i="53" s="1"/>
  <c r="H245" i="53"/>
  <c r="W246" i="53" s="1"/>
  <c r="J245" i="53"/>
  <c r="Y246" i="53" s="1"/>
  <c r="K245" i="53"/>
  <c r="Z246" i="53" s="1"/>
  <c r="L245" i="53"/>
  <c r="AA246" i="53" s="1"/>
  <c r="M245" i="53"/>
  <c r="AB246" i="53" s="1"/>
  <c r="N245" i="53"/>
  <c r="AC246" i="53" s="1"/>
  <c r="O245" i="53"/>
  <c r="AD246" i="53" s="1"/>
  <c r="P245" i="53"/>
  <c r="AE246" i="53" s="1"/>
  <c r="Q245" i="53"/>
  <c r="AF246" i="53" s="1"/>
  <c r="R245" i="53"/>
  <c r="AG246" i="53" s="1"/>
  <c r="S245" i="53"/>
  <c r="T245" i="53"/>
  <c r="U245" i="53"/>
  <c r="V245" i="53"/>
  <c r="W245" i="53"/>
  <c r="X245" i="53"/>
  <c r="Y245" i="53"/>
  <c r="Z245" i="53"/>
  <c r="AA245" i="53"/>
  <c r="AB245" i="53"/>
  <c r="AC245" i="53"/>
  <c r="AD245" i="53"/>
  <c r="AE245" i="53"/>
  <c r="AF245" i="53"/>
  <c r="AG245" i="53"/>
  <c r="E329" i="38"/>
  <c r="T330" i="38" s="1"/>
  <c r="M329" i="38"/>
  <c r="AB330" i="38" s="1"/>
  <c r="U329" i="38"/>
  <c r="AC329" i="38"/>
  <c r="F329" i="38"/>
  <c r="U330" i="38" s="1"/>
  <c r="N329" i="38"/>
  <c r="AC330" i="38" s="1"/>
  <c r="V329" i="38"/>
  <c r="AD329" i="38"/>
  <c r="G329" i="38"/>
  <c r="V330" i="38" s="1"/>
  <c r="O329" i="38"/>
  <c r="AD330" i="38" s="1"/>
  <c r="W329" i="38"/>
  <c r="AE329" i="38"/>
  <c r="H329" i="38"/>
  <c r="W330" i="38" s="1"/>
  <c r="P329" i="38"/>
  <c r="AE330" i="38" s="1"/>
  <c r="X329" i="38"/>
  <c r="AF329" i="38"/>
  <c r="I329" i="38"/>
  <c r="X330" i="38" s="1"/>
  <c r="Q329" i="38"/>
  <c r="AF330" i="38" s="1"/>
  <c r="Y329" i="38"/>
  <c r="AG329" i="38"/>
  <c r="J329" i="38"/>
  <c r="Y330" i="38" s="1"/>
  <c r="R329" i="38"/>
  <c r="AG330" i="38" s="1"/>
  <c r="Z329" i="38"/>
  <c r="C329" i="38"/>
  <c r="K329" i="38"/>
  <c r="Z330" i="38" s="1"/>
  <c r="S329" i="38"/>
  <c r="AA329" i="38"/>
  <c r="D329" i="38"/>
  <c r="S330" i="38" s="1"/>
  <c r="L329" i="38"/>
  <c r="AA330" i="38" s="1"/>
  <c r="T329" i="38"/>
  <c r="AB329" i="38"/>
  <c r="D329" i="42"/>
  <c r="S330" i="42" s="1"/>
  <c r="C329" i="42"/>
  <c r="E329" i="42"/>
  <c r="T330" i="42" s="1"/>
  <c r="F329" i="42"/>
  <c r="U330" i="42" s="1"/>
  <c r="G329" i="42"/>
  <c r="V330" i="42" s="1"/>
  <c r="H329" i="42"/>
  <c r="W330" i="42" s="1"/>
  <c r="I329" i="42"/>
  <c r="X330" i="42" s="1"/>
  <c r="J329" i="42"/>
  <c r="Y330" i="42" s="1"/>
  <c r="K329" i="42"/>
  <c r="Z330" i="42" s="1"/>
  <c r="L329" i="42"/>
  <c r="AA330" i="42" s="1"/>
  <c r="M329" i="42"/>
  <c r="AB330" i="42" s="1"/>
  <c r="N329" i="42"/>
  <c r="AC330" i="42" s="1"/>
  <c r="O329" i="42"/>
  <c r="AD330" i="42" s="1"/>
  <c r="P329" i="42"/>
  <c r="AE330" i="42" s="1"/>
  <c r="Q329" i="42"/>
  <c r="AF330" i="42" s="1"/>
  <c r="R329" i="42"/>
  <c r="AG330" i="42" s="1"/>
  <c r="S329" i="42"/>
  <c r="T329" i="42"/>
  <c r="U329" i="42"/>
  <c r="V329" i="42"/>
  <c r="W329" i="42"/>
  <c r="X329" i="42"/>
  <c r="Y329" i="42"/>
  <c r="Z329" i="42"/>
  <c r="AA329" i="42"/>
  <c r="AB329" i="42"/>
  <c r="AC329" i="42"/>
  <c r="AD329" i="42"/>
  <c r="AE329" i="42"/>
  <c r="AF329" i="42"/>
  <c r="AG329" i="42"/>
  <c r="H59" i="33"/>
  <c r="E39" i="40"/>
  <c r="E43" i="40"/>
  <c r="E41" i="40"/>
  <c r="E38" i="40"/>
  <c r="E40" i="40"/>
  <c r="E37" i="40"/>
  <c r="D41" i="40"/>
  <c r="D37" i="40"/>
  <c r="D38" i="40"/>
  <c r="D43" i="40"/>
  <c r="D39" i="40"/>
  <c r="D40" i="40"/>
  <c r="J31" i="37"/>
  <c r="L31" i="37" s="1"/>
  <c r="AJ5" i="36"/>
  <c r="BN5" i="36"/>
  <c r="D70" i="36"/>
  <c r="AH6" i="36"/>
  <c r="N43" i="37"/>
  <c r="J43" i="37"/>
  <c r="L43" i="37" s="1"/>
  <c r="N50" i="37"/>
  <c r="J50" i="37"/>
  <c r="L50" i="37" s="1"/>
  <c r="H66" i="37"/>
  <c r="H65" i="37"/>
  <c r="H63" i="37"/>
  <c r="H64" i="37"/>
  <c r="H62" i="37"/>
  <c r="N49" i="37"/>
  <c r="J49" i="37"/>
  <c r="L49" i="37" s="1"/>
  <c r="H40" i="37"/>
  <c r="H38" i="37"/>
  <c r="H36" i="37"/>
  <c r="H34" i="37"/>
  <c r="N28" i="37"/>
  <c r="J28" i="37"/>
  <c r="L28" i="37" s="1"/>
  <c r="H39" i="37"/>
  <c r="H37" i="37"/>
  <c r="H35" i="37"/>
  <c r="H61" i="37"/>
  <c r="N48" i="37"/>
  <c r="J48" i="37"/>
  <c r="L48" i="37" s="1"/>
  <c r="H60" i="37"/>
  <c r="N44" i="37"/>
  <c r="J44" i="37"/>
  <c r="L44" i="37" s="1"/>
  <c r="H59" i="37"/>
  <c r="H57" i="37"/>
  <c r="H58" i="37"/>
  <c r="H56" i="37"/>
  <c r="N47" i="37"/>
  <c r="J47" i="37"/>
  <c r="L47" i="37" s="1"/>
  <c r="H55" i="37"/>
  <c r="H53" i="37"/>
  <c r="N46" i="37"/>
  <c r="J46" i="37"/>
  <c r="L46" i="37" s="1"/>
  <c r="H54" i="37"/>
  <c r="H52" i="37"/>
  <c r="H32" i="37"/>
  <c r="H33" i="37"/>
  <c r="N27" i="37"/>
  <c r="J27" i="37"/>
  <c r="L27" i="37" s="1"/>
  <c r="H93" i="37"/>
  <c r="H92" i="37"/>
  <c r="N45" i="37"/>
  <c r="J45" i="37"/>
  <c r="L45" i="37" s="1"/>
  <c r="H42" i="37"/>
  <c r="H41" i="37"/>
  <c r="N29" i="37"/>
  <c r="J29" i="37"/>
  <c r="L29" i="37" s="1"/>
  <c r="G3" i="36"/>
  <c r="Y13" i="3"/>
  <c r="Y12" i="3"/>
  <c r="Y8" i="3"/>
  <c r="R22" i="37"/>
  <c r="R246" i="53" l="1"/>
  <c r="M246" i="53"/>
  <c r="M246" i="54"/>
  <c r="R246" i="54"/>
  <c r="R330" i="42"/>
  <c r="M330" i="42"/>
  <c r="R330" i="38"/>
  <c r="M330" i="38"/>
  <c r="M358" i="48"/>
  <c r="R358" i="48"/>
  <c r="M358" i="46"/>
  <c r="R358" i="46"/>
  <c r="I39" i="40"/>
  <c r="I43" i="40"/>
  <c r="I38" i="40"/>
  <c r="I37" i="40"/>
  <c r="I41" i="40"/>
  <c r="I40" i="40"/>
  <c r="E46" i="40"/>
  <c r="F43" i="40"/>
  <c r="F40" i="40"/>
  <c r="F37" i="40"/>
  <c r="F41" i="40"/>
  <c r="F38" i="40"/>
  <c r="F39" i="40"/>
  <c r="B39" i="40"/>
  <c r="B41" i="40"/>
  <c r="B38" i="40"/>
  <c r="B40" i="40"/>
  <c r="B43" i="40"/>
  <c r="C37" i="40"/>
  <c r="C43" i="40"/>
  <c r="C40" i="40"/>
  <c r="C38" i="40"/>
  <c r="C39" i="40"/>
  <c r="C41" i="40"/>
  <c r="D46" i="40"/>
  <c r="AH14" i="36"/>
  <c r="BN6" i="36"/>
  <c r="Y14" i="3"/>
  <c r="Y15" i="3" s="1"/>
  <c r="R25" i="37"/>
  <c r="N42" i="37"/>
  <c r="J42" i="37"/>
  <c r="L42" i="37" s="1"/>
  <c r="N93" i="37"/>
  <c r="J93" i="37"/>
  <c r="L93" i="37" s="1"/>
  <c r="N33" i="37"/>
  <c r="J33" i="37"/>
  <c r="L33" i="37" s="1"/>
  <c r="N57" i="37"/>
  <c r="J57" i="37"/>
  <c r="L57" i="37" s="1"/>
  <c r="N60" i="37"/>
  <c r="J60" i="37"/>
  <c r="L60" i="37" s="1"/>
  <c r="N35" i="37"/>
  <c r="J35" i="37"/>
  <c r="L35" i="37" s="1"/>
  <c r="N40" i="37"/>
  <c r="J40" i="37"/>
  <c r="L40" i="37" s="1"/>
  <c r="N64" i="37"/>
  <c r="J64" i="37"/>
  <c r="L64" i="37" s="1"/>
  <c r="N32" i="37"/>
  <c r="J32" i="37"/>
  <c r="L32" i="37" s="1"/>
  <c r="N59" i="37"/>
  <c r="J59" i="37"/>
  <c r="L59" i="37" s="1"/>
  <c r="N37" i="37"/>
  <c r="J37" i="37"/>
  <c r="L37" i="37" s="1"/>
  <c r="H87" i="37"/>
  <c r="N34" i="37"/>
  <c r="J34" i="37"/>
  <c r="L34" i="37" s="1"/>
  <c r="H88" i="37"/>
  <c r="N63" i="37"/>
  <c r="J63" i="37"/>
  <c r="L63" i="37" s="1"/>
  <c r="N52" i="37"/>
  <c r="J52" i="37"/>
  <c r="L52" i="37" s="1"/>
  <c r="N53" i="37"/>
  <c r="J53" i="37"/>
  <c r="L53" i="37" s="1"/>
  <c r="N56" i="37"/>
  <c r="J56" i="37"/>
  <c r="L56" i="37" s="1"/>
  <c r="N39" i="37"/>
  <c r="J39" i="37"/>
  <c r="L39" i="37" s="1"/>
  <c r="N36" i="37"/>
  <c r="J36" i="37"/>
  <c r="L36" i="37" s="1"/>
  <c r="N65" i="37"/>
  <c r="J65" i="37"/>
  <c r="L65" i="37" s="1"/>
  <c r="N41" i="37"/>
  <c r="J41" i="37"/>
  <c r="L41" i="37" s="1"/>
  <c r="N92" i="37"/>
  <c r="J92" i="37"/>
  <c r="L92" i="37" s="1"/>
  <c r="N54" i="37"/>
  <c r="J54" i="37"/>
  <c r="L54" i="37" s="1"/>
  <c r="N55" i="37"/>
  <c r="J55" i="37"/>
  <c r="L55" i="37" s="1"/>
  <c r="N58" i="37"/>
  <c r="J58" i="37"/>
  <c r="L58" i="37" s="1"/>
  <c r="N61" i="37"/>
  <c r="J61" i="37"/>
  <c r="L61" i="37" s="1"/>
  <c r="N38" i="37"/>
  <c r="J38" i="37"/>
  <c r="L38" i="37" s="1"/>
  <c r="N62" i="37"/>
  <c r="J62" i="37"/>
  <c r="L62" i="37" s="1"/>
  <c r="N66" i="37"/>
  <c r="J66" i="37"/>
  <c r="L66" i="37" s="1"/>
  <c r="H3" i="36"/>
  <c r="BN14" i="36" l="1"/>
  <c r="I46" i="40"/>
  <c r="T92" i="24"/>
  <c r="D2" i="37"/>
  <c r="M8" i="40" s="1"/>
  <c r="T89" i="24"/>
  <c r="T91" i="24" s="1"/>
  <c r="C46" i="40"/>
  <c r="B46" i="40"/>
  <c r="F46" i="40"/>
  <c r="S23" i="37"/>
  <c r="S21" i="37"/>
  <c r="N87" i="37"/>
  <c r="J87" i="37"/>
  <c r="L87" i="37" s="1"/>
  <c r="H96" i="37"/>
  <c r="H95" i="37"/>
  <c r="S24" i="37"/>
  <c r="N88" i="37"/>
  <c r="J88" i="37"/>
  <c r="L88" i="37" s="1"/>
  <c r="S22" i="37"/>
  <c r="I3" i="36"/>
  <c r="M9" i="40" l="1"/>
  <c r="T83" i="24" s="1"/>
  <c r="M10" i="40"/>
  <c r="K2" i="40" a="1"/>
  <c r="J95" i="37"/>
  <c r="L95" i="37" s="1"/>
  <c r="J96" i="37"/>
  <c r="L96" i="37" s="1"/>
  <c r="J3" i="36"/>
  <c r="M11" i="40" l="1"/>
  <c r="M12" i="40" s="1"/>
  <c r="H38" i="40"/>
  <c r="H43" i="40"/>
  <c r="H42" i="40"/>
  <c r="L42" i="40" s="1"/>
  <c r="K2" i="40"/>
  <c r="M44" i="40"/>
  <c r="K3" i="36"/>
  <c r="O44" i="40" l="1"/>
  <c r="D11" i="45"/>
  <c r="D10" i="36"/>
  <c r="F6" i="3"/>
  <c r="F7" i="3" s="1"/>
  <c r="F9" i="3" s="1"/>
  <c r="F13" i="3" s="1"/>
  <c r="T82" i="24"/>
  <c r="B12" i="40"/>
  <c r="B14" i="40" s="1"/>
  <c r="H46" i="40"/>
  <c r="J43" i="40"/>
  <c r="J37" i="40"/>
  <c r="J40" i="40"/>
  <c r="J41" i="40"/>
  <c r="J39" i="40"/>
  <c r="J38" i="40"/>
  <c r="K42" i="40"/>
  <c r="M42" i="40"/>
  <c r="G43" i="40"/>
  <c r="L43" i="40" s="1"/>
  <c r="G40" i="40"/>
  <c r="L40" i="40" s="1"/>
  <c r="G37" i="40"/>
  <c r="L37" i="40" s="1"/>
  <c r="G41" i="40"/>
  <c r="L41" i="40" s="1"/>
  <c r="G38" i="40"/>
  <c r="G39" i="40"/>
  <c r="L39" i="40" s="1"/>
  <c r="L3" i="36"/>
  <c r="K10" i="36" l="1"/>
  <c r="D7" i="36"/>
  <c r="AJ11" i="45"/>
  <c r="M37" i="40"/>
  <c r="L45" i="40"/>
  <c r="M45" i="40" s="1"/>
  <c r="L38" i="40"/>
  <c r="O42" i="40"/>
  <c r="D46" i="36"/>
  <c r="AF10" i="45"/>
  <c r="X10" i="45"/>
  <c r="L10" i="45"/>
  <c r="H10" i="45"/>
  <c r="AE10" i="45"/>
  <c r="W10" i="45"/>
  <c r="O10" i="45"/>
  <c r="G10" i="45"/>
  <c r="AH10" i="45"/>
  <c r="Z10" i="45"/>
  <c r="V10" i="45"/>
  <c r="R10" i="45"/>
  <c r="N10" i="45"/>
  <c r="J10" i="45"/>
  <c r="F10" i="45"/>
  <c r="AB10" i="45"/>
  <c r="T10" i="45"/>
  <c r="P10" i="45"/>
  <c r="E10" i="45"/>
  <c r="AA10" i="45"/>
  <c r="S10" i="45"/>
  <c r="K10" i="45"/>
  <c r="AD10" i="45"/>
  <c r="AG10" i="45"/>
  <c r="AC10" i="45"/>
  <c r="Y10" i="45"/>
  <c r="U10" i="45"/>
  <c r="Q10" i="45"/>
  <c r="M10" i="45"/>
  <c r="I10" i="45"/>
  <c r="AJ10" i="36"/>
  <c r="E10" i="36"/>
  <c r="D11" i="36"/>
  <c r="F10" i="36"/>
  <c r="G10" i="36"/>
  <c r="H10" i="36"/>
  <c r="I10" i="36"/>
  <c r="J10" i="36"/>
  <c r="K7" i="36"/>
  <c r="AQ10" i="36"/>
  <c r="K11" i="36"/>
  <c r="L10" i="36"/>
  <c r="K40" i="40"/>
  <c r="M38" i="40"/>
  <c r="D39" i="36" s="1"/>
  <c r="K38" i="40"/>
  <c r="M43" i="40"/>
  <c r="O43" i="40" s="1"/>
  <c r="K43" i="40"/>
  <c r="G46" i="40"/>
  <c r="K37" i="40"/>
  <c r="M39" i="40"/>
  <c r="K39" i="40"/>
  <c r="B64" i="40" s="1"/>
  <c r="J46" i="40"/>
  <c r="K41" i="40"/>
  <c r="M41" i="40"/>
  <c r="O41" i="40" s="1"/>
  <c r="M3" i="36"/>
  <c r="L46" i="40" l="1"/>
  <c r="O39" i="40"/>
  <c r="D17" i="36"/>
  <c r="AQ11" i="36"/>
  <c r="O45" i="40"/>
  <c r="T81" i="24"/>
  <c r="T84" i="24" s="1"/>
  <c r="D12" i="36"/>
  <c r="D28" i="36"/>
  <c r="O37" i="40"/>
  <c r="AQ7" i="36"/>
  <c r="D8" i="36"/>
  <c r="O38" i="40"/>
  <c r="Y12" i="45"/>
  <c r="Y14" i="45"/>
  <c r="BE10" i="45"/>
  <c r="AC12" i="45"/>
  <c r="AC14" i="45"/>
  <c r="BI10" i="45"/>
  <c r="U12" i="45"/>
  <c r="U14" i="45"/>
  <c r="BA10" i="45"/>
  <c r="BJ10" i="45"/>
  <c r="AD12" i="45"/>
  <c r="AD14" i="45"/>
  <c r="E12" i="45"/>
  <c r="E14" i="45"/>
  <c r="AK10" i="45"/>
  <c r="AL10" i="45"/>
  <c r="F12" i="45"/>
  <c r="F14" i="45"/>
  <c r="V11" i="45"/>
  <c r="BB10" i="45"/>
  <c r="V12" i="45"/>
  <c r="V14" i="45"/>
  <c r="AM10" i="45"/>
  <c r="G12" i="45"/>
  <c r="G14" i="45"/>
  <c r="H11" i="45"/>
  <c r="H14" i="45"/>
  <c r="AN10" i="45"/>
  <c r="H12" i="45"/>
  <c r="AQ10" i="45"/>
  <c r="K12" i="45"/>
  <c r="K14" i="45"/>
  <c r="P14" i="45"/>
  <c r="AV10" i="45"/>
  <c r="P12" i="45"/>
  <c r="J11" i="45"/>
  <c r="AP10" i="45"/>
  <c r="J12" i="45"/>
  <c r="J14" i="45"/>
  <c r="Z11" i="45"/>
  <c r="BF10" i="45"/>
  <c r="Z12" i="45"/>
  <c r="Z14" i="45"/>
  <c r="O11" i="45"/>
  <c r="AU10" i="45"/>
  <c r="O12" i="45"/>
  <c r="O14" i="45"/>
  <c r="L11" i="45"/>
  <c r="L14" i="45"/>
  <c r="AR10" i="45"/>
  <c r="L12" i="45"/>
  <c r="M11" i="45"/>
  <c r="M12" i="45"/>
  <c r="M14" i="45"/>
  <c r="AS10" i="45"/>
  <c r="T14" i="45"/>
  <c r="AZ10" i="45"/>
  <c r="T12" i="45"/>
  <c r="N11" i="45"/>
  <c r="AT10" i="45"/>
  <c r="N12" i="45"/>
  <c r="N14" i="45"/>
  <c r="AH11" i="45"/>
  <c r="BN10" i="45"/>
  <c r="AH12" i="45"/>
  <c r="AH14" i="45"/>
  <c r="BC10" i="45"/>
  <c r="W12" i="45"/>
  <c r="W14" i="45"/>
  <c r="X11" i="45"/>
  <c r="X14" i="45"/>
  <c r="BD10" i="45"/>
  <c r="X12" i="45"/>
  <c r="I12" i="45"/>
  <c r="I14" i="45"/>
  <c r="AO10" i="45"/>
  <c r="AY10" i="45"/>
  <c r="S12" i="45"/>
  <c r="S14" i="45"/>
  <c r="Q12" i="45"/>
  <c r="Q14" i="45"/>
  <c r="AW10" i="45"/>
  <c r="AG12" i="45"/>
  <c r="AG14" i="45"/>
  <c r="BM10" i="45"/>
  <c r="AA11" i="45"/>
  <c r="BG10" i="45"/>
  <c r="AA12" i="45"/>
  <c r="AA14" i="45"/>
  <c r="AB14" i="45"/>
  <c r="BH10" i="45"/>
  <c r="AB12" i="45"/>
  <c r="AX10" i="45"/>
  <c r="R12" i="45"/>
  <c r="R14" i="45"/>
  <c r="AE11" i="45"/>
  <c r="BK10" i="45"/>
  <c r="AE12" i="45"/>
  <c r="AE14" i="45"/>
  <c r="AF11" i="45"/>
  <c r="AF14" i="45"/>
  <c r="BL10" i="45"/>
  <c r="AF12" i="45"/>
  <c r="U11" i="45"/>
  <c r="K11" i="45"/>
  <c r="E11" i="45"/>
  <c r="T11" i="45"/>
  <c r="G11" i="45"/>
  <c r="S11" i="45"/>
  <c r="W11" i="45"/>
  <c r="AD11" i="45"/>
  <c r="I11" i="45"/>
  <c r="Q11" i="45"/>
  <c r="AC11" i="45"/>
  <c r="Y11" i="45"/>
  <c r="AG11" i="45"/>
  <c r="P11" i="45"/>
  <c r="AB11" i="45"/>
  <c r="F11" i="45"/>
  <c r="R11" i="45"/>
  <c r="G7" i="36"/>
  <c r="G11" i="36"/>
  <c r="AM10" i="36"/>
  <c r="J11" i="36"/>
  <c r="J7" i="36"/>
  <c r="AP10" i="36"/>
  <c r="E7" i="36"/>
  <c r="AK10" i="36"/>
  <c r="E11" i="36"/>
  <c r="AO10" i="36"/>
  <c r="I7" i="36"/>
  <c r="I11" i="36"/>
  <c r="F11" i="36"/>
  <c r="F7" i="36"/>
  <c r="AL10" i="36"/>
  <c r="AJ7" i="36"/>
  <c r="D15" i="36"/>
  <c r="D16" i="36"/>
  <c r="H7" i="36"/>
  <c r="H11" i="36"/>
  <c r="AN10" i="36"/>
  <c r="AJ11" i="36"/>
  <c r="D13" i="36"/>
  <c r="K12" i="36"/>
  <c r="L11" i="36"/>
  <c r="AR10" i="36"/>
  <c r="L7" i="36"/>
  <c r="K15" i="36"/>
  <c r="M10" i="36"/>
  <c r="E64" i="40"/>
  <c r="F64" i="40"/>
  <c r="C64" i="40"/>
  <c r="M40" i="40"/>
  <c r="O40" i="40" s="1"/>
  <c r="D64" i="40"/>
  <c r="N3" i="36"/>
  <c r="AW11" i="45" l="1"/>
  <c r="AQ12" i="36"/>
  <c r="AJ8" i="36"/>
  <c r="AX11" i="45"/>
  <c r="AO11" i="45"/>
  <c r="BA11" i="45"/>
  <c r="BK11" i="45"/>
  <c r="BG12" i="45"/>
  <c r="AW12" i="45"/>
  <c r="AZ14" i="45"/>
  <c r="AR11" i="45"/>
  <c r="BF11" i="45"/>
  <c r="AQ14" i="45"/>
  <c r="AM12" i="45"/>
  <c r="BA14" i="45"/>
  <c r="AJ12" i="36"/>
  <c r="AK11" i="36"/>
  <c r="AJ13" i="36"/>
  <c r="AL11" i="45"/>
  <c r="BJ11" i="45"/>
  <c r="BL12" i="45"/>
  <c r="AX14" i="45"/>
  <c r="AY14" i="45"/>
  <c r="BD14" i="45"/>
  <c r="BN11" i="45"/>
  <c r="AU14" i="45"/>
  <c r="AP14" i="45"/>
  <c r="AQ12" i="45"/>
  <c r="BA12" i="45"/>
  <c r="BD12" i="45"/>
  <c r="AR14" i="45"/>
  <c r="BE12" i="45"/>
  <c r="BH11" i="45"/>
  <c r="BC11" i="45"/>
  <c r="AX12" i="45"/>
  <c r="BG11" i="45"/>
  <c r="AY12" i="45"/>
  <c r="BD11" i="45"/>
  <c r="AT14" i="45"/>
  <c r="AS14" i="45"/>
  <c r="AU12" i="45"/>
  <c r="AP12" i="45"/>
  <c r="BB14" i="45"/>
  <c r="AK14" i="45"/>
  <c r="AQ11" i="45"/>
  <c r="AV14" i="45"/>
  <c r="AL11" i="36"/>
  <c r="AV11" i="45"/>
  <c r="AY11" i="45"/>
  <c r="BL14" i="45"/>
  <c r="BC14" i="45"/>
  <c r="AT12" i="45"/>
  <c r="AS12" i="45"/>
  <c r="AN12" i="45"/>
  <c r="BB12" i="45"/>
  <c r="AK12" i="45"/>
  <c r="BI14" i="45"/>
  <c r="BN12" i="45"/>
  <c r="AM14" i="45"/>
  <c r="K117" i="36"/>
  <c r="AN11" i="36"/>
  <c r="AO11" i="36"/>
  <c r="BM11" i="45"/>
  <c r="AM11" i="45"/>
  <c r="BL11" i="45"/>
  <c r="BH12" i="45"/>
  <c r="BM14" i="45"/>
  <c r="BC12" i="45"/>
  <c r="AS11" i="45"/>
  <c r="AU11" i="45"/>
  <c r="AP11" i="45"/>
  <c r="BJ14" i="45"/>
  <c r="BI12" i="45"/>
  <c r="AR11" i="36"/>
  <c r="BG14" i="45"/>
  <c r="AL12" i="45"/>
  <c r="BE11" i="45"/>
  <c r="AZ11" i="45"/>
  <c r="BK14" i="45"/>
  <c r="BM12" i="45"/>
  <c r="AO14" i="45"/>
  <c r="AT11" i="45"/>
  <c r="AR12" i="45"/>
  <c r="BF14" i="45"/>
  <c r="AV12" i="45"/>
  <c r="AN14" i="45"/>
  <c r="BB11" i="45"/>
  <c r="BJ12" i="45"/>
  <c r="AW14" i="45"/>
  <c r="AJ16" i="36"/>
  <c r="AM11" i="36"/>
  <c r="BI11" i="45"/>
  <c r="AK11" i="45"/>
  <c r="BK12" i="45"/>
  <c r="BH14" i="45"/>
  <c r="AO12" i="45"/>
  <c r="BN14" i="45"/>
  <c r="AZ12" i="45"/>
  <c r="BF12" i="45"/>
  <c r="AN11" i="45"/>
  <c r="AL14" i="45"/>
  <c r="BE14" i="45"/>
  <c r="M46" i="40"/>
  <c r="O46" i="40"/>
  <c r="H12" i="36"/>
  <c r="L12" i="36"/>
  <c r="AK7" i="36"/>
  <c r="E15" i="36"/>
  <c r="G12" i="36"/>
  <c r="H15" i="36"/>
  <c r="AN7" i="36"/>
  <c r="F12" i="36"/>
  <c r="I12" i="36"/>
  <c r="E12" i="36"/>
  <c r="J15" i="36"/>
  <c r="AP7" i="36"/>
  <c r="D117" i="36"/>
  <c r="AJ15" i="36"/>
  <c r="D73" i="36"/>
  <c r="F15" i="36"/>
  <c r="AL7" i="36"/>
  <c r="AO7" i="36"/>
  <c r="I15" i="36"/>
  <c r="AP11" i="36"/>
  <c r="J12" i="36"/>
  <c r="AM7" i="36"/>
  <c r="G15" i="36"/>
  <c r="AQ15" i="36"/>
  <c r="K73" i="36"/>
  <c r="L15" i="36"/>
  <c r="AR7" i="36"/>
  <c r="M11" i="36"/>
  <c r="AS10" i="36"/>
  <c r="N10" i="36"/>
  <c r="M7" i="36"/>
  <c r="G64" i="40"/>
  <c r="O3" i="36"/>
  <c r="F4" i="36"/>
  <c r="M4" i="36"/>
  <c r="K4" i="36"/>
  <c r="G4" i="36"/>
  <c r="J4" i="36"/>
  <c r="H4" i="36"/>
  <c r="L4" i="36"/>
  <c r="E4" i="36"/>
  <c r="I4" i="36"/>
  <c r="I5" i="36" l="1"/>
  <c r="E5" i="36"/>
  <c r="AO12" i="36"/>
  <c r="AN12" i="36"/>
  <c r="K123" i="36"/>
  <c r="L117" i="36"/>
  <c r="L5" i="36"/>
  <c r="AL12" i="36"/>
  <c r="F5" i="36"/>
  <c r="H5" i="36"/>
  <c r="AK12" i="36"/>
  <c r="J5" i="36"/>
  <c r="G5" i="36"/>
  <c r="AP12" i="36"/>
  <c r="D123" i="36"/>
  <c r="AM12" i="36"/>
  <c r="AR12" i="36"/>
  <c r="AS11" i="36"/>
  <c r="K5" i="36"/>
  <c r="M5" i="36"/>
  <c r="AM4" i="36"/>
  <c r="AL4" i="36"/>
  <c r="AK4" i="36"/>
  <c r="AP4" i="36"/>
  <c r="AS4" i="36"/>
  <c r="AR4" i="36"/>
  <c r="AQ4" i="36"/>
  <c r="AO4" i="36"/>
  <c r="AN4" i="36"/>
  <c r="AJ117" i="36"/>
  <c r="AJ73" i="36"/>
  <c r="H117" i="36"/>
  <c r="AN15" i="36"/>
  <c r="H73" i="36"/>
  <c r="F117" i="36"/>
  <c r="AL15" i="36"/>
  <c r="F73" i="36"/>
  <c r="E117" i="36"/>
  <c r="AK15" i="36"/>
  <c r="E73" i="36"/>
  <c r="G117" i="36"/>
  <c r="AM15" i="36"/>
  <c r="G73" i="36"/>
  <c r="I117" i="36"/>
  <c r="AO15" i="36"/>
  <c r="I73" i="36"/>
  <c r="J117" i="36"/>
  <c r="AP15" i="36"/>
  <c r="J73" i="36"/>
  <c r="AQ73" i="36"/>
  <c r="AQ117" i="36"/>
  <c r="M12" i="36"/>
  <c r="AR15" i="36"/>
  <c r="L73" i="36"/>
  <c r="M15" i="36"/>
  <c r="AS7" i="36"/>
  <c r="N11" i="36"/>
  <c r="AT10" i="36"/>
  <c r="N7" i="36"/>
  <c r="O10" i="36"/>
  <c r="P3" i="36"/>
  <c r="AS12" i="36" l="1"/>
  <c r="AQ123" i="36"/>
  <c r="F123" i="36"/>
  <c r="AT11" i="36"/>
  <c r="G123" i="36"/>
  <c r="H123" i="36"/>
  <c r="M117" i="36"/>
  <c r="J123" i="36"/>
  <c r="L123" i="36"/>
  <c r="E123" i="36"/>
  <c r="AJ123" i="36"/>
  <c r="I123" i="36"/>
  <c r="AO73" i="36"/>
  <c r="AO117" i="36"/>
  <c r="AN117" i="36"/>
  <c r="AN73" i="36"/>
  <c r="AP117" i="36"/>
  <c r="AP73" i="36"/>
  <c r="AL73" i="36"/>
  <c r="AL117" i="36"/>
  <c r="AK73" i="36"/>
  <c r="AK117" i="36"/>
  <c r="AM73" i="36"/>
  <c r="AM117" i="36"/>
  <c r="AR73" i="36"/>
  <c r="AR117" i="36"/>
  <c r="AS15" i="36"/>
  <c r="M73" i="36"/>
  <c r="N12" i="36"/>
  <c r="N15" i="36"/>
  <c r="AT7" i="36"/>
  <c r="O11" i="36"/>
  <c r="AU10" i="36"/>
  <c r="O48" i="40"/>
  <c r="O7" i="36"/>
  <c r="P10" i="36"/>
  <c r="N46" i="40"/>
  <c r="P45" i="40"/>
  <c r="P44" i="40"/>
  <c r="P42" i="40"/>
  <c r="P39" i="40"/>
  <c r="P41" i="40"/>
  <c r="P43" i="40"/>
  <c r="P38" i="40"/>
  <c r="P40" i="40"/>
  <c r="P37" i="40"/>
  <c r="Q3" i="36"/>
  <c r="AR123" i="36" l="1"/>
  <c r="AP123" i="36"/>
  <c r="M123" i="36"/>
  <c r="AT12" i="36"/>
  <c r="AL123" i="36"/>
  <c r="AU11" i="36"/>
  <c r="AM123" i="36"/>
  <c r="AN123" i="36"/>
  <c r="N117" i="36"/>
  <c r="AK123" i="36"/>
  <c r="AO123" i="36"/>
  <c r="AS73" i="36"/>
  <c r="AS117" i="36"/>
  <c r="AT15" i="36"/>
  <c r="N73" i="36"/>
  <c r="O12" i="36"/>
  <c r="P7" i="36"/>
  <c r="AV10" i="36"/>
  <c r="O15" i="36"/>
  <c r="AU7" i="36"/>
  <c r="P11" i="36"/>
  <c r="Q10" i="36"/>
  <c r="P46" i="40"/>
  <c r="R3" i="36"/>
  <c r="AV11" i="36" l="1"/>
  <c r="O117" i="36"/>
  <c r="AV7" i="36"/>
  <c r="AS123" i="36"/>
  <c r="AU12" i="36"/>
  <c r="Q7" i="36"/>
  <c r="N123" i="36"/>
  <c r="AT73" i="36"/>
  <c r="AT117" i="36"/>
  <c r="AU15" i="36"/>
  <c r="O73" i="36"/>
  <c r="Q11" i="36"/>
  <c r="AW10" i="36"/>
  <c r="P12" i="36"/>
  <c r="P15" i="36"/>
  <c r="R10" i="36"/>
  <c r="S3" i="36"/>
  <c r="AT123" i="36" l="1"/>
  <c r="AW11" i="36"/>
  <c r="AW7" i="36"/>
  <c r="O123" i="36"/>
  <c r="P117" i="36"/>
  <c r="AV12" i="36"/>
  <c r="AU73" i="36"/>
  <c r="AU117" i="36"/>
  <c r="AV15" i="36"/>
  <c r="P73" i="36"/>
  <c r="Q12" i="36"/>
  <c r="Q15" i="36"/>
  <c r="R11" i="36"/>
  <c r="AX10" i="36"/>
  <c r="R7" i="36"/>
  <c r="S10" i="36"/>
  <c r="T3" i="36"/>
  <c r="Q4" i="36"/>
  <c r="O4" i="36"/>
  <c r="R4" i="36"/>
  <c r="P4" i="36"/>
  <c r="AX11" i="36" l="1"/>
  <c r="Q5" i="36"/>
  <c r="AU123" i="36"/>
  <c r="P5" i="36"/>
  <c r="R5" i="36"/>
  <c r="Q117" i="36"/>
  <c r="O5" i="36"/>
  <c r="AW12" i="36"/>
  <c r="P123" i="36"/>
  <c r="AX4" i="36"/>
  <c r="AU4" i="36"/>
  <c r="AV4" i="36"/>
  <c r="AW4" i="36"/>
  <c r="AV73" i="36"/>
  <c r="AV117" i="36"/>
  <c r="AW15" i="36"/>
  <c r="Q73" i="36"/>
  <c r="R12" i="36"/>
  <c r="S7" i="36"/>
  <c r="AY10" i="36"/>
  <c r="R15" i="36"/>
  <c r="AX7" i="36"/>
  <c r="S11" i="36"/>
  <c r="T10" i="36"/>
  <c r="U3" i="36"/>
  <c r="AV123" i="36" l="1"/>
  <c r="AY7" i="36"/>
  <c r="AY11" i="36"/>
  <c r="Q123" i="36"/>
  <c r="AX12" i="36"/>
  <c r="R117" i="36"/>
  <c r="AW73" i="36"/>
  <c r="AW117" i="36"/>
  <c r="AX15" i="36"/>
  <c r="R73" i="36"/>
  <c r="S12" i="36"/>
  <c r="T11" i="36"/>
  <c r="AZ10" i="36"/>
  <c r="S15" i="36"/>
  <c r="T7" i="36"/>
  <c r="U10" i="36"/>
  <c r="V3" i="36"/>
  <c r="AW123" i="36" l="1"/>
  <c r="R123" i="36"/>
  <c r="S117" i="36"/>
  <c r="AZ11" i="36"/>
  <c r="AY12" i="36"/>
  <c r="AX73" i="36"/>
  <c r="AX117" i="36"/>
  <c r="AY15" i="36"/>
  <c r="S73" i="36"/>
  <c r="T12" i="36"/>
  <c r="U11" i="36"/>
  <c r="BA10" i="36"/>
  <c r="T15" i="36"/>
  <c r="AZ7" i="36"/>
  <c r="U7" i="36"/>
  <c r="V10" i="36"/>
  <c r="W3" i="36"/>
  <c r="AZ12" i="36" l="1"/>
  <c r="S123" i="36"/>
  <c r="BA11" i="36"/>
  <c r="AX123" i="36"/>
  <c r="T117" i="36"/>
  <c r="AY73" i="36"/>
  <c r="AY117" i="36"/>
  <c r="AZ15" i="36"/>
  <c r="T73" i="36"/>
  <c r="U12" i="36"/>
  <c r="U15" i="36"/>
  <c r="BA7" i="36"/>
  <c r="V7" i="36"/>
  <c r="BB10" i="36"/>
  <c r="V11" i="36"/>
  <c r="W10" i="36"/>
  <c r="X3" i="36"/>
  <c r="BA12" i="36" l="1"/>
  <c r="AY123" i="36"/>
  <c r="U117" i="36"/>
  <c r="BB7" i="36"/>
  <c r="BB11" i="36"/>
  <c r="T123" i="36"/>
  <c r="AZ73" i="36"/>
  <c r="AZ117" i="36"/>
  <c r="BA15" i="36"/>
  <c r="U73" i="36"/>
  <c r="W7" i="36"/>
  <c r="BC10" i="36"/>
  <c r="V12" i="36"/>
  <c r="V15" i="36"/>
  <c r="W11" i="36"/>
  <c r="X10" i="36"/>
  <c r="U4" i="36"/>
  <c r="T4" i="36"/>
  <c r="Y3" i="36"/>
  <c r="V4" i="36"/>
  <c r="W4" i="36"/>
  <c r="T5" i="36" l="1"/>
  <c r="U123" i="36"/>
  <c r="AZ123" i="36"/>
  <c r="V117" i="36"/>
  <c r="BB12" i="36"/>
  <c r="BC11" i="36"/>
  <c r="V5" i="36"/>
  <c r="U5" i="36"/>
  <c r="W5" i="36"/>
  <c r="BC7" i="36"/>
  <c r="BC4" i="36"/>
  <c r="AZ4" i="36"/>
  <c r="BB4" i="36"/>
  <c r="BA4" i="36"/>
  <c r="BA73" i="36"/>
  <c r="BA117" i="36"/>
  <c r="BB15" i="36"/>
  <c r="V73" i="36"/>
  <c r="W15" i="36"/>
  <c r="X11" i="36"/>
  <c r="BD10" i="36"/>
  <c r="W12" i="36"/>
  <c r="X7" i="36"/>
  <c r="Y10" i="36"/>
  <c r="Z3" i="36"/>
  <c r="V123" i="36" l="1"/>
  <c r="BC12" i="36"/>
  <c r="BA123" i="36"/>
  <c r="BD11" i="36"/>
  <c r="W117" i="36"/>
  <c r="BB73" i="36"/>
  <c r="BB117" i="36"/>
  <c r="X12" i="36"/>
  <c r="BC15" i="36"/>
  <c r="W73" i="36"/>
  <c r="Y11" i="36"/>
  <c r="BE10" i="36"/>
  <c r="X15" i="36"/>
  <c r="BD7" i="36"/>
  <c r="Y7" i="36"/>
  <c r="Z10" i="36"/>
  <c r="AA3" i="36"/>
  <c r="BE11" i="36" l="1"/>
  <c r="X117" i="36"/>
  <c r="BD12" i="36"/>
  <c r="BE7" i="36"/>
  <c r="BB123" i="36"/>
  <c r="W123" i="36"/>
  <c r="BC73" i="36"/>
  <c r="BC117" i="36"/>
  <c r="Y12" i="36"/>
  <c r="BD15" i="36"/>
  <c r="X73" i="36"/>
  <c r="Y15" i="36"/>
  <c r="Z11" i="36"/>
  <c r="BF10" i="36"/>
  <c r="Z7" i="36"/>
  <c r="AA10" i="36"/>
  <c r="AB3" i="36"/>
  <c r="X123" i="36" l="1"/>
  <c r="BE12" i="36"/>
  <c r="BF11" i="36"/>
  <c r="Y117" i="36"/>
  <c r="BC123" i="36"/>
  <c r="BD73" i="36"/>
  <c r="BD117" i="36"/>
  <c r="BE15" i="36"/>
  <c r="Y73" i="36"/>
  <c r="Z12" i="36"/>
  <c r="AA11" i="36"/>
  <c r="BG10" i="36"/>
  <c r="Z15" i="36"/>
  <c r="BF7" i="36"/>
  <c r="AA7" i="36"/>
  <c r="AB10" i="36"/>
  <c r="AC3" i="36"/>
  <c r="BF12" i="36" l="1"/>
  <c r="BG7" i="36"/>
  <c r="BD123" i="36"/>
  <c r="Z117" i="36"/>
  <c r="BG11" i="36"/>
  <c r="Y123" i="36"/>
  <c r="BE73" i="36"/>
  <c r="BE117" i="36"/>
  <c r="BF15" i="36"/>
  <c r="Z73" i="36"/>
  <c r="AA12" i="36"/>
  <c r="AA15" i="36"/>
  <c r="AB11" i="36"/>
  <c r="BH10" i="36"/>
  <c r="AB7" i="36"/>
  <c r="AC10" i="36"/>
  <c r="Y4" i="36"/>
  <c r="Z4" i="36"/>
  <c r="AD3" i="36"/>
  <c r="AA4" i="36"/>
  <c r="AB4" i="36"/>
  <c r="Z123" i="36" l="1"/>
  <c r="Y5" i="36"/>
  <c r="AB5" i="36"/>
  <c r="Z5" i="36"/>
  <c r="BH11" i="36"/>
  <c r="AA117" i="36"/>
  <c r="BE123" i="36"/>
  <c r="BH7" i="36"/>
  <c r="AA5" i="36"/>
  <c r="BG12" i="36"/>
  <c r="BG4" i="36"/>
  <c r="BF4" i="36"/>
  <c r="BH4" i="36"/>
  <c r="BE4" i="36"/>
  <c r="AB12" i="36"/>
  <c r="BF73" i="36"/>
  <c r="BF117" i="36"/>
  <c r="BG15" i="36"/>
  <c r="AA73" i="36"/>
  <c r="AC7" i="36"/>
  <c r="BI10" i="36"/>
  <c r="AB15" i="36"/>
  <c r="AC11" i="36"/>
  <c r="AD10" i="36"/>
  <c r="AE3" i="36"/>
  <c r="BH12" i="36" l="1"/>
  <c r="AA123" i="36"/>
  <c r="BF123" i="36"/>
  <c r="BI11" i="36"/>
  <c r="BI7" i="36"/>
  <c r="AB117" i="36"/>
  <c r="BG73" i="36"/>
  <c r="BG117" i="36"/>
  <c r="BH15" i="36"/>
  <c r="AB73" i="36"/>
  <c r="AD11" i="36"/>
  <c r="BJ10" i="36"/>
  <c r="AD7" i="36"/>
  <c r="AC15" i="36"/>
  <c r="AC12" i="36"/>
  <c r="AE10" i="36"/>
  <c r="AF3" i="36"/>
  <c r="BG123" i="36" l="1"/>
  <c r="AC117" i="36"/>
  <c r="BJ7" i="36"/>
  <c r="AB123" i="36"/>
  <c r="BI12" i="36"/>
  <c r="BJ11" i="36"/>
  <c r="BH73" i="36"/>
  <c r="BH117" i="36"/>
  <c r="BI15" i="36"/>
  <c r="AC73" i="36"/>
  <c r="AD12" i="36"/>
  <c r="AD15" i="36"/>
  <c r="AE7" i="36"/>
  <c r="BK10" i="36"/>
  <c r="AE11" i="36"/>
  <c r="AF10" i="36"/>
  <c r="AG3" i="36"/>
  <c r="BH123" i="36" l="1"/>
  <c r="BK7" i="36"/>
  <c r="AC123" i="36"/>
  <c r="AD117" i="36"/>
  <c r="BK11" i="36"/>
  <c r="BJ12" i="36"/>
  <c r="BI73" i="36"/>
  <c r="BI117" i="36"/>
  <c r="BJ15" i="36"/>
  <c r="AD73" i="36"/>
  <c r="AF11" i="36"/>
  <c r="BL10" i="36"/>
  <c r="AF7" i="36"/>
  <c r="AE15" i="36"/>
  <c r="AE12" i="36"/>
  <c r="AG10" i="36"/>
  <c r="AH3" i="36"/>
  <c r="AD123" i="36" l="1"/>
  <c r="BI123" i="36"/>
  <c r="AE117" i="36"/>
  <c r="BK12" i="36"/>
  <c r="BL11" i="36"/>
  <c r="BJ73" i="36"/>
  <c r="BJ117" i="36"/>
  <c r="BK15" i="36"/>
  <c r="AE73" i="36"/>
  <c r="AF12" i="36"/>
  <c r="AG7" i="36"/>
  <c r="BM10" i="36"/>
  <c r="AF15" i="36"/>
  <c r="BL7" i="36"/>
  <c r="AG11" i="36"/>
  <c r="AH10" i="36"/>
  <c r="AD4" i="36"/>
  <c r="AF4" i="36"/>
  <c r="AE4" i="36"/>
  <c r="AG4" i="36"/>
  <c r="AD5" i="36" l="1"/>
  <c r="AE123" i="36"/>
  <c r="BL12" i="36"/>
  <c r="BJ123" i="36"/>
  <c r="AG5" i="36"/>
  <c r="AF117" i="36"/>
  <c r="AF5" i="36"/>
  <c r="BM7" i="36"/>
  <c r="BM11" i="36"/>
  <c r="AE5" i="36"/>
  <c r="BM4" i="36"/>
  <c r="BJ4" i="36"/>
  <c r="BK4" i="36"/>
  <c r="BL4" i="36"/>
  <c r="BK73" i="36"/>
  <c r="BK117" i="36"/>
  <c r="BL15" i="36"/>
  <c r="AF73" i="36"/>
  <c r="AG12" i="36"/>
  <c r="AG15" i="36"/>
  <c r="G6" i="36"/>
  <c r="AC6" i="36"/>
  <c r="J6" i="36"/>
  <c r="AH11" i="36"/>
  <c r="BN10" i="36"/>
  <c r="AH7" i="36"/>
  <c r="AF123" i="36" l="1"/>
  <c r="AH8" i="36"/>
  <c r="BK123" i="36"/>
  <c r="AG117" i="36"/>
  <c r="BM12" i="36"/>
  <c r="BL73" i="36"/>
  <c r="BL117" i="36"/>
  <c r="E6" i="36"/>
  <c r="O6" i="36"/>
  <c r="K6" i="36"/>
  <c r="Q6" i="36"/>
  <c r="H6" i="36"/>
  <c r="AB6" i="36"/>
  <c r="X6" i="36"/>
  <c r="R6" i="36"/>
  <c r="P6" i="36"/>
  <c r="W6" i="36"/>
  <c r="T6" i="36"/>
  <c r="M6" i="36"/>
  <c r="Y6" i="36"/>
  <c r="L6" i="36"/>
  <c r="I6" i="36"/>
  <c r="S6" i="36"/>
  <c r="BM15" i="36"/>
  <c r="AG73" i="36"/>
  <c r="AH16" i="36"/>
  <c r="AA6" i="36"/>
  <c r="V6" i="36"/>
  <c r="J8" i="36"/>
  <c r="G8" i="36"/>
  <c r="U6" i="36"/>
  <c r="F6" i="36"/>
  <c r="Z6" i="36"/>
  <c r="AC8" i="36"/>
  <c r="AE13" i="36"/>
  <c r="BK5" i="36"/>
  <c r="AC14" i="36"/>
  <c r="BI6" i="36"/>
  <c r="AH13" i="36"/>
  <c r="BN11" i="36"/>
  <c r="AC13" i="36"/>
  <c r="BI5" i="36"/>
  <c r="L13" i="36"/>
  <c r="AR5" i="36"/>
  <c r="H13" i="36"/>
  <c r="AN5" i="36"/>
  <c r="AF13" i="36"/>
  <c r="BL5" i="36"/>
  <c r="U13" i="36"/>
  <c r="BA5" i="36"/>
  <c r="AB13" i="36"/>
  <c r="BH5" i="36"/>
  <c r="X13" i="36"/>
  <c r="BD5" i="36"/>
  <c r="Z13" i="36"/>
  <c r="BF5" i="36"/>
  <c r="N13" i="36"/>
  <c r="AT5" i="36"/>
  <c r="V13" i="36"/>
  <c r="BB5" i="36"/>
  <c r="R13" i="36"/>
  <c r="AX5" i="36"/>
  <c r="F13" i="36"/>
  <c r="AL5" i="36"/>
  <c r="AA13" i="36"/>
  <c r="BG5" i="36"/>
  <c r="AD13" i="36"/>
  <c r="BJ5" i="36"/>
  <c r="AG13" i="36"/>
  <c r="BM5" i="36"/>
  <c r="BD6" i="36"/>
  <c r="AH15" i="36"/>
  <c r="BN7" i="36"/>
  <c r="J13" i="36"/>
  <c r="AP5" i="36"/>
  <c r="I13" i="36"/>
  <c r="AO5" i="36"/>
  <c r="S13" i="36"/>
  <c r="AY5" i="36"/>
  <c r="G13" i="36"/>
  <c r="AM5" i="36"/>
  <c r="J14" i="36"/>
  <c r="AP6" i="36"/>
  <c r="G14" i="36"/>
  <c r="AM6" i="36"/>
  <c r="E13" i="36"/>
  <c r="AK5" i="36"/>
  <c r="P13" i="36"/>
  <c r="AV5" i="36"/>
  <c r="W13" i="36"/>
  <c r="BC5" i="36"/>
  <c r="O13" i="36"/>
  <c r="AU5" i="36"/>
  <c r="T13" i="36"/>
  <c r="AZ5" i="36"/>
  <c r="K13" i="36"/>
  <c r="AQ5" i="36"/>
  <c r="M13" i="36"/>
  <c r="AS5" i="36"/>
  <c r="Q13" i="36"/>
  <c r="AW5" i="36"/>
  <c r="Y13" i="36"/>
  <c r="BE5" i="36"/>
  <c r="AF6" i="36"/>
  <c r="AD6" i="36"/>
  <c r="AG6" i="36"/>
  <c r="AE6" i="36"/>
  <c r="AH12" i="36"/>
  <c r="AY6" i="36" l="1"/>
  <c r="E14" i="36"/>
  <c r="AQ13" i="36"/>
  <c r="AV13" i="36"/>
  <c r="BN8" i="36"/>
  <c r="BG13" i="36"/>
  <c r="AT13" i="36"/>
  <c r="BA13" i="36"/>
  <c r="AG123" i="36"/>
  <c r="AP13" i="36"/>
  <c r="AR13" i="36"/>
  <c r="AM13" i="36"/>
  <c r="AH117" i="36"/>
  <c r="AK14" i="36"/>
  <c r="BI13" i="36"/>
  <c r="AP14" i="36"/>
  <c r="BK13" i="36"/>
  <c r="AL13" i="36"/>
  <c r="BF13" i="36"/>
  <c r="AK13" i="36"/>
  <c r="AY13" i="36"/>
  <c r="BL13" i="36"/>
  <c r="R14" i="36"/>
  <c r="BL123" i="36"/>
  <c r="M14" i="36"/>
  <c r="BE13" i="36"/>
  <c r="BN12" i="36"/>
  <c r="AU13" i="36"/>
  <c r="AM14" i="36"/>
  <c r="BM13" i="36"/>
  <c r="AX13" i="36"/>
  <c r="BD13" i="36"/>
  <c r="AO13" i="36"/>
  <c r="AN13" i="36"/>
  <c r="BI14" i="36"/>
  <c r="L8" i="36"/>
  <c r="AZ13" i="36"/>
  <c r="AW13" i="36"/>
  <c r="AS13" i="36"/>
  <c r="BC13" i="36"/>
  <c r="BJ13" i="36"/>
  <c r="BB13" i="36"/>
  <c r="BH13" i="36"/>
  <c r="H8" i="36"/>
  <c r="H14" i="36"/>
  <c r="O8" i="36"/>
  <c r="BA6" i="36"/>
  <c r="T14" i="36"/>
  <c r="AN6" i="36"/>
  <c r="R8" i="36"/>
  <c r="BM73" i="36"/>
  <c r="BM117" i="36"/>
  <c r="W14" i="36"/>
  <c r="Q14" i="36"/>
  <c r="K8" i="36"/>
  <c r="I8" i="36"/>
  <c r="AX6" i="36"/>
  <c r="AT6" i="36"/>
  <c r="AK6" i="36"/>
  <c r="P8" i="36"/>
  <c r="F14" i="36"/>
  <c r="AA14" i="36"/>
  <c r="L14" i="36"/>
  <c r="X8" i="36"/>
  <c r="S14" i="36"/>
  <c r="W8" i="36"/>
  <c r="Y14" i="36"/>
  <c r="AB8" i="36"/>
  <c r="AU6" i="36"/>
  <c r="E8" i="36"/>
  <c r="M8" i="36"/>
  <c r="AS6" i="36"/>
  <c r="O14" i="36"/>
  <c r="N8" i="36"/>
  <c r="X14" i="36"/>
  <c r="T8" i="36"/>
  <c r="N14" i="36"/>
  <c r="AZ6" i="36"/>
  <c r="AQ6" i="36"/>
  <c r="K14" i="36"/>
  <c r="Y8" i="36"/>
  <c r="AO6" i="36"/>
  <c r="S8" i="36"/>
  <c r="AV6" i="36"/>
  <c r="BH6" i="36"/>
  <c r="I14" i="36"/>
  <c r="P14" i="36"/>
  <c r="Q8" i="36"/>
  <c r="AB14" i="36"/>
  <c r="BE6" i="36"/>
  <c r="AW6" i="36"/>
  <c r="BN13" i="36"/>
  <c r="BC6" i="36"/>
  <c r="AR6" i="36"/>
  <c r="BN15" i="36"/>
  <c r="AH73" i="36"/>
  <c r="BI8" i="36"/>
  <c r="U14" i="36"/>
  <c r="BG6" i="36"/>
  <c r="V8" i="36"/>
  <c r="AG8" i="36"/>
  <c r="H16" i="36"/>
  <c r="AL6" i="36"/>
  <c r="U8" i="36"/>
  <c r="AA8" i="36"/>
  <c r="AF8" i="36"/>
  <c r="AC16" i="36"/>
  <c r="J16" i="36"/>
  <c r="AE8" i="36"/>
  <c r="Z8" i="36"/>
  <c r="G16" i="36"/>
  <c r="AD8" i="36"/>
  <c r="L16" i="36"/>
  <c r="BB6" i="36"/>
  <c r="V14" i="36"/>
  <c r="F8" i="36"/>
  <c r="BF6" i="36"/>
  <c r="Z14" i="36"/>
  <c r="AM8" i="36"/>
  <c r="AY8" i="36"/>
  <c r="AP8" i="36"/>
  <c r="AT8" i="36"/>
  <c r="BD8" i="36"/>
  <c r="AF14" i="36"/>
  <c r="BL6" i="36"/>
  <c r="AG14" i="36"/>
  <c r="BM6" i="36"/>
  <c r="AD14" i="36"/>
  <c r="BJ6" i="36"/>
  <c r="AE14" i="36"/>
  <c r="BK6" i="36"/>
  <c r="BN16" i="36"/>
  <c r="AN8" i="36" l="1"/>
  <c r="AR14" i="36"/>
  <c r="AW14" i="36"/>
  <c r="AP16" i="36"/>
  <c r="BH8" i="36"/>
  <c r="AT14" i="36"/>
  <c r="AU8" i="36"/>
  <c r="AL14" i="36"/>
  <c r="BC14" i="36"/>
  <c r="AN14" i="36"/>
  <c r="AS14" i="36"/>
  <c r="BG14" i="36"/>
  <c r="BI16" i="36"/>
  <c r="K16" i="36"/>
  <c r="AB16" i="36"/>
  <c r="BM123" i="36"/>
  <c r="AH123" i="36"/>
  <c r="BF14" i="36"/>
  <c r="BK14" i="36"/>
  <c r="BD14" i="36"/>
  <c r="BE14" i="36"/>
  <c r="AK8" i="36"/>
  <c r="BJ14" i="36"/>
  <c r="BM14" i="36"/>
  <c r="AR16" i="36"/>
  <c r="BA14" i="36"/>
  <c r="N16" i="36"/>
  <c r="W16" i="36"/>
  <c r="R16" i="36"/>
  <c r="AN16" i="36"/>
  <c r="AO14" i="36"/>
  <c r="BB14" i="36"/>
  <c r="AR8" i="36"/>
  <c r="BH14" i="36"/>
  <c r="AU14" i="36"/>
  <c r="AY14" i="36"/>
  <c r="AX8" i="36"/>
  <c r="AX14" i="36"/>
  <c r="AV14" i="36"/>
  <c r="BA8" i="36"/>
  <c r="E16" i="36"/>
  <c r="BL14" i="36"/>
  <c r="AM16" i="36"/>
  <c r="AQ14" i="36"/>
  <c r="I16" i="36"/>
  <c r="AZ14" i="36"/>
  <c r="O16" i="36"/>
  <c r="M16" i="36"/>
  <c r="P16" i="36"/>
  <c r="X16" i="36"/>
  <c r="T16" i="36"/>
  <c r="AS8" i="36"/>
  <c r="AQ8" i="36"/>
  <c r="Q16" i="36"/>
  <c r="BC8" i="36"/>
  <c r="AZ8" i="36"/>
  <c r="BN73" i="36"/>
  <c r="BN117" i="36"/>
  <c r="AL8" i="36"/>
  <c r="BG8" i="36"/>
  <c r="AV8" i="36"/>
  <c r="AW8" i="36"/>
  <c r="S16" i="36"/>
  <c r="Y16" i="36"/>
  <c r="BE8" i="36"/>
  <c r="AO8" i="36"/>
  <c r="BF8" i="36"/>
  <c r="AA16" i="36"/>
  <c r="AF16" i="36"/>
  <c r="U16" i="36"/>
  <c r="BK8" i="36"/>
  <c r="BM8" i="36"/>
  <c r="F16" i="36"/>
  <c r="AD16" i="36"/>
  <c r="Z16" i="36"/>
  <c r="AE16" i="36"/>
  <c r="V16" i="36"/>
  <c r="BJ8" i="36"/>
  <c r="BL8" i="36"/>
  <c r="BB8" i="36"/>
  <c r="AG16" i="36"/>
  <c r="AY16" i="36" l="1"/>
  <c r="AU16" i="36"/>
  <c r="BA16" i="36"/>
  <c r="AW16" i="36"/>
  <c r="AX16" i="36"/>
  <c r="BK16" i="36"/>
  <c r="BF16" i="36"/>
  <c r="AZ16" i="36"/>
  <c r="AO16" i="36"/>
  <c r="AK16" i="36"/>
  <c r="BC16" i="36"/>
  <c r="BB16" i="36"/>
  <c r="BJ16" i="36"/>
  <c r="BN123" i="36"/>
  <c r="BD16" i="36"/>
  <c r="BG16" i="36"/>
  <c r="BM16" i="36"/>
  <c r="AL16" i="36"/>
  <c r="AV16" i="36"/>
  <c r="AT16" i="36"/>
  <c r="BH16" i="36"/>
  <c r="BL16" i="36"/>
  <c r="BE16" i="36"/>
  <c r="AS16" i="36"/>
  <c r="AQ16" i="36"/>
  <c r="AK185" i="29" l="1"/>
  <c r="AK183" i="29"/>
  <c r="AK184" i="29"/>
  <c r="AK182" i="29"/>
  <c r="D186" i="29"/>
  <c r="E186" i="29" s="1"/>
  <c r="D182" i="29"/>
  <c r="E182" i="29" s="1"/>
  <c r="D177" i="29"/>
  <c r="E177" i="29" s="1"/>
  <c r="F177" i="29" s="1"/>
  <c r="G177" i="29" s="1"/>
  <c r="H177" i="29" s="1"/>
  <c r="I177" i="29" s="1"/>
  <c r="J177" i="29" s="1"/>
  <c r="K177" i="29" s="1"/>
  <c r="L177" i="29" s="1"/>
  <c r="M177" i="29" s="1"/>
  <c r="N177" i="29" s="1"/>
  <c r="O177" i="29" s="1"/>
  <c r="P177" i="29" s="1"/>
  <c r="Q177" i="29" s="1"/>
  <c r="R177" i="29" s="1"/>
  <c r="S177" i="29" s="1"/>
  <c r="T177" i="29" s="1"/>
  <c r="U177" i="29" s="1"/>
  <c r="V177" i="29" s="1"/>
  <c r="W177" i="29" s="1"/>
  <c r="X177" i="29" s="1"/>
  <c r="Y177" i="29" s="1"/>
  <c r="Z177" i="29" s="1"/>
  <c r="AA177" i="29" s="1"/>
  <c r="AB177" i="29" s="1"/>
  <c r="AC177" i="29" s="1"/>
  <c r="AD177" i="29" s="1"/>
  <c r="AE177" i="29" s="1"/>
  <c r="AF177" i="29" s="1"/>
  <c r="AG177" i="29" s="1"/>
  <c r="D196" i="28"/>
  <c r="E196" i="28" s="1"/>
  <c r="F196" i="28" s="1"/>
  <c r="F197" i="28" s="1"/>
  <c r="D191" i="28"/>
  <c r="E191" i="28" s="1"/>
  <c r="F191" i="28" s="1"/>
  <c r="G191" i="28" s="1"/>
  <c r="H191" i="28" s="1"/>
  <c r="I191" i="28" s="1"/>
  <c r="J191" i="28" s="1"/>
  <c r="K191" i="28" s="1"/>
  <c r="L191" i="28" s="1"/>
  <c r="M191" i="28" s="1"/>
  <c r="N191" i="28" s="1"/>
  <c r="O191" i="28" s="1"/>
  <c r="P191" i="28" s="1"/>
  <c r="Q191" i="28" s="1"/>
  <c r="R191" i="28" s="1"/>
  <c r="S191" i="28" s="1"/>
  <c r="T191" i="28" s="1"/>
  <c r="U191" i="28" s="1"/>
  <c r="V191" i="28" s="1"/>
  <c r="W191" i="28" s="1"/>
  <c r="X191" i="28" s="1"/>
  <c r="Y191" i="28" s="1"/>
  <c r="Z191" i="28" s="1"/>
  <c r="AA191" i="28" s="1"/>
  <c r="AB191" i="28" s="1"/>
  <c r="AC191" i="28" s="1"/>
  <c r="AD191" i="28" s="1"/>
  <c r="AE191" i="28" s="1"/>
  <c r="AF191" i="28" s="1"/>
  <c r="AG191" i="28" s="1"/>
  <c r="A165" i="12"/>
  <c r="A164" i="12"/>
  <c r="D298" i="20"/>
  <c r="E298" i="20" s="1"/>
  <c r="F298" i="20" s="1"/>
  <c r="G298" i="20" s="1"/>
  <c r="H298" i="20" s="1"/>
  <c r="I298" i="20" s="1"/>
  <c r="J298" i="20" s="1"/>
  <c r="K298" i="20" s="1"/>
  <c r="L298" i="20" s="1"/>
  <c r="M298" i="20" s="1"/>
  <c r="N298" i="20" s="1"/>
  <c r="O298" i="20" s="1"/>
  <c r="P298" i="20" s="1"/>
  <c r="Q298" i="20" s="1"/>
  <c r="R298" i="20" s="1"/>
  <c r="S298" i="20" s="1"/>
  <c r="T298" i="20" s="1"/>
  <c r="U298" i="20" s="1"/>
  <c r="V298" i="20" s="1"/>
  <c r="W298" i="20" s="1"/>
  <c r="X298" i="20" s="1"/>
  <c r="Y298" i="20" s="1"/>
  <c r="Z298" i="20" s="1"/>
  <c r="AA298" i="20" s="1"/>
  <c r="AB298" i="20" s="1"/>
  <c r="AC298" i="20" s="1"/>
  <c r="AD298" i="20" s="1"/>
  <c r="AE298" i="20" s="1"/>
  <c r="AF298" i="20" s="1"/>
  <c r="AG298" i="20" s="1"/>
  <c r="AK262" i="19"/>
  <c r="AK263" i="19"/>
  <c r="AK264" i="19"/>
  <c r="AK261" i="19"/>
  <c r="D261" i="19"/>
  <c r="E261" i="19" s="1"/>
  <c r="D256" i="19"/>
  <c r="E256" i="19" s="1"/>
  <c r="F256" i="19" s="1"/>
  <c r="G256" i="19" s="1"/>
  <c r="H256" i="19" s="1"/>
  <c r="I256" i="19" s="1"/>
  <c r="J256" i="19" s="1"/>
  <c r="K256" i="19" s="1"/>
  <c r="L256" i="19" s="1"/>
  <c r="M256" i="19" s="1"/>
  <c r="N256" i="19" s="1"/>
  <c r="O256" i="19" s="1"/>
  <c r="P256" i="19" s="1"/>
  <c r="Q256" i="19" s="1"/>
  <c r="R256" i="19" s="1"/>
  <c r="S256" i="19" s="1"/>
  <c r="T256" i="19" s="1"/>
  <c r="U256" i="19" s="1"/>
  <c r="V256" i="19" s="1"/>
  <c r="W256" i="19" s="1"/>
  <c r="X256" i="19" s="1"/>
  <c r="Y256" i="19" s="1"/>
  <c r="Z256" i="19" s="1"/>
  <c r="AA256" i="19" s="1"/>
  <c r="AB256" i="19" s="1"/>
  <c r="AC256" i="19" s="1"/>
  <c r="AD256" i="19" s="1"/>
  <c r="AE256" i="19" s="1"/>
  <c r="AF256" i="19" s="1"/>
  <c r="AG256" i="19" s="1"/>
  <c r="AI54" i="34"/>
  <c r="AI55" i="34"/>
  <c r="AI56" i="34"/>
  <c r="AI57" i="34"/>
  <c r="F57" i="34" s="1"/>
  <c r="G57" i="34" s="1"/>
  <c r="AI49" i="34"/>
  <c r="AI50" i="34"/>
  <c r="AI51" i="34"/>
  <c r="F50" i="34"/>
  <c r="G50" i="34" s="1"/>
  <c r="H50" i="34" s="1"/>
  <c r="I50" i="34" s="1"/>
  <c r="J50" i="34" s="1"/>
  <c r="K50" i="34" s="1"/>
  <c r="L50" i="34" s="1"/>
  <c r="M50" i="34" s="1"/>
  <c r="N50" i="34" s="1"/>
  <c r="O50" i="34" s="1"/>
  <c r="P50" i="34" s="1"/>
  <c r="Q50" i="34" s="1"/>
  <c r="R50" i="34" s="1"/>
  <c r="S50" i="34" s="1"/>
  <c r="T50" i="34" s="1"/>
  <c r="U50" i="34" s="1"/>
  <c r="V50" i="34" s="1"/>
  <c r="W50" i="34" s="1"/>
  <c r="X50" i="34" s="1"/>
  <c r="Y50" i="34" s="1"/>
  <c r="Z50" i="34" s="1"/>
  <c r="AA50" i="34" s="1"/>
  <c r="AB50" i="34" s="1"/>
  <c r="AC50" i="34" s="1"/>
  <c r="AD50" i="34" s="1"/>
  <c r="AE50" i="34" s="1"/>
  <c r="AF50" i="34" s="1"/>
  <c r="AG50" i="34" s="1"/>
  <c r="AH50" i="34" s="1"/>
  <c r="F55" i="34"/>
  <c r="G55" i="34"/>
  <c r="H55" i="34" s="1"/>
  <c r="I55" i="34" s="1"/>
  <c r="J55" i="34" s="1"/>
  <c r="K55" i="34" s="1"/>
  <c r="L55" i="34" s="1"/>
  <c r="M55" i="34" s="1"/>
  <c r="N55" i="34" s="1"/>
  <c r="O55" i="34" s="1"/>
  <c r="P55" i="34" s="1"/>
  <c r="Q55" i="34" s="1"/>
  <c r="R55" i="34" s="1"/>
  <c r="S55" i="34" s="1"/>
  <c r="T55" i="34" s="1"/>
  <c r="U55" i="34" s="1"/>
  <c r="V55" i="34" s="1"/>
  <c r="W55" i="34" s="1"/>
  <c r="X55" i="34" s="1"/>
  <c r="Y55" i="34" s="1"/>
  <c r="Z55" i="34" s="1"/>
  <c r="AA55" i="34" s="1"/>
  <c r="AB55" i="34" s="1"/>
  <c r="AC55" i="34" s="1"/>
  <c r="AD55" i="34" s="1"/>
  <c r="AE55" i="34" s="1"/>
  <c r="AF55" i="34" s="1"/>
  <c r="AG55" i="34" s="1"/>
  <c r="AH55" i="34" s="1"/>
  <c r="E99" i="34"/>
  <c r="E100" i="34"/>
  <c r="E94" i="34"/>
  <c r="E95" i="34"/>
  <c r="E89" i="34"/>
  <c r="E90" i="34"/>
  <c r="E65" i="34"/>
  <c r="E67" i="34"/>
  <c r="E60" i="34"/>
  <c r="E62" i="34"/>
  <c r="E55" i="34"/>
  <c r="E57" i="34"/>
  <c r="E50" i="34"/>
  <c r="E52" i="34"/>
  <c r="AI53" i="34"/>
  <c r="AI48" i="34"/>
  <c r="E98" i="34"/>
  <c r="E93" i="34"/>
  <c r="E88" i="34"/>
  <c r="E45" i="34"/>
  <c r="E47" i="34"/>
  <c r="G42" i="34"/>
  <c r="H42" i="34" s="1"/>
  <c r="I42" i="34" s="1"/>
  <c r="J42" i="34" s="1"/>
  <c r="K42" i="34" s="1"/>
  <c r="L42" i="34" s="1"/>
  <c r="M42" i="34" s="1"/>
  <c r="N42" i="34" s="1"/>
  <c r="O42" i="34" s="1"/>
  <c r="P42" i="34" s="1"/>
  <c r="Q42" i="34" s="1"/>
  <c r="R42" i="34" s="1"/>
  <c r="S42" i="34" s="1"/>
  <c r="T42" i="34" s="1"/>
  <c r="U42" i="34" s="1"/>
  <c r="V42" i="34" s="1"/>
  <c r="W42" i="34" s="1"/>
  <c r="X42" i="34" s="1"/>
  <c r="Y42" i="34" s="1"/>
  <c r="Z42" i="34" s="1"/>
  <c r="AA42" i="34" s="1"/>
  <c r="AB42" i="34" s="1"/>
  <c r="AC42" i="34" s="1"/>
  <c r="AD42" i="34" s="1"/>
  <c r="AE42" i="34" s="1"/>
  <c r="AF42" i="34" s="1"/>
  <c r="AG42" i="34" s="1"/>
  <c r="AH42" i="34" s="1"/>
  <c r="AI42" i="34" s="1"/>
  <c r="F42" i="34"/>
  <c r="O8" i="34"/>
  <c r="AB19" i="34"/>
  <c r="AA15" i="34"/>
  <c r="Z15" i="34"/>
  <c r="Y15" i="34"/>
  <c r="X15" i="34"/>
  <c r="W15" i="34"/>
  <c r="V15" i="34"/>
  <c r="AA14" i="34"/>
  <c r="Z21" i="34" s="1"/>
  <c r="Z14" i="34"/>
  <c r="Y14" i="34"/>
  <c r="X14" i="34"/>
  <c r="W14" i="34"/>
  <c r="V14" i="34"/>
  <c r="AA13" i="34"/>
  <c r="Z13" i="34"/>
  <c r="Y13" i="34"/>
  <c r="X13" i="34"/>
  <c r="W13" i="34"/>
  <c r="V13" i="34"/>
  <c r="AA12" i="34"/>
  <c r="Z12" i="34"/>
  <c r="Y12" i="34"/>
  <c r="X12" i="34"/>
  <c r="W12" i="34"/>
  <c r="V12" i="34"/>
  <c r="T15" i="33"/>
  <c r="T14" i="33"/>
  <c r="T13" i="33"/>
  <c r="T12" i="33"/>
  <c r="S15" i="33"/>
  <c r="S14" i="33"/>
  <c r="S13" i="33"/>
  <c r="S12" i="33"/>
  <c r="R15" i="33"/>
  <c r="R14" i="33"/>
  <c r="R13" i="33"/>
  <c r="R12" i="33"/>
  <c r="Q15" i="33"/>
  <c r="Q14" i="33"/>
  <c r="Q13" i="33"/>
  <c r="Q12" i="33"/>
  <c r="P15" i="33"/>
  <c r="P14" i="33"/>
  <c r="P13" i="33"/>
  <c r="P12" i="33"/>
  <c r="O15" i="33"/>
  <c r="O14" i="33"/>
  <c r="O13" i="33"/>
  <c r="O12" i="33"/>
  <c r="K106" i="33"/>
  <c r="K103" i="33"/>
  <c r="K105" i="33"/>
  <c r="K104" i="33"/>
  <c r="D64" i="33"/>
  <c r="R61" i="33"/>
  <c r="R60" i="33"/>
  <c r="N62" i="33"/>
  <c r="P61" i="33"/>
  <c r="P60" i="33"/>
  <c r="S61" i="33"/>
  <c r="S60" i="33"/>
  <c r="C57" i="33"/>
  <c r="C64" i="33" s="1"/>
  <c r="J30" i="33"/>
  <c r="J21" i="33"/>
  <c r="J23" i="33"/>
  <c r="Z5" i="33"/>
  <c r="Z6" i="33"/>
  <c r="Z7" i="33"/>
  <c r="Z8" i="33"/>
  <c r="Z4" i="33"/>
  <c r="J34" i="33"/>
  <c r="D49" i="24"/>
  <c r="E49" i="24"/>
  <c r="G49" i="24"/>
  <c r="B49" i="24"/>
  <c r="J32" i="33"/>
  <c r="J33" i="33"/>
  <c r="J31" i="33"/>
  <c r="D262" i="19" l="1"/>
  <c r="S263" i="19" s="1"/>
  <c r="E262" i="19"/>
  <c r="T263" i="19" s="1"/>
  <c r="C262" i="19"/>
  <c r="R263" i="19" s="1"/>
  <c r="C197" i="28"/>
  <c r="R198" i="28" s="1"/>
  <c r="E197" i="28"/>
  <c r="T198" i="28" s="1"/>
  <c r="E183" i="29"/>
  <c r="T184" i="29" s="1"/>
  <c r="C183" i="29"/>
  <c r="R184" i="29" s="1"/>
  <c r="D183" i="29"/>
  <c r="S184" i="29" s="1"/>
  <c r="D197" i="28"/>
  <c r="S198" i="28" s="1"/>
  <c r="F182" i="29"/>
  <c r="F183" i="29" s="1"/>
  <c r="F186" i="29"/>
  <c r="U198" i="28"/>
  <c r="M198" i="28"/>
  <c r="G196" i="28"/>
  <c r="H196" i="28" s="1"/>
  <c r="H197" i="28" s="1"/>
  <c r="W198" i="28" s="1"/>
  <c r="D200" i="28"/>
  <c r="F261" i="19"/>
  <c r="F262" i="19" s="1"/>
  <c r="H57" i="34"/>
  <c r="I57" i="34" s="1"/>
  <c r="J57" i="34" s="1"/>
  <c r="K57" i="34" s="1"/>
  <c r="L57" i="34" s="1"/>
  <c r="M57" i="34" s="1"/>
  <c r="N57" i="34" s="1"/>
  <c r="O57" i="34" s="1"/>
  <c r="P57" i="34" s="1"/>
  <c r="Q57" i="34" s="1"/>
  <c r="R57" i="34" s="1"/>
  <c r="S57" i="34" s="1"/>
  <c r="T57" i="34" s="1"/>
  <c r="U57" i="34" s="1"/>
  <c r="V57" i="34" s="1"/>
  <c r="W57" i="34" s="1"/>
  <c r="X57" i="34" s="1"/>
  <c r="Y57" i="34" s="1"/>
  <c r="Z57" i="34" s="1"/>
  <c r="AA57" i="34" s="1"/>
  <c r="AB57" i="34" s="1"/>
  <c r="AC57" i="34" s="1"/>
  <c r="AD57" i="34" s="1"/>
  <c r="AE57" i="34" s="1"/>
  <c r="AF57" i="34" s="1"/>
  <c r="AG57" i="34" s="1"/>
  <c r="AH57" i="34" s="1"/>
  <c r="X19" i="34"/>
  <c r="X25" i="34" s="1"/>
  <c r="Y20" i="34"/>
  <c r="X22" i="34"/>
  <c r="Z19" i="34"/>
  <c r="Z25" i="34" s="1"/>
  <c r="W19" i="34"/>
  <c r="W25" i="34" s="1"/>
  <c r="V22" i="34"/>
  <c r="V20" i="34"/>
  <c r="Z20" i="34"/>
  <c r="Z22" i="34"/>
  <c r="Y19" i="34"/>
  <c r="Y25" i="34" s="1"/>
  <c r="W20" i="34"/>
  <c r="W22" i="34"/>
  <c r="Y22" i="34"/>
  <c r="V19" i="34"/>
  <c r="V25" i="34" s="1"/>
  <c r="X20" i="34"/>
  <c r="T61" i="33"/>
  <c r="T60" i="33"/>
  <c r="R62" i="33"/>
  <c r="U61" i="33" s="1"/>
  <c r="Z9" i="33"/>
  <c r="AA6" i="33" s="1"/>
  <c r="P62" i="33"/>
  <c r="S62" i="33"/>
  <c r="U60" i="33" l="1"/>
  <c r="I196" i="28"/>
  <c r="I197" i="28" s="1"/>
  <c r="X198" i="28" s="1"/>
  <c r="G197" i="28"/>
  <c r="V198" i="28" s="1"/>
  <c r="M263" i="19"/>
  <c r="M184" i="29"/>
  <c r="G186" i="29"/>
  <c r="U184" i="29"/>
  <c r="G182" i="29"/>
  <c r="G183" i="29" s="1"/>
  <c r="E200" i="28"/>
  <c r="U263" i="19"/>
  <c r="G261" i="19"/>
  <c r="G262" i="19" s="1"/>
  <c r="AA5" i="33"/>
  <c r="AA8" i="33"/>
  <c r="U62" i="33"/>
  <c r="AA7" i="33"/>
  <c r="T62" i="33"/>
  <c r="V62" i="33" s="1"/>
  <c r="AA4" i="33"/>
  <c r="J196" i="28" l="1"/>
  <c r="J197" i="28" s="1"/>
  <c r="V184" i="29"/>
  <c r="H182" i="29"/>
  <c r="H183" i="29" s="1"/>
  <c r="H186" i="29"/>
  <c r="F200" i="28"/>
  <c r="Y198" i="28"/>
  <c r="K196" i="28"/>
  <c r="K197" i="28" s="1"/>
  <c r="V263" i="19"/>
  <c r="H261" i="19"/>
  <c r="H262" i="19" s="1"/>
  <c r="AA9" i="33"/>
  <c r="W184" i="29" l="1"/>
  <c r="I182" i="29"/>
  <c r="I183" i="29" s="1"/>
  <c r="I186" i="29"/>
  <c r="G200" i="28"/>
  <c r="Z198" i="28"/>
  <c r="L196" i="28"/>
  <c r="L197" i="28" s="1"/>
  <c r="I261" i="19"/>
  <c r="I262" i="19" s="1"/>
  <c r="W263" i="19"/>
  <c r="J186" i="29" l="1"/>
  <c r="J182" i="29"/>
  <c r="J183" i="29" s="1"/>
  <c r="X184" i="29"/>
  <c r="M196" i="28"/>
  <c r="M197" i="28" s="1"/>
  <c r="AA198" i="28"/>
  <c r="H200" i="28"/>
  <c r="X263" i="19"/>
  <c r="J261" i="19"/>
  <c r="J262" i="19" s="1"/>
  <c r="K186" i="29" l="1"/>
  <c r="Y184" i="29"/>
  <c r="K182" i="29"/>
  <c r="K183" i="29" s="1"/>
  <c r="I200" i="28"/>
  <c r="N196" i="28"/>
  <c r="N197" i="28" s="1"/>
  <c r="AB198" i="28"/>
  <c r="Y263" i="19"/>
  <c r="K261" i="19"/>
  <c r="K262" i="19" s="1"/>
  <c r="L186" i="29" l="1"/>
  <c r="L182" i="29"/>
  <c r="L183" i="29" s="1"/>
  <c r="Z184" i="29"/>
  <c r="AC198" i="28"/>
  <c r="O196" i="28"/>
  <c r="O197" i="28" s="1"/>
  <c r="J200" i="28"/>
  <c r="Z263" i="19"/>
  <c r="L261" i="19"/>
  <c r="L262" i="19" s="1"/>
  <c r="AA184" i="29" l="1"/>
  <c r="M182" i="29"/>
  <c r="M183" i="29" s="1"/>
  <c r="M186" i="29"/>
  <c r="AD198" i="28"/>
  <c r="P196" i="28"/>
  <c r="P197" i="28" s="1"/>
  <c r="K200" i="28"/>
  <c r="M261" i="19"/>
  <c r="M262" i="19" s="1"/>
  <c r="AA263" i="19"/>
  <c r="N186" i="29" l="1"/>
  <c r="N182" i="29"/>
  <c r="N183" i="29" s="1"/>
  <c r="AB184" i="29"/>
  <c r="Q196" i="28"/>
  <c r="Q197" i="28" s="1"/>
  <c r="AE198" i="28"/>
  <c r="L200" i="28"/>
  <c r="AB263" i="19"/>
  <c r="N261" i="19"/>
  <c r="N262" i="19" s="1"/>
  <c r="AC184" i="29" l="1"/>
  <c r="O182" i="29"/>
  <c r="O183" i="29" s="1"/>
  <c r="O186" i="29"/>
  <c r="M200" i="28"/>
  <c r="R196" i="28"/>
  <c r="R197" i="28" s="1"/>
  <c r="AF198" i="28"/>
  <c r="AC263" i="19"/>
  <c r="O261" i="19"/>
  <c r="O262" i="19" s="1"/>
  <c r="P186" i="29" l="1"/>
  <c r="P182" i="29"/>
  <c r="P183" i="29" s="1"/>
  <c r="AD184" i="29"/>
  <c r="AG198" i="28"/>
  <c r="S196" i="28"/>
  <c r="S197" i="28" s="1"/>
  <c r="N200" i="28"/>
  <c r="AD263" i="19"/>
  <c r="P261" i="19"/>
  <c r="P262" i="19" s="1"/>
  <c r="AE184" i="29" l="1"/>
  <c r="Q182" i="29"/>
  <c r="Q183" i="29" s="1"/>
  <c r="Q186" i="29"/>
  <c r="O200" i="28"/>
  <c r="T196" i="28"/>
  <c r="T197" i="28" s="1"/>
  <c r="Q261" i="19"/>
  <c r="Q262" i="19" s="1"/>
  <c r="AE263" i="19"/>
  <c r="R186" i="29" l="1"/>
  <c r="R182" i="29"/>
  <c r="R183" i="29" s="1"/>
  <c r="AF184" i="29"/>
  <c r="P200" i="28"/>
  <c r="U196" i="28"/>
  <c r="U197" i="28" s="1"/>
  <c r="AF263" i="19"/>
  <c r="R261" i="19"/>
  <c r="R262" i="19" s="1"/>
  <c r="AG184" i="29" l="1"/>
  <c r="S182" i="29"/>
  <c r="S183" i="29" s="1"/>
  <c r="S186" i="29"/>
  <c r="V196" i="28"/>
  <c r="V197" i="28" s="1"/>
  <c r="Q200" i="28"/>
  <c r="AG263" i="19"/>
  <c r="S261" i="19"/>
  <c r="S262" i="19" s="1"/>
  <c r="T186" i="29" l="1"/>
  <c r="T182" i="29"/>
  <c r="T183" i="29" s="1"/>
  <c r="R200" i="28"/>
  <c r="W196" i="28"/>
  <c r="W197" i="28" s="1"/>
  <c r="T261" i="19"/>
  <c r="T262" i="19" s="1"/>
  <c r="U182" i="29" l="1"/>
  <c r="U183" i="29" s="1"/>
  <c r="U186" i="29"/>
  <c r="S200" i="28"/>
  <c r="X196" i="28"/>
  <c r="X197" i="28" s="1"/>
  <c r="U261" i="19"/>
  <c r="U262" i="19" s="1"/>
  <c r="V186" i="29" l="1"/>
  <c r="V182" i="29"/>
  <c r="V183" i="29" s="1"/>
  <c r="Y196" i="28"/>
  <c r="Y197" i="28" s="1"/>
  <c r="T200" i="28"/>
  <c r="V261" i="19"/>
  <c r="V262" i="19" s="1"/>
  <c r="W182" i="29" l="1"/>
  <c r="W183" i="29" s="1"/>
  <c r="W186" i="29"/>
  <c r="Z196" i="28"/>
  <c r="Z197" i="28" s="1"/>
  <c r="U200" i="28"/>
  <c r="W261" i="19"/>
  <c r="W262" i="19" s="1"/>
  <c r="N22" i="24"/>
  <c r="B31" i="27"/>
  <c r="B39" i="27" s="1"/>
  <c r="B30" i="27"/>
  <c r="B38" i="27" s="1"/>
  <c r="B29" i="27"/>
  <c r="B37" i="27" s="1"/>
  <c r="B28" i="27"/>
  <c r="R305" i="20"/>
  <c r="D303" i="20"/>
  <c r="D304" i="20" s="1"/>
  <c r="S305" i="20" s="1"/>
  <c r="B36" i="27" l="1"/>
  <c r="X182" i="29"/>
  <c r="X183" i="29" s="1"/>
  <c r="X186" i="29"/>
  <c r="V200" i="28"/>
  <c r="AA196" i="28"/>
  <c r="AA197" i="28" s="1"/>
  <c r="X261" i="19"/>
  <c r="X262" i="19" s="1"/>
  <c r="M305" i="20"/>
  <c r="E303" i="20"/>
  <c r="E304" i="20" s="1"/>
  <c r="T305" i="20" s="1"/>
  <c r="Y186" i="29" l="1"/>
  <c r="Y182" i="29"/>
  <c r="Y183" i="29" s="1"/>
  <c r="AB196" i="28"/>
  <c r="AB197" i="28" s="1"/>
  <c r="W200" i="28"/>
  <c r="Y261" i="19"/>
  <c r="Y262" i="19" s="1"/>
  <c r="F303" i="20"/>
  <c r="F304" i="20" s="1"/>
  <c r="U305" i="20" s="1"/>
  <c r="Z186" i="29" l="1"/>
  <c r="Z182" i="29"/>
  <c r="Z183" i="29" s="1"/>
  <c r="AC196" i="28"/>
  <c r="AC197" i="28" s="1"/>
  <c r="X200" i="28"/>
  <c r="Z261" i="19"/>
  <c r="Z262" i="19" s="1"/>
  <c r="G303" i="20"/>
  <c r="G304" i="20" s="1"/>
  <c r="V305" i="20" s="1"/>
  <c r="AA186" i="29" l="1"/>
  <c r="AA182" i="29"/>
  <c r="AA183" i="29" s="1"/>
  <c r="Y200" i="28"/>
  <c r="AD196" i="28"/>
  <c r="AD197" i="28" s="1"/>
  <c r="AA261" i="19"/>
  <c r="AA262" i="19" s="1"/>
  <c r="H303" i="20"/>
  <c r="H304" i="20" s="1"/>
  <c r="W305" i="20" s="1"/>
  <c r="AB182" i="29" l="1"/>
  <c r="AB183" i="29" s="1"/>
  <c r="AB186" i="29"/>
  <c r="Z200" i="28"/>
  <c r="AE196" i="28"/>
  <c r="AE197" i="28" s="1"/>
  <c r="AB261" i="19"/>
  <c r="AB262" i="19" s="1"/>
  <c r="I303" i="20"/>
  <c r="I304" i="20" s="1"/>
  <c r="X305" i="20" s="1"/>
  <c r="AC186" i="29" l="1"/>
  <c r="AC182" i="29"/>
  <c r="AC183" i="29" s="1"/>
  <c r="AA200" i="28"/>
  <c r="AF196" i="28"/>
  <c r="AF197" i="28" s="1"/>
  <c r="AC261" i="19"/>
  <c r="AC262" i="19" s="1"/>
  <c r="J303" i="20"/>
  <c r="J304" i="20" s="1"/>
  <c r="Y305" i="20" s="1"/>
  <c r="AD182" i="29" l="1"/>
  <c r="AD183" i="29" s="1"/>
  <c r="AD186" i="29"/>
  <c r="AG196" i="28"/>
  <c r="AG197" i="28" s="1"/>
  <c r="AB200" i="28"/>
  <c r="AD261" i="19"/>
  <c r="AD262" i="19" s="1"/>
  <c r="K303" i="20"/>
  <c r="K304" i="20" s="1"/>
  <c r="Z305" i="20" s="1"/>
  <c r="AE186" i="29" l="1"/>
  <c r="AE182" i="29"/>
  <c r="AE183" i="29" s="1"/>
  <c r="AC200" i="28"/>
  <c r="AE261" i="19"/>
  <c r="AE262" i="19" s="1"/>
  <c r="L303" i="20"/>
  <c r="L304" i="20" s="1"/>
  <c r="AA305" i="20" s="1"/>
  <c r="AF182" i="29" l="1"/>
  <c r="AF183" i="29" s="1"/>
  <c r="AF186" i="29"/>
  <c r="AD200" i="28"/>
  <c r="AF261" i="19"/>
  <c r="AF262" i="19" s="1"/>
  <c r="M303" i="20"/>
  <c r="M304" i="20" s="1"/>
  <c r="AB305" i="20" s="1"/>
  <c r="AG182" i="29" l="1"/>
  <c r="AG183" i="29" s="1"/>
  <c r="AG186" i="29"/>
  <c r="AE200" i="28"/>
  <c r="AG261" i="19"/>
  <c r="AG262" i="19" s="1"/>
  <c r="N303" i="20"/>
  <c r="N304" i="20" s="1"/>
  <c r="AC305" i="20" s="1"/>
  <c r="AF200" i="28" l="1"/>
  <c r="O303" i="20"/>
  <c r="O304" i="20" s="1"/>
  <c r="AD305" i="20" s="1"/>
  <c r="AG200" i="28" l="1"/>
  <c r="P303" i="20"/>
  <c r="P304" i="20" s="1"/>
  <c r="AE305" i="20" s="1"/>
  <c r="Q303" i="20" l="1"/>
  <c r="Q304" i="20" s="1"/>
  <c r="AF305" i="20" s="1"/>
  <c r="R303" i="20" l="1"/>
  <c r="R304" i="20" s="1"/>
  <c r="AG305" i="20" s="1"/>
  <c r="S303" i="20" l="1"/>
  <c r="S304" i="20" s="1"/>
  <c r="T303" i="20" l="1"/>
  <c r="T304" i="20" s="1"/>
  <c r="U303" i="20" l="1"/>
  <c r="U304" i="20" s="1"/>
  <c r="V303" i="20" l="1"/>
  <c r="V304" i="20" s="1"/>
  <c r="W303" i="20" l="1"/>
  <c r="W304" i="20" s="1"/>
  <c r="X303" i="20" l="1"/>
  <c r="X304" i="20" s="1"/>
  <c r="Y303" i="20" l="1"/>
  <c r="Y304" i="20" s="1"/>
  <c r="Z303" i="20" l="1"/>
  <c r="Z304" i="20" s="1"/>
  <c r="AA303" i="20" l="1"/>
  <c r="AA304" i="20" s="1"/>
  <c r="AB303" i="20" l="1"/>
  <c r="AB304" i="20" s="1"/>
  <c r="AC303" i="20" l="1"/>
  <c r="AC304" i="20" s="1"/>
  <c r="AD303" i="20" l="1"/>
  <c r="AD304" i="20" s="1"/>
  <c r="AE303" i="20" l="1"/>
  <c r="AE304" i="20" s="1"/>
  <c r="AF303" i="20" l="1"/>
  <c r="AF304" i="20" s="1"/>
  <c r="AG303" i="20" l="1"/>
  <c r="AG304" i="20" s="1"/>
  <c r="W8" i="8" l="1"/>
  <c r="C8" i="8" s="1"/>
  <c r="H8" i="8" s="1"/>
  <c r="W9" i="8"/>
  <c r="C9" i="8" s="1"/>
  <c r="H9" i="8" s="1"/>
  <c r="W10" i="8"/>
  <c r="C10" i="8" s="1"/>
  <c r="H10" i="8" s="1"/>
  <c r="W7" i="8"/>
  <c r="C7" i="8" s="1"/>
  <c r="H7" i="8" s="1"/>
  <c r="J32" i="4" l="1"/>
  <c r="K32" i="4" s="1"/>
  <c r="Q32" i="4" s="1"/>
  <c r="J33" i="4"/>
  <c r="K33" i="4" s="1"/>
  <c r="Q33" i="4" s="1"/>
  <c r="J34" i="4"/>
  <c r="J35" i="4"/>
  <c r="K35" i="4" s="1"/>
  <c r="J31" i="4"/>
  <c r="K31" i="4" s="1"/>
  <c r="P31" i="4"/>
  <c r="P22" i="4"/>
  <c r="J23" i="4"/>
  <c r="J24" i="4"/>
  <c r="J25" i="4"/>
  <c r="K25" i="4" s="1"/>
  <c r="Q25" i="4" s="1"/>
  <c r="J26" i="4"/>
  <c r="K26" i="4" s="1"/>
  <c r="Q26" i="4" s="1"/>
  <c r="J22" i="4"/>
  <c r="K22" i="4" s="1"/>
  <c r="B12" i="4"/>
  <c r="Q11" i="9"/>
  <c r="Q12" i="9" s="1"/>
  <c r="D64" i="16"/>
  <c r="D62" i="16"/>
  <c r="D61" i="16"/>
  <c r="D58" i="16"/>
  <c r="D56" i="16"/>
  <c r="D55" i="16"/>
  <c r="D48" i="16"/>
  <c r="D45" i="16"/>
  <c r="D44" i="16"/>
  <c r="D64" i="15"/>
  <c r="D63" i="15"/>
  <c r="D62" i="15"/>
  <c r="D61" i="15"/>
  <c r="D58" i="15"/>
  <c r="D57" i="15"/>
  <c r="D56" i="15"/>
  <c r="D55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D51" i="15"/>
  <c r="D48" i="15"/>
  <c r="D45" i="15"/>
  <c r="D44" i="15"/>
  <c r="K34" i="4" l="1"/>
  <c r="Q34" i="4" s="1"/>
  <c r="Q31" i="4"/>
  <c r="Q22" i="4"/>
  <c r="D126" i="12" l="1"/>
  <c r="D125" i="12"/>
  <c r="D124" i="12"/>
  <c r="D123" i="12"/>
  <c r="D94" i="12"/>
  <c r="D93" i="12"/>
  <c r="E39" i="7" l="1"/>
  <c r="S19" i="7" s="1"/>
  <c r="E36" i="7"/>
  <c r="E38" i="7"/>
  <c r="S20" i="7" l="1"/>
  <c r="S21" i="7"/>
  <c r="S14" i="7" s="1"/>
  <c r="I24" i="7"/>
  <c r="I25" i="7"/>
  <c r="F57" i="33"/>
  <c r="F64" i="33" s="1"/>
  <c r="N14" i="7"/>
  <c r="AB21" i="34"/>
  <c r="E57" i="33"/>
  <c r="E37" i="7"/>
  <c r="AB22" i="34"/>
  <c r="G57" i="33"/>
  <c r="H55" i="24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D51" i="16"/>
  <c r="E52" i="15"/>
  <c r="D52" i="15"/>
  <c r="E3" i="14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AG3" i="14" s="1"/>
  <c r="AH3" i="14" s="1"/>
  <c r="D17" i="14"/>
  <c r="D29" i="14"/>
  <c r="D32" i="14"/>
  <c r="D53" i="14"/>
  <c r="X1" i="29"/>
  <c r="Y1" i="29" s="1"/>
  <c r="Z1" i="29" s="1"/>
  <c r="AA1" i="29" s="1"/>
  <c r="AB1" i="29" s="1"/>
  <c r="AC1" i="29" s="1"/>
  <c r="AD1" i="29" s="1"/>
  <c r="AE1" i="29" s="1"/>
  <c r="AF1" i="29" s="1"/>
  <c r="N1" i="29"/>
  <c r="O1" i="29" s="1"/>
  <c r="P1" i="29" s="1"/>
  <c r="Q1" i="29" s="1"/>
  <c r="R1" i="29" s="1"/>
  <c r="S1" i="29" s="1"/>
  <c r="T1" i="29" s="1"/>
  <c r="U1" i="29" s="1"/>
  <c r="V1" i="29" s="1"/>
  <c r="D1" i="29"/>
  <c r="E1" i="29" s="1"/>
  <c r="F1" i="29" s="1"/>
  <c r="G1" i="29" s="1"/>
  <c r="H1" i="29" s="1"/>
  <c r="I1" i="29" s="1"/>
  <c r="J1" i="29" s="1"/>
  <c r="K1" i="29" s="1"/>
  <c r="L1" i="29" s="1"/>
  <c r="C90" i="28"/>
  <c r="C77" i="29" s="1"/>
  <c r="AG90" i="28"/>
  <c r="AG77" i="29" s="1"/>
  <c r="D92" i="28"/>
  <c r="E92" i="28" s="1"/>
  <c r="C93" i="28"/>
  <c r="C95" i="28" s="1"/>
  <c r="AG93" i="28"/>
  <c r="AG95" i="28" s="1"/>
  <c r="C94" i="28"/>
  <c r="AG94" i="28"/>
  <c r="D97" i="28"/>
  <c r="C98" i="28"/>
  <c r="C99" i="28" s="1"/>
  <c r="C56" i="28"/>
  <c r="D54" i="28"/>
  <c r="D55" i="28" s="1"/>
  <c r="C55" i="28"/>
  <c r="C57" i="28" s="1"/>
  <c r="H68" i="24"/>
  <c r="AG110" i="28"/>
  <c r="C110" i="28"/>
  <c r="AG104" i="28"/>
  <c r="C104" i="28"/>
  <c r="C75" i="28"/>
  <c r="D75" i="28" s="1"/>
  <c r="E75" i="28" s="1"/>
  <c r="F75" i="28" s="1"/>
  <c r="G75" i="28" s="1"/>
  <c r="H75" i="28" s="1"/>
  <c r="I75" i="28" s="1"/>
  <c r="J75" i="28" s="1"/>
  <c r="K75" i="28" s="1"/>
  <c r="L75" i="28" s="1"/>
  <c r="M75" i="28" s="1"/>
  <c r="N75" i="28" s="1"/>
  <c r="O75" i="28" s="1"/>
  <c r="P75" i="28" s="1"/>
  <c r="Q75" i="28" s="1"/>
  <c r="R75" i="28" s="1"/>
  <c r="S75" i="28" s="1"/>
  <c r="T75" i="28" s="1"/>
  <c r="U75" i="28" s="1"/>
  <c r="V75" i="28" s="1"/>
  <c r="W75" i="28" s="1"/>
  <c r="X75" i="28" s="1"/>
  <c r="Y75" i="28" s="1"/>
  <c r="Z75" i="28" s="1"/>
  <c r="AA75" i="28" s="1"/>
  <c r="AB75" i="28" s="1"/>
  <c r="AC75" i="28" s="1"/>
  <c r="AD75" i="28" s="1"/>
  <c r="AE75" i="28" s="1"/>
  <c r="AF75" i="28" s="1"/>
  <c r="AG75" i="28" s="1"/>
  <c r="D74" i="28"/>
  <c r="E74" i="28" s="1"/>
  <c r="F74" i="28" s="1"/>
  <c r="G74" i="28" s="1"/>
  <c r="H74" i="28" s="1"/>
  <c r="I74" i="28" s="1"/>
  <c r="J74" i="28" s="1"/>
  <c r="K74" i="28" s="1"/>
  <c r="L74" i="28" s="1"/>
  <c r="M74" i="28" s="1"/>
  <c r="N74" i="28" s="1"/>
  <c r="O74" i="28" s="1"/>
  <c r="P74" i="28" s="1"/>
  <c r="Q74" i="28" s="1"/>
  <c r="R74" i="28" s="1"/>
  <c r="S74" i="28" s="1"/>
  <c r="T74" i="28" s="1"/>
  <c r="U74" i="28" s="1"/>
  <c r="V74" i="28" s="1"/>
  <c r="W74" i="28" s="1"/>
  <c r="X74" i="28" s="1"/>
  <c r="Y74" i="28" s="1"/>
  <c r="Z74" i="28" s="1"/>
  <c r="AA74" i="28" s="1"/>
  <c r="AB74" i="28" s="1"/>
  <c r="AC74" i="28" s="1"/>
  <c r="AD74" i="28" s="1"/>
  <c r="AE74" i="28" s="1"/>
  <c r="AF74" i="28" s="1"/>
  <c r="AG74" i="28" s="1"/>
  <c r="D73" i="28"/>
  <c r="E73" i="28" s="1"/>
  <c r="F73" i="28" s="1"/>
  <c r="AG70" i="28"/>
  <c r="C70" i="28"/>
  <c r="AG69" i="28"/>
  <c r="AG71" i="28" s="1"/>
  <c r="C69" i="28"/>
  <c r="C71" i="28" s="1"/>
  <c r="D68" i="28"/>
  <c r="D69" i="28" s="1"/>
  <c r="AG66" i="28"/>
  <c r="C66" i="28"/>
  <c r="W52" i="28"/>
  <c r="M52" i="28"/>
  <c r="C52" i="28"/>
  <c r="C49" i="28" s="1"/>
  <c r="X1" i="28"/>
  <c r="N1" i="28"/>
  <c r="D1" i="28"/>
  <c r="AG51" i="20"/>
  <c r="AG50" i="20"/>
  <c r="AG47" i="38" l="1"/>
  <c r="AG49" i="38" s="1"/>
  <c r="AG46" i="38" s="1"/>
  <c r="AG47" i="46"/>
  <c r="AG49" i="46" s="1"/>
  <c r="AG46" i="46" s="1"/>
  <c r="AG47" i="42"/>
  <c r="AG49" i="42" s="1"/>
  <c r="AG46" i="42" s="1"/>
  <c r="AG47" i="48"/>
  <c r="AG58" i="20"/>
  <c r="AG48" i="38"/>
  <c r="AG48" i="42"/>
  <c r="AG48" i="46"/>
  <c r="AG48" i="48"/>
  <c r="D51" i="28"/>
  <c r="D50" i="28"/>
  <c r="H25" i="7"/>
  <c r="H24" i="7"/>
  <c r="I26" i="7"/>
  <c r="I27" i="7" s="1"/>
  <c r="I14" i="7" s="1"/>
  <c r="N50" i="28"/>
  <c r="N51" i="28"/>
  <c r="Y1" i="28"/>
  <c r="X51" i="28"/>
  <c r="X50" i="28"/>
  <c r="M49" i="28"/>
  <c r="D82" i="14"/>
  <c r="AG55" i="46"/>
  <c r="AG55" i="48"/>
  <c r="AG55" i="42"/>
  <c r="AG55" i="38"/>
  <c r="Z27" i="34"/>
  <c r="Y27" i="34"/>
  <c r="X27" i="34"/>
  <c r="W27" i="34"/>
  <c r="V27" i="34"/>
  <c r="X26" i="34"/>
  <c r="V26" i="34"/>
  <c r="Z26" i="34"/>
  <c r="W26" i="34"/>
  <c r="Y26" i="34"/>
  <c r="AH51" i="15"/>
  <c r="AG52" i="20"/>
  <c r="K102" i="33" s="1"/>
  <c r="D74" i="14"/>
  <c r="D81" i="14"/>
  <c r="C78" i="28"/>
  <c r="D98" i="28"/>
  <c r="E98" i="28" s="1"/>
  <c r="F98" i="28" s="1"/>
  <c r="G98" i="28" s="1"/>
  <c r="H98" i="28" s="1"/>
  <c r="I98" i="28" s="1"/>
  <c r="J98" i="28" s="1"/>
  <c r="K98" i="28" s="1"/>
  <c r="L98" i="28" s="1"/>
  <c r="M98" i="28" s="1"/>
  <c r="N98" i="28" s="1"/>
  <c r="O98" i="28" s="1"/>
  <c r="P98" i="28" s="1"/>
  <c r="Q98" i="28" s="1"/>
  <c r="R98" i="28" s="1"/>
  <c r="S98" i="28" s="1"/>
  <c r="T98" i="28" s="1"/>
  <c r="U98" i="28" s="1"/>
  <c r="V98" i="28" s="1"/>
  <c r="W98" i="28" s="1"/>
  <c r="X98" i="28" s="1"/>
  <c r="Y98" i="28" s="1"/>
  <c r="Z98" i="28" s="1"/>
  <c r="AA98" i="28" s="1"/>
  <c r="AB98" i="28" s="1"/>
  <c r="AC98" i="28" s="1"/>
  <c r="AD98" i="28" s="1"/>
  <c r="AE98" i="28" s="1"/>
  <c r="AF98" i="28" s="1"/>
  <c r="AG98" i="28" s="1"/>
  <c r="AG102" i="28" s="1"/>
  <c r="C102" i="28"/>
  <c r="E93" i="28"/>
  <c r="F92" i="28"/>
  <c r="G92" i="28" s="1"/>
  <c r="H92" i="28" s="1"/>
  <c r="C101" i="28"/>
  <c r="D93" i="28"/>
  <c r="E97" i="28"/>
  <c r="D57" i="28"/>
  <c r="D56" i="28"/>
  <c r="C76" i="28"/>
  <c r="E54" i="28"/>
  <c r="AG79" i="28"/>
  <c r="E1" i="28"/>
  <c r="Z1" i="28"/>
  <c r="AG80" i="28"/>
  <c r="O1" i="28"/>
  <c r="W49" i="28"/>
  <c r="AG52" i="28"/>
  <c r="W105" i="28" s="1"/>
  <c r="F76" i="28"/>
  <c r="G73" i="28"/>
  <c r="C79" i="28"/>
  <c r="C80" i="28"/>
  <c r="E68" i="28"/>
  <c r="E76" i="28"/>
  <c r="D76" i="28"/>
  <c r="C205" i="20"/>
  <c r="X1" i="19"/>
  <c r="N1" i="19"/>
  <c r="D1" i="19"/>
  <c r="AG205" i="20"/>
  <c r="AG192" i="20"/>
  <c r="C192" i="20"/>
  <c r="C112" i="20"/>
  <c r="C160" i="20"/>
  <c r="C156" i="20"/>
  <c r="AG156" i="20"/>
  <c r="Z105" i="28" l="1"/>
  <c r="Y105" i="28"/>
  <c r="X105" i="28"/>
  <c r="M111" i="28"/>
  <c r="H27" i="7"/>
  <c r="AG49" i="48"/>
  <c r="AG46" i="48" s="1"/>
  <c r="O50" i="28"/>
  <c r="O51" i="28"/>
  <c r="Z50" i="28"/>
  <c r="Z51" i="28"/>
  <c r="E51" i="28"/>
  <c r="E50" i="28"/>
  <c r="Y51" i="28"/>
  <c r="Y50" i="28"/>
  <c r="Y52" i="28" s="1"/>
  <c r="Y49" i="28" s="1"/>
  <c r="X33" i="34"/>
  <c r="E6" i="34" s="1"/>
  <c r="E56" i="34" s="1"/>
  <c r="F56" i="34" s="1"/>
  <c r="G56" i="34" s="1"/>
  <c r="H56" i="34" s="1"/>
  <c r="I56" i="34" s="1"/>
  <c r="J56" i="34" s="1"/>
  <c r="K56" i="34" s="1"/>
  <c r="L56" i="34" s="1"/>
  <c r="M56" i="34" s="1"/>
  <c r="N56" i="34" s="1"/>
  <c r="O56" i="34" s="1"/>
  <c r="P56" i="34" s="1"/>
  <c r="Q56" i="34" s="1"/>
  <c r="R56" i="34" s="1"/>
  <c r="S56" i="34" s="1"/>
  <c r="T56" i="34" s="1"/>
  <c r="U56" i="34" s="1"/>
  <c r="V56" i="34" s="1"/>
  <c r="W56" i="34" s="1"/>
  <c r="X56" i="34" s="1"/>
  <c r="Y56" i="34" s="1"/>
  <c r="Z56" i="34" s="1"/>
  <c r="AA56" i="34" s="1"/>
  <c r="AB56" i="34" s="1"/>
  <c r="AC56" i="34" s="1"/>
  <c r="AD56" i="34" s="1"/>
  <c r="AE56" i="34" s="1"/>
  <c r="AF56" i="34" s="1"/>
  <c r="AG56" i="34" s="1"/>
  <c r="AH56" i="34" s="1"/>
  <c r="W67" i="28"/>
  <c r="M105" i="28"/>
  <c r="W111" i="28"/>
  <c r="Z33" i="34"/>
  <c r="G6" i="34" s="1"/>
  <c r="E66" i="34" s="1"/>
  <c r="M67" i="28"/>
  <c r="W28" i="34"/>
  <c r="C54" i="20" s="1"/>
  <c r="W32" i="34"/>
  <c r="D4" i="34" s="1"/>
  <c r="E49" i="34" s="1"/>
  <c r="F49" i="34" s="1"/>
  <c r="G49" i="34" s="1"/>
  <c r="H49" i="34" s="1"/>
  <c r="I49" i="34" s="1"/>
  <c r="J49" i="34" s="1"/>
  <c r="K49" i="34" s="1"/>
  <c r="L49" i="34" s="1"/>
  <c r="M49" i="34" s="1"/>
  <c r="N49" i="34" s="1"/>
  <c r="O49" i="34" s="1"/>
  <c r="P49" i="34" s="1"/>
  <c r="Q49" i="34" s="1"/>
  <c r="R49" i="34" s="1"/>
  <c r="S49" i="34" s="1"/>
  <c r="T49" i="34" s="1"/>
  <c r="U49" i="34" s="1"/>
  <c r="V49" i="34" s="1"/>
  <c r="W49" i="34" s="1"/>
  <c r="X49" i="34" s="1"/>
  <c r="Y49" i="34" s="1"/>
  <c r="Z49" i="34" s="1"/>
  <c r="AA49" i="34" s="1"/>
  <c r="AB49" i="34" s="1"/>
  <c r="AC49" i="34" s="1"/>
  <c r="AD49" i="34" s="1"/>
  <c r="AE49" i="34" s="1"/>
  <c r="AF49" i="34" s="1"/>
  <c r="AG49" i="34" s="1"/>
  <c r="AH49" i="34" s="1"/>
  <c r="W31" i="34"/>
  <c r="D3" i="34" s="1"/>
  <c r="V33" i="34"/>
  <c r="C6" i="34" s="1"/>
  <c r="E46" i="34" s="1"/>
  <c r="V32" i="34"/>
  <c r="C4" i="34" s="1"/>
  <c r="E44" i="34" s="1"/>
  <c r="V31" i="34"/>
  <c r="C3" i="34" s="1"/>
  <c r="Y32" i="34"/>
  <c r="F4" i="34" s="1"/>
  <c r="E59" i="34" s="1"/>
  <c r="Y31" i="34"/>
  <c r="F3" i="34" s="1"/>
  <c r="Y28" i="34"/>
  <c r="X32" i="34"/>
  <c r="E4" i="34" s="1"/>
  <c r="E54" i="34" s="1"/>
  <c r="F54" i="34" s="1"/>
  <c r="G54" i="34" s="1"/>
  <c r="H54" i="34" s="1"/>
  <c r="I54" i="34" s="1"/>
  <c r="J54" i="34" s="1"/>
  <c r="K54" i="34" s="1"/>
  <c r="L54" i="34" s="1"/>
  <c r="M54" i="34" s="1"/>
  <c r="N54" i="34" s="1"/>
  <c r="O54" i="34" s="1"/>
  <c r="P54" i="34" s="1"/>
  <c r="Q54" i="34" s="1"/>
  <c r="R54" i="34" s="1"/>
  <c r="S54" i="34" s="1"/>
  <c r="T54" i="34" s="1"/>
  <c r="U54" i="34" s="1"/>
  <c r="V54" i="34" s="1"/>
  <c r="W54" i="34" s="1"/>
  <c r="X54" i="34" s="1"/>
  <c r="Y54" i="34" s="1"/>
  <c r="Z54" i="34" s="1"/>
  <c r="AA54" i="34" s="1"/>
  <c r="AB54" i="34" s="1"/>
  <c r="AC54" i="34" s="1"/>
  <c r="AD54" i="34" s="1"/>
  <c r="AE54" i="34" s="1"/>
  <c r="AF54" i="34" s="1"/>
  <c r="AG54" i="34" s="1"/>
  <c r="AH54" i="34" s="1"/>
  <c r="X28" i="34"/>
  <c r="C56" i="20" s="1"/>
  <c r="X31" i="34"/>
  <c r="E3" i="34" s="1"/>
  <c r="Y33" i="34"/>
  <c r="Z32" i="34"/>
  <c r="G4" i="34" s="1"/>
  <c r="E64" i="34" s="1"/>
  <c r="Z28" i="34"/>
  <c r="C55" i="20" s="1"/>
  <c r="Z31" i="34"/>
  <c r="G3" i="34" s="1"/>
  <c r="W33" i="34"/>
  <c r="D6" i="34" s="1"/>
  <c r="E51" i="34" s="1"/>
  <c r="F51" i="34" s="1"/>
  <c r="G51" i="34" s="1"/>
  <c r="H51" i="34" s="1"/>
  <c r="I51" i="34" s="1"/>
  <c r="J51" i="34" s="1"/>
  <c r="K51" i="34" s="1"/>
  <c r="L51" i="34" s="1"/>
  <c r="M51" i="34" s="1"/>
  <c r="N51" i="34" s="1"/>
  <c r="O51" i="34" s="1"/>
  <c r="P51" i="34" s="1"/>
  <c r="Q51" i="34" s="1"/>
  <c r="R51" i="34" s="1"/>
  <c r="S51" i="34" s="1"/>
  <c r="T51" i="34" s="1"/>
  <c r="U51" i="34" s="1"/>
  <c r="V51" i="34" s="1"/>
  <c r="W51" i="34" s="1"/>
  <c r="X51" i="34" s="1"/>
  <c r="Y51" i="34" s="1"/>
  <c r="Z51" i="34" s="1"/>
  <c r="AA51" i="34" s="1"/>
  <c r="AB51" i="34" s="1"/>
  <c r="AC51" i="34" s="1"/>
  <c r="AD51" i="34" s="1"/>
  <c r="AE51" i="34" s="1"/>
  <c r="AF51" i="34" s="1"/>
  <c r="AG51" i="34" s="1"/>
  <c r="AH51" i="34" s="1"/>
  <c r="AH63" i="15"/>
  <c r="D83" i="14"/>
  <c r="D99" i="28"/>
  <c r="F93" i="28"/>
  <c r="G93" i="28"/>
  <c r="I92" i="28"/>
  <c r="H93" i="28"/>
  <c r="M110" i="28"/>
  <c r="W91" i="28"/>
  <c r="W90" i="28" s="1"/>
  <c r="W77" i="29" s="1"/>
  <c r="M91" i="28"/>
  <c r="M90" i="28" s="1"/>
  <c r="M77" i="29" s="1"/>
  <c r="F97" i="28"/>
  <c r="E99" i="28"/>
  <c r="E55" i="28"/>
  <c r="F54" i="28"/>
  <c r="D52" i="28"/>
  <c r="AG49" i="28"/>
  <c r="E69" i="28"/>
  <c r="F68" i="28"/>
  <c r="H73" i="28"/>
  <c r="G76" i="28"/>
  <c r="X52" i="28"/>
  <c r="AA1" i="28"/>
  <c r="P1" i="28"/>
  <c r="N52" i="28"/>
  <c r="F1" i="28"/>
  <c r="E56" i="28"/>
  <c r="Y1" i="19"/>
  <c r="O1" i="19"/>
  <c r="E1" i="19"/>
  <c r="C161" i="20"/>
  <c r="D160" i="20"/>
  <c r="E160" i="20" s="1"/>
  <c r="F160" i="20" s="1"/>
  <c r="G160" i="20" s="1"/>
  <c r="H160" i="20" s="1"/>
  <c r="I160" i="20" s="1"/>
  <c r="J160" i="20" s="1"/>
  <c r="K160" i="20" s="1"/>
  <c r="L160" i="20" s="1"/>
  <c r="M160" i="20" s="1"/>
  <c r="N160" i="20" s="1"/>
  <c r="O160" i="20" s="1"/>
  <c r="P160" i="20" s="1"/>
  <c r="Q160" i="20" s="1"/>
  <c r="R160" i="20" s="1"/>
  <c r="S160" i="20" s="1"/>
  <c r="T160" i="20" s="1"/>
  <c r="U160" i="20" s="1"/>
  <c r="V160" i="20" s="1"/>
  <c r="W160" i="20" s="1"/>
  <c r="X160" i="20" s="1"/>
  <c r="Y160" i="20" s="1"/>
  <c r="Z160" i="20" s="1"/>
  <c r="AA160" i="20" s="1"/>
  <c r="AB160" i="20" s="1"/>
  <c r="AC160" i="20" s="1"/>
  <c r="AD160" i="20" s="1"/>
  <c r="AE160" i="20" s="1"/>
  <c r="AF160" i="20" s="1"/>
  <c r="AG160" i="20" s="1"/>
  <c r="D159" i="20"/>
  <c r="D154" i="20"/>
  <c r="AG155" i="20"/>
  <c r="C155" i="20"/>
  <c r="Z67" i="28" l="1"/>
  <c r="Y67" i="28"/>
  <c r="AA67" i="28"/>
  <c r="X67" i="28"/>
  <c r="AB67" i="28"/>
  <c r="Z111" i="28"/>
  <c r="Y111" i="28"/>
  <c r="X111" i="28"/>
  <c r="AA111" i="28"/>
  <c r="P105" i="28"/>
  <c r="G105" i="28"/>
  <c r="E105" i="28"/>
  <c r="O105" i="28"/>
  <c r="N105" i="28"/>
  <c r="D105" i="28"/>
  <c r="F105" i="28"/>
  <c r="F50" i="28"/>
  <c r="F51" i="28"/>
  <c r="F56" i="28" s="1"/>
  <c r="P50" i="28"/>
  <c r="P51" i="28"/>
  <c r="AA51" i="28"/>
  <c r="AA50" i="28"/>
  <c r="O67" i="28"/>
  <c r="E67" i="28"/>
  <c r="D67" i="28"/>
  <c r="F67" i="28"/>
  <c r="P67" i="28"/>
  <c r="N67" i="28"/>
  <c r="P111" i="28"/>
  <c r="E111" i="28"/>
  <c r="O111" i="28"/>
  <c r="F111" i="28"/>
  <c r="N111" i="28"/>
  <c r="D111" i="28"/>
  <c r="D110" i="28" s="1"/>
  <c r="AA105" i="28"/>
  <c r="E63" i="34"/>
  <c r="G8" i="34"/>
  <c r="C52" i="48"/>
  <c r="C52" i="46"/>
  <c r="C52" i="42"/>
  <c r="C52" i="38"/>
  <c r="D55" i="20"/>
  <c r="C59" i="20"/>
  <c r="E43" i="34"/>
  <c r="C8" i="34"/>
  <c r="E53" i="34"/>
  <c r="E8" i="34"/>
  <c r="E58" i="34"/>
  <c r="C53" i="48"/>
  <c r="C53" i="46"/>
  <c r="C53" i="42"/>
  <c r="C53" i="38"/>
  <c r="C60" i="20"/>
  <c r="D56" i="20"/>
  <c r="C57" i="20"/>
  <c r="E48" i="34"/>
  <c r="F48" i="34" s="1"/>
  <c r="G48" i="34" s="1"/>
  <c r="H48" i="34" s="1"/>
  <c r="I48" i="34" s="1"/>
  <c r="J48" i="34" s="1"/>
  <c r="K48" i="34" s="1"/>
  <c r="L48" i="34" s="1"/>
  <c r="M48" i="34" s="1"/>
  <c r="N48" i="34" s="1"/>
  <c r="O48" i="34" s="1"/>
  <c r="P48" i="34" s="1"/>
  <c r="Q48" i="34" s="1"/>
  <c r="R48" i="34" s="1"/>
  <c r="S48" i="34" s="1"/>
  <c r="T48" i="34" s="1"/>
  <c r="U48" i="34" s="1"/>
  <c r="V48" i="34" s="1"/>
  <c r="W48" i="34" s="1"/>
  <c r="X48" i="34" s="1"/>
  <c r="Y48" i="34" s="1"/>
  <c r="Z48" i="34" s="1"/>
  <c r="AA48" i="34" s="1"/>
  <c r="AB48" i="34" s="1"/>
  <c r="AC48" i="34" s="1"/>
  <c r="AD48" i="34" s="1"/>
  <c r="AE48" i="34" s="1"/>
  <c r="AF48" i="34" s="1"/>
  <c r="AG48" i="34" s="1"/>
  <c r="AH48" i="34" s="1"/>
  <c r="D8" i="34"/>
  <c r="F6" i="34"/>
  <c r="F8" i="34" s="1"/>
  <c r="C51" i="48"/>
  <c r="C51" i="46"/>
  <c r="C51" i="42"/>
  <c r="C51" i="38"/>
  <c r="D54" i="20"/>
  <c r="C58" i="20"/>
  <c r="AG157" i="20"/>
  <c r="AG164" i="20" s="1"/>
  <c r="E110" i="28"/>
  <c r="D91" i="28"/>
  <c r="D90" i="28" s="1"/>
  <c r="D77" i="29" s="1"/>
  <c r="P91" i="28"/>
  <c r="P90" i="28" s="1"/>
  <c r="P77" i="29" s="1"/>
  <c r="E91" i="28"/>
  <c r="E90" i="28" s="1"/>
  <c r="E77" i="29" s="1"/>
  <c r="F91" i="28"/>
  <c r="F90" i="28" s="1"/>
  <c r="F77" i="29" s="1"/>
  <c r="N91" i="28"/>
  <c r="N90" i="28" s="1"/>
  <c r="N77" i="29" s="1"/>
  <c r="O91" i="28"/>
  <c r="O90" i="28" s="1"/>
  <c r="O77" i="29" s="1"/>
  <c r="I93" i="28"/>
  <c r="J92" i="28"/>
  <c r="X91" i="28"/>
  <c r="X90" i="28" s="1"/>
  <c r="X77" i="29" s="1"/>
  <c r="AA91" i="28"/>
  <c r="AA90" i="28" s="1"/>
  <c r="AA77" i="29" s="1"/>
  <c r="Y91" i="28"/>
  <c r="Y90" i="28" s="1"/>
  <c r="Y77" i="29" s="1"/>
  <c r="Z91" i="28"/>
  <c r="Z90" i="28" s="1"/>
  <c r="Z77" i="29" s="1"/>
  <c r="G97" i="28"/>
  <c r="F99" i="28"/>
  <c r="AA66" i="28"/>
  <c r="E57" i="28"/>
  <c r="M104" i="28"/>
  <c r="Y66" i="28"/>
  <c r="Z66" i="28"/>
  <c r="W66" i="28"/>
  <c r="G54" i="28"/>
  <c r="F55" i="28"/>
  <c r="O104" i="28"/>
  <c r="Q1" i="28"/>
  <c r="D49" i="28"/>
  <c r="G1" i="28"/>
  <c r="G111" i="28" s="1"/>
  <c r="G68" i="28"/>
  <c r="F69" i="28"/>
  <c r="Y110" i="28"/>
  <c r="W110" i="28"/>
  <c r="Z110" i="28"/>
  <c r="X110" i="28"/>
  <c r="AA110" i="28"/>
  <c r="O110" i="28"/>
  <c r="E52" i="28"/>
  <c r="O52" i="28"/>
  <c r="Z52" i="28"/>
  <c r="X49" i="28"/>
  <c r="I73" i="28"/>
  <c r="H76" i="28"/>
  <c r="W104" i="28"/>
  <c r="F110" i="28"/>
  <c r="X66" i="28"/>
  <c r="N49" i="28"/>
  <c r="AB1" i="28"/>
  <c r="M66" i="28"/>
  <c r="P110" i="28"/>
  <c r="N110" i="28"/>
  <c r="F1" i="19"/>
  <c r="Z1" i="19"/>
  <c r="P1" i="19"/>
  <c r="E159" i="20"/>
  <c r="F159" i="20" s="1"/>
  <c r="C157" i="20"/>
  <c r="D161" i="20"/>
  <c r="E154" i="20"/>
  <c r="D155" i="20"/>
  <c r="Q51" i="28" l="1"/>
  <c r="Q50" i="28"/>
  <c r="AB91" i="28"/>
  <c r="AB90" i="28" s="1"/>
  <c r="AB77" i="29" s="1"/>
  <c r="AB51" i="28"/>
  <c r="AB50" i="28"/>
  <c r="AB105" i="28"/>
  <c r="E61" i="34"/>
  <c r="AB111" i="28"/>
  <c r="Q67" i="28"/>
  <c r="Q105" i="28"/>
  <c r="G51" i="28"/>
  <c r="G50" i="28"/>
  <c r="G67" i="28"/>
  <c r="Q111" i="28"/>
  <c r="Q110" i="28" s="1"/>
  <c r="E56" i="20"/>
  <c r="D53" i="48"/>
  <c r="D53" i="46"/>
  <c r="D53" i="42"/>
  <c r="D53" i="38"/>
  <c r="D57" i="20"/>
  <c r="C56" i="48"/>
  <c r="C56" i="46"/>
  <c r="C56" i="42"/>
  <c r="C56" i="38"/>
  <c r="C55" i="48"/>
  <c r="C55" i="46"/>
  <c r="C55" i="42"/>
  <c r="C55" i="38"/>
  <c r="C57" i="48"/>
  <c r="C57" i="46"/>
  <c r="C57" i="42"/>
  <c r="C57" i="38"/>
  <c r="F53" i="34"/>
  <c r="G53" i="34" s="1"/>
  <c r="H53" i="34"/>
  <c r="I53" i="34" s="1"/>
  <c r="J53" i="34" s="1"/>
  <c r="K53" i="34" s="1"/>
  <c r="L53" i="34" s="1"/>
  <c r="M53" i="34" s="1"/>
  <c r="N53" i="34" s="1"/>
  <c r="O53" i="34" s="1"/>
  <c r="P53" i="34" s="1"/>
  <c r="Q53" i="34" s="1"/>
  <c r="R53" i="34" s="1"/>
  <c r="S53" i="34" s="1"/>
  <c r="T53" i="34" s="1"/>
  <c r="U53" i="34" s="1"/>
  <c r="V53" i="34" s="1"/>
  <c r="W53" i="34" s="1"/>
  <c r="X53" i="34" s="1"/>
  <c r="Y53" i="34" s="1"/>
  <c r="Z53" i="34" s="1"/>
  <c r="AA53" i="34" s="1"/>
  <c r="AB53" i="34" s="1"/>
  <c r="AC53" i="34" s="1"/>
  <c r="AD53" i="34" s="1"/>
  <c r="AE53" i="34" s="1"/>
  <c r="AF53" i="34" s="1"/>
  <c r="AG53" i="34" s="1"/>
  <c r="AH53" i="34" s="1"/>
  <c r="E55" i="20"/>
  <c r="D52" i="48"/>
  <c r="D52" i="46"/>
  <c r="D52" i="42"/>
  <c r="D52" i="38"/>
  <c r="D51" i="48"/>
  <c r="D51" i="46"/>
  <c r="D51" i="42"/>
  <c r="D51" i="38"/>
  <c r="E54" i="20"/>
  <c r="C61" i="20"/>
  <c r="C54" i="48"/>
  <c r="C54" i="46"/>
  <c r="C54" i="42"/>
  <c r="C54" i="38"/>
  <c r="F154" i="20"/>
  <c r="F155" i="20" s="1"/>
  <c r="G91" i="28"/>
  <c r="G90" i="28" s="1"/>
  <c r="G77" i="29" s="1"/>
  <c r="E94" i="28"/>
  <c r="F51" i="15" s="1"/>
  <c r="E95" i="28"/>
  <c r="D95" i="28"/>
  <c r="D94" i="28"/>
  <c r="E51" i="15" s="1"/>
  <c r="D104" i="28"/>
  <c r="Q91" i="28"/>
  <c r="Q90" i="28" s="1"/>
  <c r="Q77" i="29" s="1"/>
  <c r="G99" i="28"/>
  <c r="H97" i="28"/>
  <c r="K92" i="28"/>
  <c r="J93" i="28"/>
  <c r="F94" i="28"/>
  <c r="G51" i="15" s="1"/>
  <c r="F95" i="28"/>
  <c r="E104" i="28"/>
  <c r="N104" i="28"/>
  <c r="F57" i="28"/>
  <c r="Q66" i="28"/>
  <c r="H54" i="28"/>
  <c r="G55" i="28"/>
  <c r="F104" i="28"/>
  <c r="E70" i="28"/>
  <c r="E66" i="28"/>
  <c r="E71" i="28"/>
  <c r="N66" i="28"/>
  <c r="AC1" i="28"/>
  <c r="AA104" i="28"/>
  <c r="E49" i="28"/>
  <c r="P52" i="28"/>
  <c r="O66" i="28"/>
  <c r="AA52" i="28"/>
  <c r="Z104" i="28"/>
  <c r="AB110" i="28"/>
  <c r="G69" i="28"/>
  <c r="G71" i="28" s="1"/>
  <c r="H68" i="28"/>
  <c r="P66" i="28"/>
  <c r="P104" i="28"/>
  <c r="O49" i="28"/>
  <c r="G56" i="28"/>
  <c r="H1" i="28"/>
  <c r="G110" i="28"/>
  <c r="R1" i="28"/>
  <c r="F70" i="28"/>
  <c r="F71" i="28"/>
  <c r="F66" i="28"/>
  <c r="G70" i="28"/>
  <c r="G66" i="28"/>
  <c r="D71" i="28"/>
  <c r="D70" i="28"/>
  <c r="D66" i="28"/>
  <c r="X104" i="28"/>
  <c r="Y104" i="28"/>
  <c r="I76" i="28"/>
  <c r="J73" i="28"/>
  <c r="Z49" i="28"/>
  <c r="F52" i="28"/>
  <c r="AA1" i="19"/>
  <c r="Q1" i="19"/>
  <c r="G1" i="19"/>
  <c r="C163" i="20"/>
  <c r="C164" i="20"/>
  <c r="E155" i="20"/>
  <c r="F161" i="20"/>
  <c r="G159" i="20"/>
  <c r="E161" i="20"/>
  <c r="R91" i="28" l="1"/>
  <c r="R90" i="28" s="1"/>
  <c r="R77" i="29" s="1"/>
  <c r="R51" i="28"/>
  <c r="R50" i="28"/>
  <c r="R105" i="28"/>
  <c r="R67" i="28"/>
  <c r="R111" i="28"/>
  <c r="AC91" i="28"/>
  <c r="AC90" i="28" s="1"/>
  <c r="AC77" i="29" s="1"/>
  <c r="AC51" i="28"/>
  <c r="AC50" i="28"/>
  <c r="AC105" i="28"/>
  <c r="AC67" i="28"/>
  <c r="AC111" i="28"/>
  <c r="H91" i="28"/>
  <c r="H90" i="28" s="1"/>
  <c r="H77" i="29" s="1"/>
  <c r="H51" i="28"/>
  <c r="H50" i="28"/>
  <c r="H105" i="28"/>
  <c r="H111" i="28"/>
  <c r="H67" i="28"/>
  <c r="D54" i="48"/>
  <c r="D54" i="46"/>
  <c r="D54" i="42"/>
  <c r="D54" i="38"/>
  <c r="C58" i="48"/>
  <c r="C58" i="46"/>
  <c r="C58" i="42"/>
  <c r="C58" i="38"/>
  <c r="F54" i="20"/>
  <c r="E51" i="48"/>
  <c r="E51" i="46"/>
  <c r="E51" i="42"/>
  <c r="E51" i="38"/>
  <c r="F55" i="20"/>
  <c r="E52" i="48"/>
  <c r="E52" i="46"/>
  <c r="E52" i="42"/>
  <c r="E52" i="38"/>
  <c r="E53" i="48"/>
  <c r="E53" i="46"/>
  <c r="E53" i="42"/>
  <c r="E53" i="38"/>
  <c r="F56" i="20"/>
  <c r="E57" i="20"/>
  <c r="G154" i="20"/>
  <c r="H95" i="28"/>
  <c r="H102" i="28" s="1"/>
  <c r="I63" i="15" s="1"/>
  <c r="H94" i="28"/>
  <c r="I51" i="15" s="1"/>
  <c r="F102" i="28"/>
  <c r="G63" i="15" s="1"/>
  <c r="F101" i="28"/>
  <c r="G57" i="15" s="1"/>
  <c r="I97" i="28"/>
  <c r="H99" i="28"/>
  <c r="G95" i="28"/>
  <c r="G94" i="28"/>
  <c r="H51" i="15" s="1"/>
  <c r="D102" i="28"/>
  <c r="E63" i="15" s="1"/>
  <c r="D101" i="28"/>
  <c r="E57" i="15" s="1"/>
  <c r="L92" i="28"/>
  <c r="K93" i="28"/>
  <c r="E102" i="28"/>
  <c r="F63" i="15" s="1"/>
  <c r="E101" i="28"/>
  <c r="F57" i="15" s="1"/>
  <c r="G57" i="28"/>
  <c r="I54" i="28"/>
  <c r="H55" i="28"/>
  <c r="P49" i="28"/>
  <c r="AB52" i="28"/>
  <c r="F79" i="28"/>
  <c r="F80" i="28"/>
  <c r="F78" i="28"/>
  <c r="G52" i="28"/>
  <c r="AD1" i="28"/>
  <c r="AC110" i="28"/>
  <c r="H56" i="28"/>
  <c r="I1" i="28"/>
  <c r="H110" i="28"/>
  <c r="K73" i="28"/>
  <c r="J76" i="28"/>
  <c r="Q104" i="28"/>
  <c r="H69" i="28"/>
  <c r="I68" i="28"/>
  <c r="AB104" i="28"/>
  <c r="AA49" i="28"/>
  <c r="AB66" i="28"/>
  <c r="S1" i="28"/>
  <c r="R110" i="28"/>
  <c r="G79" i="28"/>
  <c r="G80" i="28"/>
  <c r="G78" i="28"/>
  <c r="F49" i="28"/>
  <c r="D80" i="28"/>
  <c r="D78" i="28"/>
  <c r="D79" i="28"/>
  <c r="Q52" i="28"/>
  <c r="G104" i="28"/>
  <c r="E79" i="28"/>
  <c r="E80" i="28"/>
  <c r="E78" i="28"/>
  <c r="H1" i="19"/>
  <c r="AB1" i="19"/>
  <c r="R1" i="19"/>
  <c r="H159" i="20"/>
  <c r="G161" i="20"/>
  <c r="I91" i="28" l="1"/>
  <c r="I90" i="28" s="1"/>
  <c r="I77" i="29" s="1"/>
  <c r="I51" i="28"/>
  <c r="I50" i="28"/>
  <c r="I111" i="28"/>
  <c r="I105" i="28"/>
  <c r="I67" i="28"/>
  <c r="AD91" i="28"/>
  <c r="AD90" i="28" s="1"/>
  <c r="AD77" i="29" s="1"/>
  <c r="AD51" i="28"/>
  <c r="AD50" i="28"/>
  <c r="AD105" i="28"/>
  <c r="AD67" i="28"/>
  <c r="AD111" i="28"/>
  <c r="S91" i="28"/>
  <c r="S90" i="28" s="1"/>
  <c r="S77" i="29" s="1"/>
  <c r="S50" i="28"/>
  <c r="S51" i="28"/>
  <c r="S67" i="28"/>
  <c r="S111" i="28"/>
  <c r="S105" i="28"/>
  <c r="E54" i="48"/>
  <c r="E54" i="46"/>
  <c r="E54" i="42"/>
  <c r="E54" i="38"/>
  <c r="F53" i="48"/>
  <c r="F53" i="46"/>
  <c r="F53" i="42"/>
  <c r="F53" i="38"/>
  <c r="G56" i="20"/>
  <c r="F57" i="20"/>
  <c r="G55" i="20"/>
  <c r="F52" i="48"/>
  <c r="F52" i="46"/>
  <c r="F52" i="42"/>
  <c r="F52" i="38"/>
  <c r="G54" i="20"/>
  <c r="F51" i="48"/>
  <c r="F51" i="46"/>
  <c r="F51" i="42"/>
  <c r="F51" i="38"/>
  <c r="H154" i="20"/>
  <c r="H155" i="20" s="1"/>
  <c r="G155" i="20"/>
  <c r="H101" i="28"/>
  <c r="I57" i="15" s="1"/>
  <c r="J97" i="28"/>
  <c r="I99" i="28"/>
  <c r="G102" i="28"/>
  <c r="H63" i="15" s="1"/>
  <c r="G101" i="28"/>
  <c r="H57" i="15" s="1"/>
  <c r="I95" i="28"/>
  <c r="I102" i="28" s="1"/>
  <c r="J63" i="15" s="1"/>
  <c r="I94" i="28"/>
  <c r="J51" i="15" s="1"/>
  <c r="L93" i="28"/>
  <c r="M92" i="28"/>
  <c r="H57" i="28"/>
  <c r="J54" i="28"/>
  <c r="I55" i="28"/>
  <c r="R52" i="28"/>
  <c r="L73" i="28"/>
  <c r="K76" i="28"/>
  <c r="H104" i="28"/>
  <c r="AC104" i="28"/>
  <c r="AB49" i="28"/>
  <c r="R104" i="28"/>
  <c r="T1" i="28"/>
  <c r="S110" i="28"/>
  <c r="I69" i="28"/>
  <c r="J68" i="28"/>
  <c r="H71" i="28"/>
  <c r="H66" i="28"/>
  <c r="H70" i="28"/>
  <c r="H52" i="28"/>
  <c r="AE1" i="28"/>
  <c r="AD110" i="28"/>
  <c r="G49" i="28"/>
  <c r="J1" i="28"/>
  <c r="I56" i="28"/>
  <c r="I110" i="28"/>
  <c r="AC52" i="28"/>
  <c r="R66" i="28"/>
  <c r="Q49" i="28"/>
  <c r="AC66" i="28"/>
  <c r="S1" i="19"/>
  <c r="AC1" i="19"/>
  <c r="I1" i="19"/>
  <c r="I159" i="20"/>
  <c r="H161" i="20"/>
  <c r="AE91" i="28" l="1"/>
  <c r="AE90" i="28" s="1"/>
  <c r="AE77" i="29" s="1"/>
  <c r="AE51" i="28"/>
  <c r="AE50" i="28"/>
  <c r="AE105" i="28"/>
  <c r="AE67" i="28"/>
  <c r="AE111" i="28"/>
  <c r="J91" i="28"/>
  <c r="J90" i="28" s="1"/>
  <c r="J77" i="29" s="1"/>
  <c r="J51" i="28"/>
  <c r="J50" i="28"/>
  <c r="J111" i="28"/>
  <c r="J105" i="28"/>
  <c r="J67" i="28"/>
  <c r="T91" i="28"/>
  <c r="T90" i="28" s="1"/>
  <c r="T77" i="29" s="1"/>
  <c r="T51" i="28"/>
  <c r="T50" i="28"/>
  <c r="T105" i="28"/>
  <c r="T111" i="28"/>
  <c r="T67" i="28"/>
  <c r="H54" i="20"/>
  <c r="G51" i="48"/>
  <c r="G51" i="46"/>
  <c r="G51" i="42"/>
  <c r="G51" i="38"/>
  <c r="H55" i="20"/>
  <c r="G52" i="48"/>
  <c r="G52" i="46"/>
  <c r="G52" i="42"/>
  <c r="G52" i="38"/>
  <c r="F54" i="48"/>
  <c r="F54" i="46"/>
  <c r="F54" i="42"/>
  <c r="F54" i="38"/>
  <c r="G53" i="48"/>
  <c r="G53" i="46"/>
  <c r="G53" i="42"/>
  <c r="G53" i="38"/>
  <c r="H56" i="20"/>
  <c r="G57" i="20"/>
  <c r="I154" i="20"/>
  <c r="J94" i="28"/>
  <c r="K51" i="15" s="1"/>
  <c r="I101" i="28"/>
  <c r="J57" i="15" s="1"/>
  <c r="M93" i="28"/>
  <c r="M95" i="28" s="1"/>
  <c r="M102" i="28" s="1"/>
  <c r="N63" i="15" s="1"/>
  <c r="N92" i="28"/>
  <c r="M94" i="28"/>
  <c r="N51" i="15" s="1"/>
  <c r="K97" i="28"/>
  <c r="J99" i="28"/>
  <c r="I57" i="28"/>
  <c r="K54" i="28"/>
  <c r="J55" i="28"/>
  <c r="I52" i="28"/>
  <c r="AD104" i="28"/>
  <c r="K68" i="28"/>
  <c r="J69" i="28"/>
  <c r="AC49" i="28"/>
  <c r="I70" i="28"/>
  <c r="I71" i="28"/>
  <c r="I66" i="28"/>
  <c r="J56" i="28"/>
  <c r="K1" i="28"/>
  <c r="J110" i="28"/>
  <c r="AD66" i="28"/>
  <c r="H49" i="28"/>
  <c r="H80" i="28"/>
  <c r="H79" i="28"/>
  <c r="H78" i="28"/>
  <c r="S52" i="28"/>
  <c r="I104" i="28"/>
  <c r="AD52" i="28"/>
  <c r="S104" i="28"/>
  <c r="M73" i="28"/>
  <c r="L76" i="28"/>
  <c r="R49" i="28"/>
  <c r="AF1" i="28"/>
  <c r="AE110" i="28"/>
  <c r="S66" i="28"/>
  <c r="U1" i="28"/>
  <c r="T110" i="28"/>
  <c r="J1" i="19"/>
  <c r="AD1" i="19"/>
  <c r="T1" i="19"/>
  <c r="I161" i="20"/>
  <c r="J159" i="20"/>
  <c r="U91" i="28" l="1"/>
  <c r="U90" i="28" s="1"/>
  <c r="U77" i="29" s="1"/>
  <c r="U50" i="28"/>
  <c r="U51" i="28"/>
  <c r="U67" i="28"/>
  <c r="U111" i="28"/>
  <c r="U105" i="28"/>
  <c r="K91" i="28"/>
  <c r="K90" i="28" s="1"/>
  <c r="K77" i="29" s="1"/>
  <c r="K51" i="28"/>
  <c r="K56" i="28" s="1"/>
  <c r="K50" i="28"/>
  <c r="K67" i="28"/>
  <c r="K111" i="28"/>
  <c r="K105" i="28"/>
  <c r="AF91" i="28"/>
  <c r="AF90" i="28" s="1"/>
  <c r="AF77" i="29" s="1"/>
  <c r="AF51" i="28"/>
  <c r="AF50" i="28"/>
  <c r="AF105" i="28"/>
  <c r="AF67" i="28"/>
  <c r="AF111" i="28"/>
  <c r="J95" i="28"/>
  <c r="J102" i="28" s="1"/>
  <c r="K63" i="15" s="1"/>
  <c r="G54" i="48"/>
  <c r="G54" i="46"/>
  <c r="G54" i="42"/>
  <c r="G54" i="38"/>
  <c r="H53" i="48"/>
  <c r="H53" i="46"/>
  <c r="H53" i="42"/>
  <c r="H53" i="38"/>
  <c r="I56" i="20"/>
  <c r="H57" i="20"/>
  <c r="I55" i="20"/>
  <c r="H52" i="48"/>
  <c r="H52" i="46"/>
  <c r="H52" i="42"/>
  <c r="H52" i="38"/>
  <c r="I54" i="20"/>
  <c r="H51" i="48"/>
  <c r="H51" i="46"/>
  <c r="H51" i="42"/>
  <c r="H51" i="38"/>
  <c r="I155" i="20"/>
  <c r="J154" i="20"/>
  <c r="J155" i="20" s="1"/>
  <c r="J101" i="28"/>
  <c r="K57" i="15" s="1"/>
  <c r="K95" i="28"/>
  <c r="K102" i="28" s="1"/>
  <c r="L63" i="15" s="1"/>
  <c r="K94" i="28"/>
  <c r="L51" i="15" s="1"/>
  <c r="K99" i="28"/>
  <c r="L97" i="28"/>
  <c r="O92" i="28"/>
  <c r="N93" i="28"/>
  <c r="N95" i="28" s="1"/>
  <c r="N102" i="28" s="1"/>
  <c r="O63" i="15" s="1"/>
  <c r="N94" i="28"/>
  <c r="O51" i="15" s="1"/>
  <c r="J57" i="28"/>
  <c r="L54" i="28"/>
  <c r="K55" i="28"/>
  <c r="V1" i="28"/>
  <c r="U110" i="28"/>
  <c r="AE104" i="28"/>
  <c r="J70" i="28"/>
  <c r="J71" i="28"/>
  <c r="J66" i="28"/>
  <c r="L1" i="28"/>
  <c r="K110" i="28"/>
  <c r="I49" i="28"/>
  <c r="AF110" i="28"/>
  <c r="I80" i="28"/>
  <c r="I79" i="28"/>
  <c r="I78" i="28"/>
  <c r="T104" i="28"/>
  <c r="AE66" i="28"/>
  <c r="M76" i="28"/>
  <c r="N73" i="28"/>
  <c r="AD49" i="28"/>
  <c r="S49" i="28"/>
  <c r="T66" i="28"/>
  <c r="T52" i="28"/>
  <c r="AE52" i="28"/>
  <c r="J104" i="28"/>
  <c r="J52" i="28"/>
  <c r="L68" i="28"/>
  <c r="K69" i="28"/>
  <c r="K1" i="19"/>
  <c r="U1" i="19"/>
  <c r="AE1" i="19"/>
  <c r="J161" i="20"/>
  <c r="K159" i="20"/>
  <c r="V91" i="28" l="1"/>
  <c r="V90" i="28" s="1"/>
  <c r="V77" i="29" s="1"/>
  <c r="V50" i="28"/>
  <c r="V51" i="28"/>
  <c r="V105" i="28"/>
  <c r="V111" i="28"/>
  <c r="V67" i="28"/>
  <c r="L91" i="28"/>
  <c r="L90" i="28" s="1"/>
  <c r="L77" i="29" s="1"/>
  <c r="L51" i="28"/>
  <c r="L56" i="28" s="1"/>
  <c r="L50" i="28"/>
  <c r="L105" i="28"/>
  <c r="L111" i="28"/>
  <c r="L67" i="28"/>
  <c r="K101" i="28"/>
  <c r="L57" i="15" s="1"/>
  <c r="J54" i="20"/>
  <c r="I51" i="48"/>
  <c r="I51" i="46"/>
  <c r="I51" i="42"/>
  <c r="I51" i="38"/>
  <c r="J55" i="20"/>
  <c r="I52" i="46"/>
  <c r="I52" i="48"/>
  <c r="I52" i="42"/>
  <c r="I52" i="38"/>
  <c r="H54" i="48"/>
  <c r="H54" i="46"/>
  <c r="H54" i="42"/>
  <c r="H54" i="38"/>
  <c r="I53" i="48"/>
  <c r="I53" i="46"/>
  <c r="I53" i="42"/>
  <c r="I53" i="38"/>
  <c r="J56" i="20"/>
  <c r="I57" i="20"/>
  <c r="K154" i="20"/>
  <c r="P92" i="28"/>
  <c r="O93" i="28"/>
  <c r="O95" i="28" s="1"/>
  <c r="O102" i="28" s="1"/>
  <c r="P63" i="15" s="1"/>
  <c r="O94" i="28"/>
  <c r="P51" i="15" s="1"/>
  <c r="L95" i="28"/>
  <c r="L102" i="28" s="1"/>
  <c r="M63" i="15" s="1"/>
  <c r="L94" i="28"/>
  <c r="M51" i="15" s="1"/>
  <c r="M97" i="28"/>
  <c r="L99" i="28"/>
  <c r="K57" i="28"/>
  <c r="M54" i="28"/>
  <c r="M56" i="28" s="1"/>
  <c r="L55" i="28"/>
  <c r="AE49" i="28"/>
  <c r="L110" i="28"/>
  <c r="U66" i="28"/>
  <c r="AF104" i="28"/>
  <c r="AF52" i="28"/>
  <c r="U104" i="28"/>
  <c r="V110" i="28"/>
  <c r="J49" i="28"/>
  <c r="T49" i="28"/>
  <c r="K71" i="28"/>
  <c r="K70" i="28"/>
  <c r="K66" i="28"/>
  <c r="K52" i="28"/>
  <c r="J79" i="28"/>
  <c r="J80" i="28"/>
  <c r="J78" i="28"/>
  <c r="AF66" i="28"/>
  <c r="K104" i="28"/>
  <c r="L69" i="28"/>
  <c r="M68" i="28"/>
  <c r="N76" i="28"/>
  <c r="O73" i="28"/>
  <c r="U52" i="28"/>
  <c r="L1" i="19"/>
  <c r="AF1" i="19"/>
  <c r="V1" i="19"/>
  <c r="L159" i="20"/>
  <c r="K161" i="20"/>
  <c r="I54" i="48" l="1"/>
  <c r="I54" i="46"/>
  <c r="I54" i="42"/>
  <c r="I54" i="38"/>
  <c r="J53" i="46"/>
  <c r="J53" i="48"/>
  <c r="J53" i="42"/>
  <c r="J53" i="38"/>
  <c r="K56" i="20"/>
  <c r="J57" i="20"/>
  <c r="K55" i="20"/>
  <c r="J52" i="48"/>
  <c r="J52" i="46"/>
  <c r="J52" i="42"/>
  <c r="J52" i="38"/>
  <c r="K54" i="20"/>
  <c r="J51" i="48"/>
  <c r="J51" i="46"/>
  <c r="J51" i="42"/>
  <c r="J51" i="38"/>
  <c r="K155" i="20"/>
  <c r="L154" i="20"/>
  <c r="L101" i="28"/>
  <c r="M57" i="15" s="1"/>
  <c r="N97" i="28"/>
  <c r="M101" i="28"/>
  <c r="N57" i="15" s="1"/>
  <c r="M99" i="28"/>
  <c r="P93" i="28"/>
  <c r="P95" i="28" s="1"/>
  <c r="P102" i="28" s="1"/>
  <c r="Q63" i="15" s="1"/>
  <c r="Q92" i="28"/>
  <c r="P94" i="28"/>
  <c r="Q51" i="15" s="1"/>
  <c r="L57" i="28"/>
  <c r="N54" i="28"/>
  <c r="N56" i="28" s="1"/>
  <c r="M55" i="28"/>
  <c r="M57" i="28" s="1"/>
  <c r="M69" i="28"/>
  <c r="M71" i="28" s="1"/>
  <c r="N68" i="28"/>
  <c r="M70" i="28"/>
  <c r="V52" i="28"/>
  <c r="L104" i="28"/>
  <c r="K49" i="28"/>
  <c r="K79" i="28"/>
  <c r="K80" i="28"/>
  <c r="K78" i="28"/>
  <c r="V66" i="28"/>
  <c r="AF49" i="28"/>
  <c r="U49" i="28"/>
  <c r="P73" i="28"/>
  <c r="O76" i="28"/>
  <c r="V104" i="28"/>
  <c r="L71" i="28"/>
  <c r="L70" i="28"/>
  <c r="L66" i="28"/>
  <c r="L52" i="28"/>
  <c r="M159" i="20"/>
  <c r="L161" i="20"/>
  <c r="L54" i="20" l="1"/>
  <c r="K51" i="48"/>
  <c r="K51" i="46"/>
  <c r="K51" i="42"/>
  <c r="K51" i="38"/>
  <c r="L55" i="20"/>
  <c r="K52" i="48"/>
  <c r="K52" i="46"/>
  <c r="K52" i="42"/>
  <c r="K52" i="38"/>
  <c r="J54" i="48"/>
  <c r="J54" i="46"/>
  <c r="J54" i="42"/>
  <c r="J54" i="38"/>
  <c r="K53" i="48"/>
  <c r="K53" i="46"/>
  <c r="K53" i="42"/>
  <c r="K53" i="38"/>
  <c r="L56" i="20"/>
  <c r="K57" i="20"/>
  <c r="L155" i="20"/>
  <c r="M154" i="20"/>
  <c r="Q93" i="28"/>
  <c r="Q95" i="28" s="1"/>
  <c r="Q102" i="28" s="1"/>
  <c r="R63" i="15" s="1"/>
  <c r="R92" i="28"/>
  <c r="Q94" i="28"/>
  <c r="R51" i="15" s="1"/>
  <c r="O97" i="28"/>
  <c r="N101" i="28"/>
  <c r="O57" i="15" s="1"/>
  <c r="N99" i="28"/>
  <c r="O54" i="28"/>
  <c r="O56" i="28" s="1"/>
  <c r="N55" i="28"/>
  <c r="N57" i="28" s="1"/>
  <c r="M79" i="28"/>
  <c r="M80" i="28"/>
  <c r="M78" i="28"/>
  <c r="L80" i="28"/>
  <c r="L79" i="28"/>
  <c r="L78" i="28"/>
  <c r="L49" i="28"/>
  <c r="V49" i="28"/>
  <c r="Q73" i="28"/>
  <c r="P76" i="28"/>
  <c r="O68" i="28"/>
  <c r="N69" i="28"/>
  <c r="N71" i="28" s="1"/>
  <c r="N70" i="28"/>
  <c r="M161" i="20"/>
  <c r="N159" i="20"/>
  <c r="K54" i="46" l="1"/>
  <c r="K54" i="48"/>
  <c r="K54" i="42"/>
  <c r="K54" i="38"/>
  <c r="L53" i="48"/>
  <c r="L53" i="46"/>
  <c r="L53" i="42"/>
  <c r="L53" i="38"/>
  <c r="M56" i="20"/>
  <c r="L57" i="20"/>
  <c r="M55" i="20"/>
  <c r="L52" i="48"/>
  <c r="L52" i="46"/>
  <c r="L52" i="42"/>
  <c r="L52" i="38"/>
  <c r="M54" i="20"/>
  <c r="L51" i="46"/>
  <c r="L51" i="48"/>
  <c r="L51" i="42"/>
  <c r="L51" i="38"/>
  <c r="M155" i="20"/>
  <c r="N154" i="20"/>
  <c r="O99" i="28"/>
  <c r="P97" i="28"/>
  <c r="O101" i="28"/>
  <c r="P57" i="15" s="1"/>
  <c r="S92" i="28"/>
  <c r="R93" i="28"/>
  <c r="R95" i="28" s="1"/>
  <c r="R102" i="28" s="1"/>
  <c r="S63" i="15" s="1"/>
  <c r="R94" i="28"/>
  <c r="S51" i="15" s="1"/>
  <c r="P54" i="28"/>
  <c r="P56" i="28" s="1"/>
  <c r="O55" i="28"/>
  <c r="O57" i="28" s="1"/>
  <c r="N79" i="28"/>
  <c r="N80" i="28"/>
  <c r="N78" i="28"/>
  <c r="P68" i="28"/>
  <c r="O69" i="28"/>
  <c r="O71" i="28" s="1"/>
  <c r="O70" i="28"/>
  <c r="Q76" i="28"/>
  <c r="R73" i="28"/>
  <c r="N161" i="20"/>
  <c r="O159" i="20"/>
  <c r="N54" i="20" l="1"/>
  <c r="M51" i="48"/>
  <c r="M51" i="46"/>
  <c r="M51" i="42"/>
  <c r="M51" i="38"/>
  <c r="M58" i="20"/>
  <c r="N55" i="20"/>
  <c r="M52" i="46"/>
  <c r="M52" i="48"/>
  <c r="M52" i="42"/>
  <c r="M52" i="38"/>
  <c r="M59" i="20"/>
  <c r="L54" i="48"/>
  <c r="L54" i="46"/>
  <c r="L54" i="42"/>
  <c r="L54" i="38"/>
  <c r="M53" i="48"/>
  <c r="M53" i="46"/>
  <c r="M53" i="42"/>
  <c r="M53" i="38"/>
  <c r="M57" i="20"/>
  <c r="M60" i="20"/>
  <c r="N56" i="20"/>
  <c r="N155" i="20"/>
  <c r="O154" i="20"/>
  <c r="Q97" i="28"/>
  <c r="P101" i="28"/>
  <c r="Q57" i="15" s="1"/>
  <c r="P99" i="28"/>
  <c r="T92" i="28"/>
  <c r="S93" i="28"/>
  <c r="S95" i="28" s="1"/>
  <c r="S102" i="28" s="1"/>
  <c r="T63" i="15" s="1"/>
  <c r="S94" i="28"/>
  <c r="T51" i="15" s="1"/>
  <c r="Q54" i="28"/>
  <c r="Q56" i="28" s="1"/>
  <c r="P55" i="28"/>
  <c r="P57" i="28" s="1"/>
  <c r="O79" i="28"/>
  <c r="O80" i="28"/>
  <c r="O78" i="28"/>
  <c r="P69" i="28"/>
  <c r="P71" i="28" s="1"/>
  <c r="Q68" i="28"/>
  <c r="P70" i="28"/>
  <c r="S73" i="28"/>
  <c r="R76" i="28"/>
  <c r="P159" i="20"/>
  <c r="O161" i="20"/>
  <c r="M56" i="46" l="1"/>
  <c r="M56" i="48"/>
  <c r="M56" i="42"/>
  <c r="M56" i="38"/>
  <c r="N53" i="46"/>
  <c r="N53" i="48"/>
  <c r="N53" i="42"/>
  <c r="N53" i="38"/>
  <c r="O56" i="20"/>
  <c r="N57" i="20"/>
  <c r="O55" i="20"/>
  <c r="N52" i="48"/>
  <c r="N52" i="46"/>
  <c r="N52" i="42"/>
  <c r="N52" i="38"/>
  <c r="M57" i="48"/>
  <c r="M57" i="46"/>
  <c r="M57" i="42"/>
  <c r="M57" i="38"/>
  <c r="M55" i="48"/>
  <c r="M55" i="46"/>
  <c r="M55" i="42"/>
  <c r="M55" i="38"/>
  <c r="M61" i="20"/>
  <c r="M54" i="48"/>
  <c r="M54" i="46"/>
  <c r="M54" i="42"/>
  <c r="M54" i="38"/>
  <c r="O54" i="20"/>
  <c r="N51" i="48"/>
  <c r="N51" i="46"/>
  <c r="N51" i="42"/>
  <c r="N51" i="38"/>
  <c r="O155" i="20"/>
  <c r="P154" i="20"/>
  <c r="U92" i="28"/>
  <c r="T93" i="28"/>
  <c r="T95" i="28" s="1"/>
  <c r="T102" i="28" s="1"/>
  <c r="U63" i="15" s="1"/>
  <c r="T94" i="28"/>
  <c r="U51" i="15" s="1"/>
  <c r="R97" i="28"/>
  <c r="Q101" i="28"/>
  <c r="R57" i="15" s="1"/>
  <c r="Q99" i="28"/>
  <c r="R54" i="28"/>
  <c r="R56" i="28" s="1"/>
  <c r="Q55" i="28"/>
  <c r="Q57" i="28" s="1"/>
  <c r="Q69" i="28"/>
  <c r="Q71" i="28" s="1"/>
  <c r="R68" i="28"/>
  <c r="Q70" i="28"/>
  <c r="P80" i="28"/>
  <c r="P79" i="28"/>
  <c r="P78" i="28"/>
  <c r="T73" i="28"/>
  <c r="S76" i="28"/>
  <c r="Q159" i="20"/>
  <c r="P161" i="20"/>
  <c r="P55" i="20" l="1"/>
  <c r="O52" i="48"/>
  <c r="O52" i="46"/>
  <c r="O52" i="42"/>
  <c r="O52" i="38"/>
  <c r="N54" i="48"/>
  <c r="N54" i="46"/>
  <c r="N54" i="42"/>
  <c r="N54" i="38"/>
  <c r="M58" i="48"/>
  <c r="M58" i="46"/>
  <c r="M58" i="42"/>
  <c r="M58" i="38"/>
  <c r="P54" i="20"/>
  <c r="O51" i="48"/>
  <c r="O51" i="46"/>
  <c r="O51" i="42"/>
  <c r="O51" i="38"/>
  <c r="O53" i="48"/>
  <c r="O53" i="46"/>
  <c r="O53" i="42"/>
  <c r="O53" i="38"/>
  <c r="P56" i="20"/>
  <c r="O57" i="20"/>
  <c r="P155" i="20"/>
  <c r="Q154" i="20"/>
  <c r="U93" i="28"/>
  <c r="U95" i="28" s="1"/>
  <c r="U102" i="28" s="1"/>
  <c r="V63" i="15" s="1"/>
  <c r="V92" i="28"/>
  <c r="U94" i="28"/>
  <c r="V51" i="15" s="1"/>
  <c r="S97" i="28"/>
  <c r="R101" i="28"/>
  <c r="S57" i="15" s="1"/>
  <c r="R99" i="28"/>
  <c r="S54" i="28"/>
  <c r="S56" i="28" s="1"/>
  <c r="R55" i="28"/>
  <c r="R57" i="28" s="1"/>
  <c r="U73" i="28"/>
  <c r="T76" i="28"/>
  <c r="S68" i="28"/>
  <c r="R69" i="28"/>
  <c r="R71" i="28" s="1"/>
  <c r="R70" i="28"/>
  <c r="Q80" i="28"/>
  <c r="Q79" i="28"/>
  <c r="Q78" i="28"/>
  <c r="Q161" i="20"/>
  <c r="R159" i="20"/>
  <c r="O54" i="46" l="1"/>
  <c r="O54" i="48"/>
  <c r="O54" i="42"/>
  <c r="O54" i="38"/>
  <c r="P53" i="48"/>
  <c r="P53" i="46"/>
  <c r="P53" i="42"/>
  <c r="P53" i="38"/>
  <c r="Q56" i="20"/>
  <c r="P57" i="20"/>
  <c r="Q54" i="20"/>
  <c r="P51" i="46"/>
  <c r="P51" i="48"/>
  <c r="P51" i="42"/>
  <c r="P51" i="38"/>
  <c r="Q55" i="20"/>
  <c r="P52" i="48"/>
  <c r="P52" i="46"/>
  <c r="P52" i="42"/>
  <c r="P52" i="38"/>
  <c r="Q155" i="20"/>
  <c r="R154" i="20"/>
  <c r="W92" i="28"/>
  <c r="V93" i="28"/>
  <c r="V95" i="28" s="1"/>
  <c r="V102" i="28" s="1"/>
  <c r="W63" i="15" s="1"/>
  <c r="V94" i="28"/>
  <c r="W51" i="15" s="1"/>
  <c r="S99" i="28"/>
  <c r="S101" i="28"/>
  <c r="T57" i="15" s="1"/>
  <c r="T97" i="28"/>
  <c r="T54" i="28"/>
  <c r="T56" i="28" s="1"/>
  <c r="S55" i="28"/>
  <c r="S57" i="28" s="1"/>
  <c r="R79" i="28"/>
  <c r="R80" i="28"/>
  <c r="R78" i="28"/>
  <c r="U76" i="28"/>
  <c r="V73" i="28"/>
  <c r="T68" i="28"/>
  <c r="S69" i="28"/>
  <c r="S71" i="28" s="1"/>
  <c r="S70" i="28"/>
  <c r="R161" i="20"/>
  <c r="S159" i="20"/>
  <c r="R55" i="20" l="1"/>
  <c r="Q52" i="48"/>
  <c r="Q52" i="46"/>
  <c r="Q52" i="42"/>
  <c r="Q52" i="38"/>
  <c r="R54" i="20"/>
  <c r="Q51" i="48"/>
  <c r="Q51" i="46"/>
  <c r="Q51" i="42"/>
  <c r="Q51" i="38"/>
  <c r="P54" i="48"/>
  <c r="P54" i="46"/>
  <c r="P54" i="42"/>
  <c r="P54" i="38"/>
  <c r="Q53" i="48"/>
  <c r="Q53" i="46"/>
  <c r="Q53" i="42"/>
  <c r="Q53" i="38"/>
  <c r="R56" i="20"/>
  <c r="Q57" i="20"/>
  <c r="R155" i="20"/>
  <c r="S154" i="20"/>
  <c r="U97" i="28"/>
  <c r="T101" i="28"/>
  <c r="U57" i="15" s="1"/>
  <c r="T99" i="28"/>
  <c r="X92" i="28"/>
  <c r="W93" i="28"/>
  <c r="W95" i="28" s="1"/>
  <c r="W102" i="28" s="1"/>
  <c r="X63" i="15" s="1"/>
  <c r="W94" i="28"/>
  <c r="X51" i="15" s="1"/>
  <c r="U54" i="28"/>
  <c r="U56" i="28" s="1"/>
  <c r="T55" i="28"/>
  <c r="T57" i="28" s="1"/>
  <c r="T69" i="28"/>
  <c r="T71" i="28" s="1"/>
  <c r="U68" i="28"/>
  <c r="T70" i="28"/>
  <c r="V76" i="28"/>
  <c r="W73" i="28"/>
  <c r="S79" i="28"/>
  <c r="S80" i="28"/>
  <c r="S78" i="28"/>
  <c r="T159" i="20"/>
  <c r="S161" i="20"/>
  <c r="Q54" i="48" l="1"/>
  <c r="Q54" i="46"/>
  <c r="Q54" i="42"/>
  <c r="Q54" i="38"/>
  <c r="R53" i="48"/>
  <c r="R53" i="46"/>
  <c r="R53" i="42"/>
  <c r="R53" i="38"/>
  <c r="S56" i="20"/>
  <c r="R57" i="20"/>
  <c r="S54" i="20"/>
  <c r="R51" i="48"/>
  <c r="R51" i="46"/>
  <c r="R51" i="42"/>
  <c r="R51" i="38"/>
  <c r="S55" i="20"/>
  <c r="R52" i="48"/>
  <c r="R52" i="46"/>
  <c r="R52" i="42"/>
  <c r="R52" i="38"/>
  <c r="S155" i="20"/>
  <c r="T154" i="20"/>
  <c r="X93" i="28"/>
  <c r="X95" i="28" s="1"/>
  <c r="X102" i="28" s="1"/>
  <c r="Y63" i="15" s="1"/>
  <c r="Y92" i="28"/>
  <c r="X94" i="28"/>
  <c r="Y51" i="15" s="1"/>
  <c r="V97" i="28"/>
  <c r="U101" i="28"/>
  <c r="V57" i="15" s="1"/>
  <c r="U99" i="28"/>
  <c r="V54" i="28"/>
  <c r="V56" i="28" s="1"/>
  <c r="U55" i="28"/>
  <c r="U57" i="28" s="1"/>
  <c r="U69" i="28"/>
  <c r="U71" i="28" s="1"/>
  <c r="V68" i="28"/>
  <c r="U70" i="28"/>
  <c r="T80" i="28"/>
  <c r="T79" i="28"/>
  <c r="T78" i="28"/>
  <c r="X73" i="28"/>
  <c r="W76" i="28"/>
  <c r="U159" i="20"/>
  <c r="T161" i="20"/>
  <c r="T54" i="20" l="1"/>
  <c r="S51" i="48"/>
  <c r="S51" i="46"/>
  <c r="S51" i="42"/>
  <c r="S51" i="38"/>
  <c r="T55" i="20"/>
  <c r="S52" i="48"/>
  <c r="S52" i="46"/>
  <c r="S52" i="42"/>
  <c r="S52" i="38"/>
  <c r="R54" i="48"/>
  <c r="R54" i="46"/>
  <c r="R54" i="42"/>
  <c r="R54" i="38"/>
  <c r="S53" i="48"/>
  <c r="S53" i="46"/>
  <c r="S53" i="42"/>
  <c r="S53" i="38"/>
  <c r="S57" i="20"/>
  <c r="T56" i="20"/>
  <c r="T155" i="20"/>
  <c r="U154" i="20"/>
  <c r="W97" i="28"/>
  <c r="V101" i="28"/>
  <c r="W57" i="15" s="1"/>
  <c r="V99" i="28"/>
  <c r="Y93" i="28"/>
  <c r="Y95" i="28" s="1"/>
  <c r="Y102" i="28" s="1"/>
  <c r="Z63" i="15" s="1"/>
  <c r="Z92" i="28"/>
  <c r="Y94" i="28"/>
  <c r="Z51" i="15" s="1"/>
  <c r="W54" i="28"/>
  <c r="W56" i="28" s="1"/>
  <c r="V55" i="28"/>
  <c r="V57" i="28" s="1"/>
  <c r="U79" i="28"/>
  <c r="U80" i="28"/>
  <c r="U78" i="28"/>
  <c r="Y73" i="28"/>
  <c r="X76" i="28"/>
  <c r="W68" i="28"/>
  <c r="V69" i="28"/>
  <c r="V71" i="28" s="1"/>
  <c r="V70" i="28"/>
  <c r="U161" i="20"/>
  <c r="V159" i="20"/>
  <c r="S54" i="48" l="1"/>
  <c r="S54" i="46"/>
  <c r="S54" i="42"/>
  <c r="S54" i="38"/>
  <c r="U55" i="20"/>
  <c r="T52" i="48"/>
  <c r="T52" i="46"/>
  <c r="T52" i="42"/>
  <c r="T52" i="38"/>
  <c r="T53" i="48"/>
  <c r="T53" i="46"/>
  <c r="T53" i="42"/>
  <c r="T53" i="38"/>
  <c r="U56" i="20"/>
  <c r="T57" i="20"/>
  <c r="U54" i="20"/>
  <c r="T51" i="48"/>
  <c r="T51" i="46"/>
  <c r="T51" i="42"/>
  <c r="T51" i="38"/>
  <c r="U155" i="20"/>
  <c r="V154" i="20"/>
  <c r="AA92" i="28"/>
  <c r="Z93" i="28"/>
  <c r="Z95" i="28" s="1"/>
  <c r="Z102" i="28" s="1"/>
  <c r="AA63" i="15" s="1"/>
  <c r="Z94" i="28"/>
  <c r="AA51" i="15" s="1"/>
  <c r="W99" i="28"/>
  <c r="X97" i="28"/>
  <c r="W101" i="28"/>
  <c r="X57" i="15" s="1"/>
  <c r="X54" i="28"/>
  <c r="X56" i="28" s="1"/>
  <c r="W55" i="28"/>
  <c r="W57" i="28" s="1"/>
  <c r="V79" i="28"/>
  <c r="V80" i="28"/>
  <c r="V78" i="28"/>
  <c r="W69" i="28"/>
  <c r="W71" i="28" s="1"/>
  <c r="X68" i="28"/>
  <c r="W70" i="28"/>
  <c r="Y76" i="28"/>
  <c r="Z73" i="28"/>
  <c r="V161" i="20"/>
  <c r="W159" i="20"/>
  <c r="V54" i="20" l="1"/>
  <c r="U51" i="48"/>
  <c r="U51" i="46"/>
  <c r="U51" i="42"/>
  <c r="U51" i="38"/>
  <c r="T54" i="48"/>
  <c r="T54" i="46"/>
  <c r="T54" i="42"/>
  <c r="T54" i="38"/>
  <c r="U53" i="48"/>
  <c r="U53" i="46"/>
  <c r="U53" i="42"/>
  <c r="U53" i="38"/>
  <c r="V56" i="20"/>
  <c r="U57" i="20"/>
  <c r="V55" i="20"/>
  <c r="U52" i="48"/>
  <c r="U52" i="46"/>
  <c r="U52" i="42"/>
  <c r="U52" i="38"/>
  <c r="V155" i="20"/>
  <c r="W154" i="20"/>
  <c r="Y97" i="28"/>
  <c r="X101" i="28"/>
  <c r="Y57" i="15" s="1"/>
  <c r="X99" i="28"/>
  <c r="AB92" i="28"/>
  <c r="AA93" i="28"/>
  <c r="AA95" i="28" s="1"/>
  <c r="AA102" i="28" s="1"/>
  <c r="AB63" i="15" s="1"/>
  <c r="AA94" i="28"/>
  <c r="AB51" i="15" s="1"/>
  <c r="Y54" i="28"/>
  <c r="Y56" i="28" s="1"/>
  <c r="X55" i="28"/>
  <c r="X57" i="28" s="1"/>
  <c r="AA73" i="28"/>
  <c r="Z76" i="28"/>
  <c r="X69" i="28"/>
  <c r="X71" i="28" s="1"/>
  <c r="Y68" i="28"/>
  <c r="X70" i="28"/>
  <c r="W79" i="28"/>
  <c r="W80" i="28"/>
  <c r="W78" i="28"/>
  <c r="X159" i="20"/>
  <c r="W161" i="20"/>
  <c r="W55" i="20" l="1"/>
  <c r="V52" i="48"/>
  <c r="V52" i="46"/>
  <c r="V52" i="42"/>
  <c r="V52" i="38"/>
  <c r="U54" i="48"/>
  <c r="U54" i="46"/>
  <c r="U54" i="42"/>
  <c r="U54" i="38"/>
  <c r="V53" i="48"/>
  <c r="V53" i="46"/>
  <c r="V53" i="42"/>
  <c r="V53" i="38"/>
  <c r="W56" i="20"/>
  <c r="V57" i="20"/>
  <c r="W54" i="20"/>
  <c r="V51" i="48"/>
  <c r="V51" i="46"/>
  <c r="V51" i="42"/>
  <c r="V51" i="38"/>
  <c r="W155" i="20"/>
  <c r="X154" i="20"/>
  <c r="AB93" i="28"/>
  <c r="AB95" i="28" s="1"/>
  <c r="AB102" i="28" s="1"/>
  <c r="AC63" i="15" s="1"/>
  <c r="AC92" i="28"/>
  <c r="AB94" i="28"/>
  <c r="AC51" i="15" s="1"/>
  <c r="Z97" i="28"/>
  <c r="Y101" i="28"/>
  <c r="Z57" i="15" s="1"/>
  <c r="Y99" i="28"/>
  <c r="Z54" i="28"/>
  <c r="Z56" i="28" s="1"/>
  <c r="Y55" i="28"/>
  <c r="Y57" i="28" s="1"/>
  <c r="X80" i="28"/>
  <c r="X79" i="28"/>
  <c r="X78" i="28"/>
  <c r="Y69" i="28"/>
  <c r="Y71" i="28" s="1"/>
  <c r="Z68" i="28"/>
  <c r="Y70" i="28"/>
  <c r="AB73" i="28"/>
  <c r="AA76" i="28"/>
  <c r="Y159" i="20"/>
  <c r="X161" i="20"/>
  <c r="X54" i="20" l="1"/>
  <c r="W51" i="48"/>
  <c r="W51" i="46"/>
  <c r="W51" i="42"/>
  <c r="W51" i="38"/>
  <c r="W58" i="20"/>
  <c r="V54" i="48"/>
  <c r="V54" i="46"/>
  <c r="V54" i="42"/>
  <c r="V54" i="38"/>
  <c r="W53" i="48"/>
  <c r="W53" i="46"/>
  <c r="W53" i="42"/>
  <c r="W53" i="38"/>
  <c r="W57" i="20"/>
  <c r="X56" i="20"/>
  <c r="W60" i="20"/>
  <c r="X55" i="20"/>
  <c r="W52" i="48"/>
  <c r="W52" i="46"/>
  <c r="W52" i="42"/>
  <c r="W52" i="38"/>
  <c r="W59" i="20"/>
  <c r="X155" i="20"/>
  <c r="Y154" i="20"/>
  <c r="AC93" i="28"/>
  <c r="AC95" i="28" s="1"/>
  <c r="AC102" i="28" s="1"/>
  <c r="AD63" i="15" s="1"/>
  <c r="AD92" i="28"/>
  <c r="AC94" i="28"/>
  <c r="AD51" i="15" s="1"/>
  <c r="AA97" i="28"/>
  <c r="Z101" i="28"/>
  <c r="AA57" i="15" s="1"/>
  <c r="Z99" i="28"/>
  <c r="AA54" i="28"/>
  <c r="AA56" i="28" s="1"/>
  <c r="Z55" i="28"/>
  <c r="Z57" i="28" s="1"/>
  <c r="AA68" i="28"/>
  <c r="Z69" i="28"/>
  <c r="Z71" i="28" s="1"/>
  <c r="Z70" i="28"/>
  <c r="Y80" i="28"/>
  <c r="Y79" i="28"/>
  <c r="Y78" i="28"/>
  <c r="AC73" i="28"/>
  <c r="AB76" i="28"/>
  <c r="Y161" i="20"/>
  <c r="Z159" i="20"/>
  <c r="AG152" i="20"/>
  <c r="C152" i="20"/>
  <c r="C113" i="20"/>
  <c r="D111" i="20"/>
  <c r="E111" i="20" s="1"/>
  <c r="F111" i="20" s="1"/>
  <c r="G111" i="20" s="1"/>
  <c r="H111" i="20" s="1"/>
  <c r="I111" i="20" s="1"/>
  <c r="J111" i="20" s="1"/>
  <c r="K111" i="20" s="1"/>
  <c r="L111" i="20" s="1"/>
  <c r="M111" i="20" s="1"/>
  <c r="N111" i="20" s="1"/>
  <c r="O111" i="20" s="1"/>
  <c r="P111" i="20" s="1"/>
  <c r="Q111" i="20" s="1"/>
  <c r="R111" i="20" s="1"/>
  <c r="S111" i="20" s="1"/>
  <c r="T111" i="20" s="1"/>
  <c r="U111" i="20" s="1"/>
  <c r="V111" i="20" s="1"/>
  <c r="W111" i="20" s="1"/>
  <c r="X111" i="20" s="1"/>
  <c r="Y111" i="20" s="1"/>
  <c r="Z111" i="20" s="1"/>
  <c r="AA111" i="20" s="1"/>
  <c r="AB111" i="20" s="1"/>
  <c r="AC111" i="20" s="1"/>
  <c r="AD111" i="20" s="1"/>
  <c r="AE111" i="20" s="1"/>
  <c r="AF111" i="20" s="1"/>
  <c r="AG111" i="20" s="1"/>
  <c r="D112" i="20"/>
  <c r="E112" i="20" s="1"/>
  <c r="F112" i="20" s="1"/>
  <c r="G112" i="20" s="1"/>
  <c r="H112" i="20" s="1"/>
  <c r="I112" i="20" s="1"/>
  <c r="J112" i="20" s="1"/>
  <c r="K112" i="20" s="1"/>
  <c r="L112" i="20" s="1"/>
  <c r="M112" i="20" s="1"/>
  <c r="N112" i="20" s="1"/>
  <c r="O112" i="20" s="1"/>
  <c r="P112" i="20" s="1"/>
  <c r="Q112" i="20" s="1"/>
  <c r="R112" i="20" s="1"/>
  <c r="S112" i="20" s="1"/>
  <c r="T112" i="20" s="1"/>
  <c r="U112" i="20" s="1"/>
  <c r="V112" i="20" s="1"/>
  <c r="W112" i="20" s="1"/>
  <c r="X112" i="20" s="1"/>
  <c r="Y112" i="20" s="1"/>
  <c r="Z112" i="20" s="1"/>
  <c r="AA112" i="20" s="1"/>
  <c r="AB112" i="20" s="1"/>
  <c r="AC112" i="20" s="1"/>
  <c r="AD112" i="20" s="1"/>
  <c r="AE112" i="20" s="1"/>
  <c r="AF112" i="20" s="1"/>
  <c r="AG112" i="20" s="1"/>
  <c r="D110" i="20"/>
  <c r="AG103" i="20"/>
  <c r="C103" i="20"/>
  <c r="AG107" i="20"/>
  <c r="C107" i="20"/>
  <c r="D105" i="20"/>
  <c r="D106" i="20" s="1"/>
  <c r="AG106" i="20"/>
  <c r="AG108" i="20" s="1"/>
  <c r="C106" i="20"/>
  <c r="C108" i="20" s="1"/>
  <c r="M52" i="20"/>
  <c r="W52" i="20"/>
  <c r="C52" i="20"/>
  <c r="W104" i="20" l="1"/>
  <c r="W153" i="20"/>
  <c r="W193" i="20"/>
  <c r="M104" i="20"/>
  <c r="M153" i="20"/>
  <c r="M193" i="20"/>
  <c r="W61" i="20"/>
  <c r="W54" i="48"/>
  <c r="W54" i="46"/>
  <c r="W54" i="42"/>
  <c r="W54" i="38"/>
  <c r="Y55" i="20"/>
  <c r="X52" i="48"/>
  <c r="X52" i="46"/>
  <c r="X52" i="42"/>
  <c r="X52" i="38"/>
  <c r="W55" i="48"/>
  <c r="W55" i="46"/>
  <c r="W55" i="42"/>
  <c r="W55" i="38"/>
  <c r="X53" i="48"/>
  <c r="X53" i="46"/>
  <c r="X53" i="42"/>
  <c r="X53" i="38"/>
  <c r="Y56" i="20"/>
  <c r="X57" i="20"/>
  <c r="W56" i="48"/>
  <c r="W56" i="46"/>
  <c r="W56" i="42"/>
  <c r="W56" i="38"/>
  <c r="W57" i="48"/>
  <c r="W57" i="46"/>
  <c r="W57" i="42"/>
  <c r="W57" i="38"/>
  <c r="Y54" i="20"/>
  <c r="X51" i="48"/>
  <c r="X51" i="46"/>
  <c r="X51" i="42"/>
  <c r="X51" i="38"/>
  <c r="Y155" i="20"/>
  <c r="C115" i="20"/>
  <c r="Z154" i="20"/>
  <c r="AA99" i="28"/>
  <c r="AB97" i="28"/>
  <c r="AA101" i="28"/>
  <c r="AB57" i="15" s="1"/>
  <c r="AE92" i="28"/>
  <c r="AD93" i="28"/>
  <c r="AD95" i="28" s="1"/>
  <c r="AD102" i="28" s="1"/>
  <c r="AE63" i="15" s="1"/>
  <c r="AD94" i="28"/>
  <c r="AE51" i="15" s="1"/>
  <c r="AB54" i="28"/>
  <c r="AB56" i="28" s="1"/>
  <c r="AA55" i="28"/>
  <c r="AA57" i="28" s="1"/>
  <c r="AC76" i="28"/>
  <c r="AD73" i="28"/>
  <c r="Z79" i="28"/>
  <c r="Z80" i="28"/>
  <c r="Z78" i="28"/>
  <c r="AB68" i="28"/>
  <c r="AA69" i="28"/>
  <c r="AA71" i="28" s="1"/>
  <c r="AA70" i="28"/>
  <c r="W206" i="20"/>
  <c r="M206" i="20"/>
  <c r="W49" i="20"/>
  <c r="M49" i="20"/>
  <c r="M152" i="20"/>
  <c r="Z161" i="20"/>
  <c r="AA159" i="20"/>
  <c r="AG117" i="20"/>
  <c r="D113" i="20"/>
  <c r="AG116" i="20"/>
  <c r="C116" i="20"/>
  <c r="C117" i="20"/>
  <c r="E110" i="20"/>
  <c r="C49" i="20"/>
  <c r="AG49" i="20"/>
  <c r="E105" i="20"/>
  <c r="E106" i="20" s="1"/>
  <c r="W255" i="46" l="1"/>
  <c r="W254" i="46" s="1"/>
  <c r="W229" i="42"/>
  <c r="W228" i="42" s="1"/>
  <c r="W255" i="48"/>
  <c r="W254" i="48" s="1"/>
  <c r="W229" i="38"/>
  <c r="W228" i="38" s="1"/>
  <c r="M214" i="42"/>
  <c r="M213" i="42" s="1"/>
  <c r="M238" i="48"/>
  <c r="M237" i="48" s="1"/>
  <c r="M238" i="46"/>
  <c r="M237" i="46" s="1"/>
  <c r="M214" i="38"/>
  <c r="M213" i="38" s="1"/>
  <c r="M168" i="42"/>
  <c r="M186" i="46"/>
  <c r="M186" i="48"/>
  <c r="M168" i="38"/>
  <c r="M111" i="42"/>
  <c r="M121" i="46"/>
  <c r="M111" i="38"/>
  <c r="M121" i="48"/>
  <c r="W238" i="48"/>
  <c r="W237" i="48" s="1"/>
  <c r="W214" i="42"/>
  <c r="W213" i="42" s="1"/>
  <c r="W238" i="46"/>
  <c r="W237" i="46" s="1"/>
  <c r="W214" i="38"/>
  <c r="W213" i="38" s="1"/>
  <c r="M229" i="42"/>
  <c r="M228" i="42" s="1"/>
  <c r="M255" i="46"/>
  <c r="M254" i="46" s="1"/>
  <c r="M255" i="48"/>
  <c r="M254" i="48" s="1"/>
  <c r="M229" i="38"/>
  <c r="M228" i="38" s="1"/>
  <c r="W168" i="42"/>
  <c r="W186" i="46"/>
  <c r="W186" i="48"/>
  <c r="W168" i="38"/>
  <c r="W111" i="38"/>
  <c r="W121" i="48"/>
  <c r="W121" i="46"/>
  <c r="W111" i="42"/>
  <c r="X54" i="48"/>
  <c r="X54" i="46"/>
  <c r="X54" i="42"/>
  <c r="X54" i="38"/>
  <c r="Z55" i="20"/>
  <c r="Y52" i="46"/>
  <c r="Y52" i="48"/>
  <c r="Y52" i="42"/>
  <c r="Y52" i="38"/>
  <c r="Y53" i="48"/>
  <c r="Y53" i="46"/>
  <c r="Y53" i="42"/>
  <c r="Y53" i="38"/>
  <c r="Z56" i="20"/>
  <c r="Y57" i="20"/>
  <c r="Z54" i="20"/>
  <c r="Y51" i="48"/>
  <c r="Y51" i="46"/>
  <c r="Y51" i="42"/>
  <c r="Y51" i="38"/>
  <c r="W58" i="48"/>
  <c r="W58" i="46"/>
  <c r="W58" i="42"/>
  <c r="W58" i="38"/>
  <c r="W205" i="20"/>
  <c r="M205" i="20"/>
  <c r="Z155" i="20"/>
  <c r="W103" i="20"/>
  <c r="M103" i="20"/>
  <c r="AA154" i="20"/>
  <c r="E113" i="20"/>
  <c r="AF92" i="28"/>
  <c r="AE93" i="28"/>
  <c r="AE95" i="28" s="1"/>
  <c r="AE102" i="28" s="1"/>
  <c r="AF63" i="15" s="1"/>
  <c r="AE94" i="28"/>
  <c r="AF51" i="15" s="1"/>
  <c r="AC97" i="28"/>
  <c r="AB101" i="28"/>
  <c r="AC57" i="15" s="1"/>
  <c r="AB99" i="28"/>
  <c r="AC54" i="28"/>
  <c r="AC56" i="28" s="1"/>
  <c r="AB55" i="28"/>
  <c r="AB57" i="28" s="1"/>
  <c r="AB69" i="28"/>
  <c r="AB71" i="28" s="1"/>
  <c r="AC68" i="28"/>
  <c r="AB70" i="28"/>
  <c r="AD76" i="28"/>
  <c r="AE73" i="28"/>
  <c r="AA79" i="28"/>
  <c r="AA80" i="28"/>
  <c r="AA78" i="28"/>
  <c r="W156" i="20"/>
  <c r="W157" i="20"/>
  <c r="M157" i="20"/>
  <c r="M156" i="20"/>
  <c r="AB159" i="20"/>
  <c r="AA161" i="20"/>
  <c r="W152" i="20"/>
  <c r="F110" i="20"/>
  <c r="F105" i="20"/>
  <c r="F106" i="20" s="1"/>
  <c r="W167" i="38" l="1"/>
  <c r="W171" i="38"/>
  <c r="W172" i="38"/>
  <c r="M185" i="48"/>
  <c r="M189" i="48"/>
  <c r="M190" i="48"/>
  <c r="W110" i="42"/>
  <c r="W114" i="42"/>
  <c r="W115" i="42"/>
  <c r="W185" i="48"/>
  <c r="W189" i="48"/>
  <c r="W190" i="48"/>
  <c r="M185" i="46"/>
  <c r="M189" i="46"/>
  <c r="M190" i="46"/>
  <c r="W120" i="46"/>
  <c r="W124" i="46"/>
  <c r="W125" i="46"/>
  <c r="W185" i="46"/>
  <c r="W189" i="46"/>
  <c r="W190" i="46"/>
  <c r="M120" i="48"/>
  <c r="M124" i="48"/>
  <c r="M125" i="48"/>
  <c r="M167" i="42"/>
  <c r="M171" i="42"/>
  <c r="M172" i="42"/>
  <c r="M167" i="38"/>
  <c r="M171" i="38"/>
  <c r="M172" i="38"/>
  <c r="W120" i="48"/>
  <c r="W124" i="48"/>
  <c r="W125" i="48"/>
  <c r="W167" i="42"/>
  <c r="W171" i="42"/>
  <c r="W172" i="42"/>
  <c r="M110" i="38"/>
  <c r="M114" i="38"/>
  <c r="M115" i="38"/>
  <c r="W110" i="38"/>
  <c r="W114" i="38"/>
  <c r="W115" i="38"/>
  <c r="M120" i="46"/>
  <c r="M124" i="46"/>
  <c r="M125" i="46"/>
  <c r="M110" i="42"/>
  <c r="M114" i="42"/>
  <c r="M115" i="42"/>
  <c r="AA54" i="20"/>
  <c r="Z51" i="48"/>
  <c r="Z51" i="46"/>
  <c r="Z51" i="42"/>
  <c r="Z51" i="38"/>
  <c r="Z53" i="48"/>
  <c r="Z53" i="46"/>
  <c r="Z53" i="42"/>
  <c r="Z53" i="38"/>
  <c r="AA56" i="20"/>
  <c r="Z57" i="20"/>
  <c r="Y54" i="48"/>
  <c r="Y54" i="46"/>
  <c r="Y54" i="42"/>
  <c r="Y54" i="38"/>
  <c r="AA55" i="20"/>
  <c r="Z52" i="48"/>
  <c r="Z52" i="46"/>
  <c r="Z52" i="42"/>
  <c r="Z52" i="38"/>
  <c r="AA155" i="20"/>
  <c r="AB154" i="20"/>
  <c r="F113" i="20"/>
  <c r="AF93" i="28"/>
  <c r="AF95" i="28" s="1"/>
  <c r="AF102" i="28" s="1"/>
  <c r="AG63" i="15" s="1"/>
  <c r="AF94" i="28"/>
  <c r="AG51" i="15" s="1"/>
  <c r="AD97" i="28"/>
  <c r="AC101" i="28"/>
  <c r="AD57" i="15" s="1"/>
  <c r="AC99" i="28"/>
  <c r="AD54" i="28"/>
  <c r="AD56" i="28" s="1"/>
  <c r="AC55" i="28"/>
  <c r="AC57" i="28" s="1"/>
  <c r="AB80" i="28"/>
  <c r="AB79" i="28"/>
  <c r="AB78" i="28"/>
  <c r="AF73" i="28"/>
  <c r="AE76" i="28"/>
  <c r="AC69" i="28"/>
  <c r="AC71" i="28" s="1"/>
  <c r="AD68" i="28"/>
  <c r="AC70" i="28"/>
  <c r="M164" i="20"/>
  <c r="M163" i="20"/>
  <c r="W164" i="20"/>
  <c r="W163" i="20"/>
  <c r="AC159" i="20"/>
  <c r="AB161" i="20"/>
  <c r="G110" i="20"/>
  <c r="G105" i="20"/>
  <c r="H105" i="20" s="1"/>
  <c r="M123" i="38" l="1"/>
  <c r="M124" i="38"/>
  <c r="M122" i="38"/>
  <c r="M179" i="38"/>
  <c r="M178" i="38"/>
  <c r="M197" i="48"/>
  <c r="M196" i="48"/>
  <c r="M123" i="42"/>
  <c r="M122" i="42"/>
  <c r="M124" i="42"/>
  <c r="M134" i="46"/>
  <c r="M132" i="46"/>
  <c r="M133" i="46"/>
  <c r="W197" i="46"/>
  <c r="W196" i="46"/>
  <c r="M133" i="48"/>
  <c r="M134" i="48"/>
  <c r="M132" i="48"/>
  <c r="W179" i="42"/>
  <c r="W178" i="42"/>
  <c r="W197" i="48"/>
  <c r="W196" i="48"/>
  <c r="M197" i="46"/>
  <c r="M196" i="46"/>
  <c r="M179" i="42"/>
  <c r="M178" i="42"/>
  <c r="W178" i="38"/>
  <c r="W179" i="38"/>
  <c r="W123" i="38"/>
  <c r="W122" i="38"/>
  <c r="W124" i="38"/>
  <c r="W132" i="46"/>
  <c r="W134" i="46"/>
  <c r="W133" i="46"/>
  <c r="W132" i="48"/>
  <c r="W134" i="48"/>
  <c r="W133" i="48"/>
  <c r="W123" i="42"/>
  <c r="W122" i="42"/>
  <c r="W124" i="42"/>
  <c r="AB55" i="20"/>
  <c r="AA52" i="48"/>
  <c r="AA52" i="46"/>
  <c r="AA52" i="42"/>
  <c r="AA52" i="38"/>
  <c r="Z54" i="48"/>
  <c r="Z54" i="46"/>
  <c r="Z54" i="42"/>
  <c r="Z54" i="38"/>
  <c r="AA53" i="48"/>
  <c r="AA53" i="46"/>
  <c r="AA53" i="42"/>
  <c r="AA53" i="38"/>
  <c r="AA57" i="20"/>
  <c r="AB56" i="20"/>
  <c r="AB54" i="20"/>
  <c r="AA51" i="48"/>
  <c r="AA51" i="46"/>
  <c r="AA51" i="42"/>
  <c r="AA51" i="38"/>
  <c r="AB155" i="20"/>
  <c r="AC154" i="20"/>
  <c r="G113" i="20"/>
  <c r="AE97" i="28"/>
  <c r="AD101" i="28"/>
  <c r="AE57" i="15" s="1"/>
  <c r="AD99" i="28"/>
  <c r="AE54" i="28"/>
  <c r="AE56" i="28" s="1"/>
  <c r="AD55" i="28"/>
  <c r="AD57" i="28" s="1"/>
  <c r="AG73" i="28"/>
  <c r="AF76" i="28"/>
  <c r="AE68" i="28"/>
  <c r="AD69" i="28"/>
  <c r="AD71" i="28" s="1"/>
  <c r="AD70" i="28"/>
  <c r="AC79" i="28"/>
  <c r="AC80" i="28"/>
  <c r="AC78" i="28"/>
  <c r="AC161" i="20"/>
  <c r="AD159" i="20"/>
  <c r="H110" i="20"/>
  <c r="G106" i="20"/>
  <c r="I105" i="20"/>
  <c r="H106" i="20"/>
  <c r="M367" i="46" l="1"/>
  <c r="M368" i="46"/>
  <c r="W367" i="46"/>
  <c r="W368" i="46"/>
  <c r="M367" i="48"/>
  <c r="M368" i="48"/>
  <c r="W367" i="48"/>
  <c r="W368" i="48"/>
  <c r="M339" i="38"/>
  <c r="M340" i="38"/>
  <c r="W339" i="42"/>
  <c r="W340" i="42"/>
  <c r="W339" i="38"/>
  <c r="W340" i="38"/>
  <c r="M339" i="42"/>
  <c r="M340" i="42"/>
  <c r="AC54" i="20"/>
  <c r="AB51" i="46"/>
  <c r="AB51" i="48"/>
  <c r="AB51" i="42"/>
  <c r="AB51" i="38"/>
  <c r="AB53" i="48"/>
  <c r="AB53" i="46"/>
  <c r="AB53" i="42"/>
  <c r="AB53" i="38"/>
  <c r="AC56" i="20"/>
  <c r="AB57" i="20"/>
  <c r="AA54" i="48"/>
  <c r="AA54" i="46"/>
  <c r="AA54" i="42"/>
  <c r="AA54" i="38"/>
  <c r="AC55" i="20"/>
  <c r="AB52" i="48"/>
  <c r="AB52" i="46"/>
  <c r="AB52" i="42"/>
  <c r="AB52" i="38"/>
  <c r="AC155" i="20"/>
  <c r="AD154" i="20"/>
  <c r="H113" i="20"/>
  <c r="AE99" i="28"/>
  <c r="AE101" i="28"/>
  <c r="AF57" i="15" s="1"/>
  <c r="AF97" i="28"/>
  <c r="AF54" i="28"/>
  <c r="AF56" i="28" s="1"/>
  <c r="AE55" i="28"/>
  <c r="AE57" i="28" s="1"/>
  <c r="AD79" i="28"/>
  <c r="AD80" i="28"/>
  <c r="AD78" i="28"/>
  <c r="AG76" i="28"/>
  <c r="AG78" i="28"/>
  <c r="AE69" i="28"/>
  <c r="AE71" i="28" s="1"/>
  <c r="AF68" i="28"/>
  <c r="AE70" i="28"/>
  <c r="AD161" i="20"/>
  <c r="AE159" i="20"/>
  <c r="I110" i="20"/>
  <c r="J105" i="20"/>
  <c r="I106" i="20"/>
  <c r="AB54" i="48" l="1"/>
  <c r="AB54" i="46"/>
  <c r="AB54" i="42"/>
  <c r="AB54" i="38"/>
  <c r="AC53" i="48"/>
  <c r="AC53" i="46"/>
  <c r="AC53" i="42"/>
  <c r="AC53" i="38"/>
  <c r="AD56" i="20"/>
  <c r="AC57" i="20"/>
  <c r="AD55" i="20"/>
  <c r="AC52" i="46"/>
  <c r="AC52" i="48"/>
  <c r="AC52" i="42"/>
  <c r="AC52" i="38"/>
  <c r="AD54" i="20"/>
  <c r="AC51" i="48"/>
  <c r="AC51" i="46"/>
  <c r="AC51" i="42"/>
  <c r="AC51" i="38"/>
  <c r="AD155" i="20"/>
  <c r="AE154" i="20"/>
  <c r="I113" i="20"/>
  <c r="AG97" i="28"/>
  <c r="AF101" i="28"/>
  <c r="AG57" i="15" s="1"/>
  <c r="AF99" i="28"/>
  <c r="AG54" i="28"/>
  <c r="AF55" i="28"/>
  <c r="AF57" i="28" s="1"/>
  <c r="AF69" i="28"/>
  <c r="AF71" i="28" s="1"/>
  <c r="AF70" i="28"/>
  <c r="AE79" i="28"/>
  <c r="AE80" i="28"/>
  <c r="AE78" i="28"/>
  <c r="AF159" i="20"/>
  <c r="AE161" i="20"/>
  <c r="J110" i="20"/>
  <c r="K105" i="20"/>
  <c r="J106" i="20"/>
  <c r="AC54" i="48" l="1"/>
  <c r="AC54" i="46"/>
  <c r="AC54" i="42"/>
  <c r="AC54" i="38"/>
  <c r="AE54" i="20"/>
  <c r="AD51" i="48"/>
  <c r="AD51" i="46"/>
  <c r="AD51" i="42"/>
  <c r="AD51" i="38"/>
  <c r="AE55" i="20"/>
  <c r="AD52" i="48"/>
  <c r="AD52" i="46"/>
  <c r="AD52" i="42"/>
  <c r="AD52" i="38"/>
  <c r="AD53" i="46"/>
  <c r="AD53" i="48"/>
  <c r="AD53" i="42"/>
  <c r="AD53" i="38"/>
  <c r="AE56" i="20"/>
  <c r="AD57" i="20"/>
  <c r="AE155" i="20"/>
  <c r="AF154" i="20"/>
  <c r="J113" i="20"/>
  <c r="AG101" i="28"/>
  <c r="AH57" i="15" s="1"/>
  <c r="AG99" i="28"/>
  <c r="AG55" i="28"/>
  <c r="AG57" i="28" s="1"/>
  <c r="AG56" i="28"/>
  <c r="AF80" i="28"/>
  <c r="AF79" i="28"/>
  <c r="AF78" i="28"/>
  <c r="AG159" i="20"/>
  <c r="AG163" i="20" s="1"/>
  <c r="AF161" i="20"/>
  <c r="K110" i="20"/>
  <c r="L105" i="20"/>
  <c r="K106" i="20"/>
  <c r="AD54" i="48" l="1"/>
  <c r="AD54" i="46"/>
  <c r="AD54" i="42"/>
  <c r="AD54" i="38"/>
  <c r="AE53" i="48"/>
  <c r="AE53" i="46"/>
  <c r="AE53" i="42"/>
  <c r="AE53" i="38"/>
  <c r="AF56" i="20"/>
  <c r="AE57" i="20"/>
  <c r="AF55" i="20"/>
  <c r="AE52" i="48"/>
  <c r="AE52" i="46"/>
  <c r="AE52" i="42"/>
  <c r="AE52" i="38"/>
  <c r="AF54" i="20"/>
  <c r="AE51" i="48"/>
  <c r="AE51" i="46"/>
  <c r="AE51" i="42"/>
  <c r="AE51" i="38"/>
  <c r="AF155" i="20"/>
  <c r="K113" i="20"/>
  <c r="AG161" i="20"/>
  <c r="L110" i="20"/>
  <c r="M105" i="20"/>
  <c r="L106" i="20"/>
  <c r="AF51" i="46" l="1"/>
  <c r="AF51" i="48"/>
  <c r="AF51" i="42"/>
  <c r="AF51" i="38"/>
  <c r="AG55" i="20"/>
  <c r="AF52" i="48"/>
  <c r="AF52" i="46"/>
  <c r="AF52" i="42"/>
  <c r="AF52" i="38"/>
  <c r="AE54" i="46"/>
  <c r="AE54" i="48"/>
  <c r="AE54" i="42"/>
  <c r="AE54" i="38"/>
  <c r="AF53" i="48"/>
  <c r="AF53" i="46"/>
  <c r="AF53" i="42"/>
  <c r="AF53" i="38"/>
  <c r="AG56" i="20"/>
  <c r="AF57" i="20"/>
  <c r="L113" i="20"/>
  <c r="M110" i="20"/>
  <c r="N105" i="20"/>
  <c r="M107" i="20"/>
  <c r="M106" i="20"/>
  <c r="AF54" i="48" l="1"/>
  <c r="AF54" i="46"/>
  <c r="AF54" i="42"/>
  <c r="AF54" i="38"/>
  <c r="AG57" i="20"/>
  <c r="AG53" i="48"/>
  <c r="AG53" i="46"/>
  <c r="AG53" i="42"/>
  <c r="AG53" i="38"/>
  <c r="AG60" i="20"/>
  <c r="AG52" i="48"/>
  <c r="AG52" i="46"/>
  <c r="AG52" i="42"/>
  <c r="AG52" i="38"/>
  <c r="AG59" i="20"/>
  <c r="M113" i="20"/>
  <c r="N110" i="20"/>
  <c r="M108" i="20"/>
  <c r="O105" i="20"/>
  <c r="N106" i="20"/>
  <c r="AG57" i="48" l="1"/>
  <c r="AG57" i="46"/>
  <c r="AG57" i="42"/>
  <c r="AG57" i="38"/>
  <c r="AG56" i="48"/>
  <c r="AG56" i="46"/>
  <c r="AG56" i="42"/>
  <c r="AG56" i="38"/>
  <c r="AG54" i="48"/>
  <c r="AG54" i="46"/>
  <c r="AG54" i="42"/>
  <c r="AG54" i="38"/>
  <c r="AG61" i="20"/>
  <c r="N113" i="20"/>
  <c r="M117" i="20"/>
  <c r="M116" i="20"/>
  <c r="M115" i="20"/>
  <c r="O110" i="20"/>
  <c r="P105" i="20"/>
  <c r="O106" i="20"/>
  <c r="AG58" i="48" l="1"/>
  <c r="AG58" i="46"/>
  <c r="AG58" i="42"/>
  <c r="AG58" i="38"/>
  <c r="O113" i="20"/>
  <c r="P110" i="20"/>
  <c r="Q105" i="20"/>
  <c r="P106" i="20"/>
  <c r="P113" i="20" l="1"/>
  <c r="Q110" i="20"/>
  <c r="R105" i="20"/>
  <c r="Q106" i="20"/>
  <c r="Q113" i="20" l="1"/>
  <c r="R110" i="20"/>
  <c r="S105" i="20"/>
  <c r="R106" i="20"/>
  <c r="R113" i="20" l="1"/>
  <c r="S110" i="20"/>
  <c r="T105" i="20"/>
  <c r="S106" i="20"/>
  <c r="S113" i="20" l="1"/>
  <c r="T110" i="20"/>
  <c r="U105" i="20"/>
  <c r="T106" i="20"/>
  <c r="T113" i="20" l="1"/>
  <c r="U110" i="20"/>
  <c r="U106" i="20"/>
  <c r="V105" i="20"/>
  <c r="U113" i="20" l="1"/>
  <c r="V110" i="20"/>
  <c r="W105" i="20"/>
  <c r="V106" i="20"/>
  <c r="V113" i="20" l="1"/>
  <c r="W110" i="20"/>
  <c r="W106" i="20"/>
  <c r="X105" i="20"/>
  <c r="W107" i="20"/>
  <c r="W113" i="20" l="1"/>
  <c r="X110" i="20"/>
  <c r="Y105" i="20"/>
  <c r="W108" i="20"/>
  <c r="X113" i="20" l="1"/>
  <c r="W116" i="20"/>
  <c r="W117" i="20"/>
  <c r="W115" i="20"/>
  <c r="Y110" i="20"/>
  <c r="Z105" i="20"/>
  <c r="Y113" i="20" l="1"/>
  <c r="Z110" i="20"/>
  <c r="AA105" i="20"/>
  <c r="Z113" i="20" l="1"/>
  <c r="AA110" i="20"/>
  <c r="AB105" i="20"/>
  <c r="AA113" i="20" l="1"/>
  <c r="AB110" i="20"/>
  <c r="AC105" i="20"/>
  <c r="AB113" i="20" l="1"/>
  <c r="AC110" i="20"/>
  <c r="AD105" i="20"/>
  <c r="AC113" i="20" l="1"/>
  <c r="AD110" i="20"/>
  <c r="AE105" i="20"/>
  <c r="AD113" i="20" l="1"/>
  <c r="AE110" i="20"/>
  <c r="AF105" i="20"/>
  <c r="G55" i="24"/>
  <c r="F55" i="24"/>
  <c r="E55" i="24"/>
  <c r="C55" i="24"/>
  <c r="B55" i="24"/>
  <c r="C19" i="27"/>
  <c r="C20" i="27"/>
  <c r="C21" i="27"/>
  <c r="C22" i="27"/>
  <c r="C23" i="27"/>
  <c r="C18" i="27"/>
  <c r="B24" i="27"/>
  <c r="B32" i="27" s="1"/>
  <c r="B15" i="27"/>
  <c r="C14" i="27"/>
  <c r="C13" i="27"/>
  <c r="C12" i="27"/>
  <c r="C11" i="27"/>
  <c r="C10" i="27"/>
  <c r="C9" i="27"/>
  <c r="C8" i="27"/>
  <c r="C7" i="27"/>
  <c r="H65" i="7"/>
  <c r="B11" i="26"/>
  <c r="C24" i="27" l="1"/>
  <c r="C4" i="53"/>
  <c r="C4" i="54"/>
  <c r="C4" i="20"/>
  <c r="C4" i="48"/>
  <c r="C4" i="46"/>
  <c r="C7" i="53"/>
  <c r="D7" i="53" s="1"/>
  <c r="E7" i="53" s="1"/>
  <c r="F7" i="53" s="1"/>
  <c r="G7" i="53" s="1"/>
  <c r="H7" i="53" s="1"/>
  <c r="I7" i="53" s="1"/>
  <c r="J7" i="53" s="1"/>
  <c r="K7" i="53" s="1"/>
  <c r="L7" i="53" s="1"/>
  <c r="M7" i="53" s="1"/>
  <c r="N7" i="53" s="1"/>
  <c r="O7" i="53" s="1"/>
  <c r="P7" i="53" s="1"/>
  <c r="Q7" i="53" s="1"/>
  <c r="R7" i="53" s="1"/>
  <c r="S7" i="53" s="1"/>
  <c r="T7" i="53" s="1"/>
  <c r="U7" i="53" s="1"/>
  <c r="V7" i="53" s="1"/>
  <c r="W7" i="53" s="1"/>
  <c r="X7" i="53" s="1"/>
  <c r="Y7" i="53" s="1"/>
  <c r="Z7" i="53" s="1"/>
  <c r="AA7" i="53" s="1"/>
  <c r="AB7" i="53" s="1"/>
  <c r="AC7" i="53" s="1"/>
  <c r="AD7" i="53" s="1"/>
  <c r="AE7" i="53" s="1"/>
  <c r="AF7" i="53" s="1"/>
  <c r="AG7" i="53" s="1"/>
  <c r="C7" i="54"/>
  <c r="D7" i="54" s="1"/>
  <c r="E7" i="54" s="1"/>
  <c r="F7" i="54" s="1"/>
  <c r="G7" i="54" s="1"/>
  <c r="H7" i="54" s="1"/>
  <c r="I7" i="54" s="1"/>
  <c r="J7" i="54" s="1"/>
  <c r="K7" i="54" s="1"/>
  <c r="L7" i="54" s="1"/>
  <c r="M7" i="54" s="1"/>
  <c r="N7" i="54" s="1"/>
  <c r="O7" i="54" s="1"/>
  <c r="P7" i="54" s="1"/>
  <c r="Q7" i="54" s="1"/>
  <c r="R7" i="54" s="1"/>
  <c r="S7" i="54" s="1"/>
  <c r="T7" i="54" s="1"/>
  <c r="U7" i="54" s="1"/>
  <c r="V7" i="54" s="1"/>
  <c r="W7" i="54" s="1"/>
  <c r="X7" i="54" s="1"/>
  <c r="Y7" i="54" s="1"/>
  <c r="Z7" i="54" s="1"/>
  <c r="AA7" i="54" s="1"/>
  <c r="AB7" i="54" s="1"/>
  <c r="AC7" i="54" s="1"/>
  <c r="AD7" i="54" s="1"/>
  <c r="AE7" i="54" s="1"/>
  <c r="AF7" i="54" s="1"/>
  <c r="AG7" i="54" s="1"/>
  <c r="C7" i="48"/>
  <c r="D7" i="48" s="1"/>
  <c r="E7" i="48" s="1"/>
  <c r="F7" i="48" s="1"/>
  <c r="G7" i="48" s="1"/>
  <c r="H7" i="48" s="1"/>
  <c r="I7" i="48" s="1"/>
  <c r="J7" i="48" s="1"/>
  <c r="K7" i="48" s="1"/>
  <c r="L7" i="48" s="1"/>
  <c r="M7" i="48" s="1"/>
  <c r="N7" i="48" s="1"/>
  <c r="O7" i="48" s="1"/>
  <c r="P7" i="48" s="1"/>
  <c r="Q7" i="48" s="1"/>
  <c r="R7" i="48" s="1"/>
  <c r="S7" i="48" s="1"/>
  <c r="T7" i="48" s="1"/>
  <c r="U7" i="48" s="1"/>
  <c r="V7" i="48" s="1"/>
  <c r="W7" i="48" s="1"/>
  <c r="X7" i="48" s="1"/>
  <c r="Y7" i="48" s="1"/>
  <c r="Z7" i="48" s="1"/>
  <c r="AA7" i="48" s="1"/>
  <c r="AB7" i="48" s="1"/>
  <c r="AC7" i="48" s="1"/>
  <c r="AD7" i="48" s="1"/>
  <c r="AE7" i="48" s="1"/>
  <c r="AF7" i="48" s="1"/>
  <c r="AG7" i="48" s="1"/>
  <c r="C7" i="46"/>
  <c r="D7" i="46" s="1"/>
  <c r="E7" i="46" s="1"/>
  <c r="F7" i="46" s="1"/>
  <c r="G7" i="46" s="1"/>
  <c r="H7" i="46" s="1"/>
  <c r="I7" i="46" s="1"/>
  <c r="J7" i="46" s="1"/>
  <c r="K7" i="46" s="1"/>
  <c r="L7" i="46" s="1"/>
  <c r="M7" i="46" s="1"/>
  <c r="N7" i="46" s="1"/>
  <c r="O7" i="46" s="1"/>
  <c r="P7" i="46" s="1"/>
  <c r="Q7" i="46" s="1"/>
  <c r="R7" i="46" s="1"/>
  <c r="S7" i="46" s="1"/>
  <c r="T7" i="46" s="1"/>
  <c r="U7" i="46" s="1"/>
  <c r="V7" i="46" s="1"/>
  <c r="W7" i="46" s="1"/>
  <c r="X7" i="46" s="1"/>
  <c r="Y7" i="46" s="1"/>
  <c r="Z7" i="46" s="1"/>
  <c r="AA7" i="46" s="1"/>
  <c r="AB7" i="46" s="1"/>
  <c r="AC7" i="46" s="1"/>
  <c r="AD7" i="46" s="1"/>
  <c r="AE7" i="46" s="1"/>
  <c r="AF7" i="46" s="1"/>
  <c r="AG7" i="46" s="1"/>
  <c r="C7" i="38"/>
  <c r="D7" i="38" s="1"/>
  <c r="E7" i="38" s="1"/>
  <c r="F7" i="38" s="1"/>
  <c r="G7" i="38" s="1"/>
  <c r="H7" i="38" s="1"/>
  <c r="I7" i="38" s="1"/>
  <c r="J7" i="38" s="1"/>
  <c r="K7" i="38" s="1"/>
  <c r="L7" i="38" s="1"/>
  <c r="M7" i="38" s="1"/>
  <c r="N7" i="38" s="1"/>
  <c r="O7" i="38" s="1"/>
  <c r="P7" i="38" s="1"/>
  <c r="Q7" i="38" s="1"/>
  <c r="R7" i="38" s="1"/>
  <c r="S7" i="38" s="1"/>
  <c r="T7" i="38" s="1"/>
  <c r="U7" i="38" s="1"/>
  <c r="V7" i="38" s="1"/>
  <c r="W7" i="38" s="1"/>
  <c r="X7" i="38" s="1"/>
  <c r="Y7" i="38" s="1"/>
  <c r="Z7" i="38" s="1"/>
  <c r="AA7" i="38" s="1"/>
  <c r="AB7" i="38" s="1"/>
  <c r="AC7" i="38" s="1"/>
  <c r="AD7" i="38" s="1"/>
  <c r="AE7" i="38" s="1"/>
  <c r="AF7" i="38" s="1"/>
  <c r="AG7" i="38" s="1"/>
  <c r="C7" i="42"/>
  <c r="D7" i="42" s="1"/>
  <c r="E7" i="42" s="1"/>
  <c r="F7" i="42" s="1"/>
  <c r="G7" i="42" s="1"/>
  <c r="H7" i="42" s="1"/>
  <c r="I7" i="42" s="1"/>
  <c r="J7" i="42" s="1"/>
  <c r="K7" i="42" s="1"/>
  <c r="L7" i="42" s="1"/>
  <c r="M7" i="42" s="1"/>
  <c r="N7" i="42" s="1"/>
  <c r="O7" i="42" s="1"/>
  <c r="P7" i="42" s="1"/>
  <c r="Q7" i="42" s="1"/>
  <c r="R7" i="42" s="1"/>
  <c r="S7" i="42" s="1"/>
  <c r="T7" i="42" s="1"/>
  <c r="U7" i="42" s="1"/>
  <c r="V7" i="42" s="1"/>
  <c r="W7" i="42" s="1"/>
  <c r="X7" i="42" s="1"/>
  <c r="Y7" i="42" s="1"/>
  <c r="Z7" i="42" s="1"/>
  <c r="AA7" i="42" s="1"/>
  <c r="AB7" i="42" s="1"/>
  <c r="AC7" i="42" s="1"/>
  <c r="AD7" i="42" s="1"/>
  <c r="AE7" i="42" s="1"/>
  <c r="AF7" i="42" s="1"/>
  <c r="AG7" i="42" s="1"/>
  <c r="C31" i="27"/>
  <c r="C7" i="29"/>
  <c r="D7" i="29" s="1"/>
  <c r="E7" i="29" s="1"/>
  <c r="F7" i="29" s="1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Z7" i="29" s="1"/>
  <c r="AA7" i="29" s="1"/>
  <c r="AB7" i="29" s="1"/>
  <c r="AC7" i="29" s="1"/>
  <c r="AD7" i="29" s="1"/>
  <c r="AE7" i="29" s="1"/>
  <c r="AF7" i="29" s="1"/>
  <c r="AG7" i="29" s="1"/>
  <c r="C7" i="28"/>
  <c r="D7" i="28" s="1"/>
  <c r="E7" i="28" s="1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S7" i="28" s="1"/>
  <c r="T7" i="28" s="1"/>
  <c r="U7" i="28" s="1"/>
  <c r="V7" i="28" s="1"/>
  <c r="W7" i="28" s="1"/>
  <c r="X7" i="28" s="1"/>
  <c r="Y7" i="28" s="1"/>
  <c r="Z7" i="28" s="1"/>
  <c r="AA7" i="28" s="1"/>
  <c r="AB7" i="28" s="1"/>
  <c r="AC7" i="28" s="1"/>
  <c r="AD7" i="28" s="1"/>
  <c r="AE7" i="28" s="1"/>
  <c r="AF7" i="28" s="1"/>
  <c r="AG7" i="28" s="1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8" i="20"/>
  <c r="C5" i="54"/>
  <c r="D5" i="54" s="1"/>
  <c r="E5" i="54" s="1"/>
  <c r="F5" i="54" s="1"/>
  <c r="G5" i="54" s="1"/>
  <c r="H5" i="54" s="1"/>
  <c r="I5" i="54" s="1"/>
  <c r="J5" i="54" s="1"/>
  <c r="K5" i="54" s="1"/>
  <c r="L5" i="54" s="1"/>
  <c r="M5" i="54" s="1"/>
  <c r="N5" i="54" s="1"/>
  <c r="O5" i="54" s="1"/>
  <c r="P5" i="54" s="1"/>
  <c r="Q5" i="54" s="1"/>
  <c r="R5" i="54" s="1"/>
  <c r="S5" i="54" s="1"/>
  <c r="T5" i="54" s="1"/>
  <c r="U5" i="54" s="1"/>
  <c r="V5" i="54" s="1"/>
  <c r="W5" i="54" s="1"/>
  <c r="X5" i="54" s="1"/>
  <c r="Y5" i="54" s="1"/>
  <c r="Z5" i="54" s="1"/>
  <c r="AA5" i="54" s="1"/>
  <c r="AB5" i="54" s="1"/>
  <c r="AC5" i="54" s="1"/>
  <c r="AD5" i="54" s="1"/>
  <c r="AE5" i="54" s="1"/>
  <c r="AF5" i="54" s="1"/>
  <c r="AG5" i="54" s="1"/>
  <c r="C5" i="53"/>
  <c r="D5" i="53" s="1"/>
  <c r="E5" i="53" s="1"/>
  <c r="F5" i="53" s="1"/>
  <c r="G5" i="53" s="1"/>
  <c r="H5" i="53" s="1"/>
  <c r="I5" i="53" s="1"/>
  <c r="J5" i="53" s="1"/>
  <c r="K5" i="53" s="1"/>
  <c r="L5" i="53" s="1"/>
  <c r="M5" i="53" s="1"/>
  <c r="N5" i="53" s="1"/>
  <c r="O5" i="53" s="1"/>
  <c r="P5" i="53" s="1"/>
  <c r="Q5" i="53" s="1"/>
  <c r="R5" i="53" s="1"/>
  <c r="S5" i="53" s="1"/>
  <c r="T5" i="53" s="1"/>
  <c r="U5" i="53" s="1"/>
  <c r="V5" i="53" s="1"/>
  <c r="W5" i="53" s="1"/>
  <c r="X5" i="53" s="1"/>
  <c r="Y5" i="53" s="1"/>
  <c r="Z5" i="53" s="1"/>
  <c r="AA5" i="53" s="1"/>
  <c r="AB5" i="53" s="1"/>
  <c r="AC5" i="53" s="1"/>
  <c r="AD5" i="53" s="1"/>
  <c r="AE5" i="53" s="1"/>
  <c r="AF5" i="53" s="1"/>
  <c r="AG5" i="53" s="1"/>
  <c r="C5" i="48"/>
  <c r="D5" i="48" s="1"/>
  <c r="E5" i="48" s="1"/>
  <c r="F5" i="48" s="1"/>
  <c r="G5" i="48" s="1"/>
  <c r="H5" i="48" s="1"/>
  <c r="I5" i="48" s="1"/>
  <c r="J5" i="48" s="1"/>
  <c r="K5" i="48" s="1"/>
  <c r="L5" i="48" s="1"/>
  <c r="M5" i="48" s="1"/>
  <c r="N5" i="48" s="1"/>
  <c r="O5" i="48" s="1"/>
  <c r="P5" i="48" s="1"/>
  <c r="Q5" i="48" s="1"/>
  <c r="R5" i="48" s="1"/>
  <c r="S5" i="48" s="1"/>
  <c r="T5" i="48" s="1"/>
  <c r="U5" i="48" s="1"/>
  <c r="V5" i="48" s="1"/>
  <c r="W5" i="48" s="1"/>
  <c r="X5" i="48" s="1"/>
  <c r="Y5" i="48" s="1"/>
  <c r="Z5" i="48" s="1"/>
  <c r="AA5" i="48" s="1"/>
  <c r="AB5" i="48" s="1"/>
  <c r="AC5" i="48" s="1"/>
  <c r="AD5" i="48" s="1"/>
  <c r="AE5" i="48" s="1"/>
  <c r="AF5" i="48" s="1"/>
  <c r="AG5" i="48" s="1"/>
  <c r="C5" i="46"/>
  <c r="D5" i="46" s="1"/>
  <c r="E5" i="46" s="1"/>
  <c r="F5" i="46" s="1"/>
  <c r="G5" i="46" s="1"/>
  <c r="H5" i="46" s="1"/>
  <c r="I5" i="46" s="1"/>
  <c r="J5" i="46" s="1"/>
  <c r="K5" i="46" s="1"/>
  <c r="L5" i="46" s="1"/>
  <c r="M5" i="46" s="1"/>
  <c r="N5" i="46" s="1"/>
  <c r="O5" i="46" s="1"/>
  <c r="P5" i="46" s="1"/>
  <c r="Q5" i="46" s="1"/>
  <c r="R5" i="46" s="1"/>
  <c r="S5" i="46" s="1"/>
  <c r="T5" i="46" s="1"/>
  <c r="U5" i="46" s="1"/>
  <c r="V5" i="46" s="1"/>
  <c r="W5" i="46" s="1"/>
  <c r="X5" i="46" s="1"/>
  <c r="Y5" i="46" s="1"/>
  <c r="Z5" i="46" s="1"/>
  <c r="AA5" i="46" s="1"/>
  <c r="AB5" i="46" s="1"/>
  <c r="AC5" i="46" s="1"/>
  <c r="AD5" i="46" s="1"/>
  <c r="AE5" i="46" s="1"/>
  <c r="AF5" i="46" s="1"/>
  <c r="AG5" i="46" s="1"/>
  <c r="C5" i="42"/>
  <c r="D5" i="42" s="1"/>
  <c r="E5" i="42" s="1"/>
  <c r="F5" i="42" s="1"/>
  <c r="G5" i="42" s="1"/>
  <c r="H5" i="42" s="1"/>
  <c r="I5" i="42" s="1"/>
  <c r="J5" i="42" s="1"/>
  <c r="K5" i="42" s="1"/>
  <c r="L5" i="42" s="1"/>
  <c r="M5" i="42" s="1"/>
  <c r="N5" i="42" s="1"/>
  <c r="O5" i="42" s="1"/>
  <c r="P5" i="42" s="1"/>
  <c r="Q5" i="42" s="1"/>
  <c r="R5" i="42" s="1"/>
  <c r="S5" i="42" s="1"/>
  <c r="T5" i="42" s="1"/>
  <c r="U5" i="42" s="1"/>
  <c r="V5" i="42" s="1"/>
  <c r="W5" i="42" s="1"/>
  <c r="X5" i="42" s="1"/>
  <c r="Y5" i="42" s="1"/>
  <c r="Z5" i="42" s="1"/>
  <c r="AA5" i="42" s="1"/>
  <c r="AB5" i="42" s="1"/>
  <c r="AC5" i="42" s="1"/>
  <c r="AD5" i="42" s="1"/>
  <c r="AE5" i="42" s="1"/>
  <c r="AF5" i="42" s="1"/>
  <c r="AG5" i="42" s="1"/>
  <c r="C5" i="38"/>
  <c r="D5" i="38" s="1"/>
  <c r="E5" i="38" s="1"/>
  <c r="F5" i="38" s="1"/>
  <c r="G5" i="38" s="1"/>
  <c r="H5" i="38" s="1"/>
  <c r="I5" i="38" s="1"/>
  <c r="J5" i="38" s="1"/>
  <c r="K5" i="38" s="1"/>
  <c r="L5" i="38" s="1"/>
  <c r="M5" i="38" s="1"/>
  <c r="N5" i="38" s="1"/>
  <c r="O5" i="38" s="1"/>
  <c r="P5" i="38" s="1"/>
  <c r="Q5" i="38" s="1"/>
  <c r="R5" i="38" s="1"/>
  <c r="S5" i="38" s="1"/>
  <c r="T5" i="38" s="1"/>
  <c r="U5" i="38" s="1"/>
  <c r="V5" i="38" s="1"/>
  <c r="W5" i="38" s="1"/>
  <c r="X5" i="38" s="1"/>
  <c r="Y5" i="38" s="1"/>
  <c r="Z5" i="38" s="1"/>
  <c r="AA5" i="38" s="1"/>
  <c r="AB5" i="38" s="1"/>
  <c r="AC5" i="38" s="1"/>
  <c r="AD5" i="38" s="1"/>
  <c r="AE5" i="38" s="1"/>
  <c r="AF5" i="38" s="1"/>
  <c r="AG5" i="38" s="1"/>
  <c r="C5" i="29"/>
  <c r="D5" i="29" s="1"/>
  <c r="E5" i="29" s="1"/>
  <c r="F5" i="29" s="1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Z5" i="29" s="1"/>
  <c r="AA5" i="29" s="1"/>
  <c r="AB5" i="29" s="1"/>
  <c r="AC5" i="29" s="1"/>
  <c r="AD5" i="29" s="1"/>
  <c r="AE5" i="29" s="1"/>
  <c r="AF5" i="29" s="1"/>
  <c r="AG5" i="29" s="1"/>
  <c r="C30" i="27"/>
  <c r="C5" i="28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AC5" i="28" s="1"/>
  <c r="AD5" i="28" s="1"/>
  <c r="AE5" i="28" s="1"/>
  <c r="AF5" i="28" s="1"/>
  <c r="AG5" i="28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15" i="27"/>
  <c r="C6" i="53"/>
  <c r="D6" i="53" s="1"/>
  <c r="E6" i="53" s="1"/>
  <c r="F6" i="53" s="1"/>
  <c r="G6" i="53" s="1"/>
  <c r="H6" i="53" s="1"/>
  <c r="I6" i="53" s="1"/>
  <c r="J6" i="53" s="1"/>
  <c r="K6" i="53" s="1"/>
  <c r="L6" i="53" s="1"/>
  <c r="M6" i="53" s="1"/>
  <c r="N6" i="53" s="1"/>
  <c r="O6" i="53" s="1"/>
  <c r="P6" i="53" s="1"/>
  <c r="Q6" i="53" s="1"/>
  <c r="R6" i="53" s="1"/>
  <c r="S6" i="53" s="1"/>
  <c r="T6" i="53" s="1"/>
  <c r="U6" i="53" s="1"/>
  <c r="V6" i="53" s="1"/>
  <c r="W6" i="53" s="1"/>
  <c r="X6" i="53" s="1"/>
  <c r="Y6" i="53" s="1"/>
  <c r="Z6" i="53" s="1"/>
  <c r="AA6" i="53" s="1"/>
  <c r="AB6" i="53" s="1"/>
  <c r="AC6" i="53" s="1"/>
  <c r="AD6" i="53" s="1"/>
  <c r="AE6" i="53" s="1"/>
  <c r="AF6" i="53" s="1"/>
  <c r="AG6" i="53" s="1"/>
  <c r="C6" i="54"/>
  <c r="D6" i="54" s="1"/>
  <c r="E6" i="54" s="1"/>
  <c r="F6" i="54" s="1"/>
  <c r="G6" i="54" s="1"/>
  <c r="H6" i="54" s="1"/>
  <c r="I6" i="54" s="1"/>
  <c r="J6" i="54" s="1"/>
  <c r="K6" i="54" s="1"/>
  <c r="L6" i="54" s="1"/>
  <c r="M6" i="54" s="1"/>
  <c r="N6" i="54" s="1"/>
  <c r="O6" i="54" s="1"/>
  <c r="P6" i="54" s="1"/>
  <c r="Q6" i="54" s="1"/>
  <c r="R6" i="54" s="1"/>
  <c r="S6" i="54" s="1"/>
  <c r="T6" i="54" s="1"/>
  <c r="U6" i="54" s="1"/>
  <c r="V6" i="54" s="1"/>
  <c r="W6" i="54" s="1"/>
  <c r="X6" i="54" s="1"/>
  <c r="Y6" i="54" s="1"/>
  <c r="Z6" i="54" s="1"/>
  <c r="AA6" i="54" s="1"/>
  <c r="AB6" i="54" s="1"/>
  <c r="AC6" i="54" s="1"/>
  <c r="AD6" i="54" s="1"/>
  <c r="AE6" i="54" s="1"/>
  <c r="AF6" i="54" s="1"/>
  <c r="AG6" i="54" s="1"/>
  <c r="C6" i="48"/>
  <c r="D6" i="48" s="1"/>
  <c r="E6" i="48" s="1"/>
  <c r="F6" i="48" s="1"/>
  <c r="G6" i="48" s="1"/>
  <c r="H6" i="48" s="1"/>
  <c r="I6" i="48" s="1"/>
  <c r="J6" i="48" s="1"/>
  <c r="K6" i="48" s="1"/>
  <c r="L6" i="48" s="1"/>
  <c r="M6" i="48" s="1"/>
  <c r="N6" i="48" s="1"/>
  <c r="O6" i="48" s="1"/>
  <c r="P6" i="48" s="1"/>
  <c r="Q6" i="48" s="1"/>
  <c r="R6" i="48" s="1"/>
  <c r="S6" i="48" s="1"/>
  <c r="T6" i="48" s="1"/>
  <c r="U6" i="48" s="1"/>
  <c r="V6" i="48" s="1"/>
  <c r="W6" i="48" s="1"/>
  <c r="X6" i="48" s="1"/>
  <c r="Y6" i="48" s="1"/>
  <c r="Z6" i="48" s="1"/>
  <c r="AA6" i="48" s="1"/>
  <c r="AB6" i="48" s="1"/>
  <c r="AC6" i="48" s="1"/>
  <c r="AD6" i="48" s="1"/>
  <c r="AE6" i="48" s="1"/>
  <c r="AF6" i="48" s="1"/>
  <c r="AG6" i="48" s="1"/>
  <c r="C6" i="46"/>
  <c r="D6" i="46" s="1"/>
  <c r="E6" i="46" s="1"/>
  <c r="F6" i="46" s="1"/>
  <c r="G6" i="46" s="1"/>
  <c r="H6" i="46" s="1"/>
  <c r="I6" i="46" s="1"/>
  <c r="J6" i="46" s="1"/>
  <c r="K6" i="46" s="1"/>
  <c r="L6" i="46" s="1"/>
  <c r="M6" i="46" s="1"/>
  <c r="N6" i="46" s="1"/>
  <c r="O6" i="46" s="1"/>
  <c r="P6" i="46" s="1"/>
  <c r="Q6" i="46" s="1"/>
  <c r="R6" i="46" s="1"/>
  <c r="S6" i="46" s="1"/>
  <c r="T6" i="46" s="1"/>
  <c r="U6" i="46" s="1"/>
  <c r="V6" i="46" s="1"/>
  <c r="W6" i="46" s="1"/>
  <c r="X6" i="46" s="1"/>
  <c r="Y6" i="46" s="1"/>
  <c r="Z6" i="46" s="1"/>
  <c r="AA6" i="46" s="1"/>
  <c r="AB6" i="46" s="1"/>
  <c r="AC6" i="46" s="1"/>
  <c r="AD6" i="46" s="1"/>
  <c r="AE6" i="46" s="1"/>
  <c r="AF6" i="46" s="1"/>
  <c r="AG6" i="46" s="1"/>
  <c r="C6" i="38"/>
  <c r="D6" i="38" s="1"/>
  <c r="E6" i="38" s="1"/>
  <c r="F6" i="38" s="1"/>
  <c r="G6" i="38" s="1"/>
  <c r="H6" i="38" s="1"/>
  <c r="I6" i="38" s="1"/>
  <c r="J6" i="38" s="1"/>
  <c r="K6" i="38" s="1"/>
  <c r="L6" i="38" s="1"/>
  <c r="M6" i="38" s="1"/>
  <c r="N6" i="38" s="1"/>
  <c r="O6" i="38" s="1"/>
  <c r="P6" i="38" s="1"/>
  <c r="Q6" i="38" s="1"/>
  <c r="R6" i="38" s="1"/>
  <c r="S6" i="38" s="1"/>
  <c r="T6" i="38" s="1"/>
  <c r="U6" i="38" s="1"/>
  <c r="V6" i="38" s="1"/>
  <c r="W6" i="38" s="1"/>
  <c r="X6" i="38" s="1"/>
  <c r="Y6" i="38" s="1"/>
  <c r="Z6" i="38" s="1"/>
  <c r="AA6" i="38" s="1"/>
  <c r="AB6" i="38" s="1"/>
  <c r="AC6" i="38" s="1"/>
  <c r="AD6" i="38" s="1"/>
  <c r="AE6" i="38" s="1"/>
  <c r="AF6" i="38" s="1"/>
  <c r="AG6" i="38" s="1"/>
  <c r="C6" i="42"/>
  <c r="D6" i="42" s="1"/>
  <c r="E6" i="42" s="1"/>
  <c r="F6" i="42" s="1"/>
  <c r="G6" i="42" s="1"/>
  <c r="H6" i="42" s="1"/>
  <c r="I6" i="42" s="1"/>
  <c r="J6" i="42" s="1"/>
  <c r="K6" i="42" s="1"/>
  <c r="L6" i="42" s="1"/>
  <c r="M6" i="42" s="1"/>
  <c r="N6" i="42" s="1"/>
  <c r="O6" i="42" s="1"/>
  <c r="P6" i="42" s="1"/>
  <c r="Q6" i="42" s="1"/>
  <c r="R6" i="42" s="1"/>
  <c r="S6" i="42" s="1"/>
  <c r="T6" i="42" s="1"/>
  <c r="U6" i="42" s="1"/>
  <c r="V6" i="42" s="1"/>
  <c r="W6" i="42" s="1"/>
  <c r="X6" i="42" s="1"/>
  <c r="Y6" i="42" s="1"/>
  <c r="Z6" i="42" s="1"/>
  <c r="AA6" i="42" s="1"/>
  <c r="AB6" i="42" s="1"/>
  <c r="AC6" i="42" s="1"/>
  <c r="AD6" i="42" s="1"/>
  <c r="AE6" i="42" s="1"/>
  <c r="AF6" i="42" s="1"/>
  <c r="AG6" i="42" s="1"/>
  <c r="C29" i="27"/>
  <c r="C6" i="29"/>
  <c r="D6" i="29" s="1"/>
  <c r="E6" i="29" s="1"/>
  <c r="F6" i="29" s="1"/>
  <c r="G6" i="29" s="1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Z6" i="29" s="1"/>
  <c r="AA6" i="29" s="1"/>
  <c r="AB6" i="29" s="1"/>
  <c r="AC6" i="29" s="1"/>
  <c r="AD6" i="29" s="1"/>
  <c r="AE6" i="29" s="1"/>
  <c r="AF6" i="29" s="1"/>
  <c r="AG6" i="29" s="1"/>
  <c r="C6" i="28"/>
  <c r="D6" i="28" s="1"/>
  <c r="E6" i="28" s="1"/>
  <c r="F6" i="28" s="1"/>
  <c r="G6" i="28" s="1"/>
  <c r="H6" i="28" s="1"/>
  <c r="I6" i="28" s="1"/>
  <c r="J6" i="28" s="1"/>
  <c r="K6" i="28" s="1"/>
  <c r="L6" i="28" s="1"/>
  <c r="M6" i="28" s="1"/>
  <c r="N6" i="28" s="1"/>
  <c r="O6" i="28" s="1"/>
  <c r="P6" i="28" s="1"/>
  <c r="Q6" i="28" s="1"/>
  <c r="R6" i="28" s="1"/>
  <c r="S6" i="28" s="1"/>
  <c r="T6" i="28" s="1"/>
  <c r="U6" i="28" s="1"/>
  <c r="V6" i="28" s="1"/>
  <c r="W6" i="28" s="1"/>
  <c r="X6" i="28" s="1"/>
  <c r="Y6" i="28" s="1"/>
  <c r="Z6" i="28" s="1"/>
  <c r="AA6" i="28" s="1"/>
  <c r="AB6" i="28" s="1"/>
  <c r="AC6" i="28" s="1"/>
  <c r="AD6" i="28" s="1"/>
  <c r="AE6" i="28" s="1"/>
  <c r="AF6" i="28" s="1"/>
  <c r="AG6" i="28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8" i="53"/>
  <c r="D8" i="53" s="1"/>
  <c r="E8" i="53" s="1"/>
  <c r="F8" i="53" s="1"/>
  <c r="G8" i="53" s="1"/>
  <c r="H8" i="53" s="1"/>
  <c r="I8" i="53" s="1"/>
  <c r="J8" i="53" s="1"/>
  <c r="K8" i="53" s="1"/>
  <c r="L8" i="53" s="1"/>
  <c r="M8" i="53" s="1"/>
  <c r="N8" i="53" s="1"/>
  <c r="O8" i="53" s="1"/>
  <c r="P8" i="53" s="1"/>
  <c r="Q8" i="53" s="1"/>
  <c r="R8" i="53" s="1"/>
  <c r="S8" i="53" s="1"/>
  <c r="T8" i="53" s="1"/>
  <c r="U8" i="53" s="1"/>
  <c r="V8" i="53" s="1"/>
  <c r="W8" i="53" s="1"/>
  <c r="X8" i="53" s="1"/>
  <c r="Y8" i="53" s="1"/>
  <c r="Z8" i="53" s="1"/>
  <c r="AA8" i="53" s="1"/>
  <c r="AB8" i="53" s="1"/>
  <c r="AC8" i="53" s="1"/>
  <c r="AD8" i="53" s="1"/>
  <c r="AE8" i="53" s="1"/>
  <c r="AF8" i="53" s="1"/>
  <c r="AG8" i="53" s="1"/>
  <c r="C8" i="54"/>
  <c r="D8" i="54" s="1"/>
  <c r="E8" i="54" s="1"/>
  <c r="F8" i="54" s="1"/>
  <c r="G8" i="54" s="1"/>
  <c r="H8" i="54" s="1"/>
  <c r="I8" i="54" s="1"/>
  <c r="J8" i="54" s="1"/>
  <c r="K8" i="54" s="1"/>
  <c r="L8" i="54" s="1"/>
  <c r="M8" i="54" s="1"/>
  <c r="N8" i="54" s="1"/>
  <c r="O8" i="54" s="1"/>
  <c r="P8" i="54" s="1"/>
  <c r="Q8" i="54" s="1"/>
  <c r="R8" i="54" s="1"/>
  <c r="S8" i="54" s="1"/>
  <c r="T8" i="54" s="1"/>
  <c r="U8" i="54" s="1"/>
  <c r="V8" i="54" s="1"/>
  <c r="W8" i="54" s="1"/>
  <c r="X8" i="54" s="1"/>
  <c r="Y8" i="54" s="1"/>
  <c r="Z8" i="54" s="1"/>
  <c r="AA8" i="54" s="1"/>
  <c r="AB8" i="54" s="1"/>
  <c r="AC8" i="54" s="1"/>
  <c r="AD8" i="54" s="1"/>
  <c r="AE8" i="54" s="1"/>
  <c r="AF8" i="54" s="1"/>
  <c r="AG8" i="54" s="1"/>
  <c r="C8" i="48"/>
  <c r="D8" i="48" s="1"/>
  <c r="E8" i="48" s="1"/>
  <c r="F8" i="48" s="1"/>
  <c r="G8" i="48" s="1"/>
  <c r="H8" i="48" s="1"/>
  <c r="I8" i="48" s="1"/>
  <c r="J8" i="48" s="1"/>
  <c r="K8" i="48" s="1"/>
  <c r="L8" i="48" s="1"/>
  <c r="M8" i="48" s="1"/>
  <c r="N8" i="48" s="1"/>
  <c r="O8" i="48" s="1"/>
  <c r="P8" i="48" s="1"/>
  <c r="Q8" i="48" s="1"/>
  <c r="R8" i="48" s="1"/>
  <c r="S8" i="48" s="1"/>
  <c r="T8" i="48" s="1"/>
  <c r="U8" i="48" s="1"/>
  <c r="V8" i="48" s="1"/>
  <c r="W8" i="48" s="1"/>
  <c r="X8" i="48" s="1"/>
  <c r="Y8" i="48" s="1"/>
  <c r="Z8" i="48" s="1"/>
  <c r="AA8" i="48" s="1"/>
  <c r="AB8" i="48" s="1"/>
  <c r="AC8" i="48" s="1"/>
  <c r="AD8" i="48" s="1"/>
  <c r="AE8" i="48" s="1"/>
  <c r="AF8" i="48" s="1"/>
  <c r="AG8" i="48" s="1"/>
  <c r="C8" i="46"/>
  <c r="D8" i="46" s="1"/>
  <c r="E8" i="46" s="1"/>
  <c r="F8" i="46" s="1"/>
  <c r="G8" i="46" s="1"/>
  <c r="H8" i="46" s="1"/>
  <c r="I8" i="46" s="1"/>
  <c r="J8" i="46" s="1"/>
  <c r="K8" i="46" s="1"/>
  <c r="L8" i="46" s="1"/>
  <c r="M8" i="46" s="1"/>
  <c r="N8" i="46" s="1"/>
  <c r="O8" i="46" s="1"/>
  <c r="P8" i="46" s="1"/>
  <c r="Q8" i="46" s="1"/>
  <c r="R8" i="46" s="1"/>
  <c r="S8" i="46" s="1"/>
  <c r="T8" i="46" s="1"/>
  <c r="U8" i="46" s="1"/>
  <c r="V8" i="46" s="1"/>
  <c r="W8" i="46" s="1"/>
  <c r="X8" i="46" s="1"/>
  <c r="Y8" i="46" s="1"/>
  <c r="Z8" i="46" s="1"/>
  <c r="AA8" i="46" s="1"/>
  <c r="AB8" i="46" s="1"/>
  <c r="AC8" i="46" s="1"/>
  <c r="AD8" i="46" s="1"/>
  <c r="AE8" i="46" s="1"/>
  <c r="AF8" i="46" s="1"/>
  <c r="AG8" i="46" s="1"/>
  <c r="C8" i="38"/>
  <c r="D8" i="38" s="1"/>
  <c r="E8" i="38" s="1"/>
  <c r="F8" i="38" s="1"/>
  <c r="G8" i="38" s="1"/>
  <c r="H8" i="38" s="1"/>
  <c r="I8" i="38" s="1"/>
  <c r="J8" i="38" s="1"/>
  <c r="K8" i="38" s="1"/>
  <c r="L8" i="38" s="1"/>
  <c r="M8" i="38" s="1"/>
  <c r="N8" i="38" s="1"/>
  <c r="O8" i="38" s="1"/>
  <c r="P8" i="38" s="1"/>
  <c r="Q8" i="38" s="1"/>
  <c r="R8" i="38" s="1"/>
  <c r="S8" i="38" s="1"/>
  <c r="T8" i="38" s="1"/>
  <c r="U8" i="38" s="1"/>
  <c r="V8" i="38" s="1"/>
  <c r="W8" i="38" s="1"/>
  <c r="X8" i="38" s="1"/>
  <c r="Y8" i="38" s="1"/>
  <c r="Z8" i="38" s="1"/>
  <c r="AA8" i="38" s="1"/>
  <c r="AB8" i="38" s="1"/>
  <c r="AC8" i="38" s="1"/>
  <c r="AD8" i="38" s="1"/>
  <c r="AE8" i="38" s="1"/>
  <c r="AF8" i="38" s="1"/>
  <c r="AG8" i="38" s="1"/>
  <c r="C8" i="42"/>
  <c r="D8" i="42" s="1"/>
  <c r="E8" i="42" s="1"/>
  <c r="F8" i="42" s="1"/>
  <c r="G8" i="42" s="1"/>
  <c r="H8" i="42" s="1"/>
  <c r="I8" i="42" s="1"/>
  <c r="J8" i="42" s="1"/>
  <c r="K8" i="42" s="1"/>
  <c r="L8" i="42" s="1"/>
  <c r="M8" i="42" s="1"/>
  <c r="N8" i="42" s="1"/>
  <c r="O8" i="42" s="1"/>
  <c r="P8" i="42" s="1"/>
  <c r="Q8" i="42" s="1"/>
  <c r="R8" i="42" s="1"/>
  <c r="S8" i="42" s="1"/>
  <c r="T8" i="42" s="1"/>
  <c r="U8" i="42" s="1"/>
  <c r="V8" i="42" s="1"/>
  <c r="W8" i="42" s="1"/>
  <c r="X8" i="42" s="1"/>
  <c r="Y8" i="42" s="1"/>
  <c r="Z8" i="42" s="1"/>
  <c r="AA8" i="42" s="1"/>
  <c r="AB8" i="42" s="1"/>
  <c r="AC8" i="42" s="1"/>
  <c r="AD8" i="42" s="1"/>
  <c r="AE8" i="42" s="1"/>
  <c r="AF8" i="42" s="1"/>
  <c r="AG8" i="42" s="1"/>
  <c r="C32" i="27"/>
  <c r="C8" i="29"/>
  <c r="D8" i="29" s="1"/>
  <c r="E8" i="29" s="1"/>
  <c r="F8" i="29" s="1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Z8" i="29" s="1"/>
  <c r="AA8" i="29" s="1"/>
  <c r="AB8" i="29" s="1"/>
  <c r="AC8" i="29" s="1"/>
  <c r="AD8" i="29" s="1"/>
  <c r="AE8" i="29" s="1"/>
  <c r="AF8" i="29" s="1"/>
  <c r="AG8" i="29" s="1"/>
  <c r="C8" i="28"/>
  <c r="D8" i="28" s="1"/>
  <c r="E8" i="28" s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S8" i="28" s="1"/>
  <c r="T8" i="28" s="1"/>
  <c r="U8" i="28" s="1"/>
  <c r="V8" i="28" s="1"/>
  <c r="W8" i="28" s="1"/>
  <c r="X8" i="28" s="1"/>
  <c r="Y8" i="28" s="1"/>
  <c r="Z8" i="28" s="1"/>
  <c r="AA8" i="28" s="1"/>
  <c r="AB8" i="28" s="1"/>
  <c r="AC8" i="28" s="1"/>
  <c r="AD8" i="28" s="1"/>
  <c r="AE8" i="28" s="1"/>
  <c r="AF8" i="28" s="1"/>
  <c r="AG8" i="28" s="1"/>
  <c r="C8" i="19"/>
  <c r="D8" i="19" s="1"/>
  <c r="E8" i="19" s="1"/>
  <c r="F8" i="19" s="1"/>
  <c r="G8" i="19" s="1"/>
  <c r="H8" i="19" s="1"/>
  <c r="I8" i="19" s="1"/>
  <c r="J8" i="19" s="1"/>
  <c r="K8" i="19" s="1"/>
  <c r="L8" i="19" s="1"/>
  <c r="M8" i="19" s="1"/>
  <c r="N8" i="19" s="1"/>
  <c r="O8" i="19" s="1"/>
  <c r="P8" i="19" s="1"/>
  <c r="Q8" i="19" s="1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B40" i="27"/>
  <c r="B33" i="27"/>
  <c r="B25" i="27"/>
  <c r="C5" i="20"/>
  <c r="C6" i="20"/>
  <c r="C7" i="20"/>
  <c r="C4" i="38"/>
  <c r="C4" i="42"/>
  <c r="C4" i="29"/>
  <c r="C28" i="27"/>
  <c r="C4" i="28"/>
  <c r="C4" i="19"/>
  <c r="C25" i="27"/>
  <c r="AE113" i="20"/>
  <c r="AF110" i="20"/>
  <c r="D4" i="46" l="1"/>
  <c r="C9" i="46"/>
  <c r="D4" i="48"/>
  <c r="C9" i="48"/>
  <c r="B41" i="27"/>
  <c r="D4" i="54"/>
  <c r="C9" i="54"/>
  <c r="C33" i="27"/>
  <c r="D4" i="53"/>
  <c r="C9" i="53"/>
  <c r="D4" i="42"/>
  <c r="C9" i="42"/>
  <c r="D4" i="29"/>
  <c r="C9" i="29"/>
  <c r="C9" i="19"/>
  <c r="D4" i="19"/>
  <c r="D4" i="28"/>
  <c r="C9" i="28"/>
  <c r="D4" i="38"/>
  <c r="C9" i="38"/>
  <c r="AF113" i="20"/>
  <c r="C9" i="20"/>
  <c r="AG110" i="20"/>
  <c r="C23" i="4"/>
  <c r="K23" i="4" s="1"/>
  <c r="Q23" i="4" s="1"/>
  <c r="C24" i="4"/>
  <c r="C36" i="4"/>
  <c r="J56" i="25"/>
  <c r="W20" i="25"/>
  <c r="M20" i="25"/>
  <c r="AG17" i="25"/>
  <c r="AB17" i="25"/>
  <c r="H20" i="25"/>
  <c r="K2" i="25"/>
  <c r="D2" i="25"/>
  <c r="G2" i="25"/>
  <c r="R18" i="25"/>
  <c r="C18" i="24"/>
  <c r="D18" i="24"/>
  <c r="E18" i="24"/>
  <c r="F18" i="24"/>
  <c r="G18" i="24"/>
  <c r="H18" i="24"/>
  <c r="I18" i="24"/>
  <c r="C19" i="24"/>
  <c r="D19" i="24"/>
  <c r="E19" i="24"/>
  <c r="F19" i="24"/>
  <c r="G19" i="24"/>
  <c r="H19" i="24"/>
  <c r="I19" i="24"/>
  <c r="C20" i="24"/>
  <c r="D20" i="24"/>
  <c r="E20" i="24"/>
  <c r="F20" i="24"/>
  <c r="G20" i="24"/>
  <c r="H20" i="24"/>
  <c r="I20" i="24"/>
  <c r="H30" i="24" s="1"/>
  <c r="C21" i="24"/>
  <c r="C100" i="24" s="1"/>
  <c r="D21" i="24"/>
  <c r="D100" i="24" s="1"/>
  <c r="E21" i="24"/>
  <c r="F21" i="24"/>
  <c r="F100" i="24" s="1"/>
  <c r="G21" i="24"/>
  <c r="G100" i="24" s="1"/>
  <c r="H21" i="24"/>
  <c r="I100" i="24" s="1"/>
  <c r="I21" i="24"/>
  <c r="J100" i="24" s="1"/>
  <c r="C22" i="24"/>
  <c r="C101" i="24" s="1"/>
  <c r="D22" i="24"/>
  <c r="D101" i="24" s="1"/>
  <c r="E22" i="24"/>
  <c r="F22" i="24"/>
  <c r="F101" i="24" s="1"/>
  <c r="G22" i="24"/>
  <c r="G101" i="24" s="1"/>
  <c r="H22" i="24"/>
  <c r="I101" i="24" s="1"/>
  <c r="I22" i="24"/>
  <c r="J101" i="24" s="1"/>
  <c r="C23" i="24"/>
  <c r="D23" i="24"/>
  <c r="E23" i="24"/>
  <c r="F23" i="24"/>
  <c r="G23" i="24"/>
  <c r="H23" i="24"/>
  <c r="I23" i="24"/>
  <c r="B23" i="24"/>
  <c r="B22" i="24"/>
  <c r="B101" i="24" s="1"/>
  <c r="B21" i="24"/>
  <c r="B100" i="24" s="1"/>
  <c r="B20" i="24"/>
  <c r="B19" i="24"/>
  <c r="B18" i="24"/>
  <c r="J7" i="24"/>
  <c r="J18" i="24" s="1"/>
  <c r="J8" i="24"/>
  <c r="J9" i="24"/>
  <c r="J21" i="24" s="1"/>
  <c r="J10" i="24"/>
  <c r="J22" i="24" s="1"/>
  <c r="J11" i="24"/>
  <c r="J12" i="24"/>
  <c r="J6" i="24"/>
  <c r="E4" i="54" l="1"/>
  <c r="D9" i="54"/>
  <c r="C39" i="27"/>
  <c r="C37" i="27"/>
  <c r="C38" i="27"/>
  <c r="C36" i="27"/>
  <c r="C40" i="27"/>
  <c r="E4" i="48"/>
  <c r="D9" i="48"/>
  <c r="E4" i="53"/>
  <c r="D9" i="53"/>
  <c r="E4" i="46"/>
  <c r="D9" i="46"/>
  <c r="J20" i="24"/>
  <c r="J13" i="24"/>
  <c r="E27" i="49"/>
  <c r="E26" i="49"/>
  <c r="E28" i="49"/>
  <c r="Z147" i="24"/>
  <c r="Z148" i="24"/>
  <c r="B128" i="24"/>
  <c r="B114" i="24"/>
  <c r="I131" i="24"/>
  <c r="I103" i="24"/>
  <c r="I117" i="24"/>
  <c r="D131" i="24"/>
  <c r="D117" i="24"/>
  <c r="D103" i="24"/>
  <c r="G115" i="24"/>
  <c r="G129" i="24"/>
  <c r="C86" i="24"/>
  <c r="C115" i="24"/>
  <c r="C129" i="24"/>
  <c r="F85" i="24"/>
  <c r="F114" i="24"/>
  <c r="F128" i="24"/>
  <c r="J99" i="24"/>
  <c r="J127" i="24"/>
  <c r="J113" i="24"/>
  <c r="E127" i="24"/>
  <c r="I126" i="24"/>
  <c r="I98" i="24"/>
  <c r="I112" i="24"/>
  <c r="D112" i="24"/>
  <c r="D98" i="24"/>
  <c r="D126" i="24"/>
  <c r="G97" i="24"/>
  <c r="G111" i="24"/>
  <c r="G125" i="24"/>
  <c r="C82" i="24"/>
  <c r="C111" i="24"/>
  <c r="C97" i="24"/>
  <c r="C125" i="24"/>
  <c r="B111" i="24"/>
  <c r="B82" i="24"/>
  <c r="B125" i="24"/>
  <c r="B86" i="24"/>
  <c r="B115" i="24"/>
  <c r="B129" i="24"/>
  <c r="G103" i="24"/>
  <c r="G117" i="24"/>
  <c r="G131" i="24"/>
  <c r="C117" i="24"/>
  <c r="C103" i="24"/>
  <c r="C131" i="24"/>
  <c r="F86" i="24"/>
  <c r="F129" i="24"/>
  <c r="F115" i="24"/>
  <c r="J85" i="24"/>
  <c r="J114" i="24"/>
  <c r="J128" i="24"/>
  <c r="E85" i="24"/>
  <c r="E128" i="24"/>
  <c r="I127" i="24"/>
  <c r="I99" i="24"/>
  <c r="I113" i="24"/>
  <c r="D113" i="24"/>
  <c r="D127" i="24"/>
  <c r="D99" i="24"/>
  <c r="G98" i="24"/>
  <c r="G112" i="24"/>
  <c r="G126" i="24"/>
  <c r="C83" i="24"/>
  <c r="C112" i="24"/>
  <c r="C98" i="24"/>
  <c r="C126" i="24"/>
  <c r="F82" i="24"/>
  <c r="F111" i="24"/>
  <c r="F97" i="24"/>
  <c r="F125" i="24"/>
  <c r="D65" i="44"/>
  <c r="G65" i="44"/>
  <c r="F65" i="44"/>
  <c r="B112" i="24"/>
  <c r="B126" i="24"/>
  <c r="B98" i="24"/>
  <c r="B88" i="24"/>
  <c r="B103" i="24"/>
  <c r="B117" i="24"/>
  <c r="B131" i="24"/>
  <c r="F131" i="24"/>
  <c r="F103" i="24"/>
  <c r="F117" i="24"/>
  <c r="J86" i="24"/>
  <c r="J129" i="24"/>
  <c r="J115" i="24"/>
  <c r="E86" i="24"/>
  <c r="E129" i="24"/>
  <c r="I85" i="24"/>
  <c r="I128" i="24"/>
  <c r="I114" i="24"/>
  <c r="D85" i="24"/>
  <c r="D114" i="24"/>
  <c r="D128" i="24"/>
  <c r="G99" i="24"/>
  <c r="G113" i="24"/>
  <c r="G127" i="24"/>
  <c r="C84" i="24"/>
  <c r="C99" i="24"/>
  <c r="C113" i="24"/>
  <c r="C127" i="24"/>
  <c r="F126" i="24"/>
  <c r="F98" i="24"/>
  <c r="F112" i="24"/>
  <c r="J82" i="24"/>
  <c r="J125" i="24"/>
  <c r="J111" i="24"/>
  <c r="J97" i="24"/>
  <c r="E82" i="24"/>
  <c r="E125" i="24"/>
  <c r="B127" i="24"/>
  <c r="B99" i="24"/>
  <c r="B113" i="24"/>
  <c r="B71" i="24"/>
  <c r="J88" i="24"/>
  <c r="J131" i="24"/>
  <c r="J103" i="24"/>
  <c r="J117" i="24"/>
  <c r="E131" i="24"/>
  <c r="I86" i="24"/>
  <c r="I129" i="24"/>
  <c r="I115" i="24"/>
  <c r="D86" i="24"/>
  <c r="D115" i="24"/>
  <c r="D129" i="24"/>
  <c r="G114" i="24"/>
  <c r="G128" i="24"/>
  <c r="C128" i="24"/>
  <c r="C114" i="24"/>
  <c r="F99" i="24"/>
  <c r="F127" i="24"/>
  <c r="F113" i="24"/>
  <c r="J126" i="24"/>
  <c r="J112" i="24"/>
  <c r="J98" i="24"/>
  <c r="E126" i="24"/>
  <c r="I82" i="24"/>
  <c r="I125" i="24"/>
  <c r="I97" i="24"/>
  <c r="I111" i="24"/>
  <c r="D82" i="24"/>
  <c r="D125" i="24"/>
  <c r="D111" i="24"/>
  <c r="D97" i="24"/>
  <c r="D104" i="24" s="1"/>
  <c r="D9" i="19"/>
  <c r="E4" i="19"/>
  <c r="E4" i="29"/>
  <c r="D9" i="29"/>
  <c r="E4" i="38"/>
  <c r="D9" i="38"/>
  <c r="D9" i="28"/>
  <c r="E4" i="28"/>
  <c r="E4" i="42"/>
  <c r="D9" i="42"/>
  <c r="F30" i="24"/>
  <c r="B30" i="24"/>
  <c r="B84" i="24"/>
  <c r="E74" i="24"/>
  <c r="E88" i="24"/>
  <c r="C72" i="24"/>
  <c r="C85" i="24"/>
  <c r="E30" i="24"/>
  <c r="F84" i="24"/>
  <c r="H29" i="24"/>
  <c r="J83" i="24"/>
  <c r="D29" i="24"/>
  <c r="E83" i="24"/>
  <c r="B29" i="24"/>
  <c r="B83" i="24"/>
  <c r="F74" i="24"/>
  <c r="F88" i="24"/>
  <c r="E29" i="24"/>
  <c r="F83" i="24"/>
  <c r="B72" i="24"/>
  <c r="B85" i="24"/>
  <c r="H74" i="24"/>
  <c r="I88" i="24"/>
  <c r="D74" i="24"/>
  <c r="D88" i="24"/>
  <c r="G49" i="7"/>
  <c r="J84" i="24"/>
  <c r="D30" i="24"/>
  <c r="E84" i="24"/>
  <c r="G29" i="24"/>
  <c r="I83" i="24"/>
  <c r="C29" i="24"/>
  <c r="D83" i="24"/>
  <c r="B28" i="24"/>
  <c r="G74" i="24"/>
  <c r="C74" i="24"/>
  <c r="C88" i="24"/>
  <c r="G30" i="24"/>
  <c r="I84" i="24"/>
  <c r="C30" i="24"/>
  <c r="D84" i="24"/>
  <c r="F29" i="24"/>
  <c r="AI59" i="34"/>
  <c r="F31" i="24"/>
  <c r="G28" i="24"/>
  <c r="C28" i="24"/>
  <c r="F72" i="24"/>
  <c r="E31" i="24"/>
  <c r="F28" i="24"/>
  <c r="D35" i="25"/>
  <c r="H31" i="24"/>
  <c r="E72" i="24"/>
  <c r="D31" i="24"/>
  <c r="E28" i="24"/>
  <c r="B74" i="24"/>
  <c r="B31" i="24"/>
  <c r="H72" i="24"/>
  <c r="G31" i="24"/>
  <c r="D72" i="24"/>
  <c r="C31" i="24"/>
  <c r="H28" i="24"/>
  <c r="D28" i="24"/>
  <c r="C45" i="7"/>
  <c r="B69" i="24"/>
  <c r="B73" i="24"/>
  <c r="F73" i="24"/>
  <c r="H58" i="24"/>
  <c r="H71" i="24"/>
  <c r="G57" i="24"/>
  <c r="G70" i="24"/>
  <c r="G60" i="24"/>
  <c r="G73" i="24"/>
  <c r="C73" i="24"/>
  <c r="E71" i="24"/>
  <c r="H70" i="24"/>
  <c r="D70" i="24"/>
  <c r="G69" i="24"/>
  <c r="C69" i="24"/>
  <c r="E73" i="24"/>
  <c r="C71" i="24"/>
  <c r="E69" i="24"/>
  <c r="D71" i="24"/>
  <c r="C70" i="24"/>
  <c r="F56" i="24"/>
  <c r="F69" i="24"/>
  <c r="B57" i="24"/>
  <c r="B70" i="24"/>
  <c r="G58" i="24"/>
  <c r="G71" i="24"/>
  <c r="F70" i="24"/>
  <c r="J23" i="24"/>
  <c r="J19" i="24"/>
  <c r="B58" i="24"/>
  <c r="H60" i="24"/>
  <c r="H73" i="24"/>
  <c r="D60" i="24"/>
  <c r="D73" i="24"/>
  <c r="G59" i="24"/>
  <c r="G72" i="24"/>
  <c r="F71" i="24"/>
  <c r="E70" i="24"/>
  <c r="H69" i="24"/>
  <c r="H56" i="24"/>
  <c r="C32" i="25"/>
  <c r="D69" i="24"/>
  <c r="Q35" i="4"/>
  <c r="K24" i="4"/>
  <c r="Q24" i="4" s="1"/>
  <c r="C27" i="4"/>
  <c r="AG115" i="20"/>
  <c r="AG113" i="20"/>
  <c r="H61" i="24"/>
  <c r="H59" i="24"/>
  <c r="H57" i="24"/>
  <c r="B56" i="24"/>
  <c r="E50" i="7"/>
  <c r="E61" i="24"/>
  <c r="F47" i="7"/>
  <c r="F58" i="24"/>
  <c r="C50" i="7"/>
  <c r="B61" i="24"/>
  <c r="H50" i="7"/>
  <c r="C37" i="25"/>
  <c r="D61" i="24"/>
  <c r="C60" i="24"/>
  <c r="F48" i="7"/>
  <c r="F59" i="24"/>
  <c r="E47" i="7"/>
  <c r="E58" i="24"/>
  <c r="H46" i="7"/>
  <c r="C33" i="25"/>
  <c r="D57" i="24"/>
  <c r="G45" i="7"/>
  <c r="G56" i="24"/>
  <c r="C56" i="24"/>
  <c r="G48" i="7"/>
  <c r="C36" i="25"/>
  <c r="C59" i="24"/>
  <c r="H24" i="24"/>
  <c r="G24" i="24"/>
  <c r="G51" i="7" s="1"/>
  <c r="G50" i="7"/>
  <c r="G61" i="24"/>
  <c r="C61" i="24"/>
  <c r="F49" i="7"/>
  <c r="F60" i="24"/>
  <c r="E48" i="7"/>
  <c r="E59" i="24"/>
  <c r="H47" i="7"/>
  <c r="C34" i="25"/>
  <c r="D58" i="24"/>
  <c r="C57" i="24"/>
  <c r="C47" i="7"/>
  <c r="G47" i="7"/>
  <c r="C49" i="7"/>
  <c r="B60" i="24"/>
  <c r="D36" i="25"/>
  <c r="E46" i="7"/>
  <c r="E57" i="24"/>
  <c r="D24" i="24"/>
  <c r="C38" i="25" s="1"/>
  <c r="D56" i="24"/>
  <c r="C48" i="7"/>
  <c r="B59" i="24"/>
  <c r="C24" i="24"/>
  <c r="F50" i="7"/>
  <c r="F61" i="24"/>
  <c r="E49" i="7"/>
  <c r="E60" i="24"/>
  <c r="H48" i="7"/>
  <c r="C35" i="25"/>
  <c r="D59" i="24"/>
  <c r="C58" i="24"/>
  <c r="F46" i="7"/>
  <c r="F57" i="24"/>
  <c r="E45" i="7"/>
  <c r="E56" i="24"/>
  <c r="F45" i="7"/>
  <c r="G46" i="7"/>
  <c r="D32" i="25"/>
  <c r="B24" i="24"/>
  <c r="C51" i="7" s="1"/>
  <c r="F24" i="24"/>
  <c r="F51" i="7" s="1"/>
  <c r="D34" i="25"/>
  <c r="I24" i="24"/>
  <c r="E24" i="24"/>
  <c r="E51" i="7" s="1"/>
  <c r="C46" i="7"/>
  <c r="H45" i="7"/>
  <c r="D37" i="25"/>
  <c r="D33" i="25"/>
  <c r="H49" i="7"/>
  <c r="K13" i="24"/>
  <c r="E30" i="49" l="1"/>
  <c r="E9" i="48"/>
  <c r="F4" i="48"/>
  <c r="F4" i="46"/>
  <c r="E9" i="46"/>
  <c r="C41" i="27"/>
  <c r="F4" i="53"/>
  <c r="E9" i="53"/>
  <c r="E9" i="54"/>
  <c r="F4" i="54"/>
  <c r="K41" i="4"/>
  <c r="P41" i="4" s="1"/>
  <c r="K40" i="4"/>
  <c r="P40" i="4" s="1"/>
  <c r="K42" i="4"/>
  <c r="P42" i="4" s="1"/>
  <c r="Q36" i="4"/>
  <c r="B8" i="4" s="1"/>
  <c r="K39" i="4"/>
  <c r="P39" i="4" s="1"/>
  <c r="K45" i="4"/>
  <c r="P45" i="4" s="1"/>
  <c r="K43" i="4"/>
  <c r="P43" i="4" s="1"/>
  <c r="K44" i="4"/>
  <c r="P44" i="4" s="1"/>
  <c r="C89" i="24"/>
  <c r="I29" i="24"/>
  <c r="E89" i="24"/>
  <c r="F89" i="24"/>
  <c r="I74" i="24"/>
  <c r="K74" i="24" s="1"/>
  <c r="G104" i="24"/>
  <c r="I118" i="24"/>
  <c r="J118" i="24"/>
  <c r="K131" i="24"/>
  <c r="F104" i="24"/>
  <c r="B118" i="24"/>
  <c r="K128" i="24"/>
  <c r="I30" i="24"/>
  <c r="F132" i="24"/>
  <c r="K129" i="24"/>
  <c r="D118" i="24"/>
  <c r="I104" i="24"/>
  <c r="E132" i="24"/>
  <c r="J132" i="24"/>
  <c r="K126" i="24"/>
  <c r="F118" i="24"/>
  <c r="C132" i="24"/>
  <c r="G132" i="24"/>
  <c r="J104" i="24"/>
  <c r="C118" i="24"/>
  <c r="I89" i="24"/>
  <c r="D89" i="24"/>
  <c r="D132" i="24"/>
  <c r="I132" i="24"/>
  <c r="K127" i="24"/>
  <c r="B132" i="24"/>
  <c r="K125" i="24"/>
  <c r="C104" i="24"/>
  <c r="G118" i="24"/>
  <c r="R17" i="44"/>
  <c r="R16" i="44" s="1"/>
  <c r="R21" i="44" s="1"/>
  <c r="G81" i="24"/>
  <c r="F4" i="28"/>
  <c r="E9" i="28"/>
  <c r="F4" i="29"/>
  <c r="E9" i="29"/>
  <c r="F4" i="19"/>
  <c r="E9" i="19"/>
  <c r="E9" i="42"/>
  <c r="F4" i="42"/>
  <c r="F4" i="38"/>
  <c r="E9" i="38"/>
  <c r="J89" i="24"/>
  <c r="H51" i="7"/>
  <c r="D75" i="24"/>
  <c r="F75" i="24"/>
  <c r="I72" i="24"/>
  <c r="K72" i="24" s="1"/>
  <c r="B89" i="24"/>
  <c r="C54" i="7"/>
  <c r="AI61" i="34"/>
  <c r="F61" i="34" s="1"/>
  <c r="G61" i="34" s="1"/>
  <c r="H61" i="34" s="1"/>
  <c r="I61" i="34" s="1"/>
  <c r="J61" i="34" s="1"/>
  <c r="K61" i="34" s="1"/>
  <c r="L61" i="34" s="1"/>
  <c r="M61" i="34" s="1"/>
  <c r="N61" i="34" s="1"/>
  <c r="O61" i="34" s="1"/>
  <c r="P61" i="34" s="1"/>
  <c r="Q61" i="34" s="1"/>
  <c r="R61" i="34" s="1"/>
  <c r="S61" i="34" s="1"/>
  <c r="T61" i="34" s="1"/>
  <c r="U61" i="34" s="1"/>
  <c r="V61" i="34" s="1"/>
  <c r="W61" i="34" s="1"/>
  <c r="X61" i="34" s="1"/>
  <c r="Y61" i="34" s="1"/>
  <c r="Z61" i="34" s="1"/>
  <c r="AA61" i="34" s="1"/>
  <c r="AB61" i="34" s="1"/>
  <c r="AC61" i="34" s="1"/>
  <c r="AD61" i="34" s="1"/>
  <c r="AE61" i="34" s="1"/>
  <c r="AF61" i="34" s="1"/>
  <c r="AG61" i="34" s="1"/>
  <c r="AH61" i="34" s="1"/>
  <c r="AI60" i="34"/>
  <c r="F60" i="34" s="1"/>
  <c r="G60" i="34" s="1"/>
  <c r="H60" i="34" s="1"/>
  <c r="I60" i="34" s="1"/>
  <c r="J60" i="34" s="1"/>
  <c r="K60" i="34" s="1"/>
  <c r="L60" i="34" s="1"/>
  <c r="M60" i="34" s="1"/>
  <c r="N60" i="34" s="1"/>
  <c r="O60" i="34" s="1"/>
  <c r="P60" i="34" s="1"/>
  <c r="Q60" i="34" s="1"/>
  <c r="R60" i="34" s="1"/>
  <c r="S60" i="34" s="1"/>
  <c r="T60" i="34" s="1"/>
  <c r="U60" i="34" s="1"/>
  <c r="V60" i="34" s="1"/>
  <c r="W60" i="34" s="1"/>
  <c r="X60" i="34" s="1"/>
  <c r="Y60" i="34" s="1"/>
  <c r="Z60" i="34" s="1"/>
  <c r="AA60" i="34" s="1"/>
  <c r="AB60" i="34" s="1"/>
  <c r="AC60" i="34" s="1"/>
  <c r="AD60" i="34" s="1"/>
  <c r="AE60" i="34" s="1"/>
  <c r="AF60" i="34" s="1"/>
  <c r="AG60" i="34" s="1"/>
  <c r="AH60" i="34" s="1"/>
  <c r="AI62" i="34"/>
  <c r="F62" i="34" s="1"/>
  <c r="G62" i="34" s="1"/>
  <c r="H62" i="34" s="1"/>
  <c r="I62" i="34" s="1"/>
  <c r="J62" i="34" s="1"/>
  <c r="K62" i="34" s="1"/>
  <c r="L62" i="34" s="1"/>
  <c r="M62" i="34" s="1"/>
  <c r="N62" i="34" s="1"/>
  <c r="O62" i="34" s="1"/>
  <c r="P62" i="34" s="1"/>
  <c r="Q62" i="34" s="1"/>
  <c r="R62" i="34" s="1"/>
  <c r="S62" i="34" s="1"/>
  <c r="T62" i="34" s="1"/>
  <c r="U62" i="34" s="1"/>
  <c r="V62" i="34" s="1"/>
  <c r="W62" i="34" s="1"/>
  <c r="X62" i="34" s="1"/>
  <c r="Y62" i="34" s="1"/>
  <c r="Z62" i="34" s="1"/>
  <c r="AA62" i="34" s="1"/>
  <c r="AB62" i="34" s="1"/>
  <c r="AC62" i="34" s="1"/>
  <c r="AD62" i="34" s="1"/>
  <c r="AE62" i="34" s="1"/>
  <c r="AF62" i="34" s="1"/>
  <c r="AG62" i="34" s="1"/>
  <c r="AH62" i="34" s="1"/>
  <c r="F59" i="34"/>
  <c r="G59" i="34" s="1"/>
  <c r="H59" i="34" s="1"/>
  <c r="I59" i="34" s="1"/>
  <c r="J59" i="34" s="1"/>
  <c r="K59" i="34" s="1"/>
  <c r="L59" i="34" s="1"/>
  <c r="M59" i="34" s="1"/>
  <c r="N59" i="34" s="1"/>
  <c r="O59" i="34" s="1"/>
  <c r="P59" i="34" s="1"/>
  <c r="Q59" i="34" s="1"/>
  <c r="R59" i="34" s="1"/>
  <c r="S59" i="34" s="1"/>
  <c r="T59" i="34" s="1"/>
  <c r="U59" i="34" s="1"/>
  <c r="V59" i="34" s="1"/>
  <c r="W59" i="34" s="1"/>
  <c r="X59" i="34" s="1"/>
  <c r="Y59" i="34" s="1"/>
  <c r="Z59" i="34" s="1"/>
  <c r="AA59" i="34" s="1"/>
  <c r="AB59" i="34" s="1"/>
  <c r="AC59" i="34" s="1"/>
  <c r="AD59" i="34" s="1"/>
  <c r="AE59" i="34" s="1"/>
  <c r="AF59" i="34" s="1"/>
  <c r="AG59" i="34" s="1"/>
  <c r="AH59" i="34" s="1"/>
  <c r="B32" i="24"/>
  <c r="E32" i="24"/>
  <c r="C32" i="24"/>
  <c r="F32" i="24"/>
  <c r="I28" i="24"/>
  <c r="G32" i="24"/>
  <c r="D32" i="24"/>
  <c r="I31" i="24"/>
  <c r="H32" i="24"/>
  <c r="E75" i="24"/>
  <c r="J24" i="24"/>
  <c r="I73" i="24"/>
  <c r="K73" i="24" s="1"/>
  <c r="F54" i="7"/>
  <c r="I69" i="24"/>
  <c r="H75" i="24"/>
  <c r="C75" i="24"/>
  <c r="B75" i="24"/>
  <c r="I71" i="24"/>
  <c r="K71" i="24" s="1"/>
  <c r="I70" i="24"/>
  <c r="K70" i="24" s="1"/>
  <c r="G75" i="24"/>
  <c r="Q27" i="4"/>
  <c r="C8" i="4" s="1"/>
  <c r="C43" i="25"/>
  <c r="C46" i="25"/>
  <c r="C42" i="25"/>
  <c r="C41" i="25"/>
  <c r="I56" i="24"/>
  <c r="K56" i="24" s="1"/>
  <c r="H62" i="24"/>
  <c r="I57" i="24"/>
  <c r="K57" i="24" s="1"/>
  <c r="F62" i="24"/>
  <c r="C45" i="25"/>
  <c r="G62" i="24"/>
  <c r="I58" i="24"/>
  <c r="K58" i="24" s="1"/>
  <c r="G54" i="7"/>
  <c r="B62" i="24"/>
  <c r="E62" i="24"/>
  <c r="D62" i="24"/>
  <c r="C62" i="24"/>
  <c r="I61" i="24"/>
  <c r="K61" i="24" s="1"/>
  <c r="I59" i="24"/>
  <c r="I60" i="24"/>
  <c r="K60" i="24" s="1"/>
  <c r="C44" i="25"/>
  <c r="E54" i="7"/>
  <c r="D38" i="25"/>
  <c r="D45" i="25" s="1"/>
  <c r="K78" i="24" l="1"/>
  <c r="F9" i="53"/>
  <c r="G4" i="53"/>
  <c r="F9" i="46"/>
  <c r="G4" i="46"/>
  <c r="G4" i="48"/>
  <c r="F9" i="48"/>
  <c r="F9" i="54"/>
  <c r="G4" i="54"/>
  <c r="H55" i="7"/>
  <c r="H54" i="7"/>
  <c r="H56" i="7"/>
  <c r="K132" i="24"/>
  <c r="D90" i="44" s="1"/>
  <c r="P46" i="4"/>
  <c r="G59" i="33"/>
  <c r="H81" i="24"/>
  <c r="L87" i="24" s="1"/>
  <c r="G86" i="24"/>
  <c r="K86" i="24" s="1"/>
  <c r="N86" i="24" s="1"/>
  <c r="G88" i="24"/>
  <c r="K88" i="24" s="1"/>
  <c r="N88" i="24" s="1"/>
  <c r="G83" i="24"/>
  <c r="K83" i="24" s="1"/>
  <c r="N83" i="24" s="1"/>
  <c r="G85" i="24"/>
  <c r="K85" i="24" s="1"/>
  <c r="N85" i="24" s="1"/>
  <c r="G82" i="24"/>
  <c r="G84" i="24"/>
  <c r="K84" i="24" s="1"/>
  <c r="N84" i="24" s="1"/>
  <c r="G4" i="29"/>
  <c r="F9" i="29"/>
  <c r="G4" i="38"/>
  <c r="F9" i="38"/>
  <c r="G4" i="42"/>
  <c r="F9" i="42"/>
  <c r="G4" i="19"/>
  <c r="F9" i="19"/>
  <c r="F9" i="28"/>
  <c r="G4" i="28"/>
  <c r="H59" i="7"/>
  <c r="H57" i="7"/>
  <c r="H58" i="7"/>
  <c r="P8" i="34"/>
  <c r="AI58" i="34"/>
  <c r="I32" i="24"/>
  <c r="K69" i="24"/>
  <c r="I75" i="24"/>
  <c r="K77" i="24"/>
  <c r="D41" i="25"/>
  <c r="K64" i="24"/>
  <c r="K65" i="24"/>
  <c r="K59" i="24"/>
  <c r="D46" i="25"/>
  <c r="D42" i="25"/>
  <c r="D44" i="25"/>
  <c r="C47" i="25"/>
  <c r="I62" i="24"/>
  <c r="D43" i="25"/>
  <c r="H4" i="48" l="1"/>
  <c r="G9" i="48"/>
  <c r="G9" i="46"/>
  <c r="H4" i="46"/>
  <c r="G9" i="54"/>
  <c r="H4" i="54"/>
  <c r="G9" i="53"/>
  <c r="H4" i="53"/>
  <c r="G8" i="4"/>
  <c r="D8" i="4"/>
  <c r="F8" i="4"/>
  <c r="E8" i="4"/>
  <c r="D92" i="44"/>
  <c r="D96" i="44"/>
  <c r="D95" i="44"/>
  <c r="D91" i="44"/>
  <c r="G91" i="44"/>
  <c r="G95" i="44"/>
  <c r="G96" i="44"/>
  <c r="G90" i="44"/>
  <c r="G92" i="44"/>
  <c r="G94" i="44"/>
  <c r="G93" i="44"/>
  <c r="D94" i="44"/>
  <c r="D93" i="44"/>
  <c r="F4" i="9"/>
  <c r="G64" i="33"/>
  <c r="N91" i="24"/>
  <c r="K82" i="24"/>
  <c r="G89" i="24"/>
  <c r="H4" i="29"/>
  <c r="G9" i="29"/>
  <c r="G9" i="28"/>
  <c r="H4" i="28"/>
  <c r="G9" i="42"/>
  <c r="H4" i="42"/>
  <c r="H4" i="19"/>
  <c r="G9" i="19"/>
  <c r="H4" i="38"/>
  <c r="G9" i="38"/>
  <c r="H60" i="7"/>
  <c r="F58" i="34"/>
  <c r="G58" i="34" s="1"/>
  <c r="H58" i="34" s="1"/>
  <c r="I58" i="34" s="1"/>
  <c r="J58" i="34" s="1"/>
  <c r="K58" i="34" s="1"/>
  <c r="L58" i="34" s="1"/>
  <c r="M58" i="34" s="1"/>
  <c r="N58" i="34" s="1"/>
  <c r="O58" i="34" s="1"/>
  <c r="P58" i="34" s="1"/>
  <c r="Q58" i="34" s="1"/>
  <c r="R58" i="34" s="1"/>
  <c r="S58" i="34" s="1"/>
  <c r="T58" i="34" s="1"/>
  <c r="U58" i="34" s="1"/>
  <c r="V58" i="34" s="1"/>
  <c r="W58" i="34" s="1"/>
  <c r="X58" i="34" s="1"/>
  <c r="Y58" i="34" s="1"/>
  <c r="Z58" i="34" s="1"/>
  <c r="AA58" i="34" s="1"/>
  <c r="AB58" i="34" s="1"/>
  <c r="AC58" i="34" s="1"/>
  <c r="AD58" i="34" s="1"/>
  <c r="AE58" i="34" s="1"/>
  <c r="AF58" i="34" s="1"/>
  <c r="AG58" i="34" s="1"/>
  <c r="AH58" i="34" s="1"/>
  <c r="D47" i="25"/>
  <c r="O13" i="1"/>
  <c r="W15" i="7"/>
  <c r="I4" i="54" l="1"/>
  <c r="H9" i="54"/>
  <c r="I4" i="53"/>
  <c r="H9" i="53"/>
  <c r="I4" i="46"/>
  <c r="H9" i="46"/>
  <c r="H9" i="48"/>
  <c r="I4" i="48"/>
  <c r="D97" i="44"/>
  <c r="AJ46" i="36"/>
  <c r="E46" i="36"/>
  <c r="K89" i="24"/>
  <c r="N82" i="24"/>
  <c r="N90" i="24"/>
  <c r="I4" i="28"/>
  <c r="H9" i="28"/>
  <c r="I4" i="19"/>
  <c r="H9" i="19"/>
  <c r="I4" i="38"/>
  <c r="H9" i="38"/>
  <c r="I4" i="42"/>
  <c r="H9" i="42"/>
  <c r="I4" i="29"/>
  <c r="H9" i="29"/>
  <c r="N92" i="24"/>
  <c r="J4" i="53" l="1"/>
  <c r="I9" i="53"/>
  <c r="J4" i="48"/>
  <c r="I9" i="48"/>
  <c r="J4" i="46"/>
  <c r="I9" i="46"/>
  <c r="J4" i="54"/>
  <c r="I9" i="54"/>
  <c r="AJ50" i="36"/>
  <c r="AJ47" i="36"/>
  <c r="AK46" i="36"/>
  <c r="AJ48" i="36"/>
  <c r="L88" i="24"/>
  <c r="L86" i="24"/>
  <c r="L85" i="24"/>
  <c r="L84" i="24"/>
  <c r="L83" i="24"/>
  <c r="L82" i="24"/>
  <c r="F46" i="36"/>
  <c r="J4" i="29"/>
  <c r="I9" i="29"/>
  <c r="J4" i="19"/>
  <c r="I9" i="19"/>
  <c r="I9" i="42"/>
  <c r="J4" i="42"/>
  <c r="J4" i="38"/>
  <c r="I9" i="38"/>
  <c r="J4" i="28"/>
  <c r="I9" i="28"/>
  <c r="AJ69" i="36" l="1"/>
  <c r="K4" i="54"/>
  <c r="J9" i="54"/>
  <c r="J9" i="48"/>
  <c r="K4" i="48"/>
  <c r="J9" i="46"/>
  <c r="K4" i="46"/>
  <c r="K4" i="53"/>
  <c r="J9" i="53"/>
  <c r="G46" i="36"/>
  <c r="AK47" i="36"/>
  <c r="AK50" i="36"/>
  <c r="AK48" i="36"/>
  <c r="AL46" i="36"/>
  <c r="K4" i="4"/>
  <c r="K5" i="4" s="1"/>
  <c r="G4" i="26"/>
  <c r="G5" i="26" s="1"/>
  <c r="G6" i="26" s="1"/>
  <c r="G7" i="26" s="1"/>
  <c r="L90" i="24"/>
  <c r="K4" i="8"/>
  <c r="K5" i="8" s="1"/>
  <c r="K6" i="8" s="1"/>
  <c r="E4" i="3"/>
  <c r="E5" i="3" s="1"/>
  <c r="E7" i="3" s="1"/>
  <c r="E8" i="3" s="1"/>
  <c r="E10" i="3" s="1"/>
  <c r="E11" i="3" s="1"/>
  <c r="E13" i="3" s="1"/>
  <c r="AJ49" i="36"/>
  <c r="J9" i="19"/>
  <c r="K4" i="19"/>
  <c r="K4" i="38"/>
  <c r="J9" i="38"/>
  <c r="J9" i="42"/>
  <c r="K4" i="42"/>
  <c r="J9" i="28"/>
  <c r="K4" i="28"/>
  <c r="K4" i="29"/>
  <c r="J9" i="29"/>
  <c r="D6" i="20"/>
  <c r="D5" i="20"/>
  <c r="X1" i="20"/>
  <c r="N1" i="20"/>
  <c r="D1" i="20"/>
  <c r="D104" i="20" l="1"/>
  <c r="D153" i="20"/>
  <c r="D193" i="20"/>
  <c r="N50" i="20"/>
  <c r="N51" i="20"/>
  <c r="N104" i="20"/>
  <c r="N153" i="20"/>
  <c r="N193" i="20"/>
  <c r="X104" i="20"/>
  <c r="X153" i="20"/>
  <c r="X193" i="20"/>
  <c r="K9" i="46"/>
  <c r="L4" i="46"/>
  <c r="L4" i="48"/>
  <c r="K9" i="48"/>
  <c r="L4" i="53"/>
  <c r="K9" i="53"/>
  <c r="K9" i="54"/>
  <c r="L4" i="54"/>
  <c r="K6" i="4"/>
  <c r="K8" i="4" s="1"/>
  <c r="AK49" i="36"/>
  <c r="AJ51" i="36"/>
  <c r="AJ68" i="36"/>
  <c r="K7" i="4"/>
  <c r="D35" i="36"/>
  <c r="AJ28" i="36"/>
  <c r="E28" i="36"/>
  <c r="G8" i="26"/>
  <c r="G9" i="26" s="1"/>
  <c r="AL47" i="36"/>
  <c r="AL50" i="36"/>
  <c r="AL48" i="36"/>
  <c r="AM46" i="36"/>
  <c r="H46" i="36"/>
  <c r="D19" i="36"/>
  <c r="E17" i="36"/>
  <c r="AJ17" i="36"/>
  <c r="D55" i="36"/>
  <c r="K8" i="8"/>
  <c r="K10" i="8"/>
  <c r="K9" i="8"/>
  <c r="K7" i="8"/>
  <c r="E39" i="36"/>
  <c r="D42" i="36"/>
  <c r="AJ39" i="36"/>
  <c r="L4" i="42"/>
  <c r="K9" i="42"/>
  <c r="L4" i="38"/>
  <c r="K9" i="38"/>
  <c r="L4" i="29"/>
  <c r="K9" i="29"/>
  <c r="K9" i="28"/>
  <c r="L4" i="28"/>
  <c r="K9" i="19"/>
  <c r="L4" i="19"/>
  <c r="E6" i="20"/>
  <c r="E5" i="20"/>
  <c r="D206" i="20"/>
  <c r="X206" i="20"/>
  <c r="N206" i="20"/>
  <c r="X50" i="20"/>
  <c r="D50" i="20"/>
  <c r="X51" i="20"/>
  <c r="D51" i="20"/>
  <c r="O1" i="20"/>
  <c r="Y1" i="20"/>
  <c r="D4" i="20"/>
  <c r="E1" i="20"/>
  <c r="AJ71" i="36" l="1"/>
  <c r="N168" i="42"/>
  <c r="N186" i="46"/>
  <c r="N186" i="48"/>
  <c r="N168" i="38"/>
  <c r="D48" i="38"/>
  <c r="D48" i="46"/>
  <c r="D48" i="48"/>
  <c r="D48" i="42"/>
  <c r="D47" i="42"/>
  <c r="D47" i="46"/>
  <c r="D47" i="48"/>
  <c r="D49" i="48" s="1"/>
  <c r="D46" i="48" s="1"/>
  <c r="D47" i="38"/>
  <c r="D49" i="38" s="1"/>
  <c r="D46" i="38" s="1"/>
  <c r="D58" i="36"/>
  <c r="C36" i="42"/>
  <c r="N121" i="46"/>
  <c r="N111" i="38"/>
  <c r="N111" i="42"/>
  <c r="N121" i="48"/>
  <c r="AK51" i="36"/>
  <c r="N48" i="46"/>
  <c r="N48" i="42"/>
  <c r="N48" i="48"/>
  <c r="N48" i="38"/>
  <c r="X48" i="48"/>
  <c r="X48" i="42"/>
  <c r="X48" i="38"/>
  <c r="X48" i="46"/>
  <c r="C35" i="38"/>
  <c r="N47" i="48"/>
  <c r="N49" i="48" s="1"/>
  <c r="N46" i="48" s="1"/>
  <c r="N47" i="42"/>
  <c r="N49" i="42" s="1"/>
  <c r="N46" i="42" s="1"/>
  <c r="N47" i="38"/>
  <c r="N49" i="38" s="1"/>
  <c r="N46" i="38" s="1"/>
  <c r="N47" i="46"/>
  <c r="N49" i="46" s="1"/>
  <c r="N46" i="46" s="1"/>
  <c r="X47" i="38"/>
  <c r="X49" i="38" s="1"/>
  <c r="X46" i="38" s="1"/>
  <c r="X47" i="42"/>
  <c r="X49" i="42" s="1"/>
  <c r="X46" i="42" s="1"/>
  <c r="X47" i="46"/>
  <c r="X47" i="48"/>
  <c r="X255" i="48"/>
  <c r="X254" i="48" s="1"/>
  <c r="X255" i="46"/>
  <c r="X254" i="46" s="1"/>
  <c r="X229" i="38"/>
  <c r="X228" i="38" s="1"/>
  <c r="X229" i="42"/>
  <c r="X228" i="42" s="1"/>
  <c r="D24" i="36"/>
  <c r="X238" i="46"/>
  <c r="X237" i="46" s="1"/>
  <c r="X214" i="38"/>
  <c r="X213" i="38" s="1"/>
  <c r="X214" i="42"/>
  <c r="X213" i="42" s="1"/>
  <c r="X238" i="48"/>
  <c r="X237" i="48" s="1"/>
  <c r="D214" i="38"/>
  <c r="D213" i="38" s="1"/>
  <c r="D214" i="42"/>
  <c r="D213" i="42" s="1"/>
  <c r="D238" i="48"/>
  <c r="D237" i="48" s="1"/>
  <c r="D238" i="46"/>
  <c r="D237" i="46" s="1"/>
  <c r="E104" i="20"/>
  <c r="E193" i="20"/>
  <c r="E153" i="20"/>
  <c r="N229" i="42"/>
  <c r="N228" i="42" s="1"/>
  <c r="N255" i="48"/>
  <c r="N254" i="48" s="1"/>
  <c r="N255" i="46"/>
  <c r="N254" i="46" s="1"/>
  <c r="N229" i="38"/>
  <c r="N228" i="38" s="1"/>
  <c r="Y104" i="20"/>
  <c r="Y153" i="20"/>
  <c r="Y193" i="20"/>
  <c r="D255" i="48"/>
  <c r="D254" i="48" s="1"/>
  <c r="D229" i="42"/>
  <c r="D228" i="42" s="1"/>
  <c r="D255" i="46"/>
  <c r="D254" i="46" s="1"/>
  <c r="D229" i="38"/>
  <c r="D228" i="38" s="1"/>
  <c r="C33" i="38"/>
  <c r="X168" i="42"/>
  <c r="X186" i="46"/>
  <c r="X186" i="48"/>
  <c r="X168" i="38"/>
  <c r="D186" i="46"/>
  <c r="D168" i="42"/>
  <c r="D186" i="48"/>
  <c r="D168" i="38"/>
  <c r="N238" i="48"/>
  <c r="N237" i="48" s="1"/>
  <c r="N214" i="38"/>
  <c r="N213" i="38" s="1"/>
  <c r="N214" i="42"/>
  <c r="N213" i="42" s="1"/>
  <c r="N238" i="46"/>
  <c r="N237" i="46" s="1"/>
  <c r="O50" i="20"/>
  <c r="O51" i="20"/>
  <c r="O193" i="20"/>
  <c r="O153" i="20"/>
  <c r="O104" i="20"/>
  <c r="X111" i="38"/>
  <c r="X121" i="48"/>
  <c r="X121" i="46"/>
  <c r="X111" i="42"/>
  <c r="D121" i="46"/>
  <c r="D111" i="42"/>
  <c r="D111" i="38"/>
  <c r="D121" i="48"/>
  <c r="L9" i="54"/>
  <c r="M4" i="54"/>
  <c r="M4" i="53"/>
  <c r="L9" i="53"/>
  <c r="M4" i="48"/>
  <c r="L9" i="48"/>
  <c r="M4" i="46"/>
  <c r="L9" i="46"/>
  <c r="AK52" i="36"/>
  <c r="D36" i="42"/>
  <c r="C37" i="38"/>
  <c r="AK54" i="36"/>
  <c r="AK89" i="36"/>
  <c r="K11" i="8"/>
  <c r="K9" i="4"/>
  <c r="F39" i="36"/>
  <c r="E41" i="36"/>
  <c r="D27" i="36"/>
  <c r="D83" i="36"/>
  <c r="D25" i="36"/>
  <c r="I46" i="36"/>
  <c r="AL49" i="36"/>
  <c r="D36" i="36"/>
  <c r="D76" i="36"/>
  <c r="D38" i="36"/>
  <c r="AJ54" i="36"/>
  <c r="AJ52" i="36"/>
  <c r="AJ89" i="36"/>
  <c r="AM50" i="36"/>
  <c r="AM47" i="36"/>
  <c r="AM48" i="36"/>
  <c r="AN46" i="36"/>
  <c r="AK39" i="36"/>
  <c r="AJ42" i="36"/>
  <c r="AJ19" i="36"/>
  <c r="AJ55" i="36"/>
  <c r="E32" i="36"/>
  <c r="E30" i="36"/>
  <c r="E33" i="36"/>
  <c r="E29" i="36"/>
  <c r="F28" i="36"/>
  <c r="D43" i="36"/>
  <c r="D96" i="36"/>
  <c r="D45" i="36"/>
  <c r="AK17" i="36"/>
  <c r="E18" i="36"/>
  <c r="F17" i="36"/>
  <c r="E55" i="36"/>
  <c r="AJ35" i="36"/>
  <c r="AK28" i="36"/>
  <c r="M4" i="29"/>
  <c r="L9" i="29"/>
  <c r="M4" i="38"/>
  <c r="L9" i="38"/>
  <c r="M4" i="28"/>
  <c r="L9" i="28"/>
  <c r="L9" i="19"/>
  <c r="M4" i="19"/>
  <c r="L9" i="42"/>
  <c r="M4" i="42"/>
  <c r="X205" i="20"/>
  <c r="D152" i="20"/>
  <c r="D205" i="20"/>
  <c r="N205" i="20"/>
  <c r="D103" i="20"/>
  <c r="X103" i="20"/>
  <c r="N103" i="20"/>
  <c r="N59" i="20"/>
  <c r="N61" i="20"/>
  <c r="N58" i="20"/>
  <c r="N60" i="20"/>
  <c r="D58" i="20"/>
  <c r="D60" i="20"/>
  <c r="D59" i="20"/>
  <c r="D61" i="20"/>
  <c r="X58" i="20"/>
  <c r="X60" i="20"/>
  <c r="X59" i="20"/>
  <c r="X61" i="20"/>
  <c r="F5" i="20"/>
  <c r="F6" i="20"/>
  <c r="D157" i="20"/>
  <c r="O206" i="20"/>
  <c r="D156" i="20"/>
  <c r="Y152" i="20"/>
  <c r="Y206" i="20"/>
  <c r="E206" i="20"/>
  <c r="X152" i="20"/>
  <c r="X156" i="20"/>
  <c r="X157" i="20"/>
  <c r="N152" i="20"/>
  <c r="N157" i="20"/>
  <c r="N156" i="20"/>
  <c r="E50" i="20"/>
  <c r="D108" i="20"/>
  <c r="D107" i="20"/>
  <c r="Y50" i="20"/>
  <c r="X52" i="20"/>
  <c r="N108" i="20"/>
  <c r="N107" i="20"/>
  <c r="X107" i="20"/>
  <c r="D52" i="20"/>
  <c r="N52" i="20"/>
  <c r="E51" i="20"/>
  <c r="Y51" i="20"/>
  <c r="Z1" i="20"/>
  <c r="P1" i="20"/>
  <c r="E4" i="20"/>
  <c r="F1" i="20"/>
  <c r="D61" i="36" l="1"/>
  <c r="D105" i="36"/>
  <c r="D59" i="36"/>
  <c r="Y111" i="38"/>
  <c r="Y121" i="48"/>
  <c r="Y121" i="46"/>
  <c r="Y111" i="42"/>
  <c r="E229" i="42"/>
  <c r="E228" i="42" s="1"/>
  <c r="E255" i="48"/>
  <c r="E254" i="48" s="1"/>
  <c r="E229" i="38"/>
  <c r="E228" i="38" s="1"/>
  <c r="E255" i="46"/>
  <c r="E254" i="46" s="1"/>
  <c r="C33" i="42"/>
  <c r="X110" i="42"/>
  <c r="X114" i="42"/>
  <c r="X115" i="42"/>
  <c r="O47" i="48"/>
  <c r="O47" i="42"/>
  <c r="O47" i="38"/>
  <c r="O49" i="38" s="1"/>
  <c r="O46" i="38" s="1"/>
  <c r="O47" i="46"/>
  <c r="D190" i="48"/>
  <c r="D189" i="48"/>
  <c r="D185" i="48"/>
  <c r="C34" i="38"/>
  <c r="D120" i="46"/>
  <c r="D125" i="46"/>
  <c r="D124" i="46"/>
  <c r="Y229" i="38"/>
  <c r="Y228" i="38" s="1"/>
  <c r="Y255" i="48"/>
  <c r="Y254" i="48" s="1"/>
  <c r="Y255" i="46"/>
  <c r="Y254" i="46" s="1"/>
  <c r="Y229" i="42"/>
  <c r="Y228" i="42" s="1"/>
  <c r="X120" i="46"/>
  <c r="X124" i="46"/>
  <c r="X125" i="46"/>
  <c r="D167" i="42"/>
  <c r="D172" i="42"/>
  <c r="D171" i="42"/>
  <c r="N120" i="48"/>
  <c r="N124" i="48"/>
  <c r="N125" i="48"/>
  <c r="N167" i="38"/>
  <c r="N171" i="38"/>
  <c r="N172" i="38"/>
  <c r="D80" i="36"/>
  <c r="X120" i="48"/>
  <c r="X124" i="48"/>
  <c r="X125" i="48"/>
  <c r="D189" i="46"/>
  <c r="D190" i="46"/>
  <c r="D185" i="46"/>
  <c r="N110" i="42"/>
  <c r="N114" i="42"/>
  <c r="N115" i="42"/>
  <c r="N185" i="48"/>
  <c r="N189" i="48"/>
  <c r="N190" i="48"/>
  <c r="Y47" i="38"/>
  <c r="Y49" i="38" s="1"/>
  <c r="Y46" i="38" s="1"/>
  <c r="Y47" i="46"/>
  <c r="Y47" i="42"/>
  <c r="Y47" i="48"/>
  <c r="C35" i="42"/>
  <c r="O48" i="48"/>
  <c r="O48" i="42"/>
  <c r="O48" i="38"/>
  <c r="O48" i="46"/>
  <c r="E47" i="46"/>
  <c r="E47" i="42"/>
  <c r="E47" i="48"/>
  <c r="E47" i="38"/>
  <c r="E19" i="36"/>
  <c r="AL51" i="36"/>
  <c r="AK93" i="36"/>
  <c r="X110" i="38"/>
  <c r="X114" i="38"/>
  <c r="X115" i="38"/>
  <c r="X167" i="38"/>
  <c r="X171" i="38"/>
  <c r="X172" i="38"/>
  <c r="N110" i="38"/>
  <c r="N114" i="38"/>
  <c r="N115" i="38"/>
  <c r="D49" i="46"/>
  <c r="D46" i="46" s="1"/>
  <c r="N185" i="46"/>
  <c r="N189" i="46"/>
  <c r="N190" i="46"/>
  <c r="Y48" i="38"/>
  <c r="Y48" i="42"/>
  <c r="Y48" i="46"/>
  <c r="Y48" i="48"/>
  <c r="P50" i="20"/>
  <c r="P51" i="20"/>
  <c r="P153" i="20"/>
  <c r="P104" i="20"/>
  <c r="P193" i="20"/>
  <c r="O255" i="48"/>
  <c r="O254" i="48" s="1"/>
  <c r="O229" i="38"/>
  <c r="O228" i="38" s="1"/>
  <c r="O255" i="46"/>
  <c r="O254" i="46" s="1"/>
  <c r="O229" i="42"/>
  <c r="O228" i="42" s="1"/>
  <c r="D120" i="48"/>
  <c r="D125" i="48"/>
  <c r="D124" i="48"/>
  <c r="O111" i="38"/>
  <c r="O121" i="48"/>
  <c r="O121" i="46"/>
  <c r="O111" i="42"/>
  <c r="X185" i="48"/>
  <c r="X189" i="48"/>
  <c r="X190" i="48"/>
  <c r="E168" i="42"/>
  <c r="E186" i="46"/>
  <c r="E186" i="48"/>
  <c r="E168" i="38"/>
  <c r="N120" i="46"/>
  <c r="N124" i="46"/>
  <c r="N125" i="46"/>
  <c r="D49" i="42"/>
  <c r="D46" i="42" s="1"/>
  <c r="N167" i="42"/>
  <c r="N171" i="42"/>
  <c r="N172" i="42"/>
  <c r="E48" i="46"/>
  <c r="E48" i="48"/>
  <c r="E48" i="38"/>
  <c r="E48" i="42"/>
  <c r="D167" i="38"/>
  <c r="D171" i="38"/>
  <c r="D172" i="38"/>
  <c r="F153" i="20"/>
  <c r="F193" i="20"/>
  <c r="F104" i="20"/>
  <c r="Z104" i="20"/>
  <c r="Z193" i="20"/>
  <c r="Z153" i="20"/>
  <c r="AJ58" i="36"/>
  <c r="D86" i="36"/>
  <c r="D115" i="38"/>
  <c r="D110" i="38"/>
  <c r="D114" i="38"/>
  <c r="O168" i="42"/>
  <c r="O186" i="46"/>
  <c r="O186" i="48"/>
  <c r="O168" i="38"/>
  <c r="X185" i="46"/>
  <c r="X189" i="46"/>
  <c r="X190" i="46"/>
  <c r="Y214" i="42"/>
  <c r="Y213" i="42" s="1"/>
  <c r="Y214" i="38"/>
  <c r="Y213" i="38" s="1"/>
  <c r="Y238" i="48"/>
  <c r="Y237" i="48" s="1"/>
  <c r="Y238" i="46"/>
  <c r="Y237" i="46" s="1"/>
  <c r="E214" i="38"/>
  <c r="E213" i="38" s="1"/>
  <c r="E214" i="42"/>
  <c r="E213" i="42" s="1"/>
  <c r="E238" i="48"/>
  <c r="E237" i="48" s="1"/>
  <c r="E238" i="46"/>
  <c r="E237" i="46" s="1"/>
  <c r="X49" i="48"/>
  <c r="X46" i="48" s="1"/>
  <c r="AJ24" i="36"/>
  <c r="AJ93" i="36"/>
  <c r="D115" i="42"/>
  <c r="D114" i="42"/>
  <c r="D110" i="42"/>
  <c r="O238" i="48"/>
  <c r="O237" i="48" s="1"/>
  <c r="O214" i="38"/>
  <c r="O213" i="38" s="1"/>
  <c r="O214" i="42"/>
  <c r="O213" i="42" s="1"/>
  <c r="O238" i="46"/>
  <c r="O237" i="46" s="1"/>
  <c r="X167" i="42"/>
  <c r="X171" i="42"/>
  <c r="X172" i="42"/>
  <c r="Y168" i="38"/>
  <c r="Y168" i="42"/>
  <c r="Y186" i="48"/>
  <c r="Y186" i="46"/>
  <c r="E121" i="46"/>
  <c r="E111" i="42"/>
  <c r="E111" i="38"/>
  <c r="E121" i="48"/>
  <c r="X49" i="46"/>
  <c r="X46" i="46" s="1"/>
  <c r="N4" i="46"/>
  <c r="M9" i="46"/>
  <c r="N4" i="48"/>
  <c r="M9" i="48"/>
  <c r="N4" i="53"/>
  <c r="M9" i="53"/>
  <c r="M9" i="54"/>
  <c r="N4" i="54"/>
  <c r="N55" i="48"/>
  <c r="N55" i="46"/>
  <c r="N55" i="42"/>
  <c r="N55" i="38"/>
  <c r="X57" i="48"/>
  <c r="X57" i="46"/>
  <c r="X57" i="42"/>
  <c r="X57" i="38"/>
  <c r="D57" i="48"/>
  <c r="D57" i="46"/>
  <c r="D57" i="42"/>
  <c r="D57" i="38"/>
  <c r="N58" i="48"/>
  <c r="N58" i="46"/>
  <c r="N58" i="42"/>
  <c r="N58" i="38"/>
  <c r="X56" i="48"/>
  <c r="X56" i="46"/>
  <c r="X56" i="42"/>
  <c r="X56" i="38"/>
  <c r="X55" i="48"/>
  <c r="X55" i="46"/>
  <c r="X55" i="42"/>
  <c r="X55" i="38"/>
  <c r="D55" i="48"/>
  <c r="D55" i="46"/>
  <c r="D55" i="42"/>
  <c r="D55" i="38"/>
  <c r="N56" i="48"/>
  <c r="N56" i="46"/>
  <c r="N56" i="42"/>
  <c r="N56" i="38"/>
  <c r="D56" i="48"/>
  <c r="D56" i="46"/>
  <c r="D56" i="42"/>
  <c r="D56" i="38"/>
  <c r="X58" i="48"/>
  <c r="X58" i="46"/>
  <c r="X58" i="42"/>
  <c r="X58" i="38"/>
  <c r="D58" i="48"/>
  <c r="D58" i="46"/>
  <c r="D58" i="42"/>
  <c r="D58" i="38"/>
  <c r="N57" i="46"/>
  <c r="N57" i="48"/>
  <c r="N57" i="42"/>
  <c r="N57" i="38"/>
  <c r="AJ59" i="36"/>
  <c r="E34" i="36"/>
  <c r="AJ36" i="36"/>
  <c r="AJ38" i="36"/>
  <c r="AJ76" i="36"/>
  <c r="AK18" i="36"/>
  <c r="AK55" i="36"/>
  <c r="G28" i="36"/>
  <c r="F29" i="36"/>
  <c r="F32" i="36"/>
  <c r="F30" i="36"/>
  <c r="F33" i="36"/>
  <c r="AJ43" i="36"/>
  <c r="AJ45" i="36"/>
  <c r="AJ96" i="36"/>
  <c r="AN47" i="36"/>
  <c r="AN48" i="36"/>
  <c r="AN50" i="36"/>
  <c r="AO46" i="36"/>
  <c r="E56" i="36"/>
  <c r="E57" i="36"/>
  <c r="AK41" i="36"/>
  <c r="AL39" i="36"/>
  <c r="AK40" i="36"/>
  <c r="AL17" i="36"/>
  <c r="G17" i="36"/>
  <c r="F18" i="36"/>
  <c r="F55" i="36"/>
  <c r="AM49" i="36"/>
  <c r="J46" i="36"/>
  <c r="AK33" i="36"/>
  <c r="AL28" i="36"/>
  <c r="AK30" i="36"/>
  <c r="AK32" i="36"/>
  <c r="AK29" i="36"/>
  <c r="E20" i="36"/>
  <c r="E21" i="36"/>
  <c r="AJ27" i="36"/>
  <c r="AJ83" i="36"/>
  <c r="AJ25" i="36"/>
  <c r="G39" i="36"/>
  <c r="F41" i="36"/>
  <c r="M9" i="28"/>
  <c r="N4" i="28"/>
  <c r="M9" i="42"/>
  <c r="N4" i="42"/>
  <c r="N4" i="19"/>
  <c r="M9" i="19"/>
  <c r="N4" i="38"/>
  <c r="M9" i="38"/>
  <c r="N4" i="29"/>
  <c r="M9" i="29"/>
  <c r="E205" i="20"/>
  <c r="Y205" i="20"/>
  <c r="O205" i="20"/>
  <c r="D163" i="20"/>
  <c r="Y103" i="20"/>
  <c r="O103" i="20"/>
  <c r="E103" i="20"/>
  <c r="O58" i="20"/>
  <c r="O60" i="20"/>
  <c r="O59" i="20"/>
  <c r="O61" i="20"/>
  <c r="Y59" i="20"/>
  <c r="Y61" i="20"/>
  <c r="Y58" i="20"/>
  <c r="Y60" i="20"/>
  <c r="E59" i="20"/>
  <c r="E61" i="20"/>
  <c r="E58" i="20"/>
  <c r="E60" i="20"/>
  <c r="D164" i="20"/>
  <c r="G6" i="20"/>
  <c r="G5" i="20"/>
  <c r="F206" i="20"/>
  <c r="Y156" i="20"/>
  <c r="P206" i="20"/>
  <c r="Y157" i="20"/>
  <c r="Y163" i="20" s="1"/>
  <c r="Z156" i="20"/>
  <c r="Z206" i="20"/>
  <c r="F152" i="20"/>
  <c r="X164" i="20"/>
  <c r="X163" i="20"/>
  <c r="N164" i="20"/>
  <c r="N163" i="20"/>
  <c r="O152" i="20"/>
  <c r="O156" i="20"/>
  <c r="O157" i="20"/>
  <c r="E152" i="20"/>
  <c r="E157" i="20"/>
  <c r="E156" i="20"/>
  <c r="N116" i="20"/>
  <c r="N117" i="20"/>
  <c r="N115" i="20"/>
  <c r="D117" i="20"/>
  <c r="D116" i="20"/>
  <c r="D115" i="20"/>
  <c r="E52" i="20"/>
  <c r="E49" i="20" s="1"/>
  <c r="O52" i="20"/>
  <c r="Y107" i="20"/>
  <c r="N49" i="20"/>
  <c r="X49" i="20"/>
  <c r="D49" i="20"/>
  <c r="Z50" i="20"/>
  <c r="F50" i="20"/>
  <c r="E108" i="20"/>
  <c r="E107" i="20"/>
  <c r="O108" i="20"/>
  <c r="O107" i="20"/>
  <c r="Y52" i="20"/>
  <c r="Z51" i="20"/>
  <c r="F51" i="20"/>
  <c r="AA1" i="20"/>
  <c r="Q1" i="20"/>
  <c r="F4" i="20"/>
  <c r="G1" i="20"/>
  <c r="O18" i="2"/>
  <c r="D7" i="13"/>
  <c r="E7" i="13"/>
  <c r="C37" i="42" l="1"/>
  <c r="Y185" i="48"/>
  <c r="Y189" i="48"/>
  <c r="Y190" i="48"/>
  <c r="C34" i="42"/>
  <c r="O167" i="42"/>
  <c r="O171" i="42"/>
  <c r="O172" i="42"/>
  <c r="Z168" i="38"/>
  <c r="Z168" i="42"/>
  <c r="Z186" i="48"/>
  <c r="Z186" i="46"/>
  <c r="X197" i="48"/>
  <c r="X196" i="48"/>
  <c r="D134" i="48"/>
  <c r="D132" i="48"/>
  <c r="D133" i="48"/>
  <c r="P186" i="48"/>
  <c r="P186" i="46"/>
  <c r="P168" i="38"/>
  <c r="P168" i="42"/>
  <c r="N197" i="48"/>
  <c r="N196" i="48"/>
  <c r="O49" i="42"/>
  <c r="O46" i="42" s="1"/>
  <c r="E36" i="42"/>
  <c r="D134" i="46"/>
  <c r="D132" i="46"/>
  <c r="D133" i="46"/>
  <c r="F229" i="42"/>
  <c r="F228" i="42" s="1"/>
  <c r="F255" i="46"/>
  <c r="F254" i="46" s="1"/>
  <c r="F255" i="48"/>
  <c r="F254" i="48" s="1"/>
  <c r="F229" i="38"/>
  <c r="F228" i="38" s="1"/>
  <c r="F19" i="36"/>
  <c r="AK19" i="36"/>
  <c r="AJ105" i="36"/>
  <c r="Y167" i="42"/>
  <c r="Y171" i="42"/>
  <c r="Y172" i="42"/>
  <c r="Z238" i="46"/>
  <c r="Z237" i="46" s="1"/>
  <c r="Z214" i="42"/>
  <c r="Z213" i="42" s="1"/>
  <c r="Z214" i="38"/>
  <c r="Z213" i="38" s="1"/>
  <c r="Z238" i="48"/>
  <c r="Z237" i="48" s="1"/>
  <c r="N132" i="46"/>
  <c r="N134" i="46"/>
  <c r="N133" i="46"/>
  <c r="P48" i="48"/>
  <c r="P48" i="42"/>
  <c r="P48" i="38"/>
  <c r="P48" i="46"/>
  <c r="X124" i="38"/>
  <c r="X123" i="38"/>
  <c r="X122" i="38"/>
  <c r="X134" i="48"/>
  <c r="X133" i="48"/>
  <c r="X132" i="48"/>
  <c r="N132" i="48"/>
  <c r="N133" i="48"/>
  <c r="N134" i="48"/>
  <c r="O49" i="48"/>
  <c r="O46" i="48" s="1"/>
  <c r="P111" i="38"/>
  <c r="P121" i="48"/>
  <c r="P121" i="46"/>
  <c r="P111" i="42"/>
  <c r="Y167" i="38"/>
  <c r="Y171" i="38"/>
  <c r="Y172" i="38"/>
  <c r="X197" i="46"/>
  <c r="X196" i="46"/>
  <c r="Z121" i="48"/>
  <c r="Z121" i="46"/>
  <c r="Z111" i="38"/>
  <c r="Z111" i="42"/>
  <c r="P47" i="38"/>
  <c r="P49" i="38" s="1"/>
  <c r="P46" i="38" s="1"/>
  <c r="P47" i="42"/>
  <c r="P49" i="42" s="1"/>
  <c r="P46" i="42" s="1"/>
  <c r="P47" i="46"/>
  <c r="P47" i="48"/>
  <c r="P49" i="48" s="1"/>
  <c r="P46" i="48" s="1"/>
  <c r="E49" i="38"/>
  <c r="E46" i="38" s="1"/>
  <c r="X123" i="42"/>
  <c r="X122" i="42"/>
  <c r="X124" i="42"/>
  <c r="E171" i="42"/>
  <c r="E167" i="42"/>
  <c r="E172" i="42"/>
  <c r="E124" i="48"/>
  <c r="E120" i="48"/>
  <c r="E125" i="48"/>
  <c r="X179" i="42"/>
  <c r="X178" i="42"/>
  <c r="D124" i="38"/>
  <c r="D123" i="38"/>
  <c r="D122" i="38"/>
  <c r="F121" i="46"/>
  <c r="F111" i="38"/>
  <c r="F111" i="42"/>
  <c r="F121" i="48"/>
  <c r="O110" i="42"/>
  <c r="O114" i="42"/>
  <c r="O115" i="42"/>
  <c r="N124" i="38"/>
  <c r="N122" i="38"/>
  <c r="N123" i="38"/>
  <c r="E49" i="48"/>
  <c r="E46" i="48" s="1"/>
  <c r="N123" i="42"/>
  <c r="N122" i="42"/>
  <c r="N124" i="42"/>
  <c r="Y110" i="42"/>
  <c r="Y114" i="42"/>
  <c r="Y115" i="42"/>
  <c r="O185" i="46"/>
  <c r="O189" i="46"/>
  <c r="O190" i="46"/>
  <c r="N197" i="46"/>
  <c r="N196" i="46"/>
  <c r="D197" i="46"/>
  <c r="D196" i="46"/>
  <c r="F47" i="48"/>
  <c r="F49" i="48" s="1"/>
  <c r="F46" i="48" s="1"/>
  <c r="F47" i="42"/>
  <c r="F47" i="38"/>
  <c r="F47" i="46"/>
  <c r="F48" i="46"/>
  <c r="F48" i="42"/>
  <c r="F48" i="48"/>
  <c r="F48" i="38"/>
  <c r="Z47" i="38"/>
  <c r="Z49" i="38" s="1"/>
  <c r="Z46" i="38" s="1"/>
  <c r="Z47" i="46"/>
  <c r="Z47" i="48"/>
  <c r="Z47" i="42"/>
  <c r="Z255" i="46"/>
  <c r="Z254" i="46" s="1"/>
  <c r="Z229" i="38"/>
  <c r="Z228" i="38" s="1"/>
  <c r="Z229" i="42"/>
  <c r="Z228" i="42" s="1"/>
  <c r="Z255" i="48"/>
  <c r="Z254" i="48" s="1"/>
  <c r="AJ86" i="36"/>
  <c r="AL52" i="36"/>
  <c r="AJ80" i="36"/>
  <c r="E110" i="38"/>
  <c r="E115" i="38"/>
  <c r="E114" i="38"/>
  <c r="D123" i="42"/>
  <c r="D124" i="42"/>
  <c r="D122" i="42"/>
  <c r="F238" i="48"/>
  <c r="F237" i="48" s="1"/>
  <c r="F238" i="46"/>
  <c r="F237" i="46" s="1"/>
  <c r="F214" i="38"/>
  <c r="F213" i="38" s="1"/>
  <c r="F214" i="42"/>
  <c r="F213" i="42" s="1"/>
  <c r="E171" i="38"/>
  <c r="E172" i="38"/>
  <c r="E167" i="38"/>
  <c r="O120" i="46"/>
  <c r="O124" i="46"/>
  <c r="O125" i="46"/>
  <c r="E49" i="42"/>
  <c r="E46" i="42" s="1"/>
  <c r="Y49" i="48"/>
  <c r="Y46" i="48" s="1"/>
  <c r="Y120" i="46"/>
  <c r="Y124" i="46"/>
  <c r="Y125" i="46"/>
  <c r="P255" i="46"/>
  <c r="P254" i="46" s="1"/>
  <c r="P229" i="42"/>
  <c r="P228" i="42" s="1"/>
  <c r="P255" i="48"/>
  <c r="P254" i="48" s="1"/>
  <c r="P229" i="38"/>
  <c r="P228" i="38" s="1"/>
  <c r="AA104" i="20"/>
  <c r="AA153" i="20"/>
  <c r="AA193" i="20"/>
  <c r="Z48" i="38"/>
  <c r="Z48" i="46"/>
  <c r="Z48" i="42"/>
  <c r="Z48" i="48"/>
  <c r="AL54" i="36"/>
  <c r="E114" i="42"/>
  <c r="E110" i="42"/>
  <c r="E115" i="42"/>
  <c r="O167" i="38"/>
  <c r="O171" i="38"/>
  <c r="O172" i="38"/>
  <c r="F168" i="42"/>
  <c r="F186" i="46"/>
  <c r="F186" i="48"/>
  <c r="F168" i="38"/>
  <c r="N179" i="42"/>
  <c r="N178" i="42"/>
  <c r="E189" i="48"/>
  <c r="E190" i="48"/>
  <c r="E185" i="48"/>
  <c r="O120" i="48"/>
  <c r="O124" i="48"/>
  <c r="O125" i="48"/>
  <c r="E49" i="46"/>
  <c r="E46" i="46" s="1"/>
  <c r="Y49" i="42"/>
  <c r="Y46" i="42" s="1"/>
  <c r="D179" i="42"/>
  <c r="D178" i="42"/>
  <c r="D197" i="48"/>
  <c r="D196" i="48"/>
  <c r="Y120" i="48"/>
  <c r="Y124" i="48"/>
  <c r="Y125" i="48"/>
  <c r="AM51" i="36"/>
  <c r="Y185" i="46"/>
  <c r="Y189" i="46"/>
  <c r="Y190" i="46"/>
  <c r="X132" i="46"/>
  <c r="X133" i="46"/>
  <c r="X134" i="46"/>
  <c r="G104" i="20"/>
  <c r="G193" i="20"/>
  <c r="G153" i="20"/>
  <c r="Q50" i="20"/>
  <c r="Q51" i="20"/>
  <c r="Q153" i="20"/>
  <c r="Q193" i="20"/>
  <c r="Q104" i="20"/>
  <c r="AL89" i="36"/>
  <c r="AJ61" i="36"/>
  <c r="E125" i="46"/>
  <c r="E124" i="46"/>
  <c r="E120" i="46"/>
  <c r="O185" i="48"/>
  <c r="O189" i="48"/>
  <c r="O190" i="48"/>
  <c r="D179" i="38"/>
  <c r="D178" i="38"/>
  <c r="E190" i="46"/>
  <c r="E185" i="46"/>
  <c r="E189" i="46"/>
  <c r="O110" i="38"/>
  <c r="O114" i="38"/>
  <c r="O115" i="38"/>
  <c r="P238" i="46"/>
  <c r="P237" i="46" s="1"/>
  <c r="P214" i="42"/>
  <c r="P213" i="42" s="1"/>
  <c r="P214" i="38"/>
  <c r="P213" i="38" s="1"/>
  <c r="P238" i="48"/>
  <c r="P237" i="48" s="1"/>
  <c r="X178" i="38"/>
  <c r="X179" i="38"/>
  <c r="Y49" i="46"/>
  <c r="Y46" i="46" s="1"/>
  <c r="N178" i="38"/>
  <c r="N179" i="38"/>
  <c r="O49" i="46"/>
  <c r="O46" i="46" s="1"/>
  <c r="Y110" i="38"/>
  <c r="Y114" i="38"/>
  <c r="Y115" i="38"/>
  <c r="N9" i="54"/>
  <c r="O4" i="54"/>
  <c r="N9" i="53"/>
  <c r="O4" i="53"/>
  <c r="N9" i="48"/>
  <c r="O4" i="48"/>
  <c r="N9" i="46"/>
  <c r="O4" i="46"/>
  <c r="E58" i="48"/>
  <c r="E58" i="46"/>
  <c r="E58" i="42"/>
  <c r="E58" i="38"/>
  <c r="O55" i="48"/>
  <c r="O55" i="46"/>
  <c r="O55" i="42"/>
  <c r="O55" i="38"/>
  <c r="Y58" i="48"/>
  <c r="Y58" i="46"/>
  <c r="Y58" i="42"/>
  <c r="Y58" i="38"/>
  <c r="E56" i="48"/>
  <c r="E56" i="46"/>
  <c r="E56" i="42"/>
  <c r="E56" i="38"/>
  <c r="E57" i="48"/>
  <c r="E57" i="46"/>
  <c r="E57" i="42"/>
  <c r="E57" i="38"/>
  <c r="Y57" i="48"/>
  <c r="Y57" i="46"/>
  <c r="Y57" i="42"/>
  <c r="Y57" i="38"/>
  <c r="O58" i="46"/>
  <c r="O58" i="48"/>
  <c r="O58" i="42"/>
  <c r="O58" i="38"/>
  <c r="O57" i="48"/>
  <c r="O57" i="46"/>
  <c r="O57" i="42"/>
  <c r="O57" i="38"/>
  <c r="Y56" i="48"/>
  <c r="Y56" i="46"/>
  <c r="Y56" i="42"/>
  <c r="Y56" i="38"/>
  <c r="E55" i="48"/>
  <c r="E55" i="46"/>
  <c r="E55" i="42"/>
  <c r="E55" i="38"/>
  <c r="Y55" i="48"/>
  <c r="Y55" i="46"/>
  <c r="Y55" i="42"/>
  <c r="Y55" i="38"/>
  <c r="O56" i="48"/>
  <c r="O56" i="46"/>
  <c r="O56" i="42"/>
  <c r="O56" i="38"/>
  <c r="F34" i="36"/>
  <c r="AJ72" i="36"/>
  <c r="AK34" i="36"/>
  <c r="E22" i="36"/>
  <c r="AK31" i="36"/>
  <c r="F57" i="36"/>
  <c r="F56" i="36"/>
  <c r="AK42" i="36"/>
  <c r="AO48" i="36"/>
  <c r="AP46" i="36"/>
  <c r="AO47" i="36"/>
  <c r="AO50" i="36"/>
  <c r="H39" i="36"/>
  <c r="G41" i="36"/>
  <c r="AM28" i="36"/>
  <c r="AL32" i="36"/>
  <c r="AL33" i="36"/>
  <c r="AL29" i="36"/>
  <c r="AL30" i="36"/>
  <c r="AL40" i="36"/>
  <c r="AM39" i="36"/>
  <c r="AL41" i="36"/>
  <c r="AK57" i="36"/>
  <c r="AK56" i="36"/>
  <c r="K46" i="36"/>
  <c r="G18" i="36"/>
  <c r="H17" i="36"/>
  <c r="AM17" i="36"/>
  <c r="G55" i="36"/>
  <c r="E58" i="36"/>
  <c r="AK20" i="36"/>
  <c r="AK21" i="36"/>
  <c r="AM89" i="36"/>
  <c r="F20" i="36"/>
  <c r="F21" i="36"/>
  <c r="AL18" i="36"/>
  <c r="AL55" i="36"/>
  <c r="AN49" i="36"/>
  <c r="H28" i="36"/>
  <c r="G29" i="36"/>
  <c r="G32" i="36"/>
  <c r="G33" i="36"/>
  <c r="G30" i="36"/>
  <c r="O4" i="19"/>
  <c r="N9" i="19"/>
  <c r="O4" i="38"/>
  <c r="N9" i="38"/>
  <c r="O4" i="42"/>
  <c r="N9" i="42"/>
  <c r="N9" i="28"/>
  <c r="O4" i="28"/>
  <c r="O4" i="29"/>
  <c r="N9" i="29"/>
  <c r="P205" i="20"/>
  <c r="Z205" i="20"/>
  <c r="F205" i="20"/>
  <c r="P103" i="20"/>
  <c r="Z103" i="20"/>
  <c r="F108" i="20"/>
  <c r="F116" i="20" s="1"/>
  <c r="F59" i="20"/>
  <c r="F61" i="20"/>
  <c r="F58" i="20"/>
  <c r="F60" i="20"/>
  <c r="P58" i="20"/>
  <c r="P60" i="20"/>
  <c r="P59" i="20"/>
  <c r="P61" i="20"/>
  <c r="Z59" i="20"/>
  <c r="Z61" i="20"/>
  <c r="Z58" i="20"/>
  <c r="Z60" i="20"/>
  <c r="H5" i="20"/>
  <c r="H6" i="20"/>
  <c r="G206" i="20"/>
  <c r="F157" i="20"/>
  <c r="F164" i="20" s="1"/>
  <c r="Y164" i="20"/>
  <c r="Z152" i="20"/>
  <c r="F156" i="20"/>
  <c r="Z157" i="20"/>
  <c r="Z164" i="20" s="1"/>
  <c r="Q206" i="20"/>
  <c r="AA156" i="20"/>
  <c r="AA206" i="20"/>
  <c r="G152" i="20"/>
  <c r="E164" i="20"/>
  <c r="E163" i="20"/>
  <c r="O164" i="20"/>
  <c r="O163" i="20"/>
  <c r="P152" i="20"/>
  <c r="P156" i="20"/>
  <c r="P157" i="20"/>
  <c r="P52" i="20"/>
  <c r="Z107" i="20"/>
  <c r="O49" i="20"/>
  <c r="O116" i="20"/>
  <c r="O117" i="20"/>
  <c r="O115" i="20"/>
  <c r="E117" i="20"/>
  <c r="E116" i="20"/>
  <c r="E115" i="20"/>
  <c r="Y49" i="20"/>
  <c r="F107" i="20"/>
  <c r="F103" i="20"/>
  <c r="G50" i="20"/>
  <c r="AA50" i="20"/>
  <c r="P107" i="20"/>
  <c r="P108" i="20"/>
  <c r="F52" i="20"/>
  <c r="Z52" i="20"/>
  <c r="AA51" i="20"/>
  <c r="G51" i="20"/>
  <c r="AB1" i="20"/>
  <c r="R1" i="20"/>
  <c r="H1" i="20"/>
  <c r="G4" i="20"/>
  <c r="AJ74" i="36" l="1"/>
  <c r="AM52" i="36"/>
  <c r="AM54" i="36"/>
  <c r="Y133" i="48"/>
  <c r="Y134" i="48"/>
  <c r="Y132" i="48"/>
  <c r="F125" i="46"/>
  <c r="F124" i="46"/>
  <c r="F120" i="46"/>
  <c r="P110" i="38"/>
  <c r="P114" i="38"/>
  <c r="P115" i="38"/>
  <c r="Q111" i="38"/>
  <c r="Q121" i="48"/>
  <c r="Q121" i="46"/>
  <c r="Q111" i="42"/>
  <c r="N339" i="42"/>
  <c r="N340" i="42"/>
  <c r="E179" i="38"/>
  <c r="E178" i="38"/>
  <c r="Y123" i="42"/>
  <c r="Y122" i="42"/>
  <c r="Y124" i="42"/>
  <c r="AB104" i="20"/>
  <c r="AB193" i="20"/>
  <c r="AB153" i="20"/>
  <c r="G47" i="48"/>
  <c r="G49" i="48" s="1"/>
  <c r="G46" i="48" s="1"/>
  <c r="G47" i="42"/>
  <c r="G47" i="38"/>
  <c r="G47" i="46"/>
  <c r="Q214" i="42"/>
  <c r="Q213" i="42" s="1"/>
  <c r="Q238" i="46"/>
  <c r="Q237" i="46" s="1"/>
  <c r="Q214" i="38"/>
  <c r="Q213" i="38" s="1"/>
  <c r="Q238" i="48"/>
  <c r="Q237" i="48" s="1"/>
  <c r="O134" i="48"/>
  <c r="O132" i="48"/>
  <c r="O133" i="48"/>
  <c r="F167" i="38"/>
  <c r="F171" i="38"/>
  <c r="F172" i="38"/>
  <c r="AA186" i="48"/>
  <c r="AA186" i="46"/>
  <c r="AA168" i="38"/>
  <c r="AA168" i="42"/>
  <c r="E179" i="42"/>
  <c r="E178" i="42"/>
  <c r="P49" i="46"/>
  <c r="P46" i="46" s="1"/>
  <c r="X367" i="46"/>
  <c r="X368" i="46"/>
  <c r="N367" i="48"/>
  <c r="N368" i="48"/>
  <c r="D35" i="42"/>
  <c r="X339" i="38"/>
  <c r="X340" i="38"/>
  <c r="Q168" i="38"/>
  <c r="Q168" i="42"/>
  <c r="Q186" i="48"/>
  <c r="Q186" i="46"/>
  <c r="F189" i="48"/>
  <c r="F185" i="48"/>
  <c r="F190" i="48"/>
  <c r="AA121" i="48"/>
  <c r="AA121" i="46"/>
  <c r="AA111" i="42"/>
  <c r="AA111" i="38"/>
  <c r="E123" i="38"/>
  <c r="E124" i="38"/>
  <c r="E122" i="38"/>
  <c r="D367" i="46"/>
  <c r="D368" i="46"/>
  <c r="O123" i="42"/>
  <c r="O122" i="42"/>
  <c r="O124" i="42"/>
  <c r="Y178" i="38"/>
  <c r="Y179" i="38"/>
  <c r="P167" i="42"/>
  <c r="P171" i="42"/>
  <c r="P172" i="42"/>
  <c r="X367" i="48"/>
  <c r="X368" i="48"/>
  <c r="Y123" i="38"/>
  <c r="Y122" i="38"/>
  <c r="Y124" i="38"/>
  <c r="Q48" i="38"/>
  <c r="Q48" i="42"/>
  <c r="Q48" i="46"/>
  <c r="Q48" i="48"/>
  <c r="Y197" i="46"/>
  <c r="Y196" i="46"/>
  <c r="F189" i="46"/>
  <c r="F190" i="46"/>
  <c r="F185" i="46"/>
  <c r="P167" i="38"/>
  <c r="P171" i="38"/>
  <c r="P172" i="38"/>
  <c r="Z185" i="46"/>
  <c r="Z189" i="46"/>
  <c r="Z190" i="46"/>
  <c r="Q229" i="38"/>
  <c r="Q228" i="38" s="1"/>
  <c r="Q255" i="46"/>
  <c r="Q254" i="46" s="1"/>
  <c r="Q229" i="42"/>
  <c r="Q228" i="42" s="1"/>
  <c r="Q255" i="48"/>
  <c r="Q254" i="48" s="1"/>
  <c r="O197" i="48"/>
  <c r="O196" i="48"/>
  <c r="AA214" i="38"/>
  <c r="AA213" i="38" s="1"/>
  <c r="AA238" i="46"/>
  <c r="AA237" i="46" s="1"/>
  <c r="AA238" i="48"/>
  <c r="AA237" i="48" s="1"/>
  <c r="AA214" i="42"/>
  <c r="AA213" i="42" s="1"/>
  <c r="AN51" i="36"/>
  <c r="AL19" i="36"/>
  <c r="D37" i="38"/>
  <c r="Q47" i="38"/>
  <c r="Q49" i="38" s="1"/>
  <c r="Q46" i="38" s="1"/>
  <c r="Q47" i="46"/>
  <c r="Q49" i="46" s="1"/>
  <c r="Q46" i="46" s="1"/>
  <c r="Q47" i="42"/>
  <c r="Q49" i="42" s="1"/>
  <c r="Q46" i="42" s="1"/>
  <c r="Q47" i="48"/>
  <c r="Q49" i="48" s="1"/>
  <c r="Q46" i="48" s="1"/>
  <c r="D368" i="48"/>
  <c r="D367" i="48"/>
  <c r="F167" i="42"/>
  <c r="F172" i="42"/>
  <c r="F171" i="42"/>
  <c r="O133" i="46"/>
  <c r="O132" i="46"/>
  <c r="O134" i="46"/>
  <c r="N367" i="46"/>
  <c r="N368" i="46"/>
  <c r="Z110" i="42"/>
  <c r="Z114" i="42"/>
  <c r="Z115" i="42"/>
  <c r="P185" i="46"/>
  <c r="P189" i="46"/>
  <c r="P190" i="46"/>
  <c r="Z185" i="48"/>
  <c r="Z189" i="48"/>
  <c r="Z190" i="48"/>
  <c r="Y197" i="48"/>
  <c r="Y196" i="48"/>
  <c r="AA47" i="38"/>
  <c r="AA47" i="46"/>
  <c r="AA47" i="48"/>
  <c r="AA47" i="42"/>
  <c r="O123" i="38"/>
  <c r="O124" i="38"/>
  <c r="O122" i="38"/>
  <c r="E123" i="42"/>
  <c r="E124" i="42"/>
  <c r="E122" i="42"/>
  <c r="E196" i="46"/>
  <c r="E197" i="46"/>
  <c r="E134" i="46"/>
  <c r="E132" i="46"/>
  <c r="E133" i="46"/>
  <c r="G186" i="48"/>
  <c r="G186" i="46"/>
  <c r="G168" i="38"/>
  <c r="G168" i="42"/>
  <c r="E197" i="48"/>
  <c r="E196" i="48"/>
  <c r="O178" i="38"/>
  <c r="O179" i="38"/>
  <c r="Z49" i="42"/>
  <c r="Z46" i="42" s="1"/>
  <c r="F49" i="46"/>
  <c r="F46" i="46" s="1"/>
  <c r="O197" i="46"/>
  <c r="O196" i="46"/>
  <c r="F120" i="48"/>
  <c r="F125" i="48"/>
  <c r="F124" i="48"/>
  <c r="X340" i="42"/>
  <c r="X339" i="42"/>
  <c r="Z110" i="38"/>
  <c r="Z114" i="38"/>
  <c r="Z115" i="38"/>
  <c r="P110" i="42"/>
  <c r="P114" i="42"/>
  <c r="P115" i="42"/>
  <c r="P185" i="48"/>
  <c r="P189" i="48"/>
  <c r="P190" i="48"/>
  <c r="Z167" i="42"/>
  <c r="Z171" i="42"/>
  <c r="Z172" i="42"/>
  <c r="G19" i="36"/>
  <c r="AA255" i="48"/>
  <c r="AA254" i="48" s="1"/>
  <c r="AA255" i="46"/>
  <c r="AA254" i="46" s="1"/>
  <c r="AA229" i="42"/>
  <c r="AA228" i="42" s="1"/>
  <c r="AA229" i="38"/>
  <c r="AA228" i="38" s="1"/>
  <c r="G255" i="46"/>
  <c r="G254" i="46" s="1"/>
  <c r="G229" i="42"/>
  <c r="G228" i="42" s="1"/>
  <c r="G229" i="38"/>
  <c r="G228" i="38" s="1"/>
  <c r="G255" i="48"/>
  <c r="G254" i="48" s="1"/>
  <c r="E24" i="36"/>
  <c r="G238" i="48"/>
  <c r="G237" i="48" s="1"/>
  <c r="G238" i="46"/>
  <c r="G237" i="46" s="1"/>
  <c r="G214" i="38"/>
  <c r="G213" i="38" s="1"/>
  <c r="G214" i="42"/>
  <c r="G213" i="42" s="1"/>
  <c r="D339" i="42"/>
  <c r="D340" i="42"/>
  <c r="AL93" i="36"/>
  <c r="Z49" i="48"/>
  <c r="Z46" i="48" s="1"/>
  <c r="F49" i="38"/>
  <c r="F46" i="38" s="1"/>
  <c r="F114" i="42"/>
  <c r="F110" i="42"/>
  <c r="F115" i="42"/>
  <c r="E134" i="48"/>
  <c r="E132" i="48"/>
  <c r="E133" i="48"/>
  <c r="Z120" i="46"/>
  <c r="Z124" i="46"/>
  <c r="Z125" i="46"/>
  <c r="P120" i="46"/>
  <c r="P124" i="46"/>
  <c r="P125" i="46"/>
  <c r="Y179" i="42"/>
  <c r="Y178" i="42"/>
  <c r="Z167" i="38"/>
  <c r="Z171" i="38"/>
  <c r="Z172" i="38"/>
  <c r="R50" i="20"/>
  <c r="R51" i="20"/>
  <c r="R104" i="20"/>
  <c r="R193" i="20"/>
  <c r="R153" i="20"/>
  <c r="AM93" i="36"/>
  <c r="G48" i="48"/>
  <c r="G48" i="42"/>
  <c r="G48" i="38"/>
  <c r="G48" i="46"/>
  <c r="AA48" i="38"/>
  <c r="AA48" i="46"/>
  <c r="AA48" i="48"/>
  <c r="AA48" i="42"/>
  <c r="H104" i="20"/>
  <c r="H193" i="20"/>
  <c r="H153" i="20"/>
  <c r="N340" i="38"/>
  <c r="N339" i="38"/>
  <c r="D340" i="38"/>
  <c r="D339" i="38"/>
  <c r="G111" i="38"/>
  <c r="G121" i="48"/>
  <c r="G121" i="46"/>
  <c r="G111" i="42"/>
  <c r="F36" i="42"/>
  <c r="Y132" i="46"/>
  <c r="Y133" i="46"/>
  <c r="Y134" i="46"/>
  <c r="Z49" i="46"/>
  <c r="Z46" i="46" s="1"/>
  <c r="F49" i="42"/>
  <c r="F46" i="42" s="1"/>
  <c r="F110" i="38"/>
  <c r="F115" i="38"/>
  <c r="F114" i="38"/>
  <c r="Z120" i="48"/>
  <c r="Z124" i="48"/>
  <c r="Z125" i="48"/>
  <c r="P120" i="48"/>
  <c r="P124" i="48"/>
  <c r="P125" i="48"/>
  <c r="O179" i="42"/>
  <c r="O178" i="42"/>
  <c r="P4" i="48"/>
  <c r="O9" i="48"/>
  <c r="P4" i="46"/>
  <c r="O9" i="46"/>
  <c r="P4" i="53"/>
  <c r="O9" i="53"/>
  <c r="P4" i="54"/>
  <c r="O9" i="54"/>
  <c r="Z56" i="48"/>
  <c r="Z56" i="46"/>
  <c r="Z56" i="42"/>
  <c r="Z56" i="38"/>
  <c r="F56" i="48"/>
  <c r="F56" i="46"/>
  <c r="F56" i="42"/>
  <c r="F56" i="38"/>
  <c r="P58" i="48"/>
  <c r="P58" i="46"/>
  <c r="P58" i="42"/>
  <c r="P58" i="38"/>
  <c r="Z55" i="48"/>
  <c r="Z55" i="46"/>
  <c r="Z55" i="42"/>
  <c r="Z55" i="38"/>
  <c r="P56" i="48"/>
  <c r="P56" i="46"/>
  <c r="P56" i="42"/>
  <c r="P56" i="38"/>
  <c r="F55" i="48"/>
  <c r="F55" i="46"/>
  <c r="F55" i="42"/>
  <c r="F55" i="38"/>
  <c r="P55" i="46"/>
  <c r="P55" i="48"/>
  <c r="P55" i="42"/>
  <c r="P55" i="38"/>
  <c r="Z57" i="48"/>
  <c r="Z57" i="46"/>
  <c r="Z57" i="42"/>
  <c r="Z57" i="38"/>
  <c r="F57" i="48"/>
  <c r="F57" i="46"/>
  <c r="F57" i="42"/>
  <c r="F57" i="38"/>
  <c r="Z58" i="48"/>
  <c r="Z58" i="46"/>
  <c r="Z58" i="42"/>
  <c r="Z58" i="38"/>
  <c r="P57" i="48"/>
  <c r="P57" i="46"/>
  <c r="P57" i="42"/>
  <c r="P57" i="38"/>
  <c r="F58" i="48"/>
  <c r="F58" i="46"/>
  <c r="F58" i="42"/>
  <c r="F58" i="38"/>
  <c r="F22" i="36"/>
  <c r="G34" i="36"/>
  <c r="AK69" i="36"/>
  <c r="AL31" i="36"/>
  <c r="AK35" i="36"/>
  <c r="AK22" i="36"/>
  <c r="AL42" i="36"/>
  <c r="AL34" i="36"/>
  <c r="G57" i="36"/>
  <c r="G56" i="36"/>
  <c r="AM41" i="36"/>
  <c r="AM40" i="36"/>
  <c r="AN39" i="36"/>
  <c r="AP47" i="36"/>
  <c r="AQ46" i="36"/>
  <c r="AP48" i="36"/>
  <c r="AP50" i="36"/>
  <c r="F58" i="36"/>
  <c r="H32" i="36"/>
  <c r="H33" i="36"/>
  <c r="H30" i="36"/>
  <c r="I28" i="36"/>
  <c r="H29" i="36"/>
  <c r="AL20" i="36"/>
  <c r="AL21" i="36"/>
  <c r="E61" i="36"/>
  <c r="E59" i="36"/>
  <c r="AM18" i="36"/>
  <c r="AM55" i="36"/>
  <c r="AN89" i="36"/>
  <c r="AN52" i="36"/>
  <c r="AN54" i="36"/>
  <c r="AL56" i="36"/>
  <c r="AL57" i="36"/>
  <c r="I17" i="36"/>
  <c r="H18" i="36"/>
  <c r="AN17" i="36"/>
  <c r="H55" i="36"/>
  <c r="AK58" i="36"/>
  <c r="AM29" i="36"/>
  <c r="AM30" i="36"/>
  <c r="AM32" i="36"/>
  <c r="AN28" i="36"/>
  <c r="AM33" i="36"/>
  <c r="I39" i="36"/>
  <c r="H41" i="36"/>
  <c r="G21" i="36"/>
  <c r="G20" i="36"/>
  <c r="L46" i="36"/>
  <c r="AO49" i="36"/>
  <c r="AK96" i="36"/>
  <c r="AK45" i="36"/>
  <c r="AK43" i="36"/>
  <c r="P4" i="29"/>
  <c r="O9" i="29"/>
  <c r="P4" i="38"/>
  <c r="O9" i="38"/>
  <c r="O9" i="28"/>
  <c r="P4" i="28"/>
  <c r="P4" i="42"/>
  <c r="O9" i="42"/>
  <c r="O9" i="19"/>
  <c r="P4" i="19"/>
  <c r="AA205" i="20"/>
  <c r="G205" i="20"/>
  <c r="Q205" i="20"/>
  <c r="F117" i="20"/>
  <c r="F115" i="20"/>
  <c r="Q103" i="20"/>
  <c r="G59" i="20"/>
  <c r="G61" i="20"/>
  <c r="G60" i="20"/>
  <c r="G58" i="20"/>
  <c r="AA60" i="20"/>
  <c r="AA59" i="20"/>
  <c r="AA61" i="20"/>
  <c r="AA58" i="20"/>
  <c r="Q59" i="20"/>
  <c r="Q58" i="20"/>
  <c r="Q60" i="20"/>
  <c r="Q61" i="20"/>
  <c r="I6" i="20"/>
  <c r="I5" i="20"/>
  <c r="AB206" i="20"/>
  <c r="H206" i="20"/>
  <c r="F163" i="20"/>
  <c r="AA152" i="20"/>
  <c r="Z163" i="20"/>
  <c r="G157" i="20"/>
  <c r="G163" i="20" s="1"/>
  <c r="G156" i="20"/>
  <c r="R206" i="20"/>
  <c r="AA157" i="20"/>
  <c r="AA164" i="20" s="1"/>
  <c r="H156" i="20"/>
  <c r="P164" i="20"/>
  <c r="P163" i="20"/>
  <c r="Q152" i="20"/>
  <c r="Q157" i="20"/>
  <c r="Q156" i="20"/>
  <c r="P49" i="20"/>
  <c r="AB50" i="20"/>
  <c r="P117" i="20"/>
  <c r="P116" i="20"/>
  <c r="P115" i="20"/>
  <c r="F49" i="20"/>
  <c r="G108" i="20"/>
  <c r="G103" i="20"/>
  <c r="Z49" i="20"/>
  <c r="G107" i="20"/>
  <c r="AA107" i="20"/>
  <c r="AA103" i="20"/>
  <c r="H50" i="20"/>
  <c r="Q52" i="20"/>
  <c r="Q107" i="20"/>
  <c r="Q108" i="20"/>
  <c r="AC1" i="20"/>
  <c r="G52" i="20"/>
  <c r="AA52" i="20"/>
  <c r="AB51" i="20"/>
  <c r="H51" i="20"/>
  <c r="S1" i="20"/>
  <c r="D7" i="20"/>
  <c r="D8" i="20"/>
  <c r="H4" i="20"/>
  <c r="I1" i="20"/>
  <c r="E27" i="36" l="1"/>
  <c r="H255" i="48"/>
  <c r="H254" i="48" s="1"/>
  <c r="H255" i="46"/>
  <c r="H254" i="46" s="1"/>
  <c r="H229" i="38"/>
  <c r="H228" i="38" s="1"/>
  <c r="H229" i="42"/>
  <c r="H228" i="42" s="1"/>
  <c r="D33" i="42"/>
  <c r="I104" i="20"/>
  <c r="I193" i="20"/>
  <c r="I153" i="20"/>
  <c r="AB47" i="42"/>
  <c r="AB47" i="46"/>
  <c r="AB47" i="48"/>
  <c r="AB47" i="38"/>
  <c r="AB255" i="48"/>
  <c r="AB254" i="48" s="1"/>
  <c r="AB255" i="46"/>
  <c r="AB254" i="46" s="1"/>
  <c r="AB229" i="42"/>
  <c r="AB228" i="42" s="1"/>
  <c r="AB229" i="38"/>
  <c r="AB228" i="38" s="1"/>
  <c r="H19" i="36"/>
  <c r="AM19" i="36"/>
  <c r="O339" i="42"/>
  <c r="O340" i="42"/>
  <c r="F124" i="38"/>
  <c r="F122" i="38"/>
  <c r="F123" i="38"/>
  <c r="R121" i="48"/>
  <c r="R121" i="46"/>
  <c r="R111" i="38"/>
  <c r="R111" i="42"/>
  <c r="P132" i="46"/>
  <c r="P133" i="46"/>
  <c r="P134" i="46"/>
  <c r="P123" i="42"/>
  <c r="P122" i="42"/>
  <c r="P124" i="42"/>
  <c r="Z197" i="48"/>
  <c r="Z196" i="48"/>
  <c r="AA110" i="38"/>
  <c r="AA114" i="38"/>
  <c r="AA115" i="38"/>
  <c r="Q185" i="48"/>
  <c r="Q189" i="48"/>
  <c r="Q190" i="48"/>
  <c r="AA185" i="46"/>
  <c r="AA189" i="46"/>
  <c r="AA190" i="46"/>
  <c r="AB186" i="48"/>
  <c r="AB168" i="38"/>
  <c r="AB186" i="46"/>
  <c r="AB168" i="42"/>
  <c r="R238" i="46"/>
  <c r="R237" i="46" s="1"/>
  <c r="R238" i="48"/>
  <c r="R237" i="48" s="1"/>
  <c r="R214" i="38"/>
  <c r="R213" i="38" s="1"/>
  <c r="R214" i="42"/>
  <c r="R213" i="42" s="1"/>
  <c r="Q185" i="46"/>
  <c r="Q189" i="46"/>
  <c r="Q190" i="46"/>
  <c r="P134" i="48"/>
  <c r="P133" i="48"/>
  <c r="P132" i="48"/>
  <c r="G114" i="42"/>
  <c r="G110" i="42"/>
  <c r="G115" i="42"/>
  <c r="H168" i="42"/>
  <c r="H186" i="48"/>
  <c r="H168" i="38"/>
  <c r="H186" i="46"/>
  <c r="R48" i="38"/>
  <c r="R48" i="46"/>
  <c r="R48" i="42"/>
  <c r="R48" i="48"/>
  <c r="F122" i="42"/>
  <c r="F124" i="42"/>
  <c r="F123" i="42"/>
  <c r="F133" i="48"/>
  <c r="F134" i="48"/>
  <c r="F132" i="48"/>
  <c r="Y367" i="46"/>
  <c r="Y368" i="46"/>
  <c r="AA110" i="42"/>
  <c r="AA114" i="42"/>
  <c r="AA115" i="42"/>
  <c r="Q167" i="42"/>
  <c r="Q171" i="42"/>
  <c r="Q172" i="42"/>
  <c r="AA185" i="48"/>
  <c r="AA189" i="48"/>
  <c r="AA190" i="48"/>
  <c r="AB214" i="38"/>
  <c r="AB213" i="38" s="1"/>
  <c r="AB238" i="48"/>
  <c r="AB237" i="48" s="1"/>
  <c r="AB238" i="46"/>
  <c r="AB237" i="46" s="1"/>
  <c r="AB214" i="42"/>
  <c r="AB213" i="42" s="1"/>
  <c r="Z197" i="46"/>
  <c r="Z196" i="46"/>
  <c r="AO51" i="36"/>
  <c r="E37" i="38"/>
  <c r="G120" i="46"/>
  <c r="G125" i="46"/>
  <c r="G124" i="46"/>
  <c r="H238" i="46"/>
  <c r="H237" i="46" s="1"/>
  <c r="H238" i="48"/>
  <c r="H237" i="48" s="1"/>
  <c r="H214" i="38"/>
  <c r="H213" i="38" s="1"/>
  <c r="H214" i="42"/>
  <c r="H213" i="42" s="1"/>
  <c r="R47" i="38"/>
  <c r="R47" i="46"/>
  <c r="R49" i="46" s="1"/>
  <c r="R46" i="46" s="1"/>
  <c r="R47" i="48"/>
  <c r="R47" i="42"/>
  <c r="R49" i="42" s="1"/>
  <c r="R46" i="42" s="1"/>
  <c r="Z179" i="42"/>
  <c r="Z178" i="42"/>
  <c r="E367" i="48"/>
  <c r="E368" i="48"/>
  <c r="E367" i="46"/>
  <c r="E368" i="46"/>
  <c r="AA49" i="42"/>
  <c r="AA46" i="42" s="1"/>
  <c r="O367" i="48"/>
  <c r="O368" i="48"/>
  <c r="P178" i="38"/>
  <c r="P179" i="38"/>
  <c r="AA120" i="46"/>
  <c r="AA124" i="46"/>
  <c r="AA125" i="46"/>
  <c r="Q167" i="38"/>
  <c r="Q171" i="38"/>
  <c r="Q172" i="38"/>
  <c r="F179" i="38"/>
  <c r="F178" i="38"/>
  <c r="AB121" i="46"/>
  <c r="AB111" i="42"/>
  <c r="AB111" i="38"/>
  <c r="AB121" i="48"/>
  <c r="Q110" i="42"/>
  <c r="Q114" i="42"/>
  <c r="Q115" i="42"/>
  <c r="Y339" i="42"/>
  <c r="Y340" i="42"/>
  <c r="F179" i="42"/>
  <c r="F178" i="42"/>
  <c r="R255" i="46"/>
  <c r="R254" i="46" s="1"/>
  <c r="R229" i="38"/>
  <c r="R228" i="38" s="1"/>
  <c r="R255" i="48"/>
  <c r="R254" i="48" s="1"/>
  <c r="R229" i="42"/>
  <c r="R228" i="42" s="1"/>
  <c r="F24" i="36"/>
  <c r="G124" i="48"/>
  <c r="G125" i="48"/>
  <c r="G120" i="48"/>
  <c r="H111" i="38"/>
  <c r="H121" i="48"/>
  <c r="H121" i="46"/>
  <c r="H111" i="42"/>
  <c r="Z178" i="38"/>
  <c r="Z179" i="38"/>
  <c r="Z133" i="46"/>
  <c r="Z134" i="46"/>
  <c r="Z132" i="46"/>
  <c r="Z122" i="38"/>
  <c r="Z123" i="38"/>
  <c r="Z124" i="38"/>
  <c r="G167" i="42"/>
  <c r="G172" i="42"/>
  <c r="G171" i="42"/>
  <c r="AA49" i="48"/>
  <c r="AA46" i="48" s="1"/>
  <c r="P197" i="46"/>
  <c r="P196" i="46"/>
  <c r="P179" i="42"/>
  <c r="P178" i="42"/>
  <c r="AA120" i="48"/>
  <c r="AA124" i="48"/>
  <c r="AA125" i="48"/>
  <c r="Q120" i="46"/>
  <c r="Q124" i="46"/>
  <c r="Q125" i="46"/>
  <c r="F132" i="46"/>
  <c r="F133" i="46"/>
  <c r="F134" i="46"/>
  <c r="Y367" i="48"/>
  <c r="Y368" i="48"/>
  <c r="S50" i="20"/>
  <c r="S51" i="20"/>
  <c r="S153" i="20"/>
  <c r="S193" i="20"/>
  <c r="S104" i="20"/>
  <c r="Z133" i="48"/>
  <c r="Z134" i="48"/>
  <c r="Z132" i="48"/>
  <c r="G114" i="38"/>
  <c r="G110" i="38"/>
  <c r="G115" i="38"/>
  <c r="O367" i="46"/>
  <c r="O368" i="46"/>
  <c r="G171" i="38"/>
  <c r="G167" i="38"/>
  <c r="G172" i="38"/>
  <c r="AA49" i="46"/>
  <c r="AA46" i="46" s="1"/>
  <c r="G36" i="42"/>
  <c r="F197" i="48"/>
  <c r="F196" i="48"/>
  <c r="G49" i="46"/>
  <c r="G46" i="46" s="1"/>
  <c r="Q120" i="48"/>
  <c r="Q124" i="48"/>
  <c r="Q125" i="48"/>
  <c r="E25" i="36"/>
  <c r="AA167" i="38"/>
  <c r="AA171" i="38"/>
  <c r="AA172" i="38"/>
  <c r="AC104" i="20"/>
  <c r="AC153" i="20"/>
  <c r="AC193" i="20"/>
  <c r="H48" i="48"/>
  <c r="H48" i="42"/>
  <c r="H48" i="38"/>
  <c r="H48" i="46"/>
  <c r="H47" i="38"/>
  <c r="H47" i="42"/>
  <c r="H49" i="42" s="1"/>
  <c r="H46" i="42" s="1"/>
  <c r="H47" i="46"/>
  <c r="H49" i="46" s="1"/>
  <c r="H46" i="46" s="1"/>
  <c r="H47" i="48"/>
  <c r="H49" i="48" s="1"/>
  <c r="H46" i="48" s="1"/>
  <c r="D37" i="42"/>
  <c r="AN93" i="36"/>
  <c r="E35" i="42"/>
  <c r="D34" i="38"/>
  <c r="P197" i="48"/>
  <c r="P196" i="48"/>
  <c r="G190" i="46"/>
  <c r="G189" i="46"/>
  <c r="G185" i="46"/>
  <c r="AA49" i="38"/>
  <c r="AA46" i="38" s="1"/>
  <c r="E339" i="42"/>
  <c r="E340" i="42"/>
  <c r="G49" i="38"/>
  <c r="G46" i="38" s="1"/>
  <c r="Q110" i="38"/>
  <c r="Q114" i="38"/>
  <c r="Q115" i="38"/>
  <c r="O339" i="38"/>
  <c r="O340" i="38"/>
  <c r="E339" i="38"/>
  <c r="E340" i="38"/>
  <c r="AB48" i="38"/>
  <c r="AB48" i="46"/>
  <c r="AB48" i="48"/>
  <c r="AB48" i="42"/>
  <c r="AK68" i="36"/>
  <c r="E83" i="36"/>
  <c r="R186" i="48"/>
  <c r="R168" i="38"/>
  <c r="R168" i="42"/>
  <c r="R186" i="46"/>
  <c r="G189" i="48"/>
  <c r="G185" i="48"/>
  <c r="G190" i="48"/>
  <c r="Z123" i="42"/>
  <c r="Z122" i="42"/>
  <c r="Z124" i="42"/>
  <c r="F197" i="46"/>
  <c r="F196" i="46"/>
  <c r="Y339" i="38"/>
  <c r="Y340" i="38"/>
  <c r="AA167" i="42"/>
  <c r="AA171" i="42"/>
  <c r="AA172" i="42"/>
  <c r="G49" i="42"/>
  <c r="G46" i="42" s="1"/>
  <c r="P124" i="38"/>
  <c r="P123" i="38"/>
  <c r="P122" i="38"/>
  <c r="P9" i="53"/>
  <c r="Q4" i="53"/>
  <c r="Q4" i="46"/>
  <c r="P9" i="46"/>
  <c r="Q4" i="54"/>
  <c r="P9" i="54"/>
  <c r="P9" i="48"/>
  <c r="Q4" i="48"/>
  <c r="G55" i="48"/>
  <c r="G55" i="46"/>
  <c r="G55" i="42"/>
  <c r="G55" i="38"/>
  <c r="G57" i="48"/>
  <c r="G57" i="46"/>
  <c r="G57" i="42"/>
  <c r="G57" i="38"/>
  <c r="Q58" i="48"/>
  <c r="Q58" i="46"/>
  <c r="Q58" i="42"/>
  <c r="Q58" i="38"/>
  <c r="AA55" i="48"/>
  <c r="AA55" i="46"/>
  <c r="AA55" i="42"/>
  <c r="AA55" i="38"/>
  <c r="Q57" i="48"/>
  <c r="Q57" i="46"/>
  <c r="Q57" i="42"/>
  <c r="Q57" i="38"/>
  <c r="AA58" i="48"/>
  <c r="AA58" i="46"/>
  <c r="AA58" i="42"/>
  <c r="AA58" i="38"/>
  <c r="Q55" i="48"/>
  <c r="Q55" i="46"/>
  <c r="Q55" i="42"/>
  <c r="Q55" i="38"/>
  <c r="AA56" i="48"/>
  <c r="AA56" i="46"/>
  <c r="AA56" i="42"/>
  <c r="AA56" i="38"/>
  <c r="G58" i="48"/>
  <c r="G58" i="46"/>
  <c r="G58" i="42"/>
  <c r="G58" i="38"/>
  <c r="Q56" i="48"/>
  <c r="Q56" i="46"/>
  <c r="Q56" i="42"/>
  <c r="Q56" i="38"/>
  <c r="AA57" i="48"/>
  <c r="AA57" i="46"/>
  <c r="AA57" i="42"/>
  <c r="AA57" i="38"/>
  <c r="G56" i="48"/>
  <c r="G56" i="46"/>
  <c r="G56" i="42"/>
  <c r="G56" i="38"/>
  <c r="F27" i="36"/>
  <c r="E34" i="38"/>
  <c r="F83" i="36"/>
  <c r="AL69" i="36"/>
  <c r="AP49" i="36"/>
  <c r="AL22" i="36"/>
  <c r="F25" i="36"/>
  <c r="AK24" i="36"/>
  <c r="AL58" i="36"/>
  <c r="H34" i="36"/>
  <c r="AL35" i="36"/>
  <c r="AM34" i="36"/>
  <c r="AK36" i="36"/>
  <c r="AK38" i="36"/>
  <c r="AK76" i="36"/>
  <c r="AL96" i="36"/>
  <c r="AL43" i="36"/>
  <c r="AL45" i="36"/>
  <c r="AM31" i="36"/>
  <c r="G22" i="36"/>
  <c r="AO39" i="36"/>
  <c r="AN41" i="36"/>
  <c r="AN40" i="36"/>
  <c r="AO89" i="36"/>
  <c r="M46" i="36"/>
  <c r="H20" i="36"/>
  <c r="H21" i="36"/>
  <c r="AO17" i="36"/>
  <c r="J17" i="36"/>
  <c r="I18" i="36"/>
  <c r="I55" i="36"/>
  <c r="J28" i="36"/>
  <c r="I32" i="36"/>
  <c r="I30" i="36"/>
  <c r="I29" i="36"/>
  <c r="I33" i="36"/>
  <c r="AM42" i="36"/>
  <c r="H57" i="36"/>
  <c r="H56" i="36"/>
  <c r="AM20" i="36"/>
  <c r="AM21" i="36"/>
  <c r="AQ48" i="36"/>
  <c r="AR46" i="36"/>
  <c r="AQ50" i="36"/>
  <c r="AQ47" i="36"/>
  <c r="J39" i="36"/>
  <c r="I41" i="36"/>
  <c r="AN29" i="36"/>
  <c r="AN30" i="36"/>
  <c r="AO28" i="36"/>
  <c r="AN33" i="36"/>
  <c r="AN32" i="36"/>
  <c r="AK59" i="36"/>
  <c r="AK61" i="36"/>
  <c r="AN18" i="36"/>
  <c r="AN55" i="36"/>
  <c r="AM56" i="36"/>
  <c r="AM57" i="36"/>
  <c r="F61" i="36"/>
  <c r="F59" i="36"/>
  <c r="G58" i="36"/>
  <c r="P9" i="42"/>
  <c r="Q4" i="42"/>
  <c r="P9" i="28"/>
  <c r="Q4" i="28"/>
  <c r="Q4" i="38"/>
  <c r="P9" i="38"/>
  <c r="P9" i="19"/>
  <c r="Q4" i="19"/>
  <c r="Q4" i="29"/>
  <c r="P9" i="29"/>
  <c r="H205" i="20"/>
  <c r="R205" i="20"/>
  <c r="AB205" i="20"/>
  <c r="R103" i="20"/>
  <c r="AB103" i="20"/>
  <c r="H58" i="20"/>
  <c r="H60" i="20"/>
  <c r="H59" i="20"/>
  <c r="H61" i="20"/>
  <c r="AB58" i="20"/>
  <c r="AB60" i="20"/>
  <c r="AB59" i="20"/>
  <c r="AB61" i="20"/>
  <c r="R59" i="20"/>
  <c r="R61" i="20"/>
  <c r="R58" i="20"/>
  <c r="R60" i="20"/>
  <c r="J5" i="20"/>
  <c r="J6" i="20"/>
  <c r="I206" i="20"/>
  <c r="G164" i="20"/>
  <c r="H152" i="20"/>
  <c r="AA163" i="20"/>
  <c r="S206" i="20"/>
  <c r="H157" i="20"/>
  <c r="H164" i="20" s="1"/>
  <c r="AC152" i="20"/>
  <c r="AC206" i="20"/>
  <c r="I156" i="20"/>
  <c r="Q164" i="20"/>
  <c r="Q163" i="20"/>
  <c r="R152" i="20"/>
  <c r="R156" i="20"/>
  <c r="R157" i="20"/>
  <c r="AB152" i="20"/>
  <c r="AB156" i="20"/>
  <c r="AB157" i="20"/>
  <c r="G116" i="20"/>
  <c r="G117" i="20"/>
  <c r="G115" i="20"/>
  <c r="Q117" i="20"/>
  <c r="Q116" i="20"/>
  <c r="Q115" i="20"/>
  <c r="H107" i="20"/>
  <c r="H103" i="20"/>
  <c r="Q49" i="20"/>
  <c r="G49" i="20"/>
  <c r="AA49" i="20"/>
  <c r="H52" i="20"/>
  <c r="H108" i="20"/>
  <c r="I50" i="20"/>
  <c r="AC50" i="20"/>
  <c r="AB107" i="20"/>
  <c r="R108" i="20"/>
  <c r="R107" i="20"/>
  <c r="AD1" i="20"/>
  <c r="AC51" i="20"/>
  <c r="R52" i="20"/>
  <c r="AB52" i="20"/>
  <c r="I51" i="20"/>
  <c r="T1" i="20"/>
  <c r="E8" i="20"/>
  <c r="E7" i="20"/>
  <c r="D9" i="20"/>
  <c r="J1" i="20"/>
  <c r="I4" i="20"/>
  <c r="S214" i="38" l="1"/>
  <c r="S213" i="38" s="1"/>
  <c r="S238" i="48"/>
  <c r="S237" i="48" s="1"/>
  <c r="S238" i="46"/>
  <c r="S237" i="46" s="1"/>
  <c r="S214" i="42"/>
  <c r="S213" i="42" s="1"/>
  <c r="Q123" i="42"/>
  <c r="Q122" i="42"/>
  <c r="Q124" i="42"/>
  <c r="G123" i="42"/>
  <c r="G122" i="42"/>
  <c r="G124" i="42"/>
  <c r="I214" i="42"/>
  <c r="I213" i="42" s="1"/>
  <c r="I238" i="48"/>
  <c r="I237" i="48" s="1"/>
  <c r="I238" i="46"/>
  <c r="I237" i="46" s="1"/>
  <c r="I214" i="38"/>
  <c r="I213" i="38" s="1"/>
  <c r="F37" i="38"/>
  <c r="F35" i="42"/>
  <c r="F86" i="36"/>
  <c r="R185" i="46"/>
  <c r="R189" i="46"/>
  <c r="R190" i="46"/>
  <c r="G197" i="46"/>
  <c r="G196" i="46"/>
  <c r="G123" i="38"/>
  <c r="G124" i="38"/>
  <c r="G122" i="38"/>
  <c r="S186" i="48"/>
  <c r="S186" i="46"/>
  <c r="S168" i="38"/>
  <c r="S168" i="42"/>
  <c r="Q132" i="46"/>
  <c r="Q133" i="46"/>
  <c r="Q134" i="46"/>
  <c r="H124" i="48"/>
  <c r="H120" i="48"/>
  <c r="H125" i="48"/>
  <c r="Q178" i="38"/>
  <c r="Q179" i="38"/>
  <c r="Z339" i="42"/>
  <c r="Z340" i="42"/>
  <c r="AA197" i="46"/>
  <c r="AA196" i="46"/>
  <c r="I111" i="38"/>
  <c r="I121" i="48"/>
  <c r="I121" i="46"/>
  <c r="I111" i="42"/>
  <c r="P340" i="42"/>
  <c r="P339" i="42"/>
  <c r="F340" i="38"/>
  <c r="F339" i="38"/>
  <c r="H36" i="42"/>
  <c r="AL24" i="36"/>
  <c r="F367" i="46"/>
  <c r="F368" i="46"/>
  <c r="R167" i="42"/>
  <c r="R171" i="42"/>
  <c r="R172" i="42"/>
  <c r="E86" i="36"/>
  <c r="S48" i="38"/>
  <c r="S48" i="46"/>
  <c r="S48" i="48"/>
  <c r="S48" i="42"/>
  <c r="P367" i="46"/>
  <c r="P368" i="46"/>
  <c r="H114" i="38"/>
  <c r="H110" i="38"/>
  <c r="H115" i="38"/>
  <c r="Z367" i="46"/>
  <c r="Z368" i="46"/>
  <c r="Q179" i="42"/>
  <c r="Q178" i="42"/>
  <c r="R110" i="42"/>
  <c r="R114" i="42"/>
  <c r="R115" i="42"/>
  <c r="AK80" i="36"/>
  <c r="AP51" i="36"/>
  <c r="R167" i="38"/>
  <c r="R171" i="38"/>
  <c r="R172" i="38"/>
  <c r="P367" i="48"/>
  <c r="P368" i="48"/>
  <c r="AC238" i="48"/>
  <c r="AC237" i="48" s="1"/>
  <c r="AC214" i="38"/>
  <c r="AC213" i="38" s="1"/>
  <c r="AC238" i="46"/>
  <c r="AC237" i="46" s="1"/>
  <c r="AC214" i="42"/>
  <c r="AC213" i="42" s="1"/>
  <c r="Q133" i="48"/>
  <c r="Q134" i="48"/>
  <c r="Q132" i="48"/>
  <c r="S47" i="38"/>
  <c r="S47" i="46"/>
  <c r="S49" i="46" s="1"/>
  <c r="S46" i="46" s="1"/>
  <c r="S47" i="48"/>
  <c r="S49" i="48" s="1"/>
  <c r="S46" i="48" s="1"/>
  <c r="S47" i="42"/>
  <c r="S49" i="42" s="1"/>
  <c r="S46" i="42" s="1"/>
  <c r="AB120" i="48"/>
  <c r="AB124" i="48"/>
  <c r="AB125" i="48"/>
  <c r="R49" i="48"/>
  <c r="R46" i="48" s="1"/>
  <c r="G132" i="46"/>
  <c r="G134" i="46"/>
  <c r="G133" i="46"/>
  <c r="Z367" i="48"/>
  <c r="Z368" i="48"/>
  <c r="R110" i="38"/>
  <c r="R114" i="38"/>
  <c r="R115" i="38"/>
  <c r="AB49" i="38"/>
  <c r="AB46" i="38" s="1"/>
  <c r="I19" i="36"/>
  <c r="I229" i="38"/>
  <c r="I228" i="38" s="1"/>
  <c r="I255" i="48"/>
  <c r="I254" i="48" s="1"/>
  <c r="I255" i="46"/>
  <c r="I254" i="46" s="1"/>
  <c r="I229" i="42"/>
  <c r="I228" i="42" s="1"/>
  <c r="AC47" i="46"/>
  <c r="AC47" i="42"/>
  <c r="AC49" i="42" s="1"/>
  <c r="AC46" i="42" s="1"/>
  <c r="AC47" i="48"/>
  <c r="AC47" i="38"/>
  <c r="AC229" i="42"/>
  <c r="AC228" i="42" s="1"/>
  <c r="AC255" i="46"/>
  <c r="AC254" i="46" s="1"/>
  <c r="AC229" i="38"/>
  <c r="AC228" i="38" s="1"/>
  <c r="AC255" i="48"/>
  <c r="AC254" i="48" s="1"/>
  <c r="AM69" i="36"/>
  <c r="G24" i="36"/>
  <c r="AA179" i="42"/>
  <c r="AA178" i="42"/>
  <c r="R185" i="48"/>
  <c r="R189" i="48"/>
  <c r="R190" i="48"/>
  <c r="AC168" i="42"/>
  <c r="AC186" i="48"/>
  <c r="AC168" i="38"/>
  <c r="AC186" i="46"/>
  <c r="G178" i="38"/>
  <c r="G179" i="38"/>
  <c r="AA134" i="48"/>
  <c r="AA132" i="48"/>
  <c r="AA133" i="48"/>
  <c r="G133" i="48"/>
  <c r="G134" i="48"/>
  <c r="G132" i="48"/>
  <c r="AB110" i="38"/>
  <c r="AB114" i="38"/>
  <c r="AB115" i="38"/>
  <c r="AA132" i="46"/>
  <c r="AA133" i="46"/>
  <c r="AA134" i="46"/>
  <c r="H189" i="46"/>
  <c r="H190" i="46"/>
  <c r="H185" i="46"/>
  <c r="Q197" i="48"/>
  <c r="Q196" i="48"/>
  <c r="R120" i="46"/>
  <c r="R124" i="46"/>
  <c r="R125" i="46"/>
  <c r="AB49" i="48"/>
  <c r="AB46" i="48" s="1"/>
  <c r="F368" i="48"/>
  <c r="F367" i="48"/>
  <c r="AB185" i="48"/>
  <c r="AB189" i="48"/>
  <c r="AB190" i="48"/>
  <c r="T50" i="20"/>
  <c r="T51" i="20"/>
  <c r="T104" i="20"/>
  <c r="T193" i="20"/>
  <c r="T153" i="20"/>
  <c r="I48" i="38"/>
  <c r="I48" i="42"/>
  <c r="I48" i="46"/>
  <c r="I48" i="48"/>
  <c r="I47" i="38"/>
  <c r="I49" i="38" s="1"/>
  <c r="I46" i="38" s="1"/>
  <c r="I47" i="46"/>
  <c r="I49" i="46" s="1"/>
  <c r="I46" i="46" s="1"/>
  <c r="I47" i="42"/>
  <c r="I47" i="48"/>
  <c r="E33" i="42"/>
  <c r="AC111" i="42"/>
  <c r="AC121" i="46"/>
  <c r="AC111" i="38"/>
  <c r="AC121" i="48"/>
  <c r="G179" i="42"/>
  <c r="G178" i="42"/>
  <c r="Z340" i="38"/>
  <c r="Z339" i="38"/>
  <c r="F339" i="42"/>
  <c r="F340" i="42"/>
  <c r="AB110" i="42"/>
  <c r="AB114" i="42"/>
  <c r="AB115" i="42"/>
  <c r="R49" i="38"/>
  <c r="R46" i="38" s="1"/>
  <c r="AA123" i="42"/>
  <c r="AA122" i="42"/>
  <c r="AA124" i="42"/>
  <c r="H171" i="38"/>
  <c r="H167" i="38"/>
  <c r="H172" i="38"/>
  <c r="AB167" i="42"/>
  <c r="AB171" i="42"/>
  <c r="AB172" i="42"/>
  <c r="R120" i="48"/>
  <c r="R124" i="48"/>
  <c r="R125" i="48"/>
  <c r="AB49" i="46"/>
  <c r="AB46" i="46" s="1"/>
  <c r="Q124" i="38"/>
  <c r="Q122" i="38"/>
  <c r="Q123" i="38"/>
  <c r="H120" i="46"/>
  <c r="H124" i="46"/>
  <c r="H125" i="46"/>
  <c r="AO54" i="36"/>
  <c r="G197" i="48"/>
  <c r="G196" i="48"/>
  <c r="H49" i="38"/>
  <c r="H46" i="38" s="1"/>
  <c r="AA179" i="38"/>
  <c r="AA178" i="38"/>
  <c r="AB120" i="46"/>
  <c r="AB124" i="46"/>
  <c r="AB125" i="46"/>
  <c r="H189" i="48"/>
  <c r="H185" i="48"/>
  <c r="H190" i="48"/>
  <c r="Q197" i="46"/>
  <c r="Q196" i="46"/>
  <c r="AB185" i="46"/>
  <c r="AB189" i="46"/>
  <c r="AB190" i="46"/>
  <c r="AB49" i="42"/>
  <c r="AB46" i="42" s="1"/>
  <c r="AD104" i="20"/>
  <c r="AD193" i="20"/>
  <c r="AD153" i="20"/>
  <c r="D34" i="42"/>
  <c r="J104" i="20"/>
  <c r="J193" i="20"/>
  <c r="J153" i="20"/>
  <c r="AC48" i="46"/>
  <c r="AC48" i="48"/>
  <c r="AC48" i="38"/>
  <c r="AC48" i="42"/>
  <c r="S255" i="48"/>
  <c r="S254" i="48" s="1"/>
  <c r="S255" i="46"/>
  <c r="S254" i="46" s="1"/>
  <c r="S229" i="38"/>
  <c r="S228" i="38" s="1"/>
  <c r="S229" i="42"/>
  <c r="S228" i="42" s="1"/>
  <c r="AN19" i="36"/>
  <c r="AO52" i="36"/>
  <c r="E37" i="42"/>
  <c r="S121" i="48"/>
  <c r="S121" i="46"/>
  <c r="S111" i="42"/>
  <c r="S111" i="38"/>
  <c r="H110" i="42"/>
  <c r="H115" i="42"/>
  <c r="H114" i="42"/>
  <c r="P340" i="38"/>
  <c r="P339" i="38"/>
  <c r="AA197" i="48"/>
  <c r="AA196" i="48"/>
  <c r="H171" i="42"/>
  <c r="H167" i="42"/>
  <c r="H172" i="42"/>
  <c r="AB167" i="38"/>
  <c r="AB171" i="38"/>
  <c r="AB172" i="38"/>
  <c r="AA124" i="38"/>
  <c r="AA122" i="38"/>
  <c r="AA123" i="38"/>
  <c r="I168" i="38"/>
  <c r="I186" i="48"/>
  <c r="I168" i="42"/>
  <c r="I186" i="46"/>
  <c r="AL83" i="36"/>
  <c r="R4" i="48"/>
  <c r="Q9" i="48"/>
  <c r="R4" i="54"/>
  <c r="Q9" i="54"/>
  <c r="R4" i="46"/>
  <c r="Q9" i="46"/>
  <c r="Q9" i="53"/>
  <c r="R4" i="53"/>
  <c r="AM35" i="36"/>
  <c r="AL68" i="36"/>
  <c r="AB56" i="48"/>
  <c r="AB56" i="46"/>
  <c r="AB56" i="42"/>
  <c r="AB56" i="38"/>
  <c r="R58" i="48"/>
  <c r="R58" i="46"/>
  <c r="R58" i="42"/>
  <c r="R58" i="38"/>
  <c r="AB57" i="48"/>
  <c r="AB57" i="46"/>
  <c r="AB57" i="42"/>
  <c r="AB57" i="38"/>
  <c r="H57" i="48"/>
  <c r="H57" i="46"/>
  <c r="H57" i="42"/>
  <c r="H57" i="38"/>
  <c r="R55" i="48"/>
  <c r="R55" i="46"/>
  <c r="R55" i="42"/>
  <c r="R55" i="38"/>
  <c r="H56" i="48"/>
  <c r="H56" i="46"/>
  <c r="H56" i="42"/>
  <c r="H56" i="38"/>
  <c r="R56" i="48"/>
  <c r="R56" i="46"/>
  <c r="R56" i="42"/>
  <c r="R56" i="38"/>
  <c r="AB55" i="48"/>
  <c r="AB55" i="46"/>
  <c r="AB55" i="42"/>
  <c r="AB55" i="38"/>
  <c r="H55" i="48"/>
  <c r="H55" i="46"/>
  <c r="H55" i="42"/>
  <c r="H55" i="38"/>
  <c r="R57" i="48"/>
  <c r="R57" i="46"/>
  <c r="R57" i="42"/>
  <c r="R57" i="38"/>
  <c r="AB58" i="48"/>
  <c r="AB58" i="46"/>
  <c r="AB58" i="42"/>
  <c r="AB58" i="38"/>
  <c r="H58" i="48"/>
  <c r="H58" i="46"/>
  <c r="H58" i="42"/>
  <c r="H58" i="38"/>
  <c r="AK83" i="36"/>
  <c r="AK25" i="36"/>
  <c r="AK27" i="36"/>
  <c r="G25" i="36"/>
  <c r="F34" i="38"/>
  <c r="AQ49" i="36"/>
  <c r="H58" i="36"/>
  <c r="AL27" i="36"/>
  <c r="AL25" i="36"/>
  <c r="AL59" i="36"/>
  <c r="AL61" i="36"/>
  <c r="G27" i="36"/>
  <c r="H22" i="36"/>
  <c r="AM22" i="36"/>
  <c r="AN42" i="36"/>
  <c r="I34" i="36"/>
  <c r="AN31" i="36"/>
  <c r="AL36" i="36"/>
  <c r="AL38" i="36"/>
  <c r="AL76" i="36"/>
  <c r="AN34" i="36"/>
  <c r="AN57" i="36"/>
  <c r="AN56" i="36"/>
  <c r="AP89" i="36"/>
  <c r="AP52" i="36"/>
  <c r="AP54" i="36"/>
  <c r="AM58" i="36"/>
  <c r="K39" i="36"/>
  <c r="J41" i="36"/>
  <c r="J33" i="36"/>
  <c r="J30" i="36"/>
  <c r="J32" i="36"/>
  <c r="J29" i="36"/>
  <c r="K28" i="36"/>
  <c r="AP17" i="36"/>
  <c r="J18" i="36"/>
  <c r="K17" i="36"/>
  <c r="J55" i="36"/>
  <c r="AM45" i="36"/>
  <c r="AM43" i="36"/>
  <c r="AM96" i="36"/>
  <c r="I21" i="36"/>
  <c r="I20" i="36"/>
  <c r="AO18" i="36"/>
  <c r="AO55" i="36"/>
  <c r="AN21" i="36"/>
  <c r="AN20" i="36"/>
  <c r="I57" i="36"/>
  <c r="I56" i="36"/>
  <c r="N46" i="36"/>
  <c r="G59" i="36"/>
  <c r="G61" i="36"/>
  <c r="AO32" i="36"/>
  <c r="AO30" i="36"/>
  <c r="AP28" i="36"/>
  <c r="AO33" i="36"/>
  <c r="AO29" i="36"/>
  <c r="AR48" i="36"/>
  <c r="AR50" i="36"/>
  <c r="AS46" i="36"/>
  <c r="AR47" i="36"/>
  <c r="AO40" i="36"/>
  <c r="AO41" i="36"/>
  <c r="AP39" i="36"/>
  <c r="R4" i="29"/>
  <c r="Q9" i="29"/>
  <c r="Q9" i="19"/>
  <c r="R4" i="19"/>
  <c r="R4" i="38"/>
  <c r="Q9" i="38"/>
  <c r="Q9" i="42"/>
  <c r="R4" i="42"/>
  <c r="Q9" i="28"/>
  <c r="R4" i="28"/>
  <c r="S205" i="20"/>
  <c r="AC205" i="20"/>
  <c r="I205" i="20"/>
  <c r="AC103" i="20"/>
  <c r="I103" i="20"/>
  <c r="S103" i="20"/>
  <c r="S59" i="20"/>
  <c r="S61" i="20"/>
  <c r="S60" i="20"/>
  <c r="S58" i="20"/>
  <c r="I58" i="20"/>
  <c r="I60" i="20"/>
  <c r="I59" i="20"/>
  <c r="I61" i="20"/>
  <c r="AC58" i="20"/>
  <c r="AC60" i="20"/>
  <c r="AC59" i="20"/>
  <c r="AC61" i="20"/>
  <c r="K6" i="20"/>
  <c r="K5" i="20"/>
  <c r="AD206" i="20"/>
  <c r="J206" i="20"/>
  <c r="AC156" i="20"/>
  <c r="I152" i="20"/>
  <c r="H163" i="20"/>
  <c r="I157" i="20"/>
  <c r="I164" i="20" s="1"/>
  <c r="T206" i="20"/>
  <c r="AC157" i="20"/>
  <c r="AC163" i="20" s="1"/>
  <c r="J152" i="20"/>
  <c r="R164" i="20"/>
  <c r="R163" i="20"/>
  <c r="AB164" i="20"/>
  <c r="AB163" i="20"/>
  <c r="S152" i="20"/>
  <c r="S156" i="20"/>
  <c r="S157" i="20"/>
  <c r="AE1" i="20"/>
  <c r="I107" i="20"/>
  <c r="H117" i="20"/>
  <c r="H116" i="20"/>
  <c r="H115" i="20"/>
  <c r="R116" i="20"/>
  <c r="R117" i="20"/>
  <c r="R115" i="20"/>
  <c r="I108" i="20"/>
  <c r="AC107" i="20"/>
  <c r="AB49" i="20"/>
  <c r="R49" i="20"/>
  <c r="H49" i="20"/>
  <c r="AC52" i="20"/>
  <c r="AD50" i="20"/>
  <c r="J50" i="20"/>
  <c r="S108" i="20"/>
  <c r="S107" i="20"/>
  <c r="I52" i="20"/>
  <c r="S52" i="20"/>
  <c r="AD51" i="20"/>
  <c r="J51" i="20"/>
  <c r="U1" i="20"/>
  <c r="F8" i="20"/>
  <c r="F7" i="20"/>
  <c r="E9" i="20"/>
  <c r="J4" i="20"/>
  <c r="K1" i="20"/>
  <c r="G83" i="36" l="1"/>
  <c r="F33" i="42"/>
  <c r="AC120" i="46"/>
  <c r="AC124" i="46"/>
  <c r="AC125" i="46"/>
  <c r="S49" i="38"/>
  <c r="S46" i="38" s="1"/>
  <c r="H122" i="38"/>
  <c r="H123" i="38"/>
  <c r="H124" i="38"/>
  <c r="K104" i="20"/>
  <c r="K193" i="20"/>
  <c r="K153" i="20"/>
  <c r="AL80" i="36"/>
  <c r="AB178" i="38"/>
  <c r="AB179" i="38"/>
  <c r="S120" i="48"/>
  <c r="S124" i="48"/>
  <c r="S125" i="48"/>
  <c r="J121" i="48"/>
  <c r="J121" i="46"/>
  <c r="J111" i="38"/>
  <c r="J111" i="42"/>
  <c r="H132" i="46"/>
  <c r="H133" i="46"/>
  <c r="H134" i="46"/>
  <c r="AC110" i="42"/>
  <c r="AC114" i="42"/>
  <c r="AC115" i="42"/>
  <c r="AB197" i="48"/>
  <c r="AB196" i="48"/>
  <c r="R197" i="48"/>
  <c r="R196" i="48"/>
  <c r="AC49" i="46"/>
  <c r="AC46" i="46" s="1"/>
  <c r="R124" i="38"/>
  <c r="R123" i="38"/>
  <c r="R122" i="38"/>
  <c r="R123" i="42"/>
  <c r="R122" i="42"/>
  <c r="R124" i="42"/>
  <c r="E34" i="42"/>
  <c r="I125" i="46"/>
  <c r="I120" i="46"/>
  <c r="I124" i="46"/>
  <c r="S167" i="38"/>
  <c r="S171" i="38"/>
  <c r="S172" i="38"/>
  <c r="R197" i="46"/>
  <c r="R196" i="46"/>
  <c r="AM36" i="36"/>
  <c r="I190" i="46"/>
  <c r="I189" i="46"/>
  <c r="I185" i="46"/>
  <c r="AB124" i="38"/>
  <c r="AB122" i="38"/>
  <c r="AB123" i="38"/>
  <c r="AB133" i="48"/>
  <c r="AB132" i="48"/>
  <c r="AB134" i="48"/>
  <c r="R178" i="38"/>
  <c r="R179" i="38"/>
  <c r="I124" i="48"/>
  <c r="I120" i="48"/>
  <c r="I125" i="48"/>
  <c r="H132" i="48"/>
  <c r="H134" i="48"/>
  <c r="H133" i="48"/>
  <c r="S185" i="46"/>
  <c r="S189" i="46"/>
  <c r="S190" i="46"/>
  <c r="J238" i="48"/>
  <c r="J237" i="48" s="1"/>
  <c r="J238" i="46"/>
  <c r="J237" i="46" s="1"/>
  <c r="J214" i="42"/>
  <c r="J213" i="42" s="1"/>
  <c r="J214" i="38"/>
  <c r="J213" i="38" s="1"/>
  <c r="R134" i="48"/>
  <c r="R132" i="48"/>
  <c r="R133" i="48"/>
  <c r="S167" i="42"/>
  <c r="S171" i="42"/>
  <c r="S172" i="42"/>
  <c r="AP93" i="36"/>
  <c r="J255" i="46"/>
  <c r="J254" i="46" s="1"/>
  <c r="J229" i="38"/>
  <c r="J228" i="38" s="1"/>
  <c r="J229" i="42"/>
  <c r="J228" i="42" s="1"/>
  <c r="J255" i="48"/>
  <c r="J254" i="48" s="1"/>
  <c r="AL86" i="36"/>
  <c r="AK86" i="36"/>
  <c r="I172" i="42"/>
  <c r="I171" i="42"/>
  <c r="I167" i="42"/>
  <c r="AB179" i="42"/>
  <c r="AB178" i="42"/>
  <c r="Q367" i="48"/>
  <c r="Q368" i="48"/>
  <c r="G340" i="38"/>
  <c r="G339" i="38"/>
  <c r="R179" i="42"/>
  <c r="R178" i="42"/>
  <c r="I114" i="38"/>
  <c r="I110" i="38"/>
  <c r="I115" i="38"/>
  <c r="S185" i="48"/>
  <c r="S189" i="48"/>
  <c r="S190" i="48"/>
  <c r="F37" i="42"/>
  <c r="S120" i="46"/>
  <c r="S124" i="46"/>
  <c r="S125" i="46"/>
  <c r="T47" i="42"/>
  <c r="T49" i="42" s="1"/>
  <c r="T46" i="42" s="1"/>
  <c r="T47" i="46"/>
  <c r="T47" i="48"/>
  <c r="T47" i="38"/>
  <c r="AE51" i="20"/>
  <c r="AE104" i="20"/>
  <c r="AE153" i="20"/>
  <c r="AE193" i="20"/>
  <c r="AD229" i="42"/>
  <c r="AD228" i="42" s="1"/>
  <c r="AD255" i="48"/>
  <c r="AD254" i="48" s="1"/>
  <c r="AD255" i="46"/>
  <c r="AD254" i="46" s="1"/>
  <c r="AD229" i="38"/>
  <c r="AD228" i="38" s="1"/>
  <c r="I189" i="48"/>
  <c r="I185" i="48"/>
  <c r="I190" i="48"/>
  <c r="H179" i="42"/>
  <c r="H178" i="42"/>
  <c r="H122" i="42"/>
  <c r="H124" i="42"/>
  <c r="H123" i="42"/>
  <c r="AO93" i="36"/>
  <c r="AD168" i="42"/>
  <c r="AD186" i="48"/>
  <c r="AD186" i="46"/>
  <c r="AD168" i="38"/>
  <c r="Q367" i="46"/>
  <c r="Q368" i="46"/>
  <c r="AA339" i="38"/>
  <c r="AA340" i="38"/>
  <c r="I49" i="48"/>
  <c r="I46" i="48" s="1"/>
  <c r="T186" i="48"/>
  <c r="T168" i="38"/>
  <c r="T186" i="46"/>
  <c r="T168" i="42"/>
  <c r="AA367" i="48"/>
  <c r="AA368" i="48"/>
  <c r="AB132" i="46"/>
  <c r="AB134" i="46"/>
  <c r="AB133" i="46"/>
  <c r="Q340" i="38"/>
  <c r="Q339" i="38"/>
  <c r="J47" i="38"/>
  <c r="J47" i="46"/>
  <c r="J47" i="48"/>
  <c r="J47" i="42"/>
  <c r="AM24" i="36"/>
  <c r="H59" i="36"/>
  <c r="I167" i="38"/>
  <c r="I171" i="38"/>
  <c r="I172" i="38"/>
  <c r="AD238" i="48"/>
  <c r="AD237" i="48" s="1"/>
  <c r="AD214" i="38"/>
  <c r="AD213" i="38" s="1"/>
  <c r="AD238" i="46"/>
  <c r="AD237" i="46" s="1"/>
  <c r="AD214" i="42"/>
  <c r="AD213" i="42" s="1"/>
  <c r="H197" i="48"/>
  <c r="H196" i="48"/>
  <c r="AB123" i="42"/>
  <c r="AB122" i="42"/>
  <c r="AB124" i="42"/>
  <c r="G339" i="42"/>
  <c r="G340" i="42"/>
  <c r="I49" i="42"/>
  <c r="I46" i="42" s="1"/>
  <c r="T214" i="38"/>
  <c r="T213" i="38" s="1"/>
  <c r="T238" i="48"/>
  <c r="T237" i="48" s="1"/>
  <c r="T238" i="46"/>
  <c r="T237" i="46" s="1"/>
  <c r="T214" i="42"/>
  <c r="T213" i="42" s="1"/>
  <c r="H197" i="46"/>
  <c r="H196" i="46"/>
  <c r="AC185" i="46"/>
  <c r="AC189" i="46"/>
  <c r="AC190" i="46"/>
  <c r="AA339" i="42"/>
  <c r="AA340" i="42"/>
  <c r="Q339" i="42"/>
  <c r="Q340" i="42"/>
  <c r="AA367" i="46"/>
  <c r="AA368" i="46"/>
  <c r="G86" i="36"/>
  <c r="AM76" i="36"/>
  <c r="AB197" i="46"/>
  <c r="AB196" i="46"/>
  <c r="G367" i="46"/>
  <c r="G368" i="46"/>
  <c r="AD47" i="48"/>
  <c r="AD49" i="48" s="1"/>
  <c r="AD46" i="48" s="1"/>
  <c r="AD47" i="42"/>
  <c r="AD47" i="38"/>
  <c r="AD47" i="46"/>
  <c r="T255" i="48"/>
  <c r="T254" i="48" s="1"/>
  <c r="T255" i="46"/>
  <c r="T254" i="46" s="1"/>
  <c r="T229" i="38"/>
  <c r="T228" i="38" s="1"/>
  <c r="T229" i="42"/>
  <c r="T228" i="42" s="1"/>
  <c r="H24" i="36"/>
  <c r="AQ51" i="36"/>
  <c r="AM38" i="36"/>
  <c r="S110" i="38"/>
  <c r="S114" i="38"/>
  <c r="S115" i="38"/>
  <c r="AD121" i="46"/>
  <c r="AD111" i="38"/>
  <c r="AD111" i="42"/>
  <c r="AD121" i="48"/>
  <c r="H179" i="38"/>
  <c r="H178" i="38"/>
  <c r="AC120" i="48"/>
  <c r="AC124" i="48"/>
  <c r="AC125" i="48"/>
  <c r="T121" i="46"/>
  <c r="T111" i="42"/>
  <c r="T111" i="38"/>
  <c r="T121" i="48"/>
  <c r="AC167" i="38"/>
  <c r="AC171" i="38"/>
  <c r="AC172" i="38"/>
  <c r="AC49" i="38"/>
  <c r="AC46" i="38" s="1"/>
  <c r="I36" i="42"/>
  <c r="AD48" i="46"/>
  <c r="AD48" i="42"/>
  <c r="AD48" i="48"/>
  <c r="AD48" i="38"/>
  <c r="AC167" i="42"/>
  <c r="AC171" i="42"/>
  <c r="AC172" i="42"/>
  <c r="I114" i="42"/>
  <c r="I115" i="42"/>
  <c r="I110" i="42"/>
  <c r="U50" i="20"/>
  <c r="U51" i="20"/>
  <c r="U193" i="20"/>
  <c r="U104" i="20"/>
  <c r="U153" i="20"/>
  <c r="J48" i="38"/>
  <c r="J48" i="46"/>
  <c r="J48" i="42"/>
  <c r="J48" i="48"/>
  <c r="AO19" i="36"/>
  <c r="J19" i="36"/>
  <c r="S110" i="42"/>
  <c r="S114" i="42"/>
  <c r="S115" i="42"/>
  <c r="J186" i="48"/>
  <c r="J168" i="38"/>
  <c r="J168" i="42"/>
  <c r="J186" i="46"/>
  <c r="G367" i="48"/>
  <c r="G368" i="48"/>
  <c r="AC110" i="38"/>
  <c r="AC114" i="38"/>
  <c r="AC115" i="38"/>
  <c r="T48" i="38"/>
  <c r="T48" i="46"/>
  <c r="T48" i="48"/>
  <c r="T48" i="42"/>
  <c r="R132" i="46"/>
  <c r="R134" i="46"/>
  <c r="R133" i="46"/>
  <c r="AC185" i="48"/>
  <c r="AC189" i="48"/>
  <c r="AC190" i="48"/>
  <c r="AC49" i="48"/>
  <c r="AC46" i="48" s="1"/>
  <c r="R9" i="46"/>
  <c r="S4" i="46"/>
  <c r="R9" i="54"/>
  <c r="S4" i="54"/>
  <c r="R9" i="53"/>
  <c r="S4" i="53"/>
  <c r="R9" i="48"/>
  <c r="S4" i="48"/>
  <c r="AN35" i="36"/>
  <c r="AC56" i="46"/>
  <c r="AC56" i="48"/>
  <c r="AC56" i="42"/>
  <c r="AC56" i="38"/>
  <c r="S57" i="48"/>
  <c r="S57" i="46"/>
  <c r="S57" i="42"/>
  <c r="S57" i="38"/>
  <c r="AC57" i="48"/>
  <c r="AC57" i="46"/>
  <c r="AC57" i="42"/>
  <c r="AC57" i="38"/>
  <c r="S58" i="48"/>
  <c r="S58" i="46"/>
  <c r="S58" i="42"/>
  <c r="S58" i="38"/>
  <c r="AC55" i="48"/>
  <c r="AC55" i="46"/>
  <c r="AC55" i="42"/>
  <c r="AC55" i="38"/>
  <c r="I55" i="48"/>
  <c r="I55" i="46"/>
  <c r="I55" i="42"/>
  <c r="I55" i="38"/>
  <c r="S56" i="48"/>
  <c r="S56" i="46"/>
  <c r="S56" i="42"/>
  <c r="S56" i="38"/>
  <c r="I56" i="46"/>
  <c r="I56" i="48"/>
  <c r="I56" i="42"/>
  <c r="I56" i="38"/>
  <c r="I57" i="48"/>
  <c r="I57" i="46"/>
  <c r="I57" i="42"/>
  <c r="I57" i="38"/>
  <c r="AC58" i="48"/>
  <c r="AC58" i="46"/>
  <c r="AC58" i="42"/>
  <c r="AC58" i="38"/>
  <c r="I58" i="48"/>
  <c r="I58" i="46"/>
  <c r="I58" i="42"/>
  <c r="I58" i="38"/>
  <c r="S55" i="48"/>
  <c r="S55" i="46"/>
  <c r="S55" i="42"/>
  <c r="S55" i="38"/>
  <c r="AN96" i="36"/>
  <c r="G35" i="42"/>
  <c r="H61" i="36"/>
  <c r="G37" i="38"/>
  <c r="AQ52" i="36"/>
  <c r="AR49" i="36"/>
  <c r="I22" i="36"/>
  <c r="AM68" i="36"/>
  <c r="AN58" i="36"/>
  <c r="AN43" i="36"/>
  <c r="AN45" i="36"/>
  <c r="AO31" i="36"/>
  <c r="AN38" i="36"/>
  <c r="AN36" i="36"/>
  <c r="AN76" i="36"/>
  <c r="AO34" i="36"/>
  <c r="J34" i="36"/>
  <c r="I58" i="36"/>
  <c r="AN22" i="36"/>
  <c r="AQ17" i="36"/>
  <c r="L17" i="36"/>
  <c r="K18" i="36"/>
  <c r="K55" i="36"/>
  <c r="K41" i="36"/>
  <c r="L39" i="36"/>
  <c r="AO42" i="36"/>
  <c r="J20" i="36"/>
  <c r="AM59" i="36"/>
  <c r="AM61" i="36"/>
  <c r="AN69" i="36"/>
  <c r="AO56" i="36"/>
  <c r="AO57" i="36"/>
  <c r="AP18" i="36"/>
  <c r="AP55" i="36"/>
  <c r="L28" i="36"/>
  <c r="K29" i="36"/>
  <c r="K30" i="36"/>
  <c r="K33" i="36"/>
  <c r="K32" i="36"/>
  <c r="AP30" i="36"/>
  <c r="AP33" i="36"/>
  <c r="AP29" i="36"/>
  <c r="AQ28" i="36"/>
  <c r="AP32" i="36"/>
  <c r="AQ39" i="36"/>
  <c r="AP40" i="36"/>
  <c r="AP41" i="36"/>
  <c r="AS50" i="36"/>
  <c r="AS48" i="36"/>
  <c r="AT46" i="36"/>
  <c r="AS47" i="36"/>
  <c r="O46" i="36"/>
  <c r="J56" i="36"/>
  <c r="J57" i="36"/>
  <c r="R9" i="28"/>
  <c r="S4" i="28"/>
  <c r="S4" i="19"/>
  <c r="R9" i="19"/>
  <c r="S4" i="42"/>
  <c r="R9" i="42"/>
  <c r="S4" i="38"/>
  <c r="R9" i="38"/>
  <c r="S4" i="29"/>
  <c r="R9" i="29"/>
  <c r="J205" i="20"/>
  <c r="AD205" i="20"/>
  <c r="T205" i="20"/>
  <c r="T103" i="20"/>
  <c r="AD103" i="20"/>
  <c r="T58" i="20"/>
  <c r="T60" i="20"/>
  <c r="T59" i="20"/>
  <c r="T61" i="20"/>
  <c r="AE59" i="20"/>
  <c r="AE61" i="20"/>
  <c r="AE58" i="20"/>
  <c r="AE60" i="20"/>
  <c r="AD59" i="20"/>
  <c r="AD61" i="20"/>
  <c r="AD58" i="20"/>
  <c r="AD60" i="20"/>
  <c r="J59" i="20"/>
  <c r="J61" i="20"/>
  <c r="J58" i="20"/>
  <c r="J60" i="20"/>
  <c r="L5" i="20"/>
  <c r="L6" i="20"/>
  <c r="K206" i="20"/>
  <c r="J157" i="20"/>
  <c r="J163" i="20" s="1"/>
  <c r="I163" i="20"/>
  <c r="AC164" i="20"/>
  <c r="AE157" i="20"/>
  <c r="AE206" i="20"/>
  <c r="J156" i="20"/>
  <c r="U206" i="20"/>
  <c r="K152" i="20"/>
  <c r="S164" i="20"/>
  <c r="S163" i="20"/>
  <c r="AF1" i="20"/>
  <c r="T152" i="20"/>
  <c r="T156" i="20"/>
  <c r="T157" i="20"/>
  <c r="AD152" i="20"/>
  <c r="AD157" i="20"/>
  <c r="AD156" i="20"/>
  <c r="AE50" i="20"/>
  <c r="I117" i="20"/>
  <c r="I116" i="20"/>
  <c r="I115" i="20"/>
  <c r="S116" i="20"/>
  <c r="S117" i="20"/>
  <c r="S115" i="20"/>
  <c r="T52" i="20"/>
  <c r="AD52" i="20"/>
  <c r="I49" i="20"/>
  <c r="S49" i="20"/>
  <c r="AD107" i="20"/>
  <c r="AC49" i="20"/>
  <c r="J108" i="20"/>
  <c r="J103" i="20"/>
  <c r="J107" i="20"/>
  <c r="K50" i="20"/>
  <c r="T107" i="20"/>
  <c r="T108" i="20"/>
  <c r="J52" i="20"/>
  <c r="K51" i="20"/>
  <c r="V1" i="20"/>
  <c r="G8" i="20"/>
  <c r="G7" i="20"/>
  <c r="F9" i="20"/>
  <c r="L1" i="20"/>
  <c r="K4" i="20"/>
  <c r="AO20" i="36" l="1"/>
  <c r="AM27" i="36"/>
  <c r="AQ54" i="36"/>
  <c r="F34" i="42"/>
  <c r="AM83" i="36"/>
  <c r="AM25" i="36"/>
  <c r="AO21" i="36"/>
  <c r="J36" i="42"/>
  <c r="AQ89" i="36"/>
  <c r="AD120" i="46"/>
  <c r="AD124" i="46"/>
  <c r="AD125" i="46"/>
  <c r="K255" i="48"/>
  <c r="K254" i="48" s="1"/>
  <c r="K255" i="46"/>
  <c r="K254" i="46" s="1"/>
  <c r="K229" i="38"/>
  <c r="K228" i="38" s="1"/>
  <c r="K229" i="42"/>
  <c r="K228" i="42" s="1"/>
  <c r="J21" i="36"/>
  <c r="AN68" i="36"/>
  <c r="H83" i="36"/>
  <c r="AC197" i="48"/>
  <c r="AC196" i="48"/>
  <c r="J172" i="42"/>
  <c r="J171" i="42"/>
  <c r="J167" i="42"/>
  <c r="U238" i="46"/>
  <c r="U237" i="46" s="1"/>
  <c r="U214" i="38"/>
  <c r="U213" i="38" s="1"/>
  <c r="U238" i="48"/>
  <c r="U237" i="48" s="1"/>
  <c r="U214" i="42"/>
  <c r="U213" i="42" s="1"/>
  <c r="AC179" i="38"/>
  <c r="AC178" i="38"/>
  <c r="S124" i="38"/>
  <c r="S123" i="38"/>
  <c r="S122" i="38"/>
  <c r="T185" i="48"/>
  <c r="T189" i="48"/>
  <c r="T190" i="48"/>
  <c r="AD185" i="48"/>
  <c r="AD189" i="48"/>
  <c r="AD190" i="48"/>
  <c r="H339" i="42"/>
  <c r="H340" i="42"/>
  <c r="AE238" i="48"/>
  <c r="AE237" i="48" s="1"/>
  <c r="AE214" i="42"/>
  <c r="AE213" i="42" s="1"/>
  <c r="AE214" i="38"/>
  <c r="AE213" i="38" s="1"/>
  <c r="AE238" i="46"/>
  <c r="AE237" i="46" s="1"/>
  <c r="S132" i="46"/>
  <c r="S134" i="46"/>
  <c r="S133" i="46"/>
  <c r="I124" i="38"/>
  <c r="I123" i="38"/>
  <c r="I122" i="38"/>
  <c r="S179" i="42"/>
  <c r="S178" i="42"/>
  <c r="I134" i="48"/>
  <c r="I132" i="48"/>
  <c r="I133" i="48"/>
  <c r="R367" i="46"/>
  <c r="R368" i="46"/>
  <c r="K121" i="48"/>
  <c r="K121" i="46"/>
  <c r="K111" i="42"/>
  <c r="K111" i="38"/>
  <c r="V50" i="20"/>
  <c r="V51" i="20"/>
  <c r="V104" i="20"/>
  <c r="V153" i="20"/>
  <c r="V193" i="20"/>
  <c r="U229" i="42"/>
  <c r="U228" i="42" s="1"/>
  <c r="U255" i="48"/>
  <c r="U254" i="48" s="1"/>
  <c r="U229" i="38"/>
  <c r="U228" i="38" s="1"/>
  <c r="U255" i="46"/>
  <c r="U254" i="46" s="1"/>
  <c r="AP19" i="36"/>
  <c r="H35" i="42"/>
  <c r="AR51" i="36"/>
  <c r="J171" i="38"/>
  <c r="J167" i="38"/>
  <c r="J172" i="38"/>
  <c r="U48" i="46"/>
  <c r="U48" i="48"/>
  <c r="U48" i="38"/>
  <c r="U48" i="42"/>
  <c r="AD167" i="42"/>
  <c r="AD171" i="42"/>
  <c r="AD172" i="42"/>
  <c r="I197" i="48"/>
  <c r="I196" i="48"/>
  <c r="AE186" i="46"/>
  <c r="AE186" i="48"/>
  <c r="AE168" i="38"/>
  <c r="AE168" i="42"/>
  <c r="S178" i="38"/>
  <c r="S179" i="38"/>
  <c r="R367" i="48"/>
  <c r="R368" i="48"/>
  <c r="AB339" i="38"/>
  <c r="AB340" i="38"/>
  <c r="J190" i="46"/>
  <c r="J185" i="46"/>
  <c r="J189" i="46"/>
  <c r="AC133" i="48"/>
  <c r="AC134" i="48"/>
  <c r="AC132" i="48"/>
  <c r="AN59" i="36"/>
  <c r="AQ93" i="36"/>
  <c r="AC124" i="38"/>
  <c r="AC122" i="38"/>
  <c r="AC123" i="38"/>
  <c r="J189" i="48"/>
  <c r="J185" i="48"/>
  <c r="J190" i="48"/>
  <c r="U47" i="46"/>
  <c r="U49" i="46" s="1"/>
  <c r="U46" i="46" s="1"/>
  <c r="U47" i="42"/>
  <c r="U49" i="42" s="1"/>
  <c r="U46" i="42" s="1"/>
  <c r="U47" i="48"/>
  <c r="U49" i="48" s="1"/>
  <c r="U46" i="48" s="1"/>
  <c r="U47" i="38"/>
  <c r="U49" i="38" s="1"/>
  <c r="U46" i="38" s="1"/>
  <c r="H368" i="46"/>
  <c r="H367" i="46"/>
  <c r="J49" i="42"/>
  <c r="J46" i="42" s="1"/>
  <c r="AE121" i="48"/>
  <c r="AE111" i="38"/>
  <c r="AE121" i="46"/>
  <c r="AE111" i="42"/>
  <c r="AB339" i="42"/>
  <c r="AB340" i="42"/>
  <c r="S197" i="46"/>
  <c r="S196" i="46"/>
  <c r="J114" i="42"/>
  <c r="J110" i="42"/>
  <c r="J115" i="42"/>
  <c r="S123" i="42"/>
  <c r="S122" i="42"/>
  <c r="S124" i="42"/>
  <c r="T120" i="48"/>
  <c r="T124" i="48"/>
  <c r="T125" i="48"/>
  <c r="H340" i="38"/>
  <c r="H339" i="38"/>
  <c r="AB367" i="46"/>
  <c r="AB368" i="46"/>
  <c r="I178" i="38"/>
  <c r="I179" i="38"/>
  <c r="J49" i="48"/>
  <c r="J46" i="48" s="1"/>
  <c r="AE48" i="48"/>
  <c r="AE48" i="42"/>
  <c r="AE48" i="38"/>
  <c r="AE48" i="46"/>
  <c r="R339" i="38"/>
  <c r="R340" i="38"/>
  <c r="AB367" i="48"/>
  <c r="AB368" i="48"/>
  <c r="J114" i="38"/>
  <c r="J110" i="38"/>
  <c r="J115" i="38"/>
  <c r="U121" i="46"/>
  <c r="U111" i="42"/>
  <c r="U111" i="38"/>
  <c r="U121" i="48"/>
  <c r="AD185" i="46"/>
  <c r="AD189" i="46"/>
  <c r="AD190" i="46"/>
  <c r="K48" i="38"/>
  <c r="K48" i="46"/>
  <c r="K48" i="48"/>
  <c r="K48" i="42"/>
  <c r="AE255" i="48"/>
  <c r="AE254" i="48" s="1"/>
  <c r="AE229" i="38"/>
  <c r="AE228" i="38" s="1"/>
  <c r="AE255" i="46"/>
  <c r="AE254" i="46" s="1"/>
  <c r="AE229" i="42"/>
  <c r="AE228" i="42" s="1"/>
  <c r="G34" i="38"/>
  <c r="I122" i="42"/>
  <c r="I123" i="42"/>
  <c r="I124" i="42"/>
  <c r="T110" i="38"/>
  <c r="T114" i="38"/>
  <c r="T115" i="38"/>
  <c r="AD120" i="48"/>
  <c r="AD124" i="48"/>
  <c r="AD125" i="48"/>
  <c r="AD49" i="46"/>
  <c r="AD46" i="46" s="1"/>
  <c r="J49" i="46"/>
  <c r="J46" i="46" s="1"/>
  <c r="T49" i="38"/>
  <c r="T46" i="38" s="1"/>
  <c r="R339" i="42"/>
  <c r="R340" i="42"/>
  <c r="AC123" i="42"/>
  <c r="AC122" i="42"/>
  <c r="AC124" i="42"/>
  <c r="J124" i="46"/>
  <c r="J120" i="46"/>
  <c r="J125" i="46"/>
  <c r="AC133" i="46"/>
  <c r="AC134" i="46"/>
  <c r="AC132" i="46"/>
  <c r="I24" i="36"/>
  <c r="L104" i="20"/>
  <c r="L153" i="20"/>
  <c r="L193" i="20"/>
  <c r="AF104" i="20"/>
  <c r="AF153" i="20"/>
  <c r="AF193" i="20"/>
  <c r="K19" i="36"/>
  <c r="AN80" i="36"/>
  <c r="AM86" i="36"/>
  <c r="H27" i="36"/>
  <c r="T110" i="42"/>
  <c r="T114" i="42"/>
  <c r="T115" i="42"/>
  <c r="AD110" i="42"/>
  <c r="AD114" i="42"/>
  <c r="AD115" i="42"/>
  <c r="AD49" i="38"/>
  <c r="AD46" i="38" s="1"/>
  <c r="J49" i="38"/>
  <c r="J46" i="38" s="1"/>
  <c r="T167" i="42"/>
  <c r="T171" i="42"/>
  <c r="T172" i="42"/>
  <c r="T49" i="48"/>
  <c r="T46" i="48" s="1"/>
  <c r="S197" i="48"/>
  <c r="S196" i="48"/>
  <c r="I179" i="42"/>
  <c r="I178" i="42"/>
  <c r="I197" i="46"/>
  <c r="I196" i="46"/>
  <c r="J120" i="48"/>
  <c r="J125" i="48"/>
  <c r="J124" i="48"/>
  <c r="K186" i="48"/>
  <c r="K186" i="46"/>
  <c r="K168" i="38"/>
  <c r="K168" i="42"/>
  <c r="T167" i="38"/>
  <c r="T171" i="38"/>
  <c r="T172" i="38"/>
  <c r="K47" i="38"/>
  <c r="K49" i="38" s="1"/>
  <c r="K46" i="38" s="1"/>
  <c r="K47" i="46"/>
  <c r="K49" i="46" s="1"/>
  <c r="K46" i="46" s="1"/>
  <c r="K47" i="48"/>
  <c r="K49" i="48" s="1"/>
  <c r="K46" i="48" s="1"/>
  <c r="K47" i="42"/>
  <c r="AE47" i="48"/>
  <c r="AE49" i="48" s="1"/>
  <c r="AE46" i="48" s="1"/>
  <c r="AE47" i="42"/>
  <c r="AE49" i="42" s="1"/>
  <c r="AE46" i="42" s="1"/>
  <c r="AE47" i="38"/>
  <c r="AE49" i="38" s="1"/>
  <c r="AE46" i="38" s="1"/>
  <c r="AE47" i="46"/>
  <c r="AE49" i="46" s="1"/>
  <c r="AE46" i="46" s="1"/>
  <c r="H25" i="36"/>
  <c r="G33" i="42"/>
  <c r="U168" i="42"/>
  <c r="U186" i="48"/>
  <c r="U186" i="46"/>
  <c r="U168" i="38"/>
  <c r="AC179" i="42"/>
  <c r="AC178" i="42"/>
  <c r="T120" i="46"/>
  <c r="T124" i="46"/>
  <c r="T125" i="46"/>
  <c r="AD110" i="38"/>
  <c r="AD114" i="38"/>
  <c r="AD115" i="38"/>
  <c r="AD49" i="42"/>
  <c r="AD46" i="42" s="1"/>
  <c r="AC197" i="46"/>
  <c r="AC196" i="46"/>
  <c r="H367" i="48"/>
  <c r="H368" i="48"/>
  <c r="T185" i="46"/>
  <c r="T189" i="46"/>
  <c r="T190" i="46"/>
  <c r="AD167" i="38"/>
  <c r="AD171" i="38"/>
  <c r="AD172" i="38"/>
  <c r="T49" i="46"/>
  <c r="T46" i="46" s="1"/>
  <c r="AM80" i="36"/>
  <c r="I133" i="46"/>
  <c r="I134" i="46"/>
  <c r="I132" i="46"/>
  <c r="S133" i="48"/>
  <c r="S134" i="48"/>
  <c r="S132" i="48"/>
  <c r="K214" i="38"/>
  <c r="K213" i="38" s="1"/>
  <c r="K238" i="46"/>
  <c r="K237" i="46" s="1"/>
  <c r="K214" i="42"/>
  <c r="K213" i="42" s="1"/>
  <c r="K238" i="48"/>
  <c r="K237" i="48" s="1"/>
  <c r="AN24" i="36"/>
  <c r="T4" i="48"/>
  <c r="S9" i="48"/>
  <c r="S9" i="53"/>
  <c r="T4" i="53"/>
  <c r="T4" i="54"/>
  <c r="S9" i="54"/>
  <c r="S9" i="46"/>
  <c r="T4" i="46"/>
  <c r="AE57" i="48"/>
  <c r="AE57" i="46"/>
  <c r="AE57" i="42"/>
  <c r="AE57" i="38"/>
  <c r="AD55" i="48"/>
  <c r="AD55" i="46"/>
  <c r="AD55" i="42"/>
  <c r="AD55" i="38"/>
  <c r="AD57" i="46"/>
  <c r="AD57" i="48"/>
  <c r="AD57" i="42"/>
  <c r="AD57" i="38"/>
  <c r="J55" i="48"/>
  <c r="J55" i="46"/>
  <c r="J55" i="42"/>
  <c r="J55" i="38"/>
  <c r="T56" i="48"/>
  <c r="T56" i="46"/>
  <c r="T56" i="42"/>
  <c r="T56" i="38"/>
  <c r="J58" i="48"/>
  <c r="J58" i="46"/>
  <c r="J58" i="42"/>
  <c r="J58" i="38"/>
  <c r="AD58" i="48"/>
  <c r="AD58" i="46"/>
  <c r="AD58" i="42"/>
  <c r="AD58" i="38"/>
  <c r="AE58" i="46"/>
  <c r="AE58" i="48"/>
  <c r="AE58" i="42"/>
  <c r="AE58" i="38"/>
  <c r="T57" i="48"/>
  <c r="T57" i="46"/>
  <c r="T57" i="42"/>
  <c r="T57" i="38"/>
  <c r="J57" i="46"/>
  <c r="J57" i="48"/>
  <c r="J57" i="42"/>
  <c r="J57" i="38"/>
  <c r="T58" i="48"/>
  <c r="T58" i="46"/>
  <c r="T58" i="42"/>
  <c r="T58" i="38"/>
  <c r="AE55" i="48"/>
  <c r="AE55" i="46"/>
  <c r="AE55" i="42"/>
  <c r="AE55" i="38"/>
  <c r="J56" i="48"/>
  <c r="J56" i="46"/>
  <c r="J56" i="42"/>
  <c r="J56" i="38"/>
  <c r="AD56" i="48"/>
  <c r="AD56" i="46"/>
  <c r="AD56" i="42"/>
  <c r="AD56" i="38"/>
  <c r="AE56" i="48"/>
  <c r="AE56" i="46"/>
  <c r="AE56" i="42"/>
  <c r="AE56" i="38"/>
  <c r="T55" i="48"/>
  <c r="T55" i="46"/>
  <c r="T55" i="42"/>
  <c r="T55" i="38"/>
  <c r="AO69" i="36"/>
  <c r="AN61" i="36"/>
  <c r="G37" i="42"/>
  <c r="AR54" i="36"/>
  <c r="K36" i="42"/>
  <c r="I59" i="36"/>
  <c r="H37" i="38"/>
  <c r="AP34" i="36"/>
  <c r="AO35" i="36"/>
  <c r="AR89" i="36"/>
  <c r="AR52" i="36"/>
  <c r="I61" i="36"/>
  <c r="I25" i="36"/>
  <c r="I27" i="36"/>
  <c r="J58" i="36"/>
  <c r="AO22" i="36"/>
  <c r="K34" i="36"/>
  <c r="AP31" i="36"/>
  <c r="AN27" i="36"/>
  <c r="AN83" i="36"/>
  <c r="AN25" i="36"/>
  <c r="AS49" i="36"/>
  <c r="AQ32" i="36"/>
  <c r="AQ29" i="36"/>
  <c r="AQ30" i="36"/>
  <c r="AQ33" i="36"/>
  <c r="AR28" i="36"/>
  <c r="L32" i="36"/>
  <c r="L33" i="36"/>
  <c r="L29" i="36"/>
  <c r="L30" i="36"/>
  <c r="M28" i="36"/>
  <c r="M39" i="36"/>
  <c r="L41" i="36"/>
  <c r="K21" i="36"/>
  <c r="K20" i="36"/>
  <c r="K57" i="36"/>
  <c r="K56" i="36"/>
  <c r="P46" i="36"/>
  <c r="AT50" i="36"/>
  <c r="AT47" i="36"/>
  <c r="AU46" i="36"/>
  <c r="AT48" i="36"/>
  <c r="AP42" i="36"/>
  <c r="AO58" i="36"/>
  <c r="AO96" i="36"/>
  <c r="AO43" i="36"/>
  <c r="AO45" i="36"/>
  <c r="AR17" i="36"/>
  <c r="M17" i="36"/>
  <c r="L18" i="36"/>
  <c r="L55" i="36"/>
  <c r="AQ41" i="36"/>
  <c r="AR39" i="36"/>
  <c r="AQ40" i="36"/>
  <c r="AP56" i="36"/>
  <c r="AP57" i="36"/>
  <c r="AQ18" i="36"/>
  <c r="AQ55" i="36"/>
  <c r="S9" i="42"/>
  <c r="T4" i="42"/>
  <c r="S9" i="19"/>
  <c r="T4" i="19"/>
  <c r="T4" i="38"/>
  <c r="S9" i="38"/>
  <c r="S9" i="28"/>
  <c r="T4" i="28"/>
  <c r="T4" i="29"/>
  <c r="S9" i="29"/>
  <c r="AE205" i="20"/>
  <c r="U205" i="20"/>
  <c r="K205" i="20"/>
  <c r="AE103" i="20"/>
  <c r="U103" i="20"/>
  <c r="K107" i="20"/>
  <c r="U58" i="20"/>
  <c r="U60" i="20"/>
  <c r="U59" i="20"/>
  <c r="U61" i="20"/>
  <c r="K59" i="20"/>
  <c r="K61" i="20"/>
  <c r="K58" i="20"/>
  <c r="K60" i="20"/>
  <c r="M6" i="20"/>
  <c r="M5" i="20"/>
  <c r="J164" i="20"/>
  <c r="AE52" i="20"/>
  <c r="AE49" i="20" s="1"/>
  <c r="L206" i="20"/>
  <c r="AF50" i="20"/>
  <c r="AE156" i="20"/>
  <c r="AF51" i="20"/>
  <c r="AE152" i="20"/>
  <c r="AE107" i="20"/>
  <c r="K157" i="20"/>
  <c r="K164" i="20" s="1"/>
  <c r="K156" i="20"/>
  <c r="V206" i="20"/>
  <c r="AF152" i="20"/>
  <c r="AF206" i="20"/>
  <c r="T164" i="20"/>
  <c r="T163" i="20"/>
  <c r="AD164" i="20"/>
  <c r="AD163" i="20"/>
  <c r="AE164" i="20"/>
  <c r="AE163" i="20"/>
  <c r="U152" i="20"/>
  <c r="U157" i="20"/>
  <c r="U156" i="20"/>
  <c r="T117" i="20"/>
  <c r="T116" i="20"/>
  <c r="T115" i="20"/>
  <c r="J116" i="20"/>
  <c r="J117" i="20"/>
  <c r="J115" i="20"/>
  <c r="T49" i="20"/>
  <c r="U52" i="20"/>
  <c r="AD49" i="20"/>
  <c r="J49" i="20"/>
  <c r="K108" i="20"/>
  <c r="K103" i="20"/>
  <c r="L50" i="20"/>
  <c r="U108" i="20"/>
  <c r="U107" i="20"/>
  <c r="K52" i="20"/>
  <c r="L51" i="20"/>
  <c r="H8" i="20"/>
  <c r="H7" i="20"/>
  <c r="G9" i="20"/>
  <c r="L4" i="20"/>
  <c r="I83" i="36" l="1"/>
  <c r="J179" i="38"/>
  <c r="J178" i="38"/>
  <c r="AP21" i="36"/>
  <c r="AS51" i="36"/>
  <c r="G34" i="42"/>
  <c r="AC339" i="42"/>
  <c r="AC340" i="42"/>
  <c r="T178" i="38"/>
  <c r="T179" i="38"/>
  <c r="J132" i="48"/>
  <c r="J133" i="48"/>
  <c r="J134" i="48"/>
  <c r="L121" i="46"/>
  <c r="L111" i="42"/>
  <c r="L111" i="38"/>
  <c r="L121" i="48"/>
  <c r="U110" i="42"/>
  <c r="U114" i="42"/>
  <c r="U115" i="42"/>
  <c r="S339" i="38"/>
  <c r="S340" i="38"/>
  <c r="AD179" i="42"/>
  <c r="AD178" i="42"/>
  <c r="V47" i="48"/>
  <c r="V47" i="42"/>
  <c r="V47" i="38"/>
  <c r="V47" i="46"/>
  <c r="AD197" i="48"/>
  <c r="AD196" i="48"/>
  <c r="AF48" i="48"/>
  <c r="AF48" i="42"/>
  <c r="AF48" i="38"/>
  <c r="AF48" i="46"/>
  <c r="L19" i="36"/>
  <c r="AP20" i="36"/>
  <c r="AN86" i="36"/>
  <c r="T197" i="46"/>
  <c r="T196" i="46"/>
  <c r="AD124" i="38"/>
  <c r="AD122" i="38"/>
  <c r="AD123" i="38"/>
  <c r="U167" i="38"/>
  <c r="U171" i="38"/>
  <c r="U172" i="38"/>
  <c r="T179" i="42"/>
  <c r="T178" i="42"/>
  <c r="T123" i="42"/>
  <c r="T122" i="42"/>
  <c r="T124" i="42"/>
  <c r="AD133" i="48"/>
  <c r="AD134" i="48"/>
  <c r="AD132" i="48"/>
  <c r="U120" i="46"/>
  <c r="U124" i="46"/>
  <c r="U125" i="46"/>
  <c r="AE110" i="42"/>
  <c r="AE114" i="42"/>
  <c r="AE115" i="42"/>
  <c r="K110" i="38"/>
  <c r="K114" i="38"/>
  <c r="K115" i="38"/>
  <c r="J179" i="42"/>
  <c r="J178" i="42"/>
  <c r="L48" i="38"/>
  <c r="L48" i="46"/>
  <c r="L48" i="48"/>
  <c r="L48" i="42"/>
  <c r="H37" i="42"/>
  <c r="L186" i="48"/>
  <c r="L186" i="46"/>
  <c r="L168" i="38"/>
  <c r="L168" i="42"/>
  <c r="V48" i="46"/>
  <c r="V48" i="42"/>
  <c r="V48" i="48"/>
  <c r="V48" i="38"/>
  <c r="L152" i="20"/>
  <c r="AF229" i="38"/>
  <c r="AF228" i="38" s="1"/>
  <c r="AF255" i="46"/>
  <c r="AF254" i="46" s="1"/>
  <c r="AF229" i="42"/>
  <c r="AF228" i="42" s="1"/>
  <c r="AF255" i="48"/>
  <c r="AF254" i="48" s="1"/>
  <c r="AQ19" i="36"/>
  <c r="I35" i="42"/>
  <c r="I86" i="36"/>
  <c r="U185" i="46"/>
  <c r="U189" i="46"/>
  <c r="U190" i="46"/>
  <c r="H34" i="38"/>
  <c r="J124" i="38"/>
  <c r="J123" i="38"/>
  <c r="J122" i="38"/>
  <c r="J122" i="42"/>
  <c r="J124" i="42"/>
  <c r="J123" i="42"/>
  <c r="AE120" i="46"/>
  <c r="AE124" i="46"/>
  <c r="AE125" i="46"/>
  <c r="AE167" i="42"/>
  <c r="AE171" i="42"/>
  <c r="AE172" i="42"/>
  <c r="K114" i="42"/>
  <c r="K110" i="42"/>
  <c r="K115" i="42"/>
  <c r="AC339" i="38"/>
  <c r="AC340" i="38"/>
  <c r="AO68" i="36"/>
  <c r="H86" i="36"/>
  <c r="L47" i="42"/>
  <c r="L49" i="42" s="1"/>
  <c r="L46" i="42" s="1"/>
  <c r="L47" i="46"/>
  <c r="L49" i="46" s="1"/>
  <c r="L46" i="46" s="1"/>
  <c r="L47" i="48"/>
  <c r="L49" i="48" s="1"/>
  <c r="L46" i="48" s="1"/>
  <c r="L47" i="38"/>
  <c r="L49" i="38" s="1"/>
  <c r="L46" i="38" s="1"/>
  <c r="AF47" i="38"/>
  <c r="AF49" i="38" s="1"/>
  <c r="AF46" i="38" s="1"/>
  <c r="AF47" i="42"/>
  <c r="AF49" i="42" s="1"/>
  <c r="AF46" i="42" s="1"/>
  <c r="AF47" i="46"/>
  <c r="AF49" i="46" s="1"/>
  <c r="AF46" i="46" s="1"/>
  <c r="AF47" i="48"/>
  <c r="AF49" i="48" s="1"/>
  <c r="AF46" i="48" s="1"/>
  <c r="AP69" i="36"/>
  <c r="U185" i="48"/>
  <c r="U189" i="48"/>
  <c r="U190" i="48"/>
  <c r="K167" i="42"/>
  <c r="K171" i="42"/>
  <c r="K172" i="42"/>
  <c r="I367" i="46"/>
  <c r="I368" i="46"/>
  <c r="AF238" i="46"/>
  <c r="AF237" i="46" s="1"/>
  <c r="AF238" i="48"/>
  <c r="AF237" i="48" s="1"/>
  <c r="AF214" i="42"/>
  <c r="AF213" i="42" s="1"/>
  <c r="AF214" i="38"/>
  <c r="AF213" i="38" s="1"/>
  <c r="AD197" i="46"/>
  <c r="AD196" i="46"/>
  <c r="AE110" i="38"/>
  <c r="AE114" i="38"/>
  <c r="AE115" i="38"/>
  <c r="J197" i="46"/>
  <c r="J196" i="46"/>
  <c r="AE167" i="38"/>
  <c r="AE171" i="38"/>
  <c r="AE172" i="38"/>
  <c r="K124" i="46"/>
  <c r="K125" i="46"/>
  <c r="K120" i="46"/>
  <c r="S340" i="42"/>
  <c r="S339" i="42"/>
  <c r="T197" i="48"/>
  <c r="T196" i="48"/>
  <c r="AC367" i="48"/>
  <c r="AC368" i="48"/>
  <c r="U110" i="38"/>
  <c r="U114" i="38"/>
  <c r="U115" i="38"/>
  <c r="I367" i="48"/>
  <c r="I368" i="48"/>
  <c r="V229" i="42"/>
  <c r="V228" i="42" s="1"/>
  <c r="V229" i="38"/>
  <c r="V228" i="38" s="1"/>
  <c r="V255" i="46"/>
  <c r="V254" i="46" s="1"/>
  <c r="V255" i="48"/>
  <c r="V254" i="48" s="1"/>
  <c r="L255" i="48"/>
  <c r="L254" i="48" s="1"/>
  <c r="L229" i="38"/>
  <c r="L228" i="38" s="1"/>
  <c r="L255" i="46"/>
  <c r="L254" i="46" s="1"/>
  <c r="L229" i="42"/>
  <c r="L228" i="42" s="1"/>
  <c r="J22" i="36"/>
  <c r="AR93" i="36"/>
  <c r="T132" i="46"/>
  <c r="T133" i="46"/>
  <c r="T134" i="46"/>
  <c r="U167" i="42"/>
  <c r="U171" i="42"/>
  <c r="U172" i="42"/>
  <c r="K49" i="42"/>
  <c r="K46" i="42" s="1"/>
  <c r="K171" i="38"/>
  <c r="K167" i="38"/>
  <c r="K172" i="38"/>
  <c r="AF168" i="42"/>
  <c r="AF186" i="46"/>
  <c r="AF186" i="48"/>
  <c r="AF168" i="38"/>
  <c r="T123" i="38"/>
  <c r="T122" i="38"/>
  <c r="T124" i="38"/>
  <c r="T134" i="48"/>
  <c r="T133" i="48"/>
  <c r="T132" i="48"/>
  <c r="AE120" i="48"/>
  <c r="AE124" i="48"/>
  <c r="AE125" i="48"/>
  <c r="J197" i="48"/>
  <c r="J196" i="48"/>
  <c r="AE185" i="48"/>
  <c r="AE189" i="48"/>
  <c r="AE190" i="48"/>
  <c r="V238" i="48"/>
  <c r="V237" i="48" s="1"/>
  <c r="V214" i="42"/>
  <c r="V213" i="42" s="1"/>
  <c r="V238" i="46"/>
  <c r="V237" i="46" s="1"/>
  <c r="V214" i="38"/>
  <c r="V213" i="38" s="1"/>
  <c r="K120" i="48"/>
  <c r="K125" i="48"/>
  <c r="K124" i="48"/>
  <c r="AD132" i="46"/>
  <c r="AD133" i="46"/>
  <c r="AD134" i="46"/>
  <c r="AC367" i="46"/>
  <c r="AC368" i="46"/>
  <c r="S367" i="48"/>
  <c r="S368" i="48"/>
  <c r="K190" i="46"/>
  <c r="K189" i="46"/>
  <c r="K185" i="46"/>
  <c r="I339" i="42"/>
  <c r="I340" i="42"/>
  <c r="AF111" i="38"/>
  <c r="AF121" i="48"/>
  <c r="AF121" i="46"/>
  <c r="AF111" i="42"/>
  <c r="AE185" i="46"/>
  <c r="AE189" i="46"/>
  <c r="AE190" i="46"/>
  <c r="V186" i="46"/>
  <c r="V186" i="48"/>
  <c r="V168" i="38"/>
  <c r="V168" i="42"/>
  <c r="H33" i="42"/>
  <c r="AD178" i="38"/>
  <c r="AD179" i="38"/>
  <c r="K190" i="48"/>
  <c r="K189" i="48"/>
  <c r="K185" i="48"/>
  <c r="AD123" i="42"/>
  <c r="AD122" i="42"/>
  <c r="AD124" i="42"/>
  <c r="L214" i="38"/>
  <c r="L213" i="38" s="1"/>
  <c r="L238" i="46"/>
  <c r="L237" i="46" s="1"/>
  <c r="L238" i="48"/>
  <c r="L237" i="48" s="1"/>
  <c r="L214" i="42"/>
  <c r="L213" i="42" s="1"/>
  <c r="J133" i="46"/>
  <c r="J134" i="46"/>
  <c r="J132" i="46"/>
  <c r="U120" i="48"/>
  <c r="U124" i="48"/>
  <c r="U125" i="48"/>
  <c r="I340" i="38"/>
  <c r="I339" i="38"/>
  <c r="S367" i="46"/>
  <c r="S368" i="46"/>
  <c r="V121" i="46"/>
  <c r="V111" i="38"/>
  <c r="V111" i="42"/>
  <c r="V121" i="48"/>
  <c r="T9" i="46"/>
  <c r="U4" i="46"/>
  <c r="T9" i="48"/>
  <c r="U4" i="48"/>
  <c r="T9" i="54"/>
  <c r="U4" i="54"/>
  <c r="T9" i="53"/>
  <c r="U4" i="53"/>
  <c r="K58" i="46"/>
  <c r="K58" i="48"/>
  <c r="K58" i="42"/>
  <c r="K58" i="38"/>
  <c r="K56" i="48"/>
  <c r="K56" i="46"/>
  <c r="K56" i="42"/>
  <c r="K56" i="38"/>
  <c r="U55" i="48"/>
  <c r="U55" i="46"/>
  <c r="U55" i="42"/>
  <c r="U55" i="38"/>
  <c r="K55" i="48"/>
  <c r="K55" i="46"/>
  <c r="K55" i="42"/>
  <c r="K55" i="38"/>
  <c r="U56" i="48"/>
  <c r="U56" i="46"/>
  <c r="U56" i="42"/>
  <c r="U56" i="38"/>
  <c r="U57" i="48"/>
  <c r="U57" i="46"/>
  <c r="U57" i="42"/>
  <c r="U57" i="38"/>
  <c r="K57" i="48"/>
  <c r="K57" i="46"/>
  <c r="K57" i="42"/>
  <c r="K57" i="38"/>
  <c r="U58" i="48"/>
  <c r="U58" i="46"/>
  <c r="U58" i="42"/>
  <c r="U58" i="38"/>
  <c r="J61" i="36"/>
  <c r="I37" i="38"/>
  <c r="AP35" i="36"/>
  <c r="AQ34" i="36"/>
  <c r="AO76" i="36"/>
  <c r="AO36" i="36"/>
  <c r="AO38" i="36"/>
  <c r="J59" i="36"/>
  <c r="AO24" i="36"/>
  <c r="K22" i="36"/>
  <c r="AP22" i="36"/>
  <c r="AP58" i="36"/>
  <c r="AQ42" i="36"/>
  <c r="L34" i="36"/>
  <c r="AQ31" i="36"/>
  <c r="L20" i="36"/>
  <c r="L21" i="36"/>
  <c r="AR18" i="36"/>
  <c r="AR55" i="36"/>
  <c r="AT49" i="36"/>
  <c r="AS89" i="36"/>
  <c r="AS54" i="36"/>
  <c r="AS52" i="36"/>
  <c r="L56" i="36"/>
  <c r="L57" i="36"/>
  <c r="AP43" i="36"/>
  <c r="AP96" i="36"/>
  <c r="AP45" i="36"/>
  <c r="K58" i="36"/>
  <c r="N28" i="36"/>
  <c r="M30" i="36"/>
  <c r="M33" i="36"/>
  <c r="M32" i="36"/>
  <c r="M29" i="36"/>
  <c r="AQ57" i="36"/>
  <c r="AQ56" i="36"/>
  <c r="AS39" i="36"/>
  <c r="AR40" i="36"/>
  <c r="AR41" i="36"/>
  <c r="AO59" i="36"/>
  <c r="AO61" i="36"/>
  <c r="Q46" i="36"/>
  <c r="M41" i="36"/>
  <c r="N39" i="36"/>
  <c r="AQ21" i="36"/>
  <c r="AQ20" i="36"/>
  <c r="N17" i="36"/>
  <c r="M18" i="36"/>
  <c r="AS17" i="36"/>
  <c r="M55" i="36"/>
  <c r="AV46" i="36"/>
  <c r="AU47" i="36"/>
  <c r="AU48" i="36"/>
  <c r="AU50" i="36"/>
  <c r="AS28" i="36"/>
  <c r="AR30" i="36"/>
  <c r="AR32" i="36"/>
  <c r="AR29" i="36"/>
  <c r="AR33" i="36"/>
  <c r="U4" i="29"/>
  <c r="T9" i="29"/>
  <c r="T9" i="28"/>
  <c r="U4" i="28"/>
  <c r="U4" i="38"/>
  <c r="T9" i="38"/>
  <c r="U4" i="42"/>
  <c r="T9" i="42"/>
  <c r="T9" i="19"/>
  <c r="U4" i="19"/>
  <c r="AF205" i="20"/>
  <c r="V205" i="20"/>
  <c r="L205" i="20"/>
  <c r="V103" i="20"/>
  <c r="L103" i="20"/>
  <c r="AF103" i="20"/>
  <c r="V59" i="20"/>
  <c r="V61" i="20"/>
  <c r="V58" i="20"/>
  <c r="V60" i="20"/>
  <c r="L58" i="20"/>
  <c r="L60" i="20"/>
  <c r="L59" i="20"/>
  <c r="L61" i="20"/>
  <c r="AF58" i="20"/>
  <c r="AF60" i="20"/>
  <c r="AF59" i="20"/>
  <c r="AF61" i="20"/>
  <c r="N5" i="20"/>
  <c r="N6" i="20"/>
  <c r="AF52" i="20"/>
  <c r="AF49" i="20" s="1"/>
  <c r="K163" i="20"/>
  <c r="AF107" i="20"/>
  <c r="L157" i="20"/>
  <c r="L164" i="20" s="1"/>
  <c r="AF156" i="20"/>
  <c r="L156" i="20"/>
  <c r="AF157" i="20"/>
  <c r="U164" i="20"/>
  <c r="U163" i="20"/>
  <c r="V152" i="20"/>
  <c r="V157" i="20"/>
  <c r="V156" i="20"/>
  <c r="U117" i="20"/>
  <c r="U116" i="20"/>
  <c r="U115" i="20"/>
  <c r="K116" i="20"/>
  <c r="K117" i="20"/>
  <c r="K115" i="20"/>
  <c r="U49" i="20"/>
  <c r="K49" i="20"/>
  <c r="L108" i="20"/>
  <c r="L107" i="20"/>
  <c r="V108" i="20"/>
  <c r="V107" i="20"/>
  <c r="V52" i="20"/>
  <c r="L52" i="20"/>
  <c r="W192" i="20"/>
  <c r="M192" i="20"/>
  <c r="I7" i="20"/>
  <c r="H9" i="20"/>
  <c r="I8" i="20"/>
  <c r="M4" i="20"/>
  <c r="AS93" i="36" l="1"/>
  <c r="AO83" i="36"/>
  <c r="V167" i="38"/>
  <c r="V171" i="38"/>
  <c r="V172" i="38"/>
  <c r="AF120" i="48"/>
  <c r="AF124" i="48"/>
  <c r="AF125" i="48"/>
  <c r="K132" i="46"/>
  <c r="K134" i="46"/>
  <c r="K133" i="46"/>
  <c r="K122" i="42"/>
  <c r="K124" i="42"/>
  <c r="K123" i="42"/>
  <c r="U179" i="38"/>
  <c r="U178" i="38"/>
  <c r="AD339" i="42"/>
  <c r="AD340" i="42"/>
  <c r="L114" i="42"/>
  <c r="L110" i="42"/>
  <c r="L115" i="42"/>
  <c r="V185" i="48"/>
  <c r="V189" i="48"/>
  <c r="V190" i="48"/>
  <c r="AF110" i="38"/>
  <c r="AF114" i="38"/>
  <c r="AF115" i="38"/>
  <c r="J367" i="48"/>
  <c r="J368" i="48"/>
  <c r="U197" i="46"/>
  <c r="U196" i="46"/>
  <c r="L125" i="46"/>
  <c r="L120" i="46"/>
  <c r="L124" i="46"/>
  <c r="J37" i="38"/>
  <c r="J35" i="42"/>
  <c r="K197" i="48"/>
  <c r="K196" i="48"/>
  <c r="V185" i="46"/>
  <c r="V189" i="46"/>
  <c r="V190" i="46"/>
  <c r="AE133" i="48"/>
  <c r="AE134" i="48"/>
  <c r="AE132" i="48"/>
  <c r="AE178" i="38"/>
  <c r="AE179" i="38"/>
  <c r="K179" i="42"/>
  <c r="K178" i="42"/>
  <c r="AE123" i="42"/>
  <c r="AE122" i="42"/>
  <c r="AE124" i="42"/>
  <c r="AD367" i="48"/>
  <c r="AD368" i="48"/>
  <c r="AT51" i="36"/>
  <c r="AO80" i="36"/>
  <c r="V120" i="48"/>
  <c r="V124" i="48"/>
  <c r="V125" i="48"/>
  <c r="U133" i="48"/>
  <c r="U134" i="48"/>
  <c r="U132" i="48"/>
  <c r="AD340" i="38"/>
  <c r="AD339" i="38"/>
  <c r="AE197" i="46"/>
  <c r="AE196" i="46"/>
  <c r="AF167" i="38"/>
  <c r="AF171" i="38"/>
  <c r="AF172" i="38"/>
  <c r="U179" i="42"/>
  <c r="U178" i="42"/>
  <c r="J24" i="36"/>
  <c r="AD367" i="46"/>
  <c r="AD368" i="46"/>
  <c r="AE179" i="42"/>
  <c r="AE178" i="42"/>
  <c r="L172" i="42"/>
  <c r="L171" i="42"/>
  <c r="L167" i="42"/>
  <c r="V49" i="46"/>
  <c r="V46" i="46" s="1"/>
  <c r="U123" i="42"/>
  <c r="U122" i="42"/>
  <c r="U124" i="42"/>
  <c r="I37" i="42"/>
  <c r="V110" i="42"/>
  <c r="V114" i="42"/>
  <c r="V115" i="42"/>
  <c r="AF185" i="48"/>
  <c r="AF189" i="48"/>
  <c r="AF190" i="48"/>
  <c r="T367" i="48"/>
  <c r="T368" i="48"/>
  <c r="L171" i="38"/>
  <c r="L167" i="38"/>
  <c r="L172" i="38"/>
  <c r="V49" i="38"/>
  <c r="V46" i="38" s="1"/>
  <c r="L36" i="42"/>
  <c r="AR19" i="36"/>
  <c r="V110" i="38"/>
  <c r="V114" i="38"/>
  <c r="V115" i="38"/>
  <c r="AE197" i="48"/>
  <c r="AE196" i="48"/>
  <c r="AF185" i="46"/>
  <c r="AF189" i="46"/>
  <c r="AF190" i="46"/>
  <c r="U197" i="48"/>
  <c r="U196" i="48"/>
  <c r="L189" i="46"/>
  <c r="L185" i="46"/>
  <c r="L190" i="46"/>
  <c r="U133" i="46"/>
  <c r="U134" i="46"/>
  <c r="U132" i="46"/>
  <c r="V49" i="42"/>
  <c r="V46" i="42" s="1"/>
  <c r="T339" i="38"/>
  <c r="T340" i="38"/>
  <c r="M19" i="36"/>
  <c r="AP24" i="36"/>
  <c r="AP76" i="36"/>
  <c r="V120" i="46"/>
  <c r="V124" i="46"/>
  <c r="V125" i="46"/>
  <c r="AF110" i="42"/>
  <c r="AF114" i="42"/>
  <c r="AF115" i="42"/>
  <c r="K196" i="46"/>
  <c r="K197" i="46"/>
  <c r="AF167" i="42"/>
  <c r="AF171" i="42"/>
  <c r="AF172" i="42"/>
  <c r="U124" i="38"/>
  <c r="U122" i="38"/>
  <c r="U123" i="38"/>
  <c r="J368" i="46"/>
  <c r="J367" i="46"/>
  <c r="AE132" i="46"/>
  <c r="AE133" i="46"/>
  <c r="AE134" i="46"/>
  <c r="L190" i="48"/>
  <c r="L185" i="48"/>
  <c r="L189" i="48"/>
  <c r="J339" i="42"/>
  <c r="J340" i="42"/>
  <c r="V49" i="48"/>
  <c r="V46" i="48" s="1"/>
  <c r="L124" i="48"/>
  <c r="L120" i="48"/>
  <c r="L125" i="48"/>
  <c r="K24" i="36"/>
  <c r="V167" i="42"/>
  <c r="V171" i="42"/>
  <c r="V172" i="42"/>
  <c r="AF120" i="46"/>
  <c r="AF124" i="46"/>
  <c r="AF125" i="46"/>
  <c r="K132" i="48"/>
  <c r="K133" i="48"/>
  <c r="K134" i="48"/>
  <c r="K178" i="38"/>
  <c r="K179" i="38"/>
  <c r="AE123" i="38"/>
  <c r="AE122" i="38"/>
  <c r="AE124" i="38"/>
  <c r="K122" i="38"/>
  <c r="K123" i="38"/>
  <c r="K124" i="38"/>
  <c r="T339" i="42"/>
  <c r="T340" i="42"/>
  <c r="T367" i="46"/>
  <c r="T368" i="46"/>
  <c r="L114" i="38"/>
  <c r="L110" i="38"/>
  <c r="L115" i="38"/>
  <c r="J339" i="38"/>
  <c r="J340" i="38"/>
  <c r="U9" i="54"/>
  <c r="V4" i="54"/>
  <c r="V4" i="53"/>
  <c r="U9" i="53"/>
  <c r="U9" i="48"/>
  <c r="V4" i="48"/>
  <c r="V4" i="46"/>
  <c r="U9" i="46"/>
  <c r="AQ69" i="36"/>
  <c r="AQ35" i="36"/>
  <c r="AF56" i="48"/>
  <c r="AF56" i="46"/>
  <c r="AF56" i="42"/>
  <c r="AF56" i="38"/>
  <c r="V55" i="48"/>
  <c r="V55" i="46"/>
  <c r="V55" i="42"/>
  <c r="V55" i="38"/>
  <c r="AF57" i="48"/>
  <c r="AF57" i="46"/>
  <c r="AF57" i="42"/>
  <c r="AF57" i="38"/>
  <c r="V58" i="48"/>
  <c r="V58" i="46"/>
  <c r="V58" i="42"/>
  <c r="V58" i="38"/>
  <c r="AF55" i="46"/>
  <c r="AF55" i="48"/>
  <c r="AF55" i="42"/>
  <c r="AF55" i="38"/>
  <c r="L55" i="46"/>
  <c r="L55" i="48"/>
  <c r="L55" i="42"/>
  <c r="L55" i="38"/>
  <c r="V56" i="48"/>
  <c r="V56" i="46"/>
  <c r="V56" i="42"/>
  <c r="V56" i="38"/>
  <c r="L56" i="48"/>
  <c r="L56" i="46"/>
  <c r="L56" i="42"/>
  <c r="L56" i="38"/>
  <c r="L57" i="48"/>
  <c r="L57" i="46"/>
  <c r="L57" i="42"/>
  <c r="L57" i="38"/>
  <c r="AF58" i="48"/>
  <c r="AF58" i="46"/>
  <c r="AF58" i="42"/>
  <c r="AF58" i="38"/>
  <c r="L58" i="48"/>
  <c r="L58" i="46"/>
  <c r="L58" i="42"/>
  <c r="L58" i="38"/>
  <c r="V57" i="48"/>
  <c r="V57" i="46"/>
  <c r="V57" i="42"/>
  <c r="V57" i="38"/>
  <c r="AO25" i="36"/>
  <c r="H34" i="42"/>
  <c r="AP36" i="36"/>
  <c r="I33" i="42"/>
  <c r="AP38" i="36"/>
  <c r="AO27" i="36"/>
  <c r="AP68" i="36"/>
  <c r="AP61" i="36"/>
  <c r="AP59" i="36"/>
  <c r="AQ96" i="36"/>
  <c r="AQ43" i="36"/>
  <c r="AQ45" i="36"/>
  <c r="M34" i="36"/>
  <c r="AR31" i="36"/>
  <c r="AR34" i="36"/>
  <c r="AQ22" i="36"/>
  <c r="L22" i="36"/>
  <c r="AU49" i="36"/>
  <c r="M20" i="36"/>
  <c r="M21" i="36"/>
  <c r="N18" i="36"/>
  <c r="AT17" i="36"/>
  <c r="O17" i="36"/>
  <c r="N55" i="36"/>
  <c r="R46" i="36"/>
  <c r="AT39" i="36"/>
  <c r="AS40" i="36"/>
  <c r="AS41" i="36"/>
  <c r="N32" i="36"/>
  <c r="N30" i="36"/>
  <c r="N29" i="36"/>
  <c r="O28" i="36"/>
  <c r="N33" i="36"/>
  <c r="M56" i="36"/>
  <c r="M57" i="36"/>
  <c r="O39" i="36"/>
  <c r="N41" i="36"/>
  <c r="AS29" i="36"/>
  <c r="AT28" i="36"/>
  <c r="AS30" i="36"/>
  <c r="AS33" i="36"/>
  <c r="AS32" i="36"/>
  <c r="AS18" i="36"/>
  <c r="AS55" i="36"/>
  <c r="AT89" i="36"/>
  <c r="AT52" i="36"/>
  <c r="AT54" i="36"/>
  <c r="AR57" i="36"/>
  <c r="AR56" i="36"/>
  <c r="AV47" i="36"/>
  <c r="AV48" i="36"/>
  <c r="AV50" i="36"/>
  <c r="AW46" i="36"/>
  <c r="AR42" i="36"/>
  <c r="AQ58" i="36"/>
  <c r="K61" i="36"/>
  <c r="K59" i="36"/>
  <c r="L58" i="36"/>
  <c r="AR21" i="36"/>
  <c r="AR20" i="36"/>
  <c r="V4" i="42"/>
  <c r="U9" i="42"/>
  <c r="U9" i="19"/>
  <c r="V4" i="19"/>
  <c r="U9" i="28"/>
  <c r="V4" i="28"/>
  <c r="V4" i="38"/>
  <c r="U9" i="38"/>
  <c r="V4" i="29"/>
  <c r="U9" i="29"/>
  <c r="O6" i="20"/>
  <c r="O5" i="20"/>
  <c r="L163" i="20"/>
  <c r="AF163" i="20"/>
  <c r="AF164" i="20"/>
  <c r="V164" i="20"/>
  <c r="V163" i="20"/>
  <c r="L117" i="20"/>
  <c r="L116" i="20"/>
  <c r="L115" i="20"/>
  <c r="V116" i="20"/>
  <c r="V117" i="20"/>
  <c r="V115" i="20"/>
  <c r="L49" i="20"/>
  <c r="V49" i="20"/>
  <c r="J7" i="20"/>
  <c r="I9" i="20"/>
  <c r="AD106" i="20"/>
  <c r="X106" i="20"/>
  <c r="AB106" i="20"/>
  <c r="AA106" i="20"/>
  <c r="AC106" i="20"/>
  <c r="Z106" i="20"/>
  <c r="AE106" i="20"/>
  <c r="Y106" i="20"/>
  <c r="AF106" i="20"/>
  <c r="J8" i="20"/>
  <c r="N4" i="20"/>
  <c r="AQ36" i="36" l="1"/>
  <c r="AP83" i="36"/>
  <c r="K83" i="36"/>
  <c r="AP25" i="36"/>
  <c r="K27" i="36"/>
  <c r="AP27" i="36"/>
  <c r="J34" i="38"/>
  <c r="AQ38" i="36"/>
  <c r="AQ76" i="36"/>
  <c r="AQ68" i="36"/>
  <c r="AQ80" i="36"/>
  <c r="AF132" i="46"/>
  <c r="AF133" i="46"/>
  <c r="AF134" i="46"/>
  <c r="L134" i="48"/>
  <c r="L133" i="48"/>
  <c r="L132" i="48"/>
  <c r="L197" i="48"/>
  <c r="L196" i="48"/>
  <c r="L196" i="46"/>
  <c r="L197" i="46"/>
  <c r="V134" i="48"/>
  <c r="V132" i="48"/>
  <c r="V133" i="48"/>
  <c r="U367" i="46"/>
  <c r="U368" i="46"/>
  <c r="J37" i="42"/>
  <c r="AP80" i="36"/>
  <c r="AF179" i="42"/>
  <c r="AF178" i="42"/>
  <c r="V132" i="46"/>
  <c r="V133" i="46"/>
  <c r="V134" i="46"/>
  <c r="AE367" i="48"/>
  <c r="AE368" i="48"/>
  <c r="L124" i="42"/>
  <c r="L122" i="42"/>
  <c r="L123" i="42"/>
  <c r="V179" i="38"/>
  <c r="V178" i="38"/>
  <c r="K35" i="42"/>
  <c r="AT93" i="36"/>
  <c r="V123" i="38"/>
  <c r="V124" i="38"/>
  <c r="V122" i="38"/>
  <c r="L179" i="38"/>
  <c r="L178" i="38"/>
  <c r="V123" i="42"/>
  <c r="V122" i="42"/>
  <c r="V124" i="42"/>
  <c r="AE367" i="46"/>
  <c r="AE368" i="46"/>
  <c r="N19" i="36"/>
  <c r="K339" i="38"/>
  <c r="K340" i="38"/>
  <c r="V179" i="42"/>
  <c r="V178" i="42"/>
  <c r="J27" i="36"/>
  <c r="J25" i="36"/>
  <c r="J83" i="36"/>
  <c r="I34" i="38"/>
  <c r="V197" i="46"/>
  <c r="V196" i="46"/>
  <c r="AF124" i="38"/>
  <c r="AF122" i="38"/>
  <c r="AF123" i="38"/>
  <c r="AO86" i="36"/>
  <c r="K367" i="46"/>
  <c r="K368" i="46"/>
  <c r="U367" i="48"/>
  <c r="U368" i="48"/>
  <c r="AS19" i="36"/>
  <c r="AF197" i="46"/>
  <c r="AF196" i="46"/>
  <c r="L179" i="42"/>
  <c r="L178" i="42"/>
  <c r="U339" i="42"/>
  <c r="U340" i="42"/>
  <c r="K339" i="42"/>
  <c r="K340" i="42"/>
  <c r="AU51" i="36"/>
  <c r="L124" i="38"/>
  <c r="L122" i="38"/>
  <c r="L123" i="38"/>
  <c r="AF123" i="42"/>
  <c r="AF122" i="42"/>
  <c r="AF124" i="42"/>
  <c r="AF178" i="38"/>
  <c r="AF179" i="38"/>
  <c r="M36" i="42"/>
  <c r="AE339" i="38"/>
  <c r="AE340" i="38"/>
  <c r="L133" i="46"/>
  <c r="L132" i="46"/>
  <c r="L134" i="46"/>
  <c r="V197" i="48"/>
  <c r="V196" i="48"/>
  <c r="AF134" i="48"/>
  <c r="AF133" i="48"/>
  <c r="AF132" i="48"/>
  <c r="K37" i="38"/>
  <c r="L24" i="36"/>
  <c r="J33" i="42"/>
  <c r="K25" i="36"/>
  <c r="I34" i="42"/>
  <c r="AF197" i="48"/>
  <c r="AF196" i="48"/>
  <c r="AE339" i="42"/>
  <c r="AE340" i="42"/>
  <c r="K368" i="48"/>
  <c r="K367" i="48"/>
  <c r="U339" i="38"/>
  <c r="U340" i="38"/>
  <c r="V9" i="46"/>
  <c r="W4" i="46"/>
  <c r="V9" i="48"/>
  <c r="W4" i="48"/>
  <c r="W4" i="53"/>
  <c r="V9" i="53"/>
  <c r="V9" i="54"/>
  <c r="W4" i="54"/>
  <c r="AU89" i="36"/>
  <c r="AU54" i="36"/>
  <c r="K34" i="38"/>
  <c r="AS34" i="36"/>
  <c r="AR58" i="36"/>
  <c r="AV49" i="36"/>
  <c r="AR22" i="36"/>
  <c r="AQ24" i="36"/>
  <c r="M22" i="36"/>
  <c r="M58" i="36"/>
  <c r="AR69" i="36"/>
  <c r="AS31" i="36"/>
  <c r="AS42" i="36"/>
  <c r="N34" i="36"/>
  <c r="AR35" i="36"/>
  <c r="O41" i="36"/>
  <c r="P39" i="36"/>
  <c r="O33" i="36"/>
  <c r="O32" i="36"/>
  <c r="P28" i="36"/>
  <c r="O30" i="36"/>
  <c r="O29" i="36"/>
  <c r="AT18" i="36"/>
  <c r="AT55" i="36"/>
  <c r="AQ59" i="36"/>
  <c r="AQ61" i="36"/>
  <c r="AS57" i="36"/>
  <c r="AS56" i="36"/>
  <c r="AU28" i="36"/>
  <c r="AT33" i="36"/>
  <c r="AT29" i="36"/>
  <c r="AT30" i="36"/>
  <c r="AT32" i="36"/>
  <c r="L59" i="36"/>
  <c r="L61" i="36"/>
  <c r="AR96" i="36"/>
  <c r="AR43" i="36"/>
  <c r="AR45" i="36"/>
  <c r="AS21" i="36"/>
  <c r="AT41" i="36"/>
  <c r="AT40" i="36"/>
  <c r="AU39" i="36"/>
  <c r="N56" i="36"/>
  <c r="N57" i="36"/>
  <c r="AW48" i="36"/>
  <c r="AX46" i="36"/>
  <c r="AW47" i="36"/>
  <c r="AW50" i="36"/>
  <c r="S46" i="36"/>
  <c r="AU17" i="36"/>
  <c r="O18" i="36"/>
  <c r="P17" i="36"/>
  <c r="O55" i="36"/>
  <c r="W4" i="38"/>
  <c r="V9" i="38"/>
  <c r="W4" i="29"/>
  <c r="V9" i="29"/>
  <c r="W4" i="28"/>
  <c r="V9" i="28"/>
  <c r="W4" i="19"/>
  <c r="V9" i="19"/>
  <c r="V9" i="42"/>
  <c r="W4" i="42"/>
  <c r="P5" i="20"/>
  <c r="P6" i="20"/>
  <c r="AB192" i="20"/>
  <c r="AC192" i="20"/>
  <c r="V192" i="20"/>
  <c r="R192" i="20"/>
  <c r="T192" i="20"/>
  <c r="AA192" i="20"/>
  <c r="AE192" i="20"/>
  <c r="X192" i="20"/>
  <c r="O192" i="20"/>
  <c r="P192" i="20"/>
  <c r="U192" i="20"/>
  <c r="AF192" i="20"/>
  <c r="N192" i="20"/>
  <c r="Y192" i="20"/>
  <c r="AD192" i="20"/>
  <c r="Z192" i="20"/>
  <c r="Q192" i="20"/>
  <c r="S192" i="20"/>
  <c r="J192" i="20"/>
  <c r="G192" i="20"/>
  <c r="E192" i="20"/>
  <c r="L192" i="20"/>
  <c r="F192" i="20"/>
  <c r="I192" i="20"/>
  <c r="K192" i="20"/>
  <c r="D192" i="20"/>
  <c r="H192" i="20"/>
  <c r="Z108" i="20"/>
  <c r="X108" i="20"/>
  <c r="AB108" i="20"/>
  <c r="AF108" i="20"/>
  <c r="AC108" i="20"/>
  <c r="AD108" i="20"/>
  <c r="AE108" i="20"/>
  <c r="Y108" i="20"/>
  <c r="AA108" i="20"/>
  <c r="K8" i="20"/>
  <c r="K7" i="20"/>
  <c r="J9" i="20"/>
  <c r="O4" i="20"/>
  <c r="N21" i="36" l="1"/>
  <c r="AQ27" i="36"/>
  <c r="AU52" i="36"/>
  <c r="AP86" i="36"/>
  <c r="L27" i="36"/>
  <c r="N20" i="36"/>
  <c r="L83" i="36"/>
  <c r="L25" i="36"/>
  <c r="AS20" i="36"/>
  <c r="M24" i="36"/>
  <c r="AU93" i="36"/>
  <c r="L37" i="38"/>
  <c r="V339" i="42"/>
  <c r="V340" i="42"/>
  <c r="L367" i="46"/>
  <c r="L368" i="46"/>
  <c r="AF339" i="42"/>
  <c r="AF340" i="42"/>
  <c r="O19" i="36"/>
  <c r="AT19" i="36"/>
  <c r="K33" i="42"/>
  <c r="AR24" i="36"/>
  <c r="V367" i="46"/>
  <c r="V368" i="46"/>
  <c r="L340" i="42"/>
  <c r="L339" i="42"/>
  <c r="L35" i="42"/>
  <c r="AF367" i="48"/>
  <c r="AF368" i="48"/>
  <c r="V367" i="48"/>
  <c r="V368" i="48"/>
  <c r="AF339" i="38"/>
  <c r="AF340" i="38"/>
  <c r="L339" i="38"/>
  <c r="L340" i="38"/>
  <c r="L368" i="48"/>
  <c r="L367" i="48"/>
  <c r="K86" i="36"/>
  <c r="AS35" i="36"/>
  <c r="AV51" i="36"/>
  <c r="N36" i="42"/>
  <c r="AF367" i="46"/>
  <c r="AF368" i="46"/>
  <c r="J86" i="36"/>
  <c r="V339" i="38"/>
  <c r="V340" i="38"/>
  <c r="AS69" i="36"/>
  <c r="AR59" i="36"/>
  <c r="X4" i="53"/>
  <c r="W9" i="53"/>
  <c r="X4" i="48"/>
  <c r="W9" i="48"/>
  <c r="W9" i="54"/>
  <c r="X4" i="54"/>
  <c r="W9" i="46"/>
  <c r="X4" i="46"/>
  <c r="AR68" i="36"/>
  <c r="AQ25" i="36"/>
  <c r="J34" i="42"/>
  <c r="AV89" i="36"/>
  <c r="AR61" i="36"/>
  <c r="K37" i="42"/>
  <c r="AQ83" i="36"/>
  <c r="M27" i="36"/>
  <c r="L34" i="38"/>
  <c r="N22" i="36"/>
  <c r="AV52" i="36"/>
  <c r="M59" i="36"/>
  <c r="M61" i="36"/>
  <c r="AS58" i="36"/>
  <c r="O34" i="36"/>
  <c r="AT34" i="36"/>
  <c r="AT31" i="36"/>
  <c r="AR38" i="36"/>
  <c r="AR76" i="36"/>
  <c r="AR36" i="36"/>
  <c r="AW49" i="36"/>
  <c r="AS45" i="36"/>
  <c r="AS96" i="36"/>
  <c r="AS43" i="36"/>
  <c r="AV17" i="36"/>
  <c r="P18" i="36"/>
  <c r="Q17" i="36"/>
  <c r="P55" i="36"/>
  <c r="T46" i="36"/>
  <c r="AT42" i="36"/>
  <c r="AU30" i="36"/>
  <c r="AU32" i="36"/>
  <c r="AV28" i="36"/>
  <c r="AU29" i="36"/>
  <c r="AU33" i="36"/>
  <c r="P33" i="36"/>
  <c r="Q28" i="36"/>
  <c r="P29" i="36"/>
  <c r="P32" i="36"/>
  <c r="P30" i="36"/>
  <c r="N58" i="36"/>
  <c r="O20" i="36"/>
  <c r="AU18" i="36"/>
  <c r="AU55" i="36"/>
  <c r="Q39" i="36"/>
  <c r="P41" i="36"/>
  <c r="O57" i="36"/>
  <c r="O56" i="36"/>
  <c r="AY46" i="36"/>
  <c r="AX48" i="36"/>
  <c r="AX50" i="36"/>
  <c r="AX47" i="36"/>
  <c r="AU40" i="36"/>
  <c r="AV39" i="36"/>
  <c r="AU41" i="36"/>
  <c r="AT57" i="36"/>
  <c r="AT56" i="36"/>
  <c r="X4" i="19"/>
  <c r="W9" i="19"/>
  <c r="X4" i="29"/>
  <c r="W9" i="29"/>
  <c r="W9" i="28"/>
  <c r="X4" i="28"/>
  <c r="X4" i="38"/>
  <c r="W9" i="38"/>
  <c r="W9" i="42"/>
  <c r="X4" i="42"/>
  <c r="Q6" i="20"/>
  <c r="Q5" i="20"/>
  <c r="AE116" i="20"/>
  <c r="AE117" i="20"/>
  <c r="AE115" i="20"/>
  <c r="X117" i="20"/>
  <c r="X116" i="20"/>
  <c r="X115" i="20"/>
  <c r="AA116" i="20"/>
  <c r="AA117" i="20"/>
  <c r="AA115" i="20"/>
  <c r="AC117" i="20"/>
  <c r="AC116" i="20"/>
  <c r="AC115" i="20"/>
  <c r="Z116" i="20"/>
  <c r="Z117" i="20"/>
  <c r="Z115" i="20"/>
  <c r="AB117" i="20"/>
  <c r="AB116" i="20"/>
  <c r="AB115" i="20"/>
  <c r="AD116" i="20"/>
  <c r="AD117" i="20"/>
  <c r="AD115" i="20"/>
  <c r="Y117" i="20"/>
  <c r="Y116" i="20"/>
  <c r="Y115" i="20"/>
  <c r="AF117" i="20"/>
  <c r="AF116" i="20"/>
  <c r="AF115" i="20"/>
  <c r="L7" i="20"/>
  <c r="K9" i="20"/>
  <c r="L8" i="20"/>
  <c r="P4" i="20"/>
  <c r="O21" i="36" l="1"/>
  <c r="M83" i="36"/>
  <c r="AS22" i="36"/>
  <c r="O36" i="42"/>
  <c r="L86" i="36"/>
  <c r="AS76" i="36"/>
  <c r="AR83" i="36"/>
  <c r="AV54" i="36"/>
  <c r="L33" i="42"/>
  <c r="AS38" i="36"/>
  <c r="AR25" i="36"/>
  <c r="AR27" i="36"/>
  <c r="L37" i="42"/>
  <c r="AU19" i="36"/>
  <c r="AR80" i="36"/>
  <c r="AS24" i="36"/>
  <c r="P19" i="36"/>
  <c r="AQ86" i="36"/>
  <c r="M37" i="38"/>
  <c r="K34" i="42"/>
  <c r="AR86" i="36"/>
  <c r="AW51" i="36"/>
  <c r="AT20" i="36"/>
  <c r="AV93" i="36"/>
  <c r="AS36" i="36"/>
  <c r="M25" i="36"/>
  <c r="AT21" i="36"/>
  <c r="M35" i="42"/>
  <c r="N24" i="36"/>
  <c r="O58" i="36"/>
  <c r="Y4" i="54"/>
  <c r="X9" i="54"/>
  <c r="Y4" i="46"/>
  <c r="X9" i="46"/>
  <c r="Y4" i="48"/>
  <c r="X9" i="48"/>
  <c r="X9" i="53"/>
  <c r="Y4" i="53"/>
  <c r="AS68" i="36"/>
  <c r="AT58" i="36"/>
  <c r="AS59" i="36"/>
  <c r="AS61" i="36"/>
  <c r="AT69" i="36"/>
  <c r="P31" i="36"/>
  <c r="AT35" i="36"/>
  <c r="AU42" i="36"/>
  <c r="O22" i="36"/>
  <c r="AU31" i="36"/>
  <c r="AX49" i="36"/>
  <c r="P34" i="36"/>
  <c r="AU34" i="36"/>
  <c r="P56" i="36"/>
  <c r="P57" i="36"/>
  <c r="AW39" i="36"/>
  <c r="AV40" i="36"/>
  <c r="AV41" i="36"/>
  <c r="R39" i="36"/>
  <c r="Q41" i="36"/>
  <c r="Q33" i="36"/>
  <c r="R28" i="36"/>
  <c r="Q32" i="36"/>
  <c r="Q30" i="36"/>
  <c r="Q29" i="36"/>
  <c r="U46" i="36"/>
  <c r="R17" i="36"/>
  <c r="Q18" i="36"/>
  <c r="AW17" i="36"/>
  <c r="Q55" i="36"/>
  <c r="AY47" i="36"/>
  <c r="AZ46" i="36"/>
  <c r="AY50" i="36"/>
  <c r="AY48" i="36"/>
  <c r="AU57" i="36"/>
  <c r="AU56" i="36"/>
  <c r="AT96" i="36"/>
  <c r="AT45" i="36"/>
  <c r="AT43" i="36"/>
  <c r="P20" i="36"/>
  <c r="P21" i="36"/>
  <c r="AU20" i="36"/>
  <c r="N59" i="36"/>
  <c r="N61" i="36"/>
  <c r="AV32" i="36"/>
  <c r="AV33" i="36"/>
  <c r="AV29" i="36"/>
  <c r="AV30" i="36"/>
  <c r="AW28" i="36"/>
  <c r="AV18" i="36"/>
  <c r="AV55" i="36"/>
  <c r="X9" i="19"/>
  <c r="Y4" i="19"/>
  <c r="X9" i="28"/>
  <c r="Y4" i="28"/>
  <c r="Y4" i="42"/>
  <c r="X9" i="42"/>
  <c r="Y4" i="38"/>
  <c r="X9" i="38"/>
  <c r="Y4" i="29"/>
  <c r="X9" i="29"/>
  <c r="R5" i="20"/>
  <c r="R6" i="20"/>
  <c r="M8" i="20"/>
  <c r="M7" i="20"/>
  <c r="L9" i="20"/>
  <c r="Q4" i="20"/>
  <c r="AS25" i="36" l="1"/>
  <c r="AT22" i="36"/>
  <c r="N37" i="38"/>
  <c r="AW89" i="36"/>
  <c r="AU21" i="36"/>
  <c r="O61" i="36"/>
  <c r="AS83" i="36"/>
  <c r="AS27" i="36"/>
  <c r="O59" i="36"/>
  <c r="AW52" i="36"/>
  <c r="P36" i="42"/>
  <c r="N27" i="36"/>
  <c r="L34" i="42"/>
  <c r="AX51" i="36"/>
  <c r="AT59" i="36"/>
  <c r="O24" i="36"/>
  <c r="AS86" i="36"/>
  <c r="N35" i="42"/>
  <c r="AT24" i="36"/>
  <c r="M86" i="36"/>
  <c r="AW54" i="36"/>
  <c r="AS80" i="36"/>
  <c r="Q19" i="36"/>
  <c r="M33" i="42"/>
  <c r="M34" i="38"/>
  <c r="N25" i="36"/>
  <c r="AV19" i="36"/>
  <c r="N83" i="36"/>
  <c r="Y9" i="53"/>
  <c r="Z4" i="53"/>
  <c r="Y9" i="48"/>
  <c r="Z4" i="48"/>
  <c r="Z4" i="46"/>
  <c r="Y9" i="46"/>
  <c r="Z4" i="54"/>
  <c r="Y9" i="54"/>
  <c r="AT61" i="36"/>
  <c r="M37" i="42"/>
  <c r="AT68" i="36"/>
  <c r="P22" i="36"/>
  <c r="AU22" i="36"/>
  <c r="Q31" i="36"/>
  <c r="AT36" i="36"/>
  <c r="AT38" i="36"/>
  <c r="AT76" i="36"/>
  <c r="AU69" i="36"/>
  <c r="AU58" i="36"/>
  <c r="O25" i="36"/>
  <c r="O27" i="36"/>
  <c r="O83" i="36"/>
  <c r="AV34" i="36"/>
  <c r="Q34" i="36"/>
  <c r="AU35" i="36"/>
  <c r="AU43" i="36"/>
  <c r="AU45" i="36"/>
  <c r="AU96" i="36"/>
  <c r="AV31" i="36"/>
  <c r="AV21" i="36"/>
  <c r="AY49" i="36"/>
  <c r="Q56" i="36"/>
  <c r="Q57" i="36"/>
  <c r="AW41" i="36"/>
  <c r="AX39" i="36"/>
  <c r="AW40" i="36"/>
  <c r="AV56" i="36"/>
  <c r="AV57" i="36"/>
  <c r="AW18" i="36"/>
  <c r="AW55" i="36"/>
  <c r="V46" i="36"/>
  <c r="R41" i="36"/>
  <c r="S39" i="36"/>
  <c r="Q20" i="36"/>
  <c r="R32" i="36"/>
  <c r="S28" i="36"/>
  <c r="R29" i="36"/>
  <c r="R30" i="36"/>
  <c r="R33" i="36"/>
  <c r="P58" i="36"/>
  <c r="AW30" i="36"/>
  <c r="AW29" i="36"/>
  <c r="AW32" i="36"/>
  <c r="AX28" i="36"/>
  <c r="AW33" i="36"/>
  <c r="AZ48" i="36"/>
  <c r="BA46" i="36"/>
  <c r="AZ50" i="36"/>
  <c r="AZ47" i="36"/>
  <c r="S17" i="36"/>
  <c r="AX17" i="36"/>
  <c r="R18" i="36"/>
  <c r="R55" i="36"/>
  <c r="AV42" i="36"/>
  <c r="Z4" i="38"/>
  <c r="Y9" i="38"/>
  <c r="Z4" i="29"/>
  <c r="Y9" i="29"/>
  <c r="Y9" i="28"/>
  <c r="Z4" i="28"/>
  <c r="Y9" i="19"/>
  <c r="Z4" i="19"/>
  <c r="Y9" i="42"/>
  <c r="Z4" i="42"/>
  <c r="S6" i="20"/>
  <c r="S5" i="20"/>
  <c r="N7" i="20"/>
  <c r="M9" i="20"/>
  <c r="N8" i="20"/>
  <c r="R4" i="20"/>
  <c r="D2" i="7"/>
  <c r="D3" i="7" s="1"/>
  <c r="G2" i="7"/>
  <c r="K2" i="7"/>
  <c r="H2" i="25"/>
  <c r="I2" i="25"/>
  <c r="J2" i="25"/>
  <c r="K3" i="25" s="1"/>
  <c r="E2" i="25"/>
  <c r="F2" i="25"/>
  <c r="J2" i="7"/>
  <c r="I2" i="7"/>
  <c r="H2" i="7"/>
  <c r="F2" i="7"/>
  <c r="Q21" i="36" l="1"/>
  <c r="AX89" i="36"/>
  <c r="AV20" i="36"/>
  <c r="AT83" i="36"/>
  <c r="AW93" i="36"/>
  <c r="AT27" i="36"/>
  <c r="AT25" i="36"/>
  <c r="R19" i="36"/>
  <c r="AW19" i="36"/>
  <c r="AY51" i="36"/>
  <c r="AT86" i="36"/>
  <c r="AX54" i="36"/>
  <c r="AV69" i="36"/>
  <c r="AT80" i="36"/>
  <c r="N86" i="36"/>
  <c r="N33" i="42"/>
  <c r="O37" i="38"/>
  <c r="O86" i="36"/>
  <c r="P24" i="36"/>
  <c r="N34" i="38"/>
  <c r="AX52" i="36"/>
  <c r="O35" i="42"/>
  <c r="Q36" i="42"/>
  <c r="M34" i="42"/>
  <c r="J3" i="25"/>
  <c r="I3" i="25"/>
  <c r="H3" i="25"/>
  <c r="G3" i="25"/>
  <c r="E3" i="25"/>
  <c r="E16" i="25"/>
  <c r="L2" i="25"/>
  <c r="F3" i="25"/>
  <c r="C6" i="25"/>
  <c r="E17" i="25"/>
  <c r="D3" i="25"/>
  <c r="E3" i="7"/>
  <c r="F3" i="7"/>
  <c r="Z9" i="46"/>
  <c r="AA4" i="46"/>
  <c r="Z9" i="48"/>
  <c r="AA4" i="48"/>
  <c r="AA4" i="54"/>
  <c r="Z9" i="54"/>
  <c r="AA4" i="53"/>
  <c r="Z9" i="53"/>
  <c r="K56" i="25"/>
  <c r="AU61" i="36"/>
  <c r="N37" i="42"/>
  <c r="AU59" i="36"/>
  <c r="Q58" i="36"/>
  <c r="AV22" i="36"/>
  <c r="AU68" i="36"/>
  <c r="AU24" i="36"/>
  <c r="AW34" i="36"/>
  <c r="AV35" i="36"/>
  <c r="R31" i="36"/>
  <c r="Q22" i="36"/>
  <c r="AU36" i="36"/>
  <c r="AU38" i="36"/>
  <c r="AU76" i="36"/>
  <c r="AZ49" i="36"/>
  <c r="AW31" i="36"/>
  <c r="R34" i="36"/>
  <c r="AV96" i="36"/>
  <c r="AV43" i="36"/>
  <c r="AV45" i="36"/>
  <c r="R57" i="36"/>
  <c r="R56" i="36"/>
  <c r="AX29" i="36"/>
  <c r="AY28" i="36"/>
  <c r="AX30" i="36"/>
  <c r="AX33" i="36"/>
  <c r="AX32" i="36"/>
  <c r="P59" i="36"/>
  <c r="P61" i="36"/>
  <c r="AW56" i="36"/>
  <c r="AW57" i="36"/>
  <c r="P25" i="36"/>
  <c r="S30" i="36"/>
  <c r="S32" i="36"/>
  <c r="S29" i="36"/>
  <c r="S33" i="36"/>
  <c r="T28" i="36"/>
  <c r="T39" i="36"/>
  <c r="S41" i="36"/>
  <c r="W46" i="36"/>
  <c r="AW21" i="36"/>
  <c r="AW20" i="36"/>
  <c r="AV58" i="36"/>
  <c r="AX18" i="36"/>
  <c r="AX55" i="36"/>
  <c r="AW42" i="36"/>
  <c r="R21" i="36"/>
  <c r="R20" i="36"/>
  <c r="AY17" i="36"/>
  <c r="T17" i="36"/>
  <c r="S18" i="36"/>
  <c r="S55" i="36"/>
  <c r="BA47" i="36"/>
  <c r="BA48" i="36"/>
  <c r="BA50" i="36"/>
  <c r="BB46" i="36"/>
  <c r="AX40" i="36"/>
  <c r="AY39" i="36"/>
  <c r="AX41" i="36"/>
  <c r="AY89" i="36"/>
  <c r="AY54" i="36"/>
  <c r="AY52" i="36"/>
  <c r="AA4" i="29"/>
  <c r="Z9" i="29"/>
  <c r="Z9" i="19"/>
  <c r="AA4" i="19"/>
  <c r="Z9" i="42"/>
  <c r="AA4" i="42"/>
  <c r="AA4" i="28"/>
  <c r="Z9" i="28"/>
  <c r="AA4" i="38"/>
  <c r="Z9" i="38"/>
  <c r="D2" i="50"/>
  <c r="T5" i="20"/>
  <c r="T6" i="20"/>
  <c r="O8" i="20"/>
  <c r="O7" i="20"/>
  <c r="N9" i="20"/>
  <c r="S4" i="20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D20" i="16"/>
  <c r="D17" i="16"/>
  <c r="D11" i="16"/>
  <c r="E3" i="16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K38" i="15"/>
  <c r="S38" i="15"/>
  <c r="AA38" i="15"/>
  <c r="AF38" i="15"/>
  <c r="AE38" i="15"/>
  <c r="AB38" i="15"/>
  <c r="X38" i="15"/>
  <c r="W38" i="15"/>
  <c r="T38" i="15"/>
  <c r="P38" i="15"/>
  <c r="O38" i="15"/>
  <c r="L38" i="15"/>
  <c r="H38" i="15"/>
  <c r="G38" i="15"/>
  <c r="D38" i="15"/>
  <c r="AG38" i="15"/>
  <c r="AC38" i="15"/>
  <c r="Y38" i="15"/>
  <c r="U38" i="15"/>
  <c r="Q38" i="15"/>
  <c r="M38" i="15"/>
  <c r="I38" i="15"/>
  <c r="E38" i="15"/>
  <c r="D31" i="15"/>
  <c r="D20" i="15"/>
  <c r="D17" i="15"/>
  <c r="D11" i="15"/>
  <c r="E3" i="15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F3" i="15" s="1"/>
  <c r="AG3" i="15" s="1"/>
  <c r="AH3" i="15" s="1"/>
  <c r="D28" i="13"/>
  <c r="D29" i="13"/>
  <c r="E27" i="13"/>
  <c r="F27" i="13" s="1"/>
  <c r="G27" i="13" s="1"/>
  <c r="H27" i="13" s="1"/>
  <c r="I27" i="13" s="1"/>
  <c r="J27" i="13" s="1"/>
  <c r="K27" i="13" s="1"/>
  <c r="L27" i="13" s="1"/>
  <c r="M27" i="13" s="1"/>
  <c r="N27" i="13" s="1"/>
  <c r="O27" i="13" s="1"/>
  <c r="P27" i="13" s="1"/>
  <c r="Q27" i="13" s="1"/>
  <c r="R27" i="13" s="1"/>
  <c r="S27" i="13" s="1"/>
  <c r="T27" i="13" s="1"/>
  <c r="U27" i="13" s="1"/>
  <c r="V27" i="13" s="1"/>
  <c r="W27" i="13" s="1"/>
  <c r="X27" i="13" s="1"/>
  <c r="Y27" i="13" s="1"/>
  <c r="Z27" i="13" s="1"/>
  <c r="AA27" i="13" s="1"/>
  <c r="AB27" i="13" s="1"/>
  <c r="AC27" i="13" s="1"/>
  <c r="AD27" i="13" s="1"/>
  <c r="AE27" i="13" s="1"/>
  <c r="AF27" i="13" s="1"/>
  <c r="AG27" i="13" s="1"/>
  <c r="AH27" i="13" s="1"/>
  <c r="D34" i="11"/>
  <c r="D33" i="11"/>
  <c r="F16" i="13"/>
  <c r="E11" i="13"/>
  <c r="D11" i="13"/>
  <c r="F10" i="13"/>
  <c r="F9" i="13"/>
  <c r="F8" i="13"/>
  <c r="F7" i="13"/>
  <c r="D17" i="13" s="1"/>
  <c r="F6" i="13"/>
  <c r="E32" i="11"/>
  <c r="F32" i="11" s="1"/>
  <c r="G32" i="11" s="1"/>
  <c r="H32" i="11" s="1"/>
  <c r="I32" i="11" s="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T32" i="11" s="1"/>
  <c r="U32" i="11" s="1"/>
  <c r="V32" i="11" s="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G16" i="11"/>
  <c r="F16" i="11"/>
  <c r="E10" i="11"/>
  <c r="E11" i="11" s="1"/>
  <c r="D10" i="11"/>
  <c r="D11" i="11" s="1"/>
  <c r="F9" i="11"/>
  <c r="F8" i="11"/>
  <c r="F7" i="11"/>
  <c r="D17" i="11" s="1"/>
  <c r="P27" i="36" l="1"/>
  <c r="P83" i="36"/>
  <c r="P86" i="36"/>
  <c r="O33" i="42"/>
  <c r="O34" i="38"/>
  <c r="D40" i="16"/>
  <c r="AY93" i="36"/>
  <c r="P35" i="42"/>
  <c r="F11" i="13"/>
  <c r="AZ51" i="36"/>
  <c r="N34" i="42"/>
  <c r="R36" i="42"/>
  <c r="AX19" i="36"/>
  <c r="S19" i="36"/>
  <c r="O37" i="42"/>
  <c r="AX93" i="36"/>
  <c r="D40" i="15"/>
  <c r="AU80" i="36"/>
  <c r="P37" i="38"/>
  <c r="Q24" i="36"/>
  <c r="C9" i="25"/>
  <c r="D9" i="25" s="1"/>
  <c r="S17" i="25" s="1"/>
  <c r="T17" i="25" s="1"/>
  <c r="C12" i="25"/>
  <c r="D12" i="25" s="1"/>
  <c r="AH16" i="25" s="1"/>
  <c r="AI16" i="25" s="1"/>
  <c r="C8" i="25"/>
  <c r="D8" i="25" s="1"/>
  <c r="N18" i="25" s="1"/>
  <c r="O18" i="25" s="1"/>
  <c r="C10" i="25"/>
  <c r="D10" i="25" s="1"/>
  <c r="C11" i="25"/>
  <c r="D11" i="25" s="1"/>
  <c r="AC16" i="25" s="1"/>
  <c r="AD16" i="25" s="1"/>
  <c r="C7" i="25"/>
  <c r="D7" i="25" s="1"/>
  <c r="C25" i="25"/>
  <c r="C26" i="25"/>
  <c r="L56" i="25"/>
  <c r="M56" i="25" s="1"/>
  <c r="L51" i="25"/>
  <c r="B5" i="4" s="1"/>
  <c r="L50" i="25"/>
  <c r="L54" i="25" s="1"/>
  <c r="L52" i="25"/>
  <c r="AB4" i="53"/>
  <c r="AA9" i="53"/>
  <c r="AA9" i="54"/>
  <c r="AB4" i="54"/>
  <c r="AB4" i="48"/>
  <c r="AA9" i="48"/>
  <c r="AA9" i="46"/>
  <c r="AB4" i="46"/>
  <c r="I19" i="25"/>
  <c r="J19" i="25" s="1"/>
  <c r="X16" i="25"/>
  <c r="X17" i="25"/>
  <c r="Y17" i="25" s="1"/>
  <c r="X19" i="25"/>
  <c r="Y19" i="25" s="1"/>
  <c r="X18" i="25"/>
  <c r="Y18" i="25" s="1"/>
  <c r="N17" i="25"/>
  <c r="O17" i="25" s="1"/>
  <c r="N16" i="25"/>
  <c r="N19" i="25"/>
  <c r="O19" i="25" s="1"/>
  <c r="L57" i="25"/>
  <c r="E2" i="50"/>
  <c r="C2" i="50"/>
  <c r="Q61" i="36"/>
  <c r="S36" i="42"/>
  <c r="Q59" i="36"/>
  <c r="BA49" i="36"/>
  <c r="AV24" i="36"/>
  <c r="AV68" i="36"/>
  <c r="AW58" i="36"/>
  <c r="R22" i="36"/>
  <c r="AU25" i="36"/>
  <c r="AU27" i="36"/>
  <c r="AU83" i="36"/>
  <c r="AW22" i="36"/>
  <c r="AW69" i="36"/>
  <c r="AW35" i="36"/>
  <c r="AX34" i="36"/>
  <c r="AV76" i="36"/>
  <c r="AV38" i="36"/>
  <c r="AV36" i="36"/>
  <c r="AX42" i="36"/>
  <c r="S31" i="36"/>
  <c r="S34" i="36"/>
  <c r="AX31" i="36"/>
  <c r="R58" i="36"/>
  <c r="AZ39" i="36"/>
  <c r="AY41" i="36"/>
  <c r="AY40" i="36"/>
  <c r="T41" i="36"/>
  <c r="U39" i="36"/>
  <c r="T30" i="36"/>
  <c r="T29" i="36"/>
  <c r="T33" i="36"/>
  <c r="T32" i="36"/>
  <c r="U28" i="36"/>
  <c r="AY30" i="36"/>
  <c r="AY29" i="36"/>
  <c r="AY33" i="36"/>
  <c r="AY32" i="36"/>
  <c r="AZ28" i="36"/>
  <c r="AZ17" i="36"/>
  <c r="T18" i="36"/>
  <c r="U17" i="36"/>
  <c r="T55" i="36"/>
  <c r="AW43" i="36"/>
  <c r="AW96" i="36"/>
  <c r="AW45" i="36"/>
  <c r="AX57" i="36"/>
  <c r="AX56" i="36"/>
  <c r="AV61" i="36"/>
  <c r="AV59" i="36"/>
  <c r="BB47" i="36"/>
  <c r="BC46" i="36"/>
  <c r="BB50" i="36"/>
  <c r="BB48" i="36"/>
  <c r="S21" i="36"/>
  <c r="AY18" i="36"/>
  <c r="AY55" i="36"/>
  <c r="X46" i="36"/>
  <c r="S56" i="36"/>
  <c r="S57" i="36"/>
  <c r="E33" i="11"/>
  <c r="AA9" i="19"/>
  <c r="AB4" i="19"/>
  <c r="AB4" i="38"/>
  <c r="AA9" i="38"/>
  <c r="AA9" i="42"/>
  <c r="AB4" i="42"/>
  <c r="AA9" i="28"/>
  <c r="AB4" i="28"/>
  <c r="AB4" i="29"/>
  <c r="AA9" i="29"/>
  <c r="D39" i="15"/>
  <c r="D39" i="16"/>
  <c r="D18" i="13"/>
  <c r="L25" i="13"/>
  <c r="K25" i="13"/>
  <c r="D25" i="13"/>
  <c r="M25" i="13"/>
  <c r="J25" i="13"/>
  <c r="L50" i="16"/>
  <c r="X50" i="16"/>
  <c r="I50" i="16"/>
  <c r="U50" i="16"/>
  <c r="Y50" i="16"/>
  <c r="AC50" i="16"/>
  <c r="AG50" i="16"/>
  <c r="D50" i="16"/>
  <c r="P50" i="16"/>
  <c r="AB50" i="16"/>
  <c r="E50" i="16"/>
  <c r="M50" i="16"/>
  <c r="F50" i="16"/>
  <c r="J50" i="16"/>
  <c r="N50" i="16"/>
  <c r="R50" i="16"/>
  <c r="V50" i="16"/>
  <c r="Z50" i="16"/>
  <c r="AD50" i="16"/>
  <c r="AH50" i="16"/>
  <c r="H50" i="16"/>
  <c r="T50" i="16"/>
  <c r="AF50" i="16"/>
  <c r="Q50" i="16"/>
  <c r="G50" i="16"/>
  <c r="K50" i="16"/>
  <c r="O50" i="16"/>
  <c r="S50" i="16"/>
  <c r="W50" i="16"/>
  <c r="AA50" i="16"/>
  <c r="AE50" i="16"/>
  <c r="D41" i="16"/>
  <c r="D50" i="15"/>
  <c r="U6" i="20"/>
  <c r="U5" i="20"/>
  <c r="E17" i="13"/>
  <c r="E19" i="13" s="1"/>
  <c r="D41" i="15"/>
  <c r="P7" i="20"/>
  <c r="O9" i="20"/>
  <c r="P8" i="20"/>
  <c r="J8" i="13"/>
  <c r="G16" i="13"/>
  <c r="E28" i="13" s="1"/>
  <c r="E29" i="13" s="1"/>
  <c r="E30" i="13" s="1"/>
  <c r="E32" i="13" s="1"/>
  <c r="T4" i="20"/>
  <c r="F38" i="15"/>
  <c r="J38" i="15"/>
  <c r="N38" i="15"/>
  <c r="R38" i="15"/>
  <c r="V38" i="15"/>
  <c r="Z38" i="15"/>
  <c r="AD38" i="15"/>
  <c r="AH38" i="15"/>
  <c r="E34" i="11"/>
  <c r="E35" i="11" s="1"/>
  <c r="E36" i="11" s="1"/>
  <c r="F33" i="11"/>
  <c r="F10" i="11"/>
  <c r="F17" i="11"/>
  <c r="F18" i="11" s="1"/>
  <c r="F19" i="11" s="1"/>
  <c r="F11" i="11"/>
  <c r="E18" i="13"/>
  <c r="G7" i="13"/>
  <c r="G9" i="13" s="1"/>
  <c r="F17" i="13"/>
  <c r="D19" i="13"/>
  <c r="J9" i="13"/>
  <c r="D18" i="11"/>
  <c r="D19" i="11" s="1"/>
  <c r="G7" i="11"/>
  <c r="G8" i="11" s="1"/>
  <c r="J8" i="11"/>
  <c r="E17" i="11"/>
  <c r="E18" i="11" s="1"/>
  <c r="E19" i="11" s="1"/>
  <c r="J9" i="11"/>
  <c r="Q83" i="36" l="1"/>
  <c r="S20" i="36"/>
  <c r="AX21" i="36"/>
  <c r="E4" i="44"/>
  <c r="D4" i="44" s="1"/>
  <c r="Q25" i="36"/>
  <c r="Q27" i="36"/>
  <c r="AX20" i="36"/>
  <c r="S16" i="25"/>
  <c r="Q53" i="16"/>
  <c r="AH53" i="16"/>
  <c r="Q37" i="38"/>
  <c r="P37" i="42"/>
  <c r="AZ52" i="36"/>
  <c r="AE53" i="16"/>
  <c r="O53" i="16"/>
  <c r="R53" i="16"/>
  <c r="M53" i="16"/>
  <c r="D53" i="16"/>
  <c r="Y53" i="16"/>
  <c r="L53" i="16"/>
  <c r="P33" i="42"/>
  <c r="V53" i="16"/>
  <c r="P53" i="16"/>
  <c r="AC53" i="16"/>
  <c r="AF53" i="16"/>
  <c r="O34" i="42"/>
  <c r="F53" i="16"/>
  <c r="AA53" i="16"/>
  <c r="K53" i="16"/>
  <c r="AD53" i="16"/>
  <c r="N53" i="16"/>
  <c r="E53" i="16"/>
  <c r="U53" i="16"/>
  <c r="BA51" i="36"/>
  <c r="S53" i="16"/>
  <c r="E73" i="12"/>
  <c r="E73" i="14"/>
  <c r="T53" i="16"/>
  <c r="Q35" i="42"/>
  <c r="AZ89" i="36"/>
  <c r="W53" i="16"/>
  <c r="G53" i="16"/>
  <c r="Z53" i="16"/>
  <c r="J53" i="16"/>
  <c r="AB53" i="16"/>
  <c r="AG53" i="16"/>
  <c r="I53" i="16"/>
  <c r="AY19" i="36"/>
  <c r="T19" i="36"/>
  <c r="AV80" i="36"/>
  <c r="AZ54" i="36"/>
  <c r="P34" i="38"/>
  <c r="X53" i="16"/>
  <c r="R24" i="36"/>
  <c r="D53" i="15"/>
  <c r="H53" i="16"/>
  <c r="AU86" i="36"/>
  <c r="D13" i="25"/>
  <c r="I16" i="25"/>
  <c r="J16" i="25" s="1"/>
  <c r="C13" i="25"/>
  <c r="I18" i="25"/>
  <c r="J18" i="25" s="1"/>
  <c r="I17" i="25"/>
  <c r="J17" i="25" s="1"/>
  <c r="C55" i="25"/>
  <c r="C52" i="25"/>
  <c r="C53" i="25"/>
  <c r="C54" i="25"/>
  <c r="C51" i="25"/>
  <c r="C50" i="25"/>
  <c r="C87" i="7"/>
  <c r="G87" i="7" s="1"/>
  <c r="AC4" i="46"/>
  <c r="AB9" i="46"/>
  <c r="AC4" i="48"/>
  <c r="AB9" i="48"/>
  <c r="AB9" i="54"/>
  <c r="AC4" i="54"/>
  <c r="AB9" i="53"/>
  <c r="AC4" i="53"/>
  <c r="E40" i="11"/>
  <c r="E39" i="11"/>
  <c r="C46" i="44"/>
  <c r="Y16" i="25"/>
  <c r="X20" i="25"/>
  <c r="O22" i="24"/>
  <c r="N20" i="25"/>
  <c r="O16" i="25"/>
  <c r="S18" i="25"/>
  <c r="T16" i="25"/>
  <c r="BA54" i="36"/>
  <c r="BA52" i="36"/>
  <c r="BA89" i="36"/>
  <c r="S58" i="36"/>
  <c r="AX58" i="36"/>
  <c r="AV83" i="36"/>
  <c r="AV25" i="36"/>
  <c r="AV27" i="36"/>
  <c r="AX69" i="36"/>
  <c r="AW24" i="36"/>
  <c r="AW68" i="36"/>
  <c r="S22" i="36"/>
  <c r="AW59" i="36"/>
  <c r="AW61" i="36"/>
  <c r="AX35" i="36"/>
  <c r="AY34" i="36"/>
  <c r="T34" i="36"/>
  <c r="AY31" i="36"/>
  <c r="T31" i="36"/>
  <c r="AW76" i="36"/>
  <c r="AW38" i="36"/>
  <c r="AW36" i="36"/>
  <c r="AX45" i="36"/>
  <c r="AX43" i="36"/>
  <c r="AX96" i="36"/>
  <c r="R61" i="36"/>
  <c r="R59" i="36"/>
  <c r="AX22" i="36"/>
  <c r="BA17" i="36"/>
  <c r="V17" i="36"/>
  <c r="U18" i="36"/>
  <c r="U55" i="36"/>
  <c r="AZ29" i="36"/>
  <c r="AZ30" i="36"/>
  <c r="AZ33" i="36"/>
  <c r="BA28" i="36"/>
  <c r="AZ32" i="36"/>
  <c r="V28" i="36"/>
  <c r="U32" i="36"/>
  <c r="U29" i="36"/>
  <c r="U30" i="36"/>
  <c r="U33" i="36"/>
  <c r="AY57" i="36"/>
  <c r="AY56" i="36"/>
  <c r="BC48" i="36"/>
  <c r="BD46" i="36"/>
  <c r="BC50" i="36"/>
  <c r="BC47" i="36"/>
  <c r="T20" i="36"/>
  <c r="AZ40" i="36"/>
  <c r="AZ41" i="36"/>
  <c r="BA39" i="36"/>
  <c r="Y46" i="36"/>
  <c r="AY21" i="36"/>
  <c r="AY20" i="36"/>
  <c r="BB49" i="36"/>
  <c r="AZ18" i="36"/>
  <c r="AZ55" i="36"/>
  <c r="V39" i="36"/>
  <c r="U41" i="36"/>
  <c r="T57" i="36"/>
  <c r="T56" i="36"/>
  <c r="AY42" i="36"/>
  <c r="G19" i="11"/>
  <c r="E37" i="11"/>
  <c r="E38" i="11"/>
  <c r="E62" i="36" s="1"/>
  <c r="AC4" i="42"/>
  <c r="AB9" i="42"/>
  <c r="AC4" i="38"/>
  <c r="AB9" i="38"/>
  <c r="AB9" i="28"/>
  <c r="AC4" i="28"/>
  <c r="AB9" i="19"/>
  <c r="AC4" i="19"/>
  <c r="AC4" i="29"/>
  <c r="AB9" i="29"/>
  <c r="G19" i="13"/>
  <c r="D76" i="14"/>
  <c r="D80" i="14"/>
  <c r="N25" i="13"/>
  <c r="D75" i="14"/>
  <c r="D79" i="14"/>
  <c r="D77" i="14"/>
  <c r="D78" i="14"/>
  <c r="V5" i="20"/>
  <c r="V6" i="20"/>
  <c r="G8" i="13"/>
  <c r="J25" i="7"/>
  <c r="J26" i="7"/>
  <c r="Q8" i="20"/>
  <c r="Q7" i="20"/>
  <c r="P9" i="20"/>
  <c r="G33" i="11"/>
  <c r="F34" i="11"/>
  <c r="F35" i="11" s="1"/>
  <c r="F36" i="11" s="1"/>
  <c r="F28" i="13"/>
  <c r="G11" i="13"/>
  <c r="U4" i="20"/>
  <c r="E31" i="15"/>
  <c r="G11" i="11"/>
  <c r="F18" i="13"/>
  <c r="F19" i="13"/>
  <c r="G10" i="13"/>
  <c r="G10" i="11"/>
  <c r="G9" i="11"/>
  <c r="Q86" i="36" l="1"/>
  <c r="T21" i="36"/>
  <c r="R25" i="36"/>
  <c r="R83" i="36"/>
  <c r="R27" i="36"/>
  <c r="U19" i="36"/>
  <c r="Q33" i="42"/>
  <c r="AV86" i="36"/>
  <c r="I20" i="25"/>
  <c r="T36" i="42"/>
  <c r="AW80" i="36"/>
  <c r="R35" i="42"/>
  <c r="Q37" i="42"/>
  <c r="E64" i="45"/>
  <c r="E61" i="45"/>
  <c r="AZ93" i="36"/>
  <c r="S24" i="36"/>
  <c r="R37" i="38"/>
  <c r="AK66" i="45"/>
  <c r="E66" i="45"/>
  <c r="E72" i="12"/>
  <c r="E72" i="14"/>
  <c r="AZ19" i="36"/>
  <c r="P34" i="42"/>
  <c r="BA93" i="36"/>
  <c r="R86" i="36"/>
  <c r="BB51" i="36"/>
  <c r="Q34" i="38"/>
  <c r="C57" i="25"/>
  <c r="AC9" i="54"/>
  <c r="AD4" i="54"/>
  <c r="AD4" i="53"/>
  <c r="AC9" i="53"/>
  <c r="AC9" i="48"/>
  <c r="AD4" i="48"/>
  <c r="AD4" i="46"/>
  <c r="AC9" i="46"/>
  <c r="F40" i="11"/>
  <c r="F39" i="11"/>
  <c r="F37" i="11"/>
  <c r="F38" i="11"/>
  <c r="F62" i="36" s="1"/>
  <c r="AK64" i="45"/>
  <c r="C27" i="25"/>
  <c r="J9" i="49"/>
  <c r="U8" i="49"/>
  <c r="P5" i="49"/>
  <c r="E13" i="49"/>
  <c r="C4" i="50"/>
  <c r="AX59" i="36"/>
  <c r="AX61" i="36"/>
  <c r="S27" i="36"/>
  <c r="R34" i="38"/>
  <c r="AY69" i="36"/>
  <c r="AY35" i="36"/>
  <c r="BC49" i="36"/>
  <c r="T58" i="36"/>
  <c r="S61" i="36"/>
  <c r="S59" i="36"/>
  <c r="S83" i="36"/>
  <c r="AW83" i="36"/>
  <c r="AW25" i="36"/>
  <c r="AW27" i="36"/>
  <c r="AX76" i="36"/>
  <c r="AX36" i="36"/>
  <c r="AX38" i="36"/>
  <c r="U34" i="36"/>
  <c r="U31" i="36"/>
  <c r="AY22" i="36"/>
  <c r="T22" i="36"/>
  <c r="AZ34" i="36"/>
  <c r="AZ31" i="36"/>
  <c r="AX24" i="36"/>
  <c r="AX68" i="36"/>
  <c r="U21" i="36"/>
  <c r="U20" i="36"/>
  <c r="BA40" i="36"/>
  <c r="BA41" i="36"/>
  <c r="BB39" i="36"/>
  <c r="BD48" i="36"/>
  <c r="BD50" i="36"/>
  <c r="BE46" i="36"/>
  <c r="BD47" i="36"/>
  <c r="V55" i="36"/>
  <c r="V29" i="36"/>
  <c r="V33" i="36"/>
  <c r="W28" i="36"/>
  <c r="V32" i="36"/>
  <c r="V30" i="36"/>
  <c r="BB17" i="36"/>
  <c r="V18" i="36"/>
  <c r="W17" i="36"/>
  <c r="V41" i="36"/>
  <c r="W39" i="36"/>
  <c r="AZ21" i="36"/>
  <c r="AZ20" i="36"/>
  <c r="BA18" i="36"/>
  <c r="BA55" i="36"/>
  <c r="AY96" i="36"/>
  <c r="AY45" i="36"/>
  <c r="AY43" i="36"/>
  <c r="AZ56" i="36"/>
  <c r="AZ57" i="36"/>
  <c r="Z46" i="36"/>
  <c r="AZ42" i="36"/>
  <c r="AY58" i="36"/>
  <c r="BA32" i="36"/>
  <c r="BA33" i="36"/>
  <c r="BB28" i="36"/>
  <c r="BA29" i="36"/>
  <c r="BA30" i="36"/>
  <c r="U56" i="36"/>
  <c r="U57" i="36"/>
  <c r="AD4" i="38"/>
  <c r="AC9" i="38"/>
  <c r="AD4" i="28"/>
  <c r="AC9" i="28"/>
  <c r="AC9" i="19"/>
  <c r="AD4" i="19"/>
  <c r="AD4" i="29"/>
  <c r="AC9" i="29"/>
  <c r="AC9" i="42"/>
  <c r="AD4" i="42"/>
  <c r="J24" i="7"/>
  <c r="M22" i="24"/>
  <c r="L116" i="24" s="1"/>
  <c r="K85" i="44" s="1"/>
  <c r="E50" i="15"/>
  <c r="W6" i="20"/>
  <c r="W5" i="20"/>
  <c r="R8" i="20"/>
  <c r="R7" i="20"/>
  <c r="Q9" i="20"/>
  <c r="H33" i="11"/>
  <c r="G34" i="11"/>
  <c r="G35" i="11" s="1"/>
  <c r="G36" i="11" s="1"/>
  <c r="E31" i="13"/>
  <c r="E33" i="13" s="1"/>
  <c r="E63" i="36" s="1"/>
  <c r="F29" i="13"/>
  <c r="F30" i="13" s="1"/>
  <c r="G28" i="13"/>
  <c r="V4" i="20"/>
  <c r="F31" i="15"/>
  <c r="BB89" i="36" l="1"/>
  <c r="S25" i="36"/>
  <c r="AY76" i="36"/>
  <c r="BB52" i="36"/>
  <c r="F64" i="45"/>
  <c r="F61" i="45"/>
  <c r="E53" i="15"/>
  <c r="Q34" i="42"/>
  <c r="AX80" i="36"/>
  <c r="F66" i="45"/>
  <c r="U36" i="42"/>
  <c r="T24" i="36"/>
  <c r="AW86" i="36"/>
  <c r="S86" i="36"/>
  <c r="R37" i="42"/>
  <c r="AK61" i="45"/>
  <c r="BC51" i="36"/>
  <c r="S35" i="42"/>
  <c r="BA19" i="36"/>
  <c r="BB54" i="36"/>
  <c r="V19" i="36"/>
  <c r="F72" i="14"/>
  <c r="F72" i="12"/>
  <c r="C28" i="25"/>
  <c r="D52" i="25" s="1"/>
  <c r="J52" i="25" s="1"/>
  <c r="AD9" i="48"/>
  <c r="AE4" i="48"/>
  <c r="AE4" i="46"/>
  <c r="AD9" i="46"/>
  <c r="AE4" i="53"/>
  <c r="AD9" i="53"/>
  <c r="AD9" i="54"/>
  <c r="AE4" i="54"/>
  <c r="G37" i="11"/>
  <c r="G40" i="11"/>
  <c r="G39" i="11"/>
  <c r="G38" i="11"/>
  <c r="G62" i="36" s="1"/>
  <c r="AL64" i="45"/>
  <c r="AL61" i="45"/>
  <c r="D54" i="25"/>
  <c r="J54" i="25" s="1"/>
  <c r="D53" i="25"/>
  <c r="J53" i="25" s="1"/>
  <c r="D50" i="25"/>
  <c r="U3" i="49"/>
  <c r="U6" i="49"/>
  <c r="U4" i="49"/>
  <c r="U5" i="49"/>
  <c r="U7" i="49"/>
  <c r="P3" i="49"/>
  <c r="P4" i="49"/>
  <c r="E7" i="49"/>
  <c r="E4" i="49"/>
  <c r="E11" i="49"/>
  <c r="E8" i="49"/>
  <c r="E6" i="49"/>
  <c r="E5" i="49"/>
  <c r="E10" i="49"/>
  <c r="E9" i="49"/>
  <c r="E12" i="49"/>
  <c r="J5" i="49"/>
  <c r="J4" i="49"/>
  <c r="C19" i="49" s="1"/>
  <c r="J8" i="49"/>
  <c r="J6" i="49"/>
  <c r="J3" i="49"/>
  <c r="J7" i="49"/>
  <c r="D4" i="50"/>
  <c r="T61" i="36"/>
  <c r="S37" i="38"/>
  <c r="T59" i="36"/>
  <c r="AY36" i="36"/>
  <c r="R33" i="42"/>
  <c r="AY38" i="36"/>
  <c r="BD49" i="36"/>
  <c r="U22" i="36"/>
  <c r="AZ69" i="36"/>
  <c r="BA31" i="36"/>
  <c r="V34" i="36"/>
  <c r="AZ35" i="36"/>
  <c r="U58" i="36"/>
  <c r="AZ58" i="36"/>
  <c r="BA34" i="36"/>
  <c r="V31" i="36"/>
  <c r="AZ22" i="36"/>
  <c r="AX27" i="36"/>
  <c r="AX25" i="36"/>
  <c r="AX83" i="36"/>
  <c r="AY24" i="36"/>
  <c r="AY68" i="36"/>
  <c r="AY59" i="36"/>
  <c r="AY61" i="36"/>
  <c r="X39" i="36"/>
  <c r="W41" i="36"/>
  <c r="BB18" i="36"/>
  <c r="BB55" i="36"/>
  <c r="BB29" i="36"/>
  <c r="BC28" i="36"/>
  <c r="BB33" i="36"/>
  <c r="BB32" i="36"/>
  <c r="BB30" i="36"/>
  <c r="BC89" i="36"/>
  <c r="BC52" i="36"/>
  <c r="BC54" i="36"/>
  <c r="AA46" i="36"/>
  <c r="BA56" i="36"/>
  <c r="BA57" i="36"/>
  <c r="BF46" i="36"/>
  <c r="BE47" i="36"/>
  <c r="BE48" i="36"/>
  <c r="BE50" i="36"/>
  <c r="T25" i="36"/>
  <c r="BA42" i="36"/>
  <c r="AZ45" i="36"/>
  <c r="AZ96" i="36"/>
  <c r="AZ43" i="36"/>
  <c r="BC17" i="36"/>
  <c r="W18" i="36"/>
  <c r="X17" i="36"/>
  <c r="W55" i="36"/>
  <c r="V57" i="36"/>
  <c r="V56" i="36"/>
  <c r="H4" i="9"/>
  <c r="L130" i="24"/>
  <c r="K95" i="44" s="1"/>
  <c r="M25" i="24"/>
  <c r="W30" i="36"/>
  <c r="X28" i="36"/>
  <c r="W32" i="36"/>
  <c r="W33" i="36"/>
  <c r="W29" i="36"/>
  <c r="BB41" i="36"/>
  <c r="BB40" i="36"/>
  <c r="BC39" i="36"/>
  <c r="E63" i="45"/>
  <c r="AK62" i="36"/>
  <c r="E67" i="36"/>
  <c r="AE4" i="38"/>
  <c r="AD9" i="38"/>
  <c r="AE4" i="29"/>
  <c r="AD9" i="29"/>
  <c r="AD9" i="28"/>
  <c r="AE4" i="28"/>
  <c r="AD9" i="42"/>
  <c r="AE4" i="42"/>
  <c r="AD9" i="19"/>
  <c r="AE4" i="19"/>
  <c r="AK63" i="36"/>
  <c r="E65" i="36"/>
  <c r="E64" i="36"/>
  <c r="P22" i="24"/>
  <c r="F50" i="15"/>
  <c r="X5" i="20"/>
  <c r="X6" i="20"/>
  <c r="E74" i="14"/>
  <c r="E79" i="14"/>
  <c r="E77" i="14"/>
  <c r="E75" i="14"/>
  <c r="E78" i="14"/>
  <c r="E76" i="14"/>
  <c r="E80" i="14"/>
  <c r="S7" i="20"/>
  <c r="R9" i="20"/>
  <c r="S8" i="20"/>
  <c r="I33" i="11"/>
  <c r="H34" i="11"/>
  <c r="H35" i="11" s="1"/>
  <c r="H36" i="11" s="1"/>
  <c r="G29" i="13"/>
  <c r="G30" i="13" s="1"/>
  <c r="H28" i="13"/>
  <c r="F31" i="13"/>
  <c r="F33" i="13" s="1"/>
  <c r="F63" i="36" s="1"/>
  <c r="F32" i="13"/>
  <c r="W4" i="20"/>
  <c r="G31" i="15"/>
  <c r="B13" i="9"/>
  <c r="Z47" i="36" s="1"/>
  <c r="T83" i="36" l="1"/>
  <c r="BA20" i="36"/>
  <c r="BA21" i="36"/>
  <c r="T86" i="36"/>
  <c r="M28" i="24"/>
  <c r="L16" i="24"/>
  <c r="L17" i="24" s="1"/>
  <c r="B36" i="24" s="1"/>
  <c r="B46" i="24" s="1"/>
  <c r="W19" i="36"/>
  <c r="T35" i="42"/>
  <c r="V21" i="36"/>
  <c r="G66" i="45"/>
  <c r="V20" i="36"/>
  <c r="G72" i="14"/>
  <c r="G72" i="12"/>
  <c r="AZ59" i="36"/>
  <c r="F73" i="12"/>
  <c r="F73" i="14"/>
  <c r="R34" i="42"/>
  <c r="T37" i="38"/>
  <c r="AL63" i="45"/>
  <c r="V36" i="42"/>
  <c r="S34" i="38"/>
  <c r="S33" i="42"/>
  <c r="AY80" i="36"/>
  <c r="AK63" i="45"/>
  <c r="BB93" i="36"/>
  <c r="T27" i="36"/>
  <c r="BC93" i="36"/>
  <c r="BB19" i="36"/>
  <c r="AX86" i="36"/>
  <c r="AL66" i="45"/>
  <c r="BD51" i="36"/>
  <c r="F53" i="15"/>
  <c r="AK67" i="36"/>
  <c r="U24" i="36"/>
  <c r="G64" i="45"/>
  <c r="G61" i="45"/>
  <c r="K52" i="25"/>
  <c r="D55" i="25"/>
  <c r="J55" i="25" s="1"/>
  <c r="K55" i="25" s="1"/>
  <c r="D51" i="25"/>
  <c r="J51" i="25" s="1"/>
  <c r="K51" i="25" s="1"/>
  <c r="C29" i="25"/>
  <c r="AE9" i="54"/>
  <c r="AF4" i="54"/>
  <c r="AF4" i="53"/>
  <c r="AE9" i="53"/>
  <c r="AE9" i="46"/>
  <c r="AF4" i="46"/>
  <c r="AF4" i="48"/>
  <c r="AE9" i="48"/>
  <c r="K54" i="25"/>
  <c r="M54" i="25" s="1"/>
  <c r="H37" i="11"/>
  <c r="H40" i="11"/>
  <c r="H39" i="11"/>
  <c r="H38" i="11"/>
  <c r="H62" i="36" s="1"/>
  <c r="AM64" i="45"/>
  <c r="C21" i="49"/>
  <c r="K4" i="3" s="1"/>
  <c r="D4" i="51"/>
  <c r="F22" i="49"/>
  <c r="J50" i="25"/>
  <c r="C20" i="49"/>
  <c r="F20" i="49"/>
  <c r="K53" i="25"/>
  <c r="W31" i="36"/>
  <c r="E4" i="50"/>
  <c r="AZ61" i="36"/>
  <c r="S37" i="42"/>
  <c r="I4" i="9"/>
  <c r="D45" i="45" s="1"/>
  <c r="E95" i="44"/>
  <c r="H5" i="9"/>
  <c r="H6" i="9" s="1"/>
  <c r="Z50" i="36"/>
  <c r="D48" i="36"/>
  <c r="D50" i="36"/>
  <c r="D47" i="36"/>
  <c r="E47" i="36"/>
  <c r="E50" i="36"/>
  <c r="E48" i="36"/>
  <c r="F50" i="36"/>
  <c r="F48" i="36"/>
  <c r="F47" i="36"/>
  <c r="G47" i="36"/>
  <c r="G50" i="36"/>
  <c r="G48" i="36"/>
  <c r="H48" i="36"/>
  <c r="H47" i="36"/>
  <c r="H50" i="36"/>
  <c r="I50" i="36"/>
  <c r="I47" i="36"/>
  <c r="I48" i="36"/>
  <c r="J50" i="36"/>
  <c r="J47" i="36"/>
  <c r="J48" i="36"/>
  <c r="K47" i="36"/>
  <c r="K48" i="36"/>
  <c r="K50" i="36"/>
  <c r="L50" i="36"/>
  <c r="L48" i="36"/>
  <c r="L47" i="36"/>
  <c r="M50" i="36"/>
  <c r="M47" i="36"/>
  <c r="M48" i="36"/>
  <c r="N48" i="36"/>
  <c r="N50" i="36"/>
  <c r="N47" i="36"/>
  <c r="O47" i="36"/>
  <c r="O50" i="36"/>
  <c r="O48" i="36"/>
  <c r="P48" i="36"/>
  <c r="P50" i="36"/>
  <c r="P47" i="36"/>
  <c r="Q48" i="36"/>
  <c r="Q47" i="36"/>
  <c r="Q50" i="36"/>
  <c r="R50" i="36"/>
  <c r="R47" i="36"/>
  <c r="R48" i="36"/>
  <c r="S48" i="36"/>
  <c r="S50" i="36"/>
  <c r="S47" i="36"/>
  <c r="T47" i="36"/>
  <c r="T48" i="36"/>
  <c r="T50" i="36"/>
  <c r="U48" i="36"/>
  <c r="U50" i="36"/>
  <c r="U47" i="36"/>
  <c r="V47" i="36"/>
  <c r="V48" i="36"/>
  <c r="V50" i="36"/>
  <c r="W48" i="36"/>
  <c r="W50" i="36"/>
  <c r="W47" i="36"/>
  <c r="X48" i="36"/>
  <c r="X47" i="36"/>
  <c r="X50" i="36"/>
  <c r="Y48" i="36"/>
  <c r="Y50" i="36"/>
  <c r="Y47" i="36"/>
  <c r="Z48" i="36"/>
  <c r="BA35" i="36"/>
  <c r="BA69" i="36"/>
  <c r="W34" i="36"/>
  <c r="BA22" i="36"/>
  <c r="BA58" i="36"/>
  <c r="BB31" i="36"/>
  <c r="BB34" i="36"/>
  <c r="AY27" i="36"/>
  <c r="AY83" i="36"/>
  <c r="AY25" i="36"/>
  <c r="AZ68" i="36"/>
  <c r="AZ24" i="36"/>
  <c r="U59" i="36"/>
  <c r="U61" i="36"/>
  <c r="V22" i="36"/>
  <c r="AZ76" i="36"/>
  <c r="AZ36" i="36"/>
  <c r="AZ38" i="36"/>
  <c r="BF48" i="36"/>
  <c r="BF50" i="36"/>
  <c r="BF47" i="36"/>
  <c r="BG46" i="36"/>
  <c r="BB57" i="36"/>
  <c r="BB56" i="36"/>
  <c r="V58" i="36"/>
  <c r="W57" i="36"/>
  <c r="W56" i="36"/>
  <c r="U27" i="36"/>
  <c r="BE49" i="36"/>
  <c r="BC30" i="36"/>
  <c r="BD28" i="36"/>
  <c r="BC32" i="36"/>
  <c r="BC29" i="36"/>
  <c r="BC33" i="36"/>
  <c r="H38" i="24"/>
  <c r="H48" i="24" s="1"/>
  <c r="N28" i="24"/>
  <c r="N24" i="24"/>
  <c r="O28" i="24"/>
  <c r="O24" i="24"/>
  <c r="BA45" i="36"/>
  <c r="BA96" i="36"/>
  <c r="BA43" i="36"/>
  <c r="BB42" i="36"/>
  <c r="W21" i="36"/>
  <c r="AA50" i="36"/>
  <c r="AA47" i="36"/>
  <c r="AB46" i="36"/>
  <c r="AA48" i="36"/>
  <c r="BB20" i="36"/>
  <c r="BB21" i="36"/>
  <c r="X41" i="36"/>
  <c r="Y39" i="36"/>
  <c r="BC41" i="36"/>
  <c r="BC40" i="36"/>
  <c r="BD39" i="36"/>
  <c r="M116" i="24"/>
  <c r="E85" i="44"/>
  <c r="BD17" i="36"/>
  <c r="Y17" i="36"/>
  <c r="X18" i="36"/>
  <c r="X55" i="36"/>
  <c r="Y28" i="36"/>
  <c r="X32" i="36"/>
  <c r="X29" i="36"/>
  <c r="X33" i="36"/>
  <c r="X30" i="36"/>
  <c r="M24" i="24"/>
  <c r="BC18" i="36"/>
  <c r="BC55" i="36"/>
  <c r="F63" i="45"/>
  <c r="AL62" i="36"/>
  <c r="F67" i="36"/>
  <c r="AF4" i="28"/>
  <c r="AE9" i="28"/>
  <c r="AF4" i="29"/>
  <c r="AE9" i="29"/>
  <c r="AF4" i="19"/>
  <c r="AE9" i="19"/>
  <c r="AF4" i="42"/>
  <c r="AE9" i="42"/>
  <c r="AF4" i="38"/>
  <c r="AE9" i="38"/>
  <c r="AL63" i="36"/>
  <c r="F65" i="36"/>
  <c r="F64" i="36"/>
  <c r="E70" i="36"/>
  <c r="E105" i="36"/>
  <c r="AK64" i="36"/>
  <c r="AK65" i="36"/>
  <c r="G50" i="15"/>
  <c r="E74" i="12"/>
  <c r="E76" i="12"/>
  <c r="E77" i="12"/>
  <c r="E78" i="12"/>
  <c r="E79" i="12"/>
  <c r="E75" i="12"/>
  <c r="E80" i="12"/>
  <c r="Y6" i="20"/>
  <c r="Y5" i="20"/>
  <c r="F74" i="14"/>
  <c r="F80" i="14"/>
  <c r="F78" i="14"/>
  <c r="F76" i="14"/>
  <c r="F75" i="14"/>
  <c r="F77" i="14"/>
  <c r="F79" i="14"/>
  <c r="T8" i="20"/>
  <c r="T7" i="20"/>
  <c r="S9" i="20"/>
  <c r="J33" i="11"/>
  <c r="I34" i="11"/>
  <c r="I35" i="11" s="1"/>
  <c r="I36" i="11" s="1"/>
  <c r="H29" i="13"/>
  <c r="H30" i="13" s="1"/>
  <c r="I28" i="13"/>
  <c r="G31" i="13"/>
  <c r="G33" i="13" s="1"/>
  <c r="G63" i="36" s="1"/>
  <c r="G32" i="13"/>
  <c r="X4" i="20"/>
  <c r="H31" i="15"/>
  <c r="U25" i="36" l="1"/>
  <c r="BD89" i="36"/>
  <c r="W20" i="36"/>
  <c r="D57" i="25"/>
  <c r="J57" i="25" s="1"/>
  <c r="W36" i="42"/>
  <c r="M52" i="25"/>
  <c r="C4" i="3"/>
  <c r="U83" i="36"/>
  <c r="G53" i="15"/>
  <c r="U35" i="42"/>
  <c r="U86" i="36"/>
  <c r="N69" i="36"/>
  <c r="K69" i="36"/>
  <c r="I69" i="36"/>
  <c r="AK72" i="36"/>
  <c r="S34" i="42"/>
  <c r="BA68" i="36"/>
  <c r="S69" i="36"/>
  <c r="H69" i="36"/>
  <c r="F69" i="36"/>
  <c r="AM61" i="45"/>
  <c r="T34" i="38"/>
  <c r="P69" i="36"/>
  <c r="BD52" i="36"/>
  <c r="AL67" i="36"/>
  <c r="AY86" i="36"/>
  <c r="U69" i="36"/>
  <c r="E69" i="36"/>
  <c r="H64" i="45"/>
  <c r="H61" i="45"/>
  <c r="AK74" i="36"/>
  <c r="AM66" i="45"/>
  <c r="V69" i="36"/>
  <c r="U37" i="38"/>
  <c r="AZ80" i="36"/>
  <c r="M69" i="36"/>
  <c r="AJ45" i="45"/>
  <c r="AN66" i="45"/>
  <c r="H66" i="45"/>
  <c r="L69" i="36"/>
  <c r="Z49" i="36"/>
  <c r="T69" i="36"/>
  <c r="R69" i="36"/>
  <c r="O69" i="36"/>
  <c r="J69" i="36"/>
  <c r="G69" i="36"/>
  <c r="H72" i="12"/>
  <c r="H72" i="14"/>
  <c r="G73" i="14"/>
  <c r="G73" i="12"/>
  <c r="BC19" i="36"/>
  <c r="X19" i="36"/>
  <c r="BE51" i="36"/>
  <c r="V24" i="36"/>
  <c r="Q69" i="36"/>
  <c r="D69" i="36"/>
  <c r="BD54" i="36"/>
  <c r="AF9" i="48"/>
  <c r="AG4" i="48"/>
  <c r="AG9" i="48" s="1"/>
  <c r="AG4" i="46"/>
  <c r="AG9" i="46" s="1"/>
  <c r="AF9" i="46"/>
  <c r="AF9" i="53"/>
  <c r="AG4" i="53"/>
  <c r="AG9" i="53" s="1"/>
  <c r="AG4" i="54"/>
  <c r="AG9" i="54" s="1"/>
  <c r="AF9" i="54"/>
  <c r="I37" i="11"/>
  <c r="I40" i="11"/>
  <c r="I39" i="11"/>
  <c r="I38" i="11"/>
  <c r="I62" i="36" s="1"/>
  <c r="AN61" i="45"/>
  <c r="AN64" i="45"/>
  <c r="AJ4" i="51"/>
  <c r="M51" i="25"/>
  <c r="I4" i="4"/>
  <c r="K50" i="25"/>
  <c r="I4" i="8" s="1"/>
  <c r="E4" i="26"/>
  <c r="D7" i="51"/>
  <c r="AJ6" i="51"/>
  <c r="X49" i="36"/>
  <c r="Y49" i="36"/>
  <c r="U49" i="36"/>
  <c r="BA61" i="36"/>
  <c r="T37" i="42"/>
  <c r="BA36" i="36"/>
  <c r="T33" i="42"/>
  <c r="W49" i="36"/>
  <c r="D46" i="45"/>
  <c r="E45" i="45"/>
  <c r="D47" i="45"/>
  <c r="D49" i="45"/>
  <c r="H7" i="9"/>
  <c r="H8" i="9"/>
  <c r="H10" i="9"/>
  <c r="E87" i="44"/>
  <c r="E97" i="44"/>
  <c r="I5" i="9"/>
  <c r="I6" i="9" s="1"/>
  <c r="P49" i="36"/>
  <c r="D49" i="36"/>
  <c r="O49" i="36"/>
  <c r="M49" i="36"/>
  <c r="T49" i="36"/>
  <c r="N49" i="36"/>
  <c r="L49" i="36"/>
  <c r="I49" i="36"/>
  <c r="H49" i="36"/>
  <c r="F49" i="36"/>
  <c r="V49" i="36"/>
  <c r="Q49" i="36"/>
  <c r="S49" i="36"/>
  <c r="R49" i="36"/>
  <c r="K49" i="36"/>
  <c r="J49" i="36"/>
  <c r="G49" i="36"/>
  <c r="E49" i="36"/>
  <c r="BA24" i="36"/>
  <c r="BA59" i="36"/>
  <c r="BB58" i="36"/>
  <c r="BB22" i="36"/>
  <c r="W22" i="36"/>
  <c r="BC42" i="36"/>
  <c r="W69" i="36"/>
  <c r="BA38" i="36"/>
  <c r="BA76" i="36"/>
  <c r="X31" i="36"/>
  <c r="BB69" i="36"/>
  <c r="X34" i="36"/>
  <c r="BC31" i="36"/>
  <c r="BB35" i="36"/>
  <c r="AA49" i="36"/>
  <c r="BC34" i="36"/>
  <c r="AZ83" i="36"/>
  <c r="AZ25" i="36"/>
  <c r="AZ27" i="36"/>
  <c r="V25" i="36"/>
  <c r="V27" i="36"/>
  <c r="H39" i="24"/>
  <c r="H49" i="24" s="1"/>
  <c r="C38" i="24"/>
  <c r="C91" i="7"/>
  <c r="F38" i="24"/>
  <c r="F48" i="24" s="1"/>
  <c r="D87" i="7"/>
  <c r="G38" i="24"/>
  <c r="G48" i="24" s="1"/>
  <c r="F36" i="24"/>
  <c r="F46" i="24" s="1"/>
  <c r="G40" i="24"/>
  <c r="G50" i="24" s="1"/>
  <c r="H36" i="24"/>
  <c r="H46" i="24" s="1"/>
  <c r="C39" i="24"/>
  <c r="G37" i="24"/>
  <c r="G47" i="24" s="1"/>
  <c r="B38" i="24"/>
  <c r="B48" i="24" s="1"/>
  <c r="D40" i="24"/>
  <c r="D50" i="24" s="1"/>
  <c r="D83" i="7"/>
  <c r="D36" i="24"/>
  <c r="D46" i="24" s="1"/>
  <c r="C88" i="7"/>
  <c r="B37" i="24"/>
  <c r="B47" i="24" s="1"/>
  <c r="D38" i="24"/>
  <c r="D48" i="24" s="1"/>
  <c r="H37" i="24"/>
  <c r="H47" i="24" s="1"/>
  <c r="E37" i="24"/>
  <c r="E47" i="24" s="1"/>
  <c r="D86" i="7"/>
  <c r="C40" i="24"/>
  <c r="C36" i="24"/>
  <c r="H40" i="24"/>
  <c r="H50" i="24" s="1"/>
  <c r="F39" i="24"/>
  <c r="F49" i="24" s="1"/>
  <c r="D84" i="7"/>
  <c r="D37" i="24"/>
  <c r="D47" i="24" s="1"/>
  <c r="G36" i="24"/>
  <c r="G46" i="24" s="1"/>
  <c r="E40" i="24"/>
  <c r="E50" i="24" s="1"/>
  <c r="E38" i="24"/>
  <c r="E48" i="24" s="1"/>
  <c r="F40" i="24"/>
  <c r="F50" i="24" s="1"/>
  <c r="D85" i="7"/>
  <c r="C37" i="24"/>
  <c r="E36" i="24"/>
  <c r="E46" i="24" s="1"/>
  <c r="F37" i="24"/>
  <c r="F47" i="24" s="1"/>
  <c r="B40" i="24"/>
  <c r="B50" i="24" s="1"/>
  <c r="BC20" i="36"/>
  <c r="BC21" i="36"/>
  <c r="X56" i="36"/>
  <c r="X57" i="36"/>
  <c r="BE39" i="36"/>
  <c r="BD40" i="36"/>
  <c r="BD41" i="36"/>
  <c r="BD33" i="36"/>
  <c r="BE28" i="36"/>
  <c r="BD32" i="36"/>
  <c r="BD29" i="36"/>
  <c r="BD30" i="36"/>
  <c r="X21" i="36"/>
  <c r="BE89" i="36"/>
  <c r="V59" i="36"/>
  <c r="V61" i="36"/>
  <c r="BG50" i="36"/>
  <c r="BG47" i="36"/>
  <c r="BG48" i="36"/>
  <c r="BH46" i="36"/>
  <c r="BE17" i="36"/>
  <c r="Y18" i="36"/>
  <c r="Z17" i="36"/>
  <c r="Y55" i="36"/>
  <c r="Y41" i="36"/>
  <c r="Z39" i="36"/>
  <c r="BB96" i="36"/>
  <c r="BB43" i="36"/>
  <c r="BB45" i="36"/>
  <c r="BF49" i="36"/>
  <c r="BC57" i="36"/>
  <c r="BC56" i="36"/>
  <c r="Y29" i="36"/>
  <c r="Y32" i="36"/>
  <c r="Z28" i="36"/>
  <c r="Y30" i="36"/>
  <c r="Y33" i="36"/>
  <c r="BD18" i="36"/>
  <c r="BD55" i="36"/>
  <c r="AC46" i="36"/>
  <c r="AB48" i="36"/>
  <c r="AB47" i="36"/>
  <c r="AB50" i="36"/>
  <c r="W58" i="36"/>
  <c r="G63" i="45"/>
  <c r="AM62" i="36"/>
  <c r="G67" i="36"/>
  <c r="AF9" i="42"/>
  <c r="AG4" i="42"/>
  <c r="AG4" i="29"/>
  <c r="AG9" i="29" s="1"/>
  <c r="AF9" i="29"/>
  <c r="AG4" i="38"/>
  <c r="AF9" i="38"/>
  <c r="AF9" i="19"/>
  <c r="AG4" i="19"/>
  <c r="AG9" i="19" s="1"/>
  <c r="AG4" i="28"/>
  <c r="AG9" i="28" s="1"/>
  <c r="AF9" i="28"/>
  <c r="AK70" i="36"/>
  <c r="AK105" i="36"/>
  <c r="F70" i="36"/>
  <c r="F105" i="36"/>
  <c r="AM63" i="36"/>
  <c r="G65" i="36"/>
  <c r="G64" i="36"/>
  <c r="AL64" i="36"/>
  <c r="AL65" i="36"/>
  <c r="H50" i="15"/>
  <c r="F74" i="12"/>
  <c r="F75" i="12"/>
  <c r="F78" i="12"/>
  <c r="F77" i="12"/>
  <c r="F80" i="12"/>
  <c r="F79" i="12"/>
  <c r="F76" i="12"/>
  <c r="Z5" i="20"/>
  <c r="Z6" i="20"/>
  <c r="G74" i="14"/>
  <c r="G77" i="14"/>
  <c r="G79" i="14"/>
  <c r="G78" i="14"/>
  <c r="G75" i="14"/>
  <c r="G76" i="14"/>
  <c r="G80" i="14"/>
  <c r="U8" i="20"/>
  <c r="U7" i="20"/>
  <c r="T9" i="20"/>
  <c r="K33" i="11"/>
  <c r="J34" i="11"/>
  <c r="J35" i="11" s="1"/>
  <c r="J36" i="11" s="1"/>
  <c r="I29" i="13"/>
  <c r="I30" i="13" s="1"/>
  <c r="J28" i="13"/>
  <c r="H31" i="13"/>
  <c r="H33" i="13" s="1"/>
  <c r="H63" i="36" s="1"/>
  <c r="H32" i="13"/>
  <c r="Y4" i="20"/>
  <c r="I31" i="15"/>
  <c r="BE52" i="36" l="1"/>
  <c r="X20" i="36"/>
  <c r="AK45" i="45"/>
  <c r="V83" i="36"/>
  <c r="AJ49" i="45"/>
  <c r="AJ47" i="45"/>
  <c r="AJ46" i="45"/>
  <c r="BE54" i="36"/>
  <c r="C5" i="3"/>
  <c r="C7" i="3" s="1"/>
  <c r="R51" i="36"/>
  <c r="BD93" i="36"/>
  <c r="AL72" i="36"/>
  <c r="AK71" i="36"/>
  <c r="C41" i="24"/>
  <c r="U33" i="42"/>
  <c r="J51" i="36"/>
  <c r="I51" i="36"/>
  <c r="X51" i="36"/>
  <c r="AL74" i="36"/>
  <c r="W24" i="36"/>
  <c r="K51" i="36"/>
  <c r="L51" i="36"/>
  <c r="D68" i="45"/>
  <c r="W51" i="36"/>
  <c r="AN63" i="45"/>
  <c r="X36" i="42"/>
  <c r="Z51" i="36"/>
  <c r="S51" i="36"/>
  <c r="T51" i="36"/>
  <c r="BA80" i="36"/>
  <c r="I64" i="45"/>
  <c r="I61" i="45"/>
  <c r="AM67" i="36"/>
  <c r="BD19" i="36"/>
  <c r="BF51" i="36"/>
  <c r="Y19" i="36"/>
  <c r="AZ86" i="36"/>
  <c r="Q51" i="36"/>
  <c r="M51" i="36"/>
  <c r="AO66" i="45"/>
  <c r="I66" i="45"/>
  <c r="H73" i="14"/>
  <c r="H73" i="12"/>
  <c r="BE93" i="36"/>
  <c r="T34" i="42"/>
  <c r="V51" i="36"/>
  <c r="O51" i="36"/>
  <c r="I72" i="12"/>
  <c r="I72" i="14"/>
  <c r="V86" i="36"/>
  <c r="V37" i="38"/>
  <c r="E51" i="36"/>
  <c r="F51" i="36"/>
  <c r="D68" i="36"/>
  <c r="U51" i="36"/>
  <c r="N51" i="36"/>
  <c r="H53" i="15"/>
  <c r="AA51" i="36"/>
  <c r="G51" i="36"/>
  <c r="H51" i="36"/>
  <c r="P51" i="36"/>
  <c r="Y51" i="36"/>
  <c r="U34" i="38"/>
  <c r="AM63" i="45"/>
  <c r="Y89" i="36"/>
  <c r="J39" i="11"/>
  <c r="J37" i="11"/>
  <c r="J40" i="11"/>
  <c r="J38" i="11"/>
  <c r="J62" i="36" s="1"/>
  <c r="AO61" i="45"/>
  <c r="AO64" i="45"/>
  <c r="E4" i="51"/>
  <c r="C46" i="24"/>
  <c r="C50" i="24"/>
  <c r="B41" i="24"/>
  <c r="E41" i="24"/>
  <c r="I37" i="24"/>
  <c r="C48" i="24"/>
  <c r="I48" i="24" s="1"/>
  <c r="H14" i="33" s="1"/>
  <c r="I49" i="24"/>
  <c r="I6" i="33" s="1"/>
  <c r="F4" i="51"/>
  <c r="M50" i="25"/>
  <c r="K59" i="25"/>
  <c r="K57" i="25"/>
  <c r="M57" i="25" s="1"/>
  <c r="B97" i="24"/>
  <c r="I38" i="24"/>
  <c r="D51" i="24"/>
  <c r="C47" i="24"/>
  <c r="D41" i="24"/>
  <c r="D9" i="51"/>
  <c r="AJ7" i="51"/>
  <c r="G41" i="24"/>
  <c r="D8" i="51"/>
  <c r="I46" i="24"/>
  <c r="I36" i="24"/>
  <c r="H41" i="24"/>
  <c r="I40" i="24"/>
  <c r="F41" i="24"/>
  <c r="D51" i="36"/>
  <c r="BA27" i="36"/>
  <c r="BA83" i="36"/>
  <c r="BA25" i="36"/>
  <c r="I89" i="36"/>
  <c r="BB61" i="36"/>
  <c r="U37" i="42"/>
  <c r="O52" i="36"/>
  <c r="N36" i="38"/>
  <c r="BC69" i="36"/>
  <c r="BC96" i="36"/>
  <c r="V35" i="42"/>
  <c r="N89" i="36"/>
  <c r="X54" i="36"/>
  <c r="W36" i="38"/>
  <c r="D48" i="45"/>
  <c r="AK47" i="45"/>
  <c r="AK49" i="45"/>
  <c r="AK46" i="45"/>
  <c r="AL45" i="45"/>
  <c r="AJ48" i="45"/>
  <c r="F45" i="45"/>
  <c r="E49" i="45"/>
  <c r="E46" i="45"/>
  <c r="E47" i="45"/>
  <c r="I8" i="9"/>
  <c r="I10" i="9"/>
  <c r="I7" i="9"/>
  <c r="H9" i="9"/>
  <c r="H11" i="9" s="1"/>
  <c r="BB59" i="36"/>
  <c r="O54" i="36"/>
  <c r="N52" i="36"/>
  <c r="X52" i="36"/>
  <c r="O89" i="36"/>
  <c r="N54" i="36"/>
  <c r="X89" i="36"/>
  <c r="R54" i="36"/>
  <c r="R89" i="36"/>
  <c r="R52" i="36"/>
  <c r="T54" i="36"/>
  <c r="T89" i="36"/>
  <c r="T52" i="36"/>
  <c r="G54" i="36"/>
  <c r="G89" i="36"/>
  <c r="G52" i="36"/>
  <c r="Q89" i="36"/>
  <c r="S89" i="36"/>
  <c r="L52" i="36"/>
  <c r="L89" i="36"/>
  <c r="L54" i="36"/>
  <c r="BC58" i="36"/>
  <c r="BB24" i="36"/>
  <c r="BB68" i="36"/>
  <c r="BD42" i="36"/>
  <c r="BC43" i="36"/>
  <c r="BC45" i="36"/>
  <c r="BC35" i="36"/>
  <c r="BD34" i="36"/>
  <c r="BB38" i="36"/>
  <c r="BB76" i="36"/>
  <c r="BB36" i="36"/>
  <c r="Y34" i="36"/>
  <c r="X22" i="36"/>
  <c r="BD31" i="36"/>
  <c r="BC22" i="36"/>
  <c r="W59" i="36"/>
  <c r="W61" i="36"/>
  <c r="L131" i="24"/>
  <c r="L128" i="24"/>
  <c r="K93" i="44" s="1"/>
  <c r="L125" i="24"/>
  <c r="K90" i="44" s="1"/>
  <c r="L126" i="24"/>
  <c r="L129" i="24"/>
  <c r="K94" i="44" s="1"/>
  <c r="L127" i="24"/>
  <c r="B104" i="24"/>
  <c r="AB49" i="36"/>
  <c r="BF89" i="36"/>
  <c r="BF52" i="36"/>
  <c r="BF54" i="36"/>
  <c r="AA39" i="36"/>
  <c r="Z41" i="36"/>
  <c r="Y56" i="36"/>
  <c r="Y57" i="36"/>
  <c r="BE18" i="36"/>
  <c r="BE55" i="36"/>
  <c r="BG49" i="36"/>
  <c r="BE41" i="36"/>
  <c r="BF39" i="36"/>
  <c r="BE40" i="36"/>
  <c r="BD21" i="36"/>
  <c r="BD20" i="36"/>
  <c r="X58" i="36"/>
  <c r="X69" i="36"/>
  <c r="I39" i="24"/>
  <c r="AD46" i="36"/>
  <c r="AC48" i="36"/>
  <c r="AC50" i="36"/>
  <c r="AC47" i="36"/>
  <c r="BD57" i="36"/>
  <c r="BD56" i="36"/>
  <c r="AA28" i="36"/>
  <c r="Z33" i="36"/>
  <c r="Z32" i="36"/>
  <c r="Z29" i="36"/>
  <c r="Z30" i="36"/>
  <c r="AA17" i="36"/>
  <c r="BF17" i="36"/>
  <c r="Z18" i="36"/>
  <c r="Z55" i="36"/>
  <c r="BH47" i="36"/>
  <c r="BH48" i="36"/>
  <c r="BH50" i="36"/>
  <c r="BI46" i="36"/>
  <c r="W25" i="36"/>
  <c r="W27" i="36"/>
  <c r="W83" i="36"/>
  <c r="BE29" i="36"/>
  <c r="BF28" i="36"/>
  <c r="BE32" i="36"/>
  <c r="BE30" i="36"/>
  <c r="BE33" i="36"/>
  <c r="AN62" i="36"/>
  <c r="H67" i="36"/>
  <c r="H63" i="45"/>
  <c r="AG9" i="38"/>
  <c r="AG9" i="42"/>
  <c r="G70" i="36"/>
  <c r="G105" i="36"/>
  <c r="AN63" i="36"/>
  <c r="H64" i="36"/>
  <c r="H65" i="36"/>
  <c r="AL70" i="36"/>
  <c r="AL105" i="36"/>
  <c r="AM64" i="36"/>
  <c r="AM65" i="36"/>
  <c r="F51" i="24"/>
  <c r="B51" i="24"/>
  <c r="G51" i="24"/>
  <c r="I50" i="24"/>
  <c r="D7" i="33" s="1"/>
  <c r="H51" i="24"/>
  <c r="E51" i="24"/>
  <c r="E6" i="33"/>
  <c r="I50" i="15"/>
  <c r="G74" i="12"/>
  <c r="G77" i="12"/>
  <c r="G80" i="12"/>
  <c r="G76" i="12"/>
  <c r="G75" i="12"/>
  <c r="G78" i="12"/>
  <c r="G79" i="12"/>
  <c r="AA6" i="20"/>
  <c r="AA5" i="20"/>
  <c r="H74" i="14"/>
  <c r="H78" i="14"/>
  <c r="H80" i="14"/>
  <c r="H79" i="14"/>
  <c r="H76" i="14"/>
  <c r="H75" i="14"/>
  <c r="H77" i="14"/>
  <c r="V8" i="20"/>
  <c r="V7" i="20"/>
  <c r="U9" i="20"/>
  <c r="L33" i="11"/>
  <c r="K34" i="11"/>
  <c r="K35" i="11" s="1"/>
  <c r="K36" i="11" s="1"/>
  <c r="J29" i="13"/>
  <c r="J30" i="13" s="1"/>
  <c r="K28" i="13"/>
  <c r="I31" i="13"/>
  <c r="I33" i="13" s="1"/>
  <c r="I63" i="36" s="1"/>
  <c r="I32" i="13"/>
  <c r="Z4" i="20"/>
  <c r="K31" i="15"/>
  <c r="J31" i="15"/>
  <c r="P54" i="36" l="1"/>
  <c r="F52" i="36"/>
  <c r="Q52" i="36"/>
  <c r="H52" i="36"/>
  <c r="E54" i="36"/>
  <c r="K52" i="36"/>
  <c r="AJ68" i="45"/>
  <c r="S54" i="36"/>
  <c r="D89" i="36"/>
  <c r="M36" i="38"/>
  <c r="U89" i="36"/>
  <c r="V89" i="36"/>
  <c r="M52" i="36"/>
  <c r="W89" i="36"/>
  <c r="J52" i="36"/>
  <c r="E52" i="36"/>
  <c r="G36" i="38"/>
  <c r="H89" i="36"/>
  <c r="E89" i="36"/>
  <c r="D52" i="36"/>
  <c r="D54" i="36"/>
  <c r="Q54" i="36"/>
  <c r="W52" i="36"/>
  <c r="P89" i="36"/>
  <c r="J54" i="36"/>
  <c r="W54" i="36"/>
  <c r="F54" i="36"/>
  <c r="V54" i="36"/>
  <c r="J89" i="36"/>
  <c r="M89" i="36"/>
  <c r="V52" i="36"/>
  <c r="E36" i="38"/>
  <c r="M54" i="36"/>
  <c r="F89" i="36"/>
  <c r="P52" i="36"/>
  <c r="C8" i="3"/>
  <c r="C10" i="3" s="1"/>
  <c r="K93" i="36"/>
  <c r="V33" i="42"/>
  <c r="Q93" i="36"/>
  <c r="Y54" i="36"/>
  <c r="AN67" i="36"/>
  <c r="W86" i="36"/>
  <c r="Y21" i="36"/>
  <c r="BE19" i="36"/>
  <c r="AB51" i="36"/>
  <c r="S52" i="36"/>
  <c r="R93" i="36"/>
  <c r="Z36" i="38"/>
  <c r="AJ9" i="51"/>
  <c r="X36" i="38"/>
  <c r="F36" i="38"/>
  <c r="D36" i="38"/>
  <c r="AM74" i="36"/>
  <c r="S36" i="38"/>
  <c r="K36" i="38"/>
  <c r="N93" i="36"/>
  <c r="J36" i="38"/>
  <c r="I73" i="12"/>
  <c r="I73" i="14"/>
  <c r="K54" i="36"/>
  <c r="X93" i="36"/>
  <c r="AA54" i="36"/>
  <c r="AK4" i="51"/>
  <c r="Y52" i="36"/>
  <c r="E93" i="36"/>
  <c r="H36" i="38"/>
  <c r="I53" i="15"/>
  <c r="AM72" i="36"/>
  <c r="L93" i="36"/>
  <c r="AA52" i="36"/>
  <c r="O93" i="36"/>
  <c r="BA86" i="36"/>
  <c r="AO63" i="45"/>
  <c r="BC24" i="36"/>
  <c r="X24" i="36"/>
  <c r="U54" i="36"/>
  <c r="G93" i="36"/>
  <c r="H93" i="36"/>
  <c r="F93" i="36"/>
  <c r="I54" i="36"/>
  <c r="O36" i="38"/>
  <c r="D71" i="36"/>
  <c r="L36" i="38"/>
  <c r="Y36" i="42"/>
  <c r="Y36" i="38"/>
  <c r="Z52" i="36"/>
  <c r="Z54" i="36"/>
  <c r="Z89" i="36"/>
  <c r="V36" i="38"/>
  <c r="V34" i="38"/>
  <c r="I36" i="38"/>
  <c r="R36" i="38"/>
  <c r="W35" i="42"/>
  <c r="U52" i="36"/>
  <c r="AA89" i="36"/>
  <c r="I52" i="36"/>
  <c r="AJ8" i="51"/>
  <c r="J66" i="45"/>
  <c r="T93" i="36"/>
  <c r="AL71" i="36"/>
  <c r="Z19" i="36"/>
  <c r="W37" i="38"/>
  <c r="BG51" i="36"/>
  <c r="BF93" i="36"/>
  <c r="BB80" i="36"/>
  <c r="D50" i="45"/>
  <c r="M93" i="36"/>
  <c r="AL4" i="51"/>
  <c r="J72" i="12"/>
  <c r="J72" i="14"/>
  <c r="H54" i="36"/>
  <c r="U36" i="38"/>
  <c r="P36" i="38"/>
  <c r="T36" i="38"/>
  <c r="Y20" i="36"/>
  <c r="U34" i="42"/>
  <c r="K89" i="36"/>
  <c r="C36" i="38"/>
  <c r="G15" i="33"/>
  <c r="J64" i="45"/>
  <c r="J61" i="45"/>
  <c r="Q36" i="38"/>
  <c r="F12" i="33"/>
  <c r="C3" i="33"/>
  <c r="K39" i="11"/>
  <c r="K37" i="11"/>
  <c r="K40" i="11"/>
  <c r="K38" i="11"/>
  <c r="K62" i="36" s="1"/>
  <c r="C51" i="24"/>
  <c r="I41" i="24"/>
  <c r="N50" i="25"/>
  <c r="G6" i="33"/>
  <c r="D6" i="33"/>
  <c r="I47" i="24"/>
  <c r="D4" i="33" s="1"/>
  <c r="C6" i="33"/>
  <c r="F6" i="33"/>
  <c r="H6" i="33"/>
  <c r="E16" i="33"/>
  <c r="G12" i="33"/>
  <c r="I12" i="33"/>
  <c r="M5" i="41" s="1"/>
  <c r="C12" i="33"/>
  <c r="D16" i="33"/>
  <c r="E12" i="33"/>
  <c r="G4" i="51"/>
  <c r="F16" i="33"/>
  <c r="D12" i="33"/>
  <c r="I5" i="33"/>
  <c r="I14" i="33"/>
  <c r="M13" i="47" s="1"/>
  <c r="C16" i="33"/>
  <c r="H12" i="33"/>
  <c r="F14" i="33"/>
  <c r="H16" i="33"/>
  <c r="F15" i="33"/>
  <c r="H15" i="33"/>
  <c r="C15" i="33"/>
  <c r="E15" i="33"/>
  <c r="D15" i="33"/>
  <c r="G14" i="33"/>
  <c r="C14" i="33"/>
  <c r="L11" i="34" s="1"/>
  <c r="I16" i="33"/>
  <c r="D14" i="33"/>
  <c r="M55" i="25"/>
  <c r="M53" i="25"/>
  <c r="N56" i="25"/>
  <c r="N54" i="25"/>
  <c r="N52" i="25"/>
  <c r="N51" i="25"/>
  <c r="G16" i="33"/>
  <c r="G25" i="33" s="1"/>
  <c r="E14" i="33"/>
  <c r="I15" i="33"/>
  <c r="I3" i="33"/>
  <c r="E3" i="33"/>
  <c r="L4" i="34"/>
  <c r="M15" i="41"/>
  <c r="M17" i="47"/>
  <c r="Y69" i="36"/>
  <c r="J4" i="26"/>
  <c r="J5" i="26" s="1"/>
  <c r="J6" i="26" s="1"/>
  <c r="K96" i="44"/>
  <c r="N4" i="4"/>
  <c r="N5" i="4" s="1"/>
  <c r="N6" i="4" s="1"/>
  <c r="N8" i="4" s="1"/>
  <c r="K91" i="44"/>
  <c r="BC59" i="36"/>
  <c r="V37" i="42"/>
  <c r="D67" i="45"/>
  <c r="E48" i="45"/>
  <c r="I4" i="3"/>
  <c r="I5" i="3" s="1"/>
  <c r="I7" i="3" s="1"/>
  <c r="K92" i="44"/>
  <c r="AK48" i="45"/>
  <c r="AL47" i="45"/>
  <c r="AL49" i="45"/>
  <c r="AL46" i="45"/>
  <c r="AM45" i="45"/>
  <c r="AJ67" i="45"/>
  <c r="AJ50" i="45"/>
  <c r="I9" i="9"/>
  <c r="I11" i="9" s="1"/>
  <c r="G45" i="45"/>
  <c r="F47" i="45"/>
  <c r="F49" i="45"/>
  <c r="F46" i="45"/>
  <c r="BC61" i="36"/>
  <c r="D93" i="36"/>
  <c r="D72" i="36"/>
  <c r="BH49" i="36"/>
  <c r="AC49" i="36"/>
  <c r="D88" i="45"/>
  <c r="Y58" i="36"/>
  <c r="BC68" i="36"/>
  <c r="BB25" i="36"/>
  <c r="BB27" i="36"/>
  <c r="BB83" i="36"/>
  <c r="BE42" i="36"/>
  <c r="BD96" i="36"/>
  <c r="BD43" i="36"/>
  <c r="BD45" i="36"/>
  <c r="BD69" i="36"/>
  <c r="BD35" i="36"/>
  <c r="Z31" i="36"/>
  <c r="BC76" i="36"/>
  <c r="BC38" i="36"/>
  <c r="BC36" i="36"/>
  <c r="BE31" i="36"/>
  <c r="Z34" i="36"/>
  <c r="BE34" i="36"/>
  <c r="BD22" i="36"/>
  <c r="F3" i="33"/>
  <c r="D3" i="33"/>
  <c r="BF18" i="36"/>
  <c r="BF55" i="36"/>
  <c r="BD58" i="36"/>
  <c r="AB89" i="36"/>
  <c r="C7" i="33"/>
  <c r="H3" i="33"/>
  <c r="BG17" i="36"/>
  <c r="AB17" i="36"/>
  <c r="AA18" i="36"/>
  <c r="AD47" i="36"/>
  <c r="AE46" i="36"/>
  <c r="AD50" i="36"/>
  <c r="AD48" i="36"/>
  <c r="BE56" i="36"/>
  <c r="BE57" i="36"/>
  <c r="BF33" i="36"/>
  <c r="BF30" i="36"/>
  <c r="BG28" i="36"/>
  <c r="BF32" i="36"/>
  <c r="BF29" i="36"/>
  <c r="BI50" i="36"/>
  <c r="BI47" i="36"/>
  <c r="BI48" i="36"/>
  <c r="BJ46" i="36"/>
  <c r="Z57" i="36"/>
  <c r="Z56" i="36"/>
  <c r="BG39" i="36"/>
  <c r="BF41" i="36"/>
  <c r="BF40" i="36"/>
  <c r="AA55" i="36"/>
  <c r="AA33" i="36"/>
  <c r="AA29" i="36"/>
  <c r="AB28" i="36"/>
  <c r="AA32" i="36"/>
  <c r="AA30" i="36"/>
  <c r="X59" i="36"/>
  <c r="X61" i="36"/>
  <c r="X25" i="36"/>
  <c r="X27" i="36"/>
  <c r="X83" i="36"/>
  <c r="AB39" i="36"/>
  <c r="AA41" i="36"/>
  <c r="L133" i="24"/>
  <c r="I63" i="45"/>
  <c r="AO62" i="36"/>
  <c r="I67" i="36"/>
  <c r="AM70" i="36"/>
  <c r="AM105" i="36"/>
  <c r="AN64" i="36"/>
  <c r="AN65" i="36"/>
  <c r="H70" i="36"/>
  <c r="H105" i="36"/>
  <c r="AO63" i="36"/>
  <c r="I65" i="36"/>
  <c r="I64" i="36"/>
  <c r="C5" i="33"/>
  <c r="D5" i="33"/>
  <c r="M3" i="41"/>
  <c r="M4" i="41"/>
  <c r="L19" i="34"/>
  <c r="G3" i="33"/>
  <c r="E7" i="33"/>
  <c r="G7" i="33"/>
  <c r="H7" i="33"/>
  <c r="F7" i="33"/>
  <c r="I7" i="33"/>
  <c r="F5" i="33"/>
  <c r="G5" i="33"/>
  <c r="H5" i="33"/>
  <c r="L13" i="34"/>
  <c r="M10" i="47"/>
  <c r="M12" i="47"/>
  <c r="E5" i="33"/>
  <c r="I51" i="24"/>
  <c r="L5" i="34"/>
  <c r="L22" i="34"/>
  <c r="K50" i="15"/>
  <c r="J50" i="15"/>
  <c r="H74" i="12"/>
  <c r="H78" i="12"/>
  <c r="H79" i="12"/>
  <c r="H76" i="12"/>
  <c r="H80" i="12"/>
  <c r="H75" i="12"/>
  <c r="H77" i="12"/>
  <c r="AB5" i="20"/>
  <c r="AB6" i="20"/>
  <c r="I79" i="14"/>
  <c r="W7" i="20"/>
  <c r="V9" i="20"/>
  <c r="W8" i="20"/>
  <c r="M33" i="11"/>
  <c r="L34" i="11"/>
  <c r="L35" i="11" s="1"/>
  <c r="L36" i="11" s="1"/>
  <c r="J31" i="13"/>
  <c r="J33" i="13" s="1"/>
  <c r="J63" i="36" s="1"/>
  <c r="J32" i="13"/>
  <c r="K29" i="13"/>
  <c r="K30" i="13" s="1"/>
  <c r="L28" i="13"/>
  <c r="AA4" i="20"/>
  <c r="L31" i="15"/>
  <c r="I25" i="33" l="1"/>
  <c r="H25" i="33"/>
  <c r="D24" i="33"/>
  <c r="BC25" i="36"/>
  <c r="AB54" i="36"/>
  <c r="D74" i="36"/>
  <c r="BG52" i="36"/>
  <c r="Z20" i="36"/>
  <c r="P93" i="36"/>
  <c r="J93" i="36"/>
  <c r="V93" i="36"/>
  <c r="W93" i="36"/>
  <c r="BC27" i="36"/>
  <c r="BC83" i="36"/>
  <c r="Z21" i="36"/>
  <c r="AB52" i="36"/>
  <c r="C11" i="3"/>
  <c r="C13" i="3" s="1"/>
  <c r="BG93" i="36"/>
  <c r="X86" i="36"/>
  <c r="AO67" i="36"/>
  <c r="AC51" i="36"/>
  <c r="K66" i="45"/>
  <c r="U93" i="36"/>
  <c r="K53" i="15"/>
  <c r="BC80" i="36"/>
  <c r="X35" i="42"/>
  <c r="BH51" i="36"/>
  <c r="K72" i="12"/>
  <c r="K72" i="14"/>
  <c r="G24" i="33"/>
  <c r="AP66" i="45"/>
  <c r="K64" i="45"/>
  <c r="K61" i="45"/>
  <c r="AA93" i="36"/>
  <c r="BF19" i="36"/>
  <c r="BE20" i="36"/>
  <c r="AA19" i="36"/>
  <c r="D53" i="45"/>
  <c r="E24" i="33"/>
  <c r="W34" i="38"/>
  <c r="S93" i="36"/>
  <c r="AM4" i="51"/>
  <c r="D52" i="45"/>
  <c r="C25" i="33"/>
  <c r="I74" i="14"/>
  <c r="AN72" i="36"/>
  <c r="BG54" i="36"/>
  <c r="BC86" i="36"/>
  <c r="BB86" i="36"/>
  <c r="C24" i="33"/>
  <c r="I93" i="36"/>
  <c r="AN74" i="36"/>
  <c r="I75" i="14"/>
  <c r="AK50" i="45"/>
  <c r="Y22" i="36"/>
  <c r="AJ70" i="45"/>
  <c r="E50" i="45"/>
  <c r="D51" i="45"/>
  <c r="I24" i="33"/>
  <c r="M16" i="41"/>
  <c r="H24" i="33"/>
  <c r="AP64" i="45"/>
  <c r="Z93" i="36"/>
  <c r="V34" i="42"/>
  <c r="AA36" i="38"/>
  <c r="Z36" i="42"/>
  <c r="I76" i="14"/>
  <c r="I80" i="14"/>
  <c r="BE21" i="36"/>
  <c r="D25" i="33"/>
  <c r="I77" i="14"/>
  <c r="J73" i="12"/>
  <c r="J73" i="14"/>
  <c r="I78" i="14"/>
  <c r="J53" i="15"/>
  <c r="AM71" i="36"/>
  <c r="BG89" i="36"/>
  <c r="W37" i="42"/>
  <c r="X37" i="38"/>
  <c r="D70" i="45"/>
  <c r="C36" i="46"/>
  <c r="F24" i="33"/>
  <c r="F25" i="33"/>
  <c r="E25" i="33"/>
  <c r="AP61" i="45"/>
  <c r="Y93" i="36"/>
  <c r="Z69" i="36"/>
  <c r="BE69" i="36"/>
  <c r="L39" i="11"/>
  <c r="L37" i="11"/>
  <c r="L40" i="11"/>
  <c r="L38" i="11"/>
  <c r="L62" i="36" s="1"/>
  <c r="AQ61" i="45"/>
  <c r="AQ64" i="45"/>
  <c r="D8" i="33"/>
  <c r="H4" i="33"/>
  <c r="E4" i="33"/>
  <c r="F4" i="33"/>
  <c r="I13" i="33"/>
  <c r="L31" i="34" s="1"/>
  <c r="G13" i="33"/>
  <c r="L30" i="34" s="1"/>
  <c r="G4" i="33"/>
  <c r="G8" i="33" s="1"/>
  <c r="C4" i="33"/>
  <c r="C8" i="33" s="1"/>
  <c r="F13" i="33"/>
  <c r="L29" i="34" s="1"/>
  <c r="C13" i="33"/>
  <c r="L27" i="34" s="1"/>
  <c r="I4" i="33"/>
  <c r="E13" i="33"/>
  <c r="L28" i="34" s="1"/>
  <c r="D13" i="33"/>
  <c r="D17" i="33" s="1"/>
  <c r="J6" i="33"/>
  <c r="L21" i="34"/>
  <c r="M19" i="47"/>
  <c r="H13" i="33"/>
  <c r="L20" i="34"/>
  <c r="J15" i="33"/>
  <c r="L23" i="34"/>
  <c r="M17" i="41"/>
  <c r="M18" i="41" s="1"/>
  <c r="M20" i="47"/>
  <c r="L53" i="25"/>
  <c r="B5" i="26" s="1"/>
  <c r="E5" i="26" s="1"/>
  <c r="E6" i="26" s="1"/>
  <c r="N53" i="25"/>
  <c r="H4" i="51"/>
  <c r="N55" i="25"/>
  <c r="L55" i="25"/>
  <c r="I72" i="33"/>
  <c r="E71" i="33"/>
  <c r="D71" i="33"/>
  <c r="D79" i="33" s="1"/>
  <c r="I71" i="33"/>
  <c r="H71" i="33"/>
  <c r="I68" i="33"/>
  <c r="H70" i="33"/>
  <c r="D70" i="33"/>
  <c r="E70" i="33"/>
  <c r="I70" i="33"/>
  <c r="M21" i="41"/>
  <c r="L3" i="34"/>
  <c r="L6" i="34"/>
  <c r="M23" i="41"/>
  <c r="M6" i="47"/>
  <c r="M27" i="47"/>
  <c r="D68" i="33"/>
  <c r="M28" i="41"/>
  <c r="M33" i="47"/>
  <c r="M27" i="41"/>
  <c r="M31" i="47"/>
  <c r="E68" i="33"/>
  <c r="L12" i="34"/>
  <c r="M5" i="47"/>
  <c r="M26" i="47"/>
  <c r="M29" i="41"/>
  <c r="M34" i="47"/>
  <c r="C17" i="33"/>
  <c r="M22" i="41"/>
  <c r="M3" i="47"/>
  <c r="M24" i="47"/>
  <c r="N7" i="4"/>
  <c r="N9" i="4" s="1"/>
  <c r="F48" i="45"/>
  <c r="AL48" i="45"/>
  <c r="BD38" i="36"/>
  <c r="W33" i="42"/>
  <c r="C36" i="48"/>
  <c r="AJ53" i="45"/>
  <c r="AJ51" i="45"/>
  <c r="AJ52" i="45"/>
  <c r="AM49" i="45"/>
  <c r="AM46" i="45"/>
  <c r="AM47" i="45"/>
  <c r="AN45" i="45"/>
  <c r="J12" i="33"/>
  <c r="J39" i="33" s="1"/>
  <c r="H68" i="33"/>
  <c r="L7" i="34"/>
  <c r="H45" i="45"/>
  <c r="G46" i="45"/>
  <c r="G49" i="45"/>
  <c r="G47" i="45"/>
  <c r="I8" i="3"/>
  <c r="I11" i="3" s="1"/>
  <c r="J8" i="26"/>
  <c r="J7" i="26"/>
  <c r="BH52" i="36"/>
  <c r="BH89" i="36"/>
  <c r="BH54" i="36"/>
  <c r="Y61" i="36"/>
  <c r="Y59" i="36"/>
  <c r="BE96" i="36"/>
  <c r="BE43" i="36"/>
  <c r="BE45" i="36"/>
  <c r="BD76" i="36"/>
  <c r="BD36" i="36"/>
  <c r="BF31" i="36"/>
  <c r="BF34" i="36"/>
  <c r="BE35" i="36"/>
  <c r="AA31" i="36"/>
  <c r="Z22" i="36"/>
  <c r="BF42" i="36"/>
  <c r="BD24" i="36"/>
  <c r="BD68" i="36"/>
  <c r="AA34" i="36"/>
  <c r="Z58" i="36"/>
  <c r="BE58" i="36"/>
  <c r="AC39" i="36"/>
  <c r="AB41" i="36"/>
  <c r="BI49" i="36"/>
  <c r="BG30" i="36"/>
  <c r="BG33" i="36"/>
  <c r="BH28" i="36"/>
  <c r="BG32" i="36"/>
  <c r="BG29" i="36"/>
  <c r="BF20" i="36"/>
  <c r="BF21" i="36"/>
  <c r="AB18" i="36"/>
  <c r="AC17" i="36"/>
  <c r="BH17" i="36"/>
  <c r="AB55" i="36"/>
  <c r="AA57" i="36"/>
  <c r="AA56" i="36"/>
  <c r="BH39" i="36"/>
  <c r="BG41" i="36"/>
  <c r="BG40" i="36"/>
  <c r="BJ50" i="36"/>
  <c r="BJ48" i="36"/>
  <c r="BJ47" i="36"/>
  <c r="BK46" i="36"/>
  <c r="AE47" i="36"/>
  <c r="AF46" i="36"/>
  <c r="AE48" i="36"/>
  <c r="AE50" i="36"/>
  <c r="BG18" i="36"/>
  <c r="BG55" i="36"/>
  <c r="F97" i="44"/>
  <c r="BD59" i="36"/>
  <c r="BD61" i="36"/>
  <c r="AB32" i="36"/>
  <c r="AB33" i="36"/>
  <c r="AB29" i="36"/>
  <c r="AC28" i="36"/>
  <c r="AB30" i="36"/>
  <c r="AD49" i="36"/>
  <c r="BF56" i="36"/>
  <c r="BF57" i="36"/>
  <c r="H8" i="33"/>
  <c r="J63" i="45"/>
  <c r="AP62" i="36"/>
  <c r="J67" i="36"/>
  <c r="AO65" i="36"/>
  <c r="AO64" i="36"/>
  <c r="AN70" i="36"/>
  <c r="AN105" i="36"/>
  <c r="AP63" i="36"/>
  <c r="J64" i="36"/>
  <c r="J65" i="36"/>
  <c r="I70" i="36"/>
  <c r="I105" i="36"/>
  <c r="J5" i="33"/>
  <c r="M10" i="41"/>
  <c r="L15" i="34"/>
  <c r="M11" i="41"/>
  <c r="M6" i="41"/>
  <c r="O3" i="41" s="1"/>
  <c r="L14" i="34"/>
  <c r="M9" i="41"/>
  <c r="J7" i="33"/>
  <c r="E8" i="33"/>
  <c r="F8" i="33"/>
  <c r="F17" i="33"/>
  <c r="L37" i="34"/>
  <c r="L38" i="34"/>
  <c r="E17" i="33"/>
  <c r="L36" i="34"/>
  <c r="J14" i="33"/>
  <c r="J41" i="33" s="1"/>
  <c r="L35" i="34"/>
  <c r="E72" i="33"/>
  <c r="H72" i="33"/>
  <c r="D72" i="33"/>
  <c r="J16" i="33"/>
  <c r="J43" i="33" s="1"/>
  <c r="L39" i="34"/>
  <c r="J3" i="33"/>
  <c r="L50" i="15"/>
  <c r="I74" i="12"/>
  <c r="I76" i="12"/>
  <c r="I77" i="12"/>
  <c r="I78" i="12"/>
  <c r="I79" i="12"/>
  <c r="I75" i="12"/>
  <c r="I80" i="12"/>
  <c r="AC6" i="20"/>
  <c r="AC5" i="20"/>
  <c r="J80" i="14"/>
  <c r="X8" i="20"/>
  <c r="X7" i="20"/>
  <c r="W9" i="20"/>
  <c r="N33" i="11"/>
  <c r="M34" i="11"/>
  <c r="M35" i="11" s="1"/>
  <c r="M36" i="11" s="1"/>
  <c r="L29" i="13"/>
  <c r="L30" i="13" s="1"/>
  <c r="M28" i="13"/>
  <c r="K31" i="13"/>
  <c r="K33" i="13" s="1"/>
  <c r="K63" i="36" s="1"/>
  <c r="K32" i="13"/>
  <c r="AB4" i="20"/>
  <c r="AK52" i="45" l="1"/>
  <c r="AB93" i="36"/>
  <c r="AA21" i="36"/>
  <c r="AC54" i="36"/>
  <c r="E53" i="45"/>
  <c r="E51" i="45"/>
  <c r="E88" i="45"/>
  <c r="E52" i="45"/>
  <c r="AC89" i="36"/>
  <c r="AA20" i="36"/>
  <c r="AC52" i="36"/>
  <c r="BE22" i="36"/>
  <c r="BE24" i="36" s="1"/>
  <c r="AK53" i="45"/>
  <c r="AK88" i="45"/>
  <c r="AK51" i="45"/>
  <c r="BD80" i="36"/>
  <c r="J79" i="14"/>
  <c r="W34" i="42"/>
  <c r="E92" i="45"/>
  <c r="L72" i="12"/>
  <c r="L72" i="14"/>
  <c r="D36" i="46"/>
  <c r="AA36" i="42"/>
  <c r="AO74" i="36"/>
  <c r="L66" i="45"/>
  <c r="J75" i="14"/>
  <c r="AP67" i="36"/>
  <c r="X37" i="42"/>
  <c r="Y35" i="42"/>
  <c r="BH93" i="36"/>
  <c r="L64" i="45"/>
  <c r="L61" i="45"/>
  <c r="Y37" i="38"/>
  <c r="Z24" i="36"/>
  <c r="AQ66" i="45"/>
  <c r="AO72" i="36"/>
  <c r="K73" i="12"/>
  <c r="K73" i="14"/>
  <c r="J74" i="14"/>
  <c r="I17" i="33"/>
  <c r="BG19" i="36"/>
  <c r="AN4" i="51"/>
  <c r="Y24" i="36"/>
  <c r="J77" i="14"/>
  <c r="AB19" i="36"/>
  <c r="X33" i="42"/>
  <c r="AB36" i="38"/>
  <c r="J76" i="14"/>
  <c r="AN71" i="36"/>
  <c r="AL50" i="45"/>
  <c r="AQ63" i="45"/>
  <c r="D36" i="48"/>
  <c r="J78" i="14"/>
  <c r="L53" i="15"/>
  <c r="AD51" i="36"/>
  <c r="BI51" i="36"/>
  <c r="F50" i="45"/>
  <c r="AP63" i="45"/>
  <c r="D92" i="45"/>
  <c r="BG31" i="36"/>
  <c r="M40" i="11"/>
  <c r="M39" i="11"/>
  <c r="M37" i="11"/>
  <c r="M38" i="11"/>
  <c r="M62" i="36" s="1"/>
  <c r="AR61" i="45"/>
  <c r="AR64" i="45"/>
  <c r="J42" i="33"/>
  <c r="I8" i="33"/>
  <c r="H79" i="33"/>
  <c r="I79" i="33"/>
  <c r="C21" i="53" s="1"/>
  <c r="D21" i="53" s="1"/>
  <c r="E79" i="33"/>
  <c r="C21" i="42" s="1"/>
  <c r="D21" i="42" s="1"/>
  <c r="E21" i="42" s="1"/>
  <c r="F21" i="42" s="1"/>
  <c r="G21" i="42" s="1"/>
  <c r="H21" i="42" s="1"/>
  <c r="I21" i="42" s="1"/>
  <c r="J21" i="42" s="1"/>
  <c r="K21" i="42" s="1"/>
  <c r="L21" i="42" s="1"/>
  <c r="M21" i="42" s="1"/>
  <c r="N21" i="42" s="1"/>
  <c r="O21" i="42" s="1"/>
  <c r="P21" i="42" s="1"/>
  <c r="Q21" i="42" s="1"/>
  <c r="R21" i="42" s="1"/>
  <c r="S21" i="42" s="1"/>
  <c r="T21" i="42" s="1"/>
  <c r="U21" i="42" s="1"/>
  <c r="V21" i="42" s="1"/>
  <c r="W21" i="42" s="1"/>
  <c r="X21" i="42" s="1"/>
  <c r="Y21" i="42" s="1"/>
  <c r="Z21" i="42" s="1"/>
  <c r="AA21" i="42" s="1"/>
  <c r="AB21" i="42" s="1"/>
  <c r="AC21" i="42" s="1"/>
  <c r="AD21" i="42" s="1"/>
  <c r="AE21" i="42" s="1"/>
  <c r="AF21" i="42" s="1"/>
  <c r="AG21" i="42" s="1"/>
  <c r="L24" i="34"/>
  <c r="O19" i="34" s="1"/>
  <c r="AI98" i="34" s="1"/>
  <c r="F98" i="34" s="1"/>
  <c r="G98" i="34" s="1"/>
  <c r="H98" i="34" s="1"/>
  <c r="I98" i="34" s="1"/>
  <c r="J98" i="34" s="1"/>
  <c r="K98" i="34" s="1"/>
  <c r="L98" i="34" s="1"/>
  <c r="M98" i="34" s="1"/>
  <c r="N98" i="34" s="1"/>
  <c r="O98" i="34" s="1"/>
  <c r="P98" i="34" s="1"/>
  <c r="Q98" i="34" s="1"/>
  <c r="R98" i="34" s="1"/>
  <c r="S98" i="34" s="1"/>
  <c r="T98" i="34" s="1"/>
  <c r="U98" i="34" s="1"/>
  <c r="V98" i="34" s="1"/>
  <c r="W98" i="34" s="1"/>
  <c r="X98" i="34" s="1"/>
  <c r="Y98" i="34" s="1"/>
  <c r="Z98" i="34" s="1"/>
  <c r="AA98" i="34" s="1"/>
  <c r="AB98" i="34" s="1"/>
  <c r="AC98" i="34" s="1"/>
  <c r="AD98" i="34" s="1"/>
  <c r="AE98" i="34" s="1"/>
  <c r="AF98" i="34" s="1"/>
  <c r="AG98" i="34" s="1"/>
  <c r="AH98" i="34" s="1"/>
  <c r="J13" i="33"/>
  <c r="J40" i="33" s="1"/>
  <c r="F40" i="33" s="1"/>
  <c r="L32" i="34"/>
  <c r="M29" i="34" s="1"/>
  <c r="AI105" i="34" s="1"/>
  <c r="L30" i="41"/>
  <c r="N28" i="41" s="1"/>
  <c r="AI73" i="41" s="1"/>
  <c r="I69" i="33"/>
  <c r="H17" i="33"/>
  <c r="H69" i="33"/>
  <c r="J4" i="33"/>
  <c r="D69" i="33"/>
  <c r="G17" i="33"/>
  <c r="E69" i="33"/>
  <c r="E77" i="33" s="1"/>
  <c r="C20" i="42" s="1"/>
  <c r="D20" i="42" s="1"/>
  <c r="E20" i="42" s="1"/>
  <c r="F20" i="42" s="1"/>
  <c r="G20" i="42" s="1"/>
  <c r="H20" i="42" s="1"/>
  <c r="I20" i="42" s="1"/>
  <c r="J20" i="42" s="1"/>
  <c r="K20" i="42" s="1"/>
  <c r="L20" i="42" s="1"/>
  <c r="M20" i="42" s="1"/>
  <c r="N20" i="42" s="1"/>
  <c r="O20" i="42" s="1"/>
  <c r="P20" i="42" s="1"/>
  <c r="Q20" i="42" s="1"/>
  <c r="R20" i="42" s="1"/>
  <c r="S20" i="42" s="1"/>
  <c r="T20" i="42" s="1"/>
  <c r="U20" i="42" s="1"/>
  <c r="V20" i="42" s="1"/>
  <c r="W20" i="42" s="1"/>
  <c r="X20" i="42" s="1"/>
  <c r="Y20" i="42" s="1"/>
  <c r="Z20" i="42" s="1"/>
  <c r="AA20" i="42" s="1"/>
  <c r="AB20" i="42" s="1"/>
  <c r="AC20" i="42" s="1"/>
  <c r="AD20" i="42" s="1"/>
  <c r="AE20" i="42" s="1"/>
  <c r="AF20" i="42" s="1"/>
  <c r="AG20" i="42" s="1"/>
  <c r="J24" i="33"/>
  <c r="L8" i="34"/>
  <c r="Q4" i="34" s="1"/>
  <c r="AI64" i="34" s="1"/>
  <c r="F64" i="34" s="1"/>
  <c r="G64" i="34" s="1"/>
  <c r="H64" i="34" s="1"/>
  <c r="I64" i="34" s="1"/>
  <c r="J64" i="34" s="1"/>
  <c r="K64" i="34" s="1"/>
  <c r="L64" i="34" s="1"/>
  <c r="M64" i="34" s="1"/>
  <c r="N64" i="34" s="1"/>
  <c r="O64" i="34" s="1"/>
  <c r="P64" i="34" s="1"/>
  <c r="Q64" i="34" s="1"/>
  <c r="R64" i="34" s="1"/>
  <c r="S64" i="34" s="1"/>
  <c r="T64" i="34" s="1"/>
  <c r="U64" i="34" s="1"/>
  <c r="V64" i="34" s="1"/>
  <c r="W64" i="34" s="1"/>
  <c r="X64" i="34" s="1"/>
  <c r="Y64" i="34" s="1"/>
  <c r="Z64" i="34" s="1"/>
  <c r="AA64" i="34" s="1"/>
  <c r="AB64" i="34" s="1"/>
  <c r="AC64" i="34" s="1"/>
  <c r="AD64" i="34" s="1"/>
  <c r="AE64" i="34" s="1"/>
  <c r="AF64" i="34" s="1"/>
  <c r="AG64" i="34" s="1"/>
  <c r="AH64" i="34" s="1"/>
  <c r="P15" i="41"/>
  <c r="AI66" i="41" s="1"/>
  <c r="N17" i="41"/>
  <c r="AI62" i="41" s="1"/>
  <c r="O16" i="41"/>
  <c r="AI64" i="41" s="1"/>
  <c r="P17" i="41"/>
  <c r="AI68" i="41" s="1"/>
  <c r="O15" i="41"/>
  <c r="AI63" i="41" s="1"/>
  <c r="O17" i="41"/>
  <c r="AI65" i="41" s="1"/>
  <c r="N15" i="41"/>
  <c r="AI60" i="41" s="1"/>
  <c r="N16" i="41"/>
  <c r="AI61" i="41" s="1"/>
  <c r="P16" i="41"/>
  <c r="AI67" i="41" s="1"/>
  <c r="I4" i="51"/>
  <c r="E8" i="26"/>
  <c r="E7" i="26"/>
  <c r="N57" i="25"/>
  <c r="M24" i="41"/>
  <c r="N22" i="41" s="1"/>
  <c r="AI70" i="41" s="1"/>
  <c r="I76" i="33"/>
  <c r="E76" i="33"/>
  <c r="C18" i="42" s="1"/>
  <c r="D18" i="42" s="1"/>
  <c r="E18" i="42" s="1"/>
  <c r="F18" i="42" s="1"/>
  <c r="G18" i="42" s="1"/>
  <c r="H18" i="42" s="1"/>
  <c r="I18" i="42" s="1"/>
  <c r="J18" i="42" s="1"/>
  <c r="K18" i="42" s="1"/>
  <c r="L18" i="42" s="1"/>
  <c r="M18" i="42" s="1"/>
  <c r="N18" i="42" s="1"/>
  <c r="O18" i="42" s="1"/>
  <c r="P18" i="42" s="1"/>
  <c r="Q18" i="42" s="1"/>
  <c r="R18" i="42" s="1"/>
  <c r="S18" i="42" s="1"/>
  <c r="T18" i="42" s="1"/>
  <c r="U18" i="42" s="1"/>
  <c r="V18" i="42" s="1"/>
  <c r="W18" i="42" s="1"/>
  <c r="X18" i="42" s="1"/>
  <c r="Y18" i="42" s="1"/>
  <c r="Z18" i="42" s="1"/>
  <c r="AA18" i="42" s="1"/>
  <c r="AB18" i="42" s="1"/>
  <c r="AC18" i="42" s="1"/>
  <c r="AD18" i="42" s="1"/>
  <c r="AE18" i="42" s="1"/>
  <c r="AF18" i="42" s="1"/>
  <c r="AG18" i="42" s="1"/>
  <c r="D76" i="33"/>
  <c r="C18" i="28" s="1"/>
  <c r="D18" i="28" s="1"/>
  <c r="E18" i="28" s="1"/>
  <c r="H76" i="33"/>
  <c r="AA22" i="36"/>
  <c r="BF69" i="36"/>
  <c r="AM48" i="45"/>
  <c r="AN46" i="45"/>
  <c r="AN47" i="45"/>
  <c r="AN49" i="45"/>
  <c r="AO45" i="45"/>
  <c r="G48" i="45"/>
  <c r="I45" i="45"/>
  <c r="H46" i="45"/>
  <c r="H47" i="45"/>
  <c r="H49" i="45"/>
  <c r="AJ88" i="45"/>
  <c r="AJ92" i="45"/>
  <c r="J9" i="26"/>
  <c r="I12" i="3"/>
  <c r="I10" i="3"/>
  <c r="AA58" i="36"/>
  <c r="BF35" i="36"/>
  <c r="BE38" i="36"/>
  <c r="BE76" i="36"/>
  <c r="BE36" i="36"/>
  <c r="AB34" i="36"/>
  <c r="BJ49" i="36"/>
  <c r="BF22" i="36"/>
  <c r="BE59" i="36"/>
  <c r="BE61" i="36"/>
  <c r="H78" i="33"/>
  <c r="BG34" i="36"/>
  <c r="Z61" i="36"/>
  <c r="Z59" i="36"/>
  <c r="BD25" i="36"/>
  <c r="BD27" i="36"/>
  <c r="BD83" i="36"/>
  <c r="AB31" i="36"/>
  <c r="AE49" i="36"/>
  <c r="BF43" i="36"/>
  <c r="BF96" i="36"/>
  <c r="BF45" i="36"/>
  <c r="BF58" i="36"/>
  <c r="AD54" i="36"/>
  <c r="AD52" i="36"/>
  <c r="AD28" i="36"/>
  <c r="AC32" i="36"/>
  <c r="AC33" i="36"/>
  <c r="AC29" i="36"/>
  <c r="AC30" i="36"/>
  <c r="BG56" i="36"/>
  <c r="BG57" i="36"/>
  <c r="AF50" i="36"/>
  <c r="AF47" i="36"/>
  <c r="AF48" i="36"/>
  <c r="AG46" i="36"/>
  <c r="BH40" i="36"/>
  <c r="BH41" i="36"/>
  <c r="BI39" i="36"/>
  <c r="Z27" i="36"/>
  <c r="Z83" i="36"/>
  <c r="Z25" i="36"/>
  <c r="G97" i="44"/>
  <c r="AB56" i="36"/>
  <c r="AB57" i="36"/>
  <c r="BI28" i="36"/>
  <c r="BH29" i="36"/>
  <c r="BH32" i="36"/>
  <c r="BH30" i="36"/>
  <c r="BH33" i="36"/>
  <c r="BK50" i="36"/>
  <c r="BK47" i="36"/>
  <c r="BK48" i="36"/>
  <c r="BL46" i="36"/>
  <c r="BG42" i="36"/>
  <c r="AA69" i="36"/>
  <c r="BH18" i="36"/>
  <c r="BH55" i="36"/>
  <c r="C97" i="44"/>
  <c r="BG20" i="36"/>
  <c r="AC18" i="36"/>
  <c r="AD17" i="36"/>
  <c r="BI17" i="36"/>
  <c r="AC55" i="36"/>
  <c r="AC41" i="36"/>
  <c r="AD39" i="36"/>
  <c r="K63" i="45"/>
  <c r="AQ62" i="36"/>
  <c r="K67" i="36"/>
  <c r="N5" i="41"/>
  <c r="AI35" i="41" s="1"/>
  <c r="J70" i="36"/>
  <c r="J105" i="36"/>
  <c r="AP65" i="36"/>
  <c r="AP64" i="36"/>
  <c r="AO70" i="36"/>
  <c r="AO105" i="36"/>
  <c r="AQ63" i="36"/>
  <c r="K64" i="36"/>
  <c r="K65" i="36"/>
  <c r="H80" i="33"/>
  <c r="J22" i="33"/>
  <c r="L16" i="34"/>
  <c r="N15" i="34" s="1"/>
  <c r="AI77" i="34" s="1"/>
  <c r="O5" i="41"/>
  <c r="AI38" i="41" s="1"/>
  <c r="N29" i="41"/>
  <c r="AI74" i="41" s="1"/>
  <c r="R5" i="41"/>
  <c r="AI47" i="41" s="1"/>
  <c r="N27" i="41"/>
  <c r="J8" i="33"/>
  <c r="D80" i="33"/>
  <c r="C22" i="28" s="1"/>
  <c r="N3" i="41"/>
  <c r="O4" i="41"/>
  <c r="AI37" i="41" s="1"/>
  <c r="AI36" i="41"/>
  <c r="C21" i="28"/>
  <c r="D21" i="28" s="1"/>
  <c r="C21" i="29"/>
  <c r="R4" i="41"/>
  <c r="AI46" i="41" s="1"/>
  <c r="M12" i="41"/>
  <c r="Q10" i="41" s="1"/>
  <c r="AI58" i="41" s="1"/>
  <c r="R3" i="41"/>
  <c r="N4" i="41"/>
  <c r="AI34" i="41" s="1"/>
  <c r="F41" i="33"/>
  <c r="G41" i="33"/>
  <c r="H41" i="33"/>
  <c r="C12" i="47" s="1"/>
  <c r="I41" i="33"/>
  <c r="E41" i="33"/>
  <c r="C41" i="33"/>
  <c r="D41" i="33"/>
  <c r="M20" i="34"/>
  <c r="AI89" i="34" s="1"/>
  <c r="F89" i="34" s="1"/>
  <c r="G89" i="34" s="1"/>
  <c r="H89" i="34" s="1"/>
  <c r="I89" i="34" s="1"/>
  <c r="J89" i="34" s="1"/>
  <c r="K89" i="34" s="1"/>
  <c r="L89" i="34" s="1"/>
  <c r="M89" i="34" s="1"/>
  <c r="N89" i="34" s="1"/>
  <c r="O89" i="34" s="1"/>
  <c r="P89" i="34" s="1"/>
  <c r="Q89" i="34" s="1"/>
  <c r="R89" i="34" s="1"/>
  <c r="S89" i="34" s="1"/>
  <c r="T89" i="34" s="1"/>
  <c r="U89" i="34" s="1"/>
  <c r="V89" i="34" s="1"/>
  <c r="W89" i="34" s="1"/>
  <c r="X89" i="34" s="1"/>
  <c r="Y89" i="34" s="1"/>
  <c r="Z89" i="34" s="1"/>
  <c r="AA89" i="34" s="1"/>
  <c r="AB89" i="34" s="1"/>
  <c r="AC89" i="34" s="1"/>
  <c r="AD89" i="34" s="1"/>
  <c r="AE89" i="34" s="1"/>
  <c r="AF89" i="34" s="1"/>
  <c r="AG89" i="34" s="1"/>
  <c r="AH89" i="34" s="1"/>
  <c r="E80" i="33"/>
  <c r="C22" i="42" s="1"/>
  <c r="D22" i="42" s="1"/>
  <c r="E22" i="42" s="1"/>
  <c r="F22" i="42" s="1"/>
  <c r="G22" i="42" s="1"/>
  <c r="H22" i="42" s="1"/>
  <c r="I22" i="42" s="1"/>
  <c r="J22" i="42" s="1"/>
  <c r="K22" i="42" s="1"/>
  <c r="L22" i="42" s="1"/>
  <c r="M22" i="42" s="1"/>
  <c r="N22" i="42" s="1"/>
  <c r="O22" i="42" s="1"/>
  <c r="P22" i="42" s="1"/>
  <c r="Q22" i="42" s="1"/>
  <c r="R22" i="42" s="1"/>
  <c r="S22" i="42" s="1"/>
  <c r="T22" i="42" s="1"/>
  <c r="U22" i="42" s="1"/>
  <c r="V22" i="42" s="1"/>
  <c r="W22" i="42" s="1"/>
  <c r="X22" i="42" s="1"/>
  <c r="Y22" i="42" s="1"/>
  <c r="Z22" i="42" s="1"/>
  <c r="AA22" i="42" s="1"/>
  <c r="AB22" i="42" s="1"/>
  <c r="AC22" i="42" s="1"/>
  <c r="AD22" i="42" s="1"/>
  <c r="AE22" i="42" s="1"/>
  <c r="AF22" i="42" s="1"/>
  <c r="AG22" i="42" s="1"/>
  <c r="H40" i="33"/>
  <c r="C26" i="47" s="1"/>
  <c r="I43" i="33"/>
  <c r="D43" i="33"/>
  <c r="D34" i="33" s="1"/>
  <c r="D52" i="33" s="1"/>
  <c r="C43" i="33"/>
  <c r="H43" i="33"/>
  <c r="C33" i="47" s="1"/>
  <c r="G43" i="33"/>
  <c r="E43" i="33"/>
  <c r="F43" i="33"/>
  <c r="I80" i="33"/>
  <c r="L40" i="34"/>
  <c r="M37" i="34" s="1"/>
  <c r="AI110" i="34" s="1"/>
  <c r="C42" i="33"/>
  <c r="H42" i="33"/>
  <c r="C19" i="47" s="1"/>
  <c r="I42" i="33"/>
  <c r="G42" i="33"/>
  <c r="D42" i="33"/>
  <c r="D33" i="33" s="1"/>
  <c r="D51" i="33" s="1"/>
  <c r="F42" i="33"/>
  <c r="E42" i="33"/>
  <c r="O20" i="34"/>
  <c r="AI99" i="34" s="1"/>
  <c r="F99" i="34" s="1"/>
  <c r="G99" i="34" s="1"/>
  <c r="H99" i="34" s="1"/>
  <c r="I99" i="34" s="1"/>
  <c r="J99" i="34" s="1"/>
  <c r="K99" i="34" s="1"/>
  <c r="L99" i="34" s="1"/>
  <c r="M99" i="34" s="1"/>
  <c r="N99" i="34" s="1"/>
  <c r="O99" i="34" s="1"/>
  <c r="P99" i="34" s="1"/>
  <c r="Q99" i="34" s="1"/>
  <c r="R99" i="34" s="1"/>
  <c r="S99" i="34" s="1"/>
  <c r="T99" i="34" s="1"/>
  <c r="U99" i="34" s="1"/>
  <c r="V99" i="34" s="1"/>
  <c r="W99" i="34" s="1"/>
  <c r="X99" i="34" s="1"/>
  <c r="Y99" i="34" s="1"/>
  <c r="Z99" i="34" s="1"/>
  <c r="AA99" i="34" s="1"/>
  <c r="AB99" i="34" s="1"/>
  <c r="AC99" i="34" s="1"/>
  <c r="AD99" i="34" s="1"/>
  <c r="AE99" i="34" s="1"/>
  <c r="AF99" i="34" s="1"/>
  <c r="AG99" i="34" s="1"/>
  <c r="AH99" i="34" s="1"/>
  <c r="J25" i="33"/>
  <c r="D78" i="33"/>
  <c r="I78" i="33"/>
  <c r="I77" i="33"/>
  <c r="F39" i="33"/>
  <c r="D39" i="33"/>
  <c r="D30" i="33" s="1"/>
  <c r="D48" i="33" s="1"/>
  <c r="E39" i="33"/>
  <c r="I39" i="33"/>
  <c r="C39" i="33"/>
  <c r="H39" i="33"/>
  <c r="G39" i="33"/>
  <c r="J44" i="33"/>
  <c r="E78" i="33"/>
  <c r="C19" i="42" s="1"/>
  <c r="D19" i="42" s="1"/>
  <c r="E19" i="42" s="1"/>
  <c r="F19" i="42" s="1"/>
  <c r="G19" i="42" s="1"/>
  <c r="H19" i="42" s="1"/>
  <c r="I19" i="42" s="1"/>
  <c r="J19" i="42" s="1"/>
  <c r="K19" i="42" s="1"/>
  <c r="L19" i="42" s="1"/>
  <c r="M19" i="42" s="1"/>
  <c r="N19" i="42" s="1"/>
  <c r="O19" i="42" s="1"/>
  <c r="P19" i="42" s="1"/>
  <c r="Q19" i="42" s="1"/>
  <c r="R19" i="42" s="1"/>
  <c r="S19" i="42" s="1"/>
  <c r="T19" i="42" s="1"/>
  <c r="U19" i="42" s="1"/>
  <c r="V19" i="42" s="1"/>
  <c r="W19" i="42" s="1"/>
  <c r="X19" i="42" s="1"/>
  <c r="Y19" i="42" s="1"/>
  <c r="Z19" i="42" s="1"/>
  <c r="AA19" i="42" s="1"/>
  <c r="AB19" i="42" s="1"/>
  <c r="AC19" i="42" s="1"/>
  <c r="AD19" i="42" s="1"/>
  <c r="AE19" i="42" s="1"/>
  <c r="AF19" i="42" s="1"/>
  <c r="AG19" i="42" s="1"/>
  <c r="J74" i="12"/>
  <c r="J75" i="12"/>
  <c r="J78" i="12"/>
  <c r="J77" i="12"/>
  <c r="J80" i="12"/>
  <c r="J76" i="12"/>
  <c r="J79" i="12"/>
  <c r="AD5" i="20"/>
  <c r="AD6" i="20"/>
  <c r="K74" i="14"/>
  <c r="K79" i="14"/>
  <c r="K75" i="14"/>
  <c r="K78" i="14"/>
  <c r="K76" i="14"/>
  <c r="K77" i="14"/>
  <c r="K80" i="14"/>
  <c r="Y7" i="20"/>
  <c r="X9" i="20"/>
  <c r="Y8" i="20"/>
  <c r="O33" i="11"/>
  <c r="N34" i="11"/>
  <c r="N35" i="11" s="1"/>
  <c r="N36" i="11" s="1"/>
  <c r="M29" i="13"/>
  <c r="M30" i="13" s="1"/>
  <c r="N28" i="13"/>
  <c r="L31" i="13"/>
  <c r="L33" i="13" s="1"/>
  <c r="L63" i="36" s="1"/>
  <c r="L32" i="13"/>
  <c r="AC4" i="20"/>
  <c r="M31" i="15"/>
  <c r="N31" i="15"/>
  <c r="BE25" i="36" l="1"/>
  <c r="BE83" i="36"/>
  <c r="F88" i="45"/>
  <c r="AC93" i="36"/>
  <c r="BI52" i="36"/>
  <c r="AL52" i="45"/>
  <c r="AD89" i="36"/>
  <c r="AK92" i="45"/>
  <c r="AB21" i="36"/>
  <c r="BE68" i="36"/>
  <c r="BE27" i="36"/>
  <c r="E9" i="26"/>
  <c r="BI54" i="36"/>
  <c r="AL88" i="45"/>
  <c r="BI89" i="36"/>
  <c r="AL51" i="45"/>
  <c r="E36" i="48"/>
  <c r="AB20" i="36"/>
  <c r="F53" i="45"/>
  <c r="F51" i="45"/>
  <c r="F52" i="45"/>
  <c r="BD86" i="36"/>
  <c r="BJ51" i="36"/>
  <c r="AO71" i="36"/>
  <c r="BG21" i="36"/>
  <c r="G50" i="45"/>
  <c r="AS66" i="45"/>
  <c r="M66" i="45"/>
  <c r="AC36" i="38"/>
  <c r="AO4" i="51"/>
  <c r="BE80" i="36"/>
  <c r="AP74" i="36"/>
  <c r="AP72" i="36"/>
  <c r="AA24" i="36"/>
  <c r="BG35" i="36"/>
  <c r="X34" i="42"/>
  <c r="E36" i="46"/>
  <c r="Y34" i="38"/>
  <c r="BI93" i="36"/>
  <c r="Y37" i="42"/>
  <c r="M64" i="45"/>
  <c r="M61" i="45"/>
  <c r="Z86" i="36"/>
  <c r="BE86" i="36"/>
  <c r="AE51" i="36"/>
  <c r="X34" i="38"/>
  <c r="Y27" i="36"/>
  <c r="Y25" i="36"/>
  <c r="Y83" i="36"/>
  <c r="AQ67" i="36"/>
  <c r="L73" i="12"/>
  <c r="L73" i="14"/>
  <c r="BH19" i="36"/>
  <c r="AD93" i="36"/>
  <c r="C21" i="54"/>
  <c r="D21" i="54" s="1"/>
  <c r="E21" i="54" s="1"/>
  <c r="F21" i="54" s="1"/>
  <c r="G21" i="54" s="1"/>
  <c r="H21" i="54" s="1"/>
  <c r="I21" i="54" s="1"/>
  <c r="J21" i="54" s="1"/>
  <c r="K21" i="54" s="1"/>
  <c r="L21" i="54" s="1"/>
  <c r="M21" i="54" s="1"/>
  <c r="N21" i="54" s="1"/>
  <c r="O21" i="54" s="1"/>
  <c r="P21" i="54" s="1"/>
  <c r="Q21" i="54" s="1"/>
  <c r="R21" i="54" s="1"/>
  <c r="S21" i="54" s="1"/>
  <c r="T21" i="54" s="1"/>
  <c r="U21" i="54" s="1"/>
  <c r="V21" i="54" s="1"/>
  <c r="W21" i="54" s="1"/>
  <c r="X21" i="54" s="1"/>
  <c r="Y21" i="54" s="1"/>
  <c r="Z21" i="54" s="1"/>
  <c r="AA21" i="54" s="1"/>
  <c r="AB21" i="54" s="1"/>
  <c r="AC21" i="54" s="1"/>
  <c r="AD21" i="54" s="1"/>
  <c r="AE21" i="54" s="1"/>
  <c r="AF21" i="54" s="1"/>
  <c r="AG21" i="54" s="1"/>
  <c r="AR63" i="45"/>
  <c r="AR66" i="45"/>
  <c r="AL53" i="45"/>
  <c r="Z37" i="38"/>
  <c r="AM50" i="45"/>
  <c r="AC19" i="36"/>
  <c r="Z35" i="42"/>
  <c r="BF24" i="36"/>
  <c r="M72" i="12"/>
  <c r="M72" i="14"/>
  <c r="AB36" i="42"/>
  <c r="M30" i="34"/>
  <c r="AI106" i="34" s="1"/>
  <c r="D77" i="33"/>
  <c r="C40" i="33"/>
  <c r="H77" i="33"/>
  <c r="G40" i="33"/>
  <c r="I40" i="33"/>
  <c r="C23" i="41" s="1"/>
  <c r="D40" i="33"/>
  <c r="D31" i="33" s="1"/>
  <c r="D49" i="33" s="1"/>
  <c r="M27" i="34"/>
  <c r="AI103" i="34" s="1"/>
  <c r="J17" i="33"/>
  <c r="J26" i="33" s="1"/>
  <c r="J35" i="33" s="1"/>
  <c r="E40" i="33"/>
  <c r="M31" i="34"/>
  <c r="AI107" i="34" s="1"/>
  <c r="M28" i="34"/>
  <c r="AI104" i="34" s="1"/>
  <c r="AA61" i="36"/>
  <c r="N40" i="11"/>
  <c r="N39" i="11"/>
  <c r="N37" i="11"/>
  <c r="N38" i="11"/>
  <c r="N62" i="36" s="1"/>
  <c r="AS64" i="45"/>
  <c r="M21" i="34"/>
  <c r="AI90" i="34" s="1"/>
  <c r="F90" i="34" s="1"/>
  <c r="G90" i="34" s="1"/>
  <c r="H90" i="34" s="1"/>
  <c r="I90" i="34" s="1"/>
  <c r="J90" i="34" s="1"/>
  <c r="K90" i="34" s="1"/>
  <c r="L90" i="34" s="1"/>
  <c r="M90" i="34" s="1"/>
  <c r="N90" i="34" s="1"/>
  <c r="O90" i="34" s="1"/>
  <c r="P90" i="34" s="1"/>
  <c r="Q90" i="34" s="1"/>
  <c r="R90" i="34" s="1"/>
  <c r="S90" i="34" s="1"/>
  <c r="T90" i="34" s="1"/>
  <c r="U90" i="34" s="1"/>
  <c r="V90" i="34" s="1"/>
  <c r="W90" i="34" s="1"/>
  <c r="X90" i="34" s="1"/>
  <c r="Y90" i="34" s="1"/>
  <c r="Z90" i="34" s="1"/>
  <c r="AA90" i="34" s="1"/>
  <c r="AB90" i="34" s="1"/>
  <c r="AC90" i="34" s="1"/>
  <c r="AD90" i="34" s="1"/>
  <c r="AE90" i="34" s="1"/>
  <c r="AF90" i="34" s="1"/>
  <c r="AG90" i="34" s="1"/>
  <c r="AH90" i="34" s="1"/>
  <c r="M23" i="34"/>
  <c r="AI92" i="34" s="1"/>
  <c r="M19" i="34"/>
  <c r="N19" i="34"/>
  <c r="AI93" i="34" s="1"/>
  <c r="F93" i="34" s="1"/>
  <c r="G93" i="34" s="1"/>
  <c r="H93" i="34" s="1"/>
  <c r="I93" i="34" s="1"/>
  <c r="J93" i="34" s="1"/>
  <c r="K93" i="34" s="1"/>
  <c r="L93" i="34" s="1"/>
  <c r="M93" i="34" s="1"/>
  <c r="N93" i="34" s="1"/>
  <c r="O93" i="34" s="1"/>
  <c r="P93" i="34" s="1"/>
  <c r="Q93" i="34" s="1"/>
  <c r="R93" i="34" s="1"/>
  <c r="S93" i="34" s="1"/>
  <c r="T93" i="34" s="1"/>
  <c r="U93" i="34" s="1"/>
  <c r="V93" i="34" s="1"/>
  <c r="W93" i="34" s="1"/>
  <c r="X93" i="34" s="1"/>
  <c r="Y93" i="34" s="1"/>
  <c r="Z93" i="34" s="1"/>
  <c r="AA93" i="34" s="1"/>
  <c r="AB93" i="34" s="1"/>
  <c r="AC93" i="34" s="1"/>
  <c r="AD93" i="34" s="1"/>
  <c r="AE93" i="34" s="1"/>
  <c r="AF93" i="34" s="1"/>
  <c r="AG93" i="34" s="1"/>
  <c r="AH93" i="34" s="1"/>
  <c r="O22" i="34"/>
  <c r="AI101" i="34" s="1"/>
  <c r="N21" i="34"/>
  <c r="AI95" i="34" s="1"/>
  <c r="F95" i="34" s="1"/>
  <c r="G95" i="34" s="1"/>
  <c r="H95" i="34" s="1"/>
  <c r="I95" i="34" s="1"/>
  <c r="J95" i="34" s="1"/>
  <c r="K95" i="34" s="1"/>
  <c r="L95" i="34" s="1"/>
  <c r="M95" i="34" s="1"/>
  <c r="N95" i="34" s="1"/>
  <c r="O95" i="34" s="1"/>
  <c r="P95" i="34" s="1"/>
  <c r="Q95" i="34" s="1"/>
  <c r="R95" i="34" s="1"/>
  <c r="S95" i="34" s="1"/>
  <c r="T95" i="34" s="1"/>
  <c r="U95" i="34" s="1"/>
  <c r="V95" i="34" s="1"/>
  <c r="W95" i="34" s="1"/>
  <c r="X95" i="34" s="1"/>
  <c r="Y95" i="34" s="1"/>
  <c r="Z95" i="34" s="1"/>
  <c r="AA95" i="34" s="1"/>
  <c r="AB95" i="34" s="1"/>
  <c r="AC95" i="34" s="1"/>
  <c r="AD95" i="34" s="1"/>
  <c r="AE95" i="34" s="1"/>
  <c r="AF95" i="34" s="1"/>
  <c r="AG95" i="34" s="1"/>
  <c r="AH95" i="34" s="1"/>
  <c r="O21" i="34"/>
  <c r="AI100" i="34" s="1"/>
  <c r="F100" i="34" s="1"/>
  <c r="G100" i="34" s="1"/>
  <c r="H100" i="34" s="1"/>
  <c r="I100" i="34" s="1"/>
  <c r="J100" i="34" s="1"/>
  <c r="K100" i="34" s="1"/>
  <c r="L100" i="34" s="1"/>
  <c r="M100" i="34" s="1"/>
  <c r="N100" i="34" s="1"/>
  <c r="O100" i="34" s="1"/>
  <c r="P100" i="34" s="1"/>
  <c r="Q100" i="34" s="1"/>
  <c r="R100" i="34" s="1"/>
  <c r="S100" i="34" s="1"/>
  <c r="T100" i="34" s="1"/>
  <c r="U100" i="34" s="1"/>
  <c r="V100" i="34" s="1"/>
  <c r="W100" i="34" s="1"/>
  <c r="X100" i="34" s="1"/>
  <c r="Y100" i="34" s="1"/>
  <c r="Z100" i="34" s="1"/>
  <c r="AA100" i="34" s="1"/>
  <c r="AB100" i="34" s="1"/>
  <c r="AC100" i="34" s="1"/>
  <c r="AD100" i="34" s="1"/>
  <c r="AE100" i="34" s="1"/>
  <c r="AF100" i="34" s="1"/>
  <c r="AG100" i="34" s="1"/>
  <c r="AH100" i="34" s="1"/>
  <c r="N22" i="34"/>
  <c r="AI96" i="34" s="1"/>
  <c r="N20" i="34"/>
  <c r="AI94" i="34" s="1"/>
  <c r="F94" i="34" s="1"/>
  <c r="G94" i="34" s="1"/>
  <c r="H94" i="34" s="1"/>
  <c r="I94" i="34" s="1"/>
  <c r="J94" i="34" s="1"/>
  <c r="K94" i="34" s="1"/>
  <c r="L94" i="34" s="1"/>
  <c r="M94" i="34" s="1"/>
  <c r="N94" i="34" s="1"/>
  <c r="O94" i="34" s="1"/>
  <c r="P94" i="34" s="1"/>
  <c r="Q94" i="34" s="1"/>
  <c r="R94" i="34" s="1"/>
  <c r="S94" i="34" s="1"/>
  <c r="T94" i="34" s="1"/>
  <c r="U94" i="34" s="1"/>
  <c r="V94" i="34" s="1"/>
  <c r="W94" i="34" s="1"/>
  <c r="X94" i="34" s="1"/>
  <c r="Y94" i="34" s="1"/>
  <c r="Z94" i="34" s="1"/>
  <c r="AA94" i="34" s="1"/>
  <c r="AB94" i="34" s="1"/>
  <c r="AC94" i="34" s="1"/>
  <c r="AD94" i="34" s="1"/>
  <c r="AE94" i="34" s="1"/>
  <c r="AF94" i="34" s="1"/>
  <c r="AG94" i="34" s="1"/>
  <c r="AH94" i="34" s="1"/>
  <c r="N23" i="34"/>
  <c r="AI97" i="34" s="1"/>
  <c r="M22" i="34"/>
  <c r="AI91" i="34" s="1"/>
  <c r="C18" i="38"/>
  <c r="D18" i="38" s="1"/>
  <c r="O23" i="34"/>
  <c r="AI102" i="34" s="1"/>
  <c r="C21" i="38"/>
  <c r="D21" i="38" s="1"/>
  <c r="M6" i="34"/>
  <c r="AI46" i="34" s="1"/>
  <c r="F46" i="34" s="1"/>
  <c r="G46" i="34" s="1"/>
  <c r="H46" i="34" s="1"/>
  <c r="I46" i="34" s="1"/>
  <c r="J46" i="34" s="1"/>
  <c r="K46" i="34" s="1"/>
  <c r="L46" i="34" s="1"/>
  <c r="M46" i="34" s="1"/>
  <c r="N46" i="34" s="1"/>
  <c r="O46" i="34" s="1"/>
  <c r="P46" i="34" s="1"/>
  <c r="Q46" i="34" s="1"/>
  <c r="R46" i="34" s="1"/>
  <c r="S46" i="34" s="1"/>
  <c r="T46" i="34" s="1"/>
  <c r="U46" i="34" s="1"/>
  <c r="V46" i="34" s="1"/>
  <c r="W46" i="34" s="1"/>
  <c r="X46" i="34" s="1"/>
  <c r="Y46" i="34" s="1"/>
  <c r="Z46" i="34" s="1"/>
  <c r="AA46" i="34" s="1"/>
  <c r="AB46" i="34" s="1"/>
  <c r="AC46" i="34" s="1"/>
  <c r="AD46" i="34" s="1"/>
  <c r="AE46" i="34" s="1"/>
  <c r="AF46" i="34" s="1"/>
  <c r="AG46" i="34" s="1"/>
  <c r="AH46" i="34" s="1"/>
  <c r="Q3" i="34"/>
  <c r="AI63" i="34" s="1"/>
  <c r="F63" i="34" s="1"/>
  <c r="G63" i="34" s="1"/>
  <c r="H63" i="34" s="1"/>
  <c r="I63" i="34" s="1"/>
  <c r="J63" i="34" s="1"/>
  <c r="K63" i="34" s="1"/>
  <c r="L63" i="34" s="1"/>
  <c r="M63" i="34" s="1"/>
  <c r="N63" i="34" s="1"/>
  <c r="O63" i="34" s="1"/>
  <c r="P63" i="34" s="1"/>
  <c r="Q63" i="34" s="1"/>
  <c r="R63" i="34" s="1"/>
  <c r="S63" i="34" s="1"/>
  <c r="T63" i="34" s="1"/>
  <c r="U63" i="34" s="1"/>
  <c r="V63" i="34" s="1"/>
  <c r="W63" i="34" s="1"/>
  <c r="X63" i="34" s="1"/>
  <c r="Y63" i="34" s="1"/>
  <c r="Z63" i="34" s="1"/>
  <c r="AA63" i="34" s="1"/>
  <c r="AB63" i="34" s="1"/>
  <c r="AC63" i="34" s="1"/>
  <c r="AD63" i="34" s="1"/>
  <c r="AE63" i="34" s="1"/>
  <c r="AF63" i="34" s="1"/>
  <c r="AG63" i="34" s="1"/>
  <c r="AH63" i="34" s="1"/>
  <c r="M3" i="34"/>
  <c r="AI43" i="34" s="1"/>
  <c r="F43" i="34" s="1"/>
  <c r="G43" i="34" s="1"/>
  <c r="H43" i="34" s="1"/>
  <c r="I43" i="34" s="1"/>
  <c r="J43" i="34" s="1"/>
  <c r="K43" i="34" s="1"/>
  <c r="L43" i="34" s="1"/>
  <c r="M43" i="34" s="1"/>
  <c r="N43" i="34" s="1"/>
  <c r="O43" i="34" s="1"/>
  <c r="P43" i="34" s="1"/>
  <c r="Q43" i="34" s="1"/>
  <c r="R43" i="34" s="1"/>
  <c r="S43" i="34" s="1"/>
  <c r="T43" i="34" s="1"/>
  <c r="U43" i="34" s="1"/>
  <c r="V43" i="34" s="1"/>
  <c r="W43" i="34" s="1"/>
  <c r="X43" i="34" s="1"/>
  <c r="Y43" i="34" s="1"/>
  <c r="Z43" i="34" s="1"/>
  <c r="AA43" i="34" s="1"/>
  <c r="AB43" i="34" s="1"/>
  <c r="AC43" i="34" s="1"/>
  <c r="AD43" i="34" s="1"/>
  <c r="AE43" i="34" s="1"/>
  <c r="AF43" i="34" s="1"/>
  <c r="AG43" i="34" s="1"/>
  <c r="AH43" i="34" s="1"/>
  <c r="M7" i="34"/>
  <c r="AI47" i="34" s="1"/>
  <c r="F47" i="34" s="1"/>
  <c r="G47" i="34" s="1"/>
  <c r="H47" i="34" s="1"/>
  <c r="I47" i="34" s="1"/>
  <c r="J47" i="34" s="1"/>
  <c r="K47" i="34" s="1"/>
  <c r="L47" i="34" s="1"/>
  <c r="M47" i="34" s="1"/>
  <c r="N47" i="34" s="1"/>
  <c r="O47" i="34" s="1"/>
  <c r="P47" i="34" s="1"/>
  <c r="Q47" i="34" s="1"/>
  <c r="R47" i="34" s="1"/>
  <c r="S47" i="34" s="1"/>
  <c r="T47" i="34" s="1"/>
  <c r="U47" i="34" s="1"/>
  <c r="V47" i="34" s="1"/>
  <c r="W47" i="34" s="1"/>
  <c r="X47" i="34" s="1"/>
  <c r="Y47" i="34" s="1"/>
  <c r="Z47" i="34" s="1"/>
  <c r="AA47" i="34" s="1"/>
  <c r="AB47" i="34" s="1"/>
  <c r="AC47" i="34" s="1"/>
  <c r="AD47" i="34" s="1"/>
  <c r="AE47" i="34" s="1"/>
  <c r="AF47" i="34" s="1"/>
  <c r="AG47" i="34" s="1"/>
  <c r="AH47" i="34" s="1"/>
  <c r="Q6" i="34"/>
  <c r="AI66" i="34" s="1"/>
  <c r="F66" i="34" s="1"/>
  <c r="G66" i="34" s="1"/>
  <c r="H66" i="34" s="1"/>
  <c r="I66" i="34" s="1"/>
  <c r="J66" i="34" s="1"/>
  <c r="K66" i="34" s="1"/>
  <c r="L66" i="34" s="1"/>
  <c r="M66" i="34" s="1"/>
  <c r="N66" i="34" s="1"/>
  <c r="O66" i="34" s="1"/>
  <c r="P66" i="34" s="1"/>
  <c r="Q66" i="34" s="1"/>
  <c r="R66" i="34" s="1"/>
  <c r="S66" i="34" s="1"/>
  <c r="T66" i="34" s="1"/>
  <c r="U66" i="34" s="1"/>
  <c r="V66" i="34" s="1"/>
  <c r="W66" i="34" s="1"/>
  <c r="X66" i="34" s="1"/>
  <c r="Y66" i="34" s="1"/>
  <c r="Z66" i="34" s="1"/>
  <c r="AA66" i="34" s="1"/>
  <c r="AB66" i="34" s="1"/>
  <c r="AC66" i="34" s="1"/>
  <c r="AD66" i="34" s="1"/>
  <c r="AE66" i="34" s="1"/>
  <c r="AF66" i="34" s="1"/>
  <c r="AG66" i="34" s="1"/>
  <c r="AH66" i="34" s="1"/>
  <c r="Q5" i="34"/>
  <c r="AI65" i="34" s="1"/>
  <c r="F65" i="34" s="1"/>
  <c r="G65" i="34" s="1"/>
  <c r="H65" i="34" s="1"/>
  <c r="I65" i="34" s="1"/>
  <c r="J65" i="34" s="1"/>
  <c r="K65" i="34" s="1"/>
  <c r="L65" i="34" s="1"/>
  <c r="M65" i="34" s="1"/>
  <c r="N65" i="34" s="1"/>
  <c r="O65" i="34" s="1"/>
  <c r="P65" i="34" s="1"/>
  <c r="Q65" i="34" s="1"/>
  <c r="R65" i="34" s="1"/>
  <c r="S65" i="34" s="1"/>
  <c r="T65" i="34" s="1"/>
  <c r="U65" i="34" s="1"/>
  <c r="V65" i="34" s="1"/>
  <c r="W65" i="34" s="1"/>
  <c r="X65" i="34" s="1"/>
  <c r="Y65" i="34" s="1"/>
  <c r="Z65" i="34" s="1"/>
  <c r="AA65" i="34" s="1"/>
  <c r="AB65" i="34" s="1"/>
  <c r="AC65" i="34" s="1"/>
  <c r="AD65" i="34" s="1"/>
  <c r="AE65" i="34" s="1"/>
  <c r="AF65" i="34" s="1"/>
  <c r="AG65" i="34" s="1"/>
  <c r="AH65" i="34" s="1"/>
  <c r="N7" i="34"/>
  <c r="AI52" i="34" s="1"/>
  <c r="F52" i="34" s="1"/>
  <c r="G52" i="34" s="1"/>
  <c r="H52" i="34" s="1"/>
  <c r="I52" i="34" s="1"/>
  <c r="J52" i="34" s="1"/>
  <c r="K52" i="34" s="1"/>
  <c r="L52" i="34" s="1"/>
  <c r="M52" i="34" s="1"/>
  <c r="N52" i="34" s="1"/>
  <c r="O52" i="34" s="1"/>
  <c r="P52" i="34" s="1"/>
  <c r="Q52" i="34" s="1"/>
  <c r="R52" i="34" s="1"/>
  <c r="S52" i="34" s="1"/>
  <c r="T52" i="34" s="1"/>
  <c r="U52" i="34" s="1"/>
  <c r="V52" i="34" s="1"/>
  <c r="W52" i="34" s="1"/>
  <c r="X52" i="34" s="1"/>
  <c r="Y52" i="34" s="1"/>
  <c r="Z52" i="34" s="1"/>
  <c r="AA52" i="34" s="1"/>
  <c r="AB52" i="34" s="1"/>
  <c r="AC52" i="34" s="1"/>
  <c r="AD52" i="34" s="1"/>
  <c r="AE52" i="34" s="1"/>
  <c r="AF52" i="34" s="1"/>
  <c r="AG52" i="34" s="1"/>
  <c r="AH52" i="34" s="1"/>
  <c r="Q7" i="34"/>
  <c r="AI67" i="34" s="1"/>
  <c r="F67" i="34" s="1"/>
  <c r="G67" i="34" s="1"/>
  <c r="H67" i="34" s="1"/>
  <c r="I67" i="34" s="1"/>
  <c r="J67" i="34" s="1"/>
  <c r="K67" i="34" s="1"/>
  <c r="L67" i="34" s="1"/>
  <c r="M67" i="34" s="1"/>
  <c r="N67" i="34" s="1"/>
  <c r="O67" i="34" s="1"/>
  <c r="P67" i="34" s="1"/>
  <c r="Q67" i="34" s="1"/>
  <c r="R67" i="34" s="1"/>
  <c r="S67" i="34" s="1"/>
  <c r="T67" i="34" s="1"/>
  <c r="U67" i="34" s="1"/>
  <c r="V67" i="34" s="1"/>
  <c r="W67" i="34" s="1"/>
  <c r="X67" i="34" s="1"/>
  <c r="Y67" i="34" s="1"/>
  <c r="Z67" i="34" s="1"/>
  <c r="AA67" i="34" s="1"/>
  <c r="AB67" i="34" s="1"/>
  <c r="AC67" i="34" s="1"/>
  <c r="AD67" i="34" s="1"/>
  <c r="AE67" i="34" s="1"/>
  <c r="AF67" i="34" s="1"/>
  <c r="AG67" i="34" s="1"/>
  <c r="AH67" i="34" s="1"/>
  <c r="M5" i="34"/>
  <c r="AI45" i="34" s="1"/>
  <c r="F45" i="34" s="1"/>
  <c r="G45" i="34" s="1"/>
  <c r="H45" i="34" s="1"/>
  <c r="I45" i="34" s="1"/>
  <c r="J45" i="34" s="1"/>
  <c r="K45" i="34" s="1"/>
  <c r="L45" i="34" s="1"/>
  <c r="M45" i="34" s="1"/>
  <c r="N45" i="34" s="1"/>
  <c r="O45" i="34" s="1"/>
  <c r="P45" i="34" s="1"/>
  <c r="Q45" i="34" s="1"/>
  <c r="R45" i="34" s="1"/>
  <c r="S45" i="34" s="1"/>
  <c r="T45" i="34" s="1"/>
  <c r="U45" i="34" s="1"/>
  <c r="V45" i="34" s="1"/>
  <c r="W45" i="34" s="1"/>
  <c r="X45" i="34" s="1"/>
  <c r="Y45" i="34" s="1"/>
  <c r="Z45" i="34" s="1"/>
  <c r="AA45" i="34" s="1"/>
  <c r="AB45" i="34" s="1"/>
  <c r="AC45" i="34" s="1"/>
  <c r="AD45" i="34" s="1"/>
  <c r="AE45" i="34" s="1"/>
  <c r="AF45" i="34" s="1"/>
  <c r="AG45" i="34" s="1"/>
  <c r="AH45" i="34" s="1"/>
  <c r="M4" i="34"/>
  <c r="AI44" i="34" s="1"/>
  <c r="F44" i="34" s="1"/>
  <c r="G44" i="34" s="1"/>
  <c r="H44" i="34" s="1"/>
  <c r="I44" i="34" s="1"/>
  <c r="J44" i="34" s="1"/>
  <c r="K44" i="34" s="1"/>
  <c r="L44" i="34" s="1"/>
  <c r="M44" i="34" s="1"/>
  <c r="N44" i="34" s="1"/>
  <c r="O44" i="34" s="1"/>
  <c r="P44" i="34" s="1"/>
  <c r="Q44" i="34" s="1"/>
  <c r="R44" i="34" s="1"/>
  <c r="S44" i="34" s="1"/>
  <c r="T44" i="34" s="1"/>
  <c r="U44" i="34" s="1"/>
  <c r="V44" i="34" s="1"/>
  <c r="W44" i="34" s="1"/>
  <c r="X44" i="34" s="1"/>
  <c r="Y44" i="34" s="1"/>
  <c r="Z44" i="34" s="1"/>
  <c r="AA44" i="34" s="1"/>
  <c r="AB44" i="34" s="1"/>
  <c r="AC44" i="34" s="1"/>
  <c r="AD44" i="34" s="1"/>
  <c r="AE44" i="34" s="1"/>
  <c r="AF44" i="34" s="1"/>
  <c r="AG44" i="34" s="1"/>
  <c r="AH44" i="34" s="1"/>
  <c r="N21" i="41"/>
  <c r="P18" i="41"/>
  <c r="N23" i="41"/>
  <c r="AI71" i="41" s="1"/>
  <c r="N18" i="41"/>
  <c r="O18" i="41"/>
  <c r="C20" i="54"/>
  <c r="D20" i="54" s="1"/>
  <c r="E20" i="54" s="1"/>
  <c r="F20" i="54" s="1"/>
  <c r="G20" i="54" s="1"/>
  <c r="H20" i="54" s="1"/>
  <c r="I20" i="54" s="1"/>
  <c r="J20" i="54" s="1"/>
  <c r="K20" i="54" s="1"/>
  <c r="L20" i="54" s="1"/>
  <c r="M20" i="54" s="1"/>
  <c r="N20" i="54" s="1"/>
  <c r="O20" i="54" s="1"/>
  <c r="P20" i="54" s="1"/>
  <c r="Q20" i="54" s="1"/>
  <c r="R20" i="54" s="1"/>
  <c r="S20" i="54" s="1"/>
  <c r="T20" i="54" s="1"/>
  <c r="U20" i="54" s="1"/>
  <c r="V20" i="54" s="1"/>
  <c r="W20" i="54" s="1"/>
  <c r="X20" i="54" s="1"/>
  <c r="Y20" i="54" s="1"/>
  <c r="Z20" i="54" s="1"/>
  <c r="AA20" i="54" s="1"/>
  <c r="AB20" i="54" s="1"/>
  <c r="AC20" i="54" s="1"/>
  <c r="AD20" i="54" s="1"/>
  <c r="AE20" i="54" s="1"/>
  <c r="AF20" i="54" s="1"/>
  <c r="AG20" i="54" s="1"/>
  <c r="C20" i="53"/>
  <c r="D20" i="53" s="1"/>
  <c r="C19" i="54"/>
  <c r="D19" i="54" s="1"/>
  <c r="E19" i="54" s="1"/>
  <c r="F19" i="54" s="1"/>
  <c r="G19" i="54" s="1"/>
  <c r="H19" i="54" s="1"/>
  <c r="I19" i="54" s="1"/>
  <c r="J19" i="54" s="1"/>
  <c r="K19" i="54" s="1"/>
  <c r="L19" i="54" s="1"/>
  <c r="M19" i="54" s="1"/>
  <c r="N19" i="54" s="1"/>
  <c r="O19" i="54" s="1"/>
  <c r="P19" i="54" s="1"/>
  <c r="Q19" i="54" s="1"/>
  <c r="R19" i="54" s="1"/>
  <c r="S19" i="54" s="1"/>
  <c r="T19" i="54" s="1"/>
  <c r="U19" i="54" s="1"/>
  <c r="V19" i="54" s="1"/>
  <c r="W19" i="54" s="1"/>
  <c r="X19" i="54" s="1"/>
  <c r="Y19" i="54" s="1"/>
  <c r="Z19" i="54" s="1"/>
  <c r="AA19" i="54" s="1"/>
  <c r="AB19" i="54" s="1"/>
  <c r="AC19" i="54" s="1"/>
  <c r="AD19" i="54" s="1"/>
  <c r="AE19" i="54" s="1"/>
  <c r="AF19" i="54" s="1"/>
  <c r="AG19" i="54" s="1"/>
  <c r="C19" i="53"/>
  <c r="D19" i="53" s="1"/>
  <c r="C22" i="53"/>
  <c r="D22" i="53" s="1"/>
  <c r="C22" i="54"/>
  <c r="D22" i="54" s="1"/>
  <c r="E22" i="54" s="1"/>
  <c r="F22" i="54" s="1"/>
  <c r="G22" i="54" s="1"/>
  <c r="H22" i="54" s="1"/>
  <c r="I22" i="54" s="1"/>
  <c r="J22" i="54" s="1"/>
  <c r="K22" i="54" s="1"/>
  <c r="L22" i="54" s="1"/>
  <c r="M22" i="54" s="1"/>
  <c r="N22" i="54" s="1"/>
  <c r="O22" i="54" s="1"/>
  <c r="P22" i="54" s="1"/>
  <c r="Q22" i="54" s="1"/>
  <c r="R22" i="54" s="1"/>
  <c r="S22" i="54" s="1"/>
  <c r="T22" i="54" s="1"/>
  <c r="U22" i="54" s="1"/>
  <c r="V22" i="54" s="1"/>
  <c r="W22" i="54" s="1"/>
  <c r="X22" i="54" s="1"/>
  <c r="Y22" i="54" s="1"/>
  <c r="Z22" i="54" s="1"/>
  <c r="AA22" i="54" s="1"/>
  <c r="AB22" i="54" s="1"/>
  <c r="AC22" i="54" s="1"/>
  <c r="AD22" i="54" s="1"/>
  <c r="AE22" i="54" s="1"/>
  <c r="AF22" i="54" s="1"/>
  <c r="AG22" i="54" s="1"/>
  <c r="J4" i="51"/>
  <c r="C18" i="53"/>
  <c r="D18" i="53" s="1"/>
  <c r="C18" i="54"/>
  <c r="D18" i="54" s="1"/>
  <c r="E18" i="54" s="1"/>
  <c r="F18" i="54" s="1"/>
  <c r="G18" i="54" s="1"/>
  <c r="H18" i="54" s="1"/>
  <c r="I18" i="54" s="1"/>
  <c r="J18" i="54" s="1"/>
  <c r="K18" i="54" s="1"/>
  <c r="L18" i="54" s="1"/>
  <c r="M18" i="54" s="1"/>
  <c r="N18" i="54" s="1"/>
  <c r="O18" i="54" s="1"/>
  <c r="P18" i="54" s="1"/>
  <c r="Q18" i="54" s="1"/>
  <c r="R18" i="54" s="1"/>
  <c r="S18" i="54" s="1"/>
  <c r="T18" i="54" s="1"/>
  <c r="U18" i="54" s="1"/>
  <c r="V18" i="54" s="1"/>
  <c r="W18" i="54" s="1"/>
  <c r="X18" i="54" s="1"/>
  <c r="Y18" i="54" s="1"/>
  <c r="Z18" i="54" s="1"/>
  <c r="AA18" i="54" s="1"/>
  <c r="AB18" i="54" s="1"/>
  <c r="AC18" i="54" s="1"/>
  <c r="AD18" i="54" s="1"/>
  <c r="AE18" i="54" s="1"/>
  <c r="AF18" i="54" s="1"/>
  <c r="AG18" i="54" s="1"/>
  <c r="E21" i="53"/>
  <c r="O12" i="34"/>
  <c r="AI79" i="34" s="1"/>
  <c r="C18" i="29"/>
  <c r="D18" i="29" s="1"/>
  <c r="E18" i="29" s="1"/>
  <c r="P12" i="34"/>
  <c r="AI84" i="34" s="1"/>
  <c r="O13" i="34"/>
  <c r="AI80" i="34" s="1"/>
  <c r="C5" i="41"/>
  <c r="C6" i="47"/>
  <c r="C9" i="41"/>
  <c r="C10" i="47"/>
  <c r="C15" i="41"/>
  <c r="C17" i="47"/>
  <c r="C27" i="41"/>
  <c r="C31" i="47"/>
  <c r="C29" i="41"/>
  <c r="C34" i="47"/>
  <c r="C27" i="47"/>
  <c r="C3" i="41"/>
  <c r="C3" i="47"/>
  <c r="E33" i="33"/>
  <c r="E51" i="33" s="1"/>
  <c r="C17" i="41"/>
  <c r="C20" i="47"/>
  <c r="C11" i="41"/>
  <c r="C13" i="47"/>
  <c r="C4" i="41"/>
  <c r="C5" i="47"/>
  <c r="C21" i="41"/>
  <c r="C24" i="47"/>
  <c r="AA59" i="36"/>
  <c r="BF38" i="36"/>
  <c r="Y33" i="42"/>
  <c r="H48" i="45"/>
  <c r="AN48" i="45"/>
  <c r="AO47" i="45"/>
  <c r="AO49" i="45"/>
  <c r="AO46" i="45"/>
  <c r="AP45" i="45"/>
  <c r="P13" i="34"/>
  <c r="AI85" i="34" s="1"/>
  <c r="N12" i="34"/>
  <c r="AI74" i="34" s="1"/>
  <c r="O11" i="34"/>
  <c r="AI78" i="34" s="1"/>
  <c r="O14" i="34"/>
  <c r="AI81" i="34" s="1"/>
  <c r="N13" i="34"/>
  <c r="AI75" i="34" s="1"/>
  <c r="M12" i="34"/>
  <c r="AI69" i="34" s="1"/>
  <c r="P15" i="34"/>
  <c r="AI87" i="34" s="1"/>
  <c r="M11" i="34"/>
  <c r="AI68" i="34" s="1"/>
  <c r="J45" i="45"/>
  <c r="I47" i="45"/>
  <c r="I49" i="45"/>
  <c r="I46" i="45"/>
  <c r="I13" i="3"/>
  <c r="BH31" i="36"/>
  <c r="BG58" i="36"/>
  <c r="BF68" i="36"/>
  <c r="BH42" i="36"/>
  <c r="BF36" i="36"/>
  <c r="BG69" i="36"/>
  <c r="BF76" i="36"/>
  <c r="AC31" i="36"/>
  <c r="AC34" i="36"/>
  <c r="BH34" i="36"/>
  <c r="M14" i="34"/>
  <c r="AI71" i="34" s="1"/>
  <c r="M15" i="34"/>
  <c r="AI72" i="34" s="1"/>
  <c r="N11" i="34"/>
  <c r="AI73" i="34" s="1"/>
  <c r="O15" i="34"/>
  <c r="AI82" i="34" s="1"/>
  <c r="P14" i="34"/>
  <c r="AI86" i="34" s="1"/>
  <c r="AE17" i="36"/>
  <c r="AD18" i="36"/>
  <c r="BJ17" i="36"/>
  <c r="AD55" i="36"/>
  <c r="BJ52" i="36"/>
  <c r="BG96" i="36"/>
  <c r="BG43" i="36"/>
  <c r="BG45" i="36"/>
  <c r="BI29" i="36"/>
  <c r="BJ28" i="36"/>
  <c r="BI33" i="36"/>
  <c r="BI30" i="36"/>
  <c r="BI32" i="36"/>
  <c r="AA25" i="36"/>
  <c r="BH57" i="36"/>
  <c r="BH56" i="36"/>
  <c r="BL50" i="36"/>
  <c r="BM46" i="36"/>
  <c r="BL48" i="36"/>
  <c r="BL47" i="36"/>
  <c r="AB58" i="36"/>
  <c r="AB69" i="36"/>
  <c r="AH46" i="36"/>
  <c r="AG50" i="36"/>
  <c r="AG48" i="36"/>
  <c r="AG47" i="36"/>
  <c r="AE39" i="36"/>
  <c r="AD41" i="36"/>
  <c r="AC57" i="36"/>
  <c r="AC56" i="36"/>
  <c r="BI40" i="36"/>
  <c r="BI41" i="36"/>
  <c r="BJ39" i="36"/>
  <c r="BF59" i="36"/>
  <c r="BF61" i="36"/>
  <c r="P11" i="34"/>
  <c r="AI83" i="34" s="1"/>
  <c r="N14" i="34"/>
  <c r="AI76" i="34" s="1"/>
  <c r="M13" i="34"/>
  <c r="AI70" i="34" s="1"/>
  <c r="BI18" i="36"/>
  <c r="BI55" i="36"/>
  <c r="BK49" i="36"/>
  <c r="AF49" i="36"/>
  <c r="AD30" i="36"/>
  <c r="AD33" i="36"/>
  <c r="AD32" i="36"/>
  <c r="AD29" i="36"/>
  <c r="AE28" i="36"/>
  <c r="M30" i="41"/>
  <c r="AI72" i="41"/>
  <c r="L63" i="45"/>
  <c r="AR62" i="36"/>
  <c r="L67" i="36"/>
  <c r="K70" i="36"/>
  <c r="K105" i="36"/>
  <c r="AR63" i="36"/>
  <c r="L64" i="36"/>
  <c r="L65" i="36"/>
  <c r="AQ64" i="36"/>
  <c r="AQ65" i="36"/>
  <c r="AP70" i="36"/>
  <c r="AP105" i="36"/>
  <c r="D22" i="28"/>
  <c r="E22" i="28" s="1"/>
  <c r="C22" i="29"/>
  <c r="D22" i="29" s="1"/>
  <c r="E22" i="29" s="1"/>
  <c r="F22" i="29" s="1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Z22" i="29" s="1"/>
  <c r="AA22" i="29" s="1"/>
  <c r="AB22" i="29" s="1"/>
  <c r="AC22" i="29" s="1"/>
  <c r="AD22" i="29" s="1"/>
  <c r="AE22" i="29" s="1"/>
  <c r="AF22" i="29" s="1"/>
  <c r="AG22" i="29" s="1"/>
  <c r="O6" i="41"/>
  <c r="Q11" i="41"/>
  <c r="AI59" i="41" s="1"/>
  <c r="O11" i="41"/>
  <c r="AI53" i="41" s="1"/>
  <c r="Q9" i="41"/>
  <c r="H33" i="33"/>
  <c r="H51" i="33" s="1"/>
  <c r="C16" i="41"/>
  <c r="M35" i="34"/>
  <c r="AI108" i="34" s="1"/>
  <c r="C20" i="28"/>
  <c r="D20" i="28" s="1"/>
  <c r="C20" i="29"/>
  <c r="H32" i="33"/>
  <c r="H50" i="33" s="1"/>
  <c r="C10" i="41"/>
  <c r="O10" i="41"/>
  <c r="AI52" i="41" s="1"/>
  <c r="C19" i="29"/>
  <c r="C19" i="28"/>
  <c r="D19" i="28" s="1"/>
  <c r="N11" i="41"/>
  <c r="AI50" i="41" s="1"/>
  <c r="P9" i="41"/>
  <c r="D21" i="29"/>
  <c r="N10" i="41"/>
  <c r="AI49" i="41" s="1"/>
  <c r="AI33" i="41"/>
  <c r="N6" i="41"/>
  <c r="H34" i="33"/>
  <c r="H52" i="33" s="1"/>
  <c r="C28" i="41"/>
  <c r="H31" i="33"/>
  <c r="H49" i="33" s="1"/>
  <c r="C22" i="41"/>
  <c r="O9" i="41"/>
  <c r="P10" i="41"/>
  <c r="AI55" i="41" s="1"/>
  <c r="AI69" i="41"/>
  <c r="N24" i="41"/>
  <c r="P11" i="41"/>
  <c r="AI56" i="41" s="1"/>
  <c r="AI45" i="41"/>
  <c r="R6" i="41"/>
  <c r="N9" i="41"/>
  <c r="C22" i="38"/>
  <c r="C20" i="38"/>
  <c r="C19" i="38"/>
  <c r="C22" i="34"/>
  <c r="G33" i="33"/>
  <c r="G51" i="33" s="1"/>
  <c r="H57" i="33"/>
  <c r="H30" i="33"/>
  <c r="H48" i="33" s="1"/>
  <c r="H44" i="33"/>
  <c r="H35" i="33" s="1"/>
  <c r="C23" i="34"/>
  <c r="I33" i="33"/>
  <c r="I51" i="33" s="1"/>
  <c r="M36" i="34"/>
  <c r="AI109" i="34" s="1"/>
  <c r="F18" i="28"/>
  <c r="C11" i="34"/>
  <c r="D86" i="33"/>
  <c r="E86" i="33"/>
  <c r="I86" i="33"/>
  <c r="I95" i="33" s="1" a="1"/>
  <c r="I95" i="33" s="1"/>
  <c r="H86" i="33"/>
  <c r="H95" i="33" s="1" a="1"/>
  <c r="H95" i="33" s="1"/>
  <c r="C32" i="33"/>
  <c r="C50" i="33" s="1"/>
  <c r="C14" i="34"/>
  <c r="G32" i="33"/>
  <c r="G50" i="33" s="1"/>
  <c r="D84" i="33"/>
  <c r="C30" i="33"/>
  <c r="C48" i="33" s="1"/>
  <c r="H84" i="33"/>
  <c r="H93" i="33" s="1" a="1"/>
  <c r="H93" i="33" s="1"/>
  <c r="C44" i="33"/>
  <c r="C35" i="33" s="1"/>
  <c r="E84" i="33"/>
  <c r="I84" i="33"/>
  <c r="I93" i="33" s="1" a="1"/>
  <c r="I93" i="33" s="1"/>
  <c r="F44" i="33"/>
  <c r="F35" i="33" s="1"/>
  <c r="F30" i="33"/>
  <c r="F48" i="33" s="1"/>
  <c r="M39" i="34"/>
  <c r="AI112" i="34" s="1"/>
  <c r="F33" i="33"/>
  <c r="F51" i="33" s="1"/>
  <c r="C37" i="34"/>
  <c r="F34" i="33"/>
  <c r="F52" i="33" s="1"/>
  <c r="C35" i="34"/>
  <c r="C34" i="33"/>
  <c r="C52" i="33" s="1"/>
  <c r="H88" i="33"/>
  <c r="H97" i="33" s="1" a="1"/>
  <c r="H97" i="33" s="1"/>
  <c r="I88" i="33"/>
  <c r="I97" i="33" s="1" a="1"/>
  <c r="I97" i="33" s="1"/>
  <c r="D88" i="33"/>
  <c r="D97" i="33" s="1" a="1"/>
  <c r="D97" i="33" s="1"/>
  <c r="E88" i="33"/>
  <c r="C30" i="34"/>
  <c r="G31" i="33"/>
  <c r="G49" i="33" s="1"/>
  <c r="C28" i="34"/>
  <c r="E31" i="33"/>
  <c r="E49" i="33" s="1"/>
  <c r="M24" i="34"/>
  <c r="AI88" i="34"/>
  <c r="F88" i="34" s="1"/>
  <c r="G88" i="34" s="1"/>
  <c r="H88" i="34" s="1"/>
  <c r="I88" i="34" s="1"/>
  <c r="J88" i="34" s="1"/>
  <c r="K88" i="34" s="1"/>
  <c r="L88" i="34" s="1"/>
  <c r="M88" i="34" s="1"/>
  <c r="N88" i="34" s="1"/>
  <c r="O88" i="34" s="1"/>
  <c r="P88" i="34" s="1"/>
  <c r="Q88" i="34" s="1"/>
  <c r="R88" i="34" s="1"/>
  <c r="S88" i="34" s="1"/>
  <c r="T88" i="34" s="1"/>
  <c r="U88" i="34" s="1"/>
  <c r="V88" i="34" s="1"/>
  <c r="W88" i="34" s="1"/>
  <c r="X88" i="34" s="1"/>
  <c r="Y88" i="34" s="1"/>
  <c r="Z88" i="34" s="1"/>
  <c r="AA88" i="34" s="1"/>
  <c r="AB88" i="34" s="1"/>
  <c r="AC88" i="34" s="1"/>
  <c r="AD88" i="34" s="1"/>
  <c r="AE88" i="34" s="1"/>
  <c r="AF88" i="34" s="1"/>
  <c r="AG88" i="34" s="1"/>
  <c r="AH88" i="34" s="1"/>
  <c r="C12" i="34"/>
  <c r="E32" i="33"/>
  <c r="E50" i="33" s="1"/>
  <c r="C13" i="34"/>
  <c r="F32" i="33"/>
  <c r="F50" i="33" s="1"/>
  <c r="I30" i="33"/>
  <c r="I48" i="33" s="1"/>
  <c r="I44" i="33"/>
  <c r="I35" i="33" s="1"/>
  <c r="C33" i="33"/>
  <c r="C51" i="33" s="1"/>
  <c r="E34" i="33"/>
  <c r="E52" i="33" s="1"/>
  <c r="C36" i="34"/>
  <c r="C27" i="34"/>
  <c r="H85" i="33"/>
  <c r="H94" i="33" s="1" a="1"/>
  <c r="H94" i="33" s="1"/>
  <c r="C31" i="33"/>
  <c r="C49" i="33" s="1"/>
  <c r="I85" i="33"/>
  <c r="I94" i="33" s="1" a="1"/>
  <c r="I94" i="33" s="1"/>
  <c r="E85" i="33"/>
  <c r="C29" i="34"/>
  <c r="F31" i="33"/>
  <c r="F49" i="33" s="1"/>
  <c r="C15" i="34"/>
  <c r="I32" i="33"/>
  <c r="I50" i="33" s="1"/>
  <c r="O24" i="34"/>
  <c r="G30" i="33"/>
  <c r="G48" i="33" s="1"/>
  <c r="G44" i="33"/>
  <c r="G35" i="33" s="1"/>
  <c r="E30" i="33"/>
  <c r="E48" i="33" s="1"/>
  <c r="E44" i="33"/>
  <c r="E35" i="33" s="1"/>
  <c r="C38" i="34"/>
  <c r="G34" i="33"/>
  <c r="G52" i="33" s="1"/>
  <c r="C39" i="34"/>
  <c r="I34" i="33"/>
  <c r="I52" i="33" s="1"/>
  <c r="C31" i="34"/>
  <c r="I31" i="33"/>
  <c r="I49" i="33" s="1"/>
  <c r="E21" i="28"/>
  <c r="M38" i="34"/>
  <c r="AI111" i="34" s="1"/>
  <c r="D44" i="33"/>
  <c r="D35" i="33" s="1"/>
  <c r="D32" i="33"/>
  <c r="D50" i="33" s="1"/>
  <c r="M50" i="15"/>
  <c r="N50" i="15"/>
  <c r="K74" i="12"/>
  <c r="K75" i="12"/>
  <c r="K78" i="12"/>
  <c r="K76" i="12"/>
  <c r="K77" i="12"/>
  <c r="K80" i="12"/>
  <c r="K79" i="12"/>
  <c r="AE6" i="20"/>
  <c r="AE5" i="20"/>
  <c r="L74" i="14"/>
  <c r="L75" i="14"/>
  <c r="L80" i="14"/>
  <c r="L77" i="14"/>
  <c r="L78" i="14"/>
  <c r="L76" i="14"/>
  <c r="L79" i="14"/>
  <c r="Z8" i="20"/>
  <c r="Z7" i="20"/>
  <c r="Y9" i="20"/>
  <c r="P33" i="11"/>
  <c r="O34" i="11"/>
  <c r="O35" i="11" s="1"/>
  <c r="O36" i="11" s="1"/>
  <c r="N29" i="13"/>
  <c r="N30" i="13" s="1"/>
  <c r="O28" i="13"/>
  <c r="M31" i="13"/>
  <c r="M33" i="13" s="1"/>
  <c r="M63" i="36" s="1"/>
  <c r="M32" i="13"/>
  <c r="AD4" i="20"/>
  <c r="O31" i="15"/>
  <c r="BF25" i="36" l="1"/>
  <c r="G53" i="45"/>
  <c r="BG36" i="36"/>
  <c r="AC20" i="36"/>
  <c r="BH20" i="36"/>
  <c r="BG22" i="36"/>
  <c r="AB22" i="36"/>
  <c r="AM51" i="45"/>
  <c r="AE89" i="36"/>
  <c r="F92" i="45"/>
  <c r="AL92" i="45"/>
  <c r="BJ54" i="36"/>
  <c r="BJ89" i="36"/>
  <c r="AE54" i="36"/>
  <c r="AM88" i="45"/>
  <c r="AE52" i="36"/>
  <c r="AM52" i="45"/>
  <c r="AD36" i="38"/>
  <c r="AM53" i="45"/>
  <c r="BG38" i="36"/>
  <c r="F36" i="48"/>
  <c r="BG76" i="36"/>
  <c r="G88" i="45"/>
  <c r="BH21" i="36"/>
  <c r="G52" i="45"/>
  <c r="G51" i="45"/>
  <c r="AC21" i="36"/>
  <c r="BF83" i="36"/>
  <c r="BF27" i="36"/>
  <c r="BI19" i="36"/>
  <c r="N24" i="34"/>
  <c r="BG80" i="36"/>
  <c r="N72" i="14"/>
  <c r="N72" i="12"/>
  <c r="BF80" i="36"/>
  <c r="N64" i="45"/>
  <c r="N61" i="45"/>
  <c r="AA86" i="36"/>
  <c r="N53" i="15"/>
  <c r="M53" i="15"/>
  <c r="AP71" i="36"/>
  <c r="Z37" i="42"/>
  <c r="N66" i="45"/>
  <c r="E87" i="33"/>
  <c r="D87" i="33"/>
  <c r="D96" i="33" s="1" a="1"/>
  <c r="D96" i="33" s="1"/>
  <c r="J87" i="33"/>
  <c r="C87" i="33"/>
  <c r="C166" i="20" s="1"/>
  <c r="I87" i="33"/>
  <c r="I96" i="33" s="1" a="1"/>
  <c r="I96" i="33" s="1"/>
  <c r="H87" i="33"/>
  <c r="H96" i="33" s="1" a="1"/>
  <c r="H96" i="33" s="1"/>
  <c r="G87" i="33"/>
  <c r="F87" i="33"/>
  <c r="Z34" i="38"/>
  <c r="AQ72" i="36"/>
  <c r="AR67" i="36"/>
  <c r="AC69" i="36"/>
  <c r="AQ74" i="36"/>
  <c r="AD19" i="36"/>
  <c r="AF51" i="36"/>
  <c r="BJ93" i="36"/>
  <c r="AB24" i="36"/>
  <c r="AN50" i="45"/>
  <c r="F36" i="46"/>
  <c r="AC36" i="42"/>
  <c r="BK51" i="36"/>
  <c r="AA27" i="36"/>
  <c r="AM92" i="45"/>
  <c r="H50" i="45"/>
  <c r="D85" i="33"/>
  <c r="D94" i="33" s="1" a="1"/>
  <c r="D94" i="33" s="1"/>
  <c r="Y34" i="42"/>
  <c r="Y86" i="36"/>
  <c r="M73" i="12"/>
  <c r="M73" i="14"/>
  <c r="BF86" i="36"/>
  <c r="AA37" i="38"/>
  <c r="AA83" i="36"/>
  <c r="AP4" i="51"/>
  <c r="AS61" i="45"/>
  <c r="Z33" i="42"/>
  <c r="M32" i="34"/>
  <c r="O37" i="11"/>
  <c r="O40" i="11"/>
  <c r="O39" i="11"/>
  <c r="O38" i="11"/>
  <c r="O62" i="36" s="1"/>
  <c r="AT61" i="45"/>
  <c r="M8" i="34"/>
  <c r="Q8" i="34"/>
  <c r="C18" i="41"/>
  <c r="E16" i="41" s="1"/>
  <c r="E64" i="41" s="1"/>
  <c r="F64" i="41" s="1"/>
  <c r="G64" i="41" s="1"/>
  <c r="H64" i="41" s="1"/>
  <c r="I64" i="41" s="1"/>
  <c r="J64" i="41" s="1"/>
  <c r="K64" i="41" s="1"/>
  <c r="L64" i="41" s="1"/>
  <c r="M64" i="41" s="1"/>
  <c r="N64" i="41" s="1"/>
  <c r="O64" i="41" s="1"/>
  <c r="P64" i="41" s="1"/>
  <c r="Q64" i="41" s="1"/>
  <c r="R64" i="41" s="1"/>
  <c r="S64" i="41" s="1"/>
  <c r="T64" i="41" s="1"/>
  <c r="U64" i="41" s="1"/>
  <c r="V64" i="41" s="1"/>
  <c r="W64" i="41" s="1"/>
  <c r="X64" i="41" s="1"/>
  <c r="Y64" i="41" s="1"/>
  <c r="Z64" i="41" s="1"/>
  <c r="AA64" i="41" s="1"/>
  <c r="AB64" i="41" s="1"/>
  <c r="AC64" i="41" s="1"/>
  <c r="AD64" i="41" s="1"/>
  <c r="AE64" i="41" s="1"/>
  <c r="AF64" i="41" s="1"/>
  <c r="AG64" i="41" s="1"/>
  <c r="AH64" i="41" s="1"/>
  <c r="N8" i="34"/>
  <c r="C71" i="33"/>
  <c r="C79" i="33" s="1"/>
  <c r="C21" i="20" s="1"/>
  <c r="C70" i="33"/>
  <c r="C78" i="33" s="1"/>
  <c r="C19" i="20" s="1"/>
  <c r="K4" i="51"/>
  <c r="C360" i="48"/>
  <c r="D360" i="48" s="1"/>
  <c r="E360" i="48" s="1"/>
  <c r="F360" i="48" s="1"/>
  <c r="G360" i="48" s="1"/>
  <c r="H360" i="48" s="1"/>
  <c r="I360" i="48" s="1"/>
  <c r="J360" i="48" s="1"/>
  <c r="K360" i="48" s="1"/>
  <c r="L360" i="48" s="1"/>
  <c r="M360" i="48" s="1"/>
  <c r="N360" i="48" s="1"/>
  <c r="O360" i="48" s="1"/>
  <c r="P360" i="48" s="1"/>
  <c r="Q360" i="48" s="1"/>
  <c r="R360" i="48" s="1"/>
  <c r="S360" i="48" s="1"/>
  <c r="T360" i="48" s="1"/>
  <c r="U360" i="48" s="1"/>
  <c r="V360" i="48" s="1"/>
  <c r="W360" i="48" s="1"/>
  <c r="X360" i="48" s="1"/>
  <c r="Y360" i="48" s="1"/>
  <c r="Z360" i="48" s="1"/>
  <c r="AA360" i="48" s="1"/>
  <c r="AB360" i="48" s="1"/>
  <c r="AC360" i="48" s="1"/>
  <c r="AD360" i="48" s="1"/>
  <c r="AE360" i="48" s="1"/>
  <c r="AF360" i="48" s="1"/>
  <c r="AG360" i="48" s="1"/>
  <c r="C68" i="33"/>
  <c r="D248" i="53"/>
  <c r="E248" i="53" s="1"/>
  <c r="F248" i="53" s="1"/>
  <c r="G248" i="53" s="1"/>
  <c r="H248" i="53" s="1"/>
  <c r="I248" i="53" s="1"/>
  <c r="J248" i="53" s="1"/>
  <c r="K248" i="53" s="1"/>
  <c r="L248" i="53" s="1"/>
  <c r="N248" i="53" s="1"/>
  <c r="O248" i="53" s="1"/>
  <c r="P248" i="53" s="1"/>
  <c r="Q248" i="53" s="1"/>
  <c r="R248" i="53" s="1"/>
  <c r="S248" i="53" s="1"/>
  <c r="T248" i="53" s="1"/>
  <c r="U248" i="53" s="1"/>
  <c r="V248" i="53" s="1"/>
  <c r="W248" i="53" s="1"/>
  <c r="X248" i="53" s="1"/>
  <c r="Y248" i="53" s="1"/>
  <c r="Z248" i="53" s="1"/>
  <c r="AA248" i="53" s="1"/>
  <c r="AB248" i="53" s="1"/>
  <c r="AC248" i="53" s="1"/>
  <c r="AD248" i="53" s="1"/>
  <c r="AE248" i="53" s="1"/>
  <c r="AF248" i="53" s="1"/>
  <c r="AG248" i="53" s="1"/>
  <c r="E22" i="53"/>
  <c r="E20" i="53"/>
  <c r="F21" i="53"/>
  <c r="E18" i="53"/>
  <c r="E19" i="53"/>
  <c r="C12" i="41"/>
  <c r="E11" i="41" s="1"/>
  <c r="E53" i="41" s="1"/>
  <c r="F53" i="41" s="1"/>
  <c r="G53" i="41" s="1"/>
  <c r="H53" i="41" s="1"/>
  <c r="I53" i="41" s="1"/>
  <c r="J53" i="41" s="1"/>
  <c r="K53" i="41" s="1"/>
  <c r="L53" i="41" s="1"/>
  <c r="M53" i="41" s="1"/>
  <c r="N53" i="41" s="1"/>
  <c r="O53" i="41" s="1"/>
  <c r="P53" i="41" s="1"/>
  <c r="Q53" i="41" s="1"/>
  <c r="R53" i="41" s="1"/>
  <c r="S53" i="41" s="1"/>
  <c r="T53" i="41" s="1"/>
  <c r="U53" i="41" s="1"/>
  <c r="V53" i="41" s="1"/>
  <c r="W53" i="41" s="1"/>
  <c r="X53" i="41" s="1"/>
  <c r="Y53" i="41" s="1"/>
  <c r="Z53" i="41" s="1"/>
  <c r="AA53" i="41" s="1"/>
  <c r="AB53" i="41" s="1"/>
  <c r="AC53" i="41" s="1"/>
  <c r="AD53" i="41" s="1"/>
  <c r="AE53" i="41" s="1"/>
  <c r="AF53" i="41" s="1"/>
  <c r="AG53" i="41" s="1"/>
  <c r="AH53" i="41" s="1"/>
  <c r="C6" i="41"/>
  <c r="F3" i="41" s="1"/>
  <c r="E39" i="41" s="1"/>
  <c r="F39" i="41" s="1"/>
  <c r="G39" i="41" s="1"/>
  <c r="H39" i="41" s="1"/>
  <c r="I39" i="41" s="1"/>
  <c r="J39" i="41" s="1"/>
  <c r="K39" i="41" s="1"/>
  <c r="L39" i="41" s="1"/>
  <c r="M39" i="41" s="1"/>
  <c r="N39" i="41" s="1"/>
  <c r="O39" i="41" s="1"/>
  <c r="P39" i="41" s="1"/>
  <c r="Q39" i="41" s="1"/>
  <c r="R39" i="41" s="1"/>
  <c r="S39" i="41" s="1"/>
  <c r="T39" i="41" s="1"/>
  <c r="U39" i="41" s="1"/>
  <c r="V39" i="41" s="1"/>
  <c r="W39" i="41" s="1"/>
  <c r="X39" i="41" s="1"/>
  <c r="Y39" i="41" s="1"/>
  <c r="Z39" i="41" s="1"/>
  <c r="AA39" i="41" s="1"/>
  <c r="AB39" i="41" s="1"/>
  <c r="AC39" i="41" s="1"/>
  <c r="AD39" i="41" s="1"/>
  <c r="AE39" i="41" s="1"/>
  <c r="AF39" i="41" s="1"/>
  <c r="AG39" i="41" s="1"/>
  <c r="AH39" i="41" s="1"/>
  <c r="N16" i="34"/>
  <c r="BL49" i="36"/>
  <c r="AO48" i="45"/>
  <c r="BH35" i="36"/>
  <c r="BH45" i="36"/>
  <c r="AA35" i="42"/>
  <c r="I48" i="45"/>
  <c r="AP47" i="45"/>
  <c r="AP49" i="45"/>
  <c r="AP46" i="45"/>
  <c r="AQ45" i="45"/>
  <c r="O16" i="34"/>
  <c r="P16" i="34"/>
  <c r="C86" i="33"/>
  <c r="C119" i="20" s="1"/>
  <c r="C360" i="46"/>
  <c r="D360" i="46" s="1"/>
  <c r="M16" i="34"/>
  <c r="M91" i="44"/>
  <c r="M93" i="44"/>
  <c r="M96" i="44"/>
  <c r="M92" i="44"/>
  <c r="M95" i="44"/>
  <c r="M94" i="44"/>
  <c r="K45" i="45"/>
  <c r="J49" i="45"/>
  <c r="J47" i="45"/>
  <c r="J46" i="45"/>
  <c r="BI34" i="36"/>
  <c r="BH58" i="36"/>
  <c r="BG61" i="36"/>
  <c r="BG59" i="36"/>
  <c r="BH43" i="36"/>
  <c r="BH96" i="36"/>
  <c r="BH69" i="36"/>
  <c r="AD31" i="36"/>
  <c r="AD34" i="36"/>
  <c r="BI31" i="36"/>
  <c r="BG68" i="36"/>
  <c r="BG24" i="36"/>
  <c r="BH22" i="36"/>
  <c r="AC22" i="36"/>
  <c r="AE29" i="36"/>
  <c r="AE33" i="36"/>
  <c r="AE30" i="36"/>
  <c r="AF28" i="36"/>
  <c r="AE32" i="36"/>
  <c r="BK52" i="36"/>
  <c r="BK54" i="36"/>
  <c r="BK89" i="36"/>
  <c r="BI56" i="36"/>
  <c r="BI57" i="36"/>
  <c r="BJ40" i="36"/>
  <c r="BK39" i="36"/>
  <c r="BJ41" i="36"/>
  <c r="AB59" i="36"/>
  <c r="AB61" i="36"/>
  <c r="AF89" i="36"/>
  <c r="AF17" i="36"/>
  <c r="BK17" i="36"/>
  <c r="AE18" i="36"/>
  <c r="AE55" i="36"/>
  <c r="BI42" i="36"/>
  <c r="AE41" i="36"/>
  <c r="AF39" i="36"/>
  <c r="AH47" i="36"/>
  <c r="AH48" i="36"/>
  <c r="AH50" i="36"/>
  <c r="BJ33" i="36"/>
  <c r="BJ32" i="36"/>
  <c r="BJ30" i="36"/>
  <c r="BJ29" i="36"/>
  <c r="BK28" i="36"/>
  <c r="AD56" i="36"/>
  <c r="AD57" i="36"/>
  <c r="AC58" i="36"/>
  <c r="AG49" i="36"/>
  <c r="BM48" i="36"/>
  <c r="BN46" i="36"/>
  <c r="BM47" i="36"/>
  <c r="BM50" i="36"/>
  <c r="BJ18" i="36"/>
  <c r="BJ55" i="36"/>
  <c r="AS62" i="36"/>
  <c r="M67" i="36"/>
  <c r="M63" i="45"/>
  <c r="AS63" i="36"/>
  <c r="M65" i="36"/>
  <c r="M64" i="36"/>
  <c r="AR65" i="36"/>
  <c r="AR64" i="36"/>
  <c r="L70" i="36"/>
  <c r="L105" i="36"/>
  <c r="AQ70" i="36"/>
  <c r="AQ105" i="36"/>
  <c r="Q12" i="41"/>
  <c r="C88" i="33"/>
  <c r="C97" i="33" s="1" a="1"/>
  <c r="C97" i="33" s="1"/>
  <c r="AG208" i="20" s="1"/>
  <c r="AG209" i="20" s="1"/>
  <c r="C85" i="33"/>
  <c r="C195" i="20" s="1"/>
  <c r="C96" i="33" a="1"/>
  <c r="C96" i="33" s="1"/>
  <c r="AG166" i="20" s="1"/>
  <c r="C84" i="33"/>
  <c r="C93" i="33" s="1" a="1"/>
  <c r="C93" i="33" s="1"/>
  <c r="AG63" i="20" s="1"/>
  <c r="AI57" i="41"/>
  <c r="AI48" i="41"/>
  <c r="N12" i="41"/>
  <c r="E21" i="29"/>
  <c r="D19" i="29"/>
  <c r="E19" i="29" s="1"/>
  <c r="F19" i="29" s="1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Z19" i="29" s="1"/>
  <c r="AA19" i="29" s="1"/>
  <c r="AB19" i="29" s="1"/>
  <c r="AC19" i="29" s="1"/>
  <c r="AD19" i="29" s="1"/>
  <c r="AE19" i="29" s="1"/>
  <c r="AF19" i="29" s="1"/>
  <c r="AG19" i="29" s="1"/>
  <c r="AI51" i="41"/>
  <c r="O12" i="41"/>
  <c r="C24" i="41"/>
  <c r="D24" i="41" s="1"/>
  <c r="C332" i="38"/>
  <c r="D332" i="38" s="1"/>
  <c r="E332" i="38" s="1"/>
  <c r="F332" i="38" s="1"/>
  <c r="G332" i="38" s="1"/>
  <c r="H332" i="38" s="1"/>
  <c r="I332" i="38" s="1"/>
  <c r="J332" i="38" s="1"/>
  <c r="K332" i="38" s="1"/>
  <c r="L332" i="38" s="1"/>
  <c r="M332" i="38" s="1"/>
  <c r="N332" i="38" s="1"/>
  <c r="O332" i="38" s="1"/>
  <c r="P332" i="38" s="1"/>
  <c r="Q332" i="38" s="1"/>
  <c r="R332" i="38" s="1"/>
  <c r="S332" i="38" s="1"/>
  <c r="T332" i="38" s="1"/>
  <c r="U332" i="38" s="1"/>
  <c r="V332" i="38" s="1"/>
  <c r="W332" i="38" s="1"/>
  <c r="X332" i="38" s="1"/>
  <c r="Y332" i="38" s="1"/>
  <c r="Z332" i="38" s="1"/>
  <c r="AA332" i="38" s="1"/>
  <c r="AB332" i="38" s="1"/>
  <c r="AC332" i="38" s="1"/>
  <c r="AD332" i="38" s="1"/>
  <c r="AE332" i="38" s="1"/>
  <c r="AF332" i="38" s="1"/>
  <c r="AG332" i="38" s="1"/>
  <c r="C332" i="42"/>
  <c r="D332" i="42" s="1"/>
  <c r="E332" i="42" s="1"/>
  <c r="F332" i="42" s="1"/>
  <c r="G332" i="42" s="1"/>
  <c r="H332" i="42" s="1"/>
  <c r="I332" i="42" s="1"/>
  <c r="J332" i="42" s="1"/>
  <c r="K332" i="42" s="1"/>
  <c r="L332" i="42" s="1"/>
  <c r="M332" i="42" s="1"/>
  <c r="N332" i="42" s="1"/>
  <c r="O332" i="42" s="1"/>
  <c r="P332" i="42" s="1"/>
  <c r="Q332" i="42" s="1"/>
  <c r="R332" i="42" s="1"/>
  <c r="S332" i="42" s="1"/>
  <c r="T332" i="42" s="1"/>
  <c r="U332" i="42" s="1"/>
  <c r="V332" i="42" s="1"/>
  <c r="W332" i="42" s="1"/>
  <c r="X332" i="42" s="1"/>
  <c r="Y332" i="42" s="1"/>
  <c r="Z332" i="42" s="1"/>
  <c r="AA332" i="42" s="1"/>
  <c r="AB332" i="42" s="1"/>
  <c r="AC332" i="42" s="1"/>
  <c r="AD332" i="42" s="1"/>
  <c r="AE332" i="42" s="1"/>
  <c r="AF332" i="42" s="1"/>
  <c r="AG332" i="42" s="1"/>
  <c r="C30" i="41"/>
  <c r="D28" i="41" s="1"/>
  <c r="E73" i="41" s="1"/>
  <c r="F73" i="41" s="1"/>
  <c r="G73" i="41" s="1"/>
  <c r="H73" i="41" s="1"/>
  <c r="I73" i="41" s="1"/>
  <c r="J73" i="41" s="1"/>
  <c r="K73" i="41" s="1"/>
  <c r="L73" i="41" s="1"/>
  <c r="M73" i="41" s="1"/>
  <c r="N73" i="41" s="1"/>
  <c r="O73" i="41" s="1"/>
  <c r="P73" i="41" s="1"/>
  <c r="Q73" i="41" s="1"/>
  <c r="R73" i="41" s="1"/>
  <c r="S73" i="41" s="1"/>
  <c r="T73" i="41" s="1"/>
  <c r="U73" i="41" s="1"/>
  <c r="V73" i="41" s="1"/>
  <c r="W73" i="41" s="1"/>
  <c r="X73" i="41" s="1"/>
  <c r="Y73" i="41" s="1"/>
  <c r="Z73" i="41" s="1"/>
  <c r="AA73" i="41" s="1"/>
  <c r="AB73" i="41" s="1"/>
  <c r="AC73" i="41" s="1"/>
  <c r="AD73" i="41" s="1"/>
  <c r="AE73" i="41" s="1"/>
  <c r="AF73" i="41" s="1"/>
  <c r="AG73" i="41" s="1"/>
  <c r="AH73" i="41" s="1"/>
  <c r="E3" i="41"/>
  <c r="D20" i="29"/>
  <c r="E20" i="29" s="1"/>
  <c r="F20" i="29" s="1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Z20" i="29" s="1"/>
  <c r="AA20" i="29" s="1"/>
  <c r="AB20" i="29" s="1"/>
  <c r="AC20" i="29" s="1"/>
  <c r="AD20" i="29" s="1"/>
  <c r="AE20" i="29" s="1"/>
  <c r="AF20" i="29" s="1"/>
  <c r="AG20" i="29" s="1"/>
  <c r="F18" i="29"/>
  <c r="AI54" i="41"/>
  <c r="P12" i="41"/>
  <c r="G4" i="41"/>
  <c r="E43" i="41" s="1"/>
  <c r="F43" i="41" s="1"/>
  <c r="G43" i="41" s="1"/>
  <c r="H43" i="41" s="1"/>
  <c r="I43" i="41" s="1"/>
  <c r="J43" i="41" s="1"/>
  <c r="K43" i="41" s="1"/>
  <c r="L43" i="41" s="1"/>
  <c r="M43" i="41" s="1"/>
  <c r="N43" i="41" s="1"/>
  <c r="O43" i="41" s="1"/>
  <c r="P43" i="41" s="1"/>
  <c r="Q43" i="41" s="1"/>
  <c r="R43" i="41" s="1"/>
  <c r="S43" i="41" s="1"/>
  <c r="T43" i="41" s="1"/>
  <c r="U43" i="41" s="1"/>
  <c r="V43" i="41" s="1"/>
  <c r="W43" i="41" s="1"/>
  <c r="X43" i="41" s="1"/>
  <c r="Y43" i="41" s="1"/>
  <c r="Z43" i="41" s="1"/>
  <c r="AA43" i="41" s="1"/>
  <c r="AB43" i="41" s="1"/>
  <c r="AC43" i="41" s="1"/>
  <c r="AD43" i="41" s="1"/>
  <c r="AE43" i="41" s="1"/>
  <c r="AF43" i="41" s="1"/>
  <c r="AG43" i="41" s="1"/>
  <c r="AH43" i="41" s="1"/>
  <c r="D19" i="38"/>
  <c r="E94" i="33" a="1"/>
  <c r="E94" i="33" s="1"/>
  <c r="C216" i="42"/>
  <c r="C217" i="42" s="1"/>
  <c r="C216" i="38"/>
  <c r="D20" i="38"/>
  <c r="E96" i="33" a="1"/>
  <c r="E96" i="33" s="1"/>
  <c r="C181" i="42"/>
  <c r="C182" i="42" s="1"/>
  <c r="C181" i="38"/>
  <c r="E97" i="33" a="1"/>
  <c r="E97" i="33" s="1"/>
  <c r="C231" i="42"/>
  <c r="C231" i="38"/>
  <c r="E93" i="33" a="1"/>
  <c r="E93" i="33" s="1"/>
  <c r="C60" i="42"/>
  <c r="C60" i="38"/>
  <c r="E95" i="33" a="1"/>
  <c r="E95" i="33" s="1"/>
  <c r="C126" i="42"/>
  <c r="C127" i="42" s="1"/>
  <c r="C126" i="38"/>
  <c r="D22" i="38"/>
  <c r="E21" i="38"/>
  <c r="E18" i="38"/>
  <c r="F21" i="28"/>
  <c r="AG107" i="28"/>
  <c r="AG108" i="28" s="1"/>
  <c r="C107" i="28"/>
  <c r="E19" i="28"/>
  <c r="C307" i="20"/>
  <c r="H64" i="33"/>
  <c r="C69" i="33"/>
  <c r="C77" i="33" s="1"/>
  <c r="C20" i="20" s="1"/>
  <c r="C72" i="33"/>
  <c r="C80" i="33" s="1"/>
  <c r="C22" i="20" s="1"/>
  <c r="C24" i="34"/>
  <c r="E22" i="34" s="1"/>
  <c r="C16" i="34"/>
  <c r="G11" i="34" s="1"/>
  <c r="M40" i="34"/>
  <c r="G18" i="28"/>
  <c r="E20" i="28"/>
  <c r="F22" i="28"/>
  <c r="C32" i="34"/>
  <c r="D28" i="34" s="1"/>
  <c r="E104" i="34" s="1"/>
  <c r="F104" i="34" s="1"/>
  <c r="G104" i="34" s="1"/>
  <c r="H104" i="34" s="1"/>
  <c r="I104" i="34" s="1"/>
  <c r="J104" i="34" s="1"/>
  <c r="K104" i="34" s="1"/>
  <c r="L104" i="34" s="1"/>
  <c r="M104" i="34" s="1"/>
  <c r="N104" i="34" s="1"/>
  <c r="O104" i="34" s="1"/>
  <c r="P104" i="34" s="1"/>
  <c r="Q104" i="34" s="1"/>
  <c r="R104" i="34" s="1"/>
  <c r="S104" i="34" s="1"/>
  <c r="T104" i="34" s="1"/>
  <c r="U104" i="34" s="1"/>
  <c r="V104" i="34" s="1"/>
  <c r="W104" i="34" s="1"/>
  <c r="X104" i="34" s="1"/>
  <c r="Y104" i="34" s="1"/>
  <c r="Z104" i="34" s="1"/>
  <c r="AA104" i="34" s="1"/>
  <c r="AB104" i="34" s="1"/>
  <c r="AC104" i="34" s="1"/>
  <c r="AD104" i="34" s="1"/>
  <c r="AE104" i="34" s="1"/>
  <c r="AF104" i="34" s="1"/>
  <c r="AG104" i="34" s="1"/>
  <c r="AH104" i="34" s="1"/>
  <c r="C40" i="34"/>
  <c r="D37" i="34" s="1"/>
  <c r="E110" i="34" s="1"/>
  <c r="F110" i="34" s="1"/>
  <c r="G110" i="34" s="1"/>
  <c r="H110" i="34" s="1"/>
  <c r="I110" i="34" s="1"/>
  <c r="J110" i="34" s="1"/>
  <c r="K110" i="34" s="1"/>
  <c r="L110" i="34" s="1"/>
  <c r="M110" i="34" s="1"/>
  <c r="N110" i="34" s="1"/>
  <c r="O110" i="34" s="1"/>
  <c r="P110" i="34" s="1"/>
  <c r="Q110" i="34" s="1"/>
  <c r="R110" i="34" s="1"/>
  <c r="S110" i="34" s="1"/>
  <c r="T110" i="34" s="1"/>
  <c r="U110" i="34" s="1"/>
  <c r="V110" i="34" s="1"/>
  <c r="W110" i="34" s="1"/>
  <c r="X110" i="34" s="1"/>
  <c r="Y110" i="34" s="1"/>
  <c r="Z110" i="34" s="1"/>
  <c r="AA110" i="34" s="1"/>
  <c r="AB110" i="34" s="1"/>
  <c r="AC110" i="34" s="1"/>
  <c r="AD110" i="34" s="1"/>
  <c r="AE110" i="34" s="1"/>
  <c r="AF110" i="34" s="1"/>
  <c r="AG110" i="34" s="1"/>
  <c r="AH110" i="34" s="1"/>
  <c r="D93" i="33" a="1"/>
  <c r="D93" i="33" s="1"/>
  <c r="AG59" i="28" s="1"/>
  <c r="C59" i="28"/>
  <c r="D95" i="33" a="1"/>
  <c r="D95" i="33" s="1"/>
  <c r="AG82" i="28" s="1"/>
  <c r="C82" i="28"/>
  <c r="O50" i="15"/>
  <c r="L74" i="12"/>
  <c r="L78" i="12"/>
  <c r="L79" i="12"/>
  <c r="L75" i="12"/>
  <c r="L80" i="12"/>
  <c r="L76" i="12"/>
  <c r="L77" i="12"/>
  <c r="AF5" i="20"/>
  <c r="AF6" i="20"/>
  <c r="M74" i="14"/>
  <c r="M79" i="14"/>
  <c r="M77" i="14"/>
  <c r="M75" i="14"/>
  <c r="M78" i="14"/>
  <c r="M80" i="14"/>
  <c r="M76" i="14"/>
  <c r="AA7" i="20"/>
  <c r="Z9" i="20"/>
  <c r="AA8" i="20"/>
  <c r="Q33" i="11"/>
  <c r="P34" i="11"/>
  <c r="P35" i="11" s="1"/>
  <c r="P36" i="11" s="1"/>
  <c r="O29" i="13"/>
  <c r="O30" i="13" s="1"/>
  <c r="P28" i="13"/>
  <c r="N32" i="13"/>
  <c r="N31" i="13"/>
  <c r="N33" i="13" s="1"/>
  <c r="N63" i="36" s="1"/>
  <c r="AE4" i="20"/>
  <c r="D22" i="41" l="1"/>
  <c r="C94" i="33" a="1"/>
  <c r="C94" i="33" s="1"/>
  <c r="AG195" i="20" s="1"/>
  <c r="AG196" i="20" s="1"/>
  <c r="BL51" i="36"/>
  <c r="H88" i="45"/>
  <c r="AB83" i="36"/>
  <c r="AF52" i="36"/>
  <c r="G92" i="45"/>
  <c r="G36" i="48"/>
  <c r="AE93" i="36"/>
  <c r="BI20" i="36"/>
  <c r="AB25" i="36"/>
  <c r="AB27" i="36"/>
  <c r="AF54" i="36"/>
  <c r="H53" i="45"/>
  <c r="BI21" i="36"/>
  <c r="H51" i="45"/>
  <c r="AN51" i="45"/>
  <c r="H52" i="45"/>
  <c r="AN52" i="45"/>
  <c r="AN53" i="45"/>
  <c r="N73" i="12"/>
  <c r="N73" i="14"/>
  <c r="AT63" i="45"/>
  <c r="AB37" i="38"/>
  <c r="BH76" i="36"/>
  <c r="AT64" i="45"/>
  <c r="AT66" i="45"/>
  <c r="E15" i="41"/>
  <c r="O53" i="15"/>
  <c r="AR72" i="36"/>
  <c r="BJ19" i="36"/>
  <c r="AB35" i="42"/>
  <c r="AD20" i="36"/>
  <c r="AO50" i="45"/>
  <c r="D15" i="41"/>
  <c r="F16" i="41"/>
  <c r="AA37" i="42"/>
  <c r="AD21" i="36"/>
  <c r="AC24" i="36"/>
  <c r="O64" i="45"/>
  <c r="O61" i="45"/>
  <c r="AS63" i="45"/>
  <c r="AD36" i="42"/>
  <c r="AE36" i="38"/>
  <c r="F15" i="41"/>
  <c r="E66" i="41" s="1"/>
  <c r="F66" i="41" s="1"/>
  <c r="G66" i="41" s="1"/>
  <c r="H66" i="41" s="1"/>
  <c r="I66" i="41" s="1"/>
  <c r="J66" i="41" s="1"/>
  <c r="K66" i="41" s="1"/>
  <c r="L66" i="41" s="1"/>
  <c r="M66" i="41" s="1"/>
  <c r="N66" i="41" s="1"/>
  <c r="O66" i="41" s="1"/>
  <c r="P66" i="41" s="1"/>
  <c r="Q66" i="41" s="1"/>
  <c r="R66" i="41" s="1"/>
  <c r="S66" i="41" s="1"/>
  <c r="T66" i="41" s="1"/>
  <c r="U66" i="41" s="1"/>
  <c r="V66" i="41" s="1"/>
  <c r="W66" i="41" s="1"/>
  <c r="X66" i="41" s="1"/>
  <c r="Y66" i="41" s="1"/>
  <c r="Z66" i="41" s="1"/>
  <c r="AA66" i="41" s="1"/>
  <c r="AB66" i="41" s="1"/>
  <c r="AC66" i="41" s="1"/>
  <c r="AD66" i="41" s="1"/>
  <c r="AE66" i="41" s="1"/>
  <c r="AF66" i="41" s="1"/>
  <c r="AG66" i="41" s="1"/>
  <c r="AH66" i="41" s="1"/>
  <c r="D16" i="41"/>
  <c r="AS67" i="36"/>
  <c r="AF93" i="36"/>
  <c r="AQ4" i="51"/>
  <c r="AE19" i="36"/>
  <c r="O66" i="45"/>
  <c r="F23" i="34"/>
  <c r="F17" i="41"/>
  <c r="D21" i="41"/>
  <c r="N65" i="36"/>
  <c r="AB86" i="36"/>
  <c r="BK93" i="36"/>
  <c r="BH24" i="36"/>
  <c r="E63" i="41"/>
  <c r="F63" i="41" s="1"/>
  <c r="G63" i="41" s="1"/>
  <c r="H63" i="41" s="1"/>
  <c r="I63" i="41" s="1"/>
  <c r="J63" i="41" s="1"/>
  <c r="K63" i="41" s="1"/>
  <c r="L63" i="41" s="1"/>
  <c r="M63" i="41" s="1"/>
  <c r="N63" i="41" s="1"/>
  <c r="O63" i="41" s="1"/>
  <c r="P63" i="41" s="1"/>
  <c r="Q63" i="41" s="1"/>
  <c r="R63" i="41" s="1"/>
  <c r="S63" i="41" s="1"/>
  <c r="T63" i="41" s="1"/>
  <c r="U63" i="41" s="1"/>
  <c r="V63" i="41" s="1"/>
  <c r="W63" i="41" s="1"/>
  <c r="X63" i="41" s="1"/>
  <c r="Y63" i="41" s="1"/>
  <c r="Z63" i="41" s="1"/>
  <c r="AA63" i="41" s="1"/>
  <c r="AB63" i="41" s="1"/>
  <c r="AC63" i="41" s="1"/>
  <c r="AD63" i="41" s="1"/>
  <c r="AE63" i="41" s="1"/>
  <c r="AF63" i="41" s="1"/>
  <c r="AG63" i="41" s="1"/>
  <c r="AH63" i="41" s="1"/>
  <c r="D18" i="41"/>
  <c r="F18" i="41"/>
  <c r="E18" i="41"/>
  <c r="O72" i="14"/>
  <c r="O72" i="12"/>
  <c r="E23" i="34"/>
  <c r="E17" i="41"/>
  <c r="E65" i="41" s="1"/>
  <c r="F65" i="41" s="1"/>
  <c r="G65" i="41" s="1"/>
  <c r="H65" i="41" s="1"/>
  <c r="I65" i="41" s="1"/>
  <c r="J65" i="41" s="1"/>
  <c r="K65" i="41" s="1"/>
  <c r="L65" i="41" s="1"/>
  <c r="M65" i="41" s="1"/>
  <c r="N65" i="41" s="1"/>
  <c r="O65" i="41" s="1"/>
  <c r="P65" i="41" s="1"/>
  <c r="Q65" i="41" s="1"/>
  <c r="R65" i="41" s="1"/>
  <c r="S65" i="41" s="1"/>
  <c r="T65" i="41" s="1"/>
  <c r="U65" i="41" s="1"/>
  <c r="V65" i="41" s="1"/>
  <c r="W65" i="41" s="1"/>
  <c r="X65" i="41" s="1"/>
  <c r="Y65" i="41" s="1"/>
  <c r="Z65" i="41" s="1"/>
  <c r="AA65" i="41" s="1"/>
  <c r="AB65" i="41" s="1"/>
  <c r="AC65" i="41" s="1"/>
  <c r="AD65" i="41" s="1"/>
  <c r="AE65" i="41" s="1"/>
  <c r="AF65" i="41" s="1"/>
  <c r="AG65" i="41" s="1"/>
  <c r="AH65" i="41" s="1"/>
  <c r="D22" i="34"/>
  <c r="E91" i="34" s="1"/>
  <c r="AQ71" i="36"/>
  <c r="Z34" i="42"/>
  <c r="I50" i="45"/>
  <c r="G36" i="46"/>
  <c r="D23" i="34"/>
  <c r="D17" i="41"/>
  <c r="E62" i="41" s="1"/>
  <c r="F62" i="41" s="1"/>
  <c r="G62" i="41" s="1"/>
  <c r="H62" i="41" s="1"/>
  <c r="I62" i="41" s="1"/>
  <c r="J62" i="41" s="1"/>
  <c r="K62" i="41" s="1"/>
  <c r="L62" i="41" s="1"/>
  <c r="M62" i="41" s="1"/>
  <c r="N62" i="41" s="1"/>
  <c r="O62" i="41" s="1"/>
  <c r="P62" i="41" s="1"/>
  <c r="Q62" i="41" s="1"/>
  <c r="R62" i="41" s="1"/>
  <c r="S62" i="41" s="1"/>
  <c r="T62" i="41" s="1"/>
  <c r="U62" i="41" s="1"/>
  <c r="V62" i="41" s="1"/>
  <c r="W62" i="41" s="1"/>
  <c r="X62" i="41" s="1"/>
  <c r="Y62" i="41" s="1"/>
  <c r="Z62" i="41" s="1"/>
  <c r="AA62" i="41" s="1"/>
  <c r="AB62" i="41" s="1"/>
  <c r="AC62" i="41" s="1"/>
  <c r="AD62" i="41" s="1"/>
  <c r="AE62" i="41" s="1"/>
  <c r="AF62" i="41" s="1"/>
  <c r="AG62" i="41" s="1"/>
  <c r="AH62" i="41" s="1"/>
  <c r="F22" i="34"/>
  <c r="AG51" i="36"/>
  <c r="AA34" i="38"/>
  <c r="AR74" i="36"/>
  <c r="D23" i="41"/>
  <c r="D3" i="41"/>
  <c r="BH68" i="36"/>
  <c r="G3" i="41"/>
  <c r="E42" i="41" s="1"/>
  <c r="F42" i="41" s="1"/>
  <c r="G42" i="41" s="1"/>
  <c r="H42" i="41" s="1"/>
  <c r="I42" i="41" s="1"/>
  <c r="J42" i="41" s="1"/>
  <c r="K42" i="41" s="1"/>
  <c r="L42" i="41" s="1"/>
  <c r="M42" i="41" s="1"/>
  <c r="N42" i="41" s="1"/>
  <c r="O42" i="41" s="1"/>
  <c r="P42" i="41" s="1"/>
  <c r="Q42" i="41" s="1"/>
  <c r="R42" i="41" s="1"/>
  <c r="S42" i="41" s="1"/>
  <c r="T42" i="41" s="1"/>
  <c r="U42" i="41" s="1"/>
  <c r="V42" i="41" s="1"/>
  <c r="W42" i="41" s="1"/>
  <c r="X42" i="41" s="1"/>
  <c r="Y42" i="41" s="1"/>
  <c r="Z42" i="41" s="1"/>
  <c r="AA42" i="41" s="1"/>
  <c r="AB42" i="41" s="1"/>
  <c r="AC42" i="41" s="1"/>
  <c r="AD42" i="41" s="1"/>
  <c r="AE42" i="41" s="1"/>
  <c r="AF42" i="41" s="1"/>
  <c r="AG42" i="41" s="1"/>
  <c r="AH42" i="41" s="1"/>
  <c r="E60" i="41"/>
  <c r="F60" i="41" s="1"/>
  <c r="G60" i="41" s="1"/>
  <c r="H60" i="41" s="1"/>
  <c r="I60" i="41" s="1"/>
  <c r="J60" i="41" s="1"/>
  <c r="K60" i="41" s="1"/>
  <c r="L60" i="41" s="1"/>
  <c r="M60" i="41" s="1"/>
  <c r="N60" i="41" s="1"/>
  <c r="O60" i="41" s="1"/>
  <c r="P60" i="41" s="1"/>
  <c r="Q60" i="41" s="1"/>
  <c r="R60" i="41" s="1"/>
  <c r="S60" i="41" s="1"/>
  <c r="T60" i="41" s="1"/>
  <c r="U60" i="41" s="1"/>
  <c r="V60" i="41" s="1"/>
  <c r="W60" i="41" s="1"/>
  <c r="X60" i="41" s="1"/>
  <c r="Y60" i="41" s="1"/>
  <c r="Z60" i="41" s="1"/>
  <c r="AA60" i="41" s="1"/>
  <c r="AB60" i="41" s="1"/>
  <c r="AC60" i="41" s="1"/>
  <c r="AD60" i="41" s="1"/>
  <c r="AE60" i="41" s="1"/>
  <c r="AF60" i="41" s="1"/>
  <c r="AG60" i="41" s="1"/>
  <c r="AH60" i="41" s="1"/>
  <c r="E68" i="41"/>
  <c r="F68" i="41" s="1"/>
  <c r="G68" i="41" s="1"/>
  <c r="H68" i="41" s="1"/>
  <c r="I68" i="41" s="1"/>
  <c r="J68" i="41" s="1"/>
  <c r="K68" i="41" s="1"/>
  <c r="L68" i="41" s="1"/>
  <c r="M68" i="41" s="1"/>
  <c r="N68" i="41" s="1"/>
  <c r="O68" i="41" s="1"/>
  <c r="P68" i="41" s="1"/>
  <c r="Q68" i="41" s="1"/>
  <c r="R68" i="41" s="1"/>
  <c r="S68" i="41" s="1"/>
  <c r="T68" i="41" s="1"/>
  <c r="U68" i="41" s="1"/>
  <c r="V68" i="41" s="1"/>
  <c r="W68" i="41" s="1"/>
  <c r="X68" i="41" s="1"/>
  <c r="Y68" i="41" s="1"/>
  <c r="Z68" i="41" s="1"/>
  <c r="AA68" i="41" s="1"/>
  <c r="AB68" i="41" s="1"/>
  <c r="AC68" i="41" s="1"/>
  <c r="AD68" i="41" s="1"/>
  <c r="AE68" i="41" s="1"/>
  <c r="AF68" i="41" s="1"/>
  <c r="AG68" i="41" s="1"/>
  <c r="AH68" i="41" s="1"/>
  <c r="D5" i="41"/>
  <c r="E35" i="41" s="1"/>
  <c r="F35" i="41" s="1"/>
  <c r="G35" i="41" s="1"/>
  <c r="H35" i="41" s="1"/>
  <c r="I35" i="41" s="1"/>
  <c r="J35" i="41" s="1"/>
  <c r="K35" i="41" s="1"/>
  <c r="L35" i="41" s="1"/>
  <c r="M35" i="41" s="1"/>
  <c r="N35" i="41" s="1"/>
  <c r="O35" i="41" s="1"/>
  <c r="P35" i="41" s="1"/>
  <c r="Q35" i="41" s="1"/>
  <c r="R35" i="41" s="1"/>
  <c r="S35" i="41" s="1"/>
  <c r="T35" i="41" s="1"/>
  <c r="U35" i="41" s="1"/>
  <c r="V35" i="41" s="1"/>
  <c r="W35" i="41" s="1"/>
  <c r="X35" i="41" s="1"/>
  <c r="Y35" i="41" s="1"/>
  <c r="Z35" i="41" s="1"/>
  <c r="AA35" i="41" s="1"/>
  <c r="AB35" i="41" s="1"/>
  <c r="AC35" i="41" s="1"/>
  <c r="AD35" i="41" s="1"/>
  <c r="AE35" i="41" s="1"/>
  <c r="AF35" i="41" s="1"/>
  <c r="AG35" i="41" s="1"/>
  <c r="AH35" i="41" s="1"/>
  <c r="H4" i="41"/>
  <c r="E46" i="41" s="1"/>
  <c r="F46" i="41" s="1"/>
  <c r="G46" i="41" s="1"/>
  <c r="H46" i="41" s="1"/>
  <c r="I46" i="41" s="1"/>
  <c r="J46" i="41" s="1"/>
  <c r="K46" i="41" s="1"/>
  <c r="L46" i="41" s="1"/>
  <c r="M46" i="41" s="1"/>
  <c r="N46" i="41" s="1"/>
  <c r="O46" i="41" s="1"/>
  <c r="P46" i="41" s="1"/>
  <c r="Q46" i="41" s="1"/>
  <c r="R46" i="41" s="1"/>
  <c r="S46" i="41" s="1"/>
  <c r="T46" i="41" s="1"/>
  <c r="U46" i="41" s="1"/>
  <c r="V46" i="41" s="1"/>
  <c r="W46" i="41" s="1"/>
  <c r="X46" i="41" s="1"/>
  <c r="Y46" i="41" s="1"/>
  <c r="Z46" i="41" s="1"/>
  <c r="AA46" i="41" s="1"/>
  <c r="AB46" i="41" s="1"/>
  <c r="AC46" i="41" s="1"/>
  <c r="AD46" i="41" s="1"/>
  <c r="AE46" i="41" s="1"/>
  <c r="AF46" i="41" s="1"/>
  <c r="AG46" i="41" s="1"/>
  <c r="AH46" i="41" s="1"/>
  <c r="E67" i="41"/>
  <c r="F67" i="41" s="1"/>
  <c r="G67" i="41" s="1"/>
  <c r="H67" i="41" s="1"/>
  <c r="I67" i="41" s="1"/>
  <c r="J67" i="41" s="1"/>
  <c r="K67" i="41" s="1"/>
  <c r="L67" i="41" s="1"/>
  <c r="M67" i="41" s="1"/>
  <c r="N67" i="41" s="1"/>
  <c r="O67" i="41" s="1"/>
  <c r="P67" i="41" s="1"/>
  <c r="Q67" i="41" s="1"/>
  <c r="R67" i="41" s="1"/>
  <c r="S67" i="41" s="1"/>
  <c r="T67" i="41" s="1"/>
  <c r="U67" i="41" s="1"/>
  <c r="V67" i="41" s="1"/>
  <c r="W67" i="41" s="1"/>
  <c r="X67" i="41" s="1"/>
  <c r="Y67" i="41" s="1"/>
  <c r="Z67" i="41" s="1"/>
  <c r="AA67" i="41" s="1"/>
  <c r="AB67" i="41" s="1"/>
  <c r="AC67" i="41" s="1"/>
  <c r="AD67" i="41" s="1"/>
  <c r="AE67" i="41" s="1"/>
  <c r="AF67" i="41" s="1"/>
  <c r="AG67" i="41" s="1"/>
  <c r="AH67" i="41" s="1"/>
  <c r="E61" i="41"/>
  <c r="F61" i="41" s="1"/>
  <c r="G61" i="41" s="1"/>
  <c r="H61" i="41" s="1"/>
  <c r="I61" i="41" s="1"/>
  <c r="J61" i="41" s="1"/>
  <c r="K61" i="41" s="1"/>
  <c r="L61" i="41" s="1"/>
  <c r="M61" i="41" s="1"/>
  <c r="N61" i="41" s="1"/>
  <c r="O61" i="41" s="1"/>
  <c r="P61" i="41" s="1"/>
  <c r="Q61" i="41" s="1"/>
  <c r="R61" i="41" s="1"/>
  <c r="S61" i="41" s="1"/>
  <c r="T61" i="41" s="1"/>
  <c r="U61" i="41" s="1"/>
  <c r="V61" i="41" s="1"/>
  <c r="W61" i="41" s="1"/>
  <c r="X61" i="41" s="1"/>
  <c r="Y61" i="41" s="1"/>
  <c r="Z61" i="41" s="1"/>
  <c r="AA61" i="41" s="1"/>
  <c r="AB61" i="41" s="1"/>
  <c r="AC61" i="41" s="1"/>
  <c r="AD61" i="41" s="1"/>
  <c r="AE61" i="41" s="1"/>
  <c r="AF61" i="41" s="1"/>
  <c r="AG61" i="41" s="1"/>
  <c r="AH61" i="41" s="1"/>
  <c r="AU61" i="45"/>
  <c r="AU64" i="45"/>
  <c r="P37" i="11"/>
  <c r="P40" i="11"/>
  <c r="P39" i="11"/>
  <c r="P38" i="11"/>
  <c r="P62" i="36" s="1"/>
  <c r="H5" i="41"/>
  <c r="E47" i="41" s="1"/>
  <c r="F47" i="41" s="1"/>
  <c r="G47" i="41" s="1"/>
  <c r="H47" i="41" s="1"/>
  <c r="I47" i="41" s="1"/>
  <c r="J47" i="41" s="1"/>
  <c r="K47" i="41" s="1"/>
  <c r="L47" i="41" s="1"/>
  <c r="M47" i="41" s="1"/>
  <c r="N47" i="41" s="1"/>
  <c r="O47" i="41" s="1"/>
  <c r="P47" i="41" s="1"/>
  <c r="Q47" i="41" s="1"/>
  <c r="R47" i="41" s="1"/>
  <c r="S47" i="41" s="1"/>
  <c r="T47" i="41" s="1"/>
  <c r="U47" i="41" s="1"/>
  <c r="V47" i="41" s="1"/>
  <c r="W47" i="41" s="1"/>
  <c r="X47" i="41" s="1"/>
  <c r="Y47" i="41" s="1"/>
  <c r="Z47" i="41" s="1"/>
  <c r="AA47" i="41" s="1"/>
  <c r="AB47" i="41" s="1"/>
  <c r="AC47" i="41" s="1"/>
  <c r="AD47" i="41" s="1"/>
  <c r="AE47" i="41" s="1"/>
  <c r="AF47" i="41" s="1"/>
  <c r="AG47" i="41" s="1"/>
  <c r="AH47" i="41" s="1"/>
  <c r="G5" i="41"/>
  <c r="E44" i="41" s="1"/>
  <c r="F44" i="41" s="1"/>
  <c r="G44" i="41" s="1"/>
  <c r="H44" i="41" s="1"/>
  <c r="I44" i="41" s="1"/>
  <c r="J44" i="41" s="1"/>
  <c r="K44" i="41" s="1"/>
  <c r="L44" i="41" s="1"/>
  <c r="M44" i="41" s="1"/>
  <c r="N44" i="41" s="1"/>
  <c r="O44" i="41" s="1"/>
  <c r="P44" i="41" s="1"/>
  <c r="Q44" i="41" s="1"/>
  <c r="R44" i="41" s="1"/>
  <c r="S44" i="41" s="1"/>
  <c r="T44" i="41" s="1"/>
  <c r="U44" i="41" s="1"/>
  <c r="V44" i="41" s="1"/>
  <c r="W44" i="41" s="1"/>
  <c r="X44" i="41" s="1"/>
  <c r="Y44" i="41" s="1"/>
  <c r="Z44" i="41" s="1"/>
  <c r="AA44" i="41" s="1"/>
  <c r="AB44" i="41" s="1"/>
  <c r="AC44" i="41" s="1"/>
  <c r="AD44" i="41" s="1"/>
  <c r="AE44" i="41" s="1"/>
  <c r="AF44" i="41" s="1"/>
  <c r="AG44" i="41" s="1"/>
  <c r="AH44" i="41" s="1"/>
  <c r="E5" i="41"/>
  <c r="E38" i="41" s="1"/>
  <c r="F38" i="41" s="1"/>
  <c r="G38" i="41" s="1"/>
  <c r="H38" i="41" s="1"/>
  <c r="I38" i="41" s="1"/>
  <c r="J38" i="41" s="1"/>
  <c r="K38" i="41" s="1"/>
  <c r="L38" i="41" s="1"/>
  <c r="M38" i="41" s="1"/>
  <c r="N38" i="41" s="1"/>
  <c r="O38" i="41" s="1"/>
  <c r="P38" i="41" s="1"/>
  <c r="Q38" i="41" s="1"/>
  <c r="R38" i="41" s="1"/>
  <c r="S38" i="41" s="1"/>
  <c r="T38" i="41" s="1"/>
  <c r="U38" i="41" s="1"/>
  <c r="V38" i="41" s="1"/>
  <c r="W38" i="41" s="1"/>
  <c r="X38" i="41" s="1"/>
  <c r="Y38" i="41" s="1"/>
  <c r="Z38" i="41" s="1"/>
  <c r="AA38" i="41" s="1"/>
  <c r="AB38" i="41" s="1"/>
  <c r="AC38" i="41" s="1"/>
  <c r="AD38" i="41" s="1"/>
  <c r="AE38" i="41" s="1"/>
  <c r="AF38" i="41" s="1"/>
  <c r="AG38" i="41" s="1"/>
  <c r="AH38" i="41" s="1"/>
  <c r="F5" i="41"/>
  <c r="E41" i="41" s="1"/>
  <c r="F41" i="41" s="1"/>
  <c r="G41" i="41" s="1"/>
  <c r="H41" i="41" s="1"/>
  <c r="I41" i="41" s="1"/>
  <c r="J41" i="41" s="1"/>
  <c r="K41" i="41" s="1"/>
  <c r="L41" i="41" s="1"/>
  <c r="M41" i="41" s="1"/>
  <c r="N41" i="41" s="1"/>
  <c r="O41" i="41" s="1"/>
  <c r="P41" i="41" s="1"/>
  <c r="Q41" i="41" s="1"/>
  <c r="R41" i="41" s="1"/>
  <c r="S41" i="41" s="1"/>
  <c r="T41" i="41" s="1"/>
  <c r="U41" i="41" s="1"/>
  <c r="V41" i="41" s="1"/>
  <c r="W41" i="41" s="1"/>
  <c r="X41" i="41" s="1"/>
  <c r="Y41" i="41" s="1"/>
  <c r="Z41" i="41" s="1"/>
  <c r="AA41" i="41" s="1"/>
  <c r="AB41" i="41" s="1"/>
  <c r="AC41" i="41" s="1"/>
  <c r="AD41" i="41" s="1"/>
  <c r="AE41" i="41" s="1"/>
  <c r="AF41" i="41" s="1"/>
  <c r="AG41" i="41" s="1"/>
  <c r="AH41" i="41" s="1"/>
  <c r="F4" i="41"/>
  <c r="E40" i="41" s="1"/>
  <c r="F40" i="41" s="1"/>
  <c r="G40" i="41" s="1"/>
  <c r="H40" i="41" s="1"/>
  <c r="I40" i="41" s="1"/>
  <c r="J40" i="41" s="1"/>
  <c r="K40" i="41" s="1"/>
  <c r="L40" i="41" s="1"/>
  <c r="M40" i="41" s="1"/>
  <c r="N40" i="41" s="1"/>
  <c r="O40" i="41" s="1"/>
  <c r="P40" i="41" s="1"/>
  <c r="Q40" i="41" s="1"/>
  <c r="R40" i="41" s="1"/>
  <c r="S40" i="41" s="1"/>
  <c r="T40" i="41" s="1"/>
  <c r="U40" i="41" s="1"/>
  <c r="V40" i="41" s="1"/>
  <c r="W40" i="41" s="1"/>
  <c r="X40" i="41" s="1"/>
  <c r="Y40" i="41" s="1"/>
  <c r="Z40" i="41" s="1"/>
  <c r="AA40" i="41" s="1"/>
  <c r="AB40" i="41" s="1"/>
  <c r="AC40" i="41" s="1"/>
  <c r="AD40" i="41" s="1"/>
  <c r="AE40" i="41" s="1"/>
  <c r="AF40" i="41" s="1"/>
  <c r="AG40" i="41" s="1"/>
  <c r="AH40" i="41" s="1"/>
  <c r="D4" i="41"/>
  <c r="E34" i="41" s="1"/>
  <c r="F34" i="41" s="1"/>
  <c r="G34" i="41" s="1"/>
  <c r="H34" i="41" s="1"/>
  <c r="I34" i="41" s="1"/>
  <c r="J34" i="41" s="1"/>
  <c r="K34" i="41" s="1"/>
  <c r="L34" i="41" s="1"/>
  <c r="M34" i="41" s="1"/>
  <c r="N34" i="41" s="1"/>
  <c r="O34" i="41" s="1"/>
  <c r="P34" i="41" s="1"/>
  <c r="Q34" i="41" s="1"/>
  <c r="R34" i="41" s="1"/>
  <c r="S34" i="41" s="1"/>
  <c r="T34" i="41" s="1"/>
  <c r="U34" i="41" s="1"/>
  <c r="V34" i="41" s="1"/>
  <c r="W34" i="41" s="1"/>
  <c r="X34" i="41" s="1"/>
  <c r="Y34" i="41" s="1"/>
  <c r="Z34" i="41" s="1"/>
  <c r="AA34" i="41" s="1"/>
  <c r="AB34" i="41" s="1"/>
  <c r="AC34" i="41" s="1"/>
  <c r="AD34" i="41" s="1"/>
  <c r="AE34" i="41" s="1"/>
  <c r="AF34" i="41" s="1"/>
  <c r="AG34" i="41" s="1"/>
  <c r="AH34" i="41" s="1"/>
  <c r="E4" i="41"/>
  <c r="E37" i="41" s="1"/>
  <c r="F37" i="41" s="1"/>
  <c r="G37" i="41" s="1"/>
  <c r="H37" i="41" s="1"/>
  <c r="I37" i="41" s="1"/>
  <c r="J37" i="41" s="1"/>
  <c r="K37" i="41" s="1"/>
  <c r="L37" i="41" s="1"/>
  <c r="M37" i="41" s="1"/>
  <c r="N37" i="41" s="1"/>
  <c r="O37" i="41" s="1"/>
  <c r="P37" i="41" s="1"/>
  <c r="Q37" i="41" s="1"/>
  <c r="R37" i="41" s="1"/>
  <c r="S37" i="41" s="1"/>
  <c r="T37" i="41" s="1"/>
  <c r="U37" i="41" s="1"/>
  <c r="V37" i="41" s="1"/>
  <c r="W37" i="41" s="1"/>
  <c r="X37" i="41" s="1"/>
  <c r="Y37" i="41" s="1"/>
  <c r="Z37" i="41" s="1"/>
  <c r="AA37" i="41" s="1"/>
  <c r="AB37" i="41" s="1"/>
  <c r="AC37" i="41" s="1"/>
  <c r="AD37" i="41" s="1"/>
  <c r="AE37" i="41" s="1"/>
  <c r="AF37" i="41" s="1"/>
  <c r="AG37" i="41" s="1"/>
  <c r="AH37" i="41" s="1"/>
  <c r="H3" i="41"/>
  <c r="E45" i="41" s="1"/>
  <c r="F45" i="41" s="1"/>
  <c r="G45" i="41" s="1"/>
  <c r="H45" i="41" s="1"/>
  <c r="I45" i="41" s="1"/>
  <c r="J45" i="41" s="1"/>
  <c r="K45" i="41" s="1"/>
  <c r="L45" i="41" s="1"/>
  <c r="M45" i="41" s="1"/>
  <c r="N45" i="41" s="1"/>
  <c r="O45" i="41" s="1"/>
  <c r="P45" i="41" s="1"/>
  <c r="Q45" i="41" s="1"/>
  <c r="R45" i="41" s="1"/>
  <c r="S45" i="41" s="1"/>
  <c r="T45" i="41" s="1"/>
  <c r="U45" i="41" s="1"/>
  <c r="V45" i="41" s="1"/>
  <c r="W45" i="41" s="1"/>
  <c r="X45" i="41" s="1"/>
  <c r="Y45" i="41" s="1"/>
  <c r="Z45" i="41" s="1"/>
  <c r="AA45" i="41" s="1"/>
  <c r="AB45" i="41" s="1"/>
  <c r="AC45" i="41" s="1"/>
  <c r="AD45" i="41" s="1"/>
  <c r="AE45" i="41" s="1"/>
  <c r="AF45" i="41" s="1"/>
  <c r="AG45" i="41" s="1"/>
  <c r="AH45" i="41" s="1"/>
  <c r="G9" i="41"/>
  <c r="E57" i="41" s="1"/>
  <c r="F57" i="41" s="1"/>
  <c r="G57" i="41" s="1"/>
  <c r="H57" i="41" s="1"/>
  <c r="I57" i="41" s="1"/>
  <c r="J57" i="41" s="1"/>
  <c r="K57" i="41" s="1"/>
  <c r="L57" i="41" s="1"/>
  <c r="M57" i="41" s="1"/>
  <c r="N57" i="41" s="1"/>
  <c r="O57" i="41" s="1"/>
  <c r="P57" i="41" s="1"/>
  <c r="Q57" i="41" s="1"/>
  <c r="R57" i="41" s="1"/>
  <c r="S57" i="41" s="1"/>
  <c r="T57" i="41" s="1"/>
  <c r="U57" i="41" s="1"/>
  <c r="V57" i="41" s="1"/>
  <c r="W57" i="41" s="1"/>
  <c r="X57" i="41" s="1"/>
  <c r="Y57" i="41" s="1"/>
  <c r="Z57" i="41" s="1"/>
  <c r="AA57" i="41" s="1"/>
  <c r="AB57" i="41" s="1"/>
  <c r="AC57" i="41" s="1"/>
  <c r="AD57" i="41" s="1"/>
  <c r="AE57" i="41" s="1"/>
  <c r="AF57" i="41" s="1"/>
  <c r="AG57" i="41" s="1"/>
  <c r="AH57" i="41" s="1"/>
  <c r="G10" i="41"/>
  <c r="E58" i="41" s="1"/>
  <c r="F58" i="41" s="1"/>
  <c r="G58" i="41" s="1"/>
  <c r="H58" i="41" s="1"/>
  <c r="I58" i="41" s="1"/>
  <c r="J58" i="41" s="1"/>
  <c r="K58" i="41" s="1"/>
  <c r="L58" i="41" s="1"/>
  <c r="M58" i="41" s="1"/>
  <c r="N58" i="41" s="1"/>
  <c r="O58" i="41" s="1"/>
  <c r="P58" i="41" s="1"/>
  <c r="Q58" i="41" s="1"/>
  <c r="R58" i="41" s="1"/>
  <c r="S58" i="41" s="1"/>
  <c r="T58" i="41" s="1"/>
  <c r="U58" i="41" s="1"/>
  <c r="V58" i="41" s="1"/>
  <c r="W58" i="41" s="1"/>
  <c r="X58" i="41" s="1"/>
  <c r="Y58" i="41" s="1"/>
  <c r="Z58" i="41" s="1"/>
  <c r="AA58" i="41" s="1"/>
  <c r="AB58" i="41" s="1"/>
  <c r="AC58" i="41" s="1"/>
  <c r="AD58" i="41" s="1"/>
  <c r="AE58" i="41" s="1"/>
  <c r="AF58" i="41" s="1"/>
  <c r="AG58" i="41" s="1"/>
  <c r="AH58" i="41" s="1"/>
  <c r="F9" i="41"/>
  <c r="E54" i="41" s="1"/>
  <c r="G11" i="41"/>
  <c r="E59" i="41" s="1"/>
  <c r="F59" i="41" s="1"/>
  <c r="G59" i="41" s="1"/>
  <c r="H59" i="41" s="1"/>
  <c r="I59" i="41" s="1"/>
  <c r="J59" i="41" s="1"/>
  <c r="K59" i="41" s="1"/>
  <c r="L59" i="41" s="1"/>
  <c r="M59" i="41" s="1"/>
  <c r="N59" i="41" s="1"/>
  <c r="O59" i="41" s="1"/>
  <c r="P59" i="41" s="1"/>
  <c r="Q59" i="41" s="1"/>
  <c r="R59" i="41" s="1"/>
  <c r="S59" i="41" s="1"/>
  <c r="T59" i="41" s="1"/>
  <c r="U59" i="41" s="1"/>
  <c r="V59" i="41" s="1"/>
  <c r="W59" i="41" s="1"/>
  <c r="X59" i="41" s="1"/>
  <c r="Y59" i="41" s="1"/>
  <c r="Z59" i="41" s="1"/>
  <c r="AA59" i="41" s="1"/>
  <c r="AB59" i="41" s="1"/>
  <c r="AC59" i="41" s="1"/>
  <c r="AD59" i="41" s="1"/>
  <c r="AE59" i="41" s="1"/>
  <c r="AF59" i="41" s="1"/>
  <c r="AG59" i="41" s="1"/>
  <c r="AH59" i="41" s="1"/>
  <c r="F10" i="41"/>
  <c r="E55" i="41" s="1"/>
  <c r="F55" i="41" s="1"/>
  <c r="G55" i="41" s="1"/>
  <c r="H55" i="41" s="1"/>
  <c r="I55" i="41" s="1"/>
  <c r="J55" i="41" s="1"/>
  <c r="K55" i="41" s="1"/>
  <c r="L55" i="41" s="1"/>
  <c r="M55" i="41" s="1"/>
  <c r="N55" i="41" s="1"/>
  <c r="O55" i="41" s="1"/>
  <c r="P55" i="41" s="1"/>
  <c r="Q55" i="41" s="1"/>
  <c r="R55" i="41" s="1"/>
  <c r="S55" i="41" s="1"/>
  <c r="T55" i="41" s="1"/>
  <c r="U55" i="41" s="1"/>
  <c r="V55" i="41" s="1"/>
  <c r="W55" i="41" s="1"/>
  <c r="X55" i="41" s="1"/>
  <c r="Y55" i="41" s="1"/>
  <c r="Z55" i="41" s="1"/>
  <c r="AA55" i="41" s="1"/>
  <c r="AB55" i="41" s="1"/>
  <c r="AC55" i="41" s="1"/>
  <c r="AD55" i="41" s="1"/>
  <c r="AE55" i="41" s="1"/>
  <c r="AF55" i="41" s="1"/>
  <c r="AG55" i="41" s="1"/>
  <c r="AH55" i="41" s="1"/>
  <c r="D11" i="41"/>
  <c r="E50" i="41" s="1"/>
  <c r="F50" i="41" s="1"/>
  <c r="G50" i="41" s="1"/>
  <c r="H50" i="41" s="1"/>
  <c r="I50" i="41" s="1"/>
  <c r="J50" i="41" s="1"/>
  <c r="K50" i="41" s="1"/>
  <c r="L50" i="41" s="1"/>
  <c r="M50" i="41" s="1"/>
  <c r="N50" i="41" s="1"/>
  <c r="O50" i="41" s="1"/>
  <c r="P50" i="41" s="1"/>
  <c r="Q50" i="41" s="1"/>
  <c r="R50" i="41" s="1"/>
  <c r="S50" i="41" s="1"/>
  <c r="T50" i="41" s="1"/>
  <c r="U50" i="41" s="1"/>
  <c r="V50" i="41" s="1"/>
  <c r="W50" i="41" s="1"/>
  <c r="X50" i="41" s="1"/>
  <c r="Y50" i="41" s="1"/>
  <c r="Z50" i="41" s="1"/>
  <c r="AA50" i="41" s="1"/>
  <c r="AB50" i="41" s="1"/>
  <c r="AC50" i="41" s="1"/>
  <c r="AD50" i="41" s="1"/>
  <c r="AE50" i="41" s="1"/>
  <c r="AF50" i="41" s="1"/>
  <c r="AG50" i="41" s="1"/>
  <c r="AH50" i="41" s="1"/>
  <c r="D9" i="41"/>
  <c r="E48" i="41" s="1"/>
  <c r="F48" i="41" s="1"/>
  <c r="G48" i="41" s="1"/>
  <c r="H48" i="41" s="1"/>
  <c r="I48" i="41" s="1"/>
  <c r="J48" i="41" s="1"/>
  <c r="K48" i="41" s="1"/>
  <c r="L48" i="41" s="1"/>
  <c r="M48" i="41" s="1"/>
  <c r="N48" i="41" s="1"/>
  <c r="O48" i="41" s="1"/>
  <c r="P48" i="41" s="1"/>
  <c r="Q48" i="41" s="1"/>
  <c r="R48" i="41" s="1"/>
  <c r="S48" i="41" s="1"/>
  <c r="T48" i="41" s="1"/>
  <c r="U48" i="41" s="1"/>
  <c r="V48" i="41" s="1"/>
  <c r="W48" i="41" s="1"/>
  <c r="X48" i="41" s="1"/>
  <c r="Y48" i="41" s="1"/>
  <c r="Z48" i="41" s="1"/>
  <c r="AA48" i="41" s="1"/>
  <c r="AB48" i="41" s="1"/>
  <c r="AC48" i="41" s="1"/>
  <c r="AD48" i="41" s="1"/>
  <c r="AE48" i="41" s="1"/>
  <c r="AF48" i="41" s="1"/>
  <c r="AG48" i="41" s="1"/>
  <c r="AH48" i="41" s="1"/>
  <c r="E10" i="41"/>
  <c r="E52" i="41" s="1"/>
  <c r="F52" i="41" s="1"/>
  <c r="G52" i="41" s="1"/>
  <c r="H52" i="41" s="1"/>
  <c r="I52" i="41" s="1"/>
  <c r="J52" i="41" s="1"/>
  <c r="K52" i="41" s="1"/>
  <c r="L52" i="41" s="1"/>
  <c r="M52" i="41" s="1"/>
  <c r="N52" i="41" s="1"/>
  <c r="O52" i="41" s="1"/>
  <c r="P52" i="41" s="1"/>
  <c r="Q52" i="41" s="1"/>
  <c r="R52" i="41" s="1"/>
  <c r="S52" i="41" s="1"/>
  <c r="T52" i="41" s="1"/>
  <c r="U52" i="41" s="1"/>
  <c r="V52" i="41" s="1"/>
  <c r="W52" i="41" s="1"/>
  <c r="X52" i="41" s="1"/>
  <c r="Y52" i="41" s="1"/>
  <c r="Z52" i="41" s="1"/>
  <c r="AA52" i="41" s="1"/>
  <c r="AB52" i="41" s="1"/>
  <c r="AC52" i="41" s="1"/>
  <c r="AD52" i="41" s="1"/>
  <c r="AE52" i="41" s="1"/>
  <c r="AF52" i="41" s="1"/>
  <c r="AG52" i="41" s="1"/>
  <c r="AH52" i="41" s="1"/>
  <c r="E9" i="41"/>
  <c r="E51" i="41" s="1"/>
  <c r="F51" i="41" s="1"/>
  <c r="G51" i="41" s="1"/>
  <c r="H51" i="41" s="1"/>
  <c r="I51" i="41" s="1"/>
  <c r="J51" i="41" s="1"/>
  <c r="K51" i="41" s="1"/>
  <c r="L51" i="41" s="1"/>
  <c r="M51" i="41" s="1"/>
  <c r="N51" i="41" s="1"/>
  <c r="O51" i="41" s="1"/>
  <c r="P51" i="41" s="1"/>
  <c r="Q51" i="41" s="1"/>
  <c r="R51" i="41" s="1"/>
  <c r="S51" i="41" s="1"/>
  <c r="T51" i="41" s="1"/>
  <c r="U51" i="41" s="1"/>
  <c r="V51" i="41" s="1"/>
  <c r="W51" i="41" s="1"/>
  <c r="X51" i="41" s="1"/>
  <c r="Y51" i="41" s="1"/>
  <c r="Z51" i="41" s="1"/>
  <c r="AA51" i="41" s="1"/>
  <c r="AB51" i="41" s="1"/>
  <c r="AC51" i="41" s="1"/>
  <c r="AD51" i="41" s="1"/>
  <c r="AE51" i="41" s="1"/>
  <c r="AF51" i="41" s="1"/>
  <c r="AG51" i="41" s="1"/>
  <c r="AH51" i="41" s="1"/>
  <c r="D10" i="41"/>
  <c r="E49" i="41" s="1"/>
  <c r="F49" i="41" s="1"/>
  <c r="G49" i="41" s="1"/>
  <c r="H49" i="41" s="1"/>
  <c r="I49" i="41" s="1"/>
  <c r="J49" i="41" s="1"/>
  <c r="K49" i="41" s="1"/>
  <c r="L49" i="41" s="1"/>
  <c r="M49" i="41" s="1"/>
  <c r="N49" i="41" s="1"/>
  <c r="O49" i="41" s="1"/>
  <c r="P49" i="41" s="1"/>
  <c r="Q49" i="41" s="1"/>
  <c r="R49" i="41" s="1"/>
  <c r="S49" i="41" s="1"/>
  <c r="T49" i="41" s="1"/>
  <c r="U49" i="41" s="1"/>
  <c r="V49" i="41" s="1"/>
  <c r="W49" i="41" s="1"/>
  <c r="X49" i="41" s="1"/>
  <c r="Y49" i="41" s="1"/>
  <c r="Z49" i="41" s="1"/>
  <c r="AA49" i="41" s="1"/>
  <c r="AB49" i="41" s="1"/>
  <c r="AC49" i="41" s="1"/>
  <c r="AD49" i="41" s="1"/>
  <c r="AE49" i="41" s="1"/>
  <c r="AF49" i="41" s="1"/>
  <c r="AG49" i="41" s="1"/>
  <c r="AH49" i="41" s="1"/>
  <c r="F11" i="41"/>
  <c r="E56" i="41" s="1"/>
  <c r="F56" i="41" s="1"/>
  <c r="G56" i="41" s="1"/>
  <c r="H56" i="41" s="1"/>
  <c r="I56" i="41" s="1"/>
  <c r="C95" i="33" a="1"/>
  <c r="C95" i="33" s="1"/>
  <c r="AG119" i="20" s="1"/>
  <c r="L4" i="51"/>
  <c r="C145" i="53"/>
  <c r="D144" i="53"/>
  <c r="BI69" i="36"/>
  <c r="C97" i="53"/>
  <c r="C98" i="53"/>
  <c r="AG97" i="53"/>
  <c r="AG128" i="53"/>
  <c r="AG98" i="53"/>
  <c r="AG129" i="53"/>
  <c r="F22" i="53"/>
  <c r="F19" i="53"/>
  <c r="F18" i="53"/>
  <c r="G21" i="53"/>
  <c r="F20" i="53"/>
  <c r="AO52" i="45"/>
  <c r="AO51" i="45"/>
  <c r="AD69" i="36"/>
  <c r="I52" i="45"/>
  <c r="AO53" i="45"/>
  <c r="BH59" i="36"/>
  <c r="BH61" i="36"/>
  <c r="BL54" i="36"/>
  <c r="AE36" i="42"/>
  <c r="AP48" i="45"/>
  <c r="BI35" i="36"/>
  <c r="BH38" i="36"/>
  <c r="AA33" i="42"/>
  <c r="BH36" i="36"/>
  <c r="AQ49" i="45"/>
  <c r="AQ46" i="45"/>
  <c r="AQ47" i="45"/>
  <c r="AR45" i="45"/>
  <c r="J48" i="45"/>
  <c r="E360" i="46"/>
  <c r="F360" i="46" s="1"/>
  <c r="AN88" i="45"/>
  <c r="L45" i="45"/>
  <c r="K46" i="45"/>
  <c r="K47" i="45"/>
  <c r="K49" i="45"/>
  <c r="N4" i="8"/>
  <c r="M90" i="44"/>
  <c r="K97" i="44"/>
  <c r="BL52" i="36"/>
  <c r="BL89" i="36"/>
  <c r="BI58" i="36"/>
  <c r="AD58" i="36"/>
  <c r="BJ31" i="36"/>
  <c r="AE34" i="36"/>
  <c r="AH49" i="36"/>
  <c r="BG83" i="36"/>
  <c r="BG25" i="36"/>
  <c r="BG27" i="36"/>
  <c r="BJ34" i="36"/>
  <c r="AE31" i="36"/>
  <c r="AG54" i="36"/>
  <c r="AG52" i="36"/>
  <c r="AG17" i="36"/>
  <c r="BL17" i="36"/>
  <c r="AF18" i="36"/>
  <c r="AF55" i="36"/>
  <c r="AF29" i="36"/>
  <c r="AF32" i="36"/>
  <c r="AF30" i="36"/>
  <c r="AF33" i="36"/>
  <c r="AG28" i="36"/>
  <c r="BM49" i="36"/>
  <c r="BK30" i="36"/>
  <c r="BL28" i="36"/>
  <c r="BK32" i="36"/>
  <c r="BK33" i="36"/>
  <c r="BK29" i="36"/>
  <c r="BI45" i="36"/>
  <c r="BI96" i="36"/>
  <c r="BI43" i="36"/>
  <c r="AE57" i="36"/>
  <c r="AE56" i="36"/>
  <c r="BK40" i="36"/>
  <c r="BL39" i="36"/>
  <c r="BK41" i="36"/>
  <c r="BJ20" i="36"/>
  <c r="BJ21" i="36"/>
  <c r="BN47" i="36"/>
  <c r="BN50" i="36"/>
  <c r="BN48" i="36"/>
  <c r="AC61" i="36"/>
  <c r="AC59" i="36"/>
  <c r="AE20" i="36"/>
  <c r="AE21" i="36"/>
  <c r="BH25" i="36"/>
  <c r="BH27" i="36"/>
  <c r="BH83" i="36"/>
  <c r="BJ42" i="36"/>
  <c r="BJ56" i="36"/>
  <c r="BJ57" i="36"/>
  <c r="AF41" i="36"/>
  <c r="AG39" i="36"/>
  <c r="BK18" i="36"/>
  <c r="BK55" i="36"/>
  <c r="C63" i="20"/>
  <c r="D63" i="20" s="1"/>
  <c r="N63" i="45"/>
  <c r="AT62" i="36"/>
  <c r="N67" i="36"/>
  <c r="C167" i="20"/>
  <c r="C208" i="20"/>
  <c r="C209" i="20" s="1"/>
  <c r="AT63" i="36"/>
  <c r="N64" i="36"/>
  <c r="M70" i="36"/>
  <c r="M105" i="36"/>
  <c r="AR70" i="36"/>
  <c r="AR105" i="36"/>
  <c r="AS64" i="36"/>
  <c r="AS65" i="36"/>
  <c r="G12" i="34"/>
  <c r="E84" i="34" s="1"/>
  <c r="F84" i="34" s="1"/>
  <c r="G84" i="34" s="1"/>
  <c r="H84" i="34" s="1"/>
  <c r="I84" i="34" s="1"/>
  <c r="J84" i="34" s="1"/>
  <c r="K84" i="34" s="1"/>
  <c r="L84" i="34" s="1"/>
  <c r="M84" i="34" s="1"/>
  <c r="N84" i="34" s="1"/>
  <c r="O84" i="34" s="1"/>
  <c r="P84" i="34" s="1"/>
  <c r="Q84" i="34" s="1"/>
  <c r="R84" i="34" s="1"/>
  <c r="S84" i="34" s="1"/>
  <c r="T84" i="34" s="1"/>
  <c r="U84" i="34" s="1"/>
  <c r="V84" i="34" s="1"/>
  <c r="W84" i="34" s="1"/>
  <c r="X84" i="34" s="1"/>
  <c r="Y84" i="34" s="1"/>
  <c r="Z84" i="34" s="1"/>
  <c r="AA84" i="34" s="1"/>
  <c r="AB84" i="34" s="1"/>
  <c r="AC84" i="34" s="1"/>
  <c r="AD84" i="34" s="1"/>
  <c r="AE84" i="34" s="1"/>
  <c r="AF84" i="34" s="1"/>
  <c r="AG84" i="34" s="1"/>
  <c r="AH84" i="34" s="1"/>
  <c r="J56" i="41"/>
  <c r="K56" i="41" s="1"/>
  <c r="L56" i="41" s="1"/>
  <c r="M56" i="41" s="1"/>
  <c r="N56" i="41" s="1"/>
  <c r="O56" i="41" s="1"/>
  <c r="P56" i="41" s="1"/>
  <c r="Q56" i="41" s="1"/>
  <c r="R56" i="41" s="1"/>
  <c r="S56" i="41" s="1"/>
  <c r="T56" i="41" s="1"/>
  <c r="U56" i="41" s="1"/>
  <c r="V56" i="41" s="1"/>
  <c r="W56" i="41" s="1"/>
  <c r="X56" i="41" s="1"/>
  <c r="Y56" i="41" s="1"/>
  <c r="Z56" i="41" s="1"/>
  <c r="AA56" i="41" s="1"/>
  <c r="AB56" i="41" s="1"/>
  <c r="AC56" i="41" s="1"/>
  <c r="AD56" i="41" s="1"/>
  <c r="AE56" i="41" s="1"/>
  <c r="AF56" i="41" s="1"/>
  <c r="AG56" i="41" s="1"/>
  <c r="AH56" i="41" s="1"/>
  <c r="G15" i="34"/>
  <c r="E87" i="34" s="1"/>
  <c r="F87" i="34" s="1"/>
  <c r="G87" i="34" s="1"/>
  <c r="H87" i="34" s="1"/>
  <c r="I87" i="34" s="1"/>
  <c r="J87" i="34" s="1"/>
  <c r="K87" i="34" s="1"/>
  <c r="L87" i="34" s="1"/>
  <c r="M87" i="34" s="1"/>
  <c r="N87" i="34" s="1"/>
  <c r="O87" i="34" s="1"/>
  <c r="P87" i="34" s="1"/>
  <c r="Q87" i="34" s="1"/>
  <c r="R87" i="34" s="1"/>
  <c r="S87" i="34" s="1"/>
  <c r="T87" i="34" s="1"/>
  <c r="U87" i="34" s="1"/>
  <c r="V87" i="34" s="1"/>
  <c r="W87" i="34" s="1"/>
  <c r="X87" i="34" s="1"/>
  <c r="Y87" i="34" s="1"/>
  <c r="Z87" i="34" s="1"/>
  <c r="AA87" i="34" s="1"/>
  <c r="AB87" i="34" s="1"/>
  <c r="AC87" i="34" s="1"/>
  <c r="AD87" i="34" s="1"/>
  <c r="AE87" i="34" s="1"/>
  <c r="AF87" i="34" s="1"/>
  <c r="AG87" i="34" s="1"/>
  <c r="AH87" i="34" s="1"/>
  <c r="D14" i="34"/>
  <c r="E71" i="34" s="1"/>
  <c r="F71" i="34" s="1"/>
  <c r="G71" i="34" s="1"/>
  <c r="H71" i="34" s="1"/>
  <c r="I71" i="34" s="1"/>
  <c r="J71" i="34" s="1"/>
  <c r="K71" i="34" s="1"/>
  <c r="L71" i="34" s="1"/>
  <c r="M71" i="34" s="1"/>
  <c r="N71" i="34" s="1"/>
  <c r="O71" i="34" s="1"/>
  <c r="P71" i="34" s="1"/>
  <c r="Q71" i="34" s="1"/>
  <c r="R71" i="34" s="1"/>
  <c r="S71" i="34" s="1"/>
  <c r="T71" i="34" s="1"/>
  <c r="U71" i="34" s="1"/>
  <c r="V71" i="34" s="1"/>
  <c r="W71" i="34" s="1"/>
  <c r="X71" i="34" s="1"/>
  <c r="Y71" i="34" s="1"/>
  <c r="Z71" i="34" s="1"/>
  <c r="AA71" i="34" s="1"/>
  <c r="AB71" i="34" s="1"/>
  <c r="AC71" i="34" s="1"/>
  <c r="AD71" i="34" s="1"/>
  <c r="AE71" i="34" s="1"/>
  <c r="AF71" i="34" s="1"/>
  <c r="AG71" i="34" s="1"/>
  <c r="AH71" i="34" s="1"/>
  <c r="G6" i="41"/>
  <c r="F12" i="34"/>
  <c r="E79" i="34" s="1"/>
  <c r="F79" i="34" s="1"/>
  <c r="G79" i="34" s="1"/>
  <c r="H79" i="34" s="1"/>
  <c r="I79" i="34" s="1"/>
  <c r="J79" i="34" s="1"/>
  <c r="K79" i="34" s="1"/>
  <c r="L79" i="34" s="1"/>
  <c r="M79" i="34" s="1"/>
  <c r="N79" i="34" s="1"/>
  <c r="O79" i="34" s="1"/>
  <c r="P79" i="34" s="1"/>
  <c r="Q79" i="34" s="1"/>
  <c r="R79" i="34" s="1"/>
  <c r="S79" i="34" s="1"/>
  <c r="T79" i="34" s="1"/>
  <c r="U79" i="34" s="1"/>
  <c r="V79" i="34" s="1"/>
  <c r="W79" i="34" s="1"/>
  <c r="X79" i="34" s="1"/>
  <c r="Y79" i="34" s="1"/>
  <c r="Z79" i="34" s="1"/>
  <c r="AA79" i="34" s="1"/>
  <c r="AB79" i="34" s="1"/>
  <c r="AC79" i="34" s="1"/>
  <c r="AD79" i="34" s="1"/>
  <c r="AE79" i="34" s="1"/>
  <c r="AF79" i="34" s="1"/>
  <c r="AG79" i="34" s="1"/>
  <c r="AH79" i="34" s="1"/>
  <c r="G14" i="34"/>
  <c r="E86" i="34" s="1"/>
  <c r="F86" i="34" s="1"/>
  <c r="G86" i="34" s="1"/>
  <c r="H86" i="34" s="1"/>
  <c r="I86" i="34" s="1"/>
  <c r="J86" i="34" s="1"/>
  <c r="K86" i="34" s="1"/>
  <c r="L86" i="34" s="1"/>
  <c r="M86" i="34" s="1"/>
  <c r="N86" i="34" s="1"/>
  <c r="O86" i="34" s="1"/>
  <c r="P86" i="34" s="1"/>
  <c r="Q86" i="34" s="1"/>
  <c r="R86" i="34" s="1"/>
  <c r="S86" i="34" s="1"/>
  <c r="T86" i="34" s="1"/>
  <c r="U86" i="34" s="1"/>
  <c r="V86" i="34" s="1"/>
  <c r="W86" i="34" s="1"/>
  <c r="X86" i="34" s="1"/>
  <c r="Y86" i="34" s="1"/>
  <c r="Z86" i="34" s="1"/>
  <c r="AA86" i="34" s="1"/>
  <c r="AB86" i="34" s="1"/>
  <c r="AC86" i="34" s="1"/>
  <c r="AD86" i="34" s="1"/>
  <c r="AE86" i="34" s="1"/>
  <c r="AF86" i="34" s="1"/>
  <c r="AG86" i="34" s="1"/>
  <c r="AH86" i="34" s="1"/>
  <c r="E36" i="41"/>
  <c r="F36" i="41" s="1"/>
  <c r="G36" i="41" s="1"/>
  <c r="H36" i="41" s="1"/>
  <c r="I36" i="41" s="1"/>
  <c r="J36" i="41" s="1"/>
  <c r="K36" i="41" s="1"/>
  <c r="L36" i="41" s="1"/>
  <c r="M36" i="41" s="1"/>
  <c r="N36" i="41" s="1"/>
  <c r="O36" i="41" s="1"/>
  <c r="P36" i="41" s="1"/>
  <c r="Q36" i="41" s="1"/>
  <c r="R36" i="41" s="1"/>
  <c r="S36" i="41" s="1"/>
  <c r="T36" i="41" s="1"/>
  <c r="U36" i="41" s="1"/>
  <c r="V36" i="41" s="1"/>
  <c r="W36" i="41" s="1"/>
  <c r="X36" i="41" s="1"/>
  <c r="Y36" i="41" s="1"/>
  <c r="Z36" i="41" s="1"/>
  <c r="AA36" i="41" s="1"/>
  <c r="AB36" i="41" s="1"/>
  <c r="AC36" i="41" s="1"/>
  <c r="AD36" i="41" s="1"/>
  <c r="AE36" i="41" s="1"/>
  <c r="AF36" i="41" s="1"/>
  <c r="AG36" i="41" s="1"/>
  <c r="AH36" i="41" s="1"/>
  <c r="E6" i="41"/>
  <c r="D35" i="34"/>
  <c r="E108" i="34" s="1"/>
  <c r="F108" i="34" s="1"/>
  <c r="G108" i="34" s="1"/>
  <c r="H108" i="34" s="1"/>
  <c r="I108" i="34" s="1"/>
  <c r="J108" i="34" s="1"/>
  <c r="K108" i="34" s="1"/>
  <c r="L108" i="34" s="1"/>
  <c r="M108" i="34" s="1"/>
  <c r="N108" i="34" s="1"/>
  <c r="O108" i="34" s="1"/>
  <c r="P108" i="34" s="1"/>
  <c r="Q108" i="34" s="1"/>
  <c r="R108" i="34" s="1"/>
  <c r="S108" i="34" s="1"/>
  <c r="T108" i="34" s="1"/>
  <c r="U108" i="34" s="1"/>
  <c r="V108" i="34" s="1"/>
  <c r="W108" i="34" s="1"/>
  <c r="X108" i="34" s="1"/>
  <c r="Y108" i="34" s="1"/>
  <c r="Z108" i="34" s="1"/>
  <c r="AA108" i="34" s="1"/>
  <c r="AB108" i="34" s="1"/>
  <c r="AC108" i="34" s="1"/>
  <c r="AD108" i="34" s="1"/>
  <c r="AE108" i="34" s="1"/>
  <c r="AF108" i="34" s="1"/>
  <c r="AG108" i="34" s="1"/>
  <c r="AH108" i="34" s="1"/>
  <c r="D12" i="34"/>
  <c r="E69" i="34" s="1"/>
  <c r="F69" i="34" s="1"/>
  <c r="G69" i="34" s="1"/>
  <c r="H69" i="34" s="1"/>
  <c r="I69" i="34" s="1"/>
  <c r="J69" i="34" s="1"/>
  <c r="K69" i="34" s="1"/>
  <c r="L69" i="34" s="1"/>
  <c r="M69" i="34" s="1"/>
  <c r="N69" i="34" s="1"/>
  <c r="O69" i="34" s="1"/>
  <c r="P69" i="34" s="1"/>
  <c r="Q69" i="34" s="1"/>
  <c r="R69" i="34" s="1"/>
  <c r="S69" i="34" s="1"/>
  <c r="T69" i="34" s="1"/>
  <c r="U69" i="34" s="1"/>
  <c r="V69" i="34" s="1"/>
  <c r="W69" i="34" s="1"/>
  <c r="X69" i="34" s="1"/>
  <c r="Y69" i="34" s="1"/>
  <c r="Z69" i="34" s="1"/>
  <c r="AA69" i="34" s="1"/>
  <c r="AB69" i="34" s="1"/>
  <c r="AC69" i="34" s="1"/>
  <c r="AD69" i="34" s="1"/>
  <c r="AE69" i="34" s="1"/>
  <c r="AF69" i="34" s="1"/>
  <c r="AG69" i="34" s="1"/>
  <c r="AH69" i="34" s="1"/>
  <c r="D27" i="41"/>
  <c r="D29" i="41"/>
  <c r="E74" i="41" s="1"/>
  <c r="F74" i="41" s="1"/>
  <c r="G74" i="41" s="1"/>
  <c r="H74" i="41" s="1"/>
  <c r="I74" i="41" s="1"/>
  <c r="J74" i="41" s="1"/>
  <c r="K74" i="41" s="1"/>
  <c r="L74" i="41" s="1"/>
  <c r="M74" i="41" s="1"/>
  <c r="N74" i="41" s="1"/>
  <c r="O74" i="41" s="1"/>
  <c r="P74" i="41" s="1"/>
  <c r="Q74" i="41" s="1"/>
  <c r="R74" i="41" s="1"/>
  <c r="S74" i="41" s="1"/>
  <c r="T74" i="41" s="1"/>
  <c r="U74" i="41" s="1"/>
  <c r="V74" i="41" s="1"/>
  <c r="W74" i="41" s="1"/>
  <c r="X74" i="41" s="1"/>
  <c r="Y74" i="41" s="1"/>
  <c r="Z74" i="41" s="1"/>
  <c r="AA74" i="41" s="1"/>
  <c r="AB74" i="41" s="1"/>
  <c r="AC74" i="41" s="1"/>
  <c r="AD74" i="41" s="1"/>
  <c r="AE74" i="41" s="1"/>
  <c r="AF74" i="41" s="1"/>
  <c r="AG74" i="41" s="1"/>
  <c r="AH74" i="41" s="1"/>
  <c r="E71" i="41"/>
  <c r="F71" i="41" s="1"/>
  <c r="G71" i="41" s="1"/>
  <c r="H71" i="41" s="1"/>
  <c r="I71" i="41" s="1"/>
  <c r="J71" i="41" s="1"/>
  <c r="K71" i="41" s="1"/>
  <c r="L71" i="41" s="1"/>
  <c r="M71" i="41" s="1"/>
  <c r="N71" i="41" s="1"/>
  <c r="O71" i="41" s="1"/>
  <c r="P71" i="41" s="1"/>
  <c r="Q71" i="41" s="1"/>
  <c r="R71" i="41" s="1"/>
  <c r="S71" i="41" s="1"/>
  <c r="T71" i="41" s="1"/>
  <c r="U71" i="41" s="1"/>
  <c r="V71" i="41" s="1"/>
  <c r="W71" i="41" s="1"/>
  <c r="X71" i="41" s="1"/>
  <c r="Y71" i="41" s="1"/>
  <c r="Z71" i="41" s="1"/>
  <c r="AA71" i="41" s="1"/>
  <c r="AB71" i="41" s="1"/>
  <c r="AC71" i="41" s="1"/>
  <c r="AD71" i="41" s="1"/>
  <c r="AE71" i="41" s="1"/>
  <c r="AF71" i="41" s="1"/>
  <c r="AG71" i="41" s="1"/>
  <c r="AH71" i="41" s="1"/>
  <c r="F6" i="41"/>
  <c r="F12" i="41"/>
  <c r="F21" i="29"/>
  <c r="E70" i="41"/>
  <c r="F70" i="41" s="1"/>
  <c r="G70" i="41" s="1"/>
  <c r="H70" i="41" s="1"/>
  <c r="I70" i="41" s="1"/>
  <c r="J70" i="41" s="1"/>
  <c r="K70" i="41" s="1"/>
  <c r="L70" i="41" s="1"/>
  <c r="M70" i="41" s="1"/>
  <c r="N70" i="41" s="1"/>
  <c r="O70" i="41" s="1"/>
  <c r="P70" i="41" s="1"/>
  <c r="Q70" i="41" s="1"/>
  <c r="R70" i="41" s="1"/>
  <c r="S70" i="41" s="1"/>
  <c r="T70" i="41" s="1"/>
  <c r="U70" i="41" s="1"/>
  <c r="V70" i="41" s="1"/>
  <c r="W70" i="41" s="1"/>
  <c r="X70" i="41" s="1"/>
  <c r="Y70" i="41" s="1"/>
  <c r="Z70" i="41" s="1"/>
  <c r="AA70" i="41" s="1"/>
  <c r="AB70" i="41" s="1"/>
  <c r="AC70" i="41" s="1"/>
  <c r="AD70" i="41" s="1"/>
  <c r="AE70" i="41" s="1"/>
  <c r="AF70" i="41" s="1"/>
  <c r="AG70" i="41" s="1"/>
  <c r="AH70" i="41" s="1"/>
  <c r="E33" i="41"/>
  <c r="F33" i="41" s="1"/>
  <c r="G33" i="41" s="1"/>
  <c r="H33" i="41" s="1"/>
  <c r="I33" i="41" s="1"/>
  <c r="J33" i="41" s="1"/>
  <c r="K33" i="41" s="1"/>
  <c r="L33" i="41" s="1"/>
  <c r="M33" i="41" s="1"/>
  <c r="N33" i="41" s="1"/>
  <c r="O33" i="41" s="1"/>
  <c r="P33" i="41" s="1"/>
  <c r="Q33" i="41" s="1"/>
  <c r="R33" i="41" s="1"/>
  <c r="S33" i="41" s="1"/>
  <c r="T33" i="41" s="1"/>
  <c r="U33" i="41" s="1"/>
  <c r="V33" i="41" s="1"/>
  <c r="W33" i="41" s="1"/>
  <c r="X33" i="41" s="1"/>
  <c r="Y33" i="41" s="1"/>
  <c r="Z33" i="41" s="1"/>
  <c r="AA33" i="41" s="1"/>
  <c r="AB33" i="41" s="1"/>
  <c r="AC33" i="41" s="1"/>
  <c r="AD33" i="41" s="1"/>
  <c r="AE33" i="41" s="1"/>
  <c r="AF33" i="41" s="1"/>
  <c r="AG33" i="41" s="1"/>
  <c r="AH33" i="41" s="1"/>
  <c r="D6" i="41"/>
  <c r="G18" i="29"/>
  <c r="F54" i="41"/>
  <c r="G54" i="41" s="1"/>
  <c r="H54" i="41" s="1"/>
  <c r="I54" i="41" s="1"/>
  <c r="J54" i="41" s="1"/>
  <c r="K54" i="41" s="1"/>
  <c r="L54" i="41" s="1"/>
  <c r="M54" i="41" s="1"/>
  <c r="N54" i="41" s="1"/>
  <c r="O54" i="41" s="1"/>
  <c r="P54" i="41" s="1"/>
  <c r="Q54" i="41" s="1"/>
  <c r="R54" i="41" s="1"/>
  <c r="S54" i="41" s="1"/>
  <c r="T54" i="41" s="1"/>
  <c r="U54" i="41" s="1"/>
  <c r="V54" i="41" s="1"/>
  <c r="W54" i="41" s="1"/>
  <c r="X54" i="41" s="1"/>
  <c r="Y54" i="41" s="1"/>
  <c r="Z54" i="41" s="1"/>
  <c r="AA54" i="41" s="1"/>
  <c r="AB54" i="41" s="1"/>
  <c r="AC54" i="41" s="1"/>
  <c r="AD54" i="41" s="1"/>
  <c r="AE54" i="41" s="1"/>
  <c r="AF54" i="41" s="1"/>
  <c r="AG54" i="41" s="1"/>
  <c r="AH54" i="41" s="1"/>
  <c r="C128" i="38"/>
  <c r="C127" i="38"/>
  <c r="C65" i="42"/>
  <c r="C62" i="42"/>
  <c r="C61" i="42"/>
  <c r="C64" i="42"/>
  <c r="C66" i="42"/>
  <c r="C85" i="42" s="1"/>
  <c r="C67" i="42"/>
  <c r="AG231" i="42"/>
  <c r="AG232" i="42" s="1"/>
  <c r="AG231" i="38"/>
  <c r="AG232" i="38" s="1"/>
  <c r="AG216" i="42"/>
  <c r="AG217" i="42" s="1"/>
  <c r="AG216" i="38"/>
  <c r="AG217" i="38" s="1"/>
  <c r="E19" i="38"/>
  <c r="F21" i="38"/>
  <c r="E22" i="38"/>
  <c r="AG126" i="42"/>
  <c r="D126" i="42" s="1"/>
  <c r="AG126" i="38"/>
  <c r="D126" i="38" s="1"/>
  <c r="C232" i="38"/>
  <c r="C183" i="42"/>
  <c r="C184" i="42" s="1"/>
  <c r="C217" i="38"/>
  <c r="F18" i="38"/>
  <c r="C66" i="38"/>
  <c r="C85" i="38" s="1"/>
  <c r="C65" i="38"/>
  <c r="C67" i="38"/>
  <c r="C62" i="38"/>
  <c r="C61" i="38"/>
  <c r="C64" i="38"/>
  <c r="C232" i="42"/>
  <c r="AG181" i="42"/>
  <c r="AG181" i="38"/>
  <c r="D181" i="38" s="1"/>
  <c r="E181" i="38" s="1"/>
  <c r="F181" i="38" s="1"/>
  <c r="G181" i="38" s="1"/>
  <c r="H181" i="38" s="1"/>
  <c r="I181" i="38" s="1"/>
  <c r="J181" i="38" s="1"/>
  <c r="K181" i="38" s="1"/>
  <c r="L181" i="38" s="1"/>
  <c r="M181" i="38" s="1"/>
  <c r="N181" i="38" s="1"/>
  <c r="O181" i="38" s="1"/>
  <c r="P181" i="38" s="1"/>
  <c r="Q181" i="38" s="1"/>
  <c r="R181" i="38" s="1"/>
  <c r="S181" i="38" s="1"/>
  <c r="T181" i="38" s="1"/>
  <c r="U181" i="38" s="1"/>
  <c r="V181" i="38" s="1"/>
  <c r="W181" i="38" s="1"/>
  <c r="X181" i="38" s="1"/>
  <c r="Y181" i="38" s="1"/>
  <c r="Z181" i="38" s="1"/>
  <c r="AA181" i="38" s="1"/>
  <c r="AB181" i="38" s="1"/>
  <c r="AC181" i="38" s="1"/>
  <c r="AD181" i="38" s="1"/>
  <c r="AE181" i="38" s="1"/>
  <c r="AF181" i="38" s="1"/>
  <c r="C128" i="42"/>
  <c r="C129" i="42" s="1"/>
  <c r="AG60" i="42"/>
  <c r="AG60" i="38"/>
  <c r="C182" i="38"/>
  <c r="C183" i="38"/>
  <c r="E20" i="38"/>
  <c r="E12" i="34"/>
  <c r="E74" i="34" s="1"/>
  <c r="F74" i="34" s="1"/>
  <c r="G74" i="34" s="1"/>
  <c r="H74" i="34" s="1"/>
  <c r="I74" i="34" s="1"/>
  <c r="J74" i="34" s="1"/>
  <c r="K74" i="34" s="1"/>
  <c r="L74" i="34" s="1"/>
  <c r="M74" i="34" s="1"/>
  <c r="N74" i="34" s="1"/>
  <c r="O74" i="34" s="1"/>
  <c r="P74" i="34" s="1"/>
  <c r="Q74" i="34" s="1"/>
  <c r="R74" i="34" s="1"/>
  <c r="S74" i="34" s="1"/>
  <c r="T74" i="34" s="1"/>
  <c r="U74" i="34" s="1"/>
  <c r="V74" i="34" s="1"/>
  <c r="W74" i="34" s="1"/>
  <c r="X74" i="34" s="1"/>
  <c r="Y74" i="34" s="1"/>
  <c r="Z74" i="34" s="1"/>
  <c r="AA74" i="34" s="1"/>
  <c r="AB74" i="34" s="1"/>
  <c r="AC74" i="34" s="1"/>
  <c r="AD74" i="34" s="1"/>
  <c r="AE74" i="34" s="1"/>
  <c r="AF74" i="34" s="1"/>
  <c r="AG74" i="34" s="1"/>
  <c r="AH74" i="34" s="1"/>
  <c r="D27" i="34"/>
  <c r="E103" i="34" s="1"/>
  <c r="D31" i="34"/>
  <c r="E107" i="34" s="1"/>
  <c r="F107" i="34" s="1"/>
  <c r="G107" i="34" s="1"/>
  <c r="H107" i="34" s="1"/>
  <c r="I107" i="34" s="1"/>
  <c r="J107" i="34" s="1"/>
  <c r="K107" i="34" s="1"/>
  <c r="L107" i="34" s="1"/>
  <c r="M107" i="34" s="1"/>
  <c r="N107" i="34" s="1"/>
  <c r="O107" i="34" s="1"/>
  <c r="P107" i="34" s="1"/>
  <c r="Q107" i="34" s="1"/>
  <c r="R107" i="34" s="1"/>
  <c r="S107" i="34" s="1"/>
  <c r="T107" i="34" s="1"/>
  <c r="U107" i="34" s="1"/>
  <c r="V107" i="34" s="1"/>
  <c r="W107" i="34" s="1"/>
  <c r="X107" i="34" s="1"/>
  <c r="Y107" i="34" s="1"/>
  <c r="Z107" i="34" s="1"/>
  <c r="AA107" i="34" s="1"/>
  <c r="AB107" i="34" s="1"/>
  <c r="AC107" i="34" s="1"/>
  <c r="AD107" i="34" s="1"/>
  <c r="AE107" i="34" s="1"/>
  <c r="AF107" i="34" s="1"/>
  <c r="AG107" i="34" s="1"/>
  <c r="AH107" i="34" s="1"/>
  <c r="E15" i="34"/>
  <c r="E77" i="34" s="1"/>
  <c r="F77" i="34" s="1"/>
  <c r="G77" i="34" s="1"/>
  <c r="H77" i="34" s="1"/>
  <c r="I77" i="34" s="1"/>
  <c r="J77" i="34" s="1"/>
  <c r="K77" i="34" s="1"/>
  <c r="L77" i="34" s="1"/>
  <c r="M77" i="34" s="1"/>
  <c r="N77" i="34" s="1"/>
  <c r="O77" i="34" s="1"/>
  <c r="P77" i="34" s="1"/>
  <c r="Q77" i="34" s="1"/>
  <c r="R77" i="34" s="1"/>
  <c r="S77" i="34" s="1"/>
  <c r="T77" i="34" s="1"/>
  <c r="U77" i="34" s="1"/>
  <c r="V77" i="34" s="1"/>
  <c r="W77" i="34" s="1"/>
  <c r="X77" i="34" s="1"/>
  <c r="Y77" i="34" s="1"/>
  <c r="Z77" i="34" s="1"/>
  <c r="AA77" i="34" s="1"/>
  <c r="AB77" i="34" s="1"/>
  <c r="AC77" i="34" s="1"/>
  <c r="AD77" i="34" s="1"/>
  <c r="AE77" i="34" s="1"/>
  <c r="AF77" i="34" s="1"/>
  <c r="AG77" i="34" s="1"/>
  <c r="AH77" i="34" s="1"/>
  <c r="F91" i="34"/>
  <c r="G91" i="34" s="1"/>
  <c r="H91" i="34" s="1"/>
  <c r="I91" i="34" s="1"/>
  <c r="J91" i="34" s="1"/>
  <c r="K91" i="34" s="1"/>
  <c r="L91" i="34" s="1"/>
  <c r="M91" i="34" s="1"/>
  <c r="N91" i="34" s="1"/>
  <c r="O91" i="34" s="1"/>
  <c r="P91" i="34" s="1"/>
  <c r="Q91" i="34" s="1"/>
  <c r="R91" i="34" s="1"/>
  <c r="S91" i="34" s="1"/>
  <c r="T91" i="34" s="1"/>
  <c r="U91" i="34" s="1"/>
  <c r="V91" i="34" s="1"/>
  <c r="W91" i="34" s="1"/>
  <c r="X91" i="34" s="1"/>
  <c r="Y91" i="34" s="1"/>
  <c r="Z91" i="34" s="1"/>
  <c r="AA91" i="34" s="1"/>
  <c r="AB91" i="34" s="1"/>
  <c r="AC91" i="34" s="1"/>
  <c r="AD91" i="34" s="1"/>
  <c r="AE91" i="34" s="1"/>
  <c r="AF91" i="34" s="1"/>
  <c r="AG91" i="34" s="1"/>
  <c r="AH91" i="34" s="1"/>
  <c r="E83" i="34"/>
  <c r="F83" i="34" s="1"/>
  <c r="G83" i="34" s="1"/>
  <c r="H83" i="34" s="1"/>
  <c r="I83" i="34" s="1"/>
  <c r="J83" i="34" s="1"/>
  <c r="K83" i="34" s="1"/>
  <c r="L83" i="34" s="1"/>
  <c r="M83" i="34" s="1"/>
  <c r="N83" i="34" s="1"/>
  <c r="O83" i="34" s="1"/>
  <c r="P83" i="34" s="1"/>
  <c r="Q83" i="34" s="1"/>
  <c r="R83" i="34" s="1"/>
  <c r="S83" i="34" s="1"/>
  <c r="T83" i="34" s="1"/>
  <c r="U83" i="34" s="1"/>
  <c r="V83" i="34" s="1"/>
  <c r="W83" i="34" s="1"/>
  <c r="X83" i="34" s="1"/>
  <c r="Y83" i="34" s="1"/>
  <c r="Z83" i="34" s="1"/>
  <c r="AA83" i="34" s="1"/>
  <c r="AB83" i="34" s="1"/>
  <c r="AC83" i="34" s="1"/>
  <c r="AD83" i="34" s="1"/>
  <c r="AE83" i="34" s="1"/>
  <c r="AF83" i="34" s="1"/>
  <c r="AG83" i="34" s="1"/>
  <c r="AH83" i="34" s="1"/>
  <c r="AG122" i="20"/>
  <c r="AG125" i="20"/>
  <c r="AG120" i="20"/>
  <c r="AG123" i="20"/>
  <c r="AG124" i="20"/>
  <c r="AG121" i="20"/>
  <c r="F14" i="34"/>
  <c r="E81" i="34" s="1"/>
  <c r="F81" i="34" s="1"/>
  <c r="G81" i="34" s="1"/>
  <c r="H81" i="34" s="1"/>
  <c r="I81" i="34" s="1"/>
  <c r="J81" i="34" s="1"/>
  <c r="K81" i="34" s="1"/>
  <c r="L81" i="34" s="1"/>
  <c r="M81" i="34" s="1"/>
  <c r="N81" i="34" s="1"/>
  <c r="O81" i="34" s="1"/>
  <c r="P81" i="34" s="1"/>
  <c r="Q81" i="34" s="1"/>
  <c r="R81" i="34" s="1"/>
  <c r="S81" i="34" s="1"/>
  <c r="T81" i="34" s="1"/>
  <c r="U81" i="34" s="1"/>
  <c r="V81" i="34" s="1"/>
  <c r="W81" i="34" s="1"/>
  <c r="X81" i="34" s="1"/>
  <c r="Y81" i="34" s="1"/>
  <c r="Z81" i="34" s="1"/>
  <c r="AA81" i="34" s="1"/>
  <c r="AB81" i="34" s="1"/>
  <c r="AC81" i="34" s="1"/>
  <c r="AD81" i="34" s="1"/>
  <c r="AE81" i="34" s="1"/>
  <c r="AF81" i="34" s="1"/>
  <c r="AG81" i="34" s="1"/>
  <c r="AH81" i="34" s="1"/>
  <c r="D15" i="34"/>
  <c r="E72" i="34" s="1"/>
  <c r="F72" i="34" s="1"/>
  <c r="G72" i="34" s="1"/>
  <c r="H72" i="34" s="1"/>
  <c r="I72" i="34" s="1"/>
  <c r="J72" i="34" s="1"/>
  <c r="K72" i="34" s="1"/>
  <c r="L72" i="34" s="1"/>
  <c r="M72" i="34" s="1"/>
  <c r="N72" i="34" s="1"/>
  <c r="O72" i="34" s="1"/>
  <c r="P72" i="34" s="1"/>
  <c r="Q72" i="34" s="1"/>
  <c r="R72" i="34" s="1"/>
  <c r="S72" i="34" s="1"/>
  <c r="T72" i="34" s="1"/>
  <c r="U72" i="34" s="1"/>
  <c r="V72" i="34" s="1"/>
  <c r="W72" i="34" s="1"/>
  <c r="X72" i="34" s="1"/>
  <c r="Y72" i="34" s="1"/>
  <c r="Z72" i="34" s="1"/>
  <c r="AA72" i="34" s="1"/>
  <c r="AB72" i="34" s="1"/>
  <c r="AC72" i="34" s="1"/>
  <c r="AD72" i="34" s="1"/>
  <c r="AE72" i="34" s="1"/>
  <c r="AF72" i="34" s="1"/>
  <c r="AG72" i="34" s="1"/>
  <c r="AH72" i="34" s="1"/>
  <c r="D38" i="34"/>
  <c r="E111" i="34" s="1"/>
  <c r="F111" i="34" s="1"/>
  <c r="G111" i="34" s="1"/>
  <c r="H111" i="34" s="1"/>
  <c r="I111" i="34" s="1"/>
  <c r="J111" i="34" s="1"/>
  <c r="K111" i="34" s="1"/>
  <c r="L111" i="34" s="1"/>
  <c r="M111" i="34" s="1"/>
  <c r="N111" i="34" s="1"/>
  <c r="O111" i="34" s="1"/>
  <c r="P111" i="34" s="1"/>
  <c r="Q111" i="34" s="1"/>
  <c r="R111" i="34" s="1"/>
  <c r="S111" i="34" s="1"/>
  <c r="T111" i="34" s="1"/>
  <c r="U111" i="34" s="1"/>
  <c r="V111" i="34" s="1"/>
  <c r="W111" i="34" s="1"/>
  <c r="X111" i="34" s="1"/>
  <c r="Y111" i="34" s="1"/>
  <c r="Z111" i="34" s="1"/>
  <c r="AA111" i="34" s="1"/>
  <c r="AB111" i="34" s="1"/>
  <c r="AC111" i="34" s="1"/>
  <c r="AD111" i="34" s="1"/>
  <c r="AE111" i="34" s="1"/>
  <c r="AF111" i="34" s="1"/>
  <c r="AG111" i="34" s="1"/>
  <c r="AH111" i="34" s="1"/>
  <c r="E101" i="34"/>
  <c r="F101" i="34" s="1"/>
  <c r="G101" i="34" s="1"/>
  <c r="H101" i="34" s="1"/>
  <c r="I101" i="34" s="1"/>
  <c r="J101" i="34" s="1"/>
  <c r="K101" i="34" s="1"/>
  <c r="L101" i="34" s="1"/>
  <c r="M101" i="34" s="1"/>
  <c r="N101" i="34" s="1"/>
  <c r="O101" i="34" s="1"/>
  <c r="P101" i="34" s="1"/>
  <c r="Q101" i="34" s="1"/>
  <c r="R101" i="34" s="1"/>
  <c r="S101" i="34" s="1"/>
  <c r="T101" i="34" s="1"/>
  <c r="U101" i="34" s="1"/>
  <c r="V101" i="34" s="1"/>
  <c r="W101" i="34" s="1"/>
  <c r="X101" i="34" s="1"/>
  <c r="Y101" i="34" s="1"/>
  <c r="Z101" i="34" s="1"/>
  <c r="AA101" i="34" s="1"/>
  <c r="AB101" i="34" s="1"/>
  <c r="AC101" i="34" s="1"/>
  <c r="AD101" i="34" s="1"/>
  <c r="AE101" i="34" s="1"/>
  <c r="AF101" i="34" s="1"/>
  <c r="AG101" i="34" s="1"/>
  <c r="AH101" i="34" s="1"/>
  <c r="C76" i="33"/>
  <c r="C18" i="20" s="1"/>
  <c r="D30" i="34"/>
  <c r="E106" i="34" s="1"/>
  <c r="F106" i="34" s="1"/>
  <c r="G106" i="34" s="1"/>
  <c r="H106" i="34" s="1"/>
  <c r="I106" i="34" s="1"/>
  <c r="J106" i="34" s="1"/>
  <c r="K106" i="34" s="1"/>
  <c r="L106" i="34" s="1"/>
  <c r="M106" i="34" s="1"/>
  <c r="N106" i="34" s="1"/>
  <c r="O106" i="34" s="1"/>
  <c r="P106" i="34" s="1"/>
  <c r="Q106" i="34" s="1"/>
  <c r="R106" i="34" s="1"/>
  <c r="S106" i="34" s="1"/>
  <c r="T106" i="34" s="1"/>
  <c r="U106" i="34" s="1"/>
  <c r="V106" i="34" s="1"/>
  <c r="W106" i="34" s="1"/>
  <c r="X106" i="34" s="1"/>
  <c r="Y106" i="34" s="1"/>
  <c r="Z106" i="34" s="1"/>
  <c r="AA106" i="34" s="1"/>
  <c r="AB106" i="34" s="1"/>
  <c r="AC106" i="34" s="1"/>
  <c r="AD106" i="34" s="1"/>
  <c r="AE106" i="34" s="1"/>
  <c r="AF106" i="34" s="1"/>
  <c r="AG106" i="34" s="1"/>
  <c r="AH106" i="34" s="1"/>
  <c r="F13" i="34"/>
  <c r="E80" i="34" s="1"/>
  <c r="F80" i="34" s="1"/>
  <c r="G80" i="34" s="1"/>
  <c r="H80" i="34" s="1"/>
  <c r="I80" i="34" s="1"/>
  <c r="J80" i="34" s="1"/>
  <c r="K80" i="34" s="1"/>
  <c r="L80" i="34" s="1"/>
  <c r="M80" i="34" s="1"/>
  <c r="N80" i="34" s="1"/>
  <c r="O80" i="34" s="1"/>
  <c r="P80" i="34" s="1"/>
  <c r="Q80" i="34" s="1"/>
  <c r="R80" i="34" s="1"/>
  <c r="S80" i="34" s="1"/>
  <c r="T80" i="34" s="1"/>
  <c r="U80" i="34" s="1"/>
  <c r="V80" i="34" s="1"/>
  <c r="W80" i="34" s="1"/>
  <c r="X80" i="34" s="1"/>
  <c r="Y80" i="34" s="1"/>
  <c r="Z80" i="34" s="1"/>
  <c r="AA80" i="34" s="1"/>
  <c r="AB80" i="34" s="1"/>
  <c r="AC80" i="34" s="1"/>
  <c r="AD80" i="34" s="1"/>
  <c r="AE80" i="34" s="1"/>
  <c r="AF80" i="34" s="1"/>
  <c r="AG80" i="34" s="1"/>
  <c r="AH80" i="34" s="1"/>
  <c r="D107" i="28"/>
  <c r="C108" i="28"/>
  <c r="D39" i="34"/>
  <c r="E112" i="34" s="1"/>
  <c r="F112" i="34" s="1"/>
  <c r="G112" i="34" s="1"/>
  <c r="H112" i="34" s="1"/>
  <c r="I112" i="34" s="1"/>
  <c r="J112" i="34" s="1"/>
  <c r="K112" i="34" s="1"/>
  <c r="L112" i="34" s="1"/>
  <c r="M112" i="34" s="1"/>
  <c r="N112" i="34" s="1"/>
  <c r="O112" i="34" s="1"/>
  <c r="P112" i="34" s="1"/>
  <c r="Q112" i="34" s="1"/>
  <c r="R112" i="34" s="1"/>
  <c r="S112" i="34" s="1"/>
  <c r="T112" i="34" s="1"/>
  <c r="U112" i="34" s="1"/>
  <c r="V112" i="34" s="1"/>
  <c r="W112" i="34" s="1"/>
  <c r="X112" i="34" s="1"/>
  <c r="Y112" i="34" s="1"/>
  <c r="Z112" i="34" s="1"/>
  <c r="AA112" i="34" s="1"/>
  <c r="AB112" i="34" s="1"/>
  <c r="AC112" i="34" s="1"/>
  <c r="AD112" i="34" s="1"/>
  <c r="AE112" i="34" s="1"/>
  <c r="AF112" i="34" s="1"/>
  <c r="AG112" i="34" s="1"/>
  <c r="AH112" i="34" s="1"/>
  <c r="D11" i="34"/>
  <c r="D119" i="20"/>
  <c r="C125" i="20"/>
  <c r="C122" i="20"/>
  <c r="C123" i="20"/>
  <c r="C121" i="20"/>
  <c r="C124" i="20"/>
  <c r="C120" i="20"/>
  <c r="C196" i="20"/>
  <c r="D195" i="20"/>
  <c r="H18" i="28"/>
  <c r="C22" i="19"/>
  <c r="D22" i="19" s="1"/>
  <c r="E22" i="19" s="1"/>
  <c r="F22" i="19" s="1"/>
  <c r="G22" i="19" s="1"/>
  <c r="H22" i="19" s="1"/>
  <c r="I22" i="19" s="1"/>
  <c r="J22" i="19" s="1"/>
  <c r="K22" i="19" s="1"/>
  <c r="L22" i="19" s="1"/>
  <c r="M22" i="19" s="1"/>
  <c r="N22" i="19" s="1"/>
  <c r="O22" i="19" s="1"/>
  <c r="P22" i="19" s="1"/>
  <c r="Q22" i="19" s="1"/>
  <c r="R22" i="19" s="1"/>
  <c r="S22" i="19" s="1"/>
  <c r="T22" i="19" s="1"/>
  <c r="U22" i="19" s="1"/>
  <c r="V22" i="19" s="1"/>
  <c r="W22" i="19" s="1"/>
  <c r="X22" i="19" s="1"/>
  <c r="Y22" i="19" s="1"/>
  <c r="Z22" i="19" s="1"/>
  <c r="AA22" i="19" s="1"/>
  <c r="AB22" i="19" s="1"/>
  <c r="AC22" i="19" s="1"/>
  <c r="AD22" i="19" s="1"/>
  <c r="AE22" i="19" s="1"/>
  <c r="AF22" i="19" s="1"/>
  <c r="AG22" i="19" s="1"/>
  <c r="D22" i="20"/>
  <c r="E22" i="20" s="1"/>
  <c r="F22" i="20" s="1"/>
  <c r="G22" i="20" s="1"/>
  <c r="H22" i="20" s="1"/>
  <c r="I22" i="20" s="1"/>
  <c r="J22" i="20" s="1"/>
  <c r="K22" i="20" s="1"/>
  <c r="L22" i="20" s="1"/>
  <c r="M22" i="20" s="1"/>
  <c r="N22" i="20" s="1"/>
  <c r="O22" i="20" s="1"/>
  <c r="P22" i="20" s="1"/>
  <c r="Q22" i="20" s="1"/>
  <c r="R22" i="20" s="1"/>
  <c r="S22" i="20" s="1"/>
  <c r="T22" i="20" s="1"/>
  <c r="U22" i="20" s="1"/>
  <c r="V22" i="20" s="1"/>
  <c r="W22" i="20" s="1"/>
  <c r="X22" i="20" s="1"/>
  <c r="Y22" i="20" s="1"/>
  <c r="Z22" i="20" s="1"/>
  <c r="AA22" i="20" s="1"/>
  <c r="C21" i="19"/>
  <c r="D21" i="19" s="1"/>
  <c r="E21" i="19" s="1"/>
  <c r="F21" i="19" s="1"/>
  <c r="G21" i="19" s="1"/>
  <c r="H21" i="19" s="1"/>
  <c r="I21" i="19" s="1"/>
  <c r="J21" i="19" s="1"/>
  <c r="K21" i="19" s="1"/>
  <c r="L21" i="19" s="1"/>
  <c r="M21" i="19" s="1"/>
  <c r="N21" i="19" s="1"/>
  <c r="O21" i="19" s="1"/>
  <c r="P21" i="19" s="1"/>
  <c r="Q21" i="19" s="1"/>
  <c r="R21" i="19" s="1"/>
  <c r="S21" i="19" s="1"/>
  <c r="T21" i="19" s="1"/>
  <c r="U21" i="19" s="1"/>
  <c r="V21" i="19" s="1"/>
  <c r="W21" i="19" s="1"/>
  <c r="X21" i="19" s="1"/>
  <c r="Y21" i="19" s="1"/>
  <c r="Z21" i="19" s="1"/>
  <c r="AA21" i="19" s="1"/>
  <c r="AB21" i="19" s="1"/>
  <c r="AC21" i="19" s="1"/>
  <c r="AD21" i="19" s="1"/>
  <c r="AE21" i="19" s="1"/>
  <c r="AF21" i="19" s="1"/>
  <c r="AG21" i="19" s="1"/>
  <c r="D21" i="20"/>
  <c r="E21" i="20" s="1"/>
  <c r="F21" i="20" s="1"/>
  <c r="G21" i="20" s="1"/>
  <c r="H21" i="20" s="1"/>
  <c r="I21" i="20" s="1"/>
  <c r="J21" i="20" s="1"/>
  <c r="K21" i="20" s="1"/>
  <c r="L21" i="20" s="1"/>
  <c r="M21" i="20" s="1"/>
  <c r="N21" i="20" s="1"/>
  <c r="O21" i="20" s="1"/>
  <c r="P21" i="20" s="1"/>
  <c r="Q21" i="20" s="1"/>
  <c r="R21" i="20" s="1"/>
  <c r="S21" i="20" s="1"/>
  <c r="T21" i="20" s="1"/>
  <c r="U21" i="20" s="1"/>
  <c r="V21" i="20" s="1"/>
  <c r="W21" i="20" s="1"/>
  <c r="X21" i="20" s="1"/>
  <c r="Y21" i="20" s="1"/>
  <c r="Z21" i="20" s="1"/>
  <c r="AA21" i="20" s="1"/>
  <c r="AB21" i="20" s="1"/>
  <c r="F19" i="28"/>
  <c r="G13" i="34"/>
  <c r="E85" i="34" s="1"/>
  <c r="F85" i="34" s="1"/>
  <c r="G85" i="34" s="1"/>
  <c r="H85" i="34" s="1"/>
  <c r="I85" i="34" s="1"/>
  <c r="J85" i="34" s="1"/>
  <c r="K85" i="34" s="1"/>
  <c r="L85" i="34" s="1"/>
  <c r="M85" i="34" s="1"/>
  <c r="N85" i="34" s="1"/>
  <c r="O85" i="34" s="1"/>
  <c r="P85" i="34" s="1"/>
  <c r="Q85" i="34" s="1"/>
  <c r="R85" i="34" s="1"/>
  <c r="S85" i="34" s="1"/>
  <c r="T85" i="34" s="1"/>
  <c r="U85" i="34" s="1"/>
  <c r="V85" i="34" s="1"/>
  <c r="W85" i="34" s="1"/>
  <c r="X85" i="34" s="1"/>
  <c r="Y85" i="34" s="1"/>
  <c r="Z85" i="34" s="1"/>
  <c r="AA85" i="34" s="1"/>
  <c r="AB85" i="34" s="1"/>
  <c r="AC85" i="34" s="1"/>
  <c r="AD85" i="34" s="1"/>
  <c r="AE85" i="34" s="1"/>
  <c r="AF85" i="34" s="1"/>
  <c r="AG85" i="34" s="1"/>
  <c r="AH85" i="34" s="1"/>
  <c r="E92" i="34"/>
  <c r="F92" i="34" s="1"/>
  <c r="G92" i="34" s="1"/>
  <c r="H92" i="34" s="1"/>
  <c r="I92" i="34" s="1"/>
  <c r="J92" i="34" s="1"/>
  <c r="K92" i="34" s="1"/>
  <c r="L92" i="34" s="1"/>
  <c r="M92" i="34" s="1"/>
  <c r="N92" i="34" s="1"/>
  <c r="O92" i="34" s="1"/>
  <c r="P92" i="34" s="1"/>
  <c r="Q92" i="34" s="1"/>
  <c r="R92" i="34" s="1"/>
  <c r="S92" i="34" s="1"/>
  <c r="T92" i="34" s="1"/>
  <c r="U92" i="34" s="1"/>
  <c r="V92" i="34" s="1"/>
  <c r="W92" i="34" s="1"/>
  <c r="X92" i="34" s="1"/>
  <c r="Y92" i="34" s="1"/>
  <c r="Z92" i="34" s="1"/>
  <c r="AA92" i="34" s="1"/>
  <c r="AB92" i="34" s="1"/>
  <c r="AC92" i="34" s="1"/>
  <c r="AD92" i="34" s="1"/>
  <c r="AE92" i="34" s="1"/>
  <c r="AF92" i="34" s="1"/>
  <c r="AG92" i="34" s="1"/>
  <c r="AH92" i="34" s="1"/>
  <c r="E11" i="34"/>
  <c r="D36" i="34"/>
  <c r="E109" i="34" s="1"/>
  <c r="F109" i="34" s="1"/>
  <c r="G109" i="34" s="1"/>
  <c r="H109" i="34" s="1"/>
  <c r="I109" i="34" s="1"/>
  <c r="J109" i="34" s="1"/>
  <c r="K109" i="34" s="1"/>
  <c r="L109" i="34" s="1"/>
  <c r="M109" i="34" s="1"/>
  <c r="N109" i="34" s="1"/>
  <c r="O109" i="34" s="1"/>
  <c r="P109" i="34" s="1"/>
  <c r="Q109" i="34" s="1"/>
  <c r="R109" i="34" s="1"/>
  <c r="S109" i="34" s="1"/>
  <c r="T109" i="34" s="1"/>
  <c r="U109" i="34" s="1"/>
  <c r="V109" i="34" s="1"/>
  <c r="W109" i="34" s="1"/>
  <c r="X109" i="34" s="1"/>
  <c r="Y109" i="34" s="1"/>
  <c r="Z109" i="34" s="1"/>
  <c r="AA109" i="34" s="1"/>
  <c r="AB109" i="34" s="1"/>
  <c r="AC109" i="34" s="1"/>
  <c r="AD109" i="34" s="1"/>
  <c r="AE109" i="34" s="1"/>
  <c r="AF109" i="34" s="1"/>
  <c r="AG109" i="34" s="1"/>
  <c r="AH109" i="34" s="1"/>
  <c r="AG63" i="28"/>
  <c r="AG60" i="28"/>
  <c r="AG64" i="28"/>
  <c r="AG61" i="28"/>
  <c r="D82" i="28"/>
  <c r="C87" i="28"/>
  <c r="C83" i="28"/>
  <c r="C86" i="28"/>
  <c r="C85" i="28"/>
  <c r="C84" i="28"/>
  <c r="C88" i="28"/>
  <c r="AG83" i="28"/>
  <c r="AG88" i="28"/>
  <c r="AG85" i="28"/>
  <c r="AG86" i="28"/>
  <c r="AG87" i="28"/>
  <c r="AG84" i="28"/>
  <c r="D59" i="28"/>
  <c r="C60" i="28"/>
  <c r="C63" i="28"/>
  <c r="C64" i="28"/>
  <c r="C61" i="28"/>
  <c r="AG65" i="20"/>
  <c r="AG64" i="20"/>
  <c r="G22" i="28"/>
  <c r="F20" i="28"/>
  <c r="E14" i="34"/>
  <c r="E76" i="34" s="1"/>
  <c r="F76" i="34" s="1"/>
  <c r="G76" i="34" s="1"/>
  <c r="H76" i="34" s="1"/>
  <c r="I76" i="34" s="1"/>
  <c r="J76" i="34" s="1"/>
  <c r="K76" i="34" s="1"/>
  <c r="L76" i="34" s="1"/>
  <c r="M76" i="34" s="1"/>
  <c r="N76" i="34" s="1"/>
  <c r="O76" i="34" s="1"/>
  <c r="P76" i="34" s="1"/>
  <c r="Q76" i="34" s="1"/>
  <c r="R76" i="34" s="1"/>
  <c r="S76" i="34" s="1"/>
  <c r="T76" i="34" s="1"/>
  <c r="U76" i="34" s="1"/>
  <c r="V76" i="34" s="1"/>
  <c r="W76" i="34" s="1"/>
  <c r="X76" i="34" s="1"/>
  <c r="Y76" i="34" s="1"/>
  <c r="Z76" i="34" s="1"/>
  <c r="AA76" i="34" s="1"/>
  <c r="AB76" i="34" s="1"/>
  <c r="AC76" i="34" s="1"/>
  <c r="AD76" i="34" s="1"/>
  <c r="AE76" i="34" s="1"/>
  <c r="AF76" i="34" s="1"/>
  <c r="AG76" i="34" s="1"/>
  <c r="AH76" i="34" s="1"/>
  <c r="F15" i="34"/>
  <c r="E82" i="34" s="1"/>
  <c r="F82" i="34" s="1"/>
  <c r="G82" i="34" s="1"/>
  <c r="H82" i="34" s="1"/>
  <c r="I82" i="34" s="1"/>
  <c r="J82" i="34" s="1"/>
  <c r="K82" i="34" s="1"/>
  <c r="L82" i="34" s="1"/>
  <c r="M82" i="34" s="1"/>
  <c r="N82" i="34" s="1"/>
  <c r="O82" i="34" s="1"/>
  <c r="P82" i="34" s="1"/>
  <c r="Q82" i="34" s="1"/>
  <c r="R82" i="34" s="1"/>
  <c r="S82" i="34" s="1"/>
  <c r="T82" i="34" s="1"/>
  <c r="U82" i="34" s="1"/>
  <c r="V82" i="34" s="1"/>
  <c r="W82" i="34" s="1"/>
  <c r="X82" i="34" s="1"/>
  <c r="Y82" i="34" s="1"/>
  <c r="Z82" i="34" s="1"/>
  <c r="AA82" i="34" s="1"/>
  <c r="AB82" i="34" s="1"/>
  <c r="AC82" i="34" s="1"/>
  <c r="AD82" i="34" s="1"/>
  <c r="AE82" i="34" s="1"/>
  <c r="AF82" i="34" s="1"/>
  <c r="AG82" i="34" s="1"/>
  <c r="AH82" i="34" s="1"/>
  <c r="C19" i="19"/>
  <c r="D19" i="19" s="1"/>
  <c r="E19" i="19" s="1"/>
  <c r="F19" i="19" s="1"/>
  <c r="G19" i="19" s="1"/>
  <c r="H19" i="19" s="1"/>
  <c r="I19" i="19" s="1"/>
  <c r="J19" i="19" s="1"/>
  <c r="K19" i="19" s="1"/>
  <c r="L19" i="19" s="1"/>
  <c r="M19" i="19" s="1"/>
  <c r="N19" i="19" s="1"/>
  <c r="O19" i="19" s="1"/>
  <c r="P19" i="19" s="1"/>
  <c r="Q19" i="19" s="1"/>
  <c r="R19" i="19" s="1"/>
  <c r="S19" i="19" s="1"/>
  <c r="T19" i="19" s="1"/>
  <c r="U19" i="19" s="1"/>
  <c r="V19" i="19" s="1"/>
  <c r="W19" i="19" s="1"/>
  <c r="X19" i="19" s="1"/>
  <c r="Y19" i="19" s="1"/>
  <c r="Z19" i="19" s="1"/>
  <c r="AA19" i="19" s="1"/>
  <c r="AB19" i="19" s="1"/>
  <c r="AC19" i="19" s="1"/>
  <c r="AD19" i="19" s="1"/>
  <c r="AE19" i="19" s="1"/>
  <c r="AF19" i="19" s="1"/>
  <c r="AG19" i="19" s="1"/>
  <c r="D19" i="20"/>
  <c r="E19" i="20" s="1"/>
  <c r="F19" i="20" s="1"/>
  <c r="G19" i="20" s="1"/>
  <c r="H19" i="20" s="1"/>
  <c r="I19" i="20" s="1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U19" i="20" s="1"/>
  <c r="V19" i="20" s="1"/>
  <c r="W19" i="20" s="1"/>
  <c r="X19" i="20" s="1"/>
  <c r="Y19" i="20" s="1"/>
  <c r="Z19" i="20" s="1"/>
  <c r="AA19" i="20" s="1"/>
  <c r="D13" i="34"/>
  <c r="E70" i="34" s="1"/>
  <c r="F70" i="34" s="1"/>
  <c r="G70" i="34" s="1"/>
  <c r="H70" i="34" s="1"/>
  <c r="I70" i="34" s="1"/>
  <c r="J70" i="34" s="1"/>
  <c r="K70" i="34" s="1"/>
  <c r="L70" i="34" s="1"/>
  <c r="M70" i="34" s="1"/>
  <c r="N70" i="34" s="1"/>
  <c r="O70" i="34" s="1"/>
  <c r="P70" i="34" s="1"/>
  <c r="Q70" i="34" s="1"/>
  <c r="R70" i="34" s="1"/>
  <c r="S70" i="34" s="1"/>
  <c r="T70" i="34" s="1"/>
  <c r="U70" i="34" s="1"/>
  <c r="V70" i="34" s="1"/>
  <c r="W70" i="34" s="1"/>
  <c r="X70" i="34" s="1"/>
  <c r="Y70" i="34" s="1"/>
  <c r="Z70" i="34" s="1"/>
  <c r="AA70" i="34" s="1"/>
  <c r="AB70" i="34" s="1"/>
  <c r="AC70" i="34" s="1"/>
  <c r="AD70" i="34" s="1"/>
  <c r="AE70" i="34" s="1"/>
  <c r="AF70" i="34" s="1"/>
  <c r="AG70" i="34" s="1"/>
  <c r="AH70" i="34" s="1"/>
  <c r="D29" i="34"/>
  <c r="E105" i="34" s="1"/>
  <c r="F105" i="34" s="1"/>
  <c r="G105" i="34" s="1"/>
  <c r="H105" i="34" s="1"/>
  <c r="I105" i="34" s="1"/>
  <c r="J105" i="34" s="1"/>
  <c r="K105" i="34" s="1"/>
  <c r="L105" i="34" s="1"/>
  <c r="M105" i="34" s="1"/>
  <c r="N105" i="34" s="1"/>
  <c r="O105" i="34" s="1"/>
  <c r="P105" i="34" s="1"/>
  <c r="Q105" i="34" s="1"/>
  <c r="R105" i="34" s="1"/>
  <c r="S105" i="34" s="1"/>
  <c r="T105" i="34" s="1"/>
  <c r="U105" i="34" s="1"/>
  <c r="V105" i="34" s="1"/>
  <c r="W105" i="34" s="1"/>
  <c r="X105" i="34" s="1"/>
  <c r="Y105" i="34" s="1"/>
  <c r="Z105" i="34" s="1"/>
  <c r="AA105" i="34" s="1"/>
  <c r="AB105" i="34" s="1"/>
  <c r="AC105" i="34" s="1"/>
  <c r="AD105" i="34" s="1"/>
  <c r="AE105" i="34" s="1"/>
  <c r="AF105" i="34" s="1"/>
  <c r="AG105" i="34" s="1"/>
  <c r="AH105" i="34" s="1"/>
  <c r="E97" i="34"/>
  <c r="F97" i="34" s="1"/>
  <c r="G97" i="34" s="1"/>
  <c r="H97" i="34" s="1"/>
  <c r="I97" i="34" s="1"/>
  <c r="J97" i="34" s="1"/>
  <c r="K97" i="34" s="1"/>
  <c r="L97" i="34" s="1"/>
  <c r="M97" i="34" s="1"/>
  <c r="N97" i="34" s="1"/>
  <c r="O97" i="34" s="1"/>
  <c r="P97" i="34" s="1"/>
  <c r="Q97" i="34" s="1"/>
  <c r="R97" i="34" s="1"/>
  <c r="S97" i="34" s="1"/>
  <c r="T97" i="34" s="1"/>
  <c r="U97" i="34" s="1"/>
  <c r="V97" i="34" s="1"/>
  <c r="W97" i="34" s="1"/>
  <c r="X97" i="34" s="1"/>
  <c r="Y97" i="34" s="1"/>
  <c r="Z97" i="34" s="1"/>
  <c r="AA97" i="34" s="1"/>
  <c r="AB97" i="34" s="1"/>
  <c r="AC97" i="34" s="1"/>
  <c r="AD97" i="34" s="1"/>
  <c r="AE97" i="34" s="1"/>
  <c r="AF97" i="34" s="1"/>
  <c r="AG97" i="34" s="1"/>
  <c r="AH97" i="34" s="1"/>
  <c r="F11" i="34"/>
  <c r="C20" i="19"/>
  <c r="D20" i="19" s="1"/>
  <c r="E20" i="19" s="1"/>
  <c r="F20" i="19" s="1"/>
  <c r="G20" i="19" s="1"/>
  <c r="H20" i="19" s="1"/>
  <c r="I20" i="19" s="1"/>
  <c r="J20" i="19" s="1"/>
  <c r="K20" i="19" s="1"/>
  <c r="L20" i="19" s="1"/>
  <c r="M20" i="19" s="1"/>
  <c r="N20" i="19" s="1"/>
  <c r="O20" i="19" s="1"/>
  <c r="P20" i="19" s="1"/>
  <c r="Q20" i="19" s="1"/>
  <c r="R20" i="19" s="1"/>
  <c r="S20" i="19" s="1"/>
  <c r="T20" i="19" s="1"/>
  <c r="U20" i="19" s="1"/>
  <c r="V20" i="19" s="1"/>
  <c r="W20" i="19" s="1"/>
  <c r="X20" i="19" s="1"/>
  <c r="Y20" i="19" s="1"/>
  <c r="Z20" i="19" s="1"/>
  <c r="AA20" i="19" s="1"/>
  <c r="AB20" i="19" s="1"/>
  <c r="AC20" i="19" s="1"/>
  <c r="AD20" i="19" s="1"/>
  <c r="AE20" i="19" s="1"/>
  <c r="AF20" i="19" s="1"/>
  <c r="AG20" i="19" s="1"/>
  <c r="D20" i="20"/>
  <c r="E20" i="20" s="1"/>
  <c r="F20" i="20" s="1"/>
  <c r="G20" i="20" s="1"/>
  <c r="H20" i="20" s="1"/>
  <c r="I20" i="20" s="1"/>
  <c r="J20" i="20" s="1"/>
  <c r="K20" i="20" s="1"/>
  <c r="L20" i="20" s="1"/>
  <c r="M20" i="20" s="1"/>
  <c r="N20" i="20" s="1"/>
  <c r="O20" i="20" s="1"/>
  <c r="P20" i="20" s="1"/>
  <c r="Q20" i="20" s="1"/>
  <c r="R20" i="20" s="1"/>
  <c r="S20" i="20" s="1"/>
  <c r="T20" i="20" s="1"/>
  <c r="U20" i="20" s="1"/>
  <c r="V20" i="20" s="1"/>
  <c r="W20" i="20" s="1"/>
  <c r="X20" i="20" s="1"/>
  <c r="Y20" i="20" s="1"/>
  <c r="Z20" i="20" s="1"/>
  <c r="AA20" i="20" s="1"/>
  <c r="C265" i="19"/>
  <c r="D307" i="20"/>
  <c r="E13" i="34"/>
  <c r="E75" i="34" s="1"/>
  <c r="F75" i="34" s="1"/>
  <c r="G75" i="34" s="1"/>
  <c r="H75" i="34" s="1"/>
  <c r="I75" i="34" s="1"/>
  <c r="J75" i="34" s="1"/>
  <c r="K75" i="34" s="1"/>
  <c r="L75" i="34" s="1"/>
  <c r="M75" i="34" s="1"/>
  <c r="N75" i="34" s="1"/>
  <c r="O75" i="34" s="1"/>
  <c r="P75" i="34" s="1"/>
  <c r="Q75" i="34" s="1"/>
  <c r="R75" i="34" s="1"/>
  <c r="S75" i="34" s="1"/>
  <c r="T75" i="34" s="1"/>
  <c r="U75" i="34" s="1"/>
  <c r="V75" i="34" s="1"/>
  <c r="W75" i="34" s="1"/>
  <c r="X75" i="34" s="1"/>
  <c r="Y75" i="34" s="1"/>
  <c r="Z75" i="34" s="1"/>
  <c r="AA75" i="34" s="1"/>
  <c r="AB75" i="34" s="1"/>
  <c r="AC75" i="34" s="1"/>
  <c r="AD75" i="34" s="1"/>
  <c r="AE75" i="34" s="1"/>
  <c r="AF75" i="34" s="1"/>
  <c r="AG75" i="34" s="1"/>
  <c r="AH75" i="34" s="1"/>
  <c r="AG169" i="20"/>
  <c r="AG170" i="20"/>
  <c r="AG167" i="20"/>
  <c r="AG171" i="20"/>
  <c r="AG168" i="20"/>
  <c r="E102" i="34"/>
  <c r="F102" i="34" s="1"/>
  <c r="G102" i="34" s="1"/>
  <c r="H102" i="34" s="1"/>
  <c r="I102" i="34" s="1"/>
  <c r="J102" i="34" s="1"/>
  <c r="K102" i="34" s="1"/>
  <c r="L102" i="34" s="1"/>
  <c r="M102" i="34" s="1"/>
  <c r="N102" i="34" s="1"/>
  <c r="O102" i="34" s="1"/>
  <c r="P102" i="34" s="1"/>
  <c r="Q102" i="34" s="1"/>
  <c r="R102" i="34" s="1"/>
  <c r="S102" i="34" s="1"/>
  <c r="T102" i="34" s="1"/>
  <c r="U102" i="34" s="1"/>
  <c r="V102" i="34" s="1"/>
  <c r="W102" i="34" s="1"/>
  <c r="X102" i="34" s="1"/>
  <c r="Y102" i="34" s="1"/>
  <c r="Z102" i="34" s="1"/>
  <c r="AA102" i="34" s="1"/>
  <c r="AB102" i="34" s="1"/>
  <c r="AC102" i="34" s="1"/>
  <c r="AD102" i="34" s="1"/>
  <c r="AE102" i="34" s="1"/>
  <c r="AF102" i="34" s="1"/>
  <c r="AG102" i="34" s="1"/>
  <c r="AH102" i="34" s="1"/>
  <c r="D208" i="20"/>
  <c r="E208" i="20" s="1"/>
  <c r="F208" i="20" s="1"/>
  <c r="G208" i="20" s="1"/>
  <c r="H208" i="20" s="1"/>
  <c r="I208" i="20" s="1"/>
  <c r="J208" i="20" s="1"/>
  <c r="K208" i="20" s="1"/>
  <c r="L208" i="20" s="1"/>
  <c r="M208" i="20" s="1"/>
  <c r="N208" i="20" s="1"/>
  <c r="O208" i="20" s="1"/>
  <c r="P208" i="20" s="1"/>
  <c r="Q208" i="20" s="1"/>
  <c r="R208" i="20" s="1"/>
  <c r="S208" i="20" s="1"/>
  <c r="T208" i="20" s="1"/>
  <c r="U208" i="20" s="1"/>
  <c r="V208" i="20" s="1"/>
  <c r="W208" i="20" s="1"/>
  <c r="X208" i="20" s="1"/>
  <c r="Y208" i="20" s="1"/>
  <c r="Z208" i="20" s="1"/>
  <c r="AA208" i="20" s="1"/>
  <c r="AB208" i="20" s="1"/>
  <c r="AC208" i="20" s="1"/>
  <c r="AD208" i="20" s="1"/>
  <c r="AE208" i="20" s="1"/>
  <c r="AF208" i="20" s="1"/>
  <c r="G21" i="28"/>
  <c r="M74" i="12"/>
  <c r="M78" i="12"/>
  <c r="M79" i="12"/>
  <c r="M80" i="12"/>
  <c r="M75" i="12"/>
  <c r="M76" i="12"/>
  <c r="M77" i="12"/>
  <c r="AG6" i="20"/>
  <c r="AG5" i="20"/>
  <c r="N74" i="14"/>
  <c r="N80" i="14"/>
  <c r="N78" i="14"/>
  <c r="N76" i="14"/>
  <c r="N75" i="14"/>
  <c r="N79" i="14"/>
  <c r="N77" i="14"/>
  <c r="AB8" i="20"/>
  <c r="AB7" i="20"/>
  <c r="AA9" i="20"/>
  <c r="R33" i="11"/>
  <c r="Q34" i="11"/>
  <c r="Q35" i="11" s="1"/>
  <c r="Q36" i="11" s="1"/>
  <c r="P29" i="13"/>
  <c r="P30" i="13" s="1"/>
  <c r="Q28" i="13"/>
  <c r="O32" i="13"/>
  <c r="O31" i="13"/>
  <c r="O33" i="13" s="1"/>
  <c r="O63" i="36" s="1"/>
  <c r="AF4" i="20"/>
  <c r="P31" i="15"/>
  <c r="BI36" i="36" l="1"/>
  <c r="H92" i="45"/>
  <c r="BI22" i="36"/>
  <c r="AG89" i="36"/>
  <c r="AN92" i="45"/>
  <c r="AC83" i="36"/>
  <c r="I88" i="45"/>
  <c r="AD22" i="36"/>
  <c r="I53" i="45"/>
  <c r="AC27" i="36"/>
  <c r="BM51" i="36"/>
  <c r="BG86" i="36"/>
  <c r="AC37" i="38"/>
  <c r="BK19" i="36"/>
  <c r="BH86" i="36"/>
  <c r="AB37" i="42"/>
  <c r="AP50" i="45"/>
  <c r="AS74" i="36"/>
  <c r="AS72" i="36"/>
  <c r="AG93" i="36"/>
  <c r="AH51" i="36"/>
  <c r="BL93" i="36"/>
  <c r="BH80" i="36"/>
  <c r="P64" i="45"/>
  <c r="P61" i="45"/>
  <c r="BI80" i="36"/>
  <c r="AR4" i="51"/>
  <c r="P66" i="45"/>
  <c r="AR71" i="36"/>
  <c r="AT67" i="36"/>
  <c r="P72" i="12"/>
  <c r="P72" i="14"/>
  <c r="AA34" i="42"/>
  <c r="AB34" i="38"/>
  <c r="AC25" i="36"/>
  <c r="AC35" i="42"/>
  <c r="AD24" i="36"/>
  <c r="AD25" i="36" s="1"/>
  <c r="J50" i="45"/>
  <c r="H36" i="46"/>
  <c r="I51" i="45"/>
  <c r="H36" i="48"/>
  <c r="O73" i="14"/>
  <c r="O73" i="12"/>
  <c r="AF19" i="36"/>
  <c r="BI24" i="36"/>
  <c r="BI76" i="36"/>
  <c r="AU63" i="45"/>
  <c r="AF36" i="38"/>
  <c r="AU66" i="45"/>
  <c r="C171" i="20"/>
  <c r="D166" i="20"/>
  <c r="C169" i="20"/>
  <c r="G12" i="41"/>
  <c r="AV61" i="45"/>
  <c r="AV64" i="45"/>
  <c r="Q37" i="11"/>
  <c r="Q40" i="11"/>
  <c r="Q39" i="11"/>
  <c r="Q38" i="11"/>
  <c r="Q62" i="36" s="1"/>
  <c r="H6" i="41"/>
  <c r="E12" i="41"/>
  <c r="D12" i="41"/>
  <c r="C168" i="20"/>
  <c r="C170" i="20"/>
  <c r="C64" i="20"/>
  <c r="M4" i="51"/>
  <c r="E144" i="53"/>
  <c r="D145" i="53"/>
  <c r="BK31" i="36"/>
  <c r="C99" i="53"/>
  <c r="AG131" i="53"/>
  <c r="AG132" i="53"/>
  <c r="AG101" i="53"/>
  <c r="AG100" i="53"/>
  <c r="AG102" i="53"/>
  <c r="AG130" i="53"/>
  <c r="AG99" i="53"/>
  <c r="C102" i="53"/>
  <c r="C101" i="53"/>
  <c r="C100" i="53"/>
  <c r="D129" i="53"/>
  <c r="D128" i="53"/>
  <c r="D97" i="53"/>
  <c r="D98" i="53"/>
  <c r="G18" i="53"/>
  <c r="H21" i="53"/>
  <c r="G20" i="53"/>
  <c r="G19" i="53"/>
  <c r="G22" i="53"/>
  <c r="C65" i="20"/>
  <c r="C67" i="20" s="1"/>
  <c r="M97" i="44"/>
  <c r="N96" i="44" s="1"/>
  <c r="J95" i="44"/>
  <c r="J94" i="44"/>
  <c r="J90" i="44"/>
  <c r="J93" i="44"/>
  <c r="J91" i="44"/>
  <c r="J92" i="44"/>
  <c r="J96" i="44"/>
  <c r="AH89" i="36"/>
  <c r="AG36" i="38"/>
  <c r="BI59" i="36"/>
  <c r="C87" i="38"/>
  <c r="C86" i="38"/>
  <c r="C88" i="38"/>
  <c r="C89" i="42"/>
  <c r="C88" i="42"/>
  <c r="C92" i="42" s="1"/>
  <c r="C86" i="42"/>
  <c r="C90" i="42" s="1"/>
  <c r="C87" i="42"/>
  <c r="C91" i="42" s="1"/>
  <c r="BI61" i="36"/>
  <c r="BI38" i="36"/>
  <c r="AB33" i="42"/>
  <c r="AR46" i="45"/>
  <c r="AR49" i="45"/>
  <c r="AR47" i="45"/>
  <c r="AS45" i="45"/>
  <c r="AQ48" i="45"/>
  <c r="G360" i="46"/>
  <c r="K48" i="45"/>
  <c r="M45" i="45"/>
  <c r="L46" i="45"/>
  <c r="L49" i="45"/>
  <c r="L47" i="45"/>
  <c r="AO92" i="45"/>
  <c r="AO88" i="45"/>
  <c r="BI68" i="36"/>
  <c r="M98" i="44"/>
  <c r="N5" i="8"/>
  <c r="N6" i="8" s="1"/>
  <c r="AH54" i="36"/>
  <c r="BJ22" i="36"/>
  <c r="AD59" i="36"/>
  <c r="AD61" i="36"/>
  <c r="AE58" i="36"/>
  <c r="BK42" i="36"/>
  <c r="BJ35" i="36"/>
  <c r="BJ69" i="36"/>
  <c r="AE69" i="36"/>
  <c r="AF34" i="36"/>
  <c r="BJ58" i="36"/>
  <c r="AE22" i="36"/>
  <c r="BK34" i="36"/>
  <c r="AF31" i="36"/>
  <c r="BK57" i="36"/>
  <c r="BK56" i="36"/>
  <c r="AH39" i="36"/>
  <c r="AG41" i="36"/>
  <c r="BN49" i="36"/>
  <c r="BL41" i="36"/>
  <c r="BM39" i="36"/>
  <c r="BL40" i="36"/>
  <c r="BL32" i="36"/>
  <c r="BL29" i="36"/>
  <c r="BL30" i="36"/>
  <c r="BL33" i="36"/>
  <c r="BM28" i="36"/>
  <c r="AF57" i="36"/>
  <c r="AF56" i="36"/>
  <c r="AH17" i="36"/>
  <c r="BM17" i="36"/>
  <c r="AG18" i="36"/>
  <c r="AG55" i="36"/>
  <c r="BK21" i="36"/>
  <c r="BK20" i="36"/>
  <c r="BM52" i="36"/>
  <c r="BM54" i="36"/>
  <c r="BM89" i="36"/>
  <c r="AF21" i="36"/>
  <c r="AF20" i="36"/>
  <c r="BJ43" i="36"/>
  <c r="BJ45" i="36"/>
  <c r="BJ96" i="36"/>
  <c r="AG30" i="36"/>
  <c r="AG29" i="36"/>
  <c r="AH28" i="36"/>
  <c r="AG33" i="36"/>
  <c r="AG32" i="36"/>
  <c r="BL18" i="36"/>
  <c r="BL55" i="36"/>
  <c r="D181" i="42"/>
  <c r="AG182" i="42"/>
  <c r="AG183" i="42"/>
  <c r="O63" i="45"/>
  <c r="AU62" i="36"/>
  <c r="O67" i="36"/>
  <c r="AS70" i="36"/>
  <c r="AS105" i="36"/>
  <c r="N70" i="36"/>
  <c r="N105" i="36"/>
  <c r="AU63" i="36"/>
  <c r="O64" i="36"/>
  <c r="O65" i="36"/>
  <c r="AT64" i="36"/>
  <c r="AT65" i="36"/>
  <c r="D24" i="34"/>
  <c r="D231" i="38"/>
  <c r="E231" i="38" s="1"/>
  <c r="H18" i="29"/>
  <c r="D216" i="38"/>
  <c r="E216" i="38" s="1"/>
  <c r="E69" i="41"/>
  <c r="D231" i="42"/>
  <c r="E231" i="42" s="1"/>
  <c r="G21" i="29"/>
  <c r="D30" i="41"/>
  <c r="E72" i="41"/>
  <c r="E126" i="38"/>
  <c r="D182" i="38"/>
  <c r="D183" i="38"/>
  <c r="D128" i="38"/>
  <c r="D127" i="38"/>
  <c r="F20" i="38"/>
  <c r="AG65" i="38"/>
  <c r="AG66" i="38"/>
  <c r="AG85" i="38" s="1"/>
  <c r="AG67" i="38"/>
  <c r="AG64" i="38"/>
  <c r="AG61" i="38"/>
  <c r="AG62" i="38"/>
  <c r="E126" i="42"/>
  <c r="D128" i="42"/>
  <c r="D127" i="42"/>
  <c r="G18" i="38"/>
  <c r="C132" i="38"/>
  <c r="C130" i="38"/>
  <c r="C131" i="38"/>
  <c r="C185" i="38"/>
  <c r="C186" i="38"/>
  <c r="AG64" i="42"/>
  <c r="AG61" i="42"/>
  <c r="AG62" i="42"/>
  <c r="AG66" i="42"/>
  <c r="AG85" i="42" s="1"/>
  <c r="AG67" i="42"/>
  <c r="AG65" i="42"/>
  <c r="D60" i="42"/>
  <c r="C184" i="38"/>
  <c r="D216" i="42"/>
  <c r="C185" i="42"/>
  <c r="C186" i="42"/>
  <c r="AG183" i="38"/>
  <c r="AG182" i="38"/>
  <c r="AG127" i="38"/>
  <c r="AG128" i="38"/>
  <c r="G21" i="38"/>
  <c r="F19" i="38"/>
  <c r="C132" i="42"/>
  <c r="C130" i="42"/>
  <c r="C131" i="42"/>
  <c r="D60" i="38"/>
  <c r="AG127" i="42"/>
  <c r="AG128" i="42"/>
  <c r="F22" i="38"/>
  <c r="C63" i="42"/>
  <c r="C129" i="38"/>
  <c r="AG62" i="28"/>
  <c r="D63" i="28"/>
  <c r="D64" i="28"/>
  <c r="E59" i="28"/>
  <c r="D60" i="28"/>
  <c r="D61" i="28"/>
  <c r="E63" i="20"/>
  <c r="D65" i="20"/>
  <c r="D64" i="20"/>
  <c r="E195" i="20"/>
  <c r="D196" i="20"/>
  <c r="C18" i="19"/>
  <c r="D18" i="19" s="1"/>
  <c r="E18" i="19" s="1"/>
  <c r="F18" i="19" s="1"/>
  <c r="G18" i="19" s="1"/>
  <c r="H18" i="19" s="1"/>
  <c r="I18" i="19" s="1"/>
  <c r="J18" i="19" s="1"/>
  <c r="K18" i="19" s="1"/>
  <c r="L18" i="19" s="1"/>
  <c r="M18" i="19" s="1"/>
  <c r="N18" i="19" s="1"/>
  <c r="O18" i="19" s="1"/>
  <c r="P18" i="19" s="1"/>
  <c r="Q18" i="19" s="1"/>
  <c r="R18" i="19" s="1"/>
  <c r="S18" i="19" s="1"/>
  <c r="T18" i="19" s="1"/>
  <c r="U18" i="19" s="1"/>
  <c r="V18" i="19" s="1"/>
  <c r="W18" i="19" s="1"/>
  <c r="X18" i="19" s="1"/>
  <c r="Y18" i="19" s="1"/>
  <c r="Z18" i="19" s="1"/>
  <c r="AA18" i="19" s="1"/>
  <c r="AB18" i="19" s="1"/>
  <c r="AC18" i="19" s="1"/>
  <c r="AD18" i="19" s="1"/>
  <c r="AE18" i="19" s="1"/>
  <c r="AF18" i="19" s="1"/>
  <c r="AG18" i="19" s="1"/>
  <c r="D18" i="20"/>
  <c r="E18" i="20" s="1"/>
  <c r="F18" i="20" s="1"/>
  <c r="G18" i="20" s="1"/>
  <c r="H18" i="20" s="1"/>
  <c r="I18" i="20" s="1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H21" i="28"/>
  <c r="F16" i="34"/>
  <c r="E78" i="34"/>
  <c r="F78" i="34" s="1"/>
  <c r="G78" i="34" s="1"/>
  <c r="H78" i="34" s="1"/>
  <c r="I78" i="34" s="1"/>
  <c r="J78" i="34" s="1"/>
  <c r="K78" i="34" s="1"/>
  <c r="L78" i="34" s="1"/>
  <c r="M78" i="34" s="1"/>
  <c r="N78" i="34" s="1"/>
  <c r="O78" i="34" s="1"/>
  <c r="P78" i="34" s="1"/>
  <c r="Q78" i="34" s="1"/>
  <c r="R78" i="34" s="1"/>
  <c r="S78" i="34" s="1"/>
  <c r="T78" i="34" s="1"/>
  <c r="U78" i="34" s="1"/>
  <c r="V78" i="34" s="1"/>
  <c r="W78" i="34" s="1"/>
  <c r="X78" i="34" s="1"/>
  <c r="Y78" i="34" s="1"/>
  <c r="Z78" i="34" s="1"/>
  <c r="AA78" i="34" s="1"/>
  <c r="AB78" i="34" s="1"/>
  <c r="AC78" i="34" s="1"/>
  <c r="AD78" i="34" s="1"/>
  <c r="AE78" i="34" s="1"/>
  <c r="AF78" i="34" s="1"/>
  <c r="AG78" i="34" s="1"/>
  <c r="AH78" i="34" s="1"/>
  <c r="D169" i="20"/>
  <c r="D168" i="20"/>
  <c r="E166" i="20"/>
  <c r="F166" i="20" s="1"/>
  <c r="G166" i="20" s="1"/>
  <c r="H166" i="20" s="1"/>
  <c r="I166" i="20" s="1"/>
  <c r="J166" i="20" s="1"/>
  <c r="K166" i="20" s="1"/>
  <c r="L166" i="20" s="1"/>
  <c r="M166" i="20" s="1"/>
  <c r="N166" i="20" s="1"/>
  <c r="O166" i="20" s="1"/>
  <c r="P166" i="20" s="1"/>
  <c r="Q166" i="20" s="1"/>
  <c r="R166" i="20" s="1"/>
  <c r="S166" i="20" s="1"/>
  <c r="T166" i="20" s="1"/>
  <c r="U166" i="20" s="1"/>
  <c r="V166" i="20" s="1"/>
  <c r="W166" i="20" s="1"/>
  <c r="X166" i="20" s="1"/>
  <c r="Y166" i="20" s="1"/>
  <c r="Z166" i="20" s="1"/>
  <c r="AA166" i="20" s="1"/>
  <c r="AB166" i="20" s="1"/>
  <c r="AC166" i="20" s="1"/>
  <c r="AD166" i="20" s="1"/>
  <c r="AE166" i="20" s="1"/>
  <c r="AF166" i="20" s="1"/>
  <c r="D167" i="20"/>
  <c r="D171" i="20"/>
  <c r="D170" i="20"/>
  <c r="H22" i="28"/>
  <c r="D85" i="28"/>
  <c r="D83" i="28"/>
  <c r="D88" i="28"/>
  <c r="E82" i="28"/>
  <c r="D87" i="28"/>
  <c r="D84" i="28"/>
  <c r="D86" i="28"/>
  <c r="G19" i="28"/>
  <c r="F24" i="34"/>
  <c r="AG66" i="20"/>
  <c r="D32" i="34"/>
  <c r="D123" i="20"/>
  <c r="D125" i="20"/>
  <c r="D124" i="20"/>
  <c r="E119" i="20"/>
  <c r="D120" i="20"/>
  <c r="D121" i="20"/>
  <c r="D122" i="20"/>
  <c r="E68" i="34"/>
  <c r="F68" i="34" s="1"/>
  <c r="G68" i="34" s="1"/>
  <c r="H68" i="34" s="1"/>
  <c r="I68" i="34" s="1"/>
  <c r="J68" i="34" s="1"/>
  <c r="K68" i="34" s="1"/>
  <c r="L68" i="34" s="1"/>
  <c r="M68" i="34" s="1"/>
  <c r="N68" i="34" s="1"/>
  <c r="O68" i="34" s="1"/>
  <c r="P68" i="34" s="1"/>
  <c r="Q68" i="34" s="1"/>
  <c r="R68" i="34" s="1"/>
  <c r="S68" i="34" s="1"/>
  <c r="T68" i="34" s="1"/>
  <c r="U68" i="34" s="1"/>
  <c r="V68" i="34" s="1"/>
  <c r="W68" i="34" s="1"/>
  <c r="X68" i="34" s="1"/>
  <c r="Y68" i="34" s="1"/>
  <c r="Z68" i="34" s="1"/>
  <c r="AA68" i="34" s="1"/>
  <c r="AB68" i="34" s="1"/>
  <c r="AC68" i="34" s="1"/>
  <c r="AD68" i="34" s="1"/>
  <c r="AE68" i="34" s="1"/>
  <c r="AF68" i="34" s="1"/>
  <c r="AG68" i="34" s="1"/>
  <c r="AH68" i="34" s="1"/>
  <c r="D16" i="34"/>
  <c r="G16" i="34"/>
  <c r="E307" i="20"/>
  <c r="D265" i="19"/>
  <c r="E96" i="34"/>
  <c r="F96" i="34" s="1"/>
  <c r="G96" i="34" s="1"/>
  <c r="H96" i="34" s="1"/>
  <c r="I96" i="34" s="1"/>
  <c r="J96" i="34" s="1"/>
  <c r="K96" i="34" s="1"/>
  <c r="L96" i="34" s="1"/>
  <c r="M96" i="34" s="1"/>
  <c r="N96" i="34" s="1"/>
  <c r="O96" i="34" s="1"/>
  <c r="P96" i="34" s="1"/>
  <c r="Q96" i="34" s="1"/>
  <c r="R96" i="34" s="1"/>
  <c r="S96" i="34" s="1"/>
  <c r="T96" i="34" s="1"/>
  <c r="U96" i="34" s="1"/>
  <c r="V96" i="34" s="1"/>
  <c r="W96" i="34" s="1"/>
  <c r="X96" i="34" s="1"/>
  <c r="Y96" i="34" s="1"/>
  <c r="Z96" i="34" s="1"/>
  <c r="AA96" i="34" s="1"/>
  <c r="AB96" i="34" s="1"/>
  <c r="AC96" i="34" s="1"/>
  <c r="AD96" i="34" s="1"/>
  <c r="AE96" i="34" s="1"/>
  <c r="AF96" i="34" s="1"/>
  <c r="AG96" i="34" s="1"/>
  <c r="AH96" i="34" s="1"/>
  <c r="E24" i="34"/>
  <c r="G20" i="28"/>
  <c r="AG70" i="20"/>
  <c r="AG68" i="20"/>
  <c r="AG69" i="20"/>
  <c r="AG67" i="20"/>
  <c r="C62" i="28"/>
  <c r="E16" i="34"/>
  <c r="E73" i="34"/>
  <c r="F73" i="34" s="1"/>
  <c r="G73" i="34" s="1"/>
  <c r="H73" i="34" s="1"/>
  <c r="I73" i="34" s="1"/>
  <c r="J73" i="34" s="1"/>
  <c r="K73" i="34" s="1"/>
  <c r="L73" i="34" s="1"/>
  <c r="M73" i="34" s="1"/>
  <c r="N73" i="34" s="1"/>
  <c r="O73" i="34" s="1"/>
  <c r="P73" i="34" s="1"/>
  <c r="Q73" i="34" s="1"/>
  <c r="R73" i="34" s="1"/>
  <c r="S73" i="34" s="1"/>
  <c r="T73" i="34" s="1"/>
  <c r="U73" i="34" s="1"/>
  <c r="V73" i="34" s="1"/>
  <c r="W73" i="34" s="1"/>
  <c r="X73" i="34" s="1"/>
  <c r="Y73" i="34" s="1"/>
  <c r="Z73" i="34" s="1"/>
  <c r="AA73" i="34" s="1"/>
  <c r="AB73" i="34" s="1"/>
  <c r="AC73" i="34" s="1"/>
  <c r="AD73" i="34" s="1"/>
  <c r="AE73" i="34" s="1"/>
  <c r="AF73" i="34" s="1"/>
  <c r="AG73" i="34" s="1"/>
  <c r="AH73" i="34" s="1"/>
  <c r="I18" i="28"/>
  <c r="F103" i="34"/>
  <c r="G103" i="34" s="1"/>
  <c r="H103" i="34" s="1"/>
  <c r="I103" i="34" s="1"/>
  <c r="J103" i="34" s="1"/>
  <c r="K103" i="34" s="1"/>
  <c r="L103" i="34" s="1"/>
  <c r="M103" i="34" s="1"/>
  <c r="N103" i="34" s="1"/>
  <c r="O103" i="34" s="1"/>
  <c r="P103" i="34" s="1"/>
  <c r="Q103" i="34" s="1"/>
  <c r="R103" i="34" s="1"/>
  <c r="S103" i="34" s="1"/>
  <c r="T103" i="34" s="1"/>
  <c r="U103" i="34" s="1"/>
  <c r="V103" i="34" s="1"/>
  <c r="W103" i="34" s="1"/>
  <c r="X103" i="34" s="1"/>
  <c r="Y103" i="34" s="1"/>
  <c r="Z103" i="34" s="1"/>
  <c r="AA103" i="34" s="1"/>
  <c r="AB103" i="34" s="1"/>
  <c r="AC103" i="34" s="1"/>
  <c r="AD103" i="34" s="1"/>
  <c r="AE103" i="34" s="1"/>
  <c r="AF103" i="34" s="1"/>
  <c r="AG103" i="34" s="1"/>
  <c r="AH103" i="34" s="1"/>
  <c r="D40" i="34"/>
  <c r="E107" i="28"/>
  <c r="D108" i="28"/>
  <c r="P50" i="15"/>
  <c r="N74" i="12"/>
  <c r="N75" i="12"/>
  <c r="N78" i="12"/>
  <c r="N79" i="12"/>
  <c r="N76" i="12"/>
  <c r="N77" i="12"/>
  <c r="N80" i="12"/>
  <c r="O74" i="14"/>
  <c r="O77" i="14"/>
  <c r="O79" i="14"/>
  <c r="O76" i="14"/>
  <c r="O75" i="14"/>
  <c r="O80" i="14"/>
  <c r="O78" i="14"/>
  <c r="AB20" i="20"/>
  <c r="AB19" i="20"/>
  <c r="AC7" i="20"/>
  <c r="AB9" i="20"/>
  <c r="AC8" i="20"/>
  <c r="AB22" i="20"/>
  <c r="S33" i="11"/>
  <c r="R34" i="11"/>
  <c r="R35" i="11" s="1"/>
  <c r="R36" i="11" s="1"/>
  <c r="Q29" i="13"/>
  <c r="Q30" i="13" s="1"/>
  <c r="R28" i="13"/>
  <c r="P31" i="13"/>
  <c r="P33" i="13" s="1"/>
  <c r="P63" i="36" s="1"/>
  <c r="P32" i="13"/>
  <c r="AC21" i="20"/>
  <c r="AG4" i="20"/>
  <c r="Q31" i="15"/>
  <c r="AD83" i="36" l="1"/>
  <c r="BI25" i="36"/>
  <c r="AD27" i="36"/>
  <c r="AP52" i="45"/>
  <c r="J52" i="45"/>
  <c r="J88" i="45"/>
  <c r="J51" i="45"/>
  <c r="J53" i="45"/>
  <c r="I36" i="48"/>
  <c r="AP53" i="45"/>
  <c r="BI86" i="36"/>
  <c r="BM93" i="36"/>
  <c r="BN51" i="36"/>
  <c r="Q72" i="12"/>
  <c r="Q72" i="14"/>
  <c r="I92" i="45"/>
  <c r="AV66" i="45"/>
  <c r="AP51" i="45"/>
  <c r="AC33" i="42"/>
  <c r="P73" i="14"/>
  <c r="P73" i="12"/>
  <c r="BI27" i="36"/>
  <c r="K50" i="45"/>
  <c r="AC86" i="36"/>
  <c r="AT74" i="36"/>
  <c r="AT72" i="36"/>
  <c r="AS71" i="36"/>
  <c r="BL19" i="36"/>
  <c r="AE24" i="36"/>
  <c r="AV63" i="45"/>
  <c r="AB34" i="42"/>
  <c r="AG19" i="36"/>
  <c r="AD86" i="36"/>
  <c r="AC37" i="42"/>
  <c r="AD37" i="38"/>
  <c r="AQ50" i="45"/>
  <c r="AS4" i="51"/>
  <c r="Q66" i="45"/>
  <c r="P53" i="15"/>
  <c r="AU67" i="36"/>
  <c r="I36" i="46"/>
  <c r="BI83" i="36"/>
  <c r="Q64" i="45"/>
  <c r="Q61" i="45"/>
  <c r="AC34" i="38"/>
  <c r="AH52" i="36"/>
  <c r="AF36" i="42"/>
  <c r="BK35" i="36"/>
  <c r="AW61" i="45"/>
  <c r="AW64" i="45"/>
  <c r="R39" i="11"/>
  <c r="R37" i="11"/>
  <c r="R40" i="11"/>
  <c r="R38" i="11"/>
  <c r="R62" i="36" s="1"/>
  <c r="N93" i="44"/>
  <c r="N4" i="51"/>
  <c r="C70" i="20"/>
  <c r="C69" i="20"/>
  <c r="C68" i="20"/>
  <c r="C66" i="20"/>
  <c r="F144" i="53"/>
  <c r="E145" i="53"/>
  <c r="D130" i="53"/>
  <c r="D132" i="53"/>
  <c r="D131" i="53"/>
  <c r="E129" i="53"/>
  <c r="E128" i="53"/>
  <c r="E98" i="53"/>
  <c r="E97" i="53"/>
  <c r="D100" i="53"/>
  <c r="D101" i="53"/>
  <c r="D102" i="53"/>
  <c r="D99" i="53"/>
  <c r="H19" i="53"/>
  <c r="H20" i="53"/>
  <c r="H18" i="53"/>
  <c r="H22" i="53"/>
  <c r="I21" i="53"/>
  <c r="N90" i="44"/>
  <c r="BJ76" i="36"/>
  <c r="N94" i="44"/>
  <c r="N95" i="44"/>
  <c r="N92" i="44"/>
  <c r="BK96" i="36"/>
  <c r="AD35" i="42"/>
  <c r="AG89" i="42"/>
  <c r="AG87" i="42"/>
  <c r="AG88" i="42"/>
  <c r="AG86" i="42"/>
  <c r="AG87" i="38"/>
  <c r="AG88" i="38"/>
  <c r="AG86" i="38"/>
  <c r="L48" i="45"/>
  <c r="N91" i="44"/>
  <c r="J97" i="44"/>
  <c r="AS47" i="45"/>
  <c r="AS46" i="45"/>
  <c r="AS49" i="45"/>
  <c r="AT45" i="45"/>
  <c r="AR48" i="45"/>
  <c r="F72" i="41"/>
  <c r="G72" i="41" s="1"/>
  <c r="H72" i="41" s="1"/>
  <c r="I72" i="41" s="1"/>
  <c r="J72" i="41" s="1"/>
  <c r="K72" i="41" s="1"/>
  <c r="L72" i="41" s="1"/>
  <c r="M72" i="41" s="1"/>
  <c r="N72" i="41" s="1"/>
  <c r="O72" i="41" s="1"/>
  <c r="P72" i="41" s="1"/>
  <c r="Q72" i="41" s="1"/>
  <c r="R72" i="41" s="1"/>
  <c r="S72" i="41" s="1"/>
  <c r="T72" i="41" s="1"/>
  <c r="U72" i="41" s="1"/>
  <c r="V72" i="41" s="1"/>
  <c r="W72" i="41" s="1"/>
  <c r="X72" i="41" s="1"/>
  <c r="Y72" i="41" s="1"/>
  <c r="Z72" i="41" s="1"/>
  <c r="AA72" i="41" s="1"/>
  <c r="AB72" i="41" s="1"/>
  <c r="AC72" i="41" s="1"/>
  <c r="AD72" i="41" s="1"/>
  <c r="AE72" i="41" s="1"/>
  <c r="AF72" i="41" s="1"/>
  <c r="AG72" i="41" s="1"/>
  <c r="AH72" i="41" s="1"/>
  <c r="F69" i="41"/>
  <c r="G69" i="41" s="1"/>
  <c r="H69" i="41" s="1"/>
  <c r="I69" i="41" s="1"/>
  <c r="J69" i="41" s="1"/>
  <c r="K69" i="41" s="1"/>
  <c r="L69" i="41" s="1"/>
  <c r="M69" i="41" s="1"/>
  <c r="N69" i="41" s="1"/>
  <c r="O69" i="41" s="1"/>
  <c r="P69" i="41" s="1"/>
  <c r="Q69" i="41" s="1"/>
  <c r="R69" i="41" s="1"/>
  <c r="S69" i="41" s="1"/>
  <c r="T69" i="41" s="1"/>
  <c r="U69" i="41" s="1"/>
  <c r="V69" i="41" s="1"/>
  <c r="W69" i="41" s="1"/>
  <c r="X69" i="41" s="1"/>
  <c r="Y69" i="41" s="1"/>
  <c r="Z69" i="41" s="1"/>
  <c r="AA69" i="41" s="1"/>
  <c r="AB69" i="41" s="1"/>
  <c r="AC69" i="41" s="1"/>
  <c r="AD69" i="41" s="1"/>
  <c r="AE69" i="41" s="1"/>
  <c r="AF69" i="41" s="1"/>
  <c r="AG69" i="41" s="1"/>
  <c r="AH69" i="41" s="1"/>
  <c r="H360" i="46"/>
  <c r="N45" i="45"/>
  <c r="M49" i="45"/>
  <c r="M47" i="45"/>
  <c r="M46" i="45"/>
  <c r="AP88" i="45"/>
  <c r="K52" i="45"/>
  <c r="K51" i="45"/>
  <c r="K53" i="45"/>
  <c r="K88" i="45"/>
  <c r="BK22" i="36"/>
  <c r="N8" i="8"/>
  <c r="N10" i="8"/>
  <c r="N7" i="8"/>
  <c r="N9" i="8"/>
  <c r="AF22" i="36"/>
  <c r="AF69" i="36"/>
  <c r="BJ24" i="36"/>
  <c r="BJ68" i="36"/>
  <c r="AE59" i="36"/>
  <c r="AE61" i="36"/>
  <c r="BK45" i="36"/>
  <c r="BK43" i="36"/>
  <c r="BL42" i="36"/>
  <c r="BJ38" i="36"/>
  <c r="BJ36" i="36"/>
  <c r="AG34" i="36"/>
  <c r="BL31" i="36"/>
  <c r="BL34" i="36"/>
  <c r="BK69" i="36"/>
  <c r="AG31" i="36"/>
  <c r="AF58" i="36"/>
  <c r="BJ59" i="36"/>
  <c r="BJ61" i="36"/>
  <c r="AG21" i="36"/>
  <c r="BL21" i="36"/>
  <c r="BL56" i="36"/>
  <c r="BL57" i="36"/>
  <c r="AH32" i="36"/>
  <c r="AH30" i="36"/>
  <c r="AH29" i="36"/>
  <c r="AH33" i="36"/>
  <c r="BM18" i="36"/>
  <c r="BM55" i="36"/>
  <c r="BM32" i="36"/>
  <c r="BM29" i="36"/>
  <c r="BN28" i="36"/>
  <c r="BM30" i="36"/>
  <c r="BM33" i="36"/>
  <c r="BM40" i="36"/>
  <c r="BM41" i="36"/>
  <c r="BN39" i="36"/>
  <c r="AH41" i="36"/>
  <c r="AG57" i="36"/>
  <c r="AG56" i="36"/>
  <c r="BN17" i="36"/>
  <c r="AH18" i="36"/>
  <c r="AH55" i="36"/>
  <c r="BK58" i="36"/>
  <c r="D62" i="28"/>
  <c r="D232" i="38"/>
  <c r="E181" i="42"/>
  <c r="D183" i="42"/>
  <c r="D186" i="42" s="1"/>
  <c r="D182" i="42"/>
  <c r="P63" i="45"/>
  <c r="AV62" i="36"/>
  <c r="P67" i="36"/>
  <c r="AT70" i="36"/>
  <c r="AT105" i="36"/>
  <c r="O70" i="36"/>
  <c r="O105" i="36"/>
  <c r="AV63" i="36"/>
  <c r="P65" i="36"/>
  <c r="P64" i="36"/>
  <c r="AU65" i="36"/>
  <c r="AU64" i="36"/>
  <c r="D217" i="38"/>
  <c r="D66" i="20"/>
  <c r="D129" i="38"/>
  <c r="D232" i="42"/>
  <c r="I18" i="29"/>
  <c r="H21" i="29"/>
  <c r="AG129" i="42"/>
  <c r="AG63" i="42"/>
  <c r="D129" i="42"/>
  <c r="AG184" i="42"/>
  <c r="F231" i="42"/>
  <c r="E232" i="42"/>
  <c r="H21" i="38"/>
  <c r="AG184" i="38"/>
  <c r="E216" i="42"/>
  <c r="D217" i="42"/>
  <c r="D130" i="42"/>
  <c r="D131" i="42"/>
  <c r="D132" i="42"/>
  <c r="F126" i="38"/>
  <c r="E182" i="38"/>
  <c r="E183" i="38"/>
  <c r="E128" i="38"/>
  <c r="E127" i="38"/>
  <c r="AG186" i="42"/>
  <c r="AG185" i="42"/>
  <c r="D66" i="42"/>
  <c r="D85" i="42" s="1"/>
  <c r="D62" i="42"/>
  <c r="D65" i="42"/>
  <c r="D67" i="42"/>
  <c r="D61" i="42"/>
  <c r="D64" i="42"/>
  <c r="E60" i="42"/>
  <c r="D186" i="38"/>
  <c r="D185" i="38"/>
  <c r="AG131" i="42"/>
  <c r="AG130" i="42"/>
  <c r="AG132" i="42"/>
  <c r="G19" i="38"/>
  <c r="AG186" i="38"/>
  <c r="AG185" i="38"/>
  <c r="F216" i="38"/>
  <c r="E217" i="38"/>
  <c r="AG63" i="38"/>
  <c r="D130" i="38"/>
  <c r="D132" i="38"/>
  <c r="D131" i="38"/>
  <c r="D64" i="38"/>
  <c r="D66" i="38"/>
  <c r="D85" i="38" s="1"/>
  <c r="D67" i="38"/>
  <c r="D65" i="38"/>
  <c r="E60" i="38"/>
  <c r="D62" i="38"/>
  <c r="D61" i="38"/>
  <c r="AG130" i="38"/>
  <c r="AG131" i="38"/>
  <c r="AG132" i="38"/>
  <c r="G22" i="38"/>
  <c r="AG129" i="38"/>
  <c r="F231" i="38"/>
  <c r="E232" i="38"/>
  <c r="H18" i="38"/>
  <c r="F126" i="42"/>
  <c r="E127" i="42"/>
  <c r="E128" i="42"/>
  <c r="G20" i="38"/>
  <c r="D184" i="38"/>
  <c r="H20" i="28"/>
  <c r="E265" i="19"/>
  <c r="F307" i="20"/>
  <c r="H19" i="28"/>
  <c r="F82" i="28"/>
  <c r="E87" i="28"/>
  <c r="E84" i="28"/>
  <c r="E83" i="28"/>
  <c r="E86" i="28"/>
  <c r="E85" i="28"/>
  <c r="E88" i="28"/>
  <c r="I22" i="28"/>
  <c r="F107" i="28"/>
  <c r="E108" i="28"/>
  <c r="E120" i="20"/>
  <c r="E124" i="20"/>
  <c r="F119" i="20"/>
  <c r="E121" i="20"/>
  <c r="E125" i="20"/>
  <c r="E122" i="20"/>
  <c r="E123" i="20"/>
  <c r="I21" i="28"/>
  <c r="D68" i="20"/>
  <c r="D69" i="20"/>
  <c r="D70" i="20"/>
  <c r="D67" i="20"/>
  <c r="E63" i="28"/>
  <c r="E60" i="28"/>
  <c r="E64" i="28"/>
  <c r="E61" i="28"/>
  <c r="F59" i="28"/>
  <c r="J18" i="28"/>
  <c r="F195" i="20"/>
  <c r="E196" i="20"/>
  <c r="F63" i="20"/>
  <c r="E64" i="20"/>
  <c r="E65" i="20"/>
  <c r="Q50" i="15"/>
  <c r="O74" i="12"/>
  <c r="O77" i="12"/>
  <c r="O80" i="12"/>
  <c r="O79" i="12"/>
  <c r="O75" i="12"/>
  <c r="O78" i="12"/>
  <c r="O76" i="12"/>
  <c r="D209" i="20"/>
  <c r="P80" i="14"/>
  <c r="AD8" i="20"/>
  <c r="AD7" i="20"/>
  <c r="AC9" i="20"/>
  <c r="AC19" i="20"/>
  <c r="AC22" i="20"/>
  <c r="AB18" i="20"/>
  <c r="AC20" i="20"/>
  <c r="T33" i="11"/>
  <c r="S34" i="11"/>
  <c r="S35" i="11" s="1"/>
  <c r="S36" i="11" s="1"/>
  <c r="R29" i="13"/>
  <c r="R30" i="13" s="1"/>
  <c r="S28" i="13"/>
  <c r="Q31" i="13"/>
  <c r="Q33" i="13" s="1"/>
  <c r="Q63" i="36" s="1"/>
  <c r="Q32" i="13"/>
  <c r="AD21" i="20"/>
  <c r="R31" i="15"/>
  <c r="AD33" i="42" l="1"/>
  <c r="AP92" i="45"/>
  <c r="AG20" i="36"/>
  <c r="J92" i="45"/>
  <c r="AE27" i="36"/>
  <c r="BN54" i="36"/>
  <c r="AQ51" i="45"/>
  <c r="BL20" i="36"/>
  <c r="BK36" i="36"/>
  <c r="BN52" i="36"/>
  <c r="BN89" i="36"/>
  <c r="AE25" i="36"/>
  <c r="BK38" i="36"/>
  <c r="J36" i="48"/>
  <c r="AQ53" i="45"/>
  <c r="AQ52" i="45"/>
  <c r="R64" i="45"/>
  <c r="R61" i="45"/>
  <c r="P78" i="14"/>
  <c r="AU72" i="36"/>
  <c r="AD37" i="42"/>
  <c r="BK24" i="36"/>
  <c r="Q73" i="12"/>
  <c r="Q73" i="14"/>
  <c r="P76" i="14"/>
  <c r="AV67" i="36"/>
  <c r="BJ80" i="36"/>
  <c r="AC34" i="42"/>
  <c r="BK80" i="36"/>
  <c r="AW63" i="45"/>
  <c r="AW66" i="45"/>
  <c r="AH19" i="36"/>
  <c r="L50" i="45"/>
  <c r="AT4" i="51"/>
  <c r="AG36" i="42"/>
  <c r="AE86" i="36"/>
  <c r="P77" i="14"/>
  <c r="P75" i="14"/>
  <c r="BM19" i="36"/>
  <c r="AE35" i="42"/>
  <c r="AF24" i="36"/>
  <c r="K92" i="45"/>
  <c r="AU74" i="36"/>
  <c r="AD34" i="38"/>
  <c r="P74" i="14"/>
  <c r="BN93" i="36"/>
  <c r="J36" i="46"/>
  <c r="AX66" i="45"/>
  <c r="R66" i="45"/>
  <c r="AT71" i="36"/>
  <c r="P79" i="14"/>
  <c r="Q53" i="15"/>
  <c r="AE83" i="36"/>
  <c r="AR50" i="45"/>
  <c r="BK76" i="36"/>
  <c r="R72" i="12"/>
  <c r="R72" i="14"/>
  <c r="AH93" i="36"/>
  <c r="S39" i="11"/>
  <c r="S37" i="11"/>
  <c r="S40" i="11"/>
  <c r="S38" i="11"/>
  <c r="S62" i="36" s="1"/>
  <c r="AX61" i="45"/>
  <c r="AX64" i="45"/>
  <c r="D185" i="42"/>
  <c r="G144" i="53"/>
  <c r="F145" i="53"/>
  <c r="F129" i="53"/>
  <c r="F128" i="53"/>
  <c r="F98" i="53"/>
  <c r="F97" i="53"/>
  <c r="E99" i="53"/>
  <c r="E101" i="53"/>
  <c r="E100" i="53"/>
  <c r="E102" i="53"/>
  <c r="E130" i="53"/>
  <c r="E132" i="53"/>
  <c r="E131" i="53"/>
  <c r="J21" i="53"/>
  <c r="I20" i="53"/>
  <c r="I22" i="53"/>
  <c r="I18" i="53"/>
  <c r="I19" i="53"/>
  <c r="AF27" i="36"/>
  <c r="BK68" i="36"/>
  <c r="AG69" i="36"/>
  <c r="D88" i="38"/>
  <c r="D87" i="38"/>
  <c r="D86" i="38"/>
  <c r="AF59" i="36"/>
  <c r="AE37" i="38"/>
  <c r="D89" i="42"/>
  <c r="D86" i="42"/>
  <c r="D90" i="42" s="1"/>
  <c r="D87" i="42"/>
  <c r="D91" i="42" s="1"/>
  <c r="D88" i="42"/>
  <c r="D92" i="42" s="1"/>
  <c r="AT47" i="45"/>
  <c r="AT49" i="45"/>
  <c r="AT46" i="45"/>
  <c r="AU45" i="45"/>
  <c r="K36" i="48"/>
  <c r="AR53" i="45"/>
  <c r="AS48" i="45"/>
  <c r="I360" i="46"/>
  <c r="J360" i="46" s="1"/>
  <c r="AQ92" i="45"/>
  <c r="AQ88" i="45"/>
  <c r="O45" i="45"/>
  <c r="N46" i="45"/>
  <c r="N47" i="45"/>
  <c r="N49" i="45"/>
  <c r="M48" i="45"/>
  <c r="L52" i="45"/>
  <c r="L53" i="45"/>
  <c r="N11" i="8"/>
  <c r="AF61" i="36"/>
  <c r="BJ27" i="36"/>
  <c r="BJ25" i="36"/>
  <c r="BJ83" i="36"/>
  <c r="AG58" i="36"/>
  <c r="BM42" i="36"/>
  <c r="BL45" i="36"/>
  <c r="BL96" i="36"/>
  <c r="BL43" i="36"/>
  <c r="AH34" i="36"/>
  <c r="BL35" i="36"/>
  <c r="BL69" i="36"/>
  <c r="AH31" i="36"/>
  <c r="BM31" i="36"/>
  <c r="BL58" i="36"/>
  <c r="BM34" i="36"/>
  <c r="BL22" i="36"/>
  <c r="AG22" i="36"/>
  <c r="BN41" i="36"/>
  <c r="BN40" i="36"/>
  <c r="BN18" i="36"/>
  <c r="BN55" i="36"/>
  <c r="BM56" i="36"/>
  <c r="BM57" i="36"/>
  <c r="AH56" i="36"/>
  <c r="AH57" i="36"/>
  <c r="BN32" i="36"/>
  <c r="BN29" i="36"/>
  <c r="BN33" i="36"/>
  <c r="BN30" i="36"/>
  <c r="BK61" i="36"/>
  <c r="BK59" i="36"/>
  <c r="AH21" i="36"/>
  <c r="AH20" i="36"/>
  <c r="D184" i="42"/>
  <c r="F181" i="42"/>
  <c r="E183" i="42"/>
  <c r="E186" i="42" s="1"/>
  <c r="E182" i="42"/>
  <c r="AW62" i="36"/>
  <c r="Q67" i="36"/>
  <c r="Q63" i="45"/>
  <c r="AW63" i="36"/>
  <c r="Q65" i="36"/>
  <c r="Q64" i="36"/>
  <c r="P70" i="36"/>
  <c r="P105" i="36"/>
  <c r="AU70" i="36"/>
  <c r="AU105" i="36"/>
  <c r="AV65" i="36"/>
  <c r="AV64" i="36"/>
  <c r="I21" i="29"/>
  <c r="J18" i="29"/>
  <c r="G231" i="38"/>
  <c r="F232" i="38"/>
  <c r="D63" i="38"/>
  <c r="G216" i="38"/>
  <c r="F217" i="38"/>
  <c r="E132" i="38"/>
  <c r="E131" i="38"/>
  <c r="E130" i="38"/>
  <c r="G231" i="42"/>
  <c r="F232" i="42"/>
  <c r="H20" i="38"/>
  <c r="H22" i="38"/>
  <c r="D63" i="42"/>
  <c r="E186" i="38"/>
  <c r="E185" i="38"/>
  <c r="F216" i="42"/>
  <c r="E217" i="42"/>
  <c r="G126" i="42"/>
  <c r="F127" i="42"/>
  <c r="F128" i="42"/>
  <c r="I18" i="38"/>
  <c r="F60" i="38"/>
  <c r="E66" i="38"/>
  <c r="E85" i="38" s="1"/>
  <c r="E65" i="38"/>
  <c r="E64" i="38"/>
  <c r="E67" i="38"/>
  <c r="E62" i="38"/>
  <c r="E61" i="38"/>
  <c r="H19" i="38"/>
  <c r="E184" i="38"/>
  <c r="I21" i="38"/>
  <c r="E130" i="42"/>
  <c r="E132" i="42"/>
  <c r="E131" i="42"/>
  <c r="E129" i="42"/>
  <c r="E61" i="42"/>
  <c r="E67" i="42"/>
  <c r="E62" i="42"/>
  <c r="E66" i="42"/>
  <c r="E85" i="42" s="1"/>
  <c r="F60" i="42"/>
  <c r="E65" i="42"/>
  <c r="E64" i="42"/>
  <c r="E129" i="38"/>
  <c r="G126" i="38"/>
  <c r="F182" i="38"/>
  <c r="F183" i="38"/>
  <c r="F127" i="38"/>
  <c r="F128" i="38"/>
  <c r="E66" i="20"/>
  <c r="G59" i="28"/>
  <c r="F60" i="28"/>
  <c r="F63" i="28"/>
  <c r="F61" i="28"/>
  <c r="F64" i="28"/>
  <c r="F85" i="28"/>
  <c r="F84" i="28"/>
  <c r="G82" i="28"/>
  <c r="F88" i="28"/>
  <c r="F87" i="28"/>
  <c r="F83" i="28"/>
  <c r="F86" i="28"/>
  <c r="E70" i="20"/>
  <c r="E69" i="20"/>
  <c r="E67" i="20"/>
  <c r="E68" i="20"/>
  <c r="G195" i="20"/>
  <c r="F196" i="20"/>
  <c r="J22" i="28"/>
  <c r="I20" i="28"/>
  <c r="J21" i="28"/>
  <c r="G107" i="28"/>
  <c r="F108" i="28"/>
  <c r="I19" i="28"/>
  <c r="G63" i="20"/>
  <c r="F65" i="20"/>
  <c r="F64" i="20"/>
  <c r="K18" i="28"/>
  <c r="E62" i="28"/>
  <c r="F125" i="20"/>
  <c r="F120" i="20"/>
  <c r="G119" i="20"/>
  <c r="F123" i="20"/>
  <c r="F122" i="20"/>
  <c r="F124" i="20"/>
  <c r="F121" i="20"/>
  <c r="G307" i="20"/>
  <c r="F265" i="19"/>
  <c r="R50" i="15"/>
  <c r="P74" i="12"/>
  <c r="P76" i="12"/>
  <c r="P77" i="12"/>
  <c r="P80" i="12"/>
  <c r="P78" i="12"/>
  <c r="P79" i="12"/>
  <c r="P75" i="12"/>
  <c r="E209" i="20"/>
  <c r="Q74" i="14"/>
  <c r="Q80" i="14"/>
  <c r="Q76" i="14"/>
  <c r="Q77" i="14"/>
  <c r="Q79" i="14"/>
  <c r="Q78" i="14"/>
  <c r="Q75" i="14"/>
  <c r="AE8" i="20"/>
  <c r="AD22" i="20"/>
  <c r="AD20" i="20"/>
  <c r="AC18" i="20"/>
  <c r="AE7" i="20"/>
  <c r="AD9" i="20"/>
  <c r="AD19" i="20"/>
  <c r="U33" i="11"/>
  <c r="T34" i="11"/>
  <c r="T35" i="11" s="1"/>
  <c r="T36" i="11" s="1"/>
  <c r="S29" i="13"/>
  <c r="S30" i="13" s="1"/>
  <c r="T28" i="13"/>
  <c r="R31" i="13"/>
  <c r="R33" i="13" s="1"/>
  <c r="R63" i="36" s="1"/>
  <c r="R32" i="13"/>
  <c r="AE21" i="20"/>
  <c r="S31" i="15"/>
  <c r="B11" i="4"/>
  <c r="D32" i="12"/>
  <c r="D29" i="12"/>
  <c r="D17" i="12"/>
  <c r="Q4" i="6"/>
  <c r="V4" i="6"/>
  <c r="AA4" i="6"/>
  <c r="AF4" i="6"/>
  <c r="AK4" i="6"/>
  <c r="AP4" i="6"/>
  <c r="AA3" i="6"/>
  <c r="AF3" i="6"/>
  <c r="AK3" i="6"/>
  <c r="AP3" i="6"/>
  <c r="V3" i="6"/>
  <c r="M2" i="6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K3" i="7"/>
  <c r="J3" i="7"/>
  <c r="I3" i="7"/>
  <c r="H3" i="7"/>
  <c r="G3" i="7"/>
  <c r="E3" i="12"/>
  <c r="BK27" i="36" l="1"/>
  <c r="BM21" i="36"/>
  <c r="AF25" i="36"/>
  <c r="L51" i="45"/>
  <c r="AR52" i="45"/>
  <c r="L88" i="45"/>
  <c r="BM20" i="36"/>
  <c r="AF83" i="36"/>
  <c r="AR51" i="45"/>
  <c r="AU71" i="36"/>
  <c r="BJ86" i="36"/>
  <c r="M50" i="45"/>
  <c r="AS50" i="45"/>
  <c r="AF86" i="36"/>
  <c r="AX63" i="45"/>
  <c r="K36" i="46"/>
  <c r="AV74" i="36"/>
  <c r="AD34" i="42"/>
  <c r="BK25" i="36"/>
  <c r="BK83" i="36"/>
  <c r="S66" i="45"/>
  <c r="AE34" i="38"/>
  <c r="AW67" i="36"/>
  <c r="R73" i="12"/>
  <c r="R73" i="14"/>
  <c r="AV72" i="36"/>
  <c r="AF35" i="42"/>
  <c r="L92" i="45"/>
  <c r="S72" i="12"/>
  <c r="S72" i="14"/>
  <c r="R53" i="15"/>
  <c r="BN19" i="36"/>
  <c r="S64" i="45"/>
  <c r="S61" i="45"/>
  <c r="T39" i="11"/>
  <c r="T37" i="11"/>
  <c r="T40" i="11"/>
  <c r="T38" i="11"/>
  <c r="T62" i="36" s="1"/>
  <c r="AY64" i="45"/>
  <c r="AH4" i="12"/>
  <c r="AG32" i="29"/>
  <c r="AH4" i="14"/>
  <c r="AG32" i="19"/>
  <c r="AG32" i="28"/>
  <c r="AB32" i="29"/>
  <c r="AC4" i="14"/>
  <c r="AB32" i="19"/>
  <c r="AB32" i="28"/>
  <c r="X4" i="12"/>
  <c r="X4" i="14"/>
  <c r="W32" i="29"/>
  <c r="W32" i="19"/>
  <c r="W32" i="28"/>
  <c r="R32" i="29"/>
  <c r="S4" i="14"/>
  <c r="R32" i="19"/>
  <c r="R32" i="28"/>
  <c r="N4" i="14"/>
  <c r="M32" i="29"/>
  <c r="M32" i="19"/>
  <c r="M32" i="28"/>
  <c r="H144" i="53"/>
  <c r="G145" i="53"/>
  <c r="G129" i="53"/>
  <c r="G128" i="53"/>
  <c r="G97" i="53"/>
  <c r="G98" i="53"/>
  <c r="F99" i="53"/>
  <c r="F101" i="53"/>
  <c r="F100" i="53"/>
  <c r="F102" i="53"/>
  <c r="F130" i="53"/>
  <c r="F132" i="53"/>
  <c r="F131" i="53"/>
  <c r="J18" i="53"/>
  <c r="J22" i="53"/>
  <c r="J20" i="53"/>
  <c r="J19" i="53"/>
  <c r="K21" i="53"/>
  <c r="I2" i="50"/>
  <c r="F2" i="50"/>
  <c r="G2" i="50"/>
  <c r="H2" i="50"/>
  <c r="E185" i="42"/>
  <c r="E86" i="38"/>
  <c r="E87" i="38"/>
  <c r="E88" i="38"/>
  <c r="BL36" i="36"/>
  <c r="AE33" i="42"/>
  <c r="E89" i="42"/>
  <c r="E87" i="42"/>
  <c r="E91" i="42" s="1"/>
  <c r="E88" i="42"/>
  <c r="E92" i="42" s="1"/>
  <c r="E86" i="42"/>
  <c r="E90" i="42" s="1"/>
  <c r="BL61" i="36"/>
  <c r="AE37" i="42"/>
  <c r="BL38" i="36"/>
  <c r="AG59" i="36"/>
  <c r="AF37" i="38"/>
  <c r="BL76" i="36"/>
  <c r="AU49" i="45"/>
  <c r="AU47" i="45"/>
  <c r="AU46" i="45"/>
  <c r="AV45" i="45"/>
  <c r="L36" i="48"/>
  <c r="AT48" i="45"/>
  <c r="K360" i="46"/>
  <c r="N48" i="45"/>
  <c r="P45" i="45"/>
  <c r="O47" i="45"/>
  <c r="O46" i="45"/>
  <c r="O49" i="45"/>
  <c r="AR88" i="45"/>
  <c r="BL59" i="36"/>
  <c r="AG61" i="36"/>
  <c r="BM22" i="36"/>
  <c r="AH22" i="36"/>
  <c r="AH58" i="36"/>
  <c r="BM96" i="36"/>
  <c r="BM45" i="36"/>
  <c r="BM43" i="36"/>
  <c r="BN42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BN34" i="36"/>
  <c r="BN31" i="36"/>
  <c r="BL24" i="36"/>
  <c r="BL68" i="36"/>
  <c r="BM35" i="36"/>
  <c r="AG24" i="36"/>
  <c r="AH69" i="36"/>
  <c r="BM58" i="36"/>
  <c r="BM69" i="36"/>
  <c r="BN57" i="36"/>
  <c r="BN56" i="36"/>
  <c r="E184" i="42"/>
  <c r="G181" i="42"/>
  <c r="F182" i="42"/>
  <c r="F183" i="42"/>
  <c r="F186" i="42" s="1"/>
  <c r="R63" i="45"/>
  <c r="AX62" i="36"/>
  <c r="R67" i="36"/>
  <c r="Q70" i="36"/>
  <c r="Q105" i="36"/>
  <c r="AX63" i="36"/>
  <c r="R64" i="36"/>
  <c r="R65" i="36"/>
  <c r="AV70" i="36"/>
  <c r="AV105" i="36"/>
  <c r="AW65" i="36"/>
  <c r="AW64" i="36"/>
  <c r="J21" i="29"/>
  <c r="E63" i="42"/>
  <c r="K18" i="29"/>
  <c r="F129" i="38"/>
  <c r="F186" i="38"/>
  <c r="F185" i="38"/>
  <c r="J21" i="38"/>
  <c r="E63" i="38"/>
  <c r="F129" i="42"/>
  <c r="I22" i="38"/>
  <c r="H231" i="38"/>
  <c r="G232" i="38"/>
  <c r="F184" i="38"/>
  <c r="G216" i="42"/>
  <c r="F217" i="42"/>
  <c r="F131" i="38"/>
  <c r="F132" i="38"/>
  <c r="F130" i="38"/>
  <c r="H126" i="38"/>
  <c r="G182" i="38"/>
  <c r="G183" i="38"/>
  <c r="G127" i="38"/>
  <c r="G128" i="38"/>
  <c r="F64" i="38"/>
  <c r="F66" i="38"/>
  <c r="F85" i="38" s="1"/>
  <c r="F65" i="38"/>
  <c r="F67" i="38"/>
  <c r="G60" i="38"/>
  <c r="F61" i="38"/>
  <c r="F62" i="38"/>
  <c r="J18" i="38"/>
  <c r="F185" i="42"/>
  <c r="I20" i="38"/>
  <c r="H216" i="38"/>
  <c r="G217" i="38"/>
  <c r="F62" i="42"/>
  <c r="F61" i="42"/>
  <c r="G60" i="42"/>
  <c r="F67" i="42"/>
  <c r="F64" i="42"/>
  <c r="F66" i="42"/>
  <c r="F85" i="42" s="1"/>
  <c r="F65" i="42"/>
  <c r="I19" i="38"/>
  <c r="F130" i="42"/>
  <c r="F131" i="42"/>
  <c r="F132" i="42"/>
  <c r="H126" i="42"/>
  <c r="G127" i="42"/>
  <c r="G128" i="42"/>
  <c r="H231" i="42"/>
  <c r="G232" i="42"/>
  <c r="F66" i="20"/>
  <c r="L18" i="28"/>
  <c r="G84" i="28"/>
  <c r="G87" i="28"/>
  <c r="G86" i="28"/>
  <c r="G85" i="28"/>
  <c r="H82" i="28"/>
  <c r="G88" i="28"/>
  <c r="G83" i="28"/>
  <c r="G108" i="28"/>
  <c r="H107" i="28"/>
  <c r="H307" i="20"/>
  <c r="G265" i="19"/>
  <c r="F67" i="20"/>
  <c r="F69" i="20"/>
  <c r="F68" i="20"/>
  <c r="F70" i="20"/>
  <c r="J20" i="28"/>
  <c r="K22" i="28"/>
  <c r="F62" i="28"/>
  <c r="G121" i="20"/>
  <c r="G122" i="20"/>
  <c r="H119" i="20"/>
  <c r="G123" i="20"/>
  <c r="G124" i="20"/>
  <c r="G120" i="20"/>
  <c r="G125" i="20"/>
  <c r="H63" i="20"/>
  <c r="G64" i="20"/>
  <c r="G65" i="20"/>
  <c r="J19" i="28"/>
  <c r="K21" i="28"/>
  <c r="H195" i="20"/>
  <c r="G196" i="20"/>
  <c r="G61" i="28"/>
  <c r="H59" i="28"/>
  <c r="G64" i="28"/>
  <c r="G63" i="28"/>
  <c r="G60" i="28"/>
  <c r="S50" i="15"/>
  <c r="Q74" i="12"/>
  <c r="Q76" i="12"/>
  <c r="Q77" i="12"/>
  <c r="Q80" i="12"/>
  <c r="Q75" i="12"/>
  <c r="Q78" i="12"/>
  <c r="Q79" i="12"/>
  <c r="F209" i="20"/>
  <c r="R74" i="14"/>
  <c r="R77" i="14"/>
  <c r="R75" i="14"/>
  <c r="R76" i="14"/>
  <c r="R80" i="14"/>
  <c r="R78" i="14"/>
  <c r="R79" i="14"/>
  <c r="AF7" i="20"/>
  <c r="AE9" i="20"/>
  <c r="AE19" i="20"/>
  <c r="AE20" i="20"/>
  <c r="AF8" i="20"/>
  <c r="AD18" i="20"/>
  <c r="AE22" i="20"/>
  <c r="V33" i="11"/>
  <c r="U34" i="11"/>
  <c r="U35" i="11" s="1"/>
  <c r="U36" i="11" s="1"/>
  <c r="T29" i="13"/>
  <c r="T30" i="13" s="1"/>
  <c r="U28" i="13"/>
  <c r="S32" i="13"/>
  <c r="S31" i="13"/>
  <c r="S33" i="13" s="1"/>
  <c r="S63" i="36" s="1"/>
  <c r="AF21" i="20"/>
  <c r="AC4" i="12"/>
  <c r="AL4" i="6"/>
  <c r="AH4" i="16"/>
  <c r="AH4" i="15"/>
  <c r="R4" i="6"/>
  <c r="N4" i="16"/>
  <c r="N4" i="15"/>
  <c r="AB3" i="6"/>
  <c r="AC4" i="15"/>
  <c r="AC4" i="16"/>
  <c r="I4" i="15"/>
  <c r="I4" i="16"/>
  <c r="AG4" i="6"/>
  <c r="X4" i="16"/>
  <c r="X4" i="15"/>
  <c r="AG3" i="6"/>
  <c r="W4" i="6"/>
  <c r="S4" i="15"/>
  <c r="S4" i="16"/>
  <c r="S4" i="12"/>
  <c r="AL3" i="6"/>
  <c r="W3" i="6"/>
  <c r="N4" i="12"/>
  <c r="T31" i="15"/>
  <c r="F3" i="12"/>
  <c r="AB4" i="6"/>
  <c r="AR92" i="45" l="1"/>
  <c r="AS51" i="45"/>
  <c r="BN20" i="36"/>
  <c r="M51" i="45"/>
  <c r="M88" i="45"/>
  <c r="M53" i="45"/>
  <c r="BN21" i="36"/>
  <c r="M52" i="45"/>
  <c r="AS88" i="45"/>
  <c r="AS53" i="45"/>
  <c r="AS52" i="45"/>
  <c r="N42" i="36"/>
  <c r="AT50" i="45"/>
  <c r="T66" i="45"/>
  <c r="BK86" i="36"/>
  <c r="AW72" i="36"/>
  <c r="AW74" i="36"/>
  <c r="BM24" i="36"/>
  <c r="S73" i="12"/>
  <c r="S73" i="14"/>
  <c r="AV71" i="36"/>
  <c r="AF37" i="42"/>
  <c r="AE34" i="42"/>
  <c r="M42" i="36"/>
  <c r="E42" i="36"/>
  <c r="T72" i="12"/>
  <c r="T72" i="14"/>
  <c r="S53" i="15"/>
  <c r="L42" i="36"/>
  <c r="AG35" i="42"/>
  <c r="T64" i="45"/>
  <c r="T61" i="45"/>
  <c r="AF33" i="42"/>
  <c r="G42" i="36"/>
  <c r="AX67" i="36"/>
  <c r="F42" i="36"/>
  <c r="K42" i="36"/>
  <c r="AS92" i="45"/>
  <c r="AY66" i="45"/>
  <c r="O42" i="36"/>
  <c r="J42" i="36"/>
  <c r="M92" i="45"/>
  <c r="BL80" i="36"/>
  <c r="AG42" i="36"/>
  <c r="Y42" i="36"/>
  <c r="I42" i="36"/>
  <c r="N50" i="45"/>
  <c r="AF34" i="38"/>
  <c r="H42" i="36"/>
  <c r="AH61" i="36"/>
  <c r="AY61" i="45"/>
  <c r="L36" i="46"/>
  <c r="U40" i="11"/>
  <c r="U39" i="11"/>
  <c r="U37" i="11"/>
  <c r="U38" i="11"/>
  <c r="U62" i="36" s="1"/>
  <c r="AZ61" i="45"/>
  <c r="AZ64" i="45"/>
  <c r="G62" i="28"/>
  <c r="Y4" i="14"/>
  <c r="X32" i="29"/>
  <c r="X32" i="19"/>
  <c r="X32" i="28"/>
  <c r="O4" i="14"/>
  <c r="N32" i="29"/>
  <c r="N32" i="19"/>
  <c r="N32" i="28"/>
  <c r="AD4" i="14"/>
  <c r="AC32" i="29"/>
  <c r="AC32" i="19"/>
  <c r="AC32" i="28"/>
  <c r="S32" i="29"/>
  <c r="T4" i="14"/>
  <c r="S32" i="19"/>
  <c r="S32" i="28"/>
  <c r="I144" i="53"/>
  <c r="H145" i="53"/>
  <c r="G101" i="53"/>
  <c r="G100" i="53"/>
  <c r="G102" i="53"/>
  <c r="G99" i="53"/>
  <c r="G130" i="53"/>
  <c r="G132" i="53"/>
  <c r="G131" i="53"/>
  <c r="H129" i="53"/>
  <c r="H98" i="53"/>
  <c r="H97" i="53"/>
  <c r="H128" i="53"/>
  <c r="K19" i="53"/>
  <c r="K20" i="53"/>
  <c r="L21" i="53"/>
  <c r="K18" i="53"/>
  <c r="K22" i="53"/>
  <c r="AU48" i="45"/>
  <c r="F86" i="38"/>
  <c r="F87" i="38"/>
  <c r="F88" i="38"/>
  <c r="F184" i="42"/>
  <c r="AH59" i="36"/>
  <c r="AG37" i="38"/>
  <c r="F89" i="42"/>
  <c r="F88" i="42"/>
  <c r="F92" i="42" s="1"/>
  <c r="F87" i="42"/>
  <c r="F91" i="42" s="1"/>
  <c r="F86" i="42"/>
  <c r="F90" i="42" s="1"/>
  <c r="O48" i="45"/>
  <c r="AV46" i="45"/>
  <c r="AV47" i="45"/>
  <c r="AV49" i="45"/>
  <c r="AW45" i="45"/>
  <c r="L360" i="46"/>
  <c r="Q45" i="45"/>
  <c r="P46" i="45"/>
  <c r="P49" i="45"/>
  <c r="P47" i="45"/>
  <c r="BN35" i="36"/>
  <c r="BN69" i="36"/>
  <c r="BM68" i="36"/>
  <c r="BN58" i="36"/>
  <c r="AH24" i="36"/>
  <c r="BN96" i="36"/>
  <c r="BN43" i="36"/>
  <c r="BN45" i="36"/>
  <c r="AC42" i="36"/>
  <c r="AC68" i="36"/>
  <c r="U42" i="36"/>
  <c r="U68" i="36"/>
  <c r="G96" i="36"/>
  <c r="G45" i="36"/>
  <c r="G43" i="36"/>
  <c r="AF42" i="36"/>
  <c r="AF68" i="36"/>
  <c r="Z42" i="36"/>
  <c r="Z68" i="36"/>
  <c r="X42" i="36"/>
  <c r="X68" i="36"/>
  <c r="V42" i="36"/>
  <c r="V68" i="36"/>
  <c r="N45" i="36"/>
  <c r="N43" i="36"/>
  <c r="W42" i="36"/>
  <c r="W68" i="36"/>
  <c r="O45" i="36"/>
  <c r="O96" i="36"/>
  <c r="O43" i="36"/>
  <c r="AG68" i="36"/>
  <c r="AH42" i="36"/>
  <c r="AH68" i="36"/>
  <c r="AD42" i="36"/>
  <c r="AD68" i="36"/>
  <c r="AB42" i="36"/>
  <c r="AB68" i="36"/>
  <c r="T42" i="36"/>
  <c r="T68" i="36"/>
  <c r="R42" i="36"/>
  <c r="R68" i="36"/>
  <c r="P42" i="36"/>
  <c r="P68" i="36"/>
  <c r="L43" i="36"/>
  <c r="L45" i="36"/>
  <c r="S42" i="36"/>
  <c r="S68" i="36"/>
  <c r="M96" i="36"/>
  <c r="M45" i="36"/>
  <c r="AE42" i="36"/>
  <c r="AE68" i="36"/>
  <c r="AA42" i="36"/>
  <c r="AA68" i="36"/>
  <c r="Q42" i="36"/>
  <c r="Q68" i="36"/>
  <c r="K43" i="36"/>
  <c r="K45" i="36"/>
  <c r="AG25" i="36"/>
  <c r="AG27" i="36"/>
  <c r="AG83" i="36"/>
  <c r="BL27" i="36"/>
  <c r="BL25" i="36"/>
  <c r="BL83" i="36"/>
  <c r="BM36" i="36"/>
  <c r="BM38" i="36"/>
  <c r="BM76" i="36"/>
  <c r="BM61" i="36"/>
  <c r="BM59" i="36"/>
  <c r="H181" i="42"/>
  <c r="G182" i="42"/>
  <c r="G183" i="42"/>
  <c r="G185" i="42" s="1"/>
  <c r="S63" i="45"/>
  <c r="AY62" i="36"/>
  <c r="S67" i="36"/>
  <c r="AX65" i="36"/>
  <c r="AX64" i="36"/>
  <c r="AY63" i="36"/>
  <c r="S64" i="36"/>
  <c r="S65" i="36"/>
  <c r="R70" i="36"/>
  <c r="R105" i="36"/>
  <c r="AW70" i="36"/>
  <c r="AW105" i="36"/>
  <c r="G66" i="20"/>
  <c r="L18" i="29"/>
  <c r="K21" i="29"/>
  <c r="G129" i="38"/>
  <c r="G129" i="42"/>
  <c r="I231" i="42"/>
  <c r="H232" i="42"/>
  <c r="G61" i="42"/>
  <c r="G65" i="42"/>
  <c r="G66" i="42"/>
  <c r="G85" i="42" s="1"/>
  <c r="G64" i="42"/>
  <c r="G67" i="42"/>
  <c r="G62" i="42"/>
  <c r="H60" i="42"/>
  <c r="J20" i="38"/>
  <c r="G186" i="38"/>
  <c r="G185" i="38"/>
  <c r="H216" i="42"/>
  <c r="G217" i="42"/>
  <c r="J22" i="38"/>
  <c r="J19" i="38"/>
  <c r="F63" i="38"/>
  <c r="G184" i="38"/>
  <c r="F63" i="42"/>
  <c r="G131" i="42"/>
  <c r="G130" i="42"/>
  <c r="G132" i="42"/>
  <c r="I126" i="42"/>
  <c r="H128" i="42"/>
  <c r="H127" i="42"/>
  <c r="I216" i="38"/>
  <c r="H217" i="38"/>
  <c r="G66" i="38"/>
  <c r="G85" i="38" s="1"/>
  <c r="G65" i="38"/>
  <c r="G64" i="38"/>
  <c r="G67" i="38"/>
  <c r="H60" i="38"/>
  <c r="G61" i="38"/>
  <c r="G62" i="38"/>
  <c r="G131" i="38"/>
  <c r="G130" i="38"/>
  <c r="G132" i="38"/>
  <c r="I126" i="38"/>
  <c r="H182" i="38"/>
  <c r="H183" i="38"/>
  <c r="H128" i="38"/>
  <c r="H127" i="38"/>
  <c r="I231" i="38"/>
  <c r="H232" i="38"/>
  <c r="K18" i="38"/>
  <c r="K21" i="38"/>
  <c r="Y31" i="36"/>
  <c r="M31" i="36"/>
  <c r="I31" i="36"/>
  <c r="G31" i="36"/>
  <c r="K31" i="36"/>
  <c r="L31" i="36"/>
  <c r="F31" i="36"/>
  <c r="O31" i="36"/>
  <c r="E31" i="36"/>
  <c r="N31" i="36"/>
  <c r="J31" i="36"/>
  <c r="H31" i="36"/>
  <c r="I195" i="20"/>
  <c r="H196" i="20"/>
  <c r="K19" i="28"/>
  <c r="K20" i="28"/>
  <c r="I307" i="20"/>
  <c r="H265" i="19"/>
  <c r="I59" i="28"/>
  <c r="H64" i="28"/>
  <c r="H61" i="28"/>
  <c r="H60" i="28"/>
  <c r="H63" i="28"/>
  <c r="G67" i="20"/>
  <c r="G69" i="20"/>
  <c r="G68" i="20"/>
  <c r="G70" i="20"/>
  <c r="H124" i="20"/>
  <c r="H123" i="20"/>
  <c r="H122" i="20"/>
  <c r="H120" i="20"/>
  <c r="I119" i="20"/>
  <c r="H121" i="20"/>
  <c r="H125" i="20"/>
  <c r="H108" i="28"/>
  <c r="I107" i="28"/>
  <c r="H83" i="28"/>
  <c r="H86" i="28"/>
  <c r="H84" i="28"/>
  <c r="H88" i="28"/>
  <c r="I82" i="28"/>
  <c r="H85" i="28"/>
  <c r="H87" i="28"/>
  <c r="L21" i="28"/>
  <c r="L22" i="28"/>
  <c r="I63" i="20"/>
  <c r="H65" i="20"/>
  <c r="H64" i="20"/>
  <c r="M18" i="28"/>
  <c r="T50" i="15"/>
  <c r="R74" i="12"/>
  <c r="R75" i="12"/>
  <c r="R78" i="12"/>
  <c r="R77" i="12"/>
  <c r="R80" i="12"/>
  <c r="R79" i="12"/>
  <c r="R76" i="12"/>
  <c r="G209" i="20"/>
  <c r="S74" i="14"/>
  <c r="S79" i="14"/>
  <c r="S75" i="14"/>
  <c r="S78" i="14"/>
  <c r="S77" i="14"/>
  <c r="S80" i="14"/>
  <c r="S76" i="14"/>
  <c r="AE18" i="20"/>
  <c r="AF20" i="20"/>
  <c r="AF22" i="20"/>
  <c r="AG8" i="20"/>
  <c r="AF19" i="20"/>
  <c r="AG7" i="20"/>
  <c r="AF9" i="20"/>
  <c r="W33" i="11"/>
  <c r="V34" i="11"/>
  <c r="V35" i="11" s="1"/>
  <c r="V36" i="11" s="1"/>
  <c r="U29" i="13"/>
  <c r="U30" i="13" s="1"/>
  <c r="V28" i="13"/>
  <c r="T31" i="13"/>
  <c r="T33" i="13" s="1"/>
  <c r="T63" i="36" s="1"/>
  <c r="T32" i="13"/>
  <c r="AG21" i="20"/>
  <c r="Y4" i="12"/>
  <c r="AH3" i="6"/>
  <c r="S4" i="6"/>
  <c r="J4" i="16"/>
  <c r="J4" i="15"/>
  <c r="AH4" i="6"/>
  <c r="Y4" i="16"/>
  <c r="Y4" i="15"/>
  <c r="T4" i="12"/>
  <c r="AC3" i="6"/>
  <c r="X4" i="6"/>
  <c r="O4" i="16"/>
  <c r="O4" i="15"/>
  <c r="AC4" i="6"/>
  <c r="T4" i="16"/>
  <c r="T4" i="15"/>
  <c r="AM4" i="6"/>
  <c r="AD4" i="16"/>
  <c r="AD4" i="15"/>
  <c r="AM3" i="6"/>
  <c r="AD4" i="12"/>
  <c r="O4" i="12"/>
  <c r="X3" i="6"/>
  <c r="U31" i="15"/>
  <c r="G3" i="12"/>
  <c r="N96" i="36" l="1"/>
  <c r="H96" i="36"/>
  <c r="BM27" i="36"/>
  <c r="M36" i="48"/>
  <c r="E45" i="36"/>
  <c r="BN22" i="36"/>
  <c r="N51" i="45"/>
  <c r="K96" i="36"/>
  <c r="M43" i="36"/>
  <c r="I43" i="36"/>
  <c r="Y45" i="36"/>
  <c r="F96" i="36"/>
  <c r="L96" i="36"/>
  <c r="AT52" i="45"/>
  <c r="AT88" i="45"/>
  <c r="AT51" i="45"/>
  <c r="AT53" i="45"/>
  <c r="Y43" i="36"/>
  <c r="E43" i="36"/>
  <c r="E96" i="36"/>
  <c r="N88" i="45"/>
  <c r="N52" i="45"/>
  <c r="I45" i="36"/>
  <c r="N53" i="45"/>
  <c r="BM83" i="36"/>
  <c r="AF34" i="42"/>
  <c r="BM25" i="36"/>
  <c r="Y96" i="36"/>
  <c r="F45" i="36"/>
  <c r="I96" i="36"/>
  <c r="F43" i="36"/>
  <c r="AF35" i="38"/>
  <c r="I35" i="38"/>
  <c r="O68" i="36"/>
  <c r="BL86" i="36"/>
  <c r="R35" i="38"/>
  <c r="P71" i="36"/>
  <c r="AE35" i="38"/>
  <c r="U64" i="45"/>
  <c r="U61" i="45"/>
  <c r="E35" i="38"/>
  <c r="F35" i="38"/>
  <c r="K35" i="38"/>
  <c r="M35" i="38"/>
  <c r="F68" i="36"/>
  <c r="Z35" i="38"/>
  <c r="O35" i="38"/>
  <c r="AC35" i="38"/>
  <c r="U66" i="45"/>
  <c r="M36" i="46"/>
  <c r="N35" i="38"/>
  <c r="Y68" i="36"/>
  <c r="V35" i="38"/>
  <c r="U35" i="38"/>
  <c r="G35" i="38"/>
  <c r="J35" i="38"/>
  <c r="AX74" i="36"/>
  <c r="D35" i="38"/>
  <c r="E68" i="36"/>
  <c r="AA35" i="38"/>
  <c r="U72" i="12"/>
  <c r="U72" i="14"/>
  <c r="T53" i="15"/>
  <c r="K68" i="36"/>
  <c r="AX72" i="36"/>
  <c r="AD35" i="38"/>
  <c r="H43" i="36"/>
  <c r="Q35" i="38"/>
  <c r="J45" i="36"/>
  <c r="AG34" i="38"/>
  <c r="AG33" i="42"/>
  <c r="N92" i="45"/>
  <c r="AU50" i="45"/>
  <c r="AU88" i="45" s="1"/>
  <c r="H35" i="38"/>
  <c r="AB35" i="38"/>
  <c r="L68" i="36"/>
  <c r="H68" i="36"/>
  <c r="G68" i="36"/>
  <c r="AW71" i="36"/>
  <c r="AG86" i="36"/>
  <c r="AG43" i="36"/>
  <c r="H45" i="36"/>
  <c r="AG35" i="38"/>
  <c r="J43" i="36"/>
  <c r="W35" i="38"/>
  <c r="AT92" i="45"/>
  <c r="AY63" i="45"/>
  <c r="L35" i="38"/>
  <c r="AZ66" i="45"/>
  <c r="P35" i="38"/>
  <c r="T73" i="12"/>
  <c r="T73" i="14"/>
  <c r="J68" i="36"/>
  <c r="I68" i="36"/>
  <c r="AY67" i="36"/>
  <c r="AG96" i="36"/>
  <c r="S35" i="38"/>
  <c r="J96" i="36"/>
  <c r="T35" i="38"/>
  <c r="AG37" i="42"/>
  <c r="AZ63" i="45"/>
  <c r="X35" i="38"/>
  <c r="N68" i="36"/>
  <c r="M68" i="36"/>
  <c r="BM80" i="36"/>
  <c r="Q71" i="36"/>
  <c r="AG45" i="36"/>
  <c r="Y35" i="38"/>
  <c r="O50" i="45"/>
  <c r="V40" i="11"/>
  <c r="V39" i="11"/>
  <c r="V37" i="11"/>
  <c r="V38" i="11"/>
  <c r="V62" i="36" s="1"/>
  <c r="BA61" i="45"/>
  <c r="BA64" i="45"/>
  <c r="P4" i="14"/>
  <c r="O32" i="29"/>
  <c r="O32" i="19"/>
  <c r="O32" i="28"/>
  <c r="AE4" i="14"/>
  <c r="AD32" i="29"/>
  <c r="AD32" i="19"/>
  <c r="AD32" i="28"/>
  <c r="T32" i="29"/>
  <c r="U4" i="14"/>
  <c r="T32" i="19"/>
  <c r="T32" i="28"/>
  <c r="Y32" i="29"/>
  <c r="Z4" i="14"/>
  <c r="Y32" i="19"/>
  <c r="Y32" i="28"/>
  <c r="O4" i="51"/>
  <c r="J144" i="53"/>
  <c r="I145" i="53"/>
  <c r="I97" i="53"/>
  <c r="I98" i="53"/>
  <c r="I129" i="53"/>
  <c r="I128" i="53"/>
  <c r="H130" i="53"/>
  <c r="H99" i="53"/>
  <c r="H100" i="53"/>
  <c r="H102" i="53"/>
  <c r="H101" i="53"/>
  <c r="H132" i="53"/>
  <c r="H131" i="53"/>
  <c r="L18" i="53"/>
  <c r="M21" i="53"/>
  <c r="L19" i="53"/>
  <c r="L22" i="53"/>
  <c r="L20" i="53"/>
  <c r="F4" i="50"/>
  <c r="P48" i="45"/>
  <c r="G89" i="42"/>
  <c r="G88" i="42"/>
  <c r="G92" i="42" s="1"/>
  <c r="G86" i="42"/>
  <c r="G90" i="42" s="1"/>
  <c r="G87" i="42"/>
  <c r="G91" i="42" s="1"/>
  <c r="G87" i="38"/>
  <c r="G88" i="38"/>
  <c r="G86" i="38"/>
  <c r="AV48" i="45"/>
  <c r="AW47" i="45"/>
  <c r="AW49" i="45"/>
  <c r="AW46" i="45"/>
  <c r="AX45" i="45"/>
  <c r="M360" i="46"/>
  <c r="N360" i="46" s="1"/>
  <c r="R45" i="45"/>
  <c r="Q49" i="45"/>
  <c r="Q46" i="45"/>
  <c r="Q47" i="45"/>
  <c r="BN38" i="36"/>
  <c r="BN36" i="36"/>
  <c r="BN76" i="36"/>
  <c r="BN24" i="36"/>
  <c r="BN68" i="36"/>
  <c r="AH25" i="36"/>
  <c r="AH83" i="36"/>
  <c r="AH27" i="36"/>
  <c r="BN61" i="36"/>
  <c r="BN59" i="36"/>
  <c r="R71" i="36"/>
  <c r="AD45" i="36"/>
  <c r="AD96" i="36"/>
  <c r="AD43" i="36"/>
  <c r="AF43" i="36"/>
  <c r="AF96" i="36"/>
  <c r="AF45" i="36"/>
  <c r="Q45" i="36"/>
  <c r="Q43" i="36"/>
  <c r="Q96" i="36"/>
  <c r="P43" i="36"/>
  <c r="P96" i="36"/>
  <c r="P45" i="36"/>
  <c r="T45" i="36"/>
  <c r="T43" i="36"/>
  <c r="T96" i="36"/>
  <c r="AB96" i="36"/>
  <c r="AB43" i="36"/>
  <c r="AB45" i="36"/>
  <c r="V96" i="36"/>
  <c r="V43" i="36"/>
  <c r="V45" i="36"/>
  <c r="Z45" i="36"/>
  <c r="Z96" i="36"/>
  <c r="Z43" i="36"/>
  <c r="R43" i="36"/>
  <c r="R45" i="36"/>
  <c r="R96" i="36"/>
  <c r="X96" i="36"/>
  <c r="X43" i="36"/>
  <c r="X45" i="36"/>
  <c r="S43" i="36"/>
  <c r="S96" i="36"/>
  <c r="S45" i="36"/>
  <c r="AH96" i="36"/>
  <c r="AH45" i="36"/>
  <c r="AH43" i="36"/>
  <c r="W45" i="36"/>
  <c r="W96" i="36"/>
  <c r="W43" i="36"/>
  <c r="U45" i="36"/>
  <c r="U43" i="36"/>
  <c r="U96" i="36"/>
  <c r="AA43" i="36"/>
  <c r="AA45" i="36"/>
  <c r="AA96" i="36"/>
  <c r="AE96" i="36"/>
  <c r="AE43" i="36"/>
  <c r="AE45" i="36"/>
  <c r="AC45" i="36"/>
  <c r="AC96" i="36"/>
  <c r="AC43" i="36"/>
  <c r="G186" i="42"/>
  <c r="G184" i="42"/>
  <c r="I181" i="42"/>
  <c r="H183" i="42"/>
  <c r="H185" i="42" s="1"/>
  <c r="H182" i="42"/>
  <c r="AZ62" i="36"/>
  <c r="T67" i="36"/>
  <c r="T63" i="45"/>
  <c r="AY65" i="36"/>
  <c r="AY64" i="36"/>
  <c r="S70" i="36"/>
  <c r="S105" i="36"/>
  <c r="AZ63" i="36"/>
  <c r="T64" i="36"/>
  <c r="T65" i="36"/>
  <c r="AX70" i="36"/>
  <c r="AX105" i="36"/>
  <c r="H62" i="28"/>
  <c r="L21" i="29"/>
  <c r="M18" i="29"/>
  <c r="H129" i="42"/>
  <c r="J231" i="38"/>
  <c r="I232" i="38"/>
  <c r="H186" i="38"/>
  <c r="H185" i="38"/>
  <c r="G63" i="38"/>
  <c r="K19" i="38"/>
  <c r="K22" i="38"/>
  <c r="H184" i="38"/>
  <c r="H66" i="38"/>
  <c r="H85" i="38" s="1"/>
  <c r="I60" i="38"/>
  <c r="H67" i="38"/>
  <c r="H64" i="38"/>
  <c r="H65" i="38"/>
  <c r="H61" i="38"/>
  <c r="H62" i="38"/>
  <c r="J126" i="42"/>
  <c r="I127" i="42"/>
  <c r="I128" i="42"/>
  <c r="H61" i="42"/>
  <c r="H65" i="42"/>
  <c r="I60" i="42"/>
  <c r="H66" i="42"/>
  <c r="H85" i="42" s="1"/>
  <c r="H67" i="42"/>
  <c r="H62" i="42"/>
  <c r="H64" i="42"/>
  <c r="J231" i="42"/>
  <c r="I232" i="42"/>
  <c r="L21" i="38"/>
  <c r="L18" i="38"/>
  <c r="H129" i="38"/>
  <c r="J126" i="38"/>
  <c r="I182" i="38"/>
  <c r="I183" i="38"/>
  <c r="I128" i="38"/>
  <c r="I127" i="38"/>
  <c r="H132" i="42"/>
  <c r="H131" i="42"/>
  <c r="H130" i="42"/>
  <c r="I216" i="42"/>
  <c r="H217" i="42"/>
  <c r="K20" i="38"/>
  <c r="H130" i="38"/>
  <c r="H131" i="38"/>
  <c r="H132" i="38"/>
  <c r="J216" i="38"/>
  <c r="I217" i="38"/>
  <c r="G63" i="42"/>
  <c r="F71" i="36"/>
  <c r="J35" i="36"/>
  <c r="T35" i="36"/>
  <c r="E35" i="36"/>
  <c r="X35" i="36"/>
  <c r="AH35" i="36"/>
  <c r="I35" i="36"/>
  <c r="AG35" i="36"/>
  <c r="R35" i="36"/>
  <c r="P35" i="36"/>
  <c r="AD35" i="36"/>
  <c r="L35" i="36"/>
  <c r="S35" i="36"/>
  <c r="AA35" i="36"/>
  <c r="Q35" i="36"/>
  <c r="Y35" i="36"/>
  <c r="H35" i="36"/>
  <c r="N35" i="36"/>
  <c r="AB35" i="36"/>
  <c r="AF35" i="36"/>
  <c r="O35" i="36"/>
  <c r="F35" i="36"/>
  <c r="V35" i="36"/>
  <c r="Z35" i="36"/>
  <c r="K35" i="36"/>
  <c r="W35" i="36"/>
  <c r="G35" i="36"/>
  <c r="M35" i="36"/>
  <c r="U35" i="36"/>
  <c r="AC35" i="36"/>
  <c r="AE35" i="36"/>
  <c r="M22" i="28"/>
  <c r="M21" i="28"/>
  <c r="J107" i="28"/>
  <c r="I108" i="28"/>
  <c r="H66" i="20"/>
  <c r="J307" i="20"/>
  <c r="I265" i="19"/>
  <c r="L19" i="28"/>
  <c r="H67" i="20"/>
  <c r="H69" i="20"/>
  <c r="H68" i="20"/>
  <c r="H70" i="20"/>
  <c r="I83" i="28"/>
  <c r="I86" i="28"/>
  <c r="I88" i="28"/>
  <c r="I85" i="28"/>
  <c r="I87" i="28"/>
  <c r="I84" i="28"/>
  <c r="J82" i="28"/>
  <c r="I121" i="20"/>
  <c r="I122" i="20"/>
  <c r="I123" i="20"/>
  <c r="I120" i="20"/>
  <c r="I124" i="20"/>
  <c r="I125" i="20"/>
  <c r="J119" i="20"/>
  <c r="N18" i="28"/>
  <c r="J63" i="20"/>
  <c r="I64" i="20"/>
  <c r="I65" i="20"/>
  <c r="J59" i="28"/>
  <c r="I64" i="28"/>
  <c r="I63" i="28"/>
  <c r="I60" i="28"/>
  <c r="I61" i="28"/>
  <c r="L20" i="28"/>
  <c r="J195" i="20"/>
  <c r="I196" i="20"/>
  <c r="U50" i="15"/>
  <c r="S74" i="12"/>
  <c r="S76" i="12"/>
  <c r="S77" i="12"/>
  <c r="S80" i="12"/>
  <c r="S75" i="12"/>
  <c r="S78" i="12"/>
  <c r="S79" i="12"/>
  <c r="H209" i="20"/>
  <c r="T74" i="14"/>
  <c r="T78" i="14"/>
  <c r="T76" i="14"/>
  <c r="T79" i="14"/>
  <c r="T77" i="14"/>
  <c r="T80" i="14"/>
  <c r="T75" i="14"/>
  <c r="AG19" i="20"/>
  <c r="AG22" i="20"/>
  <c r="AF18" i="20"/>
  <c r="AG9" i="20"/>
  <c r="AG20" i="20"/>
  <c r="X33" i="11"/>
  <c r="W34" i="11"/>
  <c r="W35" i="11" s="1"/>
  <c r="W36" i="11" s="1"/>
  <c r="V29" i="13"/>
  <c r="V30" i="13" s="1"/>
  <c r="W28" i="13"/>
  <c r="U31" i="13"/>
  <c r="U33" i="13" s="1"/>
  <c r="U63" i="36" s="1"/>
  <c r="U32" i="13"/>
  <c r="AD3" i="6"/>
  <c r="U4" i="12"/>
  <c r="AI3" i="6"/>
  <c r="Z4" i="12"/>
  <c r="AD4" i="6"/>
  <c r="U4" i="15"/>
  <c r="U4" i="16"/>
  <c r="T4" i="6"/>
  <c r="K4" i="15"/>
  <c r="K4" i="16"/>
  <c r="AN4" i="6"/>
  <c r="AE4" i="15"/>
  <c r="AE4" i="16"/>
  <c r="AI4" i="6"/>
  <c r="Z4" i="16"/>
  <c r="Z4" i="15"/>
  <c r="Y4" i="6"/>
  <c r="P4" i="16"/>
  <c r="P4" i="15"/>
  <c r="AN3" i="6"/>
  <c r="AE4" i="12"/>
  <c r="Y3" i="6"/>
  <c r="P4" i="12"/>
  <c r="V31" i="15"/>
  <c r="H3" i="12"/>
  <c r="H71" i="36" l="1"/>
  <c r="K71" i="36"/>
  <c r="J71" i="36"/>
  <c r="E71" i="36"/>
  <c r="O71" i="36"/>
  <c r="AU51" i="45"/>
  <c r="N71" i="36"/>
  <c r="BM86" i="36"/>
  <c r="O51" i="45"/>
  <c r="I71" i="36"/>
  <c r="O52" i="45"/>
  <c r="N36" i="48"/>
  <c r="AU52" i="45"/>
  <c r="O88" i="45"/>
  <c r="O53" i="45"/>
  <c r="AV50" i="45"/>
  <c r="F33" i="38"/>
  <c r="AA33" i="38"/>
  <c r="AC33" i="38"/>
  <c r="S33" i="38"/>
  <c r="AY72" i="36"/>
  <c r="M33" i="38"/>
  <c r="L71" i="36"/>
  <c r="AX71" i="36"/>
  <c r="AH86" i="36"/>
  <c r="BA63" i="45"/>
  <c r="P50" i="45"/>
  <c r="AY74" i="36"/>
  <c r="O33" i="38"/>
  <c r="J33" i="38"/>
  <c r="G33" i="38"/>
  <c r="Q33" i="38"/>
  <c r="G71" i="36"/>
  <c r="AE33" i="38"/>
  <c r="V33" i="38"/>
  <c r="I33" i="38"/>
  <c r="Y33" i="38"/>
  <c r="X33" i="38"/>
  <c r="AF33" i="38"/>
  <c r="AZ67" i="36"/>
  <c r="AG34" i="42"/>
  <c r="V72" i="14"/>
  <c r="V72" i="12"/>
  <c r="D33" i="38"/>
  <c r="U53" i="15"/>
  <c r="AD33" i="38"/>
  <c r="U33" i="38"/>
  <c r="P33" i="38"/>
  <c r="H33" i="38"/>
  <c r="V64" i="45"/>
  <c r="V61" i="45"/>
  <c r="AU53" i="45"/>
  <c r="K33" i="38"/>
  <c r="AB33" i="38"/>
  <c r="E33" i="38"/>
  <c r="Z33" i="38"/>
  <c r="AG33" i="38"/>
  <c r="BN80" i="36"/>
  <c r="O92" i="45"/>
  <c r="V66" i="45"/>
  <c r="L33" i="38"/>
  <c r="U73" i="12"/>
  <c r="U73" i="14"/>
  <c r="T33" i="38"/>
  <c r="N33" i="38"/>
  <c r="R33" i="38"/>
  <c r="W33" i="38"/>
  <c r="M71" i="36"/>
  <c r="S71" i="36"/>
  <c r="N36" i="46"/>
  <c r="BA66" i="45"/>
  <c r="BB64" i="45"/>
  <c r="BB61" i="45"/>
  <c r="W37" i="11"/>
  <c r="W40" i="11"/>
  <c r="W39" i="11"/>
  <c r="W38" i="11"/>
  <c r="W62" i="36" s="1"/>
  <c r="AF4" i="14"/>
  <c r="AE32" i="29"/>
  <c r="AE32" i="19"/>
  <c r="AE32" i="28"/>
  <c r="Z32" i="29"/>
  <c r="AA4" i="14"/>
  <c r="Z32" i="19"/>
  <c r="Z32" i="28"/>
  <c r="V4" i="14"/>
  <c r="U32" i="29"/>
  <c r="U32" i="19"/>
  <c r="U32" i="28"/>
  <c r="Q4" i="14"/>
  <c r="P32" i="29"/>
  <c r="P32" i="19"/>
  <c r="P32" i="28"/>
  <c r="P4" i="51"/>
  <c r="K144" i="53"/>
  <c r="J145" i="53"/>
  <c r="I130" i="53"/>
  <c r="I132" i="53"/>
  <c r="I131" i="53"/>
  <c r="I101" i="53"/>
  <c r="I100" i="53"/>
  <c r="I102" i="53"/>
  <c r="I99" i="53"/>
  <c r="J129" i="53"/>
  <c r="J97" i="53"/>
  <c r="J98" i="53"/>
  <c r="J128" i="53"/>
  <c r="M22" i="53"/>
  <c r="M19" i="53"/>
  <c r="N21" i="53"/>
  <c r="M20" i="53"/>
  <c r="M18" i="53"/>
  <c r="G4" i="50"/>
  <c r="H186" i="42"/>
  <c r="H88" i="38"/>
  <c r="H87" i="38"/>
  <c r="H86" i="38"/>
  <c r="AW48" i="45"/>
  <c r="H89" i="42"/>
  <c r="H86" i="42"/>
  <c r="H90" i="42" s="1"/>
  <c r="H88" i="42"/>
  <c r="H92" i="42" s="1"/>
  <c r="H87" i="42"/>
  <c r="H91" i="42" s="1"/>
  <c r="Q48" i="45"/>
  <c r="AX47" i="45"/>
  <c r="AX49" i="45"/>
  <c r="AX46" i="45"/>
  <c r="AY45" i="45"/>
  <c r="O360" i="46"/>
  <c r="P360" i="46" s="1"/>
  <c r="S45" i="45"/>
  <c r="R46" i="45"/>
  <c r="R47" i="45"/>
  <c r="R49" i="45"/>
  <c r="BN25" i="36"/>
  <c r="BN27" i="36"/>
  <c r="BN83" i="36"/>
  <c r="H184" i="42"/>
  <c r="J181" i="42"/>
  <c r="I182" i="42"/>
  <c r="I183" i="42"/>
  <c r="U63" i="45"/>
  <c r="BA62" i="36"/>
  <c r="U67" i="36"/>
  <c r="T70" i="36"/>
  <c r="T105" i="36"/>
  <c r="AY70" i="36"/>
  <c r="AY105" i="36"/>
  <c r="BA63" i="36"/>
  <c r="U65" i="36"/>
  <c r="U64" i="36"/>
  <c r="AZ65" i="36"/>
  <c r="AZ64" i="36"/>
  <c r="U38" i="36"/>
  <c r="U36" i="36"/>
  <c r="O36" i="36"/>
  <c r="O38" i="36"/>
  <c r="S36" i="36"/>
  <c r="S38" i="36"/>
  <c r="X36" i="36"/>
  <c r="X38" i="36"/>
  <c r="M38" i="36"/>
  <c r="M36" i="36"/>
  <c r="AF36" i="36"/>
  <c r="AF38" i="36"/>
  <c r="L38" i="36"/>
  <c r="L36" i="36"/>
  <c r="E38" i="36"/>
  <c r="E36" i="36"/>
  <c r="G38" i="36"/>
  <c r="G36" i="36"/>
  <c r="AB36" i="36"/>
  <c r="AB38" i="36"/>
  <c r="AD36" i="36"/>
  <c r="AD38" i="36"/>
  <c r="T36" i="36"/>
  <c r="T38" i="36"/>
  <c r="W38" i="36"/>
  <c r="W36" i="36"/>
  <c r="N38" i="36"/>
  <c r="N36" i="36"/>
  <c r="P36" i="36"/>
  <c r="P38" i="36"/>
  <c r="J36" i="36"/>
  <c r="J38" i="36"/>
  <c r="K36" i="36"/>
  <c r="K38" i="36"/>
  <c r="H36" i="36"/>
  <c r="H38" i="36"/>
  <c r="R36" i="36"/>
  <c r="R38" i="36"/>
  <c r="Z38" i="36"/>
  <c r="Z36" i="36"/>
  <c r="Y38" i="36"/>
  <c r="Y36" i="36"/>
  <c r="AG36" i="36"/>
  <c r="AG38" i="36"/>
  <c r="AE38" i="36"/>
  <c r="AE36" i="36"/>
  <c r="V38" i="36"/>
  <c r="V36" i="36"/>
  <c r="Q36" i="36"/>
  <c r="Q38" i="36"/>
  <c r="I36" i="36"/>
  <c r="I38" i="36"/>
  <c r="AC36" i="36"/>
  <c r="AC38" i="36"/>
  <c r="F36" i="36"/>
  <c r="F38" i="36"/>
  <c r="AA38" i="36"/>
  <c r="AA36" i="36"/>
  <c r="AH38" i="36"/>
  <c r="AH36" i="36"/>
  <c r="L74" i="36"/>
  <c r="N18" i="29"/>
  <c r="M21" i="29"/>
  <c r="I129" i="42"/>
  <c r="I129" i="38"/>
  <c r="K216" i="38"/>
  <c r="J217" i="38"/>
  <c r="I131" i="38"/>
  <c r="I130" i="38"/>
  <c r="I132" i="38"/>
  <c r="K231" i="42"/>
  <c r="J232" i="42"/>
  <c r="I132" i="42"/>
  <c r="I130" i="42"/>
  <c r="I131" i="42"/>
  <c r="K126" i="42"/>
  <c r="J127" i="42"/>
  <c r="J128" i="42"/>
  <c r="L20" i="38"/>
  <c r="I186" i="38"/>
  <c r="I185" i="38"/>
  <c r="I66" i="42"/>
  <c r="I85" i="42" s="1"/>
  <c r="I64" i="42"/>
  <c r="I67" i="42"/>
  <c r="I61" i="42"/>
  <c r="I62" i="42"/>
  <c r="J60" i="42"/>
  <c r="I65" i="42"/>
  <c r="I184" i="38"/>
  <c r="M21" i="38"/>
  <c r="H63" i="42"/>
  <c r="H63" i="38"/>
  <c r="I64" i="38"/>
  <c r="J60" i="38"/>
  <c r="I66" i="38"/>
  <c r="I85" i="38" s="1"/>
  <c r="I65" i="38"/>
  <c r="I67" i="38"/>
  <c r="I62" i="38"/>
  <c r="I61" i="38"/>
  <c r="L22" i="38"/>
  <c r="L19" i="38"/>
  <c r="J216" i="42"/>
  <c r="I217" i="42"/>
  <c r="K126" i="38"/>
  <c r="J182" i="38"/>
  <c r="J183" i="38"/>
  <c r="J128" i="38"/>
  <c r="J127" i="38"/>
  <c r="M18" i="38"/>
  <c r="K231" i="38"/>
  <c r="J232" i="38"/>
  <c r="AE76" i="36"/>
  <c r="U76" i="36"/>
  <c r="G76" i="36"/>
  <c r="K76" i="36"/>
  <c r="V76" i="36"/>
  <c r="O76" i="36"/>
  <c r="AB76" i="36"/>
  <c r="H76" i="36"/>
  <c r="Q76" i="36"/>
  <c r="S76" i="36"/>
  <c r="AD76" i="36"/>
  <c r="R76" i="36"/>
  <c r="I76" i="36"/>
  <c r="X76" i="36"/>
  <c r="T76" i="36"/>
  <c r="AC76" i="36"/>
  <c r="M76" i="36"/>
  <c r="W76" i="36"/>
  <c r="Z76" i="36"/>
  <c r="F76" i="36"/>
  <c r="AF76" i="36"/>
  <c r="N76" i="36"/>
  <c r="Y76" i="36"/>
  <c r="AA76" i="36"/>
  <c r="L76" i="36"/>
  <c r="P76" i="36"/>
  <c r="AG76" i="36"/>
  <c r="AH76" i="36"/>
  <c r="E76" i="36"/>
  <c r="J76" i="36"/>
  <c r="I66" i="20"/>
  <c r="I62" i="28"/>
  <c r="J63" i="28"/>
  <c r="J64" i="28"/>
  <c r="K59" i="28"/>
  <c r="J61" i="28"/>
  <c r="J60" i="28"/>
  <c r="K307" i="20"/>
  <c r="J265" i="19"/>
  <c r="N22" i="28"/>
  <c r="K195" i="20"/>
  <c r="J196" i="20"/>
  <c r="K63" i="20"/>
  <c r="J64" i="20"/>
  <c r="J65" i="20"/>
  <c r="J83" i="28"/>
  <c r="J87" i="28"/>
  <c r="J85" i="28"/>
  <c r="J88" i="28"/>
  <c r="J84" i="28"/>
  <c r="K82" i="28"/>
  <c r="J86" i="28"/>
  <c r="J121" i="20"/>
  <c r="J123" i="20"/>
  <c r="J125" i="20"/>
  <c r="J124" i="20"/>
  <c r="J120" i="20"/>
  <c r="K119" i="20"/>
  <c r="J122" i="20"/>
  <c r="M19" i="28"/>
  <c r="N21" i="28"/>
  <c r="M20" i="28"/>
  <c r="I68" i="20"/>
  <c r="I70" i="20"/>
  <c r="I67" i="20"/>
  <c r="I69" i="20"/>
  <c r="O18" i="28"/>
  <c r="K107" i="28"/>
  <c r="J108" i="28"/>
  <c r="V50" i="15"/>
  <c r="T74" i="12"/>
  <c r="T78" i="12"/>
  <c r="T79" i="12"/>
  <c r="T76" i="12"/>
  <c r="T80" i="12"/>
  <c r="T75" i="12"/>
  <c r="T77" i="12"/>
  <c r="I209" i="20"/>
  <c r="U74" i="14"/>
  <c r="U79" i="14"/>
  <c r="U77" i="14"/>
  <c r="U75" i="14"/>
  <c r="U78" i="14"/>
  <c r="U76" i="14"/>
  <c r="U80" i="14"/>
  <c r="AG18" i="20"/>
  <c r="Y33" i="11"/>
  <c r="X34" i="11"/>
  <c r="X35" i="11" s="1"/>
  <c r="X36" i="11" s="1"/>
  <c r="W29" i="13"/>
  <c r="W30" i="13" s="1"/>
  <c r="X28" i="13"/>
  <c r="V32" i="13"/>
  <c r="V31" i="13"/>
  <c r="V33" i="13" s="1"/>
  <c r="V63" i="36" s="1"/>
  <c r="AJ4" i="6"/>
  <c r="AA4" i="16"/>
  <c r="AA4" i="15"/>
  <c r="Z4" i="6"/>
  <c r="Q4" i="16"/>
  <c r="Q4" i="15"/>
  <c r="AE4" i="6"/>
  <c r="V4" i="16"/>
  <c r="V4" i="15"/>
  <c r="U4" i="6"/>
  <c r="L4" i="16"/>
  <c r="L4" i="15"/>
  <c r="AJ3" i="6"/>
  <c r="AA4" i="12"/>
  <c r="AO4" i="6"/>
  <c r="AF4" i="16"/>
  <c r="AF4" i="15"/>
  <c r="AE3" i="6"/>
  <c r="V4" i="12"/>
  <c r="AO3" i="6"/>
  <c r="AF4" i="12"/>
  <c r="Z3" i="6"/>
  <c r="Q4" i="12"/>
  <c r="W31" i="15"/>
  <c r="I3" i="12"/>
  <c r="AV53" i="45" l="1"/>
  <c r="AU92" i="45"/>
  <c r="P52" i="45"/>
  <c r="O36" i="48"/>
  <c r="AV51" i="45"/>
  <c r="P88" i="45"/>
  <c r="P53" i="45"/>
  <c r="P51" i="45"/>
  <c r="O74" i="36"/>
  <c r="V73" i="12"/>
  <c r="V73" i="14"/>
  <c r="N74" i="36"/>
  <c r="AW50" i="45"/>
  <c r="W66" i="45"/>
  <c r="Q74" i="36"/>
  <c r="K74" i="36"/>
  <c r="AY71" i="36"/>
  <c r="W72" i="14"/>
  <c r="W72" i="12"/>
  <c r="G74" i="36"/>
  <c r="M74" i="36"/>
  <c r="BB63" i="45"/>
  <c r="BB66" i="45"/>
  <c r="F74" i="36"/>
  <c r="J74" i="36"/>
  <c r="T74" i="36"/>
  <c r="T71" i="36"/>
  <c r="Q50" i="45"/>
  <c r="O36" i="46"/>
  <c r="I74" i="36"/>
  <c r="E74" i="36"/>
  <c r="AZ72" i="36"/>
  <c r="AV52" i="45"/>
  <c r="W64" i="45"/>
  <c r="W61" i="45"/>
  <c r="R74" i="36"/>
  <c r="P74" i="36"/>
  <c r="S74" i="36"/>
  <c r="BA67" i="36"/>
  <c r="BN86" i="36"/>
  <c r="H74" i="36"/>
  <c r="V53" i="15"/>
  <c r="AZ74" i="36"/>
  <c r="X37" i="11"/>
  <c r="X40" i="11"/>
  <c r="X39" i="11"/>
  <c r="X38" i="11"/>
  <c r="X62" i="36" s="1"/>
  <c r="BC61" i="45"/>
  <c r="BC64" i="45"/>
  <c r="Q32" i="29"/>
  <c r="R4" i="14"/>
  <c r="Q32" i="19"/>
  <c r="Q32" i="28"/>
  <c r="AA32" i="29"/>
  <c r="AB4" i="14"/>
  <c r="AA32" i="19"/>
  <c r="AA32" i="28"/>
  <c r="AG4" i="14"/>
  <c r="AF32" i="29"/>
  <c r="AF32" i="19"/>
  <c r="AF32" i="28"/>
  <c r="W4" i="14"/>
  <c r="V32" i="29"/>
  <c r="V32" i="19"/>
  <c r="V32" i="28"/>
  <c r="Q4" i="51"/>
  <c r="L144" i="53"/>
  <c r="K145" i="53"/>
  <c r="J130" i="53"/>
  <c r="J99" i="53"/>
  <c r="J102" i="53"/>
  <c r="J101" i="53"/>
  <c r="J100" i="53"/>
  <c r="J132" i="53"/>
  <c r="J131" i="53"/>
  <c r="K129" i="53"/>
  <c r="K97" i="53"/>
  <c r="K128" i="53"/>
  <c r="K98" i="53"/>
  <c r="N20" i="53"/>
  <c r="N18" i="53"/>
  <c r="O21" i="53"/>
  <c r="N19" i="53"/>
  <c r="N22" i="53"/>
  <c r="H4" i="50"/>
  <c r="I4" i="50"/>
  <c r="AU4" i="51"/>
  <c r="I89" i="42"/>
  <c r="I87" i="42"/>
  <c r="I91" i="42" s="1"/>
  <c r="I86" i="42"/>
  <c r="I88" i="42"/>
  <c r="I92" i="42" s="1"/>
  <c r="I88" i="38"/>
  <c r="I86" i="38"/>
  <c r="I87" i="38"/>
  <c r="AX48" i="45"/>
  <c r="R48" i="45"/>
  <c r="AY49" i="45"/>
  <c r="AY47" i="45"/>
  <c r="AY46" i="45"/>
  <c r="AZ45" i="45"/>
  <c r="Q360" i="46"/>
  <c r="R360" i="46" s="1"/>
  <c r="T45" i="45"/>
  <c r="S46" i="45"/>
  <c r="S49" i="45"/>
  <c r="S47" i="45"/>
  <c r="AV92" i="45"/>
  <c r="AV88" i="45"/>
  <c r="I184" i="42"/>
  <c r="I185" i="42"/>
  <c r="I186" i="42"/>
  <c r="K181" i="42"/>
  <c r="J182" i="42"/>
  <c r="J183" i="42"/>
  <c r="J185" i="42" s="1"/>
  <c r="U74" i="36"/>
  <c r="BB62" i="36"/>
  <c r="V67" i="36"/>
  <c r="V63" i="45"/>
  <c r="BB63" i="36"/>
  <c r="V65" i="36"/>
  <c r="V64" i="36"/>
  <c r="U70" i="36"/>
  <c r="U105" i="36"/>
  <c r="AZ70" i="36"/>
  <c r="AZ105" i="36"/>
  <c r="BA65" i="36"/>
  <c r="BA64" i="36"/>
  <c r="V80" i="36"/>
  <c r="Z80" i="36"/>
  <c r="E80" i="36"/>
  <c r="E72" i="36"/>
  <c r="AC80" i="36"/>
  <c r="J80" i="36"/>
  <c r="J72" i="36"/>
  <c r="T80" i="36"/>
  <c r="T72" i="36"/>
  <c r="X80" i="36"/>
  <c r="AH80" i="36"/>
  <c r="AE80" i="36"/>
  <c r="L80" i="36"/>
  <c r="L72" i="36"/>
  <c r="R80" i="36"/>
  <c r="R72" i="36"/>
  <c r="P80" i="36"/>
  <c r="P72" i="36"/>
  <c r="AD80" i="36"/>
  <c r="S80" i="36"/>
  <c r="S72" i="36"/>
  <c r="AA80" i="36"/>
  <c r="N80" i="36"/>
  <c r="N72" i="36"/>
  <c r="I80" i="36"/>
  <c r="I72" i="36"/>
  <c r="AG80" i="36"/>
  <c r="H80" i="36"/>
  <c r="H72" i="36"/>
  <c r="AB80" i="36"/>
  <c r="AF80" i="36"/>
  <c r="O80" i="36"/>
  <c r="O72" i="36"/>
  <c r="Y80" i="36"/>
  <c r="W80" i="36"/>
  <c r="G80" i="36"/>
  <c r="G72" i="36"/>
  <c r="M80" i="36"/>
  <c r="M72" i="36"/>
  <c r="U80" i="36"/>
  <c r="U72" i="36"/>
  <c r="V74" i="36"/>
  <c r="F80" i="36"/>
  <c r="F72" i="36"/>
  <c r="Q80" i="36"/>
  <c r="Q72" i="36"/>
  <c r="K80" i="36"/>
  <c r="K72" i="36"/>
  <c r="J129" i="38"/>
  <c r="N21" i="29"/>
  <c r="O18" i="29"/>
  <c r="J129" i="42"/>
  <c r="N18" i="38"/>
  <c r="J184" i="38"/>
  <c r="M19" i="38"/>
  <c r="J67" i="38"/>
  <c r="K60" i="38"/>
  <c r="J64" i="38"/>
  <c r="J66" i="38"/>
  <c r="J85" i="38" s="1"/>
  <c r="J65" i="38"/>
  <c r="J62" i="38"/>
  <c r="J61" i="38"/>
  <c r="I63" i="42"/>
  <c r="J132" i="42"/>
  <c r="J131" i="42"/>
  <c r="J130" i="42"/>
  <c r="L126" i="42"/>
  <c r="K127" i="42"/>
  <c r="K128" i="42"/>
  <c r="L231" i="42"/>
  <c r="K232" i="42"/>
  <c r="L231" i="38"/>
  <c r="K232" i="38"/>
  <c r="L126" i="38"/>
  <c r="K182" i="38"/>
  <c r="K183" i="38"/>
  <c r="K127" i="38"/>
  <c r="K128" i="38"/>
  <c r="K216" i="42"/>
  <c r="J217" i="42"/>
  <c r="N21" i="38"/>
  <c r="J130" i="38"/>
  <c r="J132" i="38"/>
  <c r="J131" i="38"/>
  <c r="M22" i="38"/>
  <c r="J62" i="42"/>
  <c r="K60" i="42"/>
  <c r="J65" i="42"/>
  <c r="J64" i="42"/>
  <c r="J67" i="42"/>
  <c r="J66" i="42"/>
  <c r="J85" i="42" s="1"/>
  <c r="J61" i="42"/>
  <c r="I90" i="42"/>
  <c r="M20" i="38"/>
  <c r="J186" i="38"/>
  <c r="J185" i="38"/>
  <c r="I63" i="38"/>
  <c r="L216" i="38"/>
  <c r="K217" i="38"/>
  <c r="J67" i="20"/>
  <c r="J68" i="20"/>
  <c r="J70" i="20"/>
  <c r="J69" i="20"/>
  <c r="L195" i="20"/>
  <c r="K196" i="20"/>
  <c r="L307" i="20"/>
  <c r="K265" i="19"/>
  <c r="P18" i="28"/>
  <c r="O21" i="28"/>
  <c r="N19" i="28"/>
  <c r="K124" i="20"/>
  <c r="K122" i="20"/>
  <c r="K123" i="20"/>
  <c r="K121" i="20"/>
  <c r="K125" i="20"/>
  <c r="K120" i="20"/>
  <c r="L119" i="20"/>
  <c r="J66" i="20"/>
  <c r="K63" i="28"/>
  <c r="L59" i="28"/>
  <c r="K64" i="28"/>
  <c r="K61" i="28"/>
  <c r="K60" i="28"/>
  <c r="K83" i="28"/>
  <c r="K87" i="28"/>
  <c r="K86" i="28"/>
  <c r="K85" i="28"/>
  <c r="K88" i="28"/>
  <c r="K84" i="28"/>
  <c r="L82" i="28"/>
  <c r="L63" i="20"/>
  <c r="K65" i="20"/>
  <c r="K64" i="20"/>
  <c r="O22" i="28"/>
  <c r="L107" i="28"/>
  <c r="K108" i="28"/>
  <c r="N20" i="28"/>
  <c r="J62" i="28"/>
  <c r="W50" i="15"/>
  <c r="U74" i="12"/>
  <c r="U76" i="12"/>
  <c r="U77" i="12"/>
  <c r="U78" i="12"/>
  <c r="U79" i="12"/>
  <c r="U80" i="12"/>
  <c r="U75" i="12"/>
  <c r="J209" i="20"/>
  <c r="V74" i="14"/>
  <c r="V80" i="14"/>
  <c r="V79" i="14"/>
  <c r="V76" i="14"/>
  <c r="V78" i="14"/>
  <c r="V75" i="14"/>
  <c r="V77" i="14"/>
  <c r="Z33" i="11"/>
  <c r="Y34" i="11"/>
  <c r="Y35" i="11" s="1"/>
  <c r="Y36" i="11" s="1"/>
  <c r="X29" i="13"/>
  <c r="X30" i="13" s="1"/>
  <c r="Y28" i="13"/>
  <c r="W32" i="13"/>
  <c r="W31" i="13"/>
  <c r="W33" i="13" s="1"/>
  <c r="W63" i="36" s="1"/>
  <c r="R4" i="16"/>
  <c r="R4" i="15"/>
  <c r="W4" i="12"/>
  <c r="W4" i="16"/>
  <c r="W4" i="15"/>
  <c r="M4" i="15"/>
  <c r="M4" i="16"/>
  <c r="AG4" i="15"/>
  <c r="AG4" i="16"/>
  <c r="AB4" i="12"/>
  <c r="AB4" i="16"/>
  <c r="AB4" i="15"/>
  <c r="AG4" i="12"/>
  <c r="R4" i="12"/>
  <c r="X31" i="15"/>
  <c r="J3" i="12"/>
  <c r="P92" i="45" l="1"/>
  <c r="AW51" i="45"/>
  <c r="Q88" i="45"/>
  <c r="Q53" i="45"/>
  <c r="Q51" i="45"/>
  <c r="Q52" i="45"/>
  <c r="AW52" i="45"/>
  <c r="P36" i="48"/>
  <c r="X72" i="12"/>
  <c r="X72" i="14"/>
  <c r="U71" i="36"/>
  <c r="V72" i="36"/>
  <c r="P36" i="46"/>
  <c r="BD66" i="45"/>
  <c r="X66" i="45"/>
  <c r="W53" i="15"/>
  <c r="W73" i="14"/>
  <c r="W73" i="12"/>
  <c r="R50" i="45"/>
  <c r="BC63" i="45"/>
  <c r="AW53" i="45"/>
  <c r="AZ71" i="36"/>
  <c r="BA72" i="36"/>
  <c r="AX50" i="45"/>
  <c r="BB67" i="36"/>
  <c r="X64" i="45"/>
  <c r="X61" i="45"/>
  <c r="BA74" i="36"/>
  <c r="BC66" i="45"/>
  <c r="BD61" i="45"/>
  <c r="BD64" i="45"/>
  <c r="Y37" i="11"/>
  <c r="Y40" i="11"/>
  <c r="Y39" i="11"/>
  <c r="Y38" i="11"/>
  <c r="Y62" i="36" s="1"/>
  <c r="J186" i="42"/>
  <c r="AX52" i="45"/>
  <c r="R4" i="51"/>
  <c r="M144" i="53"/>
  <c r="L145" i="53"/>
  <c r="K99" i="53"/>
  <c r="K132" i="53"/>
  <c r="K131" i="53"/>
  <c r="L129" i="53"/>
  <c r="L97" i="53"/>
  <c r="L128" i="53"/>
  <c r="L98" i="53"/>
  <c r="K102" i="53"/>
  <c r="K100" i="53"/>
  <c r="K101" i="53"/>
  <c r="K130" i="53"/>
  <c r="O18" i="53"/>
  <c r="O20" i="53"/>
  <c r="O19" i="53"/>
  <c r="O22" i="53"/>
  <c r="P21" i="53"/>
  <c r="AV4" i="51"/>
  <c r="R53" i="45"/>
  <c r="S48" i="45"/>
  <c r="J89" i="42"/>
  <c r="J88" i="42"/>
  <c r="J92" i="42" s="1"/>
  <c r="J87" i="42"/>
  <c r="J91" i="42" s="1"/>
  <c r="J86" i="42"/>
  <c r="J90" i="42" s="1"/>
  <c r="J86" i="38"/>
  <c r="J87" i="38"/>
  <c r="J88" i="38"/>
  <c r="AY48" i="45"/>
  <c r="AZ46" i="45"/>
  <c r="AZ47" i="45"/>
  <c r="AZ49" i="45"/>
  <c r="BA45" i="45"/>
  <c r="S360" i="46"/>
  <c r="T360" i="46" s="1"/>
  <c r="AW88" i="45"/>
  <c r="AW92" i="45"/>
  <c r="U45" i="45"/>
  <c r="T46" i="45"/>
  <c r="T47" i="45"/>
  <c r="T49" i="45"/>
  <c r="J184" i="42"/>
  <c r="L181" i="42"/>
  <c r="K183" i="42"/>
  <c r="K186" i="42" s="1"/>
  <c r="K182" i="42"/>
  <c r="BC62" i="36"/>
  <c r="W67" i="36"/>
  <c r="W63" i="45"/>
  <c r="V70" i="36"/>
  <c r="V105" i="36"/>
  <c r="BC63" i="36"/>
  <c r="W65" i="36"/>
  <c r="W64" i="36"/>
  <c r="BA70" i="36"/>
  <c r="BA105" i="36"/>
  <c r="BB64" i="36"/>
  <c r="BB65" i="36"/>
  <c r="K66" i="20"/>
  <c r="K129" i="42"/>
  <c r="O21" i="29"/>
  <c r="P18" i="29"/>
  <c r="K67" i="42"/>
  <c r="K61" i="42"/>
  <c r="K64" i="42"/>
  <c r="L60" i="42"/>
  <c r="K66" i="42"/>
  <c r="K85" i="42" s="1"/>
  <c r="K65" i="42"/>
  <c r="K62" i="42"/>
  <c r="L216" i="42"/>
  <c r="K217" i="42"/>
  <c r="K184" i="38"/>
  <c r="N19" i="38"/>
  <c r="M216" i="38"/>
  <c r="L217" i="38"/>
  <c r="N20" i="38"/>
  <c r="N22" i="38"/>
  <c r="K130" i="38"/>
  <c r="K132" i="38"/>
  <c r="K131" i="38"/>
  <c r="M126" i="38"/>
  <c r="L182" i="38"/>
  <c r="L183" i="38"/>
  <c r="L128" i="38"/>
  <c r="L127" i="38"/>
  <c r="M231" i="42"/>
  <c r="L232" i="42"/>
  <c r="K129" i="38"/>
  <c r="M231" i="38"/>
  <c r="L232" i="38"/>
  <c r="K132" i="42"/>
  <c r="K131" i="42"/>
  <c r="K130" i="42"/>
  <c r="M126" i="42"/>
  <c r="L127" i="42"/>
  <c r="L128" i="42"/>
  <c r="J63" i="38"/>
  <c r="J63" i="42"/>
  <c r="O21" i="38"/>
  <c r="K186" i="38"/>
  <c r="K185" i="38"/>
  <c r="K67" i="38"/>
  <c r="L60" i="38"/>
  <c r="K65" i="38"/>
  <c r="K64" i="38"/>
  <c r="K66" i="38"/>
  <c r="K85" i="38" s="1"/>
  <c r="K62" i="38"/>
  <c r="K61" i="38"/>
  <c r="O18" i="38"/>
  <c r="K70" i="20"/>
  <c r="K68" i="20"/>
  <c r="K69" i="20"/>
  <c r="K67" i="20"/>
  <c r="P22" i="28"/>
  <c r="M63" i="20"/>
  <c r="L64" i="20"/>
  <c r="L65" i="20"/>
  <c r="P21" i="28"/>
  <c r="Q18" i="28"/>
  <c r="M195" i="20"/>
  <c r="L196" i="20"/>
  <c r="L83" i="28"/>
  <c r="L86" i="28"/>
  <c r="M82" i="28"/>
  <c r="L85" i="28"/>
  <c r="L87" i="28"/>
  <c r="L84" i="28"/>
  <c r="L88" i="28"/>
  <c r="M59" i="28"/>
  <c r="L60" i="28"/>
  <c r="L61" i="28"/>
  <c r="L63" i="28"/>
  <c r="L64" i="28"/>
  <c r="O20" i="28"/>
  <c r="M107" i="28"/>
  <c r="L108" i="28"/>
  <c r="K62" i="28"/>
  <c r="L121" i="20"/>
  <c r="L120" i="20"/>
  <c r="L125" i="20"/>
  <c r="L123" i="20"/>
  <c r="L122" i="20"/>
  <c r="L124" i="20"/>
  <c r="M119" i="20"/>
  <c r="O19" i="28"/>
  <c r="M307" i="20"/>
  <c r="L265" i="19"/>
  <c r="X50" i="15"/>
  <c r="V74" i="12"/>
  <c r="V75" i="12"/>
  <c r="V78" i="12"/>
  <c r="V79" i="12"/>
  <c r="V76" i="12"/>
  <c r="V77" i="12"/>
  <c r="V80" i="12"/>
  <c r="K209" i="20"/>
  <c r="W74" i="14"/>
  <c r="W79" i="14"/>
  <c r="W75" i="14"/>
  <c r="AA33" i="11"/>
  <c r="Z34" i="11"/>
  <c r="Z35" i="11" s="1"/>
  <c r="Z36" i="11" s="1"/>
  <c r="Y29" i="13"/>
  <c r="Y30" i="13" s="1"/>
  <c r="Z28" i="13"/>
  <c r="X31" i="13"/>
  <c r="X33" i="13" s="1"/>
  <c r="X63" i="36" s="1"/>
  <c r="X32" i="13"/>
  <c r="Y31" i="15"/>
  <c r="K3" i="12"/>
  <c r="Q92" i="45" l="1"/>
  <c r="R88" i="45"/>
  <c r="AX51" i="45"/>
  <c r="R52" i="45"/>
  <c r="R51" i="45"/>
  <c r="AX88" i="45"/>
  <c r="AX53" i="45"/>
  <c r="W72" i="36"/>
  <c r="Y64" i="45"/>
  <c r="Y61" i="45"/>
  <c r="X53" i="15"/>
  <c r="AX92" i="45"/>
  <c r="Y66" i="45"/>
  <c r="S50" i="45"/>
  <c r="W78" i="14"/>
  <c r="W76" i="14"/>
  <c r="Y72" i="12"/>
  <c r="Y72" i="14"/>
  <c r="BB72" i="36"/>
  <c r="V71" i="36"/>
  <c r="Q36" i="48"/>
  <c r="AY50" i="45"/>
  <c r="W80" i="14"/>
  <c r="R92" i="45"/>
  <c r="BD63" i="45"/>
  <c r="X73" i="14"/>
  <c r="X73" i="12"/>
  <c r="Q36" i="46"/>
  <c r="W74" i="36"/>
  <c r="W77" i="14"/>
  <c r="BA71" i="36"/>
  <c r="BC67" i="36"/>
  <c r="BB74" i="36"/>
  <c r="Z39" i="11"/>
  <c r="Z37" i="11"/>
  <c r="Z40" i="11"/>
  <c r="Z38" i="11"/>
  <c r="Z62" i="36" s="1"/>
  <c r="BE61" i="45"/>
  <c r="BE64" i="45"/>
  <c r="S4" i="51"/>
  <c r="N144" i="53"/>
  <c r="M145" i="53"/>
  <c r="L130" i="53"/>
  <c r="L99" i="53"/>
  <c r="L132" i="53"/>
  <c r="L131" i="53"/>
  <c r="M97" i="53"/>
  <c r="M98" i="53"/>
  <c r="M129" i="53"/>
  <c r="M128" i="53"/>
  <c r="L102" i="53"/>
  <c r="L100" i="53"/>
  <c r="L101" i="53"/>
  <c r="P19" i="53"/>
  <c r="P22" i="53"/>
  <c r="P20" i="53"/>
  <c r="P18" i="53"/>
  <c r="Q21" i="53"/>
  <c r="AW4" i="51"/>
  <c r="K87" i="38"/>
  <c r="K86" i="38"/>
  <c r="K88" i="38"/>
  <c r="K89" i="42"/>
  <c r="K87" i="42"/>
  <c r="K91" i="42" s="1"/>
  <c r="K88" i="42"/>
  <c r="K92" i="42" s="1"/>
  <c r="K86" i="42"/>
  <c r="K90" i="42" s="1"/>
  <c r="AZ48" i="45"/>
  <c r="BA47" i="45"/>
  <c r="BA49" i="45"/>
  <c r="BA46" i="45"/>
  <c r="BB45" i="45"/>
  <c r="K185" i="42"/>
  <c r="K184" i="42"/>
  <c r="U360" i="46"/>
  <c r="V45" i="45"/>
  <c r="U47" i="45"/>
  <c r="U46" i="45"/>
  <c r="U49" i="45"/>
  <c r="T48" i="45"/>
  <c r="M181" i="42"/>
  <c r="L183" i="42"/>
  <c r="L186" i="42" s="1"/>
  <c r="L182" i="42"/>
  <c r="X63" i="45"/>
  <c r="BD62" i="36"/>
  <c r="X67" i="36"/>
  <c r="BC65" i="36"/>
  <c r="BC64" i="36"/>
  <c r="BD63" i="36"/>
  <c r="X65" i="36"/>
  <c r="X64" i="36"/>
  <c r="BB70" i="36"/>
  <c r="BB105" i="36"/>
  <c r="W70" i="36"/>
  <c r="W105" i="36"/>
  <c r="Q18" i="29"/>
  <c r="P21" i="29"/>
  <c r="N231" i="38"/>
  <c r="M232" i="38"/>
  <c r="L186" i="38"/>
  <c r="L185" i="38"/>
  <c r="L132" i="42"/>
  <c r="L131" i="42"/>
  <c r="L130" i="42"/>
  <c r="N126" i="42"/>
  <c r="M128" i="42"/>
  <c r="M127" i="42"/>
  <c r="L184" i="38"/>
  <c r="O22" i="38"/>
  <c r="O20" i="38"/>
  <c r="N216" i="38"/>
  <c r="M217" i="38"/>
  <c r="K63" i="42"/>
  <c r="K63" i="38"/>
  <c r="P21" i="38"/>
  <c r="L129" i="42"/>
  <c r="L129" i="38"/>
  <c r="N126" i="38"/>
  <c r="M182" i="38"/>
  <c r="M183" i="38"/>
  <c r="M127" i="38"/>
  <c r="M128" i="38"/>
  <c r="O19" i="38"/>
  <c r="P18" i="38"/>
  <c r="L66" i="38"/>
  <c r="L85" i="38" s="1"/>
  <c r="M60" i="38"/>
  <c r="L65" i="38"/>
  <c r="L67" i="38"/>
  <c r="L64" i="38"/>
  <c r="L62" i="38"/>
  <c r="L61" i="38"/>
  <c r="N231" i="42"/>
  <c r="M232" i="42"/>
  <c r="L130" i="38"/>
  <c r="L131" i="38"/>
  <c r="L132" i="38"/>
  <c r="M216" i="42"/>
  <c r="L217" i="42"/>
  <c r="L62" i="42"/>
  <c r="L61" i="42"/>
  <c r="L67" i="42"/>
  <c r="L64" i="42"/>
  <c r="L66" i="42"/>
  <c r="L85" i="42" s="1"/>
  <c r="L65" i="42"/>
  <c r="M60" i="42"/>
  <c r="L62" i="28"/>
  <c r="M120" i="20"/>
  <c r="M125" i="20"/>
  <c r="M123" i="20"/>
  <c r="M121" i="20"/>
  <c r="M122" i="20"/>
  <c r="N119" i="20"/>
  <c r="M124" i="20"/>
  <c r="M83" i="28"/>
  <c r="M86" i="28"/>
  <c r="M84" i="28"/>
  <c r="M87" i="28"/>
  <c r="N82" i="28"/>
  <c r="M85" i="28"/>
  <c r="M88" i="28"/>
  <c r="R18" i="28"/>
  <c r="Q22" i="28"/>
  <c r="M265" i="19"/>
  <c r="N307" i="20"/>
  <c r="N107" i="28"/>
  <c r="M108" i="28"/>
  <c r="M60" i="28"/>
  <c r="M61" i="28"/>
  <c r="M63" i="28"/>
  <c r="M64" i="28"/>
  <c r="N59" i="28"/>
  <c r="L68" i="20"/>
  <c r="L70" i="20"/>
  <c r="L67" i="20"/>
  <c r="L69" i="20"/>
  <c r="N195" i="20"/>
  <c r="M196" i="20"/>
  <c r="Q21" i="28"/>
  <c r="L66" i="20"/>
  <c r="P19" i="28"/>
  <c r="P20" i="28"/>
  <c r="N63" i="20"/>
  <c r="M65" i="20"/>
  <c r="M64" i="20"/>
  <c r="Y50" i="15"/>
  <c r="W74" i="12"/>
  <c r="W77" i="12"/>
  <c r="W80" i="12"/>
  <c r="W79" i="12"/>
  <c r="W76" i="12"/>
  <c r="W78" i="12"/>
  <c r="W75" i="12"/>
  <c r="L209" i="20"/>
  <c r="X74" i="14"/>
  <c r="X78" i="14"/>
  <c r="X80" i="14"/>
  <c r="X79" i="14"/>
  <c r="X76" i="14"/>
  <c r="X75" i="14"/>
  <c r="X77" i="14"/>
  <c r="AB33" i="11"/>
  <c r="AA34" i="11"/>
  <c r="AA35" i="11" s="1"/>
  <c r="AA36" i="11" s="1"/>
  <c r="Z29" i="13"/>
  <c r="Z30" i="13" s="1"/>
  <c r="AA28" i="13"/>
  <c r="Y31" i="13"/>
  <c r="Y33" i="13" s="1"/>
  <c r="Y63" i="36" s="1"/>
  <c r="Y32" i="13"/>
  <c r="Z31" i="15"/>
  <c r="L3" i="12"/>
  <c r="R36" i="48" l="1"/>
  <c r="S51" i="45"/>
  <c r="S88" i="45"/>
  <c r="S52" i="45"/>
  <c r="S53" i="45"/>
  <c r="BD67" i="36"/>
  <c r="BB71" i="36"/>
  <c r="T50" i="45"/>
  <c r="AZ50" i="45"/>
  <c r="BE63" i="45"/>
  <c r="X72" i="36"/>
  <c r="Z66" i="45"/>
  <c r="Z72" i="12"/>
  <c r="Z72" i="14"/>
  <c r="Y73" i="12"/>
  <c r="Y73" i="14"/>
  <c r="AY52" i="45"/>
  <c r="Z64" i="45"/>
  <c r="Z61" i="45"/>
  <c r="BC74" i="36"/>
  <c r="Y53" i="15"/>
  <c r="BC72" i="36"/>
  <c r="AY53" i="45"/>
  <c r="R36" i="46"/>
  <c r="BE66" i="45"/>
  <c r="W71" i="36"/>
  <c r="X74" i="36"/>
  <c r="S92" i="45"/>
  <c r="AY51" i="45"/>
  <c r="AA39" i="11"/>
  <c r="AA37" i="11"/>
  <c r="AA40" i="11"/>
  <c r="AA38" i="11"/>
  <c r="AA62" i="36" s="1"/>
  <c r="BF61" i="45"/>
  <c r="BF64" i="45"/>
  <c r="T4" i="51"/>
  <c r="O144" i="53"/>
  <c r="N145" i="53"/>
  <c r="N97" i="53"/>
  <c r="N98" i="53"/>
  <c r="N129" i="53"/>
  <c r="N128" i="53"/>
  <c r="M130" i="53"/>
  <c r="M132" i="53"/>
  <c r="M131" i="53"/>
  <c r="M101" i="53"/>
  <c r="M100" i="53"/>
  <c r="M102" i="53"/>
  <c r="M99" i="53"/>
  <c r="Q19" i="53"/>
  <c r="Q20" i="53"/>
  <c r="R21" i="53"/>
  <c r="Q18" i="53"/>
  <c r="Q22" i="53"/>
  <c r="AX4" i="51"/>
  <c r="U48" i="45"/>
  <c r="L89" i="42"/>
  <c r="L86" i="42"/>
  <c r="L90" i="42" s="1"/>
  <c r="L88" i="42"/>
  <c r="L92" i="42" s="1"/>
  <c r="L87" i="42"/>
  <c r="L91" i="42" s="1"/>
  <c r="BA48" i="45"/>
  <c r="L88" i="38"/>
  <c r="L86" i="38"/>
  <c r="L87" i="38"/>
  <c r="BB47" i="45"/>
  <c r="BB49" i="45"/>
  <c r="BB46" i="45"/>
  <c r="BC45" i="45"/>
  <c r="V360" i="46"/>
  <c r="AY88" i="45"/>
  <c r="W45" i="45"/>
  <c r="V46" i="45"/>
  <c r="V47" i="45"/>
  <c r="V49" i="45"/>
  <c r="L185" i="42"/>
  <c r="L184" i="42"/>
  <c r="N181" i="42"/>
  <c r="M182" i="42"/>
  <c r="M183" i="42"/>
  <c r="M185" i="42" s="1"/>
  <c r="Y63" i="45"/>
  <c r="BE62" i="36"/>
  <c r="Y67" i="36"/>
  <c r="BE63" i="36"/>
  <c r="Y64" i="36"/>
  <c r="Y65" i="36"/>
  <c r="BD65" i="36"/>
  <c r="BD64" i="36"/>
  <c r="BC70" i="36"/>
  <c r="BC105" i="36"/>
  <c r="X70" i="36"/>
  <c r="X105" i="36"/>
  <c r="M66" i="20"/>
  <c r="Q21" i="29"/>
  <c r="R18" i="29"/>
  <c r="L63" i="42"/>
  <c r="L63" i="38"/>
  <c r="Q18" i="38"/>
  <c r="P19" i="38"/>
  <c r="M184" i="38"/>
  <c r="M129" i="42"/>
  <c r="O126" i="42"/>
  <c r="N127" i="42"/>
  <c r="N128" i="42"/>
  <c r="O231" i="42"/>
  <c r="N232" i="42"/>
  <c r="M61" i="38"/>
  <c r="M64" i="38"/>
  <c r="M67" i="38"/>
  <c r="M65" i="38"/>
  <c r="M66" i="38"/>
  <c r="M85" i="38" s="1"/>
  <c r="M62" i="38"/>
  <c r="N60" i="38"/>
  <c r="M130" i="38"/>
  <c r="M131" i="38"/>
  <c r="M132" i="38"/>
  <c r="O126" i="38"/>
  <c r="N182" i="38"/>
  <c r="N183" i="38"/>
  <c r="N128" i="38"/>
  <c r="N127" i="38"/>
  <c r="P20" i="38"/>
  <c r="M131" i="42"/>
  <c r="M130" i="42"/>
  <c r="M132" i="42"/>
  <c r="M66" i="42"/>
  <c r="M85" i="42" s="1"/>
  <c r="M65" i="42"/>
  <c r="M62" i="42"/>
  <c r="M61" i="42"/>
  <c r="N60" i="42"/>
  <c r="M67" i="42"/>
  <c r="M64" i="42"/>
  <c r="N216" i="42"/>
  <c r="M217" i="42"/>
  <c r="M129" i="38"/>
  <c r="Q21" i="38"/>
  <c r="M186" i="38"/>
  <c r="M185" i="38"/>
  <c r="O216" i="38"/>
  <c r="N217" i="38"/>
  <c r="P22" i="38"/>
  <c r="O231" i="38"/>
  <c r="N232" i="38"/>
  <c r="Q20" i="28"/>
  <c r="R21" i="28"/>
  <c r="N265" i="19"/>
  <c r="O307" i="20"/>
  <c r="N83" i="28"/>
  <c r="N87" i="28"/>
  <c r="N84" i="28"/>
  <c r="N88" i="28"/>
  <c r="N85" i="28"/>
  <c r="O82" i="28"/>
  <c r="N86" i="28"/>
  <c r="M70" i="20"/>
  <c r="M69" i="20"/>
  <c r="M67" i="20"/>
  <c r="M68" i="20"/>
  <c r="N60" i="28"/>
  <c r="N64" i="28"/>
  <c r="O59" i="28"/>
  <c r="N63" i="28"/>
  <c r="N61" i="28"/>
  <c r="M62" i="28"/>
  <c r="S18" i="28"/>
  <c r="O63" i="20"/>
  <c r="N65" i="20"/>
  <c r="N64" i="20"/>
  <c r="N196" i="20"/>
  <c r="O195" i="20"/>
  <c r="R22" i="28"/>
  <c r="N121" i="20"/>
  <c r="N125" i="20"/>
  <c r="N120" i="20"/>
  <c r="N123" i="20"/>
  <c r="O119" i="20"/>
  <c r="N124" i="20"/>
  <c r="N122" i="20"/>
  <c r="Q19" i="28"/>
  <c r="N108" i="28"/>
  <c r="O107" i="28"/>
  <c r="Z50" i="15"/>
  <c r="X74" i="12"/>
  <c r="X76" i="12"/>
  <c r="X77" i="12"/>
  <c r="X80" i="12"/>
  <c r="X75" i="12"/>
  <c r="X78" i="12"/>
  <c r="X79" i="12"/>
  <c r="M209" i="20"/>
  <c r="Y74" i="14"/>
  <c r="AC33" i="11"/>
  <c r="AB34" i="11"/>
  <c r="AB35" i="11" s="1"/>
  <c r="AB36" i="11" s="1"/>
  <c r="AA29" i="13"/>
  <c r="AA30" i="13" s="1"/>
  <c r="AB28" i="13"/>
  <c r="Z31" i="13"/>
  <c r="Z33" i="13" s="1"/>
  <c r="Z63" i="36" s="1"/>
  <c r="Z32" i="13"/>
  <c r="AA31" i="15"/>
  <c r="M3" i="12"/>
  <c r="S36" i="48" l="1"/>
  <c r="T51" i="45"/>
  <c r="T88" i="45"/>
  <c r="T53" i="45"/>
  <c r="T52" i="45"/>
  <c r="AZ51" i="45"/>
  <c r="AZ53" i="45"/>
  <c r="AZ52" i="45"/>
  <c r="BD72" i="36"/>
  <c r="BF63" i="45"/>
  <c r="BF66" i="45"/>
  <c r="S36" i="46"/>
  <c r="Y72" i="36"/>
  <c r="Y78" i="14"/>
  <c r="T92" i="45"/>
  <c r="BA50" i="45"/>
  <c r="BG66" i="45"/>
  <c r="AA66" i="45"/>
  <c r="U50" i="45"/>
  <c r="AA72" i="12"/>
  <c r="AA72" i="14"/>
  <c r="Y75" i="14"/>
  <c r="X71" i="36"/>
  <c r="Y74" i="36"/>
  <c r="AY92" i="45"/>
  <c r="AA64" i="45"/>
  <c r="AA61" i="45"/>
  <c r="BD74" i="36"/>
  <c r="Z53" i="15"/>
  <c r="Z73" i="12"/>
  <c r="Z73" i="14"/>
  <c r="Y76" i="14"/>
  <c r="BE67" i="36"/>
  <c r="Y77" i="14"/>
  <c r="Y79" i="14"/>
  <c r="Y80" i="14"/>
  <c r="BC71" i="36"/>
  <c r="AB39" i="11"/>
  <c r="AB37" i="11"/>
  <c r="AB40" i="11"/>
  <c r="AB38" i="11"/>
  <c r="AB62" i="36" s="1"/>
  <c r="BG61" i="45"/>
  <c r="U4" i="51"/>
  <c r="P144" i="53"/>
  <c r="O145" i="53"/>
  <c r="N130" i="53"/>
  <c r="N132" i="53"/>
  <c r="N131" i="53"/>
  <c r="N101" i="53"/>
  <c r="N100" i="53"/>
  <c r="N102" i="53"/>
  <c r="N99" i="53"/>
  <c r="O97" i="53"/>
  <c r="O129" i="53"/>
  <c r="O98" i="53"/>
  <c r="O128" i="53"/>
  <c r="R22" i="53"/>
  <c r="R20" i="53"/>
  <c r="R18" i="53"/>
  <c r="R19" i="53"/>
  <c r="S21" i="53"/>
  <c r="AY4" i="51"/>
  <c r="M186" i="42"/>
  <c r="V48" i="45"/>
  <c r="M89" i="42"/>
  <c r="M87" i="42"/>
  <c r="M91" i="42" s="1"/>
  <c r="M88" i="42"/>
  <c r="M92" i="42" s="1"/>
  <c r="M86" i="42"/>
  <c r="M90" i="42" s="1"/>
  <c r="M87" i="38"/>
  <c r="M86" i="38"/>
  <c r="M88" i="38"/>
  <c r="BC49" i="45"/>
  <c r="BC46" i="45"/>
  <c r="BC47" i="45"/>
  <c r="BD45" i="45"/>
  <c r="BB48" i="45"/>
  <c r="W360" i="46"/>
  <c r="X360" i="46" s="1"/>
  <c r="X45" i="45"/>
  <c r="W46" i="45"/>
  <c r="W47" i="45"/>
  <c r="W49" i="45"/>
  <c r="AZ92" i="45"/>
  <c r="AZ88" i="45"/>
  <c r="M184" i="42"/>
  <c r="O181" i="42"/>
  <c r="N182" i="42"/>
  <c r="N183" i="42"/>
  <c r="N185" i="42" s="1"/>
  <c r="Z63" i="45"/>
  <c r="BF62" i="36"/>
  <c r="Z67" i="36"/>
  <c r="Y70" i="36"/>
  <c r="Y105" i="36"/>
  <c r="BF63" i="36"/>
  <c r="Z65" i="36"/>
  <c r="Z64" i="36"/>
  <c r="BD70" i="36"/>
  <c r="BD105" i="36"/>
  <c r="BE64" i="36"/>
  <c r="BE65" i="36"/>
  <c r="N66" i="20"/>
  <c r="S18" i="29"/>
  <c r="R21" i="29"/>
  <c r="N129" i="42"/>
  <c r="N186" i="38"/>
  <c r="N185" i="38"/>
  <c r="M63" i="38"/>
  <c r="Q22" i="38"/>
  <c r="O60" i="42"/>
  <c r="N62" i="42"/>
  <c r="N64" i="42"/>
  <c r="N61" i="42"/>
  <c r="N67" i="42"/>
  <c r="N65" i="42"/>
  <c r="N66" i="42"/>
  <c r="N85" i="42" s="1"/>
  <c r="N184" i="38"/>
  <c r="Q19" i="38"/>
  <c r="R18" i="38"/>
  <c r="P231" i="38"/>
  <c r="O232" i="38"/>
  <c r="R21" i="38"/>
  <c r="O216" i="42"/>
  <c r="N217" i="42"/>
  <c r="M63" i="42"/>
  <c r="Q20" i="38"/>
  <c r="N129" i="38"/>
  <c r="P126" i="38"/>
  <c r="O182" i="38"/>
  <c r="O183" i="38"/>
  <c r="O128" i="38"/>
  <c r="O127" i="38"/>
  <c r="N67" i="38"/>
  <c r="N64" i="38"/>
  <c r="N65" i="38"/>
  <c r="O60" i="38"/>
  <c r="N66" i="38"/>
  <c r="N85" i="38" s="1"/>
  <c r="N62" i="38"/>
  <c r="N61" i="38"/>
  <c r="P231" i="42"/>
  <c r="O232" i="42"/>
  <c r="N131" i="42"/>
  <c r="N130" i="42"/>
  <c r="N132" i="42"/>
  <c r="P126" i="42"/>
  <c r="O127" i="42"/>
  <c r="O128" i="42"/>
  <c r="P216" i="38"/>
  <c r="O217" i="38"/>
  <c r="N131" i="38"/>
  <c r="N132" i="38"/>
  <c r="N130" i="38"/>
  <c r="P307" i="20"/>
  <c r="O265" i="19"/>
  <c r="P195" i="20"/>
  <c r="O196" i="20"/>
  <c r="N62" i="28"/>
  <c r="O83" i="28"/>
  <c r="O88" i="28"/>
  <c r="O85" i="28"/>
  <c r="O86" i="28"/>
  <c r="O84" i="28"/>
  <c r="O87" i="28"/>
  <c r="P82" i="28"/>
  <c r="S21" i="28"/>
  <c r="O108" i="28"/>
  <c r="P107" i="28"/>
  <c r="O122" i="20"/>
  <c r="O125" i="20"/>
  <c r="O121" i="20"/>
  <c r="P119" i="20"/>
  <c r="O120" i="20"/>
  <c r="O124" i="20"/>
  <c r="O123" i="20"/>
  <c r="S22" i="28"/>
  <c r="N69" i="20"/>
  <c r="N70" i="20"/>
  <c r="N68" i="20"/>
  <c r="N67" i="20"/>
  <c r="R19" i="28"/>
  <c r="O64" i="20"/>
  <c r="P63" i="20"/>
  <c r="O65" i="20"/>
  <c r="T18" i="28"/>
  <c r="O61" i="28"/>
  <c r="O63" i="28"/>
  <c r="P59" i="28"/>
  <c r="O64" i="28"/>
  <c r="O60" i="28"/>
  <c r="R20" i="28"/>
  <c r="AA50" i="15"/>
  <c r="Y74" i="12"/>
  <c r="Y76" i="12"/>
  <c r="Y77" i="12"/>
  <c r="Y78" i="12"/>
  <c r="Y79" i="12"/>
  <c r="Y75" i="12"/>
  <c r="Y80" i="12"/>
  <c r="N209" i="20"/>
  <c r="Z74" i="14"/>
  <c r="Z77" i="14"/>
  <c r="Z78" i="14"/>
  <c r="Z75" i="14"/>
  <c r="Z80" i="14"/>
  <c r="Z79" i="14"/>
  <c r="Z76" i="14"/>
  <c r="AD33" i="11"/>
  <c r="AC34" i="11"/>
  <c r="AC35" i="11" s="1"/>
  <c r="AC36" i="11" s="1"/>
  <c r="AB29" i="13"/>
  <c r="AB30" i="13" s="1"/>
  <c r="AC28" i="13"/>
  <c r="AA31" i="13"/>
  <c r="AA33" i="13" s="1"/>
  <c r="AA63" i="36" s="1"/>
  <c r="AA32" i="13"/>
  <c r="AB31" i="15"/>
  <c r="N3" i="12"/>
  <c r="BA51" i="45" l="1"/>
  <c r="U51" i="45"/>
  <c r="BA52" i="45"/>
  <c r="BA53" i="45"/>
  <c r="BF67" i="36"/>
  <c r="U88" i="45"/>
  <c r="V50" i="45"/>
  <c r="BD71" i="36"/>
  <c r="U52" i="45"/>
  <c r="BB50" i="45"/>
  <c r="U36" i="48" s="1"/>
  <c r="BG64" i="45"/>
  <c r="U53" i="45"/>
  <c r="BG63" i="45"/>
  <c r="Z74" i="36"/>
  <c r="Z72" i="36"/>
  <c r="BE74" i="36"/>
  <c r="T36" i="48"/>
  <c r="T36" i="46"/>
  <c r="AA53" i="15"/>
  <c r="BH66" i="45"/>
  <c r="AB66" i="45"/>
  <c r="AB72" i="12"/>
  <c r="AB72" i="14"/>
  <c r="AA73" i="12"/>
  <c r="AA73" i="14"/>
  <c r="BE72" i="36"/>
  <c r="Y71" i="36"/>
  <c r="AB64" i="45"/>
  <c r="AB61" i="45"/>
  <c r="AC40" i="11"/>
  <c r="AC39" i="11"/>
  <c r="AC37" i="11"/>
  <c r="AC38" i="11"/>
  <c r="AC62" i="36" s="1"/>
  <c r="BH61" i="45"/>
  <c r="BH64" i="45"/>
  <c r="V4" i="51"/>
  <c r="Q144" i="53"/>
  <c r="P145" i="53"/>
  <c r="O132" i="53"/>
  <c r="O131" i="53"/>
  <c r="O99" i="53"/>
  <c r="P97" i="53"/>
  <c r="P98" i="53"/>
  <c r="P129" i="53"/>
  <c r="P128" i="53"/>
  <c r="O130" i="53"/>
  <c r="O101" i="53"/>
  <c r="O102" i="53"/>
  <c r="O100" i="53"/>
  <c r="S20" i="53"/>
  <c r="S19" i="53"/>
  <c r="T21" i="53"/>
  <c r="S22" i="53"/>
  <c r="S18" i="53"/>
  <c r="AZ4" i="51"/>
  <c r="N86" i="38"/>
  <c r="N88" i="38"/>
  <c r="N87" i="38"/>
  <c r="N89" i="42"/>
  <c r="N88" i="42"/>
  <c r="N92" i="42" s="1"/>
  <c r="N86" i="42"/>
  <c r="N90" i="42" s="1"/>
  <c r="N87" i="42"/>
  <c r="N91" i="42" s="1"/>
  <c r="BC48" i="45"/>
  <c r="BD46" i="45"/>
  <c r="BD47" i="45"/>
  <c r="BD49" i="45"/>
  <c r="BE45" i="45"/>
  <c r="BB51" i="45"/>
  <c r="O62" i="28"/>
  <c r="Y360" i="46"/>
  <c r="BA88" i="45"/>
  <c r="BA92" i="45"/>
  <c r="W48" i="45"/>
  <c r="Y45" i="45"/>
  <c r="X46" i="45"/>
  <c r="X47" i="45"/>
  <c r="X49" i="45"/>
  <c r="N184" i="42"/>
  <c r="N186" i="42"/>
  <c r="P181" i="42"/>
  <c r="O183" i="42"/>
  <c r="O186" i="42" s="1"/>
  <c r="O182" i="42"/>
  <c r="AA63" i="45"/>
  <c r="BG62" i="36"/>
  <c r="AA67" i="36"/>
  <c r="BE70" i="36"/>
  <c r="BE105" i="36"/>
  <c r="BG63" i="36"/>
  <c r="AA64" i="36"/>
  <c r="AA65" i="36"/>
  <c r="BF65" i="36"/>
  <c r="BF64" i="36"/>
  <c r="Z70" i="36"/>
  <c r="Z105" i="36"/>
  <c r="S21" i="29"/>
  <c r="T18" i="29"/>
  <c r="O130" i="38"/>
  <c r="O132" i="38"/>
  <c r="O131" i="38"/>
  <c r="S21" i="38"/>
  <c r="O186" i="38"/>
  <c r="O185" i="38"/>
  <c r="Q231" i="38"/>
  <c r="P232" i="38"/>
  <c r="S18" i="38"/>
  <c r="N63" i="42"/>
  <c r="R22" i="38"/>
  <c r="O131" i="42"/>
  <c r="O130" i="42"/>
  <c r="O132" i="42"/>
  <c r="R20" i="38"/>
  <c r="Q216" i="38"/>
  <c r="P217" i="38"/>
  <c r="Q126" i="42"/>
  <c r="P128" i="42"/>
  <c r="P127" i="42"/>
  <c r="O184" i="38"/>
  <c r="O129" i="42"/>
  <c r="Q231" i="42"/>
  <c r="P232" i="42"/>
  <c r="O66" i="38"/>
  <c r="O85" i="38" s="1"/>
  <c r="O62" i="38"/>
  <c r="P60" i="38"/>
  <c r="O61" i="38"/>
  <c r="O65" i="38"/>
  <c r="O67" i="38"/>
  <c r="O64" i="38"/>
  <c r="O129" i="38"/>
  <c r="Q126" i="38"/>
  <c r="P182" i="38"/>
  <c r="P183" i="38"/>
  <c r="P127" i="38"/>
  <c r="P128" i="38"/>
  <c r="P216" i="42"/>
  <c r="O217" i="42"/>
  <c r="R19" i="38"/>
  <c r="N63" i="38"/>
  <c r="O65" i="42"/>
  <c r="O62" i="42"/>
  <c r="O66" i="42"/>
  <c r="O85" i="42" s="1"/>
  <c r="O61" i="42"/>
  <c r="P60" i="42"/>
  <c r="O67" i="42"/>
  <c r="O64" i="42"/>
  <c r="P60" i="28"/>
  <c r="Q59" i="28"/>
  <c r="P63" i="28"/>
  <c r="P61" i="28"/>
  <c r="P64" i="28"/>
  <c r="U18" i="28"/>
  <c r="T22" i="28"/>
  <c r="P120" i="20"/>
  <c r="Q119" i="20"/>
  <c r="P125" i="20"/>
  <c r="P121" i="20"/>
  <c r="P124" i="20"/>
  <c r="P122" i="20"/>
  <c r="P123" i="20"/>
  <c r="O67" i="20"/>
  <c r="O68" i="20"/>
  <c r="O70" i="20"/>
  <c r="O69" i="20"/>
  <c r="T21" i="28"/>
  <c r="P265" i="19"/>
  <c r="Q307" i="20"/>
  <c r="P64" i="20"/>
  <c r="P65" i="20"/>
  <c r="Q63" i="20"/>
  <c r="Q107" i="28"/>
  <c r="P108" i="28"/>
  <c r="P85" i="28"/>
  <c r="P87" i="28"/>
  <c r="P84" i="28"/>
  <c r="P83" i="28"/>
  <c r="P86" i="28"/>
  <c r="Q82" i="28"/>
  <c r="P88" i="28"/>
  <c r="S20" i="28"/>
  <c r="O66" i="20"/>
  <c r="S19" i="28"/>
  <c r="P196" i="20"/>
  <c r="Q195" i="20"/>
  <c r="AB50" i="15"/>
  <c r="Z74" i="12"/>
  <c r="Z75" i="12"/>
  <c r="Z78" i="12"/>
  <c r="Z80" i="12"/>
  <c r="Z79" i="12"/>
  <c r="Z76" i="12"/>
  <c r="Z77" i="12"/>
  <c r="O209" i="20"/>
  <c r="AA74" i="14"/>
  <c r="AA80" i="14"/>
  <c r="AA76" i="14"/>
  <c r="AA78" i="14"/>
  <c r="AA75" i="14"/>
  <c r="AA77" i="14"/>
  <c r="AA79" i="14"/>
  <c r="AE33" i="11"/>
  <c r="AD34" i="11"/>
  <c r="AD35" i="11" s="1"/>
  <c r="AD36" i="11" s="1"/>
  <c r="AC29" i="13"/>
  <c r="AC30" i="13" s="1"/>
  <c r="AD28" i="13"/>
  <c r="AB31" i="13"/>
  <c r="AB33" i="13" s="1"/>
  <c r="AB63" i="36" s="1"/>
  <c r="AB32" i="13"/>
  <c r="AC31" i="15"/>
  <c r="O3" i="12"/>
  <c r="V51" i="45" l="1"/>
  <c r="BB52" i="45"/>
  <c r="U92" i="45"/>
  <c r="BB53" i="45"/>
  <c r="V53" i="45"/>
  <c r="V52" i="45"/>
  <c r="V88" i="45"/>
  <c r="AC66" i="45"/>
  <c r="BF72" i="36"/>
  <c r="AA72" i="36"/>
  <c r="U36" i="46"/>
  <c r="BG67" i="36"/>
  <c r="W50" i="45"/>
  <c r="BH63" i="45"/>
  <c r="BC50" i="45"/>
  <c r="AB53" i="15"/>
  <c r="V92" i="45"/>
  <c r="BF74" i="36"/>
  <c r="BE71" i="36"/>
  <c r="AC72" i="12"/>
  <c r="AC72" i="14"/>
  <c r="AB73" i="12"/>
  <c r="AB73" i="14"/>
  <c r="Z71" i="36"/>
  <c r="AA74" i="36"/>
  <c r="AC64" i="45"/>
  <c r="AC61" i="45"/>
  <c r="BI61" i="45"/>
  <c r="AD40" i="11"/>
  <c r="AD39" i="11"/>
  <c r="AD37" i="11"/>
  <c r="AD38" i="11"/>
  <c r="AD62" i="36" s="1"/>
  <c r="W4" i="51"/>
  <c r="R144" i="53"/>
  <c r="Q145" i="53"/>
  <c r="P99" i="53"/>
  <c r="Q97" i="53"/>
  <c r="Q98" i="53"/>
  <c r="Q129" i="53"/>
  <c r="Q128" i="53"/>
  <c r="P130" i="53"/>
  <c r="P132" i="53"/>
  <c r="P131" i="53"/>
  <c r="P101" i="53"/>
  <c r="P102" i="53"/>
  <c r="P100" i="53"/>
  <c r="U21" i="53"/>
  <c r="T20" i="53"/>
  <c r="T18" i="53"/>
  <c r="T19" i="53"/>
  <c r="T22" i="53"/>
  <c r="BA4" i="51"/>
  <c r="O87" i="38"/>
  <c r="O88" i="38"/>
  <c r="O86" i="38"/>
  <c r="O89" i="42"/>
  <c r="O86" i="42"/>
  <c r="O90" i="42" s="1"/>
  <c r="O87" i="42"/>
  <c r="O91" i="42" s="1"/>
  <c r="O88" i="42"/>
  <c r="O92" i="42" s="1"/>
  <c r="BD48" i="45"/>
  <c r="BE46" i="45"/>
  <c r="BE47" i="45"/>
  <c r="BE49" i="45"/>
  <c r="BF45" i="45"/>
  <c r="Z360" i="46"/>
  <c r="BB88" i="45"/>
  <c r="BB92" i="45"/>
  <c r="X48" i="45"/>
  <c r="Z45" i="45"/>
  <c r="Y46" i="45"/>
  <c r="Y47" i="45"/>
  <c r="Y49" i="45"/>
  <c r="O185" i="42"/>
  <c r="O184" i="42"/>
  <c r="Q181" i="42"/>
  <c r="P183" i="42"/>
  <c r="P185" i="42" s="1"/>
  <c r="P182" i="42"/>
  <c r="AB63" i="45"/>
  <c r="BH62" i="36"/>
  <c r="AB67" i="36"/>
  <c r="BF70" i="36"/>
  <c r="BF105" i="36"/>
  <c r="BG64" i="36"/>
  <c r="BG65" i="36"/>
  <c r="BH63" i="36"/>
  <c r="AB64" i="36"/>
  <c r="AB65" i="36"/>
  <c r="AA70" i="36"/>
  <c r="AA105" i="36"/>
  <c r="T21" i="29"/>
  <c r="U18" i="29"/>
  <c r="O63" i="42"/>
  <c r="Q216" i="42"/>
  <c r="P217" i="42"/>
  <c r="P184" i="38"/>
  <c r="P129" i="42"/>
  <c r="R126" i="42"/>
  <c r="Q127" i="42"/>
  <c r="Q128" i="42"/>
  <c r="T21" i="38"/>
  <c r="P130" i="38"/>
  <c r="P131" i="38"/>
  <c r="P132" i="38"/>
  <c r="R126" i="38"/>
  <c r="Q182" i="38"/>
  <c r="Q183" i="38"/>
  <c r="Q128" i="38"/>
  <c r="Q127" i="38"/>
  <c r="P131" i="42"/>
  <c r="P130" i="42"/>
  <c r="P132" i="42"/>
  <c r="S22" i="38"/>
  <c r="T18" i="38"/>
  <c r="P67" i="42"/>
  <c r="P62" i="42"/>
  <c r="P64" i="42"/>
  <c r="P66" i="42"/>
  <c r="P85" i="42" s="1"/>
  <c r="P65" i="42"/>
  <c r="Q60" i="42"/>
  <c r="P61" i="42"/>
  <c r="S19" i="38"/>
  <c r="P129" i="38"/>
  <c r="O63" i="38"/>
  <c r="R216" i="38"/>
  <c r="Q217" i="38"/>
  <c r="S20" i="38"/>
  <c r="P186" i="38"/>
  <c r="P185" i="38"/>
  <c r="Q60" i="38"/>
  <c r="P67" i="38"/>
  <c r="P65" i="38"/>
  <c r="P62" i="38"/>
  <c r="P64" i="38"/>
  <c r="P61" i="38"/>
  <c r="P66" i="38"/>
  <c r="P85" i="38" s="1"/>
  <c r="R231" i="42"/>
  <c r="Q232" i="42"/>
  <c r="R231" i="38"/>
  <c r="Q232" i="38"/>
  <c r="P66" i="20"/>
  <c r="T19" i="28"/>
  <c r="P67" i="20"/>
  <c r="P70" i="20"/>
  <c r="P68" i="20"/>
  <c r="P69" i="20"/>
  <c r="R107" i="28"/>
  <c r="Q108" i="28"/>
  <c r="U21" i="28"/>
  <c r="Q121" i="20"/>
  <c r="Q124" i="20"/>
  <c r="Q122" i="20"/>
  <c r="Q120" i="20"/>
  <c r="R119" i="20"/>
  <c r="Q123" i="20"/>
  <c r="Q125" i="20"/>
  <c r="R82" i="28"/>
  <c r="Q86" i="28"/>
  <c r="Q83" i="28"/>
  <c r="Q87" i="28"/>
  <c r="Q84" i="28"/>
  <c r="Q88" i="28"/>
  <c r="Q85" i="28"/>
  <c r="Q265" i="19"/>
  <c r="R307" i="20"/>
  <c r="V18" i="28"/>
  <c r="Q64" i="28"/>
  <c r="Q60" i="28"/>
  <c r="Q63" i="28"/>
  <c r="R59" i="28"/>
  <c r="Q61" i="28"/>
  <c r="R195" i="20"/>
  <c r="Q196" i="20"/>
  <c r="T20" i="28"/>
  <c r="R63" i="20"/>
  <c r="Q64" i="20"/>
  <c r="Q65" i="20"/>
  <c r="U22" i="28"/>
  <c r="P62" i="28"/>
  <c r="AC50" i="15"/>
  <c r="AA74" i="12"/>
  <c r="AA75" i="12"/>
  <c r="AA78" i="12"/>
  <c r="AA77" i="12"/>
  <c r="AA80" i="12"/>
  <c r="AA79" i="12"/>
  <c r="AA76" i="12"/>
  <c r="P209" i="20"/>
  <c r="AB74" i="14"/>
  <c r="AB75" i="14"/>
  <c r="AB80" i="14"/>
  <c r="AB79" i="14"/>
  <c r="AB77" i="14"/>
  <c r="AB78" i="14"/>
  <c r="AB76" i="14"/>
  <c r="AF33" i="11"/>
  <c r="AE34" i="11"/>
  <c r="AE35" i="11" s="1"/>
  <c r="AE36" i="11" s="1"/>
  <c r="AD29" i="13"/>
  <c r="AD30" i="13" s="1"/>
  <c r="AE28" i="13"/>
  <c r="AC31" i="13"/>
  <c r="AC33" i="13" s="1"/>
  <c r="AC63" i="36" s="1"/>
  <c r="AC32" i="13"/>
  <c r="AD31" i="15"/>
  <c r="P3" i="12"/>
  <c r="V36" i="48" l="1"/>
  <c r="W52" i="45"/>
  <c r="BC88" i="45"/>
  <c r="BC52" i="45"/>
  <c r="BC51" i="45"/>
  <c r="W53" i="45"/>
  <c r="W88" i="45"/>
  <c r="W51" i="45"/>
  <c r="BC53" i="45"/>
  <c r="BH67" i="36"/>
  <c r="BG74" i="36"/>
  <c r="BG72" i="36"/>
  <c r="X50" i="45"/>
  <c r="AC53" i="15"/>
  <c r="BD50" i="45"/>
  <c r="AD72" i="14"/>
  <c r="AD72" i="12"/>
  <c r="BI63" i="45"/>
  <c r="BC92" i="45"/>
  <c r="AD64" i="45"/>
  <c r="AD61" i="45"/>
  <c r="BI66" i="45"/>
  <c r="AC73" i="12"/>
  <c r="AC73" i="14"/>
  <c r="BF71" i="36"/>
  <c r="AD66" i="45"/>
  <c r="V36" i="46"/>
  <c r="AB72" i="36"/>
  <c r="AA71" i="36"/>
  <c r="AB74" i="36"/>
  <c r="BI64" i="45"/>
  <c r="BJ64" i="45"/>
  <c r="BJ61" i="45"/>
  <c r="AE37" i="11"/>
  <c r="AE40" i="11"/>
  <c r="AE39" i="11"/>
  <c r="AE38" i="11"/>
  <c r="AE62" i="36" s="1"/>
  <c r="X4" i="51"/>
  <c r="S144" i="53"/>
  <c r="R145" i="53"/>
  <c r="Q130" i="53"/>
  <c r="Q101" i="53"/>
  <c r="Q100" i="53"/>
  <c r="Q102" i="53"/>
  <c r="Q99" i="53"/>
  <c r="Q132" i="53"/>
  <c r="Q131" i="53"/>
  <c r="R97" i="53"/>
  <c r="R98" i="53"/>
  <c r="R129" i="53"/>
  <c r="R128" i="53"/>
  <c r="U19" i="53"/>
  <c r="U22" i="53"/>
  <c r="U18" i="53"/>
  <c r="U20" i="53"/>
  <c r="V21" i="53"/>
  <c r="BB4" i="51"/>
  <c r="P88" i="38"/>
  <c r="P86" i="38"/>
  <c r="P87" i="38"/>
  <c r="P89" i="42"/>
  <c r="P86" i="42"/>
  <c r="P90" i="42" s="1"/>
  <c r="P87" i="42"/>
  <c r="P91" i="42" s="1"/>
  <c r="P88" i="42"/>
  <c r="P92" i="42" s="1"/>
  <c r="Y48" i="45"/>
  <c r="BF47" i="45"/>
  <c r="BF49" i="45"/>
  <c r="BF46" i="45"/>
  <c r="BG45" i="45"/>
  <c r="BE48" i="45"/>
  <c r="P186" i="42"/>
  <c r="AA360" i="46"/>
  <c r="AA45" i="45"/>
  <c r="Z47" i="45"/>
  <c r="Z46" i="45"/>
  <c r="Z49" i="45"/>
  <c r="R181" i="42"/>
  <c r="Q183" i="42"/>
  <c r="Q185" i="42" s="1"/>
  <c r="Q182" i="42"/>
  <c r="P184" i="42"/>
  <c r="AC63" i="45"/>
  <c r="BI62" i="36"/>
  <c r="AC67" i="36"/>
  <c r="BG70" i="36"/>
  <c r="BG105" i="36"/>
  <c r="BI63" i="36"/>
  <c r="AC64" i="36"/>
  <c r="AC65" i="36"/>
  <c r="AB70" i="36"/>
  <c r="AB105" i="36"/>
  <c r="BH64" i="36"/>
  <c r="BH65" i="36"/>
  <c r="V18" i="29"/>
  <c r="U21" i="29"/>
  <c r="Q129" i="38"/>
  <c r="S231" i="38"/>
  <c r="R232" i="38"/>
  <c r="P63" i="38"/>
  <c r="Q184" i="38"/>
  <c r="U21" i="38"/>
  <c r="Q131" i="42"/>
  <c r="Q130" i="42"/>
  <c r="Q132" i="42"/>
  <c r="S126" i="42"/>
  <c r="R128" i="42"/>
  <c r="R127" i="42"/>
  <c r="Q64" i="38"/>
  <c r="Q65" i="38"/>
  <c r="Q61" i="38"/>
  <c r="R60" i="38"/>
  <c r="Q66" i="38"/>
  <c r="Q85" i="38" s="1"/>
  <c r="Q62" i="38"/>
  <c r="Q67" i="38"/>
  <c r="T20" i="38"/>
  <c r="U18" i="38"/>
  <c r="T22" i="38"/>
  <c r="S126" i="38"/>
  <c r="R182" i="38"/>
  <c r="R183" i="38"/>
  <c r="R127" i="38"/>
  <c r="R128" i="38"/>
  <c r="Q129" i="42"/>
  <c r="S231" i="42"/>
  <c r="R232" i="42"/>
  <c r="P63" i="42"/>
  <c r="Q130" i="38"/>
  <c r="Q131" i="38"/>
  <c r="Q132" i="38"/>
  <c r="S216" i="38"/>
  <c r="R217" i="38"/>
  <c r="T19" i="38"/>
  <c r="R60" i="42"/>
  <c r="Q62" i="42"/>
  <c r="Q61" i="42"/>
  <c r="Q65" i="42"/>
  <c r="Q66" i="42"/>
  <c r="Q85" i="42" s="1"/>
  <c r="Q64" i="42"/>
  <c r="Q67" i="42"/>
  <c r="Q186" i="38"/>
  <c r="Q185" i="38"/>
  <c r="R216" i="42"/>
  <c r="Q217" i="42"/>
  <c r="Q68" i="20"/>
  <c r="Q70" i="20"/>
  <c r="Q67" i="20"/>
  <c r="Q69" i="20"/>
  <c r="Q66" i="20"/>
  <c r="S59" i="28"/>
  <c r="R60" i="28"/>
  <c r="R61" i="28"/>
  <c r="R63" i="28"/>
  <c r="R64" i="28"/>
  <c r="R85" i="28"/>
  <c r="S82" i="28"/>
  <c r="R86" i="28"/>
  <c r="R83" i="28"/>
  <c r="R88" i="28"/>
  <c r="R84" i="28"/>
  <c r="R87" i="28"/>
  <c r="R122" i="20"/>
  <c r="R125" i="20"/>
  <c r="R120" i="20"/>
  <c r="R123" i="20"/>
  <c r="R121" i="20"/>
  <c r="S119" i="20"/>
  <c r="R124" i="20"/>
  <c r="S107" i="28"/>
  <c r="R108" i="28"/>
  <c r="R65" i="20"/>
  <c r="R64" i="20"/>
  <c r="S63" i="20"/>
  <c r="W18" i="28"/>
  <c r="V22" i="28"/>
  <c r="U20" i="28"/>
  <c r="S195" i="20"/>
  <c r="R196" i="20"/>
  <c r="Q62" i="28"/>
  <c r="R265" i="19"/>
  <c r="S307" i="20"/>
  <c r="V21" i="28"/>
  <c r="U19" i="28"/>
  <c r="AD50" i="15"/>
  <c r="AB74" i="12"/>
  <c r="AB76" i="12"/>
  <c r="AB77" i="12"/>
  <c r="AB78" i="12"/>
  <c r="AB79" i="12"/>
  <c r="AB80" i="12"/>
  <c r="AB75" i="12"/>
  <c r="Q209" i="20"/>
  <c r="AC74" i="14"/>
  <c r="AC79" i="14"/>
  <c r="AC77" i="14"/>
  <c r="AC75" i="14"/>
  <c r="AC78" i="14"/>
  <c r="AC76" i="14"/>
  <c r="AC80" i="14"/>
  <c r="AG33" i="11"/>
  <c r="AF34" i="11"/>
  <c r="AF35" i="11" s="1"/>
  <c r="AF36" i="11" s="1"/>
  <c r="AE29" i="13"/>
  <c r="AE30" i="13" s="1"/>
  <c r="AF28" i="13"/>
  <c r="AD32" i="13"/>
  <c r="AD31" i="13"/>
  <c r="AD33" i="13" s="1"/>
  <c r="AD63" i="36" s="1"/>
  <c r="AE31" i="15"/>
  <c r="Q3" i="12"/>
  <c r="W36" i="48" l="1"/>
  <c r="X52" i="45"/>
  <c r="W92" i="45"/>
  <c r="X53" i="45"/>
  <c r="X88" i="45"/>
  <c r="X51" i="45"/>
  <c r="BD51" i="45"/>
  <c r="BD52" i="45"/>
  <c r="BD53" i="45"/>
  <c r="Y50" i="45"/>
  <c r="AC72" i="36"/>
  <c r="AE66" i="45"/>
  <c r="BJ66" i="45"/>
  <c r="W36" i="46"/>
  <c r="AB71" i="36"/>
  <c r="AE72" i="14"/>
  <c r="AE72" i="12"/>
  <c r="AE64" i="45"/>
  <c r="AE61" i="45"/>
  <c r="AD53" i="15"/>
  <c r="BJ63" i="45"/>
  <c r="BI67" i="36"/>
  <c r="BH72" i="36"/>
  <c r="BG71" i="36"/>
  <c r="BH74" i="36"/>
  <c r="BE50" i="45"/>
  <c r="AD73" i="12"/>
  <c r="AD73" i="14"/>
  <c r="AC74" i="36"/>
  <c r="BK61" i="45"/>
  <c r="AF37" i="11"/>
  <c r="AF40" i="11"/>
  <c r="AF39" i="11"/>
  <c r="AF38" i="11"/>
  <c r="AF62" i="36" s="1"/>
  <c r="Y4" i="51"/>
  <c r="T144" i="53"/>
  <c r="S145" i="53"/>
  <c r="R132" i="53"/>
  <c r="R131" i="53"/>
  <c r="R101" i="53"/>
  <c r="R102" i="53"/>
  <c r="R100" i="53"/>
  <c r="R99" i="53"/>
  <c r="S97" i="53"/>
  <c r="S98" i="53"/>
  <c r="S129" i="53"/>
  <c r="S128" i="53"/>
  <c r="R130" i="53"/>
  <c r="V18" i="53"/>
  <c r="W21" i="53"/>
  <c r="V19" i="53"/>
  <c r="V20" i="53"/>
  <c r="V22" i="53"/>
  <c r="BC4" i="51"/>
  <c r="Q186" i="42"/>
  <c r="Q87" i="38"/>
  <c r="Q88" i="38"/>
  <c r="Q86" i="38"/>
  <c r="Q89" i="42"/>
  <c r="Q87" i="42"/>
  <c r="Q91" i="42" s="1"/>
  <c r="Q88" i="42"/>
  <c r="Q92" i="42" s="1"/>
  <c r="Q86" i="42"/>
  <c r="Q90" i="42" s="1"/>
  <c r="BG49" i="45"/>
  <c r="BG47" i="45"/>
  <c r="BG46" i="45"/>
  <c r="BH45" i="45"/>
  <c r="BF48" i="45"/>
  <c r="AB360" i="46"/>
  <c r="BD88" i="45"/>
  <c r="AB45" i="45"/>
  <c r="AA47" i="45"/>
  <c r="AA46" i="45"/>
  <c r="AA49" i="45"/>
  <c r="Z48" i="45"/>
  <c r="Q184" i="42"/>
  <c r="S181" i="42"/>
  <c r="R182" i="42"/>
  <c r="R183" i="42"/>
  <c r="R186" i="42" s="1"/>
  <c r="AD63" i="45"/>
  <c r="BJ62" i="36"/>
  <c r="AD67" i="36"/>
  <c r="BH70" i="36"/>
  <c r="BH105" i="36"/>
  <c r="BI65" i="36"/>
  <c r="BI64" i="36"/>
  <c r="BJ63" i="36"/>
  <c r="AD64" i="36"/>
  <c r="AD65" i="36"/>
  <c r="AC70" i="36"/>
  <c r="AC105" i="36"/>
  <c r="V21" i="29"/>
  <c r="W18" i="29"/>
  <c r="R129" i="38"/>
  <c r="R64" i="42"/>
  <c r="R61" i="42"/>
  <c r="R66" i="42"/>
  <c r="R85" i="42" s="1"/>
  <c r="R62" i="42"/>
  <c r="R67" i="42"/>
  <c r="R65" i="42"/>
  <c r="S60" i="42"/>
  <c r="U19" i="38"/>
  <c r="T216" i="38"/>
  <c r="S217" i="38"/>
  <c r="R131" i="38"/>
  <c r="R132" i="38"/>
  <c r="R130" i="38"/>
  <c r="T126" i="38"/>
  <c r="S182" i="38"/>
  <c r="S183" i="38"/>
  <c r="S127" i="38"/>
  <c r="S128" i="38"/>
  <c r="U22" i="38"/>
  <c r="U20" i="38"/>
  <c r="R129" i="42"/>
  <c r="T126" i="42"/>
  <c r="S127" i="42"/>
  <c r="S128" i="42"/>
  <c r="S216" i="42"/>
  <c r="R217" i="42"/>
  <c r="T231" i="42"/>
  <c r="S232" i="42"/>
  <c r="R66" i="38"/>
  <c r="R85" i="38" s="1"/>
  <c r="R61" i="38"/>
  <c r="R62" i="38"/>
  <c r="S60" i="38"/>
  <c r="R65" i="38"/>
  <c r="R67" i="38"/>
  <c r="R64" i="38"/>
  <c r="R131" i="42"/>
  <c r="R130" i="42"/>
  <c r="R132" i="42"/>
  <c r="V21" i="38"/>
  <c r="T231" i="38"/>
  <c r="S232" i="38"/>
  <c r="Q63" i="42"/>
  <c r="R185" i="38"/>
  <c r="R186" i="38"/>
  <c r="V18" i="38"/>
  <c r="Q63" i="38"/>
  <c r="R184" i="38"/>
  <c r="X18" i="28"/>
  <c r="V20" i="28"/>
  <c r="S64" i="20"/>
  <c r="S65" i="20"/>
  <c r="T63" i="20"/>
  <c r="T107" i="28"/>
  <c r="S108" i="28"/>
  <c r="W22" i="28"/>
  <c r="R66" i="20"/>
  <c r="S84" i="28"/>
  <c r="S87" i="28"/>
  <c r="S85" i="28"/>
  <c r="S83" i="28"/>
  <c r="T82" i="28"/>
  <c r="S86" i="28"/>
  <c r="S88" i="28"/>
  <c r="R62" i="28"/>
  <c r="V19" i="28"/>
  <c r="W21" i="28"/>
  <c r="T307" i="20"/>
  <c r="S265" i="19"/>
  <c r="S196" i="20"/>
  <c r="T195" i="20"/>
  <c r="R67" i="20"/>
  <c r="R68" i="20"/>
  <c r="R69" i="20"/>
  <c r="R70" i="20"/>
  <c r="T119" i="20"/>
  <c r="S122" i="20"/>
  <c r="S125" i="20"/>
  <c r="S121" i="20"/>
  <c r="S124" i="20"/>
  <c r="S120" i="20"/>
  <c r="S123" i="20"/>
  <c r="S63" i="28"/>
  <c r="T59" i="28"/>
  <c r="S60" i="28"/>
  <c r="S61" i="28"/>
  <c r="S64" i="28"/>
  <c r="AE50" i="15"/>
  <c r="AC74" i="12"/>
  <c r="AC76" i="12"/>
  <c r="AC77" i="12"/>
  <c r="AC78" i="12"/>
  <c r="AC79" i="12"/>
  <c r="AC75" i="12"/>
  <c r="AC80" i="12"/>
  <c r="R209" i="20"/>
  <c r="AD74" i="14"/>
  <c r="AD80" i="14"/>
  <c r="AD75" i="14"/>
  <c r="AD76" i="14"/>
  <c r="AD78" i="14"/>
  <c r="AD79" i="14"/>
  <c r="AD77" i="14"/>
  <c r="AH33" i="11"/>
  <c r="AH34" i="11" s="1"/>
  <c r="AH35" i="11" s="1"/>
  <c r="AH36" i="11" s="1"/>
  <c r="AG34" i="11"/>
  <c r="AG35" i="11" s="1"/>
  <c r="AG36" i="11" s="1"/>
  <c r="AF29" i="13"/>
  <c r="AF30" i="13" s="1"/>
  <c r="AG28" i="13"/>
  <c r="AE31" i="13"/>
  <c r="AE33" i="13" s="1"/>
  <c r="AE63" i="36" s="1"/>
  <c r="AE32" i="13"/>
  <c r="AF31" i="15"/>
  <c r="R3" i="12"/>
  <c r="Y53" i="45" l="1"/>
  <c r="BD92" i="45"/>
  <c r="X92" i="45"/>
  <c r="BE52" i="45"/>
  <c r="Y51" i="45"/>
  <c r="Y88" i="45"/>
  <c r="Y52" i="45"/>
  <c r="BE51" i="45"/>
  <c r="X36" i="48"/>
  <c r="BE53" i="45"/>
  <c r="AC71" i="36"/>
  <c r="AD74" i="36"/>
  <c r="BK63" i="45"/>
  <c r="BI74" i="36"/>
  <c r="AD72" i="36"/>
  <c r="BJ67" i="36"/>
  <c r="BF50" i="45"/>
  <c r="AF64" i="45"/>
  <c r="AF61" i="45"/>
  <c r="AE53" i="15"/>
  <c r="BI72" i="36"/>
  <c r="BL66" i="45"/>
  <c r="AF66" i="45"/>
  <c r="Y92" i="45"/>
  <c r="AF72" i="12"/>
  <c r="AF72" i="14"/>
  <c r="AE73" i="14"/>
  <c r="AE73" i="12"/>
  <c r="BH71" i="36"/>
  <c r="Z50" i="45"/>
  <c r="BK64" i="45"/>
  <c r="BK66" i="45"/>
  <c r="X36" i="46"/>
  <c r="AG37" i="11"/>
  <c r="AG40" i="11"/>
  <c r="AG39" i="11"/>
  <c r="AG38" i="11"/>
  <c r="AG62" i="36" s="1"/>
  <c r="AH39" i="11"/>
  <c r="AH37" i="11"/>
  <c r="AH40" i="11"/>
  <c r="AH38" i="11"/>
  <c r="AH62" i="36" s="1"/>
  <c r="Z4" i="51"/>
  <c r="U144" i="53"/>
  <c r="T145" i="53"/>
  <c r="T97" i="53"/>
  <c r="T98" i="53"/>
  <c r="T129" i="53"/>
  <c r="T128" i="53"/>
  <c r="S130" i="53"/>
  <c r="S132" i="53"/>
  <c r="S131" i="53"/>
  <c r="S101" i="53"/>
  <c r="S100" i="53"/>
  <c r="S102" i="53"/>
  <c r="S99" i="53"/>
  <c r="X21" i="53"/>
  <c r="W18" i="53"/>
  <c r="W20" i="53"/>
  <c r="W22" i="53"/>
  <c r="W19" i="53"/>
  <c r="BD4" i="51"/>
  <c r="R86" i="38"/>
  <c r="R87" i="38"/>
  <c r="R88" i="38"/>
  <c r="R89" i="42"/>
  <c r="R88" i="42"/>
  <c r="R92" i="42" s="1"/>
  <c r="R86" i="42"/>
  <c r="R90" i="42" s="1"/>
  <c r="R87" i="42"/>
  <c r="R91" i="42" s="1"/>
  <c r="BG48" i="45"/>
  <c r="BH46" i="45"/>
  <c r="BH49" i="45"/>
  <c r="BH47" i="45"/>
  <c r="BI45" i="45"/>
  <c r="AC360" i="46"/>
  <c r="R185" i="42"/>
  <c r="AC45" i="45"/>
  <c r="AB47" i="45"/>
  <c r="AB49" i="45"/>
  <c r="AB46" i="45"/>
  <c r="BE88" i="45"/>
  <c r="AA48" i="45"/>
  <c r="R184" i="42"/>
  <c r="T181" i="42"/>
  <c r="S182" i="42"/>
  <c r="S183" i="42"/>
  <c r="S186" i="42" s="1"/>
  <c r="BK62" i="36"/>
  <c r="AE67" i="36"/>
  <c r="AE63" i="45"/>
  <c r="BI70" i="36"/>
  <c r="BI105" i="36"/>
  <c r="AD70" i="36"/>
  <c r="AD105" i="36"/>
  <c r="BK63" i="36"/>
  <c r="AE64" i="36"/>
  <c r="AE65" i="36"/>
  <c r="BJ65" i="36"/>
  <c r="BJ64" i="36"/>
  <c r="X18" i="29"/>
  <c r="W21" i="29"/>
  <c r="S129" i="38"/>
  <c r="S129" i="42"/>
  <c r="U231" i="38"/>
  <c r="T232" i="38"/>
  <c r="S64" i="38"/>
  <c r="S62" i="38"/>
  <c r="S67" i="38"/>
  <c r="T60" i="38"/>
  <c r="S66" i="38"/>
  <c r="S85" i="38" s="1"/>
  <c r="S61" i="38"/>
  <c r="S65" i="38"/>
  <c r="T216" i="42"/>
  <c r="S217" i="42"/>
  <c r="S131" i="42"/>
  <c r="S130" i="42"/>
  <c r="S132" i="42"/>
  <c r="U126" i="42"/>
  <c r="T127" i="42"/>
  <c r="T128" i="42"/>
  <c r="S130" i="38"/>
  <c r="S132" i="38"/>
  <c r="S131" i="38"/>
  <c r="U126" i="38"/>
  <c r="T182" i="38"/>
  <c r="T183" i="38"/>
  <c r="T128" i="38"/>
  <c r="T127" i="38"/>
  <c r="W21" i="38"/>
  <c r="V20" i="38"/>
  <c r="V19" i="38"/>
  <c r="W18" i="38"/>
  <c r="R63" i="38"/>
  <c r="S186" i="38"/>
  <c r="S185" i="38"/>
  <c r="S66" i="42"/>
  <c r="S85" i="42" s="1"/>
  <c r="S62" i="42"/>
  <c r="S65" i="42"/>
  <c r="S67" i="42"/>
  <c r="S61" i="42"/>
  <c r="S64" i="42"/>
  <c r="T60" i="42"/>
  <c r="U231" i="42"/>
  <c r="T232" i="42"/>
  <c r="V22" i="38"/>
  <c r="S184" i="38"/>
  <c r="U216" i="38"/>
  <c r="T217" i="38"/>
  <c r="R63" i="42"/>
  <c r="S66" i="20"/>
  <c r="T265" i="19"/>
  <c r="U307" i="20"/>
  <c r="W19" i="28"/>
  <c r="T85" i="28"/>
  <c r="T87" i="28"/>
  <c r="T84" i="28"/>
  <c r="T83" i="28"/>
  <c r="U82" i="28"/>
  <c r="T88" i="28"/>
  <c r="T86" i="28"/>
  <c r="U63" i="20"/>
  <c r="T64" i="20"/>
  <c r="T65" i="20"/>
  <c r="W20" i="28"/>
  <c r="U195" i="20"/>
  <c r="T196" i="20"/>
  <c r="S68" i="20"/>
  <c r="S70" i="20"/>
  <c r="S67" i="20"/>
  <c r="S69" i="20"/>
  <c r="S62" i="28"/>
  <c r="X21" i="28"/>
  <c r="T64" i="28"/>
  <c r="T63" i="28"/>
  <c r="U59" i="28"/>
  <c r="T61" i="28"/>
  <c r="T60" i="28"/>
  <c r="T120" i="20"/>
  <c r="T123" i="20"/>
  <c r="T121" i="20"/>
  <c r="T122" i="20"/>
  <c r="T125" i="20"/>
  <c r="U119" i="20"/>
  <c r="T124" i="20"/>
  <c r="X22" i="28"/>
  <c r="U107" i="28"/>
  <c r="T108" i="28"/>
  <c r="Y18" i="28"/>
  <c r="AF50" i="15"/>
  <c r="AD74" i="12"/>
  <c r="AD75" i="12"/>
  <c r="AD78" i="12"/>
  <c r="AD77" i="12"/>
  <c r="AD80" i="12"/>
  <c r="AD76" i="12"/>
  <c r="AD79" i="12"/>
  <c r="S209" i="20"/>
  <c r="AE74" i="14"/>
  <c r="AE77" i="14"/>
  <c r="AE80" i="14"/>
  <c r="AE78" i="14"/>
  <c r="AE76" i="14"/>
  <c r="AE75" i="14"/>
  <c r="AE79" i="14"/>
  <c r="AG29" i="13"/>
  <c r="AG30" i="13" s="1"/>
  <c r="AH28" i="13"/>
  <c r="AH29" i="13" s="1"/>
  <c r="AH30" i="13" s="1"/>
  <c r="AF31" i="13"/>
  <c r="AF33" i="13" s="1"/>
  <c r="AF63" i="36" s="1"/>
  <c r="AF32" i="13"/>
  <c r="AG31" i="15"/>
  <c r="S3" i="12"/>
  <c r="BF52" i="45" l="1"/>
  <c r="Z88" i="45"/>
  <c r="BE92" i="45"/>
  <c r="BF53" i="45"/>
  <c r="Y36" i="48"/>
  <c r="BF51" i="45"/>
  <c r="Z52" i="45"/>
  <c r="Z53" i="45"/>
  <c r="Z51" i="45"/>
  <c r="AF53" i="15"/>
  <c r="AD71" i="36"/>
  <c r="AH72" i="12"/>
  <c r="AH72" i="14"/>
  <c r="AH64" i="45"/>
  <c r="AH61" i="45"/>
  <c r="BI71" i="36"/>
  <c r="AA50" i="45"/>
  <c r="BJ72" i="36"/>
  <c r="AG64" i="45"/>
  <c r="AG61" i="45"/>
  <c r="BJ74" i="36"/>
  <c r="AE72" i="36"/>
  <c r="AE74" i="36"/>
  <c r="BM66" i="45"/>
  <c r="AG66" i="45"/>
  <c r="BK67" i="36"/>
  <c r="AG72" i="12"/>
  <c r="AG72" i="14"/>
  <c r="Y36" i="46"/>
  <c r="AF73" i="14"/>
  <c r="AF73" i="12"/>
  <c r="BL64" i="45"/>
  <c r="BG50" i="45"/>
  <c r="AH66" i="45"/>
  <c r="BL61" i="45"/>
  <c r="BN64" i="45"/>
  <c r="BM64" i="45"/>
  <c r="AA4" i="51"/>
  <c r="V144" i="53"/>
  <c r="U145" i="53"/>
  <c r="U97" i="53"/>
  <c r="U129" i="53"/>
  <c r="U98" i="53"/>
  <c r="U128" i="53"/>
  <c r="T130" i="53"/>
  <c r="T132" i="53"/>
  <c r="T131" i="53"/>
  <c r="T101" i="53"/>
  <c r="T100" i="53"/>
  <c r="T102" i="53"/>
  <c r="T99" i="53"/>
  <c r="X19" i="53"/>
  <c r="X20" i="53"/>
  <c r="X22" i="53"/>
  <c r="X18" i="53"/>
  <c r="Y21" i="53"/>
  <c r="BE4" i="51"/>
  <c r="S185" i="42"/>
  <c r="BH48" i="45"/>
  <c r="S89" i="42"/>
  <c r="S86" i="42"/>
  <c r="S90" i="42" s="1"/>
  <c r="S87" i="42"/>
  <c r="S91" i="42" s="1"/>
  <c r="S88" i="42"/>
  <c r="S92" i="42" s="1"/>
  <c r="S87" i="38"/>
  <c r="S88" i="38"/>
  <c r="S86" i="38"/>
  <c r="AB48" i="45"/>
  <c r="BI46" i="45"/>
  <c r="BI47" i="45"/>
  <c r="BI49" i="45"/>
  <c r="BJ45" i="45"/>
  <c r="AD360" i="46"/>
  <c r="AD45" i="45"/>
  <c r="AC49" i="45"/>
  <c r="AC46" i="45"/>
  <c r="AC47" i="45"/>
  <c r="BF88" i="45"/>
  <c r="S184" i="42"/>
  <c r="U181" i="42"/>
  <c r="T183" i="42"/>
  <c r="T185" i="42" s="1"/>
  <c r="T182" i="42"/>
  <c r="BL62" i="36"/>
  <c r="AF67" i="36"/>
  <c r="AF63" i="45"/>
  <c r="BL63" i="36"/>
  <c r="AF65" i="36"/>
  <c r="AF64" i="36"/>
  <c r="AE70" i="36"/>
  <c r="AE105" i="36"/>
  <c r="BJ70" i="36"/>
  <c r="BJ105" i="36"/>
  <c r="BK65" i="36"/>
  <c r="BK64" i="36"/>
  <c r="T66" i="20"/>
  <c r="X21" i="29"/>
  <c r="Y18" i="29"/>
  <c r="T129" i="42"/>
  <c r="T129" i="38"/>
  <c r="X21" i="38"/>
  <c r="W22" i="38"/>
  <c r="T65" i="42"/>
  <c r="U60" i="42"/>
  <c r="T64" i="42"/>
  <c r="T66" i="42"/>
  <c r="T85" i="42" s="1"/>
  <c r="T62" i="42"/>
  <c r="T67" i="42"/>
  <c r="T61" i="42"/>
  <c r="X18" i="38"/>
  <c r="T130" i="38"/>
  <c r="T132" i="38"/>
  <c r="T131" i="38"/>
  <c r="T131" i="42"/>
  <c r="T130" i="42"/>
  <c r="T132" i="42"/>
  <c r="V126" i="42"/>
  <c r="U127" i="42"/>
  <c r="U128" i="42"/>
  <c r="V231" i="38"/>
  <c r="U232" i="38"/>
  <c r="V231" i="42"/>
  <c r="U232" i="42"/>
  <c r="T185" i="38"/>
  <c r="T186" i="38"/>
  <c r="U216" i="42"/>
  <c r="T217" i="42"/>
  <c r="S63" i="38"/>
  <c r="V216" i="38"/>
  <c r="U217" i="38"/>
  <c r="S63" i="42"/>
  <c r="T184" i="38"/>
  <c r="W19" i="38"/>
  <c r="W20" i="38"/>
  <c r="V126" i="38"/>
  <c r="U182" i="38"/>
  <c r="U183" i="38"/>
  <c r="U127" i="38"/>
  <c r="U128" i="38"/>
  <c r="U60" i="38"/>
  <c r="T65" i="38"/>
  <c r="T64" i="38"/>
  <c r="T61" i="38"/>
  <c r="T67" i="38"/>
  <c r="T62" i="38"/>
  <c r="T66" i="38"/>
  <c r="T85" i="38" s="1"/>
  <c r="T68" i="20"/>
  <c r="T67" i="20"/>
  <c r="T69" i="20"/>
  <c r="T70" i="20"/>
  <c r="U265" i="19"/>
  <c r="V307" i="20"/>
  <c r="Z18" i="28"/>
  <c r="Y22" i="28"/>
  <c r="V119" i="20"/>
  <c r="U123" i="20"/>
  <c r="U121" i="20"/>
  <c r="U122" i="20"/>
  <c r="U125" i="20"/>
  <c r="U120" i="20"/>
  <c r="U124" i="20"/>
  <c r="U60" i="28"/>
  <c r="U63" i="28"/>
  <c r="V59" i="28"/>
  <c r="U61" i="28"/>
  <c r="U64" i="28"/>
  <c r="U85" i="28"/>
  <c r="U86" i="28"/>
  <c r="V82" i="28"/>
  <c r="U87" i="28"/>
  <c r="U84" i="28"/>
  <c r="U83" i="28"/>
  <c r="U88" i="28"/>
  <c r="Y21" i="28"/>
  <c r="V63" i="20"/>
  <c r="U65" i="20"/>
  <c r="U64" i="20"/>
  <c r="U108" i="28"/>
  <c r="V107" i="28"/>
  <c r="T62" i="28"/>
  <c r="V195" i="20"/>
  <c r="U196" i="20"/>
  <c r="X20" i="28"/>
  <c r="X19" i="28"/>
  <c r="AG50" i="15"/>
  <c r="AE74" i="12"/>
  <c r="AE75" i="12"/>
  <c r="AE78" i="12"/>
  <c r="AE79" i="12"/>
  <c r="AE76" i="12"/>
  <c r="AE77" i="12"/>
  <c r="AE80" i="12"/>
  <c r="T209" i="20"/>
  <c r="AF74" i="14"/>
  <c r="AF79" i="14"/>
  <c r="AF75" i="14"/>
  <c r="AF76" i="14"/>
  <c r="AF78" i="14"/>
  <c r="AF80" i="14"/>
  <c r="AF77" i="14"/>
  <c r="AH32" i="13"/>
  <c r="AH31" i="13"/>
  <c r="AH33" i="13" s="1"/>
  <c r="AH63" i="36" s="1"/>
  <c r="AG31" i="13"/>
  <c r="AG33" i="13" s="1"/>
  <c r="AG63" i="36" s="1"/>
  <c r="AG32" i="13"/>
  <c r="AH31" i="15"/>
  <c r="T3" i="12"/>
  <c r="E52" i="2"/>
  <c r="B17" i="1"/>
  <c r="L2" i="7"/>
  <c r="Q13" i="1"/>
  <c r="L4" i="6"/>
  <c r="AB50" i="45" l="1"/>
  <c r="AA52" i="45"/>
  <c r="Z92" i="45"/>
  <c r="BF92" i="45"/>
  <c r="AA88" i="45"/>
  <c r="AA53" i="45"/>
  <c r="AA51" i="45"/>
  <c r="AH73" i="12"/>
  <c r="AH73" i="14"/>
  <c r="AE71" i="36"/>
  <c r="BM61" i="45"/>
  <c r="BG53" i="45"/>
  <c r="AG53" i="15"/>
  <c r="AF72" i="36"/>
  <c r="BN61" i="45"/>
  <c r="AA36" i="46"/>
  <c r="BH50" i="45"/>
  <c r="BL63" i="45"/>
  <c r="BK72" i="36"/>
  <c r="Z36" i="48"/>
  <c r="BK74" i="36"/>
  <c r="Z36" i="46"/>
  <c r="AG73" i="12"/>
  <c r="AG73" i="14"/>
  <c r="AF74" i="36"/>
  <c r="BG51" i="45"/>
  <c r="BN66" i="45"/>
  <c r="BJ71" i="36"/>
  <c r="BL67" i="36"/>
  <c r="BG52" i="45"/>
  <c r="L64" i="7"/>
  <c r="L63" i="7"/>
  <c r="L69" i="7"/>
  <c r="L65" i="7"/>
  <c r="AB4" i="51"/>
  <c r="W144" i="53"/>
  <c r="V145" i="53"/>
  <c r="U130" i="53"/>
  <c r="U101" i="53"/>
  <c r="U100" i="53"/>
  <c r="U102" i="53"/>
  <c r="U132" i="53"/>
  <c r="U131" i="53"/>
  <c r="U99" i="53"/>
  <c r="V97" i="53"/>
  <c r="V98" i="53"/>
  <c r="V129" i="53"/>
  <c r="V128" i="53"/>
  <c r="Z21" i="53"/>
  <c r="Y22" i="53"/>
  <c r="Y20" i="53"/>
  <c r="Y18" i="53"/>
  <c r="Y19" i="53"/>
  <c r="BF4" i="51"/>
  <c r="AC48" i="45"/>
  <c r="T88" i="38"/>
  <c r="T86" i="38"/>
  <c r="T87" i="38"/>
  <c r="BI48" i="45"/>
  <c r="T89" i="42"/>
  <c r="T86" i="42"/>
  <c r="T90" i="42" s="1"/>
  <c r="T88" i="42"/>
  <c r="T92" i="42" s="1"/>
  <c r="T87" i="42"/>
  <c r="T91" i="42" s="1"/>
  <c r="BJ47" i="45"/>
  <c r="BJ49" i="45"/>
  <c r="BJ46" i="45"/>
  <c r="BK45" i="45"/>
  <c r="AE360" i="46"/>
  <c r="BG88" i="45"/>
  <c r="AE45" i="45"/>
  <c r="AD49" i="45"/>
  <c r="AD47" i="45"/>
  <c r="AD46" i="45"/>
  <c r="AB52" i="45"/>
  <c r="AB51" i="45"/>
  <c r="AB53" i="45"/>
  <c r="AB88" i="45"/>
  <c r="T186" i="42"/>
  <c r="T184" i="42"/>
  <c r="V181" i="42"/>
  <c r="U183" i="42"/>
  <c r="U186" i="42" s="1"/>
  <c r="U182" i="42"/>
  <c r="BN62" i="36"/>
  <c r="AH67" i="36"/>
  <c r="AG63" i="45"/>
  <c r="BM62" i="36"/>
  <c r="AG67" i="36"/>
  <c r="AH63" i="45"/>
  <c r="BN63" i="36"/>
  <c r="AH65" i="36"/>
  <c r="AH64" i="36"/>
  <c r="AF70" i="36"/>
  <c r="AF105" i="36"/>
  <c r="BM63" i="36"/>
  <c r="AG65" i="36"/>
  <c r="AG64" i="36"/>
  <c r="BK70" i="36"/>
  <c r="BK105" i="36"/>
  <c r="BL65" i="36"/>
  <c r="BL64" i="36"/>
  <c r="Z18" i="29"/>
  <c r="Y21" i="29"/>
  <c r="U129" i="42"/>
  <c r="T63" i="38"/>
  <c r="W126" i="38"/>
  <c r="V182" i="38"/>
  <c r="V183" i="38"/>
  <c r="V127" i="38"/>
  <c r="V128" i="38"/>
  <c r="U129" i="38"/>
  <c r="X20" i="38"/>
  <c r="U131" i="42"/>
  <c r="U130" i="42"/>
  <c r="U132" i="42"/>
  <c r="W126" i="42"/>
  <c r="V128" i="42"/>
  <c r="V127" i="42"/>
  <c r="U66" i="42"/>
  <c r="U85" i="42" s="1"/>
  <c r="U64" i="42"/>
  <c r="U65" i="42"/>
  <c r="U67" i="42"/>
  <c r="U62" i="42"/>
  <c r="V60" i="42"/>
  <c r="U61" i="42"/>
  <c r="Y21" i="38"/>
  <c r="W216" i="38"/>
  <c r="V217" i="38"/>
  <c r="V216" i="42"/>
  <c r="U217" i="42"/>
  <c r="W231" i="42"/>
  <c r="V232" i="42"/>
  <c r="U186" i="38"/>
  <c r="U185" i="38"/>
  <c r="U64" i="38"/>
  <c r="U61" i="38"/>
  <c r="U62" i="38"/>
  <c r="V60" i="38"/>
  <c r="U66" i="38"/>
  <c r="U85" i="38" s="1"/>
  <c r="U65" i="38"/>
  <c r="U67" i="38"/>
  <c r="U184" i="38"/>
  <c r="X19" i="38"/>
  <c r="Y18" i="38"/>
  <c r="X22" i="38"/>
  <c r="U130" i="38"/>
  <c r="U132" i="38"/>
  <c r="U131" i="38"/>
  <c r="W231" i="38"/>
  <c r="V232" i="38"/>
  <c r="T63" i="42"/>
  <c r="Y19" i="28"/>
  <c r="V196" i="20"/>
  <c r="W195" i="20"/>
  <c r="W107" i="28"/>
  <c r="V108" i="28"/>
  <c r="U69" i="20"/>
  <c r="U68" i="20"/>
  <c r="U70" i="20"/>
  <c r="U67" i="20"/>
  <c r="V84" i="28"/>
  <c r="V85" i="28"/>
  <c r="W82" i="28"/>
  <c r="V86" i="28"/>
  <c r="V83" i="28"/>
  <c r="V88" i="28"/>
  <c r="V87" i="28"/>
  <c r="Z22" i="28"/>
  <c r="W63" i="20"/>
  <c r="V65" i="20"/>
  <c r="V64" i="20"/>
  <c r="V63" i="28"/>
  <c r="W59" i="28"/>
  <c r="V61" i="28"/>
  <c r="V64" i="28"/>
  <c r="V60" i="28"/>
  <c r="Y20" i="28"/>
  <c r="V121" i="20"/>
  <c r="V125" i="20"/>
  <c r="W119" i="20"/>
  <c r="V123" i="20"/>
  <c r="V122" i="20"/>
  <c r="V124" i="20"/>
  <c r="V120" i="20"/>
  <c r="AA18" i="28"/>
  <c r="U66" i="20"/>
  <c r="Z21" i="28"/>
  <c r="U62" i="28"/>
  <c r="W307" i="20"/>
  <c r="V265" i="19"/>
  <c r="AF74" i="12"/>
  <c r="AF76" i="12"/>
  <c r="AF77" i="12"/>
  <c r="AF75" i="12"/>
  <c r="AF78" i="12"/>
  <c r="AF79" i="12"/>
  <c r="AF80" i="12"/>
  <c r="U209" i="20"/>
  <c r="AG74" i="14"/>
  <c r="AG80" i="14"/>
  <c r="AG76" i="14"/>
  <c r="AG75" i="14"/>
  <c r="AG77" i="14"/>
  <c r="AG79" i="14"/>
  <c r="AG78" i="14"/>
  <c r="AH74" i="14"/>
  <c r="AH75" i="14"/>
  <c r="AH77" i="14"/>
  <c r="AH76" i="14"/>
  <c r="AH80" i="14"/>
  <c r="AH78" i="14"/>
  <c r="AH79" i="14"/>
  <c r="L70" i="7"/>
  <c r="AH50" i="15"/>
  <c r="M4" i="6"/>
  <c r="D4" i="16"/>
  <c r="D4" i="15"/>
  <c r="C52" i="2"/>
  <c r="U3" i="12"/>
  <c r="AA92" i="45" l="1"/>
  <c r="AA36" i="48"/>
  <c r="BH52" i="45"/>
  <c r="BH51" i="45"/>
  <c r="BH53" i="45"/>
  <c r="AH74" i="36"/>
  <c r="BL72" i="36"/>
  <c r="BN67" i="36"/>
  <c r="AB92" i="45"/>
  <c r="AF71" i="36"/>
  <c r="AH72" i="36"/>
  <c r="BI50" i="45"/>
  <c r="BL74" i="36"/>
  <c r="AH53" i="15"/>
  <c r="BK71" i="36"/>
  <c r="BM63" i="45"/>
  <c r="BN63" i="45"/>
  <c r="AG72" i="36"/>
  <c r="AG74" i="36"/>
  <c r="BM67" i="36"/>
  <c r="AC50" i="45"/>
  <c r="BG92" i="45"/>
  <c r="AI13" i="20"/>
  <c r="D46" i="2"/>
  <c r="AI14" i="20"/>
  <c r="C5" i="9"/>
  <c r="F5" i="9" s="1"/>
  <c r="F6" i="9" s="1"/>
  <c r="AI11" i="20"/>
  <c r="D44" i="2"/>
  <c r="D49" i="2" s="1"/>
  <c r="C5" i="8"/>
  <c r="B5" i="8" s="1"/>
  <c r="L67" i="7"/>
  <c r="AI12" i="20"/>
  <c r="D45" i="2"/>
  <c r="I45" i="2" s="1"/>
  <c r="C5" i="4"/>
  <c r="AC4" i="51"/>
  <c r="X144" i="53"/>
  <c r="W145" i="53"/>
  <c r="V130" i="53"/>
  <c r="V132" i="53"/>
  <c r="V131" i="53"/>
  <c r="V101" i="53"/>
  <c r="V102" i="53"/>
  <c r="V100" i="53"/>
  <c r="V99" i="53"/>
  <c r="W97" i="53"/>
  <c r="W129" i="53"/>
  <c r="W98" i="53"/>
  <c r="W128" i="53"/>
  <c r="Z19" i="53"/>
  <c r="Z22" i="53"/>
  <c r="Z18" i="53"/>
  <c r="AA21" i="53"/>
  <c r="Z20" i="53"/>
  <c r="BG4" i="51"/>
  <c r="AB36" i="48"/>
  <c r="BJ48" i="45"/>
  <c r="BI52" i="45"/>
  <c r="BI53" i="45"/>
  <c r="U86" i="38"/>
  <c r="U87" i="38"/>
  <c r="U88" i="38"/>
  <c r="U89" i="42"/>
  <c r="U87" i="42"/>
  <c r="U91" i="42" s="1"/>
  <c r="U88" i="42"/>
  <c r="U92" i="42" s="1"/>
  <c r="U86" i="42"/>
  <c r="U90" i="42" s="1"/>
  <c r="BK49" i="45"/>
  <c r="BK46" i="45"/>
  <c r="BK47" i="45"/>
  <c r="BL45" i="45"/>
  <c r="AF360" i="46"/>
  <c r="BH92" i="45"/>
  <c r="BH88" i="45"/>
  <c r="AF45" i="45"/>
  <c r="AE47" i="45"/>
  <c r="AE46" i="45"/>
  <c r="AE49" i="45"/>
  <c r="AD48" i="45"/>
  <c r="U184" i="42"/>
  <c r="U185" i="42"/>
  <c r="W181" i="42"/>
  <c r="V182" i="42"/>
  <c r="V183" i="42"/>
  <c r="V185" i="42" s="1"/>
  <c r="AH70" i="36"/>
  <c r="AH105" i="36"/>
  <c r="BL70" i="36"/>
  <c r="BL105" i="36"/>
  <c r="BM64" i="36"/>
  <c r="BM65" i="36"/>
  <c r="AG70" i="36"/>
  <c r="AG105" i="36"/>
  <c r="BN64" i="36"/>
  <c r="BN65" i="36"/>
  <c r="V62" i="28"/>
  <c r="V129" i="38"/>
  <c r="V66" i="20"/>
  <c r="AA18" i="29"/>
  <c r="Z21" i="29"/>
  <c r="X231" i="42"/>
  <c r="W232" i="42"/>
  <c r="W216" i="42"/>
  <c r="V217" i="42"/>
  <c r="X216" i="38"/>
  <c r="W217" i="38"/>
  <c r="U63" i="42"/>
  <c r="V129" i="42"/>
  <c r="X126" i="42"/>
  <c r="W127" i="42"/>
  <c r="W128" i="42"/>
  <c r="Y20" i="38"/>
  <c r="V130" i="38"/>
  <c r="V132" i="38"/>
  <c r="V131" i="38"/>
  <c r="X126" i="38"/>
  <c r="W182" i="38"/>
  <c r="W183" i="38"/>
  <c r="W128" i="38"/>
  <c r="W127" i="38"/>
  <c r="X231" i="38"/>
  <c r="W232" i="38"/>
  <c r="Z18" i="38"/>
  <c r="U63" i="38"/>
  <c r="V64" i="42"/>
  <c r="V62" i="42"/>
  <c r="V66" i="42"/>
  <c r="V85" i="42" s="1"/>
  <c r="V67" i="42"/>
  <c r="V65" i="42"/>
  <c r="W60" i="42"/>
  <c r="V61" i="42"/>
  <c r="V131" i="42"/>
  <c r="V130" i="42"/>
  <c r="V132" i="42"/>
  <c r="Y22" i="38"/>
  <c r="V186" i="38"/>
  <c r="V185" i="38"/>
  <c r="Y19" i="38"/>
  <c r="V65" i="38"/>
  <c r="V62" i="38"/>
  <c r="V66" i="38"/>
  <c r="V85" i="38" s="1"/>
  <c r="V64" i="38"/>
  <c r="V67" i="38"/>
  <c r="V61" i="38"/>
  <c r="W60" i="38"/>
  <c r="Z21" i="38"/>
  <c r="V184" i="38"/>
  <c r="W265" i="19"/>
  <c r="X307" i="20"/>
  <c r="AB18" i="28"/>
  <c r="X195" i="20"/>
  <c r="W196" i="20"/>
  <c r="W121" i="20"/>
  <c r="W120" i="20"/>
  <c r="X119" i="20"/>
  <c r="W125" i="20"/>
  <c r="W122" i="20"/>
  <c r="W124" i="20"/>
  <c r="W123" i="20"/>
  <c r="Z20" i="28"/>
  <c r="V70" i="20"/>
  <c r="V69" i="20"/>
  <c r="V68" i="20"/>
  <c r="V67" i="20"/>
  <c r="W64" i="28"/>
  <c r="W60" i="28"/>
  <c r="W61" i="28"/>
  <c r="W63" i="28"/>
  <c r="X59" i="28"/>
  <c r="W64" i="20"/>
  <c r="W65" i="20"/>
  <c r="X63" i="20"/>
  <c r="AA22" i="28"/>
  <c r="AA21" i="28"/>
  <c r="X82" i="28"/>
  <c r="W87" i="28"/>
  <c r="W84" i="28"/>
  <c r="W83" i="28"/>
  <c r="W86" i="28"/>
  <c r="W85" i="28"/>
  <c r="W88" i="28"/>
  <c r="W108" i="28"/>
  <c r="X107" i="28"/>
  <c r="Z19" i="28"/>
  <c r="D42" i="16"/>
  <c r="D42" i="15"/>
  <c r="AG74" i="12"/>
  <c r="AG80" i="12"/>
  <c r="AG79" i="12"/>
  <c r="AG75" i="12"/>
  <c r="AG78" i="12"/>
  <c r="AG76" i="12"/>
  <c r="AG77" i="12"/>
  <c r="AH74" i="12"/>
  <c r="AH75" i="12"/>
  <c r="AH78" i="12"/>
  <c r="AH77" i="12"/>
  <c r="AH80" i="12"/>
  <c r="AH79" i="12"/>
  <c r="AH76" i="12"/>
  <c r="V209" i="20"/>
  <c r="D52" i="2"/>
  <c r="I51" i="2" s="1"/>
  <c r="N4" i="6"/>
  <c r="E4" i="16"/>
  <c r="E4" i="15"/>
  <c r="V3" i="12"/>
  <c r="C59" i="7"/>
  <c r="C58" i="7"/>
  <c r="C57" i="7"/>
  <c r="C56" i="7"/>
  <c r="C55" i="7"/>
  <c r="E59" i="7"/>
  <c r="E58" i="7"/>
  <c r="E57" i="7"/>
  <c r="E56" i="7"/>
  <c r="E55" i="7"/>
  <c r="F59" i="7"/>
  <c r="F58" i="7"/>
  <c r="F57" i="7"/>
  <c r="F56" i="7"/>
  <c r="F55" i="7"/>
  <c r="G59" i="7"/>
  <c r="G58" i="7"/>
  <c r="G57" i="7"/>
  <c r="G56" i="7"/>
  <c r="G55" i="7"/>
  <c r="AC52" i="45" l="1"/>
  <c r="AC88" i="45"/>
  <c r="AC51" i="45"/>
  <c r="AC53" i="45"/>
  <c r="BM72" i="36"/>
  <c r="BJ50" i="45"/>
  <c r="AB36" i="46"/>
  <c r="AG71" i="36"/>
  <c r="BL71" i="36"/>
  <c r="BN72" i="36"/>
  <c r="BM74" i="36"/>
  <c r="BI51" i="45"/>
  <c r="AH71" i="36"/>
  <c r="AD50" i="45"/>
  <c r="AC92" i="45"/>
  <c r="BN74" i="36"/>
  <c r="F7" i="9"/>
  <c r="F10" i="9"/>
  <c r="F8" i="9"/>
  <c r="I49" i="2"/>
  <c r="I48" i="2"/>
  <c r="AD4" i="51"/>
  <c r="Y144" i="53"/>
  <c r="X145" i="53"/>
  <c r="W130" i="53"/>
  <c r="W101" i="53"/>
  <c r="W100" i="53"/>
  <c r="W102" i="53"/>
  <c r="W132" i="53"/>
  <c r="W131" i="53"/>
  <c r="W99" i="53"/>
  <c r="X97" i="53"/>
  <c r="X129" i="53"/>
  <c r="X98" i="53"/>
  <c r="X128" i="53"/>
  <c r="AA19" i="53"/>
  <c r="AA20" i="53"/>
  <c r="AB21" i="53"/>
  <c r="AA18" i="53"/>
  <c r="AA22" i="53"/>
  <c r="BH4" i="51"/>
  <c r="V186" i="42"/>
  <c r="V89" i="42"/>
  <c r="V88" i="42"/>
  <c r="V92" i="42" s="1"/>
  <c r="V87" i="42"/>
  <c r="V91" i="42" s="1"/>
  <c r="V86" i="42"/>
  <c r="V90" i="42" s="1"/>
  <c r="BK48" i="45"/>
  <c r="V86" i="38"/>
  <c r="V88" i="38"/>
  <c r="V87" i="38"/>
  <c r="AE48" i="45"/>
  <c r="BL46" i="45"/>
  <c r="BL47" i="45"/>
  <c r="BL49" i="45"/>
  <c r="BM45" i="45"/>
  <c r="AG360" i="46"/>
  <c r="BI88" i="45"/>
  <c r="AG45" i="45"/>
  <c r="AF47" i="45"/>
  <c r="AF46" i="45"/>
  <c r="AF49" i="45"/>
  <c r="V184" i="42"/>
  <c r="X181" i="42"/>
  <c r="W182" i="42"/>
  <c r="W183" i="42"/>
  <c r="W185" i="42" s="1"/>
  <c r="W66" i="20"/>
  <c r="BN70" i="36"/>
  <c r="BN105" i="36"/>
  <c r="BM70" i="36"/>
  <c r="BM105" i="36"/>
  <c r="AA21" i="29"/>
  <c r="W62" i="28"/>
  <c r="AB18" i="29"/>
  <c r="W64" i="38"/>
  <c r="W67" i="38"/>
  <c r="W66" i="38"/>
  <c r="W85" i="38" s="1"/>
  <c r="W61" i="38"/>
  <c r="W62" i="38"/>
  <c r="X60" i="38"/>
  <c r="W65" i="38"/>
  <c r="Y231" i="38"/>
  <c r="X232" i="38"/>
  <c r="V63" i="38"/>
  <c r="V63" i="42"/>
  <c r="AA18" i="38"/>
  <c r="W129" i="38"/>
  <c r="Y126" i="38"/>
  <c r="X182" i="38"/>
  <c r="X183" i="38"/>
  <c r="X127" i="38"/>
  <c r="X128" i="38"/>
  <c r="Y216" i="38"/>
  <c r="X217" i="38"/>
  <c r="Y231" i="42"/>
  <c r="X232" i="42"/>
  <c r="AA21" i="38"/>
  <c r="W65" i="42"/>
  <c r="X60" i="42"/>
  <c r="W67" i="42"/>
  <c r="W61" i="42"/>
  <c r="W62" i="42"/>
  <c r="W64" i="42"/>
  <c r="W66" i="42"/>
  <c r="W85" i="42" s="1"/>
  <c r="W131" i="42"/>
  <c r="W130" i="42"/>
  <c r="W132" i="42"/>
  <c r="Y126" i="42"/>
  <c r="X128" i="42"/>
  <c r="X127" i="42"/>
  <c r="Z22" i="38"/>
  <c r="W131" i="38"/>
  <c r="W132" i="38"/>
  <c r="W130" i="38"/>
  <c r="Z20" i="38"/>
  <c r="W186" i="38"/>
  <c r="W185" i="38"/>
  <c r="W129" i="42"/>
  <c r="X216" i="42"/>
  <c r="W217" i="42"/>
  <c r="Z19" i="38"/>
  <c r="W184" i="38"/>
  <c r="X108" i="28"/>
  <c r="Y107" i="28"/>
  <c r="X84" i="28"/>
  <c r="Y82" i="28"/>
  <c r="X86" i="28"/>
  <c r="X83" i="28"/>
  <c r="X87" i="28"/>
  <c r="X85" i="28"/>
  <c r="X88" i="28"/>
  <c r="I47" i="2"/>
  <c r="AB21" i="28"/>
  <c r="AB22" i="28"/>
  <c r="X64" i="28"/>
  <c r="Y59" i="28"/>
  <c r="X63" i="28"/>
  <c r="X61" i="28"/>
  <c r="X60" i="28"/>
  <c r="AC18" i="28"/>
  <c r="X65" i="20"/>
  <c r="Y63" i="20"/>
  <c r="X64" i="20"/>
  <c r="X121" i="20"/>
  <c r="Y119" i="20"/>
  <c r="X124" i="20"/>
  <c r="X122" i="20"/>
  <c r="X123" i="20"/>
  <c r="X120" i="20"/>
  <c r="X125" i="20"/>
  <c r="Y307" i="20"/>
  <c r="X265" i="19"/>
  <c r="I50" i="2"/>
  <c r="AA19" i="28"/>
  <c r="W67" i="20"/>
  <c r="W68" i="20"/>
  <c r="W70" i="20"/>
  <c r="W69" i="20"/>
  <c r="AA20" i="28"/>
  <c r="Y195" i="20"/>
  <c r="X196" i="20"/>
  <c r="W209" i="20"/>
  <c r="D14" i="16"/>
  <c r="O4" i="6"/>
  <c r="F4" i="16"/>
  <c r="F4" i="15"/>
  <c r="D6" i="15"/>
  <c r="D6" i="16"/>
  <c r="I5" i="4"/>
  <c r="D22" i="15"/>
  <c r="D22" i="16"/>
  <c r="W3" i="12"/>
  <c r="G60" i="7"/>
  <c r="C60" i="7"/>
  <c r="E60" i="7"/>
  <c r="F60" i="7"/>
  <c r="AD52" i="45" l="1"/>
  <c r="BJ53" i="45"/>
  <c r="BI92" i="45"/>
  <c r="BJ51" i="45"/>
  <c r="AD51" i="45"/>
  <c r="AC36" i="48"/>
  <c r="AD53" i="45"/>
  <c r="AD88" i="45"/>
  <c r="BN71" i="36"/>
  <c r="BK50" i="45"/>
  <c r="BM71" i="36"/>
  <c r="AE50" i="45"/>
  <c r="AC36" i="46"/>
  <c r="BJ52" i="45"/>
  <c r="F9" i="9"/>
  <c r="F11" i="9" s="1"/>
  <c r="AE4" i="51"/>
  <c r="Z144" i="53"/>
  <c r="Y145" i="53"/>
  <c r="Y97" i="53"/>
  <c r="Y129" i="53"/>
  <c r="Y98" i="53"/>
  <c r="Y128" i="53"/>
  <c r="X130" i="53"/>
  <c r="X101" i="53"/>
  <c r="X100" i="53"/>
  <c r="X102" i="53"/>
  <c r="X132" i="53"/>
  <c r="X131" i="53"/>
  <c r="X99" i="53"/>
  <c r="AB19" i="53"/>
  <c r="AB20" i="53"/>
  <c r="AB18" i="53"/>
  <c r="AC21" i="53"/>
  <c r="AB22" i="53"/>
  <c r="BI4" i="51"/>
  <c r="W89" i="42"/>
  <c r="W88" i="42"/>
  <c r="W92" i="42" s="1"/>
  <c r="W86" i="42"/>
  <c r="W90" i="42" s="1"/>
  <c r="W87" i="42"/>
  <c r="W91" i="42" s="1"/>
  <c r="W87" i="38"/>
  <c r="W88" i="38"/>
  <c r="W86" i="38"/>
  <c r="BL48" i="45"/>
  <c r="AF48" i="45"/>
  <c r="BM46" i="45"/>
  <c r="BM47" i="45"/>
  <c r="BM49" i="45"/>
  <c r="BN45" i="45"/>
  <c r="BJ92" i="45"/>
  <c r="BJ88" i="45"/>
  <c r="AH45" i="45"/>
  <c r="AG47" i="45"/>
  <c r="AG49" i="45"/>
  <c r="AG46" i="45"/>
  <c r="I6" i="4"/>
  <c r="I7" i="4" s="1"/>
  <c r="W184" i="42"/>
  <c r="W186" i="42"/>
  <c r="Y181" i="42"/>
  <c r="X183" i="42"/>
  <c r="X185" i="42" s="1"/>
  <c r="X182" i="42"/>
  <c r="X66" i="20"/>
  <c r="X62" i="28"/>
  <c r="AB21" i="29"/>
  <c r="AC18" i="29"/>
  <c r="X129" i="38"/>
  <c r="AA19" i="38"/>
  <c r="AA22" i="38"/>
  <c r="X129" i="42"/>
  <c r="Z126" i="42"/>
  <c r="Y127" i="42"/>
  <c r="Y128" i="42"/>
  <c r="X65" i="42"/>
  <c r="Y60" i="42"/>
  <c r="X64" i="42"/>
  <c r="X66" i="42"/>
  <c r="X85" i="42" s="1"/>
  <c r="X62" i="42"/>
  <c r="X67" i="42"/>
  <c r="X61" i="42"/>
  <c r="Z231" i="42"/>
  <c r="Y232" i="42"/>
  <c r="X186" i="38"/>
  <c r="X185" i="38"/>
  <c r="Y216" i="42"/>
  <c r="X217" i="42"/>
  <c r="X131" i="42"/>
  <c r="X130" i="42"/>
  <c r="X132" i="42"/>
  <c r="X184" i="38"/>
  <c r="X65" i="38"/>
  <c r="X61" i="38"/>
  <c r="X64" i="38"/>
  <c r="X62" i="38"/>
  <c r="X66" i="38"/>
  <c r="X85" i="38" s="1"/>
  <c r="X67" i="38"/>
  <c r="Y60" i="38"/>
  <c r="AA20" i="38"/>
  <c r="W63" i="42"/>
  <c r="AB21" i="38"/>
  <c r="Z216" i="38"/>
  <c r="Y217" i="38"/>
  <c r="X130" i="38"/>
  <c r="X132" i="38"/>
  <c r="X131" i="38"/>
  <c r="Z126" i="38"/>
  <c r="Y182" i="38"/>
  <c r="Y183" i="38"/>
  <c r="Y127" i="38"/>
  <c r="Y128" i="38"/>
  <c r="AB18" i="38"/>
  <c r="Z231" i="38"/>
  <c r="Y232" i="38"/>
  <c r="W63" i="38"/>
  <c r="Z195" i="20"/>
  <c r="Y196" i="20"/>
  <c r="AB19" i="28"/>
  <c r="Y64" i="20"/>
  <c r="Z63" i="20"/>
  <c r="Y65" i="20"/>
  <c r="Y84" i="28"/>
  <c r="Z82" i="28"/>
  <c r="Y87" i="28"/>
  <c r="Y83" i="28"/>
  <c r="Y88" i="28"/>
  <c r="Y85" i="28"/>
  <c r="Y86" i="28"/>
  <c r="AB20" i="28"/>
  <c r="Y121" i="20"/>
  <c r="Z119" i="20"/>
  <c r="Y125" i="20"/>
  <c r="Y122" i="20"/>
  <c r="Y123" i="20"/>
  <c r="Y120" i="20"/>
  <c r="Y124" i="20"/>
  <c r="X69" i="20"/>
  <c r="X67" i="20"/>
  <c r="X68" i="20"/>
  <c r="X70" i="20"/>
  <c r="AD18" i="28"/>
  <c r="AC22" i="28"/>
  <c r="AC21" i="28"/>
  <c r="Y108" i="28"/>
  <c r="Z107" i="28"/>
  <c r="Z307" i="20"/>
  <c r="Y265" i="19"/>
  <c r="Y61" i="28"/>
  <c r="Z59" i="28"/>
  <c r="Y64" i="28"/>
  <c r="Y63" i="28"/>
  <c r="Y60" i="28"/>
  <c r="X209" i="20"/>
  <c r="D32" i="16"/>
  <c r="I5" i="8"/>
  <c r="D14" i="15"/>
  <c r="P4" i="6"/>
  <c r="G4" i="16"/>
  <c r="G4" i="15"/>
  <c r="D25" i="15"/>
  <c r="E22" i="15"/>
  <c r="E6" i="15"/>
  <c r="D8" i="15"/>
  <c r="D8" i="16"/>
  <c r="E6" i="16"/>
  <c r="D25" i="16"/>
  <c r="E22" i="16"/>
  <c r="E14" i="16"/>
  <c r="D21" i="16"/>
  <c r="X3" i="12"/>
  <c r="AE53" i="45" l="1"/>
  <c r="BK88" i="45"/>
  <c r="AE88" i="45"/>
  <c r="AE52" i="45"/>
  <c r="AD92" i="45"/>
  <c r="AE51" i="45"/>
  <c r="I6" i="8"/>
  <c r="I7" i="8" s="1"/>
  <c r="AD36" i="48"/>
  <c r="BK53" i="45"/>
  <c r="BK52" i="45"/>
  <c r="E24" i="16"/>
  <c r="BL50" i="45"/>
  <c r="D13" i="16"/>
  <c r="AE92" i="45"/>
  <c r="AD36" i="46"/>
  <c r="D35" i="16"/>
  <c r="C40" i="29" s="1"/>
  <c r="D13" i="15"/>
  <c r="E24" i="15"/>
  <c r="AF50" i="45"/>
  <c r="BK51" i="45"/>
  <c r="Y62" i="28"/>
  <c r="AF4" i="51"/>
  <c r="AA144" i="53"/>
  <c r="Z145" i="53"/>
  <c r="Z97" i="53"/>
  <c r="Z129" i="53"/>
  <c r="Z98" i="53"/>
  <c r="Z128" i="53"/>
  <c r="Y130" i="53"/>
  <c r="Y101" i="53"/>
  <c r="Y100" i="53"/>
  <c r="Y102" i="53"/>
  <c r="Y132" i="53"/>
  <c r="Y131" i="53"/>
  <c r="Y99" i="53"/>
  <c r="AC19" i="53"/>
  <c r="AC20" i="53"/>
  <c r="AC22" i="53"/>
  <c r="AD21" i="53"/>
  <c r="AC18" i="53"/>
  <c r="BJ4" i="51"/>
  <c r="I8" i="4"/>
  <c r="I9" i="4" s="1"/>
  <c r="X88" i="38"/>
  <c r="X87" i="38"/>
  <c r="X86" i="38"/>
  <c r="X89" i="42"/>
  <c r="X86" i="42"/>
  <c r="X90" i="42" s="1"/>
  <c r="X88" i="42"/>
  <c r="X92" i="42" s="1"/>
  <c r="X87" i="42"/>
  <c r="X91" i="42" s="1"/>
  <c r="BM48" i="45"/>
  <c r="X184" i="42"/>
  <c r="BN47" i="45"/>
  <c r="BN49" i="45"/>
  <c r="BN46" i="45"/>
  <c r="AG48" i="45"/>
  <c r="X186" i="42"/>
  <c r="AH47" i="45"/>
  <c r="AH49" i="45"/>
  <c r="AH46" i="45"/>
  <c r="Z181" i="42"/>
  <c r="Y182" i="42"/>
  <c r="Y183" i="42"/>
  <c r="Y185" i="42" s="1"/>
  <c r="AD18" i="29"/>
  <c r="AC21" i="29"/>
  <c r="Y129" i="42"/>
  <c r="Y129" i="38"/>
  <c r="Y131" i="38"/>
  <c r="Y130" i="38"/>
  <c r="Y132" i="38"/>
  <c r="AA126" i="38"/>
  <c r="Z182" i="38"/>
  <c r="Z183" i="38"/>
  <c r="Z128" i="38"/>
  <c r="Z127" i="38"/>
  <c r="Y131" i="42"/>
  <c r="Y130" i="42"/>
  <c r="Y132" i="42"/>
  <c r="AA126" i="42"/>
  <c r="Z128" i="42"/>
  <c r="Z127" i="42"/>
  <c r="AB20" i="38"/>
  <c r="Y64" i="38"/>
  <c r="Z60" i="38"/>
  <c r="Y66" i="38"/>
  <c r="Y85" i="38" s="1"/>
  <c r="Y62" i="38"/>
  <c r="Y65" i="38"/>
  <c r="Y61" i="38"/>
  <c r="Y67" i="38"/>
  <c r="AB19" i="38"/>
  <c r="Y186" i="38"/>
  <c r="Y185" i="38"/>
  <c r="AC21" i="38"/>
  <c r="X63" i="38"/>
  <c r="Z216" i="42"/>
  <c r="Y217" i="42"/>
  <c r="X63" i="42"/>
  <c r="AA231" i="38"/>
  <c r="Z232" i="38"/>
  <c r="AC18" i="38"/>
  <c r="Y184" i="38"/>
  <c r="AA216" i="38"/>
  <c r="Z217" i="38"/>
  <c r="AA231" i="42"/>
  <c r="Z232" i="42"/>
  <c r="Y66" i="42"/>
  <c r="Y85" i="42" s="1"/>
  <c r="Y64" i="42"/>
  <c r="Y67" i="42"/>
  <c r="Y61" i="42"/>
  <c r="Y65" i="42"/>
  <c r="Z60" i="42"/>
  <c r="Y62" i="42"/>
  <c r="AB22" i="38"/>
  <c r="Y66" i="20"/>
  <c r="AA107" i="28"/>
  <c r="Z108" i="28"/>
  <c r="Z84" i="28"/>
  <c r="AA82" i="28"/>
  <c r="Z88" i="28"/>
  <c r="Z83" i="28"/>
  <c r="Z87" i="28"/>
  <c r="Z85" i="28"/>
  <c r="Z86" i="28"/>
  <c r="AA307" i="20"/>
  <c r="Z265" i="19"/>
  <c r="AD22" i="28"/>
  <c r="AE18" i="28"/>
  <c r="AC20" i="28"/>
  <c r="Y67" i="20"/>
  <c r="Y69" i="20"/>
  <c r="Y68" i="20"/>
  <c r="Y70" i="20"/>
  <c r="AC19" i="28"/>
  <c r="Z60" i="28"/>
  <c r="Z61" i="28"/>
  <c r="AA59" i="28"/>
  <c r="Z63" i="28"/>
  <c r="Z64" i="28"/>
  <c r="AA63" i="20"/>
  <c r="Z64" i="20"/>
  <c r="Z65" i="20"/>
  <c r="AD21" i="28"/>
  <c r="Z124" i="20"/>
  <c r="Z122" i="20"/>
  <c r="Z125" i="20"/>
  <c r="Z121" i="20"/>
  <c r="Z120" i="20"/>
  <c r="Z123" i="20"/>
  <c r="AA119" i="20"/>
  <c r="Z196" i="20"/>
  <c r="AA195" i="20"/>
  <c r="Y209" i="20"/>
  <c r="D21" i="15"/>
  <c r="D54" i="16"/>
  <c r="C38" i="29"/>
  <c r="D74" i="16"/>
  <c r="D32" i="15"/>
  <c r="D43" i="16"/>
  <c r="C36" i="29"/>
  <c r="D54" i="15"/>
  <c r="E7" i="15"/>
  <c r="C38" i="28"/>
  <c r="E32" i="16"/>
  <c r="I9" i="8"/>
  <c r="E14" i="15"/>
  <c r="H4" i="16"/>
  <c r="H4" i="15"/>
  <c r="E23" i="15"/>
  <c r="F22" i="15"/>
  <c r="F6" i="15"/>
  <c r="E18" i="16"/>
  <c r="E15" i="16"/>
  <c r="E16" i="16"/>
  <c r="E19" i="16"/>
  <c r="F14" i="16"/>
  <c r="E7" i="16"/>
  <c r="F6" i="16"/>
  <c r="E23" i="16"/>
  <c r="F22" i="16"/>
  <c r="Y3" i="12"/>
  <c r="D61" i="2"/>
  <c r="I10" i="8" l="1"/>
  <c r="D60" i="16"/>
  <c r="I8" i="8"/>
  <c r="D47" i="16"/>
  <c r="D59" i="15"/>
  <c r="AF53" i="45"/>
  <c r="M59" i="25"/>
  <c r="BL52" i="45"/>
  <c r="D47" i="15"/>
  <c r="C37" i="28"/>
  <c r="D75" i="16"/>
  <c r="C37" i="29"/>
  <c r="BL88" i="45"/>
  <c r="BL53" i="45"/>
  <c r="AE36" i="48"/>
  <c r="AF52" i="45"/>
  <c r="AF88" i="45"/>
  <c r="AF51" i="45"/>
  <c r="BL51" i="45"/>
  <c r="F24" i="16"/>
  <c r="BK92" i="45"/>
  <c r="AE36" i="46"/>
  <c r="F24" i="15"/>
  <c r="AG50" i="45"/>
  <c r="E41" i="16"/>
  <c r="F14" i="15"/>
  <c r="BM50" i="45"/>
  <c r="D74" i="15"/>
  <c r="AH4" i="51"/>
  <c r="AG4" i="51"/>
  <c r="AB144" i="53"/>
  <c r="AA145" i="53"/>
  <c r="AA97" i="53"/>
  <c r="AA129" i="53"/>
  <c r="AA98" i="53"/>
  <c r="AA128" i="53"/>
  <c r="Z130" i="53"/>
  <c r="Z101" i="53"/>
  <c r="Z100" i="53"/>
  <c r="Z102" i="53"/>
  <c r="Z132" i="53"/>
  <c r="Z131" i="53"/>
  <c r="Z99" i="53"/>
  <c r="AD19" i="53"/>
  <c r="AD18" i="53"/>
  <c r="AE21" i="53"/>
  <c r="AD22" i="53"/>
  <c r="AD20" i="53"/>
  <c r="BK4" i="51"/>
  <c r="BN48" i="45"/>
  <c r="Y186" i="42"/>
  <c r="Y89" i="42"/>
  <c r="Y87" i="42"/>
  <c r="Y91" i="42" s="1"/>
  <c r="Y86" i="42"/>
  <c r="Y90" i="42" s="1"/>
  <c r="Y88" i="42"/>
  <c r="Y92" i="42" s="1"/>
  <c r="Y88" i="38"/>
  <c r="Y87" i="38"/>
  <c r="Y86" i="38"/>
  <c r="AH48" i="45"/>
  <c r="Y184" i="42"/>
  <c r="AA181" i="42"/>
  <c r="Z182" i="42"/>
  <c r="Z183" i="42"/>
  <c r="Z186" i="42" s="1"/>
  <c r="Z129" i="38"/>
  <c r="AD21" i="29"/>
  <c r="AE18" i="29"/>
  <c r="AA216" i="42"/>
  <c r="Z217" i="42"/>
  <c r="AC19" i="38"/>
  <c r="Z131" i="42"/>
  <c r="Z130" i="42"/>
  <c r="Z132" i="42"/>
  <c r="AB126" i="38"/>
  <c r="AA182" i="38"/>
  <c r="AA183" i="38"/>
  <c r="AA127" i="38"/>
  <c r="AA128" i="38"/>
  <c r="AC22" i="38"/>
  <c r="Y63" i="42"/>
  <c r="AB216" i="38"/>
  <c r="AA217" i="38"/>
  <c r="AC20" i="38"/>
  <c r="Z130" i="38"/>
  <c r="Z132" i="38"/>
  <c r="Z131" i="38"/>
  <c r="AB231" i="42"/>
  <c r="AA232" i="42"/>
  <c r="AD21" i="38"/>
  <c r="Y63" i="38"/>
  <c r="Z65" i="38"/>
  <c r="Z61" i="38"/>
  <c r="Z67" i="38"/>
  <c r="Z66" i="38"/>
  <c r="Z85" i="38" s="1"/>
  <c r="AA60" i="38"/>
  <c r="Z64" i="38"/>
  <c r="Z62" i="38"/>
  <c r="Z186" i="38"/>
  <c r="Z185" i="38"/>
  <c r="Z66" i="42"/>
  <c r="Z85" i="42" s="1"/>
  <c r="Z64" i="42"/>
  <c r="Z62" i="42"/>
  <c r="Z67" i="42"/>
  <c r="Z65" i="42"/>
  <c r="AA60" i="42"/>
  <c r="Z61" i="42"/>
  <c r="AD18" i="38"/>
  <c r="AB231" i="38"/>
  <c r="AA232" i="38"/>
  <c r="Z129" i="42"/>
  <c r="AB126" i="42"/>
  <c r="AA128" i="42"/>
  <c r="AA127" i="42"/>
  <c r="Z184" i="38"/>
  <c r="AB195" i="20"/>
  <c r="AA196" i="20"/>
  <c r="AA60" i="28"/>
  <c r="AA61" i="28"/>
  <c r="AB59" i="28"/>
  <c r="AA64" i="28"/>
  <c r="AA63" i="28"/>
  <c r="AD19" i="28"/>
  <c r="AF18" i="28"/>
  <c r="Z70" i="20"/>
  <c r="Z68" i="20"/>
  <c r="Z67" i="20"/>
  <c r="Z69" i="20"/>
  <c r="AA120" i="20"/>
  <c r="AA124" i="20"/>
  <c r="AA121" i="20"/>
  <c r="AB119" i="20"/>
  <c r="AA123" i="20"/>
  <c r="AA125" i="20"/>
  <c r="AA122" i="20"/>
  <c r="AE21" i="28"/>
  <c r="Z66" i="20"/>
  <c r="Z62" i="28"/>
  <c r="AD20" i="28"/>
  <c r="AE22" i="28"/>
  <c r="AB307" i="20"/>
  <c r="AA265" i="19"/>
  <c r="AA65" i="20"/>
  <c r="AA64" i="20"/>
  <c r="AB63" i="20"/>
  <c r="AA83" i="28"/>
  <c r="AA87" i="28"/>
  <c r="AA85" i="28"/>
  <c r="AA88" i="28"/>
  <c r="AA84" i="28"/>
  <c r="AB82" i="28"/>
  <c r="AA86" i="28"/>
  <c r="AB107" i="28"/>
  <c r="AA108" i="28"/>
  <c r="Z209" i="20"/>
  <c r="C36" i="28"/>
  <c r="D35" i="15"/>
  <c r="E33" i="16"/>
  <c r="E34" i="16"/>
  <c r="D43" i="15"/>
  <c r="I11" i="8"/>
  <c r="D76" i="16"/>
  <c r="E74" i="16"/>
  <c r="E32" i="15"/>
  <c r="F7" i="15"/>
  <c r="F32" i="16"/>
  <c r="E19" i="15"/>
  <c r="E16" i="15"/>
  <c r="E18" i="15"/>
  <c r="E15" i="15"/>
  <c r="E25" i="15"/>
  <c r="E25" i="16"/>
  <c r="E8" i="16"/>
  <c r="E17" i="16"/>
  <c r="E8" i="15"/>
  <c r="E41" i="15"/>
  <c r="F15" i="15"/>
  <c r="F7" i="16"/>
  <c r="G6" i="16"/>
  <c r="G22" i="15"/>
  <c r="F23" i="15"/>
  <c r="F23" i="16"/>
  <c r="G22" i="16"/>
  <c r="G6" i="15"/>
  <c r="F19" i="16"/>
  <c r="F16" i="16"/>
  <c r="F15" i="16"/>
  <c r="F18" i="16"/>
  <c r="G14" i="16"/>
  <c r="E20" i="16"/>
  <c r="Z3" i="12"/>
  <c r="P62" i="2"/>
  <c r="U26" i="2"/>
  <c r="U27" i="2"/>
  <c r="U28" i="2"/>
  <c r="U29" i="2"/>
  <c r="U30" i="2"/>
  <c r="U31" i="2"/>
  <c r="U32" i="2"/>
  <c r="U25" i="2"/>
  <c r="T26" i="2"/>
  <c r="T27" i="2"/>
  <c r="T28" i="2"/>
  <c r="T29" i="2"/>
  <c r="T30" i="2"/>
  <c r="T31" i="2"/>
  <c r="T32" i="2"/>
  <c r="T25" i="2"/>
  <c r="S26" i="2"/>
  <c r="S27" i="2"/>
  <c r="S28" i="2"/>
  <c r="S29" i="2"/>
  <c r="S30" i="2"/>
  <c r="S31" i="2"/>
  <c r="S32" i="2"/>
  <c r="S25" i="2"/>
  <c r="R26" i="2"/>
  <c r="R27" i="2"/>
  <c r="R28" i="2"/>
  <c r="R29" i="2"/>
  <c r="R30" i="2"/>
  <c r="R31" i="2"/>
  <c r="R32" i="2"/>
  <c r="R25" i="2"/>
  <c r="P26" i="2"/>
  <c r="P27" i="2"/>
  <c r="P28" i="2"/>
  <c r="P29" i="2"/>
  <c r="P30" i="2"/>
  <c r="P31" i="2"/>
  <c r="P32" i="2"/>
  <c r="P25" i="2"/>
  <c r="P24" i="2"/>
  <c r="Q24" i="2"/>
  <c r="R24" i="2"/>
  <c r="S24" i="2"/>
  <c r="T24" i="2"/>
  <c r="U24" i="2"/>
  <c r="O31" i="2"/>
  <c r="O24" i="2"/>
  <c r="N32" i="2"/>
  <c r="A51" i="2" s="1"/>
  <c r="N26" i="2"/>
  <c r="A45" i="2" s="1"/>
  <c r="N27" i="2"/>
  <c r="A46" i="2" s="1"/>
  <c r="N28" i="2"/>
  <c r="A47" i="2" s="1"/>
  <c r="N29" i="2"/>
  <c r="A48" i="2" s="1"/>
  <c r="N30" i="2"/>
  <c r="A49" i="2" s="1"/>
  <c r="N31" i="2"/>
  <c r="A50" i="2" s="1"/>
  <c r="N25" i="2"/>
  <c r="A44" i="2" s="1"/>
  <c r="O14" i="2"/>
  <c r="O25" i="2" s="1"/>
  <c r="Q20" i="2"/>
  <c r="Q31" i="2" s="1"/>
  <c r="Q17" i="2"/>
  <c r="Q28" i="2" s="1"/>
  <c r="Q19" i="2"/>
  <c r="Q30" i="2" s="1"/>
  <c r="W6" i="2"/>
  <c r="Q15" i="2" s="1"/>
  <c r="Q26" i="2" s="1"/>
  <c r="W7" i="2"/>
  <c r="Q16" i="2" s="1"/>
  <c r="Q27" i="2" s="1"/>
  <c r="W8" i="2"/>
  <c r="W9" i="2"/>
  <c r="Q18" i="2" s="1"/>
  <c r="Q29" i="2" s="1"/>
  <c r="W10" i="2"/>
  <c r="W11" i="2"/>
  <c r="Q21" i="2" s="1"/>
  <c r="Q32" i="2" s="1"/>
  <c r="W5" i="2"/>
  <c r="Q14" i="2" s="1"/>
  <c r="Q25" i="2" s="1"/>
  <c r="O15" i="2"/>
  <c r="O26" i="2" s="1"/>
  <c r="O16" i="2"/>
  <c r="O27" i="2" s="1"/>
  <c r="O17" i="2"/>
  <c r="O28" i="2" s="1"/>
  <c r="O29" i="2"/>
  <c r="O19" i="2"/>
  <c r="O30" i="2" s="1"/>
  <c r="O21" i="2"/>
  <c r="O32" i="2" s="1"/>
  <c r="A46" i="1"/>
  <c r="A65" i="1" s="1"/>
  <c r="A47" i="1"/>
  <c r="A48" i="1"/>
  <c r="A49" i="1"/>
  <c r="A50" i="1"/>
  <c r="A51" i="1"/>
  <c r="A53" i="1"/>
  <c r="A45" i="1"/>
  <c r="A18" i="2"/>
  <c r="B18" i="2"/>
  <c r="A19" i="2"/>
  <c r="B19" i="2"/>
  <c r="A20" i="2"/>
  <c r="B20" i="2"/>
  <c r="A21" i="2"/>
  <c r="B21" i="2"/>
  <c r="A22" i="2"/>
  <c r="B22" i="2"/>
  <c r="A23" i="2"/>
  <c r="B23" i="2"/>
  <c r="A17" i="2"/>
  <c r="B17" i="2"/>
  <c r="S36" i="1"/>
  <c r="T40" i="1"/>
  <c r="S41" i="1"/>
  <c r="B40" i="1"/>
  <c r="B39" i="1"/>
  <c r="S39" i="1" s="1"/>
  <c r="O20" i="1"/>
  <c r="O24" i="1" s="1"/>
  <c r="B37" i="1"/>
  <c r="Q40" i="1" s="1"/>
  <c r="O14" i="1"/>
  <c r="P14" i="1"/>
  <c r="Q14" i="1"/>
  <c r="Q20" i="1" s="1"/>
  <c r="Q24" i="1" s="1"/>
  <c r="R14" i="1"/>
  <c r="S14" i="1"/>
  <c r="O15" i="1"/>
  <c r="P15" i="1"/>
  <c r="Q15" i="1"/>
  <c r="R15" i="1"/>
  <c r="S15" i="1"/>
  <c r="O16" i="1"/>
  <c r="P16" i="1"/>
  <c r="Q16" i="1"/>
  <c r="R16" i="1"/>
  <c r="S16" i="1"/>
  <c r="O17" i="1"/>
  <c r="P17" i="1"/>
  <c r="Q17" i="1"/>
  <c r="R17" i="1"/>
  <c r="S17" i="1"/>
  <c r="O18" i="1"/>
  <c r="P18" i="1"/>
  <c r="Q18" i="1"/>
  <c r="R18" i="1"/>
  <c r="S18" i="1"/>
  <c r="O19" i="1"/>
  <c r="P19" i="1"/>
  <c r="Q19" i="1"/>
  <c r="R19" i="1"/>
  <c r="S19" i="1"/>
  <c r="S13" i="1"/>
  <c r="R13" i="1"/>
  <c r="P13" i="1"/>
  <c r="P20" i="1" s="1"/>
  <c r="B38" i="1"/>
  <c r="C17" i="1"/>
  <c r="B18" i="1"/>
  <c r="BM51" i="45" l="1"/>
  <c r="F32" i="15"/>
  <c r="AG88" i="45"/>
  <c r="BL92" i="45"/>
  <c r="AF92" i="45"/>
  <c r="AF36" i="48"/>
  <c r="F16" i="15"/>
  <c r="F19" i="15"/>
  <c r="F18" i="15"/>
  <c r="G14" i="15"/>
  <c r="BM53" i="45"/>
  <c r="AG53" i="45"/>
  <c r="AG52" i="45"/>
  <c r="AG51" i="45"/>
  <c r="P25" i="1"/>
  <c r="P27" i="1"/>
  <c r="P29" i="1"/>
  <c r="P28" i="1"/>
  <c r="R31" i="1"/>
  <c r="R41" i="1" s="1"/>
  <c r="T27" i="1"/>
  <c r="P26" i="1"/>
  <c r="P31" i="1"/>
  <c r="S20" i="1"/>
  <c r="T29" i="1" s="1"/>
  <c r="T39" i="1" s="1"/>
  <c r="P24" i="1"/>
  <c r="E9" i="16"/>
  <c r="F41" i="15"/>
  <c r="BM52" i="45"/>
  <c r="V26" i="2"/>
  <c r="B45" i="2" s="1"/>
  <c r="F41" i="16"/>
  <c r="S38" i="1"/>
  <c r="S40" i="1"/>
  <c r="S35" i="1"/>
  <c r="V32" i="2"/>
  <c r="B51" i="2" s="1"/>
  <c r="C51" i="2" s="1"/>
  <c r="H51" i="2" s="1"/>
  <c r="J51" i="2" s="1"/>
  <c r="V31" i="2"/>
  <c r="G24" i="16"/>
  <c r="AF36" i="46"/>
  <c r="R20" i="1"/>
  <c r="R25" i="1" s="1"/>
  <c r="R35" i="1" s="1"/>
  <c r="R40" i="1"/>
  <c r="T37" i="1"/>
  <c r="BN50" i="45"/>
  <c r="S34" i="1"/>
  <c r="S37" i="1"/>
  <c r="V29" i="2"/>
  <c r="B48" i="2" s="1"/>
  <c r="C48" i="2" s="1"/>
  <c r="H48" i="2" s="1"/>
  <c r="AH50" i="45"/>
  <c r="V28" i="2"/>
  <c r="B47" i="2" s="1"/>
  <c r="C47" i="2" s="1"/>
  <c r="H47" i="2" s="1"/>
  <c r="J47" i="2" s="1"/>
  <c r="G24" i="15"/>
  <c r="Q34" i="1"/>
  <c r="AC144" i="53"/>
  <c r="AB145" i="53"/>
  <c r="AA130" i="53"/>
  <c r="AA101" i="53"/>
  <c r="AA100" i="53"/>
  <c r="AA102" i="53"/>
  <c r="AA132" i="53"/>
  <c r="AA131" i="53"/>
  <c r="AA99" i="53"/>
  <c r="AB97" i="53"/>
  <c r="AB129" i="53"/>
  <c r="AB98" i="53"/>
  <c r="AB128" i="53"/>
  <c r="AE22" i="53"/>
  <c r="AE19" i="53"/>
  <c r="AE20" i="53"/>
  <c r="AF21" i="53"/>
  <c r="AE18" i="53"/>
  <c r="BL4" i="51"/>
  <c r="Z86" i="38"/>
  <c r="Z88" i="38"/>
  <c r="Z87" i="38"/>
  <c r="Z89" i="42"/>
  <c r="Z88" i="42"/>
  <c r="Z92" i="42" s="1"/>
  <c r="Z87" i="42"/>
  <c r="Z91" i="42" s="1"/>
  <c r="Z86" i="42"/>
  <c r="Z90" i="42" s="1"/>
  <c r="AH51" i="45"/>
  <c r="BM92" i="45"/>
  <c r="BM88" i="45"/>
  <c r="Z185" i="42"/>
  <c r="Z184" i="42"/>
  <c r="AB181" i="42"/>
  <c r="AA183" i="42"/>
  <c r="AA186" i="42" s="1"/>
  <c r="AA182" i="42"/>
  <c r="AE21" i="29"/>
  <c r="AF18" i="29"/>
  <c r="AA131" i="42"/>
  <c r="AA130" i="42"/>
  <c r="AA132" i="42"/>
  <c r="AE18" i="38"/>
  <c r="AA184" i="38"/>
  <c r="AB216" i="42"/>
  <c r="AA217" i="42"/>
  <c r="Z63" i="42"/>
  <c r="AC216" i="38"/>
  <c r="AB217" i="38"/>
  <c r="AD22" i="38"/>
  <c r="AA131" i="38"/>
  <c r="AA130" i="38"/>
  <c r="AA132" i="38"/>
  <c r="AC126" i="38"/>
  <c r="AB182" i="38"/>
  <c r="AB183" i="38"/>
  <c r="AB128" i="38"/>
  <c r="AB127" i="38"/>
  <c r="AC231" i="38"/>
  <c r="AB232" i="38"/>
  <c r="AA67" i="42"/>
  <c r="AA66" i="42"/>
  <c r="AA85" i="42" s="1"/>
  <c r="AA64" i="42"/>
  <c r="AB60" i="42"/>
  <c r="AA65" i="42"/>
  <c r="AA61" i="42"/>
  <c r="AA62" i="42"/>
  <c r="Z63" i="38"/>
  <c r="AC231" i="42"/>
  <c r="AB232" i="42"/>
  <c r="AA129" i="38"/>
  <c r="AD19" i="38"/>
  <c r="AA129" i="42"/>
  <c r="AC126" i="42"/>
  <c r="AB128" i="42"/>
  <c r="AB127" i="42"/>
  <c r="AB60" i="38"/>
  <c r="AA65" i="38"/>
  <c r="AA64" i="38"/>
  <c r="AA62" i="38"/>
  <c r="AA66" i="38"/>
  <c r="AA85" i="38" s="1"/>
  <c r="AA61" i="38"/>
  <c r="AA67" i="38"/>
  <c r="AE21" i="38"/>
  <c r="AD20" i="38"/>
  <c r="AA185" i="38"/>
  <c r="AA186" i="38"/>
  <c r="AA66" i="20"/>
  <c r="AA67" i="20"/>
  <c r="AA69" i="20"/>
  <c r="AA68" i="20"/>
  <c r="AA70" i="20"/>
  <c r="AC307" i="20"/>
  <c r="AB265" i="19"/>
  <c r="AE20" i="28"/>
  <c r="AF21" i="28"/>
  <c r="AB120" i="20"/>
  <c r="AB124" i="20"/>
  <c r="AB121" i="20"/>
  <c r="AB122" i="20"/>
  <c r="AB123" i="20"/>
  <c r="AC119" i="20"/>
  <c r="AB125" i="20"/>
  <c r="AE19" i="28"/>
  <c r="AB85" i="28"/>
  <c r="AB87" i="28"/>
  <c r="AB84" i="28"/>
  <c r="AB83" i="28"/>
  <c r="AB88" i="28"/>
  <c r="AC82" i="28"/>
  <c r="AB86" i="28"/>
  <c r="AA62" i="28"/>
  <c r="AB65" i="20"/>
  <c r="AB64" i="20"/>
  <c r="AC63" i="20"/>
  <c r="AF22" i="28"/>
  <c r="AG18" i="28"/>
  <c r="AC107" i="28"/>
  <c r="AB108" i="28"/>
  <c r="AB61" i="28"/>
  <c r="AB63" i="28"/>
  <c r="AB64" i="28"/>
  <c r="AC59" i="28"/>
  <c r="AB60" i="28"/>
  <c r="AC195" i="20"/>
  <c r="AB196" i="20"/>
  <c r="AA209" i="20"/>
  <c r="D60" i="15"/>
  <c r="C40" i="28"/>
  <c r="D75" i="15"/>
  <c r="E54" i="15"/>
  <c r="F33" i="16"/>
  <c r="F34" i="16"/>
  <c r="E74" i="15"/>
  <c r="E34" i="15"/>
  <c r="E33" i="15"/>
  <c r="F33" i="15"/>
  <c r="F34" i="15"/>
  <c r="E17" i="15"/>
  <c r="E35" i="16"/>
  <c r="E40" i="16"/>
  <c r="E20" i="15"/>
  <c r="G32" i="15"/>
  <c r="E54" i="16"/>
  <c r="D38" i="29"/>
  <c r="F74" i="16"/>
  <c r="F74" i="15"/>
  <c r="G7" i="15"/>
  <c r="D38" i="28"/>
  <c r="G32" i="16"/>
  <c r="E21" i="16"/>
  <c r="F17" i="15"/>
  <c r="F17" i="16"/>
  <c r="F8" i="15"/>
  <c r="F25" i="16"/>
  <c r="F25" i="15"/>
  <c r="F20" i="16"/>
  <c r="E10" i="16"/>
  <c r="H22" i="15"/>
  <c r="G23" i="15"/>
  <c r="F20" i="15"/>
  <c r="E9" i="15"/>
  <c r="G19" i="16"/>
  <c r="G16" i="16"/>
  <c r="G18" i="16"/>
  <c r="G15" i="16"/>
  <c r="H14" i="16"/>
  <c r="H6" i="15"/>
  <c r="G7" i="16"/>
  <c r="H6" i="16"/>
  <c r="G23" i="16"/>
  <c r="H22" i="16"/>
  <c r="F8" i="16"/>
  <c r="H14" i="15"/>
  <c r="G19" i="15"/>
  <c r="G16" i="15"/>
  <c r="G18" i="15"/>
  <c r="G15" i="15"/>
  <c r="AA3" i="12"/>
  <c r="C18" i="1"/>
  <c r="B35" i="1"/>
  <c r="O34" i="1" s="1"/>
  <c r="Q25" i="1"/>
  <c r="Q35" i="1" s="1"/>
  <c r="Q26" i="1"/>
  <c r="Q36" i="1" s="1"/>
  <c r="Q27" i="1"/>
  <c r="Q37" i="1" s="1"/>
  <c r="Q28" i="1"/>
  <c r="Q38" i="1" s="1"/>
  <c r="Q29" i="1"/>
  <c r="Q39" i="1" s="1"/>
  <c r="Q31" i="1"/>
  <c r="Q41" i="1" s="1"/>
  <c r="O25" i="1"/>
  <c r="O26" i="1"/>
  <c r="O36" i="1" s="1"/>
  <c r="O27" i="1"/>
  <c r="O37" i="1" s="1"/>
  <c r="O28" i="1"/>
  <c r="O38" i="1" s="1"/>
  <c r="O29" i="1"/>
  <c r="O39" i="1" s="1"/>
  <c r="O31" i="1"/>
  <c r="O41" i="1" s="1"/>
  <c r="V25" i="2"/>
  <c r="B44" i="2" s="1"/>
  <c r="C44" i="2" s="1"/>
  <c r="V30" i="2"/>
  <c r="B49" i="2" s="1"/>
  <c r="C49" i="2" s="1"/>
  <c r="V27" i="2"/>
  <c r="B46" i="2" s="1"/>
  <c r="AH52" i="45" l="1"/>
  <c r="AG92" i="45"/>
  <c r="BN53" i="45"/>
  <c r="AH88" i="45"/>
  <c r="AH53" i="45"/>
  <c r="BN51" i="45"/>
  <c r="E44" i="2"/>
  <c r="F44" i="2" s="1"/>
  <c r="H44" i="2"/>
  <c r="J44" i="2" s="1"/>
  <c r="F9" i="15"/>
  <c r="G41" i="16"/>
  <c r="R28" i="1"/>
  <c r="R38" i="1" s="1"/>
  <c r="C62" i="2"/>
  <c r="B62" i="2" s="1"/>
  <c r="B50" i="2"/>
  <c r="C50" i="2" s="1"/>
  <c r="H50" i="2" s="1"/>
  <c r="J50" i="2" s="1"/>
  <c r="AH92" i="45"/>
  <c r="C63" i="2"/>
  <c r="B63" i="2" s="1"/>
  <c r="C45" i="2"/>
  <c r="H45" i="2" s="1"/>
  <c r="J45" i="2" s="1"/>
  <c r="R27" i="1"/>
  <c r="R37" i="1" s="1"/>
  <c r="H24" i="15"/>
  <c r="T31" i="1"/>
  <c r="T41" i="1" s="1"/>
  <c r="E11" i="16"/>
  <c r="R26" i="1"/>
  <c r="R36" i="1" s="1"/>
  <c r="R24" i="1"/>
  <c r="R34" i="1" s="1"/>
  <c r="T28" i="1"/>
  <c r="T38" i="1" s="1"/>
  <c r="R29" i="1"/>
  <c r="R39" i="1" s="1"/>
  <c r="D76" i="15"/>
  <c r="AG36" i="46"/>
  <c r="BN52" i="45"/>
  <c r="AG36" i="48"/>
  <c r="T26" i="1"/>
  <c r="T36" i="1" s="1"/>
  <c r="T24" i="1"/>
  <c r="T34" i="1" s="1"/>
  <c r="C46" i="2"/>
  <c r="O35" i="1"/>
  <c r="H24" i="16"/>
  <c r="H49" i="2"/>
  <c r="J49" i="2" s="1"/>
  <c r="E49" i="2"/>
  <c r="F49" i="2" s="1"/>
  <c r="G41" i="15"/>
  <c r="T25" i="1"/>
  <c r="T35" i="1" s="1"/>
  <c r="AB62" i="28"/>
  <c r="AD144" i="53"/>
  <c r="AC145" i="53"/>
  <c r="AC97" i="53"/>
  <c r="AC98" i="53"/>
  <c r="AC129" i="53"/>
  <c r="AC128" i="53"/>
  <c r="AB130" i="53"/>
  <c r="AB101" i="53"/>
  <c r="AB100" i="53"/>
  <c r="AB102" i="53"/>
  <c r="AB132" i="53"/>
  <c r="AB131" i="53"/>
  <c r="AB99" i="53"/>
  <c r="AG21" i="53"/>
  <c r="AF20" i="53"/>
  <c r="AF18" i="53"/>
  <c r="AF19" i="53"/>
  <c r="AF22" i="53"/>
  <c r="BM4" i="51"/>
  <c r="AA87" i="38"/>
  <c r="AA86" i="38"/>
  <c r="AA88" i="38"/>
  <c r="AA89" i="42"/>
  <c r="AA87" i="42"/>
  <c r="AA91" i="42" s="1"/>
  <c r="AA88" i="42"/>
  <c r="AA92" i="42" s="1"/>
  <c r="AA86" i="42"/>
  <c r="AA90" i="42" s="1"/>
  <c r="BN88" i="45"/>
  <c r="AA184" i="42"/>
  <c r="AA185" i="42"/>
  <c r="AC181" i="42"/>
  <c r="AB183" i="42"/>
  <c r="AB185" i="42" s="1"/>
  <c r="AB182" i="42"/>
  <c r="AB129" i="38"/>
  <c r="AG18" i="29"/>
  <c r="AF21" i="29"/>
  <c r="AB129" i="42"/>
  <c r="AC60" i="38"/>
  <c r="AB65" i="38"/>
  <c r="AB67" i="38"/>
  <c r="AB62" i="38"/>
  <c r="AB64" i="38"/>
  <c r="AB61" i="38"/>
  <c r="AB66" i="38"/>
  <c r="AB85" i="38" s="1"/>
  <c r="AB66" i="42"/>
  <c r="AB85" i="42" s="1"/>
  <c r="AB62" i="42"/>
  <c r="AC60" i="42"/>
  <c r="AB67" i="42"/>
  <c r="AB61" i="42"/>
  <c r="AB65" i="42"/>
  <c r="AB64" i="42"/>
  <c r="AD126" i="38"/>
  <c r="AC182" i="38"/>
  <c r="AC183" i="38"/>
  <c r="AC128" i="38"/>
  <c r="AC127" i="38"/>
  <c r="AF18" i="38"/>
  <c r="AF21" i="38"/>
  <c r="AD126" i="42"/>
  <c r="AC128" i="42"/>
  <c r="AC127" i="42"/>
  <c r="AB131" i="38"/>
  <c r="AB130" i="38"/>
  <c r="AB132" i="38"/>
  <c r="AE22" i="38"/>
  <c r="AC216" i="42"/>
  <c r="AB217" i="42"/>
  <c r="AB131" i="42"/>
  <c r="AB130" i="42"/>
  <c r="AB132" i="42"/>
  <c r="AE19" i="38"/>
  <c r="AA63" i="42"/>
  <c r="AB186" i="38"/>
  <c r="AB185" i="38"/>
  <c r="AE20" i="38"/>
  <c r="AA63" i="38"/>
  <c r="AD231" i="42"/>
  <c r="AC232" i="42"/>
  <c r="AD231" i="38"/>
  <c r="AC232" i="38"/>
  <c r="AB184" i="38"/>
  <c r="AD216" i="38"/>
  <c r="AC217" i="38"/>
  <c r="AB66" i="20"/>
  <c r="AD195" i="20"/>
  <c r="AC196" i="20"/>
  <c r="AD107" i="28"/>
  <c r="AC108" i="28"/>
  <c r="AG22" i="28"/>
  <c r="AF19" i="28"/>
  <c r="AD63" i="20"/>
  <c r="AC64" i="20"/>
  <c r="AC65" i="20"/>
  <c r="AD82" i="28"/>
  <c r="AC87" i="28"/>
  <c r="AC83" i="28"/>
  <c r="AC84" i="28"/>
  <c r="AC86" i="28"/>
  <c r="AC85" i="28"/>
  <c r="AC88" i="28"/>
  <c r="AG21" i="28"/>
  <c r="AC265" i="19"/>
  <c r="AD307" i="20"/>
  <c r="AC61" i="28"/>
  <c r="AD59" i="28"/>
  <c r="AC64" i="28"/>
  <c r="AC60" i="28"/>
  <c r="AC63" i="28"/>
  <c r="AC121" i="20"/>
  <c r="AD119" i="20"/>
  <c r="AC123" i="20"/>
  <c r="AC122" i="20"/>
  <c r="AC124" i="20"/>
  <c r="AC125" i="20"/>
  <c r="AC120" i="20"/>
  <c r="AB67" i="20"/>
  <c r="AB68" i="20"/>
  <c r="AB69" i="20"/>
  <c r="AB70" i="20"/>
  <c r="AF20" i="28"/>
  <c r="AB209" i="20"/>
  <c r="F21" i="16"/>
  <c r="G33" i="15"/>
  <c r="G34" i="15"/>
  <c r="G34" i="16"/>
  <c r="G33" i="16"/>
  <c r="F54" i="15"/>
  <c r="E60" i="16"/>
  <c r="D40" i="29"/>
  <c r="E40" i="15"/>
  <c r="F40" i="15"/>
  <c r="E21" i="15"/>
  <c r="E35" i="15"/>
  <c r="F35" i="16"/>
  <c r="D66" i="16"/>
  <c r="F35" i="15"/>
  <c r="G74" i="16"/>
  <c r="G74" i="15"/>
  <c r="H32" i="16"/>
  <c r="F54" i="16"/>
  <c r="E38" i="29"/>
  <c r="H32" i="15"/>
  <c r="E43" i="16"/>
  <c r="D36" i="29"/>
  <c r="F40" i="16"/>
  <c r="D46" i="16"/>
  <c r="D65" i="15"/>
  <c r="D66" i="15"/>
  <c r="D46" i="15"/>
  <c r="D67" i="15"/>
  <c r="D49" i="15"/>
  <c r="E38" i="28"/>
  <c r="H7" i="15"/>
  <c r="J48" i="2"/>
  <c r="G25" i="16"/>
  <c r="G25" i="15"/>
  <c r="G17" i="15"/>
  <c r="G8" i="15"/>
  <c r="G17" i="16"/>
  <c r="G20" i="16"/>
  <c r="G8" i="16"/>
  <c r="H7" i="16"/>
  <c r="I6" i="16"/>
  <c r="I6" i="15"/>
  <c r="E10" i="15"/>
  <c r="G20" i="15"/>
  <c r="I22" i="15"/>
  <c r="H23" i="15"/>
  <c r="I14" i="15"/>
  <c r="H19" i="15"/>
  <c r="H16" i="15"/>
  <c r="H15" i="15"/>
  <c r="H18" i="15"/>
  <c r="F9" i="16"/>
  <c r="H23" i="16"/>
  <c r="I22" i="16"/>
  <c r="H18" i="16"/>
  <c r="H15" i="16"/>
  <c r="H16" i="16"/>
  <c r="H19" i="16"/>
  <c r="I14" i="16"/>
  <c r="F21" i="15"/>
  <c r="AB3" i="12"/>
  <c r="O40" i="1"/>
  <c r="B36" i="1"/>
  <c r="C61" i="2"/>
  <c r="B61" i="2" s="1"/>
  <c r="C60" i="2"/>
  <c r="B60" i="2" s="1"/>
  <c r="C59" i="2"/>
  <c r="B59" i="2" s="1"/>
  <c r="C58" i="2"/>
  <c r="B58" i="2" s="1"/>
  <c r="BN92" i="45" l="1"/>
  <c r="E13" i="16"/>
  <c r="E11" i="15"/>
  <c r="G9" i="15"/>
  <c r="E39" i="16"/>
  <c r="H46" i="2"/>
  <c r="J46" i="2" s="1"/>
  <c r="J52" i="2" s="1"/>
  <c r="E46" i="2"/>
  <c r="F46" i="2" s="1"/>
  <c r="H41" i="16"/>
  <c r="I24" i="16"/>
  <c r="F10" i="15"/>
  <c r="G9" i="16"/>
  <c r="I24" i="15"/>
  <c r="H41" i="15"/>
  <c r="Q26" i="49"/>
  <c r="Q30" i="49"/>
  <c r="Q29" i="49"/>
  <c r="Q28" i="49"/>
  <c r="Q27" i="49"/>
  <c r="AE144" i="53"/>
  <c r="AD145" i="53"/>
  <c r="AC130" i="53"/>
  <c r="AC132" i="53"/>
  <c r="AC131" i="53"/>
  <c r="AC101" i="53"/>
  <c r="AC100" i="53"/>
  <c r="AC102" i="53"/>
  <c r="AC99" i="53"/>
  <c r="AD97" i="53"/>
  <c r="AD98" i="53"/>
  <c r="AD129" i="53"/>
  <c r="AD128" i="53"/>
  <c r="AG18" i="53"/>
  <c r="AG19" i="53"/>
  <c r="AG22" i="53"/>
  <c r="AG20" i="53"/>
  <c r="BN4" i="51"/>
  <c r="K29" i="49"/>
  <c r="K26" i="49"/>
  <c r="H5" i="8" s="1"/>
  <c r="K28" i="49"/>
  <c r="K30" i="49"/>
  <c r="K27" i="49"/>
  <c r="H5" i="4" s="1"/>
  <c r="AB89" i="42"/>
  <c r="AB86" i="42"/>
  <c r="AB90" i="42" s="1"/>
  <c r="AB88" i="42"/>
  <c r="AB92" i="42" s="1"/>
  <c r="AB87" i="42"/>
  <c r="AB91" i="42" s="1"/>
  <c r="AB88" i="38"/>
  <c r="AB86" i="38"/>
  <c r="AB87" i="38"/>
  <c r="AB186" i="42"/>
  <c r="AB184" i="42"/>
  <c r="AD181" i="42"/>
  <c r="AC182" i="42"/>
  <c r="AC183" i="42"/>
  <c r="AC62" i="28"/>
  <c r="AC129" i="42"/>
  <c r="AC129" i="38"/>
  <c r="AG21" i="29"/>
  <c r="AC184" i="38"/>
  <c r="AC65" i="42"/>
  <c r="AD60" i="42"/>
  <c r="AC66" i="42"/>
  <c r="AC85" i="42" s="1"/>
  <c r="AC64" i="42"/>
  <c r="AC67" i="42"/>
  <c r="AC62" i="42"/>
  <c r="AC61" i="42"/>
  <c r="AB63" i="38"/>
  <c r="AE216" i="38"/>
  <c r="AD217" i="38"/>
  <c r="AE231" i="42"/>
  <c r="AD232" i="42"/>
  <c r="AF20" i="38"/>
  <c r="AD216" i="42"/>
  <c r="AC217" i="42"/>
  <c r="AE126" i="42"/>
  <c r="AD128" i="42"/>
  <c r="AD127" i="42"/>
  <c r="AG21" i="38"/>
  <c r="AG18" i="38"/>
  <c r="AE126" i="38"/>
  <c r="AD182" i="38"/>
  <c r="AD183" i="38"/>
  <c r="AD128" i="38"/>
  <c r="AD127" i="38"/>
  <c r="AD60" i="38"/>
  <c r="AC66" i="38"/>
  <c r="AC85" i="38" s="1"/>
  <c r="AC65" i="38"/>
  <c r="AC61" i="38"/>
  <c r="AC67" i="38"/>
  <c r="AC62" i="38"/>
  <c r="AC64" i="38"/>
  <c r="AC131" i="42"/>
  <c r="AC130" i="42"/>
  <c r="AC132" i="42"/>
  <c r="AC131" i="38"/>
  <c r="AC132" i="38"/>
  <c r="AC130" i="38"/>
  <c r="AB63" i="42"/>
  <c r="AE231" i="38"/>
  <c r="AD232" i="38"/>
  <c r="AF19" i="38"/>
  <c r="AF22" i="38"/>
  <c r="AC186" i="38"/>
  <c r="AC185" i="38"/>
  <c r="AC70" i="20"/>
  <c r="AC67" i="20"/>
  <c r="AC68" i="20"/>
  <c r="AC69" i="20"/>
  <c r="AD125" i="20"/>
  <c r="AD120" i="20"/>
  <c r="AD124" i="20"/>
  <c r="AD121" i="20"/>
  <c r="AD122" i="20"/>
  <c r="AE119" i="20"/>
  <c r="AD123" i="20"/>
  <c r="AE307" i="20"/>
  <c r="AD265" i="19"/>
  <c r="AC66" i="20"/>
  <c r="AG19" i="28"/>
  <c r="AD108" i="28"/>
  <c r="AE107" i="28"/>
  <c r="AG20" i="28"/>
  <c r="AE63" i="20"/>
  <c r="AD65" i="20"/>
  <c r="AD64" i="20"/>
  <c r="AE59" i="28"/>
  <c r="AD63" i="28"/>
  <c r="AD61" i="28"/>
  <c r="AD64" i="28"/>
  <c r="AD60" i="28"/>
  <c r="AD84" i="28"/>
  <c r="AD88" i="28"/>
  <c r="AD85" i="28"/>
  <c r="AE82" i="28"/>
  <c r="AD87" i="28"/>
  <c r="AD83" i="28"/>
  <c r="AD86" i="28"/>
  <c r="AE195" i="20"/>
  <c r="AD196" i="20"/>
  <c r="AC209" i="20"/>
  <c r="E36" i="29"/>
  <c r="F43" i="16"/>
  <c r="H34" i="15"/>
  <c r="H33" i="15"/>
  <c r="G54" i="15"/>
  <c r="E43" i="15"/>
  <c r="H34" i="16"/>
  <c r="H33" i="16"/>
  <c r="F43" i="15"/>
  <c r="E40" i="29"/>
  <c r="E40" i="28"/>
  <c r="E60" i="15"/>
  <c r="F60" i="16"/>
  <c r="D36" i="28"/>
  <c r="G40" i="15"/>
  <c r="G40" i="16"/>
  <c r="D40" i="28"/>
  <c r="F60" i="15"/>
  <c r="G35" i="16"/>
  <c r="G54" i="16"/>
  <c r="F38" i="29"/>
  <c r="I32" i="15"/>
  <c r="E47" i="16"/>
  <c r="D37" i="29"/>
  <c r="D68" i="15"/>
  <c r="H74" i="15"/>
  <c r="H74" i="16"/>
  <c r="G35" i="15"/>
  <c r="E36" i="28"/>
  <c r="F38" i="28"/>
  <c r="I7" i="15"/>
  <c r="I32" i="16"/>
  <c r="H25" i="15"/>
  <c r="H20" i="16"/>
  <c r="H17" i="15"/>
  <c r="H17" i="16"/>
  <c r="H25" i="16"/>
  <c r="G21" i="16"/>
  <c r="G21" i="15"/>
  <c r="I18" i="16"/>
  <c r="I15" i="16"/>
  <c r="I19" i="16"/>
  <c r="I16" i="16"/>
  <c r="J14" i="16"/>
  <c r="H20" i="15"/>
  <c r="J14" i="15"/>
  <c r="I18" i="15"/>
  <c r="I19" i="15"/>
  <c r="I16" i="15"/>
  <c r="I15" i="15"/>
  <c r="E13" i="15"/>
  <c r="J6" i="15"/>
  <c r="H8" i="16"/>
  <c r="I23" i="16"/>
  <c r="J22" i="16"/>
  <c r="F10" i="16"/>
  <c r="J22" i="15"/>
  <c r="I23" i="15"/>
  <c r="H8" i="15"/>
  <c r="G10" i="16"/>
  <c r="J6" i="16"/>
  <c r="I7" i="16"/>
  <c r="AC3" i="12"/>
  <c r="P35" i="1"/>
  <c r="V35" i="1" s="1"/>
  <c r="B46" i="1" s="1"/>
  <c r="P36" i="1"/>
  <c r="V36" i="1" s="1"/>
  <c r="B47" i="1" s="1"/>
  <c r="P37" i="1"/>
  <c r="V37" i="1" s="1"/>
  <c r="B48" i="1" s="1"/>
  <c r="P38" i="1"/>
  <c r="V38" i="1" s="1"/>
  <c r="B49" i="1" s="1"/>
  <c r="P39" i="1"/>
  <c r="V39" i="1" s="1"/>
  <c r="B50" i="1" s="1"/>
  <c r="P40" i="1"/>
  <c r="P41" i="1"/>
  <c r="V41" i="1" s="1"/>
  <c r="B53" i="1" s="1"/>
  <c r="P34" i="1"/>
  <c r="V34" i="1" s="1"/>
  <c r="V40" i="1"/>
  <c r="B51" i="1" s="1"/>
  <c r="C66" i="1" s="1"/>
  <c r="F11" i="15" l="1"/>
  <c r="F11" i="16"/>
  <c r="J24" i="16"/>
  <c r="G10" i="15"/>
  <c r="I41" i="16"/>
  <c r="I41" i="15"/>
  <c r="E42" i="16"/>
  <c r="E39" i="15"/>
  <c r="G11" i="16"/>
  <c r="J24" i="15"/>
  <c r="H52" i="2"/>
  <c r="AF144" i="53"/>
  <c r="AF145" i="53" s="1"/>
  <c r="AE145" i="53"/>
  <c r="AD130" i="53"/>
  <c r="AD132" i="53"/>
  <c r="AD131" i="53"/>
  <c r="AD101" i="53"/>
  <c r="AD100" i="53"/>
  <c r="AD102" i="53"/>
  <c r="AD99" i="53"/>
  <c r="AE97" i="53"/>
  <c r="AE98" i="53"/>
  <c r="AE129" i="53"/>
  <c r="AE128" i="53"/>
  <c r="E6" i="51"/>
  <c r="K6" i="51"/>
  <c r="O6" i="51"/>
  <c r="S6" i="51"/>
  <c r="W6" i="51"/>
  <c r="AA6" i="51"/>
  <c r="AE6" i="51"/>
  <c r="Z6" i="51"/>
  <c r="H6" i="51"/>
  <c r="L6" i="51"/>
  <c r="P6" i="51"/>
  <c r="T6" i="51"/>
  <c r="X6" i="51"/>
  <c r="AB6" i="51"/>
  <c r="AF6" i="51"/>
  <c r="F6" i="51"/>
  <c r="N6" i="51"/>
  <c r="R6" i="51"/>
  <c r="V6" i="51"/>
  <c r="AD6" i="51"/>
  <c r="AH6" i="51"/>
  <c r="K6" i="3"/>
  <c r="K7" i="3" s="1"/>
  <c r="G6" i="51"/>
  <c r="I6" i="51"/>
  <c r="M6" i="51"/>
  <c r="Q6" i="51"/>
  <c r="U6" i="51"/>
  <c r="Y6" i="51"/>
  <c r="AC6" i="51"/>
  <c r="AG6" i="51"/>
  <c r="J6" i="51"/>
  <c r="AC87" i="38"/>
  <c r="AC88" i="38"/>
  <c r="AC86" i="38"/>
  <c r="AC89" i="42"/>
  <c r="AC87" i="42"/>
  <c r="AC91" i="42" s="1"/>
  <c r="AC86" i="42"/>
  <c r="AC90" i="42" s="1"/>
  <c r="AC88" i="42"/>
  <c r="AC92" i="42" s="1"/>
  <c r="AC184" i="42"/>
  <c r="AC186" i="42"/>
  <c r="AC185" i="42"/>
  <c r="AE181" i="42"/>
  <c r="AD182" i="42"/>
  <c r="AD183" i="42"/>
  <c r="AD185" i="42" s="1"/>
  <c r="AD62" i="28"/>
  <c r="AD65" i="38"/>
  <c r="AD62" i="38"/>
  <c r="AD67" i="38"/>
  <c r="AD66" i="38"/>
  <c r="AD85" i="38" s="1"/>
  <c r="AD61" i="38"/>
  <c r="AE60" i="38"/>
  <c r="AD64" i="38"/>
  <c r="AD131" i="38"/>
  <c r="AD132" i="38"/>
  <c r="AD130" i="38"/>
  <c r="AD131" i="42"/>
  <c r="AD130" i="42"/>
  <c r="AD132" i="42"/>
  <c r="AG19" i="38"/>
  <c r="AC63" i="38"/>
  <c r="AD186" i="38"/>
  <c r="AD185" i="38"/>
  <c r="AE216" i="42"/>
  <c r="AD217" i="42"/>
  <c r="AG20" i="38"/>
  <c r="AF216" i="38"/>
  <c r="AF217" i="38" s="1"/>
  <c r="AE217" i="38"/>
  <c r="AC63" i="42"/>
  <c r="AD184" i="38"/>
  <c r="AE60" i="42"/>
  <c r="AD62" i="42"/>
  <c r="AD64" i="42"/>
  <c r="AD61" i="42"/>
  <c r="AD67" i="42"/>
  <c r="AD66" i="42"/>
  <c r="AD85" i="42" s="1"/>
  <c r="AD65" i="42"/>
  <c r="AG22" i="38"/>
  <c r="AF231" i="38"/>
  <c r="AF232" i="38" s="1"/>
  <c r="AE232" i="38"/>
  <c r="AD129" i="38"/>
  <c r="AF126" i="38"/>
  <c r="AE182" i="38"/>
  <c r="AE183" i="38"/>
  <c r="AE128" i="38"/>
  <c r="AE127" i="38"/>
  <c r="AD129" i="42"/>
  <c r="AF126" i="42"/>
  <c r="AE127" i="42"/>
  <c r="AE128" i="42"/>
  <c r="AF231" i="42"/>
  <c r="AF232" i="42" s="1"/>
  <c r="AE232" i="42"/>
  <c r="AF63" i="20"/>
  <c r="AE65" i="20"/>
  <c r="AE64" i="20"/>
  <c r="AF107" i="28"/>
  <c r="AF108" i="28" s="1"/>
  <c r="AE108" i="28"/>
  <c r="AF119" i="20"/>
  <c r="AE125" i="20"/>
  <c r="AE123" i="20"/>
  <c r="AE122" i="20"/>
  <c r="AE120" i="20"/>
  <c r="AE124" i="20"/>
  <c r="AE121" i="20"/>
  <c r="AD66" i="20"/>
  <c r="AE196" i="20"/>
  <c r="AF195" i="20"/>
  <c r="AF196" i="20" s="1"/>
  <c r="AE85" i="28"/>
  <c r="AE86" i="28"/>
  <c r="AE84" i="28"/>
  <c r="AF82" i="28"/>
  <c r="AE87" i="28"/>
  <c r="AE88" i="28"/>
  <c r="AE83" i="28"/>
  <c r="AE63" i="28"/>
  <c r="AE64" i="28"/>
  <c r="AF59" i="28"/>
  <c r="AE60" i="28"/>
  <c r="AE61" i="28"/>
  <c r="AD70" i="20"/>
  <c r="AD68" i="20"/>
  <c r="AD67" i="20"/>
  <c r="AD69" i="20"/>
  <c r="AF307" i="20"/>
  <c r="AE265" i="19"/>
  <c r="AD209" i="20"/>
  <c r="D77" i="15"/>
  <c r="H54" i="15"/>
  <c r="I74" i="16"/>
  <c r="I33" i="16"/>
  <c r="I34" i="16"/>
  <c r="I74" i="15"/>
  <c r="I34" i="15"/>
  <c r="I33" i="15"/>
  <c r="G43" i="15"/>
  <c r="G60" i="16"/>
  <c r="H40" i="15"/>
  <c r="H40" i="16"/>
  <c r="F40" i="29"/>
  <c r="H35" i="16"/>
  <c r="H35" i="15"/>
  <c r="J32" i="15"/>
  <c r="G43" i="16"/>
  <c r="F36" i="29"/>
  <c r="D65" i="16"/>
  <c r="D67" i="16"/>
  <c r="J32" i="16"/>
  <c r="H54" i="16"/>
  <c r="G38" i="29"/>
  <c r="G60" i="15"/>
  <c r="F40" i="28"/>
  <c r="E47" i="15"/>
  <c r="F36" i="28"/>
  <c r="G38" i="28"/>
  <c r="D37" i="28"/>
  <c r="J7" i="15"/>
  <c r="I8" i="15"/>
  <c r="H21" i="16"/>
  <c r="I25" i="15"/>
  <c r="I20" i="16"/>
  <c r="I17" i="15"/>
  <c r="I25" i="16"/>
  <c r="I8" i="16"/>
  <c r="I17" i="16"/>
  <c r="F13" i="16"/>
  <c r="I20" i="15"/>
  <c r="J19" i="16"/>
  <c r="J16" i="16"/>
  <c r="J18" i="16"/>
  <c r="J15" i="16"/>
  <c r="K14" i="16"/>
  <c r="H9" i="16"/>
  <c r="K6" i="15"/>
  <c r="K14" i="15"/>
  <c r="J18" i="15"/>
  <c r="J16" i="15"/>
  <c r="J15" i="15"/>
  <c r="J19" i="15"/>
  <c r="J7" i="16"/>
  <c r="K6" i="16"/>
  <c r="G13" i="16"/>
  <c r="H9" i="15"/>
  <c r="K22" i="15"/>
  <c r="J23" i="15"/>
  <c r="J23" i="16"/>
  <c r="K22" i="16"/>
  <c r="H21" i="15"/>
  <c r="AD3" i="12"/>
  <c r="B45" i="1"/>
  <c r="V42" i="1"/>
  <c r="C65" i="1"/>
  <c r="E42" i="15" l="1"/>
  <c r="E76" i="16"/>
  <c r="F39" i="16"/>
  <c r="K24" i="16"/>
  <c r="G39" i="16"/>
  <c r="K24" i="15"/>
  <c r="I9" i="15"/>
  <c r="G11" i="15"/>
  <c r="J41" i="16"/>
  <c r="I9" i="16"/>
  <c r="J41" i="15"/>
  <c r="E75" i="16"/>
  <c r="F39" i="15"/>
  <c r="F13" i="15"/>
  <c r="AE132" i="53"/>
  <c r="AE131" i="53"/>
  <c r="AE101" i="53"/>
  <c r="AE100" i="53"/>
  <c r="AE102" i="53"/>
  <c r="AE99" i="53"/>
  <c r="AF97" i="53"/>
  <c r="AF98" i="53"/>
  <c r="AF129" i="53"/>
  <c r="AF128" i="53"/>
  <c r="AE130" i="53"/>
  <c r="L7" i="51"/>
  <c r="AR6" i="51"/>
  <c r="AC7" i="51"/>
  <c r="BI6" i="51"/>
  <c r="AS6" i="51"/>
  <c r="M7" i="51"/>
  <c r="BN6" i="51"/>
  <c r="AH7" i="51"/>
  <c r="AT6" i="51"/>
  <c r="N7" i="51"/>
  <c r="BD6" i="51"/>
  <c r="X7" i="51"/>
  <c r="H7" i="51"/>
  <c r="AN6" i="51"/>
  <c r="W7" i="51"/>
  <c r="BC6" i="51"/>
  <c r="E7" i="51"/>
  <c r="AK6" i="51"/>
  <c r="K9" i="3"/>
  <c r="K13" i="3" s="1"/>
  <c r="BH6" i="51"/>
  <c r="AB7" i="51"/>
  <c r="AQ6" i="51"/>
  <c r="K7" i="51"/>
  <c r="BE6" i="51"/>
  <c r="Y7" i="51"/>
  <c r="I7" i="51"/>
  <c r="AO6" i="51"/>
  <c r="AD7" i="51"/>
  <c r="BJ6" i="51"/>
  <c r="AL6" i="51"/>
  <c r="F7" i="51"/>
  <c r="T7" i="51"/>
  <c r="AZ6" i="51"/>
  <c r="BF6" i="51"/>
  <c r="Z7" i="51"/>
  <c r="S7" i="51"/>
  <c r="AY6" i="51"/>
  <c r="BM6" i="51"/>
  <c r="AG7" i="51"/>
  <c r="Q7" i="51"/>
  <c r="AW6" i="51"/>
  <c r="AX6" i="51"/>
  <c r="R7" i="51"/>
  <c r="BG6" i="51"/>
  <c r="AA7" i="51"/>
  <c r="J7" i="51"/>
  <c r="AP6" i="51"/>
  <c r="BA6" i="51"/>
  <c r="U7" i="51"/>
  <c r="G7" i="51"/>
  <c r="AM6" i="51"/>
  <c r="V7" i="51"/>
  <c r="BB6" i="51"/>
  <c r="BL6" i="51"/>
  <c r="AF7" i="51"/>
  <c r="P7" i="51"/>
  <c r="AV6" i="51"/>
  <c r="BK6" i="51"/>
  <c r="AE7" i="51"/>
  <c r="AU6" i="51"/>
  <c r="O7" i="51"/>
  <c r="AD89" i="42"/>
  <c r="AD88" i="42"/>
  <c r="AD92" i="42" s="1"/>
  <c r="AD86" i="42"/>
  <c r="AD90" i="42" s="1"/>
  <c r="AD87" i="42"/>
  <c r="AD91" i="42" s="1"/>
  <c r="AD86" i="38"/>
  <c r="AD88" i="38"/>
  <c r="AD87" i="38"/>
  <c r="AD186" i="42"/>
  <c r="AD184" i="42"/>
  <c r="AF181" i="42"/>
  <c r="AE183" i="42"/>
  <c r="AE185" i="42" s="1"/>
  <c r="AE182" i="42"/>
  <c r="AE129" i="38"/>
  <c r="AF182" i="38"/>
  <c r="AF183" i="38"/>
  <c r="AF127" i="38"/>
  <c r="AF128" i="38"/>
  <c r="AE64" i="42"/>
  <c r="AF60" i="42"/>
  <c r="AE65" i="42"/>
  <c r="AE62" i="42"/>
  <c r="AE66" i="42"/>
  <c r="AE85" i="42" s="1"/>
  <c r="AE61" i="42"/>
  <c r="AE67" i="42"/>
  <c r="AE65" i="38"/>
  <c r="AE64" i="38"/>
  <c r="AE62" i="38"/>
  <c r="AF60" i="38"/>
  <c r="AE67" i="38"/>
  <c r="AE61" i="38"/>
  <c r="AE66" i="38"/>
  <c r="AE85" i="38" s="1"/>
  <c r="AE130" i="38"/>
  <c r="AE132" i="38"/>
  <c r="AE131" i="38"/>
  <c r="AD63" i="42"/>
  <c r="AD63" i="38"/>
  <c r="AE131" i="42"/>
  <c r="AE130" i="42"/>
  <c r="AE132" i="42"/>
  <c r="AF127" i="42"/>
  <c r="AF128" i="42"/>
  <c r="AE185" i="38"/>
  <c r="AE186" i="38"/>
  <c r="AF216" i="42"/>
  <c r="AF217" i="42" s="1"/>
  <c r="AE217" i="42"/>
  <c r="AE129" i="42"/>
  <c r="AE184" i="38"/>
  <c r="AE66" i="20"/>
  <c r="AF86" i="28"/>
  <c r="AF83" i="28"/>
  <c r="AF87" i="28"/>
  <c r="AF84" i="28"/>
  <c r="AF88" i="28"/>
  <c r="AF85" i="28"/>
  <c r="AE62" i="28"/>
  <c r="AF120" i="20"/>
  <c r="AF124" i="20"/>
  <c r="AF121" i="20"/>
  <c r="AF125" i="20"/>
  <c r="AF122" i="20"/>
  <c r="AF123" i="20"/>
  <c r="AE68" i="20"/>
  <c r="AE70" i="20"/>
  <c r="AE69" i="20"/>
  <c r="AE67" i="20"/>
  <c r="AG307" i="20"/>
  <c r="AG265" i="19" s="1"/>
  <c r="AF265" i="19"/>
  <c r="AF60" i="28"/>
  <c r="AF61" i="28"/>
  <c r="AF64" i="28"/>
  <c r="AF63" i="28"/>
  <c r="AF65" i="20"/>
  <c r="AF64" i="20"/>
  <c r="AF209" i="20"/>
  <c r="AE209" i="20"/>
  <c r="I21" i="16"/>
  <c r="H43" i="15"/>
  <c r="J33" i="15"/>
  <c r="J34" i="15"/>
  <c r="J74" i="16"/>
  <c r="J33" i="16"/>
  <c r="J34" i="16"/>
  <c r="I54" i="15"/>
  <c r="H60" i="16"/>
  <c r="G40" i="28"/>
  <c r="G40" i="29"/>
  <c r="H60" i="15"/>
  <c r="I40" i="16"/>
  <c r="I35" i="16"/>
  <c r="I35" i="15"/>
  <c r="I40" i="15"/>
  <c r="G47" i="16"/>
  <c r="F37" i="29"/>
  <c r="I54" i="16"/>
  <c r="H38" i="29"/>
  <c r="J74" i="15"/>
  <c r="K32" i="16"/>
  <c r="K32" i="15"/>
  <c r="F47" i="16"/>
  <c r="E37" i="29"/>
  <c r="H43" i="16"/>
  <c r="G36" i="29"/>
  <c r="E75" i="15"/>
  <c r="E76" i="15"/>
  <c r="G36" i="28"/>
  <c r="H38" i="28"/>
  <c r="K7" i="15"/>
  <c r="J25" i="15"/>
  <c r="J8" i="16"/>
  <c r="J17" i="15"/>
  <c r="J17" i="16"/>
  <c r="L6" i="16"/>
  <c r="K7" i="16"/>
  <c r="L14" i="15"/>
  <c r="K19" i="15"/>
  <c r="K16" i="15"/>
  <c r="K15" i="15"/>
  <c r="K18" i="15"/>
  <c r="H10" i="16"/>
  <c r="I21" i="15"/>
  <c r="K23" i="16"/>
  <c r="L22" i="16"/>
  <c r="H10" i="15"/>
  <c r="L6" i="15"/>
  <c r="J20" i="16"/>
  <c r="L22" i="15"/>
  <c r="K23" i="15"/>
  <c r="K19" i="16"/>
  <c r="K16" i="16"/>
  <c r="K15" i="16"/>
  <c r="K18" i="16"/>
  <c r="L14" i="16"/>
  <c r="J25" i="16"/>
  <c r="J20" i="15"/>
  <c r="J8" i="15"/>
  <c r="I10" i="16"/>
  <c r="AE3" i="12"/>
  <c r="C64" i="1"/>
  <c r="C63" i="1"/>
  <c r="H11" i="15" l="1"/>
  <c r="AF8" i="51"/>
  <c r="W8" i="51"/>
  <c r="L24" i="16"/>
  <c r="K41" i="15"/>
  <c r="G13" i="15"/>
  <c r="G39" i="15"/>
  <c r="K41" i="16"/>
  <c r="O8" i="51"/>
  <c r="AB8" i="51"/>
  <c r="H8" i="51"/>
  <c r="M8" i="51"/>
  <c r="I10" i="15"/>
  <c r="V8" i="51"/>
  <c r="F47" i="15"/>
  <c r="E37" i="28"/>
  <c r="H11" i="16"/>
  <c r="Z8" i="51"/>
  <c r="F42" i="15"/>
  <c r="L24" i="15"/>
  <c r="G8" i="51"/>
  <c r="I8" i="51"/>
  <c r="N8" i="51"/>
  <c r="Y8" i="51"/>
  <c r="G42" i="16"/>
  <c r="F42" i="16"/>
  <c r="I11" i="16"/>
  <c r="J9" i="16"/>
  <c r="Q8" i="51"/>
  <c r="T8" i="51"/>
  <c r="L8" i="51"/>
  <c r="AF130" i="53"/>
  <c r="AF132" i="53"/>
  <c r="AF131" i="53"/>
  <c r="AF101" i="53"/>
  <c r="AF100" i="53"/>
  <c r="AF102" i="53"/>
  <c r="AF99" i="53"/>
  <c r="BJ7" i="51"/>
  <c r="AD9" i="51"/>
  <c r="AE8" i="51"/>
  <c r="BK7" i="51"/>
  <c r="AE9" i="51"/>
  <c r="AV7" i="51"/>
  <c r="P9" i="51"/>
  <c r="BE7" i="51"/>
  <c r="Y9" i="51"/>
  <c r="AS7" i="51"/>
  <c r="M9" i="51"/>
  <c r="BI7" i="51"/>
  <c r="AC9" i="51"/>
  <c r="AP7" i="51"/>
  <c r="J9" i="51"/>
  <c r="BM7" i="51"/>
  <c r="AG9" i="51"/>
  <c r="AY7" i="51"/>
  <c r="S9" i="51"/>
  <c r="AK7" i="51"/>
  <c r="E9" i="51"/>
  <c r="BD7" i="51"/>
  <c r="X9" i="51"/>
  <c r="AM7" i="51"/>
  <c r="G9" i="51"/>
  <c r="J8" i="51"/>
  <c r="R8" i="51"/>
  <c r="AX7" i="51"/>
  <c r="R9" i="51"/>
  <c r="AW7" i="51"/>
  <c r="Q9" i="51"/>
  <c r="S8" i="51"/>
  <c r="BF7" i="51"/>
  <c r="Z9" i="51"/>
  <c r="AZ7" i="51"/>
  <c r="T9" i="51"/>
  <c r="AD8" i="51"/>
  <c r="BH7" i="51"/>
  <c r="AB9" i="51"/>
  <c r="E8" i="51"/>
  <c r="AN7" i="51"/>
  <c r="H9" i="51"/>
  <c r="AH8" i="51"/>
  <c r="BN7" i="51"/>
  <c r="AH9" i="51"/>
  <c r="BA7" i="51"/>
  <c r="U9" i="51"/>
  <c r="BG7" i="51"/>
  <c r="AA9" i="51"/>
  <c r="AL7" i="51"/>
  <c r="F9" i="51"/>
  <c r="AR7" i="51"/>
  <c r="L9" i="51"/>
  <c r="AU7" i="51"/>
  <c r="O9" i="51"/>
  <c r="P8" i="51"/>
  <c r="BL7" i="51"/>
  <c r="AF9" i="51"/>
  <c r="BB7" i="51"/>
  <c r="V9" i="51"/>
  <c r="U8" i="51"/>
  <c r="AA8" i="51"/>
  <c r="AG8" i="51"/>
  <c r="F8" i="51"/>
  <c r="AO7" i="51"/>
  <c r="I9" i="51"/>
  <c r="K8" i="51"/>
  <c r="AQ7" i="51"/>
  <c r="K9" i="51"/>
  <c r="BC7" i="51"/>
  <c r="W9" i="51"/>
  <c r="X8" i="51"/>
  <c r="AT7" i="51"/>
  <c r="N9" i="51"/>
  <c r="AC8" i="51"/>
  <c r="AE186" i="42"/>
  <c r="AE87" i="38"/>
  <c r="AE88" i="38"/>
  <c r="AE86" i="38"/>
  <c r="AE89" i="42"/>
  <c r="AE88" i="42"/>
  <c r="AE92" i="42" s="1"/>
  <c r="AE86" i="42"/>
  <c r="AE90" i="42" s="1"/>
  <c r="AE87" i="42"/>
  <c r="AE91" i="42" s="1"/>
  <c r="AE184" i="42"/>
  <c r="AF183" i="42"/>
  <c r="AF185" i="42" s="1"/>
  <c r="AF182" i="42"/>
  <c r="AF129" i="42"/>
  <c r="AF129" i="38"/>
  <c r="AG91" i="42"/>
  <c r="AG90" i="42"/>
  <c r="AG92" i="42"/>
  <c r="AE63" i="38"/>
  <c r="AF130" i="38"/>
  <c r="AF132" i="38"/>
  <c r="AF131" i="38"/>
  <c r="AF131" i="42"/>
  <c r="AF130" i="42"/>
  <c r="AF132" i="42"/>
  <c r="AE63" i="42"/>
  <c r="AF67" i="42"/>
  <c r="AF66" i="42"/>
  <c r="AF85" i="42" s="1"/>
  <c r="AF64" i="42"/>
  <c r="AF65" i="42"/>
  <c r="AF61" i="42"/>
  <c r="AF62" i="42"/>
  <c r="AF64" i="38"/>
  <c r="AF61" i="38"/>
  <c r="AF66" i="38"/>
  <c r="AF85" i="38" s="1"/>
  <c r="AF67" i="38"/>
  <c r="AF65" i="38"/>
  <c r="AF62" i="38"/>
  <c r="AF186" i="38"/>
  <c r="AF185" i="38"/>
  <c r="AF184" i="38"/>
  <c r="AF66" i="20"/>
  <c r="AF68" i="20"/>
  <c r="AF70" i="20"/>
  <c r="AF69" i="20"/>
  <c r="AF67" i="20"/>
  <c r="AF62" i="28"/>
  <c r="H36" i="29"/>
  <c r="I43" i="16"/>
  <c r="K74" i="16"/>
  <c r="K34" i="16"/>
  <c r="K33" i="16"/>
  <c r="I43" i="15"/>
  <c r="J54" i="15"/>
  <c r="K33" i="15"/>
  <c r="K34" i="15"/>
  <c r="I60" i="16"/>
  <c r="H40" i="28"/>
  <c r="J40" i="16"/>
  <c r="I60" i="15"/>
  <c r="H40" i="29"/>
  <c r="J40" i="15"/>
  <c r="J35" i="16"/>
  <c r="J35" i="15"/>
  <c r="L32" i="15"/>
  <c r="F76" i="16"/>
  <c r="J54" i="16"/>
  <c r="I38" i="29"/>
  <c r="K74" i="15"/>
  <c r="H36" i="28"/>
  <c r="I38" i="28"/>
  <c r="L7" i="15"/>
  <c r="L32" i="16"/>
  <c r="J21" i="15"/>
  <c r="K25" i="15"/>
  <c r="J21" i="16"/>
  <c r="K17" i="16"/>
  <c r="K17" i="15"/>
  <c r="K8" i="16"/>
  <c r="K20" i="16"/>
  <c r="K8" i="15"/>
  <c r="H13" i="16"/>
  <c r="J9" i="15"/>
  <c r="M6" i="15"/>
  <c r="L7" i="16"/>
  <c r="M6" i="16"/>
  <c r="L23" i="16"/>
  <c r="M22" i="16"/>
  <c r="K20" i="15"/>
  <c r="M14" i="15"/>
  <c r="L19" i="15"/>
  <c r="L16" i="15"/>
  <c r="L18" i="15"/>
  <c r="L15" i="15"/>
  <c r="H13" i="15"/>
  <c r="K25" i="16"/>
  <c r="L18" i="16"/>
  <c r="L15" i="16"/>
  <c r="L19" i="16"/>
  <c r="L16" i="16"/>
  <c r="M14" i="16"/>
  <c r="M22" i="15"/>
  <c r="L23" i="15"/>
  <c r="AF3" i="12"/>
  <c r="E45" i="2"/>
  <c r="I52" i="2"/>
  <c r="I13" i="16" l="1"/>
  <c r="G76" i="16"/>
  <c r="J10" i="16"/>
  <c r="L41" i="16"/>
  <c r="BD8" i="51"/>
  <c r="AL8" i="51"/>
  <c r="AV8" i="51"/>
  <c r="AK8" i="51"/>
  <c r="AY8" i="51"/>
  <c r="I11" i="15"/>
  <c r="AU8" i="51"/>
  <c r="BC9" i="51"/>
  <c r="BM8" i="51"/>
  <c r="AU9" i="51"/>
  <c r="BA9" i="51"/>
  <c r="BH9" i="51"/>
  <c r="AW9" i="51"/>
  <c r="BD9" i="51"/>
  <c r="AP9" i="51"/>
  <c r="AV9" i="51"/>
  <c r="BE8" i="51"/>
  <c r="AM8" i="51"/>
  <c r="BB8" i="51"/>
  <c r="J10" i="15"/>
  <c r="BG8" i="51"/>
  <c r="G75" i="16"/>
  <c r="BF8" i="51"/>
  <c r="AS8" i="51"/>
  <c r="BC8" i="51"/>
  <c r="AQ9" i="51"/>
  <c r="BA8" i="51"/>
  <c r="AR9" i="51"/>
  <c r="BJ8" i="51"/>
  <c r="AX9" i="51"/>
  <c r="AK9" i="51"/>
  <c r="BI9" i="51"/>
  <c r="BK9" i="51"/>
  <c r="AR8" i="51"/>
  <c r="J11" i="16"/>
  <c r="K9" i="15"/>
  <c r="BB9" i="51"/>
  <c r="AZ9" i="51"/>
  <c r="AN8" i="51"/>
  <c r="BL8" i="51"/>
  <c r="M24" i="15"/>
  <c r="M24" i="16"/>
  <c r="BI8" i="51"/>
  <c r="AQ8" i="51"/>
  <c r="AL9" i="51"/>
  <c r="BN8" i="51"/>
  <c r="AX8" i="51"/>
  <c r="AY9" i="51"/>
  <c r="AS9" i="51"/>
  <c r="BK8" i="51"/>
  <c r="AZ8" i="51"/>
  <c r="I39" i="16"/>
  <c r="AT8" i="51"/>
  <c r="G42" i="15"/>
  <c r="K9" i="16"/>
  <c r="L41" i="15"/>
  <c r="AT9" i="51"/>
  <c r="AO9" i="51"/>
  <c r="BL9" i="51"/>
  <c r="AN9" i="51"/>
  <c r="BF9" i="51"/>
  <c r="AP8" i="51"/>
  <c r="BJ9" i="51"/>
  <c r="F75" i="16"/>
  <c r="F75" i="15"/>
  <c r="F76" i="15"/>
  <c r="BH8" i="51"/>
  <c r="G47" i="15"/>
  <c r="F37" i="28"/>
  <c r="BG9" i="51"/>
  <c r="AM9" i="51"/>
  <c r="BM9" i="51"/>
  <c r="BE9" i="51"/>
  <c r="AW8" i="51"/>
  <c r="AO8" i="51"/>
  <c r="H39" i="16"/>
  <c r="H39" i="15"/>
  <c r="BN9" i="51"/>
  <c r="AF88" i="38"/>
  <c r="AF86" i="38"/>
  <c r="AF87" i="38"/>
  <c r="AF89" i="42"/>
  <c r="AF86" i="42"/>
  <c r="AF90" i="42" s="1"/>
  <c r="AF87" i="42"/>
  <c r="AF91" i="42" s="1"/>
  <c r="AF88" i="42"/>
  <c r="AF92" i="42" s="1"/>
  <c r="AF186" i="42"/>
  <c r="AF184" i="42"/>
  <c r="AF63" i="42"/>
  <c r="AF63" i="38"/>
  <c r="L34" i="16"/>
  <c r="L33" i="16"/>
  <c r="K54" i="15"/>
  <c r="L34" i="15"/>
  <c r="L33" i="15"/>
  <c r="J43" i="15"/>
  <c r="I40" i="29"/>
  <c r="J60" i="15"/>
  <c r="K40" i="15"/>
  <c r="K40" i="16"/>
  <c r="K35" i="16"/>
  <c r="J60" i="16"/>
  <c r="K35" i="15"/>
  <c r="I40" i="28"/>
  <c r="H47" i="16"/>
  <c r="G37" i="29"/>
  <c r="K54" i="16"/>
  <c r="J38" i="29"/>
  <c r="I47" i="16"/>
  <c r="H37" i="29"/>
  <c r="L74" i="16"/>
  <c r="L74" i="15"/>
  <c r="M32" i="15"/>
  <c r="J43" i="16"/>
  <c r="I36" i="29"/>
  <c r="H47" i="15"/>
  <c r="J38" i="28"/>
  <c r="H42" i="15"/>
  <c r="I36" i="28"/>
  <c r="G37" i="28"/>
  <c r="M7" i="15"/>
  <c r="M32" i="16"/>
  <c r="K21" i="16"/>
  <c r="F45" i="2"/>
  <c r="E50" i="2"/>
  <c r="D50" i="2" s="1"/>
  <c r="E48" i="2"/>
  <c r="D48" i="2" s="1"/>
  <c r="E47" i="2"/>
  <c r="E51" i="2"/>
  <c r="D51" i="2" s="1"/>
  <c r="L25" i="16"/>
  <c r="L8" i="15"/>
  <c r="L20" i="16"/>
  <c r="L25" i="15"/>
  <c r="L17" i="15"/>
  <c r="M18" i="16"/>
  <c r="M15" i="16"/>
  <c r="M16" i="16"/>
  <c r="M19" i="16"/>
  <c r="N14" i="16"/>
  <c r="M7" i="16"/>
  <c r="N6" i="16"/>
  <c r="J13" i="16"/>
  <c r="N14" i="15"/>
  <c r="M18" i="15"/>
  <c r="M16" i="15"/>
  <c r="M19" i="15"/>
  <c r="M15" i="15"/>
  <c r="N22" i="15"/>
  <c r="M23" i="15"/>
  <c r="L20" i="15"/>
  <c r="K21" i="15"/>
  <c r="L8" i="16"/>
  <c r="N6" i="15"/>
  <c r="L17" i="16"/>
  <c r="M23" i="16"/>
  <c r="N22" i="16"/>
  <c r="AG3" i="12"/>
  <c r="K10" i="16" l="1"/>
  <c r="N24" i="15"/>
  <c r="M41" i="16"/>
  <c r="H42" i="16"/>
  <c r="L9" i="15"/>
  <c r="K10" i="15"/>
  <c r="J11" i="15"/>
  <c r="M41" i="15"/>
  <c r="G75" i="15"/>
  <c r="G76" i="15"/>
  <c r="I42" i="16"/>
  <c r="J39" i="16"/>
  <c r="I39" i="15"/>
  <c r="I13" i="15"/>
  <c r="N24" i="16"/>
  <c r="J40" i="29"/>
  <c r="M74" i="16"/>
  <c r="M33" i="16"/>
  <c r="M34" i="16"/>
  <c r="M34" i="15"/>
  <c r="M33" i="15"/>
  <c r="L54" i="15"/>
  <c r="K43" i="15"/>
  <c r="K60" i="16"/>
  <c r="K60" i="15"/>
  <c r="L40" i="15"/>
  <c r="L35" i="16"/>
  <c r="L40" i="16"/>
  <c r="J40" i="28"/>
  <c r="K43" i="16"/>
  <c r="J36" i="29"/>
  <c r="M74" i="15"/>
  <c r="J47" i="16"/>
  <c r="I37" i="29"/>
  <c r="L54" i="16"/>
  <c r="K38" i="29"/>
  <c r="N32" i="15"/>
  <c r="L35" i="15"/>
  <c r="H75" i="15"/>
  <c r="H76" i="15"/>
  <c r="K38" i="28"/>
  <c r="J36" i="28"/>
  <c r="N7" i="15"/>
  <c r="N32" i="16"/>
  <c r="M25" i="15"/>
  <c r="F48" i="2"/>
  <c r="F47" i="2"/>
  <c r="F50" i="2"/>
  <c r="D47" i="2"/>
  <c r="F51" i="2"/>
  <c r="L21" i="16"/>
  <c r="M8" i="15"/>
  <c r="M25" i="16"/>
  <c r="M20" i="15"/>
  <c r="L9" i="16"/>
  <c r="O6" i="16"/>
  <c r="N7" i="16"/>
  <c r="N23" i="16"/>
  <c r="O22" i="16"/>
  <c r="O6" i="15"/>
  <c r="M17" i="15"/>
  <c r="O14" i="15"/>
  <c r="N18" i="15"/>
  <c r="N19" i="15"/>
  <c r="N16" i="15"/>
  <c r="N15" i="15"/>
  <c r="M17" i="16"/>
  <c r="L21" i="15"/>
  <c r="O22" i="15"/>
  <c r="N23" i="15"/>
  <c r="M8" i="16"/>
  <c r="N19" i="16"/>
  <c r="N16" i="16"/>
  <c r="N15" i="16"/>
  <c r="N18" i="16"/>
  <c r="O14" i="16"/>
  <c r="M20" i="16"/>
  <c r="AH3" i="12"/>
  <c r="L10" i="15" l="1"/>
  <c r="K11" i="16"/>
  <c r="I76" i="16"/>
  <c r="H76" i="16"/>
  <c r="O24" i="16"/>
  <c r="K11" i="15"/>
  <c r="N41" i="16"/>
  <c r="J42" i="16"/>
  <c r="H75" i="16"/>
  <c r="N41" i="15"/>
  <c r="I75" i="16"/>
  <c r="J39" i="15"/>
  <c r="J13" i="15"/>
  <c r="O24" i="15"/>
  <c r="H37" i="28"/>
  <c r="I47" i="15"/>
  <c r="L11" i="15"/>
  <c r="M9" i="15"/>
  <c r="I42" i="15"/>
  <c r="K39" i="16"/>
  <c r="N33" i="15"/>
  <c r="N34" i="15"/>
  <c r="L43" i="15"/>
  <c r="M54" i="15"/>
  <c r="N33" i="16"/>
  <c r="N34" i="16"/>
  <c r="K40" i="29"/>
  <c r="L60" i="16"/>
  <c r="M35" i="16"/>
  <c r="M40" i="16"/>
  <c r="M35" i="15"/>
  <c r="M40" i="15"/>
  <c r="O32" i="15"/>
  <c r="L60" i="15"/>
  <c r="K40" i="28"/>
  <c r="M54" i="16"/>
  <c r="L38" i="29"/>
  <c r="J76" i="16"/>
  <c r="L43" i="16"/>
  <c r="K36" i="29"/>
  <c r="N74" i="15"/>
  <c r="N74" i="16"/>
  <c r="O7" i="15"/>
  <c r="L38" i="28"/>
  <c r="K36" i="28"/>
  <c r="O32" i="16"/>
  <c r="M21" i="15"/>
  <c r="N8" i="15"/>
  <c r="N25" i="15"/>
  <c r="N17" i="15"/>
  <c r="L13" i="15"/>
  <c r="O19" i="16"/>
  <c r="O16" i="16"/>
  <c r="O18" i="16"/>
  <c r="O15" i="16"/>
  <c r="P14" i="16"/>
  <c r="N20" i="15"/>
  <c r="O23" i="16"/>
  <c r="P22" i="16"/>
  <c r="O7" i="16"/>
  <c r="P6" i="16"/>
  <c r="N20" i="16"/>
  <c r="M9" i="16"/>
  <c r="P22" i="15"/>
  <c r="O23" i="15"/>
  <c r="M21" i="16"/>
  <c r="P14" i="15"/>
  <c r="O19" i="15"/>
  <c r="O16" i="15"/>
  <c r="O18" i="15"/>
  <c r="O15" i="15"/>
  <c r="P6" i="15"/>
  <c r="N25" i="16"/>
  <c r="M10" i="15"/>
  <c r="N17" i="16"/>
  <c r="N8" i="16"/>
  <c r="L10" i="16"/>
  <c r="K13" i="16" l="1"/>
  <c r="I76" i="15"/>
  <c r="I75" i="15"/>
  <c r="I37" i="28"/>
  <c r="J47" i="15"/>
  <c r="J42" i="15"/>
  <c r="P24" i="15"/>
  <c r="N9" i="15"/>
  <c r="L39" i="15"/>
  <c r="K39" i="15"/>
  <c r="K13" i="15"/>
  <c r="M11" i="15"/>
  <c r="L11" i="16"/>
  <c r="O41" i="16"/>
  <c r="J75" i="16"/>
  <c r="P24" i="16"/>
  <c r="O41" i="15"/>
  <c r="K42" i="16"/>
  <c r="O34" i="16"/>
  <c r="O33" i="16"/>
  <c r="O33" i="15"/>
  <c r="O34" i="15"/>
  <c r="N54" i="15"/>
  <c r="M43" i="15"/>
  <c r="M60" i="16"/>
  <c r="M60" i="15"/>
  <c r="N40" i="15"/>
  <c r="N40" i="16"/>
  <c r="N35" i="16"/>
  <c r="L40" i="29"/>
  <c r="L40" i="28"/>
  <c r="N35" i="15"/>
  <c r="N54" i="16"/>
  <c r="M38" i="29"/>
  <c r="M43" i="16"/>
  <c r="L36" i="29"/>
  <c r="O74" i="16"/>
  <c r="P32" i="15"/>
  <c r="O74" i="15"/>
  <c r="L47" i="15"/>
  <c r="M38" i="28"/>
  <c r="P7" i="15"/>
  <c r="K37" i="28"/>
  <c r="L36" i="28"/>
  <c r="P32" i="16"/>
  <c r="O8" i="15"/>
  <c r="O25" i="16"/>
  <c r="O20" i="15"/>
  <c r="O25" i="15"/>
  <c r="O8" i="16"/>
  <c r="O17" i="15"/>
  <c r="Q14" i="15"/>
  <c r="P19" i="15"/>
  <c r="P16" i="15"/>
  <c r="P15" i="15"/>
  <c r="P18" i="15"/>
  <c r="N21" i="16"/>
  <c r="P23" i="16"/>
  <c r="Q22" i="16"/>
  <c r="N21" i="15"/>
  <c r="M13" i="15"/>
  <c r="Q6" i="15"/>
  <c r="Q22" i="15"/>
  <c r="P23" i="15"/>
  <c r="P18" i="16"/>
  <c r="P15" i="16"/>
  <c r="P16" i="16"/>
  <c r="P19" i="16"/>
  <c r="Q14" i="16"/>
  <c r="N10" i="15"/>
  <c r="Q6" i="16"/>
  <c r="P7" i="16"/>
  <c r="O17" i="16"/>
  <c r="N9" i="16"/>
  <c r="M10" i="16"/>
  <c r="O20" i="16"/>
  <c r="L42" i="15" l="1"/>
  <c r="K47" i="16"/>
  <c r="J37" i="29"/>
  <c r="L13" i="16"/>
  <c r="L39" i="16"/>
  <c r="Q24" i="16"/>
  <c r="J75" i="15"/>
  <c r="J76" i="15"/>
  <c r="O9" i="16"/>
  <c r="M39" i="15"/>
  <c r="K47" i="15"/>
  <c r="J37" i="28"/>
  <c r="M11" i="16"/>
  <c r="P41" i="16"/>
  <c r="P41" i="15"/>
  <c r="K42" i="15"/>
  <c r="O9" i="15"/>
  <c r="Q24" i="15"/>
  <c r="K75" i="16"/>
  <c r="N11" i="15"/>
  <c r="N43" i="15"/>
  <c r="O54" i="15"/>
  <c r="P34" i="16"/>
  <c r="P33" i="16"/>
  <c r="P34" i="15"/>
  <c r="P33" i="15"/>
  <c r="N60" i="16"/>
  <c r="N60" i="15"/>
  <c r="M40" i="29"/>
  <c r="O40" i="15"/>
  <c r="M40" i="28"/>
  <c r="O35" i="16"/>
  <c r="O40" i="16"/>
  <c r="L47" i="16"/>
  <c r="K37" i="29"/>
  <c r="N43" i="16"/>
  <c r="M36" i="29"/>
  <c r="O35" i="15"/>
  <c r="Q32" i="15"/>
  <c r="O54" i="16"/>
  <c r="N38" i="29"/>
  <c r="P74" i="15"/>
  <c r="P74" i="16"/>
  <c r="M47" i="15"/>
  <c r="L75" i="15"/>
  <c r="L76" i="15"/>
  <c r="Q7" i="15"/>
  <c r="L37" i="28"/>
  <c r="M36" i="28"/>
  <c r="N38" i="28"/>
  <c r="Q32" i="16"/>
  <c r="P25" i="15"/>
  <c r="P17" i="15"/>
  <c r="O21" i="15"/>
  <c r="P20" i="15"/>
  <c r="O21" i="16"/>
  <c r="P8" i="16"/>
  <c r="P20" i="16"/>
  <c r="P25" i="16"/>
  <c r="N13" i="15"/>
  <c r="O10" i="16"/>
  <c r="R22" i="15"/>
  <c r="Q23" i="15"/>
  <c r="R14" i="15"/>
  <c r="Q18" i="15"/>
  <c r="Q15" i="15"/>
  <c r="Q19" i="15"/>
  <c r="Q16" i="15"/>
  <c r="P17" i="16"/>
  <c r="N10" i="16"/>
  <c r="Q7" i="16"/>
  <c r="R6" i="16"/>
  <c r="Q18" i="16"/>
  <c r="Q15" i="16"/>
  <c r="Q19" i="16"/>
  <c r="Q16" i="16"/>
  <c r="R14" i="16"/>
  <c r="R6" i="15"/>
  <c r="Q23" i="16"/>
  <c r="R22" i="16"/>
  <c r="P8" i="15"/>
  <c r="M42" i="15" l="1"/>
  <c r="K76" i="16"/>
  <c r="M13" i="16"/>
  <c r="Q41" i="16"/>
  <c r="N11" i="16"/>
  <c r="R24" i="15"/>
  <c r="M39" i="16"/>
  <c r="N39" i="15"/>
  <c r="K76" i="15"/>
  <c r="K75" i="15"/>
  <c r="O10" i="15"/>
  <c r="Q41" i="15"/>
  <c r="R24" i="16"/>
  <c r="O11" i="16"/>
  <c r="P9" i="16"/>
  <c r="L42" i="16"/>
  <c r="O43" i="15"/>
  <c r="P54" i="15"/>
  <c r="Q34" i="15"/>
  <c r="Q33" i="15"/>
  <c r="Q33" i="16"/>
  <c r="Q34" i="16"/>
  <c r="O60" i="16"/>
  <c r="N40" i="29"/>
  <c r="P35" i="16"/>
  <c r="P40" i="16"/>
  <c r="P40" i="15"/>
  <c r="P35" i="15"/>
  <c r="R32" i="15"/>
  <c r="M47" i="16"/>
  <c r="L37" i="29"/>
  <c r="O43" i="16"/>
  <c r="N36" i="29"/>
  <c r="Q74" i="15"/>
  <c r="O60" i="15"/>
  <c r="N40" i="28"/>
  <c r="P54" i="16"/>
  <c r="O38" i="29"/>
  <c r="Q74" i="16"/>
  <c r="L76" i="16"/>
  <c r="N47" i="15"/>
  <c r="M75" i="15"/>
  <c r="M76" i="15"/>
  <c r="R7" i="15"/>
  <c r="O38" i="28"/>
  <c r="M37" i="28"/>
  <c r="N36" i="28"/>
  <c r="R32" i="16"/>
  <c r="P21" i="16"/>
  <c r="Q25" i="15"/>
  <c r="Q17" i="15"/>
  <c r="Q25" i="16"/>
  <c r="Q17" i="16"/>
  <c r="P21" i="15"/>
  <c r="S6" i="16"/>
  <c r="R7" i="16"/>
  <c r="O13" i="16"/>
  <c r="P9" i="15"/>
  <c r="R19" i="16"/>
  <c r="R16" i="16"/>
  <c r="R18" i="16"/>
  <c r="R15" i="16"/>
  <c r="S14" i="16"/>
  <c r="Q20" i="16"/>
  <c r="N13" i="16"/>
  <c r="Q20" i="15"/>
  <c r="R23" i="16"/>
  <c r="S22" i="16"/>
  <c r="S6" i="15"/>
  <c r="Q8" i="15"/>
  <c r="Q8" i="16"/>
  <c r="S14" i="15"/>
  <c r="R18" i="15"/>
  <c r="R16" i="15"/>
  <c r="R19" i="15"/>
  <c r="R15" i="15"/>
  <c r="S22" i="15"/>
  <c r="R23" i="15"/>
  <c r="P10" i="16" l="1"/>
  <c r="N42" i="15"/>
  <c r="R41" i="16"/>
  <c r="N39" i="16"/>
  <c r="O39" i="16"/>
  <c r="R41" i="15"/>
  <c r="P11" i="16"/>
  <c r="S24" i="16"/>
  <c r="M42" i="16"/>
  <c r="S24" i="15"/>
  <c r="L75" i="16"/>
  <c r="O11" i="15"/>
  <c r="Q54" i="15"/>
  <c r="P43" i="15"/>
  <c r="R33" i="15"/>
  <c r="R34" i="15"/>
  <c r="R74" i="16"/>
  <c r="R33" i="16"/>
  <c r="R34" i="16"/>
  <c r="O40" i="29"/>
  <c r="P60" i="15"/>
  <c r="Q40" i="15"/>
  <c r="Q40" i="16"/>
  <c r="Q35" i="16"/>
  <c r="P60" i="16"/>
  <c r="O40" i="28"/>
  <c r="Q35" i="15"/>
  <c r="S32" i="15"/>
  <c r="P43" i="16"/>
  <c r="O36" i="29"/>
  <c r="N47" i="16"/>
  <c r="M37" i="29"/>
  <c r="O47" i="16"/>
  <c r="N37" i="29"/>
  <c r="R74" i="15"/>
  <c r="Q54" i="16"/>
  <c r="P38" i="29"/>
  <c r="N75" i="15"/>
  <c r="N76" i="15"/>
  <c r="S7" i="15"/>
  <c r="O36" i="28"/>
  <c r="P38" i="28"/>
  <c r="S32" i="16"/>
  <c r="R25" i="15"/>
  <c r="R8" i="16"/>
  <c r="R20" i="15"/>
  <c r="Q21" i="16"/>
  <c r="R25" i="16"/>
  <c r="R20" i="16"/>
  <c r="R17" i="16"/>
  <c r="P13" i="16"/>
  <c r="T22" i="15"/>
  <c r="S23" i="15"/>
  <c r="Q9" i="15"/>
  <c r="T6" i="15"/>
  <c r="P10" i="15"/>
  <c r="R17" i="15"/>
  <c r="T6" i="16"/>
  <c r="S7" i="16"/>
  <c r="T14" i="15"/>
  <c r="S19" i="15"/>
  <c r="S16" i="15"/>
  <c r="S15" i="15"/>
  <c r="S18" i="15"/>
  <c r="Q9" i="16"/>
  <c r="R8" i="15"/>
  <c r="S23" i="16"/>
  <c r="T22" i="16"/>
  <c r="S19" i="16"/>
  <c r="S16" i="16"/>
  <c r="S15" i="16"/>
  <c r="S18" i="16"/>
  <c r="T14" i="16"/>
  <c r="Q21" i="15"/>
  <c r="M76" i="16" l="1"/>
  <c r="M75" i="16"/>
  <c r="P11" i="15"/>
  <c r="S41" i="15"/>
  <c r="N42" i="16"/>
  <c r="R9" i="16"/>
  <c r="T24" i="16"/>
  <c r="T24" i="15"/>
  <c r="O13" i="15"/>
  <c r="O39" i="15"/>
  <c r="S41" i="16"/>
  <c r="P39" i="16"/>
  <c r="O42" i="16"/>
  <c r="R54" i="15"/>
  <c r="S34" i="16"/>
  <c r="S33" i="16"/>
  <c r="Q43" i="15"/>
  <c r="S33" i="15"/>
  <c r="S34" i="15"/>
  <c r="P40" i="29"/>
  <c r="P40" i="28"/>
  <c r="Q60" i="16"/>
  <c r="R35" i="16"/>
  <c r="R40" i="15"/>
  <c r="R40" i="16"/>
  <c r="Q60" i="15"/>
  <c r="R35" i="15"/>
  <c r="O76" i="16"/>
  <c r="S74" i="15"/>
  <c r="T32" i="15"/>
  <c r="R54" i="16"/>
  <c r="Q38" i="29"/>
  <c r="S74" i="16"/>
  <c r="P47" i="16"/>
  <c r="O37" i="29"/>
  <c r="Q43" i="16"/>
  <c r="P36" i="29"/>
  <c r="T7" i="15"/>
  <c r="Q38" i="28"/>
  <c r="P36" i="28"/>
  <c r="T32" i="16"/>
  <c r="S25" i="16"/>
  <c r="R21" i="16"/>
  <c r="S20" i="16"/>
  <c r="S17" i="16"/>
  <c r="R21" i="15"/>
  <c r="S20" i="15"/>
  <c r="S17" i="15"/>
  <c r="S8" i="15"/>
  <c r="S25" i="15"/>
  <c r="P13" i="15"/>
  <c r="R9" i="15"/>
  <c r="Q10" i="15"/>
  <c r="Q10" i="16"/>
  <c r="U14" i="15"/>
  <c r="T19" i="15"/>
  <c r="T16" i="15"/>
  <c r="T18" i="15"/>
  <c r="T15" i="15"/>
  <c r="T23" i="16"/>
  <c r="U22" i="16"/>
  <c r="U6" i="16"/>
  <c r="T7" i="16"/>
  <c r="U22" i="15"/>
  <c r="T23" i="15"/>
  <c r="T18" i="16"/>
  <c r="T15" i="16"/>
  <c r="T19" i="16"/>
  <c r="T16" i="16"/>
  <c r="U14" i="16"/>
  <c r="S8" i="16"/>
  <c r="U6" i="15"/>
  <c r="N76" i="16" l="1"/>
  <c r="S9" i="15"/>
  <c r="O75" i="16"/>
  <c r="T41" i="16"/>
  <c r="U24" i="15"/>
  <c r="R10" i="16"/>
  <c r="O42" i="15"/>
  <c r="P39" i="15"/>
  <c r="U24" i="16"/>
  <c r="Q11" i="16"/>
  <c r="T41" i="15"/>
  <c r="N37" i="28"/>
  <c r="O47" i="15"/>
  <c r="Q11" i="15"/>
  <c r="P42" i="16"/>
  <c r="N75" i="16"/>
  <c r="T34" i="15"/>
  <c r="T33" i="15"/>
  <c r="R43" i="15"/>
  <c r="S54" i="15"/>
  <c r="T34" i="16"/>
  <c r="T33" i="16"/>
  <c r="Q40" i="29"/>
  <c r="Q40" i="28"/>
  <c r="R60" i="16"/>
  <c r="S40" i="16"/>
  <c r="S35" i="15"/>
  <c r="R60" i="15"/>
  <c r="S35" i="16"/>
  <c r="S40" i="15"/>
  <c r="R43" i="16"/>
  <c r="Q36" i="29"/>
  <c r="P76" i="16"/>
  <c r="S54" i="16"/>
  <c r="R38" i="29"/>
  <c r="U32" i="15"/>
  <c r="T74" i="15"/>
  <c r="T74" i="16"/>
  <c r="P47" i="15"/>
  <c r="U7" i="15"/>
  <c r="O37" i="28"/>
  <c r="R38" i="28"/>
  <c r="Q36" i="28"/>
  <c r="U32" i="16"/>
  <c r="T20" i="16"/>
  <c r="T25" i="15"/>
  <c r="S21" i="15"/>
  <c r="S21" i="16"/>
  <c r="T17" i="15"/>
  <c r="T8" i="15"/>
  <c r="T17" i="16"/>
  <c r="T25" i="16"/>
  <c r="T8" i="16"/>
  <c r="U23" i="16"/>
  <c r="V22" i="16"/>
  <c r="Q13" i="16"/>
  <c r="U18" i="16"/>
  <c r="U15" i="16"/>
  <c r="U16" i="16"/>
  <c r="U19" i="16"/>
  <c r="V14" i="16"/>
  <c r="V22" i="15"/>
  <c r="U23" i="15"/>
  <c r="V14" i="15"/>
  <c r="U18" i="15"/>
  <c r="U15" i="15"/>
  <c r="U16" i="15"/>
  <c r="U19" i="15"/>
  <c r="V6" i="15"/>
  <c r="T20" i="15"/>
  <c r="Q13" i="15"/>
  <c r="R10" i="15"/>
  <c r="S9" i="16"/>
  <c r="U7" i="16"/>
  <c r="V6" i="16"/>
  <c r="P42" i="15" l="1"/>
  <c r="Q39" i="15"/>
  <c r="U41" i="16"/>
  <c r="R11" i="15"/>
  <c r="T9" i="15"/>
  <c r="O75" i="15"/>
  <c r="O76" i="15"/>
  <c r="R11" i="16"/>
  <c r="V24" i="16"/>
  <c r="V24" i="15"/>
  <c r="U41" i="15"/>
  <c r="P75" i="16"/>
  <c r="Q39" i="16"/>
  <c r="S10" i="15"/>
  <c r="T9" i="16"/>
  <c r="U74" i="15"/>
  <c r="U34" i="15"/>
  <c r="U33" i="15"/>
  <c r="T54" i="15"/>
  <c r="S43" i="15"/>
  <c r="U74" i="16"/>
  <c r="U33" i="16"/>
  <c r="U34" i="16"/>
  <c r="R40" i="29"/>
  <c r="S60" i="15"/>
  <c r="T40" i="16"/>
  <c r="T40" i="15"/>
  <c r="R40" i="28"/>
  <c r="S60" i="16"/>
  <c r="T35" i="16"/>
  <c r="T21" i="16"/>
  <c r="Q47" i="16"/>
  <c r="P37" i="29"/>
  <c r="T54" i="16"/>
  <c r="S38" i="29"/>
  <c r="S43" i="16"/>
  <c r="R36" i="29"/>
  <c r="V32" i="15"/>
  <c r="T35" i="15"/>
  <c r="V32" i="16"/>
  <c r="Q47" i="15"/>
  <c r="P75" i="15"/>
  <c r="P76" i="15"/>
  <c r="P37" i="28"/>
  <c r="S38" i="28"/>
  <c r="R36" i="28"/>
  <c r="V7" i="15"/>
  <c r="Q42" i="15"/>
  <c r="U20" i="16"/>
  <c r="U25" i="15"/>
  <c r="U20" i="15"/>
  <c r="U8" i="16"/>
  <c r="U25" i="16"/>
  <c r="V7" i="16"/>
  <c r="W6" i="16"/>
  <c r="S10" i="16"/>
  <c r="W6" i="15"/>
  <c r="T10" i="16"/>
  <c r="W22" i="15"/>
  <c r="V23" i="15"/>
  <c r="V23" i="16"/>
  <c r="W22" i="16"/>
  <c r="T21" i="15"/>
  <c r="U17" i="15"/>
  <c r="U17" i="16"/>
  <c r="V19" i="16"/>
  <c r="V16" i="16"/>
  <c r="V15" i="16"/>
  <c r="V18" i="16"/>
  <c r="W14" i="16"/>
  <c r="U8" i="15"/>
  <c r="W14" i="15"/>
  <c r="V18" i="15"/>
  <c r="V19" i="15"/>
  <c r="V15" i="15"/>
  <c r="V16" i="15"/>
  <c r="R39" i="15" l="1"/>
  <c r="U9" i="16"/>
  <c r="V41" i="15"/>
  <c r="R39" i="16"/>
  <c r="R13" i="16"/>
  <c r="W24" i="15"/>
  <c r="W24" i="16"/>
  <c r="T11" i="16"/>
  <c r="T10" i="15"/>
  <c r="S11" i="15"/>
  <c r="V41" i="16"/>
  <c r="S11" i="16"/>
  <c r="R13" i="15"/>
  <c r="Q42" i="16"/>
  <c r="U54" i="15"/>
  <c r="V33" i="15"/>
  <c r="V34" i="15"/>
  <c r="T43" i="15"/>
  <c r="V74" i="16"/>
  <c r="V33" i="16"/>
  <c r="V34" i="16"/>
  <c r="S36" i="29"/>
  <c r="S40" i="29"/>
  <c r="T60" i="16"/>
  <c r="U40" i="16"/>
  <c r="T43" i="16"/>
  <c r="U35" i="16"/>
  <c r="U35" i="15"/>
  <c r="U40" i="15"/>
  <c r="W32" i="15"/>
  <c r="U54" i="16"/>
  <c r="T38" i="29"/>
  <c r="T60" i="15"/>
  <c r="S40" i="28"/>
  <c r="V74" i="15"/>
  <c r="R47" i="15"/>
  <c r="Q75" i="15"/>
  <c r="Q76" i="15"/>
  <c r="R42" i="15"/>
  <c r="S36" i="28"/>
  <c r="W7" i="15"/>
  <c r="T38" i="28"/>
  <c r="W32" i="16"/>
  <c r="U21" i="16"/>
  <c r="U21" i="15"/>
  <c r="V8" i="15"/>
  <c r="V8" i="16"/>
  <c r="V25" i="15"/>
  <c r="V25" i="16"/>
  <c r="V17" i="16"/>
  <c r="S13" i="16"/>
  <c r="X14" i="15"/>
  <c r="W19" i="15"/>
  <c r="W16" i="15"/>
  <c r="W18" i="15"/>
  <c r="W15" i="15"/>
  <c r="W23" i="16"/>
  <c r="X22" i="16"/>
  <c r="V17" i="15"/>
  <c r="U9" i="15"/>
  <c r="X6" i="15"/>
  <c r="W19" i="16"/>
  <c r="W16" i="16"/>
  <c r="W18" i="16"/>
  <c r="W15" i="16"/>
  <c r="X14" i="16"/>
  <c r="U10" i="16"/>
  <c r="T13" i="16"/>
  <c r="W7" i="16"/>
  <c r="X6" i="16"/>
  <c r="X22" i="15"/>
  <c r="W23" i="15"/>
  <c r="V20" i="15"/>
  <c r="V20" i="16"/>
  <c r="Q76" i="16" l="1"/>
  <c r="Q37" i="28"/>
  <c r="W41" i="16"/>
  <c r="U10" i="15"/>
  <c r="U11" i="16"/>
  <c r="S13" i="15"/>
  <c r="S39" i="15"/>
  <c r="T39" i="16"/>
  <c r="R42" i="16"/>
  <c r="X24" i="16"/>
  <c r="S39" i="16"/>
  <c r="V9" i="15"/>
  <c r="R47" i="16"/>
  <c r="Q37" i="29"/>
  <c r="W41" i="15"/>
  <c r="Q75" i="16"/>
  <c r="T11" i="15"/>
  <c r="X24" i="15"/>
  <c r="V9" i="16"/>
  <c r="V54" i="15"/>
  <c r="U43" i="15"/>
  <c r="W34" i="16"/>
  <c r="W33" i="16"/>
  <c r="W33" i="15"/>
  <c r="W34" i="15"/>
  <c r="T40" i="29"/>
  <c r="T40" i="28"/>
  <c r="V40" i="16"/>
  <c r="U60" i="16"/>
  <c r="U60" i="15"/>
  <c r="V40" i="15"/>
  <c r="V35" i="15"/>
  <c r="V54" i="16"/>
  <c r="U38" i="29"/>
  <c r="X32" i="16"/>
  <c r="U43" i="16"/>
  <c r="T36" i="29"/>
  <c r="W74" i="15"/>
  <c r="S47" i="16"/>
  <c r="R37" i="29"/>
  <c r="V35" i="16"/>
  <c r="W74" i="16"/>
  <c r="T47" i="16"/>
  <c r="S37" i="29"/>
  <c r="X32" i="15"/>
  <c r="R75" i="15"/>
  <c r="R76" i="15"/>
  <c r="X7" i="15"/>
  <c r="U38" i="28"/>
  <c r="T36" i="28"/>
  <c r="V21" i="16"/>
  <c r="W25" i="16"/>
  <c r="W25" i="15"/>
  <c r="W20" i="16"/>
  <c r="W17" i="15"/>
  <c r="V21" i="15"/>
  <c r="Y22" i="15"/>
  <c r="X23" i="15"/>
  <c r="X23" i="16"/>
  <c r="Y22" i="16"/>
  <c r="Y6" i="15"/>
  <c r="X18" i="16"/>
  <c r="X15" i="16"/>
  <c r="X16" i="16"/>
  <c r="X19" i="16"/>
  <c r="Y14" i="16"/>
  <c r="W20" i="15"/>
  <c r="Y14" i="15"/>
  <c r="X19" i="15"/>
  <c r="X16" i="15"/>
  <c r="X15" i="15"/>
  <c r="X18" i="15"/>
  <c r="Y6" i="16"/>
  <c r="X7" i="16"/>
  <c r="W8" i="16"/>
  <c r="W17" i="16"/>
  <c r="W8" i="15"/>
  <c r="V10" i="15"/>
  <c r="V10" i="16" l="1"/>
  <c r="Y24" i="15"/>
  <c r="T42" i="16"/>
  <c r="U11" i="15"/>
  <c r="U39" i="16"/>
  <c r="X41" i="15"/>
  <c r="V11" i="15"/>
  <c r="U13" i="16"/>
  <c r="V11" i="16"/>
  <c r="Y24" i="16"/>
  <c r="T39" i="15"/>
  <c r="T13" i="15"/>
  <c r="S42" i="16"/>
  <c r="R75" i="16"/>
  <c r="R76" i="16"/>
  <c r="S42" i="15"/>
  <c r="X41" i="16"/>
  <c r="R37" i="28"/>
  <c r="S47" i="15"/>
  <c r="X74" i="16"/>
  <c r="X34" i="16"/>
  <c r="X33" i="16"/>
  <c r="V43" i="15"/>
  <c r="X74" i="15"/>
  <c r="X34" i="15"/>
  <c r="X33" i="15"/>
  <c r="W54" i="15"/>
  <c r="V60" i="15"/>
  <c r="W35" i="16"/>
  <c r="U40" i="28"/>
  <c r="W40" i="15"/>
  <c r="W40" i="16"/>
  <c r="Y32" i="16"/>
  <c r="U40" i="29"/>
  <c r="V60" i="16"/>
  <c r="Y32" i="15"/>
  <c r="V43" i="16"/>
  <c r="U36" i="29"/>
  <c r="W35" i="15"/>
  <c r="W54" i="16"/>
  <c r="V38" i="29"/>
  <c r="Y7" i="15"/>
  <c r="U36" i="28"/>
  <c r="V38" i="28"/>
  <c r="W21" i="16"/>
  <c r="X25" i="16"/>
  <c r="X25" i="15"/>
  <c r="X20" i="16"/>
  <c r="X17" i="15"/>
  <c r="X8" i="15"/>
  <c r="Y18" i="16"/>
  <c r="Y15" i="16"/>
  <c r="Y19" i="16"/>
  <c r="Y16" i="16"/>
  <c r="Z14" i="16"/>
  <c r="Y23" i="16"/>
  <c r="Z22" i="16"/>
  <c r="V13" i="15"/>
  <c r="W9" i="16"/>
  <c r="W21" i="15"/>
  <c r="Z6" i="15"/>
  <c r="W9" i="15"/>
  <c r="Z6" i="16"/>
  <c r="Y7" i="16"/>
  <c r="X8" i="16"/>
  <c r="X20" i="15"/>
  <c r="Z14" i="15"/>
  <c r="Y18" i="15"/>
  <c r="Y16" i="15"/>
  <c r="Y19" i="15"/>
  <c r="Y15" i="15"/>
  <c r="X17" i="16"/>
  <c r="Z22" i="15"/>
  <c r="Y23" i="15"/>
  <c r="V13" i="16" l="1"/>
  <c r="U47" i="16"/>
  <c r="S76" i="16"/>
  <c r="T76" i="16"/>
  <c r="T37" i="29"/>
  <c r="S75" i="15"/>
  <c r="S76" i="15"/>
  <c r="V39" i="15"/>
  <c r="U42" i="16"/>
  <c r="T75" i="16"/>
  <c r="S37" i="28"/>
  <c r="T47" i="15"/>
  <c r="Z24" i="15"/>
  <c r="X9" i="15"/>
  <c r="T42" i="15"/>
  <c r="W10" i="15"/>
  <c r="Y41" i="16"/>
  <c r="Z24" i="16"/>
  <c r="V39" i="16"/>
  <c r="S75" i="16"/>
  <c r="Y41" i="15"/>
  <c r="U39" i="15"/>
  <c r="U13" i="15"/>
  <c r="W43" i="15"/>
  <c r="Y74" i="15"/>
  <c r="Y34" i="15"/>
  <c r="Y33" i="15"/>
  <c r="X54" i="15"/>
  <c r="Y74" i="16"/>
  <c r="Y33" i="16"/>
  <c r="Y34" i="16"/>
  <c r="V40" i="29"/>
  <c r="W60" i="16"/>
  <c r="X40" i="15"/>
  <c r="X40" i="16"/>
  <c r="X35" i="16"/>
  <c r="X35" i="15"/>
  <c r="X54" i="16"/>
  <c r="W38" i="29"/>
  <c r="W60" i="15"/>
  <c r="V40" i="28"/>
  <c r="V47" i="16"/>
  <c r="U37" i="29"/>
  <c r="W43" i="16"/>
  <c r="V36" i="29"/>
  <c r="Z32" i="15"/>
  <c r="U76" i="16"/>
  <c r="V47" i="15"/>
  <c r="U37" i="28"/>
  <c r="V36" i="28"/>
  <c r="V42" i="15"/>
  <c r="W38" i="28"/>
  <c r="Z7" i="15"/>
  <c r="Z32" i="16"/>
  <c r="X21" i="16"/>
  <c r="Y25" i="15"/>
  <c r="Y17" i="15"/>
  <c r="Y20" i="15"/>
  <c r="X21" i="15"/>
  <c r="Y25" i="16"/>
  <c r="Y8" i="15"/>
  <c r="Y17" i="16"/>
  <c r="AA14" i="15"/>
  <c r="Z18" i="15"/>
  <c r="Z16" i="15"/>
  <c r="Z19" i="15"/>
  <c r="Z15" i="15"/>
  <c r="Z7" i="16"/>
  <c r="AA6" i="16"/>
  <c r="AA6" i="15"/>
  <c r="AA22" i="15"/>
  <c r="Z23" i="15"/>
  <c r="X9" i="16"/>
  <c r="Y8" i="16"/>
  <c r="W10" i="16"/>
  <c r="Z23" i="16"/>
  <c r="AA22" i="16"/>
  <c r="Z19" i="16"/>
  <c r="Z16" i="16"/>
  <c r="Z18" i="16"/>
  <c r="Z15" i="16"/>
  <c r="AA14" i="16"/>
  <c r="Y20" i="16"/>
  <c r="U47" i="15" l="1"/>
  <c r="T37" i="28"/>
  <c r="AA24" i="15"/>
  <c r="V42" i="16"/>
  <c r="X10" i="15"/>
  <c r="W11" i="15"/>
  <c r="U42" i="15"/>
  <c r="T76" i="15"/>
  <c r="T75" i="15"/>
  <c r="Y9" i="15"/>
  <c r="AA24" i="16"/>
  <c r="W11" i="16"/>
  <c r="Z41" i="16"/>
  <c r="Z41" i="15"/>
  <c r="U75" i="16"/>
  <c r="Z33" i="15"/>
  <c r="Z34" i="15"/>
  <c r="X43" i="15"/>
  <c r="Z33" i="16"/>
  <c r="Z34" i="16"/>
  <c r="Y54" i="15"/>
  <c r="W40" i="29"/>
  <c r="X60" i="15"/>
  <c r="X60" i="16"/>
  <c r="Y40" i="16"/>
  <c r="Y40" i="15"/>
  <c r="Y35" i="15"/>
  <c r="W40" i="28"/>
  <c r="Y35" i="16"/>
  <c r="Z74" i="16"/>
  <c r="Y54" i="16"/>
  <c r="X38" i="29"/>
  <c r="X43" i="16"/>
  <c r="W36" i="29"/>
  <c r="AA32" i="15"/>
  <c r="Z74" i="15"/>
  <c r="V75" i="15"/>
  <c r="V76" i="15"/>
  <c r="W36" i="28"/>
  <c r="X38" i="28"/>
  <c r="AA7" i="15"/>
  <c r="AA32" i="16"/>
  <c r="Y21" i="15"/>
  <c r="Z25" i="15"/>
  <c r="Z25" i="16"/>
  <c r="Z20" i="16"/>
  <c r="Z20" i="15"/>
  <c r="Z8" i="15"/>
  <c r="Z8" i="16"/>
  <c r="Z17" i="15"/>
  <c r="AB14" i="15"/>
  <c r="AA19" i="15"/>
  <c r="AA16" i="15"/>
  <c r="AA18" i="15"/>
  <c r="AA15" i="15"/>
  <c r="Y9" i="16"/>
  <c r="X10" i="16"/>
  <c r="AB22" i="15"/>
  <c r="AA23" i="15"/>
  <c r="AB6" i="15"/>
  <c r="AB6" i="16"/>
  <c r="AA7" i="16"/>
  <c r="Y21" i="16"/>
  <c r="AA19" i="16"/>
  <c r="AA16" i="16"/>
  <c r="AA15" i="16"/>
  <c r="AA18" i="16"/>
  <c r="AB14" i="16"/>
  <c r="Z17" i="16"/>
  <c r="AA23" i="16"/>
  <c r="AB22" i="16"/>
  <c r="V76" i="16" l="1"/>
  <c r="W13" i="16"/>
  <c r="AB24" i="15"/>
  <c r="U76" i="15"/>
  <c r="U75" i="15"/>
  <c r="X11" i="16"/>
  <c r="W39" i="15"/>
  <c r="W13" i="15"/>
  <c r="AB24" i="16"/>
  <c r="Z9" i="16"/>
  <c r="V75" i="16"/>
  <c r="AA41" i="16"/>
  <c r="Z9" i="15"/>
  <c r="AA41" i="15"/>
  <c r="W39" i="16"/>
  <c r="Y10" i="15"/>
  <c r="X11" i="15"/>
  <c r="AA34" i="16"/>
  <c r="AA33" i="16"/>
  <c r="Z54" i="15"/>
  <c r="Y43" i="15"/>
  <c r="AA33" i="15"/>
  <c r="AA34" i="15"/>
  <c r="Y60" i="16"/>
  <c r="Y60" i="15"/>
  <c r="Z40" i="15"/>
  <c r="Z40" i="16"/>
  <c r="Z35" i="16"/>
  <c r="X40" i="29"/>
  <c r="X40" i="28"/>
  <c r="Z35" i="15"/>
  <c r="AB32" i="16"/>
  <c r="Z54" i="16"/>
  <c r="Y38" i="29"/>
  <c r="AA74" i="16"/>
  <c r="W47" i="16"/>
  <c r="V37" i="29"/>
  <c r="AA74" i="15"/>
  <c r="Y43" i="16"/>
  <c r="X36" i="29"/>
  <c r="AB32" i="15"/>
  <c r="Y38" i="28"/>
  <c r="AB7" i="15"/>
  <c r="X36" i="28"/>
  <c r="AA17" i="16"/>
  <c r="AA8" i="16"/>
  <c r="AA25" i="15"/>
  <c r="Z21" i="16"/>
  <c r="AA25" i="16"/>
  <c r="AA8" i="15"/>
  <c r="Z21" i="15"/>
  <c r="AA20" i="16"/>
  <c r="AB7" i="16"/>
  <c r="AC6" i="16"/>
  <c r="AA17" i="15"/>
  <c r="AC14" i="15"/>
  <c r="AB19" i="15"/>
  <c r="AB16" i="15"/>
  <c r="AB18" i="15"/>
  <c r="AB15" i="15"/>
  <c r="AB18" i="16"/>
  <c r="AB15" i="16"/>
  <c r="AB19" i="16"/>
  <c r="AB16" i="16"/>
  <c r="AC14" i="16"/>
  <c r="Y10" i="16"/>
  <c r="AB23" i="16"/>
  <c r="AC22" i="16"/>
  <c r="AC6" i="15"/>
  <c r="AC22" i="15"/>
  <c r="AB23" i="15"/>
  <c r="AA20" i="15"/>
  <c r="Z10" i="16" l="1"/>
  <c r="X13" i="16"/>
  <c r="AB41" i="16"/>
  <c r="AA9" i="16"/>
  <c r="Y11" i="15"/>
  <c r="W42" i="16"/>
  <c r="Z11" i="16"/>
  <c r="W47" i="15"/>
  <c r="V37" i="28"/>
  <c r="AC24" i="16"/>
  <c r="AA9" i="15"/>
  <c r="AB41" i="15"/>
  <c r="Z10" i="15"/>
  <c r="X39" i="16"/>
  <c r="X39" i="15"/>
  <c r="X13" i="15"/>
  <c r="W42" i="15"/>
  <c r="Y11" i="16"/>
  <c r="AC24" i="15"/>
  <c r="Z43" i="15"/>
  <c r="AB34" i="15"/>
  <c r="AB33" i="15"/>
  <c r="AA54" i="15"/>
  <c r="AB74" i="16"/>
  <c r="AB34" i="16"/>
  <c r="AB33" i="16"/>
  <c r="Y40" i="29"/>
  <c r="Y40" i="28"/>
  <c r="Z60" i="16"/>
  <c r="AA35" i="16"/>
  <c r="AA40" i="15"/>
  <c r="AA40" i="16"/>
  <c r="Z60" i="15"/>
  <c r="AA35" i="15"/>
  <c r="AC32" i="15"/>
  <c r="AA54" i="16"/>
  <c r="Z38" i="29"/>
  <c r="AB74" i="15"/>
  <c r="X47" i="16"/>
  <c r="W37" i="29"/>
  <c r="Z43" i="16"/>
  <c r="Y36" i="29"/>
  <c r="AC7" i="15"/>
  <c r="Z38" i="28"/>
  <c r="Y36" i="28"/>
  <c r="AC32" i="16"/>
  <c r="AA21" i="16"/>
  <c r="AB25" i="15"/>
  <c r="AB8" i="15"/>
  <c r="AB8" i="16"/>
  <c r="AB17" i="15"/>
  <c r="AB25" i="16"/>
  <c r="AD22" i="15"/>
  <c r="AC23" i="15"/>
  <c r="AC23" i="16"/>
  <c r="AD22" i="16"/>
  <c r="AD14" i="15"/>
  <c r="AC18" i="15"/>
  <c r="AC19" i="15"/>
  <c r="AC16" i="15"/>
  <c r="AC15" i="15"/>
  <c r="AC7" i="16"/>
  <c r="AD6" i="16"/>
  <c r="AB17" i="16"/>
  <c r="AB20" i="15"/>
  <c r="AA21" i="15"/>
  <c r="AD6" i="15"/>
  <c r="Y13" i="16"/>
  <c r="AA10" i="16"/>
  <c r="AC18" i="16"/>
  <c r="AC15" i="16"/>
  <c r="AC16" i="16"/>
  <c r="AC19" i="16"/>
  <c r="AD14" i="16"/>
  <c r="AB20" i="16"/>
  <c r="Z13" i="16" l="1"/>
  <c r="AA10" i="15"/>
  <c r="W76" i="16"/>
  <c r="AB9" i="15"/>
  <c r="W75" i="15"/>
  <c r="W76" i="15"/>
  <c r="AA11" i="16"/>
  <c r="AC41" i="16"/>
  <c r="X42" i="16"/>
  <c r="AD24" i="16"/>
  <c r="X47" i="15"/>
  <c r="W37" i="28"/>
  <c r="Z11" i="15"/>
  <c r="AC41" i="15"/>
  <c r="AD24" i="15"/>
  <c r="Y39" i="16"/>
  <c r="X42" i="15"/>
  <c r="Z39" i="16"/>
  <c r="Y39" i="15"/>
  <c r="Y13" i="15"/>
  <c r="AB9" i="16"/>
  <c r="W75" i="16"/>
  <c r="AC74" i="16"/>
  <c r="AC33" i="16"/>
  <c r="AC34" i="16"/>
  <c r="AC34" i="15"/>
  <c r="AC33" i="15"/>
  <c r="AA43" i="15"/>
  <c r="AB54" i="15"/>
  <c r="AA60" i="16"/>
  <c r="Z40" i="28"/>
  <c r="Z40" i="29"/>
  <c r="AA60" i="15"/>
  <c r="AB35" i="15"/>
  <c r="AB40" i="15"/>
  <c r="AB40" i="16"/>
  <c r="AB35" i="16"/>
  <c r="Y47" i="16"/>
  <c r="X37" i="29"/>
  <c r="AB54" i="16"/>
  <c r="AA38" i="29"/>
  <c r="AC74" i="15"/>
  <c r="AD32" i="15"/>
  <c r="Z47" i="16"/>
  <c r="Y37" i="29"/>
  <c r="AA43" i="16"/>
  <c r="Z36" i="29"/>
  <c r="AD7" i="15"/>
  <c r="AA38" i="28"/>
  <c r="Z36" i="28"/>
  <c r="AD32" i="16"/>
  <c r="AC25" i="15"/>
  <c r="AB10" i="15"/>
  <c r="AC20" i="15"/>
  <c r="AC25" i="16"/>
  <c r="AC20" i="16"/>
  <c r="AB21" i="16"/>
  <c r="AC8" i="16"/>
  <c r="AD19" i="16"/>
  <c r="AD16" i="16"/>
  <c r="AD15" i="16"/>
  <c r="AD18" i="16"/>
  <c r="AE14" i="16"/>
  <c r="AC8" i="15"/>
  <c r="AB21" i="15"/>
  <c r="AD7" i="16"/>
  <c r="AE6" i="16"/>
  <c r="AD23" i="16"/>
  <c r="AE22" i="16"/>
  <c r="AC17" i="16"/>
  <c r="AE6" i="15"/>
  <c r="AC17" i="15"/>
  <c r="AE14" i="15"/>
  <c r="AD18" i="15"/>
  <c r="AD19" i="15"/>
  <c r="AD16" i="15"/>
  <c r="AD15" i="15"/>
  <c r="AE22" i="15"/>
  <c r="AD23" i="15"/>
  <c r="AB10" i="16"/>
  <c r="X76" i="16" l="1"/>
  <c r="AA11" i="15"/>
  <c r="AE24" i="15"/>
  <c r="AD41" i="15"/>
  <c r="X75" i="15"/>
  <c r="X76" i="15"/>
  <c r="Z13" i="15"/>
  <c r="Z39" i="15"/>
  <c r="AE24" i="16"/>
  <c r="AA39" i="15"/>
  <c r="AB11" i="16"/>
  <c r="AC9" i="16"/>
  <c r="Z42" i="16"/>
  <c r="Y47" i="15"/>
  <c r="X37" i="28"/>
  <c r="AB11" i="15"/>
  <c r="Y42" i="15"/>
  <c r="X75" i="16"/>
  <c r="AA39" i="16"/>
  <c r="AD41" i="16"/>
  <c r="AA13" i="16"/>
  <c r="Y42" i="16"/>
  <c r="AC54" i="15"/>
  <c r="AD74" i="16"/>
  <c r="AD33" i="16"/>
  <c r="AD34" i="16"/>
  <c r="AB43" i="15"/>
  <c r="AD74" i="15"/>
  <c r="AD33" i="15"/>
  <c r="AD34" i="15"/>
  <c r="AA40" i="29"/>
  <c r="AA40" i="28"/>
  <c r="AB60" i="15"/>
  <c r="AC40" i="16"/>
  <c r="AB60" i="16"/>
  <c r="AC35" i="16"/>
  <c r="AC40" i="15"/>
  <c r="Z76" i="16"/>
  <c r="AC35" i="15"/>
  <c r="AB43" i="16"/>
  <c r="AA36" i="29"/>
  <c r="AE32" i="15"/>
  <c r="AC54" i="16"/>
  <c r="AB38" i="29"/>
  <c r="AE7" i="15"/>
  <c r="AA36" i="28"/>
  <c r="AB38" i="28"/>
  <c r="AE32" i="16"/>
  <c r="AC21" i="15"/>
  <c r="AC21" i="16"/>
  <c r="AD17" i="15"/>
  <c r="AD25" i="16"/>
  <c r="AD25" i="15"/>
  <c r="AD20" i="15"/>
  <c r="AD8" i="16"/>
  <c r="AF14" i="15"/>
  <c r="AE19" i="15"/>
  <c r="AE16" i="15"/>
  <c r="AE15" i="15"/>
  <c r="AE18" i="15"/>
  <c r="AE23" i="16"/>
  <c r="AF22" i="16"/>
  <c r="AF6" i="16"/>
  <c r="AE7" i="16"/>
  <c r="AE19" i="16"/>
  <c r="AE16" i="16"/>
  <c r="AE18" i="16"/>
  <c r="AE15" i="16"/>
  <c r="AF14" i="16"/>
  <c r="AF22" i="15"/>
  <c r="AE23" i="15"/>
  <c r="AF6" i="15"/>
  <c r="AD20" i="16"/>
  <c r="AD8" i="15"/>
  <c r="AC9" i="15"/>
  <c r="AC10" i="16"/>
  <c r="AD17" i="16"/>
  <c r="Z37" i="29" l="1"/>
  <c r="AB13" i="15"/>
  <c r="AB13" i="16"/>
  <c r="AA13" i="15"/>
  <c r="AA42" i="15"/>
  <c r="AB39" i="15"/>
  <c r="AA47" i="16"/>
  <c r="AC11" i="16"/>
  <c r="AE41" i="15"/>
  <c r="Y75" i="16"/>
  <c r="AA42" i="16"/>
  <c r="AB39" i="16"/>
  <c r="AE41" i="16"/>
  <c r="Z75" i="16"/>
  <c r="Z42" i="15"/>
  <c r="AF24" i="15"/>
  <c r="AF24" i="16"/>
  <c r="AD9" i="16"/>
  <c r="Y76" i="16"/>
  <c r="Y76" i="15"/>
  <c r="Y75" i="15"/>
  <c r="Y37" i="28"/>
  <c r="Z47" i="15"/>
  <c r="AD40" i="16"/>
  <c r="AE34" i="16"/>
  <c r="AE33" i="16"/>
  <c r="AD54" i="15"/>
  <c r="AE33" i="15"/>
  <c r="AE34" i="15"/>
  <c r="AC43" i="15"/>
  <c r="AB40" i="29"/>
  <c r="AB42" i="15"/>
  <c r="AB40" i="28"/>
  <c r="AC60" i="16"/>
  <c r="AC60" i="15"/>
  <c r="AD35" i="16"/>
  <c r="AD40" i="15"/>
  <c r="AD35" i="15"/>
  <c r="AB47" i="16"/>
  <c r="AA37" i="29"/>
  <c r="AF32" i="15"/>
  <c r="AE74" i="16"/>
  <c r="AD54" i="16"/>
  <c r="AC38" i="29"/>
  <c r="AE74" i="15"/>
  <c r="AC43" i="16"/>
  <c r="AB36" i="29"/>
  <c r="AB47" i="15"/>
  <c r="AA75" i="15"/>
  <c r="AF7" i="15"/>
  <c r="AA37" i="28"/>
  <c r="AC38" i="28"/>
  <c r="AB36" i="28"/>
  <c r="AF32" i="16"/>
  <c r="AD21" i="15"/>
  <c r="AE17" i="15"/>
  <c r="AE17" i="16"/>
  <c r="AE8" i="15"/>
  <c r="AE20" i="16"/>
  <c r="AE25" i="15"/>
  <c r="AE20" i="15"/>
  <c r="AE25" i="16"/>
  <c r="AC13" i="16"/>
  <c r="AG6" i="16"/>
  <c r="AF7" i="16"/>
  <c r="AD21" i="16"/>
  <c r="AG22" i="15"/>
  <c r="AF23" i="15"/>
  <c r="AE8" i="16"/>
  <c r="AF23" i="16"/>
  <c r="AG22" i="16"/>
  <c r="AG14" i="15"/>
  <c r="AF19" i="15"/>
  <c r="AF16" i="15"/>
  <c r="AF15" i="15"/>
  <c r="AF18" i="15"/>
  <c r="AC10" i="15"/>
  <c r="AG6" i="15"/>
  <c r="AD9" i="15"/>
  <c r="AF18" i="16"/>
  <c r="AF15" i="16"/>
  <c r="AF16" i="16"/>
  <c r="AF19" i="16"/>
  <c r="AG14" i="16"/>
  <c r="AA76" i="16" l="1"/>
  <c r="Z37" i="28"/>
  <c r="AA47" i="15"/>
  <c r="AD10" i="16"/>
  <c r="AE9" i="15"/>
  <c r="AF41" i="16"/>
  <c r="AC39" i="16"/>
  <c r="AD10" i="15"/>
  <c r="AG24" i="16"/>
  <c r="AC11" i="15"/>
  <c r="Z75" i="15"/>
  <c r="Z76" i="15"/>
  <c r="AB42" i="16"/>
  <c r="AF41" i="15"/>
  <c r="AA75" i="16"/>
  <c r="AD11" i="16"/>
  <c r="AB75" i="15"/>
  <c r="AG24" i="15"/>
  <c r="AE54" i="15"/>
  <c r="AD43" i="15"/>
  <c r="AF34" i="16"/>
  <c r="AF33" i="16"/>
  <c r="AF34" i="15"/>
  <c r="AF33" i="15"/>
  <c r="AD60" i="16"/>
  <c r="AD60" i="15"/>
  <c r="AC40" i="29"/>
  <c r="AE40" i="15"/>
  <c r="AE35" i="16"/>
  <c r="AE40" i="16"/>
  <c r="AE35" i="15"/>
  <c r="AB76" i="15"/>
  <c r="AC40" i="28"/>
  <c r="AC47" i="16"/>
  <c r="AB37" i="29"/>
  <c r="AD43" i="16"/>
  <c r="AC36" i="29"/>
  <c r="AE54" i="16"/>
  <c r="AD38" i="29"/>
  <c r="AG32" i="15"/>
  <c r="AF74" i="16"/>
  <c r="AF74" i="15"/>
  <c r="AD38" i="28"/>
  <c r="AG7" i="15"/>
  <c r="AC36" i="28"/>
  <c r="AG32" i="16"/>
  <c r="AF25" i="15"/>
  <c r="AE21" i="16"/>
  <c r="AF17" i="16"/>
  <c r="AF20" i="16"/>
  <c r="AE21" i="15"/>
  <c r="AF25" i="16"/>
  <c r="AF8" i="15"/>
  <c r="AF17" i="15"/>
  <c r="AH6" i="16"/>
  <c r="AG7" i="16"/>
  <c r="AG18" i="16"/>
  <c r="AG15" i="16"/>
  <c r="AG19" i="16"/>
  <c r="AG16" i="16"/>
  <c r="AH14" i="16"/>
  <c r="AF20" i="15"/>
  <c r="AG23" i="16"/>
  <c r="AH22" i="16"/>
  <c r="AF8" i="16"/>
  <c r="AH14" i="15"/>
  <c r="AG18" i="15"/>
  <c r="AG15" i="15"/>
  <c r="AG19" i="15"/>
  <c r="AG16" i="15"/>
  <c r="AH6" i="15"/>
  <c r="AE9" i="16"/>
  <c r="AH22" i="15"/>
  <c r="AG23" i="15"/>
  <c r="AB76" i="16" l="1"/>
  <c r="AA76" i="15"/>
  <c r="AC13" i="15"/>
  <c r="AD11" i="15"/>
  <c r="AF9" i="15"/>
  <c r="AH24" i="15"/>
  <c r="AD39" i="16"/>
  <c r="AH24" i="16"/>
  <c r="AG41" i="16"/>
  <c r="AG41" i="15"/>
  <c r="AB75" i="16"/>
  <c r="AC42" i="16"/>
  <c r="AD13" i="16"/>
  <c r="AC39" i="15"/>
  <c r="AE10" i="15"/>
  <c r="AF54" i="15"/>
  <c r="AG34" i="15"/>
  <c r="AG33" i="15"/>
  <c r="AG74" i="16"/>
  <c r="AG33" i="16"/>
  <c r="AG34" i="16"/>
  <c r="AE43" i="15"/>
  <c r="AD40" i="29"/>
  <c r="AD40" i="28"/>
  <c r="AE60" i="15"/>
  <c r="AC76" i="16"/>
  <c r="AE60" i="16"/>
  <c r="AF35" i="16"/>
  <c r="AF40" i="16"/>
  <c r="AF40" i="15"/>
  <c r="AF35" i="15"/>
  <c r="AE43" i="16"/>
  <c r="AD36" i="29"/>
  <c r="AG74" i="15"/>
  <c r="AF54" i="16"/>
  <c r="AE38" i="29"/>
  <c r="AH32" i="15"/>
  <c r="AC37" i="29"/>
  <c r="AC47" i="15"/>
  <c r="AH7" i="15"/>
  <c r="AE38" i="28"/>
  <c r="AD36" i="28"/>
  <c r="AB37" i="28"/>
  <c r="AH32" i="16"/>
  <c r="AF21" i="16"/>
  <c r="AG25" i="16"/>
  <c r="AG8" i="16"/>
  <c r="AG25" i="15"/>
  <c r="AG17" i="16"/>
  <c r="AG20" i="15"/>
  <c r="AH23" i="16"/>
  <c r="AF21" i="15"/>
  <c r="AG8" i="15"/>
  <c r="AH7" i="16"/>
  <c r="AE10" i="16"/>
  <c r="AH23" i="15"/>
  <c r="AG17" i="15"/>
  <c r="AH19" i="16"/>
  <c r="AH16" i="16"/>
  <c r="AH18" i="16"/>
  <c r="AH15" i="16"/>
  <c r="AG20" i="16"/>
  <c r="AH18" i="15"/>
  <c r="AH15" i="15"/>
  <c r="AH16" i="15"/>
  <c r="AH19" i="15"/>
  <c r="AF9" i="16"/>
  <c r="AD47" i="16" l="1"/>
  <c r="AF10" i="15"/>
  <c r="AC42" i="15"/>
  <c r="AE11" i="16"/>
  <c r="AG9" i="16"/>
  <c r="AD42" i="16"/>
  <c r="AH41" i="16"/>
  <c r="AF11" i="15"/>
  <c r="AD39" i="15"/>
  <c r="AD13" i="15"/>
  <c r="AE11" i="15"/>
  <c r="AC75" i="16"/>
  <c r="AG54" i="15"/>
  <c r="AH41" i="15"/>
  <c r="AF43" i="15"/>
  <c r="AH74" i="16"/>
  <c r="AH33" i="16"/>
  <c r="AH34" i="16"/>
  <c r="AH74" i="15"/>
  <c r="AH33" i="15"/>
  <c r="AH34" i="15"/>
  <c r="AE40" i="29"/>
  <c r="AE40" i="28"/>
  <c r="AF60" i="16"/>
  <c r="AF60" i="15"/>
  <c r="AG40" i="15"/>
  <c r="AG40" i="16"/>
  <c r="AG35" i="15"/>
  <c r="AG35" i="16"/>
  <c r="AG54" i="16"/>
  <c r="AF38" i="29"/>
  <c r="AF43" i="16"/>
  <c r="AE36" i="29"/>
  <c r="AC75" i="15"/>
  <c r="AC76" i="15"/>
  <c r="AF38" i="28"/>
  <c r="AE36" i="28"/>
  <c r="AH25" i="15"/>
  <c r="AH25" i="16"/>
  <c r="AH20" i="15"/>
  <c r="AH20" i="16"/>
  <c r="AG21" i="15"/>
  <c r="AG21" i="16"/>
  <c r="AE13" i="16"/>
  <c r="AG9" i="15"/>
  <c r="AF13" i="15"/>
  <c r="AH8" i="16"/>
  <c r="AG10" i="16"/>
  <c r="AF10" i="16"/>
  <c r="AH17" i="15"/>
  <c r="AH17" i="16"/>
  <c r="AH8" i="15"/>
  <c r="AD76" i="16" l="1"/>
  <c r="AE39" i="16"/>
  <c r="AG11" i="16"/>
  <c r="AD42" i="15"/>
  <c r="AE13" i="15"/>
  <c r="AE39" i="15"/>
  <c r="AD47" i="15"/>
  <c r="AC37" i="28"/>
  <c r="AF39" i="15"/>
  <c r="AF11" i="16"/>
  <c r="AD75" i="16"/>
  <c r="AG43" i="15"/>
  <c r="AH54" i="15"/>
  <c r="AG60" i="16"/>
  <c r="AF40" i="28"/>
  <c r="AH40" i="16"/>
  <c r="AG60" i="15"/>
  <c r="AH35" i="16"/>
  <c r="AH35" i="15"/>
  <c r="AF40" i="29"/>
  <c r="AH40" i="15"/>
  <c r="AE47" i="16"/>
  <c r="AD37" i="29"/>
  <c r="AH54" i="16"/>
  <c r="AG38" i="29"/>
  <c r="AH21" i="16"/>
  <c r="AG43" i="16"/>
  <c r="AF36" i="29"/>
  <c r="AF47" i="15"/>
  <c r="AE37" i="28"/>
  <c r="AF36" i="28"/>
  <c r="AG38" i="28"/>
  <c r="AH21" i="15"/>
  <c r="AG13" i="16"/>
  <c r="AH9" i="15"/>
  <c r="AH9" i="16"/>
  <c r="AG10" i="15"/>
  <c r="AF42" i="15" l="1"/>
  <c r="AE42" i="16"/>
  <c r="AF39" i="16"/>
  <c r="AF13" i="16"/>
  <c r="AE42" i="15"/>
  <c r="AD37" i="28"/>
  <c r="AE47" i="15"/>
  <c r="AD75" i="15"/>
  <c r="AD76" i="15"/>
  <c r="AG39" i="16"/>
  <c r="AG11" i="15"/>
  <c r="AH43" i="15"/>
  <c r="AH60" i="15"/>
  <c r="AH60" i="16"/>
  <c r="AG40" i="29"/>
  <c r="AG40" i="28"/>
  <c r="AG47" i="16"/>
  <c r="AF37" i="29"/>
  <c r="AH43" i="16"/>
  <c r="AG36" i="29"/>
  <c r="AE76" i="16"/>
  <c r="AF47" i="16"/>
  <c r="AE37" i="29"/>
  <c r="AF76" i="15"/>
  <c r="AF75" i="15"/>
  <c r="AG36" i="28"/>
  <c r="AH10" i="16"/>
  <c r="AH10" i="15"/>
  <c r="AG13" i="15" l="1"/>
  <c r="AG42" i="16"/>
  <c r="AG39" i="15"/>
  <c r="AF42" i="16"/>
  <c r="AH11" i="15"/>
  <c r="AE75" i="15"/>
  <c r="AE76" i="15"/>
  <c r="AE75" i="16"/>
  <c r="AH11" i="16"/>
  <c r="AG47" i="15"/>
  <c r="AF37" i="28"/>
  <c r="AH39" i="15" l="1"/>
  <c r="AG76" i="16"/>
  <c r="AF76" i="16"/>
  <c r="AH13" i="15"/>
  <c r="AH42" i="15"/>
  <c r="AG42" i="15"/>
  <c r="AH13" i="16"/>
  <c r="AF75" i="16"/>
  <c r="AG75" i="16"/>
  <c r="AH39" i="16"/>
  <c r="AG37" i="28"/>
  <c r="AG75" i="15" l="1"/>
  <c r="AH47" i="15"/>
  <c r="AH47" i="16"/>
  <c r="AG76" i="15"/>
  <c r="AG37" i="29"/>
  <c r="AH42" i="16"/>
  <c r="AH75" i="15"/>
  <c r="AH76" i="15"/>
  <c r="AH76" i="16" l="1"/>
  <c r="AH75" i="16"/>
  <c r="Q3" i="6" l="1"/>
  <c r="L3" i="6"/>
  <c r="D4" i="12" s="1"/>
  <c r="D84" i="12" l="1"/>
  <c r="D5" i="12"/>
  <c r="D6" i="12"/>
  <c r="M3" i="6"/>
  <c r="E4" i="12" s="1"/>
  <c r="D4" i="14"/>
  <c r="C32" i="29"/>
  <c r="C32" i="19"/>
  <c r="C32" i="28"/>
  <c r="R3" i="6"/>
  <c r="J4" i="12" s="1"/>
  <c r="I4" i="14"/>
  <c r="H32" i="29"/>
  <c r="H32" i="19"/>
  <c r="H32" i="28"/>
  <c r="I4" i="12"/>
  <c r="S3" i="6" l="1"/>
  <c r="N3" i="6"/>
  <c r="E32" i="19" s="1"/>
  <c r="C12" i="19"/>
  <c r="C25" i="19" s="1"/>
  <c r="C11" i="19"/>
  <c r="C14" i="19"/>
  <c r="C27" i="19" s="1"/>
  <c r="C13" i="19"/>
  <c r="C26" i="19" s="1"/>
  <c r="C44" i="19" s="1"/>
  <c r="C15" i="19"/>
  <c r="C28" i="19" s="1"/>
  <c r="C11" i="54"/>
  <c r="C14" i="54"/>
  <c r="C27" i="54" s="1"/>
  <c r="C15" i="54"/>
  <c r="C28" i="54" s="1"/>
  <c r="C12" i="54"/>
  <c r="C25" i="54" s="1"/>
  <c r="C13" i="54"/>
  <c r="C26" i="54" s="1"/>
  <c r="C41" i="54" s="1"/>
  <c r="C147" i="54" s="1"/>
  <c r="C148" i="54" s="1"/>
  <c r="C11" i="29"/>
  <c r="C13" i="29"/>
  <c r="C26" i="29" s="1"/>
  <c r="C44" i="29" s="1"/>
  <c r="C12" i="29"/>
  <c r="C25" i="29" s="1"/>
  <c r="C43" i="29" s="1"/>
  <c r="C14" i="29"/>
  <c r="C15" i="29"/>
  <c r="C28" i="29" s="1"/>
  <c r="C14" i="42"/>
  <c r="C27" i="42" s="1"/>
  <c r="C42" i="42" s="1"/>
  <c r="C15" i="42"/>
  <c r="C28" i="42" s="1"/>
  <c r="C43" i="42" s="1"/>
  <c r="C234" i="42" s="1"/>
  <c r="C12" i="42"/>
  <c r="C25" i="42" s="1"/>
  <c r="C40" i="42" s="1"/>
  <c r="C11" i="42"/>
  <c r="C13" i="42"/>
  <c r="C26" i="42" s="1"/>
  <c r="C41" i="42" s="1"/>
  <c r="C219" i="42" s="1"/>
  <c r="C12" i="48"/>
  <c r="C11" i="48"/>
  <c r="C15" i="48"/>
  <c r="C13" i="48"/>
  <c r="C14" i="48"/>
  <c r="C11" i="20"/>
  <c r="C15" i="20"/>
  <c r="C14" i="20"/>
  <c r="C12" i="20"/>
  <c r="C13" i="20"/>
  <c r="F4" i="14"/>
  <c r="C15" i="46"/>
  <c r="C12" i="46"/>
  <c r="C14" i="46"/>
  <c r="C11" i="46"/>
  <c r="C13" i="46"/>
  <c r="C11" i="28"/>
  <c r="C13" i="28"/>
  <c r="C26" i="28" s="1"/>
  <c r="C15" i="28"/>
  <c r="C28" i="28" s="1"/>
  <c r="C14" i="28"/>
  <c r="C27" i="28" s="1"/>
  <c r="C12" i="28"/>
  <c r="C25" i="28" s="1"/>
  <c r="C43" i="28" s="1"/>
  <c r="D84" i="14"/>
  <c r="J32" i="29"/>
  <c r="K4" i="14"/>
  <c r="J32" i="19"/>
  <c r="J32" i="28"/>
  <c r="I32" i="29"/>
  <c r="J4" i="14"/>
  <c r="I32" i="19"/>
  <c r="I32" i="28"/>
  <c r="C13" i="38"/>
  <c r="C26" i="38" s="1"/>
  <c r="C41" i="38" s="1"/>
  <c r="C219" i="38" s="1"/>
  <c r="C15" i="38"/>
  <c r="C28" i="38" s="1"/>
  <c r="C43" i="38" s="1"/>
  <c r="C234" i="38" s="1"/>
  <c r="C11" i="38"/>
  <c r="C14" i="38"/>
  <c r="C27" i="38" s="1"/>
  <c r="C42" i="38" s="1"/>
  <c r="C12" i="38"/>
  <c r="C25" i="38" s="1"/>
  <c r="C40" i="38" s="1"/>
  <c r="E4" i="14"/>
  <c r="D32" i="29"/>
  <c r="D32" i="19"/>
  <c r="D32" i="28"/>
  <c r="C11" i="53"/>
  <c r="C12" i="53"/>
  <c r="C25" i="53" s="1"/>
  <c r="C13" i="53"/>
  <c r="C26" i="53" s="1"/>
  <c r="C41" i="53" s="1"/>
  <c r="C147" i="53" s="1"/>
  <c r="C148" i="53" s="1"/>
  <c r="D60" i="51" s="1"/>
  <c r="C15" i="53"/>
  <c r="C28" i="53" s="1"/>
  <c r="C14" i="53"/>
  <c r="C27" i="53" s="1"/>
  <c r="T3" i="6"/>
  <c r="K4" i="12"/>
  <c r="C24" i="20" l="1"/>
  <c r="O3" i="6"/>
  <c r="E32" i="29"/>
  <c r="F4" i="12"/>
  <c r="E32" i="28"/>
  <c r="AJ60" i="51"/>
  <c r="C46" i="28"/>
  <c r="D14" i="29"/>
  <c r="D27" i="29" s="1"/>
  <c r="D15" i="29"/>
  <c r="D28" i="29" s="1"/>
  <c r="D12" i="29"/>
  <c r="D25" i="29" s="1"/>
  <c r="D43" i="29" s="1"/>
  <c r="D11" i="29"/>
  <c r="D13" i="29"/>
  <c r="D26" i="29" s="1"/>
  <c r="D44" i="29" s="1"/>
  <c r="D13" i="38"/>
  <c r="D26" i="38" s="1"/>
  <c r="D41" i="38" s="1"/>
  <c r="D219" i="38" s="1"/>
  <c r="D11" i="38"/>
  <c r="D12" i="38"/>
  <c r="D25" i="38" s="1"/>
  <c r="D40" i="38" s="1"/>
  <c r="D14" i="38"/>
  <c r="D27" i="38" s="1"/>
  <c r="D42" i="38" s="1"/>
  <c r="D15" i="38"/>
  <c r="D28" i="38" s="1"/>
  <c r="D43" i="38" s="1"/>
  <c r="D234" i="38" s="1"/>
  <c r="C237" i="38"/>
  <c r="C241" i="38" s="1"/>
  <c r="C236" i="38"/>
  <c r="C240" i="38" s="1"/>
  <c r="C235" i="38"/>
  <c r="C239" i="38" s="1"/>
  <c r="C16" i="46"/>
  <c r="C272" i="46" s="1"/>
  <c r="C16" i="20"/>
  <c r="C219" i="20" s="1"/>
  <c r="C204" i="42"/>
  <c r="C188" i="42"/>
  <c r="C196" i="42"/>
  <c r="D12" i="54"/>
  <c r="D25" i="54" s="1"/>
  <c r="D15" i="54"/>
  <c r="D28" i="54" s="1"/>
  <c r="D14" i="54"/>
  <c r="D27" i="54" s="1"/>
  <c r="D11" i="54"/>
  <c r="D13" i="54"/>
  <c r="D26" i="54" s="1"/>
  <c r="D41" i="54" s="1"/>
  <c r="D147" i="54" s="1"/>
  <c r="D148" i="54" s="1"/>
  <c r="C222" i="38"/>
  <c r="C226" i="38" s="1"/>
  <c r="C221" i="38"/>
  <c r="C225" i="38" s="1"/>
  <c r="C220" i="38"/>
  <c r="C224" i="38" s="1"/>
  <c r="D13" i="20"/>
  <c r="D12" i="20"/>
  <c r="D11" i="20"/>
  <c r="D14" i="20"/>
  <c r="D15" i="20"/>
  <c r="C44" i="28"/>
  <c r="C16" i="48"/>
  <c r="C272" i="48" s="1"/>
  <c r="C27" i="29"/>
  <c r="C46" i="29" s="1"/>
  <c r="C24" i="54"/>
  <c r="C29" i="54" s="1"/>
  <c r="C16" i="54"/>
  <c r="C16" i="53"/>
  <c r="C24" i="53"/>
  <c r="C29" i="53" s="1"/>
  <c r="D11" i="28"/>
  <c r="D14" i="28"/>
  <c r="D27" i="28" s="1"/>
  <c r="D13" i="28"/>
  <c r="D26" i="28" s="1"/>
  <c r="D44" i="28" s="1"/>
  <c r="D12" i="28"/>
  <c r="D25" i="28" s="1"/>
  <c r="D43" i="28" s="1"/>
  <c r="D15" i="28"/>
  <c r="D28" i="28" s="1"/>
  <c r="C16" i="28"/>
  <c r="C115" i="28" s="1"/>
  <c r="C24" i="28"/>
  <c r="C42" i="28" s="1"/>
  <c r="L4" i="14"/>
  <c r="K32" i="29"/>
  <c r="K32" i="19"/>
  <c r="K32" i="28"/>
  <c r="D13" i="48"/>
  <c r="D15" i="48"/>
  <c r="D12" i="48"/>
  <c r="D11" i="48"/>
  <c r="D14" i="48"/>
  <c r="C221" i="42"/>
  <c r="C225" i="42" s="1"/>
  <c r="C223" i="42"/>
  <c r="C222" i="42"/>
  <c r="C226" i="42" s="1"/>
  <c r="C220" i="42"/>
  <c r="C224" i="42" s="1"/>
  <c r="F32" i="29"/>
  <c r="G4" i="14"/>
  <c r="F32" i="19"/>
  <c r="F32" i="28"/>
  <c r="D14" i="42"/>
  <c r="D27" i="42" s="1"/>
  <c r="D42" i="42" s="1"/>
  <c r="D13" i="42"/>
  <c r="D26" i="42" s="1"/>
  <c r="D41" i="42" s="1"/>
  <c r="D219" i="42" s="1"/>
  <c r="D11" i="42"/>
  <c r="D15" i="42"/>
  <c r="D28" i="42" s="1"/>
  <c r="D43" i="42" s="1"/>
  <c r="D234" i="42" s="1"/>
  <c r="D12" i="42"/>
  <c r="D25" i="42" s="1"/>
  <c r="D40" i="42" s="1"/>
  <c r="C134" i="38"/>
  <c r="C150" i="38"/>
  <c r="C142" i="38"/>
  <c r="C158" i="38"/>
  <c r="C16" i="42"/>
  <c r="C244" i="42" s="1"/>
  <c r="C24" i="42"/>
  <c r="C16" i="29"/>
  <c r="C24" i="29"/>
  <c r="D11" i="19"/>
  <c r="D14" i="19"/>
  <c r="D27" i="19" s="1"/>
  <c r="D12" i="19"/>
  <c r="D25" i="19" s="1"/>
  <c r="D13" i="19"/>
  <c r="D26" i="19" s="1"/>
  <c r="D44" i="19" s="1"/>
  <c r="D15" i="19"/>
  <c r="D28" i="19" s="1"/>
  <c r="C188" i="38"/>
  <c r="C196" i="38"/>
  <c r="C204" i="38"/>
  <c r="C134" i="42"/>
  <c r="C150" i="42"/>
  <c r="C142" i="42"/>
  <c r="C158" i="42"/>
  <c r="C24" i="19"/>
  <c r="C16" i="19"/>
  <c r="D14" i="46"/>
  <c r="D15" i="46"/>
  <c r="D12" i="46"/>
  <c r="D11" i="46"/>
  <c r="D13" i="46"/>
  <c r="D13" i="53"/>
  <c r="D26" i="53" s="1"/>
  <c r="D41" i="53" s="1"/>
  <c r="D147" i="53" s="1"/>
  <c r="D148" i="53" s="1"/>
  <c r="E60" i="51" s="1"/>
  <c r="D12" i="53"/>
  <c r="D25" i="53" s="1"/>
  <c r="D14" i="53"/>
  <c r="D27" i="53" s="1"/>
  <c r="D15" i="53"/>
  <c r="D28" i="53" s="1"/>
  <c r="D11" i="53"/>
  <c r="C16" i="38"/>
  <c r="C244" i="38" s="1"/>
  <c r="C24" i="38"/>
  <c r="C66" i="29"/>
  <c r="C71" i="29"/>
  <c r="D49" i="16" s="1"/>
  <c r="C67" i="29"/>
  <c r="C73" i="29"/>
  <c r="D59" i="16" s="1"/>
  <c r="C72" i="29"/>
  <c r="C65" i="29"/>
  <c r="C63" i="29"/>
  <c r="C62" i="29" s="1"/>
  <c r="C68" i="29"/>
  <c r="C70" i="29"/>
  <c r="C74" i="29"/>
  <c r="C64" i="29"/>
  <c r="C75" i="29"/>
  <c r="C237" i="42"/>
  <c r="C241" i="42" s="1"/>
  <c r="C236" i="42"/>
  <c r="C240" i="42" s="1"/>
  <c r="C238" i="42"/>
  <c r="C235" i="42"/>
  <c r="C239" i="42" s="1"/>
  <c r="U3" i="6"/>
  <c r="L4" i="12"/>
  <c r="P3" i="6"/>
  <c r="G4" i="12"/>
  <c r="C85" i="29" l="1"/>
  <c r="C84" i="29" s="1"/>
  <c r="AK60" i="51"/>
  <c r="D46" i="29"/>
  <c r="D46" i="28"/>
  <c r="C136" i="42"/>
  <c r="C140" i="42" s="1"/>
  <c r="C135" i="42"/>
  <c r="C139" i="42" s="1"/>
  <c r="C137" i="42"/>
  <c r="C141" i="42" s="1"/>
  <c r="C138" i="42"/>
  <c r="C189" i="38"/>
  <c r="C193" i="38" s="1"/>
  <c r="C191" i="38"/>
  <c r="C195" i="38" s="1"/>
  <c r="C190" i="38"/>
  <c r="C194" i="38" s="1"/>
  <c r="C39" i="42"/>
  <c r="C29" i="42"/>
  <c r="D16" i="42"/>
  <c r="D244" i="42" s="1"/>
  <c r="D24" i="42"/>
  <c r="F12" i="28"/>
  <c r="F25" i="28" s="1"/>
  <c r="F43" i="28" s="1"/>
  <c r="F14" i="28"/>
  <c r="F27" i="28" s="1"/>
  <c r="F15" i="28"/>
  <c r="F28" i="28" s="1"/>
  <c r="F13" i="28"/>
  <c r="F26" i="28" s="1"/>
  <c r="F44" i="28" s="1"/>
  <c r="F11" i="28"/>
  <c r="E12" i="20"/>
  <c r="E15" i="20"/>
  <c r="E14" i="20"/>
  <c r="E13" i="20"/>
  <c r="E11" i="20"/>
  <c r="D70" i="29"/>
  <c r="D68" i="29"/>
  <c r="D63" i="29"/>
  <c r="D62" i="29" s="1"/>
  <c r="D74" i="29"/>
  <c r="E45" i="16" s="1"/>
  <c r="D73" i="29"/>
  <c r="E58" i="16" s="1"/>
  <c r="E64" i="15"/>
  <c r="D67" i="29"/>
  <c r="E45" i="15"/>
  <c r="D72" i="29"/>
  <c r="D66" i="29"/>
  <c r="E48" i="15"/>
  <c r="D71" i="29"/>
  <c r="E48" i="16" s="1"/>
  <c r="D64" i="29"/>
  <c r="E58" i="15"/>
  <c r="D65" i="29"/>
  <c r="D75" i="29"/>
  <c r="E64" i="16" s="1"/>
  <c r="E12" i="42"/>
  <c r="E25" i="42" s="1"/>
  <c r="E40" i="42" s="1"/>
  <c r="E11" i="42"/>
  <c r="E13" i="42"/>
  <c r="E26" i="42" s="1"/>
  <c r="E41" i="42" s="1"/>
  <c r="E219" i="42" s="1"/>
  <c r="E14" i="42"/>
  <c r="E27" i="42" s="1"/>
  <c r="E42" i="42" s="1"/>
  <c r="E15" i="42"/>
  <c r="E28" i="42" s="1"/>
  <c r="E43" i="42" s="1"/>
  <c r="E234" i="42" s="1"/>
  <c r="C190" i="42"/>
  <c r="C194" i="42" s="1"/>
  <c r="C191" i="42"/>
  <c r="C195" i="42" s="1"/>
  <c r="C189" i="42"/>
  <c r="C193" i="42" s="1"/>
  <c r="C192" i="42"/>
  <c r="D134" i="38"/>
  <c r="D150" i="38"/>
  <c r="D142" i="38"/>
  <c r="D158" i="38"/>
  <c r="E11" i="53"/>
  <c r="E15" i="53"/>
  <c r="E28" i="53" s="1"/>
  <c r="E14" i="53"/>
  <c r="E27" i="53" s="1"/>
  <c r="E12" i="53"/>
  <c r="E25" i="53" s="1"/>
  <c r="E13" i="53"/>
  <c r="E26" i="53" s="1"/>
  <c r="E41" i="53" s="1"/>
  <c r="E147" i="53" s="1"/>
  <c r="E148" i="53" s="1"/>
  <c r="F60" i="51" s="1"/>
  <c r="E14" i="38"/>
  <c r="E27" i="38" s="1"/>
  <c r="E42" i="38" s="1"/>
  <c r="E12" i="38"/>
  <c r="E25" i="38" s="1"/>
  <c r="E40" i="38" s="1"/>
  <c r="E11" i="38"/>
  <c r="E15" i="38"/>
  <c r="E28" i="38" s="1"/>
  <c r="E43" i="38" s="1"/>
  <c r="E234" i="38" s="1"/>
  <c r="E13" i="38"/>
  <c r="E26" i="38" s="1"/>
  <c r="E41" i="38" s="1"/>
  <c r="E219" i="38" s="1"/>
  <c r="D220" i="42"/>
  <c r="D224" i="42" s="1"/>
  <c r="D222" i="42"/>
  <c r="D226" i="42" s="1"/>
  <c r="D223" i="42"/>
  <c r="D221" i="42"/>
  <c r="D225" i="42" s="1"/>
  <c r="C47" i="28"/>
  <c r="C213" i="28"/>
  <c r="D82" i="29"/>
  <c r="E55" i="15"/>
  <c r="C194" i="54"/>
  <c r="C31" i="54"/>
  <c r="C207" i="42"/>
  <c r="C211" i="42" s="1"/>
  <c r="C208" i="42"/>
  <c r="C206" i="42"/>
  <c r="C210" i="42" s="1"/>
  <c r="C205" i="42"/>
  <c r="C209" i="42" s="1"/>
  <c r="D16" i="38"/>
  <c r="D244" i="38" s="1"/>
  <c r="D24" i="38"/>
  <c r="C162" i="38"/>
  <c r="D108" i="36" s="1"/>
  <c r="C161" i="38"/>
  <c r="C160" i="38"/>
  <c r="C159" i="38"/>
  <c r="D204" i="42"/>
  <c r="D188" i="42"/>
  <c r="D196" i="42"/>
  <c r="E13" i="54"/>
  <c r="E26" i="54" s="1"/>
  <c r="E41" i="54" s="1"/>
  <c r="E147" i="54" s="1"/>
  <c r="E148" i="54" s="1"/>
  <c r="E15" i="54"/>
  <c r="E28" i="54" s="1"/>
  <c r="E12" i="54"/>
  <c r="E25" i="54" s="1"/>
  <c r="E14" i="54"/>
  <c r="E27" i="54" s="1"/>
  <c r="E11" i="54"/>
  <c r="D222" i="38"/>
  <c r="D226" i="38" s="1"/>
  <c r="D220" i="38"/>
  <c r="D224" i="38" s="1"/>
  <c r="D221" i="38"/>
  <c r="D225" i="38" s="1"/>
  <c r="C143" i="38"/>
  <c r="C145" i="38"/>
  <c r="C144" i="38"/>
  <c r="C146" i="38"/>
  <c r="D99" i="36" s="1"/>
  <c r="F12" i="48"/>
  <c r="F14" i="48"/>
  <c r="F15" i="48"/>
  <c r="F11" i="48"/>
  <c r="F13" i="48"/>
  <c r="D16" i="28"/>
  <c r="D115" i="28" s="1"/>
  <c r="D24" i="28"/>
  <c r="D16" i="54"/>
  <c r="D24" i="54"/>
  <c r="D29" i="54" s="1"/>
  <c r="D80" i="29"/>
  <c r="D79" i="29" s="1"/>
  <c r="M4" i="14"/>
  <c r="L32" i="29"/>
  <c r="L32" i="19"/>
  <c r="L32" i="28"/>
  <c r="C39" i="38"/>
  <c r="C29" i="38"/>
  <c r="C29" i="19"/>
  <c r="C152" i="38"/>
  <c r="C151" i="38"/>
  <c r="C154" i="38"/>
  <c r="D78" i="36" s="1"/>
  <c r="C153" i="38"/>
  <c r="F13" i="42"/>
  <c r="F26" i="42" s="1"/>
  <c r="F41" i="42" s="1"/>
  <c r="F219" i="42" s="1"/>
  <c r="F14" i="42"/>
  <c r="F27" i="42" s="1"/>
  <c r="F42" i="42" s="1"/>
  <c r="F12" i="42"/>
  <c r="F25" i="42" s="1"/>
  <c r="F40" i="42" s="1"/>
  <c r="F15" i="42"/>
  <c r="F28" i="42" s="1"/>
  <c r="F43" i="42" s="1"/>
  <c r="F234" i="42" s="1"/>
  <c r="F11" i="42"/>
  <c r="D16" i="48"/>
  <c r="D272" i="48" s="1"/>
  <c r="C194" i="53"/>
  <c r="C31" i="53"/>
  <c r="E13" i="48"/>
  <c r="E12" i="48"/>
  <c r="E11" i="48"/>
  <c r="E14" i="48"/>
  <c r="E15" i="48"/>
  <c r="D16" i="29"/>
  <c r="D24" i="29"/>
  <c r="D16" i="46"/>
  <c r="D272" i="46" s="1"/>
  <c r="C159" i="42"/>
  <c r="C163" i="42" s="1"/>
  <c r="C162" i="42"/>
  <c r="C160" i="42"/>
  <c r="C164" i="42" s="1"/>
  <c r="C161" i="42"/>
  <c r="C165" i="42" s="1"/>
  <c r="D16" i="19"/>
  <c r="D24" i="19"/>
  <c r="C138" i="38"/>
  <c r="D84" i="36" s="1"/>
  <c r="C136" i="38"/>
  <c r="C137" i="38"/>
  <c r="C135" i="38"/>
  <c r="C139" i="38" s="1"/>
  <c r="C80" i="29"/>
  <c r="C79" i="29" s="1"/>
  <c r="C82" i="29"/>
  <c r="H4" i="14"/>
  <c r="G32" i="29"/>
  <c r="G32" i="19"/>
  <c r="G32" i="28"/>
  <c r="E12" i="46"/>
  <c r="E13" i="46"/>
  <c r="E15" i="46"/>
  <c r="E11" i="46"/>
  <c r="E14" i="46"/>
  <c r="D16" i="53"/>
  <c r="D24" i="53"/>
  <c r="D29" i="53" s="1"/>
  <c r="C146" i="42"/>
  <c r="C143" i="42"/>
  <c r="C147" i="42" s="1"/>
  <c r="C145" i="42"/>
  <c r="C149" i="42" s="1"/>
  <c r="C144" i="42"/>
  <c r="C148" i="42" s="1"/>
  <c r="C205" i="38"/>
  <c r="C209" i="38" s="1"/>
  <c r="C206" i="38"/>
  <c r="C210" i="38" s="1"/>
  <c r="C207" i="38"/>
  <c r="C211" i="38" s="1"/>
  <c r="C29" i="29"/>
  <c r="C42" i="29"/>
  <c r="C57" i="29" s="1"/>
  <c r="D134" i="42"/>
  <c r="D142" i="42"/>
  <c r="D158" i="42"/>
  <c r="D150" i="42"/>
  <c r="F13" i="29"/>
  <c r="F26" i="29" s="1"/>
  <c r="F44" i="29" s="1"/>
  <c r="F12" i="29"/>
  <c r="F25" i="29" s="1"/>
  <c r="F43" i="29" s="1"/>
  <c r="F11" i="29"/>
  <c r="F15" i="29"/>
  <c r="F28" i="29" s="1"/>
  <c r="F14" i="29"/>
  <c r="F27" i="29" s="1"/>
  <c r="C29" i="28"/>
  <c r="D237" i="38"/>
  <c r="D241" i="38" s="1"/>
  <c r="D235" i="38"/>
  <c r="D239" i="38" s="1"/>
  <c r="D236" i="38"/>
  <c r="D240" i="38" s="1"/>
  <c r="D68" i="16"/>
  <c r="D77" i="16"/>
  <c r="C153" i="42"/>
  <c r="C157" i="42" s="1"/>
  <c r="C151" i="42"/>
  <c r="C155" i="42" s="1"/>
  <c r="C154" i="42"/>
  <c r="C152" i="42"/>
  <c r="C156" i="42" s="1"/>
  <c r="C198" i="38"/>
  <c r="C202" i="38" s="1"/>
  <c r="C199" i="38"/>
  <c r="C203" i="38" s="1"/>
  <c r="C197" i="38"/>
  <c r="C201" i="38" s="1"/>
  <c r="D236" i="42"/>
  <c r="D240" i="42" s="1"/>
  <c r="D237" i="42"/>
  <c r="D241" i="42" s="1"/>
  <c r="D235" i="42"/>
  <c r="D239" i="42" s="1"/>
  <c r="D238" i="42"/>
  <c r="F13" i="20"/>
  <c r="F12" i="20"/>
  <c r="F11" i="20"/>
  <c r="F15" i="20"/>
  <c r="F14" i="20"/>
  <c r="E13" i="29"/>
  <c r="E26" i="29" s="1"/>
  <c r="E44" i="29" s="1"/>
  <c r="E15" i="29"/>
  <c r="E28" i="29" s="1"/>
  <c r="E11" i="29"/>
  <c r="E14" i="29"/>
  <c r="E27" i="29" s="1"/>
  <c r="E12" i="29"/>
  <c r="E25" i="29" s="1"/>
  <c r="E43" i="29" s="1"/>
  <c r="E15" i="28"/>
  <c r="E28" i="28" s="1"/>
  <c r="E14" i="28"/>
  <c r="E27" i="28" s="1"/>
  <c r="E13" i="28"/>
  <c r="E26" i="28" s="1"/>
  <c r="E44" i="28" s="1"/>
  <c r="E12" i="28"/>
  <c r="E25" i="28" s="1"/>
  <c r="E43" i="28" s="1"/>
  <c r="E11" i="28"/>
  <c r="E11" i="19"/>
  <c r="E15" i="19"/>
  <c r="E28" i="19" s="1"/>
  <c r="E13" i="19"/>
  <c r="E26" i="19" s="1"/>
  <c r="E44" i="19" s="1"/>
  <c r="E14" i="19"/>
  <c r="E27" i="19" s="1"/>
  <c r="E12" i="19"/>
  <c r="E25" i="19" s="1"/>
  <c r="C197" i="42"/>
  <c r="C201" i="42" s="1"/>
  <c r="C199" i="42"/>
  <c r="C203" i="42" s="1"/>
  <c r="C200" i="42"/>
  <c r="C198" i="42"/>
  <c r="C202" i="42" s="1"/>
  <c r="D204" i="38"/>
  <c r="D188" i="38"/>
  <c r="D196" i="38"/>
  <c r="M4" i="12"/>
  <c r="H4" i="12"/>
  <c r="D85" i="29" l="1"/>
  <c r="AJ99" i="36"/>
  <c r="AJ108" i="36"/>
  <c r="AL60" i="51"/>
  <c r="AJ78" i="36"/>
  <c r="E49" i="16"/>
  <c r="E49" i="15"/>
  <c r="E61" i="15"/>
  <c r="E46" i="29"/>
  <c r="E46" i="28"/>
  <c r="F61" i="15" s="1"/>
  <c r="G11" i="48"/>
  <c r="G13" i="48"/>
  <c r="G15" i="48"/>
  <c r="G14" i="48"/>
  <c r="G12" i="48"/>
  <c r="G12" i="29"/>
  <c r="G25" i="29" s="1"/>
  <c r="G43" i="29" s="1"/>
  <c r="G15" i="29"/>
  <c r="G28" i="29" s="1"/>
  <c r="G13" i="29"/>
  <c r="G26" i="29" s="1"/>
  <c r="G44" i="29" s="1"/>
  <c r="G11" i="29"/>
  <c r="G14" i="29"/>
  <c r="G27" i="29" s="1"/>
  <c r="G11" i="28"/>
  <c r="G14" i="28"/>
  <c r="G27" i="28" s="1"/>
  <c r="G15" i="28"/>
  <c r="G28" i="28" s="1"/>
  <c r="G12" i="28"/>
  <c r="G25" i="28" s="1"/>
  <c r="G43" i="28" s="1"/>
  <c r="G13" i="28"/>
  <c r="G26" i="28" s="1"/>
  <c r="G44" i="28" s="1"/>
  <c r="G13" i="42"/>
  <c r="G26" i="42" s="1"/>
  <c r="G41" i="42" s="1"/>
  <c r="G219" i="42" s="1"/>
  <c r="G11" i="42"/>
  <c r="G14" i="42"/>
  <c r="G27" i="42" s="1"/>
  <c r="G42" i="42" s="1"/>
  <c r="G15" i="42"/>
  <c r="G28" i="42" s="1"/>
  <c r="G43" i="42" s="1"/>
  <c r="G234" i="42" s="1"/>
  <c r="G12" i="42"/>
  <c r="G25" i="42" s="1"/>
  <c r="G40" i="42" s="1"/>
  <c r="D206" i="38"/>
  <c r="D210" i="38" s="1"/>
  <c r="D208" i="38"/>
  <c r="D207" i="38"/>
  <c r="D211" i="38" s="1"/>
  <c r="D205" i="38"/>
  <c r="D209" i="38" s="1"/>
  <c r="D29" i="29"/>
  <c r="D42" i="29"/>
  <c r="F134" i="42"/>
  <c r="F150" i="42"/>
  <c r="F158" i="42"/>
  <c r="F142" i="42"/>
  <c r="D197" i="42"/>
  <c r="D201" i="42" s="1"/>
  <c r="D200" i="42"/>
  <c r="D199" i="42"/>
  <c r="D203" i="42" s="1"/>
  <c r="D198" i="42"/>
  <c r="D202" i="42" s="1"/>
  <c r="D29" i="38"/>
  <c r="D39" i="38"/>
  <c r="C207" i="28"/>
  <c r="C156" i="28"/>
  <c r="C208" i="28"/>
  <c r="C56" i="29"/>
  <c r="D153" i="38"/>
  <c r="D157" i="38" s="1"/>
  <c r="D152" i="38"/>
  <c r="D156" i="38" s="1"/>
  <c r="D151" i="38"/>
  <c r="D155" i="38" s="1"/>
  <c r="D154" i="38"/>
  <c r="E78" i="36" s="1"/>
  <c r="E220" i="42"/>
  <c r="E224" i="42" s="1"/>
  <c r="E221" i="42"/>
  <c r="E225" i="42" s="1"/>
  <c r="E222" i="42"/>
  <c r="E226" i="42" s="1"/>
  <c r="E223" i="42"/>
  <c r="C278" i="42"/>
  <c r="C31" i="42"/>
  <c r="E16" i="19"/>
  <c r="E24" i="19"/>
  <c r="D84" i="29"/>
  <c r="E61" i="16"/>
  <c r="F188" i="42"/>
  <c r="F196" i="42"/>
  <c r="F204" i="42"/>
  <c r="C31" i="38"/>
  <c r="C278" i="38"/>
  <c r="D189" i="42"/>
  <c r="D193" i="42" s="1"/>
  <c r="D190" i="42"/>
  <c r="D194" i="42" s="1"/>
  <c r="D192" i="42"/>
  <c r="D191" i="42"/>
  <c r="D195" i="42" s="1"/>
  <c r="C58" i="29"/>
  <c r="C100" i="29" s="1"/>
  <c r="D137" i="38"/>
  <c r="D135" i="38"/>
  <c r="D136" i="38"/>
  <c r="E16" i="42"/>
  <c r="E244" i="42" s="1"/>
  <c r="E24" i="42"/>
  <c r="F16" i="28"/>
  <c r="F115" i="28" s="1"/>
  <c r="F24" i="28"/>
  <c r="C44" i="42"/>
  <c r="C288" i="42" s="1"/>
  <c r="C69" i="42"/>
  <c r="C77" i="42"/>
  <c r="C93" i="42"/>
  <c r="C101" i="42"/>
  <c r="C246" i="42"/>
  <c r="F12" i="19"/>
  <c r="F25" i="19" s="1"/>
  <c r="F13" i="19"/>
  <c r="F26" i="19" s="1"/>
  <c r="F44" i="19" s="1"/>
  <c r="F14" i="19"/>
  <c r="F27" i="19" s="1"/>
  <c r="F15" i="19"/>
  <c r="F28" i="19" s="1"/>
  <c r="F11" i="19"/>
  <c r="D154" i="42"/>
  <c r="D151" i="42"/>
  <c r="D155" i="42" s="1"/>
  <c r="D152" i="42"/>
  <c r="D156" i="42" s="1"/>
  <c r="D153" i="42"/>
  <c r="D157" i="42" s="1"/>
  <c r="D85" i="36"/>
  <c r="AJ84" i="36"/>
  <c r="F222" i="42"/>
  <c r="F226" i="42" s="1"/>
  <c r="F223" i="42"/>
  <c r="F221" i="42"/>
  <c r="F225" i="42" s="1"/>
  <c r="F220" i="42"/>
  <c r="F224" i="42" s="1"/>
  <c r="C31" i="19"/>
  <c r="C211" i="19"/>
  <c r="C44" i="38"/>
  <c r="C288" i="38" s="1"/>
  <c r="C292" i="38" s="1"/>
  <c r="C101" i="38"/>
  <c r="C77" i="38"/>
  <c r="C69" i="38"/>
  <c r="C93" i="38"/>
  <c r="C94" i="38" s="1"/>
  <c r="F16" i="48"/>
  <c r="F272" i="48" s="1"/>
  <c r="F14" i="54"/>
  <c r="F27" i="54" s="1"/>
  <c r="F11" i="54"/>
  <c r="F13" i="54"/>
  <c r="F26" i="54" s="1"/>
  <c r="F41" i="54" s="1"/>
  <c r="F147" i="54" s="1"/>
  <c r="F148" i="54" s="1"/>
  <c r="F15" i="54"/>
  <c r="F28" i="54" s="1"/>
  <c r="F12" i="54"/>
  <c r="F25" i="54" s="1"/>
  <c r="D207" i="42"/>
  <c r="D211" i="42" s="1"/>
  <c r="D208" i="42"/>
  <c r="D206" i="42"/>
  <c r="D210" i="42" s="1"/>
  <c r="D205" i="42"/>
  <c r="D209" i="42" s="1"/>
  <c r="C50" i="29"/>
  <c r="C54" i="29"/>
  <c r="E134" i="42"/>
  <c r="E142" i="42"/>
  <c r="E150" i="42"/>
  <c r="E158" i="42"/>
  <c r="F80" i="29"/>
  <c r="F79" i="29" s="1"/>
  <c r="F82" i="29"/>
  <c r="G55" i="16" s="1"/>
  <c r="G55" i="15"/>
  <c r="E16" i="28"/>
  <c r="E115" i="28" s="1"/>
  <c r="E24" i="28"/>
  <c r="E16" i="29"/>
  <c r="E24" i="29"/>
  <c r="F14" i="46"/>
  <c r="F15" i="46"/>
  <c r="F13" i="46"/>
  <c r="F12" i="46"/>
  <c r="F11" i="46"/>
  <c r="D161" i="42"/>
  <c r="D165" i="42" s="1"/>
  <c r="D162" i="42"/>
  <c r="D159" i="42"/>
  <c r="D163" i="42" s="1"/>
  <c r="D160" i="42"/>
  <c r="D164" i="42" s="1"/>
  <c r="D31" i="53"/>
  <c r="D194" i="53"/>
  <c r="D29" i="19"/>
  <c r="E55" i="16"/>
  <c r="C59" i="29"/>
  <c r="C51" i="29"/>
  <c r="E220" i="38"/>
  <c r="E224" i="38" s="1"/>
  <c r="E221" i="38"/>
  <c r="E225" i="38" s="1"/>
  <c r="E222" i="38"/>
  <c r="E226" i="38" s="1"/>
  <c r="F46" i="28"/>
  <c r="E16" i="48"/>
  <c r="E272" i="48" s="1"/>
  <c r="D194" i="54"/>
  <c r="D31" i="54"/>
  <c r="C114" i="28"/>
  <c r="C53" i="29"/>
  <c r="C60" i="29"/>
  <c r="E235" i="38"/>
  <c r="E239" i="38" s="1"/>
  <c r="E236" i="38"/>
  <c r="E240" i="38" s="1"/>
  <c r="E237" i="38"/>
  <c r="E241" i="38" s="1"/>
  <c r="E16" i="53"/>
  <c r="E24" i="53"/>
  <c r="E29" i="53" s="1"/>
  <c r="F48" i="15"/>
  <c r="E70" i="29"/>
  <c r="E73" i="29"/>
  <c r="F58" i="16" s="1"/>
  <c r="F45" i="15"/>
  <c r="E66" i="29"/>
  <c r="E75" i="29"/>
  <c r="F64" i="16" s="1"/>
  <c r="E72" i="29"/>
  <c r="E68" i="29"/>
  <c r="E64" i="29"/>
  <c r="E65" i="29"/>
  <c r="F58" i="15"/>
  <c r="E63" i="29"/>
  <c r="E62" i="29" s="1"/>
  <c r="E74" i="29"/>
  <c r="F45" i="16" s="1"/>
  <c r="F64" i="15"/>
  <c r="E71" i="29"/>
  <c r="F48" i="16" s="1"/>
  <c r="E67" i="29"/>
  <c r="F46" i="29"/>
  <c r="D138" i="42"/>
  <c r="D136" i="42"/>
  <c r="D140" i="42" s="1"/>
  <c r="D137" i="42"/>
  <c r="D141" i="42" s="1"/>
  <c r="D135" i="42"/>
  <c r="D139" i="42" s="1"/>
  <c r="D29" i="28"/>
  <c r="D42" i="28"/>
  <c r="E16" i="54"/>
  <c r="E24" i="54"/>
  <c r="E29" i="54" s="1"/>
  <c r="E16" i="38"/>
  <c r="E244" i="38" s="1"/>
  <c r="E24" i="38"/>
  <c r="F13" i="53"/>
  <c r="F26" i="53" s="1"/>
  <c r="F41" i="53" s="1"/>
  <c r="F147" i="53" s="1"/>
  <c r="F148" i="53" s="1"/>
  <c r="G60" i="51" s="1"/>
  <c r="F14" i="53"/>
  <c r="F27" i="53" s="1"/>
  <c r="F15" i="53"/>
  <c r="F28" i="53" s="1"/>
  <c r="F12" i="53"/>
  <c r="F25" i="53" s="1"/>
  <c r="F11" i="53"/>
  <c r="G58" i="15"/>
  <c r="F66" i="29"/>
  <c r="F75" i="29"/>
  <c r="G64" i="16" s="1"/>
  <c r="F71" i="29"/>
  <c r="G48" i="16" s="1"/>
  <c r="F65" i="29"/>
  <c r="F74" i="29"/>
  <c r="G45" i="16" s="1"/>
  <c r="F70" i="29"/>
  <c r="G64" i="15"/>
  <c r="F63" i="29"/>
  <c r="F62" i="29" s="1"/>
  <c r="F73" i="29"/>
  <c r="G58" i="16" s="1"/>
  <c r="G48" i="15"/>
  <c r="F72" i="29"/>
  <c r="F67" i="29"/>
  <c r="G45" i="15"/>
  <c r="F68" i="29"/>
  <c r="F64" i="29"/>
  <c r="G12" i="20"/>
  <c r="G13" i="20"/>
  <c r="G11" i="20"/>
  <c r="G14" i="20"/>
  <c r="G15" i="20"/>
  <c r="D200" i="38"/>
  <c r="E100" i="36" s="1"/>
  <c r="D197" i="38"/>
  <c r="D201" i="38" s="1"/>
  <c r="D198" i="38"/>
  <c r="D202" i="38" s="1"/>
  <c r="D199" i="38"/>
  <c r="D203" i="38" s="1"/>
  <c r="E80" i="29"/>
  <c r="E79" i="29" s="1"/>
  <c r="F55" i="15"/>
  <c r="E82" i="29"/>
  <c r="F55" i="16" s="1"/>
  <c r="F16" i="29"/>
  <c r="F24" i="29"/>
  <c r="F42" i="29" s="1"/>
  <c r="C47" i="29"/>
  <c r="C142" i="29" s="1"/>
  <c r="F14" i="38"/>
  <c r="F27" i="38" s="1"/>
  <c r="F42" i="38" s="1"/>
  <c r="F15" i="38"/>
  <c r="F28" i="38" s="1"/>
  <c r="F43" i="38" s="1"/>
  <c r="F234" i="38" s="1"/>
  <c r="F12" i="38"/>
  <c r="F25" i="38" s="1"/>
  <c r="F40" i="38" s="1"/>
  <c r="F11" i="38"/>
  <c r="F13" i="38"/>
  <c r="F26" i="38" s="1"/>
  <c r="F41" i="38" s="1"/>
  <c r="F219" i="38" s="1"/>
  <c r="F16" i="42"/>
  <c r="F244" i="42" s="1"/>
  <c r="F24" i="42"/>
  <c r="C181" i="28"/>
  <c r="C182" i="28" s="1"/>
  <c r="C214" i="28"/>
  <c r="C158" i="28"/>
  <c r="C52" i="29"/>
  <c r="C49" i="29" s="1"/>
  <c r="C89" i="29" s="1"/>
  <c r="E134" i="38"/>
  <c r="E158" i="38"/>
  <c r="E142" i="38"/>
  <c r="E150" i="38"/>
  <c r="D161" i="38"/>
  <c r="D165" i="38" s="1"/>
  <c r="D159" i="38"/>
  <c r="D163" i="38" s="1"/>
  <c r="D160" i="38"/>
  <c r="D164" i="38" s="1"/>
  <c r="D162" i="38"/>
  <c r="E108" i="36" s="1"/>
  <c r="E238" i="42"/>
  <c r="E237" i="42"/>
  <c r="E241" i="42" s="1"/>
  <c r="E235" i="42"/>
  <c r="E239" i="42" s="1"/>
  <c r="E236" i="42"/>
  <c r="E240" i="42" s="1"/>
  <c r="D39" i="42"/>
  <c r="D29" i="42"/>
  <c r="D143" i="42"/>
  <c r="D147" i="42" s="1"/>
  <c r="D144" i="42"/>
  <c r="D148" i="42" s="1"/>
  <c r="D146" i="42"/>
  <c r="D145" i="42"/>
  <c r="D149" i="42" s="1"/>
  <c r="D189" i="38"/>
  <c r="D193" i="38" s="1"/>
  <c r="D191" i="38"/>
  <c r="D195" i="38" s="1"/>
  <c r="D190" i="38"/>
  <c r="D194" i="38" s="1"/>
  <c r="C146" i="28"/>
  <c r="C31" i="28"/>
  <c r="C31" i="29"/>
  <c r="C132" i="29"/>
  <c r="E16" i="46"/>
  <c r="E272" i="46" s="1"/>
  <c r="F238" i="42"/>
  <c r="F235" i="42"/>
  <c r="F239" i="42" s="1"/>
  <c r="F236" i="42"/>
  <c r="F240" i="42" s="1"/>
  <c r="F237" i="42"/>
  <c r="F241" i="42" s="1"/>
  <c r="E204" i="38"/>
  <c r="E188" i="38"/>
  <c r="E196" i="38"/>
  <c r="D144" i="38"/>
  <c r="D148" i="38" s="1"/>
  <c r="D146" i="38"/>
  <c r="E99" i="36" s="1"/>
  <c r="D143" i="38"/>
  <c r="D147" i="38" s="1"/>
  <c r="D145" i="38"/>
  <c r="D149" i="38" s="1"/>
  <c r="E188" i="42"/>
  <c r="E196" i="42"/>
  <c r="E204" i="42"/>
  <c r="G49" i="16" l="1"/>
  <c r="AK108" i="36"/>
  <c r="AK78" i="36"/>
  <c r="F49" i="15"/>
  <c r="AM60" i="51"/>
  <c r="AJ85" i="36"/>
  <c r="G49" i="15"/>
  <c r="AK99" i="36"/>
  <c r="F49" i="16"/>
  <c r="D88" i="36"/>
  <c r="AK100" i="36"/>
  <c r="C243" i="42"/>
  <c r="C159" i="28"/>
  <c r="C175" i="28" s="1"/>
  <c r="E85" i="29"/>
  <c r="C88" i="29"/>
  <c r="G46" i="29"/>
  <c r="E192" i="42"/>
  <c r="E191" i="42"/>
  <c r="E195" i="42" s="1"/>
  <c r="E189" i="42"/>
  <c r="E193" i="42" s="1"/>
  <c r="E190" i="42"/>
  <c r="E194" i="42" s="1"/>
  <c r="F134" i="38"/>
  <c r="F150" i="38"/>
  <c r="F142" i="38"/>
  <c r="F158" i="38"/>
  <c r="H13" i="20"/>
  <c r="H11" i="20"/>
  <c r="H14" i="20"/>
  <c r="H15" i="20"/>
  <c r="H12" i="20"/>
  <c r="E29" i="38"/>
  <c r="E39" i="38"/>
  <c r="E194" i="53"/>
  <c r="E31" i="53"/>
  <c r="G13" i="19"/>
  <c r="G26" i="19" s="1"/>
  <c r="G44" i="19" s="1"/>
  <c r="G14" i="19"/>
  <c r="G27" i="19" s="1"/>
  <c r="G11" i="19"/>
  <c r="G15" i="19"/>
  <c r="G28" i="19" s="1"/>
  <c r="G12" i="19"/>
  <c r="G25" i="19" s="1"/>
  <c r="D47" i="29"/>
  <c r="D142" i="29" s="1"/>
  <c r="G134" i="42"/>
  <c r="G150" i="42"/>
  <c r="G142" i="42"/>
  <c r="G158" i="42"/>
  <c r="G46" i="28"/>
  <c r="G12" i="38"/>
  <c r="G25" i="38" s="1"/>
  <c r="G40" i="38" s="1"/>
  <c r="G11" i="38"/>
  <c r="G14" i="38"/>
  <c r="G27" i="38" s="1"/>
  <c r="G42" i="38" s="1"/>
  <c r="G15" i="38"/>
  <c r="G28" i="38" s="1"/>
  <c r="G43" i="38" s="1"/>
  <c r="G234" i="38" s="1"/>
  <c r="G13" i="38"/>
  <c r="G26" i="38" s="1"/>
  <c r="G41" i="38" s="1"/>
  <c r="G219" i="38" s="1"/>
  <c r="C143" i="29"/>
  <c r="C146" i="29"/>
  <c r="E162" i="42"/>
  <c r="E161" i="42"/>
  <c r="E165" i="42" s="1"/>
  <c r="E159" i="42"/>
  <c r="E163" i="42" s="1"/>
  <c r="E160" i="42"/>
  <c r="E164" i="42" s="1"/>
  <c r="C313" i="42"/>
  <c r="C314" i="42" s="1"/>
  <c r="C290" i="42"/>
  <c r="C291" i="42" s="1"/>
  <c r="C247" i="42"/>
  <c r="E39" i="42"/>
  <c r="E29" i="42"/>
  <c r="D132" i="29"/>
  <c r="D31" i="29"/>
  <c r="G237" i="42"/>
  <c r="G241" i="42" s="1"/>
  <c r="G238" i="42"/>
  <c r="G236" i="42"/>
  <c r="G240" i="42" s="1"/>
  <c r="G235" i="42"/>
  <c r="G239" i="42" s="1"/>
  <c r="D278" i="42"/>
  <c r="D31" i="42"/>
  <c r="D214" i="28"/>
  <c r="C148" i="28"/>
  <c r="C149" i="28" s="1"/>
  <c r="F237" i="38"/>
  <c r="F241" i="38" s="1"/>
  <c r="F236" i="38"/>
  <c r="F240" i="38" s="1"/>
  <c r="F235" i="38"/>
  <c r="F239" i="38" s="1"/>
  <c r="F47" i="29"/>
  <c r="F142" i="29" s="1"/>
  <c r="F16" i="53"/>
  <c r="F24" i="53"/>
  <c r="F29" i="53" s="1"/>
  <c r="G11" i="46"/>
  <c r="G15" i="46"/>
  <c r="G12" i="46"/>
  <c r="G13" i="46"/>
  <c r="G14" i="46"/>
  <c r="E152" i="42"/>
  <c r="E156" i="42" s="1"/>
  <c r="E153" i="42"/>
  <c r="E157" i="42" s="1"/>
  <c r="E151" i="42"/>
  <c r="E155" i="42" s="1"/>
  <c r="E154" i="42"/>
  <c r="C295" i="38"/>
  <c r="C294" i="38"/>
  <c r="C296" i="38"/>
  <c r="C293" i="38"/>
  <c r="C104" i="42"/>
  <c r="C108" i="42" s="1"/>
  <c r="C102" i="42"/>
  <c r="C106" i="42" s="1"/>
  <c r="C103" i="42"/>
  <c r="C107" i="42" s="1"/>
  <c r="C105" i="42"/>
  <c r="E29" i="19"/>
  <c r="F61" i="16"/>
  <c r="E84" i="29"/>
  <c r="G188" i="42"/>
  <c r="G204" i="42"/>
  <c r="G196" i="42"/>
  <c r="G16" i="28"/>
  <c r="G115" i="28" s="1"/>
  <c r="G24" i="28"/>
  <c r="D44" i="42"/>
  <c r="D288" i="42" s="1"/>
  <c r="D292" i="42" s="1"/>
  <c r="D101" i="42"/>
  <c r="D93" i="42"/>
  <c r="D77" i="42"/>
  <c r="D69" i="42"/>
  <c r="D246" i="42"/>
  <c r="F188" i="38"/>
  <c r="F204" i="38"/>
  <c r="F196" i="38"/>
  <c r="E194" i="54"/>
  <c r="E31" i="54"/>
  <c r="F16" i="46"/>
  <c r="F272" i="46" s="1"/>
  <c r="E29" i="29"/>
  <c r="E42" i="29"/>
  <c r="E144" i="42"/>
  <c r="E148" i="42" s="1"/>
  <c r="E145" i="42"/>
  <c r="E149" i="42" s="1"/>
  <c r="E146" i="42"/>
  <c r="E143" i="42"/>
  <c r="E147" i="42" s="1"/>
  <c r="G11" i="54"/>
  <c r="G13" i="54"/>
  <c r="G26" i="54" s="1"/>
  <c r="G41" i="54" s="1"/>
  <c r="G147" i="54" s="1"/>
  <c r="G148" i="54" s="1"/>
  <c r="G15" i="54"/>
  <c r="G28" i="54" s="1"/>
  <c r="G12" i="54"/>
  <c r="G25" i="54" s="1"/>
  <c r="G14" i="54"/>
  <c r="G27" i="54" s="1"/>
  <c r="F24" i="19"/>
  <c r="F16" i="19"/>
  <c r="C94" i="42"/>
  <c r="C98" i="42" s="1"/>
  <c r="C95" i="42"/>
  <c r="C99" i="42" s="1"/>
  <c r="C97" i="42"/>
  <c r="C96" i="42"/>
  <c r="C100" i="42" s="1"/>
  <c r="C289" i="38"/>
  <c r="G16" i="42"/>
  <c r="G244" i="42" s="1"/>
  <c r="G24" i="42"/>
  <c r="H11" i="28"/>
  <c r="H15" i="28"/>
  <c r="H28" i="28" s="1"/>
  <c r="H14" i="28"/>
  <c r="H27" i="28" s="1"/>
  <c r="H12" i="28"/>
  <c r="H25" i="28" s="1"/>
  <c r="H43" i="28" s="1"/>
  <c r="H13" i="28"/>
  <c r="H26" i="28" s="1"/>
  <c r="H44" i="28" s="1"/>
  <c r="H12" i="48"/>
  <c r="H13" i="48"/>
  <c r="H14" i="48"/>
  <c r="H11" i="48"/>
  <c r="H15" i="48"/>
  <c r="C167" i="29"/>
  <c r="C168" i="29" s="1"/>
  <c r="C101" i="29"/>
  <c r="C144" i="29"/>
  <c r="C145" i="29" s="1"/>
  <c r="E152" i="38"/>
  <c r="E156" i="38" s="1"/>
  <c r="E154" i="38"/>
  <c r="F78" i="36" s="1"/>
  <c r="E151" i="38"/>
  <c r="E155" i="38" s="1"/>
  <c r="E153" i="38"/>
  <c r="E157" i="38" s="1"/>
  <c r="F39" i="42"/>
  <c r="F29" i="42"/>
  <c r="D31" i="19"/>
  <c r="D211" i="19"/>
  <c r="E135" i="42"/>
  <c r="E139" i="42" s="1"/>
  <c r="E138" i="42"/>
  <c r="E136" i="42"/>
  <c r="E140" i="42" s="1"/>
  <c r="E137" i="42"/>
  <c r="E141" i="42" s="1"/>
  <c r="F16" i="54"/>
  <c r="F24" i="54"/>
  <c r="F29" i="54" s="1"/>
  <c r="C33" i="19"/>
  <c r="C34" i="19"/>
  <c r="C78" i="42"/>
  <c r="C82" i="42" s="1"/>
  <c r="C80" i="42"/>
  <c r="C84" i="42" s="1"/>
  <c r="C81" i="42"/>
  <c r="C79" i="42"/>
  <c r="C83" i="42" s="1"/>
  <c r="C160" i="28"/>
  <c r="C157" i="28"/>
  <c r="F145" i="42"/>
  <c r="F149" i="42" s="1"/>
  <c r="F146" i="42"/>
  <c r="F144" i="42"/>
  <c r="F148" i="42" s="1"/>
  <c r="F143" i="42"/>
  <c r="F147" i="42" s="1"/>
  <c r="G222" i="42"/>
  <c r="G226" i="42" s="1"/>
  <c r="G223" i="42"/>
  <c r="G220" i="42"/>
  <c r="G224" i="42" s="1"/>
  <c r="G221" i="42"/>
  <c r="G225" i="42" s="1"/>
  <c r="E198" i="38"/>
  <c r="E202" i="38" s="1"/>
  <c r="E199" i="38"/>
  <c r="E203" i="38" s="1"/>
  <c r="E197" i="38"/>
  <c r="E201" i="38" s="1"/>
  <c r="E200" i="38"/>
  <c r="F100" i="36" s="1"/>
  <c r="C34" i="29"/>
  <c r="C33" i="29"/>
  <c r="E144" i="38"/>
  <c r="E148" i="38" s="1"/>
  <c r="E143" i="38"/>
  <c r="E147" i="38" s="1"/>
  <c r="E145" i="38"/>
  <c r="E149" i="38" s="1"/>
  <c r="E146" i="38"/>
  <c r="F99" i="36" s="1"/>
  <c r="D213" i="28"/>
  <c r="D53" i="29"/>
  <c r="D56" i="29"/>
  <c r="E44" i="16" s="1"/>
  <c r="E62" i="15"/>
  <c r="D47" i="28"/>
  <c r="D114" i="28" s="1"/>
  <c r="D50" i="29"/>
  <c r="E44" i="15"/>
  <c r="D60" i="29"/>
  <c r="E56" i="16" s="1"/>
  <c r="E56" i="15"/>
  <c r="D58" i="29"/>
  <c r="D100" i="29" s="1"/>
  <c r="D54" i="29"/>
  <c r="D57" i="29"/>
  <c r="D52" i="29"/>
  <c r="D49" i="29" s="1"/>
  <c r="D89" i="29" s="1"/>
  <c r="D59" i="29"/>
  <c r="E62" i="16" s="1"/>
  <c r="D51" i="29"/>
  <c r="F29" i="29"/>
  <c r="C70" i="42"/>
  <c r="C74" i="42" s="1"/>
  <c r="C71" i="42"/>
  <c r="C75" i="42" s="1"/>
  <c r="C72" i="42"/>
  <c r="C76" i="42" s="1"/>
  <c r="C73" i="42"/>
  <c r="F205" i="42"/>
  <c r="F209" i="42" s="1"/>
  <c r="F206" i="42"/>
  <c r="F210" i="42" s="1"/>
  <c r="F208" i="42"/>
  <c r="F207" i="42"/>
  <c r="F211" i="42" s="1"/>
  <c r="F161" i="42"/>
  <c r="F165" i="42" s="1"/>
  <c r="F162" i="42"/>
  <c r="F160" i="42"/>
  <c r="F164" i="42" s="1"/>
  <c r="F159" i="42"/>
  <c r="F163" i="42" s="1"/>
  <c r="H12" i="42"/>
  <c r="H25" i="42" s="1"/>
  <c r="H40" i="42" s="1"/>
  <c r="H15" i="42"/>
  <c r="H28" i="42" s="1"/>
  <c r="H43" i="42" s="1"/>
  <c r="H234" i="42" s="1"/>
  <c r="H14" i="42"/>
  <c r="H27" i="42" s="1"/>
  <c r="H42" i="42" s="1"/>
  <c r="H11" i="42"/>
  <c r="H13" i="42"/>
  <c r="H26" i="42" s="1"/>
  <c r="H41" i="42" s="1"/>
  <c r="H219" i="42" s="1"/>
  <c r="H12" i="29"/>
  <c r="H25" i="29" s="1"/>
  <c r="H43" i="29" s="1"/>
  <c r="H11" i="29"/>
  <c r="H15" i="29"/>
  <c r="H28" i="29" s="1"/>
  <c r="H14" i="29"/>
  <c r="H27" i="29" s="1"/>
  <c r="H13" i="29"/>
  <c r="H26" i="29" s="1"/>
  <c r="H44" i="29" s="1"/>
  <c r="E208" i="42"/>
  <c r="E205" i="42"/>
  <c r="E209" i="42" s="1"/>
  <c r="E207" i="42"/>
  <c r="E211" i="42" s="1"/>
  <c r="E206" i="42"/>
  <c r="E210" i="42" s="1"/>
  <c r="E191" i="38"/>
  <c r="E195" i="38" s="1"/>
  <c r="E189" i="38"/>
  <c r="E193" i="38" s="1"/>
  <c r="E190" i="38"/>
  <c r="E194" i="38" s="1"/>
  <c r="C34" i="28"/>
  <c r="C33" i="28"/>
  <c r="E161" i="38"/>
  <c r="E165" i="38" s="1"/>
  <c r="E162" i="38"/>
  <c r="F108" i="36" s="1"/>
  <c r="E160" i="38"/>
  <c r="E164" i="38" s="1"/>
  <c r="E159" i="38"/>
  <c r="E163" i="38" s="1"/>
  <c r="F222" i="38"/>
  <c r="F226" i="38" s="1"/>
  <c r="F220" i="38"/>
  <c r="F224" i="38" s="1"/>
  <c r="F221" i="38"/>
  <c r="F225" i="38" s="1"/>
  <c r="D31" i="28"/>
  <c r="D146" i="28"/>
  <c r="E29" i="28"/>
  <c r="E42" i="28"/>
  <c r="C292" i="42"/>
  <c r="C289" i="42"/>
  <c r="F198" i="42"/>
  <c r="F202" i="42" s="1"/>
  <c r="F199" i="42"/>
  <c r="F203" i="42" s="1"/>
  <c r="F200" i="42"/>
  <c r="F197" i="42"/>
  <c r="F201" i="42" s="1"/>
  <c r="D69" i="38"/>
  <c r="D70" i="38" s="1"/>
  <c r="D101" i="38"/>
  <c r="D93" i="38"/>
  <c r="D77" i="38"/>
  <c r="D246" i="38"/>
  <c r="D44" i="38"/>
  <c r="D288" i="38" s="1"/>
  <c r="F154" i="42"/>
  <c r="F151" i="42"/>
  <c r="F155" i="42" s="1"/>
  <c r="F152" i="42"/>
  <c r="F156" i="42" s="1"/>
  <c r="F153" i="42"/>
  <c r="F157" i="42" s="1"/>
  <c r="G80" i="29"/>
  <c r="G79" i="29" s="1"/>
  <c r="H55" i="15"/>
  <c r="G82" i="29"/>
  <c r="H55" i="16" s="1"/>
  <c r="G16" i="29"/>
  <c r="G24" i="29"/>
  <c r="G42" i="29" s="1"/>
  <c r="E198" i="42"/>
  <c r="E202" i="42" s="1"/>
  <c r="E197" i="42"/>
  <c r="E201" i="42" s="1"/>
  <c r="E200" i="42"/>
  <c r="E199" i="42"/>
  <c r="E203" i="42" s="1"/>
  <c r="E206" i="38"/>
  <c r="E210" i="38" s="1"/>
  <c r="E208" i="38"/>
  <c r="E207" i="38"/>
  <c r="E211" i="38" s="1"/>
  <c r="E205" i="38"/>
  <c r="E209" i="38" s="1"/>
  <c r="E136" i="38"/>
  <c r="E137" i="38"/>
  <c r="E135" i="38"/>
  <c r="F16" i="38"/>
  <c r="F244" i="38" s="1"/>
  <c r="F24" i="38"/>
  <c r="G13" i="53"/>
  <c r="G26" i="53" s="1"/>
  <c r="G41" i="53" s="1"/>
  <c r="G147" i="53" s="1"/>
  <c r="G148" i="53" s="1"/>
  <c r="H60" i="51" s="1"/>
  <c r="G15" i="53"/>
  <c r="G28" i="53" s="1"/>
  <c r="G14" i="53"/>
  <c r="G27" i="53" s="1"/>
  <c r="G12" i="53"/>
  <c r="G25" i="53" s="1"/>
  <c r="G11" i="53"/>
  <c r="F85" i="29"/>
  <c r="G61" i="15"/>
  <c r="F29" i="28"/>
  <c r="F42" i="28"/>
  <c r="F191" i="42"/>
  <c r="F195" i="42" s="1"/>
  <c r="F189" i="42"/>
  <c r="F193" i="42" s="1"/>
  <c r="F192" i="42"/>
  <c r="F190" i="42"/>
  <c r="F194" i="42" s="1"/>
  <c r="D278" i="38"/>
  <c r="D31" i="38"/>
  <c r="F135" i="42"/>
  <c r="F139" i="42" s="1"/>
  <c r="F136" i="42"/>
  <c r="F140" i="42" s="1"/>
  <c r="F137" i="42"/>
  <c r="F141" i="42" s="1"/>
  <c r="F138" i="42"/>
  <c r="H48" i="15"/>
  <c r="G71" i="29"/>
  <c r="H48" i="16" s="1"/>
  <c r="H45" i="15"/>
  <c r="G75" i="29"/>
  <c r="H64" i="16" s="1"/>
  <c r="G65" i="29"/>
  <c r="G70" i="29"/>
  <c r="G66" i="29"/>
  <c r="G72" i="29"/>
  <c r="G67" i="29"/>
  <c r="G73" i="29"/>
  <c r="H58" i="16" s="1"/>
  <c r="G64" i="29"/>
  <c r="G63" i="29"/>
  <c r="G62" i="29" s="1"/>
  <c r="H58" i="15"/>
  <c r="G74" i="29"/>
  <c r="H45" i="16" s="1"/>
  <c r="H64" i="15"/>
  <c r="G68" i="29"/>
  <c r="G16" i="48"/>
  <c r="G272" i="48" s="1"/>
  <c r="C177" i="28" l="1"/>
  <c r="C178" i="28"/>
  <c r="C176" i="28"/>
  <c r="C174" i="28"/>
  <c r="C179" i="28"/>
  <c r="E65" i="15"/>
  <c r="AL100" i="36"/>
  <c r="AL78" i="36"/>
  <c r="AL108" i="36"/>
  <c r="AN60" i="51"/>
  <c r="H49" i="15"/>
  <c r="AL99" i="36"/>
  <c r="AJ88" i="36"/>
  <c r="E65" i="16"/>
  <c r="H49" i="16"/>
  <c r="H46" i="28"/>
  <c r="E66" i="16"/>
  <c r="D243" i="38"/>
  <c r="F213" i="28"/>
  <c r="F53" i="29"/>
  <c r="F59" i="29"/>
  <c r="G62" i="16" s="1"/>
  <c r="G56" i="15"/>
  <c r="F56" i="29"/>
  <c r="G44" i="16" s="1"/>
  <c r="G44" i="15"/>
  <c r="F50" i="29"/>
  <c r="F47" i="28"/>
  <c r="F54" i="29"/>
  <c r="F57" i="29"/>
  <c r="F52" i="29"/>
  <c r="F49" i="29" s="1"/>
  <c r="F58" i="29"/>
  <c r="F51" i="29"/>
  <c r="F60" i="29"/>
  <c r="G56" i="16" s="1"/>
  <c r="G62" i="15"/>
  <c r="F114" i="28"/>
  <c r="I13" i="42"/>
  <c r="I26" i="42" s="1"/>
  <c r="I41" i="42" s="1"/>
  <c r="I219" i="42" s="1"/>
  <c r="I11" i="42"/>
  <c r="I15" i="42"/>
  <c r="I28" i="42" s="1"/>
  <c r="I43" i="42" s="1"/>
  <c r="I234" i="42" s="1"/>
  <c r="I14" i="42"/>
  <c r="I27" i="42" s="1"/>
  <c r="I42" i="42" s="1"/>
  <c r="I12" i="42"/>
  <c r="I25" i="42" s="1"/>
  <c r="I40" i="42" s="1"/>
  <c r="H80" i="29"/>
  <c r="H79" i="29" s="1"/>
  <c r="I55" i="15"/>
  <c r="H82" i="29"/>
  <c r="I55" i="16" s="1"/>
  <c r="E132" i="29"/>
  <c r="E31" i="29"/>
  <c r="F207" i="38"/>
  <c r="F211" i="38" s="1"/>
  <c r="F206" i="38"/>
  <c r="F210" i="38" s="1"/>
  <c r="F208" i="38"/>
  <c r="F205" i="38"/>
  <c r="F209" i="38" s="1"/>
  <c r="D102" i="42"/>
  <c r="D106" i="42" s="1"/>
  <c r="D103" i="42"/>
  <c r="D107" i="42" s="1"/>
  <c r="D105" i="42"/>
  <c r="D104" i="42"/>
  <c r="D108" i="42" s="1"/>
  <c r="F194" i="53"/>
  <c r="F31" i="53"/>
  <c r="C151" i="28"/>
  <c r="C152" i="28"/>
  <c r="C150" i="28"/>
  <c r="C155" i="28"/>
  <c r="C153" i="28"/>
  <c r="C154" i="28"/>
  <c r="D34" i="29"/>
  <c r="D33" i="29"/>
  <c r="H14" i="38"/>
  <c r="H27" i="38" s="1"/>
  <c r="H42" i="38" s="1"/>
  <c r="H11" i="38"/>
  <c r="H15" i="38"/>
  <c r="H28" i="38" s="1"/>
  <c r="H43" i="38" s="1"/>
  <c r="H234" i="38" s="1"/>
  <c r="H12" i="38"/>
  <c r="H25" i="38" s="1"/>
  <c r="H40" i="38" s="1"/>
  <c r="H13" i="38"/>
  <c r="H26" i="38" s="1"/>
  <c r="H41" i="38" s="1"/>
  <c r="H219" i="38" s="1"/>
  <c r="G152" i="42"/>
  <c r="G156" i="42" s="1"/>
  <c r="G153" i="42"/>
  <c r="G157" i="42" s="1"/>
  <c r="G154" i="42"/>
  <c r="G151" i="42"/>
  <c r="G155" i="42" s="1"/>
  <c r="G16" i="19"/>
  <c r="G24" i="19"/>
  <c r="E31" i="38"/>
  <c r="E278" i="38"/>
  <c r="F143" i="38"/>
  <c r="F147" i="38" s="1"/>
  <c r="F144" i="38"/>
  <c r="F148" i="38" s="1"/>
  <c r="F146" i="38"/>
  <c r="G99" i="36" s="1"/>
  <c r="F145" i="38"/>
  <c r="F149" i="38" s="1"/>
  <c r="F146" i="28"/>
  <c r="F31" i="28"/>
  <c r="C295" i="42"/>
  <c r="C296" i="42"/>
  <c r="C293" i="42"/>
  <c r="C294" i="42"/>
  <c r="D34" i="28"/>
  <c r="D33" i="28"/>
  <c r="H221" i="42"/>
  <c r="H225" i="42" s="1"/>
  <c r="H222" i="42"/>
  <c r="H226" i="42" s="1"/>
  <c r="H220" i="42"/>
  <c r="H224" i="42" s="1"/>
  <c r="H223" i="42"/>
  <c r="E67" i="16"/>
  <c r="E46" i="16"/>
  <c r="I14" i="48"/>
  <c r="I11" i="48"/>
  <c r="I13" i="48"/>
  <c r="I12" i="48"/>
  <c r="I15" i="48"/>
  <c r="I64" i="15"/>
  <c r="H71" i="29"/>
  <c r="I48" i="16" s="1"/>
  <c r="I48" i="15"/>
  <c r="H64" i="29"/>
  <c r="H65" i="29"/>
  <c r="I58" i="15"/>
  <c r="H75" i="29"/>
  <c r="I64" i="16" s="1"/>
  <c r="H74" i="29"/>
  <c r="I45" i="16" s="1"/>
  <c r="I45" i="15"/>
  <c r="H68" i="29"/>
  <c r="H73" i="29"/>
  <c r="I58" i="16" s="1"/>
  <c r="H70" i="29"/>
  <c r="H67" i="29"/>
  <c r="H66" i="29"/>
  <c r="H63" i="29"/>
  <c r="H62" i="29" s="1"/>
  <c r="H72" i="29"/>
  <c r="H13" i="54"/>
  <c r="H26" i="54" s="1"/>
  <c r="H41" i="54" s="1"/>
  <c r="H147" i="54" s="1"/>
  <c r="H148" i="54" s="1"/>
  <c r="H11" i="54"/>
  <c r="H12" i="54"/>
  <c r="H25" i="54" s="1"/>
  <c r="H15" i="54"/>
  <c r="H28" i="54" s="1"/>
  <c r="H14" i="54"/>
  <c r="H27" i="54" s="1"/>
  <c r="F189" i="38"/>
  <c r="F193" i="38" s="1"/>
  <c r="F191" i="38"/>
  <c r="F195" i="38" s="1"/>
  <c r="F190" i="38"/>
  <c r="F194" i="38" s="1"/>
  <c r="D293" i="42"/>
  <c r="D294" i="42"/>
  <c r="D295" i="42"/>
  <c r="D296" i="42"/>
  <c r="G16" i="46"/>
  <c r="G272" i="46" s="1"/>
  <c r="E214" i="28"/>
  <c r="D148" i="28"/>
  <c r="D149" i="28" s="1"/>
  <c r="C149" i="29"/>
  <c r="C147" i="29"/>
  <c r="C148" i="29"/>
  <c r="C150" i="29"/>
  <c r="G136" i="42"/>
  <c r="G140" i="42" s="1"/>
  <c r="G135" i="42"/>
  <c r="G139" i="42" s="1"/>
  <c r="G138" i="42"/>
  <c r="G137" i="42"/>
  <c r="G141" i="42" s="1"/>
  <c r="I11" i="20"/>
  <c r="I15" i="20"/>
  <c r="I14" i="20"/>
  <c r="I13" i="20"/>
  <c r="I12" i="20"/>
  <c r="F152" i="38"/>
  <c r="F156" i="38" s="1"/>
  <c r="F151" i="38"/>
  <c r="F155" i="38" s="1"/>
  <c r="F154" i="38"/>
  <c r="G78" i="36" s="1"/>
  <c r="F153" i="38"/>
  <c r="F157" i="38" s="1"/>
  <c r="F84" i="29"/>
  <c r="G61" i="16"/>
  <c r="I14" i="29"/>
  <c r="I27" i="29" s="1"/>
  <c r="I15" i="29"/>
  <c r="I28" i="29" s="1"/>
  <c r="I12" i="29"/>
  <c r="I25" i="29" s="1"/>
  <c r="I43" i="29" s="1"/>
  <c r="I13" i="29"/>
  <c r="I26" i="29" s="1"/>
  <c r="I44" i="29" s="1"/>
  <c r="I11" i="29"/>
  <c r="H16" i="42"/>
  <c r="H244" i="42" s="1"/>
  <c r="H24" i="42"/>
  <c r="D167" i="29"/>
  <c r="D168" i="29" s="1"/>
  <c r="D144" i="29"/>
  <c r="D145" i="29" s="1"/>
  <c r="G16" i="54"/>
  <c r="G24" i="54"/>
  <c r="G29" i="54" s="1"/>
  <c r="G29" i="28"/>
  <c r="G42" i="28"/>
  <c r="D88" i="29"/>
  <c r="F137" i="38"/>
  <c r="F135" i="38"/>
  <c r="F136" i="38"/>
  <c r="G16" i="53"/>
  <c r="G24" i="53"/>
  <c r="G29" i="53" s="1"/>
  <c r="H204" i="42"/>
  <c r="H196" i="42"/>
  <c r="H188" i="42"/>
  <c r="E59" i="15"/>
  <c r="E66" i="15"/>
  <c r="D181" i="28"/>
  <c r="D182" i="28" s="1"/>
  <c r="D158" i="28"/>
  <c r="F278" i="42"/>
  <c r="F31" i="42"/>
  <c r="H16" i="48"/>
  <c r="H272" i="48" s="1"/>
  <c r="I61" i="15"/>
  <c r="E59" i="16"/>
  <c r="D290" i="42"/>
  <c r="D291" i="42" s="1"/>
  <c r="D313" i="42"/>
  <c r="D314" i="42" s="1"/>
  <c r="E31" i="19"/>
  <c r="E211" i="19"/>
  <c r="C303" i="38"/>
  <c r="C315" i="38" s="1"/>
  <c r="C304" i="38"/>
  <c r="D289" i="42"/>
  <c r="G222" i="38"/>
  <c r="G226" i="38" s="1"/>
  <c r="G220" i="38"/>
  <c r="G224" i="38" s="1"/>
  <c r="G221" i="38"/>
  <c r="G225" i="38" s="1"/>
  <c r="D146" i="29"/>
  <c r="D143" i="29"/>
  <c r="H12" i="19"/>
  <c r="H25" i="19" s="1"/>
  <c r="H11" i="19"/>
  <c r="H13" i="19"/>
  <c r="H26" i="19" s="1"/>
  <c r="H44" i="19" s="1"/>
  <c r="H14" i="19"/>
  <c r="H27" i="19" s="1"/>
  <c r="H15" i="19"/>
  <c r="H28" i="19" s="1"/>
  <c r="G47" i="29"/>
  <c r="G142" i="29" s="1"/>
  <c r="E213" i="28"/>
  <c r="E51" i="29"/>
  <c r="E56" i="29"/>
  <c r="F44" i="16" s="1"/>
  <c r="F56" i="15"/>
  <c r="E47" i="28"/>
  <c r="E114" i="28" s="1"/>
  <c r="E58" i="29"/>
  <c r="E100" i="29" s="1"/>
  <c r="F62" i="15"/>
  <c r="E50" i="29"/>
  <c r="E53" i="29"/>
  <c r="F44" i="15"/>
  <c r="E54" i="29"/>
  <c r="E60" i="29"/>
  <c r="F56" i="16" s="1"/>
  <c r="E57" i="29"/>
  <c r="E59" i="29"/>
  <c r="F62" i="16" s="1"/>
  <c r="E52" i="29"/>
  <c r="E49" i="29" s="1"/>
  <c r="E89" i="29" s="1"/>
  <c r="H235" i="42"/>
  <c r="H239" i="42" s="1"/>
  <c r="H236" i="42"/>
  <c r="H240" i="42" s="1"/>
  <c r="H238" i="42"/>
  <c r="H237" i="42"/>
  <c r="H241" i="42" s="1"/>
  <c r="F194" i="54"/>
  <c r="F31" i="54"/>
  <c r="F44" i="42"/>
  <c r="F288" i="42" s="1"/>
  <c r="F292" i="42" s="1"/>
  <c r="F77" i="42"/>
  <c r="F93" i="42"/>
  <c r="F101" i="42"/>
  <c r="F69" i="42"/>
  <c r="F246" i="42"/>
  <c r="H16" i="28"/>
  <c r="H115" i="28" s="1"/>
  <c r="H24" i="28"/>
  <c r="D243" i="42"/>
  <c r="G199" i="42"/>
  <c r="G203" i="42" s="1"/>
  <c r="G200" i="42"/>
  <c r="G197" i="42"/>
  <c r="G201" i="42" s="1"/>
  <c r="G198" i="42"/>
  <c r="G202" i="42" s="1"/>
  <c r="F146" i="29"/>
  <c r="E278" i="42"/>
  <c r="E31" i="42"/>
  <c r="G235" i="38"/>
  <c r="G239" i="38" s="1"/>
  <c r="G236" i="38"/>
  <c r="G240" i="38" s="1"/>
  <c r="G237" i="38"/>
  <c r="G241" i="38" s="1"/>
  <c r="E31" i="28"/>
  <c r="E146" i="28"/>
  <c r="H46" i="29"/>
  <c r="H85" i="29" s="1"/>
  <c r="H134" i="42"/>
  <c r="H158" i="42"/>
  <c r="H142" i="42"/>
  <c r="H150" i="42"/>
  <c r="E46" i="15"/>
  <c r="E67" i="15"/>
  <c r="G29" i="29"/>
  <c r="G39" i="42"/>
  <c r="G29" i="42"/>
  <c r="D70" i="42"/>
  <c r="D74" i="42" s="1"/>
  <c r="D72" i="42"/>
  <c r="D76" i="42" s="1"/>
  <c r="D71" i="42"/>
  <c r="D75" i="42" s="1"/>
  <c r="D73" i="42"/>
  <c r="G205" i="42"/>
  <c r="G209" i="42" s="1"/>
  <c r="G206" i="42"/>
  <c r="G210" i="42" s="1"/>
  <c r="G208" i="42"/>
  <c r="G207" i="42"/>
  <c r="G211" i="42" s="1"/>
  <c r="C298" i="38"/>
  <c r="C297" i="38"/>
  <c r="E44" i="42"/>
  <c r="E288" i="42" s="1"/>
  <c r="E292" i="42" s="1"/>
  <c r="E77" i="42"/>
  <c r="E101" i="42"/>
  <c r="E93" i="42"/>
  <c r="E69" i="42"/>
  <c r="E246" i="42"/>
  <c r="G188" i="38"/>
  <c r="G196" i="38"/>
  <c r="G204" i="38"/>
  <c r="G85" i="29"/>
  <c r="H61" i="15"/>
  <c r="H12" i="53"/>
  <c r="H25" i="53" s="1"/>
  <c r="H14" i="53"/>
  <c r="H27" i="53" s="1"/>
  <c r="H15" i="53"/>
  <c r="H28" i="53" s="1"/>
  <c r="H11" i="53"/>
  <c r="H13" i="53"/>
  <c r="H26" i="53" s="1"/>
  <c r="H41" i="53" s="1"/>
  <c r="H147" i="53" s="1"/>
  <c r="H148" i="53" s="1"/>
  <c r="I60" i="51" s="1"/>
  <c r="D292" i="38"/>
  <c r="D289" i="38"/>
  <c r="H16" i="29"/>
  <c r="H24" i="29"/>
  <c r="H42" i="29" s="1"/>
  <c r="C164" i="29"/>
  <c r="C160" i="29"/>
  <c r="C161" i="29"/>
  <c r="C165" i="29"/>
  <c r="C162" i="29"/>
  <c r="C163" i="29"/>
  <c r="F29" i="19"/>
  <c r="D81" i="42"/>
  <c r="D79" i="42"/>
  <c r="D83" i="42" s="1"/>
  <c r="D78" i="42"/>
  <c r="D82" i="42" s="1"/>
  <c r="D80" i="42"/>
  <c r="D84" i="42" s="1"/>
  <c r="G189" i="42"/>
  <c r="G193" i="42" s="1"/>
  <c r="G190" i="42"/>
  <c r="G194" i="42" s="1"/>
  <c r="G191" i="42"/>
  <c r="G195" i="42" s="1"/>
  <c r="G192" i="42"/>
  <c r="D247" i="42"/>
  <c r="C280" i="42"/>
  <c r="C281" i="42" s="1"/>
  <c r="G16" i="38"/>
  <c r="G244" i="38" s="1"/>
  <c r="G24" i="38"/>
  <c r="G160" i="42"/>
  <c r="G164" i="42" s="1"/>
  <c r="G161" i="42"/>
  <c r="G165" i="42" s="1"/>
  <c r="G159" i="42"/>
  <c r="G163" i="42" s="1"/>
  <c r="G162" i="42"/>
  <c r="F29" i="38"/>
  <c r="F39" i="38"/>
  <c r="D313" i="38"/>
  <c r="D290" i="38"/>
  <c r="D291" i="38" s="1"/>
  <c r="F31" i="29"/>
  <c r="F132" i="29"/>
  <c r="F143" i="29" s="1"/>
  <c r="D208" i="28"/>
  <c r="D156" i="28"/>
  <c r="D207" i="28"/>
  <c r="C193" i="29"/>
  <c r="C194" i="29"/>
  <c r="C164" i="28"/>
  <c r="C162" i="28"/>
  <c r="C161" i="28"/>
  <c r="C163" i="28"/>
  <c r="D34" i="19"/>
  <c r="D33" i="19"/>
  <c r="D101" i="29"/>
  <c r="C134" i="29"/>
  <c r="C135" i="29" s="1"/>
  <c r="I13" i="28"/>
  <c r="I26" i="28" s="1"/>
  <c r="I44" i="28" s="1"/>
  <c r="I15" i="28"/>
  <c r="I28" i="28" s="1"/>
  <c r="I14" i="28"/>
  <c r="I27" i="28" s="1"/>
  <c r="I12" i="28"/>
  <c r="I25" i="28" s="1"/>
  <c r="I43" i="28" s="1"/>
  <c r="I11" i="28"/>
  <c r="E47" i="29"/>
  <c r="E142" i="29" s="1"/>
  <c r="F199" i="38"/>
  <c r="F203" i="38" s="1"/>
  <c r="F198" i="38"/>
  <c r="F202" i="38" s="1"/>
  <c r="F197" i="38"/>
  <c r="F201" i="38" s="1"/>
  <c r="F200" i="38"/>
  <c r="G100" i="36" s="1"/>
  <c r="D95" i="42"/>
  <c r="D99" i="42" s="1"/>
  <c r="D96" i="42"/>
  <c r="D100" i="42" s="1"/>
  <c r="D97" i="42"/>
  <c r="D94" i="42"/>
  <c r="D98" i="42" s="1"/>
  <c r="H14" i="46"/>
  <c r="H12" i="46"/>
  <c r="H13" i="46"/>
  <c r="H11" i="46"/>
  <c r="H15" i="46"/>
  <c r="C309" i="42"/>
  <c r="C307" i="42"/>
  <c r="C306" i="42"/>
  <c r="C311" i="42"/>
  <c r="C308" i="42"/>
  <c r="C310" i="42"/>
  <c r="G134" i="38"/>
  <c r="G142" i="38"/>
  <c r="G150" i="38"/>
  <c r="G158" i="38"/>
  <c r="G146" i="42"/>
  <c r="G143" i="42"/>
  <c r="G147" i="42" s="1"/>
  <c r="G144" i="42"/>
  <c r="G148" i="42" s="1"/>
  <c r="G145" i="42"/>
  <c r="G149" i="42" s="1"/>
  <c r="E44" i="38"/>
  <c r="E288" i="38" s="1"/>
  <c r="E69" i="38"/>
  <c r="E70" i="38" s="1"/>
  <c r="E77" i="38"/>
  <c r="E101" i="38"/>
  <c r="E93" i="38"/>
  <c r="E246" i="38"/>
  <c r="F160" i="38"/>
  <c r="F164" i="38" s="1"/>
  <c r="F162" i="38"/>
  <c r="G108" i="36" s="1"/>
  <c r="F159" i="38"/>
  <c r="F163" i="38" s="1"/>
  <c r="F161" i="38"/>
  <c r="F165" i="38" s="1"/>
  <c r="F65" i="16" l="1"/>
  <c r="AM78" i="36"/>
  <c r="G65" i="15"/>
  <c r="AO60" i="51"/>
  <c r="AM108" i="36"/>
  <c r="I49" i="15"/>
  <c r="AM99" i="36"/>
  <c r="AM100" i="36"/>
  <c r="F65" i="15"/>
  <c r="I49" i="16"/>
  <c r="E243" i="38"/>
  <c r="I46" i="28"/>
  <c r="F243" i="42"/>
  <c r="H84" i="29"/>
  <c r="I61" i="16"/>
  <c r="G146" i="38"/>
  <c r="H99" i="36" s="1"/>
  <c r="G145" i="38"/>
  <c r="G149" i="38" s="1"/>
  <c r="G143" i="38"/>
  <c r="G147" i="38" s="1"/>
  <c r="G144" i="38"/>
  <c r="G148" i="38" s="1"/>
  <c r="I11" i="46"/>
  <c r="I15" i="46"/>
  <c r="I14" i="46"/>
  <c r="I12" i="46"/>
  <c r="I13" i="46"/>
  <c r="E143" i="29"/>
  <c r="E146" i="29"/>
  <c r="D134" i="29"/>
  <c r="D135" i="29" s="1"/>
  <c r="E101" i="29"/>
  <c r="F44" i="38"/>
  <c r="F288" i="38" s="1"/>
  <c r="F93" i="38"/>
  <c r="F246" i="38"/>
  <c r="F101" i="38"/>
  <c r="F77" i="38"/>
  <c r="F69" i="38"/>
  <c r="F70" i="38" s="1"/>
  <c r="I11" i="53"/>
  <c r="I13" i="53"/>
  <c r="I26" i="53" s="1"/>
  <c r="I41" i="53" s="1"/>
  <c r="I147" i="53" s="1"/>
  <c r="I148" i="53" s="1"/>
  <c r="J60" i="51" s="1"/>
  <c r="I12" i="53"/>
  <c r="I25" i="53" s="1"/>
  <c r="I15" i="53"/>
  <c r="I28" i="53" s="1"/>
  <c r="I14" i="53"/>
  <c r="I27" i="53" s="1"/>
  <c r="E313" i="42"/>
  <c r="E314" i="42" s="1"/>
  <c r="E290" i="42"/>
  <c r="E291" i="42" s="1"/>
  <c r="G278" i="42"/>
  <c r="G31" i="42"/>
  <c r="E34" i="28"/>
  <c r="E33" i="28"/>
  <c r="F73" i="42"/>
  <c r="F71" i="42"/>
  <c r="F75" i="42" s="1"/>
  <c r="F70" i="42"/>
  <c r="F74" i="42" s="1"/>
  <c r="F72" i="42"/>
  <c r="F76" i="42" s="1"/>
  <c r="F66" i="16"/>
  <c r="F59" i="16"/>
  <c r="F66" i="15"/>
  <c r="F59" i="15"/>
  <c r="I14" i="19"/>
  <c r="I27" i="19" s="1"/>
  <c r="I15" i="19"/>
  <c r="I28" i="19" s="1"/>
  <c r="I11" i="19"/>
  <c r="I12" i="19"/>
  <c r="I25" i="19" s="1"/>
  <c r="I13" i="19"/>
  <c r="I26" i="19" s="1"/>
  <c r="I44" i="19" s="1"/>
  <c r="H199" i="42"/>
  <c r="H203" i="42" s="1"/>
  <c r="H200" i="42"/>
  <c r="H197" i="42"/>
  <c r="H201" i="42" s="1"/>
  <c r="H198" i="42"/>
  <c r="H202" i="42" s="1"/>
  <c r="G31" i="54"/>
  <c r="G194" i="54"/>
  <c r="C297" i="42"/>
  <c r="C298" i="42"/>
  <c r="I15" i="38"/>
  <c r="I28" i="38" s="1"/>
  <c r="I43" i="38" s="1"/>
  <c r="I234" i="38" s="1"/>
  <c r="I14" i="38"/>
  <c r="I27" i="38" s="1"/>
  <c r="I42" i="38" s="1"/>
  <c r="I11" i="38"/>
  <c r="I12" i="38"/>
  <c r="I25" i="38" s="1"/>
  <c r="I40" i="38" s="1"/>
  <c r="I13" i="38"/>
  <c r="I26" i="38" s="1"/>
  <c r="I41" i="38" s="1"/>
  <c r="I219" i="38" s="1"/>
  <c r="D194" i="29"/>
  <c r="D193" i="29"/>
  <c r="I24" i="42"/>
  <c r="I16" i="42"/>
  <c r="I244" i="42" s="1"/>
  <c r="G59" i="16"/>
  <c r="G66" i="16"/>
  <c r="G46" i="15"/>
  <c r="G67" i="15"/>
  <c r="G135" i="38"/>
  <c r="G136" i="38"/>
  <c r="G137" i="38"/>
  <c r="J13" i="28"/>
  <c r="J26" i="28" s="1"/>
  <c r="J44" i="28" s="1"/>
  <c r="J11" i="28"/>
  <c r="J12" i="28"/>
  <c r="J25" i="28" s="1"/>
  <c r="J43" i="28" s="1"/>
  <c r="J15" i="28"/>
  <c r="J28" i="28" s="1"/>
  <c r="J14" i="28"/>
  <c r="J27" i="28" s="1"/>
  <c r="F31" i="38"/>
  <c r="F278" i="38"/>
  <c r="E71" i="42"/>
  <c r="E75" i="42" s="1"/>
  <c r="E72" i="42"/>
  <c r="E76" i="42" s="1"/>
  <c r="E73" i="42"/>
  <c r="E70" i="42"/>
  <c r="E74" i="42" s="1"/>
  <c r="G44" i="42"/>
  <c r="G288" i="42" s="1"/>
  <c r="G292" i="42" s="1"/>
  <c r="G93" i="42"/>
  <c r="G69" i="42"/>
  <c r="G101" i="42"/>
  <c r="G77" i="42"/>
  <c r="G246" i="42"/>
  <c r="E289" i="42"/>
  <c r="F102" i="42"/>
  <c r="F106" i="42" s="1"/>
  <c r="F105" i="42"/>
  <c r="F103" i="42"/>
  <c r="F107" i="42" s="1"/>
  <c r="F104" i="42"/>
  <c r="F108" i="42" s="1"/>
  <c r="F67" i="16"/>
  <c r="F46" i="16"/>
  <c r="H206" i="42"/>
  <c r="H210" i="42" s="1"/>
  <c r="H207" i="42"/>
  <c r="H211" i="42" s="1"/>
  <c r="H205" i="42"/>
  <c r="H209" i="42" s="1"/>
  <c r="H208" i="42"/>
  <c r="C158" i="29"/>
  <c r="C157" i="29"/>
  <c r="C169" i="29" s="1"/>
  <c r="C170" i="29" s="1"/>
  <c r="C171" i="29" s="1"/>
  <c r="I12" i="54"/>
  <c r="I25" i="54" s="1"/>
  <c r="I15" i="54"/>
  <c r="I28" i="54" s="1"/>
  <c r="I13" i="54"/>
  <c r="I26" i="54" s="1"/>
  <c r="I41" i="54" s="1"/>
  <c r="I147" i="54" s="1"/>
  <c r="I148" i="54" s="1"/>
  <c r="I14" i="54"/>
  <c r="I27" i="54" s="1"/>
  <c r="I11" i="54"/>
  <c r="H220" i="38"/>
  <c r="H224" i="38" s="1"/>
  <c r="H222" i="38"/>
  <c r="H226" i="38" s="1"/>
  <c r="H221" i="38"/>
  <c r="H225" i="38" s="1"/>
  <c r="I221" i="42"/>
  <c r="I225" i="42" s="1"/>
  <c r="I222" i="42"/>
  <c r="I226" i="42" s="1"/>
  <c r="I220" i="42"/>
  <c r="I224" i="42" s="1"/>
  <c r="I223" i="42"/>
  <c r="G67" i="16"/>
  <c r="G46" i="16"/>
  <c r="H16" i="46"/>
  <c r="H272" i="46" s="1"/>
  <c r="I16" i="28"/>
  <c r="I115" i="28" s="1"/>
  <c r="I24" i="28"/>
  <c r="D160" i="28"/>
  <c r="D159" i="28"/>
  <c r="D157" i="28"/>
  <c r="G29" i="38"/>
  <c r="G39" i="38"/>
  <c r="H47" i="29"/>
  <c r="H142" i="29" s="1"/>
  <c r="D293" i="38"/>
  <c r="D295" i="38"/>
  <c r="D294" i="38"/>
  <c r="D296" i="38"/>
  <c r="E94" i="42"/>
  <c r="E98" i="42" s="1"/>
  <c r="E95" i="42"/>
  <c r="E99" i="42" s="1"/>
  <c r="E96" i="42"/>
  <c r="E100" i="42" s="1"/>
  <c r="E97" i="42"/>
  <c r="G132" i="29"/>
  <c r="G31" i="29"/>
  <c r="H153" i="42"/>
  <c r="H157" i="42" s="1"/>
  <c r="H151" i="42"/>
  <c r="H155" i="42" s="1"/>
  <c r="H152" i="42"/>
  <c r="H156" i="42" s="1"/>
  <c r="H154" i="42"/>
  <c r="F150" i="29"/>
  <c r="F148" i="29"/>
  <c r="F149" i="29"/>
  <c r="F147" i="29"/>
  <c r="F97" i="42"/>
  <c r="F94" i="42"/>
  <c r="F98" i="42" s="1"/>
  <c r="F96" i="42"/>
  <c r="F100" i="42" s="1"/>
  <c r="F95" i="42"/>
  <c r="F99" i="42" s="1"/>
  <c r="F67" i="15"/>
  <c r="F46" i="15"/>
  <c r="G194" i="53"/>
  <c r="G31" i="53"/>
  <c r="I46" i="29"/>
  <c r="J11" i="48"/>
  <c r="J12" i="48"/>
  <c r="J13" i="48"/>
  <c r="J15" i="48"/>
  <c r="J14" i="48"/>
  <c r="F34" i="28"/>
  <c r="F33" i="28"/>
  <c r="G29" i="19"/>
  <c r="H134" i="38"/>
  <c r="H150" i="38"/>
  <c r="H158" i="38"/>
  <c r="H142" i="38"/>
  <c r="F88" i="29"/>
  <c r="F100" i="29"/>
  <c r="G59" i="15"/>
  <c r="G66" i="15"/>
  <c r="E289" i="38"/>
  <c r="E292" i="38"/>
  <c r="I66" i="29"/>
  <c r="I74" i="29"/>
  <c r="J45" i="16" s="1"/>
  <c r="I68" i="29"/>
  <c r="J58" i="15"/>
  <c r="I65" i="29"/>
  <c r="I72" i="29"/>
  <c r="J45" i="15"/>
  <c r="I63" i="29"/>
  <c r="I62" i="29" s="1"/>
  <c r="I71" i="29"/>
  <c r="J48" i="16" s="1"/>
  <c r="J64" i="15"/>
  <c r="I64" i="29"/>
  <c r="I73" i="29"/>
  <c r="J58" i="16" s="1"/>
  <c r="J48" i="15"/>
  <c r="I67" i="29"/>
  <c r="I75" i="29"/>
  <c r="J64" i="16" s="1"/>
  <c r="I70" i="29"/>
  <c r="C165" i="28"/>
  <c r="C166" i="28"/>
  <c r="F31" i="19"/>
  <c r="F211" i="19"/>
  <c r="G84" i="29"/>
  <c r="H61" i="16"/>
  <c r="E102" i="42"/>
  <c r="E106" i="42" s="1"/>
  <c r="E103" i="42"/>
  <c r="E107" i="42" s="1"/>
  <c r="E105" i="42"/>
  <c r="E104" i="42"/>
  <c r="E108" i="42" s="1"/>
  <c r="H146" i="42"/>
  <c r="H143" i="42"/>
  <c r="H147" i="42" s="1"/>
  <c r="H145" i="42"/>
  <c r="H149" i="42" s="1"/>
  <c r="H144" i="42"/>
  <c r="H148" i="42" s="1"/>
  <c r="F80" i="42"/>
  <c r="F84" i="42" s="1"/>
  <c r="F81" i="42"/>
  <c r="F79" i="42"/>
  <c r="F83" i="42" s="1"/>
  <c r="F78" i="42"/>
  <c r="F82" i="42" s="1"/>
  <c r="H29" i="29"/>
  <c r="E181" i="28"/>
  <c r="E182" i="28" s="1"/>
  <c r="E158" i="28"/>
  <c r="D303" i="42"/>
  <c r="D315" i="42" s="1"/>
  <c r="D316" i="42" s="1"/>
  <c r="D304" i="42"/>
  <c r="H235" i="38"/>
  <c r="H239" i="38" s="1"/>
  <c r="H236" i="38"/>
  <c r="H240" i="38" s="1"/>
  <c r="H237" i="38"/>
  <c r="H241" i="38" s="1"/>
  <c r="F89" i="29"/>
  <c r="G65" i="16"/>
  <c r="C284" i="42"/>
  <c r="C283" i="42"/>
  <c r="C287" i="42"/>
  <c r="C285" i="42"/>
  <c r="C286" i="42"/>
  <c r="C282" i="42"/>
  <c r="G205" i="38"/>
  <c r="G209" i="38" s="1"/>
  <c r="G208" i="38"/>
  <c r="G206" i="38"/>
  <c r="G210" i="38" s="1"/>
  <c r="G207" i="38"/>
  <c r="G211" i="38" s="1"/>
  <c r="E81" i="42"/>
  <c r="E78" i="42"/>
  <c r="E82" i="42" s="1"/>
  <c r="E80" i="42"/>
  <c r="E84" i="42" s="1"/>
  <c r="E79" i="42"/>
  <c r="E83" i="42" s="1"/>
  <c r="E68" i="15"/>
  <c r="H160" i="42"/>
  <c r="H164" i="42" s="1"/>
  <c r="H161" i="42"/>
  <c r="H165" i="42" s="1"/>
  <c r="H162" i="42"/>
  <c r="H159" i="42"/>
  <c r="H163" i="42" s="1"/>
  <c r="H29" i="28"/>
  <c r="H42" i="28"/>
  <c r="F295" i="42"/>
  <c r="F296" i="42"/>
  <c r="F293" i="42"/>
  <c r="F294" i="42"/>
  <c r="H16" i="19"/>
  <c r="H24" i="19"/>
  <c r="E33" i="19"/>
  <c r="E34" i="19"/>
  <c r="H39" i="42"/>
  <c r="H29" i="42"/>
  <c r="C151" i="29"/>
  <c r="C152" i="29"/>
  <c r="D298" i="42"/>
  <c r="D297" i="42"/>
  <c r="H16" i="38"/>
  <c r="H244" i="38" s="1"/>
  <c r="H24" i="38"/>
  <c r="E33" i="29"/>
  <c r="E34" i="29"/>
  <c r="J11" i="42"/>
  <c r="J12" i="42"/>
  <c r="J25" i="42" s="1"/>
  <c r="J40" i="42" s="1"/>
  <c r="J15" i="42"/>
  <c r="J28" i="42" s="1"/>
  <c r="J43" i="42" s="1"/>
  <c r="J234" i="42" s="1"/>
  <c r="J14" i="42"/>
  <c r="J27" i="42" s="1"/>
  <c r="J42" i="42" s="1"/>
  <c r="J13" i="42"/>
  <c r="J26" i="42" s="1"/>
  <c r="J41" i="42" s="1"/>
  <c r="J219" i="42" s="1"/>
  <c r="J61" i="15"/>
  <c r="D309" i="38"/>
  <c r="D310" i="38"/>
  <c r="D311" i="38"/>
  <c r="D307" i="38"/>
  <c r="D308" i="38"/>
  <c r="D306" i="38"/>
  <c r="D280" i="42"/>
  <c r="D281" i="42" s="1"/>
  <c r="E247" i="42"/>
  <c r="H16" i="53"/>
  <c r="H24" i="53"/>
  <c r="H29" i="53" s="1"/>
  <c r="G200" i="38"/>
  <c r="H100" i="36" s="1"/>
  <c r="G197" i="38"/>
  <c r="G201" i="38" s="1"/>
  <c r="G199" i="38"/>
  <c r="G203" i="38" s="1"/>
  <c r="G198" i="38"/>
  <c r="G202" i="38" s="1"/>
  <c r="E294" i="42"/>
  <c r="E296" i="42"/>
  <c r="E295" i="42"/>
  <c r="E293" i="42"/>
  <c r="H135" i="42"/>
  <c r="H139" i="42" s="1"/>
  <c r="H136" i="42"/>
  <c r="H140" i="42" s="1"/>
  <c r="H138" i="42"/>
  <c r="H137" i="42"/>
  <c r="H141" i="42" s="1"/>
  <c r="G146" i="29"/>
  <c r="G143" i="29"/>
  <c r="D161" i="29"/>
  <c r="D163" i="29"/>
  <c r="D165" i="29"/>
  <c r="D160" i="29"/>
  <c r="D162" i="29"/>
  <c r="D164" i="29"/>
  <c r="D150" i="28"/>
  <c r="D155" i="28"/>
  <c r="D153" i="28"/>
  <c r="D154" i="28"/>
  <c r="D152" i="28"/>
  <c r="D151" i="28"/>
  <c r="E68" i="16"/>
  <c r="E77" i="16"/>
  <c r="H204" i="38"/>
  <c r="H188" i="38"/>
  <c r="H196" i="38"/>
  <c r="I134" i="42"/>
  <c r="I142" i="42"/>
  <c r="I150" i="42"/>
  <c r="I158" i="42"/>
  <c r="F181" i="28"/>
  <c r="F182" i="28" s="1"/>
  <c r="F158" i="28"/>
  <c r="E290" i="38"/>
  <c r="E291" i="38" s="1"/>
  <c r="E313" i="38"/>
  <c r="G159" i="38"/>
  <c r="G163" i="38" s="1"/>
  <c r="G162" i="38"/>
  <c r="H108" i="36" s="1"/>
  <c r="G160" i="38"/>
  <c r="G164" i="38" s="1"/>
  <c r="G161" i="38"/>
  <c r="G165" i="38" s="1"/>
  <c r="E88" i="29"/>
  <c r="I80" i="29"/>
  <c r="I79" i="29" s="1"/>
  <c r="I82" i="29"/>
  <c r="J55" i="16" s="1"/>
  <c r="J55" i="15"/>
  <c r="C171" i="28"/>
  <c r="C183" i="28" s="1"/>
  <c r="C184" i="28" s="1"/>
  <c r="C185" i="28" s="1"/>
  <c r="C172" i="28"/>
  <c r="G191" i="38"/>
  <c r="G195" i="38" s="1"/>
  <c r="G189" i="38"/>
  <c r="G193" i="38" s="1"/>
  <c r="G190" i="38"/>
  <c r="G194" i="38" s="1"/>
  <c r="D311" i="42"/>
  <c r="D306" i="42"/>
  <c r="D309" i="42"/>
  <c r="D308" i="42"/>
  <c r="D310" i="42"/>
  <c r="D307" i="42"/>
  <c r="F289" i="42"/>
  <c r="G213" i="28"/>
  <c r="G58" i="29"/>
  <c r="G60" i="29"/>
  <c r="H56" i="16" s="1"/>
  <c r="G47" i="28"/>
  <c r="G50" i="29"/>
  <c r="H62" i="15"/>
  <c r="G59" i="29"/>
  <c r="H62" i="16" s="1"/>
  <c r="H56" i="15"/>
  <c r="G52" i="29"/>
  <c r="G49" i="29" s="1"/>
  <c r="G54" i="29"/>
  <c r="H44" i="15"/>
  <c r="G51" i="29"/>
  <c r="G57" i="29"/>
  <c r="G53" i="29"/>
  <c r="G56" i="29"/>
  <c r="H44" i="16" s="1"/>
  <c r="J13" i="29"/>
  <c r="J26" i="29" s="1"/>
  <c r="J44" i="29" s="1"/>
  <c r="J12" i="29"/>
  <c r="J25" i="29" s="1"/>
  <c r="J43" i="29" s="1"/>
  <c r="J14" i="29"/>
  <c r="J27" i="29" s="1"/>
  <c r="J11" i="29"/>
  <c r="J15" i="29"/>
  <c r="J28" i="29" s="1"/>
  <c r="F214" i="28"/>
  <c r="E148" i="28"/>
  <c r="E149" i="28" s="1"/>
  <c r="I16" i="48"/>
  <c r="I272" i="48" s="1"/>
  <c r="I204" i="42"/>
  <c r="I196" i="42"/>
  <c r="I188" i="42"/>
  <c r="F208" i="28"/>
  <c r="F207" i="28"/>
  <c r="F156" i="28"/>
  <c r="G152" i="38"/>
  <c r="G156" i="38" s="1"/>
  <c r="G154" i="38"/>
  <c r="H78" i="36" s="1"/>
  <c r="G153" i="38"/>
  <c r="G157" i="38" s="1"/>
  <c r="G151" i="38"/>
  <c r="G155" i="38" s="1"/>
  <c r="E167" i="29"/>
  <c r="E168" i="29" s="1"/>
  <c r="E144" i="29"/>
  <c r="E145" i="29" s="1"/>
  <c r="C141" i="29"/>
  <c r="C139" i="29"/>
  <c r="C140" i="29"/>
  <c r="C138" i="29"/>
  <c r="C137" i="29"/>
  <c r="C136" i="29"/>
  <c r="F34" i="29"/>
  <c r="F33" i="29"/>
  <c r="E243" i="42"/>
  <c r="C299" i="38"/>
  <c r="C300" i="38"/>
  <c r="F313" i="42"/>
  <c r="F314" i="42" s="1"/>
  <c r="F290" i="42"/>
  <c r="F291" i="42" s="1"/>
  <c r="E207" i="28"/>
  <c r="E156" i="28"/>
  <c r="E208" i="28"/>
  <c r="D147" i="29"/>
  <c r="D150" i="29"/>
  <c r="D149" i="29"/>
  <c r="D148" i="29"/>
  <c r="H189" i="42"/>
  <c r="H193" i="42" s="1"/>
  <c r="H190" i="42"/>
  <c r="H194" i="42" s="1"/>
  <c r="H191" i="42"/>
  <c r="H195" i="42" s="1"/>
  <c r="H192" i="42"/>
  <c r="G146" i="28"/>
  <c r="G31" i="28"/>
  <c r="I16" i="29"/>
  <c r="I24" i="29"/>
  <c r="J12" i="20"/>
  <c r="J13" i="20"/>
  <c r="J11" i="20"/>
  <c r="J15" i="20"/>
  <c r="J14" i="20"/>
  <c r="H24" i="54"/>
  <c r="H29" i="54" s="1"/>
  <c r="H16" i="54"/>
  <c r="C303" i="42"/>
  <c r="C315" i="42" s="1"/>
  <c r="C316" i="42" s="1"/>
  <c r="C317" i="42" s="1"/>
  <c r="C304" i="42"/>
  <c r="I237" i="42"/>
  <c r="I241" i="42" s="1"/>
  <c r="I236" i="42"/>
  <c r="I240" i="42" s="1"/>
  <c r="I238" i="42"/>
  <c r="I235" i="42"/>
  <c r="I239" i="42" s="1"/>
  <c r="AP60" i="51" l="1"/>
  <c r="H65" i="15"/>
  <c r="AN108" i="36"/>
  <c r="AN100" i="36"/>
  <c r="I85" i="29"/>
  <c r="E77" i="15"/>
  <c r="J49" i="15"/>
  <c r="AN99" i="36"/>
  <c r="AN78" i="36"/>
  <c r="J49" i="16"/>
  <c r="H65" i="16"/>
  <c r="D317" i="42"/>
  <c r="D318" i="42" s="1"/>
  <c r="D319" i="42" s="1"/>
  <c r="G243" i="42"/>
  <c r="C172" i="29"/>
  <c r="C173" i="29" s="1"/>
  <c r="C320" i="42"/>
  <c r="C325" i="42" s="1"/>
  <c r="C326" i="42" s="1"/>
  <c r="C335" i="42" s="1"/>
  <c r="G89" i="29"/>
  <c r="J80" i="29"/>
  <c r="J79" i="29" s="1"/>
  <c r="F243" i="38"/>
  <c r="I29" i="29"/>
  <c r="I42" i="29"/>
  <c r="F160" i="28"/>
  <c r="F157" i="28"/>
  <c r="F159" i="28"/>
  <c r="G208" i="28"/>
  <c r="G207" i="28"/>
  <c r="G156" i="28"/>
  <c r="I159" i="42"/>
  <c r="I163" i="42" s="1"/>
  <c r="I160" i="42"/>
  <c r="I164" i="42" s="1"/>
  <c r="I162" i="42"/>
  <c r="I161" i="42"/>
  <c r="I165" i="42" s="1"/>
  <c r="J134" i="42"/>
  <c r="J150" i="42"/>
  <c r="J142" i="42"/>
  <c r="J158" i="42"/>
  <c r="C153" i="29"/>
  <c r="C154" i="29"/>
  <c r="F298" i="42"/>
  <c r="F297" i="42"/>
  <c r="G44" i="38"/>
  <c r="G288" i="38" s="1"/>
  <c r="G101" i="38"/>
  <c r="G246" i="38"/>
  <c r="G69" i="38"/>
  <c r="G70" i="38" s="1"/>
  <c r="G93" i="38"/>
  <c r="G77" i="38"/>
  <c r="J82" i="29"/>
  <c r="K55" i="16" s="1"/>
  <c r="K55" i="15"/>
  <c r="I16" i="38"/>
  <c r="I244" i="38" s="1"/>
  <c r="I24" i="38"/>
  <c r="F101" i="29"/>
  <c r="E134" i="29"/>
  <c r="E135" i="29" s="1"/>
  <c r="F306" i="42"/>
  <c r="F310" i="42"/>
  <c r="F308" i="42"/>
  <c r="F311" i="42"/>
  <c r="F309" i="42"/>
  <c r="F307" i="42"/>
  <c r="F193" i="29"/>
  <c r="F194" i="29"/>
  <c r="E161" i="29"/>
  <c r="E163" i="29"/>
  <c r="E165" i="29"/>
  <c r="E160" i="29"/>
  <c r="E162" i="29"/>
  <c r="E164" i="29"/>
  <c r="H67" i="15"/>
  <c r="H46" i="15"/>
  <c r="H66" i="16"/>
  <c r="H59" i="16"/>
  <c r="C186" i="28"/>
  <c r="C187" i="28" s="1"/>
  <c r="C188" i="28"/>
  <c r="I152" i="42"/>
  <c r="I156" i="42" s="1"/>
  <c r="I154" i="42"/>
  <c r="I151" i="42"/>
  <c r="I155" i="42" s="1"/>
  <c r="I153" i="42"/>
  <c r="I157" i="42" s="1"/>
  <c r="J16" i="42"/>
  <c r="J244" i="42" s="1"/>
  <c r="J24" i="42"/>
  <c r="H213" i="28"/>
  <c r="H53" i="29"/>
  <c r="H57" i="29"/>
  <c r="I62" i="15"/>
  <c r="H50" i="29"/>
  <c r="I56" i="15"/>
  <c r="H59" i="29"/>
  <c r="I62" i="16" s="1"/>
  <c r="I44" i="15"/>
  <c r="H47" i="28"/>
  <c r="H54" i="29"/>
  <c r="H58" i="29"/>
  <c r="H52" i="29"/>
  <c r="H49" i="29" s="1"/>
  <c r="H89" i="29" s="1"/>
  <c r="H60" i="29"/>
  <c r="I56" i="16" s="1"/>
  <c r="H56" i="29"/>
  <c r="I44" i="16" s="1"/>
  <c r="H51" i="29"/>
  <c r="G31" i="19"/>
  <c r="G211" i="19"/>
  <c r="J16" i="48"/>
  <c r="J272" i="48" s="1"/>
  <c r="G33" i="29"/>
  <c r="G34" i="29"/>
  <c r="G278" i="38"/>
  <c r="G31" i="38"/>
  <c r="G68" i="16"/>
  <c r="G77" i="16"/>
  <c r="C174" i="29"/>
  <c r="G290" i="42"/>
  <c r="G291" i="42" s="1"/>
  <c r="G313" i="42"/>
  <c r="G314" i="42" s="1"/>
  <c r="I196" i="38"/>
  <c r="I204" i="38"/>
  <c r="I188" i="38"/>
  <c r="D140" i="29"/>
  <c r="D137" i="29"/>
  <c r="D139" i="29"/>
  <c r="D141" i="29"/>
  <c r="D136" i="29"/>
  <c r="D138" i="29"/>
  <c r="I16" i="46"/>
  <c r="I272" i="46" s="1"/>
  <c r="K13" i="20"/>
  <c r="K12" i="20"/>
  <c r="K11" i="20"/>
  <c r="K14" i="20"/>
  <c r="K15" i="20"/>
  <c r="G34" i="28"/>
  <c r="G33" i="28"/>
  <c r="E150" i="28"/>
  <c r="E154" i="28"/>
  <c r="E152" i="28"/>
  <c r="E155" i="28"/>
  <c r="E151" i="28"/>
  <c r="E153" i="28"/>
  <c r="G100" i="29"/>
  <c r="G88" i="29"/>
  <c r="I143" i="42"/>
  <c r="I147" i="42" s="1"/>
  <c r="I144" i="42"/>
  <c r="I148" i="42" s="1"/>
  <c r="I146" i="42"/>
  <c r="I145" i="42"/>
  <c r="I149" i="42" s="1"/>
  <c r="H278" i="42"/>
  <c r="H31" i="42"/>
  <c r="H146" i="28"/>
  <c r="H31" i="28"/>
  <c r="F167" i="29"/>
  <c r="F168" i="29" s="1"/>
  <c r="F144" i="29"/>
  <c r="F145" i="29" s="1"/>
  <c r="F152" i="29"/>
  <c r="F151" i="29"/>
  <c r="H146" i="29"/>
  <c r="G80" i="42"/>
  <c r="G84" i="42" s="1"/>
  <c r="G79" i="42"/>
  <c r="G83" i="42" s="1"/>
  <c r="G81" i="42"/>
  <c r="G78" i="42"/>
  <c r="G82" i="42" s="1"/>
  <c r="I39" i="42"/>
  <c r="I29" i="42"/>
  <c r="I235" i="38"/>
  <c r="I239" i="38" s="1"/>
  <c r="I237" i="38"/>
  <c r="I241" i="38" s="1"/>
  <c r="I236" i="38"/>
  <c r="I240" i="38" s="1"/>
  <c r="G289" i="42"/>
  <c r="I16" i="53"/>
  <c r="I24" i="53"/>
  <c r="I29" i="53" s="1"/>
  <c r="E147" i="29"/>
  <c r="E150" i="29"/>
  <c r="E148" i="29"/>
  <c r="E149" i="29"/>
  <c r="D151" i="29"/>
  <c r="D152" i="29"/>
  <c r="I189" i="42"/>
  <c r="I193" i="42" s="1"/>
  <c r="I190" i="42"/>
  <c r="I194" i="42" s="1"/>
  <c r="I191" i="42"/>
  <c r="I195" i="42" s="1"/>
  <c r="I192" i="42"/>
  <c r="G214" i="28"/>
  <c r="F148" i="28"/>
  <c r="F149" i="28" s="1"/>
  <c r="G181" i="28"/>
  <c r="G182" i="28" s="1"/>
  <c r="G158" i="28"/>
  <c r="I137" i="42"/>
  <c r="I141" i="42" s="1"/>
  <c r="I136" i="42"/>
  <c r="I140" i="42" s="1"/>
  <c r="I138" i="42"/>
  <c r="I135" i="42"/>
  <c r="I139" i="42" s="1"/>
  <c r="G149" i="29"/>
  <c r="G150" i="29"/>
  <c r="G147" i="29"/>
  <c r="G148" i="29"/>
  <c r="H194" i="53"/>
  <c r="H31" i="53"/>
  <c r="E194" i="29"/>
  <c r="E193" i="29"/>
  <c r="H44" i="42"/>
  <c r="H288" i="42" s="1"/>
  <c r="H292" i="42" s="1"/>
  <c r="H101" i="42"/>
  <c r="H77" i="42"/>
  <c r="H93" i="42"/>
  <c r="H69" i="42"/>
  <c r="H246" i="42"/>
  <c r="H29" i="19"/>
  <c r="D177" i="28"/>
  <c r="D175" i="28"/>
  <c r="D178" i="28"/>
  <c r="D179" i="28"/>
  <c r="D176" i="28"/>
  <c r="D174" i="28"/>
  <c r="I24" i="54"/>
  <c r="I29" i="54" s="1"/>
  <c r="I16" i="54"/>
  <c r="F68" i="16"/>
  <c r="F77" i="16"/>
  <c r="G104" i="42"/>
  <c r="G108" i="42" s="1"/>
  <c r="G105" i="42"/>
  <c r="G103" i="42"/>
  <c r="G107" i="42" s="1"/>
  <c r="G102" i="42"/>
  <c r="G106" i="42" s="1"/>
  <c r="K15" i="28"/>
  <c r="K28" i="28" s="1"/>
  <c r="K14" i="28"/>
  <c r="K27" i="28" s="1"/>
  <c r="K11" i="28"/>
  <c r="K12" i="28"/>
  <c r="K25" i="28" s="1"/>
  <c r="K43" i="28" s="1"/>
  <c r="K13" i="28"/>
  <c r="K26" i="28" s="1"/>
  <c r="K44" i="28" s="1"/>
  <c r="C300" i="42"/>
  <c r="C299" i="42"/>
  <c r="E309" i="42"/>
  <c r="E311" i="42"/>
  <c r="E308" i="42"/>
  <c r="E307" i="42"/>
  <c r="E306" i="42"/>
  <c r="E310" i="42"/>
  <c r="D158" i="29"/>
  <c r="D157" i="29"/>
  <c r="C301" i="38"/>
  <c r="C305" i="38" s="1"/>
  <c r="C302" i="38"/>
  <c r="I198" i="42"/>
  <c r="I202" i="42" s="1"/>
  <c r="I197" i="42"/>
  <c r="I201" i="42" s="1"/>
  <c r="I200" i="42"/>
  <c r="I199" i="42"/>
  <c r="I203" i="42" s="1"/>
  <c r="K14" i="29"/>
  <c r="K27" i="29" s="1"/>
  <c r="K11" i="29"/>
  <c r="K13" i="29"/>
  <c r="K26" i="29" s="1"/>
  <c r="K44" i="29" s="1"/>
  <c r="K15" i="29"/>
  <c r="K28" i="29" s="1"/>
  <c r="K12" i="29"/>
  <c r="K25" i="29" s="1"/>
  <c r="K43" i="29" s="1"/>
  <c r="G114" i="28"/>
  <c r="H59" i="15"/>
  <c r="H66" i="15"/>
  <c r="H200" i="38"/>
  <c r="I100" i="36" s="1"/>
  <c r="H199" i="38"/>
  <c r="H203" i="38" s="1"/>
  <c r="H197" i="38"/>
  <c r="H201" i="38" s="1"/>
  <c r="H198" i="38"/>
  <c r="H202" i="38" s="1"/>
  <c r="E298" i="42"/>
  <c r="E297" i="42"/>
  <c r="K13" i="42"/>
  <c r="K26" i="42" s="1"/>
  <c r="K41" i="42" s="1"/>
  <c r="K219" i="42" s="1"/>
  <c r="K15" i="42"/>
  <c r="K28" i="42" s="1"/>
  <c r="K43" i="42" s="1"/>
  <c r="K234" i="42" s="1"/>
  <c r="K11" i="42"/>
  <c r="K14" i="42"/>
  <c r="K27" i="42" s="1"/>
  <c r="K42" i="42" s="1"/>
  <c r="K12" i="42"/>
  <c r="K25" i="42" s="1"/>
  <c r="K40" i="42" s="1"/>
  <c r="H29" i="38"/>
  <c r="H39" i="38"/>
  <c r="H146" i="38"/>
  <c r="I99" i="36" s="1"/>
  <c r="H145" i="38"/>
  <c r="H149" i="38" s="1"/>
  <c r="H144" i="38"/>
  <c r="H148" i="38" s="1"/>
  <c r="H143" i="38"/>
  <c r="H147" i="38" s="1"/>
  <c r="F157" i="29"/>
  <c r="F169" i="29" s="1"/>
  <c r="F158" i="29"/>
  <c r="D164" i="28"/>
  <c r="D161" i="28"/>
  <c r="D163" i="28"/>
  <c r="D162" i="28"/>
  <c r="G71" i="42"/>
  <c r="G75" i="42" s="1"/>
  <c r="G70" i="42"/>
  <c r="G74" i="42" s="1"/>
  <c r="G72" i="42"/>
  <c r="G76" i="42" s="1"/>
  <c r="G73" i="42"/>
  <c r="C318" i="42"/>
  <c r="C319" i="42" s="1"/>
  <c r="J11" i="19"/>
  <c r="J13" i="19"/>
  <c r="J26" i="19" s="1"/>
  <c r="J44" i="19" s="1"/>
  <c r="J14" i="19"/>
  <c r="J27" i="19" s="1"/>
  <c r="J15" i="19"/>
  <c r="J28" i="19" s="1"/>
  <c r="J12" i="19"/>
  <c r="J25" i="19" s="1"/>
  <c r="I207" i="42"/>
  <c r="I211" i="42" s="1"/>
  <c r="I208" i="42"/>
  <c r="I206" i="42"/>
  <c r="I210" i="42" s="1"/>
  <c r="I205" i="42"/>
  <c r="I209" i="42" s="1"/>
  <c r="J46" i="29"/>
  <c r="H67" i="16"/>
  <c r="H46" i="16"/>
  <c r="E309" i="38"/>
  <c r="E310" i="38"/>
  <c r="E308" i="38"/>
  <c r="E306" i="38"/>
  <c r="E307" i="38"/>
  <c r="E311" i="38"/>
  <c r="H189" i="38"/>
  <c r="H193" i="38" s="1"/>
  <c r="H191" i="38"/>
  <c r="H195" i="38" s="1"/>
  <c r="H190" i="38"/>
  <c r="H194" i="38" s="1"/>
  <c r="E304" i="42"/>
  <c r="E303" i="42"/>
  <c r="E315" i="42" s="1"/>
  <c r="E316" i="42" s="1"/>
  <c r="F247" i="42"/>
  <c r="E280" i="42"/>
  <c r="E281" i="42" s="1"/>
  <c r="J61" i="16"/>
  <c r="I84" i="29"/>
  <c r="J222" i="42"/>
  <c r="J226" i="42" s="1"/>
  <c r="J223" i="42"/>
  <c r="J220" i="42"/>
  <c r="J224" i="42" s="1"/>
  <c r="J221" i="42"/>
  <c r="J225" i="42" s="1"/>
  <c r="H132" i="29"/>
  <c r="H143" i="29" s="1"/>
  <c r="H31" i="29"/>
  <c r="F33" i="19"/>
  <c r="F34" i="19"/>
  <c r="H160" i="38"/>
  <c r="H164" i="38" s="1"/>
  <c r="H162" i="38"/>
  <c r="I108" i="36" s="1"/>
  <c r="H159" i="38"/>
  <c r="H163" i="38" s="1"/>
  <c r="H161" i="38"/>
  <c r="H165" i="38" s="1"/>
  <c r="D304" i="38"/>
  <c r="D303" i="38"/>
  <c r="D315" i="38" s="1"/>
  <c r="I29" i="28"/>
  <c r="I42" i="28"/>
  <c r="G95" i="42"/>
  <c r="G99" i="42" s="1"/>
  <c r="G94" i="42"/>
  <c r="G98" i="42" s="1"/>
  <c r="G96" i="42"/>
  <c r="G100" i="42" s="1"/>
  <c r="G97" i="42"/>
  <c r="J46" i="28"/>
  <c r="J15" i="38"/>
  <c r="J28" i="38" s="1"/>
  <c r="J43" i="38" s="1"/>
  <c r="J234" i="38" s="1"/>
  <c r="J12" i="38"/>
  <c r="J25" i="38" s="1"/>
  <c r="J40" i="38" s="1"/>
  <c r="J11" i="38"/>
  <c r="J14" i="38"/>
  <c r="J27" i="38" s="1"/>
  <c r="J42" i="38" s="1"/>
  <c r="J13" i="38"/>
  <c r="J26" i="38" s="1"/>
  <c r="J41" i="38" s="1"/>
  <c r="J219" i="38" s="1"/>
  <c r="F313" i="38"/>
  <c r="F290" i="38"/>
  <c r="F291" i="38" s="1"/>
  <c r="J16" i="29"/>
  <c r="J24" i="29"/>
  <c r="H205" i="38"/>
  <c r="H209" i="38" s="1"/>
  <c r="H207" i="38"/>
  <c r="H211" i="38" s="1"/>
  <c r="H208" i="38"/>
  <c r="H206" i="38"/>
  <c r="H210" i="38" s="1"/>
  <c r="D283" i="42"/>
  <c r="D287" i="42"/>
  <c r="D285" i="42"/>
  <c r="D282" i="42"/>
  <c r="D284" i="42"/>
  <c r="D286" i="42"/>
  <c r="J196" i="42"/>
  <c r="J204" i="42"/>
  <c r="J188" i="42"/>
  <c r="C168" i="28"/>
  <c r="C189" i="28" s="1"/>
  <c r="C167" i="28"/>
  <c r="E294" i="38"/>
  <c r="E296" i="38"/>
  <c r="E295" i="38"/>
  <c r="E293" i="38"/>
  <c r="H153" i="38"/>
  <c r="H157" i="38" s="1"/>
  <c r="H152" i="38"/>
  <c r="H156" i="38" s="1"/>
  <c r="H151" i="38"/>
  <c r="H155" i="38" s="1"/>
  <c r="H154" i="38"/>
  <c r="I78" i="36" s="1"/>
  <c r="F68" i="15"/>
  <c r="G296" i="42"/>
  <c r="G295" i="42"/>
  <c r="G294" i="42"/>
  <c r="G293" i="42"/>
  <c r="J65" i="29"/>
  <c r="K64" i="15"/>
  <c r="J75" i="29"/>
  <c r="K64" i="16" s="1"/>
  <c r="J64" i="29"/>
  <c r="K48" i="15"/>
  <c r="J72" i="29"/>
  <c r="J73" i="29"/>
  <c r="K58" i="16" s="1"/>
  <c r="K45" i="15"/>
  <c r="J68" i="29"/>
  <c r="J70" i="29"/>
  <c r="K58" i="15"/>
  <c r="J63" i="29"/>
  <c r="J62" i="29" s="1"/>
  <c r="J66" i="29"/>
  <c r="J74" i="29"/>
  <c r="K45" i="16" s="1"/>
  <c r="J67" i="29"/>
  <c r="J71" i="29"/>
  <c r="K48" i="16" s="1"/>
  <c r="G68" i="15"/>
  <c r="I222" i="38"/>
  <c r="I226" i="38" s="1"/>
  <c r="I220" i="38"/>
  <c r="I224" i="38" s="1"/>
  <c r="I221" i="38"/>
  <c r="I225" i="38" s="1"/>
  <c r="J14" i="46"/>
  <c r="J13" i="46"/>
  <c r="J12" i="46"/>
  <c r="J15" i="46"/>
  <c r="J11" i="46"/>
  <c r="H194" i="54"/>
  <c r="H31" i="54"/>
  <c r="E160" i="28"/>
  <c r="E159" i="28"/>
  <c r="E157" i="28"/>
  <c r="J236" i="42"/>
  <c r="J240" i="42" s="1"/>
  <c r="J235" i="42"/>
  <c r="J239" i="42" s="1"/>
  <c r="J238" i="42"/>
  <c r="J237" i="42"/>
  <c r="J241" i="42" s="1"/>
  <c r="D299" i="42"/>
  <c r="D300" i="42"/>
  <c r="F304" i="42"/>
  <c r="F303" i="42"/>
  <c r="F315" i="42" s="1"/>
  <c r="F316" i="42" s="1"/>
  <c r="H137" i="38"/>
  <c r="H135" i="38"/>
  <c r="H136" i="38"/>
  <c r="K15" i="48"/>
  <c r="K14" i="48"/>
  <c r="K13" i="48"/>
  <c r="K11" i="48"/>
  <c r="K12" i="48"/>
  <c r="D298" i="38"/>
  <c r="D297" i="38"/>
  <c r="J15" i="54"/>
  <c r="J28" i="54" s="1"/>
  <c r="J13" i="54"/>
  <c r="J26" i="54" s="1"/>
  <c r="J41" i="54" s="1"/>
  <c r="J147" i="54" s="1"/>
  <c r="J148" i="54" s="1"/>
  <c r="J12" i="54"/>
  <c r="J25" i="54" s="1"/>
  <c r="J14" i="54"/>
  <c r="J27" i="54" s="1"/>
  <c r="J11" i="54"/>
  <c r="J16" i="28"/>
  <c r="J115" i="28" s="1"/>
  <c r="J24" i="28"/>
  <c r="I134" i="38"/>
  <c r="I150" i="38"/>
  <c r="I158" i="38"/>
  <c r="I142" i="38"/>
  <c r="I16" i="19"/>
  <c r="I24" i="19"/>
  <c r="J13" i="53"/>
  <c r="J26" i="53" s="1"/>
  <c r="J41" i="53" s="1"/>
  <c r="J147" i="53" s="1"/>
  <c r="J148" i="53" s="1"/>
  <c r="K60" i="51" s="1"/>
  <c r="J12" i="53"/>
  <c r="J25" i="53" s="1"/>
  <c r="J11" i="53"/>
  <c r="J15" i="53"/>
  <c r="J28" i="53" s="1"/>
  <c r="J14" i="53"/>
  <c r="J27" i="53" s="1"/>
  <c r="F292" i="38"/>
  <c r="F289" i="38"/>
  <c r="I65" i="16" l="1"/>
  <c r="K49" i="15"/>
  <c r="F77" i="15"/>
  <c r="AO99" i="36"/>
  <c r="I65" i="15"/>
  <c r="AO100" i="36"/>
  <c r="G77" i="15"/>
  <c r="AO108" i="36"/>
  <c r="AQ60" i="51"/>
  <c r="K49" i="16"/>
  <c r="AO78" i="36"/>
  <c r="F170" i="29"/>
  <c r="D320" i="42"/>
  <c r="D325" i="42" s="1"/>
  <c r="C175" i="29"/>
  <c r="D321" i="42"/>
  <c r="C321" i="42"/>
  <c r="H243" i="42"/>
  <c r="G243" i="38"/>
  <c r="K46" i="29"/>
  <c r="J29" i="28"/>
  <c r="J42" i="28"/>
  <c r="J16" i="54"/>
  <c r="J24" i="54"/>
  <c r="J29" i="54" s="1"/>
  <c r="L15" i="48"/>
  <c r="L11" i="48"/>
  <c r="L14" i="48"/>
  <c r="L13" i="48"/>
  <c r="L12" i="48"/>
  <c r="G297" i="42"/>
  <c r="G298" i="42"/>
  <c r="F308" i="38"/>
  <c r="F310" i="38"/>
  <c r="F309" i="38"/>
  <c r="F306" i="38"/>
  <c r="F311" i="38"/>
  <c r="F307" i="38"/>
  <c r="J85" i="29"/>
  <c r="K61" i="15"/>
  <c r="K16" i="42"/>
  <c r="K244" i="42" s="1"/>
  <c r="K24" i="42"/>
  <c r="H31" i="19"/>
  <c r="H211" i="19"/>
  <c r="G157" i="29"/>
  <c r="G169" i="29" s="1"/>
  <c r="G158" i="29"/>
  <c r="D153" i="29"/>
  <c r="D154" i="29"/>
  <c r="H33" i="28"/>
  <c r="H34" i="28"/>
  <c r="G167" i="29"/>
  <c r="G168" i="29" s="1"/>
  <c r="G144" i="29"/>
  <c r="G145" i="29" s="1"/>
  <c r="F317" i="42"/>
  <c r="I59" i="16"/>
  <c r="I66" i="16"/>
  <c r="J135" i="42"/>
  <c r="J139" i="42" s="1"/>
  <c r="J136" i="42"/>
  <c r="J140" i="42" s="1"/>
  <c r="J138" i="42"/>
  <c r="J137" i="42"/>
  <c r="J141" i="42" s="1"/>
  <c r="G160" i="28"/>
  <c r="G159" i="28"/>
  <c r="G157" i="28"/>
  <c r="D300" i="38"/>
  <c r="D299" i="38"/>
  <c r="J16" i="46"/>
  <c r="J272" i="46" s="1"/>
  <c r="G304" i="42"/>
  <c r="G303" i="42"/>
  <c r="G315" i="42" s="1"/>
  <c r="G316" i="42" s="1"/>
  <c r="C169" i="28"/>
  <c r="C173" i="28" s="1"/>
  <c r="C170" i="28"/>
  <c r="J29" i="29"/>
  <c r="J42" i="29"/>
  <c r="H34" i="29"/>
  <c r="H33" i="29"/>
  <c r="E283" i="42"/>
  <c r="E286" i="42"/>
  <c r="E287" i="42"/>
  <c r="E285" i="42"/>
  <c r="E282" i="42"/>
  <c r="E284" i="42"/>
  <c r="K236" i="42"/>
  <c r="K240" i="42" s="1"/>
  <c r="K238" i="42"/>
  <c r="K237" i="42"/>
  <c r="K241" i="42" s="1"/>
  <c r="K235" i="42"/>
  <c r="K239" i="42" s="1"/>
  <c r="K80" i="29"/>
  <c r="K79" i="29" s="1"/>
  <c r="L55" i="15"/>
  <c r="K82" i="29"/>
  <c r="L55" i="16" s="1"/>
  <c r="G152" i="29"/>
  <c r="G151" i="29"/>
  <c r="L13" i="20"/>
  <c r="L14" i="20"/>
  <c r="L12" i="20"/>
  <c r="L11" i="20"/>
  <c r="L15" i="20"/>
  <c r="E140" i="29"/>
  <c r="E141" i="29"/>
  <c r="E138" i="29"/>
  <c r="E139" i="29"/>
  <c r="E136" i="29"/>
  <c r="E137" i="29"/>
  <c r="I29" i="19"/>
  <c r="J220" i="38"/>
  <c r="J224" i="38" s="1"/>
  <c r="J222" i="38"/>
  <c r="J226" i="38" s="1"/>
  <c r="J221" i="38"/>
  <c r="J225" i="38" s="1"/>
  <c r="I213" i="28"/>
  <c r="I54" i="29"/>
  <c r="I58" i="29"/>
  <c r="I100" i="29" s="1"/>
  <c r="I57" i="29"/>
  <c r="I59" i="29"/>
  <c r="J62" i="16" s="1"/>
  <c r="I52" i="29"/>
  <c r="I49" i="29" s="1"/>
  <c r="I89" i="29" s="1"/>
  <c r="I60" i="29"/>
  <c r="J56" i="16" s="1"/>
  <c r="I47" i="28"/>
  <c r="I53" i="29"/>
  <c r="J56" i="15"/>
  <c r="I51" i="29"/>
  <c r="J62" i="15"/>
  <c r="I50" i="29"/>
  <c r="I56" i="29"/>
  <c r="J44" i="16" s="1"/>
  <c r="J44" i="15"/>
  <c r="I114" i="28"/>
  <c r="G247" i="42"/>
  <c r="F280" i="42"/>
  <c r="F281" i="42" s="1"/>
  <c r="L12" i="42"/>
  <c r="L25" i="42" s="1"/>
  <c r="L40" i="42" s="1"/>
  <c r="L14" i="42"/>
  <c r="L27" i="42" s="1"/>
  <c r="L42" i="42" s="1"/>
  <c r="L13" i="42"/>
  <c r="L26" i="42" s="1"/>
  <c r="L41" i="42" s="1"/>
  <c r="L219" i="42" s="1"/>
  <c r="L11" i="42"/>
  <c r="L15" i="42"/>
  <c r="L28" i="42" s="1"/>
  <c r="L43" i="42" s="1"/>
  <c r="L234" i="42" s="1"/>
  <c r="L15" i="29"/>
  <c r="L28" i="29" s="1"/>
  <c r="L11" i="29"/>
  <c r="L13" i="29"/>
  <c r="L26" i="29" s="1"/>
  <c r="L44" i="29" s="1"/>
  <c r="L14" i="29"/>
  <c r="L27" i="29" s="1"/>
  <c r="L12" i="29"/>
  <c r="L25" i="29" s="1"/>
  <c r="L43" i="29" s="1"/>
  <c r="L14" i="28"/>
  <c r="L27" i="28" s="1"/>
  <c r="L15" i="28"/>
  <c r="L28" i="28" s="1"/>
  <c r="L12" i="28"/>
  <c r="L25" i="28" s="1"/>
  <c r="L43" i="28" s="1"/>
  <c r="L13" i="28"/>
  <c r="L26" i="28" s="1"/>
  <c r="L44" i="28" s="1"/>
  <c r="L11" i="28"/>
  <c r="I194" i="54"/>
  <c r="I31" i="54"/>
  <c r="H290" i="42"/>
  <c r="H291" i="42" s="1"/>
  <c r="H313" i="42"/>
  <c r="H314" i="42" s="1"/>
  <c r="F154" i="28"/>
  <c r="F155" i="28"/>
  <c r="F153" i="28"/>
  <c r="F151" i="28"/>
  <c r="F152" i="28"/>
  <c r="F150" i="28"/>
  <c r="E152" i="29"/>
  <c r="E151" i="29"/>
  <c r="I189" i="38"/>
  <c r="I193" i="38" s="1"/>
  <c r="I190" i="38"/>
  <c r="I194" i="38" s="1"/>
  <c r="I191" i="38"/>
  <c r="I195" i="38" s="1"/>
  <c r="H100" i="29"/>
  <c r="H88" i="29"/>
  <c r="G101" i="29"/>
  <c r="F134" i="29"/>
  <c r="F135" i="29" s="1"/>
  <c r="F300" i="42"/>
  <c r="F299" i="42"/>
  <c r="J191" i="42"/>
  <c r="J195" i="42" s="1"/>
  <c r="J192" i="42"/>
  <c r="J190" i="42"/>
  <c r="J194" i="42" s="1"/>
  <c r="J189" i="42"/>
  <c r="J193" i="42" s="1"/>
  <c r="J188" i="38"/>
  <c r="J196" i="38"/>
  <c r="J204" i="38"/>
  <c r="I146" i="28"/>
  <c r="I31" i="28"/>
  <c r="K221" i="42"/>
  <c r="K225" i="42" s="1"/>
  <c r="K220" i="42"/>
  <c r="K224" i="42" s="1"/>
  <c r="K223" i="42"/>
  <c r="K222" i="42"/>
  <c r="K226" i="42" s="1"/>
  <c r="K75" i="29"/>
  <c r="L64" i="16" s="1"/>
  <c r="K66" i="29"/>
  <c r="K72" i="29"/>
  <c r="L58" i="15"/>
  <c r="K64" i="29"/>
  <c r="L45" i="15"/>
  <c r="K63" i="29"/>
  <c r="K62" i="29" s="1"/>
  <c r="L64" i="15"/>
  <c r="K70" i="29"/>
  <c r="L48" i="15"/>
  <c r="K73" i="29"/>
  <c r="L58" i="16" s="1"/>
  <c r="K68" i="29"/>
  <c r="K67" i="29"/>
  <c r="K71" i="29"/>
  <c r="L48" i="16" s="1"/>
  <c r="K74" i="29"/>
  <c r="L45" i="16" s="1"/>
  <c r="K65" i="29"/>
  <c r="H72" i="42"/>
  <c r="H76" i="42" s="1"/>
  <c r="H73" i="42"/>
  <c r="H71" i="42"/>
  <c r="H75" i="42" s="1"/>
  <c r="H70" i="42"/>
  <c r="H74" i="42" s="1"/>
  <c r="H214" i="28"/>
  <c r="G148" i="28"/>
  <c r="G149" i="28" s="1"/>
  <c r="H150" i="29"/>
  <c r="H148" i="29"/>
  <c r="H147" i="29"/>
  <c r="H149" i="29"/>
  <c r="H289" i="42"/>
  <c r="I206" i="38"/>
  <c r="I210" i="38" s="1"/>
  <c r="I207" i="38"/>
  <c r="I211" i="38" s="1"/>
  <c r="I208" i="38"/>
  <c r="I205" i="38"/>
  <c r="I209" i="38" s="1"/>
  <c r="G34" i="19"/>
  <c r="G33" i="19"/>
  <c r="C193" i="28"/>
  <c r="C194" i="28" s="1"/>
  <c r="C203" i="28" s="1"/>
  <c r="D70" i="15" s="1"/>
  <c r="I29" i="38"/>
  <c r="I39" i="38"/>
  <c r="G313" i="38"/>
  <c r="G290" i="38"/>
  <c r="G291" i="38" s="1"/>
  <c r="F175" i="28"/>
  <c r="F177" i="28"/>
  <c r="F174" i="28"/>
  <c r="F178" i="28"/>
  <c r="F176" i="28"/>
  <c r="F179" i="28"/>
  <c r="I144" i="38"/>
  <c r="I148" i="38" s="1"/>
  <c r="I146" i="38"/>
  <c r="J99" i="36" s="1"/>
  <c r="I143" i="38"/>
  <c r="I147" i="38" s="1"/>
  <c r="I145" i="38"/>
  <c r="I149" i="38" s="1"/>
  <c r="K14" i="46"/>
  <c r="K15" i="46"/>
  <c r="K11" i="46"/>
  <c r="K13" i="46"/>
  <c r="K12" i="46"/>
  <c r="J206" i="42"/>
  <c r="J210" i="42" s="1"/>
  <c r="J207" i="42"/>
  <c r="J211" i="42" s="1"/>
  <c r="J205" i="42"/>
  <c r="J209" i="42" s="1"/>
  <c r="J208" i="42"/>
  <c r="J16" i="38"/>
  <c r="J244" i="38" s="1"/>
  <c r="J24" i="38"/>
  <c r="J16" i="19"/>
  <c r="J24" i="19"/>
  <c r="D166" i="28"/>
  <c r="D165" i="28"/>
  <c r="H44" i="38"/>
  <c r="H288" i="38" s="1"/>
  <c r="H77" i="38"/>
  <c r="H101" i="38"/>
  <c r="H69" i="38"/>
  <c r="H70" i="38" s="1"/>
  <c r="H93" i="38"/>
  <c r="H246" i="38"/>
  <c r="K16" i="28"/>
  <c r="K115" i="28" s="1"/>
  <c r="K24" i="28"/>
  <c r="H97" i="42"/>
  <c r="H94" i="42"/>
  <c r="H98" i="42" s="1"/>
  <c r="H96" i="42"/>
  <c r="H100" i="42" s="1"/>
  <c r="H95" i="42"/>
  <c r="H99" i="42" s="1"/>
  <c r="E158" i="29"/>
  <c r="E157" i="29"/>
  <c r="I31" i="42"/>
  <c r="I278" i="42"/>
  <c r="I199" i="38"/>
  <c r="I203" i="38" s="1"/>
  <c r="I198" i="38"/>
  <c r="I202" i="38" s="1"/>
  <c r="I200" i="38"/>
  <c r="J100" i="36" s="1"/>
  <c r="I197" i="38"/>
  <c r="I201" i="38" s="1"/>
  <c r="H207" i="28"/>
  <c r="H208" i="28"/>
  <c r="H156" i="28"/>
  <c r="H181" i="28"/>
  <c r="H182" i="28" s="1"/>
  <c r="H158" i="28"/>
  <c r="C156" i="29"/>
  <c r="C155" i="29"/>
  <c r="C159" i="29" s="1"/>
  <c r="K15" i="53"/>
  <c r="K28" i="53" s="1"/>
  <c r="K12" i="53"/>
  <c r="K25" i="53" s="1"/>
  <c r="K13" i="53"/>
  <c r="K26" i="53" s="1"/>
  <c r="K41" i="53" s="1"/>
  <c r="K147" i="53" s="1"/>
  <c r="K148" i="53" s="1"/>
  <c r="L60" i="51" s="1"/>
  <c r="K14" i="53"/>
  <c r="K27" i="53" s="1"/>
  <c r="K11" i="53"/>
  <c r="I159" i="38"/>
  <c r="I163" i="38" s="1"/>
  <c r="I160" i="38"/>
  <c r="I164" i="38" s="1"/>
  <c r="I162" i="38"/>
  <c r="J108" i="36" s="1"/>
  <c r="I161" i="38"/>
  <c r="I165" i="38" s="1"/>
  <c r="K14" i="54"/>
  <c r="K27" i="54" s="1"/>
  <c r="K12" i="54"/>
  <c r="K25" i="54" s="1"/>
  <c r="K11" i="54"/>
  <c r="K13" i="54"/>
  <c r="K26" i="54" s="1"/>
  <c r="K41" i="54" s="1"/>
  <c r="K147" i="54" s="1"/>
  <c r="K148" i="54" s="1"/>
  <c r="K15" i="54"/>
  <c r="K28" i="54" s="1"/>
  <c r="K16" i="48"/>
  <c r="K272" i="48" s="1"/>
  <c r="E178" i="28"/>
  <c r="E176" i="28"/>
  <c r="E177" i="28"/>
  <c r="E179" i="28"/>
  <c r="E175" i="28"/>
  <c r="E174" i="28"/>
  <c r="E298" i="38"/>
  <c r="E297" i="38"/>
  <c r="J198" i="42"/>
  <c r="J202" i="42" s="1"/>
  <c r="J200" i="42"/>
  <c r="J199" i="42"/>
  <c r="J203" i="42" s="1"/>
  <c r="J197" i="42"/>
  <c r="J201" i="42" s="1"/>
  <c r="J134" i="38"/>
  <c r="J142" i="38"/>
  <c r="J150" i="38"/>
  <c r="J158" i="38"/>
  <c r="K11" i="19"/>
  <c r="K12" i="19"/>
  <c r="K25" i="19" s="1"/>
  <c r="K13" i="19"/>
  <c r="K26" i="19" s="1"/>
  <c r="K44" i="19" s="1"/>
  <c r="K15" i="19"/>
  <c r="K28" i="19" s="1"/>
  <c r="K14" i="19"/>
  <c r="K27" i="19" s="1"/>
  <c r="H31" i="38"/>
  <c r="H278" i="38"/>
  <c r="E300" i="42"/>
  <c r="E299" i="42"/>
  <c r="H78" i="42"/>
  <c r="H82" i="42" s="1"/>
  <c r="H81" i="42"/>
  <c r="H79" i="42"/>
  <c r="H83" i="42" s="1"/>
  <c r="H80" i="42"/>
  <c r="H84" i="42" s="1"/>
  <c r="I44" i="42"/>
  <c r="I288" i="42" s="1"/>
  <c r="I292" i="42" s="1"/>
  <c r="I69" i="42"/>
  <c r="I77" i="42"/>
  <c r="I93" i="42"/>
  <c r="I246" i="42"/>
  <c r="I101" i="42"/>
  <c r="F153" i="29"/>
  <c r="F154" i="29"/>
  <c r="G317" i="42"/>
  <c r="H114" i="28"/>
  <c r="I67" i="15"/>
  <c r="I46" i="15"/>
  <c r="J39" i="42"/>
  <c r="J29" i="42"/>
  <c r="G292" i="38"/>
  <c r="G289" i="38"/>
  <c r="J160" i="42"/>
  <c r="J164" i="42" s="1"/>
  <c r="J161" i="42"/>
  <c r="J165" i="42" s="1"/>
  <c r="J159" i="42"/>
  <c r="J163" i="42" s="1"/>
  <c r="J162" i="42"/>
  <c r="F163" i="28"/>
  <c r="F161" i="28"/>
  <c r="F164" i="28"/>
  <c r="F162" i="28"/>
  <c r="F293" i="38"/>
  <c r="F296" i="38"/>
  <c r="F295" i="38"/>
  <c r="F294" i="38"/>
  <c r="I151" i="38"/>
  <c r="I155" i="38" s="1"/>
  <c r="I153" i="38"/>
  <c r="I157" i="38" s="1"/>
  <c r="I154" i="38"/>
  <c r="J78" i="36" s="1"/>
  <c r="I152" i="38"/>
  <c r="I156" i="38" s="1"/>
  <c r="D301" i="42"/>
  <c r="D305" i="42" s="1"/>
  <c r="D302" i="42"/>
  <c r="E162" i="28"/>
  <c r="E164" i="28"/>
  <c r="E161" i="28"/>
  <c r="E163" i="28"/>
  <c r="E303" i="38"/>
  <c r="E315" i="38" s="1"/>
  <c r="E304" i="38"/>
  <c r="K14" i="38"/>
  <c r="K27" i="38" s="1"/>
  <c r="K42" i="38" s="1"/>
  <c r="K12" i="38"/>
  <c r="K25" i="38" s="1"/>
  <c r="K40" i="38" s="1"/>
  <c r="K13" i="38"/>
  <c r="K26" i="38" s="1"/>
  <c r="K41" i="38" s="1"/>
  <c r="K219" i="38" s="1"/>
  <c r="K15" i="38"/>
  <c r="K28" i="38" s="1"/>
  <c r="K43" i="38" s="1"/>
  <c r="K234" i="38" s="1"/>
  <c r="K11" i="38"/>
  <c r="H68" i="16"/>
  <c r="H77" i="16"/>
  <c r="E317" i="42"/>
  <c r="E320" i="42" s="1"/>
  <c r="D172" i="28"/>
  <c r="D171" i="28"/>
  <c r="K134" i="42"/>
  <c r="K158" i="42"/>
  <c r="K142" i="42"/>
  <c r="K150" i="42"/>
  <c r="K16" i="29"/>
  <c r="K24" i="29"/>
  <c r="D169" i="29"/>
  <c r="D170" i="29" s="1"/>
  <c r="D171" i="29"/>
  <c r="K46" i="28"/>
  <c r="H105" i="42"/>
  <c r="H104" i="42"/>
  <c r="H108" i="42" s="1"/>
  <c r="H102" i="42"/>
  <c r="H106" i="42" s="1"/>
  <c r="H103" i="42"/>
  <c r="H107" i="42" s="1"/>
  <c r="I194" i="53"/>
  <c r="I31" i="53"/>
  <c r="F165" i="29"/>
  <c r="F161" i="29"/>
  <c r="F163" i="29"/>
  <c r="F160" i="29"/>
  <c r="F162" i="29"/>
  <c r="F164" i="29"/>
  <c r="G311" i="42"/>
  <c r="G309" i="42"/>
  <c r="G307" i="42"/>
  <c r="G310" i="42"/>
  <c r="G306" i="42"/>
  <c r="G308" i="42"/>
  <c r="J144" i="42"/>
  <c r="J148" i="42" s="1"/>
  <c r="J143" i="42"/>
  <c r="J147" i="42" s="1"/>
  <c r="J145" i="42"/>
  <c r="J149" i="42" s="1"/>
  <c r="J146" i="42"/>
  <c r="I47" i="29"/>
  <c r="I142" i="29" s="1"/>
  <c r="J16" i="53"/>
  <c r="J24" i="53"/>
  <c r="J29" i="53" s="1"/>
  <c r="I136" i="38"/>
  <c r="I137" i="38"/>
  <c r="I135" i="38"/>
  <c r="J236" i="38"/>
  <c r="J240" i="38" s="1"/>
  <c r="J235" i="38"/>
  <c r="J239" i="38" s="1"/>
  <c r="J237" i="38"/>
  <c r="J241" i="38" s="1"/>
  <c r="C333" i="42"/>
  <c r="K204" i="42"/>
  <c r="K188" i="42"/>
  <c r="K196" i="42"/>
  <c r="C301" i="42"/>
  <c r="C305" i="42" s="1"/>
  <c r="C302" i="42"/>
  <c r="H295" i="42"/>
  <c r="H294" i="42"/>
  <c r="H296" i="42"/>
  <c r="H293" i="42"/>
  <c r="F171" i="29"/>
  <c r="F172" i="29" s="1"/>
  <c r="F173" i="29" s="1"/>
  <c r="C179" i="29"/>
  <c r="G194" i="29"/>
  <c r="G193" i="29"/>
  <c r="I67" i="16"/>
  <c r="I46" i="16"/>
  <c r="I59" i="15"/>
  <c r="I66" i="15"/>
  <c r="H68" i="15"/>
  <c r="J151" i="42"/>
  <c r="J155" i="42" s="1"/>
  <c r="J154" i="42"/>
  <c r="J152" i="42"/>
  <c r="J156" i="42" s="1"/>
  <c r="J153" i="42"/>
  <c r="J157" i="42" s="1"/>
  <c r="I132" i="29"/>
  <c r="I31" i="29"/>
  <c r="AP99" i="36" l="1"/>
  <c r="L49" i="16"/>
  <c r="AR60" i="51"/>
  <c r="H77" i="15"/>
  <c r="AP78" i="36"/>
  <c r="AP108" i="36"/>
  <c r="AP100" i="36"/>
  <c r="L49" i="15"/>
  <c r="J65" i="16"/>
  <c r="J65" i="15"/>
  <c r="D326" i="42"/>
  <c r="D335" i="42" s="1"/>
  <c r="L46" i="28"/>
  <c r="G320" i="42"/>
  <c r="G325" i="42" s="1"/>
  <c r="G326" i="42" s="1"/>
  <c r="G335" i="42" s="1"/>
  <c r="I243" i="42"/>
  <c r="F174" i="29"/>
  <c r="F179" i="29" s="1"/>
  <c r="F180" i="29" s="1"/>
  <c r="F189" i="29" s="1"/>
  <c r="G70" i="16" s="1"/>
  <c r="G170" i="29"/>
  <c r="L46" i="29"/>
  <c r="I68" i="16"/>
  <c r="I77" i="16"/>
  <c r="H297" i="42"/>
  <c r="H298" i="42"/>
  <c r="K198" i="42"/>
  <c r="K202" i="42" s="1"/>
  <c r="K199" i="42"/>
  <c r="K203" i="42" s="1"/>
  <c r="K200" i="42"/>
  <c r="K197" i="42"/>
  <c r="K201" i="42" s="1"/>
  <c r="J194" i="53"/>
  <c r="J31" i="53"/>
  <c r="K151" i="42"/>
  <c r="K155" i="42" s="1"/>
  <c r="K153" i="42"/>
  <c r="K157" i="42" s="1"/>
  <c r="K152" i="42"/>
  <c r="K156" i="42" s="1"/>
  <c r="K154" i="42"/>
  <c r="K134" i="38"/>
  <c r="K150" i="38"/>
  <c r="K142" i="38"/>
  <c r="K158" i="38"/>
  <c r="E172" i="28"/>
  <c r="E171" i="28"/>
  <c r="F175" i="29"/>
  <c r="I295" i="42"/>
  <c r="I293" i="42"/>
  <c r="I296" i="42"/>
  <c r="I294" i="42"/>
  <c r="J159" i="38"/>
  <c r="J163" i="38" s="1"/>
  <c r="J161" i="38"/>
  <c r="J165" i="38" s="1"/>
  <c r="J160" i="38"/>
  <c r="J164" i="38" s="1"/>
  <c r="J162" i="38"/>
  <c r="K108" i="36" s="1"/>
  <c r="J198" i="38"/>
  <c r="J202" i="38" s="1"/>
  <c r="J197" i="38"/>
  <c r="J201" i="38" s="1"/>
  <c r="J200" i="38"/>
  <c r="K100" i="36" s="1"/>
  <c r="J199" i="38"/>
  <c r="J203" i="38" s="1"/>
  <c r="F301" i="42"/>
  <c r="F305" i="42" s="1"/>
  <c r="F302" i="42"/>
  <c r="L16" i="28"/>
  <c r="L115" i="28" s="1"/>
  <c r="L24" i="28"/>
  <c r="L188" i="42"/>
  <c r="L196" i="42"/>
  <c r="L204" i="42"/>
  <c r="J132" i="29"/>
  <c r="J31" i="29"/>
  <c r="K39" i="42"/>
  <c r="K29" i="42"/>
  <c r="K192" i="42"/>
  <c r="K190" i="42"/>
  <c r="K194" i="42" s="1"/>
  <c r="K189" i="42"/>
  <c r="K193" i="42" s="1"/>
  <c r="K191" i="42"/>
  <c r="K195" i="42" s="1"/>
  <c r="K143" i="42"/>
  <c r="K147" i="42" s="1"/>
  <c r="K144" i="42"/>
  <c r="K148" i="42" s="1"/>
  <c r="K146" i="42"/>
  <c r="K145" i="42"/>
  <c r="K149" i="42" s="1"/>
  <c r="K204" i="38"/>
  <c r="K188" i="38"/>
  <c r="K196" i="38"/>
  <c r="F165" i="28"/>
  <c r="F166" i="28"/>
  <c r="J278" i="42"/>
  <c r="J31" i="42"/>
  <c r="F155" i="29"/>
  <c r="F159" i="29" s="1"/>
  <c r="F156" i="29"/>
  <c r="J154" i="38"/>
  <c r="K78" i="36" s="1"/>
  <c r="J153" i="38"/>
  <c r="J157" i="38" s="1"/>
  <c r="J151" i="38"/>
  <c r="J155" i="38" s="1"/>
  <c r="J152" i="38"/>
  <c r="J156" i="38" s="1"/>
  <c r="L15" i="54"/>
  <c r="L28" i="54" s="1"/>
  <c r="L14" i="54"/>
  <c r="L27" i="54" s="1"/>
  <c r="L11" i="54"/>
  <c r="L13" i="54"/>
  <c r="L26" i="54" s="1"/>
  <c r="L41" i="54" s="1"/>
  <c r="L147" i="54" s="1"/>
  <c r="L148" i="54" s="1"/>
  <c r="L12" i="54"/>
  <c r="L25" i="54" s="1"/>
  <c r="K16" i="53"/>
  <c r="K24" i="53"/>
  <c r="K29" i="53" s="1"/>
  <c r="E169" i="29"/>
  <c r="E170" i="29" s="1"/>
  <c r="E171" i="29"/>
  <c r="K29" i="28"/>
  <c r="K42" i="28"/>
  <c r="C201" i="28"/>
  <c r="H158" i="29"/>
  <c r="H157" i="29"/>
  <c r="H169" i="29" s="1"/>
  <c r="J191" i="38"/>
  <c r="J195" i="38" s="1"/>
  <c r="J190" i="38"/>
  <c r="J194" i="38" s="1"/>
  <c r="J189" i="38"/>
  <c r="J193" i="38" s="1"/>
  <c r="L82" i="29"/>
  <c r="M55" i="16" s="1"/>
  <c r="M55" i="15"/>
  <c r="L80" i="29"/>
  <c r="L79" i="29" s="1"/>
  <c r="L134" i="42"/>
  <c r="L142" i="42"/>
  <c r="L158" i="42"/>
  <c r="L150" i="42"/>
  <c r="I167" i="29"/>
  <c r="I168" i="29" s="1"/>
  <c r="I144" i="29"/>
  <c r="I145" i="29" s="1"/>
  <c r="L16" i="48"/>
  <c r="L272" i="48" s="1"/>
  <c r="K206" i="42"/>
  <c r="K210" i="42" s="1"/>
  <c r="K205" i="42"/>
  <c r="K209" i="42" s="1"/>
  <c r="K208" i="42"/>
  <c r="K207" i="42"/>
  <c r="K211" i="42" s="1"/>
  <c r="I88" i="29"/>
  <c r="K159" i="42"/>
  <c r="K163" i="42" s="1"/>
  <c r="K162" i="42"/>
  <c r="K160" i="42"/>
  <c r="K164" i="42" s="1"/>
  <c r="K161" i="42"/>
  <c r="K165" i="42" s="1"/>
  <c r="J246" i="42"/>
  <c r="J44" i="42"/>
  <c r="J288" i="42" s="1"/>
  <c r="J77" i="42"/>
  <c r="J93" i="42"/>
  <c r="J101" i="42"/>
  <c r="J69" i="42"/>
  <c r="J145" i="38"/>
  <c r="J149" i="38" s="1"/>
  <c r="J146" i="38"/>
  <c r="K99" i="36" s="1"/>
  <c r="J143" i="38"/>
  <c r="J147" i="38" s="1"/>
  <c r="J144" i="38"/>
  <c r="J148" i="38" s="1"/>
  <c r="K16" i="54"/>
  <c r="K24" i="54"/>
  <c r="K29" i="54" s="1"/>
  <c r="H292" i="38"/>
  <c r="H289" i="38"/>
  <c r="G154" i="28"/>
  <c r="G155" i="28"/>
  <c r="G153" i="28"/>
  <c r="G151" i="28"/>
  <c r="G150" i="28"/>
  <c r="G152" i="28"/>
  <c r="F136" i="29"/>
  <c r="F138" i="29"/>
  <c r="F140" i="29"/>
  <c r="F137" i="29"/>
  <c r="F139" i="29"/>
  <c r="F141" i="29"/>
  <c r="E154" i="29"/>
  <c r="E153" i="29"/>
  <c r="H311" i="42"/>
  <c r="H308" i="42"/>
  <c r="H307" i="42"/>
  <c r="H306" i="42"/>
  <c r="H309" i="42"/>
  <c r="H310" i="42"/>
  <c r="L74" i="29"/>
  <c r="M45" i="16" s="1"/>
  <c r="L63" i="29"/>
  <c r="L62" i="29" s="1"/>
  <c r="L73" i="29"/>
  <c r="M58" i="16" s="1"/>
  <c r="L67" i="29"/>
  <c r="L64" i="29"/>
  <c r="M64" i="15"/>
  <c r="L75" i="29"/>
  <c r="M64" i="16" s="1"/>
  <c r="M48" i="15"/>
  <c r="L72" i="29"/>
  <c r="L68" i="29"/>
  <c r="M58" i="15"/>
  <c r="L71" i="29"/>
  <c r="M48" i="16" s="1"/>
  <c r="L70" i="29"/>
  <c r="M45" i="15"/>
  <c r="L65" i="29"/>
  <c r="L66" i="29"/>
  <c r="L24" i="29"/>
  <c r="L16" i="29"/>
  <c r="F284" i="42"/>
  <c r="F285" i="42"/>
  <c r="F282" i="42"/>
  <c r="F283" i="42"/>
  <c r="F287" i="42"/>
  <c r="F286" i="42"/>
  <c r="J66" i="15"/>
  <c r="J59" i="15"/>
  <c r="M14" i="20"/>
  <c r="M12" i="20"/>
  <c r="M13" i="20"/>
  <c r="M11" i="20"/>
  <c r="M15" i="20"/>
  <c r="G153" i="29"/>
  <c r="G154" i="29"/>
  <c r="G177" i="28"/>
  <c r="G175" i="28"/>
  <c r="G179" i="28"/>
  <c r="G176" i="28"/>
  <c r="G178" i="28"/>
  <c r="G174" i="28"/>
  <c r="G299" i="42"/>
  <c r="G300" i="42"/>
  <c r="C337" i="42"/>
  <c r="C342" i="42"/>
  <c r="I146" i="29"/>
  <c r="I143" i="29"/>
  <c r="L61" i="15"/>
  <c r="K85" i="29"/>
  <c r="K135" i="42"/>
  <c r="K139" i="42" s="1"/>
  <c r="K137" i="42"/>
  <c r="K141" i="42" s="1"/>
  <c r="K138" i="42"/>
  <c r="K136" i="42"/>
  <c r="K140" i="42" s="1"/>
  <c r="F297" i="38"/>
  <c r="F298" i="38"/>
  <c r="I68" i="15"/>
  <c r="I104" i="42"/>
  <c r="I108" i="42" s="1"/>
  <c r="I102" i="42"/>
  <c r="I106" i="42" s="1"/>
  <c r="I103" i="42"/>
  <c r="I107" i="42" s="1"/>
  <c r="I105" i="42"/>
  <c r="J136" i="38"/>
  <c r="J135" i="38"/>
  <c r="J137" i="38"/>
  <c r="H160" i="28"/>
  <c r="H159" i="28"/>
  <c r="H157" i="28"/>
  <c r="E318" i="42"/>
  <c r="E319" i="42" s="1"/>
  <c r="E321" i="42" s="1"/>
  <c r="G306" i="38"/>
  <c r="G307" i="38"/>
  <c r="G309" i="38"/>
  <c r="G310" i="38"/>
  <c r="G308" i="38"/>
  <c r="G311" i="38"/>
  <c r="I214" i="28"/>
  <c r="H148" i="28"/>
  <c r="H149" i="28" s="1"/>
  <c r="G134" i="29"/>
  <c r="G135" i="29" s="1"/>
  <c r="H101" i="29"/>
  <c r="M61" i="15"/>
  <c r="G280" i="42"/>
  <c r="G281" i="42" s="1"/>
  <c r="H247" i="42"/>
  <c r="I181" i="28"/>
  <c r="I182" i="28" s="1"/>
  <c r="I158" i="28"/>
  <c r="G164" i="28"/>
  <c r="G163" i="28"/>
  <c r="G161" i="28"/>
  <c r="G162" i="28"/>
  <c r="D156" i="29"/>
  <c r="D155" i="29"/>
  <c r="D159" i="29" s="1"/>
  <c r="K61" i="16"/>
  <c r="J84" i="29"/>
  <c r="G318" i="42"/>
  <c r="G319" i="42" s="1"/>
  <c r="J194" i="54"/>
  <c r="J31" i="54"/>
  <c r="I34" i="29"/>
  <c r="I33" i="29"/>
  <c r="D172" i="29"/>
  <c r="D173" i="29" s="1"/>
  <c r="D175" i="29" s="1"/>
  <c r="D174" i="29"/>
  <c r="D183" i="28"/>
  <c r="D184" i="28" s="1"/>
  <c r="D185" i="28"/>
  <c r="D188" i="28" s="1"/>
  <c r="L15" i="38"/>
  <c r="L28" i="38" s="1"/>
  <c r="L43" i="38" s="1"/>
  <c r="L234" i="38" s="1"/>
  <c r="L11" i="38"/>
  <c r="L12" i="38"/>
  <c r="L25" i="38" s="1"/>
  <c r="L40" i="38" s="1"/>
  <c r="L14" i="38"/>
  <c r="L27" i="38" s="1"/>
  <c r="L42" i="38" s="1"/>
  <c r="L13" i="38"/>
  <c r="L26" i="38" s="1"/>
  <c r="L41" i="38" s="1"/>
  <c r="L219" i="38" s="1"/>
  <c r="F303" i="38"/>
  <c r="F315" i="38" s="1"/>
  <c r="F304" i="38"/>
  <c r="I290" i="42"/>
  <c r="I291" i="42" s="1"/>
  <c r="I313" i="42"/>
  <c r="I314" i="42" s="1"/>
  <c r="L12" i="53"/>
  <c r="L25" i="53" s="1"/>
  <c r="L11" i="53"/>
  <c r="L15" i="53"/>
  <c r="L28" i="53" s="1"/>
  <c r="L13" i="53"/>
  <c r="L26" i="53" s="1"/>
  <c r="L41" i="53" s="1"/>
  <c r="L147" i="53" s="1"/>
  <c r="L148" i="53" s="1"/>
  <c r="M60" i="51" s="1"/>
  <c r="L14" i="53"/>
  <c r="L27" i="53" s="1"/>
  <c r="H243" i="38"/>
  <c r="D168" i="28"/>
  <c r="D167" i="28"/>
  <c r="L236" i="42"/>
  <c r="L240" i="42" s="1"/>
  <c r="L238" i="42"/>
  <c r="L237" i="42"/>
  <c r="L241" i="42" s="1"/>
  <c r="L235" i="42"/>
  <c r="L239" i="42" s="1"/>
  <c r="I207" i="28"/>
  <c r="I156" i="28"/>
  <c r="I208" i="28"/>
  <c r="C180" i="29"/>
  <c r="C189" i="29" s="1"/>
  <c r="D70" i="16" s="1"/>
  <c r="K16" i="38"/>
  <c r="K244" i="38" s="1"/>
  <c r="K24" i="38"/>
  <c r="I97" i="42"/>
  <c r="I94" i="42"/>
  <c r="I98" i="42" s="1"/>
  <c r="I96" i="42"/>
  <c r="I100" i="42" s="1"/>
  <c r="I95" i="42"/>
  <c r="I99" i="42" s="1"/>
  <c r="H313" i="38"/>
  <c r="H290" i="38"/>
  <c r="H291" i="38" s="1"/>
  <c r="J29" i="19"/>
  <c r="I246" i="38"/>
  <c r="I44" i="38"/>
  <c r="I288" i="38" s="1"/>
  <c r="I101" i="38"/>
  <c r="I93" i="38"/>
  <c r="I69" i="38"/>
  <c r="I70" i="38" s="1"/>
  <c r="I77" i="38"/>
  <c r="I34" i="28"/>
  <c r="I33" i="28"/>
  <c r="H167" i="29"/>
  <c r="H168" i="29" s="1"/>
  <c r="H144" i="29"/>
  <c r="H145" i="29" s="1"/>
  <c r="L16" i="42"/>
  <c r="L244" i="42" s="1"/>
  <c r="L24" i="42"/>
  <c r="J67" i="15"/>
  <c r="J46" i="15"/>
  <c r="J59" i="16"/>
  <c r="J66" i="16"/>
  <c r="I31" i="19"/>
  <c r="I211" i="19"/>
  <c r="H194" i="29"/>
  <c r="H193" i="29"/>
  <c r="F318" i="42"/>
  <c r="F319" i="42" s="1"/>
  <c r="F321" i="42" s="1"/>
  <c r="F320" i="42"/>
  <c r="J213" i="28"/>
  <c r="J59" i="29"/>
  <c r="K62" i="16" s="1"/>
  <c r="J47" i="28"/>
  <c r="J114" i="28" s="1"/>
  <c r="J51" i="29"/>
  <c r="J52" i="29"/>
  <c r="J49" i="29" s="1"/>
  <c r="J53" i="29"/>
  <c r="J60" i="29"/>
  <c r="K56" i="16" s="1"/>
  <c r="K62" i="15"/>
  <c r="J56" i="29"/>
  <c r="K44" i="16" s="1"/>
  <c r="K56" i="15"/>
  <c r="J50" i="29"/>
  <c r="K44" i="15"/>
  <c r="J57" i="29"/>
  <c r="J54" i="29"/>
  <c r="J58" i="29"/>
  <c r="J100" i="29" s="1"/>
  <c r="H303" i="42"/>
  <c r="H315" i="42" s="1"/>
  <c r="H316" i="42" s="1"/>
  <c r="H304" i="42"/>
  <c r="K29" i="29"/>
  <c r="K42" i="29"/>
  <c r="K235" i="38"/>
  <c r="K239" i="38" s="1"/>
  <c r="K237" i="38"/>
  <c r="K241" i="38" s="1"/>
  <c r="K236" i="38"/>
  <c r="K240" i="38" s="1"/>
  <c r="E165" i="28"/>
  <c r="E166" i="28"/>
  <c r="I80" i="42"/>
  <c r="I84" i="42" s="1"/>
  <c r="I78" i="42"/>
  <c r="I82" i="42" s="1"/>
  <c r="I81" i="42"/>
  <c r="I79" i="42"/>
  <c r="I83" i="42" s="1"/>
  <c r="E302" i="42"/>
  <c r="E301" i="42"/>
  <c r="E305" i="42" s="1"/>
  <c r="K16" i="19"/>
  <c r="K24" i="19"/>
  <c r="K16" i="46"/>
  <c r="K272" i="46" s="1"/>
  <c r="I31" i="38"/>
  <c r="I278" i="38"/>
  <c r="H151" i="29"/>
  <c r="H152" i="29"/>
  <c r="M12" i="42"/>
  <c r="M25" i="42" s="1"/>
  <c r="M40" i="42" s="1"/>
  <c r="M14" i="42"/>
  <c r="M27" i="42" s="1"/>
  <c r="M42" i="42" s="1"/>
  <c r="M15" i="42"/>
  <c r="M28" i="42" s="1"/>
  <c r="M43" i="42" s="1"/>
  <c r="M234" i="42" s="1"/>
  <c r="M13" i="42"/>
  <c r="M26" i="42" s="1"/>
  <c r="M41" i="42" s="1"/>
  <c r="M219" i="42" s="1"/>
  <c r="M11" i="42"/>
  <c r="J67" i="16"/>
  <c r="J46" i="16"/>
  <c r="G161" i="29"/>
  <c r="G163" i="29"/>
  <c r="G165" i="29"/>
  <c r="G160" i="29"/>
  <c r="G162" i="29"/>
  <c r="G164" i="29"/>
  <c r="M14" i="48"/>
  <c r="M13" i="48"/>
  <c r="M15" i="48"/>
  <c r="M11" i="48"/>
  <c r="M12" i="48"/>
  <c r="J146" i="28"/>
  <c r="J31" i="28"/>
  <c r="E325" i="42"/>
  <c r="K221" i="38"/>
  <c r="K225" i="38" s="1"/>
  <c r="K220" i="38"/>
  <c r="K224" i="38" s="1"/>
  <c r="K222" i="38"/>
  <c r="K226" i="38" s="1"/>
  <c r="F172" i="28"/>
  <c r="F171" i="28"/>
  <c r="G296" i="38"/>
  <c r="G294" i="38"/>
  <c r="G295" i="38"/>
  <c r="G293" i="38"/>
  <c r="I71" i="42"/>
  <c r="I75" i="42" s="1"/>
  <c r="I70" i="42"/>
  <c r="I74" i="42" s="1"/>
  <c r="I73" i="42"/>
  <c r="I72" i="42"/>
  <c r="I76" i="42" s="1"/>
  <c r="L13" i="19"/>
  <c r="L26" i="19" s="1"/>
  <c r="L44" i="19" s="1"/>
  <c r="L11" i="19"/>
  <c r="L15" i="19"/>
  <c r="L28" i="19" s="1"/>
  <c r="L12" i="19"/>
  <c r="L25" i="19" s="1"/>
  <c r="L14" i="19"/>
  <c r="L27" i="19" s="1"/>
  <c r="E300" i="38"/>
  <c r="E299" i="38"/>
  <c r="I289" i="42"/>
  <c r="J29" i="38"/>
  <c r="J39" i="38"/>
  <c r="L15" i="46"/>
  <c r="L12" i="46"/>
  <c r="L11" i="46"/>
  <c r="L14" i="46"/>
  <c r="L13" i="46"/>
  <c r="J206" i="38"/>
  <c r="J210" i="38" s="1"/>
  <c r="J207" i="38"/>
  <c r="J211" i="38" s="1"/>
  <c r="J205" i="38"/>
  <c r="J209" i="38" s="1"/>
  <c r="J208" i="38"/>
  <c r="M14" i="28"/>
  <c r="M27" i="28" s="1"/>
  <c r="M15" i="28"/>
  <c r="M28" i="28" s="1"/>
  <c r="M12" i="28"/>
  <c r="M25" i="28" s="1"/>
  <c r="M43" i="28" s="1"/>
  <c r="M11" i="28"/>
  <c r="M13" i="28"/>
  <c r="M26" i="28" s="1"/>
  <c r="M44" i="28" s="1"/>
  <c r="M12" i="29"/>
  <c r="M25" i="29" s="1"/>
  <c r="M43" i="29" s="1"/>
  <c r="M13" i="29"/>
  <c r="M26" i="29" s="1"/>
  <c r="M44" i="29" s="1"/>
  <c r="M15" i="29"/>
  <c r="M28" i="29" s="1"/>
  <c r="M14" i="29"/>
  <c r="M27" i="29" s="1"/>
  <c r="M11" i="29"/>
  <c r="L220" i="42"/>
  <c r="L224" i="42" s="1"/>
  <c r="L223" i="42"/>
  <c r="L221" i="42"/>
  <c r="L225" i="42" s="1"/>
  <c r="L222" i="42"/>
  <c r="L226" i="42" s="1"/>
  <c r="J47" i="29"/>
  <c r="J142" i="29" s="1"/>
  <c r="D301" i="38"/>
  <c r="D305" i="38" s="1"/>
  <c r="D302" i="38"/>
  <c r="G171" i="29"/>
  <c r="G174" i="29" s="1"/>
  <c r="H34" i="19"/>
  <c r="H33" i="19"/>
  <c r="L85" i="29" l="1"/>
  <c r="K65" i="15"/>
  <c r="AQ99" i="36"/>
  <c r="AQ108" i="36"/>
  <c r="M49" i="16"/>
  <c r="AS60" i="51"/>
  <c r="D333" i="42"/>
  <c r="I77" i="15"/>
  <c r="AQ100" i="36"/>
  <c r="AQ78" i="36"/>
  <c r="M49" i="15"/>
  <c r="K65" i="16"/>
  <c r="J89" i="29"/>
  <c r="M80" i="29"/>
  <c r="M79" i="29" s="1"/>
  <c r="J243" i="42"/>
  <c r="G321" i="42"/>
  <c r="M46" i="29"/>
  <c r="G179" i="29"/>
  <c r="M16" i="28"/>
  <c r="M115" i="28" s="1"/>
  <c r="M24" i="28"/>
  <c r="L16" i="46"/>
  <c r="L272" i="46" s="1"/>
  <c r="M14" i="19"/>
  <c r="M27" i="19" s="1"/>
  <c r="M12" i="19"/>
  <c r="M25" i="19" s="1"/>
  <c r="M15" i="19"/>
  <c r="M28" i="19" s="1"/>
  <c r="M13" i="19"/>
  <c r="M26" i="19" s="1"/>
  <c r="M44" i="19" s="1"/>
  <c r="M11" i="19"/>
  <c r="G304" i="38"/>
  <c r="G303" i="38"/>
  <c r="G315" i="38" s="1"/>
  <c r="J34" i="28"/>
  <c r="J33" i="28"/>
  <c r="M16" i="42"/>
  <c r="M244" i="42" s="1"/>
  <c r="M24" i="42"/>
  <c r="J68" i="15"/>
  <c r="I243" i="38"/>
  <c r="C187" i="29"/>
  <c r="L188" i="38"/>
  <c r="L196" i="38"/>
  <c r="L204" i="38"/>
  <c r="G165" i="28"/>
  <c r="G166" i="28"/>
  <c r="H161" i="28"/>
  <c r="H164" i="28"/>
  <c r="H163" i="28"/>
  <c r="H162" i="28"/>
  <c r="G302" i="42"/>
  <c r="G301" i="42"/>
  <c r="G305" i="42" s="1"/>
  <c r="J292" i="42"/>
  <c r="J289" i="42"/>
  <c r="K31" i="28"/>
  <c r="K146" i="28"/>
  <c r="L24" i="54"/>
  <c r="L29" i="54" s="1"/>
  <c r="L16" i="54"/>
  <c r="F167" i="28"/>
  <c r="F168" i="28"/>
  <c r="L207" i="42"/>
  <c r="L211" i="42" s="1"/>
  <c r="L208" i="42"/>
  <c r="L205" i="42"/>
  <c r="L209" i="42" s="1"/>
  <c r="L206" i="42"/>
  <c r="L210" i="42" s="1"/>
  <c r="I298" i="42"/>
  <c r="I297" i="42"/>
  <c r="L134" i="38"/>
  <c r="L142" i="38"/>
  <c r="L150" i="38"/>
  <c r="L158" i="38"/>
  <c r="G171" i="28"/>
  <c r="G172" i="28"/>
  <c r="I101" i="29"/>
  <c r="H134" i="29"/>
  <c r="H135" i="29" s="1"/>
  <c r="F300" i="38"/>
  <c r="F299" i="38"/>
  <c r="I150" i="29"/>
  <c r="I148" i="29"/>
  <c r="I149" i="29"/>
  <c r="I147" i="29"/>
  <c r="J313" i="42"/>
  <c r="J314" i="42" s="1"/>
  <c r="J290" i="42"/>
  <c r="J291" i="42" s="1"/>
  <c r="G172" i="29"/>
  <c r="G173" i="29" s="1"/>
  <c r="G175" i="29" s="1"/>
  <c r="D69" i="15"/>
  <c r="C205" i="28"/>
  <c r="C210" i="28"/>
  <c r="E172" i="29"/>
  <c r="E173" i="29" s="1"/>
  <c r="E175" i="29" s="1"/>
  <c r="E174" i="29"/>
  <c r="L200" i="42"/>
  <c r="L197" i="42"/>
  <c r="L201" i="42" s="1"/>
  <c r="L198" i="42"/>
  <c r="L202" i="42" s="1"/>
  <c r="L199" i="42"/>
  <c r="L203" i="42" s="1"/>
  <c r="K67" i="16"/>
  <c r="K46" i="16"/>
  <c r="I292" i="38"/>
  <c r="I289" i="38"/>
  <c r="G297" i="38"/>
  <c r="G298" i="38"/>
  <c r="E301" i="38"/>
  <c r="E305" i="38" s="1"/>
  <c r="E302" i="38"/>
  <c r="F183" i="28"/>
  <c r="F184" i="28" s="1"/>
  <c r="F185" i="28"/>
  <c r="F188" i="28" s="1"/>
  <c r="M16" i="29"/>
  <c r="M24" i="29"/>
  <c r="M46" i="28"/>
  <c r="N14" i="42"/>
  <c r="N27" i="42" s="1"/>
  <c r="N42" i="42" s="1"/>
  <c r="N15" i="42"/>
  <c r="N28" i="42" s="1"/>
  <c r="N43" i="42" s="1"/>
  <c r="N234" i="42" s="1"/>
  <c r="N13" i="42"/>
  <c r="N26" i="42" s="1"/>
  <c r="N41" i="42" s="1"/>
  <c r="N219" i="42" s="1"/>
  <c r="N12" i="42"/>
  <c r="N25" i="42" s="1"/>
  <c r="N40" i="42" s="1"/>
  <c r="N11" i="42"/>
  <c r="K29" i="19"/>
  <c r="K47" i="29"/>
  <c r="K142" i="29" s="1"/>
  <c r="K67" i="15"/>
  <c r="K46" i="15"/>
  <c r="L39" i="42"/>
  <c r="L29" i="42"/>
  <c r="I160" i="28"/>
  <c r="I159" i="28"/>
  <c r="I157" i="28"/>
  <c r="L16" i="53"/>
  <c r="L24" i="53"/>
  <c r="L29" i="53" s="1"/>
  <c r="M15" i="38"/>
  <c r="M28" i="38" s="1"/>
  <c r="M43" i="38" s="1"/>
  <c r="M234" i="38" s="1"/>
  <c r="M11" i="38"/>
  <c r="M12" i="38"/>
  <c r="M25" i="38" s="1"/>
  <c r="M40" i="38" s="1"/>
  <c r="M13" i="38"/>
  <c r="M26" i="38" s="1"/>
  <c r="M41" i="38" s="1"/>
  <c r="M219" i="38" s="1"/>
  <c r="M14" i="38"/>
  <c r="M27" i="38" s="1"/>
  <c r="M42" i="38" s="1"/>
  <c r="G137" i="29"/>
  <c r="G139" i="29"/>
  <c r="G141" i="29"/>
  <c r="G136" i="29"/>
  <c r="G138" i="29"/>
  <c r="G140" i="29"/>
  <c r="AJ125" i="36"/>
  <c r="C343" i="42"/>
  <c r="AJ126" i="36" s="1"/>
  <c r="G156" i="29"/>
  <c r="G155" i="29"/>
  <c r="G159" i="29" s="1"/>
  <c r="H296" i="38"/>
  <c r="H294" i="38"/>
  <c r="H293" i="38"/>
  <c r="H295" i="38"/>
  <c r="I162" i="29"/>
  <c r="I164" i="29"/>
  <c r="I165" i="29"/>
  <c r="I161" i="29"/>
  <c r="I163" i="29"/>
  <c r="I160" i="29"/>
  <c r="K199" i="38"/>
  <c r="K203" i="38" s="1"/>
  <c r="K198" i="38"/>
  <c r="K202" i="38" s="1"/>
  <c r="K197" i="38"/>
  <c r="K201" i="38" s="1"/>
  <c r="K200" i="38"/>
  <c r="L100" i="36" s="1"/>
  <c r="L189" i="42"/>
  <c r="L193" i="42" s="1"/>
  <c r="L192" i="42"/>
  <c r="L191" i="42"/>
  <c r="L195" i="42" s="1"/>
  <c r="L190" i="42"/>
  <c r="L194" i="42" s="1"/>
  <c r="E183" i="28"/>
  <c r="E184" i="28" s="1"/>
  <c r="E185" i="28"/>
  <c r="H300" i="42"/>
  <c r="H299" i="42"/>
  <c r="I34" i="19"/>
  <c r="I33" i="19"/>
  <c r="L16" i="19"/>
  <c r="L24" i="19"/>
  <c r="J68" i="16"/>
  <c r="J77" i="16"/>
  <c r="J31" i="19"/>
  <c r="J211" i="19"/>
  <c r="N58" i="15"/>
  <c r="M64" i="29"/>
  <c r="M75" i="29"/>
  <c r="N64" i="16" s="1"/>
  <c r="N45" i="15"/>
  <c r="M71" i="29"/>
  <c r="N48" i="16" s="1"/>
  <c r="M67" i="29"/>
  <c r="M70" i="29"/>
  <c r="M66" i="29"/>
  <c r="M74" i="29"/>
  <c r="N45" i="16" s="1"/>
  <c r="M68" i="29"/>
  <c r="N64" i="15"/>
  <c r="M63" i="29"/>
  <c r="M62" i="29" s="1"/>
  <c r="M72" i="29"/>
  <c r="N48" i="15"/>
  <c r="M65" i="29"/>
  <c r="M73" i="29"/>
  <c r="N58" i="16" s="1"/>
  <c r="M223" i="42"/>
  <c r="M220" i="42"/>
  <c r="M224" i="42" s="1"/>
  <c r="M221" i="42"/>
  <c r="M225" i="42" s="1"/>
  <c r="M222" i="42"/>
  <c r="M226" i="42" s="1"/>
  <c r="J88" i="29"/>
  <c r="J44" i="38"/>
  <c r="J288" i="38" s="1"/>
  <c r="J69" i="38"/>
  <c r="J70" i="38" s="1"/>
  <c r="J246" i="38"/>
  <c r="J93" i="38"/>
  <c r="J101" i="38"/>
  <c r="J77" i="38"/>
  <c r="M16" i="48"/>
  <c r="M272" i="48" s="1"/>
  <c r="M237" i="42"/>
  <c r="M241" i="42" s="1"/>
  <c r="M235" i="42"/>
  <c r="M239" i="42" s="1"/>
  <c r="M236" i="42"/>
  <c r="M240" i="42" s="1"/>
  <c r="M238" i="42"/>
  <c r="K31" i="29"/>
  <c r="K132" i="29"/>
  <c r="J208" i="28"/>
  <c r="J207" i="28"/>
  <c r="J156" i="28"/>
  <c r="M14" i="53"/>
  <c r="M27" i="53" s="1"/>
  <c r="M12" i="53"/>
  <c r="M25" i="53" s="1"/>
  <c r="M15" i="53"/>
  <c r="M28" i="53" s="1"/>
  <c r="M13" i="53"/>
  <c r="M26" i="53" s="1"/>
  <c r="M41" i="53" s="1"/>
  <c r="M147" i="53" s="1"/>
  <c r="M148" i="53" s="1"/>
  <c r="N60" i="51" s="1"/>
  <c r="M11" i="53"/>
  <c r="L16" i="38"/>
  <c r="L244" i="38" s="1"/>
  <c r="L24" i="38"/>
  <c r="E156" i="29"/>
  <c r="E155" i="29"/>
  <c r="E159" i="29" s="1"/>
  <c r="K31" i="53"/>
  <c r="K194" i="53"/>
  <c r="K191" i="38"/>
  <c r="K195" i="38" s="1"/>
  <c r="K190" i="38"/>
  <c r="K194" i="38" s="1"/>
  <c r="K189" i="38"/>
  <c r="K193" i="38" s="1"/>
  <c r="L29" i="28"/>
  <c r="L42" i="28"/>
  <c r="J181" i="28"/>
  <c r="J182" i="28" s="1"/>
  <c r="J158" i="28"/>
  <c r="N15" i="48"/>
  <c r="N12" i="48"/>
  <c r="N13" i="48"/>
  <c r="N14" i="48"/>
  <c r="N11" i="48"/>
  <c r="F325" i="42"/>
  <c r="N13" i="29"/>
  <c r="N26" i="29" s="1"/>
  <c r="N44" i="29" s="1"/>
  <c r="N15" i="29"/>
  <c r="N28" i="29" s="1"/>
  <c r="N12" i="29"/>
  <c r="N25" i="29" s="1"/>
  <c r="N43" i="29" s="1"/>
  <c r="N11" i="29"/>
  <c r="N14" i="29"/>
  <c r="N27" i="29" s="1"/>
  <c r="J143" i="29"/>
  <c r="J146" i="29"/>
  <c r="N11" i="28"/>
  <c r="N13" i="28"/>
  <c r="N26" i="28" s="1"/>
  <c r="N44" i="28" s="1"/>
  <c r="N15" i="28"/>
  <c r="N28" i="28" s="1"/>
  <c r="N14" i="28"/>
  <c r="N27" i="28" s="1"/>
  <c r="N12" i="28"/>
  <c r="N25" i="28" s="1"/>
  <c r="N43" i="28" s="1"/>
  <c r="J31" i="38"/>
  <c r="J278" i="38"/>
  <c r="M204" i="42"/>
  <c r="M196" i="42"/>
  <c r="M188" i="42"/>
  <c r="H154" i="29"/>
  <c r="H153" i="29"/>
  <c r="G333" i="42"/>
  <c r="K66" i="15"/>
  <c r="K59" i="15"/>
  <c r="H160" i="29"/>
  <c r="H162" i="29"/>
  <c r="H164" i="29"/>
  <c r="H161" i="29"/>
  <c r="H163" i="29"/>
  <c r="H165" i="29"/>
  <c r="D169" i="28"/>
  <c r="D173" i="28" s="1"/>
  <c r="D170" i="28"/>
  <c r="L236" i="38"/>
  <c r="L240" i="38" s="1"/>
  <c r="L237" i="38"/>
  <c r="L241" i="38" s="1"/>
  <c r="L235" i="38"/>
  <c r="L239" i="38" s="1"/>
  <c r="H150" i="28"/>
  <c r="H151" i="28"/>
  <c r="H153" i="28"/>
  <c r="H154" i="28"/>
  <c r="H152" i="28"/>
  <c r="H155" i="28"/>
  <c r="D186" i="28"/>
  <c r="D187" i="28" s="1"/>
  <c r="D189" i="28" s="1"/>
  <c r="L29" i="29"/>
  <c r="L42" i="29"/>
  <c r="J71" i="42"/>
  <c r="J75" i="42" s="1"/>
  <c r="J72" i="42"/>
  <c r="J76" i="42" s="1"/>
  <c r="J70" i="42"/>
  <c r="J74" i="42" s="1"/>
  <c r="J73" i="42"/>
  <c r="L154" i="42"/>
  <c r="L151" i="42"/>
  <c r="L155" i="42" s="1"/>
  <c r="L153" i="42"/>
  <c r="L157" i="42" s="1"/>
  <c r="L152" i="42"/>
  <c r="L156" i="42" s="1"/>
  <c r="H317" i="42"/>
  <c r="H320" i="42" s="1"/>
  <c r="K205" i="38"/>
  <c r="K209" i="38" s="1"/>
  <c r="K206" i="38"/>
  <c r="K210" i="38" s="1"/>
  <c r="K208" i="38"/>
  <c r="K207" i="38"/>
  <c r="K211" i="38" s="1"/>
  <c r="K161" i="38"/>
  <c r="K165" i="38" s="1"/>
  <c r="K162" i="38"/>
  <c r="L108" i="36" s="1"/>
  <c r="K159" i="38"/>
  <c r="K163" i="38" s="1"/>
  <c r="K160" i="38"/>
  <c r="K164" i="38" s="1"/>
  <c r="D193" i="28"/>
  <c r="D194" i="28" s="1"/>
  <c r="D201" i="28" s="1"/>
  <c r="I194" i="29"/>
  <c r="I193" i="29"/>
  <c r="H280" i="42"/>
  <c r="H281" i="42" s="1"/>
  <c r="I247" i="42"/>
  <c r="J214" i="28"/>
  <c r="I148" i="28"/>
  <c r="I149" i="28" s="1"/>
  <c r="K194" i="54"/>
  <c r="K31" i="54"/>
  <c r="J103" i="42"/>
  <c r="J107" i="42" s="1"/>
  <c r="J102" i="42"/>
  <c r="J106" i="42" s="1"/>
  <c r="J104" i="42"/>
  <c r="J108" i="42" s="1"/>
  <c r="J105" i="42"/>
  <c r="L160" i="42"/>
  <c r="L164" i="42" s="1"/>
  <c r="L161" i="42"/>
  <c r="L165" i="42" s="1"/>
  <c r="L162" i="42"/>
  <c r="L159" i="42"/>
  <c r="L163" i="42" s="1"/>
  <c r="K31" i="42"/>
  <c r="K278" i="42"/>
  <c r="K146" i="38"/>
  <c r="L99" i="36" s="1"/>
  <c r="K144" i="38"/>
  <c r="K148" i="38" s="1"/>
  <c r="K145" i="38"/>
  <c r="K149" i="38" s="1"/>
  <c r="K143" i="38"/>
  <c r="K147" i="38" s="1"/>
  <c r="M134" i="42"/>
  <c r="M150" i="42"/>
  <c r="M158" i="42"/>
  <c r="M142" i="42"/>
  <c r="E168" i="28"/>
  <c r="E167" i="28"/>
  <c r="H171" i="29"/>
  <c r="H172" i="29" s="1"/>
  <c r="H173" i="29" s="1"/>
  <c r="K39" i="38"/>
  <c r="K29" i="38"/>
  <c r="G286" i="42"/>
  <c r="G285" i="42"/>
  <c r="G284" i="42"/>
  <c r="G282" i="42"/>
  <c r="G283" i="42"/>
  <c r="G287" i="42"/>
  <c r="K84" i="29"/>
  <c r="L61" i="16"/>
  <c r="F187" i="29"/>
  <c r="J96" i="42"/>
  <c r="J100" i="42" s="1"/>
  <c r="J95" i="42"/>
  <c r="J99" i="42" s="1"/>
  <c r="J94" i="42"/>
  <c r="J98" i="42" s="1"/>
  <c r="J97" i="42"/>
  <c r="L143" i="42"/>
  <c r="L147" i="42" s="1"/>
  <c r="L145" i="42"/>
  <c r="L149" i="42" s="1"/>
  <c r="L144" i="42"/>
  <c r="L148" i="42" s="1"/>
  <c r="L146" i="42"/>
  <c r="K246" i="42"/>
  <c r="K44" i="42"/>
  <c r="K288" i="42" s="1"/>
  <c r="K77" i="42"/>
  <c r="K101" i="42"/>
  <c r="K69" i="42"/>
  <c r="K93" i="42"/>
  <c r="I303" i="42"/>
  <c r="I315" i="42" s="1"/>
  <c r="I316" i="42" s="1"/>
  <c r="I304" i="42"/>
  <c r="K152" i="38"/>
  <c r="K156" i="38" s="1"/>
  <c r="K154" i="38"/>
  <c r="L78" i="36" s="1"/>
  <c r="K153" i="38"/>
  <c r="K157" i="38" s="1"/>
  <c r="K151" i="38"/>
  <c r="K155" i="38" s="1"/>
  <c r="I290" i="38"/>
  <c r="I291" i="38" s="1"/>
  <c r="I313" i="38"/>
  <c r="I310" i="42"/>
  <c r="I309" i="42"/>
  <c r="I306" i="42"/>
  <c r="I311" i="42"/>
  <c r="I307" i="42"/>
  <c r="I308" i="42"/>
  <c r="N55" i="15"/>
  <c r="M82" i="29"/>
  <c r="N55" i="16" s="1"/>
  <c r="M15" i="46"/>
  <c r="M13" i="46"/>
  <c r="M11" i="46"/>
  <c r="M14" i="46"/>
  <c r="M12" i="46"/>
  <c r="E326" i="42"/>
  <c r="E335" i="42" s="1"/>
  <c r="J167" i="29"/>
  <c r="J168" i="29" s="1"/>
  <c r="J144" i="29"/>
  <c r="J145" i="29" s="1"/>
  <c r="K59" i="16"/>
  <c r="K66" i="16"/>
  <c r="H309" i="38"/>
  <c r="H310" i="38"/>
  <c r="H307" i="38"/>
  <c r="H306" i="38"/>
  <c r="H311" i="38"/>
  <c r="H308" i="38"/>
  <c r="L221" i="38"/>
  <c r="L225" i="38" s="1"/>
  <c r="L220" i="38"/>
  <c r="L224" i="38" s="1"/>
  <c r="L222" i="38"/>
  <c r="L226" i="38" s="1"/>
  <c r="D179" i="29"/>
  <c r="M61" i="16"/>
  <c r="L84" i="29"/>
  <c r="H175" i="28"/>
  <c r="H179" i="28"/>
  <c r="H178" i="28"/>
  <c r="H174" i="28"/>
  <c r="H176" i="28"/>
  <c r="H177" i="28"/>
  <c r="N13" i="20"/>
  <c r="N11" i="20"/>
  <c r="N12" i="20"/>
  <c r="N15" i="20"/>
  <c r="N14" i="20"/>
  <c r="J80" i="42"/>
  <c r="J84" i="42" s="1"/>
  <c r="J79" i="42"/>
  <c r="J83" i="42" s="1"/>
  <c r="J81" i="42"/>
  <c r="J78" i="42"/>
  <c r="J82" i="42" s="1"/>
  <c r="L138" i="42"/>
  <c r="L135" i="42"/>
  <c r="L139" i="42" s="1"/>
  <c r="L136" i="42"/>
  <c r="L140" i="42" s="1"/>
  <c r="L137" i="42"/>
  <c r="L141" i="42" s="1"/>
  <c r="H170" i="29"/>
  <c r="K213" i="28"/>
  <c r="K52" i="29"/>
  <c r="K49" i="29" s="1"/>
  <c r="K57" i="29"/>
  <c r="K51" i="29"/>
  <c r="K54" i="29"/>
  <c r="K53" i="29"/>
  <c r="K56" i="29"/>
  <c r="L44" i="16" s="1"/>
  <c r="K47" i="28"/>
  <c r="K58" i="29"/>
  <c r="K100" i="29" s="1"/>
  <c r="L44" i="15"/>
  <c r="K60" i="29"/>
  <c r="L56" i="16" s="1"/>
  <c r="L62" i="15"/>
  <c r="K50" i="29"/>
  <c r="L56" i="15"/>
  <c r="K59" i="29"/>
  <c r="L62" i="16" s="1"/>
  <c r="K114" i="28"/>
  <c r="M12" i="54"/>
  <c r="M25" i="54" s="1"/>
  <c r="M14" i="54"/>
  <c r="M27" i="54" s="1"/>
  <c r="M11" i="54"/>
  <c r="M13" i="54"/>
  <c r="M26" i="54" s="1"/>
  <c r="M41" i="54" s="1"/>
  <c r="M147" i="54" s="1"/>
  <c r="M148" i="54" s="1"/>
  <c r="M15" i="54"/>
  <c r="M28" i="54" s="1"/>
  <c r="J34" i="29"/>
  <c r="J33" i="29"/>
  <c r="K135" i="38"/>
  <c r="K136" i="38"/>
  <c r="K137" i="38"/>
  <c r="C28" i="20"/>
  <c r="D337" i="42" l="1"/>
  <c r="D342" i="42"/>
  <c r="AR108" i="36"/>
  <c r="N49" i="15"/>
  <c r="N49" i="16"/>
  <c r="AR99" i="36"/>
  <c r="D71" i="15"/>
  <c r="J77" i="15"/>
  <c r="AR78" i="36"/>
  <c r="AR100" i="36"/>
  <c r="L65" i="15"/>
  <c r="L59" i="16"/>
  <c r="AT60" i="51"/>
  <c r="E333" i="42"/>
  <c r="J243" i="38"/>
  <c r="L66" i="16"/>
  <c r="I308" i="38"/>
  <c r="I310" i="38"/>
  <c r="I309" i="38"/>
  <c r="I306" i="38"/>
  <c r="I307" i="38"/>
  <c r="I311" i="38"/>
  <c r="J307" i="42"/>
  <c r="J306" i="42"/>
  <c r="J311" i="42"/>
  <c r="J308" i="42"/>
  <c r="J310" i="42"/>
  <c r="J309" i="42"/>
  <c r="E69" i="15"/>
  <c r="K208" i="28"/>
  <c r="K207" i="28"/>
  <c r="K156" i="28"/>
  <c r="K94" i="42"/>
  <c r="K98" i="42" s="1"/>
  <c r="K96" i="42"/>
  <c r="K100" i="42" s="1"/>
  <c r="K95" i="42"/>
  <c r="K99" i="42" s="1"/>
  <c r="K97" i="42"/>
  <c r="F193" i="28"/>
  <c r="G299" i="38"/>
  <c r="G300" i="38"/>
  <c r="I151" i="29"/>
  <c r="I152" i="29"/>
  <c r="G183" i="28"/>
  <c r="G184" i="28" s="1"/>
  <c r="G185" i="28"/>
  <c r="G188" i="28" s="1"/>
  <c r="L143" i="38"/>
  <c r="L147" i="38" s="1"/>
  <c r="L144" i="38"/>
  <c r="L148" i="38" s="1"/>
  <c r="L145" i="38"/>
  <c r="L149" i="38" s="1"/>
  <c r="L146" i="38"/>
  <c r="M99" i="36" s="1"/>
  <c r="H166" i="28"/>
  <c r="H165" i="28"/>
  <c r="L189" i="38"/>
  <c r="L193" i="38" s="1"/>
  <c r="L191" i="38"/>
  <c r="L195" i="38" s="1"/>
  <c r="L190" i="38"/>
  <c r="L194" i="38" s="1"/>
  <c r="N11" i="19"/>
  <c r="N13" i="19"/>
  <c r="N26" i="19" s="1"/>
  <c r="N44" i="19" s="1"/>
  <c r="N14" i="19"/>
  <c r="N27" i="19" s="1"/>
  <c r="N12" i="19"/>
  <c r="N25" i="19" s="1"/>
  <c r="N15" i="19"/>
  <c r="N28" i="19" s="1"/>
  <c r="L67" i="16"/>
  <c r="L46" i="16"/>
  <c r="D180" i="29"/>
  <c r="D189" i="29" s="1"/>
  <c r="E70" i="16" s="1"/>
  <c r="K70" i="42"/>
  <c r="K74" i="42" s="1"/>
  <c r="K72" i="42"/>
  <c r="K76" i="42" s="1"/>
  <c r="K71" i="42"/>
  <c r="K75" i="42" s="1"/>
  <c r="K73" i="42"/>
  <c r="H174" i="29"/>
  <c r="M207" i="42"/>
  <c r="M211" i="42" s="1"/>
  <c r="M206" i="42"/>
  <c r="M210" i="42" s="1"/>
  <c r="M208" i="42"/>
  <c r="M205" i="42"/>
  <c r="M209" i="42" s="1"/>
  <c r="N24" i="28"/>
  <c r="N16" i="28"/>
  <c r="N115" i="28" s="1"/>
  <c r="N80" i="29"/>
  <c r="N79" i="29" s="1"/>
  <c r="E186" i="28"/>
  <c r="E187" i="28" s="1"/>
  <c r="E189" i="28" s="1"/>
  <c r="E188" i="28"/>
  <c r="I177" i="28"/>
  <c r="I174" i="28"/>
  <c r="I178" i="28"/>
  <c r="I176" i="28"/>
  <c r="I175" i="28"/>
  <c r="I179" i="28"/>
  <c r="L101" i="42"/>
  <c r="L93" i="42"/>
  <c r="L246" i="42"/>
  <c r="L77" i="42"/>
  <c r="L44" i="42"/>
  <c r="L288" i="42" s="1"/>
  <c r="L292" i="42" s="1"/>
  <c r="L69" i="42"/>
  <c r="N238" i="42"/>
  <c r="N235" i="42"/>
  <c r="N239" i="42" s="1"/>
  <c r="N236" i="42"/>
  <c r="N240" i="42" s="1"/>
  <c r="N237" i="42"/>
  <c r="N241" i="42" s="1"/>
  <c r="L135" i="38"/>
  <c r="L137" i="38"/>
  <c r="L136" i="38"/>
  <c r="I299" i="42"/>
  <c r="I300" i="42"/>
  <c r="L31" i="54"/>
  <c r="L194" i="54"/>
  <c r="H171" i="28"/>
  <c r="H172" i="28"/>
  <c r="O55" i="15"/>
  <c r="N82" i="29"/>
  <c r="O55" i="16" s="1"/>
  <c r="L31" i="53"/>
  <c r="L194" i="53"/>
  <c r="K103" i="42"/>
  <c r="K107" i="42" s="1"/>
  <c r="K102" i="42"/>
  <c r="K106" i="42" s="1"/>
  <c r="K104" i="42"/>
  <c r="K108" i="42" s="1"/>
  <c r="K105" i="42"/>
  <c r="H297" i="38"/>
  <c r="H298" i="38"/>
  <c r="I162" i="28"/>
  <c r="I164" i="28"/>
  <c r="I161" i="28"/>
  <c r="I163" i="28"/>
  <c r="N11" i="46"/>
  <c r="N13" i="46"/>
  <c r="N14" i="46"/>
  <c r="N15" i="46"/>
  <c r="N12" i="46"/>
  <c r="K80" i="42"/>
  <c r="K84" i="42" s="1"/>
  <c r="K78" i="42"/>
  <c r="K82" i="42" s="1"/>
  <c r="K79" i="42"/>
  <c r="K83" i="42" s="1"/>
  <c r="K81" i="42"/>
  <c r="E169" i="28"/>
  <c r="E173" i="28" s="1"/>
  <c r="E170" i="28"/>
  <c r="K214" i="28"/>
  <c r="J148" i="28"/>
  <c r="J149" i="28" s="1"/>
  <c r="L47" i="29"/>
  <c r="L142" i="29" s="1"/>
  <c r="F326" i="42"/>
  <c r="F333" i="42" s="1"/>
  <c r="L39" i="38"/>
  <c r="L29" i="38"/>
  <c r="N12" i="53"/>
  <c r="N25" i="53" s="1"/>
  <c r="N13" i="53"/>
  <c r="N26" i="53" s="1"/>
  <c r="N41" i="53" s="1"/>
  <c r="N147" i="53" s="1"/>
  <c r="N148" i="53" s="1"/>
  <c r="O60" i="51" s="1"/>
  <c r="N11" i="53"/>
  <c r="N15" i="53"/>
  <c r="N28" i="53" s="1"/>
  <c r="N14" i="53"/>
  <c r="N27" i="53" s="1"/>
  <c r="L29" i="19"/>
  <c r="M196" i="38"/>
  <c r="M204" i="38"/>
  <c r="M188" i="38"/>
  <c r="M85" i="29"/>
  <c r="N61" i="15"/>
  <c r="F301" i="38"/>
  <c r="F305" i="38" s="1"/>
  <c r="F302" i="38"/>
  <c r="K34" i="28"/>
  <c r="K33" i="28"/>
  <c r="J295" i="42"/>
  <c r="J294" i="42"/>
  <c r="J296" i="42"/>
  <c r="J293" i="42"/>
  <c r="M16" i="19"/>
  <c r="M24" i="19"/>
  <c r="M29" i="28"/>
  <c r="M42" i="28"/>
  <c r="N220" i="42"/>
  <c r="N224" i="42" s="1"/>
  <c r="N221" i="42"/>
  <c r="N225" i="42" s="1"/>
  <c r="N222" i="42"/>
  <c r="N226" i="42" s="1"/>
  <c r="N223" i="42"/>
  <c r="N15" i="38"/>
  <c r="N28" i="38" s="1"/>
  <c r="N43" i="38" s="1"/>
  <c r="N234" i="38" s="1"/>
  <c r="N13" i="38"/>
  <c r="N26" i="38" s="1"/>
  <c r="N41" i="38" s="1"/>
  <c r="N219" i="38" s="1"/>
  <c r="N12" i="38"/>
  <c r="N25" i="38" s="1"/>
  <c r="N40" i="38" s="1"/>
  <c r="N11" i="38"/>
  <c r="N14" i="38"/>
  <c r="N27" i="38" s="1"/>
  <c r="N42" i="38" s="1"/>
  <c r="K289" i="42"/>
  <c r="K292" i="42"/>
  <c r="I280" i="42"/>
  <c r="I281" i="42" s="1"/>
  <c r="J247" i="42"/>
  <c r="L132" i="29"/>
  <c r="L31" i="29"/>
  <c r="G337" i="42"/>
  <c r="G342" i="42"/>
  <c r="O12" i="28"/>
  <c r="O25" i="28" s="1"/>
  <c r="O43" i="28" s="1"/>
  <c r="O13" i="28"/>
  <c r="O26" i="28" s="1"/>
  <c r="O44" i="28" s="1"/>
  <c r="O14" i="28"/>
  <c r="O27" i="28" s="1"/>
  <c r="O15" i="28"/>
  <c r="O28" i="28" s="1"/>
  <c r="O11" i="28"/>
  <c r="N16" i="48"/>
  <c r="N272" i="48" s="1"/>
  <c r="H318" i="42"/>
  <c r="H319" i="42" s="1"/>
  <c r="H321" i="42" s="1"/>
  <c r="M222" i="38"/>
  <c r="M226" i="38" s="1"/>
  <c r="M220" i="38"/>
  <c r="M224" i="38" s="1"/>
  <c r="M221" i="38"/>
  <c r="M225" i="38" s="1"/>
  <c r="K88" i="29"/>
  <c r="M29" i="29"/>
  <c r="M42" i="29"/>
  <c r="G168" i="28"/>
  <c r="G167" i="28"/>
  <c r="E337" i="42"/>
  <c r="E342" i="42"/>
  <c r="M137" i="42"/>
  <c r="M141" i="42" s="1"/>
  <c r="M135" i="42"/>
  <c r="M139" i="42" s="1"/>
  <c r="M138" i="42"/>
  <c r="M136" i="42"/>
  <c r="M140" i="42" s="1"/>
  <c r="L66" i="15"/>
  <c r="L59" i="15"/>
  <c r="M16" i="53"/>
  <c r="M24" i="53"/>
  <c r="M29" i="53" s="1"/>
  <c r="K68" i="15"/>
  <c r="M24" i="54"/>
  <c r="M29" i="54" s="1"/>
  <c r="M16" i="54"/>
  <c r="M16" i="46"/>
  <c r="M272" i="46" s="1"/>
  <c r="K290" i="42"/>
  <c r="K291" i="42" s="1"/>
  <c r="K313" i="42"/>
  <c r="K314" i="42" s="1"/>
  <c r="M144" i="42"/>
  <c r="M148" i="42" s="1"/>
  <c r="M145" i="42"/>
  <c r="M149" i="42" s="1"/>
  <c r="M143" i="42"/>
  <c r="M147" i="42" s="1"/>
  <c r="M146" i="42"/>
  <c r="H285" i="42"/>
  <c r="H282" i="42"/>
  <c r="H286" i="42"/>
  <c r="H284" i="42"/>
  <c r="H283" i="42"/>
  <c r="H287" i="42"/>
  <c r="H155" i="29"/>
  <c r="H159" i="29" s="1"/>
  <c r="H156" i="29"/>
  <c r="O45" i="15"/>
  <c r="N71" i="29"/>
  <c r="O48" i="16" s="1"/>
  <c r="N66" i="29"/>
  <c r="N63" i="29"/>
  <c r="N62" i="29" s="1"/>
  <c r="N74" i="29"/>
  <c r="O45" i="16" s="1"/>
  <c r="N68" i="29"/>
  <c r="N65" i="29"/>
  <c r="O64" i="15"/>
  <c r="N75" i="29"/>
  <c r="O64" i="16" s="1"/>
  <c r="N64" i="29"/>
  <c r="O48" i="15"/>
  <c r="N72" i="29"/>
  <c r="N73" i="29"/>
  <c r="O58" i="16" s="1"/>
  <c r="O58" i="15"/>
  <c r="N67" i="29"/>
  <c r="N70" i="29"/>
  <c r="N16" i="29"/>
  <c r="N24" i="29"/>
  <c r="L213" i="28"/>
  <c r="L53" i="29"/>
  <c r="L56" i="29"/>
  <c r="M44" i="16" s="1"/>
  <c r="L59" i="29"/>
  <c r="M62" i="16" s="1"/>
  <c r="M62" i="15"/>
  <c r="L60" i="29"/>
  <c r="M56" i="16" s="1"/>
  <c r="M56" i="15"/>
  <c r="L58" i="29"/>
  <c r="M44" i="15"/>
  <c r="L54" i="29"/>
  <c r="L50" i="29"/>
  <c r="L47" i="28"/>
  <c r="L114" i="28" s="1"/>
  <c r="L52" i="29"/>
  <c r="L49" i="29" s="1"/>
  <c r="L89" i="29" s="1"/>
  <c r="L57" i="29"/>
  <c r="L51" i="29"/>
  <c r="J290" i="38"/>
  <c r="J313" i="38"/>
  <c r="I317" i="42"/>
  <c r="I320" i="42" s="1"/>
  <c r="H304" i="38"/>
  <c r="H303" i="38"/>
  <c r="H315" i="38" s="1"/>
  <c r="M134" i="38"/>
  <c r="M150" i="38"/>
  <c r="M158" i="38"/>
  <c r="M142" i="38"/>
  <c r="K146" i="29"/>
  <c r="K143" i="29"/>
  <c r="O15" i="42"/>
  <c r="O28" i="42" s="1"/>
  <c r="O43" i="42" s="1"/>
  <c r="O234" i="42" s="1"/>
  <c r="O11" i="42"/>
  <c r="O14" i="42"/>
  <c r="O27" i="42" s="1"/>
  <c r="O42" i="42" s="1"/>
  <c r="O12" i="42"/>
  <c r="O25" i="42" s="1"/>
  <c r="O40" i="42" s="1"/>
  <c r="O13" i="42"/>
  <c r="O26" i="42" s="1"/>
  <c r="O41" i="42" s="1"/>
  <c r="O219" i="42" s="1"/>
  <c r="I295" i="38"/>
  <c r="I294" i="38"/>
  <c r="I293" i="38"/>
  <c r="I296" i="38"/>
  <c r="F186" i="28"/>
  <c r="F187" i="28" s="1"/>
  <c r="F189" i="28" s="1"/>
  <c r="H140" i="29"/>
  <c r="H137" i="29"/>
  <c r="H139" i="29"/>
  <c r="H141" i="29"/>
  <c r="H136" i="29"/>
  <c r="H138" i="29"/>
  <c r="M39" i="42"/>
  <c r="M29" i="42"/>
  <c r="H325" i="42"/>
  <c r="H326" i="42" s="1"/>
  <c r="H333" i="42" s="1"/>
  <c r="M197" i="42"/>
  <c r="M201" i="42" s="1"/>
  <c r="M198" i="42"/>
  <c r="M202" i="42" s="1"/>
  <c r="M200" i="42"/>
  <c r="M199" i="42"/>
  <c r="M203" i="42" s="1"/>
  <c r="D203" i="28"/>
  <c r="E70" i="15" s="1"/>
  <c r="N14" i="54"/>
  <c r="N27" i="54" s="1"/>
  <c r="N13" i="54"/>
  <c r="N26" i="54" s="1"/>
  <c r="N41" i="54" s="1"/>
  <c r="N147" i="54" s="1"/>
  <c r="N148" i="54" s="1"/>
  <c r="N11" i="54"/>
  <c r="N15" i="54"/>
  <c r="N28" i="54" s="1"/>
  <c r="N12" i="54"/>
  <c r="N25" i="54" s="1"/>
  <c r="L67" i="15"/>
  <c r="L46" i="15"/>
  <c r="K89" i="29"/>
  <c r="O13" i="20"/>
  <c r="O11" i="20"/>
  <c r="O14" i="20"/>
  <c r="O15" i="20"/>
  <c r="O12" i="20"/>
  <c r="J165" i="29"/>
  <c r="J161" i="29"/>
  <c r="J163" i="29"/>
  <c r="J160" i="29"/>
  <c r="J162" i="29"/>
  <c r="J164" i="29"/>
  <c r="G69" i="16"/>
  <c r="F196" i="29"/>
  <c r="M161" i="42"/>
  <c r="M165" i="42" s="1"/>
  <c r="M162" i="42"/>
  <c r="M160" i="42"/>
  <c r="M164" i="42" s="1"/>
  <c r="M159" i="42"/>
  <c r="M163" i="42" s="1"/>
  <c r="H175" i="29"/>
  <c r="O12" i="48"/>
  <c r="O11" i="48"/>
  <c r="O14" i="48"/>
  <c r="O15" i="48"/>
  <c r="O13" i="48"/>
  <c r="L31" i="28"/>
  <c r="L146" i="28"/>
  <c r="J160" i="28"/>
  <c r="J157" i="28"/>
  <c r="J159" i="28"/>
  <c r="J34" i="19"/>
  <c r="J33" i="19"/>
  <c r="M16" i="38"/>
  <c r="M244" i="38" s="1"/>
  <c r="M24" i="38"/>
  <c r="N16" i="42"/>
  <c r="N244" i="42" s="1"/>
  <c r="N24" i="42"/>
  <c r="K68" i="16"/>
  <c r="K77" i="16"/>
  <c r="E179" i="29"/>
  <c r="D72" i="15"/>
  <c r="C211" i="28"/>
  <c r="D73" i="15" s="1"/>
  <c r="J101" i="29"/>
  <c r="I134" i="29"/>
  <c r="I135" i="29" s="1"/>
  <c r="L159" i="38"/>
  <c r="L163" i="38" s="1"/>
  <c r="L160" i="38"/>
  <c r="L164" i="38" s="1"/>
  <c r="L161" i="38"/>
  <c r="L165" i="38" s="1"/>
  <c r="L162" i="38"/>
  <c r="M108" i="36" s="1"/>
  <c r="L207" i="38"/>
  <c r="L211" i="38" s="1"/>
  <c r="L206" i="38"/>
  <c r="L210" i="38" s="1"/>
  <c r="L205" i="38"/>
  <c r="L209" i="38" s="1"/>
  <c r="L208" i="38"/>
  <c r="K246" i="38"/>
  <c r="K44" i="38"/>
  <c r="K288" i="38" s="1"/>
  <c r="K93" i="38"/>
  <c r="K77" i="38"/>
  <c r="K101" i="38"/>
  <c r="K69" i="38"/>
  <c r="K70" i="38" s="1"/>
  <c r="O14" i="29"/>
  <c r="O27" i="29" s="1"/>
  <c r="O11" i="29"/>
  <c r="O12" i="29"/>
  <c r="O25" i="29" s="1"/>
  <c r="O43" i="29" s="1"/>
  <c r="O13" i="29"/>
  <c r="O26" i="29" s="1"/>
  <c r="O44" i="29" s="1"/>
  <c r="O15" i="29"/>
  <c r="O28" i="29" s="1"/>
  <c r="L278" i="42"/>
  <c r="L289" i="42" s="1"/>
  <c r="L31" i="42"/>
  <c r="I154" i="28"/>
  <c r="I155" i="28"/>
  <c r="I151" i="28"/>
  <c r="I152" i="28"/>
  <c r="I153" i="28"/>
  <c r="I150" i="28"/>
  <c r="J150" i="29"/>
  <c r="J148" i="29"/>
  <c r="J147" i="29"/>
  <c r="J149" i="29"/>
  <c r="K34" i="29"/>
  <c r="K33" i="29"/>
  <c r="N196" i="42"/>
  <c r="N204" i="42"/>
  <c r="N188" i="42"/>
  <c r="I157" i="29"/>
  <c r="I158" i="29"/>
  <c r="J194" i="29"/>
  <c r="J193" i="29"/>
  <c r="K167" i="29"/>
  <c r="K168" i="29" s="1"/>
  <c r="K144" i="29"/>
  <c r="K145" i="29" s="1"/>
  <c r="K181" i="28"/>
  <c r="K182" i="28" s="1"/>
  <c r="K158" i="28"/>
  <c r="K243" i="42"/>
  <c r="L65" i="16"/>
  <c r="K278" i="38"/>
  <c r="K31" i="38"/>
  <c r="M153" i="42"/>
  <c r="M157" i="42" s="1"/>
  <c r="M154" i="42"/>
  <c r="M152" i="42"/>
  <c r="M156" i="42" s="1"/>
  <c r="M151" i="42"/>
  <c r="M155" i="42" s="1"/>
  <c r="M189" i="42"/>
  <c r="M193" i="42" s="1"/>
  <c r="M191" i="42"/>
  <c r="M195" i="42" s="1"/>
  <c r="M192" i="42"/>
  <c r="M190" i="42"/>
  <c r="M194" i="42" s="1"/>
  <c r="N46" i="28"/>
  <c r="N46" i="29"/>
  <c r="J292" i="38"/>
  <c r="J289" i="38"/>
  <c r="J291" i="38"/>
  <c r="H301" i="42"/>
  <c r="H305" i="42" s="1"/>
  <c r="H302" i="42"/>
  <c r="M235" i="38"/>
  <c r="M239" i="38" s="1"/>
  <c r="M236" i="38"/>
  <c r="M240" i="38" s="1"/>
  <c r="M237" i="38"/>
  <c r="M241" i="38" s="1"/>
  <c r="K31" i="19"/>
  <c r="K211" i="19"/>
  <c r="N134" i="42"/>
  <c r="N142" i="42"/>
  <c r="N150" i="42"/>
  <c r="N158" i="42"/>
  <c r="L153" i="38"/>
  <c r="L157" i="38" s="1"/>
  <c r="L151" i="38"/>
  <c r="L155" i="38" s="1"/>
  <c r="L154" i="38"/>
  <c r="M78" i="36" s="1"/>
  <c r="L152" i="38"/>
  <c r="L156" i="38" s="1"/>
  <c r="F170" i="28"/>
  <c r="F169" i="28"/>
  <c r="F173" i="28" s="1"/>
  <c r="L200" i="38"/>
  <c r="M100" i="36" s="1"/>
  <c r="L197" i="38"/>
  <c r="L201" i="38" s="1"/>
  <c r="L199" i="38"/>
  <c r="L203" i="38" s="1"/>
  <c r="L198" i="38"/>
  <c r="L202" i="38" s="1"/>
  <c r="D69" i="16"/>
  <c r="C196" i="29"/>
  <c r="G180" i="29"/>
  <c r="G187" i="29" s="1"/>
  <c r="D28" i="20"/>
  <c r="D26" i="20"/>
  <c r="D44" i="20" s="1"/>
  <c r="D198" i="20" s="1"/>
  <c r="D159" i="19" s="1"/>
  <c r="C26" i="20"/>
  <c r="C44" i="20" s="1"/>
  <c r="C198" i="20" s="1"/>
  <c r="C159" i="19" s="1"/>
  <c r="D123" i="14" s="1"/>
  <c r="D16" i="20"/>
  <c r="C27" i="20"/>
  <c r="C25" i="20"/>
  <c r="AS108" i="36" l="1"/>
  <c r="O49" i="15"/>
  <c r="AU60" i="51"/>
  <c r="D71" i="16"/>
  <c r="AS78" i="36"/>
  <c r="O49" i="16"/>
  <c r="G71" i="16"/>
  <c r="M65" i="15"/>
  <c r="AS99" i="36"/>
  <c r="AS100" i="36"/>
  <c r="M65" i="16"/>
  <c r="K77" i="15"/>
  <c r="D343" i="42"/>
  <c r="AK126" i="36" s="1"/>
  <c r="AK125" i="36"/>
  <c r="G186" i="28"/>
  <c r="G187" i="28" s="1"/>
  <c r="G189" i="28" s="1"/>
  <c r="O80" i="29"/>
  <c r="O79" i="29" s="1"/>
  <c r="E71" i="15"/>
  <c r="L88" i="29"/>
  <c r="L243" i="42"/>
  <c r="G189" i="29"/>
  <c r="H70" i="16" s="1"/>
  <c r="K243" i="38"/>
  <c r="K307" i="42"/>
  <c r="K306" i="42"/>
  <c r="K310" i="42"/>
  <c r="K309" i="42"/>
  <c r="K311" i="42"/>
  <c r="K308" i="42"/>
  <c r="N154" i="42"/>
  <c r="N152" i="42"/>
  <c r="N156" i="42" s="1"/>
  <c r="N151" i="42"/>
  <c r="N155" i="42" s="1"/>
  <c r="N153" i="42"/>
  <c r="N157" i="42" s="1"/>
  <c r="O61" i="15"/>
  <c r="N85" i="29"/>
  <c r="N206" i="42"/>
  <c r="N210" i="42" s="1"/>
  <c r="N205" i="42"/>
  <c r="N209" i="42" s="1"/>
  <c r="N207" i="42"/>
  <c r="N211" i="42" s="1"/>
  <c r="N208" i="42"/>
  <c r="O46" i="29"/>
  <c r="E180" i="29"/>
  <c r="E189" i="29" s="1"/>
  <c r="F70" i="16" s="1"/>
  <c r="N16" i="54"/>
  <c r="N24" i="54"/>
  <c r="N29" i="54" s="1"/>
  <c r="I298" i="38"/>
  <c r="I297" i="38"/>
  <c r="P14" i="42"/>
  <c r="P27" i="42" s="1"/>
  <c r="P42" i="42" s="1"/>
  <c r="P13" i="42"/>
  <c r="P26" i="42" s="1"/>
  <c r="P41" i="42" s="1"/>
  <c r="P219" i="42" s="1"/>
  <c r="P11" i="42"/>
  <c r="P12" i="42"/>
  <c r="P25" i="42" s="1"/>
  <c r="P40" i="42" s="1"/>
  <c r="P15" i="42"/>
  <c r="P28" i="42" s="1"/>
  <c r="P43" i="42" s="1"/>
  <c r="P234" i="42" s="1"/>
  <c r="M161" i="38"/>
  <c r="M165" i="38" s="1"/>
  <c r="M160" i="38"/>
  <c r="M164" i="38" s="1"/>
  <c r="M159" i="38"/>
  <c r="M163" i="38" s="1"/>
  <c r="M162" i="38"/>
  <c r="N108" i="36" s="1"/>
  <c r="N29" i="29"/>
  <c r="N42" i="29"/>
  <c r="O46" i="28"/>
  <c r="N61" i="16"/>
  <c r="M84" i="29"/>
  <c r="N16" i="53"/>
  <c r="N24" i="53"/>
  <c r="N29" i="53" s="1"/>
  <c r="F335" i="42"/>
  <c r="F337" i="42" s="1"/>
  <c r="H183" i="28"/>
  <c r="H184" i="28" s="1"/>
  <c r="H185" i="28"/>
  <c r="L313" i="42"/>
  <c r="L314" i="42" s="1"/>
  <c r="L290" i="42"/>
  <c r="L291" i="42" s="1"/>
  <c r="N144" i="42"/>
  <c r="N148" i="42" s="1"/>
  <c r="N145" i="42"/>
  <c r="N149" i="42" s="1"/>
  <c r="N146" i="42"/>
  <c r="N143" i="42"/>
  <c r="N147" i="42" s="1"/>
  <c r="K160" i="29"/>
  <c r="K162" i="29"/>
  <c r="K164" i="29"/>
  <c r="K161" i="29"/>
  <c r="K163" i="29"/>
  <c r="K165" i="29"/>
  <c r="P12" i="48"/>
  <c r="P15" i="48"/>
  <c r="P11" i="48"/>
  <c r="P13" i="48"/>
  <c r="P14" i="48"/>
  <c r="M31" i="42"/>
  <c r="M278" i="42"/>
  <c r="O134" i="42"/>
  <c r="O158" i="42"/>
  <c r="O150" i="42"/>
  <c r="O142" i="42"/>
  <c r="M153" i="38"/>
  <c r="M157" i="38" s="1"/>
  <c r="M151" i="38"/>
  <c r="M155" i="38" s="1"/>
  <c r="M152" i="38"/>
  <c r="M156" i="38" s="1"/>
  <c r="M154" i="38"/>
  <c r="N78" i="36" s="1"/>
  <c r="M66" i="15"/>
  <c r="M59" i="15"/>
  <c r="M194" i="54"/>
  <c r="M31" i="54"/>
  <c r="L34" i="29"/>
  <c r="L33" i="29"/>
  <c r="N196" i="38"/>
  <c r="N188" i="38"/>
  <c r="N204" i="38"/>
  <c r="J303" i="42"/>
  <c r="J304" i="42"/>
  <c r="M191" i="38"/>
  <c r="M195" i="38" s="1"/>
  <c r="M190" i="38"/>
  <c r="M194" i="38" s="1"/>
  <c r="M189" i="38"/>
  <c r="M193" i="38" s="1"/>
  <c r="L94" i="42"/>
  <c r="L98" i="42" s="1"/>
  <c r="L95" i="42"/>
  <c r="L99" i="42" s="1"/>
  <c r="L96" i="42"/>
  <c r="L100" i="42" s="1"/>
  <c r="L97" i="42"/>
  <c r="E193" i="28"/>
  <c r="E194" i="28" s="1"/>
  <c r="E201" i="28" s="1"/>
  <c r="H167" i="28"/>
  <c r="H168" i="28"/>
  <c r="G301" i="38"/>
  <c r="G305" i="38" s="1"/>
  <c r="G302" i="38"/>
  <c r="D210" i="28"/>
  <c r="N138" i="42"/>
  <c r="N135" i="42"/>
  <c r="N139" i="42" s="1"/>
  <c r="N137" i="42"/>
  <c r="N141" i="42" s="1"/>
  <c r="N136" i="42"/>
  <c r="N140" i="42" s="1"/>
  <c r="J311" i="38"/>
  <c r="J307" i="38"/>
  <c r="J309" i="38"/>
  <c r="J306" i="38"/>
  <c r="J310" i="38"/>
  <c r="J308" i="38"/>
  <c r="K194" i="29"/>
  <c r="K193" i="29"/>
  <c r="M39" i="38"/>
  <c r="M29" i="38"/>
  <c r="H335" i="42"/>
  <c r="H342" i="42" s="1"/>
  <c r="AO125" i="36" s="1"/>
  <c r="M246" i="42"/>
  <c r="M44" i="42"/>
  <c r="M288" i="42" s="1"/>
  <c r="M93" i="42"/>
  <c r="M77" i="42"/>
  <c r="M69" i="42"/>
  <c r="M101" i="42"/>
  <c r="O204" i="42"/>
  <c r="O196" i="42"/>
  <c r="O188" i="42"/>
  <c r="M137" i="38"/>
  <c r="M135" i="38"/>
  <c r="M136" i="38"/>
  <c r="M66" i="16"/>
  <c r="M59" i="16"/>
  <c r="P15" i="28"/>
  <c r="P28" i="28" s="1"/>
  <c r="P14" i="28"/>
  <c r="P27" i="28" s="1"/>
  <c r="P13" i="28"/>
  <c r="P26" i="28" s="1"/>
  <c r="P44" i="28" s="1"/>
  <c r="P12" i="28"/>
  <c r="P25" i="28" s="1"/>
  <c r="P43" i="28" s="1"/>
  <c r="P11" i="28"/>
  <c r="N16" i="38"/>
  <c r="N244" i="38" s="1"/>
  <c r="N24" i="38"/>
  <c r="M205" i="38"/>
  <c r="M209" i="38" s="1"/>
  <c r="M208" i="38"/>
  <c r="M206" i="38"/>
  <c r="M210" i="38" s="1"/>
  <c r="M207" i="38"/>
  <c r="M211" i="38" s="1"/>
  <c r="O15" i="53"/>
  <c r="O28" i="53" s="1"/>
  <c r="O12" i="53"/>
  <c r="O25" i="53" s="1"/>
  <c r="O14" i="53"/>
  <c r="O27" i="53" s="1"/>
  <c r="O11" i="53"/>
  <c r="O13" i="53"/>
  <c r="O26" i="53" s="1"/>
  <c r="O41" i="53" s="1"/>
  <c r="O147" i="53" s="1"/>
  <c r="O148" i="53" s="1"/>
  <c r="P60" i="51" s="1"/>
  <c r="L100" i="29"/>
  <c r="N16" i="46"/>
  <c r="N272" i="46" s="1"/>
  <c r="L102" i="42"/>
  <c r="L106" i="42" s="1"/>
  <c r="L103" i="42"/>
  <c r="L107" i="42" s="1"/>
  <c r="L105" i="42"/>
  <c r="L104" i="42"/>
  <c r="L108" i="42" s="1"/>
  <c r="D187" i="29"/>
  <c r="D205" i="28"/>
  <c r="N198" i="42"/>
  <c r="N202" i="42" s="1"/>
  <c r="N197" i="42"/>
  <c r="N201" i="42" s="1"/>
  <c r="N199" i="42"/>
  <c r="N203" i="42" s="1"/>
  <c r="N200" i="42"/>
  <c r="O24" i="29"/>
  <c r="O16" i="29"/>
  <c r="K292" i="38"/>
  <c r="K289" i="38"/>
  <c r="I136" i="29"/>
  <c r="I138" i="29"/>
  <c r="I140" i="29"/>
  <c r="I137" i="29"/>
  <c r="I139" i="29"/>
  <c r="I141" i="29"/>
  <c r="N39" i="42"/>
  <c r="N29" i="42"/>
  <c r="J178" i="28"/>
  <c r="J175" i="28"/>
  <c r="J177" i="28"/>
  <c r="J176" i="28"/>
  <c r="J174" i="28"/>
  <c r="J179" i="28"/>
  <c r="L68" i="15"/>
  <c r="O16" i="42"/>
  <c r="O244" i="42" s="1"/>
  <c r="O24" i="42"/>
  <c r="M47" i="29"/>
  <c r="M142" i="29" s="1"/>
  <c r="O82" i="29"/>
  <c r="P55" i="16" s="1"/>
  <c r="P55" i="15"/>
  <c r="J280" i="42"/>
  <c r="J281" i="42" s="1"/>
  <c r="K247" i="42"/>
  <c r="N134" i="38"/>
  <c r="N158" i="38"/>
  <c r="N150" i="38"/>
  <c r="N142" i="38"/>
  <c r="J298" i="42"/>
  <c r="J297" i="42"/>
  <c r="M198" i="38"/>
  <c r="M202" i="38" s="1"/>
  <c r="M199" i="38"/>
  <c r="M203" i="38" s="1"/>
  <c r="M197" i="38"/>
  <c r="M201" i="38" s="1"/>
  <c r="M200" i="38"/>
  <c r="N100" i="36" s="1"/>
  <c r="I165" i="28"/>
  <c r="I166" i="28"/>
  <c r="N16" i="19"/>
  <c r="N24" i="19"/>
  <c r="F194" i="28"/>
  <c r="F203" i="28" s="1"/>
  <c r="G70" i="15" s="1"/>
  <c r="J151" i="29"/>
  <c r="J152" i="29"/>
  <c r="K290" i="38"/>
  <c r="K291" i="38" s="1"/>
  <c r="K313" i="38"/>
  <c r="K101" i="29"/>
  <c r="J134" i="29"/>
  <c r="J135" i="29" s="1"/>
  <c r="O16" i="48"/>
  <c r="O272" i="48" s="1"/>
  <c r="O235" i="42"/>
  <c r="O239" i="42" s="1"/>
  <c r="O236" i="42"/>
  <c r="O240" i="42" s="1"/>
  <c r="O238" i="42"/>
  <c r="O237" i="42"/>
  <c r="O241" i="42" s="1"/>
  <c r="L207" i="28"/>
  <c r="L208" i="28"/>
  <c r="L156" i="28"/>
  <c r="M31" i="29"/>
  <c r="M132" i="29"/>
  <c r="O75" i="29"/>
  <c r="P64" i="16" s="1"/>
  <c r="O63" i="29"/>
  <c r="O62" i="29" s="1"/>
  <c r="O74" i="29"/>
  <c r="P45" i="16" s="1"/>
  <c r="P58" i="15"/>
  <c r="O71" i="29"/>
  <c r="P48" i="16" s="1"/>
  <c r="O66" i="29"/>
  <c r="P45" i="15"/>
  <c r="O65" i="29"/>
  <c r="O64" i="29"/>
  <c r="P64" i="15"/>
  <c r="O72" i="29"/>
  <c r="O68" i="29"/>
  <c r="P48" i="15"/>
  <c r="O73" i="29"/>
  <c r="P58" i="16" s="1"/>
  <c r="O67" i="29"/>
  <c r="O70" i="29"/>
  <c r="I286" i="42"/>
  <c r="I285" i="42"/>
  <c r="I282" i="42"/>
  <c r="I283" i="42"/>
  <c r="I284" i="42"/>
  <c r="I287" i="42"/>
  <c r="O11" i="38"/>
  <c r="O12" i="38"/>
  <c r="O25" i="38" s="1"/>
  <c r="O40" i="38" s="1"/>
  <c r="O13" i="38"/>
  <c r="O26" i="38" s="1"/>
  <c r="O41" i="38" s="1"/>
  <c r="O219" i="38" s="1"/>
  <c r="O15" i="38"/>
  <c r="O28" i="38" s="1"/>
  <c r="O43" i="38" s="1"/>
  <c r="O234" i="38" s="1"/>
  <c r="O14" i="38"/>
  <c r="O27" i="38" s="1"/>
  <c r="O42" i="38" s="1"/>
  <c r="M213" i="28"/>
  <c r="M54" i="29"/>
  <c r="M53" i="29"/>
  <c r="N56" i="15"/>
  <c r="M47" i="28"/>
  <c r="M114" i="28" s="1"/>
  <c r="M57" i="29"/>
  <c r="N62" i="15"/>
  <c r="M59" i="29"/>
  <c r="N62" i="16" s="1"/>
  <c r="N44" i="15"/>
  <c r="M52" i="29"/>
  <c r="M49" i="29" s="1"/>
  <c r="M58" i="29"/>
  <c r="M100" i="29" s="1"/>
  <c r="M60" i="29"/>
  <c r="N56" i="16" s="1"/>
  <c r="M51" i="29"/>
  <c r="M50" i="29"/>
  <c r="M56" i="29"/>
  <c r="N44" i="16" s="1"/>
  <c r="L278" i="38"/>
  <c r="L31" i="38"/>
  <c r="L146" i="29"/>
  <c r="L143" i="29"/>
  <c r="I301" i="42"/>
  <c r="I305" i="42" s="1"/>
  <c r="I302" i="42"/>
  <c r="O13" i="19"/>
  <c r="O26" i="19" s="1"/>
  <c r="O44" i="19" s="1"/>
  <c r="O14" i="19"/>
  <c r="O27" i="19" s="1"/>
  <c r="O12" i="19"/>
  <c r="O25" i="19" s="1"/>
  <c r="O15" i="19"/>
  <c r="O28" i="19" s="1"/>
  <c r="O11" i="19"/>
  <c r="G193" i="28"/>
  <c r="H69" i="16"/>
  <c r="D72" i="16"/>
  <c r="C197" i="29"/>
  <c r="D73" i="16" s="1"/>
  <c r="P12" i="29"/>
  <c r="P25" i="29" s="1"/>
  <c r="P43" i="29" s="1"/>
  <c r="P15" i="29"/>
  <c r="P28" i="29" s="1"/>
  <c r="P14" i="29"/>
  <c r="P27" i="29" s="1"/>
  <c r="P13" i="29"/>
  <c r="P26" i="29" s="1"/>
  <c r="P44" i="29" s="1"/>
  <c r="P11" i="29"/>
  <c r="J164" i="28"/>
  <c r="J161" i="28"/>
  <c r="J163" i="28"/>
  <c r="J162" i="28"/>
  <c r="G72" i="16"/>
  <c r="F197" i="29"/>
  <c r="G73" i="16" s="1"/>
  <c r="P12" i="20"/>
  <c r="P13" i="20"/>
  <c r="P11" i="20"/>
  <c r="P15" i="20"/>
  <c r="P14" i="20"/>
  <c r="I304" i="38"/>
  <c r="I303" i="38"/>
  <c r="I315" i="38" s="1"/>
  <c r="I325" i="42"/>
  <c r="I326" i="42" s="1"/>
  <c r="I335" i="42" s="1"/>
  <c r="M67" i="16"/>
  <c r="M46" i="16"/>
  <c r="G169" i="28"/>
  <c r="G173" i="28" s="1"/>
  <c r="G170" i="28"/>
  <c r="AN125" i="36"/>
  <c r="G343" i="42"/>
  <c r="AN126" i="36" s="1"/>
  <c r="N221" i="38"/>
  <c r="N225" i="38" s="1"/>
  <c r="N220" i="38"/>
  <c r="N224" i="38" s="1"/>
  <c r="N222" i="38"/>
  <c r="N226" i="38" s="1"/>
  <c r="M31" i="28"/>
  <c r="M146" i="28"/>
  <c r="L31" i="19"/>
  <c r="L211" i="19"/>
  <c r="L246" i="38"/>
  <c r="L44" i="38"/>
  <c r="L288" i="38" s="1"/>
  <c r="L77" i="38"/>
  <c r="L101" i="38"/>
  <c r="L69" i="38"/>
  <c r="L70" i="38" s="1"/>
  <c r="L93" i="38"/>
  <c r="J154" i="28"/>
  <c r="J150" i="28"/>
  <c r="J151" i="28"/>
  <c r="J152" i="28"/>
  <c r="J153" i="28"/>
  <c r="J155" i="28"/>
  <c r="I171" i="28"/>
  <c r="I172" i="28"/>
  <c r="L70" i="42"/>
  <c r="L74" i="42" s="1"/>
  <c r="L71" i="42"/>
  <c r="L75" i="42" s="1"/>
  <c r="L73" i="42"/>
  <c r="L72" i="42"/>
  <c r="L76" i="42" s="1"/>
  <c r="H179" i="29"/>
  <c r="L77" i="16"/>
  <c r="L68" i="16"/>
  <c r="J293" i="38"/>
  <c r="J296" i="38"/>
  <c r="J294" i="38"/>
  <c r="J295" i="38"/>
  <c r="I169" i="29"/>
  <c r="I170" i="29" s="1"/>
  <c r="I171" i="29"/>
  <c r="I174" i="29" s="1"/>
  <c r="K148" i="29"/>
  <c r="K149" i="29"/>
  <c r="K150" i="29"/>
  <c r="K147" i="29"/>
  <c r="K294" i="42"/>
  <c r="K296" i="42"/>
  <c r="K295" i="42"/>
  <c r="K293" i="42"/>
  <c r="N236" i="38"/>
  <c r="N240" i="38" s="1"/>
  <c r="N235" i="38"/>
  <c r="N239" i="38" s="1"/>
  <c r="N237" i="38"/>
  <c r="N241" i="38" s="1"/>
  <c r="M29" i="19"/>
  <c r="L214" i="28"/>
  <c r="K148" i="28"/>
  <c r="K149" i="28" s="1"/>
  <c r="O15" i="46"/>
  <c r="O13" i="46"/>
  <c r="O12" i="46"/>
  <c r="O14" i="46"/>
  <c r="O11" i="46"/>
  <c r="L295" i="42"/>
  <c r="L294" i="42"/>
  <c r="L296" i="42"/>
  <c r="L293" i="42"/>
  <c r="I153" i="29"/>
  <c r="I154" i="29"/>
  <c r="K160" i="28"/>
  <c r="K159" i="28"/>
  <c r="K157" i="28"/>
  <c r="K33" i="19"/>
  <c r="K34" i="19"/>
  <c r="N161" i="42"/>
  <c r="N165" i="42" s="1"/>
  <c r="N162" i="42"/>
  <c r="N159" i="42"/>
  <c r="N163" i="42" s="1"/>
  <c r="N160" i="42"/>
  <c r="N164" i="42" s="1"/>
  <c r="N189" i="42"/>
  <c r="N193" i="42" s="1"/>
  <c r="N192" i="42"/>
  <c r="N190" i="42"/>
  <c r="N194" i="42" s="1"/>
  <c r="N191" i="42"/>
  <c r="N195" i="42" s="1"/>
  <c r="J157" i="29"/>
  <c r="J158" i="29"/>
  <c r="L34" i="28"/>
  <c r="L33" i="28"/>
  <c r="O11" i="54"/>
  <c r="O12" i="54"/>
  <c r="O25" i="54" s="1"/>
  <c r="O13" i="54"/>
  <c r="O26" i="54" s="1"/>
  <c r="O41" i="54" s="1"/>
  <c r="O147" i="54" s="1"/>
  <c r="O148" i="54" s="1"/>
  <c r="O15" i="54"/>
  <c r="O28" i="54" s="1"/>
  <c r="O14" i="54"/>
  <c r="O27" i="54" s="1"/>
  <c r="O220" i="42"/>
  <c r="O224" i="42" s="1"/>
  <c r="O221" i="42"/>
  <c r="O225" i="42" s="1"/>
  <c r="O222" i="42"/>
  <c r="O226" i="42" s="1"/>
  <c r="O223" i="42"/>
  <c r="M146" i="38"/>
  <c r="N99" i="36" s="1"/>
  <c r="M145" i="38"/>
  <c r="M149" i="38" s="1"/>
  <c r="M143" i="38"/>
  <c r="M147" i="38" s="1"/>
  <c r="M144" i="38"/>
  <c r="M148" i="38" s="1"/>
  <c r="M46" i="15"/>
  <c r="M67" i="15"/>
  <c r="L158" i="28"/>
  <c r="L181" i="28"/>
  <c r="L182" i="28" s="1"/>
  <c r="M194" i="53"/>
  <c r="M31" i="53"/>
  <c r="AL125" i="36"/>
  <c r="E343" i="42"/>
  <c r="AL126" i="36" s="1"/>
  <c r="O16" i="28"/>
  <c r="O115" i="28" s="1"/>
  <c r="O24" i="28"/>
  <c r="H299" i="38"/>
  <c r="H300" i="38"/>
  <c r="L81" i="42"/>
  <c r="L79" i="42"/>
  <c r="L83" i="42" s="1"/>
  <c r="L80" i="42"/>
  <c r="L84" i="42" s="1"/>
  <c r="L78" i="42"/>
  <c r="L82" i="42" s="1"/>
  <c r="N29" i="28"/>
  <c r="N42" i="28"/>
  <c r="I318" i="42"/>
  <c r="I319" i="42" s="1"/>
  <c r="I321" i="42" s="1"/>
  <c r="E123" i="14"/>
  <c r="C200" i="20"/>
  <c r="C161" i="19" s="1"/>
  <c r="C199" i="20"/>
  <c r="C160" i="19" s="1"/>
  <c r="C201" i="20"/>
  <c r="C162" i="19" s="1"/>
  <c r="C202" i="20"/>
  <c r="C163" i="19" s="1"/>
  <c r="C203" i="20"/>
  <c r="C164" i="19" s="1"/>
  <c r="D200" i="20"/>
  <c r="D202" i="20"/>
  <c r="D199" i="20"/>
  <c r="D201" i="20"/>
  <c r="D203" i="20"/>
  <c r="D164" i="19" s="1"/>
  <c r="L26" i="33"/>
  <c r="E28" i="20"/>
  <c r="D219" i="20"/>
  <c r="D24" i="20"/>
  <c r="E123" i="12"/>
  <c r="D155" i="19"/>
  <c r="D157" i="19"/>
  <c r="D25" i="20"/>
  <c r="D27" i="20"/>
  <c r="C155" i="19"/>
  <c r="C154" i="19" s="1"/>
  <c r="C157" i="19"/>
  <c r="C29" i="20"/>
  <c r="E26" i="20"/>
  <c r="E44" i="20" s="1"/>
  <c r="E198" i="20" s="1"/>
  <c r="E159" i="19" s="1"/>
  <c r="F123" i="14" s="1"/>
  <c r="AV60" i="51" l="1"/>
  <c r="AT108" i="36"/>
  <c r="P49" i="15"/>
  <c r="P49" i="16"/>
  <c r="AT78" i="36"/>
  <c r="N65" i="16"/>
  <c r="AT100" i="36"/>
  <c r="AT99" i="36"/>
  <c r="N65" i="15"/>
  <c r="L77" i="15"/>
  <c r="H71" i="16"/>
  <c r="G196" i="29"/>
  <c r="H343" i="42"/>
  <c r="AO126" i="36" s="1"/>
  <c r="M243" i="42"/>
  <c r="I172" i="29"/>
  <c r="I173" i="29" s="1"/>
  <c r="I175" i="29" s="1"/>
  <c r="P46" i="29"/>
  <c r="M89" i="29"/>
  <c r="P80" i="29"/>
  <c r="P79" i="29" s="1"/>
  <c r="P46" i="28"/>
  <c r="Q61" i="15" s="1"/>
  <c r="F201" i="28"/>
  <c r="G69" i="15" s="1"/>
  <c r="L243" i="38"/>
  <c r="K311" i="38"/>
  <c r="K310" i="38"/>
  <c r="K308" i="38"/>
  <c r="K306" i="38"/>
  <c r="K307" i="38"/>
  <c r="K309" i="38"/>
  <c r="N213" i="28"/>
  <c r="N59" i="29"/>
  <c r="O62" i="16" s="1"/>
  <c r="N51" i="29"/>
  <c r="N52" i="29"/>
  <c r="N49" i="29" s="1"/>
  <c r="N53" i="29"/>
  <c r="N58" i="29"/>
  <c r="N100" i="29" s="1"/>
  <c r="N56" i="29"/>
  <c r="O44" i="16" s="1"/>
  <c r="O56" i="15"/>
  <c r="N50" i="29"/>
  <c r="O62" i="15"/>
  <c r="N54" i="29"/>
  <c r="O44" i="15"/>
  <c r="N47" i="28"/>
  <c r="N114" i="28" s="1"/>
  <c r="N57" i="29"/>
  <c r="N60" i="29"/>
  <c r="O56" i="16" s="1"/>
  <c r="O29" i="28"/>
  <c r="O42" i="28"/>
  <c r="L304" i="42"/>
  <c r="L303" i="42"/>
  <c r="L315" i="42" s="1"/>
  <c r="L316" i="42" s="1"/>
  <c r="M214" i="28"/>
  <c r="L148" i="28"/>
  <c r="L149" i="28" s="1"/>
  <c r="K304" i="42"/>
  <c r="K303" i="42"/>
  <c r="I183" i="28"/>
  <c r="I184" i="28" s="1"/>
  <c r="I185" i="28"/>
  <c r="L289" i="38"/>
  <c r="L292" i="38"/>
  <c r="Q12" i="29"/>
  <c r="Q25" i="29" s="1"/>
  <c r="Q43" i="29" s="1"/>
  <c r="Q11" i="29"/>
  <c r="Q14" i="29"/>
  <c r="Q27" i="29" s="1"/>
  <c r="Q13" i="29"/>
  <c r="Q26" i="29" s="1"/>
  <c r="Q44" i="29" s="1"/>
  <c r="Q15" i="29"/>
  <c r="Q28" i="29" s="1"/>
  <c r="L148" i="29"/>
  <c r="L149" i="29"/>
  <c r="L147" i="29"/>
  <c r="L150" i="29"/>
  <c r="O196" i="38"/>
  <c r="O204" i="38"/>
  <c r="O188" i="38"/>
  <c r="N151" i="38"/>
  <c r="N155" i="38" s="1"/>
  <c r="N154" i="38"/>
  <c r="O78" i="36" s="1"/>
  <c r="N152" i="38"/>
  <c r="N156" i="38" s="1"/>
  <c r="N153" i="38"/>
  <c r="N157" i="38" s="1"/>
  <c r="O29" i="29"/>
  <c r="O42" i="29"/>
  <c r="Q64" i="15"/>
  <c r="P73" i="29"/>
  <c r="Q58" i="16" s="1"/>
  <c r="Q48" i="15"/>
  <c r="P70" i="29"/>
  <c r="P67" i="29"/>
  <c r="P66" i="29"/>
  <c r="P64" i="29"/>
  <c r="P63" i="29"/>
  <c r="P62" i="29" s="1"/>
  <c r="P75" i="29"/>
  <c r="Q64" i="16" s="1"/>
  <c r="P72" i="29"/>
  <c r="P68" i="29"/>
  <c r="P71" i="29"/>
  <c r="Q48" i="16" s="1"/>
  <c r="Q58" i="15"/>
  <c r="P65" i="29"/>
  <c r="Q45" i="15"/>
  <c r="P74" i="29"/>
  <c r="Q45" i="16" s="1"/>
  <c r="O190" i="42"/>
  <c r="O194" i="42" s="1"/>
  <c r="O192" i="42"/>
  <c r="O191" i="42"/>
  <c r="O195" i="42" s="1"/>
  <c r="O189" i="42"/>
  <c r="O193" i="42" s="1"/>
  <c r="M292" i="42"/>
  <c r="M289" i="42"/>
  <c r="E72" i="15"/>
  <c r="D211" i="28"/>
  <c r="E73" i="15" s="1"/>
  <c r="N191" i="38"/>
  <c r="N195" i="38" s="1"/>
  <c r="N190" i="38"/>
  <c r="N194" i="38" s="1"/>
  <c r="N189" i="38"/>
  <c r="N193" i="38" s="1"/>
  <c r="L194" i="29"/>
  <c r="L193" i="29"/>
  <c r="O154" i="42"/>
  <c r="O153" i="42"/>
  <c r="O157" i="42" s="1"/>
  <c r="O152" i="42"/>
  <c r="O156" i="42" s="1"/>
  <c r="O151" i="42"/>
  <c r="O155" i="42" s="1"/>
  <c r="H186" i="28"/>
  <c r="H187" i="28" s="1"/>
  <c r="H189" i="28" s="1"/>
  <c r="H188" i="28"/>
  <c r="P61" i="15"/>
  <c r="O85" i="29"/>
  <c r="P134" i="42"/>
  <c r="P142" i="42"/>
  <c r="P150" i="42"/>
  <c r="P158" i="42"/>
  <c r="F342" i="42"/>
  <c r="N146" i="28"/>
  <c r="N31" i="28"/>
  <c r="M68" i="15"/>
  <c r="P15" i="46"/>
  <c r="P14" i="46"/>
  <c r="P11" i="46"/>
  <c r="P13" i="46"/>
  <c r="P12" i="46"/>
  <c r="I179" i="29"/>
  <c r="I180" i="29" s="1"/>
  <c r="I189" i="29" s="1"/>
  <c r="J70" i="16" s="1"/>
  <c r="L290" i="38"/>
  <c r="L291" i="38" s="1"/>
  <c r="L313" i="38"/>
  <c r="M77" i="16"/>
  <c r="M68" i="16"/>
  <c r="Q14" i="20"/>
  <c r="Q13" i="20"/>
  <c r="Q12" i="20"/>
  <c r="Q11" i="20"/>
  <c r="Q15" i="20"/>
  <c r="N67" i="16"/>
  <c r="N46" i="16"/>
  <c r="P12" i="38"/>
  <c r="P25" i="38" s="1"/>
  <c r="P40" i="38" s="1"/>
  <c r="P14" i="38"/>
  <c r="P27" i="38" s="1"/>
  <c r="P42" i="38" s="1"/>
  <c r="P15" i="38"/>
  <c r="P28" i="38" s="1"/>
  <c r="P43" i="38" s="1"/>
  <c r="P234" i="38" s="1"/>
  <c r="P11" i="38"/>
  <c r="P13" i="38"/>
  <c r="P26" i="38" s="1"/>
  <c r="P41" i="38" s="1"/>
  <c r="P219" i="38" s="1"/>
  <c r="J141" i="29"/>
  <c r="J136" i="29"/>
  <c r="J138" i="29"/>
  <c r="J140" i="29"/>
  <c r="J137" i="29"/>
  <c r="J139" i="29"/>
  <c r="N159" i="38"/>
  <c r="N163" i="38" s="1"/>
  <c r="N160" i="38"/>
  <c r="N164" i="38" s="1"/>
  <c r="N161" i="38"/>
  <c r="N165" i="38" s="1"/>
  <c r="N162" i="38"/>
  <c r="O108" i="36" s="1"/>
  <c r="K280" i="42"/>
  <c r="K281" i="42" s="1"/>
  <c r="L247" i="42"/>
  <c r="P14" i="53"/>
  <c r="P27" i="53" s="1"/>
  <c r="P15" i="53"/>
  <c r="P28" i="53" s="1"/>
  <c r="P12" i="53"/>
  <c r="P25" i="53" s="1"/>
  <c r="P11" i="53"/>
  <c r="P13" i="53"/>
  <c r="P26" i="53" s="1"/>
  <c r="P41" i="53" s="1"/>
  <c r="P147" i="53" s="1"/>
  <c r="P148" i="53" s="1"/>
  <c r="Q60" i="51" s="1"/>
  <c r="P82" i="29"/>
  <c r="Q55" i="16" s="1"/>
  <c r="Q55" i="15"/>
  <c r="O198" i="42"/>
  <c r="O202" i="42" s="1"/>
  <c r="O197" i="42"/>
  <c r="O201" i="42" s="1"/>
  <c r="O200" i="42"/>
  <c r="O199" i="42"/>
  <c r="O203" i="42" s="1"/>
  <c r="M290" i="42"/>
  <c r="M291" i="42" s="1"/>
  <c r="M313" i="42"/>
  <c r="M314" i="42" s="1"/>
  <c r="N198" i="38"/>
  <c r="N202" i="38" s="1"/>
  <c r="N199" i="38"/>
  <c r="N203" i="38" s="1"/>
  <c r="N197" i="38"/>
  <c r="N201" i="38" s="1"/>
  <c r="N200" i="38"/>
  <c r="O100" i="36" s="1"/>
  <c r="O160" i="42"/>
  <c r="O164" i="42" s="1"/>
  <c r="O161" i="42"/>
  <c r="O165" i="42" s="1"/>
  <c r="O162" i="42"/>
  <c r="O159" i="42"/>
  <c r="O163" i="42" s="1"/>
  <c r="P16" i="48"/>
  <c r="P272" i="48" s="1"/>
  <c r="N47" i="29"/>
  <c r="N142" i="29" s="1"/>
  <c r="P16" i="42"/>
  <c r="P244" i="42" s="1"/>
  <c r="P24" i="42"/>
  <c r="E187" i="29"/>
  <c r="J169" i="29"/>
  <c r="J170" i="29" s="1"/>
  <c r="J171" i="29"/>
  <c r="J174" i="29" s="1"/>
  <c r="L298" i="42"/>
  <c r="L297" i="42"/>
  <c r="O16" i="46"/>
  <c r="O272" i="46" s="1"/>
  <c r="M31" i="19"/>
  <c r="M211" i="19"/>
  <c r="J165" i="28"/>
  <c r="J166" i="28"/>
  <c r="G197" i="29"/>
  <c r="H73" i="16" s="1"/>
  <c r="H72" i="16"/>
  <c r="O236" i="38"/>
  <c r="O240" i="38" s="1"/>
  <c r="O237" i="38"/>
  <c r="O241" i="38" s="1"/>
  <c r="O235" i="38"/>
  <c r="O239" i="38" s="1"/>
  <c r="L101" i="29"/>
  <c r="K134" i="29"/>
  <c r="K135" i="29" s="1"/>
  <c r="N29" i="19"/>
  <c r="N135" i="38"/>
  <c r="N137" i="38"/>
  <c r="N136" i="38"/>
  <c r="J283" i="42"/>
  <c r="J287" i="42"/>
  <c r="J284" i="42"/>
  <c r="J286" i="42"/>
  <c r="J285" i="42"/>
  <c r="J282" i="42"/>
  <c r="O207" i="42"/>
  <c r="O211" i="42" s="1"/>
  <c r="O208" i="42"/>
  <c r="O205" i="42"/>
  <c r="O209" i="42" s="1"/>
  <c r="O206" i="42"/>
  <c r="O210" i="42" s="1"/>
  <c r="O138" i="42"/>
  <c r="O135" i="42"/>
  <c r="O139" i="42" s="1"/>
  <c r="O136" i="42"/>
  <c r="O140" i="42" s="1"/>
  <c r="O137" i="42"/>
  <c r="O141" i="42" s="1"/>
  <c r="N132" i="29"/>
  <c r="N31" i="29"/>
  <c r="P222" i="42"/>
  <c r="P226" i="42" s="1"/>
  <c r="P223" i="42"/>
  <c r="P220" i="42"/>
  <c r="P224" i="42" s="1"/>
  <c r="P221" i="42"/>
  <c r="P225" i="42" s="1"/>
  <c r="N84" i="29"/>
  <c r="O61" i="16"/>
  <c r="K176" i="28"/>
  <c r="K178" i="28"/>
  <c r="K177" i="28"/>
  <c r="K175" i="28"/>
  <c r="K174" i="28"/>
  <c r="K179" i="28"/>
  <c r="J297" i="38"/>
  <c r="J298" i="38"/>
  <c r="L33" i="19"/>
  <c r="L34" i="19"/>
  <c r="P14" i="19"/>
  <c r="P27" i="19" s="1"/>
  <c r="P12" i="19"/>
  <c r="P25" i="19" s="1"/>
  <c r="P15" i="19"/>
  <c r="P28" i="19" s="1"/>
  <c r="P13" i="19"/>
  <c r="P26" i="19" s="1"/>
  <c r="P44" i="19" s="1"/>
  <c r="P11" i="19"/>
  <c r="M207" i="28"/>
  <c r="M156" i="28"/>
  <c r="M208" i="28"/>
  <c r="O222" i="38"/>
  <c r="O226" i="38" s="1"/>
  <c r="O221" i="38"/>
  <c r="O225" i="38" s="1"/>
  <c r="O220" i="38"/>
  <c r="O224" i="38" s="1"/>
  <c r="L167" i="29"/>
  <c r="L168" i="29" s="1"/>
  <c r="L144" i="29"/>
  <c r="L145" i="29" s="1"/>
  <c r="M31" i="38"/>
  <c r="M278" i="38"/>
  <c r="Q14" i="42"/>
  <c r="Q27" i="42" s="1"/>
  <c r="Q42" i="42" s="1"/>
  <c r="Q15" i="42"/>
  <c r="Q28" i="42" s="1"/>
  <c r="Q43" i="42" s="1"/>
  <c r="Q234" i="42" s="1"/>
  <c r="Q13" i="42"/>
  <c r="Q26" i="42" s="1"/>
  <c r="Q41" i="42" s="1"/>
  <c r="Q219" i="42" s="1"/>
  <c r="Q12" i="42"/>
  <c r="Q25" i="42" s="1"/>
  <c r="Q40" i="42" s="1"/>
  <c r="Q11" i="42"/>
  <c r="K163" i="28"/>
  <c r="K164" i="28"/>
  <c r="K161" i="28"/>
  <c r="K162" i="28"/>
  <c r="K158" i="29"/>
  <c r="K157" i="29"/>
  <c r="H180" i="29"/>
  <c r="H189" i="29" s="1"/>
  <c r="I70" i="16" s="1"/>
  <c r="I333" i="42"/>
  <c r="J171" i="28"/>
  <c r="J172" i="28"/>
  <c r="N66" i="16"/>
  <c r="N59" i="16"/>
  <c r="N59" i="15"/>
  <c r="N66" i="15"/>
  <c r="O134" i="38"/>
  <c r="O150" i="38"/>
  <c r="O142" i="38"/>
  <c r="O158" i="38"/>
  <c r="N31" i="42"/>
  <c r="N278" i="42"/>
  <c r="E69" i="16"/>
  <c r="D196" i="29"/>
  <c r="M104" i="42"/>
  <c r="M108" i="42" s="1"/>
  <c r="M105" i="42"/>
  <c r="M103" i="42"/>
  <c r="M107" i="42" s="1"/>
  <c r="M102" i="42"/>
  <c r="M106" i="42" s="1"/>
  <c r="M246" i="38"/>
  <c r="M93" i="38"/>
  <c r="M69" i="38"/>
  <c r="M70" i="38" s="1"/>
  <c r="M77" i="38"/>
  <c r="M101" i="38"/>
  <c r="M44" i="38"/>
  <c r="M288" i="38" s="1"/>
  <c r="H169" i="28"/>
  <c r="H173" i="28" s="1"/>
  <c r="H170" i="28"/>
  <c r="N194" i="53"/>
  <c r="N31" i="53"/>
  <c r="P188" i="42"/>
  <c r="P204" i="42"/>
  <c r="P196" i="42"/>
  <c r="K152" i="29"/>
  <c r="K151" i="29"/>
  <c r="J303" i="38"/>
  <c r="J315" i="38" s="1"/>
  <c r="J304" i="38"/>
  <c r="M34" i="28"/>
  <c r="M33" i="28"/>
  <c r="P24" i="29"/>
  <c r="P16" i="29"/>
  <c r="G194" i="28"/>
  <c r="G203" i="28" s="1"/>
  <c r="H70" i="15" s="1"/>
  <c r="M167" i="29"/>
  <c r="M168" i="29" s="1"/>
  <c r="M144" i="29"/>
  <c r="M145" i="29" s="1"/>
  <c r="O24" i="38"/>
  <c r="O16" i="38"/>
  <c r="O244" i="38" s="1"/>
  <c r="J153" i="29"/>
  <c r="J154" i="29"/>
  <c r="I168" i="28"/>
  <c r="I167" i="28"/>
  <c r="M88" i="29"/>
  <c r="N246" i="42"/>
  <c r="N44" i="42"/>
  <c r="N288" i="42" s="1"/>
  <c r="N101" i="42"/>
  <c r="N93" i="42"/>
  <c r="N69" i="42"/>
  <c r="N77" i="42"/>
  <c r="O16" i="53"/>
  <c r="O24" i="53"/>
  <c r="O29" i="53" s="1"/>
  <c r="M71" i="42"/>
  <c r="M75" i="42" s="1"/>
  <c r="M72" i="42"/>
  <c r="M76" i="42" s="1"/>
  <c r="M70" i="42"/>
  <c r="M74" i="42" s="1"/>
  <c r="M73" i="42"/>
  <c r="H337" i="42"/>
  <c r="H301" i="38"/>
  <c r="H305" i="38" s="1"/>
  <c r="H302" i="38"/>
  <c r="P15" i="54"/>
  <c r="P28" i="54" s="1"/>
  <c r="P12" i="54"/>
  <c r="P25" i="54" s="1"/>
  <c r="P14" i="54"/>
  <c r="P27" i="54" s="1"/>
  <c r="P13" i="54"/>
  <c r="P26" i="54" s="1"/>
  <c r="P41" i="54" s="1"/>
  <c r="P147" i="54" s="1"/>
  <c r="P148" i="54" s="1"/>
  <c r="P11" i="54"/>
  <c r="I155" i="29"/>
  <c r="I159" i="29" s="1"/>
  <c r="I156" i="29"/>
  <c r="O16" i="19"/>
  <c r="O24" i="19"/>
  <c r="M34" i="29"/>
  <c r="M33" i="29"/>
  <c r="J300" i="42"/>
  <c r="J299" i="42"/>
  <c r="M146" i="29"/>
  <c r="M143" i="29"/>
  <c r="K293" i="38"/>
  <c r="K296" i="38"/>
  <c r="K295" i="38"/>
  <c r="K294" i="38"/>
  <c r="N39" i="38"/>
  <c r="N29" i="38"/>
  <c r="P16" i="28"/>
  <c r="P115" i="28" s="1"/>
  <c r="P24" i="28"/>
  <c r="M78" i="42"/>
  <c r="M82" i="42" s="1"/>
  <c r="M80" i="42"/>
  <c r="M84" i="42" s="1"/>
  <c r="M81" i="42"/>
  <c r="M79" i="42"/>
  <c r="M83" i="42" s="1"/>
  <c r="F69" i="15"/>
  <c r="J315" i="42"/>
  <c r="J316" i="42" s="1"/>
  <c r="J317" i="42"/>
  <c r="J320" i="42" s="1"/>
  <c r="L308" i="42"/>
  <c r="L310" i="42"/>
  <c r="L309" i="42"/>
  <c r="L307" i="42"/>
  <c r="L306" i="42"/>
  <c r="L311" i="42"/>
  <c r="I299" i="38"/>
  <c r="I300" i="38"/>
  <c r="O16" i="54"/>
  <c r="O24" i="54"/>
  <c r="O29" i="54" s="1"/>
  <c r="K151" i="28"/>
  <c r="K155" i="28"/>
  <c r="K150" i="28"/>
  <c r="K152" i="28"/>
  <c r="K154" i="28"/>
  <c r="K153" i="28"/>
  <c r="K298" i="42"/>
  <c r="K297" i="42"/>
  <c r="N67" i="15"/>
  <c r="N46" i="15"/>
  <c r="M181" i="28"/>
  <c r="M182" i="28" s="1"/>
  <c r="M158" i="28"/>
  <c r="L160" i="28"/>
  <c r="L159" i="28"/>
  <c r="L157" i="28"/>
  <c r="N143" i="38"/>
  <c r="N147" i="38" s="1"/>
  <c r="N144" i="38"/>
  <c r="N148" i="38" s="1"/>
  <c r="N146" i="38"/>
  <c r="O99" i="36" s="1"/>
  <c r="N145" i="38"/>
  <c r="N149" i="38" s="1"/>
  <c r="O29" i="42"/>
  <c r="O39" i="42"/>
  <c r="Q12" i="28"/>
  <c r="Q25" i="28" s="1"/>
  <c r="Q43" i="28" s="1"/>
  <c r="Q15" i="28"/>
  <c r="Q28" i="28" s="1"/>
  <c r="Q14" i="28"/>
  <c r="Q27" i="28" s="1"/>
  <c r="Q13" i="28"/>
  <c r="Q26" i="28" s="1"/>
  <c r="Q44" i="28" s="1"/>
  <c r="Q11" i="28"/>
  <c r="M97" i="42"/>
  <c r="M94" i="42"/>
  <c r="M98" i="42" s="1"/>
  <c r="M96" i="42"/>
  <c r="M100" i="42" s="1"/>
  <c r="M95" i="42"/>
  <c r="M99" i="42" s="1"/>
  <c r="E203" i="28"/>
  <c r="F70" i="15" s="1"/>
  <c r="N206" i="38"/>
  <c r="N210" i="38" s="1"/>
  <c r="N208" i="38"/>
  <c r="N207" i="38"/>
  <c r="N211" i="38" s="1"/>
  <c r="N205" i="38"/>
  <c r="N209" i="38" s="1"/>
  <c r="O145" i="42"/>
  <c r="O149" i="42" s="1"/>
  <c r="O144" i="42"/>
  <c r="O148" i="42" s="1"/>
  <c r="O146" i="42"/>
  <c r="O143" i="42"/>
  <c r="O147" i="42" s="1"/>
  <c r="Q13" i="48"/>
  <c r="Q12" i="48"/>
  <c r="Q14" i="48"/>
  <c r="Q11" i="48"/>
  <c r="Q15" i="48"/>
  <c r="P238" i="42"/>
  <c r="P237" i="42"/>
  <c r="P241" i="42" s="1"/>
  <c r="P235" i="42"/>
  <c r="P239" i="42" s="1"/>
  <c r="P236" i="42"/>
  <c r="P240" i="42" s="1"/>
  <c r="N194" i="54"/>
  <c r="N31" i="54"/>
  <c r="D162" i="19"/>
  <c r="D160" i="19"/>
  <c r="D163" i="19"/>
  <c r="D161" i="19"/>
  <c r="E200" i="20"/>
  <c r="E202" i="20"/>
  <c r="E199" i="20"/>
  <c r="E201" i="20"/>
  <c r="E203" i="20"/>
  <c r="E164" i="19" s="1"/>
  <c r="E16" i="20"/>
  <c r="E219" i="20" s="1"/>
  <c r="E27" i="20"/>
  <c r="E24" i="20"/>
  <c r="F26" i="20"/>
  <c r="F44" i="20" s="1"/>
  <c r="F198" i="20" s="1"/>
  <c r="F159" i="19" s="1"/>
  <c r="G123" i="14" s="1"/>
  <c r="D154" i="19"/>
  <c r="C253" i="20"/>
  <c r="C31" i="20"/>
  <c r="F28" i="20"/>
  <c r="F123" i="12"/>
  <c r="E157" i="19"/>
  <c r="E155" i="19"/>
  <c r="E25" i="20"/>
  <c r="D29" i="20"/>
  <c r="O65" i="15" l="1"/>
  <c r="AU100" i="36"/>
  <c r="Q49" i="16"/>
  <c r="AU78" i="36"/>
  <c r="G71" i="15"/>
  <c r="Q49" i="15"/>
  <c r="E71" i="16"/>
  <c r="AU108" i="36"/>
  <c r="AW60" i="51"/>
  <c r="AU99" i="36"/>
  <c r="F205" i="28"/>
  <c r="F210" i="28"/>
  <c r="J172" i="29"/>
  <c r="J173" i="29" s="1"/>
  <c r="J175" i="29" s="1"/>
  <c r="P85" i="29"/>
  <c r="Q61" i="16" s="1"/>
  <c r="N88" i="29"/>
  <c r="L317" i="42"/>
  <c r="L320" i="42" s="1"/>
  <c r="L325" i="42" s="1"/>
  <c r="M243" i="38"/>
  <c r="H187" i="29"/>
  <c r="I69" i="16" s="1"/>
  <c r="F71" i="15"/>
  <c r="G201" i="28"/>
  <c r="H69" i="15" s="1"/>
  <c r="Q46" i="29"/>
  <c r="L308" i="38"/>
  <c r="L311" i="38"/>
  <c r="L306" i="38"/>
  <c r="L307" i="38"/>
  <c r="L310" i="38"/>
  <c r="L309" i="38"/>
  <c r="M306" i="42"/>
  <c r="M307" i="42"/>
  <c r="M308" i="42"/>
  <c r="M311" i="42"/>
  <c r="M309" i="42"/>
  <c r="M310" i="42"/>
  <c r="N246" i="38"/>
  <c r="N44" i="38"/>
  <c r="N288" i="38" s="1"/>
  <c r="N93" i="38"/>
  <c r="N69" i="38"/>
  <c r="N70" i="38" s="1"/>
  <c r="N101" i="38"/>
  <c r="N77" i="38"/>
  <c r="N105" i="42"/>
  <c r="N104" i="42"/>
  <c r="N108" i="42" s="1"/>
  <c r="N102" i="42"/>
  <c r="N106" i="42" s="1"/>
  <c r="N103" i="42"/>
  <c r="N107" i="42" s="1"/>
  <c r="J156" i="29"/>
  <c r="J155" i="29"/>
  <c r="J159" i="29" s="1"/>
  <c r="M290" i="38"/>
  <c r="M291" i="38" s="1"/>
  <c r="M313" i="38"/>
  <c r="Q24" i="42"/>
  <c r="Q16" i="42"/>
  <c r="Q244" i="42" s="1"/>
  <c r="P134" i="38"/>
  <c r="P158" i="38"/>
  <c r="P150" i="38"/>
  <c r="P142" i="38"/>
  <c r="P16" i="46"/>
  <c r="P272" i="46" s="1"/>
  <c r="P61" i="16"/>
  <c r="O84" i="29"/>
  <c r="H193" i="28"/>
  <c r="H194" i="28" s="1"/>
  <c r="H203" i="28" s="1"/>
  <c r="I70" i="15" s="1"/>
  <c r="O146" i="28"/>
  <c r="O31" i="28"/>
  <c r="N181" i="28"/>
  <c r="N182" i="28" s="1"/>
  <c r="N158" i="28"/>
  <c r="Q46" i="28"/>
  <c r="I301" i="38"/>
  <c r="I305" i="38" s="1"/>
  <c r="I302" i="38"/>
  <c r="O29" i="19"/>
  <c r="Q11" i="54"/>
  <c r="Q14" i="54"/>
  <c r="Q27" i="54" s="1"/>
  <c r="Q13" i="54"/>
  <c r="Q26" i="54" s="1"/>
  <c r="Q41" i="54" s="1"/>
  <c r="Q147" i="54" s="1"/>
  <c r="Q148" i="54" s="1"/>
  <c r="Q15" i="54"/>
  <c r="Q28" i="54" s="1"/>
  <c r="Q12" i="54"/>
  <c r="Q25" i="54" s="1"/>
  <c r="N292" i="42"/>
  <c r="N289" i="42"/>
  <c r="Q134" i="42"/>
  <c r="Q142" i="42"/>
  <c r="Q150" i="42"/>
  <c r="Q158" i="42"/>
  <c r="N211" i="19"/>
  <c r="N31" i="19"/>
  <c r="J167" i="28"/>
  <c r="J168" i="28"/>
  <c r="P16" i="53"/>
  <c r="P24" i="53"/>
  <c r="P29" i="53" s="1"/>
  <c r="N77" i="16"/>
  <c r="N68" i="16"/>
  <c r="N34" i="28"/>
  <c r="N33" i="28"/>
  <c r="O47" i="29"/>
  <c r="O142" i="29" s="1"/>
  <c r="O59" i="15"/>
  <c r="O66" i="15"/>
  <c r="E210" i="28"/>
  <c r="R12" i="28"/>
  <c r="R25" i="28" s="1"/>
  <c r="R43" i="28" s="1"/>
  <c r="R13" i="28"/>
  <c r="R26" i="28" s="1"/>
  <c r="R44" i="28" s="1"/>
  <c r="R14" i="28"/>
  <c r="R27" i="28" s="1"/>
  <c r="R11" i="28"/>
  <c r="R15" i="28"/>
  <c r="R28" i="28" s="1"/>
  <c r="N68" i="15"/>
  <c r="K298" i="38"/>
  <c r="K297" i="38"/>
  <c r="O194" i="53"/>
  <c r="O31" i="53"/>
  <c r="N290" i="42"/>
  <c r="N291" i="42" s="1"/>
  <c r="N313" i="42"/>
  <c r="N314" i="42" s="1"/>
  <c r="O161" i="38"/>
  <c r="O165" i="38" s="1"/>
  <c r="O162" i="38"/>
  <c r="P108" i="36" s="1"/>
  <c r="O160" i="38"/>
  <c r="O164" i="38" s="1"/>
  <c r="O159" i="38"/>
  <c r="O163" i="38" s="1"/>
  <c r="Q223" i="42"/>
  <c r="Q222" i="42"/>
  <c r="Q226" i="42" s="1"/>
  <c r="Q220" i="42"/>
  <c r="Q224" i="42" s="1"/>
  <c r="Q221" i="42"/>
  <c r="Q225" i="42" s="1"/>
  <c r="K137" i="29"/>
  <c r="K139" i="29"/>
  <c r="K141" i="29"/>
  <c r="K136" i="29"/>
  <c r="K138" i="29"/>
  <c r="K140" i="29"/>
  <c r="Q14" i="53"/>
  <c r="Q27" i="53" s="1"/>
  <c r="Q15" i="53"/>
  <c r="Q28" i="53" s="1"/>
  <c r="Q12" i="53"/>
  <c r="Q25" i="53" s="1"/>
  <c r="Q13" i="53"/>
  <c r="Q26" i="53" s="1"/>
  <c r="Q41" i="53" s="1"/>
  <c r="Q147" i="53" s="1"/>
  <c r="Q148" i="53" s="1"/>
  <c r="R60" i="51" s="1"/>
  <c r="Q11" i="53"/>
  <c r="O132" i="29"/>
  <c r="O31" i="29"/>
  <c r="O189" i="38"/>
  <c r="O193" i="38" s="1"/>
  <c r="O190" i="38"/>
  <c r="O194" i="38" s="1"/>
  <c r="O191" i="38"/>
  <c r="O195" i="38" s="1"/>
  <c r="Q80" i="29"/>
  <c r="Q79" i="29" s="1"/>
  <c r="I186" i="28"/>
  <c r="I187" i="28" s="1"/>
  <c r="I189" i="28" s="1"/>
  <c r="I188" i="28"/>
  <c r="O59" i="16"/>
  <c r="O66" i="16"/>
  <c r="O46" i="16"/>
  <c r="O67" i="16"/>
  <c r="R13" i="48"/>
  <c r="R14" i="48"/>
  <c r="R12" i="48"/>
  <c r="R11" i="48"/>
  <c r="R15" i="48"/>
  <c r="R58" i="15"/>
  <c r="R64" i="15"/>
  <c r="R48" i="15"/>
  <c r="R45" i="15"/>
  <c r="Q66" i="29"/>
  <c r="Q64" i="29"/>
  <c r="Q75" i="29"/>
  <c r="R64" i="16" s="1"/>
  <c r="Q65" i="29"/>
  <c r="Q71" i="29"/>
  <c r="R48" i="16" s="1"/>
  <c r="Q63" i="29"/>
  <c r="Q62" i="29" s="1"/>
  <c r="Q73" i="29"/>
  <c r="R58" i="16" s="1"/>
  <c r="Q72" i="29"/>
  <c r="Q70" i="29"/>
  <c r="Q68" i="29"/>
  <c r="Q67" i="29"/>
  <c r="Q74" i="29"/>
  <c r="R45" i="16" s="1"/>
  <c r="K304" i="38"/>
  <c r="K303" i="38"/>
  <c r="K315" i="38" s="1"/>
  <c r="O29" i="38"/>
  <c r="O39" i="38"/>
  <c r="M292" i="38"/>
  <c r="M289" i="38"/>
  <c r="O144" i="38"/>
  <c r="O148" i="38" s="1"/>
  <c r="O146" i="38"/>
  <c r="P99" i="36" s="1"/>
  <c r="O145" i="38"/>
  <c r="O149" i="38" s="1"/>
  <c r="O143" i="38"/>
  <c r="O147" i="38" s="1"/>
  <c r="J183" i="28"/>
  <c r="J184" i="28" s="1"/>
  <c r="J185" i="28"/>
  <c r="J188" i="28" s="1"/>
  <c r="H196" i="29"/>
  <c r="R15" i="42"/>
  <c r="R28" i="42" s="1"/>
  <c r="R43" i="42" s="1"/>
  <c r="R234" i="42" s="1"/>
  <c r="R13" i="42"/>
  <c r="R26" i="42" s="1"/>
  <c r="R41" i="42" s="1"/>
  <c r="R219" i="42" s="1"/>
  <c r="R14" i="42"/>
  <c r="R27" i="42" s="1"/>
  <c r="R42" i="42" s="1"/>
  <c r="R11" i="42"/>
  <c r="R12" i="42"/>
  <c r="R25" i="42" s="1"/>
  <c r="R40" i="42" s="1"/>
  <c r="Q12" i="19"/>
  <c r="Q25" i="19" s="1"/>
  <c r="Q15" i="19"/>
  <c r="Q28" i="19" s="1"/>
  <c r="Q13" i="19"/>
  <c r="Q26" i="19" s="1"/>
  <c r="Q44" i="19" s="1"/>
  <c r="Q11" i="19"/>
  <c r="Q14" i="19"/>
  <c r="Q27" i="19" s="1"/>
  <c r="M101" i="29"/>
  <c r="L134" i="29"/>
  <c r="L135" i="29" s="1"/>
  <c r="L300" i="42"/>
  <c r="L299" i="42"/>
  <c r="F69" i="16"/>
  <c r="E196" i="29"/>
  <c r="P220" i="38"/>
  <c r="P224" i="38" s="1"/>
  <c r="P222" i="38"/>
  <c r="P226" i="38" s="1"/>
  <c r="P221" i="38"/>
  <c r="P225" i="38" s="1"/>
  <c r="R13" i="20"/>
  <c r="R12" i="20"/>
  <c r="R11" i="20"/>
  <c r="R15" i="20"/>
  <c r="R14" i="20"/>
  <c r="AM125" i="36"/>
  <c r="F343" i="42"/>
  <c r="AM126" i="36" s="1"/>
  <c r="O205" i="38"/>
  <c r="O209" i="38" s="1"/>
  <c r="O206" i="38"/>
  <c r="O210" i="38" s="1"/>
  <c r="O208" i="38"/>
  <c r="O207" i="38"/>
  <c r="O211" i="38" s="1"/>
  <c r="N167" i="29"/>
  <c r="N168" i="29" s="1"/>
  <c r="N144" i="29"/>
  <c r="N145" i="29" s="1"/>
  <c r="O194" i="54"/>
  <c r="O31" i="54"/>
  <c r="J301" i="42"/>
  <c r="J305" i="42" s="1"/>
  <c r="J302" i="42"/>
  <c r="N243" i="42"/>
  <c r="J318" i="42"/>
  <c r="J319" i="42" s="1"/>
  <c r="J321" i="42" s="1"/>
  <c r="M163" i="29"/>
  <c r="M160" i="29"/>
  <c r="M162" i="29"/>
  <c r="M164" i="29"/>
  <c r="M165" i="29"/>
  <c r="M161" i="29"/>
  <c r="O153" i="38"/>
  <c r="O157" i="38" s="1"/>
  <c r="O154" i="38"/>
  <c r="P78" i="36" s="1"/>
  <c r="O152" i="38"/>
  <c r="O156" i="38" s="1"/>
  <c r="O151" i="38"/>
  <c r="O155" i="38" s="1"/>
  <c r="I342" i="42"/>
  <c r="I337" i="42"/>
  <c r="Q236" i="42"/>
  <c r="Q240" i="42" s="1"/>
  <c r="Q237" i="42"/>
  <c r="Q241" i="42" s="1"/>
  <c r="Q238" i="42"/>
  <c r="Q235" i="42"/>
  <c r="Q239" i="42" s="1"/>
  <c r="M160" i="28"/>
  <c r="M159" i="28"/>
  <c r="M157" i="28"/>
  <c r="J300" i="38"/>
  <c r="J299" i="38"/>
  <c r="J179" i="29"/>
  <c r="J180" i="29" s="1"/>
  <c r="J189" i="29" s="1"/>
  <c r="K70" i="16" s="1"/>
  <c r="P39" i="42"/>
  <c r="P29" i="42"/>
  <c r="P16" i="38"/>
  <c r="P244" i="38" s="1"/>
  <c r="P24" i="38"/>
  <c r="P159" i="42"/>
  <c r="P163" i="42" s="1"/>
  <c r="P162" i="42"/>
  <c r="P161" i="42"/>
  <c r="P165" i="42" s="1"/>
  <c r="P160" i="42"/>
  <c r="P164" i="42" s="1"/>
  <c r="M295" i="42"/>
  <c r="M294" i="42"/>
  <c r="M293" i="42"/>
  <c r="M296" i="42"/>
  <c r="O200" i="38"/>
  <c r="P100" i="36" s="1"/>
  <c r="O199" i="38"/>
  <c r="O203" i="38" s="1"/>
  <c r="O198" i="38"/>
  <c r="O202" i="38" s="1"/>
  <c r="O197" i="38"/>
  <c r="O201" i="38" s="1"/>
  <c r="Q16" i="29"/>
  <c r="Q24" i="29"/>
  <c r="K315" i="42"/>
  <c r="K316" i="42" s="1"/>
  <c r="K317" i="42"/>
  <c r="K320" i="42" s="1"/>
  <c r="K325" i="42" s="1"/>
  <c r="N156" i="28"/>
  <c r="N208" i="28"/>
  <c r="N207" i="28"/>
  <c r="O246" i="42"/>
  <c r="O44" i="42"/>
  <c r="O288" i="42" s="1"/>
  <c r="O101" i="42"/>
  <c r="O77" i="42"/>
  <c r="O69" i="42"/>
  <c r="O93" i="42"/>
  <c r="K299" i="42"/>
  <c r="K300" i="42"/>
  <c r="J325" i="42"/>
  <c r="J326" i="42" s="1"/>
  <c r="J333" i="42" s="1"/>
  <c r="P29" i="28"/>
  <c r="P42" i="28"/>
  <c r="N78" i="42"/>
  <c r="N82" i="42" s="1"/>
  <c r="N80" i="42"/>
  <c r="N84" i="42" s="1"/>
  <c r="N79" i="42"/>
  <c r="N83" i="42" s="1"/>
  <c r="N81" i="42"/>
  <c r="I169" i="28"/>
  <c r="I173" i="28" s="1"/>
  <c r="I170" i="28"/>
  <c r="P197" i="42"/>
  <c r="P201" i="42" s="1"/>
  <c r="P198" i="42"/>
  <c r="P202" i="42" s="1"/>
  <c r="P200" i="42"/>
  <c r="P199" i="42"/>
  <c r="P203" i="42" s="1"/>
  <c r="E72" i="16"/>
  <c r="D197" i="29"/>
  <c r="E73" i="16" s="1"/>
  <c r="O136" i="38"/>
  <c r="O137" i="38"/>
  <c r="O135" i="38"/>
  <c r="K169" i="29"/>
  <c r="K170" i="29" s="1"/>
  <c r="K171" i="29"/>
  <c r="K174" i="29" s="1"/>
  <c r="K171" i="28"/>
  <c r="K172" i="28"/>
  <c r="Q196" i="42"/>
  <c r="Q188" i="42"/>
  <c r="Q204" i="42"/>
  <c r="L161" i="29"/>
  <c r="L163" i="29"/>
  <c r="L165" i="29"/>
  <c r="L160" i="29"/>
  <c r="L162" i="29"/>
  <c r="L164" i="29"/>
  <c r="N33" i="29"/>
  <c r="N34" i="29"/>
  <c r="P235" i="38"/>
  <c r="P239" i="38" s="1"/>
  <c r="P236" i="38"/>
  <c r="P240" i="38" s="1"/>
  <c r="P237" i="38"/>
  <c r="P241" i="38" s="1"/>
  <c r="M77" i="15"/>
  <c r="P151" i="42"/>
  <c r="P155" i="42" s="1"/>
  <c r="P153" i="42"/>
  <c r="P157" i="42" s="1"/>
  <c r="P154" i="42"/>
  <c r="P152" i="42"/>
  <c r="P156" i="42" s="1"/>
  <c r="L158" i="29"/>
  <c r="L157" i="29"/>
  <c r="L169" i="29" s="1"/>
  <c r="L170" i="29" s="1"/>
  <c r="O67" i="15"/>
  <c r="O46" i="15"/>
  <c r="N89" i="29"/>
  <c r="Q16" i="28"/>
  <c r="Q115" i="28" s="1"/>
  <c r="Q24" i="28"/>
  <c r="O31" i="42"/>
  <c r="O278" i="42"/>
  <c r="L177" i="28"/>
  <c r="L175" i="28"/>
  <c r="L178" i="28"/>
  <c r="L179" i="28"/>
  <c r="L176" i="28"/>
  <c r="L174" i="28"/>
  <c r="M147" i="29"/>
  <c r="M149" i="29"/>
  <c r="M148" i="29"/>
  <c r="M150" i="29"/>
  <c r="N73" i="42"/>
  <c r="N70" i="42"/>
  <c r="N74" i="42" s="1"/>
  <c r="N71" i="42"/>
  <c r="N75" i="42" s="1"/>
  <c r="N72" i="42"/>
  <c r="N76" i="42" s="1"/>
  <c r="P29" i="29"/>
  <c r="P42" i="29"/>
  <c r="K153" i="29"/>
  <c r="K154" i="29"/>
  <c r="P207" i="42"/>
  <c r="P211" i="42" s="1"/>
  <c r="P208" i="42"/>
  <c r="P205" i="42"/>
  <c r="P209" i="42" s="1"/>
  <c r="P206" i="42"/>
  <c r="P210" i="42" s="1"/>
  <c r="K165" i="28"/>
  <c r="K166" i="28"/>
  <c r="P16" i="19"/>
  <c r="P24" i="19"/>
  <c r="L280" i="42"/>
  <c r="L281" i="42" s="1"/>
  <c r="M247" i="42"/>
  <c r="P196" i="38"/>
  <c r="P204" i="38"/>
  <c r="P188" i="38"/>
  <c r="P145" i="42"/>
  <c r="P149" i="42" s="1"/>
  <c r="P146" i="42"/>
  <c r="P143" i="42"/>
  <c r="P147" i="42" s="1"/>
  <c r="P144" i="42"/>
  <c r="P148" i="42" s="1"/>
  <c r="R11" i="29"/>
  <c r="R13" i="29"/>
  <c r="R26" i="29" s="1"/>
  <c r="R44" i="29" s="1"/>
  <c r="R14" i="29"/>
  <c r="R27" i="29" s="1"/>
  <c r="R12" i="29"/>
  <c r="R25" i="29" s="1"/>
  <c r="R43" i="29" s="1"/>
  <c r="R15" i="29"/>
  <c r="R28" i="29" s="1"/>
  <c r="L154" i="28"/>
  <c r="L155" i="28"/>
  <c r="L153" i="28"/>
  <c r="L150" i="28"/>
  <c r="L151" i="28"/>
  <c r="L152" i="28"/>
  <c r="Q16" i="48"/>
  <c r="Q272" i="48" s="1"/>
  <c r="Q82" i="29"/>
  <c r="R55" i="16" s="1"/>
  <c r="R55" i="15"/>
  <c r="L161" i="28"/>
  <c r="L163" i="28"/>
  <c r="L164" i="28"/>
  <c r="L162" i="28"/>
  <c r="E205" i="28"/>
  <c r="N31" i="38"/>
  <c r="N278" i="38"/>
  <c r="M194" i="29"/>
  <c r="M193" i="29"/>
  <c r="P24" i="54"/>
  <c r="P29" i="54" s="1"/>
  <c r="P16" i="54"/>
  <c r="N94" i="42"/>
  <c r="N98" i="42" s="1"/>
  <c r="N96" i="42"/>
  <c r="N100" i="42" s="1"/>
  <c r="N97" i="42"/>
  <c r="N95" i="42"/>
  <c r="N99" i="42" s="1"/>
  <c r="P189" i="42"/>
  <c r="P193" i="42" s="1"/>
  <c r="P192" i="42"/>
  <c r="P190" i="42"/>
  <c r="P194" i="42" s="1"/>
  <c r="P191" i="42"/>
  <c r="P195" i="42" s="1"/>
  <c r="M34" i="19"/>
  <c r="M33" i="19"/>
  <c r="N143" i="29"/>
  <c r="N146" i="29"/>
  <c r="K282" i="42"/>
  <c r="K286" i="42"/>
  <c r="K284" i="42"/>
  <c r="K285" i="42"/>
  <c r="K283" i="42"/>
  <c r="K287" i="42"/>
  <c r="Q12" i="38"/>
  <c r="Q25" i="38" s="1"/>
  <c r="Q40" i="38" s="1"/>
  <c r="Q15" i="38"/>
  <c r="Q28" i="38" s="1"/>
  <c r="Q43" i="38" s="1"/>
  <c r="Q234" i="38" s="1"/>
  <c r="Q14" i="38"/>
  <c r="Q27" i="38" s="1"/>
  <c r="Q42" i="38" s="1"/>
  <c r="Q13" i="38"/>
  <c r="Q26" i="38" s="1"/>
  <c r="Q41" i="38" s="1"/>
  <c r="Q219" i="38" s="1"/>
  <c r="Q11" i="38"/>
  <c r="I187" i="29"/>
  <c r="Q12" i="46"/>
  <c r="Q15" i="46"/>
  <c r="Q13" i="46"/>
  <c r="Q11" i="46"/>
  <c r="Q14" i="46"/>
  <c r="P135" i="42"/>
  <c r="P139" i="42" s="1"/>
  <c r="P136" i="42"/>
  <c r="P140" i="42" s="1"/>
  <c r="P137" i="42"/>
  <c r="P141" i="42" s="1"/>
  <c r="P138" i="42"/>
  <c r="G72" i="15"/>
  <c r="F211" i="28"/>
  <c r="G73" i="15" s="1"/>
  <c r="L151" i="29"/>
  <c r="L152" i="29"/>
  <c r="L293" i="38"/>
  <c r="L295" i="38"/>
  <c r="L294" i="38"/>
  <c r="L296" i="38"/>
  <c r="N214" i="28"/>
  <c r="M148" i="28"/>
  <c r="M149" i="28" s="1"/>
  <c r="O213" i="28"/>
  <c r="O53" i="29"/>
  <c r="O56" i="29"/>
  <c r="P44" i="16" s="1"/>
  <c r="O58" i="29"/>
  <c r="O100" i="29" s="1"/>
  <c r="O47" i="28"/>
  <c r="O114" i="28" s="1"/>
  <c r="O60" i="29"/>
  <c r="P56" i="16" s="1"/>
  <c r="O50" i="29"/>
  <c r="P62" i="15"/>
  <c r="O59" i="29"/>
  <c r="P62" i="16" s="1"/>
  <c r="P44" i="15"/>
  <c r="O52" i="29"/>
  <c r="O49" i="29" s="1"/>
  <c r="O54" i="29"/>
  <c r="P56" i="15"/>
  <c r="O51" i="29"/>
  <c r="O57" i="29"/>
  <c r="O65" i="16"/>
  <c r="E161" i="19"/>
  <c r="E163" i="19"/>
  <c r="E162" i="19"/>
  <c r="E160" i="19"/>
  <c r="F199" i="20"/>
  <c r="F201" i="20"/>
  <c r="F203" i="20"/>
  <c r="F164" i="19" s="1"/>
  <c r="F200" i="20"/>
  <c r="F202" i="20"/>
  <c r="F16" i="20"/>
  <c r="F219" i="20" s="1"/>
  <c r="F25" i="20"/>
  <c r="D253" i="20"/>
  <c r="D31" i="20"/>
  <c r="E29" i="20"/>
  <c r="G123" i="12"/>
  <c r="F155" i="19"/>
  <c r="F157" i="19"/>
  <c r="F24" i="20"/>
  <c r="G28" i="20"/>
  <c r="G26" i="20"/>
  <c r="G44" i="20" s="1"/>
  <c r="G198" i="20" s="1"/>
  <c r="G159" i="19" s="1"/>
  <c r="H123" i="14" s="1"/>
  <c r="F27" i="20"/>
  <c r="E154" i="19"/>
  <c r="P84" i="29" l="1"/>
  <c r="AV78" i="36"/>
  <c r="I71" i="16"/>
  <c r="AX60" i="51"/>
  <c r="P65" i="15"/>
  <c r="R49" i="15"/>
  <c r="AV108" i="36"/>
  <c r="F71" i="16"/>
  <c r="N77" i="15"/>
  <c r="R49" i="16"/>
  <c r="AV100" i="36"/>
  <c r="AV99" i="36"/>
  <c r="H71" i="15"/>
  <c r="O89" i="29"/>
  <c r="L318" i="42"/>
  <c r="L319" i="42" s="1"/>
  <c r="L321" i="42" s="1"/>
  <c r="R72" i="29"/>
  <c r="G210" i="28"/>
  <c r="G205" i="28"/>
  <c r="L171" i="29"/>
  <c r="L172" i="29" s="1"/>
  <c r="L173" i="29" s="1"/>
  <c r="P65" i="16"/>
  <c r="N243" i="38"/>
  <c r="K318" i="42"/>
  <c r="K319" i="42" s="1"/>
  <c r="K321" i="42" s="1"/>
  <c r="R80" i="29"/>
  <c r="R79" i="29" s="1"/>
  <c r="N306" i="42"/>
  <c r="N307" i="42"/>
  <c r="N310" i="42"/>
  <c r="N311" i="42"/>
  <c r="N308" i="42"/>
  <c r="N309" i="42"/>
  <c r="O167" i="29"/>
  <c r="O168" i="29" s="1"/>
  <c r="O144" i="29"/>
  <c r="O145" i="29" s="1"/>
  <c r="L297" i="38"/>
  <c r="L298" i="38"/>
  <c r="Q221" i="38"/>
  <c r="Q225" i="38" s="1"/>
  <c r="Q222" i="38"/>
  <c r="Q226" i="38" s="1"/>
  <c r="Q220" i="38"/>
  <c r="Q224" i="38" s="1"/>
  <c r="K183" i="28"/>
  <c r="K184" i="28" s="1"/>
  <c r="K185" i="28"/>
  <c r="K188" i="28" s="1"/>
  <c r="O105" i="42"/>
  <c r="O102" i="42"/>
  <c r="O106" i="42" s="1"/>
  <c r="O104" i="42"/>
  <c r="O108" i="42" s="1"/>
  <c r="O103" i="42"/>
  <c r="O107" i="42" s="1"/>
  <c r="Q29" i="29"/>
  <c r="Q42" i="29"/>
  <c r="P31" i="42"/>
  <c r="P278" i="42"/>
  <c r="M178" i="28"/>
  <c r="M176" i="28"/>
  <c r="M177" i="28"/>
  <c r="M179" i="28"/>
  <c r="M175" i="28"/>
  <c r="M174" i="28"/>
  <c r="AP125" i="36"/>
  <c r="I343" i="42"/>
  <c r="AP126" i="36" s="1"/>
  <c r="S13" i="42"/>
  <c r="S26" i="42" s="1"/>
  <c r="S41" i="42" s="1"/>
  <c r="S219" i="42" s="1"/>
  <c r="S14" i="42"/>
  <c r="S27" i="42" s="1"/>
  <c r="S42" i="42" s="1"/>
  <c r="S11" i="42"/>
  <c r="S15" i="42"/>
  <c r="S28" i="42" s="1"/>
  <c r="S43" i="42" s="1"/>
  <c r="S234" i="42" s="1"/>
  <c r="S12" i="42"/>
  <c r="S25" i="42" s="1"/>
  <c r="S40" i="42" s="1"/>
  <c r="J193" i="28"/>
  <c r="J194" i="28" s="1"/>
  <c r="J203" i="28" s="1"/>
  <c r="K70" i="15" s="1"/>
  <c r="M295" i="38"/>
  <c r="M294" i="38"/>
  <c r="M293" i="38"/>
  <c r="M296" i="38"/>
  <c r="N33" i="19"/>
  <c r="N34" i="19"/>
  <c r="Q151" i="42"/>
  <c r="Q155" i="42" s="1"/>
  <c r="Q152" i="42"/>
  <c r="Q156" i="42" s="1"/>
  <c r="Q153" i="42"/>
  <c r="Q157" i="42" s="1"/>
  <c r="Q154" i="42"/>
  <c r="N290" i="38"/>
  <c r="N313" i="38"/>
  <c r="P67" i="16"/>
  <c r="P46" i="16"/>
  <c r="Q16" i="46"/>
  <c r="Q272" i="46" s="1"/>
  <c r="Q196" i="38"/>
  <c r="Q188" i="38"/>
  <c r="Q204" i="38"/>
  <c r="R46" i="29"/>
  <c r="P191" i="38"/>
  <c r="P195" i="38" s="1"/>
  <c r="P189" i="38"/>
  <c r="P193" i="38" s="1"/>
  <c r="P190" i="38"/>
  <c r="P194" i="38" s="1"/>
  <c r="Q29" i="28"/>
  <c r="Q42" i="28"/>
  <c r="K179" i="29"/>
  <c r="J335" i="42"/>
  <c r="O292" i="42"/>
  <c r="O289" i="42"/>
  <c r="M297" i="42"/>
  <c r="M298" i="42"/>
  <c r="P246" i="42"/>
  <c r="P44" i="42"/>
  <c r="P288" i="42" s="1"/>
  <c r="P69" i="42"/>
  <c r="P101" i="42"/>
  <c r="P77" i="42"/>
  <c r="P93" i="42"/>
  <c r="M163" i="28"/>
  <c r="M161" i="28"/>
  <c r="M164" i="28"/>
  <c r="M162" i="28"/>
  <c r="Q24" i="19"/>
  <c r="Q16" i="19"/>
  <c r="R134" i="42"/>
  <c r="R142" i="42"/>
  <c r="R150" i="42"/>
  <c r="R158" i="42"/>
  <c r="O77" i="16"/>
  <c r="O68" i="16"/>
  <c r="R12" i="53"/>
  <c r="R25" i="53" s="1"/>
  <c r="R15" i="53"/>
  <c r="R28" i="53" s="1"/>
  <c r="R14" i="53"/>
  <c r="R27" i="53" s="1"/>
  <c r="R11" i="53"/>
  <c r="R13" i="53"/>
  <c r="R26" i="53" s="1"/>
  <c r="R41" i="53" s="1"/>
  <c r="R147" i="53" s="1"/>
  <c r="R148" i="53" s="1"/>
  <c r="S60" i="51" s="1"/>
  <c r="J186" i="28"/>
  <c r="J187" i="28" s="1"/>
  <c r="J189" i="28" s="1"/>
  <c r="R46" i="28"/>
  <c r="Q146" i="42"/>
  <c r="Q144" i="42"/>
  <c r="Q148" i="42" s="1"/>
  <c r="Q143" i="42"/>
  <c r="Q147" i="42" s="1"/>
  <c r="Q145" i="42"/>
  <c r="Q149" i="42" s="1"/>
  <c r="Q24" i="54"/>
  <c r="Q29" i="54" s="1"/>
  <c r="Q16" i="54"/>
  <c r="Q39" i="42"/>
  <c r="Q29" i="42"/>
  <c r="P67" i="15"/>
  <c r="P46" i="15"/>
  <c r="L154" i="29"/>
  <c r="L153" i="29"/>
  <c r="Q236" i="38"/>
  <c r="Q240" i="38" s="1"/>
  <c r="Q237" i="38"/>
  <c r="Q241" i="38" s="1"/>
  <c r="Q235" i="38"/>
  <c r="Q239" i="38" s="1"/>
  <c r="P208" i="38"/>
  <c r="P205" i="38"/>
  <c r="P209" i="38" s="1"/>
  <c r="P206" i="38"/>
  <c r="P210" i="38" s="1"/>
  <c r="P207" i="38"/>
  <c r="P211" i="38" s="1"/>
  <c r="P29" i="19"/>
  <c r="O313" i="42"/>
  <c r="O314" i="42" s="1"/>
  <c r="O290" i="42"/>
  <c r="O291" i="42" s="1"/>
  <c r="F72" i="16"/>
  <c r="E197" i="29"/>
  <c r="F73" i="16" s="1"/>
  <c r="R16" i="42"/>
  <c r="R244" i="42" s="1"/>
  <c r="R24" i="42"/>
  <c r="O33" i="29"/>
  <c r="O34" i="29"/>
  <c r="R16" i="28"/>
  <c r="R115" i="28" s="1"/>
  <c r="R24" i="28"/>
  <c r="O88" i="29"/>
  <c r="Q135" i="42"/>
  <c r="Q139" i="42" s="1"/>
  <c r="Q137" i="42"/>
  <c r="Q141" i="42" s="1"/>
  <c r="Q136" i="42"/>
  <c r="Q140" i="42" s="1"/>
  <c r="Q138" i="42"/>
  <c r="O33" i="28"/>
  <c r="O34" i="28"/>
  <c r="O181" i="28"/>
  <c r="O182" i="28" s="1"/>
  <c r="O158" i="28"/>
  <c r="Q134" i="38"/>
  <c r="Q158" i="38"/>
  <c r="Q142" i="38"/>
  <c r="Q150" i="38"/>
  <c r="P199" i="38"/>
  <c r="P203" i="38" s="1"/>
  <c r="P200" i="38"/>
  <c r="Q100" i="36" s="1"/>
  <c r="P197" i="38"/>
  <c r="P201" i="38" s="1"/>
  <c r="P198" i="38"/>
  <c r="P202" i="38" s="1"/>
  <c r="K302" i="42"/>
  <c r="K301" i="42"/>
  <c r="K305" i="42" s="1"/>
  <c r="R196" i="42"/>
  <c r="R204" i="42"/>
  <c r="R188" i="42"/>
  <c r="R16" i="48"/>
  <c r="R272" i="48" s="1"/>
  <c r="O146" i="29"/>
  <c r="O143" i="29"/>
  <c r="N294" i="42"/>
  <c r="N295" i="42"/>
  <c r="N296" i="42"/>
  <c r="N293" i="42"/>
  <c r="O31" i="19"/>
  <c r="O211" i="19"/>
  <c r="M155" i="28"/>
  <c r="M150" i="28"/>
  <c r="M151" i="28"/>
  <c r="M154" i="28"/>
  <c r="M152" i="28"/>
  <c r="M153" i="28"/>
  <c r="L172" i="28"/>
  <c r="L171" i="28"/>
  <c r="M280" i="42"/>
  <c r="M281" i="42" s="1"/>
  <c r="N247" i="42"/>
  <c r="K155" i="29"/>
  <c r="K159" i="29" s="1"/>
  <c r="K156" i="29"/>
  <c r="O68" i="15"/>
  <c r="Q206" i="42"/>
  <c r="Q210" i="42" s="1"/>
  <c r="Q207" i="42"/>
  <c r="Q211" i="42" s="1"/>
  <c r="Q205" i="42"/>
  <c r="Q209" i="42" s="1"/>
  <c r="Q208" i="42"/>
  <c r="K172" i="29"/>
  <c r="K173" i="29" s="1"/>
  <c r="K175" i="29" s="1"/>
  <c r="O243" i="42"/>
  <c r="J187" i="29"/>
  <c r="N165" i="29"/>
  <c r="N161" i="29"/>
  <c r="N163" i="29"/>
  <c r="N160" i="29"/>
  <c r="N162" i="29"/>
  <c r="N164" i="29"/>
  <c r="L301" i="42"/>
  <c r="L305" i="42" s="1"/>
  <c r="L302" i="42"/>
  <c r="R220" i="42"/>
  <c r="R224" i="42" s="1"/>
  <c r="R222" i="42"/>
  <c r="R226" i="42" s="1"/>
  <c r="R221" i="42"/>
  <c r="R225" i="42" s="1"/>
  <c r="R223" i="42"/>
  <c r="I193" i="28"/>
  <c r="I194" i="28" s="1"/>
  <c r="I203" i="28" s="1"/>
  <c r="J70" i="15" s="1"/>
  <c r="H72" i="15"/>
  <c r="G211" i="28"/>
  <c r="H73" i="15" s="1"/>
  <c r="K300" i="38"/>
  <c r="K299" i="38"/>
  <c r="S55" i="15"/>
  <c r="R82" i="29"/>
  <c r="S55" i="16" s="1"/>
  <c r="P31" i="53"/>
  <c r="P194" i="53"/>
  <c r="R14" i="54"/>
  <c r="R27" i="54" s="1"/>
  <c r="R11" i="54"/>
  <c r="R13" i="54"/>
  <c r="R26" i="54" s="1"/>
  <c r="R41" i="54" s="1"/>
  <c r="R147" i="54" s="1"/>
  <c r="R148" i="54" s="1"/>
  <c r="R12" i="54"/>
  <c r="R25" i="54" s="1"/>
  <c r="R15" i="54"/>
  <c r="R28" i="54" s="1"/>
  <c r="P146" i="38"/>
  <c r="Q99" i="36" s="1"/>
  <c r="P143" i="38"/>
  <c r="P147" i="38" s="1"/>
  <c r="P145" i="38"/>
  <c r="P149" i="38" s="1"/>
  <c r="P144" i="38"/>
  <c r="P148" i="38" s="1"/>
  <c r="O214" i="28"/>
  <c r="N148" i="28"/>
  <c r="N149" i="28" s="1"/>
  <c r="J69" i="16"/>
  <c r="I196" i="29"/>
  <c r="N149" i="29"/>
  <c r="N150" i="29"/>
  <c r="N148" i="29"/>
  <c r="N147" i="29"/>
  <c r="P194" i="54"/>
  <c r="P31" i="54"/>
  <c r="L166" i="28"/>
  <c r="L165" i="28"/>
  <c r="R16" i="29"/>
  <c r="R24" i="29"/>
  <c r="L285" i="42"/>
  <c r="L282" i="42"/>
  <c r="L284" i="42"/>
  <c r="L286" i="42"/>
  <c r="L283" i="42"/>
  <c r="L287" i="42"/>
  <c r="P47" i="29"/>
  <c r="P142" i="29" s="1"/>
  <c r="M157" i="29"/>
  <c r="M158" i="29"/>
  <c r="N193" i="29"/>
  <c r="N194" i="29"/>
  <c r="Q190" i="42"/>
  <c r="Q194" i="42" s="1"/>
  <c r="Q192" i="42"/>
  <c r="Q191" i="42"/>
  <c r="Q195" i="42" s="1"/>
  <c r="Q189" i="42"/>
  <c r="Q193" i="42" s="1"/>
  <c r="P213" i="28"/>
  <c r="P58" i="29"/>
  <c r="Q62" i="15"/>
  <c r="P50" i="29"/>
  <c r="Q44" i="15"/>
  <c r="P54" i="29"/>
  <c r="P60" i="29"/>
  <c r="Q56" i="16" s="1"/>
  <c r="Q56" i="15"/>
  <c r="P52" i="29"/>
  <c r="P49" i="29" s="1"/>
  <c r="P89" i="29" s="1"/>
  <c r="P59" i="29"/>
  <c r="Q62" i="16" s="1"/>
  <c r="P51" i="29"/>
  <c r="P47" i="28"/>
  <c r="P53" i="29"/>
  <c r="P56" i="29"/>
  <c r="Q44" i="16" s="1"/>
  <c r="P57" i="29"/>
  <c r="O96" i="42"/>
  <c r="O100" i="42" s="1"/>
  <c r="O95" i="42"/>
  <c r="O99" i="42" s="1"/>
  <c r="O97" i="42"/>
  <c r="O94" i="42"/>
  <c r="O98" i="42" s="1"/>
  <c r="N160" i="28"/>
  <c r="N157" i="28"/>
  <c r="N159" i="28"/>
  <c r="J301" i="38"/>
  <c r="J305" i="38" s="1"/>
  <c r="J302" i="38"/>
  <c r="S12" i="20"/>
  <c r="S13" i="20"/>
  <c r="S11" i="20"/>
  <c r="S15" i="20"/>
  <c r="S14" i="20"/>
  <c r="R12" i="19"/>
  <c r="R25" i="19" s="1"/>
  <c r="R14" i="19"/>
  <c r="R27" i="19" s="1"/>
  <c r="R15" i="19"/>
  <c r="R28" i="19" s="1"/>
  <c r="R11" i="19"/>
  <c r="R13" i="19"/>
  <c r="R26" i="19" s="1"/>
  <c r="R44" i="19" s="1"/>
  <c r="R237" i="42"/>
  <c r="R241" i="42" s="1"/>
  <c r="R238" i="42"/>
  <c r="R235" i="42"/>
  <c r="R239" i="42" s="1"/>
  <c r="R236" i="42"/>
  <c r="R240" i="42" s="1"/>
  <c r="Q16" i="53"/>
  <c r="Q24" i="53"/>
  <c r="Q29" i="53" s="1"/>
  <c r="S48" i="15"/>
  <c r="S45" i="15"/>
  <c r="S58" i="15"/>
  <c r="S64" i="15"/>
  <c r="R66" i="29"/>
  <c r="R63" i="29"/>
  <c r="R62" i="29" s="1"/>
  <c r="R64" i="29"/>
  <c r="R65" i="29"/>
  <c r="R67" i="29"/>
  <c r="R71" i="29"/>
  <c r="S48" i="16" s="1"/>
  <c r="R74" i="29"/>
  <c r="S45" i="16" s="1"/>
  <c r="R68" i="29"/>
  <c r="R75" i="29"/>
  <c r="S64" i="16" s="1"/>
  <c r="R70" i="29"/>
  <c r="R73" i="29"/>
  <c r="S58" i="16" s="1"/>
  <c r="P152" i="38"/>
  <c r="P156" i="38" s="1"/>
  <c r="P151" i="38"/>
  <c r="P155" i="38" s="1"/>
  <c r="P153" i="38"/>
  <c r="P157" i="38" s="1"/>
  <c r="P154" i="38"/>
  <c r="Q78" i="36" s="1"/>
  <c r="P66" i="16"/>
  <c r="P59" i="16"/>
  <c r="L304" i="38"/>
  <c r="L303" i="38"/>
  <c r="L315" i="38" s="1"/>
  <c r="R15" i="38"/>
  <c r="R28" i="38" s="1"/>
  <c r="R43" i="38" s="1"/>
  <c r="R234" i="38" s="1"/>
  <c r="R13" i="38"/>
  <c r="R26" i="38" s="1"/>
  <c r="R41" i="38" s="1"/>
  <c r="R219" i="38" s="1"/>
  <c r="R14" i="38"/>
  <c r="R27" i="38" s="1"/>
  <c r="R42" i="38" s="1"/>
  <c r="R11" i="38"/>
  <c r="R12" i="38"/>
  <c r="R25" i="38" s="1"/>
  <c r="R40" i="38" s="1"/>
  <c r="S12" i="29"/>
  <c r="S25" i="29" s="1"/>
  <c r="S43" i="29" s="1"/>
  <c r="S13" i="29"/>
  <c r="S26" i="29" s="1"/>
  <c r="S44" i="29" s="1"/>
  <c r="S14" i="29"/>
  <c r="S27" i="29" s="1"/>
  <c r="S15" i="29"/>
  <c r="S28" i="29" s="1"/>
  <c r="S11" i="29"/>
  <c r="P132" i="29"/>
  <c r="P31" i="29"/>
  <c r="Q199" i="42"/>
  <c r="Q203" i="42" s="1"/>
  <c r="Q200" i="42"/>
  <c r="Q198" i="42"/>
  <c r="Q202" i="42" s="1"/>
  <c r="Q197" i="42"/>
  <c r="Q201" i="42" s="1"/>
  <c r="P146" i="28"/>
  <c r="P31" i="28"/>
  <c r="O72" i="42"/>
  <c r="O76" i="42" s="1"/>
  <c r="O73" i="42"/>
  <c r="O71" i="42"/>
  <c r="O75" i="42" s="1"/>
  <c r="O70" i="42"/>
  <c r="O74" i="42" s="1"/>
  <c r="K326" i="42"/>
  <c r="K333" i="42" s="1"/>
  <c r="M304" i="42"/>
  <c r="M303" i="42"/>
  <c r="P39" i="38"/>
  <c r="P29" i="38"/>
  <c r="L137" i="29"/>
  <c r="L139" i="29"/>
  <c r="L141" i="29"/>
  <c r="L136" i="29"/>
  <c r="L138" i="29"/>
  <c r="L140" i="29"/>
  <c r="I72" i="16"/>
  <c r="H197" i="29"/>
  <c r="I73" i="16" s="1"/>
  <c r="O246" i="38"/>
  <c r="O44" i="38"/>
  <c r="O288" i="38" s="1"/>
  <c r="O93" i="38"/>
  <c r="O101" i="38"/>
  <c r="O69" i="38"/>
  <c r="O70" i="38" s="1"/>
  <c r="O77" i="38"/>
  <c r="S11" i="48"/>
  <c r="S13" i="48"/>
  <c r="S12" i="48"/>
  <c r="S14" i="48"/>
  <c r="S15" i="48"/>
  <c r="S12" i="28"/>
  <c r="S25" i="28" s="1"/>
  <c r="S43" i="28" s="1"/>
  <c r="S13" i="28"/>
  <c r="S26" i="28" s="1"/>
  <c r="S44" i="28" s="1"/>
  <c r="S11" i="28"/>
  <c r="S15" i="28"/>
  <c r="S28" i="28" s="1"/>
  <c r="S14" i="28"/>
  <c r="S27" i="28" s="1"/>
  <c r="H201" i="28"/>
  <c r="P159" i="38"/>
  <c r="P163" i="38" s="1"/>
  <c r="P161" i="38"/>
  <c r="P165" i="38" s="1"/>
  <c r="P160" i="38"/>
  <c r="P164" i="38" s="1"/>
  <c r="P162" i="38"/>
  <c r="Q108" i="36" s="1"/>
  <c r="P59" i="15"/>
  <c r="P66" i="15"/>
  <c r="O156" i="28"/>
  <c r="O208" i="28"/>
  <c r="O207" i="28"/>
  <c r="R11" i="46"/>
  <c r="R12" i="46"/>
  <c r="R14" i="46"/>
  <c r="R13" i="46"/>
  <c r="R15" i="46"/>
  <c r="Q16" i="38"/>
  <c r="Q244" i="38" s="1"/>
  <c r="Q24" i="38"/>
  <c r="K168" i="28"/>
  <c r="K167" i="28"/>
  <c r="M151" i="29"/>
  <c r="M152" i="29"/>
  <c r="O78" i="42"/>
  <c r="O82" i="42" s="1"/>
  <c r="O79" i="42"/>
  <c r="O83" i="42" s="1"/>
  <c r="O81" i="42"/>
  <c r="O80" i="42"/>
  <c r="O84" i="42" s="1"/>
  <c r="N101" i="29"/>
  <c r="M134" i="29"/>
  <c r="M135" i="29" s="1"/>
  <c r="M309" i="38"/>
  <c r="M311" i="38"/>
  <c r="M306" i="38"/>
  <c r="M308" i="38"/>
  <c r="M310" i="38"/>
  <c r="M307" i="38"/>
  <c r="O31" i="38"/>
  <c r="O278" i="38"/>
  <c r="F72" i="15"/>
  <c r="E211" i="28"/>
  <c r="F73" i="15" s="1"/>
  <c r="J169" i="28"/>
  <c r="J173" i="28" s="1"/>
  <c r="J170" i="28"/>
  <c r="Q160" i="42"/>
  <c r="Q164" i="42" s="1"/>
  <c r="Q159" i="42"/>
  <c r="Q163" i="42" s="1"/>
  <c r="Q161" i="42"/>
  <c r="Q165" i="42" s="1"/>
  <c r="Q162" i="42"/>
  <c r="R61" i="15"/>
  <c r="Q85" i="29"/>
  <c r="P137" i="38"/>
  <c r="P135" i="38"/>
  <c r="P136" i="38"/>
  <c r="N292" i="38"/>
  <c r="N291" i="38"/>
  <c r="N289" i="38"/>
  <c r="L326" i="42"/>
  <c r="L335" i="42" s="1"/>
  <c r="F162" i="19"/>
  <c r="F163" i="19"/>
  <c r="F160" i="19"/>
  <c r="F161" i="19"/>
  <c r="G199" i="20"/>
  <c r="G201" i="20"/>
  <c r="G203" i="20"/>
  <c r="G164" i="19" s="1"/>
  <c r="G200" i="20"/>
  <c r="G202" i="20"/>
  <c r="G16" i="20"/>
  <c r="G219" i="20" s="1"/>
  <c r="G27" i="20"/>
  <c r="H16" i="20"/>
  <c r="G24" i="20"/>
  <c r="F154" i="19"/>
  <c r="G25" i="20"/>
  <c r="H26" i="20"/>
  <c r="H44" i="20" s="1"/>
  <c r="H198" i="20" s="1"/>
  <c r="H159" i="19" s="1"/>
  <c r="I123" i="14" s="1"/>
  <c r="H28" i="20"/>
  <c r="E253" i="20"/>
  <c r="E31" i="20"/>
  <c r="H123" i="12"/>
  <c r="G157" i="19"/>
  <c r="G155" i="19"/>
  <c r="F29" i="20"/>
  <c r="AW78" i="36" l="1"/>
  <c r="Q65" i="15"/>
  <c r="S49" i="16"/>
  <c r="Q65" i="16"/>
  <c r="S49" i="15"/>
  <c r="AW99" i="36"/>
  <c r="AY60" i="51"/>
  <c r="AW108" i="36"/>
  <c r="AW100" i="36"/>
  <c r="J71" i="16"/>
  <c r="L174" i="29"/>
  <c r="P88" i="29"/>
  <c r="L175" i="29"/>
  <c r="O308" i="42"/>
  <c r="O310" i="42"/>
  <c r="O309" i="42"/>
  <c r="O311" i="42"/>
  <c r="O307" i="42"/>
  <c r="O306" i="42"/>
  <c r="O101" i="29"/>
  <c r="N134" i="29"/>
  <c r="N135" i="29" s="1"/>
  <c r="K169" i="28"/>
  <c r="K173" i="28" s="1"/>
  <c r="K170" i="28"/>
  <c r="T12" i="28"/>
  <c r="T25" i="28" s="1"/>
  <c r="T43" i="28" s="1"/>
  <c r="T13" i="28"/>
  <c r="T26" i="28" s="1"/>
  <c r="T44" i="28" s="1"/>
  <c r="T14" i="28"/>
  <c r="T27" i="28" s="1"/>
  <c r="T11" i="28"/>
  <c r="T15" i="28"/>
  <c r="T28" i="28" s="1"/>
  <c r="S16" i="48"/>
  <c r="S272" i="48" s="1"/>
  <c r="O292" i="38"/>
  <c r="O289" i="38"/>
  <c r="K335" i="42"/>
  <c r="K342" i="42" s="1"/>
  <c r="AR125" i="36" s="1"/>
  <c r="S80" i="29"/>
  <c r="S79" i="29" s="1"/>
  <c r="T12" i="20"/>
  <c r="T13" i="20"/>
  <c r="T11" i="20"/>
  <c r="T14" i="20"/>
  <c r="T15" i="20"/>
  <c r="P208" i="28"/>
  <c r="P156" i="28"/>
  <c r="P207" i="28"/>
  <c r="P214" i="28"/>
  <c r="O148" i="28"/>
  <c r="O149" i="28" s="1"/>
  <c r="Q146" i="38"/>
  <c r="R99" i="36" s="1"/>
  <c r="Q143" i="38"/>
  <c r="Q147" i="38" s="1"/>
  <c r="Q144" i="38"/>
  <c r="Q148" i="38" s="1"/>
  <c r="Q145" i="38"/>
  <c r="Q149" i="38" s="1"/>
  <c r="R138" i="42"/>
  <c r="R137" i="42"/>
  <c r="R141" i="42" s="1"/>
  <c r="R135" i="42"/>
  <c r="R139" i="42" s="1"/>
  <c r="R136" i="42"/>
  <c r="R140" i="42" s="1"/>
  <c r="P97" i="42"/>
  <c r="P95" i="42"/>
  <c r="P99" i="42" s="1"/>
  <c r="P96" i="42"/>
  <c r="P100" i="42" s="1"/>
  <c r="P94" i="42"/>
  <c r="P98" i="42" s="1"/>
  <c r="S16" i="42"/>
  <c r="S244" i="42" s="1"/>
  <c r="S24" i="42"/>
  <c r="O163" i="29"/>
  <c r="O165" i="29"/>
  <c r="O160" i="29"/>
  <c r="O162" i="29"/>
  <c r="O164" i="29"/>
  <c r="O161" i="29"/>
  <c r="S15" i="46"/>
  <c r="S14" i="46"/>
  <c r="S13" i="46"/>
  <c r="S12" i="46"/>
  <c r="S11" i="46"/>
  <c r="S82" i="29"/>
  <c r="T55" i="16" s="1"/>
  <c r="T55" i="15"/>
  <c r="T13" i="48"/>
  <c r="T14" i="48"/>
  <c r="T12" i="48"/>
  <c r="T11" i="48"/>
  <c r="T15" i="48"/>
  <c r="O290" i="38"/>
  <c r="O291" i="38" s="1"/>
  <c r="O313" i="38"/>
  <c r="R134" i="38"/>
  <c r="R158" i="38"/>
  <c r="R150" i="38"/>
  <c r="R142" i="38"/>
  <c r="M169" i="29"/>
  <c r="M170" i="29" s="1"/>
  <c r="M171" i="29"/>
  <c r="M174" i="29" s="1"/>
  <c r="Q162" i="38"/>
  <c r="R108" i="36" s="1"/>
  <c r="Q159" i="38"/>
  <c r="Q163" i="38" s="1"/>
  <c r="Q160" i="38"/>
  <c r="Q164" i="38" s="1"/>
  <c r="Q161" i="38"/>
  <c r="Q165" i="38" s="1"/>
  <c r="L156" i="29"/>
  <c r="L155" i="29"/>
  <c r="L159" i="29" s="1"/>
  <c r="Q194" i="54"/>
  <c r="Q31" i="54"/>
  <c r="P81" i="42"/>
  <c r="P78" i="42"/>
  <c r="P82" i="42" s="1"/>
  <c r="P80" i="42"/>
  <c r="P84" i="42" s="1"/>
  <c r="P79" i="42"/>
  <c r="P83" i="42" s="1"/>
  <c r="P77" i="16"/>
  <c r="P68" i="16"/>
  <c r="S196" i="42"/>
  <c r="S204" i="42"/>
  <c r="S188" i="42"/>
  <c r="R16" i="46"/>
  <c r="R272" i="46" s="1"/>
  <c r="T58" i="15"/>
  <c r="S68" i="29"/>
  <c r="S70" i="29"/>
  <c r="T64" i="15"/>
  <c r="S65" i="29"/>
  <c r="T48" i="15"/>
  <c r="S67" i="29"/>
  <c r="T45" i="15"/>
  <c r="S63" i="29"/>
  <c r="S62" i="29" s="1"/>
  <c r="S74" i="29"/>
  <c r="T45" i="16" s="1"/>
  <c r="S73" i="29"/>
  <c r="T58" i="16" s="1"/>
  <c r="S72" i="29"/>
  <c r="S75" i="29"/>
  <c r="T64" i="16" s="1"/>
  <c r="S71" i="29"/>
  <c r="T48" i="16" s="1"/>
  <c r="S66" i="29"/>
  <c r="S64" i="29"/>
  <c r="P34" i="29"/>
  <c r="P33" i="29"/>
  <c r="R16" i="38"/>
  <c r="R244" i="38" s="1"/>
  <c r="R24" i="38"/>
  <c r="P100" i="29"/>
  <c r="I201" i="28"/>
  <c r="O150" i="29"/>
  <c r="O148" i="29"/>
  <c r="O147" i="29"/>
  <c r="O149" i="29"/>
  <c r="Q135" i="38"/>
  <c r="Q136" i="38"/>
  <c r="Q137" i="38"/>
  <c r="O193" i="29"/>
  <c r="O194" i="29"/>
  <c r="Q29" i="19"/>
  <c r="P105" i="42"/>
  <c r="P104" i="42"/>
  <c r="P108" i="42" s="1"/>
  <c r="P102" i="42"/>
  <c r="P106" i="42" s="1"/>
  <c r="P103" i="42"/>
  <c r="P107" i="42" s="1"/>
  <c r="O295" i="42"/>
  <c r="O293" i="42"/>
  <c r="O294" i="42"/>
  <c r="O296" i="42"/>
  <c r="M298" i="38"/>
  <c r="M297" i="38"/>
  <c r="T13" i="42"/>
  <c r="T26" i="42" s="1"/>
  <c r="T41" i="42" s="1"/>
  <c r="T219" i="42" s="1"/>
  <c r="T14" i="42"/>
  <c r="T27" i="42" s="1"/>
  <c r="T42" i="42" s="1"/>
  <c r="T11" i="42"/>
  <c r="T12" i="42"/>
  <c r="T25" i="42" s="1"/>
  <c r="T40" i="42" s="1"/>
  <c r="T15" i="42"/>
  <c r="T28" i="42" s="1"/>
  <c r="T43" i="42" s="1"/>
  <c r="T234" i="42" s="1"/>
  <c r="N311" i="38"/>
  <c r="N309" i="38"/>
  <c r="N308" i="38"/>
  <c r="N306" i="38"/>
  <c r="N307" i="38"/>
  <c r="N310" i="38"/>
  <c r="Q39" i="38"/>
  <c r="Q29" i="38"/>
  <c r="O243" i="38"/>
  <c r="R196" i="38"/>
  <c r="R204" i="38"/>
  <c r="R188" i="38"/>
  <c r="R16" i="19"/>
  <c r="R24" i="19"/>
  <c r="P158" i="28"/>
  <c r="P181" i="28"/>
  <c r="P182" i="28" s="1"/>
  <c r="R29" i="29"/>
  <c r="R42" i="29"/>
  <c r="N157" i="29"/>
  <c r="N158" i="29"/>
  <c r="P31" i="19"/>
  <c r="P211" i="19"/>
  <c r="P68" i="15"/>
  <c r="P73" i="42"/>
  <c r="P71" i="42"/>
  <c r="P75" i="42" s="1"/>
  <c r="P72" i="42"/>
  <c r="P76" i="42" s="1"/>
  <c r="P70" i="42"/>
  <c r="P74" i="42" s="1"/>
  <c r="J337" i="42"/>
  <c r="J342" i="42"/>
  <c r="S220" i="42"/>
  <c r="S224" i="42" s="1"/>
  <c r="S222" i="42"/>
  <c r="S226" i="42" s="1"/>
  <c r="S223" i="42"/>
  <c r="S221" i="42"/>
  <c r="S225" i="42" s="1"/>
  <c r="N294" i="38"/>
  <c r="N295" i="38"/>
  <c r="N293" i="38"/>
  <c r="N296" i="38"/>
  <c r="R61" i="16"/>
  <c r="Q84" i="29"/>
  <c r="I69" i="15"/>
  <c r="H205" i="28"/>
  <c r="H210" i="28"/>
  <c r="P278" i="38"/>
  <c r="P31" i="38"/>
  <c r="S16" i="29"/>
  <c r="S24" i="29"/>
  <c r="R220" i="38"/>
  <c r="R224" i="38" s="1"/>
  <c r="R222" i="38"/>
  <c r="R226" i="38" s="1"/>
  <c r="R221" i="38"/>
  <c r="R225" i="38" s="1"/>
  <c r="Q194" i="53"/>
  <c r="Q31" i="53"/>
  <c r="P114" i="28"/>
  <c r="Q59" i="15"/>
  <c r="Q66" i="15"/>
  <c r="P146" i="29"/>
  <c r="P143" i="29"/>
  <c r="N151" i="29"/>
  <c r="N152" i="29"/>
  <c r="K301" i="38"/>
  <c r="K305" i="38" s="1"/>
  <c r="K302" i="38"/>
  <c r="L179" i="29"/>
  <c r="O34" i="19"/>
  <c r="O33" i="19"/>
  <c r="R29" i="42"/>
  <c r="R39" i="42"/>
  <c r="S61" i="15"/>
  <c r="R85" i="29"/>
  <c r="R16" i="53"/>
  <c r="R24" i="53"/>
  <c r="R29" i="53" s="1"/>
  <c r="M172" i="28"/>
  <c r="M171" i="28"/>
  <c r="P292" i="42"/>
  <c r="P289" i="42"/>
  <c r="Q206" i="38"/>
  <c r="Q210" i="38" s="1"/>
  <c r="Q207" i="38"/>
  <c r="Q211" i="38" s="1"/>
  <c r="Q208" i="38"/>
  <c r="Q205" i="38"/>
  <c r="Q209" i="38" s="1"/>
  <c r="K193" i="28"/>
  <c r="K194" i="28" s="1"/>
  <c r="K203" i="28" s="1"/>
  <c r="L70" i="15" s="1"/>
  <c r="K186" i="28"/>
  <c r="K187" i="28" s="1"/>
  <c r="K189" i="28" s="1"/>
  <c r="M153" i="29"/>
  <c r="M154" i="29"/>
  <c r="O160" i="28"/>
  <c r="O159" i="28"/>
  <c r="O157" i="28"/>
  <c r="P246" i="38"/>
  <c r="P44" i="38"/>
  <c r="P288" i="38" s="1"/>
  <c r="P93" i="38"/>
  <c r="P77" i="38"/>
  <c r="P69" i="38"/>
  <c r="P70" i="38" s="1"/>
  <c r="P101" i="38"/>
  <c r="S46" i="29"/>
  <c r="R237" i="38"/>
  <c r="R241" i="38" s="1"/>
  <c r="R236" i="38"/>
  <c r="R240" i="38" s="1"/>
  <c r="R235" i="38"/>
  <c r="R239" i="38" s="1"/>
  <c r="N175" i="28"/>
  <c r="N177" i="28"/>
  <c r="N174" i="28"/>
  <c r="N178" i="28"/>
  <c r="N176" i="28"/>
  <c r="N179" i="28"/>
  <c r="Q66" i="16"/>
  <c r="Q59" i="16"/>
  <c r="I197" i="29"/>
  <c r="J73" i="16" s="1"/>
  <c r="J72" i="16"/>
  <c r="S11" i="54"/>
  <c r="S15" i="54"/>
  <c r="S28" i="54" s="1"/>
  <c r="S13" i="54"/>
  <c r="S26" i="54" s="1"/>
  <c r="S41" i="54" s="1"/>
  <c r="S147" i="54" s="1"/>
  <c r="S148" i="54" s="1"/>
  <c r="S14" i="54"/>
  <c r="S27" i="54" s="1"/>
  <c r="S12" i="54"/>
  <c r="S25" i="54" s="1"/>
  <c r="N280" i="42"/>
  <c r="N281" i="42" s="1"/>
  <c r="O247" i="42"/>
  <c r="R192" i="42"/>
  <c r="R190" i="42"/>
  <c r="R194" i="42" s="1"/>
  <c r="R191" i="42"/>
  <c r="R195" i="42" s="1"/>
  <c r="R189" i="42"/>
  <c r="R193" i="42" s="1"/>
  <c r="Q31" i="42"/>
  <c r="Q278" i="42"/>
  <c r="R160" i="42"/>
  <c r="R164" i="42" s="1"/>
  <c r="R162" i="42"/>
  <c r="R159" i="42"/>
  <c r="R163" i="42" s="1"/>
  <c r="R161" i="42"/>
  <c r="R165" i="42" s="1"/>
  <c r="P313" i="42"/>
  <c r="P314" i="42" s="1"/>
  <c r="P290" i="42"/>
  <c r="P291" i="42" s="1"/>
  <c r="K180" i="29"/>
  <c r="K189" i="29" s="1"/>
  <c r="L70" i="16" s="1"/>
  <c r="Q191" i="38"/>
  <c r="Q195" i="38" s="1"/>
  <c r="Q190" i="38"/>
  <c r="Q194" i="38" s="1"/>
  <c r="Q189" i="38"/>
  <c r="Q193" i="38" s="1"/>
  <c r="J201" i="28"/>
  <c r="S46" i="28"/>
  <c r="M315" i="42"/>
  <c r="M316" i="42" s="1"/>
  <c r="M317" i="42"/>
  <c r="M320" i="42" s="1"/>
  <c r="P34" i="28"/>
  <c r="P33" i="28"/>
  <c r="T12" i="29"/>
  <c r="T25" i="29" s="1"/>
  <c r="T43" i="29" s="1"/>
  <c r="T13" i="29"/>
  <c r="T26" i="29" s="1"/>
  <c r="T44" i="29" s="1"/>
  <c r="T80" i="29" s="1"/>
  <c r="T79" i="29" s="1"/>
  <c r="T14" i="29"/>
  <c r="T27" i="29" s="1"/>
  <c r="T15" i="29"/>
  <c r="T28" i="29" s="1"/>
  <c r="T11" i="29"/>
  <c r="S14" i="38"/>
  <c r="S27" i="38" s="1"/>
  <c r="S42" i="38" s="1"/>
  <c r="S11" i="38"/>
  <c r="S15" i="38"/>
  <c r="S28" i="38" s="1"/>
  <c r="S43" i="38" s="1"/>
  <c r="S234" i="38" s="1"/>
  <c r="S13" i="38"/>
  <c r="S26" i="38" s="1"/>
  <c r="S41" i="38" s="1"/>
  <c r="S219" i="38" s="1"/>
  <c r="S12" i="38"/>
  <c r="S25" i="38" s="1"/>
  <c r="S40" i="38" s="1"/>
  <c r="Q46" i="16"/>
  <c r="Q67" i="16"/>
  <c r="L167" i="28"/>
  <c r="L168" i="28"/>
  <c r="R24" i="54"/>
  <c r="R29" i="54" s="1"/>
  <c r="R16" i="54"/>
  <c r="O77" i="15"/>
  <c r="M283" i="42"/>
  <c r="M285" i="42"/>
  <c r="M282" i="42"/>
  <c r="M287" i="42"/>
  <c r="M284" i="42"/>
  <c r="M286" i="42"/>
  <c r="N303" i="42"/>
  <c r="N304" i="42"/>
  <c r="R207" i="42"/>
  <c r="R211" i="42" s="1"/>
  <c r="R206" i="42"/>
  <c r="R210" i="42" s="1"/>
  <c r="R205" i="42"/>
  <c r="R209" i="42" s="1"/>
  <c r="R208" i="42"/>
  <c r="Q246" i="42"/>
  <c r="Q93" i="42"/>
  <c r="Q69" i="42"/>
  <c r="Q44" i="42"/>
  <c r="Q288" i="42" s="1"/>
  <c r="Q77" i="42"/>
  <c r="Q101" i="42"/>
  <c r="R152" i="42"/>
  <c r="R156" i="42" s="1"/>
  <c r="R154" i="42"/>
  <c r="R153" i="42"/>
  <c r="R157" i="42" s="1"/>
  <c r="R151" i="42"/>
  <c r="R155" i="42" s="1"/>
  <c r="M165" i="28"/>
  <c r="M166" i="28"/>
  <c r="M299" i="42"/>
  <c r="M300" i="42"/>
  <c r="Q213" i="28"/>
  <c r="Q52" i="29"/>
  <c r="Q49" i="29" s="1"/>
  <c r="Q53" i="29"/>
  <c r="R56" i="15"/>
  <c r="Q51" i="29"/>
  <c r="R62" i="15"/>
  <c r="Q58" i="29"/>
  <c r="Q100" i="29" s="1"/>
  <c r="R44" i="15"/>
  <c r="Q50" i="29"/>
  <c r="Q60" i="29"/>
  <c r="R56" i="16" s="1"/>
  <c r="Q54" i="29"/>
  <c r="Q56" i="29"/>
  <c r="R44" i="16" s="1"/>
  <c r="Q47" i="28"/>
  <c r="Q57" i="29"/>
  <c r="Q59" i="29"/>
  <c r="R62" i="16" s="1"/>
  <c r="Q197" i="38"/>
  <c r="Q201" i="38" s="1"/>
  <c r="Q198" i="38"/>
  <c r="Q202" i="38" s="1"/>
  <c r="Q199" i="38"/>
  <c r="Q203" i="38" s="1"/>
  <c r="Q200" i="38"/>
  <c r="R100" i="36" s="1"/>
  <c r="S134" i="42"/>
  <c r="S150" i="42"/>
  <c r="S142" i="42"/>
  <c r="S158" i="42"/>
  <c r="Q47" i="29"/>
  <c r="Q142" i="29" s="1"/>
  <c r="L300" i="38"/>
  <c r="L299" i="38"/>
  <c r="L333" i="42"/>
  <c r="M137" i="29"/>
  <c r="M139" i="29"/>
  <c r="M141" i="29"/>
  <c r="M136" i="29"/>
  <c r="M138" i="29"/>
  <c r="M140" i="29"/>
  <c r="S16" i="28"/>
  <c r="S115" i="28" s="1"/>
  <c r="S24" i="28"/>
  <c r="S15" i="19"/>
  <c r="S28" i="19" s="1"/>
  <c r="S12" i="19"/>
  <c r="S25" i="19" s="1"/>
  <c r="S11" i="19"/>
  <c r="S14" i="19"/>
  <c r="S27" i="19" s="1"/>
  <c r="S13" i="19"/>
  <c r="S26" i="19" s="1"/>
  <c r="S44" i="19" s="1"/>
  <c r="N162" i="28"/>
  <c r="N164" i="28"/>
  <c r="N163" i="28"/>
  <c r="N161" i="28"/>
  <c r="Q67" i="15"/>
  <c r="Q46" i="15"/>
  <c r="N150" i="28"/>
  <c r="N151" i="28"/>
  <c r="N152" i="28"/>
  <c r="N153" i="28"/>
  <c r="N155" i="28"/>
  <c r="N154" i="28"/>
  <c r="K69" i="16"/>
  <c r="J196" i="29"/>
  <c r="L183" i="28"/>
  <c r="L184" i="28" s="1"/>
  <c r="L185" i="28"/>
  <c r="L188" i="28" s="1"/>
  <c r="N298" i="42"/>
  <c r="N297" i="42"/>
  <c r="R198" i="42"/>
  <c r="R202" i="42" s="1"/>
  <c r="R199" i="42"/>
  <c r="R203" i="42" s="1"/>
  <c r="R197" i="42"/>
  <c r="R201" i="42" s="1"/>
  <c r="R200" i="42"/>
  <c r="Q151" i="38"/>
  <c r="Q155" i="38" s="1"/>
  <c r="Q153" i="38"/>
  <c r="Q157" i="38" s="1"/>
  <c r="Q154" i="38"/>
  <c r="R78" i="36" s="1"/>
  <c r="Q152" i="38"/>
  <c r="Q156" i="38" s="1"/>
  <c r="R29" i="28"/>
  <c r="R42" i="28"/>
  <c r="S12" i="53"/>
  <c r="S25" i="53" s="1"/>
  <c r="S13" i="53"/>
  <c r="S26" i="53" s="1"/>
  <c r="S41" i="53" s="1"/>
  <c r="S147" i="53" s="1"/>
  <c r="S148" i="53" s="1"/>
  <c r="T60" i="51" s="1"/>
  <c r="S15" i="53"/>
  <c r="S28" i="53" s="1"/>
  <c r="S14" i="53"/>
  <c r="S27" i="53" s="1"/>
  <c r="S11" i="53"/>
  <c r="R144" i="42"/>
  <c r="R148" i="42" s="1"/>
  <c r="R146" i="42"/>
  <c r="R145" i="42"/>
  <c r="R149" i="42" s="1"/>
  <c r="R143" i="42"/>
  <c r="R147" i="42" s="1"/>
  <c r="P243" i="42"/>
  <c r="Q31" i="28"/>
  <c r="Q146" i="28"/>
  <c r="M303" i="38"/>
  <c r="M315" i="38" s="1"/>
  <c r="M304" i="38"/>
  <c r="S236" i="42"/>
  <c r="S240" i="42" s="1"/>
  <c r="S237" i="42"/>
  <c r="S241" i="42" s="1"/>
  <c r="S235" i="42"/>
  <c r="S239" i="42" s="1"/>
  <c r="S238" i="42"/>
  <c r="Q132" i="29"/>
  <c r="Q31" i="29"/>
  <c r="G163" i="19"/>
  <c r="G160" i="19"/>
  <c r="G161" i="19"/>
  <c r="G162" i="19"/>
  <c r="H200" i="20"/>
  <c r="H202" i="20"/>
  <c r="H199" i="20"/>
  <c r="H201" i="20"/>
  <c r="H203" i="20"/>
  <c r="H164" i="19" s="1"/>
  <c r="I123" i="12"/>
  <c r="H155" i="19"/>
  <c r="H157" i="19"/>
  <c r="H27" i="20"/>
  <c r="F253" i="20"/>
  <c r="F31" i="20"/>
  <c r="I28" i="20"/>
  <c r="G29" i="20"/>
  <c r="G154" i="19"/>
  <c r="I26" i="20"/>
  <c r="I44" i="20" s="1"/>
  <c r="I198" i="20" s="1"/>
  <c r="I159" i="19" s="1"/>
  <c r="J123" i="14" s="1"/>
  <c r="H25" i="20"/>
  <c r="H219" i="20"/>
  <c r="H24" i="20"/>
  <c r="I16" i="20"/>
  <c r="P77" i="15" l="1"/>
  <c r="K71" i="16"/>
  <c r="T49" i="16"/>
  <c r="T49" i="15"/>
  <c r="I71" i="15"/>
  <c r="AZ60" i="51"/>
  <c r="AX108" i="36"/>
  <c r="AX99" i="36"/>
  <c r="AX100" i="36"/>
  <c r="R65" i="15"/>
  <c r="AX78" i="36"/>
  <c r="M318" i="42"/>
  <c r="M319" i="42" s="1"/>
  <c r="M321" i="42" s="1"/>
  <c r="K337" i="42"/>
  <c r="T70" i="29"/>
  <c r="K343" i="42"/>
  <c r="AR126" i="36" s="1"/>
  <c r="T46" i="28"/>
  <c r="U61" i="15" s="1"/>
  <c r="R65" i="16"/>
  <c r="M172" i="29"/>
  <c r="M173" i="29" s="1"/>
  <c r="M175" i="29" s="1"/>
  <c r="Q89" i="29"/>
  <c r="P307" i="42"/>
  <c r="P309" i="42"/>
  <c r="P311" i="42"/>
  <c r="P308" i="42"/>
  <c r="P310" i="42"/>
  <c r="P306" i="42"/>
  <c r="O307" i="38"/>
  <c r="O306" i="38"/>
  <c r="O308" i="38"/>
  <c r="O309" i="38"/>
  <c r="O310" i="38"/>
  <c r="O311" i="38"/>
  <c r="T14" i="53"/>
  <c r="T27" i="53" s="1"/>
  <c r="T15" i="53"/>
  <c r="T28" i="53" s="1"/>
  <c r="T13" i="53"/>
  <c r="T26" i="53" s="1"/>
  <c r="T41" i="53" s="1"/>
  <c r="T147" i="53" s="1"/>
  <c r="T148" i="53" s="1"/>
  <c r="U60" i="51" s="1"/>
  <c r="T11" i="53"/>
  <c r="T12" i="53"/>
  <c r="T25" i="53" s="1"/>
  <c r="K72" i="16"/>
  <c r="J197" i="29"/>
  <c r="K73" i="16" s="1"/>
  <c r="N166" i="28"/>
  <c r="N165" i="28"/>
  <c r="T14" i="19"/>
  <c r="T27" i="19" s="1"/>
  <c r="T12" i="19"/>
  <c r="T25" i="19" s="1"/>
  <c r="T13" i="19"/>
  <c r="T26" i="19" s="1"/>
  <c r="T44" i="19" s="1"/>
  <c r="T15" i="19"/>
  <c r="T28" i="19" s="1"/>
  <c r="T11" i="19"/>
  <c r="S135" i="42"/>
  <c r="S139" i="42" s="1"/>
  <c r="S137" i="42"/>
  <c r="S141" i="42" s="1"/>
  <c r="S136" i="42"/>
  <c r="S140" i="42" s="1"/>
  <c r="S138" i="42"/>
  <c r="M168" i="28"/>
  <c r="M167" i="28"/>
  <c r="Q80" i="42"/>
  <c r="Q84" i="42" s="1"/>
  <c r="Q79" i="42"/>
  <c r="Q83" i="42" s="1"/>
  <c r="Q78" i="42"/>
  <c r="Q82" i="42" s="1"/>
  <c r="Q81" i="42"/>
  <c r="S134" i="38"/>
  <c r="S142" i="38"/>
  <c r="S158" i="38"/>
  <c r="S150" i="38"/>
  <c r="T61" i="15"/>
  <c r="S85" i="29"/>
  <c r="L186" i="28"/>
  <c r="L187" i="28" s="1"/>
  <c r="L189" i="28" s="1"/>
  <c r="M155" i="29"/>
  <c r="M159" i="29" s="1"/>
  <c r="M156" i="29"/>
  <c r="S61" i="16"/>
  <c r="R84" i="29"/>
  <c r="N153" i="29"/>
  <c r="N154" i="29"/>
  <c r="N298" i="38"/>
  <c r="N297" i="38"/>
  <c r="T223" i="42"/>
  <c r="T222" i="42"/>
  <c r="T226" i="42" s="1"/>
  <c r="T220" i="42"/>
  <c r="T224" i="42" s="1"/>
  <c r="T221" i="42"/>
  <c r="T225" i="42" s="1"/>
  <c r="O151" i="29"/>
  <c r="O152" i="29"/>
  <c r="N172" i="28"/>
  <c r="N171" i="28"/>
  <c r="S29" i="28"/>
  <c r="S42" i="28"/>
  <c r="Q167" i="29"/>
  <c r="Q168" i="29" s="1"/>
  <c r="Q144" i="29"/>
  <c r="Q145" i="29" s="1"/>
  <c r="Q207" i="28"/>
  <c r="Q156" i="28"/>
  <c r="Q208" i="28"/>
  <c r="Q292" i="42"/>
  <c r="Q289" i="42"/>
  <c r="T12" i="38"/>
  <c r="T25" i="38" s="1"/>
  <c r="T40" i="38" s="1"/>
  <c r="T14" i="38"/>
  <c r="T27" i="38" s="1"/>
  <c r="T42" i="38" s="1"/>
  <c r="T11" i="38"/>
  <c r="T15" i="38"/>
  <c r="T28" i="38" s="1"/>
  <c r="T43" i="38" s="1"/>
  <c r="T234" i="38" s="1"/>
  <c r="T13" i="38"/>
  <c r="T26" i="38" s="1"/>
  <c r="T41" i="38" s="1"/>
  <c r="T219" i="38" s="1"/>
  <c r="I72" i="15"/>
  <c r="H211" i="28"/>
  <c r="I73" i="15" s="1"/>
  <c r="M179" i="29"/>
  <c r="Q33" i="29"/>
  <c r="Q34" i="29"/>
  <c r="R213" i="28"/>
  <c r="R58" i="29"/>
  <c r="R100" i="29" s="1"/>
  <c r="R51" i="29"/>
  <c r="R52" i="29"/>
  <c r="R49" i="29" s="1"/>
  <c r="R47" i="28"/>
  <c r="R114" i="28" s="1"/>
  <c r="R53" i="29"/>
  <c r="R60" i="29"/>
  <c r="S56" i="16" s="1"/>
  <c r="S56" i="15"/>
  <c r="R56" i="29"/>
  <c r="S44" i="16" s="1"/>
  <c r="S44" i="15"/>
  <c r="R50" i="29"/>
  <c r="S62" i="15"/>
  <c r="R57" i="29"/>
  <c r="R54" i="29"/>
  <c r="R59" i="29"/>
  <c r="S62" i="16" s="1"/>
  <c r="Q88" i="29"/>
  <c r="R67" i="16"/>
  <c r="R46" i="16"/>
  <c r="R66" i="15"/>
  <c r="R59" i="15"/>
  <c r="Q70" i="42"/>
  <c r="Q74" i="42" s="1"/>
  <c r="Q73" i="42"/>
  <c r="Q72" i="42"/>
  <c r="Q76" i="42" s="1"/>
  <c r="Q71" i="42"/>
  <c r="Q75" i="42" s="1"/>
  <c r="N315" i="42"/>
  <c r="N316" i="42" s="1"/>
  <c r="N317" i="42"/>
  <c r="N320" i="42" s="1"/>
  <c r="S221" i="38"/>
  <c r="S225" i="38" s="1"/>
  <c r="S220" i="38"/>
  <c r="S224" i="38" s="1"/>
  <c r="S222" i="38"/>
  <c r="S226" i="38" s="1"/>
  <c r="K187" i="29"/>
  <c r="P292" i="38"/>
  <c r="P289" i="38"/>
  <c r="R246" i="42"/>
  <c r="R44" i="42"/>
  <c r="R288" i="42" s="1"/>
  <c r="R101" i="42"/>
  <c r="R69" i="42"/>
  <c r="R77" i="42"/>
  <c r="R93" i="42"/>
  <c r="R29" i="19"/>
  <c r="M300" i="38"/>
  <c r="M299" i="38"/>
  <c r="J69" i="15"/>
  <c r="I205" i="28"/>
  <c r="I210" i="28"/>
  <c r="S16" i="46"/>
  <c r="S272" i="46" s="1"/>
  <c r="O153" i="28"/>
  <c r="O155" i="28"/>
  <c r="O150" i="28"/>
  <c r="O151" i="28"/>
  <c r="O154" i="28"/>
  <c r="O152" i="28"/>
  <c r="T24" i="28"/>
  <c r="T16" i="28"/>
  <c r="T115" i="28" s="1"/>
  <c r="R146" i="28"/>
  <c r="R31" i="28"/>
  <c r="Q143" i="29"/>
  <c r="Q146" i="29"/>
  <c r="Q97" i="42"/>
  <c r="Q95" i="42"/>
  <c r="Q99" i="42" s="1"/>
  <c r="Q96" i="42"/>
  <c r="Q100" i="42" s="1"/>
  <c r="Q94" i="42"/>
  <c r="Q98" i="42" s="1"/>
  <c r="R194" i="54"/>
  <c r="R31" i="54"/>
  <c r="S235" i="38"/>
  <c r="S239" i="38" s="1"/>
  <c r="S236" i="38"/>
  <c r="S240" i="38" s="1"/>
  <c r="S237" i="38"/>
  <c r="S241" i="38" s="1"/>
  <c r="U12" i="29"/>
  <c r="U25" i="29" s="1"/>
  <c r="U43" i="29" s="1"/>
  <c r="U14" i="29"/>
  <c r="U27" i="29" s="1"/>
  <c r="U15" i="29"/>
  <c r="U28" i="29" s="1"/>
  <c r="U13" i="29"/>
  <c r="U26" i="29" s="1"/>
  <c r="U44" i="29" s="1"/>
  <c r="U11" i="29"/>
  <c r="P290" i="38"/>
  <c r="P291" i="38" s="1"/>
  <c r="P313" i="38"/>
  <c r="K201" i="28"/>
  <c r="P295" i="42"/>
  <c r="P296" i="42"/>
  <c r="P293" i="42"/>
  <c r="P294" i="42"/>
  <c r="R31" i="42"/>
  <c r="R278" i="42"/>
  <c r="P147" i="29"/>
  <c r="P150" i="29"/>
  <c r="P148" i="29"/>
  <c r="P149" i="29"/>
  <c r="Q278" i="38"/>
  <c r="Q31" i="38"/>
  <c r="T236" i="42"/>
  <c r="T240" i="42" s="1"/>
  <c r="T238" i="42"/>
  <c r="T237" i="42"/>
  <c r="T241" i="42" s="1"/>
  <c r="T235" i="42"/>
  <c r="T239" i="42" s="1"/>
  <c r="O303" i="42"/>
  <c r="O304" i="42"/>
  <c r="O158" i="29"/>
  <c r="O157" i="29"/>
  <c r="R143" i="38"/>
  <c r="R147" i="38" s="1"/>
  <c r="R146" i="38"/>
  <c r="S99" i="36" s="1"/>
  <c r="R144" i="38"/>
  <c r="R148" i="38" s="1"/>
  <c r="R145" i="38"/>
  <c r="R149" i="38" s="1"/>
  <c r="T16" i="48"/>
  <c r="T272" i="48" s="1"/>
  <c r="P148" i="28"/>
  <c r="P149" i="28" s="1"/>
  <c r="Q214" i="28"/>
  <c r="S16" i="53"/>
  <c r="S24" i="53"/>
  <c r="S29" i="53" s="1"/>
  <c r="R66" i="16"/>
  <c r="R59" i="16"/>
  <c r="Q290" i="42"/>
  <c r="Q291" i="42" s="1"/>
  <c r="Q313" i="42"/>
  <c r="Q314" i="42" s="1"/>
  <c r="S16" i="38"/>
  <c r="S244" i="38" s="1"/>
  <c r="S24" i="38"/>
  <c r="T14" i="54"/>
  <c r="T27" i="54" s="1"/>
  <c r="T11" i="54"/>
  <c r="T13" i="54"/>
  <c r="T26" i="54" s="1"/>
  <c r="T41" i="54" s="1"/>
  <c r="T147" i="54" s="1"/>
  <c r="T148" i="54" s="1"/>
  <c r="T12" i="54"/>
  <c r="T25" i="54" s="1"/>
  <c r="T15" i="54"/>
  <c r="T28" i="54" s="1"/>
  <c r="M183" i="28"/>
  <c r="M184" i="28" s="1"/>
  <c r="M185" i="28"/>
  <c r="M188" i="28" s="1"/>
  <c r="Q246" i="38"/>
  <c r="Q77" i="38"/>
  <c r="Q101" i="38"/>
  <c r="Q44" i="38"/>
  <c r="Q288" i="38" s="1"/>
  <c r="Q93" i="38"/>
  <c r="Q69" i="38"/>
  <c r="Q70" i="38" s="1"/>
  <c r="T134" i="42"/>
  <c r="T150" i="42"/>
  <c r="T158" i="42"/>
  <c r="T142" i="42"/>
  <c r="Q31" i="19"/>
  <c r="Q211" i="19"/>
  <c r="P167" i="29"/>
  <c r="P168" i="29" s="1"/>
  <c r="P144" i="29"/>
  <c r="P145" i="29" s="1"/>
  <c r="S192" i="42"/>
  <c r="S189" i="42"/>
  <c r="S193" i="42" s="1"/>
  <c r="S191" i="42"/>
  <c r="S195" i="42" s="1"/>
  <c r="S190" i="42"/>
  <c r="S194" i="42" s="1"/>
  <c r="R153" i="38"/>
  <c r="R157" i="38" s="1"/>
  <c r="R152" i="38"/>
  <c r="R156" i="38" s="1"/>
  <c r="R154" i="38"/>
  <c r="S78" i="36" s="1"/>
  <c r="R151" i="38"/>
  <c r="R155" i="38" s="1"/>
  <c r="U14" i="48"/>
  <c r="U12" i="48"/>
  <c r="U15" i="48"/>
  <c r="U13" i="48"/>
  <c r="U11" i="48"/>
  <c r="U13" i="20"/>
  <c r="U15" i="20"/>
  <c r="U12" i="20"/>
  <c r="U11" i="20"/>
  <c r="U14" i="20"/>
  <c r="U55" i="15"/>
  <c r="T82" i="29"/>
  <c r="U55" i="16" s="1"/>
  <c r="Q33" i="28"/>
  <c r="Q34" i="28"/>
  <c r="N300" i="42"/>
  <c r="N299" i="42"/>
  <c r="Q68" i="15"/>
  <c r="S16" i="19"/>
  <c r="S24" i="19"/>
  <c r="S162" i="42"/>
  <c r="S160" i="42"/>
  <c r="S164" i="42" s="1"/>
  <c r="S161" i="42"/>
  <c r="S165" i="42" s="1"/>
  <c r="S159" i="42"/>
  <c r="S163" i="42" s="1"/>
  <c r="Q181" i="28"/>
  <c r="Q182" i="28" s="1"/>
  <c r="Q158" i="28"/>
  <c r="L170" i="28"/>
  <c r="L169" i="28"/>
  <c r="L173" i="28" s="1"/>
  <c r="S188" i="38"/>
  <c r="S204" i="38"/>
  <c r="S196" i="38"/>
  <c r="S24" i="54"/>
  <c r="S29" i="54" s="1"/>
  <c r="S16" i="54"/>
  <c r="P243" i="38"/>
  <c r="O176" i="28"/>
  <c r="O178" i="28"/>
  <c r="O174" i="28"/>
  <c r="O177" i="28"/>
  <c r="O175" i="28"/>
  <c r="O179" i="28"/>
  <c r="L180" i="29"/>
  <c r="L187" i="29" s="1"/>
  <c r="S29" i="29"/>
  <c r="S42" i="29"/>
  <c r="N169" i="29"/>
  <c r="N170" i="29" s="1"/>
  <c r="N171" i="29"/>
  <c r="N174" i="29" s="1"/>
  <c r="R191" i="38"/>
  <c r="R195" i="38" s="1"/>
  <c r="R190" i="38"/>
  <c r="R194" i="38" s="1"/>
  <c r="R189" i="38"/>
  <c r="R193" i="38" s="1"/>
  <c r="T16" i="42"/>
  <c r="T244" i="42" s="1"/>
  <c r="T24" i="42"/>
  <c r="R39" i="38"/>
  <c r="R29" i="38"/>
  <c r="S205" i="42"/>
  <c r="S209" i="42" s="1"/>
  <c r="S207" i="42"/>
  <c r="S211" i="42" s="1"/>
  <c r="S208" i="42"/>
  <c r="S206" i="42"/>
  <c r="S210" i="42" s="1"/>
  <c r="R160" i="38"/>
  <c r="R164" i="38" s="1"/>
  <c r="R162" i="38"/>
  <c r="S108" i="36" s="1"/>
  <c r="R159" i="38"/>
  <c r="R163" i="38" s="1"/>
  <c r="R161" i="38"/>
  <c r="R165" i="38" s="1"/>
  <c r="P160" i="28"/>
  <c r="P159" i="28"/>
  <c r="P157" i="28"/>
  <c r="U58" i="15"/>
  <c r="U64" i="15"/>
  <c r="U48" i="15"/>
  <c r="U45" i="15"/>
  <c r="T74" i="29"/>
  <c r="U45" i="16" s="1"/>
  <c r="T71" i="29"/>
  <c r="U48" i="16" s="1"/>
  <c r="T64" i="29"/>
  <c r="T68" i="29"/>
  <c r="T67" i="29"/>
  <c r="T73" i="29"/>
  <c r="U58" i="16" s="1"/>
  <c r="T75" i="29"/>
  <c r="U64" i="16" s="1"/>
  <c r="T66" i="29"/>
  <c r="T72" i="29"/>
  <c r="T65" i="29"/>
  <c r="T63" i="29"/>
  <c r="T62" i="29" s="1"/>
  <c r="N136" i="29"/>
  <c r="N138" i="29"/>
  <c r="N140" i="29"/>
  <c r="N137" i="29"/>
  <c r="N139" i="29"/>
  <c r="N141" i="29"/>
  <c r="L193" i="28"/>
  <c r="L342" i="42"/>
  <c r="L337" i="42"/>
  <c r="S146" i="42"/>
  <c r="S144" i="42"/>
  <c r="S148" i="42" s="1"/>
  <c r="S145" i="42"/>
  <c r="S149" i="42" s="1"/>
  <c r="S143" i="42"/>
  <c r="S147" i="42" s="1"/>
  <c r="Q114" i="28"/>
  <c r="R67" i="15"/>
  <c r="R46" i="15"/>
  <c r="Q243" i="42"/>
  <c r="T16" i="29"/>
  <c r="T24" i="29"/>
  <c r="M325" i="42"/>
  <c r="K69" i="15"/>
  <c r="J205" i="28"/>
  <c r="J210" i="28"/>
  <c r="O280" i="42"/>
  <c r="O281" i="42" s="1"/>
  <c r="P247" i="42"/>
  <c r="O161" i="28"/>
  <c r="O164" i="28"/>
  <c r="O163" i="28"/>
  <c r="O162" i="28"/>
  <c r="R31" i="53"/>
  <c r="R194" i="53"/>
  <c r="N303" i="38"/>
  <c r="N315" i="38" s="1"/>
  <c r="N304" i="38"/>
  <c r="AQ125" i="36"/>
  <c r="J343" i="42"/>
  <c r="AQ126" i="36" s="1"/>
  <c r="P34" i="19"/>
  <c r="P33" i="19"/>
  <c r="R47" i="29"/>
  <c r="R142" i="29" s="1"/>
  <c r="R208" i="38"/>
  <c r="R205" i="38"/>
  <c r="R209" i="38" s="1"/>
  <c r="R207" i="38"/>
  <c r="R211" i="38" s="1"/>
  <c r="R206" i="38"/>
  <c r="R210" i="38" s="1"/>
  <c r="U13" i="42"/>
  <c r="U26" i="42" s="1"/>
  <c r="U41" i="42" s="1"/>
  <c r="U219" i="42" s="1"/>
  <c r="U15" i="42"/>
  <c r="U28" i="42" s="1"/>
  <c r="U43" i="42" s="1"/>
  <c r="U234" i="42" s="1"/>
  <c r="U14" i="42"/>
  <c r="U27" i="42" s="1"/>
  <c r="U42" i="42" s="1"/>
  <c r="U11" i="42"/>
  <c r="U12" i="42"/>
  <c r="U25" i="42" s="1"/>
  <c r="U40" i="42" s="1"/>
  <c r="O297" i="42"/>
  <c r="O298" i="42"/>
  <c r="S198" i="42"/>
  <c r="S202" i="42" s="1"/>
  <c r="S197" i="42"/>
  <c r="S201" i="42" s="1"/>
  <c r="S199" i="42"/>
  <c r="S203" i="42" s="1"/>
  <c r="S200" i="42"/>
  <c r="R136" i="38"/>
  <c r="R135" i="38"/>
  <c r="R137" i="38"/>
  <c r="T14" i="46"/>
  <c r="T13" i="46"/>
  <c r="T15" i="46"/>
  <c r="T12" i="46"/>
  <c r="T11" i="46"/>
  <c r="S39" i="42"/>
  <c r="S29" i="42"/>
  <c r="O296" i="38"/>
  <c r="O294" i="38"/>
  <c r="O293" i="38"/>
  <c r="O295" i="38"/>
  <c r="U11" i="28"/>
  <c r="U14" i="28"/>
  <c r="U27" i="28" s="1"/>
  <c r="U15" i="28"/>
  <c r="U28" i="28" s="1"/>
  <c r="U13" i="28"/>
  <c r="U26" i="28" s="1"/>
  <c r="U44" i="28" s="1"/>
  <c r="U12" i="28"/>
  <c r="U25" i="28" s="1"/>
  <c r="U43" i="28" s="1"/>
  <c r="P101" i="29"/>
  <c r="O134" i="29"/>
  <c r="O135" i="29" s="1"/>
  <c r="L302" i="38"/>
  <c r="L301" i="38"/>
  <c r="L305" i="38" s="1"/>
  <c r="S153" i="42"/>
  <c r="S157" i="42" s="1"/>
  <c r="S151" i="42"/>
  <c r="S155" i="42" s="1"/>
  <c r="S154" i="42"/>
  <c r="S152" i="42"/>
  <c r="S156" i="42" s="1"/>
  <c r="M302" i="42"/>
  <c r="M301" i="42"/>
  <c r="M305" i="42" s="1"/>
  <c r="Q104" i="42"/>
  <c r="Q108" i="42" s="1"/>
  <c r="Q105" i="42"/>
  <c r="Q103" i="42"/>
  <c r="Q107" i="42" s="1"/>
  <c r="Q102" i="42"/>
  <c r="Q106" i="42" s="1"/>
  <c r="Q77" i="16"/>
  <c r="Q68" i="16"/>
  <c r="T46" i="29"/>
  <c r="N282" i="42"/>
  <c r="N283" i="42"/>
  <c r="N287" i="42"/>
  <c r="N286" i="42"/>
  <c r="N284" i="42"/>
  <c r="N285" i="42"/>
  <c r="R31" i="29"/>
  <c r="R132" i="29"/>
  <c r="R197" i="38"/>
  <c r="R201" i="38" s="1"/>
  <c r="R199" i="38"/>
  <c r="R203" i="38" s="1"/>
  <c r="R198" i="38"/>
  <c r="R202" i="38" s="1"/>
  <c r="R200" i="38"/>
  <c r="S100" i="36" s="1"/>
  <c r="T204" i="42"/>
  <c r="T188" i="42"/>
  <c r="T196" i="42"/>
  <c r="P194" i="29"/>
  <c r="P193" i="29"/>
  <c r="H160" i="19"/>
  <c r="H163" i="19"/>
  <c r="H161" i="19"/>
  <c r="H162" i="19"/>
  <c r="I199" i="20"/>
  <c r="I200" i="20"/>
  <c r="I202" i="20"/>
  <c r="I201" i="20"/>
  <c r="I203" i="20"/>
  <c r="I164" i="19" s="1"/>
  <c r="J123" i="12"/>
  <c r="I157" i="19"/>
  <c r="I155" i="19"/>
  <c r="H29" i="20"/>
  <c r="I24" i="20"/>
  <c r="I219" i="20"/>
  <c r="I25" i="20"/>
  <c r="H154" i="19"/>
  <c r="J26" i="20"/>
  <c r="J44" i="20" s="1"/>
  <c r="J198" i="20" s="1"/>
  <c r="J159" i="19" s="1"/>
  <c r="K123" i="14" s="1"/>
  <c r="G253" i="20"/>
  <c r="G31" i="20"/>
  <c r="J28" i="20"/>
  <c r="I27" i="20"/>
  <c r="T85" i="29" l="1"/>
  <c r="S65" i="15"/>
  <c r="AY78" i="36"/>
  <c r="U49" i="16"/>
  <c r="J71" i="15"/>
  <c r="AY99" i="36"/>
  <c r="BA60" i="51"/>
  <c r="K71" i="15"/>
  <c r="U49" i="15"/>
  <c r="AY108" i="36"/>
  <c r="AY100" i="36"/>
  <c r="Q77" i="15"/>
  <c r="N318" i="42"/>
  <c r="N319" i="42" s="1"/>
  <c r="N321" i="42" s="1"/>
  <c r="R89" i="29"/>
  <c r="S65" i="16"/>
  <c r="L189" i="29"/>
  <c r="M70" i="16" s="1"/>
  <c r="R88" i="29"/>
  <c r="R243" i="42"/>
  <c r="Q311" i="42"/>
  <c r="Q308" i="42"/>
  <c r="Q307" i="42"/>
  <c r="Q310" i="42"/>
  <c r="Q306" i="42"/>
  <c r="Q309" i="42"/>
  <c r="M69" i="16"/>
  <c r="P310" i="38"/>
  <c r="P308" i="38"/>
  <c r="P306" i="38"/>
  <c r="P307" i="38"/>
  <c r="P311" i="38"/>
  <c r="P309" i="38"/>
  <c r="U61" i="16"/>
  <c r="T84" i="29"/>
  <c r="U16" i="28"/>
  <c r="U115" i="28" s="1"/>
  <c r="U24" i="28"/>
  <c r="T16" i="46"/>
  <c r="T272" i="46" s="1"/>
  <c r="U134" i="42"/>
  <c r="U142" i="42"/>
  <c r="U150" i="42"/>
  <c r="U158" i="42"/>
  <c r="K72" i="15"/>
  <c r="J211" i="28"/>
  <c r="K73" i="15" s="1"/>
  <c r="L194" i="28"/>
  <c r="L201" i="28" s="1"/>
  <c r="P164" i="28"/>
  <c r="P161" i="28"/>
  <c r="P163" i="28"/>
  <c r="P162" i="28"/>
  <c r="R214" i="28"/>
  <c r="Q148" i="28"/>
  <c r="Q149" i="28" s="1"/>
  <c r="J72" i="15"/>
  <c r="I211" i="28"/>
  <c r="J73" i="15" s="1"/>
  <c r="R290" i="42"/>
  <c r="R291" i="42" s="1"/>
  <c r="R313" i="42"/>
  <c r="R314" i="42" s="1"/>
  <c r="N325" i="42"/>
  <c r="N326" i="42" s="1"/>
  <c r="N335" i="42" s="1"/>
  <c r="R68" i="16"/>
  <c r="R77" i="16"/>
  <c r="T237" i="38"/>
  <c r="T241" i="38" s="1"/>
  <c r="T236" i="38"/>
  <c r="T240" i="38" s="1"/>
  <c r="T235" i="38"/>
  <c r="T239" i="38" s="1"/>
  <c r="M186" i="28"/>
  <c r="M187" i="28" s="1"/>
  <c r="M189" i="28" s="1"/>
  <c r="N183" i="28"/>
  <c r="N184" i="28" s="1"/>
  <c r="N185" i="28"/>
  <c r="N188" i="28" s="1"/>
  <c r="N156" i="29"/>
  <c r="N155" i="29"/>
  <c r="N159" i="29" s="1"/>
  <c r="S146" i="38"/>
  <c r="T99" i="36" s="1"/>
  <c r="S145" i="38"/>
  <c r="S149" i="38" s="1"/>
  <c r="S143" i="38"/>
  <c r="S147" i="38" s="1"/>
  <c r="S144" i="38"/>
  <c r="S148" i="38" s="1"/>
  <c r="V15" i="28"/>
  <c r="V28" i="28" s="1"/>
  <c r="V11" i="28"/>
  <c r="V13" i="28"/>
  <c r="V26" i="28" s="1"/>
  <c r="V44" i="28" s="1"/>
  <c r="V14" i="28"/>
  <c r="V27" i="28" s="1"/>
  <c r="V12" i="28"/>
  <c r="V25" i="28" s="1"/>
  <c r="V43" i="28" s="1"/>
  <c r="U16" i="42"/>
  <c r="U244" i="42" s="1"/>
  <c r="U24" i="42"/>
  <c r="M326" i="42"/>
  <c r="M333" i="42" s="1"/>
  <c r="P161" i="29"/>
  <c r="P163" i="29"/>
  <c r="P165" i="29"/>
  <c r="P160" i="29"/>
  <c r="P162" i="29"/>
  <c r="P164" i="29"/>
  <c r="Q34" i="19"/>
  <c r="Q33" i="19"/>
  <c r="Q289" i="38"/>
  <c r="Q292" i="38"/>
  <c r="P155" i="28"/>
  <c r="P153" i="28"/>
  <c r="P150" i="28"/>
  <c r="P154" i="28"/>
  <c r="P152" i="28"/>
  <c r="P151" i="28"/>
  <c r="V15" i="29"/>
  <c r="V28" i="29" s="1"/>
  <c r="V14" i="29"/>
  <c r="V27" i="29" s="1"/>
  <c r="V11" i="29"/>
  <c r="V12" i="29"/>
  <c r="V25" i="29" s="1"/>
  <c r="V43" i="29" s="1"/>
  <c r="V13" i="29"/>
  <c r="V26" i="29" s="1"/>
  <c r="V44" i="29" s="1"/>
  <c r="S67" i="15"/>
  <c r="S46" i="15"/>
  <c r="T16" i="38"/>
  <c r="T244" i="38" s="1"/>
  <c r="T24" i="38"/>
  <c r="S135" i="38"/>
  <c r="S137" i="38"/>
  <c r="S136" i="38"/>
  <c r="U14" i="19"/>
  <c r="U27" i="19" s="1"/>
  <c r="U12" i="19"/>
  <c r="U25" i="19" s="1"/>
  <c r="U15" i="19"/>
  <c r="U28" i="19" s="1"/>
  <c r="U11" i="19"/>
  <c r="U13" i="19"/>
  <c r="U26" i="19" s="1"/>
  <c r="U44" i="19" s="1"/>
  <c r="T198" i="42"/>
  <c r="T202" i="42" s="1"/>
  <c r="T199" i="42"/>
  <c r="T203" i="42" s="1"/>
  <c r="T200" i="42"/>
  <c r="T197" i="42"/>
  <c r="T201" i="42" s="1"/>
  <c r="R33" i="29"/>
  <c r="R34" i="29"/>
  <c r="O139" i="29"/>
  <c r="O141" i="29"/>
  <c r="O136" i="29"/>
  <c r="O138" i="29"/>
  <c r="O140" i="29"/>
  <c r="O137" i="29"/>
  <c r="O297" i="38"/>
  <c r="O298" i="38"/>
  <c r="U188" i="42"/>
  <c r="U196" i="42"/>
  <c r="U204" i="42"/>
  <c r="R167" i="29"/>
  <c r="R168" i="29" s="1"/>
  <c r="R144" i="29"/>
  <c r="R145" i="29" s="1"/>
  <c r="O165" i="28"/>
  <c r="O166" i="28"/>
  <c r="T29" i="29"/>
  <c r="T42" i="29"/>
  <c r="S194" i="54"/>
  <c r="S31" i="54"/>
  <c r="T143" i="42"/>
  <c r="T147" i="42" s="1"/>
  <c r="T144" i="42"/>
  <c r="T148" i="42" s="1"/>
  <c r="T145" i="42"/>
  <c r="T149" i="42" s="1"/>
  <c r="T146" i="42"/>
  <c r="S67" i="16"/>
  <c r="S46" i="16"/>
  <c r="R181" i="28"/>
  <c r="R182" i="28" s="1"/>
  <c r="R158" i="28"/>
  <c r="U13" i="38"/>
  <c r="U26" i="38" s="1"/>
  <c r="U41" i="38" s="1"/>
  <c r="U219" i="38" s="1"/>
  <c r="U11" i="38"/>
  <c r="U14" i="38"/>
  <c r="U27" i="38" s="1"/>
  <c r="U42" i="38" s="1"/>
  <c r="U15" i="38"/>
  <c r="U28" i="38" s="1"/>
  <c r="U43" i="38" s="1"/>
  <c r="U234" i="38" s="1"/>
  <c r="U12" i="38"/>
  <c r="U25" i="38" s="1"/>
  <c r="U40" i="38" s="1"/>
  <c r="Q160" i="28"/>
  <c r="Q159" i="28"/>
  <c r="Q157" i="28"/>
  <c r="T191" i="42"/>
  <c r="T195" i="42" s="1"/>
  <c r="T192" i="42"/>
  <c r="T189" i="42"/>
  <c r="T193" i="42" s="1"/>
  <c r="T190" i="42"/>
  <c r="T194" i="42" s="1"/>
  <c r="Q101" i="29"/>
  <c r="P134" i="29"/>
  <c r="P135" i="29" s="1"/>
  <c r="U237" i="42"/>
  <c r="U241" i="42" s="1"/>
  <c r="U235" i="42"/>
  <c r="U239" i="42" s="1"/>
  <c r="U238" i="42"/>
  <c r="U236" i="42"/>
  <c r="U240" i="42" s="1"/>
  <c r="R143" i="29"/>
  <c r="R146" i="29"/>
  <c r="O172" i="28"/>
  <c r="O171" i="28"/>
  <c r="N179" i="29"/>
  <c r="T160" i="42"/>
  <c r="T164" i="42" s="1"/>
  <c r="T161" i="42"/>
  <c r="T165" i="42" s="1"/>
  <c r="T162" i="42"/>
  <c r="T159" i="42"/>
  <c r="T163" i="42" s="1"/>
  <c r="U14" i="54"/>
  <c r="U27" i="54" s="1"/>
  <c r="U11" i="54"/>
  <c r="U13" i="54"/>
  <c r="U26" i="54" s="1"/>
  <c r="U41" i="54" s="1"/>
  <c r="U147" i="54" s="1"/>
  <c r="U148" i="54" s="1"/>
  <c r="U15" i="54"/>
  <c r="U28" i="54" s="1"/>
  <c r="U12" i="54"/>
  <c r="U25" i="54" s="1"/>
  <c r="P151" i="29"/>
  <c r="P152" i="29"/>
  <c r="P303" i="42"/>
  <c r="P304" i="42"/>
  <c r="M301" i="38"/>
  <c r="M305" i="38" s="1"/>
  <c r="M302" i="38"/>
  <c r="R96" i="42"/>
  <c r="R100" i="42" s="1"/>
  <c r="R97" i="42"/>
  <c r="R94" i="42"/>
  <c r="R98" i="42" s="1"/>
  <c r="R95" i="42"/>
  <c r="R99" i="42" s="1"/>
  <c r="P294" i="38"/>
  <c r="P295" i="38"/>
  <c r="P296" i="38"/>
  <c r="P293" i="38"/>
  <c r="S59" i="15"/>
  <c r="S66" i="15"/>
  <c r="T188" i="38"/>
  <c r="T204" i="38"/>
  <c r="T196" i="38"/>
  <c r="O154" i="29"/>
  <c r="O153" i="29"/>
  <c r="N167" i="28"/>
  <c r="N168" i="28"/>
  <c r="U14" i="53"/>
  <c r="U27" i="53" s="1"/>
  <c r="U13" i="53"/>
  <c r="U26" i="53" s="1"/>
  <c r="U41" i="53" s="1"/>
  <c r="U147" i="53" s="1"/>
  <c r="U148" i="53" s="1"/>
  <c r="V60" i="51" s="1"/>
  <c r="U12" i="53"/>
  <c r="U25" i="53" s="1"/>
  <c r="U15" i="53"/>
  <c r="U28" i="53" s="1"/>
  <c r="U11" i="53"/>
  <c r="T205" i="42"/>
  <c r="T209" i="42" s="1"/>
  <c r="T208" i="42"/>
  <c r="T206" i="42"/>
  <c r="T210" i="42" s="1"/>
  <c r="T207" i="42"/>
  <c r="T211" i="42" s="1"/>
  <c r="V48" i="15"/>
  <c r="U70" i="29"/>
  <c r="V45" i="15"/>
  <c r="U66" i="29"/>
  <c r="U74" i="29"/>
  <c r="V45" i="16" s="1"/>
  <c r="U71" i="29"/>
  <c r="V48" i="16" s="1"/>
  <c r="U65" i="29"/>
  <c r="U72" i="29"/>
  <c r="U73" i="29"/>
  <c r="V58" i="16" s="1"/>
  <c r="U75" i="29"/>
  <c r="V64" i="16" s="1"/>
  <c r="U64" i="29"/>
  <c r="U67" i="29"/>
  <c r="V58" i="15"/>
  <c r="U68" i="29"/>
  <c r="U63" i="29"/>
  <c r="U62" i="29" s="1"/>
  <c r="V64" i="15"/>
  <c r="U220" i="42"/>
  <c r="U224" i="42" s="1"/>
  <c r="U221" i="42"/>
  <c r="U225" i="42" s="1"/>
  <c r="U222" i="42"/>
  <c r="U226" i="42" s="1"/>
  <c r="U223" i="42"/>
  <c r="R278" i="38"/>
  <c r="R31" i="38"/>
  <c r="N302" i="42"/>
  <c r="N301" i="42"/>
  <c r="N305" i="42" s="1"/>
  <c r="T154" i="42"/>
  <c r="T151" i="42"/>
  <c r="T155" i="42" s="1"/>
  <c r="T152" i="42"/>
  <c r="T156" i="42" s="1"/>
  <c r="T153" i="42"/>
  <c r="T157" i="42" s="1"/>
  <c r="Q290" i="38"/>
  <c r="Q291" i="38" s="1"/>
  <c r="Q313" i="38"/>
  <c r="T24" i="54"/>
  <c r="T29" i="54" s="1"/>
  <c r="T16" i="54"/>
  <c r="O169" i="29"/>
  <c r="O170" i="29" s="1"/>
  <c r="O171" i="29"/>
  <c r="O174" i="29" s="1"/>
  <c r="O315" i="42"/>
  <c r="O316" i="42" s="1"/>
  <c r="O317" i="42"/>
  <c r="O320" i="42" s="1"/>
  <c r="P297" i="42"/>
  <c r="P298" i="42"/>
  <c r="Q149" i="29"/>
  <c r="Q150" i="29"/>
  <c r="Q148" i="29"/>
  <c r="Q147" i="29"/>
  <c r="R33" i="28"/>
  <c r="R34" i="28"/>
  <c r="R80" i="42"/>
  <c r="R84" i="42" s="1"/>
  <c r="R81" i="42"/>
  <c r="R79" i="42"/>
  <c r="R83" i="42" s="1"/>
  <c r="R78" i="42"/>
  <c r="R82" i="42" s="1"/>
  <c r="L69" i="16"/>
  <c r="K196" i="29"/>
  <c r="S66" i="16"/>
  <c r="S59" i="16"/>
  <c r="Q194" i="29"/>
  <c r="Q193" i="29"/>
  <c r="T134" i="38"/>
  <c r="T158" i="38"/>
  <c r="T142" i="38"/>
  <c r="T150" i="38"/>
  <c r="Q165" i="29"/>
  <c r="Q161" i="29"/>
  <c r="Q163" i="29"/>
  <c r="Q160" i="29"/>
  <c r="Q162" i="29"/>
  <c r="Q164" i="29"/>
  <c r="T61" i="16"/>
  <c r="S84" i="29"/>
  <c r="T24" i="19"/>
  <c r="T16" i="19"/>
  <c r="V55" i="15"/>
  <c r="U80" i="29"/>
  <c r="U79" i="29" s="1"/>
  <c r="O304" i="38"/>
  <c r="O303" i="38"/>
  <c r="O315" i="38" s="1"/>
  <c r="U13" i="46"/>
  <c r="U15" i="46"/>
  <c r="U14" i="46"/>
  <c r="U11" i="46"/>
  <c r="U12" i="46"/>
  <c r="O299" i="42"/>
  <c r="O300" i="42"/>
  <c r="R246" i="38"/>
  <c r="R44" i="38"/>
  <c r="R288" i="38" s="1"/>
  <c r="R77" i="38"/>
  <c r="R101" i="38"/>
  <c r="R69" i="38"/>
  <c r="R70" i="38" s="1"/>
  <c r="R93" i="38"/>
  <c r="S47" i="29"/>
  <c r="S142" i="29" s="1"/>
  <c r="S197" i="38"/>
  <c r="S201" i="38" s="1"/>
  <c r="S200" i="38"/>
  <c r="T100" i="36" s="1"/>
  <c r="S198" i="38"/>
  <c r="S202" i="38" s="1"/>
  <c r="S199" i="38"/>
  <c r="S203" i="38" s="1"/>
  <c r="T138" i="42"/>
  <c r="T135" i="42"/>
  <c r="T139" i="42" s="1"/>
  <c r="T136" i="42"/>
  <c r="T140" i="42" s="1"/>
  <c r="T137" i="42"/>
  <c r="T141" i="42" s="1"/>
  <c r="P158" i="29"/>
  <c r="P157" i="29"/>
  <c r="P169" i="29" s="1"/>
  <c r="P170" i="29" s="1"/>
  <c r="L69" i="15"/>
  <c r="K205" i="28"/>
  <c r="K210" i="28"/>
  <c r="U16" i="29"/>
  <c r="U24" i="29"/>
  <c r="R73" i="42"/>
  <c r="R71" i="42"/>
  <c r="R75" i="42" s="1"/>
  <c r="R72" i="42"/>
  <c r="R76" i="42" s="1"/>
  <c r="R70" i="42"/>
  <c r="R74" i="42" s="1"/>
  <c r="N172" i="29"/>
  <c r="N173" i="29" s="1"/>
  <c r="N175" i="29" s="1"/>
  <c r="U46" i="28"/>
  <c r="S31" i="42"/>
  <c r="S278" i="42"/>
  <c r="P280" i="42"/>
  <c r="P281" i="42" s="1"/>
  <c r="Q247" i="42"/>
  <c r="R68" i="15"/>
  <c r="AS125" i="36"/>
  <c r="L343" i="42"/>
  <c r="AS126" i="36" s="1"/>
  <c r="T39" i="42"/>
  <c r="T29" i="42"/>
  <c r="S132" i="29"/>
  <c r="S31" i="29"/>
  <c r="S207" i="38"/>
  <c r="S211" i="38" s="1"/>
  <c r="S205" i="38"/>
  <c r="S209" i="38" s="1"/>
  <c r="S206" i="38"/>
  <c r="S210" i="38" s="1"/>
  <c r="S208" i="38"/>
  <c r="S29" i="19"/>
  <c r="V14" i="48"/>
  <c r="V13" i="48"/>
  <c r="V15" i="48"/>
  <c r="V12" i="48"/>
  <c r="V11" i="48"/>
  <c r="Q243" i="38"/>
  <c r="M193" i="28"/>
  <c r="S39" i="38"/>
  <c r="S29" i="38"/>
  <c r="S31" i="53"/>
  <c r="S194" i="53"/>
  <c r="U82" i="29"/>
  <c r="V55" i="16" s="1"/>
  <c r="T29" i="28"/>
  <c r="T42" i="28"/>
  <c r="R31" i="19"/>
  <c r="R211" i="19"/>
  <c r="R104" i="42"/>
  <c r="R108" i="42" s="1"/>
  <c r="R102" i="42"/>
  <c r="R106" i="42" s="1"/>
  <c r="R103" i="42"/>
  <c r="R107" i="42" s="1"/>
  <c r="R105" i="42"/>
  <c r="R208" i="28"/>
  <c r="R207" i="28"/>
  <c r="R156" i="28"/>
  <c r="S213" i="28"/>
  <c r="S60" i="29"/>
  <c r="T56" i="16" s="1"/>
  <c r="S50" i="29"/>
  <c r="S54" i="29"/>
  <c r="S52" i="29"/>
  <c r="S49" i="29" s="1"/>
  <c r="S57" i="29"/>
  <c r="T44" i="15"/>
  <c r="S51" i="29"/>
  <c r="S59" i="29"/>
  <c r="T62" i="16" s="1"/>
  <c r="T56" i="15"/>
  <c r="S53" i="29"/>
  <c r="T62" i="15"/>
  <c r="S56" i="29"/>
  <c r="T44" i="16" s="1"/>
  <c r="S47" i="28"/>
  <c r="S58" i="29"/>
  <c r="S100" i="29" s="1"/>
  <c r="N299" i="38"/>
  <c r="N300" i="38"/>
  <c r="S152" i="38"/>
  <c r="S156" i="38" s="1"/>
  <c r="S153" i="38"/>
  <c r="S157" i="38" s="1"/>
  <c r="S154" i="38"/>
  <c r="T78" i="36" s="1"/>
  <c r="S151" i="38"/>
  <c r="S155" i="38" s="1"/>
  <c r="M170" i="28"/>
  <c r="M169" i="28"/>
  <c r="M173" i="28" s="1"/>
  <c r="S246" i="42"/>
  <c r="S44" i="42"/>
  <c r="S288" i="42" s="1"/>
  <c r="S77" i="42"/>
  <c r="S93" i="42"/>
  <c r="S69" i="42"/>
  <c r="S101" i="42"/>
  <c r="V12" i="42"/>
  <c r="V25" i="42" s="1"/>
  <c r="V40" i="42" s="1"/>
  <c r="V14" i="42"/>
  <c r="V27" i="42" s="1"/>
  <c r="V42" i="42" s="1"/>
  <c r="V13" i="42"/>
  <c r="V26" i="42" s="1"/>
  <c r="V41" i="42" s="1"/>
  <c r="V219" i="42" s="1"/>
  <c r="V11" i="42"/>
  <c r="V15" i="42"/>
  <c r="V28" i="42" s="1"/>
  <c r="V43" i="42" s="1"/>
  <c r="V234" i="42" s="1"/>
  <c r="O284" i="42"/>
  <c r="O283" i="42"/>
  <c r="O287" i="42"/>
  <c r="O285" i="42"/>
  <c r="O286" i="42"/>
  <c r="O282" i="42"/>
  <c r="P177" i="28"/>
  <c r="P175" i="28"/>
  <c r="P179" i="28"/>
  <c r="P178" i="28"/>
  <c r="P174" i="28"/>
  <c r="P176" i="28"/>
  <c r="S191" i="38"/>
  <c r="S195" i="38" s="1"/>
  <c r="S189" i="38"/>
  <c r="S193" i="38" s="1"/>
  <c r="S190" i="38"/>
  <c r="S194" i="38" s="1"/>
  <c r="V13" i="20"/>
  <c r="V12" i="20"/>
  <c r="V11" i="20"/>
  <c r="V15" i="20"/>
  <c r="V14" i="20"/>
  <c r="U16" i="48"/>
  <c r="U272" i="48" s="1"/>
  <c r="U46" i="29"/>
  <c r="R292" i="42"/>
  <c r="R289" i="42"/>
  <c r="M180" i="29"/>
  <c r="M189" i="29" s="1"/>
  <c r="N70" i="16" s="1"/>
  <c r="T221" i="38"/>
  <c r="T225" i="38" s="1"/>
  <c r="T220" i="38"/>
  <c r="T224" i="38" s="1"/>
  <c r="T222" i="38"/>
  <c r="T226" i="38" s="1"/>
  <c r="Q294" i="42"/>
  <c r="Q296" i="42"/>
  <c r="Q295" i="42"/>
  <c r="Q293" i="42"/>
  <c r="S146" i="28"/>
  <c r="S31" i="28"/>
  <c r="S162" i="38"/>
  <c r="T108" i="36" s="1"/>
  <c r="S161" i="38"/>
  <c r="S165" i="38" s="1"/>
  <c r="S159" i="38"/>
  <c r="S163" i="38" s="1"/>
  <c r="S160" i="38"/>
  <c r="S164" i="38" s="1"/>
  <c r="T16" i="53"/>
  <c r="T24" i="53"/>
  <c r="T29" i="53" s="1"/>
  <c r="I162" i="19"/>
  <c r="I163" i="19"/>
  <c r="I161" i="19"/>
  <c r="I160" i="19"/>
  <c r="J199" i="20"/>
  <c r="J201" i="20"/>
  <c r="J203" i="20"/>
  <c r="J164" i="19" s="1"/>
  <c r="J200" i="20"/>
  <c r="J202" i="20"/>
  <c r="J16" i="20"/>
  <c r="J219" i="20" s="1"/>
  <c r="I29" i="20"/>
  <c r="H253" i="20"/>
  <c r="H31" i="20"/>
  <c r="J27" i="20"/>
  <c r="J25" i="20"/>
  <c r="I154" i="19"/>
  <c r="K26" i="20"/>
  <c r="K44" i="20" s="1"/>
  <c r="K198" i="20" s="1"/>
  <c r="K159" i="19" s="1"/>
  <c r="L123" i="14" s="1"/>
  <c r="K28" i="20"/>
  <c r="J155" i="19"/>
  <c r="K123" i="12"/>
  <c r="J157" i="19"/>
  <c r="J24" i="20"/>
  <c r="K16" i="20"/>
  <c r="AZ99" i="36" l="1"/>
  <c r="R77" i="15"/>
  <c r="L71" i="15"/>
  <c r="L71" i="16"/>
  <c r="V49" i="15"/>
  <c r="BB60" i="51"/>
  <c r="AZ108" i="36"/>
  <c r="AZ78" i="36"/>
  <c r="T65" i="15"/>
  <c r="AZ100" i="36"/>
  <c r="V49" i="16"/>
  <c r="M71" i="16"/>
  <c r="L196" i="29"/>
  <c r="M72" i="16" s="1"/>
  <c r="V65" i="29"/>
  <c r="S89" i="29"/>
  <c r="T65" i="16"/>
  <c r="O318" i="42"/>
  <c r="O319" i="42" s="1"/>
  <c r="O321" i="42" s="1"/>
  <c r="N186" i="28"/>
  <c r="N187" i="28" s="1"/>
  <c r="N189" i="28" s="1"/>
  <c r="S243" i="42"/>
  <c r="L203" i="28"/>
  <c r="M70" i="15" s="1"/>
  <c r="O172" i="29"/>
  <c r="O173" i="29" s="1"/>
  <c r="O175" i="29" s="1"/>
  <c r="V80" i="29"/>
  <c r="V79" i="29" s="1"/>
  <c r="R243" i="38"/>
  <c r="M335" i="42"/>
  <c r="M342" i="42" s="1"/>
  <c r="Q311" i="38"/>
  <c r="Q309" i="38"/>
  <c r="Q306" i="38"/>
  <c r="Q307" i="38"/>
  <c r="Q308" i="38"/>
  <c r="Q310" i="38"/>
  <c r="T31" i="53"/>
  <c r="T194" i="53"/>
  <c r="R308" i="42"/>
  <c r="R311" i="42"/>
  <c r="R310" i="42"/>
  <c r="R307" i="42"/>
  <c r="R306" i="42"/>
  <c r="R309" i="42"/>
  <c r="V16" i="42"/>
  <c r="V244" i="42" s="1"/>
  <c r="V24" i="42"/>
  <c r="S95" i="42"/>
  <c r="S99" i="42" s="1"/>
  <c r="S97" i="42"/>
  <c r="S94" i="42"/>
  <c r="S98" i="42" s="1"/>
  <c r="S96" i="42"/>
  <c r="S100" i="42" s="1"/>
  <c r="S156" i="28"/>
  <c r="S207" i="28"/>
  <c r="S208" i="28"/>
  <c r="U29" i="29"/>
  <c r="U42" i="29"/>
  <c r="S146" i="29"/>
  <c r="S143" i="29"/>
  <c r="T152" i="38"/>
  <c r="T156" i="38" s="1"/>
  <c r="T153" i="38"/>
  <c r="T157" i="38" s="1"/>
  <c r="T154" i="38"/>
  <c r="U78" i="36" s="1"/>
  <c r="T151" i="38"/>
  <c r="T155" i="38" s="1"/>
  <c r="Q157" i="29"/>
  <c r="Q158" i="29"/>
  <c r="Q176" i="28"/>
  <c r="Q175" i="28"/>
  <c r="Q179" i="28"/>
  <c r="Q177" i="28"/>
  <c r="Q174" i="28"/>
  <c r="Q178" i="28"/>
  <c r="U39" i="42"/>
  <c r="U29" i="42"/>
  <c r="W11" i="28"/>
  <c r="W12" i="28"/>
  <c r="W25" i="28" s="1"/>
  <c r="W43" i="28" s="1"/>
  <c r="W14" i="28"/>
  <c r="W27" i="28" s="1"/>
  <c r="W13" i="28"/>
  <c r="W26" i="28" s="1"/>
  <c r="W44" i="28" s="1"/>
  <c r="W15" i="28"/>
  <c r="W28" i="28" s="1"/>
  <c r="V221" i="42"/>
  <c r="V225" i="42" s="1"/>
  <c r="V222" i="42"/>
  <c r="V226" i="42" s="1"/>
  <c r="V220" i="42"/>
  <c r="V224" i="42" s="1"/>
  <c r="V223" i="42"/>
  <c r="S79" i="42"/>
  <c r="S83" i="42" s="1"/>
  <c r="S81" i="42"/>
  <c r="S80" i="42"/>
  <c r="S84" i="42" s="1"/>
  <c r="S78" i="42"/>
  <c r="S82" i="42" s="1"/>
  <c r="T67" i="16"/>
  <c r="T46" i="16"/>
  <c r="S278" i="38"/>
  <c r="S31" i="38"/>
  <c r="V61" i="15"/>
  <c r="U85" i="29"/>
  <c r="T144" i="38"/>
  <c r="T148" i="38" s="1"/>
  <c r="T143" i="38"/>
  <c r="T147" i="38" s="1"/>
  <c r="T145" i="38"/>
  <c r="T149" i="38" s="1"/>
  <c r="T146" i="38"/>
  <c r="U99" i="36" s="1"/>
  <c r="L72" i="16"/>
  <c r="K197" i="29"/>
  <c r="L73" i="16" s="1"/>
  <c r="Q152" i="29"/>
  <c r="Q151" i="29"/>
  <c r="N169" i="28"/>
  <c r="N173" i="28" s="1"/>
  <c r="N170" i="28"/>
  <c r="P315" i="42"/>
  <c r="P316" i="42" s="1"/>
  <c r="P317" i="42"/>
  <c r="P320" i="42" s="1"/>
  <c r="R148" i="29"/>
  <c r="R150" i="29"/>
  <c r="R147" i="29"/>
  <c r="R149" i="29"/>
  <c r="Q161" i="28"/>
  <c r="Q162" i="28"/>
  <c r="Q163" i="28"/>
  <c r="Q164" i="28"/>
  <c r="R161" i="29"/>
  <c r="R163" i="29"/>
  <c r="R160" i="29"/>
  <c r="R162" i="29"/>
  <c r="R164" i="29"/>
  <c r="R165" i="29"/>
  <c r="V14" i="19"/>
  <c r="V27" i="19" s="1"/>
  <c r="V15" i="19"/>
  <c r="V28" i="19" s="1"/>
  <c r="V11" i="19"/>
  <c r="V12" i="19"/>
  <c r="V25" i="19" s="1"/>
  <c r="V13" i="19"/>
  <c r="V26" i="19" s="1"/>
  <c r="V44" i="19" s="1"/>
  <c r="P165" i="28"/>
  <c r="P166" i="28"/>
  <c r="U160" i="42"/>
  <c r="U164" i="42" s="1"/>
  <c r="U159" i="42"/>
  <c r="U163" i="42" s="1"/>
  <c r="U161" i="42"/>
  <c r="U165" i="42" s="1"/>
  <c r="U162" i="42"/>
  <c r="W13" i="20"/>
  <c r="W12" i="20"/>
  <c r="W11" i="20"/>
  <c r="W14" i="20"/>
  <c r="W15" i="20"/>
  <c r="W12" i="42"/>
  <c r="W25" i="42" s="1"/>
  <c r="W40" i="42" s="1"/>
  <c r="W13" i="42"/>
  <c r="W26" i="42" s="1"/>
  <c r="W41" i="42" s="1"/>
  <c r="W219" i="42" s="1"/>
  <c r="W11" i="42"/>
  <c r="W14" i="42"/>
  <c r="W27" i="42" s="1"/>
  <c r="W42" i="42" s="1"/>
  <c r="W15" i="42"/>
  <c r="W28" i="42" s="1"/>
  <c r="W43" i="42" s="1"/>
  <c r="W234" i="42" s="1"/>
  <c r="S292" i="42"/>
  <c r="S289" i="42"/>
  <c r="S246" i="38"/>
  <c r="S44" i="38"/>
  <c r="S288" i="38" s="1"/>
  <c r="S77" i="38"/>
  <c r="S69" i="38"/>
  <c r="S70" i="38" s="1"/>
  <c r="S101" i="38"/>
  <c r="S93" i="38"/>
  <c r="W11" i="48"/>
  <c r="W14" i="48"/>
  <c r="W15" i="48"/>
  <c r="W13" i="48"/>
  <c r="W12" i="48"/>
  <c r="S33" i="29"/>
  <c r="S34" i="29"/>
  <c r="L72" i="15"/>
  <c r="K211" i="28"/>
  <c r="L73" i="15" s="1"/>
  <c r="O301" i="42"/>
  <c r="O305" i="42" s="1"/>
  <c r="O302" i="42"/>
  <c r="T159" i="38"/>
  <c r="T163" i="38" s="1"/>
  <c r="T162" i="38"/>
  <c r="U108" i="36" s="1"/>
  <c r="T161" i="38"/>
  <c r="T165" i="38" s="1"/>
  <c r="T160" i="38"/>
  <c r="T164" i="38" s="1"/>
  <c r="P299" i="42"/>
  <c r="P300" i="42"/>
  <c r="U16" i="53"/>
  <c r="U24" i="53"/>
  <c r="U29" i="53" s="1"/>
  <c r="O156" i="29"/>
  <c r="O155" i="29"/>
  <c r="O159" i="29" s="1"/>
  <c r="P303" i="38"/>
  <c r="P315" i="38" s="1"/>
  <c r="P304" i="38"/>
  <c r="P154" i="29"/>
  <c r="P153" i="29"/>
  <c r="U134" i="38"/>
  <c r="U158" i="38"/>
  <c r="U150" i="38"/>
  <c r="U142" i="38"/>
  <c r="S68" i="16"/>
  <c r="S77" i="16"/>
  <c r="V82" i="29"/>
  <c r="W55" i="16" s="1"/>
  <c r="W55" i="15"/>
  <c r="U154" i="42"/>
  <c r="U153" i="42"/>
  <c r="U157" i="42" s="1"/>
  <c r="U151" i="42"/>
  <c r="U155" i="42" s="1"/>
  <c r="U152" i="42"/>
  <c r="U156" i="42" s="1"/>
  <c r="S34" i="28"/>
  <c r="S33" i="28"/>
  <c r="V188" i="42"/>
  <c r="V196" i="42"/>
  <c r="V204" i="42"/>
  <c r="S313" i="42"/>
  <c r="S314" i="42" s="1"/>
  <c r="S290" i="42"/>
  <c r="S291" i="42" s="1"/>
  <c r="R160" i="28"/>
  <c r="R157" i="28"/>
  <c r="R159" i="28"/>
  <c r="R34" i="19"/>
  <c r="R33" i="19"/>
  <c r="T135" i="38"/>
  <c r="T136" i="38"/>
  <c r="T137" i="38"/>
  <c r="P298" i="38"/>
  <c r="P297" i="38"/>
  <c r="U235" i="38"/>
  <c r="U239" i="38" s="1"/>
  <c r="U237" i="38"/>
  <c r="U241" i="38" s="1"/>
  <c r="U236" i="38"/>
  <c r="U240" i="38" s="1"/>
  <c r="U205" i="42"/>
  <c r="U209" i="42" s="1"/>
  <c r="U207" i="42"/>
  <c r="U211" i="42" s="1"/>
  <c r="U208" i="42"/>
  <c r="U206" i="42"/>
  <c r="U210" i="42" s="1"/>
  <c r="W11" i="29"/>
  <c r="W13" i="29"/>
  <c r="W26" i="29" s="1"/>
  <c r="W44" i="29" s="1"/>
  <c r="W15" i="29"/>
  <c r="W28" i="29" s="1"/>
  <c r="W14" i="29"/>
  <c r="W27" i="29" s="1"/>
  <c r="W12" i="29"/>
  <c r="W25" i="29" s="1"/>
  <c r="W43" i="29" s="1"/>
  <c r="V16" i="28"/>
  <c r="V115" i="28" s="1"/>
  <c r="V24" i="28"/>
  <c r="N193" i="28"/>
  <c r="P172" i="28"/>
  <c r="P171" i="28"/>
  <c r="U144" i="42"/>
  <c r="U148" i="42" s="1"/>
  <c r="U145" i="42"/>
  <c r="U149" i="42" s="1"/>
  <c r="U143" i="42"/>
  <c r="U147" i="42" s="1"/>
  <c r="U146" i="42"/>
  <c r="M187" i="29"/>
  <c r="V134" i="42"/>
  <c r="V142" i="42"/>
  <c r="V150" i="42"/>
  <c r="V158" i="42"/>
  <c r="T66" i="15"/>
  <c r="T59" i="15"/>
  <c r="T59" i="16"/>
  <c r="T66" i="16"/>
  <c r="T213" i="28"/>
  <c r="T53" i="29"/>
  <c r="T50" i="29"/>
  <c r="T47" i="28"/>
  <c r="T114" i="28" s="1"/>
  <c r="T60" i="29"/>
  <c r="U56" i="16" s="1"/>
  <c r="T57" i="29"/>
  <c r="T54" i="29"/>
  <c r="T59" i="29"/>
  <c r="U62" i="16" s="1"/>
  <c r="T52" i="29"/>
  <c r="T49" i="29" s="1"/>
  <c r="T89" i="29" s="1"/>
  <c r="T58" i="29"/>
  <c r="T100" i="29" s="1"/>
  <c r="U62" i="15"/>
  <c r="T56" i="29"/>
  <c r="U44" i="16" s="1"/>
  <c r="U44" i="15"/>
  <c r="T51" i="29"/>
  <c r="U56" i="15"/>
  <c r="M194" i="28"/>
  <c r="M203" i="28" s="1"/>
  <c r="N70" i="15" s="1"/>
  <c r="T31" i="42"/>
  <c r="T278" i="42"/>
  <c r="R247" i="42"/>
  <c r="Q280" i="42"/>
  <c r="Q281" i="42" s="1"/>
  <c r="U16" i="46"/>
  <c r="U272" i="46" s="1"/>
  <c r="O325" i="42"/>
  <c r="O326" i="42" s="1"/>
  <c r="O333" i="42" s="1"/>
  <c r="T194" i="54"/>
  <c r="T31" i="54"/>
  <c r="T198" i="38"/>
  <c r="T202" i="38" s="1"/>
  <c r="T199" i="38"/>
  <c r="T203" i="38" s="1"/>
  <c r="T200" i="38"/>
  <c r="U100" i="36" s="1"/>
  <c r="T197" i="38"/>
  <c r="T201" i="38" s="1"/>
  <c r="U196" i="38"/>
  <c r="U188" i="38"/>
  <c r="U204" i="38"/>
  <c r="U197" i="42"/>
  <c r="U201" i="42" s="1"/>
  <c r="U199" i="42"/>
  <c r="U203" i="42" s="1"/>
  <c r="U198" i="42"/>
  <c r="U202" i="42" s="1"/>
  <c r="U200" i="42"/>
  <c r="V16" i="29"/>
  <c r="V24" i="29"/>
  <c r="V46" i="28"/>
  <c r="Q154" i="28"/>
  <c r="Q155" i="28"/>
  <c r="Q153" i="28"/>
  <c r="Q150" i="28"/>
  <c r="Q151" i="28"/>
  <c r="Q152" i="28"/>
  <c r="M69" i="15"/>
  <c r="U137" i="42"/>
  <c r="U141" i="42" s="1"/>
  <c r="U135" i="42"/>
  <c r="U139" i="42" s="1"/>
  <c r="U136" i="42"/>
  <c r="U140" i="42" s="1"/>
  <c r="U138" i="42"/>
  <c r="N301" i="38"/>
  <c r="N305" i="38" s="1"/>
  <c r="N302" i="38"/>
  <c r="S181" i="28"/>
  <c r="S182" i="28" s="1"/>
  <c r="S158" i="28"/>
  <c r="T31" i="28"/>
  <c r="T146" i="28"/>
  <c r="S31" i="19"/>
  <c r="S211" i="19"/>
  <c r="T246" i="42"/>
  <c r="T44" i="42"/>
  <c r="T288" i="42" s="1"/>
  <c r="T77" i="42"/>
  <c r="T101" i="42"/>
  <c r="T69" i="42"/>
  <c r="T93" i="42"/>
  <c r="P283" i="42"/>
  <c r="P287" i="42"/>
  <c r="P286" i="42"/>
  <c r="P285" i="42"/>
  <c r="P282" i="42"/>
  <c r="P284" i="42"/>
  <c r="V14" i="46"/>
  <c r="V15" i="46"/>
  <c r="V11" i="46"/>
  <c r="V13" i="46"/>
  <c r="V12" i="46"/>
  <c r="T208" i="38"/>
  <c r="T207" i="38"/>
  <c r="T211" i="38" s="1"/>
  <c r="T206" i="38"/>
  <c r="T210" i="38" s="1"/>
  <c r="T205" i="38"/>
  <c r="T209" i="38" s="1"/>
  <c r="U16" i="54"/>
  <c r="U24" i="54"/>
  <c r="U29" i="54" s="1"/>
  <c r="P139" i="29"/>
  <c r="P141" i="29"/>
  <c r="P136" i="29"/>
  <c r="P138" i="29"/>
  <c r="P140" i="29"/>
  <c r="P137" i="29"/>
  <c r="V15" i="38"/>
  <c r="V28" i="38" s="1"/>
  <c r="V43" i="38" s="1"/>
  <c r="V234" i="38" s="1"/>
  <c r="V14" i="38"/>
  <c r="V27" i="38" s="1"/>
  <c r="V42" i="38" s="1"/>
  <c r="V13" i="38"/>
  <c r="V26" i="38" s="1"/>
  <c r="V41" i="38" s="1"/>
  <c r="V219" i="38" s="1"/>
  <c r="V12" i="38"/>
  <c r="V25" i="38" s="1"/>
  <c r="V40" i="38" s="1"/>
  <c r="V11" i="38"/>
  <c r="T47" i="29"/>
  <c r="T142" i="29" s="1"/>
  <c r="U191" i="42"/>
  <c r="U195" i="42" s="1"/>
  <c r="U190" i="42"/>
  <c r="U194" i="42" s="1"/>
  <c r="U192" i="42"/>
  <c r="U189" i="42"/>
  <c r="U193" i="42" s="1"/>
  <c r="U16" i="19"/>
  <c r="U24" i="19"/>
  <c r="T39" i="38"/>
  <c r="T29" i="38"/>
  <c r="S214" i="28"/>
  <c r="R148" i="28"/>
  <c r="R149" i="28" s="1"/>
  <c r="Q298" i="42"/>
  <c r="Q297" i="42"/>
  <c r="S104" i="42"/>
  <c r="S108" i="42" s="1"/>
  <c r="S103" i="42"/>
  <c r="S107" i="42" s="1"/>
  <c r="S102" i="42"/>
  <c r="S106" i="42" s="1"/>
  <c r="S105" i="42"/>
  <c r="S114" i="28"/>
  <c r="V16" i="48"/>
  <c r="V272" i="48" s="1"/>
  <c r="R292" i="38"/>
  <c r="R289" i="38"/>
  <c r="T29" i="19"/>
  <c r="O179" i="29"/>
  <c r="O180" i="29" s="1"/>
  <c r="O189" i="29" s="1"/>
  <c r="P70" i="16" s="1"/>
  <c r="V11" i="53"/>
  <c r="V12" i="53"/>
  <c r="V25" i="53" s="1"/>
  <c r="V13" i="53"/>
  <c r="V26" i="53" s="1"/>
  <c r="V41" i="53" s="1"/>
  <c r="V147" i="53" s="1"/>
  <c r="V148" i="53" s="1"/>
  <c r="W60" i="51" s="1"/>
  <c r="V14" i="53"/>
  <c r="V27" i="53" s="1"/>
  <c r="V15" i="53"/>
  <c r="V28" i="53" s="1"/>
  <c r="T189" i="38"/>
  <c r="T193" i="38" s="1"/>
  <c r="T191" i="38"/>
  <c r="T195" i="38" s="1"/>
  <c r="T190" i="38"/>
  <c r="T194" i="38" s="1"/>
  <c r="V15" i="54"/>
  <c r="V28" i="54" s="1"/>
  <c r="V12" i="54"/>
  <c r="V25" i="54" s="1"/>
  <c r="V14" i="54"/>
  <c r="V27" i="54" s="1"/>
  <c r="V11" i="54"/>
  <c r="V13" i="54"/>
  <c r="V26" i="54" s="1"/>
  <c r="V41" i="54" s="1"/>
  <c r="V147" i="54" s="1"/>
  <c r="V148" i="54" s="1"/>
  <c r="R101" i="29"/>
  <c r="Q134" i="29"/>
  <c r="Q135" i="29" s="1"/>
  <c r="U16" i="38"/>
  <c r="U244" i="38" s="1"/>
  <c r="U24" i="38"/>
  <c r="P171" i="29"/>
  <c r="P174" i="29" s="1"/>
  <c r="T31" i="29"/>
  <c r="T132" i="29"/>
  <c r="O299" i="38"/>
  <c r="O300" i="38"/>
  <c r="V46" i="29"/>
  <c r="Q294" i="38"/>
  <c r="Q295" i="38"/>
  <c r="Q293" i="38"/>
  <c r="Q296" i="38"/>
  <c r="Q304" i="42"/>
  <c r="Q303" i="42"/>
  <c r="R295" i="42"/>
  <c r="R296" i="42"/>
  <c r="R294" i="42"/>
  <c r="R293" i="42"/>
  <c r="V237" i="42"/>
  <c r="V241" i="42" s="1"/>
  <c r="V235" i="42"/>
  <c r="V239" i="42" s="1"/>
  <c r="V238" i="42"/>
  <c r="V236" i="42"/>
  <c r="V240" i="42" s="1"/>
  <c r="S73" i="42"/>
  <c r="S70" i="42"/>
  <c r="S74" i="42" s="1"/>
  <c r="S71" i="42"/>
  <c r="S75" i="42" s="1"/>
  <c r="S72" i="42"/>
  <c r="S76" i="42" s="1"/>
  <c r="S167" i="29"/>
  <c r="S168" i="29" s="1"/>
  <c r="S144" i="29"/>
  <c r="S145" i="29" s="1"/>
  <c r="T67" i="15"/>
  <c r="T46" i="15"/>
  <c r="S88" i="29"/>
  <c r="R313" i="38"/>
  <c r="R290" i="38"/>
  <c r="R291" i="38" s="1"/>
  <c r="N180" i="29"/>
  <c r="N187" i="29" s="1"/>
  <c r="O183" i="28"/>
  <c r="O184" i="28" s="1"/>
  <c r="O185" i="28"/>
  <c r="O188" i="28" s="1"/>
  <c r="U220" i="38"/>
  <c r="U224" i="38" s="1"/>
  <c r="U221" i="38"/>
  <c r="U225" i="38" s="1"/>
  <c r="U222" i="38"/>
  <c r="U226" i="38" s="1"/>
  <c r="O168" i="28"/>
  <c r="O167" i="28"/>
  <c r="R193" i="29"/>
  <c r="R194" i="29"/>
  <c r="S68" i="15"/>
  <c r="M337" i="42"/>
  <c r="W64" i="15"/>
  <c r="W48" i="15"/>
  <c r="W45" i="15"/>
  <c r="W58" i="15"/>
  <c r="V75" i="29"/>
  <c r="W64" i="16" s="1"/>
  <c r="V73" i="29"/>
  <c r="W58" i="16" s="1"/>
  <c r="V67" i="29"/>
  <c r="V66" i="29"/>
  <c r="V64" i="29"/>
  <c r="V74" i="29"/>
  <c r="W45" i="16" s="1"/>
  <c r="V68" i="29"/>
  <c r="V72" i="29"/>
  <c r="V71" i="29"/>
  <c r="W48" i="16" s="1"/>
  <c r="V63" i="29"/>
  <c r="V62" i="29" s="1"/>
  <c r="V70" i="29"/>
  <c r="N333" i="42"/>
  <c r="U29" i="28"/>
  <c r="U42" i="28"/>
  <c r="J163" i="19"/>
  <c r="J160" i="19"/>
  <c r="J161" i="19"/>
  <c r="J162" i="19"/>
  <c r="K200" i="20"/>
  <c r="K199" i="20"/>
  <c r="K201" i="20"/>
  <c r="K203" i="20"/>
  <c r="K164" i="19" s="1"/>
  <c r="K202" i="20"/>
  <c r="L26" i="20"/>
  <c r="L44" i="20" s="1"/>
  <c r="L198" i="20" s="1"/>
  <c r="L159" i="19" s="1"/>
  <c r="M123" i="14" s="1"/>
  <c r="J29" i="20"/>
  <c r="L28" i="20"/>
  <c r="K24" i="20"/>
  <c r="K219" i="20"/>
  <c r="K25" i="20"/>
  <c r="K157" i="19"/>
  <c r="K155" i="19"/>
  <c r="L123" i="12"/>
  <c r="J154" i="19"/>
  <c r="K27" i="20"/>
  <c r="I253" i="20"/>
  <c r="I31" i="20"/>
  <c r="L197" i="29" l="1"/>
  <c r="M73" i="16" s="1"/>
  <c r="BA108" i="36"/>
  <c r="BA99" i="36"/>
  <c r="S77" i="15"/>
  <c r="U65" i="16"/>
  <c r="BC60" i="51"/>
  <c r="W49" i="16"/>
  <c r="BA100" i="36"/>
  <c r="U65" i="15"/>
  <c r="BA78" i="36"/>
  <c r="W49" i="15"/>
  <c r="P318" i="42"/>
  <c r="P319" i="42" s="1"/>
  <c r="P321" i="42" s="1"/>
  <c r="L205" i="28"/>
  <c r="W63" i="29"/>
  <c r="W62" i="29" s="1"/>
  <c r="W80" i="29"/>
  <c r="W79" i="29" s="1"/>
  <c r="L210" i="28"/>
  <c r="L211" i="28" s="1"/>
  <c r="M73" i="15" s="1"/>
  <c r="M71" i="15"/>
  <c r="W46" i="28"/>
  <c r="X61" i="15" s="1"/>
  <c r="T88" i="29"/>
  <c r="T243" i="42"/>
  <c r="W46" i="29"/>
  <c r="M201" i="28"/>
  <c r="N69" i="15" s="1"/>
  <c r="S243" i="38"/>
  <c r="S308" i="42"/>
  <c r="S309" i="42"/>
  <c r="S306" i="42"/>
  <c r="S310" i="42"/>
  <c r="S311" i="42"/>
  <c r="S307" i="42"/>
  <c r="R308" i="38"/>
  <c r="R311" i="38"/>
  <c r="R309" i="38"/>
  <c r="R306" i="38"/>
  <c r="R310" i="38"/>
  <c r="R307" i="38"/>
  <c r="N337" i="42"/>
  <c r="N342" i="42"/>
  <c r="AT125" i="36"/>
  <c r="M343" i="42"/>
  <c r="AT126" i="36" s="1"/>
  <c r="O170" i="28"/>
  <c r="O169" i="28"/>
  <c r="O173" i="28" s="1"/>
  <c r="P179" i="29"/>
  <c r="V16" i="54"/>
  <c r="V24" i="54"/>
  <c r="V29" i="54" s="1"/>
  <c r="U29" i="19"/>
  <c r="V16" i="38"/>
  <c r="V244" i="38" s="1"/>
  <c r="V24" i="38"/>
  <c r="W12" i="46"/>
  <c r="W11" i="46"/>
  <c r="W14" i="46"/>
  <c r="W15" i="46"/>
  <c r="W13" i="46"/>
  <c r="U190" i="38"/>
  <c r="U194" i="38" s="1"/>
  <c r="U189" i="38"/>
  <c r="U193" i="38" s="1"/>
  <c r="U191" i="38"/>
  <c r="U195" i="38" s="1"/>
  <c r="V144" i="42"/>
  <c r="V148" i="42" s="1"/>
  <c r="V146" i="42"/>
  <c r="V145" i="42"/>
  <c r="V149" i="42" s="1"/>
  <c r="V143" i="42"/>
  <c r="V147" i="42" s="1"/>
  <c r="U153" i="38"/>
  <c r="U157" i="38" s="1"/>
  <c r="U151" i="38"/>
  <c r="U155" i="38" s="1"/>
  <c r="U152" i="38"/>
  <c r="U156" i="38" s="1"/>
  <c r="U154" i="38"/>
  <c r="V78" i="36" s="1"/>
  <c r="X15" i="48"/>
  <c r="X13" i="48"/>
  <c r="X11" i="48"/>
  <c r="X12" i="48"/>
  <c r="X14" i="48"/>
  <c r="W204" i="42"/>
  <c r="W196" i="42"/>
  <c r="W188" i="42"/>
  <c r="Q166" i="28"/>
  <c r="Q165" i="28"/>
  <c r="W16" i="28"/>
  <c r="W115" i="28" s="1"/>
  <c r="W24" i="28"/>
  <c r="S165" i="29"/>
  <c r="S160" i="29"/>
  <c r="S162" i="29"/>
  <c r="S164" i="29"/>
  <c r="S161" i="29"/>
  <c r="S163" i="29"/>
  <c r="Q298" i="38"/>
  <c r="Q297" i="38"/>
  <c r="U29" i="38"/>
  <c r="U39" i="38"/>
  <c r="T31" i="19"/>
  <c r="T211" i="19"/>
  <c r="W12" i="38"/>
  <c r="W25" i="38" s="1"/>
  <c r="W40" i="38" s="1"/>
  <c r="W13" i="38"/>
  <c r="W26" i="38" s="1"/>
  <c r="W41" i="38" s="1"/>
  <c r="W219" i="38" s="1"/>
  <c r="W11" i="38"/>
  <c r="W15" i="38"/>
  <c r="W28" i="38" s="1"/>
  <c r="W43" i="38" s="1"/>
  <c r="W234" i="38" s="1"/>
  <c r="W14" i="38"/>
  <c r="W27" i="38" s="1"/>
  <c r="W42" i="38" s="1"/>
  <c r="S34" i="19"/>
  <c r="S33" i="19"/>
  <c r="V29" i="29"/>
  <c r="V42" i="29"/>
  <c r="U197" i="38"/>
  <c r="U201" i="38" s="1"/>
  <c r="U200" i="38"/>
  <c r="V100" i="36" s="1"/>
  <c r="U198" i="38"/>
  <c r="U202" i="38" s="1"/>
  <c r="U199" i="38"/>
  <c r="U203" i="38" s="1"/>
  <c r="U59" i="15"/>
  <c r="U66" i="15"/>
  <c r="V138" i="42"/>
  <c r="V137" i="42"/>
  <c r="V141" i="42" s="1"/>
  <c r="V135" i="42"/>
  <c r="V139" i="42" s="1"/>
  <c r="V136" i="42"/>
  <c r="V140" i="42" s="1"/>
  <c r="P183" i="28"/>
  <c r="P184" i="28" s="1"/>
  <c r="P185" i="28"/>
  <c r="P299" i="38"/>
  <c r="P300" i="38"/>
  <c r="V208" i="42"/>
  <c r="V205" i="42"/>
  <c r="V209" i="42" s="1"/>
  <c r="V207" i="42"/>
  <c r="V211" i="42" s="1"/>
  <c r="V206" i="42"/>
  <c r="V210" i="42" s="1"/>
  <c r="U162" i="38"/>
  <c r="V108" i="36" s="1"/>
  <c r="U160" i="38"/>
  <c r="U164" i="38" s="1"/>
  <c r="U159" i="38"/>
  <c r="U163" i="38" s="1"/>
  <c r="U161" i="38"/>
  <c r="U165" i="38" s="1"/>
  <c r="U194" i="53"/>
  <c r="U31" i="53"/>
  <c r="W16" i="42"/>
  <c r="W244" i="42" s="1"/>
  <c r="W24" i="42"/>
  <c r="P325" i="42"/>
  <c r="U31" i="42"/>
  <c r="U278" i="42"/>
  <c r="S160" i="28"/>
  <c r="S159" i="28"/>
  <c r="S157" i="28"/>
  <c r="O193" i="28"/>
  <c r="O194" i="28" s="1"/>
  <c r="O201" i="28" s="1"/>
  <c r="Q300" i="42"/>
  <c r="Q299" i="42"/>
  <c r="V134" i="38"/>
  <c r="V142" i="38"/>
  <c r="V150" i="38"/>
  <c r="V158" i="38"/>
  <c r="T96" i="42"/>
  <c r="T100" i="42" s="1"/>
  <c r="T95" i="42"/>
  <c r="T99" i="42" s="1"/>
  <c r="T97" i="42"/>
  <c r="T94" i="42"/>
  <c r="T98" i="42" s="1"/>
  <c r="W16" i="29"/>
  <c r="W24" i="29"/>
  <c r="V198" i="42"/>
  <c r="V202" i="42" s="1"/>
  <c r="V199" i="42"/>
  <c r="V203" i="42" s="1"/>
  <c r="V197" i="42"/>
  <c r="V201" i="42" s="1"/>
  <c r="V200" i="42"/>
  <c r="U136" i="38"/>
  <c r="U137" i="38"/>
  <c r="U135" i="38"/>
  <c r="S292" i="38"/>
  <c r="S289" i="38"/>
  <c r="W220" i="42"/>
  <c r="W224" i="42" s="1"/>
  <c r="W221" i="42"/>
  <c r="W225" i="42" s="1"/>
  <c r="W222" i="42"/>
  <c r="W226" i="42" s="1"/>
  <c r="W223" i="42"/>
  <c r="U93" i="42"/>
  <c r="U101" i="42"/>
  <c r="U77" i="42"/>
  <c r="U69" i="42"/>
  <c r="U246" i="42"/>
  <c r="U44" i="42"/>
  <c r="U288" i="42" s="1"/>
  <c r="S150" i="29"/>
  <c r="S148" i="29"/>
  <c r="S149" i="29"/>
  <c r="S147" i="29"/>
  <c r="V220" i="38"/>
  <c r="V224" i="38" s="1"/>
  <c r="V221" i="38"/>
  <c r="V225" i="38" s="1"/>
  <c r="V222" i="38"/>
  <c r="V226" i="38" s="1"/>
  <c r="T70" i="42"/>
  <c r="T74" i="42" s="1"/>
  <c r="T72" i="42"/>
  <c r="T76" i="42" s="1"/>
  <c r="T73" i="42"/>
  <c r="T71" i="42"/>
  <c r="T75" i="42" s="1"/>
  <c r="T33" i="28"/>
  <c r="T34" i="28"/>
  <c r="U67" i="15"/>
  <c r="U46" i="15"/>
  <c r="U59" i="16"/>
  <c r="U66" i="16"/>
  <c r="N69" i="16"/>
  <c r="M196" i="29"/>
  <c r="V190" i="42"/>
  <c r="V194" i="42" s="1"/>
  <c r="V191" i="42"/>
  <c r="V195" i="42" s="1"/>
  <c r="V192" i="42"/>
  <c r="V189" i="42"/>
  <c r="V193" i="42" s="1"/>
  <c r="P155" i="29"/>
  <c r="P159" i="29" s="1"/>
  <c r="P156" i="29"/>
  <c r="S290" i="38"/>
  <c r="S291" i="38" s="1"/>
  <c r="S313" i="38"/>
  <c r="W134" i="42"/>
  <c r="W150" i="42"/>
  <c r="W158" i="42"/>
  <c r="W142" i="42"/>
  <c r="V24" i="19"/>
  <c r="V16" i="19"/>
  <c r="R151" i="29"/>
  <c r="R152" i="29"/>
  <c r="O186" i="28"/>
  <c r="O187" i="28" s="1"/>
  <c r="O189" i="28" s="1"/>
  <c r="U47" i="29"/>
  <c r="U142" i="29" s="1"/>
  <c r="O69" i="16"/>
  <c r="Q136" i="29"/>
  <c r="Q138" i="29"/>
  <c r="Q140" i="29"/>
  <c r="Q137" i="29"/>
  <c r="Q139" i="29"/>
  <c r="Q141" i="29"/>
  <c r="V16" i="53"/>
  <c r="V24" i="53"/>
  <c r="V29" i="53" s="1"/>
  <c r="V204" i="38"/>
  <c r="V196" i="38"/>
  <c r="V188" i="38"/>
  <c r="U194" i="54"/>
  <c r="U31" i="54"/>
  <c r="T104" i="42"/>
  <c r="T108" i="42" s="1"/>
  <c r="T103" i="42"/>
  <c r="T107" i="42" s="1"/>
  <c r="T105" i="42"/>
  <c r="T102" i="42"/>
  <c r="T106" i="42" s="1"/>
  <c r="M72" i="15"/>
  <c r="Q286" i="42"/>
  <c r="Q283" i="42"/>
  <c r="Q287" i="42"/>
  <c r="Q285" i="42"/>
  <c r="Q282" i="42"/>
  <c r="Q284" i="42"/>
  <c r="U67" i="16"/>
  <c r="U46" i="16"/>
  <c r="T156" i="28"/>
  <c r="T208" i="28"/>
  <c r="T207" i="28"/>
  <c r="N194" i="28"/>
  <c r="N203" i="28" s="1"/>
  <c r="O70" i="15" s="1"/>
  <c r="R179" i="28"/>
  <c r="R178" i="28"/>
  <c r="R175" i="28"/>
  <c r="R177" i="28"/>
  <c r="R176" i="28"/>
  <c r="R174" i="28"/>
  <c r="P302" i="42"/>
  <c r="P301" i="42"/>
  <c r="P305" i="42" s="1"/>
  <c r="W16" i="48"/>
  <c r="W272" i="48" s="1"/>
  <c r="X14" i="42"/>
  <c r="X27" i="42" s="1"/>
  <c r="X42" i="42" s="1"/>
  <c r="X12" i="42"/>
  <c r="X25" i="42" s="1"/>
  <c r="X40" i="42" s="1"/>
  <c r="X15" i="42"/>
  <c r="X28" i="42" s="1"/>
  <c r="X43" i="42" s="1"/>
  <c r="X234" i="42" s="1"/>
  <c r="X13" i="42"/>
  <c r="X26" i="42" s="1"/>
  <c r="X41" i="42" s="1"/>
  <c r="X219" i="42" s="1"/>
  <c r="X11" i="42"/>
  <c r="X13" i="28"/>
  <c r="X26" i="28" s="1"/>
  <c r="X44" i="28" s="1"/>
  <c r="X12" i="28"/>
  <c r="X25" i="28" s="1"/>
  <c r="X43" i="28" s="1"/>
  <c r="X15" i="28"/>
  <c r="X28" i="28" s="1"/>
  <c r="X14" i="28"/>
  <c r="X27" i="28" s="1"/>
  <c r="X11" i="28"/>
  <c r="N189" i="29"/>
  <c r="O70" i="16" s="1"/>
  <c r="U132" i="29"/>
  <c r="U31" i="29"/>
  <c r="R303" i="42"/>
  <c r="R304" i="42"/>
  <c r="O302" i="38"/>
  <c r="O301" i="38"/>
  <c r="O305" i="38" s="1"/>
  <c r="R134" i="29"/>
  <c r="R135" i="29" s="1"/>
  <c r="S101" i="29"/>
  <c r="R154" i="28"/>
  <c r="R151" i="28"/>
  <c r="R152" i="28"/>
  <c r="R150" i="28"/>
  <c r="R155" i="28"/>
  <c r="R153" i="28"/>
  <c r="V236" i="38"/>
  <c r="V240" i="38" s="1"/>
  <c r="V237" i="38"/>
  <c r="V241" i="38" s="1"/>
  <c r="V235" i="38"/>
  <c r="V239" i="38" s="1"/>
  <c r="T80" i="42"/>
  <c r="T84" i="42" s="1"/>
  <c r="T81" i="42"/>
  <c r="T79" i="42"/>
  <c r="T83" i="42" s="1"/>
  <c r="T78" i="42"/>
  <c r="T82" i="42" s="1"/>
  <c r="W61" i="15"/>
  <c r="V85" i="29"/>
  <c r="R280" i="42"/>
  <c r="R281" i="42" s="1"/>
  <c r="S247" i="42"/>
  <c r="V29" i="28"/>
  <c r="V42" i="28"/>
  <c r="X13" i="20"/>
  <c r="X12" i="20"/>
  <c r="X11" i="20"/>
  <c r="X14" i="20"/>
  <c r="X15" i="20"/>
  <c r="R158" i="29"/>
  <c r="R157" i="29"/>
  <c r="T68" i="16"/>
  <c r="T77" i="16"/>
  <c r="W82" i="29"/>
  <c r="X55" i="16" s="1"/>
  <c r="X55" i="15"/>
  <c r="U213" i="28"/>
  <c r="U57" i="29"/>
  <c r="V56" i="15"/>
  <c r="U59" i="29"/>
  <c r="V62" i="16" s="1"/>
  <c r="V62" i="15"/>
  <c r="U52" i="29"/>
  <c r="U49" i="29" s="1"/>
  <c r="V44" i="15"/>
  <c r="U51" i="29"/>
  <c r="U56" i="29"/>
  <c r="V44" i="16" s="1"/>
  <c r="U47" i="28"/>
  <c r="U114" i="28" s="1"/>
  <c r="U58" i="29"/>
  <c r="U100" i="29" s="1"/>
  <c r="U50" i="29"/>
  <c r="U53" i="29"/>
  <c r="U54" i="29"/>
  <c r="U60" i="29"/>
  <c r="V56" i="16" s="1"/>
  <c r="R298" i="42"/>
  <c r="R297" i="42"/>
  <c r="T214" i="28"/>
  <c r="S148" i="28"/>
  <c r="S149" i="28" s="1"/>
  <c r="T278" i="38"/>
  <c r="T31" i="38"/>
  <c r="T292" i="42"/>
  <c r="T289" i="42"/>
  <c r="T167" i="29"/>
  <c r="T168" i="29" s="1"/>
  <c r="T144" i="29"/>
  <c r="T145" i="29" s="1"/>
  <c r="V162" i="42"/>
  <c r="V160" i="42"/>
  <c r="V164" i="42" s="1"/>
  <c r="V161" i="42"/>
  <c r="V165" i="42" s="1"/>
  <c r="V159" i="42"/>
  <c r="V163" i="42" s="1"/>
  <c r="X14" i="29"/>
  <c r="X27" i="29" s="1"/>
  <c r="X15" i="29"/>
  <c r="X28" i="29" s="1"/>
  <c r="X12" i="29"/>
  <c r="X25" i="29" s="1"/>
  <c r="X43" i="29" s="1"/>
  <c r="X11" i="29"/>
  <c r="X13" i="29"/>
  <c r="X26" i="29" s="1"/>
  <c r="X44" i="29" s="1"/>
  <c r="R164" i="28"/>
  <c r="R161" i="28"/>
  <c r="R163" i="28"/>
  <c r="R162" i="28"/>
  <c r="S193" i="29"/>
  <c r="S194" i="29"/>
  <c r="S294" i="42"/>
  <c r="S296" i="42"/>
  <c r="S295" i="42"/>
  <c r="S293" i="42"/>
  <c r="W11" i="19"/>
  <c r="W15" i="19"/>
  <c r="W28" i="19" s="1"/>
  <c r="W12" i="19"/>
  <c r="W25" i="19" s="1"/>
  <c r="W13" i="19"/>
  <c r="W26" i="19" s="1"/>
  <c r="W44" i="19" s="1"/>
  <c r="W14" i="19"/>
  <c r="W27" i="19" s="1"/>
  <c r="Q169" i="29"/>
  <c r="Q170" i="29" s="1"/>
  <c r="Q171" i="29"/>
  <c r="Q174" i="29" s="1"/>
  <c r="V39" i="42"/>
  <c r="V29" i="42"/>
  <c r="U146" i="28"/>
  <c r="U31" i="28"/>
  <c r="T68" i="15"/>
  <c r="Q315" i="42"/>
  <c r="Q316" i="42" s="1"/>
  <c r="Q317" i="42"/>
  <c r="Q320" i="42" s="1"/>
  <c r="Q304" i="38"/>
  <c r="Q303" i="38"/>
  <c r="Q315" i="38" s="1"/>
  <c r="T33" i="29"/>
  <c r="T34" i="29"/>
  <c r="W11" i="54"/>
  <c r="W13" i="54"/>
  <c r="W26" i="54" s="1"/>
  <c r="W41" i="54" s="1"/>
  <c r="W147" i="54" s="1"/>
  <c r="W148" i="54" s="1"/>
  <c r="W15" i="54"/>
  <c r="W28" i="54" s="1"/>
  <c r="W12" i="54"/>
  <c r="W25" i="54" s="1"/>
  <c r="W14" i="54"/>
  <c r="W27" i="54" s="1"/>
  <c r="W14" i="53"/>
  <c r="W27" i="53" s="1"/>
  <c r="W11" i="53"/>
  <c r="W13" i="53"/>
  <c r="W26" i="53" s="1"/>
  <c r="W41" i="53" s="1"/>
  <c r="W147" i="53" s="1"/>
  <c r="W148" i="53" s="1"/>
  <c r="X60" i="51" s="1"/>
  <c r="W12" i="53"/>
  <c r="W25" i="53" s="1"/>
  <c r="W15" i="53"/>
  <c r="W28" i="53" s="1"/>
  <c r="O187" i="29"/>
  <c r="R295" i="38"/>
  <c r="R296" i="38"/>
  <c r="R293" i="38"/>
  <c r="R294" i="38"/>
  <c r="T246" i="38"/>
  <c r="T77" i="38"/>
  <c r="T69" i="38"/>
  <c r="T70" i="38" s="1"/>
  <c r="T93" i="38"/>
  <c r="T101" i="38"/>
  <c r="T44" i="38"/>
  <c r="T288" i="38" s="1"/>
  <c r="T146" i="29"/>
  <c r="T143" i="29"/>
  <c r="V16" i="46"/>
  <c r="V272" i="46" s="1"/>
  <c r="T290" i="42"/>
  <c r="T291" i="42" s="1"/>
  <c r="T313" i="42"/>
  <c r="T314" i="42" s="1"/>
  <c r="U205" i="38"/>
  <c r="U209" i="38" s="1"/>
  <c r="U208" i="38"/>
  <c r="U207" i="38"/>
  <c r="U211" i="38" s="1"/>
  <c r="U206" i="38"/>
  <c r="U210" i="38" s="1"/>
  <c r="O335" i="42"/>
  <c r="O342" i="42" s="1"/>
  <c r="T181" i="28"/>
  <c r="T182" i="28" s="1"/>
  <c r="T158" i="28"/>
  <c r="V154" i="42"/>
  <c r="V152" i="42"/>
  <c r="V156" i="42" s="1"/>
  <c r="V153" i="42"/>
  <c r="V157" i="42" s="1"/>
  <c r="V151" i="42"/>
  <c r="V155" i="42" s="1"/>
  <c r="P172" i="29"/>
  <c r="P173" i="29" s="1"/>
  <c r="P175" i="29" s="1"/>
  <c r="U145" i="38"/>
  <c r="U149" i="38" s="1"/>
  <c r="U146" i="38"/>
  <c r="V99" i="36" s="1"/>
  <c r="U143" i="38"/>
  <c r="U147" i="38" s="1"/>
  <c r="U144" i="38"/>
  <c r="U148" i="38" s="1"/>
  <c r="W237" i="42"/>
  <c r="W241" i="42" s="1"/>
  <c r="W238" i="42"/>
  <c r="W236" i="42"/>
  <c r="W240" i="42" s="1"/>
  <c r="W235" i="42"/>
  <c r="W239" i="42" s="1"/>
  <c r="P167" i="28"/>
  <c r="P168" i="28"/>
  <c r="Q171" i="28"/>
  <c r="Q172" i="28"/>
  <c r="Q154" i="29"/>
  <c r="Q153" i="29"/>
  <c r="V61" i="16"/>
  <c r="U84" i="29"/>
  <c r="X58" i="15"/>
  <c r="X64" i="15"/>
  <c r="X48" i="15"/>
  <c r="X45" i="15"/>
  <c r="W73" i="29"/>
  <c r="X58" i="16" s="1"/>
  <c r="W65" i="29"/>
  <c r="W72" i="29"/>
  <c r="W66" i="29"/>
  <c r="W70" i="29"/>
  <c r="W75" i="29"/>
  <c r="X64" i="16" s="1"/>
  <c r="W68" i="29"/>
  <c r="W71" i="29"/>
  <c r="X48" i="16" s="1"/>
  <c r="W67" i="29"/>
  <c r="W74" i="29"/>
  <c r="X45" i="16" s="1"/>
  <c r="W64" i="29"/>
  <c r="K160" i="19"/>
  <c r="K163" i="19"/>
  <c r="K161" i="19"/>
  <c r="K162" i="19"/>
  <c r="L200" i="20"/>
  <c r="L202" i="20"/>
  <c r="L199" i="20"/>
  <c r="L201" i="20"/>
  <c r="L203" i="20"/>
  <c r="L164" i="19" s="1"/>
  <c r="L16" i="20"/>
  <c r="L219" i="20" s="1"/>
  <c r="L27" i="20"/>
  <c r="L24" i="20"/>
  <c r="M28" i="20"/>
  <c r="L155" i="19"/>
  <c r="L157" i="19"/>
  <c r="M123" i="12"/>
  <c r="K154" i="19"/>
  <c r="L25" i="20"/>
  <c r="K29" i="20"/>
  <c r="J253" i="20"/>
  <c r="J31" i="20"/>
  <c r="M26" i="20"/>
  <c r="M44" i="20" s="1"/>
  <c r="M198" i="20" s="1"/>
  <c r="M159" i="19" s="1"/>
  <c r="N123" i="14" s="1"/>
  <c r="X49" i="16" l="1"/>
  <c r="N71" i="16"/>
  <c r="X49" i="15"/>
  <c r="T77" i="15"/>
  <c r="BB100" i="36"/>
  <c r="BD60" i="51"/>
  <c r="BB78" i="36"/>
  <c r="N71" i="15"/>
  <c r="V65" i="15"/>
  <c r="BB99" i="36"/>
  <c r="BB108" i="36"/>
  <c r="T243" i="38"/>
  <c r="W85" i="29"/>
  <c r="X71" i="29"/>
  <c r="Y48" i="16" s="1"/>
  <c r="M210" i="28"/>
  <c r="N72" i="15" s="1"/>
  <c r="M205" i="28"/>
  <c r="U243" i="42"/>
  <c r="N201" i="28"/>
  <c r="O69" i="15" s="1"/>
  <c r="O71" i="16"/>
  <c r="X46" i="29"/>
  <c r="Q172" i="29"/>
  <c r="Q173" i="29" s="1"/>
  <c r="Q175" i="29" s="1"/>
  <c r="T310" i="42"/>
  <c r="T307" i="42"/>
  <c r="T311" i="42"/>
  <c r="T306" i="42"/>
  <c r="T308" i="42"/>
  <c r="T309" i="42"/>
  <c r="S310" i="38"/>
  <c r="S311" i="38"/>
  <c r="S309" i="38"/>
  <c r="S307" i="38"/>
  <c r="S306" i="38"/>
  <c r="S308" i="38"/>
  <c r="P69" i="15"/>
  <c r="Q155" i="29"/>
  <c r="Q159" i="29" s="1"/>
  <c r="Q156" i="29"/>
  <c r="P69" i="16"/>
  <c r="O196" i="29"/>
  <c r="U89" i="29"/>
  <c r="T247" i="42"/>
  <c r="S280" i="42"/>
  <c r="S281" i="42" s="1"/>
  <c r="R315" i="42"/>
  <c r="R316" i="42" s="1"/>
  <c r="R317" i="42"/>
  <c r="R320" i="42" s="1"/>
  <c r="Y64" i="15"/>
  <c r="Y48" i="15"/>
  <c r="Y45" i="15"/>
  <c r="Y58" i="15"/>
  <c r="X75" i="29"/>
  <c r="Y64" i="16" s="1"/>
  <c r="X63" i="29"/>
  <c r="X62" i="29" s="1"/>
  <c r="X73" i="29"/>
  <c r="Y58" i="16" s="1"/>
  <c r="X70" i="29"/>
  <c r="X66" i="29"/>
  <c r="X64" i="29"/>
  <c r="X74" i="29"/>
  <c r="Y45" i="16" s="1"/>
  <c r="X68" i="29"/>
  <c r="X72" i="29"/>
  <c r="X67" i="29"/>
  <c r="X65" i="29"/>
  <c r="X237" i="42"/>
  <c r="X241" i="42" s="1"/>
  <c r="X235" i="42"/>
  <c r="X239" i="42" s="1"/>
  <c r="X236" i="42"/>
  <c r="X240" i="42" s="1"/>
  <c r="X238" i="42"/>
  <c r="U146" i="29"/>
  <c r="U143" i="29"/>
  <c r="W136" i="42"/>
  <c r="W140" i="42" s="1"/>
  <c r="W137" i="42"/>
  <c r="W141" i="42" s="1"/>
  <c r="W135" i="42"/>
  <c r="W139" i="42" s="1"/>
  <c r="W138" i="42"/>
  <c r="U72" i="42"/>
  <c r="U76" i="42" s="1"/>
  <c r="U73" i="42"/>
  <c r="U71" i="42"/>
  <c r="U75" i="42" s="1"/>
  <c r="U70" i="42"/>
  <c r="U74" i="42" s="1"/>
  <c r="Q301" i="42"/>
  <c r="Q305" i="42" s="1"/>
  <c r="Q302" i="42"/>
  <c r="W16" i="46"/>
  <c r="W272" i="46" s="1"/>
  <c r="Q325" i="42"/>
  <c r="V31" i="42"/>
  <c r="V278" i="42"/>
  <c r="R283" i="42"/>
  <c r="R287" i="42"/>
  <c r="R286" i="42"/>
  <c r="R285" i="42"/>
  <c r="R282" i="42"/>
  <c r="R284" i="42"/>
  <c r="X82" i="29"/>
  <c r="Y55" i="16" s="1"/>
  <c r="X80" i="29"/>
  <c r="X79" i="29" s="1"/>
  <c r="Y55" i="15"/>
  <c r="X134" i="42"/>
  <c r="X150" i="42"/>
  <c r="X142" i="42"/>
  <c r="X158" i="42"/>
  <c r="T160" i="28"/>
  <c r="T159" i="28"/>
  <c r="T157" i="28"/>
  <c r="R153" i="29"/>
  <c r="R154" i="29"/>
  <c r="U78" i="42"/>
  <c r="U82" i="42" s="1"/>
  <c r="U81" i="42"/>
  <c r="U80" i="42"/>
  <c r="U84" i="42" s="1"/>
  <c r="U79" i="42"/>
  <c r="U83" i="42" s="1"/>
  <c r="O203" i="28"/>
  <c r="P70" i="15" s="1"/>
  <c r="W39" i="42"/>
  <c r="W29" i="42"/>
  <c r="W204" i="38"/>
  <c r="W196" i="38"/>
  <c r="W188" i="38"/>
  <c r="X16" i="48"/>
  <c r="X272" i="48" s="1"/>
  <c r="V194" i="54"/>
  <c r="V31" i="54"/>
  <c r="AU125" i="36"/>
  <c r="N343" i="42"/>
  <c r="AU126" i="36" s="1"/>
  <c r="AV125" i="36"/>
  <c r="O343" i="42"/>
  <c r="AV126" i="36" s="1"/>
  <c r="V246" i="42"/>
  <c r="V44" i="42"/>
  <c r="V288" i="42" s="1"/>
  <c r="V77" i="42"/>
  <c r="V93" i="42"/>
  <c r="V101" i="42"/>
  <c r="V69" i="42"/>
  <c r="W16" i="19"/>
  <c r="W24" i="19"/>
  <c r="Y11" i="29"/>
  <c r="Y12" i="29"/>
  <c r="Y25" i="29" s="1"/>
  <c r="Y43" i="29" s="1"/>
  <c r="Y14" i="29"/>
  <c r="Y27" i="29" s="1"/>
  <c r="Y15" i="29"/>
  <c r="Y28" i="29" s="1"/>
  <c r="Y13" i="29"/>
  <c r="Y26" i="29" s="1"/>
  <c r="Y44" i="29" s="1"/>
  <c r="V65" i="16"/>
  <c r="W61" i="16"/>
  <c r="V84" i="29"/>
  <c r="U34" i="29"/>
  <c r="U33" i="29"/>
  <c r="Y11" i="28"/>
  <c r="Y12" i="28"/>
  <c r="Y25" i="28" s="1"/>
  <c r="Y43" i="28" s="1"/>
  <c r="Y14" i="28"/>
  <c r="Y27" i="28" s="1"/>
  <c r="Y15" i="28"/>
  <c r="Y28" i="28" s="1"/>
  <c r="Y13" i="28"/>
  <c r="Y26" i="28" s="1"/>
  <c r="Y44" i="28" s="1"/>
  <c r="X204" i="42"/>
  <c r="X196" i="42"/>
  <c r="X188" i="42"/>
  <c r="U68" i="16"/>
  <c r="U77" i="16"/>
  <c r="V190" i="38"/>
  <c r="V194" i="38" s="1"/>
  <c r="V189" i="38"/>
  <c r="V193" i="38" s="1"/>
  <c r="V191" i="38"/>
  <c r="V195" i="38" s="1"/>
  <c r="N72" i="16"/>
  <c r="M197" i="29"/>
  <c r="N73" i="16" s="1"/>
  <c r="S151" i="29"/>
  <c r="S152" i="29"/>
  <c r="U102" i="42"/>
  <c r="U106" i="42" s="1"/>
  <c r="U104" i="42"/>
  <c r="U108" i="42" s="1"/>
  <c r="U103" i="42"/>
  <c r="U107" i="42" s="1"/>
  <c r="U105" i="42"/>
  <c r="S296" i="38"/>
  <c r="S295" i="38"/>
  <c r="S293" i="38"/>
  <c r="S294" i="38"/>
  <c r="X14" i="38"/>
  <c r="X27" i="38" s="1"/>
  <c r="X42" i="38" s="1"/>
  <c r="X11" i="38"/>
  <c r="X12" i="38"/>
  <c r="X25" i="38" s="1"/>
  <c r="X40" i="38" s="1"/>
  <c r="X15" i="38"/>
  <c r="X28" i="38" s="1"/>
  <c r="X43" i="38" s="1"/>
  <c r="X234" i="38" s="1"/>
  <c r="X13" i="38"/>
  <c r="X26" i="38" s="1"/>
  <c r="X41" i="38" s="1"/>
  <c r="X219" i="38" s="1"/>
  <c r="Q167" i="28"/>
  <c r="Q168" i="28"/>
  <c r="X15" i="46"/>
  <c r="X14" i="46"/>
  <c r="X13" i="46"/>
  <c r="X11" i="46"/>
  <c r="X12" i="46"/>
  <c r="Q183" i="28"/>
  <c r="Q184" i="28" s="1"/>
  <c r="Q185" i="28"/>
  <c r="T290" i="38"/>
  <c r="T291" i="38" s="1"/>
  <c r="T313" i="38"/>
  <c r="X13" i="54"/>
  <c r="X26" i="54" s="1"/>
  <c r="X41" i="54" s="1"/>
  <c r="X147" i="54" s="1"/>
  <c r="X148" i="54" s="1"/>
  <c r="X15" i="54"/>
  <c r="X28" i="54" s="1"/>
  <c r="X12" i="54"/>
  <c r="X25" i="54" s="1"/>
  <c r="X14" i="54"/>
  <c r="X27" i="54" s="1"/>
  <c r="X11" i="54"/>
  <c r="Q179" i="29"/>
  <c r="Q180" i="29" s="1"/>
  <c r="Q189" i="29" s="1"/>
  <c r="R70" i="16" s="1"/>
  <c r="X13" i="19"/>
  <c r="X26" i="19" s="1"/>
  <c r="X44" i="19" s="1"/>
  <c r="X14" i="19"/>
  <c r="X27" i="19" s="1"/>
  <c r="X15" i="19"/>
  <c r="X28" i="19" s="1"/>
  <c r="X12" i="19"/>
  <c r="X25" i="19" s="1"/>
  <c r="X11" i="19"/>
  <c r="T294" i="42"/>
  <c r="T293" i="42"/>
  <c r="T296" i="42"/>
  <c r="T295" i="42"/>
  <c r="U167" i="29"/>
  <c r="U168" i="29" s="1"/>
  <c r="U144" i="29"/>
  <c r="U145" i="29" s="1"/>
  <c r="V66" i="15"/>
  <c r="V59" i="15"/>
  <c r="V213" i="28"/>
  <c r="V60" i="29"/>
  <c r="W56" i="16" s="1"/>
  <c r="W56" i="15"/>
  <c r="V51" i="29"/>
  <c r="V59" i="29"/>
  <c r="W62" i="16" s="1"/>
  <c r="V53" i="29"/>
  <c r="V58" i="29"/>
  <c r="V100" i="29" s="1"/>
  <c r="V56" i="29"/>
  <c r="W44" i="16" s="1"/>
  <c r="V50" i="29"/>
  <c r="V47" i="28"/>
  <c r="V114" i="28" s="1"/>
  <c r="V54" i="29"/>
  <c r="V57" i="29"/>
  <c r="W62" i="15"/>
  <c r="V52" i="29"/>
  <c r="V49" i="29" s="1"/>
  <c r="W44" i="15"/>
  <c r="S134" i="29"/>
  <c r="S135" i="29" s="1"/>
  <c r="T101" i="29"/>
  <c r="V197" i="38"/>
  <c r="V201" i="38" s="1"/>
  <c r="V198" i="38"/>
  <c r="V202" i="38" s="1"/>
  <c r="V199" i="38"/>
  <c r="V203" i="38" s="1"/>
  <c r="V200" i="38"/>
  <c r="W100" i="36" s="1"/>
  <c r="V194" i="53"/>
  <c r="V31" i="53"/>
  <c r="N196" i="29"/>
  <c r="U96" i="42"/>
  <c r="U100" i="42" s="1"/>
  <c r="U95" i="42"/>
  <c r="U99" i="42" s="1"/>
  <c r="U97" i="42"/>
  <c r="U94" i="42"/>
  <c r="U98" i="42" s="1"/>
  <c r="W29" i="29"/>
  <c r="W42" i="29"/>
  <c r="S174" i="28"/>
  <c r="S179" i="28"/>
  <c r="S176" i="28"/>
  <c r="S178" i="28"/>
  <c r="S177" i="28"/>
  <c r="S175" i="28"/>
  <c r="W237" i="38"/>
  <c r="W241" i="38" s="1"/>
  <c r="W235" i="38"/>
  <c r="W239" i="38" s="1"/>
  <c r="W236" i="38"/>
  <c r="W240" i="38" s="1"/>
  <c r="T34" i="19"/>
  <c r="T33" i="19"/>
  <c r="W191" i="42"/>
  <c r="W195" i="42" s="1"/>
  <c r="W189" i="42"/>
  <c r="W193" i="42" s="1"/>
  <c r="W192" i="42"/>
  <c r="W190" i="42"/>
  <c r="W194" i="42" s="1"/>
  <c r="V39" i="38"/>
  <c r="V29" i="38"/>
  <c r="T149" i="29"/>
  <c r="T150" i="29"/>
  <c r="T147" i="29"/>
  <c r="T148" i="29"/>
  <c r="X15" i="53"/>
  <c r="X28" i="53" s="1"/>
  <c r="X12" i="53"/>
  <c r="X25" i="53" s="1"/>
  <c r="X13" i="53"/>
  <c r="X26" i="53" s="1"/>
  <c r="X41" i="53" s="1"/>
  <c r="X147" i="53" s="1"/>
  <c r="X148" i="53" s="1"/>
  <c r="Y60" i="51" s="1"/>
  <c r="X14" i="53"/>
  <c r="X27" i="53" s="1"/>
  <c r="X11" i="53"/>
  <c r="W16" i="54"/>
  <c r="W24" i="54"/>
  <c r="W29" i="54" s="1"/>
  <c r="R166" i="28"/>
  <c r="R165" i="28"/>
  <c r="S151" i="28"/>
  <c r="S153" i="28"/>
  <c r="S150" i="28"/>
  <c r="S154" i="28"/>
  <c r="S152" i="28"/>
  <c r="S155" i="28"/>
  <c r="R300" i="42"/>
  <c r="R299" i="42"/>
  <c r="U207" i="28"/>
  <c r="U156" i="28"/>
  <c r="U208" i="28"/>
  <c r="Y12" i="20"/>
  <c r="Y13" i="20"/>
  <c r="Y11" i="20"/>
  <c r="Y15" i="20"/>
  <c r="Y14" i="20"/>
  <c r="V31" i="28"/>
  <c r="V146" i="28"/>
  <c r="R136" i="29"/>
  <c r="R138" i="29"/>
  <c r="R140" i="29"/>
  <c r="R137" i="29"/>
  <c r="R139" i="29"/>
  <c r="R141" i="29"/>
  <c r="V208" i="38"/>
  <c r="V207" i="38"/>
  <c r="V211" i="38" s="1"/>
  <c r="V206" i="38"/>
  <c r="V210" i="38" s="1"/>
  <c r="V205" i="38"/>
  <c r="V209" i="38" s="1"/>
  <c r="V29" i="19"/>
  <c r="S157" i="29"/>
  <c r="S158" i="29"/>
  <c r="V159" i="38"/>
  <c r="V163" i="38" s="1"/>
  <c r="V161" i="38"/>
  <c r="V165" i="38" s="1"/>
  <c r="V162" i="38"/>
  <c r="W108" i="36" s="1"/>
  <c r="V160" i="38"/>
  <c r="V164" i="38" s="1"/>
  <c r="S164" i="28"/>
  <c r="S161" i="28"/>
  <c r="S163" i="28"/>
  <c r="S162" i="28"/>
  <c r="W16" i="38"/>
  <c r="W244" i="38" s="1"/>
  <c r="W24" i="38"/>
  <c r="U246" i="38"/>
  <c r="U44" i="38"/>
  <c r="U288" i="38" s="1"/>
  <c r="U101" i="38"/>
  <c r="U69" i="38"/>
  <c r="U70" i="38" s="1"/>
  <c r="U93" i="38"/>
  <c r="U77" i="38"/>
  <c r="W198" i="42"/>
  <c r="W202" i="42" s="1"/>
  <c r="W197" i="42"/>
  <c r="W201" i="42" s="1"/>
  <c r="W199" i="42"/>
  <c r="W203" i="42" s="1"/>
  <c r="W200" i="42"/>
  <c r="P180" i="29"/>
  <c r="P187" i="29" s="1"/>
  <c r="P170" i="28"/>
  <c r="P169" i="28"/>
  <c r="P173" i="28" s="1"/>
  <c r="W16" i="53"/>
  <c r="W24" i="53"/>
  <c r="W29" i="53" s="1"/>
  <c r="S298" i="42"/>
  <c r="S297" i="42"/>
  <c r="T148" i="28"/>
  <c r="T149" i="28" s="1"/>
  <c r="U214" i="28"/>
  <c r="V46" i="16"/>
  <c r="V67" i="16"/>
  <c r="U181" i="28"/>
  <c r="U182" i="28" s="1"/>
  <c r="U158" i="28"/>
  <c r="R169" i="29"/>
  <c r="R170" i="29" s="1"/>
  <c r="R171" i="29"/>
  <c r="X16" i="28"/>
  <c r="X115" i="28" s="1"/>
  <c r="X24" i="28"/>
  <c r="Y11" i="42"/>
  <c r="Y15" i="42"/>
  <c r="Y28" i="42" s="1"/>
  <c r="Y43" i="42" s="1"/>
  <c r="Y234" i="42" s="1"/>
  <c r="Y14" i="42"/>
  <c r="Y27" i="42" s="1"/>
  <c r="Y42" i="42" s="1"/>
  <c r="Y13" i="42"/>
  <c r="Y26" i="42" s="1"/>
  <c r="Y41" i="42" s="1"/>
  <c r="Y219" i="42" s="1"/>
  <c r="Y12" i="42"/>
  <c r="Y25" i="42" s="1"/>
  <c r="Y40" i="42" s="1"/>
  <c r="W144" i="42"/>
  <c r="W148" i="42" s="1"/>
  <c r="W145" i="42"/>
  <c r="W149" i="42" s="1"/>
  <c r="W143" i="42"/>
  <c r="W147" i="42" s="1"/>
  <c r="W146" i="42"/>
  <c r="V154" i="38"/>
  <c r="W78" i="36" s="1"/>
  <c r="V153" i="38"/>
  <c r="V157" i="38" s="1"/>
  <c r="V151" i="38"/>
  <c r="V155" i="38" s="1"/>
  <c r="V152" i="38"/>
  <c r="V156" i="38" s="1"/>
  <c r="V47" i="29"/>
  <c r="V142" i="29" s="1"/>
  <c r="W222" i="38"/>
  <c r="W226" i="38" s="1"/>
  <c r="W220" i="38"/>
  <c r="W224" i="38" s="1"/>
  <c r="W221" i="38"/>
  <c r="W225" i="38" s="1"/>
  <c r="U31" i="38"/>
  <c r="U278" i="38"/>
  <c r="W206" i="42"/>
  <c r="W210" i="42" s="1"/>
  <c r="W208" i="42"/>
  <c r="W207" i="42"/>
  <c r="W211" i="42" s="1"/>
  <c r="W205" i="42"/>
  <c r="W209" i="42" s="1"/>
  <c r="T289" i="38"/>
  <c r="T292" i="38"/>
  <c r="R304" i="38"/>
  <c r="R303" i="38"/>
  <c r="R315" i="38" s="1"/>
  <c r="T194" i="29"/>
  <c r="T193" i="29"/>
  <c r="S303" i="42"/>
  <c r="S304" i="42"/>
  <c r="R172" i="28"/>
  <c r="R171" i="28"/>
  <c r="X16" i="29"/>
  <c r="X24" i="29"/>
  <c r="X16" i="42"/>
  <c r="X244" i="42" s="1"/>
  <c r="X24" i="42"/>
  <c r="W159" i="42"/>
  <c r="W163" i="42" s="1"/>
  <c r="W161" i="42"/>
  <c r="W165" i="42" s="1"/>
  <c r="W162" i="42"/>
  <c r="W160" i="42"/>
  <c r="W164" i="42" s="1"/>
  <c r="U68" i="15"/>
  <c r="U292" i="42"/>
  <c r="U289" i="42"/>
  <c r="V146" i="38"/>
  <c r="W99" i="36" s="1"/>
  <c r="V145" i="38"/>
  <c r="V149" i="38" s="1"/>
  <c r="V143" i="38"/>
  <c r="V147" i="38" s="1"/>
  <c r="V144" i="38"/>
  <c r="V148" i="38" s="1"/>
  <c r="P302" i="38"/>
  <c r="P301" i="38"/>
  <c r="P305" i="38" s="1"/>
  <c r="V31" i="29"/>
  <c r="V132" i="29"/>
  <c r="W134" i="38"/>
  <c r="W150" i="38"/>
  <c r="W142" i="38"/>
  <c r="W158" i="38"/>
  <c r="W29" i="28"/>
  <c r="W42" i="28"/>
  <c r="U31" i="19"/>
  <c r="U211" i="19"/>
  <c r="R298" i="38"/>
  <c r="R297" i="38"/>
  <c r="U33" i="28"/>
  <c r="U34" i="28"/>
  <c r="T160" i="29"/>
  <c r="T162" i="29"/>
  <c r="T164" i="29"/>
  <c r="T161" i="29"/>
  <c r="T163" i="29"/>
  <c r="T165" i="29"/>
  <c r="V66" i="16"/>
  <c r="V59" i="16"/>
  <c r="V67" i="15"/>
  <c r="V46" i="15"/>
  <c r="X46" i="28"/>
  <c r="X220" i="42"/>
  <c r="X224" i="42" s="1"/>
  <c r="X223" i="42"/>
  <c r="X221" i="42"/>
  <c r="X225" i="42" s="1"/>
  <c r="X222" i="42"/>
  <c r="X226" i="42" s="1"/>
  <c r="U88" i="29"/>
  <c r="X61" i="16"/>
  <c r="W84" i="29"/>
  <c r="W151" i="42"/>
  <c r="W155" i="42" s="1"/>
  <c r="W152" i="42"/>
  <c r="W156" i="42" s="1"/>
  <c r="W153" i="42"/>
  <c r="W157" i="42" s="1"/>
  <c r="W154" i="42"/>
  <c r="U290" i="42"/>
  <c r="U291" i="42" s="1"/>
  <c r="U313" i="42"/>
  <c r="U314" i="42" s="1"/>
  <c r="V135" i="38"/>
  <c r="V137" i="38"/>
  <c r="V136" i="38"/>
  <c r="P326" i="42"/>
  <c r="P333" i="42" s="1"/>
  <c r="P186" i="28"/>
  <c r="P187" i="28" s="1"/>
  <c r="P189" i="28" s="1"/>
  <c r="P188" i="28"/>
  <c r="Q318" i="42"/>
  <c r="Q319" i="42" s="1"/>
  <c r="Q321" i="42" s="1"/>
  <c r="Q300" i="38"/>
  <c r="Q299" i="38"/>
  <c r="Y12" i="48"/>
  <c r="Y13" i="48"/>
  <c r="Y11" i="48"/>
  <c r="Y15" i="48"/>
  <c r="Y14" i="48"/>
  <c r="O337" i="42"/>
  <c r="L162" i="19"/>
  <c r="L160" i="19"/>
  <c r="L163" i="19"/>
  <c r="L161" i="19"/>
  <c r="M200" i="20"/>
  <c r="M202" i="20"/>
  <c r="M199" i="20"/>
  <c r="M203" i="20"/>
  <c r="M164" i="19" s="1"/>
  <c r="M201" i="20"/>
  <c r="M16" i="20"/>
  <c r="M219" i="20" s="1"/>
  <c r="L29" i="20"/>
  <c r="K253" i="20"/>
  <c r="K31" i="20"/>
  <c r="L154" i="19"/>
  <c r="N28" i="20"/>
  <c r="M27" i="20"/>
  <c r="N123" i="12"/>
  <c r="M155" i="19"/>
  <c r="M157" i="19"/>
  <c r="M25" i="20"/>
  <c r="N26" i="20"/>
  <c r="N44" i="20" s="1"/>
  <c r="N198" i="20" s="1"/>
  <c r="N159" i="19" s="1"/>
  <c r="O123" i="14" s="1"/>
  <c r="M24" i="20"/>
  <c r="N16" i="20"/>
  <c r="M211" i="28" l="1"/>
  <c r="N73" i="15" s="1"/>
  <c r="BC99" i="36"/>
  <c r="O71" i="15"/>
  <c r="BC108" i="36"/>
  <c r="BE60" i="51"/>
  <c r="BC100" i="36"/>
  <c r="W65" i="15"/>
  <c r="Y49" i="16"/>
  <c r="U77" i="15"/>
  <c r="BC78" i="36"/>
  <c r="Y49" i="15"/>
  <c r="P71" i="16"/>
  <c r="R318" i="42"/>
  <c r="R319" i="42" s="1"/>
  <c r="W65" i="16"/>
  <c r="N210" i="28"/>
  <c r="N205" i="28"/>
  <c r="V89" i="29"/>
  <c r="Y46" i="28"/>
  <c r="Z61" i="15" s="1"/>
  <c r="P71" i="15"/>
  <c r="P189" i="29"/>
  <c r="Q70" i="16" s="1"/>
  <c r="U310" i="42"/>
  <c r="U306" i="42"/>
  <c r="U311" i="42"/>
  <c r="U309" i="42"/>
  <c r="U308" i="42"/>
  <c r="U307" i="42"/>
  <c r="U33" i="19"/>
  <c r="U34" i="19"/>
  <c r="V33" i="29"/>
  <c r="V34" i="29"/>
  <c r="X29" i="42"/>
  <c r="X39" i="42"/>
  <c r="Y204" i="42"/>
  <c r="Y188" i="42"/>
  <c r="Y196" i="42"/>
  <c r="S300" i="42"/>
  <c r="S299" i="42"/>
  <c r="U290" i="38"/>
  <c r="U313" i="38"/>
  <c r="V34" i="28"/>
  <c r="V33" i="28"/>
  <c r="U160" i="28"/>
  <c r="U159" i="28"/>
  <c r="U157" i="28"/>
  <c r="W67" i="15"/>
  <c r="W46" i="15"/>
  <c r="V167" i="29"/>
  <c r="V168" i="29" s="1"/>
  <c r="V144" i="29"/>
  <c r="V145" i="29" s="1"/>
  <c r="X16" i="19"/>
  <c r="X24" i="19"/>
  <c r="Q187" i="29"/>
  <c r="X16" i="38"/>
  <c r="X244" i="38" s="1"/>
  <c r="X24" i="38"/>
  <c r="S154" i="29"/>
  <c r="S153" i="29"/>
  <c r="Z55" i="15"/>
  <c r="Y82" i="29"/>
  <c r="Z55" i="16" s="1"/>
  <c r="V102" i="42"/>
  <c r="V106" i="42" s="1"/>
  <c r="V105" i="42"/>
  <c r="V103" i="42"/>
  <c r="V107" i="42" s="1"/>
  <c r="V104" i="42"/>
  <c r="V108" i="42" s="1"/>
  <c r="W246" i="42"/>
  <c r="W44" i="42"/>
  <c r="W288" i="42" s="1"/>
  <c r="W69" i="42"/>
  <c r="W101" i="42"/>
  <c r="W77" i="42"/>
  <c r="W93" i="42"/>
  <c r="T163" i="28"/>
  <c r="T162" i="28"/>
  <c r="T161" i="28"/>
  <c r="T164" i="28"/>
  <c r="U247" i="42"/>
  <c r="T280" i="42"/>
  <c r="T281" i="42" s="1"/>
  <c r="X85" i="29"/>
  <c r="Y61" i="15"/>
  <c r="W213" i="28"/>
  <c r="W59" i="29"/>
  <c r="X62" i="16" s="1"/>
  <c r="W52" i="29"/>
  <c r="W49" i="29" s="1"/>
  <c r="W89" i="29" s="1"/>
  <c r="W57" i="29"/>
  <c r="X56" i="15"/>
  <c r="W51" i="29"/>
  <c r="W54" i="29"/>
  <c r="X44" i="15"/>
  <c r="W53" i="29"/>
  <c r="X62" i="15"/>
  <c r="W47" i="28"/>
  <c r="W114" i="28" s="1"/>
  <c r="W56" i="29"/>
  <c r="X44" i="16" s="1"/>
  <c r="W58" i="29"/>
  <c r="W100" i="29" s="1"/>
  <c r="W60" i="29"/>
  <c r="X56" i="16" s="1"/>
  <c r="W50" i="29"/>
  <c r="Y238" i="42"/>
  <c r="Y237" i="42"/>
  <c r="Y241" i="42" s="1"/>
  <c r="Y236" i="42"/>
  <c r="Y240" i="42" s="1"/>
  <c r="Y235" i="42"/>
  <c r="Y239" i="42" s="1"/>
  <c r="Q69" i="16"/>
  <c r="W39" i="38"/>
  <c r="W29" i="38"/>
  <c r="Y12" i="53"/>
  <c r="Y25" i="53" s="1"/>
  <c r="Y14" i="53"/>
  <c r="Y27" i="53" s="1"/>
  <c r="Y11" i="53"/>
  <c r="Y13" i="53"/>
  <c r="Y26" i="53" s="1"/>
  <c r="Y41" i="53" s="1"/>
  <c r="Y147" i="53" s="1"/>
  <c r="Y148" i="53" s="1"/>
  <c r="Z60" i="51" s="1"/>
  <c r="Y15" i="53"/>
  <c r="Y28" i="53" s="1"/>
  <c r="V278" i="38"/>
  <c r="V31" i="38"/>
  <c r="U162" i="29"/>
  <c r="U164" i="29"/>
  <c r="U165" i="29"/>
  <c r="U161" i="29"/>
  <c r="U163" i="29"/>
  <c r="U160" i="29"/>
  <c r="X16" i="54"/>
  <c r="X24" i="54"/>
  <c r="X29" i="54" s="1"/>
  <c r="X196" i="38"/>
  <c r="X204" i="38"/>
  <c r="X188" i="38"/>
  <c r="Y68" i="29"/>
  <c r="V95" i="42"/>
  <c r="V99" i="42" s="1"/>
  <c r="V94" i="42"/>
  <c r="V98" i="42" s="1"/>
  <c r="V96" i="42"/>
  <c r="V100" i="42" s="1"/>
  <c r="V97" i="42"/>
  <c r="X162" i="42"/>
  <c r="X159" i="42"/>
  <c r="X163" i="42" s="1"/>
  <c r="X160" i="42"/>
  <c r="X164" i="42" s="1"/>
  <c r="X161" i="42"/>
  <c r="X165" i="42" s="1"/>
  <c r="U150" i="29"/>
  <c r="U148" i="29"/>
  <c r="U149" i="29"/>
  <c r="U147" i="29"/>
  <c r="O210" i="28"/>
  <c r="Q301" i="38"/>
  <c r="Q305" i="38" s="1"/>
  <c r="Q302" i="38"/>
  <c r="W31" i="28"/>
  <c r="W146" i="28"/>
  <c r="X29" i="29"/>
  <c r="X42" i="29"/>
  <c r="Y16" i="42"/>
  <c r="Y244" i="42" s="1"/>
  <c r="Y24" i="42"/>
  <c r="U243" i="38"/>
  <c r="R301" i="42"/>
  <c r="R305" i="42" s="1"/>
  <c r="R302" i="42"/>
  <c r="V246" i="38"/>
  <c r="V44" i="38"/>
  <c r="V288" i="38" s="1"/>
  <c r="V101" i="38"/>
  <c r="V69" i="38"/>
  <c r="V70" i="38" s="1"/>
  <c r="V93" i="38"/>
  <c r="V77" i="38"/>
  <c r="Y12" i="54"/>
  <c r="Y25" i="54" s="1"/>
  <c r="Y13" i="54"/>
  <c r="Y26" i="54" s="1"/>
  <c r="Y41" i="54" s="1"/>
  <c r="Y147" i="54" s="1"/>
  <c r="Y148" i="54" s="1"/>
  <c r="Y15" i="54"/>
  <c r="Y28" i="54" s="1"/>
  <c r="Y14" i="54"/>
  <c r="Y27" i="54" s="1"/>
  <c r="Y11" i="54"/>
  <c r="Q186" i="28"/>
  <c r="Q187" i="28" s="1"/>
  <c r="Q189" i="28" s="1"/>
  <c r="Q188" i="28"/>
  <c r="S298" i="38"/>
  <c r="S297" i="38"/>
  <c r="O72" i="15"/>
  <c r="N211" i="28"/>
  <c r="O73" i="15" s="1"/>
  <c r="Y16" i="29"/>
  <c r="Y24" i="29"/>
  <c r="V79" i="42"/>
  <c r="V83" i="42" s="1"/>
  <c r="V80" i="42"/>
  <c r="V84" i="42" s="1"/>
  <c r="V78" i="42"/>
  <c r="V82" i="42" s="1"/>
  <c r="V81" i="42"/>
  <c r="X146" i="42"/>
  <c r="X144" i="42"/>
  <c r="X148" i="42" s="1"/>
  <c r="X145" i="42"/>
  <c r="X149" i="42" s="1"/>
  <c r="X143" i="42"/>
  <c r="X147" i="42" s="1"/>
  <c r="O205" i="28"/>
  <c r="V68" i="15"/>
  <c r="W159" i="38"/>
  <c r="W163" i="38" s="1"/>
  <c r="W162" i="38"/>
  <c r="X108" i="36" s="1"/>
  <c r="W161" i="38"/>
  <c r="W165" i="38" s="1"/>
  <c r="W160" i="38"/>
  <c r="W164" i="38" s="1"/>
  <c r="V88" i="29"/>
  <c r="X29" i="28"/>
  <c r="X42" i="28"/>
  <c r="W31" i="53"/>
  <c r="W194" i="53"/>
  <c r="R168" i="28"/>
  <c r="R167" i="28"/>
  <c r="O72" i="16"/>
  <c r="N197" i="29"/>
  <c r="O73" i="16" s="1"/>
  <c r="R321" i="42"/>
  <c r="Q169" i="28"/>
  <c r="Q173" i="28" s="1"/>
  <c r="Q170" i="28"/>
  <c r="S304" i="38"/>
  <c r="S303" i="38"/>
  <c r="S315" i="38" s="1"/>
  <c r="Z15" i="28"/>
  <c r="Z28" i="28" s="1"/>
  <c r="Z12" i="28"/>
  <c r="Z25" i="28" s="1"/>
  <c r="Z43" i="28" s="1"/>
  <c r="Z13" i="28"/>
  <c r="Z26" i="28" s="1"/>
  <c r="Z44" i="28" s="1"/>
  <c r="Z11" i="28"/>
  <c r="Z14" i="28"/>
  <c r="Z27" i="28" s="1"/>
  <c r="Z13" i="29"/>
  <c r="Z26" i="29" s="1"/>
  <c r="Z44" i="29" s="1"/>
  <c r="Z15" i="29"/>
  <c r="Z28" i="29" s="1"/>
  <c r="Z11" i="29"/>
  <c r="Z14" i="29"/>
  <c r="Z27" i="29" s="1"/>
  <c r="Z12" i="29"/>
  <c r="Z25" i="29" s="1"/>
  <c r="Z43" i="29" s="1"/>
  <c r="V292" i="42"/>
  <c r="V289" i="42"/>
  <c r="X153" i="42"/>
  <c r="X157" i="42" s="1"/>
  <c r="X152" i="42"/>
  <c r="X156" i="42" s="1"/>
  <c r="X154" i="42"/>
  <c r="X151" i="42"/>
  <c r="X155" i="42" s="1"/>
  <c r="W146" i="38"/>
  <c r="X99" i="36" s="1"/>
  <c r="W143" i="38"/>
  <c r="W147" i="38" s="1"/>
  <c r="W144" i="38"/>
  <c r="W148" i="38" s="1"/>
  <c r="W145" i="38"/>
  <c r="W149" i="38" s="1"/>
  <c r="R183" i="28"/>
  <c r="R184" i="28" s="1"/>
  <c r="R185" i="28"/>
  <c r="T310" i="38"/>
  <c r="T307" i="38"/>
  <c r="T311" i="38"/>
  <c r="T309" i="38"/>
  <c r="T308" i="38"/>
  <c r="T306" i="38"/>
  <c r="V146" i="29"/>
  <c r="V143" i="29"/>
  <c r="V68" i="16"/>
  <c r="V77" i="16"/>
  <c r="S165" i="28"/>
  <c r="S166" i="28"/>
  <c r="S169" i="29"/>
  <c r="S170" i="29" s="1"/>
  <c r="S171" i="29"/>
  <c r="S174" i="29" s="1"/>
  <c r="W194" i="54"/>
  <c r="W31" i="54"/>
  <c r="W59" i="15"/>
  <c r="W66" i="15"/>
  <c r="T298" i="42"/>
  <c r="T297" i="42"/>
  <c r="X220" i="38"/>
  <c r="X224" i="38" s="1"/>
  <c r="X222" i="38"/>
  <c r="X226" i="38" s="1"/>
  <c r="X221" i="38"/>
  <c r="X225" i="38" s="1"/>
  <c r="Z58" i="15"/>
  <c r="Z45" i="15"/>
  <c r="Z64" i="15"/>
  <c r="Z48" i="15"/>
  <c r="Y75" i="29"/>
  <c r="Z64" i="16" s="1"/>
  <c r="Y67" i="29"/>
  <c r="Y63" i="29"/>
  <c r="Y62" i="29" s="1"/>
  <c r="Y73" i="29"/>
  <c r="Z58" i="16" s="1"/>
  <c r="Y70" i="29"/>
  <c r="Y74" i="29"/>
  <c r="Z45" i="16" s="1"/>
  <c r="Y71" i="29"/>
  <c r="Z48" i="16" s="1"/>
  <c r="Y65" i="29"/>
  <c r="Y72" i="29"/>
  <c r="Y64" i="29"/>
  <c r="Y66" i="29"/>
  <c r="W29" i="19"/>
  <c r="V290" i="42"/>
  <c r="V291" i="42" s="1"/>
  <c r="V313" i="42"/>
  <c r="V314" i="42" s="1"/>
  <c r="W189" i="38"/>
  <c r="W193" i="38" s="1"/>
  <c r="W190" i="38"/>
  <c r="W194" i="38" s="1"/>
  <c r="W191" i="38"/>
  <c r="W195" i="38" s="1"/>
  <c r="X136" i="42"/>
  <c r="X140" i="42" s="1"/>
  <c r="X137" i="42"/>
  <c r="X141" i="42" s="1"/>
  <c r="X135" i="42"/>
  <c r="X139" i="42" s="1"/>
  <c r="X138" i="42"/>
  <c r="Q326" i="42"/>
  <c r="Q335" i="42" s="1"/>
  <c r="P335" i="42"/>
  <c r="P342" i="42" s="1"/>
  <c r="P72" i="16"/>
  <c r="O197" i="29"/>
  <c r="P73" i="16" s="1"/>
  <c r="P193" i="28"/>
  <c r="P194" i="28" s="1"/>
  <c r="P203" i="28" s="1"/>
  <c r="Q70" i="15" s="1"/>
  <c r="R299" i="38"/>
  <c r="R300" i="38"/>
  <c r="W152" i="38"/>
  <c r="W156" i="38" s="1"/>
  <c r="W153" i="38"/>
  <c r="W157" i="38" s="1"/>
  <c r="W151" i="38"/>
  <c r="W155" i="38" s="1"/>
  <c r="W154" i="38"/>
  <c r="X78" i="36" s="1"/>
  <c r="T295" i="38"/>
  <c r="T294" i="38"/>
  <c r="T296" i="38"/>
  <c r="T293" i="38"/>
  <c r="Z12" i="42"/>
  <c r="Z25" i="42" s="1"/>
  <c r="Z40" i="42" s="1"/>
  <c r="Z15" i="42"/>
  <c r="Z28" i="42" s="1"/>
  <c r="Z43" i="42" s="1"/>
  <c r="Z234" i="42" s="1"/>
  <c r="Z11" i="42"/>
  <c r="Z14" i="42"/>
  <c r="Z27" i="42" s="1"/>
  <c r="Z42" i="42" s="1"/>
  <c r="Z13" i="42"/>
  <c r="Z26" i="42" s="1"/>
  <c r="Z41" i="42" s="1"/>
  <c r="Z219" i="42" s="1"/>
  <c r="V214" i="28"/>
  <c r="U148" i="28"/>
  <c r="U149" i="28" s="1"/>
  <c r="V208" i="28"/>
  <c r="V207" i="28"/>
  <c r="V156" i="28"/>
  <c r="W59" i="16"/>
  <c r="W66" i="16"/>
  <c r="T303" i="42"/>
  <c r="T304" i="42"/>
  <c r="Y11" i="19"/>
  <c r="Y13" i="19"/>
  <c r="Y26" i="19" s="1"/>
  <c r="Y44" i="19" s="1"/>
  <c r="Y14" i="19"/>
  <c r="Y27" i="19" s="1"/>
  <c r="Y15" i="19"/>
  <c r="Y28" i="19" s="1"/>
  <c r="Y12" i="19"/>
  <c r="Y25" i="19" s="1"/>
  <c r="X16" i="46"/>
  <c r="X272" i="46" s="1"/>
  <c r="X237" i="38"/>
  <c r="X241" i="38" s="1"/>
  <c r="X236" i="38"/>
  <c r="X240" i="38" s="1"/>
  <c r="X235" i="38"/>
  <c r="X239" i="38" s="1"/>
  <c r="X191" i="42"/>
  <c r="X195" i="42" s="1"/>
  <c r="X190" i="42"/>
  <c r="X194" i="42" s="1"/>
  <c r="X192" i="42"/>
  <c r="X189" i="42"/>
  <c r="X193" i="42" s="1"/>
  <c r="Y16" i="28"/>
  <c r="Y115" i="28" s="1"/>
  <c r="Y24" i="28"/>
  <c r="W197" i="38"/>
  <c r="W201" i="38" s="1"/>
  <c r="W198" i="38"/>
  <c r="W202" i="38" s="1"/>
  <c r="W200" i="38"/>
  <c r="X100" i="36" s="1"/>
  <c r="W199" i="38"/>
  <c r="W203" i="38" s="1"/>
  <c r="R156" i="29"/>
  <c r="R155" i="29"/>
  <c r="R159" i="29" s="1"/>
  <c r="R325" i="42"/>
  <c r="R326" i="42" s="1"/>
  <c r="R333" i="42" s="1"/>
  <c r="Z12" i="48"/>
  <c r="Z14" i="48"/>
  <c r="Z13" i="48"/>
  <c r="Z15" i="48"/>
  <c r="Z11" i="48"/>
  <c r="W137" i="38"/>
  <c r="W135" i="38"/>
  <c r="W136" i="38"/>
  <c r="U296" i="42"/>
  <c r="U294" i="42"/>
  <c r="U293" i="42"/>
  <c r="U295" i="42"/>
  <c r="Y134" i="42"/>
  <c r="Y150" i="42"/>
  <c r="Y158" i="42"/>
  <c r="Y142" i="42"/>
  <c r="T152" i="28"/>
  <c r="T153" i="28"/>
  <c r="T155" i="28"/>
  <c r="T154" i="28"/>
  <c r="T150" i="28"/>
  <c r="T151" i="28"/>
  <c r="S171" i="28"/>
  <c r="S172" i="28"/>
  <c r="V31" i="19"/>
  <c r="V211" i="19"/>
  <c r="Z15" i="20"/>
  <c r="Z12" i="20"/>
  <c r="Z13" i="20"/>
  <c r="Z11" i="20"/>
  <c r="Z14" i="20"/>
  <c r="X16" i="53"/>
  <c r="X24" i="53"/>
  <c r="X29" i="53" s="1"/>
  <c r="T158" i="29"/>
  <c r="T157" i="29"/>
  <c r="W47" i="29"/>
  <c r="W142" i="29" s="1"/>
  <c r="U101" i="29"/>
  <c r="T134" i="29"/>
  <c r="T135" i="29" s="1"/>
  <c r="V181" i="28"/>
  <c r="V182" i="28" s="1"/>
  <c r="V158" i="28"/>
  <c r="Y15" i="46"/>
  <c r="Y11" i="46"/>
  <c r="Y14" i="46"/>
  <c r="Y12" i="46"/>
  <c r="Y13" i="46"/>
  <c r="Y15" i="38"/>
  <c r="Y28" i="38" s="1"/>
  <c r="Y43" i="38" s="1"/>
  <c r="Y234" i="38" s="1"/>
  <c r="Y13" i="38"/>
  <c r="Y26" i="38" s="1"/>
  <c r="Y41" i="38" s="1"/>
  <c r="Y219" i="38" s="1"/>
  <c r="Y12" i="38"/>
  <c r="Y25" i="38" s="1"/>
  <c r="Y40" i="38" s="1"/>
  <c r="Y14" i="38"/>
  <c r="Y27" i="38" s="1"/>
  <c r="Y42" i="38" s="1"/>
  <c r="Y11" i="38"/>
  <c r="X198" i="42"/>
  <c r="X202" i="42" s="1"/>
  <c r="X200" i="42"/>
  <c r="X197" i="42"/>
  <c r="X201" i="42" s="1"/>
  <c r="X199" i="42"/>
  <c r="X203" i="42" s="1"/>
  <c r="U193" i="29"/>
  <c r="U194" i="29"/>
  <c r="Y80" i="29"/>
  <c r="Y79" i="29" s="1"/>
  <c r="V243" i="42"/>
  <c r="W205" i="38"/>
  <c r="W209" i="38" s="1"/>
  <c r="W206" i="38"/>
  <c r="W210" i="38" s="1"/>
  <c r="W208" i="38"/>
  <c r="W207" i="38"/>
  <c r="W211" i="38" s="1"/>
  <c r="Y16" i="48"/>
  <c r="Y272" i="48" s="1"/>
  <c r="S315" i="42"/>
  <c r="S316" i="42" s="1"/>
  <c r="S317" i="42"/>
  <c r="S320" i="42" s="1"/>
  <c r="S325" i="42" s="1"/>
  <c r="Y222" i="42"/>
  <c r="Y226" i="42" s="1"/>
  <c r="Y223" i="42"/>
  <c r="Y221" i="42"/>
  <c r="Y225" i="42" s="1"/>
  <c r="Y220" i="42"/>
  <c r="Y224" i="42" s="1"/>
  <c r="R172" i="29"/>
  <c r="R173" i="29" s="1"/>
  <c r="R175" i="29" s="1"/>
  <c r="R174" i="29"/>
  <c r="U292" i="38"/>
  <c r="U289" i="38"/>
  <c r="U291" i="38"/>
  <c r="T151" i="29"/>
  <c r="T152" i="29"/>
  <c r="W31" i="29"/>
  <c r="W132" i="29"/>
  <c r="S140" i="29"/>
  <c r="S137" i="29"/>
  <c r="S139" i="29"/>
  <c r="S141" i="29"/>
  <c r="S136" i="29"/>
  <c r="S138" i="29"/>
  <c r="W67" i="16"/>
  <c r="W46" i="16"/>
  <c r="X134" i="38"/>
  <c r="X142" i="38"/>
  <c r="X158" i="38"/>
  <c r="X150" i="38"/>
  <c r="X208" i="42"/>
  <c r="X207" i="42"/>
  <c r="X211" i="42" s="1"/>
  <c r="X206" i="42"/>
  <c r="X210" i="42" s="1"/>
  <c r="X205" i="42"/>
  <c r="X209" i="42" s="1"/>
  <c r="Y46" i="29"/>
  <c r="Y85" i="29" s="1"/>
  <c r="V70" i="42"/>
  <c r="V74" i="42" s="1"/>
  <c r="V72" i="42"/>
  <c r="V76" i="42" s="1"/>
  <c r="V71" i="42"/>
  <c r="V75" i="42" s="1"/>
  <c r="V73" i="42"/>
  <c r="W31" i="42"/>
  <c r="W278" i="42"/>
  <c r="T176" i="28"/>
  <c r="T174" i="28"/>
  <c r="T177" i="28"/>
  <c r="T175" i="28"/>
  <c r="T178" i="28"/>
  <c r="T179" i="28"/>
  <c r="S284" i="42"/>
  <c r="S285" i="42"/>
  <c r="S282" i="42"/>
  <c r="S283" i="42"/>
  <c r="S287" i="42"/>
  <c r="S286" i="42"/>
  <c r="M163" i="19"/>
  <c r="M162" i="19"/>
  <c r="M161" i="19"/>
  <c r="M160" i="19"/>
  <c r="N199" i="20"/>
  <c r="N201" i="20"/>
  <c r="N203" i="20"/>
  <c r="N164" i="19" s="1"/>
  <c r="N200" i="20"/>
  <c r="N202" i="20"/>
  <c r="N25" i="20"/>
  <c r="M154" i="19"/>
  <c r="N24" i="20"/>
  <c r="N219" i="20"/>
  <c r="M29" i="20"/>
  <c r="N27" i="20"/>
  <c r="L253" i="20"/>
  <c r="L31" i="20"/>
  <c r="N155" i="19"/>
  <c r="N157" i="19"/>
  <c r="O123" i="12"/>
  <c r="O26" i="20"/>
  <c r="O44" i="20" s="1"/>
  <c r="O198" i="20" s="1"/>
  <c r="O159" i="19" s="1"/>
  <c r="P123" i="14" s="1"/>
  <c r="O28" i="20"/>
  <c r="V77" i="15" l="1"/>
  <c r="BD78" i="36"/>
  <c r="Z49" i="15"/>
  <c r="Z49" i="16"/>
  <c r="BD99" i="36"/>
  <c r="BD100" i="36"/>
  <c r="BD108" i="36"/>
  <c r="BF60" i="51"/>
  <c r="X65" i="15"/>
  <c r="X65" i="16"/>
  <c r="P337" i="42"/>
  <c r="P196" i="29"/>
  <c r="Q71" i="16"/>
  <c r="V243" i="38"/>
  <c r="W243" i="42"/>
  <c r="Z46" i="29"/>
  <c r="Z80" i="29"/>
  <c r="Z79" i="29" s="1"/>
  <c r="W88" i="29"/>
  <c r="Q333" i="42"/>
  <c r="Q337" i="42" s="1"/>
  <c r="Z61" i="16"/>
  <c r="Y84" i="29"/>
  <c r="V307" i="42"/>
  <c r="V311" i="42"/>
  <c r="V309" i="42"/>
  <c r="V306" i="42"/>
  <c r="V310" i="42"/>
  <c r="V308" i="42"/>
  <c r="T154" i="29"/>
  <c r="T153" i="29"/>
  <c r="S326" i="42"/>
  <c r="S333" i="42" s="1"/>
  <c r="Y221" i="38"/>
  <c r="Y225" i="38" s="1"/>
  <c r="Y220" i="38"/>
  <c r="Y224" i="38" s="1"/>
  <c r="Y222" i="38"/>
  <c r="Y226" i="38" s="1"/>
  <c r="X194" i="53"/>
  <c r="X31" i="53"/>
  <c r="Y16" i="19"/>
  <c r="Y24" i="19"/>
  <c r="Z16" i="42"/>
  <c r="Z244" i="42" s="1"/>
  <c r="Z24" i="42"/>
  <c r="Y29" i="29"/>
  <c r="Y42" i="29"/>
  <c r="V292" i="38"/>
  <c r="V289" i="38"/>
  <c r="X47" i="29"/>
  <c r="X142" i="29" s="1"/>
  <c r="U158" i="29"/>
  <c r="U157" i="29"/>
  <c r="X194" i="54"/>
  <c r="X31" i="54"/>
  <c r="W208" i="28"/>
  <c r="W156" i="28"/>
  <c r="W207" i="28"/>
  <c r="T166" i="28"/>
  <c r="T165" i="28"/>
  <c r="S155" i="29"/>
  <c r="S159" i="29" s="1"/>
  <c r="S156" i="29"/>
  <c r="X29" i="19"/>
  <c r="U161" i="28"/>
  <c r="U163" i="28"/>
  <c r="U164" i="28"/>
  <c r="U162" i="28"/>
  <c r="Y198" i="42"/>
  <c r="Y202" i="42" s="1"/>
  <c r="Y200" i="42"/>
  <c r="Y199" i="42"/>
  <c r="Y203" i="42" s="1"/>
  <c r="Y197" i="42"/>
  <c r="Y201" i="42" s="1"/>
  <c r="Y235" i="38"/>
  <c r="Y239" i="38" s="1"/>
  <c r="Y237" i="38"/>
  <c r="Y241" i="38" s="1"/>
  <c r="Y236" i="38"/>
  <c r="Y240" i="38" s="1"/>
  <c r="V33" i="19"/>
  <c r="V34" i="19"/>
  <c r="U304" i="42"/>
  <c r="U303" i="42"/>
  <c r="Y29" i="28"/>
  <c r="Y42" i="28"/>
  <c r="Z12" i="19"/>
  <c r="Z25" i="19" s="1"/>
  <c r="Z11" i="19"/>
  <c r="Z13" i="19"/>
  <c r="Z26" i="19" s="1"/>
  <c r="Z44" i="19" s="1"/>
  <c r="Z14" i="19"/>
  <c r="Z27" i="19" s="1"/>
  <c r="Z15" i="19"/>
  <c r="Z28" i="19" s="1"/>
  <c r="Z238" i="42"/>
  <c r="Z235" i="42"/>
  <c r="Z239" i="42" s="1"/>
  <c r="Z236" i="42"/>
  <c r="Z240" i="42" s="1"/>
  <c r="Z237" i="42"/>
  <c r="Z241" i="42" s="1"/>
  <c r="S179" i="29"/>
  <c r="S180" i="29" s="1"/>
  <c r="S189" i="29" s="1"/>
  <c r="T70" i="16" s="1"/>
  <c r="R186" i="28"/>
  <c r="R187" i="28" s="1"/>
  <c r="R189" i="28" s="1"/>
  <c r="R188" i="28"/>
  <c r="AA12" i="29"/>
  <c r="AA25" i="29" s="1"/>
  <c r="AA43" i="29" s="1"/>
  <c r="AA15" i="29"/>
  <c r="AA28" i="29" s="1"/>
  <c r="AA13" i="29"/>
  <c r="AA26" i="29" s="1"/>
  <c r="AA44" i="29" s="1"/>
  <c r="AA14" i="29"/>
  <c r="AA27" i="29" s="1"/>
  <c r="AA11" i="29"/>
  <c r="Q193" i="28"/>
  <c r="Q194" i="28" s="1"/>
  <c r="Q203" i="28" s="1"/>
  <c r="R70" i="15" s="1"/>
  <c r="V313" i="38"/>
  <c r="V290" i="38"/>
  <c r="V291" i="38" s="1"/>
  <c r="X132" i="29"/>
  <c r="X31" i="29"/>
  <c r="Y16" i="53"/>
  <c r="Y24" i="53"/>
  <c r="Y29" i="53" s="1"/>
  <c r="Y190" i="42"/>
  <c r="Y194" i="42" s="1"/>
  <c r="Y191" i="42"/>
  <c r="Y195" i="42" s="1"/>
  <c r="Y189" i="42"/>
  <c r="Y193" i="42" s="1"/>
  <c r="Y192" i="42"/>
  <c r="U309" i="38"/>
  <c r="U310" i="38"/>
  <c r="U311" i="38"/>
  <c r="U308" i="38"/>
  <c r="U307" i="38"/>
  <c r="U306" i="38"/>
  <c r="T139" i="29"/>
  <c r="T141" i="29"/>
  <c r="T136" i="29"/>
  <c r="T138" i="29"/>
  <c r="T140" i="29"/>
  <c r="T137" i="29"/>
  <c r="Y146" i="42"/>
  <c r="Y143" i="42"/>
  <c r="Y147" i="42" s="1"/>
  <c r="Y145" i="42"/>
  <c r="Y149" i="42" s="1"/>
  <c r="Y144" i="42"/>
  <c r="Y148" i="42" s="1"/>
  <c r="Z134" i="42"/>
  <c r="Z158" i="42"/>
  <c r="Z142" i="42"/>
  <c r="Z150" i="42"/>
  <c r="V149" i="29"/>
  <c r="V147" i="29"/>
  <c r="V150" i="29"/>
  <c r="V148" i="29"/>
  <c r="X213" i="28"/>
  <c r="X51" i="29"/>
  <c r="X53" i="29"/>
  <c r="X47" i="28"/>
  <c r="X114" i="28" s="1"/>
  <c r="X56" i="29"/>
  <c r="Y44" i="16" s="1"/>
  <c r="X57" i="29"/>
  <c r="Y62" i="15"/>
  <c r="X60" i="29"/>
  <c r="Y56" i="16" s="1"/>
  <c r="Y56" i="15"/>
  <c r="X50" i="29"/>
  <c r="Y44" i="15"/>
  <c r="X54" i="29"/>
  <c r="X59" i="29"/>
  <c r="Y62" i="16" s="1"/>
  <c r="X52" i="29"/>
  <c r="X49" i="29" s="1"/>
  <c r="X58" i="29"/>
  <c r="X100" i="29" s="1"/>
  <c r="W181" i="28"/>
  <c r="W182" i="28" s="1"/>
  <c r="W158" i="28"/>
  <c r="W96" i="42"/>
  <c r="W100" i="42" s="1"/>
  <c r="W94" i="42"/>
  <c r="W98" i="42" s="1"/>
  <c r="W97" i="42"/>
  <c r="W95" i="42"/>
  <c r="W99" i="42" s="1"/>
  <c r="X39" i="38"/>
  <c r="X29" i="38"/>
  <c r="V164" i="29"/>
  <c r="V165" i="29"/>
  <c r="V161" i="29"/>
  <c r="V163" i="29"/>
  <c r="V160" i="29"/>
  <c r="V162" i="29"/>
  <c r="Y207" i="42"/>
  <c r="Y211" i="42" s="1"/>
  <c r="Y205" i="42"/>
  <c r="Y209" i="42" s="1"/>
  <c r="Y208" i="42"/>
  <c r="Y206" i="42"/>
  <c r="Y210" i="42" s="1"/>
  <c r="X152" i="38"/>
  <c r="X156" i="38" s="1"/>
  <c r="X151" i="38"/>
  <c r="X155" i="38" s="1"/>
  <c r="X153" i="38"/>
  <c r="X157" i="38" s="1"/>
  <c r="X154" i="38"/>
  <c r="Y78" i="36" s="1"/>
  <c r="V101" i="29"/>
  <c r="U134" i="29"/>
  <c r="U135" i="29" s="1"/>
  <c r="S183" i="28"/>
  <c r="S184" i="28" s="1"/>
  <c r="S185" i="28"/>
  <c r="S188" i="28" s="1"/>
  <c r="Y160" i="42"/>
  <c r="Y164" i="42" s="1"/>
  <c r="Y161" i="42"/>
  <c r="Y165" i="42" s="1"/>
  <c r="Y159" i="42"/>
  <c r="Y163" i="42" s="1"/>
  <c r="Y162" i="42"/>
  <c r="T315" i="42"/>
  <c r="T316" i="42" s="1"/>
  <c r="T317" i="42"/>
  <c r="T320" i="42" s="1"/>
  <c r="U151" i="28"/>
  <c r="U154" i="28"/>
  <c r="U152" i="28"/>
  <c r="U153" i="28"/>
  <c r="U150" i="28"/>
  <c r="U155" i="28"/>
  <c r="P343" i="42"/>
  <c r="AW126" i="36" s="1"/>
  <c r="AW125" i="36"/>
  <c r="S167" i="28"/>
  <c r="S168" i="28"/>
  <c r="V294" i="42"/>
  <c r="V295" i="42"/>
  <c r="V296" i="42"/>
  <c r="V293" i="42"/>
  <c r="Z16" i="28"/>
  <c r="Z115" i="28" s="1"/>
  <c r="Z24" i="28"/>
  <c r="X146" i="28"/>
  <c r="X31" i="28"/>
  <c r="Y16" i="54"/>
  <c r="Y24" i="54"/>
  <c r="Y29" i="54" s="1"/>
  <c r="W34" i="28"/>
  <c r="W33" i="28"/>
  <c r="X67" i="15"/>
  <c r="X46" i="15"/>
  <c r="T285" i="42"/>
  <c r="T282" i="42"/>
  <c r="T284" i="42"/>
  <c r="T286" i="42"/>
  <c r="T283" i="42"/>
  <c r="T287" i="42"/>
  <c r="W80" i="42"/>
  <c r="W84" i="42" s="1"/>
  <c r="W78" i="42"/>
  <c r="W82" i="42" s="1"/>
  <c r="W81" i="42"/>
  <c r="W79" i="42"/>
  <c r="W83" i="42" s="1"/>
  <c r="X246" i="42"/>
  <c r="X44" i="42"/>
  <c r="X288" i="42" s="1"/>
  <c r="X93" i="42"/>
  <c r="X101" i="42"/>
  <c r="X77" i="42"/>
  <c r="X69" i="42"/>
  <c r="X160" i="38"/>
  <c r="X164" i="38" s="1"/>
  <c r="X161" i="38"/>
  <c r="X165" i="38" s="1"/>
  <c r="X159" i="38"/>
  <c r="X163" i="38" s="1"/>
  <c r="X162" i="38"/>
  <c r="Y108" i="36" s="1"/>
  <c r="U296" i="38"/>
  <c r="U295" i="38"/>
  <c r="U294" i="38"/>
  <c r="U293" i="38"/>
  <c r="Y16" i="38"/>
  <c r="Y244" i="38" s="1"/>
  <c r="Y24" i="38"/>
  <c r="Y153" i="42"/>
  <c r="Y157" i="42" s="1"/>
  <c r="Y154" i="42"/>
  <c r="Y152" i="42"/>
  <c r="Y156" i="42" s="1"/>
  <c r="Y151" i="42"/>
  <c r="Y155" i="42" s="1"/>
  <c r="R335" i="42"/>
  <c r="R342" i="42" s="1"/>
  <c r="AY125" i="36" s="1"/>
  <c r="W214" i="28"/>
  <c r="V148" i="28"/>
  <c r="V149" i="28" s="1"/>
  <c r="T304" i="38"/>
  <c r="T303" i="38"/>
  <c r="T315" i="38" s="1"/>
  <c r="R301" i="38"/>
  <c r="R305" i="38" s="1"/>
  <c r="R302" i="38"/>
  <c r="Q342" i="42"/>
  <c r="Z73" i="29"/>
  <c r="AA58" i="16" s="1"/>
  <c r="Z82" i="29"/>
  <c r="AA55" i="16" s="1"/>
  <c r="AA55" i="15"/>
  <c r="R169" i="28"/>
  <c r="R173" i="28" s="1"/>
  <c r="R170" i="28"/>
  <c r="P72" i="15"/>
  <c r="O211" i="28"/>
  <c r="P73" i="15" s="1"/>
  <c r="S172" i="29"/>
  <c r="S173" i="29" s="1"/>
  <c r="S175" i="29" s="1"/>
  <c r="Z14" i="53"/>
  <c r="Z27" i="53" s="1"/>
  <c r="Z13" i="53"/>
  <c r="Z26" i="53" s="1"/>
  <c r="Z41" i="53" s="1"/>
  <c r="Z147" i="53" s="1"/>
  <c r="Z148" i="53" s="1"/>
  <c r="AA60" i="51" s="1"/>
  <c r="Z11" i="53"/>
  <c r="Z15" i="53"/>
  <c r="Z28" i="53" s="1"/>
  <c r="Z12" i="53"/>
  <c r="Z25" i="53" s="1"/>
  <c r="X84" i="29"/>
  <c r="Y61" i="16"/>
  <c r="U280" i="42"/>
  <c r="U281" i="42" s="1"/>
  <c r="V247" i="42"/>
  <c r="W102" i="42"/>
  <c r="W106" i="42" s="1"/>
  <c r="W104" i="42"/>
  <c r="W108" i="42" s="1"/>
  <c r="W103" i="42"/>
  <c r="W107" i="42" s="1"/>
  <c r="W105" i="42"/>
  <c r="W68" i="15"/>
  <c r="X31" i="42"/>
  <c r="X278" i="42"/>
  <c r="X143" i="38"/>
  <c r="X147" i="38" s="1"/>
  <c r="X145" i="38"/>
  <c r="X149" i="38" s="1"/>
  <c r="X146" i="38"/>
  <c r="Y99" i="36" s="1"/>
  <c r="X144" i="38"/>
  <c r="X148" i="38" s="1"/>
  <c r="W77" i="16"/>
  <c r="W68" i="16"/>
  <c r="S318" i="42"/>
  <c r="S319" i="42" s="1"/>
  <c r="S321" i="42" s="1"/>
  <c r="Y196" i="38"/>
  <c r="Y188" i="38"/>
  <c r="Y204" i="38"/>
  <c r="Y16" i="46"/>
  <c r="Y272" i="46" s="1"/>
  <c r="W146" i="29"/>
  <c r="W143" i="29"/>
  <c r="Y137" i="42"/>
  <c r="Y141" i="42" s="1"/>
  <c r="Y136" i="42"/>
  <c r="Y140" i="42" s="1"/>
  <c r="Y138" i="42"/>
  <c r="Y135" i="42"/>
  <c r="Y139" i="42" s="1"/>
  <c r="AA14" i="48"/>
  <c r="AA11" i="48"/>
  <c r="AA12" i="48"/>
  <c r="AA13" i="48"/>
  <c r="AA15" i="48"/>
  <c r="AA13" i="42"/>
  <c r="AA26" i="42" s="1"/>
  <c r="AA41" i="42" s="1"/>
  <c r="AA219" i="42" s="1"/>
  <c r="AA15" i="42"/>
  <c r="AA28" i="42" s="1"/>
  <c r="AA43" i="42" s="1"/>
  <c r="AA234" i="42" s="1"/>
  <c r="AA12" i="42"/>
  <c r="AA25" i="42" s="1"/>
  <c r="AA40" i="42" s="1"/>
  <c r="AA11" i="42"/>
  <c r="AA14" i="42"/>
  <c r="AA27" i="42" s="1"/>
  <c r="AA42" i="42" s="1"/>
  <c r="AA14" i="28"/>
  <c r="AA27" i="28" s="1"/>
  <c r="AA12" i="28"/>
  <c r="AA25" i="28" s="1"/>
  <c r="AA43" i="28" s="1"/>
  <c r="AA13" i="28"/>
  <c r="AA26" i="28" s="1"/>
  <c r="AA44" i="28" s="1"/>
  <c r="AA11" i="28"/>
  <c r="AA15" i="28"/>
  <c r="AA28" i="28" s="1"/>
  <c r="X190" i="38"/>
  <c r="X194" i="38" s="1"/>
  <c r="X189" i="38"/>
  <c r="X193" i="38" s="1"/>
  <c r="X191" i="38"/>
  <c r="X195" i="38" s="1"/>
  <c r="W278" i="38"/>
  <c r="W31" i="38"/>
  <c r="X59" i="16"/>
  <c r="X66" i="16"/>
  <c r="T171" i="28"/>
  <c r="T172" i="28"/>
  <c r="W72" i="42"/>
  <c r="W76" i="42" s="1"/>
  <c r="W73" i="42"/>
  <c r="W70" i="42"/>
  <c r="W74" i="42" s="1"/>
  <c r="W71" i="42"/>
  <c r="W75" i="42" s="1"/>
  <c r="X137" i="38"/>
  <c r="X136" i="38"/>
  <c r="X135" i="38"/>
  <c r="W34" i="29"/>
  <c r="W33" i="29"/>
  <c r="R179" i="29"/>
  <c r="Y134" i="38"/>
  <c r="Y142" i="38"/>
  <c r="Y158" i="38"/>
  <c r="Y150" i="38"/>
  <c r="Z12" i="46"/>
  <c r="Z14" i="46"/>
  <c r="Z11" i="46"/>
  <c r="Z15" i="46"/>
  <c r="Z13" i="46"/>
  <c r="T169" i="29"/>
  <c r="T170" i="29" s="1"/>
  <c r="T171" i="29"/>
  <c r="T174" i="29" s="1"/>
  <c r="AA15" i="20"/>
  <c r="AA12" i="20"/>
  <c r="AA13" i="20"/>
  <c r="AA11" i="20"/>
  <c r="AA14" i="20"/>
  <c r="U298" i="42"/>
  <c r="U297" i="42"/>
  <c r="Z16" i="48"/>
  <c r="Z272" i="48" s="1"/>
  <c r="V160" i="28"/>
  <c r="V159" i="28"/>
  <c r="V157" i="28"/>
  <c r="Z222" i="42"/>
  <c r="Z226" i="42" s="1"/>
  <c r="Z220" i="42"/>
  <c r="Z224" i="42" s="1"/>
  <c r="Z223" i="42"/>
  <c r="Z221" i="42"/>
  <c r="Z225" i="42" s="1"/>
  <c r="T298" i="38"/>
  <c r="T297" i="38"/>
  <c r="T318" i="42"/>
  <c r="T319" i="42" s="1"/>
  <c r="Z16" i="29"/>
  <c r="Z24" i="29"/>
  <c r="AA45" i="15"/>
  <c r="AA58" i="15"/>
  <c r="AA64" i="15"/>
  <c r="AA48" i="15"/>
  <c r="Z65" i="29"/>
  <c r="Z75" i="29"/>
  <c r="AA64" i="16" s="1"/>
  <c r="Z74" i="29"/>
  <c r="AA45" i="16" s="1"/>
  <c r="Z68" i="29"/>
  <c r="Z66" i="29"/>
  <c r="Z72" i="29"/>
  <c r="Z64" i="29"/>
  <c r="Z63" i="29"/>
  <c r="Z62" i="29" s="1"/>
  <c r="Z71" i="29"/>
  <c r="AA48" i="16" s="1"/>
  <c r="Z70" i="29"/>
  <c r="Z67" i="29"/>
  <c r="Y39" i="42"/>
  <c r="Y29" i="42"/>
  <c r="U151" i="29"/>
  <c r="U152" i="29"/>
  <c r="X208" i="38"/>
  <c r="X207" i="38"/>
  <c r="X211" i="38" s="1"/>
  <c r="X205" i="38"/>
  <c r="X209" i="38" s="1"/>
  <c r="X206" i="38"/>
  <c r="X210" i="38" s="1"/>
  <c r="W246" i="38"/>
  <c r="W44" i="38"/>
  <c r="W288" i="38" s="1"/>
  <c r="W93" i="38"/>
  <c r="W69" i="38"/>
  <c r="W70" i="38" s="1"/>
  <c r="W77" i="38"/>
  <c r="W101" i="38"/>
  <c r="W167" i="29"/>
  <c r="W168" i="29" s="1"/>
  <c r="W144" i="29"/>
  <c r="W145" i="29" s="1"/>
  <c r="X66" i="15"/>
  <c r="X59" i="15"/>
  <c r="W292" i="42"/>
  <c r="W289" i="42"/>
  <c r="S302" i="42"/>
  <c r="S301" i="42"/>
  <c r="S305" i="42" s="1"/>
  <c r="V193" i="29"/>
  <c r="V194" i="29"/>
  <c r="Z14" i="38"/>
  <c r="Z27" i="38" s="1"/>
  <c r="Z42" i="38" s="1"/>
  <c r="Z11" i="38"/>
  <c r="Z15" i="38"/>
  <c r="Z28" i="38" s="1"/>
  <c r="Z43" i="38" s="1"/>
  <c r="Z234" i="38" s="1"/>
  <c r="Z13" i="38"/>
  <c r="Z26" i="38" s="1"/>
  <c r="Z41" i="38" s="1"/>
  <c r="Z219" i="38" s="1"/>
  <c r="Z12" i="38"/>
  <c r="Z25" i="38" s="1"/>
  <c r="Z40" i="38" s="1"/>
  <c r="Z204" i="42"/>
  <c r="Z188" i="42"/>
  <c r="Z196" i="42"/>
  <c r="P201" i="28"/>
  <c r="W31" i="19"/>
  <c r="W211" i="19"/>
  <c r="T299" i="42"/>
  <c r="T300" i="42"/>
  <c r="Z46" i="28"/>
  <c r="S300" i="38"/>
  <c r="S299" i="38"/>
  <c r="Z12" i="54"/>
  <c r="Z25" i="54" s="1"/>
  <c r="Z14" i="54"/>
  <c r="Z27" i="54" s="1"/>
  <c r="Z11" i="54"/>
  <c r="Z13" i="54"/>
  <c r="Z26" i="54" s="1"/>
  <c r="Z41" i="54" s="1"/>
  <c r="Z147" i="54" s="1"/>
  <c r="Z148" i="54" s="1"/>
  <c r="Z15" i="54"/>
  <c r="Z28" i="54" s="1"/>
  <c r="X200" i="38"/>
  <c r="Y100" i="36" s="1"/>
  <c r="X197" i="38"/>
  <c r="X201" i="38" s="1"/>
  <c r="X198" i="38"/>
  <c r="X202" i="38" s="1"/>
  <c r="X199" i="38"/>
  <c r="X203" i="38" s="1"/>
  <c r="Q72" i="16"/>
  <c r="P197" i="29"/>
  <c r="Q73" i="16" s="1"/>
  <c r="X67" i="16"/>
  <c r="X46" i="16"/>
  <c r="W290" i="42"/>
  <c r="W291" i="42" s="1"/>
  <c r="W313" i="42"/>
  <c r="W314" i="42" s="1"/>
  <c r="R69" i="16"/>
  <c r="Q196" i="29"/>
  <c r="U175" i="28"/>
  <c r="U174" i="28"/>
  <c r="U178" i="28"/>
  <c r="U176" i="28"/>
  <c r="U177" i="28"/>
  <c r="U179" i="28"/>
  <c r="N163" i="19"/>
  <c r="N160" i="19"/>
  <c r="N161" i="19"/>
  <c r="N162" i="19"/>
  <c r="O199" i="20"/>
  <c r="O201" i="20"/>
  <c r="O203" i="20"/>
  <c r="O164" i="19" s="1"/>
  <c r="O200" i="20"/>
  <c r="O202" i="20"/>
  <c r="O16" i="20"/>
  <c r="O219" i="20" s="1"/>
  <c r="O27" i="20"/>
  <c r="O25" i="20"/>
  <c r="N154" i="19"/>
  <c r="M253" i="20"/>
  <c r="M31" i="20"/>
  <c r="P28" i="20"/>
  <c r="P26" i="20"/>
  <c r="P44" i="20" s="1"/>
  <c r="P198" i="20" s="1"/>
  <c r="P159" i="19" s="1"/>
  <c r="Q123" i="14" s="1"/>
  <c r="P16" i="20"/>
  <c r="O24" i="20"/>
  <c r="P123" i="12"/>
  <c r="O157" i="19"/>
  <c r="O155" i="19"/>
  <c r="N29" i="20"/>
  <c r="AA49" i="16" l="1"/>
  <c r="Y59" i="16"/>
  <c r="BG60" i="51"/>
  <c r="Y65" i="15"/>
  <c r="BE100" i="36"/>
  <c r="W77" i="15"/>
  <c r="BE78" i="36"/>
  <c r="R71" i="16"/>
  <c r="BE108" i="36"/>
  <c r="AA49" i="15"/>
  <c r="BE99" i="36"/>
  <c r="S186" i="28"/>
  <c r="S187" i="28" s="1"/>
  <c r="S189" i="28" s="1"/>
  <c r="Y65" i="16"/>
  <c r="S335" i="42"/>
  <c r="S342" i="42" s="1"/>
  <c r="AZ125" i="36" s="1"/>
  <c r="Y66" i="16"/>
  <c r="AA46" i="28"/>
  <c r="W243" i="38"/>
  <c r="V308" i="38"/>
  <c r="V309" i="38"/>
  <c r="V306" i="38"/>
  <c r="V311" i="38"/>
  <c r="V310" i="38"/>
  <c r="V307" i="38"/>
  <c r="R72" i="16"/>
  <c r="Q197" i="29"/>
  <c r="R73" i="16" s="1"/>
  <c r="S301" i="38"/>
  <c r="S305" i="38" s="1"/>
  <c r="S302" i="38"/>
  <c r="Q69" i="15"/>
  <c r="P205" i="28"/>
  <c r="P210" i="28"/>
  <c r="W160" i="29"/>
  <c r="W162" i="29"/>
  <c r="W164" i="29"/>
  <c r="W161" i="29"/>
  <c r="W163" i="29"/>
  <c r="W165" i="29"/>
  <c r="W290" i="38"/>
  <c r="W313" i="38"/>
  <c r="Y246" i="42"/>
  <c r="Y101" i="42"/>
  <c r="Y93" i="42"/>
  <c r="Y77" i="42"/>
  <c r="Y69" i="42"/>
  <c r="Y44" i="42"/>
  <c r="Y288" i="42" s="1"/>
  <c r="Y137" i="38"/>
  <c r="Y136" i="38"/>
  <c r="Y135" i="38"/>
  <c r="AB61" i="15"/>
  <c r="AA16" i="42"/>
  <c r="AA244" i="42" s="1"/>
  <c r="AA24" i="42"/>
  <c r="Y197" i="38"/>
  <c r="Y201" i="38" s="1"/>
  <c r="Y198" i="38"/>
  <c r="Y202" i="38" s="1"/>
  <c r="Y199" i="38"/>
  <c r="Y203" i="38" s="1"/>
  <c r="Y200" i="38"/>
  <c r="Z100" i="36" s="1"/>
  <c r="X292" i="42"/>
  <c r="X289" i="42"/>
  <c r="X33" i="28"/>
  <c r="X34" i="28"/>
  <c r="T325" i="42"/>
  <c r="Y67" i="16"/>
  <c r="Y46" i="16"/>
  <c r="V152" i="29"/>
  <c r="V151" i="29"/>
  <c r="Z146" i="42"/>
  <c r="Z145" i="42"/>
  <c r="Z149" i="42" s="1"/>
  <c r="Z143" i="42"/>
  <c r="Z147" i="42" s="1"/>
  <c r="Z144" i="42"/>
  <c r="Z148" i="42" s="1"/>
  <c r="R343" i="42"/>
  <c r="AY126" i="36" s="1"/>
  <c r="U315" i="42"/>
  <c r="U316" i="42" s="1"/>
  <c r="U317" i="42"/>
  <c r="U320" i="42" s="1"/>
  <c r="X31" i="19"/>
  <c r="X211" i="19"/>
  <c r="V294" i="38"/>
  <c r="V293" i="38"/>
  <c r="V295" i="38"/>
  <c r="V296" i="38"/>
  <c r="Z199" i="42"/>
  <c r="Z203" i="42" s="1"/>
  <c r="Z197" i="42"/>
  <c r="Z201" i="42" s="1"/>
  <c r="Z198" i="42"/>
  <c r="Z202" i="42" s="1"/>
  <c r="Z200" i="42"/>
  <c r="Z134" i="38"/>
  <c r="Z158" i="38"/>
  <c r="Z142" i="38"/>
  <c r="Z150" i="38"/>
  <c r="V174" i="28"/>
  <c r="V178" i="28"/>
  <c r="V176" i="28"/>
  <c r="V179" i="28"/>
  <c r="V175" i="28"/>
  <c r="V177" i="28"/>
  <c r="Z16" i="46"/>
  <c r="Z272" i="46" s="1"/>
  <c r="AA16" i="28"/>
  <c r="AA115" i="28" s="1"/>
  <c r="AA24" i="28"/>
  <c r="AA134" i="42"/>
  <c r="AA150" i="42"/>
  <c r="AA158" i="42"/>
  <c r="AA142" i="42"/>
  <c r="X313" i="42"/>
  <c r="X314" i="42" s="1"/>
  <c r="X290" i="42"/>
  <c r="X291" i="42" s="1"/>
  <c r="Y194" i="54"/>
  <c r="Y31" i="54"/>
  <c r="S170" i="28"/>
  <c r="S169" i="28"/>
  <c r="S173" i="28" s="1"/>
  <c r="U136" i="29"/>
  <c r="U138" i="29"/>
  <c r="U140" i="29"/>
  <c r="U137" i="29"/>
  <c r="U139" i="29"/>
  <c r="U141" i="29"/>
  <c r="X156" i="28"/>
  <c r="X207" i="28"/>
  <c r="X208" i="28"/>
  <c r="Z162" i="42"/>
  <c r="Z159" i="42"/>
  <c r="Z163" i="42" s="1"/>
  <c r="Z160" i="42"/>
  <c r="Z164" i="42" s="1"/>
  <c r="Z161" i="42"/>
  <c r="Z165" i="42" s="1"/>
  <c r="X33" i="29"/>
  <c r="X34" i="29"/>
  <c r="AA16" i="29"/>
  <c r="AA24" i="29"/>
  <c r="T172" i="29"/>
  <c r="T173" i="29" s="1"/>
  <c r="T175" i="29" s="1"/>
  <c r="Z39" i="42"/>
  <c r="Z29" i="42"/>
  <c r="X68" i="16"/>
  <c r="X77" i="16"/>
  <c r="AA61" i="15"/>
  <c r="Z85" i="29"/>
  <c r="Z191" i="42"/>
  <c r="Z195" i="42" s="1"/>
  <c r="Z192" i="42"/>
  <c r="Z190" i="42"/>
  <c r="Z194" i="42" s="1"/>
  <c r="Z189" i="42"/>
  <c r="Z193" i="42" s="1"/>
  <c r="Z221" i="38"/>
  <c r="Z225" i="38" s="1"/>
  <c r="Z220" i="38"/>
  <c r="Z224" i="38" s="1"/>
  <c r="Z222" i="38"/>
  <c r="Z226" i="38" s="1"/>
  <c r="Z29" i="29"/>
  <c r="Z42" i="29"/>
  <c r="V164" i="28"/>
  <c r="V161" i="28"/>
  <c r="V163" i="28"/>
  <c r="V162" i="28"/>
  <c r="AA13" i="46"/>
  <c r="AA15" i="46"/>
  <c r="AA11" i="46"/>
  <c r="AA12" i="46"/>
  <c r="AA14" i="46"/>
  <c r="AB55" i="15"/>
  <c r="AA82" i="29"/>
  <c r="AB55" i="16" s="1"/>
  <c r="AA236" i="42"/>
  <c r="AA240" i="42" s="1"/>
  <c r="AA238" i="42"/>
  <c r="AA235" i="42"/>
  <c r="AA239" i="42" s="1"/>
  <c r="AA237" i="42"/>
  <c r="AA241" i="42" s="1"/>
  <c r="AB11" i="48"/>
  <c r="AB15" i="48"/>
  <c r="AB12" i="48"/>
  <c r="AB14" i="48"/>
  <c r="AB13" i="48"/>
  <c r="Z16" i="53"/>
  <c r="Z24" i="53"/>
  <c r="Z29" i="53" s="1"/>
  <c r="U298" i="38"/>
  <c r="U297" i="38"/>
  <c r="Z29" i="28"/>
  <c r="Z42" i="28"/>
  <c r="R337" i="42"/>
  <c r="W101" i="29"/>
  <c r="V134" i="29"/>
  <c r="V135" i="29" s="1"/>
  <c r="Y67" i="15"/>
  <c r="Y46" i="15"/>
  <c r="Z137" i="42"/>
  <c r="Z141" i="42" s="1"/>
  <c r="Z135" i="42"/>
  <c r="Z139" i="42" s="1"/>
  <c r="Z136" i="42"/>
  <c r="Z140" i="42" s="1"/>
  <c r="Z138" i="42"/>
  <c r="U169" i="29"/>
  <c r="U170" i="29" s="1"/>
  <c r="U171" i="29"/>
  <c r="U174" i="29" s="1"/>
  <c r="Y47" i="29"/>
  <c r="Y142" i="29" s="1"/>
  <c r="Z206" i="42"/>
  <c r="Z210" i="42" s="1"/>
  <c r="Z207" i="42"/>
  <c r="Z211" i="42" s="1"/>
  <c r="Z205" i="42"/>
  <c r="Z209" i="42" s="1"/>
  <c r="Z208" i="42"/>
  <c r="AA15" i="38"/>
  <c r="AA28" i="38" s="1"/>
  <c r="AA43" i="38" s="1"/>
  <c r="AA234" i="38" s="1"/>
  <c r="AA14" i="38"/>
  <c r="AA27" i="38" s="1"/>
  <c r="AA42" i="38" s="1"/>
  <c r="AA13" i="38"/>
  <c r="AA26" i="38" s="1"/>
  <c r="AA41" i="38" s="1"/>
  <c r="AA219" i="38" s="1"/>
  <c r="AA12" i="38"/>
  <c r="AA25" i="38" s="1"/>
  <c r="AA40" i="38" s="1"/>
  <c r="AA11" i="38"/>
  <c r="W311" i="42"/>
  <c r="W306" i="42"/>
  <c r="W309" i="42"/>
  <c r="W310" i="42"/>
  <c r="W307" i="42"/>
  <c r="W308" i="42"/>
  <c r="T299" i="38"/>
  <c r="T300" i="38"/>
  <c r="AB14" i="20"/>
  <c r="AB13" i="20"/>
  <c r="AB12" i="20"/>
  <c r="AB11" i="20"/>
  <c r="AB15" i="20"/>
  <c r="AA64" i="29"/>
  <c r="AA67" i="29"/>
  <c r="AA63" i="29"/>
  <c r="AA62" i="29" s="1"/>
  <c r="AA74" i="29"/>
  <c r="AB45" i="16" s="1"/>
  <c r="AA66" i="29"/>
  <c r="AB58" i="15"/>
  <c r="AA68" i="29"/>
  <c r="AB45" i="15"/>
  <c r="AA71" i="29"/>
  <c r="AB48" i="16" s="1"/>
  <c r="AB64" i="15"/>
  <c r="AA65" i="29"/>
  <c r="AB48" i="15"/>
  <c r="AA75" i="29"/>
  <c r="AB64" i="16" s="1"/>
  <c r="AA70" i="29"/>
  <c r="AA72" i="29"/>
  <c r="AA73" i="29"/>
  <c r="AB58" i="16" s="1"/>
  <c r="AA220" i="42"/>
  <c r="AA224" i="42" s="1"/>
  <c r="AA221" i="42"/>
  <c r="AA225" i="42" s="1"/>
  <c r="AA223" i="42"/>
  <c r="AA222" i="42"/>
  <c r="AA226" i="42" s="1"/>
  <c r="W150" i="29"/>
  <c r="W148" i="29"/>
  <c r="W149" i="29"/>
  <c r="W147" i="29"/>
  <c r="U304" i="38"/>
  <c r="U303" i="38"/>
  <c r="U315" i="38" s="1"/>
  <c r="X243" i="42"/>
  <c r="AA80" i="29"/>
  <c r="AA79" i="29" s="1"/>
  <c r="S187" i="29"/>
  <c r="Z16" i="19"/>
  <c r="Z24" i="19"/>
  <c r="Y132" i="29"/>
  <c r="Y31" i="29"/>
  <c r="Y29" i="19"/>
  <c r="AA14" i="54"/>
  <c r="AA27" i="54" s="1"/>
  <c r="AA15" i="54"/>
  <c r="AA28" i="54" s="1"/>
  <c r="AA12" i="54"/>
  <c r="AA25" i="54" s="1"/>
  <c r="AA11" i="54"/>
  <c r="AA13" i="54"/>
  <c r="AA26" i="54" s="1"/>
  <c r="AA41" i="54" s="1"/>
  <c r="AA147" i="54" s="1"/>
  <c r="AA148" i="54" s="1"/>
  <c r="Z236" i="38"/>
  <c r="Z240" i="38" s="1"/>
  <c r="Z235" i="38"/>
  <c r="Z239" i="38" s="1"/>
  <c r="Z237" i="38"/>
  <c r="Z241" i="38" s="1"/>
  <c r="T321" i="42"/>
  <c r="R180" i="29"/>
  <c r="R189" i="29" s="1"/>
  <c r="S70" i="16" s="1"/>
  <c r="AB14" i="28"/>
  <c r="AB27" i="28" s="1"/>
  <c r="AB13" i="28"/>
  <c r="AB26" i="28" s="1"/>
  <c r="AB44" i="28" s="1"/>
  <c r="AB12" i="28"/>
  <c r="AB25" i="28" s="1"/>
  <c r="AB43" i="28" s="1"/>
  <c r="AB15" i="28"/>
  <c r="AB28" i="28" s="1"/>
  <c r="AB11" i="28"/>
  <c r="AA16" i="48"/>
  <c r="AA272" i="48" s="1"/>
  <c r="V280" i="42"/>
  <c r="V281" i="42" s="1"/>
  <c r="W247" i="42"/>
  <c r="V155" i="28"/>
  <c r="V151" i="28"/>
  <c r="V150" i="28"/>
  <c r="V153" i="28"/>
  <c r="V154" i="28"/>
  <c r="V152" i="28"/>
  <c r="X72" i="42"/>
  <c r="X76" i="42" s="1"/>
  <c r="X71" i="42"/>
  <c r="X75" i="42" s="1"/>
  <c r="X73" i="42"/>
  <c r="X70" i="42"/>
  <c r="X74" i="42" s="1"/>
  <c r="X31" i="38"/>
  <c r="X278" i="38"/>
  <c r="Y59" i="15"/>
  <c r="Y66" i="15"/>
  <c r="X181" i="28"/>
  <c r="X182" i="28" s="1"/>
  <c r="X158" i="28"/>
  <c r="AA46" i="29"/>
  <c r="AA85" i="29" s="1"/>
  <c r="U172" i="28"/>
  <c r="U171" i="28"/>
  <c r="T168" i="28"/>
  <c r="T167" i="28"/>
  <c r="X88" i="29"/>
  <c r="T155" i="29"/>
  <c r="T159" i="29" s="1"/>
  <c r="T156" i="29"/>
  <c r="Z24" i="54"/>
  <c r="Z29" i="54" s="1"/>
  <c r="Z16" i="54"/>
  <c r="T302" i="42"/>
  <c r="T301" i="42"/>
  <c r="T305" i="42" s="1"/>
  <c r="Z16" i="38"/>
  <c r="Z244" i="38" s="1"/>
  <c r="Z24" i="38"/>
  <c r="W296" i="42"/>
  <c r="W293" i="42"/>
  <c r="W294" i="42"/>
  <c r="W295" i="42"/>
  <c r="U153" i="29"/>
  <c r="U154" i="29"/>
  <c r="T179" i="29"/>
  <c r="T180" i="29" s="1"/>
  <c r="T189" i="29" s="1"/>
  <c r="U70" i="16" s="1"/>
  <c r="Y154" i="38"/>
  <c r="Z78" i="36" s="1"/>
  <c r="Y153" i="38"/>
  <c r="Y157" i="38" s="1"/>
  <c r="Y152" i="38"/>
  <c r="Y156" i="38" s="1"/>
  <c r="Y151" i="38"/>
  <c r="Y155" i="38" s="1"/>
  <c r="W193" i="29"/>
  <c r="W194" i="29"/>
  <c r="T183" i="28"/>
  <c r="T184" i="28" s="1"/>
  <c r="T185" i="28"/>
  <c r="T188" i="28" s="1"/>
  <c r="U284" i="42"/>
  <c r="U287" i="42"/>
  <c r="U286" i="42"/>
  <c r="U285" i="42"/>
  <c r="U282" i="42"/>
  <c r="U283" i="42"/>
  <c r="AA14" i="53"/>
  <c r="AA27" i="53" s="1"/>
  <c r="AA15" i="53"/>
  <c r="AA28" i="53" s="1"/>
  <c r="AA11" i="53"/>
  <c r="AA12" i="53"/>
  <c r="AA25" i="53" s="1"/>
  <c r="AA13" i="53"/>
  <c r="AA26" i="53" s="1"/>
  <c r="AA41" i="53" s="1"/>
  <c r="AA147" i="53" s="1"/>
  <c r="AA148" i="53" s="1"/>
  <c r="AB60" i="51" s="1"/>
  <c r="X214" i="28"/>
  <c r="W148" i="28"/>
  <c r="W149" i="28" s="1"/>
  <c r="X79" i="42"/>
  <c r="X83" i="42" s="1"/>
  <c r="X81" i="42"/>
  <c r="X78" i="42"/>
  <c r="X82" i="42" s="1"/>
  <c r="X80" i="42"/>
  <c r="X84" i="42" s="1"/>
  <c r="V304" i="42"/>
  <c r="V303" i="42"/>
  <c r="X246" i="38"/>
  <c r="X93" i="38"/>
  <c r="X44" i="38"/>
  <c r="X288" i="38" s="1"/>
  <c r="X101" i="38"/>
  <c r="X69" i="38"/>
  <c r="X70" i="38" s="1"/>
  <c r="X77" i="38"/>
  <c r="AA15" i="19"/>
  <c r="AA28" i="19" s="1"/>
  <c r="AA14" i="19"/>
  <c r="AA27" i="19" s="1"/>
  <c r="AA11" i="19"/>
  <c r="AA13" i="19"/>
  <c r="AA26" i="19" s="1"/>
  <c r="AA44" i="19" s="1"/>
  <c r="AA12" i="19"/>
  <c r="AA25" i="19" s="1"/>
  <c r="U166" i="28"/>
  <c r="U165" i="28"/>
  <c r="X146" i="29"/>
  <c r="X143" i="29"/>
  <c r="Z204" i="38"/>
  <c r="Z188" i="38"/>
  <c r="Z196" i="38"/>
  <c r="U299" i="42"/>
  <c r="U300" i="42"/>
  <c r="Y159" i="38"/>
  <c r="Y163" i="38" s="1"/>
  <c r="Y160" i="38"/>
  <c r="Y164" i="38" s="1"/>
  <c r="Y161" i="38"/>
  <c r="Y165" i="38" s="1"/>
  <c r="Y162" i="38"/>
  <c r="Z108" i="36" s="1"/>
  <c r="AA188" i="42"/>
  <c r="AA196" i="42"/>
  <c r="AA204" i="42"/>
  <c r="Y205" i="38"/>
  <c r="Y209" i="38" s="1"/>
  <c r="Y206" i="38"/>
  <c r="Y210" i="38" s="1"/>
  <c r="Y207" i="38"/>
  <c r="Y211" i="38" s="1"/>
  <c r="Y208" i="38"/>
  <c r="AX125" i="36"/>
  <c r="Q343" i="42"/>
  <c r="AX126" i="36" s="1"/>
  <c r="Y39" i="38"/>
  <c r="Y29" i="38"/>
  <c r="X105" i="42"/>
  <c r="X104" i="42"/>
  <c r="X108" i="42" s="1"/>
  <c r="X103" i="42"/>
  <c r="X107" i="42" s="1"/>
  <c r="X102" i="42"/>
  <c r="X106" i="42" s="1"/>
  <c r="V297" i="42"/>
  <c r="V298" i="42"/>
  <c r="X167" i="29"/>
  <c r="X168" i="29" s="1"/>
  <c r="X144" i="29"/>
  <c r="X145" i="29" s="1"/>
  <c r="V157" i="29"/>
  <c r="V158" i="29"/>
  <c r="AB15" i="29"/>
  <c r="AB28" i="29" s="1"/>
  <c r="AB14" i="29"/>
  <c r="AB27" i="29" s="1"/>
  <c r="AB13" i="29"/>
  <c r="AB26" i="29" s="1"/>
  <c r="AB44" i="29" s="1"/>
  <c r="AB12" i="29"/>
  <c r="AB25" i="29" s="1"/>
  <c r="AB43" i="29" s="1"/>
  <c r="AB11" i="29"/>
  <c r="Y213" i="28"/>
  <c r="Y56" i="29"/>
  <c r="Z44" i="16" s="1"/>
  <c r="Z62" i="15"/>
  <c r="Y50" i="29"/>
  <c r="Y53" i="29"/>
  <c r="Y54" i="29"/>
  <c r="Y58" i="29"/>
  <c r="Y100" i="29" s="1"/>
  <c r="Y57" i="29"/>
  <c r="Y59" i="29"/>
  <c r="Z62" i="16" s="1"/>
  <c r="Y52" i="29"/>
  <c r="Y49" i="29" s="1"/>
  <c r="Y89" i="29" s="1"/>
  <c r="Y47" i="28"/>
  <c r="Y60" i="29"/>
  <c r="Z56" i="16" s="1"/>
  <c r="Z56" i="15"/>
  <c r="Y51" i="29"/>
  <c r="Z44" i="15"/>
  <c r="W160" i="28"/>
  <c r="W159" i="28"/>
  <c r="W157" i="28"/>
  <c r="W34" i="19"/>
  <c r="W33" i="19"/>
  <c r="W292" i="38"/>
  <c r="W289" i="38"/>
  <c r="W291" i="38"/>
  <c r="Y278" i="42"/>
  <c r="Y31" i="42"/>
  <c r="Y143" i="38"/>
  <c r="Y147" i="38" s="1"/>
  <c r="Y146" i="38"/>
  <c r="Z99" i="36" s="1"/>
  <c r="Y145" i="38"/>
  <c r="Y149" i="38" s="1"/>
  <c r="Y144" i="38"/>
  <c r="Y148" i="38" s="1"/>
  <c r="AB12" i="42"/>
  <c r="AB25" i="42" s="1"/>
  <c r="AB40" i="42" s="1"/>
  <c r="AB11" i="42"/>
  <c r="AB13" i="42"/>
  <c r="AB26" i="42" s="1"/>
  <c r="AB41" i="42" s="1"/>
  <c r="AB219" i="42" s="1"/>
  <c r="AB15" i="42"/>
  <c r="AB28" i="42" s="1"/>
  <c r="AB43" i="42" s="1"/>
  <c r="AB234" i="42" s="1"/>
  <c r="AB14" i="42"/>
  <c r="AB27" i="42" s="1"/>
  <c r="AB42" i="42" s="1"/>
  <c r="Y190" i="38"/>
  <c r="Y194" i="38" s="1"/>
  <c r="Y189" i="38"/>
  <c r="Y193" i="38" s="1"/>
  <c r="Y191" i="38"/>
  <c r="Y195" i="38" s="1"/>
  <c r="X95" i="42"/>
  <c r="X99" i="42" s="1"/>
  <c r="X97" i="42"/>
  <c r="X94" i="42"/>
  <c r="X98" i="42" s="1"/>
  <c r="X96" i="42"/>
  <c r="X100" i="42" s="1"/>
  <c r="X68" i="15"/>
  <c r="S193" i="28"/>
  <c r="X89" i="29"/>
  <c r="Z154" i="42"/>
  <c r="Z152" i="42"/>
  <c r="Z156" i="42" s="1"/>
  <c r="Z151" i="42"/>
  <c r="Z155" i="42" s="1"/>
  <c r="Z153" i="42"/>
  <c r="Z157" i="42" s="1"/>
  <c r="Y194" i="53"/>
  <c r="Y31" i="53"/>
  <c r="Q201" i="28"/>
  <c r="R193" i="28"/>
  <c r="Y31" i="28"/>
  <c r="Y146" i="28"/>
  <c r="O162" i="19"/>
  <c r="O163" i="19"/>
  <c r="O160" i="19"/>
  <c r="O161" i="19"/>
  <c r="P200" i="20"/>
  <c r="P202" i="20"/>
  <c r="P199" i="20"/>
  <c r="P201" i="20"/>
  <c r="P203" i="20"/>
  <c r="P164" i="19" s="1"/>
  <c r="Q123" i="12"/>
  <c r="P155" i="19"/>
  <c r="P157" i="19"/>
  <c r="Q28" i="20"/>
  <c r="O29" i="20"/>
  <c r="Q26" i="20"/>
  <c r="Q44" i="20" s="1"/>
  <c r="Q198" i="20" s="1"/>
  <c r="Q159" i="19" s="1"/>
  <c r="R123" i="14" s="1"/>
  <c r="P25" i="20"/>
  <c r="P27" i="20"/>
  <c r="P24" i="20"/>
  <c r="Q16" i="20"/>
  <c r="P219" i="20"/>
  <c r="N253" i="20"/>
  <c r="N31" i="20"/>
  <c r="O154" i="19"/>
  <c r="U318" i="42" l="1"/>
  <c r="U319" i="42" s="1"/>
  <c r="U321" i="42" s="1"/>
  <c r="BF78" i="36"/>
  <c r="AB49" i="15"/>
  <c r="BF99" i="36"/>
  <c r="Z65" i="15"/>
  <c r="Z65" i="16"/>
  <c r="AB49" i="16"/>
  <c r="BF100" i="36"/>
  <c r="BF108" i="36"/>
  <c r="BH60" i="51"/>
  <c r="Q71" i="15"/>
  <c r="U172" i="29"/>
  <c r="U173" i="29" s="1"/>
  <c r="U175" i="29" s="1"/>
  <c r="S337" i="42"/>
  <c r="AB80" i="29"/>
  <c r="AB79" i="29" s="1"/>
  <c r="AB46" i="28"/>
  <c r="AC61" i="15" s="1"/>
  <c r="R187" i="29"/>
  <c r="S69" i="16" s="1"/>
  <c r="S343" i="42"/>
  <c r="AZ126" i="36" s="1"/>
  <c r="Y243" i="42"/>
  <c r="X243" i="38"/>
  <c r="AB61" i="16"/>
  <c r="AA84" i="29"/>
  <c r="X310" i="42"/>
  <c r="X311" i="42"/>
  <c r="X307" i="42"/>
  <c r="X306" i="42"/>
  <c r="X309" i="42"/>
  <c r="X308" i="42"/>
  <c r="R69" i="15"/>
  <c r="Q205" i="28"/>
  <c r="Q210" i="28"/>
  <c r="AB134" i="42"/>
  <c r="AB158" i="42"/>
  <c r="AB142" i="42"/>
  <c r="AB150" i="42"/>
  <c r="W295" i="38"/>
  <c r="W294" i="38"/>
  <c r="W293" i="38"/>
  <c r="W296" i="38"/>
  <c r="Z39" i="38"/>
  <c r="Z29" i="38"/>
  <c r="W280" i="42"/>
  <c r="W281" i="42" s="1"/>
  <c r="X247" i="42"/>
  <c r="AA188" i="38"/>
  <c r="AA196" i="38"/>
  <c r="AA204" i="38"/>
  <c r="Y143" i="29"/>
  <c r="Y146" i="29"/>
  <c r="Z132" i="29"/>
  <c r="Z31" i="29"/>
  <c r="Y77" i="16"/>
  <c r="Y68" i="16"/>
  <c r="X295" i="42"/>
  <c r="X294" i="42"/>
  <c r="X296" i="42"/>
  <c r="X293" i="42"/>
  <c r="Y95" i="42"/>
  <c r="Y99" i="42" s="1"/>
  <c r="Y96" i="42"/>
  <c r="Y100" i="42" s="1"/>
  <c r="Y97" i="42"/>
  <c r="Y94" i="42"/>
  <c r="Y98" i="42" s="1"/>
  <c r="Z66" i="15"/>
  <c r="Z59" i="15"/>
  <c r="AC13" i="29"/>
  <c r="AC26" i="29" s="1"/>
  <c r="AC44" i="29" s="1"/>
  <c r="AC14" i="29"/>
  <c r="AC27" i="29" s="1"/>
  <c r="AC11" i="29"/>
  <c r="AC15" i="29"/>
  <c r="AC28" i="29" s="1"/>
  <c r="AC12" i="29"/>
  <c r="AC25" i="29" s="1"/>
  <c r="AC43" i="29" s="1"/>
  <c r="X313" i="38"/>
  <c r="X290" i="38"/>
  <c r="X291" i="38" s="1"/>
  <c r="W155" i="28"/>
  <c r="W153" i="28"/>
  <c r="W154" i="28"/>
  <c r="W152" i="28"/>
  <c r="W150" i="28"/>
  <c r="W151" i="28"/>
  <c r="T193" i="28"/>
  <c r="T194" i="28" s="1"/>
  <c r="T203" i="28" s="1"/>
  <c r="U70" i="15" s="1"/>
  <c r="T169" i="28"/>
  <c r="T173" i="28" s="1"/>
  <c r="T170" i="28"/>
  <c r="V285" i="42"/>
  <c r="V282" i="42"/>
  <c r="V283" i="42"/>
  <c r="V287" i="42"/>
  <c r="V284" i="42"/>
  <c r="V286" i="42"/>
  <c r="AB24" i="28"/>
  <c r="AB16" i="28"/>
  <c r="AB115" i="28" s="1"/>
  <c r="Y31" i="19"/>
  <c r="Y211" i="19"/>
  <c r="AA235" i="38"/>
  <c r="AA239" i="38" s="1"/>
  <c r="AA236" i="38"/>
  <c r="AA240" i="38" s="1"/>
  <c r="AA237" i="38"/>
  <c r="AA241" i="38" s="1"/>
  <c r="U179" i="29"/>
  <c r="Z213" i="28"/>
  <c r="Z57" i="29"/>
  <c r="AA56" i="15"/>
  <c r="Z51" i="29"/>
  <c r="Z60" i="29"/>
  <c r="AA56" i="16" s="1"/>
  <c r="Z53" i="29"/>
  <c r="Z59" i="29"/>
  <c r="AA62" i="16" s="1"/>
  <c r="Z47" i="28"/>
  <c r="Z50" i="29"/>
  <c r="Z54" i="29"/>
  <c r="Z58" i="29"/>
  <c r="Z100" i="29" s="1"/>
  <c r="Z56" i="29"/>
  <c r="AA44" i="16" s="1"/>
  <c r="AA62" i="15"/>
  <c r="Z52" i="29"/>
  <c r="Z49" i="29" s="1"/>
  <c r="AA44" i="15"/>
  <c r="Z114" i="28"/>
  <c r="AB14" i="46"/>
  <c r="AB11" i="46"/>
  <c r="AB12" i="46"/>
  <c r="AB15" i="46"/>
  <c r="AB13" i="46"/>
  <c r="Z31" i="42"/>
  <c r="Z278" i="42"/>
  <c r="Z153" i="38"/>
  <c r="Z157" i="38" s="1"/>
  <c r="Z154" i="38"/>
  <c r="AA78" i="36" s="1"/>
  <c r="Z152" i="38"/>
  <c r="Z156" i="38" s="1"/>
  <c r="Z151" i="38"/>
  <c r="Z155" i="38" s="1"/>
  <c r="V303" i="38"/>
  <c r="V315" i="38" s="1"/>
  <c r="V304" i="38"/>
  <c r="Y104" i="42"/>
  <c r="Y108" i="42" s="1"/>
  <c r="Y105" i="42"/>
  <c r="Y103" i="42"/>
  <c r="Y107" i="42" s="1"/>
  <c r="Y102" i="42"/>
  <c r="Y106" i="42" s="1"/>
  <c r="Z66" i="16"/>
  <c r="Z59" i="16"/>
  <c r="X148" i="29"/>
  <c r="X147" i="29"/>
  <c r="X149" i="29"/>
  <c r="X150" i="29"/>
  <c r="AB12" i="19"/>
  <c r="AB25" i="19" s="1"/>
  <c r="AB14" i="19"/>
  <c r="AB27" i="19" s="1"/>
  <c r="AB13" i="19"/>
  <c r="AB26" i="19" s="1"/>
  <c r="AB44" i="19" s="1"/>
  <c r="AB11" i="19"/>
  <c r="AB15" i="19"/>
  <c r="AB28" i="19" s="1"/>
  <c r="Y214" i="28"/>
  <c r="X148" i="28"/>
  <c r="X149" i="28" s="1"/>
  <c r="W303" i="42"/>
  <c r="W304" i="42"/>
  <c r="Y33" i="29"/>
  <c r="Y34" i="29"/>
  <c r="Z146" i="28"/>
  <c r="Z31" i="28"/>
  <c r="AC14" i="48"/>
  <c r="AC15" i="48"/>
  <c r="AC12" i="48"/>
  <c r="AC13" i="48"/>
  <c r="AC11" i="48"/>
  <c r="AA61" i="16"/>
  <c r="Z84" i="29"/>
  <c r="Z246" i="42"/>
  <c r="Z93" i="42"/>
  <c r="Z77" i="42"/>
  <c r="Z101" i="42"/>
  <c r="Z69" i="42"/>
  <c r="Z44" i="42"/>
  <c r="Z288" i="42" s="1"/>
  <c r="Z146" i="38"/>
  <c r="AA99" i="36" s="1"/>
  <c r="Z145" i="38"/>
  <c r="Z149" i="38" s="1"/>
  <c r="Z143" i="38"/>
  <c r="Z147" i="38" s="1"/>
  <c r="Z144" i="38"/>
  <c r="Z148" i="38" s="1"/>
  <c r="V297" i="38"/>
  <c r="V298" i="38"/>
  <c r="Y313" i="42"/>
  <c r="Y314" i="42" s="1"/>
  <c r="Y290" i="42"/>
  <c r="AB196" i="42"/>
  <c r="AB204" i="42"/>
  <c r="AB188" i="42"/>
  <c r="Y207" i="28"/>
  <c r="Y208" i="28"/>
  <c r="Y156" i="28"/>
  <c r="AB46" i="29"/>
  <c r="AA208" i="42"/>
  <c r="AA207" i="42"/>
  <c r="AA211" i="42" s="1"/>
  <c r="AA205" i="42"/>
  <c r="AA209" i="42" s="1"/>
  <c r="AA206" i="42"/>
  <c r="AA210" i="42" s="1"/>
  <c r="U302" i="42"/>
  <c r="U301" i="42"/>
  <c r="U305" i="42" s="1"/>
  <c r="T187" i="29"/>
  <c r="U183" i="28"/>
  <c r="U184" i="28" s="1"/>
  <c r="U185" i="28"/>
  <c r="U188" i="28" s="1"/>
  <c r="AB66" i="29"/>
  <c r="AB75" i="29"/>
  <c r="AC64" i="16" s="1"/>
  <c r="AC64" i="15"/>
  <c r="AB63" i="29"/>
  <c r="AB62" i="29" s="1"/>
  <c r="AB64" i="29"/>
  <c r="AC48" i="15"/>
  <c r="AB72" i="29"/>
  <c r="AB68" i="29"/>
  <c r="AC45" i="15"/>
  <c r="AB71" i="29"/>
  <c r="AC48" i="16" s="1"/>
  <c r="AC58" i="15"/>
  <c r="AB65" i="29"/>
  <c r="AB74" i="29"/>
  <c r="AC45" i="16" s="1"/>
  <c r="AB73" i="29"/>
  <c r="AC58" i="16" s="1"/>
  <c r="AB70" i="29"/>
  <c r="AB67" i="29"/>
  <c r="AB14" i="54"/>
  <c r="AB27" i="54" s="1"/>
  <c r="AB11" i="54"/>
  <c r="AB13" i="54"/>
  <c r="AB26" i="54" s="1"/>
  <c r="AB41" i="54" s="1"/>
  <c r="AB147" i="54" s="1"/>
  <c r="AB148" i="54" s="1"/>
  <c r="AB15" i="54"/>
  <c r="AB28" i="54" s="1"/>
  <c r="AB12" i="54"/>
  <c r="AB25" i="54" s="1"/>
  <c r="W152" i="29"/>
  <c r="W151" i="29"/>
  <c r="AA146" i="42"/>
  <c r="AA143" i="42"/>
  <c r="AA147" i="42" s="1"/>
  <c r="AA144" i="42"/>
  <c r="AA148" i="42" s="1"/>
  <c r="AA145" i="42"/>
  <c r="AA149" i="42" s="1"/>
  <c r="Z160" i="38"/>
  <c r="Z164" i="38" s="1"/>
  <c r="Z162" i="38"/>
  <c r="AA108" i="36" s="1"/>
  <c r="Z159" i="38"/>
  <c r="Z163" i="38" s="1"/>
  <c r="Z161" i="38"/>
  <c r="Z165" i="38" s="1"/>
  <c r="T326" i="42"/>
  <c r="T335" i="42" s="1"/>
  <c r="Q72" i="15"/>
  <c r="P211" i="28"/>
  <c r="Q73" i="15" s="1"/>
  <c r="AB235" i="42"/>
  <c r="AB239" i="42" s="1"/>
  <c r="AB238" i="42"/>
  <c r="AB236" i="42"/>
  <c r="AB240" i="42" s="1"/>
  <c r="AB237" i="42"/>
  <c r="AB241" i="42" s="1"/>
  <c r="W179" i="28"/>
  <c r="W176" i="28"/>
  <c r="W178" i="28"/>
  <c r="W174" i="28"/>
  <c r="W177" i="28"/>
  <c r="W175" i="28"/>
  <c r="Z46" i="16"/>
  <c r="Z67" i="16"/>
  <c r="Y278" i="38"/>
  <c r="Y31" i="38"/>
  <c r="AA198" i="42"/>
  <c r="AA202" i="42" s="1"/>
  <c r="AA199" i="42"/>
  <c r="AA203" i="42" s="1"/>
  <c r="AA197" i="42"/>
  <c r="AA201" i="42" s="1"/>
  <c r="AA200" i="42"/>
  <c r="U168" i="28"/>
  <c r="U167" i="28"/>
  <c r="AB14" i="53"/>
  <c r="AB27" i="53" s="1"/>
  <c r="AB15" i="53"/>
  <c r="AB28" i="53" s="1"/>
  <c r="AB11" i="53"/>
  <c r="AB12" i="53"/>
  <c r="AB25" i="53" s="1"/>
  <c r="AB13" i="53"/>
  <c r="AB26" i="53" s="1"/>
  <c r="AB41" i="53" s="1"/>
  <c r="AB147" i="53" s="1"/>
  <c r="AB148" i="53" s="1"/>
  <c r="AC60" i="51" s="1"/>
  <c r="AC55" i="15"/>
  <c r="AB82" i="29"/>
  <c r="AC55" i="16" s="1"/>
  <c r="AA24" i="54"/>
  <c r="AA29" i="54" s="1"/>
  <c r="AA16" i="54"/>
  <c r="T186" i="28"/>
  <c r="T187" i="28" s="1"/>
  <c r="T189" i="28" s="1"/>
  <c r="T302" i="38"/>
  <c r="T301" i="38"/>
  <c r="T305" i="38" s="1"/>
  <c r="AA16" i="38"/>
  <c r="AA244" i="38" s="1"/>
  <c r="AA24" i="38"/>
  <c r="Y68" i="15"/>
  <c r="U299" i="38"/>
  <c r="U300" i="38"/>
  <c r="AB16" i="48"/>
  <c r="AB272" i="48" s="1"/>
  <c r="V166" i="28"/>
  <c r="V165" i="28"/>
  <c r="AA29" i="29"/>
  <c r="AA42" i="29"/>
  <c r="AA162" i="42"/>
  <c r="AA159" i="42"/>
  <c r="AA163" i="42" s="1"/>
  <c r="AA160" i="42"/>
  <c r="AA164" i="42" s="1"/>
  <c r="AA161" i="42"/>
  <c r="AA165" i="42" s="1"/>
  <c r="AA29" i="28"/>
  <c r="AA42" i="28"/>
  <c r="Z135" i="38"/>
  <c r="Z137" i="38"/>
  <c r="Z136" i="38"/>
  <c r="Y33" i="28"/>
  <c r="Y34" i="28"/>
  <c r="AC12" i="42"/>
  <c r="AC25" i="42" s="1"/>
  <c r="AC40" i="42" s="1"/>
  <c r="AC15" i="42"/>
  <c r="AC28" i="42" s="1"/>
  <c r="AC43" i="42" s="1"/>
  <c r="AC234" i="42" s="1"/>
  <c r="AC13" i="42"/>
  <c r="AC26" i="42" s="1"/>
  <c r="AC41" i="42" s="1"/>
  <c r="AC219" i="42" s="1"/>
  <c r="AC11" i="42"/>
  <c r="AC14" i="42"/>
  <c r="AC27" i="42" s="1"/>
  <c r="AC42" i="42" s="1"/>
  <c r="W164" i="28"/>
  <c r="W163" i="28"/>
  <c r="W161" i="28"/>
  <c r="W162" i="28"/>
  <c r="Y181" i="28"/>
  <c r="Y182" i="28" s="1"/>
  <c r="Y158" i="28"/>
  <c r="V169" i="29"/>
  <c r="V170" i="29" s="1"/>
  <c r="V171" i="29"/>
  <c r="V174" i="29" s="1"/>
  <c r="Y246" i="38"/>
  <c r="Y44" i="38"/>
  <c r="Y288" i="38" s="1"/>
  <c r="Y101" i="38"/>
  <c r="Y69" i="38"/>
  <c r="Y70" i="38" s="1"/>
  <c r="Y93" i="38"/>
  <c r="Y77" i="38"/>
  <c r="AA192" i="42"/>
  <c r="AA190" i="42"/>
  <c r="AA194" i="42" s="1"/>
  <c r="AA191" i="42"/>
  <c r="AA195" i="42" s="1"/>
  <c r="AA189" i="42"/>
  <c r="AA193" i="42" s="1"/>
  <c r="Z197" i="38"/>
  <c r="Z201" i="38" s="1"/>
  <c r="Z199" i="38"/>
  <c r="Z203" i="38" s="1"/>
  <c r="Z198" i="38"/>
  <c r="Z202" i="38" s="1"/>
  <c r="Z200" i="38"/>
  <c r="AA100" i="36" s="1"/>
  <c r="V315" i="42"/>
  <c r="V316" i="42" s="1"/>
  <c r="V317" i="42"/>
  <c r="V320" i="42" s="1"/>
  <c r="Z194" i="54"/>
  <c r="Z31" i="54"/>
  <c r="Z29" i="19"/>
  <c r="W157" i="29"/>
  <c r="W158" i="29"/>
  <c r="AA134" i="38"/>
  <c r="AA142" i="38"/>
  <c r="AA158" i="38"/>
  <c r="AA150" i="38"/>
  <c r="Z194" i="53"/>
  <c r="Z31" i="53"/>
  <c r="AA151" i="42"/>
  <c r="AA155" i="42" s="1"/>
  <c r="AA153" i="42"/>
  <c r="AA157" i="42" s="1"/>
  <c r="AA154" i="42"/>
  <c r="AA152" i="42"/>
  <c r="AA156" i="42" s="1"/>
  <c r="AA39" i="42"/>
  <c r="AA29" i="42"/>
  <c r="Y291" i="42"/>
  <c r="Y292" i="42"/>
  <c r="Y289" i="42"/>
  <c r="S194" i="28"/>
  <c r="S203" i="28" s="1"/>
  <c r="T70" i="15" s="1"/>
  <c r="AB220" i="42"/>
  <c r="AB224" i="42" s="1"/>
  <c r="AB223" i="42"/>
  <c r="AB221" i="42"/>
  <c r="AB225" i="42" s="1"/>
  <c r="AB222" i="42"/>
  <c r="AB226" i="42" s="1"/>
  <c r="W311" i="38"/>
  <c r="W309" i="38"/>
  <c r="W306" i="38"/>
  <c r="W307" i="38"/>
  <c r="W310" i="38"/>
  <c r="W308" i="38"/>
  <c r="Y114" i="28"/>
  <c r="AB16" i="29"/>
  <c r="AB24" i="29"/>
  <c r="X161" i="29"/>
  <c r="X163" i="29"/>
  <c r="X165" i="29"/>
  <c r="X160" i="29"/>
  <c r="X162" i="29"/>
  <c r="X164" i="29"/>
  <c r="V299" i="42"/>
  <c r="V300" i="42"/>
  <c r="Z189" i="38"/>
  <c r="Z193" i="38" s="1"/>
  <c r="Z190" i="38"/>
  <c r="Z194" i="38" s="1"/>
  <c r="Z191" i="38"/>
  <c r="Z195" i="38" s="1"/>
  <c r="AA16" i="53"/>
  <c r="AA24" i="53"/>
  <c r="AA29" i="53" s="1"/>
  <c r="U156" i="29"/>
  <c r="U155" i="29"/>
  <c r="U159" i="29" s="1"/>
  <c r="AC11" i="28"/>
  <c r="AC13" i="28"/>
  <c r="AC26" i="28" s="1"/>
  <c r="AC44" i="28" s="1"/>
  <c r="AC14" i="28"/>
  <c r="AC27" i="28" s="1"/>
  <c r="AC15" i="28"/>
  <c r="AC28" i="28" s="1"/>
  <c r="AC12" i="28"/>
  <c r="AC25" i="28" s="1"/>
  <c r="AC43" i="28" s="1"/>
  <c r="AB14" i="38"/>
  <c r="AB27" i="38" s="1"/>
  <c r="AB42" i="38" s="1"/>
  <c r="AB11" i="38"/>
  <c r="AB13" i="38"/>
  <c r="AB26" i="38" s="1"/>
  <c r="AB41" i="38" s="1"/>
  <c r="AB219" i="38" s="1"/>
  <c r="AB15" i="38"/>
  <c r="AB28" i="38" s="1"/>
  <c r="AB43" i="38" s="1"/>
  <c r="AB234" i="38" s="1"/>
  <c r="AB12" i="38"/>
  <c r="AB25" i="38" s="1"/>
  <c r="AB40" i="38" s="1"/>
  <c r="V136" i="29"/>
  <c r="V138" i="29"/>
  <c r="V140" i="29"/>
  <c r="V137" i="29"/>
  <c r="V139" i="29"/>
  <c r="V141" i="29"/>
  <c r="V172" i="28"/>
  <c r="V171" i="28"/>
  <c r="X160" i="28"/>
  <c r="X159" i="28"/>
  <c r="X157" i="28"/>
  <c r="AA138" i="42"/>
  <c r="AA135" i="42"/>
  <c r="AA139" i="42" s="1"/>
  <c r="AA137" i="42"/>
  <c r="AA141" i="42" s="1"/>
  <c r="AA136" i="42"/>
  <c r="AA140" i="42" s="1"/>
  <c r="X34" i="19"/>
  <c r="X33" i="19"/>
  <c r="Y71" i="42"/>
  <c r="Y75" i="42" s="1"/>
  <c r="Y72" i="42"/>
  <c r="Y76" i="42" s="1"/>
  <c r="Y70" i="42"/>
  <c r="Y74" i="42" s="1"/>
  <c r="Y73" i="42"/>
  <c r="R194" i="28"/>
  <c r="R203" i="28" s="1"/>
  <c r="S70" i="15" s="1"/>
  <c r="X77" i="15"/>
  <c r="AB16" i="42"/>
  <c r="AB244" i="42" s="1"/>
  <c r="AB24" i="42"/>
  <c r="Z46" i="15"/>
  <c r="Z67" i="15"/>
  <c r="Y167" i="29"/>
  <c r="Y168" i="29" s="1"/>
  <c r="Y144" i="29"/>
  <c r="Y145" i="29" s="1"/>
  <c r="Z207" i="38"/>
  <c r="Z211" i="38" s="1"/>
  <c r="Z208" i="38"/>
  <c r="Z205" i="38"/>
  <c r="Z209" i="38" s="1"/>
  <c r="Z206" i="38"/>
  <c r="Z210" i="38" s="1"/>
  <c r="AA16" i="19"/>
  <c r="AA24" i="19"/>
  <c r="X292" i="38"/>
  <c r="X289" i="38"/>
  <c r="W297" i="42"/>
  <c r="W298" i="42"/>
  <c r="T69" i="16"/>
  <c r="S196" i="29"/>
  <c r="AC13" i="20"/>
  <c r="AC12" i="20"/>
  <c r="AC11" i="20"/>
  <c r="AC14" i="20"/>
  <c r="AC15" i="20"/>
  <c r="AA220" i="38"/>
  <c r="AA224" i="38" s="1"/>
  <c r="AA222" i="38"/>
  <c r="AA226" i="38" s="1"/>
  <c r="AA221" i="38"/>
  <c r="AA225" i="38" s="1"/>
  <c r="Y88" i="29"/>
  <c r="X101" i="29"/>
  <c r="W134" i="29"/>
  <c r="W135" i="29" s="1"/>
  <c r="AA16" i="46"/>
  <c r="AA272" i="46" s="1"/>
  <c r="Z47" i="29"/>
  <c r="Z142" i="29" s="1"/>
  <c r="X194" i="29"/>
  <c r="X193" i="29"/>
  <c r="U325" i="42"/>
  <c r="V153" i="29"/>
  <c r="V154" i="29"/>
  <c r="Y81" i="42"/>
  <c r="Y78" i="42"/>
  <c r="Y82" i="42" s="1"/>
  <c r="Y79" i="42"/>
  <c r="Y83" i="42" s="1"/>
  <c r="Y80" i="42"/>
  <c r="Y84" i="42" s="1"/>
  <c r="P163" i="19"/>
  <c r="P161" i="19"/>
  <c r="P162" i="19"/>
  <c r="P160" i="19"/>
  <c r="Q199" i="20"/>
  <c r="Q200" i="20"/>
  <c r="Q202" i="20"/>
  <c r="Q201" i="20"/>
  <c r="Q203" i="20"/>
  <c r="Q164" i="19" s="1"/>
  <c r="P29" i="20"/>
  <c r="R28" i="20"/>
  <c r="Q27" i="20"/>
  <c r="R26" i="20"/>
  <c r="R44" i="20" s="1"/>
  <c r="R198" i="20" s="1"/>
  <c r="R159" i="19" s="1"/>
  <c r="S123" i="14" s="1"/>
  <c r="R123" i="12"/>
  <c r="Q157" i="19"/>
  <c r="Q155" i="19"/>
  <c r="O253" i="20"/>
  <c r="O31" i="20"/>
  <c r="Q219" i="20"/>
  <c r="Q24" i="20"/>
  <c r="Q25" i="20"/>
  <c r="P154" i="19"/>
  <c r="BG108" i="36" l="1"/>
  <c r="R71" i="15"/>
  <c r="BG100" i="36"/>
  <c r="BI60" i="51"/>
  <c r="AA65" i="15"/>
  <c r="AC49" i="16"/>
  <c r="T71" i="16"/>
  <c r="BG99" i="36"/>
  <c r="S71" i="16"/>
  <c r="Y77" i="15"/>
  <c r="AC49" i="15"/>
  <c r="BG78" i="36"/>
  <c r="AB85" i="29"/>
  <c r="AB84" i="29" s="1"/>
  <c r="V172" i="29"/>
  <c r="V173" i="29" s="1"/>
  <c r="V175" i="29" s="1"/>
  <c r="R196" i="29"/>
  <c r="R197" i="29" s="1"/>
  <c r="S73" i="16" s="1"/>
  <c r="T333" i="42"/>
  <c r="T342" i="42" s="1"/>
  <c r="S201" i="28"/>
  <c r="T69" i="15" s="1"/>
  <c r="V318" i="42"/>
  <c r="V319" i="42" s="1"/>
  <c r="V321" i="42" s="1"/>
  <c r="AC46" i="28"/>
  <c r="AD61" i="15" s="1"/>
  <c r="R201" i="28"/>
  <c r="S69" i="15" s="1"/>
  <c r="AC61" i="16"/>
  <c r="W139" i="29"/>
  <c r="W141" i="29"/>
  <c r="W136" i="29"/>
  <c r="W138" i="29"/>
  <c r="W140" i="29"/>
  <c r="W137" i="29"/>
  <c r="AA29" i="19"/>
  <c r="AB134" i="38"/>
  <c r="AB158" i="38"/>
  <c r="AB150" i="38"/>
  <c r="AB142" i="38"/>
  <c r="AA69" i="42"/>
  <c r="AA101" i="42"/>
  <c r="AA77" i="42"/>
  <c r="AA246" i="42"/>
  <c r="AA44" i="42"/>
  <c r="AA288" i="42" s="1"/>
  <c r="AA292" i="42" s="1"/>
  <c r="AA93" i="42"/>
  <c r="W169" i="29"/>
  <c r="W170" i="29" s="1"/>
  <c r="W171" i="29"/>
  <c r="W174" i="29" s="1"/>
  <c r="V179" i="29"/>
  <c r="AC196" i="42"/>
  <c r="AC188" i="42"/>
  <c r="AC204" i="42"/>
  <c r="Z72" i="42"/>
  <c r="Z76" i="42" s="1"/>
  <c r="Z71" i="42"/>
  <c r="Z75" i="42" s="1"/>
  <c r="Z73" i="42"/>
  <c r="Z70" i="42"/>
  <c r="Z74" i="42" s="1"/>
  <c r="Z89" i="29"/>
  <c r="AA189" i="38"/>
  <c r="AA193" i="38" s="1"/>
  <c r="AA191" i="38"/>
  <c r="AA195" i="38" s="1"/>
  <c r="AA190" i="38"/>
  <c r="AA194" i="38" s="1"/>
  <c r="W297" i="38"/>
  <c r="W298" i="38"/>
  <c r="U326" i="42"/>
  <c r="U335" i="42" s="1"/>
  <c r="Y101" i="29"/>
  <c r="X134" i="29"/>
  <c r="X135" i="29" s="1"/>
  <c r="Y161" i="29"/>
  <c r="Y163" i="29"/>
  <c r="Y160" i="29"/>
  <c r="Y162" i="29"/>
  <c r="Y164" i="29"/>
  <c r="Y165" i="29"/>
  <c r="AC12" i="38"/>
  <c r="AC25" i="38" s="1"/>
  <c r="AC40" i="38" s="1"/>
  <c r="AC11" i="38"/>
  <c r="AC14" i="38"/>
  <c r="AC27" i="38" s="1"/>
  <c r="AC42" i="38" s="1"/>
  <c r="AC13" i="38"/>
  <c r="AC26" i="38" s="1"/>
  <c r="AC41" i="38" s="1"/>
  <c r="AC219" i="38" s="1"/>
  <c r="AC15" i="38"/>
  <c r="AC28" i="38" s="1"/>
  <c r="AC43" i="38" s="1"/>
  <c r="AC234" i="38" s="1"/>
  <c r="Y289" i="38"/>
  <c r="Y292" i="38"/>
  <c r="AC16" i="42"/>
  <c r="AC244" i="42" s="1"/>
  <c r="AC24" i="42"/>
  <c r="AA47" i="29"/>
  <c r="AA142" i="29" s="1"/>
  <c r="U170" i="28"/>
  <c r="U169" i="28"/>
  <c r="U173" i="28" s="1"/>
  <c r="AC13" i="54"/>
  <c r="AC26" i="54" s="1"/>
  <c r="AC41" i="54" s="1"/>
  <c r="AC147" i="54" s="1"/>
  <c r="AC148" i="54" s="1"/>
  <c r="AC12" i="54"/>
  <c r="AC25" i="54" s="1"/>
  <c r="AC14" i="54"/>
  <c r="AC27" i="54" s="1"/>
  <c r="AC11" i="54"/>
  <c r="AC15" i="54"/>
  <c r="AC28" i="54" s="1"/>
  <c r="Z104" i="42"/>
  <c r="Z108" i="42" s="1"/>
  <c r="Z102" i="42"/>
  <c r="Z106" i="42" s="1"/>
  <c r="Z103" i="42"/>
  <c r="Z107" i="42" s="1"/>
  <c r="Z105" i="42"/>
  <c r="AA59" i="16"/>
  <c r="AA66" i="16"/>
  <c r="Y247" i="42"/>
  <c r="X280" i="42"/>
  <c r="X281" i="42" s="1"/>
  <c r="AB154" i="42"/>
  <c r="AB153" i="42"/>
  <c r="AB157" i="42" s="1"/>
  <c r="AB152" i="42"/>
  <c r="AB156" i="42" s="1"/>
  <c r="AB151" i="42"/>
  <c r="AB155" i="42" s="1"/>
  <c r="AB39" i="42"/>
  <c r="AB29" i="42"/>
  <c r="X178" i="28"/>
  <c r="X174" i="28"/>
  <c r="X176" i="28"/>
  <c r="X177" i="28"/>
  <c r="X175" i="28"/>
  <c r="X179" i="28"/>
  <c r="AB237" i="38"/>
  <c r="AB241" i="38" s="1"/>
  <c r="AB235" i="38"/>
  <c r="AB239" i="38" s="1"/>
  <c r="AB236" i="38"/>
  <c r="AB240" i="38" s="1"/>
  <c r="AD55" i="15"/>
  <c r="AC82" i="29"/>
  <c r="AD55" i="16" s="1"/>
  <c r="AC80" i="29"/>
  <c r="AC79" i="29" s="1"/>
  <c r="Z31" i="19"/>
  <c r="Z211" i="19"/>
  <c r="V325" i="42"/>
  <c r="V326" i="42" s="1"/>
  <c r="V335" i="42" s="1"/>
  <c r="Y290" i="38"/>
  <c r="Y291" i="38" s="1"/>
  <c r="Y313" i="38"/>
  <c r="AD13" i="42"/>
  <c r="AD26" i="42" s="1"/>
  <c r="AD41" i="42" s="1"/>
  <c r="AD219" i="42" s="1"/>
  <c r="AD12" i="42"/>
  <c r="AD25" i="42" s="1"/>
  <c r="AD40" i="42" s="1"/>
  <c r="AD15" i="42"/>
  <c r="AD28" i="42" s="1"/>
  <c r="AD43" i="42" s="1"/>
  <c r="AD234" i="42" s="1"/>
  <c r="AD11" i="42"/>
  <c r="AD14" i="42"/>
  <c r="AD27" i="42" s="1"/>
  <c r="AD42" i="42" s="1"/>
  <c r="AA132" i="29"/>
  <c r="AA31" i="29"/>
  <c r="U302" i="38"/>
  <c r="U301" i="38"/>
  <c r="U305" i="38" s="1"/>
  <c r="AA194" i="54"/>
  <c r="AA31" i="54"/>
  <c r="AB24" i="54"/>
  <c r="AB29" i="54" s="1"/>
  <c r="AB16" i="54"/>
  <c r="U193" i="28"/>
  <c r="AB191" i="42"/>
  <c r="AB195" i="42" s="1"/>
  <c r="AB190" i="42"/>
  <c r="AB194" i="42" s="1"/>
  <c r="AB189" i="42"/>
  <c r="AB193" i="42" s="1"/>
  <c r="AB192" i="42"/>
  <c r="Z81" i="42"/>
  <c r="Z80" i="42"/>
  <c r="Z84" i="42" s="1"/>
  <c r="Z79" i="42"/>
  <c r="Z83" i="42" s="1"/>
  <c r="Z78" i="42"/>
  <c r="Z82" i="42" s="1"/>
  <c r="W315" i="42"/>
  <c r="W316" i="42" s="1"/>
  <c r="W317" i="42"/>
  <c r="W320" i="42" s="1"/>
  <c r="AC11" i="19"/>
  <c r="AC14" i="19"/>
  <c r="AC27" i="19" s="1"/>
  <c r="AC12" i="19"/>
  <c r="AC25" i="19" s="1"/>
  <c r="AC15" i="19"/>
  <c r="AC28" i="19" s="1"/>
  <c r="AC13" i="19"/>
  <c r="AC26" i="19" s="1"/>
  <c r="AC44" i="19" s="1"/>
  <c r="AC13" i="46"/>
  <c r="AC15" i="46"/>
  <c r="AC12" i="46"/>
  <c r="AC11" i="46"/>
  <c r="AC14" i="46"/>
  <c r="AA67" i="16"/>
  <c r="AA46" i="16"/>
  <c r="Y33" i="19"/>
  <c r="Y34" i="19"/>
  <c r="Z33" i="29"/>
  <c r="Z34" i="29"/>
  <c r="W286" i="42"/>
  <c r="W284" i="42"/>
  <c r="W283" i="42"/>
  <c r="W287" i="42"/>
  <c r="W285" i="42"/>
  <c r="W282" i="42"/>
  <c r="AB143" i="42"/>
  <c r="AB147" i="42" s="1"/>
  <c r="AB144" i="42"/>
  <c r="AB148" i="42" s="1"/>
  <c r="AB146" i="42"/>
  <c r="AB145" i="42"/>
  <c r="AB149" i="42" s="1"/>
  <c r="AD12" i="20"/>
  <c r="AD13" i="20"/>
  <c r="AD11" i="20"/>
  <c r="AD14" i="20"/>
  <c r="AD15" i="20"/>
  <c r="X164" i="28"/>
  <c r="X161" i="28"/>
  <c r="X163" i="28"/>
  <c r="X162" i="28"/>
  <c r="AB221" i="38"/>
  <c r="AB225" i="38" s="1"/>
  <c r="AB222" i="38"/>
  <c r="AB226" i="38" s="1"/>
  <c r="AB220" i="38"/>
  <c r="AB224" i="38" s="1"/>
  <c r="AD14" i="28"/>
  <c r="AD27" i="28" s="1"/>
  <c r="AD13" i="28"/>
  <c r="AD26" i="28" s="1"/>
  <c r="AD44" i="28" s="1"/>
  <c r="AD11" i="28"/>
  <c r="AD15" i="28"/>
  <c r="AD28" i="28" s="1"/>
  <c r="AD12" i="28"/>
  <c r="AD25" i="28" s="1"/>
  <c r="AD43" i="28" s="1"/>
  <c r="AA152" i="38"/>
  <c r="AA156" i="38" s="1"/>
  <c r="AA153" i="38"/>
  <c r="AA157" i="38" s="1"/>
  <c r="AA151" i="38"/>
  <c r="AA155" i="38" s="1"/>
  <c r="AA154" i="38"/>
  <c r="AB78" i="36" s="1"/>
  <c r="AC223" i="42"/>
  <c r="AC220" i="42"/>
  <c r="AC224" i="42" s="1"/>
  <c r="AC222" i="42"/>
  <c r="AC226" i="42" s="1"/>
  <c r="AC221" i="42"/>
  <c r="AC225" i="42" s="1"/>
  <c r="AA213" i="28"/>
  <c r="AA60" i="29"/>
  <c r="AB56" i="16" s="1"/>
  <c r="AB62" i="15"/>
  <c r="AA50" i="29"/>
  <c r="AB56" i="15"/>
  <c r="AA54" i="29"/>
  <c r="AA52" i="29"/>
  <c r="AA49" i="29" s="1"/>
  <c r="AA89" i="29" s="1"/>
  <c r="AA57" i="29"/>
  <c r="AA51" i="29"/>
  <c r="AA59" i="29"/>
  <c r="AB62" i="16" s="1"/>
  <c r="AA53" i="29"/>
  <c r="AA56" i="29"/>
  <c r="AB44" i="16" s="1"/>
  <c r="AA47" i="28"/>
  <c r="AA114" i="28" s="1"/>
  <c r="AA58" i="29"/>
  <c r="AA100" i="29" s="1"/>
  <c r="AB44" i="15"/>
  <c r="Z68" i="16"/>
  <c r="Z77" i="16"/>
  <c r="AB205" i="42"/>
  <c r="AB209" i="42" s="1"/>
  <c r="AB207" i="42"/>
  <c r="AB211" i="42" s="1"/>
  <c r="AB208" i="42"/>
  <c r="AB206" i="42"/>
  <c r="AB210" i="42" s="1"/>
  <c r="Z97" i="42"/>
  <c r="Z94" i="42"/>
  <c r="Z98" i="42" s="1"/>
  <c r="Z96" i="42"/>
  <c r="Z100" i="42" s="1"/>
  <c r="Z95" i="42"/>
  <c r="Z99" i="42" s="1"/>
  <c r="Y194" i="29"/>
  <c r="Y193" i="29"/>
  <c r="X151" i="28"/>
  <c r="X154" i="28"/>
  <c r="X152" i="28"/>
  <c r="X155" i="28"/>
  <c r="X150" i="28"/>
  <c r="X153" i="28"/>
  <c r="X158" i="29"/>
  <c r="X157" i="29"/>
  <c r="AB16" i="46"/>
  <c r="AB272" i="46" s="1"/>
  <c r="Z167" i="29"/>
  <c r="Z168" i="29" s="1"/>
  <c r="Z144" i="29"/>
  <c r="Z145" i="29" s="1"/>
  <c r="AA66" i="15"/>
  <c r="AA59" i="15"/>
  <c r="X307" i="38"/>
  <c r="X306" i="38"/>
  <c r="X309" i="38"/>
  <c r="X310" i="38"/>
  <c r="X311" i="38"/>
  <c r="X308" i="38"/>
  <c r="X304" i="42"/>
  <c r="X303" i="42"/>
  <c r="Z31" i="38"/>
  <c r="Z278" i="38"/>
  <c r="AB161" i="42"/>
  <c r="AB165" i="42" s="1"/>
  <c r="AB162" i="42"/>
  <c r="AB159" i="42"/>
  <c r="AB163" i="42" s="1"/>
  <c r="AB160" i="42"/>
  <c r="AB164" i="42" s="1"/>
  <c r="Z88" i="29"/>
  <c r="T72" i="16"/>
  <c r="S197" i="29"/>
  <c r="T73" i="16" s="1"/>
  <c r="Z68" i="15"/>
  <c r="V183" i="28"/>
  <c r="V184" i="28" s="1"/>
  <c r="V185" i="28"/>
  <c r="AB16" i="38"/>
  <c r="AB244" i="38" s="1"/>
  <c r="AB24" i="38"/>
  <c r="AC16" i="28"/>
  <c r="AC115" i="28" s="1"/>
  <c r="AC24" i="28"/>
  <c r="AB29" i="29"/>
  <c r="AB42" i="29"/>
  <c r="AA160" i="38"/>
  <c r="AA164" i="38" s="1"/>
  <c r="AA161" i="38"/>
  <c r="AA165" i="38" s="1"/>
  <c r="AA162" i="38"/>
  <c r="AB108" i="36" s="1"/>
  <c r="AA159" i="38"/>
  <c r="AA163" i="38" s="1"/>
  <c r="Y243" i="38"/>
  <c r="AC235" i="42"/>
  <c r="AC239" i="42" s="1"/>
  <c r="AC236" i="42"/>
  <c r="AC240" i="42" s="1"/>
  <c r="AC237" i="42"/>
  <c r="AC241" i="42" s="1"/>
  <c r="AC238" i="42"/>
  <c r="AA146" i="28"/>
  <c r="AA31" i="28"/>
  <c r="V167" i="28"/>
  <c r="V168" i="28"/>
  <c r="U69" i="16"/>
  <c r="T196" i="29"/>
  <c r="AB198" i="42"/>
  <c r="AB202" i="42" s="1"/>
  <c r="AB197" i="42"/>
  <c r="AB201" i="42" s="1"/>
  <c r="AB199" i="42"/>
  <c r="AB203" i="42" s="1"/>
  <c r="AB200" i="42"/>
  <c r="Z313" i="42"/>
  <c r="Z314" i="42" s="1"/>
  <c r="Z290" i="42"/>
  <c r="Z291" i="42" s="1"/>
  <c r="Z34" i="28"/>
  <c r="Z33" i="28"/>
  <c r="Z214" i="28"/>
  <c r="Y148" i="28"/>
  <c r="Y149" i="28" s="1"/>
  <c r="X152" i="29"/>
  <c r="X151" i="29"/>
  <c r="AB29" i="28"/>
  <c r="AB42" i="28"/>
  <c r="T201" i="28"/>
  <c r="AC46" i="29"/>
  <c r="Y149" i="29"/>
  <c r="Y150" i="29"/>
  <c r="Y147" i="29"/>
  <c r="Y148" i="29"/>
  <c r="Z93" i="38"/>
  <c r="Z77" i="38"/>
  <c r="Z101" i="38"/>
  <c r="Z69" i="38"/>
  <c r="Z70" i="38" s="1"/>
  <c r="Z246" i="38"/>
  <c r="Z44" i="38"/>
  <c r="Z288" i="38" s="1"/>
  <c r="AB138" i="42"/>
  <c r="AB135" i="42"/>
  <c r="AB139" i="42" s="1"/>
  <c r="AB136" i="42"/>
  <c r="AB140" i="42" s="1"/>
  <c r="AB137" i="42"/>
  <c r="AB141" i="42" s="1"/>
  <c r="Z146" i="29"/>
  <c r="Z143" i="29"/>
  <c r="AB204" i="38"/>
  <c r="AB196" i="38"/>
  <c r="AB188" i="38"/>
  <c r="V302" i="42"/>
  <c r="V301" i="42"/>
  <c r="V305" i="42" s="1"/>
  <c r="Y295" i="42"/>
  <c r="Y293" i="42"/>
  <c r="Y294" i="42"/>
  <c r="Y296" i="42"/>
  <c r="AA143" i="38"/>
  <c r="AA147" i="38" s="1"/>
  <c r="AA145" i="38"/>
  <c r="AA149" i="38" s="1"/>
  <c r="AA146" i="38"/>
  <c r="AB99" i="36" s="1"/>
  <c r="AA144" i="38"/>
  <c r="AA148" i="38" s="1"/>
  <c r="AC134" i="42"/>
  <c r="AC142" i="42"/>
  <c r="AC150" i="42"/>
  <c r="AC158" i="42"/>
  <c r="AB16" i="53"/>
  <c r="AB24" i="53"/>
  <c r="AB29" i="53" s="1"/>
  <c r="W154" i="29"/>
  <c r="W153" i="29"/>
  <c r="U186" i="28"/>
  <c r="U187" i="28" s="1"/>
  <c r="U189" i="28" s="1"/>
  <c r="Y160" i="28"/>
  <c r="Y159" i="28"/>
  <c r="Y157" i="28"/>
  <c r="Z181" i="28"/>
  <c r="Z182" i="28" s="1"/>
  <c r="Z158" i="28"/>
  <c r="AC16" i="29"/>
  <c r="AC24" i="29"/>
  <c r="X298" i="42"/>
  <c r="X297" i="42"/>
  <c r="S72" i="16"/>
  <c r="W303" i="38"/>
  <c r="W315" i="38" s="1"/>
  <c r="W304" i="38"/>
  <c r="R72" i="15"/>
  <c r="Q211" i="28"/>
  <c r="R73" i="15" s="1"/>
  <c r="Y307" i="42"/>
  <c r="Y310" i="42"/>
  <c r="Y309" i="42"/>
  <c r="Y308" i="42"/>
  <c r="Y306" i="42"/>
  <c r="Y311" i="42"/>
  <c r="AA135" i="38"/>
  <c r="AA137" i="38"/>
  <c r="AA136" i="38"/>
  <c r="W165" i="28"/>
  <c r="W166" i="28"/>
  <c r="AC12" i="53"/>
  <c r="AC25" i="53" s="1"/>
  <c r="AC15" i="53"/>
  <c r="AC28" i="53" s="1"/>
  <c r="AC11" i="53"/>
  <c r="AC14" i="53"/>
  <c r="AC27" i="53" s="1"/>
  <c r="AC13" i="53"/>
  <c r="AC26" i="53" s="1"/>
  <c r="AC41" i="53" s="1"/>
  <c r="AC147" i="53" s="1"/>
  <c r="AC148" i="53" s="1"/>
  <c r="AD60" i="51" s="1"/>
  <c r="Z243" i="42"/>
  <c r="AC16" i="48"/>
  <c r="AC272" i="48" s="1"/>
  <c r="AB16" i="19"/>
  <c r="AB24" i="19"/>
  <c r="Z207" i="28"/>
  <c r="Z156" i="28"/>
  <c r="Z208" i="28"/>
  <c r="AD15" i="29"/>
  <c r="AD28" i="29" s="1"/>
  <c r="AD14" i="29"/>
  <c r="AD27" i="29" s="1"/>
  <c r="AD11" i="29"/>
  <c r="AD13" i="29"/>
  <c r="AD26" i="29" s="1"/>
  <c r="AD44" i="29" s="1"/>
  <c r="AD12" i="29"/>
  <c r="AD25" i="29" s="1"/>
  <c r="AD43" i="29" s="1"/>
  <c r="AA205" i="38"/>
  <c r="AA209" i="38" s="1"/>
  <c r="AA208" i="38"/>
  <c r="AA206" i="38"/>
  <c r="AA210" i="38" s="1"/>
  <c r="AA207" i="38"/>
  <c r="AA211" i="38" s="1"/>
  <c r="V156" i="29"/>
  <c r="V155" i="29"/>
  <c r="V159" i="29" s="1"/>
  <c r="W299" i="42"/>
  <c r="W300" i="42"/>
  <c r="X296" i="38"/>
  <c r="X293" i="38"/>
  <c r="X294" i="38"/>
  <c r="X295" i="38"/>
  <c r="AC74" i="29"/>
  <c r="AD45" i="16" s="1"/>
  <c r="AC68" i="29"/>
  <c r="AC63" i="29"/>
  <c r="AC62" i="29" s="1"/>
  <c r="AC65" i="29"/>
  <c r="AD64" i="15"/>
  <c r="AC64" i="29"/>
  <c r="AD48" i="15"/>
  <c r="AC71" i="29"/>
  <c r="AD48" i="16" s="1"/>
  <c r="AD58" i="15"/>
  <c r="AC72" i="29"/>
  <c r="AC67" i="29"/>
  <c r="AD45" i="15"/>
  <c r="AC73" i="29"/>
  <c r="AD58" i="16" s="1"/>
  <c r="AC70" i="29"/>
  <c r="AC75" i="29"/>
  <c r="AD64" i="16" s="1"/>
  <c r="AC66" i="29"/>
  <c r="AA31" i="53"/>
  <c r="AA194" i="53"/>
  <c r="AA278" i="42"/>
  <c r="AA289" i="42" s="1"/>
  <c r="AA31" i="42"/>
  <c r="W171" i="28"/>
  <c r="W172" i="28"/>
  <c r="AA39" i="38"/>
  <c r="AA29" i="38"/>
  <c r="V300" i="38"/>
  <c r="V299" i="38"/>
  <c r="Z292" i="42"/>
  <c r="Z289" i="42"/>
  <c r="AD12" i="48"/>
  <c r="AD15" i="48"/>
  <c r="AD14" i="48"/>
  <c r="AD13" i="48"/>
  <c r="AD11" i="48"/>
  <c r="AA46" i="15"/>
  <c r="AA67" i="15"/>
  <c r="AA65" i="16"/>
  <c r="U180" i="29"/>
  <c r="U187" i="29" s="1"/>
  <c r="AA197" i="38"/>
  <c r="AA201" i="38" s="1"/>
  <c r="AA198" i="38"/>
  <c r="AA202" i="38" s="1"/>
  <c r="AA200" i="38"/>
  <c r="AB100" i="36" s="1"/>
  <c r="AA199" i="38"/>
  <c r="AA203" i="38" s="1"/>
  <c r="Q161" i="19"/>
  <c r="Q160" i="19"/>
  <c r="Q162" i="19"/>
  <c r="Q163" i="19"/>
  <c r="R199" i="20"/>
  <c r="R201" i="20"/>
  <c r="R203" i="20"/>
  <c r="R164" i="19" s="1"/>
  <c r="R200" i="20"/>
  <c r="R202" i="20"/>
  <c r="R16" i="20"/>
  <c r="R219" i="20" s="1"/>
  <c r="R24" i="20"/>
  <c r="Q154" i="19"/>
  <c r="S26" i="20"/>
  <c r="S44" i="20" s="1"/>
  <c r="S198" i="20" s="1"/>
  <c r="S159" i="19" s="1"/>
  <c r="T123" i="14" s="1"/>
  <c r="Q29" i="20"/>
  <c r="S123" i="12"/>
  <c r="R155" i="19"/>
  <c r="R157" i="19"/>
  <c r="R27" i="20"/>
  <c r="S28" i="20"/>
  <c r="P253" i="20"/>
  <c r="P31" i="20"/>
  <c r="R25" i="20"/>
  <c r="U71" i="16" l="1"/>
  <c r="Z77" i="15"/>
  <c r="BH78" i="36"/>
  <c r="T71" i="15"/>
  <c r="AB65" i="15"/>
  <c r="BH100" i="36"/>
  <c r="AD49" i="16"/>
  <c r="BJ60" i="51"/>
  <c r="AB66" i="16"/>
  <c r="AB59" i="16"/>
  <c r="S71" i="15"/>
  <c r="BH99" i="36"/>
  <c r="BH108" i="36"/>
  <c r="AD49" i="15"/>
  <c r="T337" i="42"/>
  <c r="AC85" i="29"/>
  <c r="AD61" i="16" s="1"/>
  <c r="S205" i="28"/>
  <c r="S210" i="28"/>
  <c r="W172" i="29"/>
  <c r="W173" i="29" s="1"/>
  <c r="W175" i="29" s="1"/>
  <c r="R210" i="28"/>
  <c r="S72" i="15" s="1"/>
  <c r="R205" i="28"/>
  <c r="AD80" i="29"/>
  <c r="AD79" i="29" s="1"/>
  <c r="U189" i="29"/>
  <c r="V70" i="16" s="1"/>
  <c r="AB65" i="16"/>
  <c r="Z243" i="38"/>
  <c r="AD46" i="29"/>
  <c r="Y309" i="38"/>
  <c r="Y307" i="38"/>
  <c r="Y311" i="38"/>
  <c r="Y308" i="38"/>
  <c r="Y306" i="38"/>
  <c r="Y310" i="38"/>
  <c r="AE11" i="48"/>
  <c r="AE14" i="48"/>
  <c r="AE15" i="48"/>
  <c r="AE12" i="48"/>
  <c r="AE13" i="48"/>
  <c r="W301" i="42"/>
  <c r="W305" i="42" s="1"/>
  <c r="W302" i="42"/>
  <c r="AC16" i="53"/>
  <c r="AC24" i="53"/>
  <c r="AC29" i="53" s="1"/>
  <c r="W167" i="28"/>
  <c r="W168" i="28"/>
  <c r="Y161" i="28"/>
  <c r="Y164" i="28"/>
  <c r="Y163" i="28"/>
  <c r="Y162" i="28"/>
  <c r="AC154" i="42"/>
  <c r="AC151" i="42"/>
  <c r="AC155" i="42" s="1"/>
  <c r="AC153" i="42"/>
  <c r="AC157" i="42" s="1"/>
  <c r="AC152" i="42"/>
  <c r="AC156" i="42" s="1"/>
  <c r="V169" i="28"/>
  <c r="V173" i="28" s="1"/>
  <c r="V170" i="28"/>
  <c r="AB39" i="38"/>
  <c r="AB29" i="38"/>
  <c r="AA208" i="28"/>
  <c r="AA207" i="28"/>
  <c r="AA156" i="28"/>
  <c r="AB66" i="15"/>
  <c r="AB59" i="15"/>
  <c r="AE55" i="15"/>
  <c r="AD82" i="29"/>
  <c r="AE55" i="16" s="1"/>
  <c r="U194" i="28"/>
  <c r="U201" i="28" s="1"/>
  <c r="AA33" i="29"/>
  <c r="AA34" i="29"/>
  <c r="AC235" i="38"/>
  <c r="AC239" i="38" s="1"/>
  <c r="AC237" i="38"/>
  <c r="AC241" i="38" s="1"/>
  <c r="AC236" i="38"/>
  <c r="AC240" i="38" s="1"/>
  <c r="W299" i="38"/>
  <c r="W300" i="38"/>
  <c r="AA94" i="42"/>
  <c r="AA98" i="42" s="1"/>
  <c r="AA96" i="42"/>
  <c r="AA100" i="42" s="1"/>
  <c r="AA97" i="42"/>
  <c r="AA95" i="42"/>
  <c r="AA99" i="42" s="1"/>
  <c r="AB143" i="38"/>
  <c r="AB147" i="38" s="1"/>
  <c r="AB145" i="38"/>
  <c r="AB149" i="38" s="1"/>
  <c r="AB146" i="38"/>
  <c r="AC99" i="36" s="1"/>
  <c r="AB144" i="38"/>
  <c r="AB148" i="38" s="1"/>
  <c r="AA68" i="15"/>
  <c r="AD16" i="48"/>
  <c r="AD272" i="48" s="1"/>
  <c r="X299" i="42"/>
  <c r="X300" i="42"/>
  <c r="AC145" i="42"/>
  <c r="AC149" i="42" s="1"/>
  <c r="AC146" i="42"/>
  <c r="AC143" i="42"/>
  <c r="AC147" i="42" s="1"/>
  <c r="AC144" i="42"/>
  <c r="AC148" i="42" s="1"/>
  <c r="X154" i="29"/>
  <c r="X153" i="29"/>
  <c r="AA34" i="28"/>
  <c r="AA33" i="28"/>
  <c r="X315" i="42"/>
  <c r="X316" i="42" s="1"/>
  <c r="X317" i="42"/>
  <c r="X320" i="42" s="1"/>
  <c r="X169" i="29"/>
  <c r="X170" i="29" s="1"/>
  <c r="X171" i="29"/>
  <c r="X174" i="29" s="1"/>
  <c r="AB67" i="16"/>
  <c r="AB46" i="16"/>
  <c r="X171" i="28"/>
  <c r="X172" i="28"/>
  <c r="AD13" i="54"/>
  <c r="AD26" i="54" s="1"/>
  <c r="AD41" i="54" s="1"/>
  <c r="AD147" i="54" s="1"/>
  <c r="AD148" i="54" s="1"/>
  <c r="AD15" i="54"/>
  <c r="AD28" i="54" s="1"/>
  <c r="AD12" i="54"/>
  <c r="AD25" i="54" s="1"/>
  <c r="AD14" i="54"/>
  <c r="AD27" i="54" s="1"/>
  <c r="AD11" i="54"/>
  <c r="AA88" i="29"/>
  <c r="AC222" i="38"/>
  <c r="AC226" i="38" s="1"/>
  <c r="AC221" i="38"/>
  <c r="AC225" i="38" s="1"/>
  <c r="AC220" i="38"/>
  <c r="AC224" i="38" s="1"/>
  <c r="V180" i="29"/>
  <c r="V189" i="29" s="1"/>
  <c r="W70" i="16" s="1"/>
  <c r="AA293" i="42"/>
  <c r="AA296" i="42"/>
  <c r="AA294" i="42"/>
  <c r="AA295" i="42"/>
  <c r="AB153" i="38"/>
  <c r="AB157" i="38" s="1"/>
  <c r="AB151" i="38"/>
  <c r="AB155" i="38" s="1"/>
  <c r="AB154" i="38"/>
  <c r="AC78" i="36" s="1"/>
  <c r="AB152" i="38"/>
  <c r="AB156" i="38" s="1"/>
  <c r="W183" i="28"/>
  <c r="W184" i="28" s="1"/>
  <c r="W185" i="28"/>
  <c r="W188" i="28" s="1"/>
  <c r="AC29" i="29"/>
  <c r="AC42" i="29"/>
  <c r="AC138" i="42"/>
  <c r="AC135" i="42"/>
  <c r="AC139" i="42" s="1"/>
  <c r="AC136" i="42"/>
  <c r="AC140" i="42" s="1"/>
  <c r="AC137" i="42"/>
  <c r="AC141" i="42" s="1"/>
  <c r="Y297" i="42"/>
  <c r="Y298" i="42"/>
  <c r="Z292" i="38"/>
  <c r="Z289" i="38"/>
  <c r="Y157" i="29"/>
  <c r="Y158" i="29"/>
  <c r="Y155" i="28"/>
  <c r="Y154" i="28"/>
  <c r="Y151" i="28"/>
  <c r="Y150" i="28"/>
  <c r="Y152" i="28"/>
  <c r="Y153" i="28"/>
  <c r="V186" i="28"/>
  <c r="V187" i="28" s="1"/>
  <c r="V189" i="28" s="1"/>
  <c r="V188" i="28"/>
  <c r="AE14" i="28"/>
  <c r="AE27" i="28" s="1"/>
  <c r="AE12" i="28"/>
  <c r="AE25" i="28" s="1"/>
  <c r="AE43" i="28" s="1"/>
  <c r="AE15" i="28"/>
  <c r="AE28" i="28" s="1"/>
  <c r="AE13" i="28"/>
  <c r="AE26" i="28" s="1"/>
  <c r="AE44" i="28" s="1"/>
  <c r="AE11" i="28"/>
  <c r="AC16" i="46"/>
  <c r="AC272" i="46" s="1"/>
  <c r="AB194" i="54"/>
  <c r="AB31" i="54"/>
  <c r="AD204" i="42"/>
  <c r="AD196" i="42"/>
  <c r="AD188" i="42"/>
  <c r="AB278" i="42"/>
  <c r="AB31" i="42"/>
  <c r="X286" i="42"/>
  <c r="X284" i="42"/>
  <c r="X283" i="42"/>
  <c r="X287" i="42"/>
  <c r="X285" i="42"/>
  <c r="X282" i="42"/>
  <c r="AC24" i="54"/>
  <c r="AC29" i="54" s="1"/>
  <c r="AC16" i="54"/>
  <c r="AA146" i="29"/>
  <c r="AA143" i="29"/>
  <c r="AC204" i="38"/>
  <c r="AC196" i="38"/>
  <c r="AC188" i="38"/>
  <c r="BA125" i="36"/>
  <c r="T343" i="42"/>
  <c r="BA126" i="36" s="1"/>
  <c r="AA290" i="42"/>
  <c r="AA291" i="42" s="1"/>
  <c r="AA313" i="42"/>
  <c r="AA314" i="42" s="1"/>
  <c r="AB162" i="38"/>
  <c r="AC108" i="36" s="1"/>
  <c r="AB159" i="38"/>
  <c r="AB163" i="38" s="1"/>
  <c r="AB160" i="38"/>
  <c r="AB164" i="38" s="1"/>
  <c r="AB161" i="38"/>
  <c r="AB165" i="38" s="1"/>
  <c r="Z306" i="42"/>
  <c r="Z309" i="42"/>
  <c r="Z310" i="42"/>
  <c r="Z311" i="42"/>
  <c r="Z308" i="42"/>
  <c r="Z307" i="42"/>
  <c r="X297" i="38"/>
  <c r="X298" i="38"/>
  <c r="Z160" i="28"/>
  <c r="Z157" i="28"/>
  <c r="Z159" i="28"/>
  <c r="W155" i="29"/>
  <c r="W159" i="29" s="1"/>
  <c r="W156" i="29"/>
  <c r="Z290" i="38"/>
  <c r="Z291" i="38" s="1"/>
  <c r="Z313" i="38"/>
  <c r="Y151" i="29"/>
  <c r="Y152" i="29"/>
  <c r="AA214" i="28"/>
  <c r="Z148" i="28"/>
  <c r="Z149" i="28" s="1"/>
  <c r="AC16" i="19"/>
  <c r="AC24" i="19"/>
  <c r="AD16" i="42"/>
  <c r="AD244" i="42" s="1"/>
  <c r="AD24" i="42"/>
  <c r="V333" i="42"/>
  <c r="AB44" i="42"/>
  <c r="AB288" i="42" s="1"/>
  <c r="AB246" i="42"/>
  <c r="AB93" i="42"/>
  <c r="AB69" i="42"/>
  <c r="AB77" i="42"/>
  <c r="AB101" i="42"/>
  <c r="Z247" i="42"/>
  <c r="Y280" i="42"/>
  <c r="Y281" i="42" s="1"/>
  <c r="AC39" i="42"/>
  <c r="AC29" i="42"/>
  <c r="AC16" i="38"/>
  <c r="AC244" i="38" s="1"/>
  <c r="AC24" i="38"/>
  <c r="AA79" i="42"/>
  <c r="AA83" i="42" s="1"/>
  <c r="AA81" i="42"/>
  <c r="AA78" i="42"/>
  <c r="AA82" i="42" s="1"/>
  <c r="AA80" i="42"/>
  <c r="AA84" i="42" s="1"/>
  <c r="AB137" i="38"/>
  <c r="AB135" i="38"/>
  <c r="AB136" i="38"/>
  <c r="Z148" i="29"/>
  <c r="Z149" i="29"/>
  <c r="Z150" i="29"/>
  <c r="Z147" i="29"/>
  <c r="U72" i="16"/>
  <c r="T197" i="29"/>
  <c r="U73" i="16" s="1"/>
  <c r="AB47" i="29"/>
  <c r="AB142" i="29" s="1"/>
  <c r="AA181" i="28"/>
  <c r="AA182" i="28" s="1"/>
  <c r="AA158" i="28"/>
  <c r="Z194" i="29"/>
  <c r="Z193" i="29"/>
  <c r="AD12" i="19"/>
  <c r="AD25" i="19" s="1"/>
  <c r="AD15" i="19"/>
  <c r="AD28" i="19" s="1"/>
  <c r="AD11" i="19"/>
  <c r="AD13" i="19"/>
  <c r="AD26" i="19" s="1"/>
  <c r="AD44" i="19" s="1"/>
  <c r="AD14" i="19"/>
  <c r="AD27" i="19" s="1"/>
  <c r="AE12" i="42"/>
  <c r="AE25" i="42" s="1"/>
  <c r="AE40" i="42" s="1"/>
  <c r="AE13" i="42"/>
  <c r="AE26" i="42" s="1"/>
  <c r="AE41" i="42" s="1"/>
  <c r="AE219" i="42" s="1"/>
  <c r="AE15" i="42"/>
  <c r="AE28" i="42" s="1"/>
  <c r="AE43" i="42" s="1"/>
  <c r="AE234" i="42" s="1"/>
  <c r="AE11" i="42"/>
  <c r="AE14" i="42"/>
  <c r="AE27" i="42" s="1"/>
  <c r="AE42" i="42" s="1"/>
  <c r="AD14" i="38"/>
  <c r="AD27" i="38" s="1"/>
  <c r="AD42" i="38" s="1"/>
  <c r="AD11" i="38"/>
  <c r="AD12" i="38"/>
  <c r="AD25" i="38" s="1"/>
  <c r="AD40" i="38" s="1"/>
  <c r="AD13" i="38"/>
  <c r="AD26" i="38" s="1"/>
  <c r="AD41" i="38" s="1"/>
  <c r="AD219" i="38" s="1"/>
  <c r="AD15" i="38"/>
  <c r="AD28" i="38" s="1"/>
  <c r="AD43" i="38" s="1"/>
  <c r="AD234" i="38" s="1"/>
  <c r="X139" i="29"/>
  <c r="X141" i="29"/>
  <c r="X136" i="29"/>
  <c r="X138" i="29"/>
  <c r="X140" i="29"/>
  <c r="X137" i="29"/>
  <c r="AA104" i="42"/>
  <c r="AA108" i="42" s="1"/>
  <c r="AA103" i="42"/>
  <c r="AA107" i="42" s="1"/>
  <c r="AA105" i="42"/>
  <c r="AA102" i="42"/>
  <c r="AA106" i="42" s="1"/>
  <c r="Z295" i="42"/>
  <c r="Z294" i="42"/>
  <c r="Z293" i="42"/>
  <c r="Z296" i="42"/>
  <c r="AA31" i="38"/>
  <c r="AA278" i="38"/>
  <c r="AB29" i="19"/>
  <c r="AB194" i="53"/>
  <c r="AB31" i="53"/>
  <c r="AB190" i="38"/>
  <c r="AB194" i="38" s="1"/>
  <c r="AB191" i="38"/>
  <c r="AB195" i="38" s="1"/>
  <c r="AB189" i="38"/>
  <c r="AB193" i="38" s="1"/>
  <c r="U69" i="15"/>
  <c r="T205" i="28"/>
  <c r="T210" i="28"/>
  <c r="AB31" i="29"/>
  <c r="AB132" i="29"/>
  <c r="Z161" i="29"/>
  <c r="Z163" i="29"/>
  <c r="Z160" i="29"/>
  <c r="Z162" i="29"/>
  <c r="Z164" i="29"/>
  <c r="Z165" i="29"/>
  <c r="AE58" i="15"/>
  <c r="AE45" i="15"/>
  <c r="AE64" i="15"/>
  <c r="AE48" i="15"/>
  <c r="AD73" i="29"/>
  <c r="AE58" i="16" s="1"/>
  <c r="AD65" i="29"/>
  <c r="AD72" i="29"/>
  <c r="AD71" i="29"/>
  <c r="AE48" i="16" s="1"/>
  <c r="AD74" i="29"/>
  <c r="AE45" i="16" s="1"/>
  <c r="AD75" i="29"/>
  <c r="AE64" i="16" s="1"/>
  <c r="AD70" i="29"/>
  <c r="AD63" i="29"/>
  <c r="AD62" i="29" s="1"/>
  <c r="AD67" i="29"/>
  <c r="AD68" i="29"/>
  <c r="AD66" i="29"/>
  <c r="AD64" i="29"/>
  <c r="W325" i="42"/>
  <c r="AD238" i="42"/>
  <c r="AD236" i="42"/>
  <c r="AD240" i="42" s="1"/>
  <c r="AD235" i="42"/>
  <c r="AD239" i="42" s="1"/>
  <c r="AD237" i="42"/>
  <c r="AD241" i="42" s="1"/>
  <c r="Z34" i="19"/>
  <c r="Z33" i="19"/>
  <c r="Y293" i="38"/>
  <c r="Y295" i="38"/>
  <c r="Y296" i="38"/>
  <c r="Y294" i="38"/>
  <c r="T72" i="15"/>
  <c r="S211" i="28"/>
  <c r="T73" i="15" s="1"/>
  <c r="AC134" i="38"/>
  <c r="AC158" i="38"/>
  <c r="AC150" i="38"/>
  <c r="AC142" i="38"/>
  <c r="Z101" i="29"/>
  <c r="Y134" i="29"/>
  <c r="Y135" i="29" s="1"/>
  <c r="AC208" i="42"/>
  <c r="AC205" i="42"/>
  <c r="AC209" i="42" s="1"/>
  <c r="AC206" i="42"/>
  <c r="AC210" i="42" s="1"/>
  <c r="AC207" i="42"/>
  <c r="AC211" i="42" s="1"/>
  <c r="AA72" i="42"/>
  <c r="AA76" i="42" s="1"/>
  <c r="AA70" i="42"/>
  <c r="AA74" i="42" s="1"/>
  <c r="AA71" i="42"/>
  <c r="AA75" i="42" s="1"/>
  <c r="AA73" i="42"/>
  <c r="V69" i="16"/>
  <c r="V302" i="38"/>
  <c r="V301" i="38"/>
  <c r="V305" i="38" s="1"/>
  <c r="AA246" i="38"/>
  <c r="AA44" i="38"/>
  <c r="AA288" i="38" s="1"/>
  <c r="AA69" i="38"/>
  <c r="AA70" i="38" s="1"/>
  <c r="AA93" i="38"/>
  <c r="AA77" i="38"/>
  <c r="AA101" i="38"/>
  <c r="X304" i="38"/>
  <c r="X303" i="38"/>
  <c r="X315" i="38" s="1"/>
  <c r="AD16" i="29"/>
  <c r="AD24" i="29"/>
  <c r="AD11" i="53"/>
  <c r="AD13" i="53"/>
  <c r="AD26" i="53" s="1"/>
  <c r="AD41" i="53" s="1"/>
  <c r="AD147" i="53" s="1"/>
  <c r="AD148" i="53" s="1"/>
  <c r="AE60" i="51" s="1"/>
  <c r="AD12" i="53"/>
  <c r="AD25" i="53" s="1"/>
  <c r="AD14" i="53"/>
  <c r="AD27" i="53" s="1"/>
  <c r="AD15" i="53"/>
  <c r="AD28" i="53" s="1"/>
  <c r="AB198" i="38"/>
  <c r="AB202" i="38" s="1"/>
  <c r="AB200" i="38"/>
  <c r="AC100" i="36" s="1"/>
  <c r="AB199" i="38"/>
  <c r="AB203" i="38" s="1"/>
  <c r="AB197" i="38"/>
  <c r="AB201" i="38" s="1"/>
  <c r="AB213" i="28"/>
  <c r="AB56" i="29"/>
  <c r="AC44" i="16" s="1"/>
  <c r="AC62" i="15"/>
  <c r="AB51" i="29"/>
  <c r="AC56" i="15"/>
  <c r="AB53" i="29"/>
  <c r="AC44" i="15"/>
  <c r="AB59" i="29"/>
  <c r="AC62" i="16" s="1"/>
  <c r="AB50" i="29"/>
  <c r="AB58" i="29"/>
  <c r="AB100" i="29" s="1"/>
  <c r="AB47" i="28"/>
  <c r="AB114" i="28" s="1"/>
  <c r="AB54" i="29"/>
  <c r="AB60" i="29"/>
  <c r="AC56" i="16" s="1"/>
  <c r="AB52" i="29"/>
  <c r="AB49" i="29" s="1"/>
  <c r="AB89" i="29" s="1"/>
  <c r="AB57" i="29"/>
  <c r="AC29" i="28"/>
  <c r="AC42" i="28"/>
  <c r="AB67" i="15"/>
  <c r="AB46" i="15"/>
  <c r="AD46" i="28"/>
  <c r="AD12" i="46"/>
  <c r="AD13" i="46"/>
  <c r="AD11" i="46"/>
  <c r="AD14" i="46"/>
  <c r="AD15" i="46"/>
  <c r="AD134" i="42"/>
  <c r="AD142" i="42"/>
  <c r="AD150" i="42"/>
  <c r="AD158" i="42"/>
  <c r="U333" i="42"/>
  <c r="AC191" i="42"/>
  <c r="AC195" i="42" s="1"/>
  <c r="AC189" i="42"/>
  <c r="AC193" i="42" s="1"/>
  <c r="AC190" i="42"/>
  <c r="AC194" i="42" s="1"/>
  <c r="AC192" i="42"/>
  <c r="AA31" i="19"/>
  <c r="AA211" i="19"/>
  <c r="AE14" i="29"/>
  <c r="AE27" i="29" s="1"/>
  <c r="AE11" i="29"/>
  <c r="AE13" i="29"/>
  <c r="AE26" i="29" s="1"/>
  <c r="AE44" i="29" s="1"/>
  <c r="AE12" i="29"/>
  <c r="AE25" i="29" s="1"/>
  <c r="AE43" i="29" s="1"/>
  <c r="AE15" i="29"/>
  <c r="AE28" i="29" s="1"/>
  <c r="Y177" i="28"/>
  <c r="Y174" i="28"/>
  <c r="Y178" i="28"/>
  <c r="Y176" i="28"/>
  <c r="Y175" i="28"/>
  <c r="Y179" i="28"/>
  <c r="AC162" i="42"/>
  <c r="AC161" i="42"/>
  <c r="AC165" i="42" s="1"/>
  <c r="AC159" i="42"/>
  <c r="AC163" i="42" s="1"/>
  <c r="AC160" i="42"/>
  <c r="AC164" i="42" s="1"/>
  <c r="Y303" i="42"/>
  <c r="Y304" i="42"/>
  <c r="AB205" i="38"/>
  <c r="AB209" i="38" s="1"/>
  <c r="AB206" i="38"/>
  <c r="AB210" i="38" s="1"/>
  <c r="AB208" i="38"/>
  <c r="AB207" i="38"/>
  <c r="AB211" i="38" s="1"/>
  <c r="AB31" i="28"/>
  <c r="AB146" i="28"/>
  <c r="AA167" i="29"/>
  <c r="AA168" i="29" s="1"/>
  <c r="AA144" i="29"/>
  <c r="AA145" i="29" s="1"/>
  <c r="AD24" i="28"/>
  <c r="AD16" i="28"/>
  <c r="AD115" i="28" s="1"/>
  <c r="X166" i="28"/>
  <c r="X165" i="28"/>
  <c r="AE12" i="20"/>
  <c r="AE11" i="20"/>
  <c r="AE14" i="20"/>
  <c r="AE15" i="20"/>
  <c r="AE13" i="20"/>
  <c r="AA77" i="16"/>
  <c r="AA68" i="16"/>
  <c r="AD221" i="42"/>
  <c r="AD225" i="42" s="1"/>
  <c r="AD223" i="42"/>
  <c r="AD222" i="42"/>
  <c r="AD226" i="42" s="1"/>
  <c r="AD220" i="42"/>
  <c r="AD224" i="42" s="1"/>
  <c r="AC200" i="42"/>
  <c r="AC199" i="42"/>
  <c r="AC203" i="42" s="1"/>
  <c r="AC197" i="42"/>
  <c r="AC201" i="42" s="1"/>
  <c r="AC198" i="42"/>
  <c r="AC202" i="42" s="1"/>
  <c r="W179" i="29"/>
  <c r="W180" i="29" s="1"/>
  <c r="W189" i="29" s="1"/>
  <c r="X70" i="16" s="1"/>
  <c r="AA243" i="42"/>
  <c r="W318" i="42"/>
  <c r="W319" i="42" s="1"/>
  <c r="W321" i="42" s="1"/>
  <c r="R162" i="19"/>
  <c r="R163" i="19"/>
  <c r="R160" i="19"/>
  <c r="R161" i="19"/>
  <c r="S200" i="20"/>
  <c r="S199" i="20"/>
  <c r="S201" i="20"/>
  <c r="S203" i="20"/>
  <c r="S164" i="19" s="1"/>
  <c r="S202" i="20"/>
  <c r="S16" i="20"/>
  <c r="S219" i="20" s="1"/>
  <c r="T26" i="20"/>
  <c r="T44" i="20" s="1"/>
  <c r="T198" i="20" s="1"/>
  <c r="T159" i="19" s="1"/>
  <c r="U123" i="14" s="1"/>
  <c r="T28" i="20"/>
  <c r="R154" i="19"/>
  <c r="R29" i="20"/>
  <c r="S25" i="20"/>
  <c r="S27" i="20"/>
  <c r="Q253" i="20"/>
  <c r="Q31" i="20"/>
  <c r="T123" i="12"/>
  <c r="S155" i="19"/>
  <c r="S157" i="19"/>
  <c r="T16" i="20"/>
  <c r="S24" i="20"/>
  <c r="AE67" i="29" l="1"/>
  <c r="AC84" i="29"/>
  <c r="BK60" i="51"/>
  <c r="AC65" i="16"/>
  <c r="BI78" i="36"/>
  <c r="BI99" i="36"/>
  <c r="AE49" i="16"/>
  <c r="BI100" i="36"/>
  <c r="BI108" i="36"/>
  <c r="U71" i="15"/>
  <c r="AC65" i="15"/>
  <c r="V71" i="16"/>
  <c r="AE49" i="15"/>
  <c r="R211" i="28"/>
  <c r="S73" i="15" s="1"/>
  <c r="U196" i="29"/>
  <c r="V72" i="16" s="1"/>
  <c r="AE46" i="28"/>
  <c r="U203" i="28"/>
  <c r="V70" i="15" s="1"/>
  <c r="AE80" i="29"/>
  <c r="AE79" i="29" s="1"/>
  <c r="V187" i="29"/>
  <c r="W69" i="16" s="1"/>
  <c r="W186" i="28"/>
  <c r="W187" i="28" s="1"/>
  <c r="W189" i="28" s="1"/>
  <c r="AB167" i="29"/>
  <c r="AB168" i="29" s="1"/>
  <c r="AB144" i="29"/>
  <c r="AB145" i="29" s="1"/>
  <c r="V69" i="15"/>
  <c r="Z307" i="38"/>
  <c r="Z306" i="38"/>
  <c r="Z311" i="38"/>
  <c r="Z310" i="38"/>
  <c r="Z309" i="38"/>
  <c r="Z308" i="38"/>
  <c r="AA33" i="19"/>
  <c r="AA34" i="19"/>
  <c r="AD137" i="42"/>
  <c r="AD141" i="42" s="1"/>
  <c r="AD135" i="42"/>
  <c r="AD139" i="42" s="1"/>
  <c r="AD136" i="42"/>
  <c r="AD140" i="42" s="1"/>
  <c r="AD138" i="42"/>
  <c r="AB68" i="15"/>
  <c r="AC66" i="16"/>
  <c r="AC59" i="16"/>
  <c r="AC66" i="15"/>
  <c r="AC59" i="15"/>
  <c r="AA243" i="38"/>
  <c r="Y304" i="38"/>
  <c r="Y303" i="38"/>
  <c r="Y315" i="38" s="1"/>
  <c r="AB33" i="29"/>
  <c r="AB34" i="29"/>
  <c r="AE238" i="42"/>
  <c r="AE237" i="42"/>
  <c r="AE241" i="42" s="1"/>
  <c r="AE236" i="42"/>
  <c r="AE240" i="42" s="1"/>
  <c r="AE235" i="42"/>
  <c r="AE239" i="42" s="1"/>
  <c r="AE15" i="19"/>
  <c r="AE28" i="19" s="1"/>
  <c r="AE11" i="19"/>
  <c r="AE13" i="19"/>
  <c r="AE26" i="19" s="1"/>
  <c r="AE44" i="19" s="1"/>
  <c r="AE14" i="19"/>
  <c r="AE27" i="19" s="1"/>
  <c r="AE12" i="19"/>
  <c r="AE25" i="19" s="1"/>
  <c r="AB88" i="29"/>
  <c r="AB243" i="42"/>
  <c r="AD39" i="42"/>
  <c r="AD29" i="42"/>
  <c r="Z153" i="28"/>
  <c r="Z154" i="28"/>
  <c r="Z152" i="28"/>
  <c r="Z151" i="28"/>
  <c r="Z150" i="28"/>
  <c r="Z155" i="28"/>
  <c r="Z179" i="28"/>
  <c r="Z178" i="28"/>
  <c r="Z175" i="28"/>
  <c r="Z177" i="28"/>
  <c r="Z176" i="28"/>
  <c r="Z174" i="28"/>
  <c r="AA311" i="42"/>
  <c r="AA309" i="42"/>
  <c r="AA310" i="42"/>
  <c r="AA306" i="42"/>
  <c r="AA307" i="42"/>
  <c r="AA308" i="42"/>
  <c r="AD190" i="42"/>
  <c r="AD194" i="42" s="1"/>
  <c r="AD191" i="42"/>
  <c r="AD195" i="42" s="1"/>
  <c r="AD192" i="42"/>
  <c r="AD189" i="42"/>
  <c r="AD193" i="42" s="1"/>
  <c r="AE82" i="29"/>
  <c r="AF55" i="16" s="1"/>
  <c r="AF55" i="15"/>
  <c r="AC47" i="29"/>
  <c r="AC142" i="29" s="1"/>
  <c r="AD24" i="54"/>
  <c r="AD29" i="54" s="1"/>
  <c r="AD16" i="54"/>
  <c r="W187" i="29"/>
  <c r="AE16" i="29"/>
  <c r="AE24" i="29"/>
  <c r="AC144" i="38"/>
  <c r="AC148" i="38" s="1"/>
  <c r="AC146" i="38"/>
  <c r="AD99" i="36" s="1"/>
  <c r="AC145" i="38"/>
  <c r="AC149" i="38" s="1"/>
  <c r="AC143" i="38"/>
  <c r="AC147" i="38" s="1"/>
  <c r="Y298" i="38"/>
  <c r="Y297" i="38"/>
  <c r="AD237" i="38"/>
  <c r="AD241" i="38" s="1"/>
  <c r="AD235" i="38"/>
  <c r="AD239" i="38" s="1"/>
  <c r="AD236" i="38"/>
  <c r="AD240" i="38" s="1"/>
  <c r="AE220" i="42"/>
  <c r="AE224" i="42" s="1"/>
  <c r="AE221" i="42"/>
  <c r="AE225" i="42" s="1"/>
  <c r="AE222" i="42"/>
  <c r="AE226" i="42" s="1"/>
  <c r="AE223" i="42"/>
  <c r="AB146" i="29"/>
  <c r="AB143" i="29"/>
  <c r="AB102" i="42"/>
  <c r="AB106" i="42" s="1"/>
  <c r="AB103" i="42"/>
  <c r="AB107" i="42" s="1"/>
  <c r="AB105" i="42"/>
  <c r="AB104" i="42"/>
  <c r="AB108" i="42" s="1"/>
  <c r="AA148" i="28"/>
  <c r="AA149" i="28" s="1"/>
  <c r="AB214" i="28"/>
  <c r="AC194" i="54"/>
  <c r="AC31" i="54"/>
  <c r="AD197" i="42"/>
  <c r="AD201" i="42" s="1"/>
  <c r="AD200" i="42"/>
  <c r="AD198" i="42"/>
  <c r="AD202" i="42" s="1"/>
  <c r="AD199" i="42"/>
  <c r="AD203" i="42" s="1"/>
  <c r="AF61" i="15"/>
  <c r="Z295" i="38"/>
  <c r="Z296" i="38"/>
  <c r="Z293" i="38"/>
  <c r="Z294" i="38"/>
  <c r="AC31" i="29"/>
  <c r="AC132" i="29"/>
  <c r="X183" i="28"/>
  <c r="X184" i="28" s="1"/>
  <c r="X185" i="28"/>
  <c r="X188" i="28" s="1"/>
  <c r="X318" i="42"/>
  <c r="X319" i="42" s="1"/>
  <c r="X321" i="42" s="1"/>
  <c r="U337" i="42"/>
  <c r="U342" i="42"/>
  <c r="AB207" i="28"/>
  <c r="AB156" i="28"/>
  <c r="AB208" i="28"/>
  <c r="AC154" i="38"/>
  <c r="AD78" i="36" s="1"/>
  <c r="AC151" i="38"/>
  <c r="AC155" i="38" s="1"/>
  <c r="AC152" i="38"/>
  <c r="AC156" i="38" s="1"/>
  <c r="AC153" i="38"/>
  <c r="AC157" i="38" s="1"/>
  <c r="W326" i="42"/>
  <c r="W333" i="42" s="1"/>
  <c r="AB31" i="19"/>
  <c r="AB211" i="19"/>
  <c r="Z304" i="42"/>
  <c r="Z303" i="42"/>
  <c r="AD221" i="38"/>
  <c r="AD225" i="38" s="1"/>
  <c r="AD220" i="38"/>
  <c r="AD224" i="38" s="1"/>
  <c r="AD222" i="38"/>
  <c r="AD226" i="38" s="1"/>
  <c r="AE134" i="42"/>
  <c r="AE142" i="42"/>
  <c r="AE158" i="42"/>
  <c r="AE150" i="42"/>
  <c r="AB78" i="42"/>
  <c r="AB82" i="42" s="1"/>
  <c r="AB79" i="42"/>
  <c r="AB83" i="42" s="1"/>
  <c r="AB80" i="42"/>
  <c r="AB84" i="42" s="1"/>
  <c r="AB81" i="42"/>
  <c r="AC29" i="19"/>
  <c r="Y154" i="29"/>
  <c r="Y153" i="29"/>
  <c r="Z161" i="28"/>
  <c r="Z163" i="28"/>
  <c r="Z162" i="28"/>
  <c r="Z164" i="28"/>
  <c r="AD208" i="42"/>
  <c r="AD207" i="42"/>
  <c r="AD211" i="42" s="1"/>
  <c r="AD206" i="42"/>
  <c r="AD210" i="42" s="1"/>
  <c r="AD205" i="42"/>
  <c r="AD209" i="42" s="1"/>
  <c r="AF12" i="28"/>
  <c r="AF25" i="28" s="1"/>
  <c r="AF43" i="28" s="1"/>
  <c r="AF15" i="28"/>
  <c r="AF28" i="28" s="1"/>
  <c r="AF14" i="28"/>
  <c r="AF27" i="28" s="1"/>
  <c r="AF13" i="28"/>
  <c r="AF26" i="28" s="1"/>
  <c r="AF44" i="28" s="1"/>
  <c r="AF11" i="28"/>
  <c r="Y300" i="42"/>
  <c r="Y299" i="42"/>
  <c r="AB68" i="16"/>
  <c r="AB77" i="16"/>
  <c r="X156" i="29"/>
  <c r="X155" i="29"/>
  <c r="X159" i="29" s="1"/>
  <c r="X301" i="42"/>
  <c r="X305" i="42" s="1"/>
  <c r="X302" i="42"/>
  <c r="AB31" i="38"/>
  <c r="AB278" i="38"/>
  <c r="Y315" i="42"/>
  <c r="Y316" i="42" s="1"/>
  <c r="Y317" i="42"/>
  <c r="Y320" i="42" s="1"/>
  <c r="AF12" i="29"/>
  <c r="AF25" i="29" s="1"/>
  <c r="AF43" i="29" s="1"/>
  <c r="AF14" i="29"/>
  <c r="AF27" i="29" s="1"/>
  <c r="AF11" i="29"/>
  <c r="AF15" i="29"/>
  <c r="AF28" i="29" s="1"/>
  <c r="AF13" i="29"/>
  <c r="AF26" i="29" s="1"/>
  <c r="AF44" i="29" s="1"/>
  <c r="AD16" i="46"/>
  <c r="AD272" i="46" s="1"/>
  <c r="AC46" i="16"/>
  <c r="AC67" i="16"/>
  <c r="AD16" i="53"/>
  <c r="AD24" i="53"/>
  <c r="AD29" i="53" s="1"/>
  <c r="AC159" i="38"/>
  <c r="AC163" i="38" s="1"/>
  <c r="AC162" i="38"/>
  <c r="AD108" i="36" s="1"/>
  <c r="AC160" i="38"/>
  <c r="AC164" i="38" s="1"/>
  <c r="AC161" i="38"/>
  <c r="AC165" i="38" s="1"/>
  <c r="AD134" i="38"/>
  <c r="AD158" i="38"/>
  <c r="AD142" i="38"/>
  <c r="AD150" i="38"/>
  <c r="AB71" i="42"/>
  <c r="AB75" i="42" s="1"/>
  <c r="AB70" i="42"/>
  <c r="AB74" i="42" s="1"/>
  <c r="AB73" i="42"/>
  <c r="AB72" i="42"/>
  <c r="AB76" i="42" s="1"/>
  <c r="X299" i="38"/>
  <c r="X300" i="38"/>
  <c r="AC191" i="38"/>
  <c r="AC195" i="38" s="1"/>
  <c r="AC190" i="38"/>
  <c r="AC194" i="38" s="1"/>
  <c r="AC189" i="38"/>
  <c r="AC193" i="38" s="1"/>
  <c r="AF58" i="15"/>
  <c r="AF45" i="15"/>
  <c r="AF64" i="15"/>
  <c r="AF48" i="15"/>
  <c r="AE75" i="29"/>
  <c r="AF64" i="16" s="1"/>
  <c r="AE64" i="29"/>
  <c r="AE73" i="29"/>
  <c r="AF58" i="16" s="1"/>
  <c r="AE74" i="29"/>
  <c r="AF45" i="16" s="1"/>
  <c r="AE72" i="29"/>
  <c r="AE63" i="29"/>
  <c r="AE62" i="29" s="1"/>
  <c r="AE65" i="29"/>
  <c r="AE70" i="29"/>
  <c r="AE68" i="29"/>
  <c r="AE71" i="29"/>
  <c r="AF48" i="16" s="1"/>
  <c r="AE66" i="29"/>
  <c r="AB246" i="38"/>
  <c r="AB44" i="38"/>
  <c r="AB288" i="38" s="1"/>
  <c r="AB69" i="38"/>
  <c r="AB70" i="38" s="1"/>
  <c r="AB101" i="38"/>
  <c r="AB77" i="38"/>
  <c r="AB93" i="38"/>
  <c r="W169" i="28"/>
  <c r="W173" i="28" s="1"/>
  <c r="W170" i="28"/>
  <c r="X167" i="28"/>
  <c r="X168" i="28"/>
  <c r="AC213" i="28"/>
  <c r="AC59" i="29"/>
  <c r="AD62" i="16" s="1"/>
  <c r="AC47" i="28"/>
  <c r="AC114" i="28" s="1"/>
  <c r="AC52" i="29"/>
  <c r="AC49" i="29" s="1"/>
  <c r="AC89" i="29" s="1"/>
  <c r="AC58" i="29"/>
  <c r="AC100" i="29" s="1"/>
  <c r="AC53" i="29"/>
  <c r="AD56" i="15"/>
  <c r="AC56" i="29"/>
  <c r="AD44" i="16" s="1"/>
  <c r="AD62" i="15"/>
  <c r="AC50" i="29"/>
  <c r="AC51" i="29"/>
  <c r="AD44" i="15"/>
  <c r="AC54" i="29"/>
  <c r="AC60" i="29"/>
  <c r="AD56" i="16" s="1"/>
  <c r="AC57" i="29"/>
  <c r="AB181" i="28"/>
  <c r="AB182" i="28" s="1"/>
  <c r="AB158" i="28"/>
  <c r="AD29" i="29"/>
  <c r="AD42" i="29"/>
  <c r="AC136" i="38"/>
  <c r="AC135" i="38"/>
  <c r="AC137" i="38"/>
  <c r="AD16" i="38"/>
  <c r="AD244" i="38" s="1"/>
  <c r="AD24" i="38"/>
  <c r="AC39" i="38"/>
  <c r="AC29" i="38"/>
  <c r="AB95" i="42"/>
  <c r="AB99" i="42" s="1"/>
  <c r="AB97" i="42"/>
  <c r="AB94" i="42"/>
  <c r="AB98" i="42" s="1"/>
  <c r="AB96" i="42"/>
  <c r="AB100" i="42" s="1"/>
  <c r="AC200" i="38"/>
  <c r="AD100" i="36" s="1"/>
  <c r="AC197" i="38"/>
  <c r="AC201" i="38" s="1"/>
  <c r="AC198" i="38"/>
  <c r="AC202" i="38" s="1"/>
  <c r="AC199" i="38"/>
  <c r="AC203" i="38" s="1"/>
  <c r="X179" i="29"/>
  <c r="W301" i="38"/>
  <c r="W305" i="38" s="1"/>
  <c r="W302" i="38"/>
  <c r="AC194" i="53"/>
  <c r="AC31" i="53"/>
  <c r="AF15" i="48"/>
  <c r="AF11" i="48"/>
  <c r="AF13" i="48"/>
  <c r="AF14" i="48"/>
  <c r="AF12" i="48"/>
  <c r="AB34" i="28"/>
  <c r="AB33" i="28"/>
  <c r="AD162" i="42"/>
  <c r="AD159" i="42"/>
  <c r="AD163" i="42" s="1"/>
  <c r="AD160" i="42"/>
  <c r="AD164" i="42" s="1"/>
  <c r="AD161" i="42"/>
  <c r="AD165" i="42" s="1"/>
  <c r="AC31" i="28"/>
  <c r="AC146" i="28"/>
  <c r="AA292" i="38"/>
  <c r="AA289" i="38"/>
  <c r="Y136" i="29"/>
  <c r="Y138" i="29"/>
  <c r="Y140" i="29"/>
  <c r="Y137" i="29"/>
  <c r="Y139" i="29"/>
  <c r="Y141" i="29"/>
  <c r="Z297" i="42"/>
  <c r="Z298" i="42"/>
  <c r="AD188" i="38"/>
  <c r="AD196" i="38"/>
  <c r="AD204" i="38"/>
  <c r="AF14" i="42"/>
  <c r="AF27" i="42" s="1"/>
  <c r="AF42" i="42" s="1"/>
  <c r="AF12" i="42"/>
  <c r="AF25" i="42" s="1"/>
  <c r="AF40" i="42" s="1"/>
  <c r="AF13" i="42"/>
  <c r="AF26" i="42" s="1"/>
  <c r="AF41" i="42" s="1"/>
  <c r="AF219" i="42" s="1"/>
  <c r="AF11" i="42"/>
  <c r="AF15" i="42"/>
  <c r="AF28" i="42" s="1"/>
  <c r="AF43" i="42" s="1"/>
  <c r="AF234" i="42" s="1"/>
  <c r="AD16" i="19"/>
  <c r="AD24" i="19"/>
  <c r="Z157" i="29"/>
  <c r="Z158" i="29"/>
  <c r="AB313" i="42"/>
  <c r="AB314" i="42" s="1"/>
  <c r="AB290" i="42"/>
  <c r="AB291" i="42" s="1"/>
  <c r="AC207" i="38"/>
  <c r="AC211" i="38" s="1"/>
  <c r="AC208" i="38"/>
  <c r="AC205" i="38"/>
  <c r="AC209" i="38" s="1"/>
  <c r="AC206" i="38"/>
  <c r="AC210" i="38" s="1"/>
  <c r="V193" i="28"/>
  <c r="AA297" i="42"/>
  <c r="AA298" i="42"/>
  <c r="AF12" i="20"/>
  <c r="AF13" i="20"/>
  <c r="AF11" i="20"/>
  <c r="AF15" i="20"/>
  <c r="AF14" i="20"/>
  <c r="AD29" i="28"/>
  <c r="AD42" i="28"/>
  <c r="AE46" i="29"/>
  <c r="AE85" i="29" s="1"/>
  <c r="AD154" i="42"/>
  <c r="AD151" i="42"/>
  <c r="AD155" i="42" s="1"/>
  <c r="AD153" i="42"/>
  <c r="AD157" i="42" s="1"/>
  <c r="AD152" i="42"/>
  <c r="AD156" i="42" s="1"/>
  <c r="AE14" i="46"/>
  <c r="AE15" i="46"/>
  <c r="AE13" i="46"/>
  <c r="AE11" i="46"/>
  <c r="AE12" i="46"/>
  <c r="AC67" i="15"/>
  <c r="AC46" i="15"/>
  <c r="AE11" i="53"/>
  <c r="AE12" i="53"/>
  <c r="AE25" i="53" s="1"/>
  <c r="AE15" i="53"/>
  <c r="AE28" i="53" s="1"/>
  <c r="AE13" i="53"/>
  <c r="AE26" i="53" s="1"/>
  <c r="AE41" i="53" s="1"/>
  <c r="AE147" i="53" s="1"/>
  <c r="AE148" i="53" s="1"/>
  <c r="AF60" i="51" s="1"/>
  <c r="AE14" i="53"/>
  <c r="AE27" i="53" s="1"/>
  <c r="AA290" i="38"/>
  <c r="AA291" i="38" s="1"/>
  <c r="AA313" i="38"/>
  <c r="AA101" i="29"/>
  <c r="Z134" i="29"/>
  <c r="Z135" i="29" s="1"/>
  <c r="AE13" i="38"/>
  <c r="AE26" i="38" s="1"/>
  <c r="AE41" i="38" s="1"/>
  <c r="AE219" i="38" s="1"/>
  <c r="AE12" i="38"/>
  <c r="AE25" i="38" s="1"/>
  <c r="AE40" i="38" s="1"/>
  <c r="AE14" i="38"/>
  <c r="AE27" i="38" s="1"/>
  <c r="AE42" i="38" s="1"/>
  <c r="AE11" i="38"/>
  <c r="AE15" i="38"/>
  <c r="AE28" i="38" s="1"/>
  <c r="AE43" i="38" s="1"/>
  <c r="AE234" i="38" s="1"/>
  <c r="AE196" i="42"/>
  <c r="AE204" i="42"/>
  <c r="AE188" i="42"/>
  <c r="Z151" i="29"/>
  <c r="Z152" i="29"/>
  <c r="AC31" i="42"/>
  <c r="AC278" i="42"/>
  <c r="Y285" i="42"/>
  <c r="Y282" i="42"/>
  <c r="Y287" i="42"/>
  <c r="Y284" i="42"/>
  <c r="Y286" i="42"/>
  <c r="Y283" i="42"/>
  <c r="AB292" i="42"/>
  <c r="AB289" i="42"/>
  <c r="Y169" i="29"/>
  <c r="Y170" i="29" s="1"/>
  <c r="Y171" i="29"/>
  <c r="Y174" i="29" s="1"/>
  <c r="X325" i="42"/>
  <c r="X326" i="42" s="1"/>
  <c r="X335" i="42" s="1"/>
  <c r="X172" i="29"/>
  <c r="X173" i="29" s="1"/>
  <c r="X175" i="29" s="1"/>
  <c r="Y165" i="28"/>
  <c r="Y166" i="28"/>
  <c r="AA160" i="29"/>
  <c r="AA162" i="29"/>
  <c r="AA164" i="29"/>
  <c r="AA161" i="29"/>
  <c r="AA163" i="29"/>
  <c r="AA165" i="29"/>
  <c r="AD145" i="42"/>
  <c r="AD149" i="42" s="1"/>
  <c r="AD146" i="42"/>
  <c r="AD143" i="42"/>
  <c r="AD147" i="42" s="1"/>
  <c r="AD144" i="42"/>
  <c r="AD148" i="42" s="1"/>
  <c r="AD85" i="29"/>
  <c r="AE61" i="15"/>
  <c r="U72" i="15"/>
  <c r="T211" i="28"/>
  <c r="U73" i="15" s="1"/>
  <c r="AE16" i="42"/>
  <c r="AE244" i="42" s="1"/>
  <c r="AE24" i="42"/>
  <c r="AC246" i="42"/>
  <c r="AC44" i="42"/>
  <c r="AC288" i="42" s="1"/>
  <c r="AC101" i="42"/>
  <c r="AC69" i="42"/>
  <c r="AC93" i="42"/>
  <c r="AC77" i="42"/>
  <c r="Z280" i="42"/>
  <c r="Z281" i="42" s="1"/>
  <c r="AA247" i="42"/>
  <c r="V342" i="42"/>
  <c r="V337" i="42"/>
  <c r="AA149" i="29"/>
  <c r="AA147" i="29"/>
  <c r="AA148" i="29"/>
  <c r="AA150" i="29"/>
  <c r="AE16" i="28"/>
  <c r="AE115" i="28" s="1"/>
  <c r="AE24" i="28"/>
  <c r="W193" i="28"/>
  <c r="AA303" i="42"/>
  <c r="AA315" i="42" s="1"/>
  <c r="AA316" i="42" s="1"/>
  <c r="AA304" i="42"/>
  <c r="AE13" i="54"/>
  <c r="AE26" i="54" s="1"/>
  <c r="AE41" i="54" s="1"/>
  <c r="AE147" i="54" s="1"/>
  <c r="AE148" i="54" s="1"/>
  <c r="AE15" i="54"/>
  <c r="AE28" i="54" s="1"/>
  <c r="AE12" i="54"/>
  <c r="AE25" i="54" s="1"/>
  <c r="AE14" i="54"/>
  <c r="AE27" i="54" s="1"/>
  <c r="AE11" i="54"/>
  <c r="AA77" i="15"/>
  <c r="AA193" i="29"/>
  <c r="AA194" i="29"/>
  <c r="AA160" i="28"/>
  <c r="AA159" i="28"/>
  <c r="AA157" i="28"/>
  <c r="Y172" i="28"/>
  <c r="Y171" i="28"/>
  <c r="AE16" i="48"/>
  <c r="AE272" i="48" s="1"/>
  <c r="S160" i="19"/>
  <c r="S163" i="19"/>
  <c r="S161" i="19"/>
  <c r="S162" i="19"/>
  <c r="T200" i="20"/>
  <c r="T202" i="20"/>
  <c r="T199" i="20"/>
  <c r="T201" i="20"/>
  <c r="T203" i="20"/>
  <c r="T164" i="19" s="1"/>
  <c r="T24" i="20"/>
  <c r="T219" i="20"/>
  <c r="R253" i="20"/>
  <c r="R31" i="20"/>
  <c r="S154" i="19"/>
  <c r="S29" i="20"/>
  <c r="U26" i="20"/>
  <c r="U44" i="20" s="1"/>
  <c r="U198" i="20" s="1"/>
  <c r="U159" i="19" s="1"/>
  <c r="V123" i="14" s="1"/>
  <c r="T25" i="20"/>
  <c r="U123" i="12"/>
  <c r="T157" i="19"/>
  <c r="T155" i="19"/>
  <c r="T27" i="20"/>
  <c r="U28" i="20"/>
  <c r="AB77" i="15" l="1"/>
  <c r="AD65" i="15"/>
  <c r="BJ108" i="36"/>
  <c r="U197" i="29"/>
  <c r="V73" i="16" s="1"/>
  <c r="AD65" i="16"/>
  <c r="BJ100" i="36"/>
  <c r="W71" i="16"/>
  <c r="BJ99" i="36"/>
  <c r="AD59" i="16"/>
  <c r="AF49" i="16"/>
  <c r="BL60" i="51"/>
  <c r="AF49" i="15"/>
  <c r="BJ78" i="36"/>
  <c r="V196" i="29"/>
  <c r="U210" i="28"/>
  <c r="V72" i="15" s="1"/>
  <c r="U205" i="28"/>
  <c r="V71" i="15"/>
  <c r="Y318" i="42"/>
  <c r="Y319" i="42" s="1"/>
  <c r="Y321" i="42" s="1"/>
  <c r="X186" i="28"/>
  <c r="X187" i="28" s="1"/>
  <c r="X189" i="28" s="1"/>
  <c r="AC243" i="42"/>
  <c r="AA317" i="42"/>
  <c r="AA320" i="42" s="1"/>
  <c r="AA325" i="42" s="1"/>
  <c r="AA311" i="38"/>
  <c r="AA306" i="38"/>
  <c r="AA310" i="38"/>
  <c r="AA308" i="38"/>
  <c r="AA307" i="38"/>
  <c r="AA309" i="38"/>
  <c r="AF61" i="16"/>
  <c r="AE84" i="29"/>
  <c r="AE16" i="54"/>
  <c r="AE24" i="54"/>
  <c r="AE29" i="54" s="1"/>
  <c r="Z283" i="42"/>
  <c r="Z287" i="42"/>
  <c r="Z286" i="42"/>
  <c r="Z284" i="42"/>
  <c r="Z285" i="42"/>
  <c r="Z282" i="42"/>
  <c r="AE39" i="42"/>
  <c r="AE29" i="42"/>
  <c r="AE205" i="42"/>
  <c r="AE209" i="42" s="1"/>
  <c r="AE206" i="42"/>
  <c r="AE210" i="42" s="1"/>
  <c r="AE208" i="42"/>
  <c r="AE207" i="42"/>
  <c r="AE211" i="42" s="1"/>
  <c r="AG14" i="20"/>
  <c r="AG15" i="20"/>
  <c r="AG12" i="20"/>
  <c r="AG13" i="20"/>
  <c r="AG11" i="20"/>
  <c r="AD29" i="19"/>
  <c r="AD208" i="38"/>
  <c r="AD205" i="38"/>
  <c r="AD209" i="38" s="1"/>
  <c r="AD206" i="38"/>
  <c r="AD210" i="38" s="1"/>
  <c r="AD207" i="38"/>
  <c r="AD211" i="38" s="1"/>
  <c r="AD39" i="38"/>
  <c r="AD29" i="38"/>
  <c r="AC181" i="28"/>
  <c r="AC182" i="28" s="1"/>
  <c r="AC158" i="28"/>
  <c r="AD153" i="38"/>
  <c r="AD157" i="38" s="1"/>
  <c r="AD154" i="38"/>
  <c r="AE78" i="36" s="1"/>
  <c r="AD151" i="38"/>
  <c r="AD155" i="38" s="1"/>
  <c r="AD152" i="38"/>
  <c r="AD156" i="38" s="1"/>
  <c r="AF46" i="29"/>
  <c r="AG55" i="15"/>
  <c r="AF80" i="29"/>
  <c r="AF79" i="29" s="1"/>
  <c r="AF82" i="29"/>
  <c r="AG55" i="16" s="1"/>
  <c r="AE143" i="42"/>
  <c r="AE147" i="42" s="1"/>
  <c r="AE144" i="42"/>
  <c r="AE148" i="42" s="1"/>
  <c r="AE146" i="42"/>
  <c r="AE145" i="42"/>
  <c r="AE149" i="42" s="1"/>
  <c r="AB34" i="19"/>
  <c r="AB33" i="19"/>
  <c r="AB160" i="28"/>
  <c r="AB159" i="28"/>
  <c r="AB157" i="28"/>
  <c r="Y299" i="38"/>
  <c r="Y300" i="38"/>
  <c r="W194" i="28"/>
  <c r="W201" i="28" s="1"/>
  <c r="AA157" i="29"/>
  <c r="AA158" i="29"/>
  <c r="Y179" i="29"/>
  <c r="Y180" i="29" s="1"/>
  <c r="Y189" i="29" s="1"/>
  <c r="Z70" i="16" s="1"/>
  <c r="AE197" i="42"/>
  <c r="AE201" i="42" s="1"/>
  <c r="AE198" i="42"/>
  <c r="AE202" i="42" s="1"/>
  <c r="AE200" i="42"/>
  <c r="AE199" i="42"/>
  <c r="AE203" i="42" s="1"/>
  <c r="AF15" i="46"/>
  <c r="AF12" i="46"/>
  <c r="AF11" i="46"/>
  <c r="AF13" i="46"/>
  <c r="AF14" i="46"/>
  <c r="AD213" i="28"/>
  <c r="AD51" i="29"/>
  <c r="AD59" i="29"/>
  <c r="AE62" i="16" s="1"/>
  <c r="AE56" i="15"/>
  <c r="AD53" i="29"/>
  <c r="AD52" i="29"/>
  <c r="AD49" i="29" s="1"/>
  <c r="AE62" i="15"/>
  <c r="AD50" i="29"/>
  <c r="AE44" i="15"/>
  <c r="AD54" i="29"/>
  <c r="AD56" i="29"/>
  <c r="AE44" i="16" s="1"/>
  <c r="AD57" i="29"/>
  <c r="AD47" i="28"/>
  <c r="AD114" i="28" s="1"/>
  <c r="AD60" i="29"/>
  <c r="AE56" i="16" s="1"/>
  <c r="AD58" i="29"/>
  <c r="AD100" i="29" s="1"/>
  <c r="AA300" i="42"/>
  <c r="AA299" i="42"/>
  <c r="AD198" i="38"/>
  <c r="AD202" i="38" s="1"/>
  <c r="AD199" i="38"/>
  <c r="AD203" i="38" s="1"/>
  <c r="AD200" i="38"/>
  <c r="AE100" i="36" s="1"/>
  <c r="AD197" i="38"/>
  <c r="AD201" i="38" s="1"/>
  <c r="AD67" i="16"/>
  <c r="AD46" i="16"/>
  <c r="AD144" i="38"/>
  <c r="AD148" i="38" s="1"/>
  <c r="AD145" i="38"/>
  <c r="AD149" i="38" s="1"/>
  <c r="AD146" i="38"/>
  <c r="AE99" i="36" s="1"/>
  <c r="AD143" i="38"/>
  <c r="AD147" i="38" s="1"/>
  <c r="AC77" i="16"/>
  <c r="AC68" i="16"/>
  <c r="AF16" i="29"/>
  <c r="AF24" i="29"/>
  <c r="AG12" i="28"/>
  <c r="AG25" i="28" s="1"/>
  <c r="AG43" i="28" s="1"/>
  <c r="AG14" i="28"/>
  <c r="AG27" i="28" s="1"/>
  <c r="AG11" i="28"/>
  <c r="AG15" i="28"/>
  <c r="AG28" i="28" s="1"/>
  <c r="AI2" i="28"/>
  <c r="AG13" i="28"/>
  <c r="AG26" i="28" s="1"/>
  <c r="AG44" i="28" s="1"/>
  <c r="AC31" i="19"/>
  <c r="AC211" i="19"/>
  <c r="AE138" i="42"/>
  <c r="AE136" i="42"/>
  <c r="AE140" i="42" s="1"/>
  <c r="AE135" i="42"/>
  <c r="AE139" i="42" s="1"/>
  <c r="AE137" i="42"/>
  <c r="AE141" i="42" s="1"/>
  <c r="W335" i="42"/>
  <c r="W342" i="42" s="1"/>
  <c r="X193" i="28"/>
  <c r="Z304" i="38"/>
  <c r="Z303" i="38"/>
  <c r="Z315" i="38" s="1"/>
  <c r="X69" i="16"/>
  <c r="W196" i="29"/>
  <c r="Y183" i="28"/>
  <c r="Y184" i="28" s="1"/>
  <c r="Y185" i="28"/>
  <c r="AE29" i="28"/>
  <c r="AE42" i="28"/>
  <c r="AC78" i="42"/>
  <c r="AC82" i="42" s="1"/>
  <c r="AC81" i="42"/>
  <c r="AC80" i="42"/>
  <c r="AC84" i="42" s="1"/>
  <c r="AC79" i="42"/>
  <c r="AC83" i="42" s="1"/>
  <c r="AE61" i="16"/>
  <c r="AD84" i="29"/>
  <c r="X333" i="42"/>
  <c r="AE236" i="38"/>
  <c r="AE240" i="38" s="1"/>
  <c r="AE237" i="38"/>
  <c r="AE241" i="38" s="1"/>
  <c r="AE235" i="38"/>
  <c r="AE239" i="38" s="1"/>
  <c r="AE16" i="53"/>
  <c r="AE24" i="53"/>
  <c r="AE29" i="53" s="1"/>
  <c r="AD146" i="28"/>
  <c r="AD31" i="28"/>
  <c r="AF235" i="42"/>
  <c r="AF239" i="42" s="1"/>
  <c r="AF238" i="42"/>
  <c r="AF237" i="42"/>
  <c r="AF241" i="42" s="1"/>
  <c r="AF236" i="42"/>
  <c r="AF240" i="42" s="1"/>
  <c r="AD189" i="38"/>
  <c r="AD193" i="38" s="1"/>
  <c r="AD191" i="38"/>
  <c r="AD195" i="38" s="1"/>
  <c r="AD190" i="38"/>
  <c r="AD194" i="38" s="1"/>
  <c r="AD59" i="15"/>
  <c r="AD66" i="15"/>
  <c r="X169" i="28"/>
  <c r="X173" i="28" s="1"/>
  <c r="X170" i="28"/>
  <c r="AB289" i="38"/>
  <c r="AB292" i="38"/>
  <c r="X302" i="38"/>
  <c r="X301" i="38"/>
  <c r="X305" i="38" s="1"/>
  <c r="AD161" i="38"/>
  <c r="AD165" i="38" s="1"/>
  <c r="AD162" i="38"/>
  <c r="AE108" i="36" s="1"/>
  <c r="AD159" i="38"/>
  <c r="AD163" i="38" s="1"/>
  <c r="AD160" i="38"/>
  <c r="AD164" i="38" s="1"/>
  <c r="Z172" i="28"/>
  <c r="Z171" i="28"/>
  <c r="BB125" i="36"/>
  <c r="U343" i="42"/>
  <c r="BB126" i="36" s="1"/>
  <c r="Z297" i="38"/>
  <c r="Z298" i="38"/>
  <c r="AB148" i="29"/>
  <c r="AB147" i="29"/>
  <c r="AB149" i="29"/>
  <c r="AB150" i="29"/>
  <c r="AB193" i="29"/>
  <c r="AB194" i="29"/>
  <c r="AC95" i="42"/>
  <c r="AC99" i="42" s="1"/>
  <c r="AC96" i="42"/>
  <c r="AC100" i="42" s="1"/>
  <c r="AC94" i="42"/>
  <c r="AC98" i="42" s="1"/>
  <c r="AC97" i="42"/>
  <c r="AE16" i="38"/>
  <c r="AE244" i="38" s="1"/>
  <c r="AE24" i="38"/>
  <c r="AC68" i="15"/>
  <c r="AF16" i="42"/>
  <c r="AF244" i="42" s="1"/>
  <c r="AF24" i="42"/>
  <c r="Z299" i="42"/>
  <c r="Z300" i="42"/>
  <c r="AB290" i="38"/>
  <c r="AB291" i="38" s="1"/>
  <c r="AB313" i="38"/>
  <c r="Y172" i="29"/>
  <c r="Y173" i="29" s="1"/>
  <c r="Y175" i="29" s="1"/>
  <c r="AD137" i="38"/>
  <c r="AD136" i="38"/>
  <c r="AD135" i="38"/>
  <c r="AF46" i="28"/>
  <c r="W72" i="16"/>
  <c r="V197" i="29"/>
  <c r="W73" i="16" s="1"/>
  <c r="AC214" i="28"/>
  <c r="AB148" i="28"/>
  <c r="AB149" i="28" s="1"/>
  <c r="AD194" i="54"/>
  <c r="AD31" i="54"/>
  <c r="AA151" i="29"/>
  <c r="AA152" i="29"/>
  <c r="AC70" i="42"/>
  <c r="AC74" i="42" s="1"/>
  <c r="AC71" i="42"/>
  <c r="AC75" i="42" s="1"/>
  <c r="AC72" i="42"/>
  <c r="AC76" i="42" s="1"/>
  <c r="AC73" i="42"/>
  <c r="AB295" i="42"/>
  <c r="AB294" i="42"/>
  <c r="AB296" i="42"/>
  <c r="AB293" i="42"/>
  <c r="AE188" i="38"/>
  <c r="AE204" i="38"/>
  <c r="AE196" i="38"/>
  <c r="V194" i="28"/>
  <c r="V203" i="28" s="1"/>
  <c r="W70" i="15" s="1"/>
  <c r="AG14" i="42"/>
  <c r="AG27" i="42" s="1"/>
  <c r="AG42" i="42" s="1"/>
  <c r="AG11" i="42"/>
  <c r="AG12" i="42"/>
  <c r="AG25" i="42" s="1"/>
  <c r="AG40" i="42" s="1"/>
  <c r="AG13" i="42"/>
  <c r="AG26" i="42" s="1"/>
  <c r="AG41" i="42" s="1"/>
  <c r="AG219" i="42" s="1"/>
  <c r="AG15" i="42"/>
  <c r="AG28" i="42" s="1"/>
  <c r="AG43" i="42" s="1"/>
  <c r="AG234" i="42" s="1"/>
  <c r="AC167" i="29"/>
  <c r="AC168" i="29" s="1"/>
  <c r="AC144" i="29"/>
  <c r="AC145" i="29" s="1"/>
  <c r="AG13" i="29"/>
  <c r="AG26" i="29" s="1"/>
  <c r="AG44" i="29" s="1"/>
  <c r="AG80" i="29" s="1"/>
  <c r="AG79" i="29" s="1"/>
  <c r="AG14" i="29"/>
  <c r="AG27" i="29" s="1"/>
  <c r="AG11" i="29"/>
  <c r="AG12" i="29"/>
  <c r="AG25" i="29" s="1"/>
  <c r="AG43" i="29" s="1"/>
  <c r="AG15" i="29"/>
  <c r="AG28" i="29" s="1"/>
  <c r="AF67" i="29"/>
  <c r="AF74" i="29"/>
  <c r="AG45" i="16" s="1"/>
  <c r="AG58" i="15"/>
  <c r="AF75" i="29"/>
  <c r="AG64" i="16" s="1"/>
  <c r="AG64" i="15"/>
  <c r="AF72" i="29"/>
  <c r="AG48" i="15"/>
  <c r="AF71" i="29"/>
  <c r="AG48" i="16" s="1"/>
  <c r="AG45" i="15"/>
  <c r="AF65" i="29"/>
  <c r="AF70" i="29"/>
  <c r="AF73" i="29"/>
  <c r="AG58" i="16" s="1"/>
  <c r="AF66" i="29"/>
  <c r="AF64" i="29"/>
  <c r="AF63" i="29"/>
  <c r="AF62" i="29" s="1"/>
  <c r="AF68" i="29"/>
  <c r="Z166" i="28"/>
  <c r="Z165" i="28"/>
  <c r="AA153" i="28"/>
  <c r="AA151" i="28"/>
  <c r="AA150" i="28"/>
  <c r="AA155" i="28"/>
  <c r="AA154" i="28"/>
  <c r="AA152" i="28"/>
  <c r="AC88" i="29"/>
  <c r="AA176" i="28"/>
  <c r="AA178" i="28"/>
  <c r="AA177" i="28"/>
  <c r="AA175" i="28"/>
  <c r="AA174" i="28"/>
  <c r="AA179" i="28"/>
  <c r="AF14" i="54"/>
  <c r="AF27" i="54" s="1"/>
  <c r="AF11" i="54"/>
  <c r="AF13" i="54"/>
  <c r="AF26" i="54" s="1"/>
  <c r="AF41" i="54" s="1"/>
  <c r="AF147" i="54" s="1"/>
  <c r="AF148" i="54" s="1"/>
  <c r="AF15" i="54"/>
  <c r="AF28" i="54" s="1"/>
  <c r="AF12" i="54"/>
  <c r="AF25" i="54" s="1"/>
  <c r="AC102" i="42"/>
  <c r="AC106" i="42" s="1"/>
  <c r="AC104" i="42"/>
  <c r="AC108" i="42" s="1"/>
  <c r="AC105" i="42"/>
  <c r="AC103" i="42"/>
  <c r="AC107" i="42" s="1"/>
  <c r="Y168" i="28"/>
  <c r="Y167" i="28"/>
  <c r="Z154" i="29"/>
  <c r="Z153" i="29"/>
  <c r="AE134" i="38"/>
  <c r="AE150" i="38"/>
  <c r="AE158" i="38"/>
  <c r="AE142" i="38"/>
  <c r="Z138" i="29"/>
  <c r="Z140" i="29"/>
  <c r="Z137" i="29"/>
  <c r="Z139" i="29"/>
  <c r="Z141" i="29"/>
  <c r="Z136" i="29"/>
  <c r="AF221" i="42"/>
  <c r="AF225" i="42" s="1"/>
  <c r="AF223" i="42"/>
  <c r="AF222" i="42"/>
  <c r="AF226" i="42" s="1"/>
  <c r="AF220" i="42"/>
  <c r="AF224" i="42" s="1"/>
  <c r="AA293" i="38"/>
  <c r="AA294" i="38"/>
  <c r="AA296" i="38"/>
  <c r="AA295" i="38"/>
  <c r="AF16" i="48"/>
  <c r="AF272" i="48" s="1"/>
  <c r="AC31" i="38"/>
  <c r="AC278" i="38"/>
  <c r="AD47" i="29"/>
  <c r="AD142" i="29" s="1"/>
  <c r="AD67" i="15"/>
  <c r="AD46" i="15"/>
  <c r="AB243" i="38"/>
  <c r="Y325" i="42"/>
  <c r="Y302" i="42"/>
  <c r="Y301" i="42"/>
  <c r="Y305" i="42" s="1"/>
  <c r="Z315" i="42"/>
  <c r="Z316" i="42" s="1"/>
  <c r="Z317" i="42"/>
  <c r="Z320" i="42" s="1"/>
  <c r="AC143" i="29"/>
  <c r="AC146" i="29"/>
  <c r="AE24" i="19"/>
  <c r="AE16" i="19"/>
  <c r="AA164" i="28"/>
  <c r="AA163" i="28"/>
  <c r="AA161" i="28"/>
  <c r="AA162" i="28"/>
  <c r="BC125" i="36"/>
  <c r="V343" i="42"/>
  <c r="BC126" i="36" s="1"/>
  <c r="AC292" i="42"/>
  <c r="AC289" i="42"/>
  <c r="AE221" i="38"/>
  <c r="AE225" i="38" s="1"/>
  <c r="AE222" i="38"/>
  <c r="AE226" i="38" s="1"/>
  <c r="AE220" i="38"/>
  <c r="AE224" i="38" s="1"/>
  <c r="AB101" i="29"/>
  <c r="AA134" i="29"/>
  <c r="AA135" i="29" s="1"/>
  <c r="AF134" i="42"/>
  <c r="AF158" i="42"/>
  <c r="AF142" i="42"/>
  <c r="AF150" i="42"/>
  <c r="AG14" i="48"/>
  <c r="AG15" i="48"/>
  <c r="AG11" i="48"/>
  <c r="AG13" i="48"/>
  <c r="AG12" i="48"/>
  <c r="X180" i="29"/>
  <c r="X187" i="29" s="1"/>
  <c r="AC246" i="38"/>
  <c r="AC44" i="38"/>
  <c r="AC288" i="38" s="1"/>
  <c r="AC292" i="38" s="1"/>
  <c r="AC77" i="38"/>
  <c r="AC93" i="38"/>
  <c r="AC101" i="38"/>
  <c r="AC69" i="38"/>
  <c r="AC70" i="38" s="1"/>
  <c r="AD132" i="29"/>
  <c r="AD31" i="29"/>
  <c r="AC208" i="28"/>
  <c r="AC156" i="28"/>
  <c r="AC207" i="28"/>
  <c r="AD31" i="53"/>
  <c r="AD194" i="53"/>
  <c r="Y155" i="29"/>
  <c r="Y159" i="29" s="1"/>
  <c r="Y156" i="29"/>
  <c r="AE154" i="42"/>
  <c r="AE153" i="42"/>
  <c r="AE157" i="42" s="1"/>
  <c r="AE151" i="42"/>
  <c r="AE155" i="42" s="1"/>
  <c r="AE152" i="42"/>
  <c r="AE156" i="42" s="1"/>
  <c r="AC34" i="29"/>
  <c r="AC33" i="29"/>
  <c r="AD278" i="42"/>
  <c r="AD31" i="42"/>
  <c r="AB163" i="29"/>
  <c r="AB165" i="29"/>
  <c r="AB160" i="29"/>
  <c r="AB162" i="29"/>
  <c r="AB164" i="29"/>
  <c r="AB161" i="29"/>
  <c r="AB247" i="42"/>
  <c r="AA280" i="42"/>
  <c r="AA281" i="42" s="1"/>
  <c r="AC313" i="42"/>
  <c r="AC314" i="42" s="1"/>
  <c r="AC290" i="42"/>
  <c r="AC291" i="42" s="1"/>
  <c r="AE190" i="42"/>
  <c r="AE194" i="42" s="1"/>
  <c r="AE189" i="42"/>
  <c r="AE193" i="42" s="1"/>
  <c r="AE192" i="42"/>
  <c r="AE191" i="42"/>
  <c r="AE195" i="42" s="1"/>
  <c r="AF14" i="38"/>
  <c r="AF27" i="38" s="1"/>
  <c r="AF42" i="38" s="1"/>
  <c r="AF15" i="38"/>
  <c r="AF28" i="38" s="1"/>
  <c r="AF43" i="38" s="1"/>
  <c r="AF234" i="38" s="1"/>
  <c r="AF11" i="38"/>
  <c r="AF13" i="38"/>
  <c r="AF26" i="38" s="1"/>
  <c r="AF41" i="38" s="1"/>
  <c r="AF219" i="38" s="1"/>
  <c r="AF12" i="38"/>
  <c r="AF25" i="38" s="1"/>
  <c r="AF40" i="38" s="1"/>
  <c r="AF15" i="53"/>
  <c r="AF28" i="53" s="1"/>
  <c r="AF12" i="53"/>
  <c r="AF25" i="53" s="1"/>
  <c r="AF11" i="53"/>
  <c r="AF14" i="53"/>
  <c r="AF27" i="53" s="1"/>
  <c r="AF13" i="53"/>
  <c r="AF26" i="53" s="1"/>
  <c r="AF41" i="53" s="1"/>
  <c r="AF147" i="53" s="1"/>
  <c r="AF148" i="53" s="1"/>
  <c r="AG60" i="51" s="1"/>
  <c r="AE16" i="46"/>
  <c r="AE272" i="46" s="1"/>
  <c r="AB309" i="42"/>
  <c r="AB306" i="42"/>
  <c r="AB308" i="42"/>
  <c r="AB310" i="42"/>
  <c r="AB311" i="42"/>
  <c r="AB307" i="42"/>
  <c r="Z169" i="29"/>
  <c r="Z170" i="29" s="1"/>
  <c r="Z171" i="29"/>
  <c r="Z174" i="29" s="1"/>
  <c r="AF204" i="42"/>
  <c r="AF196" i="42"/>
  <c r="AF188" i="42"/>
  <c r="AC33" i="28"/>
  <c r="AC34" i="28"/>
  <c r="AD66" i="16"/>
  <c r="AF16" i="28"/>
  <c r="AF115" i="28" s="1"/>
  <c r="AF24" i="28"/>
  <c r="AE160" i="42"/>
  <c r="AE164" i="42" s="1"/>
  <c r="AE159" i="42"/>
  <c r="AE163" i="42" s="1"/>
  <c r="AE161" i="42"/>
  <c r="AE165" i="42" s="1"/>
  <c r="AE162" i="42"/>
  <c r="AE29" i="29"/>
  <c r="AE42" i="29"/>
  <c r="AD246" i="42"/>
  <c r="AD101" i="42"/>
  <c r="AD69" i="42"/>
  <c r="AD93" i="42"/>
  <c r="AD44" i="42"/>
  <c r="AD288" i="42" s="1"/>
  <c r="AD77" i="42"/>
  <c r="AF15" i="19"/>
  <c r="AF28" i="19" s="1"/>
  <c r="AF13" i="19"/>
  <c r="AF26" i="19" s="1"/>
  <c r="AF44" i="19" s="1"/>
  <c r="AF11" i="19"/>
  <c r="AF12" i="19"/>
  <c r="AF25" i="19" s="1"/>
  <c r="AF14" i="19"/>
  <c r="AF27" i="19" s="1"/>
  <c r="T162" i="19"/>
  <c r="T160" i="19"/>
  <c r="T163" i="19"/>
  <c r="T161" i="19"/>
  <c r="U200" i="20"/>
  <c r="U202" i="20"/>
  <c r="U199" i="20"/>
  <c r="U203" i="20"/>
  <c r="U164" i="19" s="1"/>
  <c r="U201" i="20"/>
  <c r="U16" i="20"/>
  <c r="U219" i="20" s="1"/>
  <c r="T29" i="20"/>
  <c r="U25" i="20"/>
  <c r="V123" i="12"/>
  <c r="U155" i="19"/>
  <c r="U157" i="19"/>
  <c r="V28" i="20"/>
  <c r="U27" i="20"/>
  <c r="T154" i="19"/>
  <c r="V26" i="20"/>
  <c r="V44" i="20" s="1"/>
  <c r="V198" i="20" s="1"/>
  <c r="V159" i="19" s="1"/>
  <c r="W123" i="14" s="1"/>
  <c r="S253" i="20"/>
  <c r="S31" i="20"/>
  <c r="U24" i="20"/>
  <c r="V16" i="20"/>
  <c r="U211" i="28" l="1"/>
  <c r="V73" i="15" s="1"/>
  <c r="AG49" i="15"/>
  <c r="AE65" i="15"/>
  <c r="BM60" i="51"/>
  <c r="BK108" i="36"/>
  <c r="AC77" i="15"/>
  <c r="BK100" i="36"/>
  <c r="AG49" i="16"/>
  <c r="X71" i="16"/>
  <c r="BK99" i="36"/>
  <c r="BK78" i="36"/>
  <c r="AA318" i="42"/>
  <c r="AA319" i="42" s="1"/>
  <c r="AA321" i="42" s="1"/>
  <c r="W337" i="42"/>
  <c r="W203" i="28"/>
  <c r="X70" i="15" s="1"/>
  <c r="AG46" i="29"/>
  <c r="AC243" i="38"/>
  <c r="AD88" i="29"/>
  <c r="V201" i="28"/>
  <c r="W69" i="15" s="1"/>
  <c r="AC289" i="38"/>
  <c r="AC308" i="42"/>
  <c r="AC309" i="42"/>
  <c r="AC307" i="42"/>
  <c r="AC306" i="42"/>
  <c r="AC311" i="42"/>
  <c r="AC310" i="42"/>
  <c r="AB310" i="38"/>
  <c r="AB308" i="38"/>
  <c r="AB306" i="38"/>
  <c r="AB309" i="38"/>
  <c r="AB307" i="38"/>
  <c r="AB311" i="38"/>
  <c r="AG14" i="19"/>
  <c r="AG27" i="19" s="1"/>
  <c r="AG13" i="19"/>
  <c r="AG26" i="19" s="1"/>
  <c r="AG44" i="19" s="1"/>
  <c r="AG11" i="19"/>
  <c r="AG12" i="19"/>
  <c r="AG25" i="19" s="1"/>
  <c r="AG15" i="19"/>
  <c r="AG28" i="19" s="1"/>
  <c r="AF134" i="38"/>
  <c r="AF150" i="38"/>
  <c r="AF158" i="38"/>
  <c r="AF142" i="38"/>
  <c r="Z325" i="42"/>
  <c r="AC160" i="29"/>
  <c r="AC162" i="29"/>
  <c r="AC165" i="29"/>
  <c r="AC164" i="29"/>
  <c r="AC161" i="29"/>
  <c r="AC163" i="29"/>
  <c r="AG237" i="42"/>
  <c r="AG241" i="42" s="1"/>
  <c r="AG236" i="42"/>
  <c r="AG240" i="42" s="1"/>
  <c r="AG235" i="42"/>
  <c r="AG239" i="42" s="1"/>
  <c r="AG238" i="42"/>
  <c r="AA154" i="29"/>
  <c r="AA153" i="29"/>
  <c r="Z301" i="42"/>
  <c r="Z305" i="42" s="1"/>
  <c r="Z302" i="42"/>
  <c r="Y186" i="28"/>
  <c r="Y187" i="28" s="1"/>
  <c r="Y188" i="28"/>
  <c r="AG46" i="28"/>
  <c r="AD208" i="28"/>
  <c r="AD207" i="28"/>
  <c r="AD156" i="28"/>
  <c r="AF16" i="46"/>
  <c r="AF272" i="46" s="1"/>
  <c r="AD243" i="42"/>
  <c r="AE47" i="29"/>
  <c r="AE142" i="29" s="1"/>
  <c r="AF16" i="53"/>
  <c r="AF24" i="53"/>
  <c r="AF29" i="53" s="1"/>
  <c r="AF222" i="38"/>
  <c r="AF226" i="38" s="1"/>
  <c r="AF221" i="38"/>
  <c r="AF225" i="38" s="1"/>
  <c r="AF220" i="38"/>
  <c r="AF224" i="38" s="1"/>
  <c r="AD33" i="29"/>
  <c r="AD34" i="29"/>
  <c r="AC290" i="38"/>
  <c r="AC291" i="38" s="1"/>
  <c r="AC313" i="38"/>
  <c r="AF151" i="42"/>
  <c r="AF155" i="42" s="1"/>
  <c r="AF153" i="42"/>
  <c r="AF157" i="42" s="1"/>
  <c r="AF154" i="42"/>
  <c r="AF152" i="42"/>
  <c r="AF156" i="42" s="1"/>
  <c r="AA137" i="29"/>
  <c r="AA139" i="29"/>
  <c r="AA141" i="29"/>
  <c r="AA136" i="29"/>
  <c r="AA138" i="29"/>
  <c r="AA140" i="29"/>
  <c r="AC296" i="42"/>
  <c r="AC295" i="42"/>
  <c r="AC293" i="42"/>
  <c r="AC294" i="42"/>
  <c r="AE29" i="19"/>
  <c r="Z167" i="28"/>
  <c r="Z168" i="28"/>
  <c r="AG221" i="42"/>
  <c r="AG225" i="42" s="1"/>
  <c r="AG223" i="42"/>
  <c r="AG222" i="42"/>
  <c r="AG226" i="42" s="1"/>
  <c r="AG220" i="42"/>
  <c r="AG224" i="42" s="1"/>
  <c r="AB303" i="42"/>
  <c r="AB304" i="42"/>
  <c r="AF39" i="42"/>
  <c r="AF29" i="42"/>
  <c r="AB158" i="29"/>
  <c r="AB157" i="29"/>
  <c r="BD125" i="36"/>
  <c r="W343" i="42"/>
  <c r="BD126" i="36" s="1"/>
  <c r="AE213" i="28"/>
  <c r="AE60" i="29"/>
  <c r="AF56" i="16" s="1"/>
  <c r="AE47" i="28"/>
  <c r="AE114" i="28" s="1"/>
  <c r="AE50" i="29"/>
  <c r="AF62" i="15"/>
  <c r="AE59" i="29"/>
  <c r="AF62" i="16" s="1"/>
  <c r="AF44" i="15"/>
  <c r="AE52" i="29"/>
  <c r="AE49" i="29" s="1"/>
  <c r="AE89" i="29" s="1"/>
  <c r="AE54" i="29"/>
  <c r="AF56" i="15"/>
  <c r="AE51" i="29"/>
  <c r="AE57" i="29"/>
  <c r="AE53" i="29"/>
  <c r="AE56" i="29"/>
  <c r="AF44" i="16" s="1"/>
  <c r="AE58" i="29"/>
  <c r="AE100" i="29" s="1"/>
  <c r="AG16" i="28"/>
  <c r="AG115" i="28" s="1"/>
  <c r="AG24" i="28"/>
  <c r="AE66" i="15"/>
  <c r="AE59" i="15"/>
  <c r="Y187" i="29"/>
  <c r="Y302" i="38"/>
  <c r="Y301" i="38"/>
  <c r="Y305" i="38" s="1"/>
  <c r="AD81" i="42"/>
  <c r="AD79" i="42"/>
  <c r="AD83" i="42" s="1"/>
  <c r="AD80" i="42"/>
  <c r="AD84" i="42" s="1"/>
  <c r="AD78" i="42"/>
  <c r="AD82" i="42" s="1"/>
  <c r="AE132" i="29"/>
  <c r="AE31" i="29"/>
  <c r="AF190" i="42"/>
  <c r="AF194" i="42" s="1"/>
  <c r="AF189" i="42"/>
  <c r="AF193" i="42" s="1"/>
  <c r="AF191" i="42"/>
  <c r="AF195" i="42" s="1"/>
  <c r="AF192" i="42"/>
  <c r="AG12" i="53"/>
  <c r="AG25" i="53" s="1"/>
  <c r="AG14" i="53"/>
  <c r="AG27" i="53" s="1"/>
  <c r="AG15" i="53"/>
  <c r="AG28" i="53" s="1"/>
  <c r="AG11" i="53"/>
  <c r="AG13" i="53"/>
  <c r="AG26" i="53" s="1"/>
  <c r="AG41" i="53" s="1"/>
  <c r="AF16" i="38"/>
  <c r="AF244" i="38" s="1"/>
  <c r="AF24" i="38"/>
  <c r="AC194" i="29"/>
  <c r="AC193" i="29"/>
  <c r="X189" i="29"/>
  <c r="Y70" i="16" s="1"/>
  <c r="AF144" i="42"/>
  <c r="AF148" i="42" s="1"/>
  <c r="AF145" i="42"/>
  <c r="AF149" i="42" s="1"/>
  <c r="AF143" i="42"/>
  <c r="AF147" i="42" s="1"/>
  <c r="AF146" i="42"/>
  <c r="AC101" i="29"/>
  <c r="AB134" i="29"/>
  <c r="AB135" i="29" s="1"/>
  <c r="AC147" i="29"/>
  <c r="AC148" i="29"/>
  <c r="AC150" i="29"/>
  <c r="AC149" i="29"/>
  <c r="AE144" i="38"/>
  <c r="AE148" i="38" s="1"/>
  <c r="AE146" i="38"/>
  <c r="AF99" i="36" s="1"/>
  <c r="AE145" i="38"/>
  <c r="AE149" i="38" s="1"/>
  <c r="AE143" i="38"/>
  <c r="AE147" i="38" s="1"/>
  <c r="AG150" i="42"/>
  <c r="AG134" i="42"/>
  <c r="AG142" i="42"/>
  <c r="AG158" i="42"/>
  <c r="AG61" i="15"/>
  <c r="AF85" i="29"/>
  <c r="AE39" i="38"/>
  <c r="AE29" i="38"/>
  <c r="AB151" i="29"/>
  <c r="AB152" i="29"/>
  <c r="AE146" i="28"/>
  <c r="AE31" i="28"/>
  <c r="X72" i="16"/>
  <c r="W197" i="29"/>
  <c r="X73" i="16" s="1"/>
  <c r="AE67" i="16"/>
  <c r="AE46" i="16"/>
  <c r="AE65" i="16"/>
  <c r="AB177" i="28"/>
  <c r="AB175" i="28"/>
  <c r="AB178" i="28"/>
  <c r="AB179" i="28"/>
  <c r="AB176" i="28"/>
  <c r="AB174" i="28"/>
  <c r="AD31" i="38"/>
  <c r="AD278" i="38"/>
  <c r="AD292" i="42"/>
  <c r="AD289" i="42"/>
  <c r="AF200" i="42"/>
  <c r="AF198" i="42"/>
  <c r="AF202" i="42" s="1"/>
  <c r="AF197" i="42"/>
  <c r="AF201" i="42" s="1"/>
  <c r="AF199" i="42"/>
  <c r="AF203" i="42" s="1"/>
  <c r="AF235" i="38"/>
  <c r="AF239" i="38" s="1"/>
  <c r="AF237" i="38"/>
  <c r="AF241" i="38" s="1"/>
  <c r="AF236" i="38"/>
  <c r="AF240" i="38" s="1"/>
  <c r="Y69" i="16"/>
  <c r="AF160" i="42"/>
  <c r="AF164" i="42" s="1"/>
  <c r="AF162" i="42"/>
  <c r="AF161" i="42"/>
  <c r="AF165" i="42" s="1"/>
  <c r="AF159" i="42"/>
  <c r="AF163" i="42" s="1"/>
  <c r="AE161" i="38"/>
  <c r="AE165" i="38" s="1"/>
  <c r="AE159" i="38"/>
  <c r="AE163" i="38" s="1"/>
  <c r="AE162" i="38"/>
  <c r="AF108" i="36" s="1"/>
  <c r="AE160" i="38"/>
  <c r="AE164" i="38" s="1"/>
  <c r="AG24" i="42"/>
  <c r="AG16" i="42"/>
  <c r="AG244" i="42" s="1"/>
  <c r="AB297" i="42"/>
  <c r="AB298" i="42"/>
  <c r="Z183" i="28"/>
  <c r="Z184" i="28" s="1"/>
  <c r="Z185" i="28"/>
  <c r="AG70" i="29"/>
  <c r="AG68" i="29"/>
  <c r="AG66" i="29"/>
  <c r="AH64" i="15"/>
  <c r="AG63" i="29"/>
  <c r="AG62" i="29" s="1"/>
  <c r="AH48" i="15"/>
  <c r="AG72" i="29"/>
  <c r="AH45" i="15"/>
  <c r="AG75" i="29"/>
  <c r="AH64" i="16" s="1"/>
  <c r="AH58" i="15"/>
  <c r="AG67" i="29"/>
  <c r="AG71" i="29"/>
  <c r="AH48" i="16" s="1"/>
  <c r="AG64" i="29"/>
  <c r="AG74" i="29"/>
  <c r="AH45" i="16" s="1"/>
  <c r="AG73" i="29"/>
  <c r="AH58" i="16" s="1"/>
  <c r="AG65" i="29"/>
  <c r="AA302" i="42"/>
  <c r="AA301" i="42"/>
  <c r="AA305" i="42" s="1"/>
  <c r="AB164" i="28"/>
  <c r="AB163" i="28"/>
  <c r="AB161" i="28"/>
  <c r="AB162" i="28"/>
  <c r="AD246" i="38"/>
  <c r="AD77" i="38"/>
  <c r="AD93" i="38"/>
  <c r="AD101" i="38"/>
  <c r="AD44" i="38"/>
  <c r="AD288" i="38" s="1"/>
  <c r="AD292" i="38" s="1"/>
  <c r="AD69" i="38"/>
  <c r="AD70" i="38" s="1"/>
  <c r="AD94" i="42"/>
  <c r="AD98" i="42" s="1"/>
  <c r="AD95" i="42"/>
  <c r="AD99" i="42" s="1"/>
  <c r="AD97" i="42"/>
  <c r="AD96" i="42"/>
  <c r="AD100" i="42" s="1"/>
  <c r="AF208" i="42"/>
  <c r="AF207" i="42"/>
  <c r="AF211" i="42" s="1"/>
  <c r="AF205" i="42"/>
  <c r="AF209" i="42" s="1"/>
  <c r="AF206" i="42"/>
  <c r="AF210" i="42" s="1"/>
  <c r="AF204" i="38"/>
  <c r="AF188" i="38"/>
  <c r="AF196" i="38"/>
  <c r="AA282" i="42"/>
  <c r="AA284" i="42"/>
  <c r="AA283" i="42"/>
  <c r="AA287" i="42"/>
  <c r="AA286" i="42"/>
  <c r="AA285" i="42"/>
  <c r="AF136" i="42"/>
  <c r="AF140" i="42" s="1"/>
  <c r="AF137" i="42"/>
  <c r="AF141" i="42" s="1"/>
  <c r="AF138" i="42"/>
  <c r="AF135" i="42"/>
  <c r="AF139" i="42" s="1"/>
  <c r="AD68" i="15"/>
  <c r="AA297" i="38"/>
  <c r="AA298" i="38"/>
  <c r="AE151" i="38"/>
  <c r="AE155" i="38" s="1"/>
  <c r="AE154" i="38"/>
  <c r="AF78" i="36" s="1"/>
  <c r="AE152" i="38"/>
  <c r="AE156" i="38" s="1"/>
  <c r="AE153" i="38"/>
  <c r="AE157" i="38" s="1"/>
  <c r="AG16" i="29"/>
  <c r="AG24" i="29"/>
  <c r="AG196" i="42"/>
  <c r="AG188" i="42"/>
  <c r="AG204" i="42"/>
  <c r="AD33" i="28"/>
  <c r="AD34" i="28"/>
  <c r="AF29" i="29"/>
  <c r="AF42" i="29"/>
  <c r="AE67" i="15"/>
  <c r="AE46" i="15"/>
  <c r="AD158" i="28"/>
  <c r="AD181" i="28"/>
  <c r="AD182" i="28" s="1"/>
  <c r="AA169" i="29"/>
  <c r="AA170" i="29" s="1"/>
  <c r="AA171" i="29"/>
  <c r="AA174" i="29" s="1"/>
  <c r="AE278" i="42"/>
  <c r="AE31" i="42"/>
  <c r="AE194" i="54"/>
  <c r="AE31" i="54"/>
  <c r="AF16" i="19"/>
  <c r="AF24" i="19"/>
  <c r="AD73" i="42"/>
  <c r="AD70" i="42"/>
  <c r="AD74" i="42" s="1"/>
  <c r="AD72" i="42"/>
  <c r="AD76" i="42" s="1"/>
  <c r="AD71" i="42"/>
  <c r="AD75" i="42" s="1"/>
  <c r="AF29" i="28"/>
  <c r="AF42" i="28"/>
  <c r="Z179" i="29"/>
  <c r="Z180" i="29" s="1"/>
  <c r="Z189" i="29" s="1"/>
  <c r="AA70" i="16" s="1"/>
  <c r="AB280" i="42"/>
  <c r="AB281" i="42" s="1"/>
  <c r="AC247" i="42"/>
  <c r="Y326" i="42"/>
  <c r="Y333" i="42" s="1"/>
  <c r="AA303" i="38"/>
  <c r="AA315" i="38" s="1"/>
  <c r="AA304" i="38"/>
  <c r="AE137" i="38"/>
  <c r="AE135" i="38"/>
  <c r="AE136" i="38"/>
  <c r="Y169" i="28"/>
  <c r="Y173" i="28" s="1"/>
  <c r="Y170" i="28"/>
  <c r="AE198" i="38"/>
  <c r="AE202" i="38" s="1"/>
  <c r="AE200" i="38"/>
  <c r="AF100" i="36" s="1"/>
  <c r="AE199" i="38"/>
  <c r="AE203" i="38" s="1"/>
  <c r="AE197" i="38"/>
  <c r="AE201" i="38" s="1"/>
  <c r="Z299" i="38"/>
  <c r="Z300" i="38"/>
  <c r="X337" i="42"/>
  <c r="X342" i="42"/>
  <c r="AC33" i="19"/>
  <c r="AC34" i="19"/>
  <c r="X69" i="15"/>
  <c r="W205" i="28"/>
  <c r="W210" i="28"/>
  <c r="AE246" i="42"/>
  <c r="AE101" i="42"/>
  <c r="AE69" i="42"/>
  <c r="AE44" i="42"/>
  <c r="AE288" i="42" s="1"/>
  <c r="AE77" i="42"/>
  <c r="AE93" i="42"/>
  <c r="AD105" i="42"/>
  <c r="AD103" i="42"/>
  <c r="AD107" i="42" s="1"/>
  <c r="AD102" i="42"/>
  <c r="AD106" i="42" s="1"/>
  <c r="AD104" i="42"/>
  <c r="AD108" i="42" s="1"/>
  <c r="AG16" i="48"/>
  <c r="AG272" i="48" s="1"/>
  <c r="Z172" i="29"/>
  <c r="Z173" i="29" s="1"/>
  <c r="Z175" i="29" s="1"/>
  <c r="AA166" i="28"/>
  <c r="AA165" i="28"/>
  <c r="Z155" i="29"/>
  <c r="Z159" i="29" s="1"/>
  <c r="Z156" i="29"/>
  <c r="Y189" i="28"/>
  <c r="AG15" i="54"/>
  <c r="AG28" i="54" s="1"/>
  <c r="AG14" i="54"/>
  <c r="AG27" i="54" s="1"/>
  <c r="AG12" i="54"/>
  <c r="AG25" i="54" s="1"/>
  <c r="AG11" i="54"/>
  <c r="AG13" i="54"/>
  <c r="AG26" i="54" s="1"/>
  <c r="AG41" i="54" s="1"/>
  <c r="AG147" i="54" s="1"/>
  <c r="AG148" i="54" s="1"/>
  <c r="AE205" i="38"/>
  <c r="AE209" i="38" s="1"/>
  <c r="AE206" i="38"/>
  <c r="AE210" i="38" s="1"/>
  <c r="AE208" i="38"/>
  <c r="AE207" i="38"/>
  <c r="AE211" i="38" s="1"/>
  <c r="AB153" i="28"/>
  <c r="AB150" i="28"/>
  <c r="AB154" i="28"/>
  <c r="AB151" i="28"/>
  <c r="AB152" i="28"/>
  <c r="AB155" i="28"/>
  <c r="AE194" i="53"/>
  <c r="AE31" i="53"/>
  <c r="AG82" i="29"/>
  <c r="AH55" i="16" s="1"/>
  <c r="AH55" i="15"/>
  <c r="AD167" i="29"/>
  <c r="AD168" i="29" s="1"/>
  <c r="AD144" i="29"/>
  <c r="AD145" i="29" s="1"/>
  <c r="AG13" i="46"/>
  <c r="AG11" i="46"/>
  <c r="AG14" i="46"/>
  <c r="AG15" i="46"/>
  <c r="AG12" i="46"/>
  <c r="AD290" i="42"/>
  <c r="AD291" i="42" s="1"/>
  <c r="AD313" i="42"/>
  <c r="AD314" i="42" s="1"/>
  <c r="AG11" i="38"/>
  <c r="AG14" i="38"/>
  <c r="AG27" i="38" s="1"/>
  <c r="AG42" i="38" s="1"/>
  <c r="AG15" i="38"/>
  <c r="AG28" i="38" s="1"/>
  <c r="AG43" i="38" s="1"/>
  <c r="AG234" i="38" s="1"/>
  <c r="AG12" i="38"/>
  <c r="AG25" i="38" s="1"/>
  <c r="AG40" i="38" s="1"/>
  <c r="AG13" i="38"/>
  <c r="AG26" i="38" s="1"/>
  <c r="AG41" i="38" s="1"/>
  <c r="AG219" i="38" s="1"/>
  <c r="AC160" i="28"/>
  <c r="AC157" i="28"/>
  <c r="AC159" i="28"/>
  <c r="AC296" i="38"/>
  <c r="AC294" i="38"/>
  <c r="AC293" i="38"/>
  <c r="AC295" i="38"/>
  <c r="AA171" i="28"/>
  <c r="AA172" i="28"/>
  <c r="AD146" i="29"/>
  <c r="AD143" i="29"/>
  <c r="AF16" i="54"/>
  <c r="AF24" i="54"/>
  <c r="AF29" i="54" s="1"/>
  <c r="Z318" i="42"/>
  <c r="Z319" i="42" s="1"/>
  <c r="Z321" i="42" s="1"/>
  <c r="AE189" i="38"/>
  <c r="AE193" i="38" s="1"/>
  <c r="AE190" i="38"/>
  <c r="AE194" i="38" s="1"/>
  <c r="AE191" i="38"/>
  <c r="AE195" i="38" s="1"/>
  <c r="AD214" i="28"/>
  <c r="AC148" i="28"/>
  <c r="AC149" i="28" s="1"/>
  <c r="AB294" i="38"/>
  <c r="AB295" i="38"/>
  <c r="AB296" i="38"/>
  <c r="AB293" i="38"/>
  <c r="X194" i="28"/>
  <c r="X203" i="28" s="1"/>
  <c r="Y70" i="15" s="1"/>
  <c r="AD77" i="16"/>
  <c r="AD68" i="16"/>
  <c r="AE59" i="16"/>
  <c r="AE66" i="16"/>
  <c r="AD89" i="29"/>
  <c r="AD31" i="19"/>
  <c r="AD211" i="19"/>
  <c r="AA326" i="42"/>
  <c r="AA335" i="42" s="1"/>
  <c r="U163" i="19"/>
  <c r="U162" i="19"/>
  <c r="U161" i="19"/>
  <c r="U160" i="19"/>
  <c r="V199" i="20"/>
  <c r="V201" i="20"/>
  <c r="V203" i="20"/>
  <c r="V164" i="19" s="1"/>
  <c r="V200" i="20"/>
  <c r="V202" i="20"/>
  <c r="U29" i="20"/>
  <c r="V27" i="20"/>
  <c r="U154" i="19"/>
  <c r="V219" i="20"/>
  <c r="V24" i="20"/>
  <c r="W26" i="20"/>
  <c r="W44" i="20" s="1"/>
  <c r="W198" i="20" s="1"/>
  <c r="W159" i="19" s="1"/>
  <c r="X123" i="14" s="1"/>
  <c r="W28" i="20"/>
  <c r="W123" i="12"/>
  <c r="V155" i="19"/>
  <c r="V157" i="19"/>
  <c r="V25" i="20"/>
  <c r="T253" i="20"/>
  <c r="T31" i="20"/>
  <c r="BL78" i="36" l="1"/>
  <c r="BL108" i="36"/>
  <c r="AF59" i="16"/>
  <c r="W71" i="15"/>
  <c r="AH49" i="16"/>
  <c r="X71" i="15"/>
  <c r="BL99" i="36"/>
  <c r="AF65" i="16"/>
  <c r="BL100" i="36"/>
  <c r="AD77" i="15"/>
  <c r="AF65" i="15"/>
  <c r="AE243" i="42"/>
  <c r="X196" i="29"/>
  <c r="Y72" i="16" s="1"/>
  <c r="V210" i="28"/>
  <c r="V211" i="28" s="1"/>
  <c r="W73" i="15" s="1"/>
  <c r="V205" i="28"/>
  <c r="AA333" i="42"/>
  <c r="AA342" i="42" s="1"/>
  <c r="AD307" i="42"/>
  <c r="AD306" i="42"/>
  <c r="AD308" i="42"/>
  <c r="AD310" i="42"/>
  <c r="AD309" i="42"/>
  <c r="AD311" i="42"/>
  <c r="AC163" i="28"/>
  <c r="AC162" i="28"/>
  <c r="AC164" i="28"/>
  <c r="AC161" i="28"/>
  <c r="AF31" i="29"/>
  <c r="AF132" i="29"/>
  <c r="AG39" i="42"/>
  <c r="AG29" i="42"/>
  <c r="AG160" i="42"/>
  <c r="AG164" i="42" s="1"/>
  <c r="AG162" i="42"/>
  <c r="AG159" i="42"/>
  <c r="AG163" i="42" s="1"/>
  <c r="AG161" i="42"/>
  <c r="AG165" i="42" s="1"/>
  <c r="AD101" i="29"/>
  <c r="AC134" i="29"/>
  <c r="AC135" i="29" s="1"/>
  <c r="AF39" i="38"/>
  <c r="AF29" i="38"/>
  <c r="AE207" i="28"/>
  <c r="AE208" i="28"/>
  <c r="AE156" i="28"/>
  <c r="X201" i="28"/>
  <c r="AG16" i="19"/>
  <c r="AG24" i="19"/>
  <c r="AD33" i="19"/>
  <c r="AD34" i="19"/>
  <c r="AG221" i="38"/>
  <c r="AG225" i="38" s="1"/>
  <c r="AG222" i="38"/>
  <c r="AG226" i="38" s="1"/>
  <c r="AG220" i="38"/>
  <c r="AG224" i="38" s="1"/>
  <c r="AG16" i="54"/>
  <c r="AG24" i="54"/>
  <c r="AG29" i="54" s="1"/>
  <c r="AA167" i="28"/>
  <c r="AA168" i="28"/>
  <c r="AA179" i="29"/>
  <c r="AG207" i="42"/>
  <c r="AG211" i="42" s="1"/>
  <c r="AG208" i="42"/>
  <c r="AG205" i="42"/>
  <c r="AG209" i="42" s="1"/>
  <c r="AG206" i="42"/>
  <c r="AG210" i="42" s="1"/>
  <c r="AE31" i="38"/>
  <c r="AE278" i="38"/>
  <c r="AG146" i="42"/>
  <c r="AG144" i="42"/>
  <c r="AG148" i="42" s="1"/>
  <c r="AG143" i="42"/>
  <c r="AG147" i="42" s="1"/>
  <c r="AG145" i="42"/>
  <c r="AG149" i="42" s="1"/>
  <c r="AG29" i="28"/>
  <c r="AG42" i="28"/>
  <c r="AF66" i="15"/>
  <c r="AF59" i="15"/>
  <c r="AE31" i="19"/>
  <c r="AE211" i="19"/>
  <c r="AC306" i="38"/>
  <c r="AC307" i="38"/>
  <c r="AC310" i="38"/>
  <c r="AC308" i="38"/>
  <c r="AC309" i="38"/>
  <c r="AC311" i="38"/>
  <c r="AE88" i="29"/>
  <c r="Y193" i="28"/>
  <c r="AB303" i="38"/>
  <c r="AB315" i="38" s="1"/>
  <c r="AB304" i="38"/>
  <c r="AC298" i="38"/>
  <c r="AC297" i="38"/>
  <c r="AG134" i="38"/>
  <c r="AG142" i="38"/>
  <c r="AG158" i="38"/>
  <c r="AG150" i="38"/>
  <c r="AE95" i="42"/>
  <c r="AE99" i="42" s="1"/>
  <c r="AE94" i="42"/>
  <c r="AE98" i="42" s="1"/>
  <c r="AE96" i="42"/>
  <c r="AE100" i="42" s="1"/>
  <c r="AE97" i="42"/>
  <c r="Z301" i="38"/>
  <c r="Z305" i="38" s="1"/>
  <c r="Z302" i="38"/>
  <c r="AG190" i="42"/>
  <c r="AG194" i="42" s="1"/>
  <c r="AG191" i="42"/>
  <c r="AG195" i="42" s="1"/>
  <c r="AG192" i="42"/>
  <c r="AG189" i="42"/>
  <c r="AG193" i="42" s="1"/>
  <c r="AA299" i="38"/>
  <c r="AA300" i="38"/>
  <c r="AF197" i="38"/>
  <c r="AF201" i="38" s="1"/>
  <c r="AF200" i="38"/>
  <c r="AG100" i="36" s="1"/>
  <c r="AF198" i="38"/>
  <c r="AF202" i="38" s="1"/>
  <c r="AF199" i="38"/>
  <c r="AF203" i="38" s="1"/>
  <c r="AE246" i="38"/>
  <c r="AE44" i="38"/>
  <c r="AE288" i="38" s="1"/>
  <c r="AE77" i="38"/>
  <c r="AE93" i="38"/>
  <c r="AE69" i="38"/>
  <c r="AE70" i="38" s="1"/>
  <c r="AE101" i="38"/>
  <c r="AG135" i="42"/>
  <c r="AG139" i="42" s="1"/>
  <c r="AG137" i="42"/>
  <c r="AG141" i="42" s="1"/>
  <c r="AG138" i="42"/>
  <c r="AG136" i="42"/>
  <c r="AG140" i="42" s="1"/>
  <c r="Z69" i="16"/>
  <c r="Y196" i="29"/>
  <c r="AE158" i="28"/>
  <c r="AE181" i="28"/>
  <c r="AE182" i="28" s="1"/>
  <c r="AB169" i="29"/>
  <c r="AB170" i="29" s="1"/>
  <c r="AB171" i="29"/>
  <c r="AE146" i="29"/>
  <c r="AE143" i="29"/>
  <c r="AF146" i="38"/>
  <c r="AG99" i="36" s="1"/>
  <c r="AF145" i="38"/>
  <c r="AF149" i="38" s="1"/>
  <c r="AF143" i="38"/>
  <c r="AF147" i="38" s="1"/>
  <c r="AF144" i="38"/>
  <c r="AF148" i="38" s="1"/>
  <c r="AB297" i="38"/>
  <c r="AB298" i="38"/>
  <c r="AA183" i="28"/>
  <c r="AA184" i="28" s="1"/>
  <c r="AA185" i="28"/>
  <c r="AA188" i="28" s="1"/>
  <c r="AG237" i="38"/>
  <c r="AG241" i="38" s="1"/>
  <c r="AG235" i="38"/>
  <c r="AG239" i="38" s="1"/>
  <c r="AG236" i="38"/>
  <c r="AG240" i="38" s="1"/>
  <c r="AE78" i="42"/>
  <c r="AE82" i="42" s="1"/>
  <c r="AE79" i="42"/>
  <c r="AE83" i="42" s="1"/>
  <c r="AE81" i="42"/>
  <c r="AE80" i="42"/>
  <c r="AE84" i="42" s="1"/>
  <c r="AF29" i="19"/>
  <c r="AG199" i="42"/>
  <c r="AG203" i="42" s="1"/>
  <c r="AG197" i="42"/>
  <c r="AG201" i="42" s="1"/>
  <c r="AG200" i="42"/>
  <c r="AG198" i="42"/>
  <c r="AG202" i="42" s="1"/>
  <c r="AF191" i="38"/>
  <c r="AF195" i="38" s="1"/>
  <c r="AF190" i="38"/>
  <c r="AF194" i="38" s="1"/>
  <c r="AF189" i="38"/>
  <c r="AF193" i="38" s="1"/>
  <c r="AD290" i="38"/>
  <c r="AD291" i="38" s="1"/>
  <c r="AD313" i="38"/>
  <c r="AF84" i="29"/>
  <c r="AG61" i="16"/>
  <c r="AG153" i="42"/>
  <c r="AG157" i="42" s="1"/>
  <c r="AG154" i="42"/>
  <c r="AG151" i="42"/>
  <c r="AG155" i="42" s="1"/>
  <c r="AG152" i="42"/>
  <c r="AG156" i="42" s="1"/>
  <c r="AC152" i="29"/>
  <c r="AC151" i="29"/>
  <c r="AG16" i="53"/>
  <c r="AG24" i="53"/>
  <c r="AG29" i="53" s="1"/>
  <c r="AE33" i="29"/>
  <c r="AE34" i="29"/>
  <c r="AD194" i="29"/>
  <c r="AD193" i="29"/>
  <c r="Z326" i="42"/>
  <c r="Z335" i="42" s="1"/>
  <c r="AF161" i="38"/>
  <c r="AF165" i="38" s="1"/>
  <c r="AF160" i="38"/>
  <c r="AF164" i="38" s="1"/>
  <c r="AF159" i="38"/>
  <c r="AF163" i="38" s="1"/>
  <c r="AF162" i="38"/>
  <c r="AG108" i="36" s="1"/>
  <c r="AF194" i="54"/>
  <c r="AF31" i="54"/>
  <c r="AG204" i="38"/>
  <c r="AG188" i="38"/>
  <c r="AG196" i="38"/>
  <c r="AE292" i="42"/>
  <c r="AE289" i="42"/>
  <c r="Y335" i="42"/>
  <c r="Y337" i="42" s="1"/>
  <c r="Z187" i="29"/>
  <c r="AG29" i="29"/>
  <c r="AG42" i="29"/>
  <c r="AF207" i="38"/>
  <c r="AF211" i="38" s="1"/>
  <c r="AF208" i="38"/>
  <c r="AF205" i="38"/>
  <c r="AF209" i="38" s="1"/>
  <c r="AF206" i="38"/>
  <c r="AF210" i="38" s="1"/>
  <c r="AE68" i="16"/>
  <c r="AE77" i="16"/>
  <c r="AC158" i="29"/>
  <c r="AC157" i="29"/>
  <c r="AE167" i="29"/>
  <c r="AE168" i="29" s="1"/>
  <c r="AE144" i="29"/>
  <c r="AE145" i="29" s="1"/>
  <c r="AF67" i="15"/>
  <c r="AF46" i="15"/>
  <c r="AF278" i="42"/>
  <c r="AF31" i="42"/>
  <c r="AA172" i="29"/>
  <c r="AA173" i="29" s="1"/>
  <c r="AA175" i="29" s="1"/>
  <c r="AC298" i="42"/>
  <c r="AC297" i="42"/>
  <c r="AD160" i="28"/>
  <c r="AD159" i="28"/>
  <c r="AD157" i="28"/>
  <c r="AF151" i="38"/>
  <c r="AF155" i="38" s="1"/>
  <c r="AF154" i="38"/>
  <c r="AG78" i="36" s="1"/>
  <c r="AF152" i="38"/>
  <c r="AF156" i="38" s="1"/>
  <c r="AF153" i="38"/>
  <c r="AF157" i="38" s="1"/>
  <c r="AC303" i="38"/>
  <c r="AC315" i="38" s="1"/>
  <c r="AC304" i="38"/>
  <c r="AG16" i="38"/>
  <c r="AG244" i="38" s="1"/>
  <c r="AG24" i="38"/>
  <c r="AG16" i="46"/>
  <c r="AG272" i="46" s="1"/>
  <c r="AE70" i="42"/>
  <c r="AE74" i="42" s="1"/>
  <c r="AE71" i="42"/>
  <c r="AE75" i="42" s="1"/>
  <c r="AE73" i="42"/>
  <c r="AE72" i="42"/>
  <c r="AE76" i="42" s="1"/>
  <c r="X72" i="15"/>
  <c r="W211" i="28"/>
  <c r="X73" i="15" s="1"/>
  <c r="BE125" i="36"/>
  <c r="X343" i="42"/>
  <c r="BE126" i="36" s="1"/>
  <c r="AF213" i="28"/>
  <c r="AF59" i="29"/>
  <c r="AG62" i="16" s="1"/>
  <c r="AG44" i="15"/>
  <c r="AF54" i="29"/>
  <c r="AF60" i="29"/>
  <c r="AG56" i="16" s="1"/>
  <c r="AG56" i="15"/>
  <c r="AF52" i="29"/>
  <c r="AF49" i="29" s="1"/>
  <c r="AF50" i="29"/>
  <c r="AF47" i="28"/>
  <c r="AF51" i="29"/>
  <c r="AF53" i="29"/>
  <c r="AF56" i="29"/>
  <c r="AG44" i="16" s="1"/>
  <c r="AF58" i="29"/>
  <c r="AF100" i="29" s="1"/>
  <c r="AF57" i="29"/>
  <c r="AG62" i="15"/>
  <c r="AE68" i="15"/>
  <c r="AD243" i="38"/>
  <c r="Z186" i="28"/>
  <c r="Z187" i="28" s="1"/>
  <c r="Z189" i="28" s="1"/>
  <c r="Z188" i="28"/>
  <c r="AB300" i="42"/>
  <c r="AB299" i="42"/>
  <c r="AE34" i="28"/>
  <c r="AE33" i="28"/>
  <c r="Y71" i="16"/>
  <c r="AF46" i="16"/>
  <c r="AF67" i="16"/>
  <c r="AF66" i="16"/>
  <c r="AF246" i="42"/>
  <c r="AF77" i="42"/>
  <c r="AF93" i="42"/>
  <c r="AF101" i="42"/>
  <c r="AF44" i="42"/>
  <c r="AF288" i="42" s="1"/>
  <c r="AF69" i="42"/>
  <c r="AC303" i="42"/>
  <c r="AC304" i="42"/>
  <c r="AA156" i="29"/>
  <c r="AA155" i="29"/>
  <c r="AA159" i="29" s="1"/>
  <c r="AF137" i="38"/>
  <c r="AF135" i="38"/>
  <c r="AF136" i="38"/>
  <c r="AC155" i="28"/>
  <c r="AC154" i="28"/>
  <c r="AC150" i="28"/>
  <c r="AC152" i="28"/>
  <c r="AC153" i="28"/>
  <c r="AC151" i="28"/>
  <c r="AC177" i="28"/>
  <c r="AC179" i="28"/>
  <c r="AC175" i="28"/>
  <c r="AC174" i="28"/>
  <c r="AC178" i="28"/>
  <c r="AC176" i="28"/>
  <c r="AE105" i="42"/>
  <c r="AE104" i="42"/>
  <c r="AE108" i="42" s="1"/>
  <c r="AE102" i="42"/>
  <c r="AE106" i="42" s="1"/>
  <c r="AE103" i="42"/>
  <c r="AE107" i="42" s="1"/>
  <c r="AD247" i="42"/>
  <c r="AC280" i="42"/>
  <c r="AC281" i="42" s="1"/>
  <c r="AF31" i="28"/>
  <c r="AF146" i="28"/>
  <c r="AB165" i="28"/>
  <c r="AB166" i="28"/>
  <c r="AH49" i="15"/>
  <c r="AD296" i="42"/>
  <c r="AD295" i="42"/>
  <c r="AD294" i="42"/>
  <c r="AD293" i="42"/>
  <c r="AB315" i="42"/>
  <c r="AB316" i="42" s="1"/>
  <c r="AB317" i="42"/>
  <c r="AB320" i="42" s="1"/>
  <c r="AE214" i="28"/>
  <c r="AD148" i="28"/>
  <c r="AD149" i="28" s="1"/>
  <c r="AD147" i="29"/>
  <c r="AD149" i="29"/>
  <c r="AD150" i="29"/>
  <c r="AD148" i="29"/>
  <c r="AD160" i="29"/>
  <c r="AD162" i="29"/>
  <c r="AD164" i="29"/>
  <c r="AD165" i="29"/>
  <c r="AD161" i="29"/>
  <c r="AD163" i="29"/>
  <c r="AE290" i="42"/>
  <c r="AE291" i="42" s="1"/>
  <c r="AE313" i="42"/>
  <c r="AE314" i="42" s="1"/>
  <c r="AB285" i="42"/>
  <c r="AB282" i="42"/>
  <c r="AB284" i="42"/>
  <c r="AB283" i="42"/>
  <c r="AB287" i="42"/>
  <c r="AB286" i="42"/>
  <c r="AF47" i="29"/>
  <c r="AF142" i="29" s="1"/>
  <c r="AD294" i="38"/>
  <c r="AD293" i="38"/>
  <c r="AD296" i="38"/>
  <c r="AD295" i="38"/>
  <c r="AB171" i="28"/>
  <c r="AB172" i="28"/>
  <c r="AD289" i="38"/>
  <c r="AB153" i="29"/>
  <c r="AB154" i="29"/>
  <c r="AB137" i="29"/>
  <c r="AB139" i="29"/>
  <c r="AB141" i="29"/>
  <c r="AB136" i="29"/>
  <c r="AB138" i="29"/>
  <c r="AB140" i="29"/>
  <c r="Z169" i="28"/>
  <c r="Z173" i="28" s="1"/>
  <c r="Z170" i="28"/>
  <c r="AF194" i="53"/>
  <c r="AF31" i="53"/>
  <c r="AG85" i="29"/>
  <c r="AH61" i="15"/>
  <c r="V162" i="19"/>
  <c r="V163" i="19"/>
  <c r="V160" i="19"/>
  <c r="V161" i="19"/>
  <c r="W199" i="20"/>
  <c r="W201" i="20"/>
  <c r="W203" i="20"/>
  <c r="W164" i="19" s="1"/>
  <c r="W200" i="20"/>
  <c r="W202" i="20"/>
  <c r="W16" i="20"/>
  <c r="W219" i="20" s="1"/>
  <c r="W25" i="20"/>
  <c r="X28" i="20"/>
  <c r="W27" i="20"/>
  <c r="V154" i="19"/>
  <c r="X123" i="12"/>
  <c r="W157" i="19"/>
  <c r="W155" i="19"/>
  <c r="V29" i="20"/>
  <c r="U253" i="20"/>
  <c r="U31" i="20"/>
  <c r="X26" i="20"/>
  <c r="X44" i="20" s="1"/>
  <c r="X198" i="20" s="1"/>
  <c r="X159" i="19" s="1"/>
  <c r="Y123" i="14" s="1"/>
  <c r="X16" i="20"/>
  <c r="W24" i="20"/>
  <c r="W72" i="15" l="1"/>
  <c r="X197" i="29"/>
  <c r="Y73" i="16" s="1"/>
  <c r="BM99" i="36"/>
  <c r="Z71" i="16"/>
  <c r="AE77" i="15"/>
  <c r="BM78" i="36"/>
  <c r="AG65" i="15"/>
  <c r="BM100" i="36"/>
  <c r="BM108" i="36"/>
  <c r="AA337" i="42"/>
  <c r="AG65" i="16"/>
  <c r="AF89" i="29"/>
  <c r="Y342" i="42"/>
  <c r="BF125" i="36" s="1"/>
  <c r="AF88" i="29"/>
  <c r="AE309" i="42"/>
  <c r="AE311" i="42"/>
  <c r="AE307" i="42"/>
  <c r="AE310" i="42"/>
  <c r="AE308" i="42"/>
  <c r="AE306" i="42"/>
  <c r="AF34" i="28"/>
  <c r="AF33" i="28"/>
  <c r="AF73" i="42"/>
  <c r="AF70" i="42"/>
  <c r="AF74" i="42" s="1"/>
  <c r="AF71" i="42"/>
  <c r="AF75" i="42" s="1"/>
  <c r="AF72" i="42"/>
  <c r="AF76" i="42" s="1"/>
  <c r="AF68" i="16"/>
  <c r="AF77" i="16"/>
  <c r="AC154" i="29"/>
  <c r="AC153" i="29"/>
  <c r="AF31" i="19"/>
  <c r="AF211" i="19"/>
  <c r="AA193" i="28"/>
  <c r="AA302" i="38"/>
  <c r="AA301" i="38"/>
  <c r="AA305" i="38" s="1"/>
  <c r="AG144" i="38"/>
  <c r="AG148" i="38" s="1"/>
  <c r="AG143" i="38"/>
  <c r="AG147" i="38" s="1"/>
  <c r="AG146" i="38"/>
  <c r="AH99" i="36" s="1"/>
  <c r="AG145" i="38"/>
  <c r="AG149" i="38" s="1"/>
  <c r="AE34" i="19"/>
  <c r="AE33" i="19"/>
  <c r="Y69" i="15"/>
  <c r="X205" i="28"/>
  <c r="X210" i="28"/>
  <c r="AA186" i="28"/>
  <c r="AA187" i="28" s="1"/>
  <c r="AA189" i="28" s="1"/>
  <c r="AC165" i="28"/>
  <c r="AC166" i="28"/>
  <c r="AF146" i="29"/>
  <c r="AF143" i="29"/>
  <c r="AD150" i="28"/>
  <c r="AD151" i="28"/>
  <c r="AD152" i="28"/>
  <c r="AD155" i="28"/>
  <c r="AD154" i="28"/>
  <c r="AD153" i="28"/>
  <c r="AC285" i="42"/>
  <c r="AC282" i="42"/>
  <c r="AC283" i="42"/>
  <c r="AC284" i="42"/>
  <c r="AC286" i="42"/>
  <c r="AC287" i="42"/>
  <c r="AF292" i="42"/>
  <c r="AF289" i="42"/>
  <c r="AG59" i="15"/>
  <c r="AG66" i="15"/>
  <c r="AC300" i="42"/>
  <c r="AC299" i="42"/>
  <c r="AE294" i="42"/>
  <c r="AE295" i="42"/>
  <c r="AE293" i="42"/>
  <c r="AE296" i="42"/>
  <c r="AD307" i="38"/>
  <c r="AD310" i="38"/>
  <c r="AD311" i="38"/>
  <c r="AD309" i="38"/>
  <c r="AD308" i="38"/>
  <c r="AD306" i="38"/>
  <c r="AE147" i="29"/>
  <c r="AE148" i="29"/>
  <c r="AE149" i="29"/>
  <c r="AE150" i="29"/>
  <c r="AE292" i="38"/>
  <c r="AE289" i="38"/>
  <c r="AG135" i="38"/>
  <c r="AG136" i="38"/>
  <c r="AG137" i="38"/>
  <c r="AF278" i="38"/>
  <c r="AF31" i="38"/>
  <c r="AG278" i="42"/>
  <c r="AG31" i="42"/>
  <c r="AH61" i="16"/>
  <c r="AG84" i="29"/>
  <c r="AB183" i="28"/>
  <c r="AB184" i="28" s="1"/>
  <c r="AB185" i="28"/>
  <c r="AB188" i="28" s="1"/>
  <c r="AF214" i="28"/>
  <c r="AE148" i="28"/>
  <c r="AE149" i="28" s="1"/>
  <c r="AB325" i="42"/>
  <c r="AB326" i="42" s="1"/>
  <c r="AB335" i="42" s="1"/>
  <c r="AD280" i="42"/>
  <c r="AD281" i="42" s="1"/>
  <c r="AE247" i="42"/>
  <c r="BH125" i="36"/>
  <c r="AA343" i="42"/>
  <c r="BH126" i="36" s="1"/>
  <c r="AF102" i="42"/>
  <c r="AF106" i="42" s="1"/>
  <c r="AF104" i="42"/>
  <c r="AF108" i="42" s="1"/>
  <c r="AF103" i="42"/>
  <c r="AF107" i="42" s="1"/>
  <c r="AF105" i="42"/>
  <c r="AG59" i="16"/>
  <c r="AG66" i="16"/>
  <c r="AB299" i="38"/>
  <c r="AB300" i="38"/>
  <c r="AB172" i="29"/>
  <c r="AB173" i="29" s="1"/>
  <c r="AB175" i="29" s="1"/>
  <c r="AB174" i="29"/>
  <c r="AE313" i="38"/>
  <c r="AE290" i="38"/>
  <c r="AE291" i="38" s="1"/>
  <c r="AF246" i="38"/>
  <c r="AF44" i="38"/>
  <c r="AF288" i="38" s="1"/>
  <c r="AF77" i="38"/>
  <c r="AF69" i="38"/>
  <c r="AF70" i="38" s="1"/>
  <c r="AF93" i="38"/>
  <c r="AF101" i="38"/>
  <c r="AG93" i="42"/>
  <c r="AG101" i="42"/>
  <c r="AG44" i="42"/>
  <c r="AG288" i="42" s="1"/>
  <c r="AG77" i="42"/>
  <c r="AG246" i="42"/>
  <c r="AG69" i="42"/>
  <c r="AD297" i="38"/>
  <c r="AD298" i="38"/>
  <c r="AF97" i="42"/>
  <c r="AF96" i="42"/>
  <c r="AF100" i="42" s="1"/>
  <c r="AF95" i="42"/>
  <c r="AF99" i="42" s="1"/>
  <c r="AF94" i="42"/>
  <c r="AF98" i="42" s="1"/>
  <c r="AG67" i="16"/>
  <c r="AG46" i="16"/>
  <c r="AG47" i="29"/>
  <c r="AG142" i="29" s="1"/>
  <c r="AC299" i="38"/>
  <c r="AC300" i="38"/>
  <c r="AG60" i="29"/>
  <c r="AH56" i="16" s="1"/>
  <c r="AG51" i="29"/>
  <c r="AG50" i="29"/>
  <c r="AG56" i="29"/>
  <c r="AH44" i="16" s="1"/>
  <c r="AG54" i="29"/>
  <c r="AG58" i="29"/>
  <c r="AG100" i="29" s="1"/>
  <c r="AH56" i="15"/>
  <c r="AG47" i="28"/>
  <c r="AG114" i="28" s="1"/>
  <c r="AG213" i="28"/>
  <c r="AG57" i="29"/>
  <c r="AH62" i="15"/>
  <c r="AG59" i="29"/>
  <c r="AH62" i="16" s="1"/>
  <c r="AH44" i="15"/>
  <c r="AG52" i="29"/>
  <c r="AG49" i="29" s="1"/>
  <c r="AG53" i="29"/>
  <c r="AC136" i="29"/>
  <c r="AC138" i="29"/>
  <c r="AC140" i="29"/>
  <c r="AC137" i="29"/>
  <c r="AC139" i="29"/>
  <c r="AC141" i="29"/>
  <c r="AD303" i="38"/>
  <c r="AD315" i="38" s="1"/>
  <c r="AD304" i="38"/>
  <c r="AD298" i="42"/>
  <c r="AD297" i="42"/>
  <c r="AF79" i="42"/>
  <c r="AF83" i="42" s="1"/>
  <c r="AF80" i="42"/>
  <c r="AF84" i="42" s="1"/>
  <c r="AF81" i="42"/>
  <c r="AF78" i="42"/>
  <c r="AF82" i="42" s="1"/>
  <c r="AG67" i="15"/>
  <c r="AG46" i="15"/>
  <c r="AG31" i="29"/>
  <c r="AG132" i="29"/>
  <c r="AE193" i="29"/>
  <c r="AE194" i="29"/>
  <c r="AE243" i="38"/>
  <c r="AG31" i="28"/>
  <c r="AG146" i="28"/>
  <c r="AA180" i="29"/>
  <c r="AA187" i="29" s="1"/>
  <c r="AE101" i="29"/>
  <c r="AD134" i="29"/>
  <c r="AD135" i="29" s="1"/>
  <c r="AF33" i="29"/>
  <c r="AF34" i="29"/>
  <c r="AD304" i="42"/>
  <c r="AD303" i="42"/>
  <c r="AB168" i="28"/>
  <c r="AB167" i="28"/>
  <c r="AF313" i="42"/>
  <c r="AF314" i="42" s="1"/>
  <c r="AF290" i="42"/>
  <c r="AF291" i="42" s="1"/>
  <c r="AB302" i="42"/>
  <c r="AB301" i="42"/>
  <c r="AB305" i="42" s="1"/>
  <c r="AF68" i="15"/>
  <c r="AA69" i="16"/>
  <c r="Z196" i="29"/>
  <c r="AG197" i="38"/>
  <c r="AG201" i="38" s="1"/>
  <c r="AG199" i="38"/>
  <c r="AG203" i="38" s="1"/>
  <c r="AG198" i="38"/>
  <c r="AG202" i="38" s="1"/>
  <c r="AG200" i="38"/>
  <c r="AH100" i="36" s="1"/>
  <c r="AG194" i="53"/>
  <c r="AG31" i="53"/>
  <c r="AD157" i="29"/>
  <c r="AD158" i="29"/>
  <c r="AB318" i="42"/>
  <c r="AB319" i="42" s="1"/>
  <c r="AB321" i="42" s="1"/>
  <c r="AC315" i="42"/>
  <c r="AC316" i="42" s="1"/>
  <c r="AC317" i="42"/>
  <c r="AC320" i="42" s="1"/>
  <c r="AF207" i="28"/>
  <c r="AF208" i="28"/>
  <c r="AF156" i="28"/>
  <c r="AF181" i="28"/>
  <c r="AF182" i="28" s="1"/>
  <c r="AF158" i="28"/>
  <c r="AD175" i="28"/>
  <c r="AD177" i="28"/>
  <c r="AD174" i="28"/>
  <c r="AD178" i="28"/>
  <c r="AD176" i="28"/>
  <c r="AD179" i="28"/>
  <c r="AG190" i="38"/>
  <c r="AG194" i="38" s="1"/>
  <c r="AG189" i="38"/>
  <c r="AG193" i="38" s="1"/>
  <c r="AG191" i="38"/>
  <c r="AG195" i="38" s="1"/>
  <c r="Z333" i="42"/>
  <c r="Z72" i="16"/>
  <c r="Y197" i="29"/>
  <c r="Z73" i="16" s="1"/>
  <c r="AG151" i="38"/>
  <c r="AG155" i="38" s="1"/>
  <c r="AG153" i="38"/>
  <c r="AG157" i="38" s="1"/>
  <c r="AG152" i="38"/>
  <c r="AG156" i="38" s="1"/>
  <c r="AG154" i="38"/>
  <c r="AH78" i="36" s="1"/>
  <c r="AA169" i="28"/>
  <c r="AA173" i="28" s="1"/>
  <c r="AA170" i="28"/>
  <c r="AG29" i="19"/>
  <c r="AE160" i="28"/>
  <c r="AE157" i="28"/>
  <c r="AE159" i="28"/>
  <c r="AC172" i="28"/>
  <c r="AC171" i="28"/>
  <c r="AB156" i="29"/>
  <c r="AB155" i="29"/>
  <c r="AB159" i="29" s="1"/>
  <c r="AF167" i="29"/>
  <c r="AF168" i="29" s="1"/>
  <c r="AF144" i="29"/>
  <c r="AF145" i="29" s="1"/>
  <c r="AD152" i="29"/>
  <c r="AD151" i="29"/>
  <c r="AF243" i="42"/>
  <c r="Z193" i="28"/>
  <c r="AF114" i="28"/>
  <c r="AG39" i="38"/>
  <c r="AG29" i="38"/>
  <c r="AD163" i="28"/>
  <c r="AD161" i="28"/>
  <c r="AD164" i="28"/>
  <c r="AD162" i="28"/>
  <c r="AE165" i="29"/>
  <c r="AE160" i="29"/>
  <c r="AE162" i="29"/>
  <c r="AE164" i="29"/>
  <c r="AE161" i="29"/>
  <c r="AE163" i="29"/>
  <c r="AC169" i="29"/>
  <c r="AC170" i="29" s="1"/>
  <c r="AC171" i="29"/>
  <c r="AC174" i="29" s="1"/>
  <c r="AG208" i="38"/>
  <c r="AG206" i="38"/>
  <c r="AG210" i="38" s="1"/>
  <c r="AG205" i="38"/>
  <c r="AG209" i="38" s="1"/>
  <c r="AG207" i="38"/>
  <c r="AG211" i="38" s="1"/>
  <c r="AG161" i="38"/>
  <c r="AG165" i="38" s="1"/>
  <c r="AG162" i="38"/>
  <c r="AH108" i="36" s="1"/>
  <c r="AG160" i="38"/>
  <c r="AG164" i="38" s="1"/>
  <c r="AG159" i="38"/>
  <c r="AG163" i="38" s="1"/>
  <c r="Y194" i="28"/>
  <c r="Y203" i="28" s="1"/>
  <c r="Z70" i="15" s="1"/>
  <c r="AG194" i="54"/>
  <c r="AG31" i="54"/>
  <c r="W163" i="19"/>
  <c r="W160" i="19"/>
  <c r="W161" i="19"/>
  <c r="W162" i="19"/>
  <c r="X200" i="20"/>
  <c r="X202" i="20"/>
  <c r="X199" i="20"/>
  <c r="X201" i="20"/>
  <c r="X203" i="20"/>
  <c r="X164" i="19" s="1"/>
  <c r="W29" i="20"/>
  <c r="X27" i="20"/>
  <c r="Y28" i="20"/>
  <c r="W154" i="19"/>
  <c r="Y16" i="20"/>
  <c r="X24" i="20"/>
  <c r="X219" i="20"/>
  <c r="Y123" i="12"/>
  <c r="X155" i="19"/>
  <c r="X157" i="19"/>
  <c r="X25" i="20"/>
  <c r="Y26" i="20"/>
  <c r="Y44" i="20" s="1"/>
  <c r="Y198" i="20" s="1"/>
  <c r="Y159" i="19" s="1"/>
  <c r="Z123" i="14" s="1"/>
  <c r="V253" i="20"/>
  <c r="V31" i="20"/>
  <c r="BN108" i="36" l="1"/>
  <c r="BN78" i="36"/>
  <c r="BN99" i="36"/>
  <c r="AA71" i="16"/>
  <c r="BN100" i="36"/>
  <c r="AF77" i="15"/>
  <c r="Y71" i="15"/>
  <c r="Y343" i="42"/>
  <c r="BF126" i="36" s="1"/>
  <c r="AH65" i="16"/>
  <c r="AB186" i="28"/>
  <c r="AB187" i="28" s="1"/>
  <c r="AB189" i="28" s="1"/>
  <c r="AG89" i="29"/>
  <c r="AA189" i="29"/>
  <c r="AB70" i="16" s="1"/>
  <c r="AF243" i="38"/>
  <c r="AG243" i="42"/>
  <c r="Y201" i="28"/>
  <c r="Z69" i="15" s="1"/>
  <c r="AE310" i="38"/>
  <c r="AE308" i="38"/>
  <c r="AE306" i="38"/>
  <c r="AE309" i="38"/>
  <c r="AE307" i="38"/>
  <c r="AE311" i="38"/>
  <c r="AF310" i="42"/>
  <c r="AF306" i="42"/>
  <c r="AF308" i="42"/>
  <c r="AF307" i="42"/>
  <c r="AF311" i="42"/>
  <c r="AF309" i="42"/>
  <c r="AC179" i="29"/>
  <c r="AF160" i="28"/>
  <c r="AF159" i="28"/>
  <c r="AF157" i="28"/>
  <c r="AD169" i="29"/>
  <c r="AD170" i="29" s="1"/>
  <c r="AD171" i="29"/>
  <c r="AD174" i="29" s="1"/>
  <c r="AB169" i="28"/>
  <c r="AB173" i="28" s="1"/>
  <c r="AB170" i="28"/>
  <c r="AH66" i="15"/>
  <c r="AH59" i="15"/>
  <c r="AG88" i="29"/>
  <c r="AD299" i="38"/>
  <c r="AD300" i="38"/>
  <c r="AG94" i="42"/>
  <c r="AG98" i="42" s="1"/>
  <c r="AG96" i="42"/>
  <c r="AG100" i="42" s="1"/>
  <c r="AG95" i="42"/>
  <c r="AG99" i="42" s="1"/>
  <c r="AG97" i="42"/>
  <c r="AD283" i="42"/>
  <c r="AD287" i="42"/>
  <c r="AD284" i="42"/>
  <c r="AD286" i="42"/>
  <c r="AD285" i="42"/>
  <c r="AD282" i="42"/>
  <c r="AE297" i="42"/>
  <c r="AE298" i="42"/>
  <c r="AF296" i="42"/>
  <c r="AF294" i="42"/>
  <c r="AF295" i="42"/>
  <c r="AF293" i="42"/>
  <c r="AF150" i="29"/>
  <c r="AF148" i="29"/>
  <c r="AF147" i="29"/>
  <c r="AF149" i="29"/>
  <c r="AD171" i="28"/>
  <c r="AD172" i="28"/>
  <c r="AG31" i="19"/>
  <c r="AG211" i="19"/>
  <c r="AG33" i="28"/>
  <c r="AG34" i="28"/>
  <c r="AH46" i="15"/>
  <c r="AH67" i="15"/>
  <c r="AG167" i="29"/>
  <c r="AG168" i="29" s="1"/>
  <c r="AG144" i="29"/>
  <c r="AG145" i="29" s="1"/>
  <c r="AH66" i="16"/>
  <c r="AH59" i="16"/>
  <c r="AG143" i="29"/>
  <c r="AG146" i="29"/>
  <c r="AH65" i="15"/>
  <c r="AC318" i="42"/>
  <c r="AC319" i="42" s="1"/>
  <c r="AC321" i="42" s="1"/>
  <c r="Z194" i="28"/>
  <c r="Z203" i="28" s="1"/>
  <c r="AA70" i="15" s="1"/>
  <c r="AD315" i="42"/>
  <c r="AD316" i="42" s="1"/>
  <c r="AD317" i="42"/>
  <c r="AD320" i="42" s="1"/>
  <c r="AB179" i="29"/>
  <c r="AB180" i="29" s="1"/>
  <c r="AB189" i="29" s="1"/>
  <c r="AC70" i="16" s="1"/>
  <c r="AC301" i="42"/>
  <c r="AC305" i="42" s="1"/>
  <c r="AC302" i="42"/>
  <c r="AA194" i="28"/>
  <c r="AA203" i="28" s="1"/>
  <c r="AB70" i="15" s="1"/>
  <c r="AC172" i="29"/>
  <c r="AC173" i="29" s="1"/>
  <c r="AC175" i="29" s="1"/>
  <c r="AD165" i="28"/>
  <c r="AD166" i="28"/>
  <c r="AC183" i="28"/>
  <c r="AC184" i="28" s="1"/>
  <c r="AC185" i="28"/>
  <c r="AC188" i="28" s="1"/>
  <c r="AC325" i="42"/>
  <c r="AG33" i="29"/>
  <c r="AG34" i="29"/>
  <c r="AC301" i="38"/>
  <c r="AC305" i="38" s="1"/>
  <c r="AC302" i="38"/>
  <c r="AG71" i="42"/>
  <c r="AG75" i="42" s="1"/>
  <c r="AG70" i="42"/>
  <c r="AG74" i="42" s="1"/>
  <c r="AG73" i="42"/>
  <c r="AG72" i="42"/>
  <c r="AG76" i="42" s="1"/>
  <c r="AB333" i="42"/>
  <c r="AE293" i="38"/>
  <c r="AE295" i="38"/>
  <c r="AE294" i="38"/>
  <c r="AE296" i="38"/>
  <c r="AC167" i="28"/>
  <c r="AC168" i="28"/>
  <c r="AG278" i="38"/>
  <c r="AG31" i="38"/>
  <c r="AH67" i="16"/>
  <c r="AH46" i="16"/>
  <c r="AG68" i="16"/>
  <c r="AG77" i="16"/>
  <c r="AG313" i="42"/>
  <c r="AG314" i="42" s="1"/>
  <c r="AG290" i="42"/>
  <c r="AG291" i="42" s="1"/>
  <c r="AE151" i="28"/>
  <c r="AE150" i="28"/>
  <c r="AE155" i="28"/>
  <c r="AE154" i="28"/>
  <c r="AE153" i="28"/>
  <c r="AE152" i="28"/>
  <c r="AE158" i="29"/>
  <c r="AE157" i="29"/>
  <c r="AF34" i="19"/>
  <c r="AF33" i="19"/>
  <c r="AG101" i="38"/>
  <c r="AG77" i="38"/>
  <c r="AG44" i="38"/>
  <c r="AG288" i="38" s="1"/>
  <c r="AG246" i="38"/>
  <c r="AG93" i="38"/>
  <c r="AG69" i="38"/>
  <c r="AG70" i="38" s="1"/>
  <c r="AE177" i="28"/>
  <c r="AE175" i="28"/>
  <c r="AE179" i="28"/>
  <c r="AE176" i="28"/>
  <c r="AE178" i="28"/>
  <c r="AE174" i="28"/>
  <c r="AF194" i="29"/>
  <c r="AF193" i="29"/>
  <c r="AB69" i="16"/>
  <c r="AD300" i="42"/>
  <c r="AD299" i="42"/>
  <c r="AG79" i="42"/>
  <c r="AG83" i="42" s="1"/>
  <c r="AG80" i="42"/>
  <c r="AG84" i="42" s="1"/>
  <c r="AG78" i="42"/>
  <c r="AG82" i="42" s="1"/>
  <c r="AG81" i="42"/>
  <c r="AB301" i="38"/>
  <c r="AB305" i="38" s="1"/>
  <c r="AB302" i="38"/>
  <c r="AG214" i="28"/>
  <c r="AG148" i="28" s="1"/>
  <c r="AG149" i="28" s="1"/>
  <c r="AF148" i="28"/>
  <c r="AF149" i="28" s="1"/>
  <c r="AE151" i="29"/>
  <c r="AE152" i="29"/>
  <c r="AC155" i="29"/>
  <c r="AC159" i="29" s="1"/>
  <c r="AC156" i="29"/>
  <c r="AD154" i="29"/>
  <c r="AD153" i="29"/>
  <c r="AA72" i="16"/>
  <c r="Z197" i="29"/>
  <c r="AA73" i="16" s="1"/>
  <c r="AD137" i="29"/>
  <c r="AD139" i="29"/>
  <c r="AD141" i="29"/>
  <c r="AD136" i="29"/>
  <c r="AD138" i="29"/>
  <c r="AD140" i="29"/>
  <c r="AG68" i="15"/>
  <c r="AG181" i="28"/>
  <c r="AG158" i="28"/>
  <c r="AI213" i="28"/>
  <c r="AG292" i="42"/>
  <c r="AG289" i="42"/>
  <c r="AF292" i="38"/>
  <c r="AF289" i="38"/>
  <c r="AB193" i="28"/>
  <c r="AB194" i="28" s="1"/>
  <c r="AB203" i="28" s="1"/>
  <c r="AC70" i="15" s="1"/>
  <c r="AE304" i="42"/>
  <c r="AE303" i="42"/>
  <c r="Y72" i="15"/>
  <c r="X211" i="28"/>
  <c r="Y73" i="15" s="1"/>
  <c r="AF161" i="29"/>
  <c r="AF163" i="29"/>
  <c r="AF164" i="29"/>
  <c r="AF165" i="29"/>
  <c r="AF160" i="29"/>
  <c r="AF162" i="29"/>
  <c r="AE163" i="28"/>
  <c r="AE162" i="28"/>
  <c r="AE161" i="28"/>
  <c r="AE164" i="28"/>
  <c r="Z337" i="42"/>
  <c r="Z342" i="42"/>
  <c r="AF101" i="29"/>
  <c r="AE134" i="29"/>
  <c r="AE135" i="29" s="1"/>
  <c r="AG208" i="28"/>
  <c r="AG156" i="28"/>
  <c r="AG207" i="28"/>
  <c r="AG104" i="42"/>
  <c r="AG108" i="42" s="1"/>
  <c r="AG103" i="42"/>
  <c r="AG107" i="42" s="1"/>
  <c r="AG102" i="42"/>
  <c r="AG106" i="42" s="1"/>
  <c r="AG105" i="42"/>
  <c r="AF313" i="38"/>
  <c r="AF290" i="38"/>
  <c r="AF291" i="38" s="1"/>
  <c r="AF247" i="42"/>
  <c r="AE280" i="42"/>
  <c r="AE281" i="42" s="1"/>
  <c r="X160" i="19"/>
  <c r="X163" i="19"/>
  <c r="X161" i="19"/>
  <c r="X162" i="19"/>
  <c r="Y200" i="20"/>
  <c r="Y202" i="20"/>
  <c r="Y199" i="20"/>
  <c r="Y201" i="20"/>
  <c r="Y203" i="20"/>
  <c r="Y164" i="19" s="1"/>
  <c r="Y27" i="20"/>
  <c r="W253" i="20"/>
  <c r="W31" i="20"/>
  <c r="Y25" i="20"/>
  <c r="X154" i="19"/>
  <c r="X29" i="20"/>
  <c r="Z28" i="20"/>
  <c r="Z123" i="12"/>
  <c r="Y155" i="19"/>
  <c r="Y157" i="19"/>
  <c r="Z26" i="20"/>
  <c r="Z44" i="20" s="1"/>
  <c r="Z198" i="20" s="1"/>
  <c r="Z159" i="19" s="1"/>
  <c r="AA123" i="14" s="1"/>
  <c r="Y24" i="20"/>
  <c r="Y219" i="20"/>
  <c r="Z16" i="20"/>
  <c r="AG77" i="15" l="1"/>
  <c r="Z71" i="15"/>
  <c r="AB71" i="16"/>
  <c r="AA196" i="29"/>
  <c r="AB72" i="16" s="1"/>
  <c r="Y210" i="28"/>
  <c r="Y211" i="28" s="1"/>
  <c r="Z73" i="15" s="1"/>
  <c r="Y205" i="28"/>
  <c r="AD172" i="29"/>
  <c r="AD173" i="29" s="1"/>
  <c r="AD318" i="42"/>
  <c r="AD319" i="42" s="1"/>
  <c r="AD321" i="42" s="1"/>
  <c r="AF308" i="38"/>
  <c r="AF309" i="38"/>
  <c r="AF310" i="38"/>
  <c r="AF311" i="38"/>
  <c r="AF307" i="38"/>
  <c r="AF306" i="38"/>
  <c r="BG125" i="36"/>
  <c r="Z343" i="42"/>
  <c r="BG126" i="36" s="1"/>
  <c r="AG151" i="28"/>
  <c r="AG154" i="28"/>
  <c r="AG152" i="28"/>
  <c r="AG150" i="28"/>
  <c r="AG153" i="28"/>
  <c r="AG155" i="28"/>
  <c r="AG313" i="38"/>
  <c r="AG290" i="38"/>
  <c r="AG291" i="38" s="1"/>
  <c r="AG307" i="42"/>
  <c r="AG309" i="42"/>
  <c r="AG306" i="42"/>
  <c r="AG308" i="42"/>
  <c r="AG311" i="42"/>
  <c r="AG310" i="42"/>
  <c r="AE303" i="38"/>
  <c r="AE315" i="38" s="1"/>
  <c r="AE304" i="38"/>
  <c r="AA201" i="28"/>
  <c r="Z201" i="28"/>
  <c r="AD183" i="28"/>
  <c r="AD184" i="28" s="1"/>
  <c r="AD185" i="28"/>
  <c r="AD188" i="28" s="1"/>
  <c r="AF303" i="42"/>
  <c r="AF304" i="42"/>
  <c r="AE287" i="42"/>
  <c r="AE286" i="42"/>
  <c r="AE284" i="42"/>
  <c r="AE285" i="42"/>
  <c r="AE282" i="42"/>
  <c r="AE283" i="42"/>
  <c r="AG160" i="28"/>
  <c r="AG159" i="28"/>
  <c r="AG157" i="28"/>
  <c r="AG292" i="38"/>
  <c r="AG289" i="38"/>
  <c r="AG164" i="29"/>
  <c r="AG165" i="29"/>
  <c r="AG161" i="29"/>
  <c r="AG163" i="29"/>
  <c r="AG160" i="29"/>
  <c r="AG162" i="29"/>
  <c r="AF152" i="29"/>
  <c r="AF151" i="29"/>
  <c r="AE300" i="42"/>
  <c r="AE299" i="42"/>
  <c r="AF280" i="42"/>
  <c r="AF281" i="42" s="1"/>
  <c r="AG247" i="42"/>
  <c r="AG280" i="42" s="1"/>
  <c r="AG281" i="42" s="1"/>
  <c r="AE136" i="29"/>
  <c r="AE138" i="29"/>
  <c r="AE140" i="29"/>
  <c r="AE137" i="29"/>
  <c r="AE139" i="29"/>
  <c r="AE141" i="29"/>
  <c r="AE172" i="28"/>
  <c r="AE171" i="28"/>
  <c r="AB201" i="28"/>
  <c r="AF293" i="38"/>
  <c r="AF296" i="38"/>
  <c r="AF295" i="38"/>
  <c r="AF294" i="38"/>
  <c r="AE297" i="38"/>
  <c r="AE298" i="38"/>
  <c r="AG193" i="29"/>
  <c r="AG194" i="29"/>
  <c r="AC193" i="28"/>
  <c r="AF178" i="28"/>
  <c r="AF176" i="28"/>
  <c r="AF177" i="28"/>
  <c r="AF175" i="28"/>
  <c r="AF179" i="28"/>
  <c r="AF174" i="28"/>
  <c r="AG101" i="29"/>
  <c r="AG134" i="29" s="1"/>
  <c r="AG135" i="29" s="1"/>
  <c r="AF134" i="29"/>
  <c r="AF135" i="29" s="1"/>
  <c r="AF164" i="28"/>
  <c r="AF161" i="28"/>
  <c r="AF163" i="28"/>
  <c r="AF162" i="28"/>
  <c r="AC180" i="29"/>
  <c r="AC189" i="29" s="1"/>
  <c r="AD70" i="16" s="1"/>
  <c r="AG293" i="42"/>
  <c r="AG296" i="42"/>
  <c r="AG294" i="42"/>
  <c r="AG295" i="42"/>
  <c r="AD155" i="29"/>
  <c r="AD159" i="29" s="1"/>
  <c r="AD156" i="29"/>
  <c r="AD175" i="29"/>
  <c r="AD167" i="28"/>
  <c r="AD168" i="28"/>
  <c r="AF158" i="29"/>
  <c r="AF157" i="29"/>
  <c r="AE166" i="28"/>
  <c r="AE165" i="28"/>
  <c r="AE153" i="29"/>
  <c r="AE154" i="29"/>
  <c r="AG243" i="38"/>
  <c r="AB337" i="42"/>
  <c r="AB342" i="42"/>
  <c r="AD325" i="42"/>
  <c r="AD326" i="42" s="1"/>
  <c r="AD333" i="42" s="1"/>
  <c r="AG150" i="29"/>
  <c r="AG147" i="29"/>
  <c r="AG148" i="29"/>
  <c r="AG149" i="29"/>
  <c r="AE315" i="42"/>
  <c r="AE316" i="42" s="1"/>
  <c r="AE317" i="42"/>
  <c r="AE320" i="42" s="1"/>
  <c r="AG182" i="28"/>
  <c r="AC186" i="28"/>
  <c r="AC187" i="28" s="1"/>
  <c r="AC189" i="28" s="1"/>
  <c r="AH68" i="16"/>
  <c r="AH77" i="16"/>
  <c r="AH68" i="15"/>
  <c r="AG33" i="19"/>
  <c r="AG34" i="19"/>
  <c r="AF297" i="42"/>
  <c r="AF298" i="42"/>
  <c r="AD302" i="38"/>
  <c r="AD301" i="38"/>
  <c r="AD305" i="38" s="1"/>
  <c r="AF152" i="28"/>
  <c r="AF150" i="28"/>
  <c r="AF155" i="28"/>
  <c r="AF153" i="28"/>
  <c r="AF154" i="28"/>
  <c r="AF151" i="28"/>
  <c r="AD302" i="42"/>
  <c r="AD301" i="42"/>
  <c r="AD305" i="42" s="1"/>
  <c r="AE169" i="29"/>
  <c r="AE170" i="29" s="1"/>
  <c r="AE171" i="29"/>
  <c r="AE174" i="29" s="1"/>
  <c r="AC169" i="28"/>
  <c r="AC173" i="28" s="1"/>
  <c r="AC170" i="28"/>
  <c r="AC326" i="42"/>
  <c r="AC335" i="42" s="1"/>
  <c r="AB187" i="29"/>
  <c r="AD179" i="29"/>
  <c r="AD180" i="29" s="1"/>
  <c r="AD187" i="29" s="1"/>
  <c r="Y163" i="19"/>
  <c r="Y161" i="19"/>
  <c r="Y162" i="19"/>
  <c r="Y160" i="19"/>
  <c r="Z199" i="20"/>
  <c r="Z201" i="20"/>
  <c r="Z203" i="20"/>
  <c r="Z164" i="19" s="1"/>
  <c r="Z200" i="20"/>
  <c r="Z202" i="20"/>
  <c r="Z25" i="20"/>
  <c r="AA28" i="20"/>
  <c r="Y29" i="20"/>
  <c r="Y154" i="19"/>
  <c r="X253" i="20"/>
  <c r="X31" i="20"/>
  <c r="Z27" i="20"/>
  <c r="AA26" i="20"/>
  <c r="AA44" i="20" s="1"/>
  <c r="AA198" i="20" s="1"/>
  <c r="AA159" i="19" s="1"/>
  <c r="AB123" i="14" s="1"/>
  <c r="Z219" i="20"/>
  <c r="AA16" i="20"/>
  <c r="Z24" i="20"/>
  <c r="AA123" i="12"/>
  <c r="Z157" i="19"/>
  <c r="Z155" i="19"/>
  <c r="AA197" i="29" l="1"/>
  <c r="AB73" i="16" s="1"/>
  <c r="Z72" i="15"/>
  <c r="AD186" i="28"/>
  <c r="AD187" i="28" s="1"/>
  <c r="AD189" i="28" s="1"/>
  <c r="AH77" i="15"/>
  <c r="AE69" i="16"/>
  <c r="AE325" i="42"/>
  <c r="AE326" i="42" s="1"/>
  <c r="AE333" i="42" s="1"/>
  <c r="AD169" i="28"/>
  <c r="AD173" i="28" s="1"/>
  <c r="AD170" i="28"/>
  <c r="AC187" i="29"/>
  <c r="AG157" i="29"/>
  <c r="AG158" i="29"/>
  <c r="AC69" i="15"/>
  <c r="AB205" i="28"/>
  <c r="AB210" i="28"/>
  <c r="AG174" i="28"/>
  <c r="AG179" i="28"/>
  <c r="AG177" i="28"/>
  <c r="AG178" i="28"/>
  <c r="AG176" i="28"/>
  <c r="AG175" i="28"/>
  <c r="AA69" i="15"/>
  <c r="Z205" i="28"/>
  <c r="Z210" i="28"/>
  <c r="AE179" i="29"/>
  <c r="AE156" i="29"/>
  <c r="AE155" i="29"/>
  <c r="AE159" i="29" s="1"/>
  <c r="AE183" i="28"/>
  <c r="AE184" i="28" s="1"/>
  <c r="AE185" i="28"/>
  <c r="AE188" i="28" s="1"/>
  <c r="AG285" i="42"/>
  <c r="AG286" i="42"/>
  <c r="AG282" i="42"/>
  <c r="AG283" i="42"/>
  <c r="AG287" i="42"/>
  <c r="AG284" i="42"/>
  <c r="AG161" i="28"/>
  <c r="AG163" i="28"/>
  <c r="AG164" i="28"/>
  <c r="AG162" i="28"/>
  <c r="AF166" i="28"/>
  <c r="AF165" i="28"/>
  <c r="AE299" i="38"/>
  <c r="AE300" i="38"/>
  <c r="AF287" i="42"/>
  <c r="AF285" i="42"/>
  <c r="AF282" i="42"/>
  <c r="AF284" i="42"/>
  <c r="AF286" i="42"/>
  <c r="AF283" i="42"/>
  <c r="AG293" i="38"/>
  <c r="AG294" i="38"/>
  <c r="AG295" i="38"/>
  <c r="AG296" i="38"/>
  <c r="AB69" i="15"/>
  <c r="AA205" i="28"/>
  <c r="AA210" i="28"/>
  <c r="AD335" i="42"/>
  <c r="AD337" i="42" s="1"/>
  <c r="AE167" i="28"/>
  <c r="AE168" i="28"/>
  <c r="AG298" i="42"/>
  <c r="AG297" i="42"/>
  <c r="AF137" i="29"/>
  <c r="AF139" i="29"/>
  <c r="AF141" i="29"/>
  <c r="AF136" i="29"/>
  <c r="AF138" i="29"/>
  <c r="AF140" i="29"/>
  <c r="AE318" i="42"/>
  <c r="AE319" i="42" s="1"/>
  <c r="AE321" i="42" s="1"/>
  <c r="AE301" i="42"/>
  <c r="AE305" i="42" s="1"/>
  <c r="AE302" i="42"/>
  <c r="AC333" i="42"/>
  <c r="AD189" i="29"/>
  <c r="AE70" i="16" s="1"/>
  <c r="AE172" i="29"/>
  <c r="AE173" i="29" s="1"/>
  <c r="AE175" i="29" s="1"/>
  <c r="AF169" i="29"/>
  <c r="AF170" i="29" s="1"/>
  <c r="AF171" i="29"/>
  <c r="AF174" i="29" s="1"/>
  <c r="AF172" i="28"/>
  <c r="AF171" i="28"/>
  <c r="AG136" i="29"/>
  <c r="AG138" i="29"/>
  <c r="AG140" i="29"/>
  <c r="AG137" i="29"/>
  <c r="AG139" i="29"/>
  <c r="AG141" i="29"/>
  <c r="AC69" i="16"/>
  <c r="AB196" i="29"/>
  <c r="AF300" i="42"/>
  <c r="AF299" i="42"/>
  <c r="AG152" i="29"/>
  <c r="AG151" i="29"/>
  <c r="BI125" i="36"/>
  <c r="AB343" i="42"/>
  <c r="BI126" i="36" s="1"/>
  <c r="AG303" i="42"/>
  <c r="AG304" i="42"/>
  <c r="AF297" i="38"/>
  <c r="AF298" i="38"/>
  <c r="AF315" i="42"/>
  <c r="AF316" i="42" s="1"/>
  <c r="AF317" i="42"/>
  <c r="AF320" i="42" s="1"/>
  <c r="AG308" i="38"/>
  <c r="AG311" i="38"/>
  <c r="AG309" i="38"/>
  <c r="AG307" i="38"/>
  <c r="AG310" i="38"/>
  <c r="AG306" i="38"/>
  <c r="AC194" i="28"/>
  <c r="AC203" i="28" s="1"/>
  <c r="AD70" i="15" s="1"/>
  <c r="AF304" i="38"/>
  <c r="AF303" i="38"/>
  <c r="AF315" i="38" s="1"/>
  <c r="AF153" i="29"/>
  <c r="AF154" i="29"/>
  <c r="AD193" i="28"/>
  <c r="Z162" i="19"/>
  <c r="Z163" i="19"/>
  <c r="Z160" i="19"/>
  <c r="Z161" i="19"/>
  <c r="AA199" i="20"/>
  <c r="AA201" i="20"/>
  <c r="AA203" i="20"/>
  <c r="AA164" i="19" s="1"/>
  <c r="AA200" i="20"/>
  <c r="AA202" i="20"/>
  <c r="Y253" i="20"/>
  <c r="Y31" i="20"/>
  <c r="Z29" i="20"/>
  <c r="AB26" i="20"/>
  <c r="AB44" i="20" s="1"/>
  <c r="AB198" i="20" s="1"/>
  <c r="AB159" i="19" s="1"/>
  <c r="AC123" i="14" s="1"/>
  <c r="AA27" i="20"/>
  <c r="AB28" i="20"/>
  <c r="AA25" i="20"/>
  <c r="Z154" i="19"/>
  <c r="AA24" i="20"/>
  <c r="AA219" i="20"/>
  <c r="AB123" i="12"/>
  <c r="AA157" i="19"/>
  <c r="AA155" i="19"/>
  <c r="AC71" i="16" l="1"/>
  <c r="AB71" i="15"/>
  <c r="AA71" i="15"/>
  <c r="AC71" i="15"/>
  <c r="AE71" i="16"/>
  <c r="AE186" i="28"/>
  <c r="AE187" i="28" s="1"/>
  <c r="AF300" i="38"/>
  <c r="AF299" i="38"/>
  <c r="AG154" i="29"/>
  <c r="AG153" i="29"/>
  <c r="AC72" i="16"/>
  <c r="AB197" i="29"/>
  <c r="AC73" i="16" s="1"/>
  <c r="AF183" i="28"/>
  <c r="AF184" i="28" s="1"/>
  <c r="AF185" i="28"/>
  <c r="AG303" i="38"/>
  <c r="AG315" i="38" s="1"/>
  <c r="AG304" i="38"/>
  <c r="AF156" i="29"/>
  <c r="AF155" i="29"/>
  <c r="AF159" i="29" s="1"/>
  <c r="AF179" i="29"/>
  <c r="AC337" i="42"/>
  <c r="AC342" i="42"/>
  <c r="AG298" i="38"/>
  <c r="AG297" i="38"/>
  <c r="AG171" i="28"/>
  <c r="AG172" i="28"/>
  <c r="AE180" i="29"/>
  <c r="AE189" i="29" s="1"/>
  <c r="AF70" i="16" s="1"/>
  <c r="AG169" i="29"/>
  <c r="AG170" i="29" s="1"/>
  <c r="AG171" i="29"/>
  <c r="AG174" i="29" s="1"/>
  <c r="AE335" i="42"/>
  <c r="AE342" i="42" s="1"/>
  <c r="BL125" i="36" s="1"/>
  <c r="AF318" i="42"/>
  <c r="AF319" i="42" s="1"/>
  <c r="AF321" i="42" s="1"/>
  <c r="AG315" i="42"/>
  <c r="AG316" i="42" s="1"/>
  <c r="AG317" i="42"/>
  <c r="AG320" i="42" s="1"/>
  <c r="AE302" i="38"/>
  <c r="AE301" i="38"/>
  <c r="AE305" i="38" s="1"/>
  <c r="AG165" i="28"/>
  <c r="AG166" i="28"/>
  <c r="AF325" i="42"/>
  <c r="AG300" i="42"/>
  <c r="AG299" i="42"/>
  <c r="AE193" i="28"/>
  <c r="AA72" i="15"/>
  <c r="Z211" i="28"/>
  <c r="AA73" i="15" s="1"/>
  <c r="AD342" i="42"/>
  <c r="AF302" i="42"/>
  <c r="AF301" i="42"/>
  <c r="AF305" i="42" s="1"/>
  <c r="AB72" i="15"/>
  <c r="AA211" i="28"/>
  <c r="AB73" i="15" s="1"/>
  <c r="AF167" i="28"/>
  <c r="AF168" i="28"/>
  <c r="AC72" i="15"/>
  <c r="AB211" i="28"/>
  <c r="AC73" i="15" s="1"/>
  <c r="AC201" i="28"/>
  <c r="AD196" i="29"/>
  <c r="AD194" i="28"/>
  <c r="AD201" i="28" s="1"/>
  <c r="AF172" i="29"/>
  <c r="AF173" i="29" s="1"/>
  <c r="AF175" i="29" s="1"/>
  <c r="AE169" i="28"/>
  <c r="AE173" i="28" s="1"/>
  <c r="AE170" i="28"/>
  <c r="AE189" i="28"/>
  <c r="AD69" i="16"/>
  <c r="AC196" i="29"/>
  <c r="AA162" i="19"/>
  <c r="AA163" i="19"/>
  <c r="AA160" i="19"/>
  <c r="AA161" i="19"/>
  <c r="AB200" i="20"/>
  <c r="AB202" i="20"/>
  <c r="AB199" i="20"/>
  <c r="AB201" i="20"/>
  <c r="AB203" i="20"/>
  <c r="AB164" i="19" s="1"/>
  <c r="AB16" i="20"/>
  <c r="AB219" i="20" s="1"/>
  <c r="Z253" i="20"/>
  <c r="Z31" i="20"/>
  <c r="AA29" i="20"/>
  <c r="AB25" i="20"/>
  <c r="AC28" i="20"/>
  <c r="AA154" i="19"/>
  <c r="AC26" i="20"/>
  <c r="AC44" i="20" s="1"/>
  <c r="AC198" i="20" s="1"/>
  <c r="AC159" i="19" s="1"/>
  <c r="AD123" i="14" s="1"/>
  <c r="AC16" i="20"/>
  <c r="AB24" i="20"/>
  <c r="AB27" i="20"/>
  <c r="AC123" i="12"/>
  <c r="AB157" i="19"/>
  <c r="AB155" i="19"/>
  <c r="AD71" i="16" l="1"/>
  <c r="AE337" i="42"/>
  <c r="AE343" i="42"/>
  <c r="BL126" i="36" s="1"/>
  <c r="AG318" i="42"/>
  <c r="AG319" i="42" s="1"/>
  <c r="AG321" i="42" s="1"/>
  <c r="AE187" i="29"/>
  <c r="AF69" i="16" s="1"/>
  <c r="AG172" i="29"/>
  <c r="AG173" i="29" s="1"/>
  <c r="AG175" i="29" s="1"/>
  <c r="AE194" i="28"/>
  <c r="AE201" i="28" s="1"/>
  <c r="AF326" i="42"/>
  <c r="AF335" i="42" s="1"/>
  <c r="AG167" i="28"/>
  <c r="AG168" i="28"/>
  <c r="AG183" i="28"/>
  <c r="AG184" i="28" s="1"/>
  <c r="AG185" i="28"/>
  <c r="AG186" i="28" s="1"/>
  <c r="AG187" i="28" s="1"/>
  <c r="AF169" i="28"/>
  <c r="AF173" i="28" s="1"/>
  <c r="AF170" i="28"/>
  <c r="AG302" i="42"/>
  <c r="AG301" i="42"/>
  <c r="AG305" i="42" s="1"/>
  <c r="AD343" i="42"/>
  <c r="BK126" i="36" s="1"/>
  <c r="BK125" i="36"/>
  <c r="AG156" i="29"/>
  <c r="AG155" i="29"/>
  <c r="AG159" i="29" s="1"/>
  <c r="AD72" i="16"/>
  <c r="AC197" i="29"/>
  <c r="AD73" i="16" s="1"/>
  <c r="AE69" i="15"/>
  <c r="AG179" i="29"/>
  <c r="AG180" i="29" s="1"/>
  <c r="AG187" i="29" s="1"/>
  <c r="AG299" i="38"/>
  <c r="AG300" i="38"/>
  <c r="AE72" i="16"/>
  <c r="AD197" i="29"/>
  <c r="AE73" i="16" s="1"/>
  <c r="BJ125" i="36"/>
  <c r="AC343" i="42"/>
  <c r="BJ126" i="36" s="1"/>
  <c r="AF301" i="38"/>
  <c r="AF305" i="38" s="1"/>
  <c r="AF302" i="38"/>
  <c r="AD69" i="15"/>
  <c r="AC205" i="28"/>
  <c r="AC210" i="28"/>
  <c r="AF186" i="28"/>
  <c r="AF187" i="28" s="1"/>
  <c r="AF189" i="28" s="1"/>
  <c r="AF188" i="28"/>
  <c r="AD203" i="28"/>
  <c r="AE70" i="15" s="1"/>
  <c r="AG325" i="42"/>
  <c r="AG326" i="42" s="1"/>
  <c r="AG333" i="42" s="1"/>
  <c r="AF180" i="29"/>
  <c r="AF189" i="29" s="1"/>
  <c r="AG70" i="16" s="1"/>
  <c r="AB163" i="19"/>
  <c r="AB161" i="19"/>
  <c r="AB162" i="19"/>
  <c r="AB160" i="19"/>
  <c r="AC199" i="20"/>
  <c r="AC200" i="20"/>
  <c r="AC202" i="20"/>
  <c r="AC203" i="20"/>
  <c r="AC164" i="19" s="1"/>
  <c r="AC201" i="20"/>
  <c r="AC24" i="20"/>
  <c r="AC219" i="20"/>
  <c r="AB154" i="19"/>
  <c r="AD123" i="12"/>
  <c r="AC155" i="19"/>
  <c r="AC157" i="19"/>
  <c r="AC25" i="20"/>
  <c r="AA253" i="20"/>
  <c r="AA31" i="20"/>
  <c r="AD26" i="20"/>
  <c r="AD44" i="20" s="1"/>
  <c r="AD198" i="20" s="1"/>
  <c r="AD159" i="19" s="1"/>
  <c r="AE123" i="14" s="1"/>
  <c r="AC27" i="20"/>
  <c r="AB29" i="20"/>
  <c r="AD28" i="20"/>
  <c r="AD71" i="15" l="1"/>
  <c r="AF71" i="16"/>
  <c r="AE196" i="29"/>
  <c r="AF72" i="16" s="1"/>
  <c r="AE71" i="15"/>
  <c r="AE203" i="28"/>
  <c r="AF70" i="15" s="1"/>
  <c r="AF187" i="29"/>
  <c r="AG69" i="16" s="1"/>
  <c r="AH69" i="16"/>
  <c r="AD72" i="15"/>
  <c r="AC211" i="28"/>
  <c r="AD73" i="15" s="1"/>
  <c r="AG189" i="28"/>
  <c r="AG189" i="29"/>
  <c r="AH70" i="16" s="1"/>
  <c r="AG170" i="28"/>
  <c r="AG169" i="28"/>
  <c r="AG173" i="28" s="1"/>
  <c r="AF193" i="28"/>
  <c r="AF194" i="28" s="1"/>
  <c r="AF203" i="28" s="1"/>
  <c r="AG70" i="15" s="1"/>
  <c r="AD210" i="28"/>
  <c r="AF333" i="42"/>
  <c r="AD205" i="28"/>
  <c r="AF69" i="15"/>
  <c r="AE205" i="28"/>
  <c r="AG302" i="38"/>
  <c r="AG301" i="38"/>
  <c r="AG305" i="38" s="1"/>
  <c r="AG188" i="28"/>
  <c r="AG335" i="42"/>
  <c r="AG342" i="42" s="1"/>
  <c r="AC161" i="19"/>
  <c r="AC162" i="19"/>
  <c r="AC160" i="19"/>
  <c r="AC163" i="19"/>
  <c r="AD199" i="20"/>
  <c r="AD201" i="20"/>
  <c r="AD203" i="20"/>
  <c r="AD164" i="19" s="1"/>
  <c r="AD200" i="20"/>
  <c r="AD202" i="20"/>
  <c r="AD16" i="20"/>
  <c r="AD219" i="20" s="1"/>
  <c r="AB253" i="20"/>
  <c r="AB31" i="20"/>
  <c r="AE123" i="12"/>
  <c r="AD155" i="19"/>
  <c r="AD157" i="19"/>
  <c r="AD25" i="20"/>
  <c r="AC154" i="19"/>
  <c r="AE26" i="20"/>
  <c r="AE44" i="20" s="1"/>
  <c r="AE198" i="20" s="1"/>
  <c r="AE159" i="19" s="1"/>
  <c r="AF123" i="14" s="1"/>
  <c r="AD24" i="20"/>
  <c r="AD27" i="20"/>
  <c r="AC29" i="20"/>
  <c r="AE28" i="20"/>
  <c r="AE210" i="28" l="1"/>
  <c r="AE197" i="29"/>
  <c r="AF73" i="16" s="1"/>
  <c r="AG71" i="16"/>
  <c r="AG337" i="42"/>
  <c r="AH71" i="16"/>
  <c r="AF71" i="15"/>
  <c r="AF196" i="29"/>
  <c r="AG72" i="16" s="1"/>
  <c r="BN125" i="36"/>
  <c r="AG343" i="42"/>
  <c r="BN126" i="36" s="1"/>
  <c r="AF72" i="15"/>
  <c r="AE211" i="28"/>
  <c r="AF73" i="15" s="1"/>
  <c r="AF337" i="42"/>
  <c r="AF342" i="42"/>
  <c r="AG193" i="28"/>
  <c r="AG194" i="28" s="1"/>
  <c r="AG201" i="28" s="1"/>
  <c r="AE72" i="15"/>
  <c r="AD211" i="28"/>
  <c r="AE73" i="15" s="1"/>
  <c r="AF201" i="28"/>
  <c r="AG196" i="29"/>
  <c r="AD163" i="19"/>
  <c r="AD160" i="19"/>
  <c r="AD161" i="19"/>
  <c r="AD162" i="19"/>
  <c r="AE200" i="20"/>
  <c r="AE199" i="20"/>
  <c r="AE201" i="20"/>
  <c r="AE203" i="20"/>
  <c r="AE164" i="19" s="1"/>
  <c r="AE202" i="20"/>
  <c r="AE16" i="20"/>
  <c r="AE219" i="20" s="1"/>
  <c r="AD29" i="20"/>
  <c r="AF28" i="20"/>
  <c r="AG28" i="20"/>
  <c r="AE27" i="20"/>
  <c r="AE24" i="20"/>
  <c r="AF123" i="12"/>
  <c r="AE155" i="19"/>
  <c r="AE157" i="19"/>
  <c r="AE25" i="20"/>
  <c r="AD154" i="19"/>
  <c r="AC253" i="20"/>
  <c r="AC31" i="20"/>
  <c r="AG26" i="20"/>
  <c r="AG44" i="20" s="1"/>
  <c r="AG198" i="20" s="1"/>
  <c r="AG159" i="19" s="1"/>
  <c r="AH123" i="14" s="1"/>
  <c r="AF26" i="20"/>
  <c r="AF44" i="20" s="1"/>
  <c r="AF198" i="20" s="1"/>
  <c r="AF159" i="19" s="1"/>
  <c r="AG123" i="14" s="1"/>
  <c r="AF197" i="29" l="1"/>
  <c r="AG73" i="16" s="1"/>
  <c r="AG197" i="29"/>
  <c r="AH73" i="16" s="1"/>
  <c r="AH72" i="16"/>
  <c r="BM125" i="36"/>
  <c r="AF343" i="42"/>
  <c r="BM126" i="36" s="1"/>
  <c r="AG69" i="15"/>
  <c r="AF205" i="28"/>
  <c r="AF210" i="28"/>
  <c r="AH69" i="15"/>
  <c r="AG203" i="28"/>
  <c r="AH70" i="15" s="1"/>
  <c r="AE162" i="19"/>
  <c r="AE160" i="19"/>
  <c r="AE163" i="19"/>
  <c r="AE161" i="19"/>
  <c r="AF200" i="20"/>
  <c r="AF202" i="20"/>
  <c r="AF199" i="20"/>
  <c r="AF201" i="20"/>
  <c r="AF203" i="20"/>
  <c r="AF164" i="19" s="1"/>
  <c r="AG200" i="20"/>
  <c r="AG202" i="20"/>
  <c r="AG199" i="20"/>
  <c r="AG201" i="20"/>
  <c r="AG203" i="20"/>
  <c r="AG164" i="19" s="1"/>
  <c r="AF16" i="20"/>
  <c r="AF219" i="20" s="1"/>
  <c r="AF25" i="20"/>
  <c r="AG25" i="20"/>
  <c r="AE29" i="20"/>
  <c r="AG123" i="12"/>
  <c r="AF155" i="19"/>
  <c r="AF157" i="19"/>
  <c r="AF24" i="20"/>
  <c r="AG27" i="20"/>
  <c r="AG45" i="20" s="1"/>
  <c r="AG173" i="20" s="1"/>
  <c r="AG177" i="20" s="1"/>
  <c r="AF27" i="20"/>
  <c r="AH123" i="12"/>
  <c r="AG157" i="19"/>
  <c r="AG155" i="19"/>
  <c r="AD253" i="20"/>
  <c r="AD31" i="20"/>
  <c r="AE154" i="19"/>
  <c r="AG71" i="15" l="1"/>
  <c r="AH71" i="15"/>
  <c r="AG72" i="15"/>
  <c r="AF211" i="28"/>
  <c r="AG73" i="15" s="1"/>
  <c r="AG205" i="28"/>
  <c r="AG210" i="28"/>
  <c r="AG161" i="19"/>
  <c r="AF163" i="19"/>
  <c r="AG162" i="19"/>
  <c r="AF161" i="19"/>
  <c r="AG160" i="19"/>
  <c r="AF162" i="19"/>
  <c r="AG163" i="19"/>
  <c r="AF160" i="19"/>
  <c r="AG16" i="20"/>
  <c r="AG219" i="20" s="1"/>
  <c r="AG24" i="20"/>
  <c r="AF29" i="20"/>
  <c r="AG154" i="19"/>
  <c r="AE253" i="20"/>
  <c r="AE31" i="20"/>
  <c r="AF154" i="19"/>
  <c r="AH72" i="15" l="1"/>
  <c r="AG211" i="28"/>
  <c r="AH73" i="15" s="1"/>
  <c r="E168" i="20"/>
  <c r="E170" i="20"/>
  <c r="E167" i="20"/>
  <c r="E169" i="20"/>
  <c r="E171" i="20"/>
  <c r="AF253" i="20"/>
  <c r="AF31" i="20"/>
  <c r="AG29" i="20"/>
  <c r="F168" i="20" l="1"/>
  <c r="F170" i="20"/>
  <c r="F167" i="20"/>
  <c r="F169" i="20"/>
  <c r="F171" i="20"/>
  <c r="AG253" i="20"/>
  <c r="AG31" i="20"/>
  <c r="G167" i="20" l="1"/>
  <c r="G169" i="20"/>
  <c r="G171" i="20"/>
  <c r="G168" i="20"/>
  <c r="G170" i="20"/>
  <c r="H167" i="20" l="1"/>
  <c r="H169" i="20"/>
  <c r="H171" i="20"/>
  <c r="H168" i="20"/>
  <c r="H170" i="20"/>
  <c r="I168" i="20" l="1"/>
  <c r="I170" i="20"/>
  <c r="I167" i="20"/>
  <c r="I169" i="20"/>
  <c r="I171" i="20"/>
  <c r="J168" i="20" l="1"/>
  <c r="J170" i="20"/>
  <c r="J167" i="20"/>
  <c r="J169" i="20"/>
  <c r="J171" i="20"/>
  <c r="K167" i="20" l="1"/>
  <c r="K169" i="20"/>
  <c r="K171" i="20"/>
  <c r="K168" i="20"/>
  <c r="K170" i="20"/>
  <c r="L167" i="20" l="1"/>
  <c r="L169" i="20"/>
  <c r="L171" i="20"/>
  <c r="L168" i="20"/>
  <c r="L170" i="20"/>
  <c r="M168" i="20" l="1"/>
  <c r="M170" i="20"/>
  <c r="M167" i="20"/>
  <c r="M169" i="20"/>
  <c r="M171" i="20"/>
  <c r="N168" i="20" l="1"/>
  <c r="N170" i="20"/>
  <c r="N167" i="20"/>
  <c r="N169" i="20"/>
  <c r="N171" i="20"/>
  <c r="O167" i="20" l="1"/>
  <c r="O169" i="20"/>
  <c r="O171" i="20"/>
  <c r="O168" i="20"/>
  <c r="O170" i="20"/>
  <c r="P167" i="20" l="1"/>
  <c r="P169" i="20"/>
  <c r="P171" i="20"/>
  <c r="P168" i="20"/>
  <c r="P170" i="20"/>
  <c r="Q168" i="20" l="1"/>
  <c r="Q170" i="20"/>
  <c r="Q167" i="20"/>
  <c r="Q169" i="20"/>
  <c r="Q171" i="20"/>
  <c r="R168" i="20" l="1"/>
  <c r="R170" i="20"/>
  <c r="R167" i="20"/>
  <c r="R169" i="20"/>
  <c r="R171" i="20"/>
  <c r="S167" i="20" l="1"/>
  <c r="S169" i="20"/>
  <c r="S171" i="20"/>
  <c r="S168" i="20"/>
  <c r="S170" i="20"/>
  <c r="T167" i="20" l="1"/>
  <c r="T169" i="20"/>
  <c r="T171" i="20"/>
  <c r="T168" i="20"/>
  <c r="T170" i="20"/>
  <c r="U168" i="20" l="1"/>
  <c r="U170" i="20"/>
  <c r="U167" i="20"/>
  <c r="U169" i="20"/>
  <c r="U171" i="20"/>
  <c r="V168" i="20" l="1"/>
  <c r="V170" i="20"/>
  <c r="V167" i="20"/>
  <c r="V169" i="20"/>
  <c r="V171" i="20"/>
  <c r="W167" i="20" l="1"/>
  <c r="W169" i="20"/>
  <c r="W171" i="20"/>
  <c r="W168" i="20"/>
  <c r="W170" i="20"/>
  <c r="X167" i="20" l="1"/>
  <c r="X169" i="20"/>
  <c r="X171" i="20"/>
  <c r="X168" i="20"/>
  <c r="X170" i="20"/>
  <c r="Y168" i="20" l="1"/>
  <c r="Y170" i="20"/>
  <c r="Y167" i="20"/>
  <c r="Y169" i="20"/>
  <c r="Y171" i="20"/>
  <c r="Z168" i="20" l="1"/>
  <c r="Z170" i="20"/>
  <c r="Z167" i="20"/>
  <c r="Z169" i="20"/>
  <c r="Z171" i="20"/>
  <c r="AA167" i="20" l="1"/>
  <c r="AA169" i="20"/>
  <c r="AA171" i="20"/>
  <c r="AA168" i="20"/>
  <c r="AA170" i="20"/>
  <c r="AB167" i="20" l="1"/>
  <c r="AB169" i="20"/>
  <c r="AB171" i="20"/>
  <c r="AB168" i="20"/>
  <c r="AB170" i="20"/>
  <c r="AC168" i="20" l="1"/>
  <c r="AC170" i="20"/>
  <c r="AC167" i="20"/>
  <c r="AC169" i="20"/>
  <c r="AC171" i="20"/>
  <c r="AD168" i="20" l="1"/>
  <c r="AD170" i="20"/>
  <c r="AD167" i="20"/>
  <c r="AD169" i="20"/>
  <c r="AD171" i="20"/>
  <c r="AE167" i="20" l="1"/>
  <c r="AE169" i="20"/>
  <c r="AE171" i="20"/>
  <c r="AE168" i="20"/>
  <c r="AE170" i="20"/>
  <c r="AF167" i="20" l="1"/>
  <c r="AF169" i="20"/>
  <c r="AF171" i="20"/>
  <c r="AF168" i="20"/>
  <c r="AF170" i="20"/>
  <c r="AG104" i="38" l="1"/>
  <c r="AG72" i="38"/>
  <c r="AG71" i="38"/>
  <c r="AF95" i="38"/>
  <c r="AF96" i="38"/>
  <c r="AF94" i="38"/>
  <c r="AF71" i="38"/>
  <c r="AF72" i="38"/>
  <c r="AE95" i="38"/>
  <c r="AD102" i="38"/>
  <c r="AE72" i="38"/>
  <c r="AE71" i="38"/>
  <c r="AD95" i="38"/>
  <c r="AD78" i="38"/>
  <c r="AD71" i="38"/>
  <c r="AD72" i="38"/>
  <c r="AC71" i="38"/>
  <c r="AC72" i="38"/>
  <c r="AB79" i="38"/>
  <c r="AB102" i="38"/>
  <c r="AA102" i="38"/>
  <c r="AB71" i="38"/>
  <c r="AB72" i="38"/>
  <c r="AA72" i="38"/>
  <c r="AA71" i="38"/>
  <c r="Z72" i="38"/>
  <c r="Z71" i="38"/>
  <c r="Y94" i="38"/>
  <c r="Y96" i="38"/>
  <c r="Y102" i="38"/>
  <c r="Y79" i="38"/>
  <c r="Y71" i="38"/>
  <c r="Y72" i="38"/>
  <c r="X102" i="38"/>
  <c r="X79" i="38"/>
  <c r="W102" i="38"/>
  <c r="X71" i="38"/>
  <c r="X72" i="38"/>
  <c r="W95" i="38"/>
  <c r="W72" i="38"/>
  <c r="W71" i="38"/>
  <c r="V102" i="38"/>
  <c r="V96" i="38"/>
  <c r="V71" i="38"/>
  <c r="V72" i="38"/>
  <c r="U94" i="38"/>
  <c r="U102" i="38"/>
  <c r="U80" i="38"/>
  <c r="U72" i="38"/>
  <c r="U71" i="38"/>
  <c r="T72" i="38"/>
  <c r="T71" i="38"/>
  <c r="S71" i="38"/>
  <c r="S72" i="38"/>
  <c r="R96" i="38"/>
  <c r="R102" i="38"/>
  <c r="R79" i="38"/>
  <c r="R71" i="38"/>
  <c r="R72" i="38"/>
  <c r="Q96" i="38"/>
  <c r="Q104" i="38"/>
  <c r="Q80" i="38"/>
  <c r="Q72" i="38"/>
  <c r="Q71" i="38"/>
  <c r="P102" i="38"/>
  <c r="P95" i="38"/>
  <c r="P78" i="38"/>
  <c r="P71" i="38"/>
  <c r="P72" i="38"/>
  <c r="O96" i="38"/>
  <c r="O94" i="38"/>
  <c r="O102" i="38"/>
  <c r="O78" i="38"/>
  <c r="O72" i="38"/>
  <c r="O71" i="38"/>
  <c r="N103" i="38"/>
  <c r="N102" i="38"/>
  <c r="N94" i="38"/>
  <c r="N72" i="38"/>
  <c r="N71" i="38"/>
  <c r="M78" i="38"/>
  <c r="M71" i="38"/>
  <c r="M72" i="38"/>
  <c r="L79" i="38"/>
  <c r="L95" i="38"/>
  <c r="L94" i="38"/>
  <c r="L71" i="38"/>
  <c r="L72" i="38"/>
  <c r="K94" i="38"/>
  <c r="K104" i="38"/>
  <c r="J78" i="38"/>
  <c r="K71" i="38"/>
  <c r="K72" i="38"/>
  <c r="J103" i="38"/>
  <c r="J80" i="38"/>
  <c r="J71" i="38"/>
  <c r="J72" i="38"/>
  <c r="I72" i="38"/>
  <c r="I71" i="38"/>
  <c r="H96" i="38"/>
  <c r="H71" i="38"/>
  <c r="H72" i="38"/>
  <c r="G71" i="38"/>
  <c r="G72" i="38"/>
  <c r="F71" i="38"/>
  <c r="F72" i="38"/>
  <c r="E105" i="38"/>
  <c r="E72" i="38"/>
  <c r="E71" i="38"/>
  <c r="D94" i="38"/>
  <c r="D102" i="38"/>
  <c r="D72" i="38"/>
  <c r="D71" i="38"/>
  <c r="C102" i="38"/>
  <c r="C90" i="38"/>
  <c r="F98" i="36" l="1"/>
  <c r="H81" i="38"/>
  <c r="C97" i="38"/>
  <c r="D103" i="38"/>
  <c r="R78" i="38"/>
  <c r="T103" i="38"/>
  <c r="T96" i="38"/>
  <c r="W104" i="38"/>
  <c r="AF79" i="38"/>
  <c r="AG80" i="38"/>
  <c r="AD103" i="38"/>
  <c r="U95" i="38"/>
  <c r="C80" i="38"/>
  <c r="C84" i="38" s="1"/>
  <c r="C96" i="38"/>
  <c r="Q100" i="38" s="1"/>
  <c r="D80" i="38"/>
  <c r="E97" i="38"/>
  <c r="J79" i="38"/>
  <c r="T80" i="38"/>
  <c r="U104" i="38"/>
  <c r="AF90" i="38"/>
  <c r="E78" i="38"/>
  <c r="G79" i="38"/>
  <c r="G105" i="38"/>
  <c r="G96" i="38"/>
  <c r="H78" i="38"/>
  <c r="G102" i="38"/>
  <c r="G106" i="38" s="1"/>
  <c r="H104" i="38"/>
  <c r="H102" i="38"/>
  <c r="H106" i="38" s="1"/>
  <c r="I104" i="38"/>
  <c r="J104" i="38"/>
  <c r="I102" i="38"/>
  <c r="I106" i="38" s="1"/>
  <c r="K95" i="38"/>
  <c r="L90" i="38"/>
  <c r="L104" i="38"/>
  <c r="P80" i="38"/>
  <c r="P79" i="38"/>
  <c r="Q78" i="38"/>
  <c r="R95" i="38"/>
  <c r="S96" i="38"/>
  <c r="W96" i="38"/>
  <c r="H79" i="38"/>
  <c r="F81" i="38"/>
  <c r="F78" i="38"/>
  <c r="F104" i="38"/>
  <c r="G80" i="38"/>
  <c r="G78" i="38"/>
  <c r="H90" i="38"/>
  <c r="H103" i="38"/>
  <c r="I103" i="38"/>
  <c r="J90" i="38"/>
  <c r="J97" i="38"/>
  <c r="J102" i="38"/>
  <c r="J106" i="38" s="1"/>
  <c r="M79" i="38"/>
  <c r="M80" i="38"/>
  <c r="N104" i="38"/>
  <c r="O80" i="38"/>
  <c r="O97" i="38"/>
  <c r="P104" i="38"/>
  <c r="P94" i="38"/>
  <c r="Q103" i="38"/>
  <c r="R90" i="38"/>
  <c r="R94" i="38"/>
  <c r="S95" i="38"/>
  <c r="X78" i="38"/>
  <c r="AA104" i="38"/>
  <c r="H80" i="38"/>
  <c r="S78" i="38"/>
  <c r="Y103" i="38"/>
  <c r="D79" i="38"/>
  <c r="D104" i="38"/>
  <c r="E90" i="38"/>
  <c r="E80" i="38"/>
  <c r="F103" i="38"/>
  <c r="G90" i="38"/>
  <c r="F102" i="38"/>
  <c r="F106" i="38" s="1"/>
  <c r="K79" i="38"/>
  <c r="L96" i="38"/>
  <c r="L78" i="38"/>
  <c r="L103" i="38"/>
  <c r="M90" i="38"/>
  <c r="L102" i="38"/>
  <c r="L106" i="38" s="1"/>
  <c r="O79" i="38"/>
  <c r="O90" i="38"/>
  <c r="O103" i="38"/>
  <c r="P90" i="38"/>
  <c r="R103" i="38"/>
  <c r="S90" i="38"/>
  <c r="S104" i="38"/>
  <c r="T104" i="38"/>
  <c r="U96" i="38"/>
  <c r="V103" i="38"/>
  <c r="X80" i="38"/>
  <c r="Y104" i="38"/>
  <c r="AD96" i="38"/>
  <c r="AD104" i="38"/>
  <c r="AE103" i="38"/>
  <c r="F90" i="38"/>
  <c r="K90" i="38"/>
  <c r="U106" i="38"/>
  <c r="C106" i="38"/>
  <c r="D106" i="38"/>
  <c r="I90" i="38"/>
  <c r="N81" i="38"/>
  <c r="N80" i="38"/>
  <c r="R106" i="38"/>
  <c r="C78" i="38"/>
  <c r="O82" i="38" s="1"/>
  <c r="C148" i="38"/>
  <c r="C105" i="38"/>
  <c r="C165" i="38"/>
  <c r="AC97" i="38"/>
  <c r="Z97" i="38"/>
  <c r="U97" i="38"/>
  <c r="P97" i="38"/>
  <c r="AB97" i="38"/>
  <c r="C95" i="38"/>
  <c r="L99" i="38" s="1"/>
  <c r="C157" i="38"/>
  <c r="D90" i="38"/>
  <c r="D81" i="38"/>
  <c r="D105" i="38"/>
  <c r="D97" i="38"/>
  <c r="D78" i="38"/>
  <c r="E79" i="38"/>
  <c r="E95" i="38"/>
  <c r="E104" i="38"/>
  <c r="E103" i="38"/>
  <c r="F80" i="38"/>
  <c r="F95" i="38"/>
  <c r="F94" i="38"/>
  <c r="F97" i="38"/>
  <c r="F105" i="38"/>
  <c r="G81" i="38"/>
  <c r="H97" i="38"/>
  <c r="I78" i="38"/>
  <c r="I80" i="38"/>
  <c r="I79" i="38"/>
  <c r="I81" i="38"/>
  <c r="I105" i="38"/>
  <c r="J81" i="38"/>
  <c r="K81" i="38"/>
  <c r="K102" i="38"/>
  <c r="K106" i="38" s="1"/>
  <c r="K105" i="38"/>
  <c r="M81" i="38"/>
  <c r="M96" i="38"/>
  <c r="M94" i="38"/>
  <c r="M95" i="38"/>
  <c r="M97" i="38"/>
  <c r="N78" i="38"/>
  <c r="O81" i="38"/>
  <c r="AE78" i="38"/>
  <c r="AE79" i="38"/>
  <c r="AE90" i="38"/>
  <c r="AE80" i="38"/>
  <c r="AE81" i="38"/>
  <c r="M103" i="38"/>
  <c r="M104" i="38"/>
  <c r="M105" i="38"/>
  <c r="N79" i="38"/>
  <c r="M102" i="38"/>
  <c r="M106" i="38" s="1"/>
  <c r="C238" i="38"/>
  <c r="C104" i="38"/>
  <c r="C103" i="38"/>
  <c r="D96" i="38"/>
  <c r="E94" i="38"/>
  <c r="E96" i="38"/>
  <c r="F238" i="38"/>
  <c r="F79" i="38"/>
  <c r="F96" i="38"/>
  <c r="E102" i="38"/>
  <c r="E106" i="38" s="1"/>
  <c r="G104" i="38"/>
  <c r="G97" i="38"/>
  <c r="H105" i="38"/>
  <c r="I97" i="38"/>
  <c r="I94" i="38"/>
  <c r="I95" i="38"/>
  <c r="I96" i="38"/>
  <c r="J105" i="38"/>
  <c r="K103" i="38"/>
  <c r="K97" i="38"/>
  <c r="N106" i="38"/>
  <c r="O106" i="38"/>
  <c r="U81" i="38"/>
  <c r="AF81" i="38"/>
  <c r="AB81" i="38"/>
  <c r="Z81" i="38"/>
  <c r="V81" i="38"/>
  <c r="W81" i="38"/>
  <c r="AD81" i="38"/>
  <c r="C79" i="38"/>
  <c r="R83" i="38" s="1"/>
  <c r="C81" i="38"/>
  <c r="AE105" i="38"/>
  <c r="AB105" i="38"/>
  <c r="X105" i="38"/>
  <c r="V105" i="38"/>
  <c r="U105" i="38"/>
  <c r="T105" i="38"/>
  <c r="S105" i="38"/>
  <c r="R105" i="38"/>
  <c r="D95" i="38"/>
  <c r="E81" i="38"/>
  <c r="G103" i="38"/>
  <c r="G94" i="38"/>
  <c r="G95" i="38"/>
  <c r="H95" i="38"/>
  <c r="H94" i="38"/>
  <c r="J96" i="38"/>
  <c r="J94" i="38"/>
  <c r="J95" i="38"/>
  <c r="K238" i="38"/>
  <c r="K80" i="38"/>
  <c r="K78" i="38"/>
  <c r="L81" i="38"/>
  <c r="L105" i="38"/>
  <c r="N90" i="38"/>
  <c r="N97" i="38"/>
  <c r="N95" i="38"/>
  <c r="N96" i="38"/>
  <c r="O105" i="38"/>
  <c r="R97" i="38"/>
  <c r="S97" i="38"/>
  <c r="T90" i="38"/>
  <c r="AA106" i="38"/>
  <c r="J238" i="38"/>
  <c r="K96" i="38"/>
  <c r="L97" i="38"/>
  <c r="L80" i="38"/>
  <c r="N105" i="38"/>
  <c r="P81" i="38"/>
  <c r="P106" i="38"/>
  <c r="R81" i="38"/>
  <c r="T81" i="38"/>
  <c r="Y90" i="38"/>
  <c r="AF97" i="38"/>
  <c r="AF102" i="38"/>
  <c r="AF106" i="38" s="1"/>
  <c r="AF104" i="38"/>
  <c r="AF105" i="38"/>
  <c r="AF103" i="38"/>
  <c r="P105" i="38"/>
  <c r="T97" i="38"/>
  <c r="AA94" i="38"/>
  <c r="AA97" i="38"/>
  <c r="AA96" i="38"/>
  <c r="AA95" i="38"/>
  <c r="M238" i="38"/>
  <c r="O104" i="38"/>
  <c r="O95" i="38"/>
  <c r="Q90" i="38"/>
  <c r="Q81" i="38"/>
  <c r="Q105" i="38"/>
  <c r="Q97" i="38"/>
  <c r="S80" i="38"/>
  <c r="S81" i="38"/>
  <c r="U79" i="38"/>
  <c r="W238" i="38"/>
  <c r="W79" i="38"/>
  <c r="W90" i="38"/>
  <c r="W80" i="38"/>
  <c r="V106" i="38"/>
  <c r="Y81" i="38"/>
  <c r="Y106" i="38"/>
  <c r="Z102" i="38"/>
  <c r="Z106" i="38" s="1"/>
  <c r="Z103" i="38"/>
  <c r="Z104" i="38"/>
  <c r="Z105" i="38"/>
  <c r="AA90" i="38"/>
  <c r="AA238" i="38"/>
  <c r="AA81" i="38"/>
  <c r="AA80" i="38"/>
  <c r="AB106" i="38"/>
  <c r="AC105" i="38"/>
  <c r="AC102" i="38"/>
  <c r="AC106" i="38" s="1"/>
  <c r="Q102" i="38"/>
  <c r="Q106" i="38" s="1"/>
  <c r="S103" i="38"/>
  <c r="S94" i="38"/>
  <c r="T79" i="38"/>
  <c r="T238" i="38"/>
  <c r="S102" i="38"/>
  <c r="S106" i="38" s="1"/>
  <c r="T95" i="38"/>
  <c r="T94" i="38"/>
  <c r="T78" i="38"/>
  <c r="U78" i="38"/>
  <c r="T102" i="38"/>
  <c r="T106" i="38" s="1"/>
  <c r="V95" i="38"/>
  <c r="V97" i="38"/>
  <c r="V104" i="38"/>
  <c r="W78" i="38"/>
  <c r="W106" i="38"/>
  <c r="X95" i="38"/>
  <c r="X96" i="38"/>
  <c r="X94" i="38"/>
  <c r="X106" i="38"/>
  <c r="AC238" i="38"/>
  <c r="AC81" i="38"/>
  <c r="AC80" i="38"/>
  <c r="AC90" i="38"/>
  <c r="AC79" i="38"/>
  <c r="AC104" i="38"/>
  <c r="P96" i="38"/>
  <c r="P103" i="38"/>
  <c r="Q79" i="38"/>
  <c r="Q95" i="38"/>
  <c r="Q94" i="38"/>
  <c r="R80" i="38"/>
  <c r="R104" i="38"/>
  <c r="S238" i="38"/>
  <c r="S79" i="38"/>
  <c r="U90" i="38"/>
  <c r="U103" i="38"/>
  <c r="V79" i="38"/>
  <c r="V90" i="38"/>
  <c r="V238" i="38"/>
  <c r="V78" i="38"/>
  <c r="V80" i="38"/>
  <c r="V94" i="38"/>
  <c r="W94" i="38"/>
  <c r="W97" i="38"/>
  <c r="X97" i="38"/>
  <c r="Y97" i="38"/>
  <c r="AA79" i="38"/>
  <c r="AA78" i="38"/>
  <c r="AB94" i="38"/>
  <c r="AB96" i="38"/>
  <c r="AB95" i="38"/>
  <c r="AC78" i="38"/>
  <c r="AC94" i="38"/>
  <c r="AC95" i="38"/>
  <c r="AC96" i="38"/>
  <c r="AC103" i="38"/>
  <c r="W105" i="38"/>
  <c r="X104" i="38"/>
  <c r="Y78" i="38"/>
  <c r="Y80" i="38"/>
  <c r="Y95" i="38"/>
  <c r="Z238" i="38"/>
  <c r="Z79" i="38"/>
  <c r="Z96" i="38"/>
  <c r="Z94" i="38"/>
  <c r="AA103" i="38"/>
  <c r="AB104" i="38"/>
  <c r="AB103" i="38"/>
  <c r="AB80" i="38"/>
  <c r="AB90" i="38"/>
  <c r="AD90" i="38"/>
  <c r="AD80" i="38"/>
  <c r="AD94" i="38"/>
  <c r="AE96" i="38"/>
  <c r="AG94" i="38"/>
  <c r="AG96" i="38"/>
  <c r="AG95" i="38"/>
  <c r="X90" i="38"/>
  <c r="X81" i="38"/>
  <c r="X103" i="38"/>
  <c r="Z80" i="38"/>
  <c r="Z95" i="38"/>
  <c r="AB78" i="38"/>
  <c r="AD79" i="38"/>
  <c r="AD97" i="38"/>
  <c r="AE94" i="38"/>
  <c r="AE97" i="38"/>
  <c r="AG103" i="38"/>
  <c r="AG102" i="38"/>
  <c r="AG106" i="38" s="1"/>
  <c r="AG105" i="38"/>
  <c r="AG97" i="38"/>
  <c r="W103" i="38"/>
  <c r="X238" i="38"/>
  <c r="Y105" i="38"/>
  <c r="Z78" i="38"/>
  <c r="Z90" i="38"/>
  <c r="AA105" i="38"/>
  <c r="AD106" i="38"/>
  <c r="AD105" i="38"/>
  <c r="AG238" i="38"/>
  <c r="AG79" i="38"/>
  <c r="AG90" i="38"/>
  <c r="AG78" i="38"/>
  <c r="AG81" i="38"/>
  <c r="AF78" i="38"/>
  <c r="AE102" i="38"/>
  <c r="AE106" i="38" s="1"/>
  <c r="AE104" i="38"/>
  <c r="AF80" i="38"/>
  <c r="H100" i="38" l="1"/>
  <c r="AL98" i="36"/>
  <c r="L100" i="38"/>
  <c r="AA83" i="38"/>
  <c r="AH107" i="36"/>
  <c r="X98" i="36"/>
  <c r="W107" i="36"/>
  <c r="AD98" i="36"/>
  <c r="N106" i="36"/>
  <c r="AG98" i="36"/>
  <c r="Q91" i="36"/>
  <c r="L106" i="36"/>
  <c r="W98" i="36"/>
  <c r="W91" i="36"/>
  <c r="I107" i="36"/>
  <c r="AC107" i="36"/>
  <c r="AD107" i="36"/>
  <c r="I91" i="36"/>
  <c r="Z98" i="36"/>
  <c r="AH98" i="36"/>
  <c r="AA106" i="36"/>
  <c r="X107" i="36"/>
  <c r="T106" i="36"/>
  <c r="AD91" i="36"/>
  <c r="U106" i="36"/>
  <c r="R107" i="36"/>
  <c r="U107" i="36"/>
  <c r="U91" i="36"/>
  <c r="O98" i="36"/>
  <c r="T107" i="36"/>
  <c r="M91" i="36"/>
  <c r="T98" i="36"/>
  <c r="Y98" i="36"/>
  <c r="AA91" i="36"/>
  <c r="K98" i="36"/>
  <c r="J107" i="36"/>
  <c r="G106" i="36"/>
  <c r="P91" i="36"/>
  <c r="L98" i="36"/>
  <c r="K91" i="36"/>
  <c r="H91" i="36"/>
  <c r="E107" i="36"/>
  <c r="Q107" i="36"/>
  <c r="O91" i="36"/>
  <c r="G91" i="36"/>
  <c r="H98" i="36"/>
  <c r="F107" i="36"/>
  <c r="AF107" i="36"/>
  <c r="Y91" i="36"/>
  <c r="Y107" i="36"/>
  <c r="AB106" i="36"/>
  <c r="X106" i="36"/>
  <c r="M107" i="36"/>
  <c r="M98" i="36"/>
  <c r="S98" i="36"/>
  <c r="D91" i="36"/>
  <c r="V91" i="36"/>
  <c r="N107" i="36"/>
  <c r="G107" i="36"/>
  <c r="P107" i="36"/>
  <c r="AH91" i="36"/>
  <c r="AH106" i="36"/>
  <c r="AB98" i="36"/>
  <c r="Y106" i="36"/>
  <c r="AE107" i="36"/>
  <c r="Z84" i="38"/>
  <c r="AB84" i="38"/>
  <c r="W106" i="36"/>
  <c r="AD106" i="36"/>
  <c r="AA98" i="36"/>
  <c r="R98" i="36"/>
  <c r="Q98" i="36"/>
  <c r="S91" i="36"/>
  <c r="K106" i="36"/>
  <c r="S107" i="36"/>
  <c r="O107" i="36"/>
  <c r="F91" i="36"/>
  <c r="U98" i="36"/>
  <c r="AC98" i="36"/>
  <c r="AE91" i="36"/>
  <c r="AC91" i="36"/>
  <c r="I98" i="36"/>
  <c r="AF91" i="36"/>
  <c r="J98" i="36"/>
  <c r="E98" i="36"/>
  <c r="V107" i="36"/>
  <c r="D98" i="36"/>
  <c r="D106" i="36"/>
  <c r="N91" i="36"/>
  <c r="AE98" i="36"/>
  <c r="Z107" i="36"/>
  <c r="AB91" i="36"/>
  <c r="Z91" i="36"/>
  <c r="T91" i="36"/>
  <c r="R91" i="36"/>
  <c r="AB107" i="36"/>
  <c r="AG107" i="36"/>
  <c r="P98" i="36"/>
  <c r="V98" i="36"/>
  <c r="AF98" i="36"/>
  <c r="X91" i="36"/>
  <c r="AG91" i="36"/>
  <c r="L107" i="36"/>
  <c r="H107" i="36"/>
  <c r="N98" i="36"/>
  <c r="L91" i="36"/>
  <c r="J91" i="36"/>
  <c r="G98" i="36"/>
  <c r="E91" i="36"/>
  <c r="AA107" i="36"/>
  <c r="K107" i="36"/>
  <c r="D107" i="36"/>
  <c r="X107" i="38"/>
  <c r="AB107" i="38"/>
  <c r="P107" i="38"/>
  <c r="Y99" i="38"/>
  <c r="AC99" i="38"/>
  <c r="D99" i="38"/>
  <c r="BN98" i="36"/>
  <c r="AD99" i="38"/>
  <c r="AF99" i="38"/>
  <c r="R107" i="38"/>
  <c r="AF84" i="38"/>
  <c r="U84" i="38"/>
  <c r="I84" i="38"/>
  <c r="O84" i="38"/>
  <c r="P84" i="38"/>
  <c r="W84" i="38"/>
  <c r="AD82" i="38"/>
  <c r="AE84" i="38"/>
  <c r="J84" i="38"/>
  <c r="M84" i="38"/>
  <c r="P83" i="38"/>
  <c r="T84" i="38"/>
  <c r="S84" i="38"/>
  <c r="L84" i="38"/>
  <c r="N84" i="38"/>
  <c r="X84" i="38"/>
  <c r="H84" i="38"/>
  <c r="Q84" i="38"/>
  <c r="AD84" i="38"/>
  <c r="R84" i="38"/>
  <c r="U238" i="38"/>
  <c r="AA84" i="38"/>
  <c r="K84" i="38"/>
  <c r="AE238" i="38"/>
  <c r="Q238" i="38"/>
  <c r="AB238" i="38"/>
  <c r="G238" i="38"/>
  <c r="H238" i="38"/>
  <c r="L238" i="38"/>
  <c r="O238" i="38"/>
  <c r="E238" i="38"/>
  <c r="AD238" i="38"/>
  <c r="I238" i="38"/>
  <c r="N238" i="38"/>
  <c r="R238" i="38"/>
  <c r="Y238" i="38"/>
  <c r="D238" i="38"/>
  <c r="AF238" i="38"/>
  <c r="P238" i="38"/>
  <c r="AF100" i="38"/>
  <c r="AG100" i="38"/>
  <c r="Z100" i="38"/>
  <c r="AB100" i="38"/>
  <c r="S83" i="38"/>
  <c r="X100" i="38"/>
  <c r="U83" i="38"/>
  <c r="U100" i="38"/>
  <c r="AB83" i="38"/>
  <c r="I100" i="38"/>
  <c r="E100" i="38"/>
  <c r="C100" i="38"/>
  <c r="M100" i="38"/>
  <c r="Y84" i="38"/>
  <c r="V84" i="38"/>
  <c r="P100" i="38"/>
  <c r="AC84" i="38"/>
  <c r="N100" i="38"/>
  <c r="J100" i="38"/>
  <c r="F100" i="38"/>
  <c r="F84" i="38"/>
  <c r="E84" i="38"/>
  <c r="G84" i="38"/>
  <c r="Y92" i="38"/>
  <c r="D84" i="38"/>
  <c r="Q107" i="38"/>
  <c r="AG84" i="38"/>
  <c r="AB82" i="38"/>
  <c r="AG82" i="38"/>
  <c r="AE100" i="38"/>
  <c r="AA107" i="38"/>
  <c r="U107" i="38"/>
  <c r="Z107" i="38"/>
  <c r="R100" i="38"/>
  <c r="N107" i="38"/>
  <c r="T100" i="38"/>
  <c r="K82" i="38"/>
  <c r="J107" i="38"/>
  <c r="D100" i="38"/>
  <c r="K92" i="38"/>
  <c r="S100" i="38"/>
  <c r="P82" i="38"/>
  <c r="P92" i="38"/>
  <c r="W107" i="38"/>
  <c r="AF107" i="38"/>
  <c r="G107" i="38"/>
  <c r="N98" i="38"/>
  <c r="C192" i="38"/>
  <c r="C200" i="38"/>
  <c r="C208" i="38"/>
  <c r="Y91" i="38"/>
  <c r="U99" i="38"/>
  <c r="AD107" i="38"/>
  <c r="V107" i="38"/>
  <c r="Y107" i="38"/>
  <c r="D82" i="38"/>
  <c r="G100" i="38"/>
  <c r="AC92" i="38"/>
  <c r="AF92" i="38"/>
  <c r="AG83" i="38"/>
  <c r="AG107" i="38"/>
  <c r="AD83" i="38"/>
  <c r="Z83" i="38"/>
  <c r="X92" i="38"/>
  <c r="AC107" i="38"/>
  <c r="V83" i="38"/>
  <c r="S91" i="38"/>
  <c r="AA92" i="38"/>
  <c r="V99" i="38"/>
  <c r="T99" i="38"/>
  <c r="T91" i="38"/>
  <c r="W83" i="38"/>
  <c r="R92" i="38"/>
  <c r="AE92" i="38"/>
  <c r="I92" i="38"/>
  <c r="AF83" i="38"/>
  <c r="N92" i="38"/>
  <c r="Q83" i="38"/>
  <c r="AC83" i="38"/>
  <c r="Y83" i="38"/>
  <c r="T83" i="38"/>
  <c r="S107" i="38"/>
  <c r="O99" i="38"/>
  <c r="T107" i="38"/>
  <c r="X83" i="38"/>
  <c r="L92" i="38"/>
  <c r="K107" i="38"/>
  <c r="Z99" i="38"/>
  <c r="Q99" i="38"/>
  <c r="W99" i="38"/>
  <c r="O108" i="38"/>
  <c r="AA99" i="38"/>
  <c r="R99" i="38"/>
  <c r="N99" i="38"/>
  <c r="J99" i="38"/>
  <c r="G99" i="38"/>
  <c r="I99" i="38"/>
  <c r="AC108" i="38"/>
  <c r="D91" i="38"/>
  <c r="AG99" i="38"/>
  <c r="AB99" i="38"/>
  <c r="X99" i="38"/>
  <c r="AE99" i="38"/>
  <c r="S99" i="38"/>
  <c r="H99" i="38"/>
  <c r="M99" i="38"/>
  <c r="F99" i="38"/>
  <c r="E99" i="38"/>
  <c r="C156" i="38"/>
  <c r="L108" i="38"/>
  <c r="AE108" i="38"/>
  <c r="AB108" i="38"/>
  <c r="R108" i="38"/>
  <c r="Z108" i="38"/>
  <c r="AF108" i="38"/>
  <c r="G108" i="38"/>
  <c r="T108" i="38"/>
  <c r="V108" i="38"/>
  <c r="AG108" i="38"/>
  <c r="X108" i="38"/>
  <c r="AA108" i="38"/>
  <c r="AD108" i="38"/>
  <c r="AE107" i="38"/>
  <c r="Y108" i="38"/>
  <c r="U108" i="38"/>
  <c r="AD98" i="38"/>
  <c r="AB98" i="38"/>
  <c r="Y98" i="38"/>
  <c r="R98" i="38"/>
  <c r="AG98" i="38"/>
  <c r="J98" i="38"/>
  <c r="T98" i="38"/>
  <c r="S98" i="38"/>
  <c r="R82" i="38"/>
  <c r="Q92" i="38"/>
  <c r="AE98" i="38"/>
  <c r="V98" i="38"/>
  <c r="H82" i="38"/>
  <c r="H92" i="38"/>
  <c r="AD92" i="38"/>
  <c r="X91" i="38"/>
  <c r="AG92" i="38"/>
  <c r="Y82" i="38"/>
  <c r="AC100" i="38"/>
  <c r="AC82" i="38"/>
  <c r="W98" i="38"/>
  <c r="Y100" i="38"/>
  <c r="U82" i="38"/>
  <c r="V100" i="38"/>
  <c r="O92" i="38"/>
  <c r="AA98" i="38"/>
  <c r="O98" i="38"/>
  <c r="M82" i="38"/>
  <c r="L98" i="38"/>
  <c r="H98" i="38"/>
  <c r="AD100" i="38"/>
  <c r="G92" i="38"/>
  <c r="AE82" i="38"/>
  <c r="N82" i="38"/>
  <c r="D92" i="38"/>
  <c r="O100" i="38"/>
  <c r="AF82" i="38"/>
  <c r="Z82" i="38"/>
  <c r="AF98" i="38"/>
  <c r="Z98" i="38"/>
  <c r="AC98" i="38"/>
  <c r="AA82" i="38"/>
  <c r="E98" i="38"/>
  <c r="Z92" i="38"/>
  <c r="X82" i="38"/>
  <c r="V82" i="38"/>
  <c r="S92" i="38"/>
  <c r="Q98" i="38"/>
  <c r="AB92" i="38"/>
  <c r="X98" i="38"/>
  <c r="W82" i="38"/>
  <c r="T82" i="38"/>
  <c r="T92" i="38"/>
  <c r="W92" i="38"/>
  <c r="AA100" i="38"/>
  <c r="U92" i="38"/>
  <c r="W100" i="38"/>
  <c r="K100" i="38"/>
  <c r="S82" i="38"/>
  <c r="G98" i="38"/>
  <c r="H83" i="38"/>
  <c r="I98" i="38"/>
  <c r="Z91" i="38"/>
  <c r="V91" i="38"/>
  <c r="AD91" i="38"/>
  <c r="AC91" i="38"/>
  <c r="M91" i="38"/>
  <c r="C164" i="38"/>
  <c r="J91" i="38"/>
  <c r="K91" i="38"/>
  <c r="J82" i="38"/>
  <c r="Q82" i="38"/>
  <c r="AG91" i="38"/>
  <c r="U91" i="38"/>
  <c r="AB91" i="38"/>
  <c r="AA91" i="38"/>
  <c r="W91" i="38"/>
  <c r="I82" i="38"/>
  <c r="C155" i="38"/>
  <c r="AG138" i="38"/>
  <c r="T138" i="38"/>
  <c r="S138" i="38"/>
  <c r="AF138" i="38"/>
  <c r="C147" i="38"/>
  <c r="O138" i="38"/>
  <c r="F91" i="38"/>
  <c r="C107" i="38"/>
  <c r="L107" i="38"/>
  <c r="I107" i="38"/>
  <c r="H107" i="38"/>
  <c r="M108" i="38"/>
  <c r="L83" i="38"/>
  <c r="S108" i="38"/>
  <c r="F98" i="38"/>
  <c r="E108" i="38"/>
  <c r="D108" i="38"/>
  <c r="L91" i="38"/>
  <c r="J92" i="38"/>
  <c r="E92" i="38"/>
  <c r="X138" i="38"/>
  <c r="W138" i="38"/>
  <c r="Q138" i="38"/>
  <c r="AA138" i="38"/>
  <c r="O83" i="38"/>
  <c r="M83" i="38"/>
  <c r="J83" i="38"/>
  <c r="G83" i="38"/>
  <c r="C83" i="38"/>
  <c r="D83" i="38"/>
  <c r="N138" i="38"/>
  <c r="E138" i="38"/>
  <c r="Q108" i="38"/>
  <c r="C108" i="38"/>
  <c r="J108" i="38"/>
  <c r="F108" i="38"/>
  <c r="P108" i="38"/>
  <c r="N108" i="38"/>
  <c r="K108" i="38"/>
  <c r="W108" i="38"/>
  <c r="M138" i="38"/>
  <c r="M107" i="38"/>
  <c r="K83" i="38"/>
  <c r="O107" i="38"/>
  <c r="M98" i="38"/>
  <c r="K98" i="38"/>
  <c r="G91" i="38"/>
  <c r="C82" i="38"/>
  <c r="L82" i="38"/>
  <c r="G82" i="38"/>
  <c r="F107" i="38"/>
  <c r="D138" i="38"/>
  <c r="J138" i="38"/>
  <c r="I108" i="38"/>
  <c r="E82" i="38"/>
  <c r="D107" i="38"/>
  <c r="AD138" i="38"/>
  <c r="AB138" i="38"/>
  <c r="Y138" i="38"/>
  <c r="V138" i="38"/>
  <c r="I138" i="38"/>
  <c r="H138" i="38"/>
  <c r="F83" i="38"/>
  <c r="P98" i="38"/>
  <c r="C98" i="38"/>
  <c r="C163" i="38"/>
  <c r="U98" i="38"/>
  <c r="N83" i="38"/>
  <c r="H91" i="38"/>
  <c r="AE83" i="38"/>
  <c r="K138" i="38"/>
  <c r="K99" i="38"/>
  <c r="P99" i="38"/>
  <c r="C99" i="38"/>
  <c r="V92" i="38"/>
  <c r="C92" i="38"/>
  <c r="M92" i="38"/>
  <c r="R138" i="38"/>
  <c r="N91" i="38"/>
  <c r="G138" i="38"/>
  <c r="F92" i="38"/>
  <c r="I91" i="38"/>
  <c r="D98" i="38"/>
  <c r="AE138" i="38"/>
  <c r="AC138" i="38"/>
  <c r="Z138" i="38"/>
  <c r="P138" i="38"/>
  <c r="AF91" i="38"/>
  <c r="R91" i="38"/>
  <c r="Q91" i="38"/>
  <c r="O91" i="38"/>
  <c r="E91" i="38"/>
  <c r="C91" i="38"/>
  <c r="AE91" i="38"/>
  <c r="P91" i="38"/>
  <c r="L138" i="38"/>
  <c r="I83" i="38"/>
  <c r="E107" i="38"/>
  <c r="E83" i="38"/>
  <c r="C149" i="38"/>
  <c r="F138" i="38"/>
  <c r="U138" i="38"/>
  <c r="F82" i="38"/>
  <c r="H108" i="38"/>
  <c r="AD73" i="38"/>
  <c r="AC73" i="38"/>
  <c r="K73" i="38"/>
  <c r="C73" i="38"/>
  <c r="O73" i="38"/>
  <c r="AK91" i="36" l="1"/>
  <c r="AQ107" i="36"/>
  <c r="AR107" i="36"/>
  <c r="AX91" i="36"/>
  <c r="AJ98" i="36"/>
  <c r="BI98" i="36"/>
  <c r="AX98" i="36"/>
  <c r="BH98" i="36"/>
  <c r="AY98" i="36"/>
  <c r="AL107" i="36"/>
  <c r="AR98" i="36"/>
  <c r="AS91" i="36"/>
  <c r="AO107" i="36"/>
  <c r="BC107" i="36"/>
  <c r="BC98" i="36"/>
  <c r="AM106" i="36"/>
  <c r="BG107" i="36"/>
  <c r="BM91" i="36"/>
  <c r="AZ91" i="36"/>
  <c r="BB107" i="36"/>
  <c r="BG98" i="36"/>
  <c r="AS98" i="36"/>
  <c r="AN98" i="36"/>
  <c r="AV91" i="36"/>
  <c r="AZ107" i="36"/>
  <c r="BD107" i="36"/>
  <c r="BC91" i="36"/>
  <c r="BD98" i="36"/>
  <c r="AK98" i="36"/>
  <c r="AM91" i="36"/>
  <c r="AM98" i="36"/>
  <c r="BL98" i="36"/>
  <c r="BH91" i="36"/>
  <c r="AP98" i="36"/>
  <c r="AU107" i="36"/>
  <c r="AV107" i="36"/>
  <c r="AU91" i="36"/>
  <c r="AP107" i="36"/>
  <c r="BA91" i="36"/>
  <c r="AP91" i="36"/>
  <c r="BF107" i="36"/>
  <c r="BL91" i="36"/>
  <c r="AY107" i="36"/>
  <c r="AM107" i="36"/>
  <c r="AW107" i="36"/>
  <c r="AQ98" i="36"/>
  <c r="BA107" i="36"/>
  <c r="BF98" i="36"/>
  <c r="AW91" i="36"/>
  <c r="AL91" i="36"/>
  <c r="AU98" i="36"/>
  <c r="AR91" i="36"/>
  <c r="AV98" i="36"/>
  <c r="BK98" i="36"/>
  <c r="AO98" i="36"/>
  <c r="AT107" i="36"/>
  <c r="BE107" i="36"/>
  <c r="AK107" i="36"/>
  <c r="BG91" i="36"/>
  <c r="AX107" i="36"/>
  <c r="AO91" i="36"/>
  <c r="BM98" i="36"/>
  <c r="BD91" i="36"/>
  <c r="BN91" i="36"/>
  <c r="AS107" i="36"/>
  <c r="BA98" i="36"/>
  <c r="AT98" i="36"/>
  <c r="BM107" i="36"/>
  <c r="AT91" i="36"/>
  <c r="BI91" i="36"/>
  <c r="AY91" i="36"/>
  <c r="BK107" i="36"/>
  <c r="BB91" i="36"/>
  <c r="BE91" i="36"/>
  <c r="AN91" i="36"/>
  <c r="BE98" i="36"/>
  <c r="BJ107" i="36"/>
  <c r="BF91" i="36"/>
  <c r="BN107" i="36"/>
  <c r="AJ107" i="36"/>
  <c r="AN107" i="36"/>
  <c r="BH107" i="36"/>
  <c r="AJ106" i="36"/>
  <c r="BK91" i="36"/>
  <c r="AJ91" i="36"/>
  <c r="BL107" i="36"/>
  <c r="AQ91" i="36"/>
  <c r="AZ98" i="36"/>
  <c r="BJ91" i="36"/>
  <c r="BI107" i="36"/>
  <c r="BJ98" i="36"/>
  <c r="BA106" i="36"/>
  <c r="BH106" i="36"/>
  <c r="Q113" i="36"/>
  <c r="AH109" i="36"/>
  <c r="AD113" i="36"/>
  <c r="AB113" i="36"/>
  <c r="AW98" i="36"/>
  <c r="AK113" i="36"/>
  <c r="AL113" i="36"/>
  <c r="AS113" i="36"/>
  <c r="T113" i="36"/>
  <c r="R113" i="36"/>
  <c r="BI113" i="36"/>
  <c r="BD106" i="36"/>
  <c r="I113" i="36"/>
  <c r="H113" i="36"/>
  <c r="AU113" i="36"/>
  <c r="AF113" i="36"/>
  <c r="AC113" i="36"/>
  <c r="P113" i="36"/>
  <c r="AG113" i="36"/>
  <c r="W113" i="36"/>
  <c r="U113" i="36"/>
  <c r="BJ106" i="36"/>
  <c r="S113" i="36"/>
  <c r="J113" i="36"/>
  <c r="AA113" i="36"/>
  <c r="Y113" i="36"/>
  <c r="V113" i="36"/>
  <c r="F113" i="36"/>
  <c r="M113" i="36"/>
  <c r="AH113" i="36"/>
  <c r="O113" i="36"/>
  <c r="N113" i="36"/>
  <c r="BB98" i="36"/>
  <c r="BE113" i="36"/>
  <c r="G113" i="36"/>
  <c r="AE113" i="36"/>
  <c r="D109" i="36"/>
  <c r="BM113" i="36"/>
  <c r="L113" i="36"/>
  <c r="BG113" i="36"/>
  <c r="X113" i="36"/>
  <c r="Z113" i="36"/>
  <c r="E113" i="36"/>
  <c r="K113" i="36"/>
  <c r="L77" i="36"/>
  <c r="Q84" i="36"/>
  <c r="R84" i="36"/>
  <c r="AC106" i="36"/>
  <c r="AD77" i="36"/>
  <c r="AC84" i="36"/>
  <c r="U84" i="36"/>
  <c r="E106" i="36"/>
  <c r="J106" i="36"/>
  <c r="M106" i="36"/>
  <c r="R106" i="36"/>
  <c r="V106" i="36"/>
  <c r="L84" i="36"/>
  <c r="O84" i="36"/>
  <c r="P106" i="36"/>
  <c r="V84" i="36"/>
  <c r="I84" i="36"/>
  <c r="X84" i="36"/>
  <c r="P77" i="36"/>
  <c r="AE77" i="36"/>
  <c r="G84" i="36"/>
  <c r="AD84" i="36"/>
  <c r="J84" i="36"/>
  <c r="AE84" i="36"/>
  <c r="K84" i="36"/>
  <c r="N84" i="36"/>
  <c r="Y84" i="36"/>
  <c r="AH84" i="36"/>
  <c r="D100" i="36"/>
  <c r="Z106" i="36"/>
  <c r="AE106" i="36"/>
  <c r="I106" i="36"/>
  <c r="AF106" i="36"/>
  <c r="Z84" i="36"/>
  <c r="T84" i="36"/>
  <c r="AG106" i="36"/>
  <c r="O106" i="36"/>
  <c r="AA84" i="36"/>
  <c r="S84" i="36"/>
  <c r="P84" i="36"/>
  <c r="D77" i="36"/>
  <c r="M84" i="36"/>
  <c r="AF84" i="36"/>
  <c r="H84" i="36"/>
  <c r="W84" i="36"/>
  <c r="E84" i="36"/>
  <c r="F84" i="36"/>
  <c r="AB84" i="36"/>
  <c r="AG84" i="36"/>
  <c r="D90" i="36"/>
  <c r="Q106" i="36"/>
  <c r="S106" i="36"/>
  <c r="F106" i="36"/>
  <c r="H106" i="36"/>
  <c r="BC106" i="36"/>
  <c r="AZ106" i="36"/>
  <c r="AR106" i="36"/>
  <c r="AQ106" i="36"/>
  <c r="AT106" i="36"/>
  <c r="BE106" i="36"/>
  <c r="BN106" i="36"/>
  <c r="Y109" i="36"/>
  <c r="W109" i="36"/>
  <c r="T109" i="36"/>
  <c r="X109" i="36"/>
  <c r="AB109" i="36"/>
  <c r="AD109" i="36"/>
  <c r="U109" i="36"/>
  <c r="G109" i="36"/>
  <c r="K109" i="36"/>
  <c r="C89" i="38"/>
  <c r="C223" i="38"/>
  <c r="K223" i="38"/>
  <c r="K192" i="38"/>
  <c r="M192" i="38"/>
  <c r="H192" i="38"/>
  <c r="Q192" i="38"/>
  <c r="AB192" i="38"/>
  <c r="Y192" i="38"/>
  <c r="E192" i="38"/>
  <c r="F192" i="38"/>
  <c r="P192" i="38"/>
  <c r="G192" i="38"/>
  <c r="AA192" i="38"/>
  <c r="N192" i="38"/>
  <c r="L192" i="38"/>
  <c r="I192" i="38"/>
  <c r="X192" i="38"/>
  <c r="T192" i="38"/>
  <c r="Z192" i="38"/>
  <c r="AD192" i="38"/>
  <c r="AF192" i="38"/>
  <c r="AG192" i="38"/>
  <c r="V192" i="38"/>
  <c r="U192" i="38"/>
  <c r="O192" i="38"/>
  <c r="W192" i="38"/>
  <c r="D192" i="38"/>
  <c r="S192" i="38"/>
  <c r="J192" i="38"/>
  <c r="R192" i="38"/>
  <c r="AE192" i="38"/>
  <c r="AC192" i="38"/>
  <c r="K89" i="38"/>
  <c r="AD89" i="38"/>
  <c r="Z73" i="38"/>
  <c r="F73" i="38"/>
  <c r="O89" i="38"/>
  <c r="AC89" i="38"/>
  <c r="AE73" i="38"/>
  <c r="Q73" i="38"/>
  <c r="S73" i="38"/>
  <c r="V73" i="38"/>
  <c r="P73" i="38"/>
  <c r="D73" i="38"/>
  <c r="T73" i="38"/>
  <c r="L73" i="38"/>
  <c r="I73" i="38"/>
  <c r="J73" i="38"/>
  <c r="M73" i="38"/>
  <c r="AF73" i="38"/>
  <c r="E73" i="38"/>
  <c r="Y73" i="38"/>
  <c r="R73" i="38"/>
  <c r="C71" i="38"/>
  <c r="H73" i="38"/>
  <c r="AA73" i="38"/>
  <c r="G73" i="38"/>
  <c r="AB73" i="38"/>
  <c r="U73" i="38"/>
  <c r="X73" i="38"/>
  <c r="N73" i="38"/>
  <c r="C72" i="38"/>
  <c r="W73" i="38"/>
  <c r="AG73" i="38"/>
  <c r="C70" i="38"/>
  <c r="AZ113" i="36" l="1"/>
  <c r="AJ109" i="36"/>
  <c r="BK113" i="36"/>
  <c r="BL113" i="36"/>
  <c r="AV113" i="36"/>
  <c r="AQ113" i="36"/>
  <c r="AY113" i="36"/>
  <c r="AO113" i="36"/>
  <c r="BA113" i="36"/>
  <c r="AN113" i="36"/>
  <c r="BC113" i="36"/>
  <c r="BJ113" i="36"/>
  <c r="BH113" i="36"/>
  <c r="AL84" i="36"/>
  <c r="AR109" i="36"/>
  <c r="BM84" i="36"/>
  <c r="D79" i="36"/>
  <c r="BL106" i="36"/>
  <c r="K85" i="36"/>
  <c r="AO84" i="36"/>
  <c r="AP106" i="36"/>
  <c r="AR77" i="36"/>
  <c r="BD109" i="36"/>
  <c r="AV106" i="36"/>
  <c r="AZ109" i="36"/>
  <c r="BH84" i="36"/>
  <c r="P85" i="36"/>
  <c r="AO106" i="36"/>
  <c r="AE85" i="36"/>
  <c r="V85" i="36"/>
  <c r="AK106" i="36"/>
  <c r="AY84" i="36"/>
  <c r="AM109" i="36"/>
  <c r="AN106" i="36"/>
  <c r="AK84" i="36"/>
  <c r="BG84" i="36"/>
  <c r="BF106" i="36"/>
  <c r="AD85" i="36"/>
  <c r="AU84" i="36"/>
  <c r="BI84" i="36"/>
  <c r="BN113" i="36"/>
  <c r="AR113" i="36"/>
  <c r="BA109" i="36"/>
  <c r="BH109" i="36"/>
  <c r="BN109" i="36"/>
  <c r="AL106" i="36"/>
  <c r="BC84" i="36"/>
  <c r="AU106" i="36"/>
  <c r="AJ100" i="36"/>
  <c r="G85" i="36"/>
  <c r="AR84" i="36"/>
  <c r="BJ77" i="36"/>
  <c r="AX113" i="36"/>
  <c r="BJ109" i="36"/>
  <c r="AJ111" i="36"/>
  <c r="AE109" i="36"/>
  <c r="BE109" i="36"/>
  <c r="AY106" i="36"/>
  <c r="AN84" i="36"/>
  <c r="AH85" i="36"/>
  <c r="BK77" i="36"/>
  <c r="D111" i="36"/>
  <c r="BD113" i="36"/>
  <c r="BC109" i="36"/>
  <c r="J85" i="36"/>
  <c r="BA84" i="36"/>
  <c r="BB113" i="36"/>
  <c r="AW113" i="36"/>
  <c r="AT109" i="36"/>
  <c r="AW106" i="36"/>
  <c r="BL84" i="36"/>
  <c r="T85" i="36"/>
  <c r="BE84" i="36"/>
  <c r="AV77" i="36"/>
  <c r="AX84" i="36"/>
  <c r="BF113" i="36"/>
  <c r="AQ109" i="36"/>
  <c r="AJ90" i="36"/>
  <c r="AS84" i="36"/>
  <c r="Z85" i="36"/>
  <c r="N85" i="36"/>
  <c r="X85" i="36"/>
  <c r="M109" i="36"/>
  <c r="AW84" i="36"/>
  <c r="AP113" i="36"/>
  <c r="AT113" i="36"/>
  <c r="AM113" i="36"/>
  <c r="J109" i="36"/>
  <c r="I85" i="36"/>
  <c r="L85" i="36"/>
  <c r="AQ84" i="36"/>
  <c r="AM84" i="36"/>
  <c r="BA112" i="36"/>
  <c r="BA110" i="36"/>
  <c r="BA111" i="36"/>
  <c r="BD84" i="36"/>
  <c r="Q85" i="36"/>
  <c r="AT84" i="36"/>
  <c r="O85" i="36"/>
  <c r="BJ84" i="36"/>
  <c r="AS106" i="36"/>
  <c r="R85" i="36"/>
  <c r="BF84" i="36"/>
  <c r="AP84" i="36"/>
  <c r="Y85" i="36"/>
  <c r="BK84" i="36"/>
  <c r="BN84" i="36"/>
  <c r="BK106" i="36"/>
  <c r="P109" i="36"/>
  <c r="U85" i="36"/>
  <c r="D113" i="36"/>
  <c r="AJ110" i="36"/>
  <c r="BD110" i="36"/>
  <c r="AJ112" i="36"/>
  <c r="AG85" i="36"/>
  <c r="AF85" i="36"/>
  <c r="BJ112" i="36"/>
  <c r="D112" i="36"/>
  <c r="BJ110" i="36"/>
  <c r="BD112" i="36"/>
  <c r="BB84" i="36"/>
  <c r="F85" i="36"/>
  <c r="AC85" i="36"/>
  <c r="S85" i="36"/>
  <c r="Q109" i="36"/>
  <c r="W85" i="36"/>
  <c r="AJ77" i="36"/>
  <c r="S109" i="36"/>
  <c r="AV84" i="36"/>
  <c r="H109" i="36"/>
  <c r="AZ84" i="36"/>
  <c r="D110" i="36"/>
  <c r="X77" i="36"/>
  <c r="F77" i="36"/>
  <c r="AF77" i="36"/>
  <c r="W90" i="36"/>
  <c r="AC90" i="36"/>
  <c r="O90" i="36"/>
  <c r="M85" i="36"/>
  <c r="AA85" i="36"/>
  <c r="D92" i="36"/>
  <c r="V77" i="36"/>
  <c r="J77" i="36"/>
  <c r="AF90" i="36"/>
  <c r="AA90" i="36"/>
  <c r="Q90" i="36"/>
  <c r="M77" i="36"/>
  <c r="X90" i="36"/>
  <c r="U90" i="36"/>
  <c r="G90" i="36"/>
  <c r="L97" i="36"/>
  <c r="O77" i="36"/>
  <c r="H77" i="36"/>
  <c r="S77" i="36"/>
  <c r="N77" i="36"/>
  <c r="U77" i="36"/>
  <c r="T77" i="36"/>
  <c r="K90" i="36"/>
  <c r="P90" i="36"/>
  <c r="AG90" i="36"/>
  <c r="Y90" i="36"/>
  <c r="AB90" i="36"/>
  <c r="F90" i="36"/>
  <c r="I90" i="36"/>
  <c r="D97" i="36"/>
  <c r="AB85" i="36"/>
  <c r="E85" i="36"/>
  <c r="H85" i="36"/>
  <c r="I77" i="36"/>
  <c r="Q77" i="36"/>
  <c r="AA77" i="36"/>
  <c r="E90" i="36"/>
  <c r="M90" i="36"/>
  <c r="L90" i="36"/>
  <c r="AC77" i="36"/>
  <c r="AG77" i="36"/>
  <c r="W77" i="36"/>
  <c r="S90" i="36"/>
  <c r="AH90" i="36"/>
  <c r="R90" i="36"/>
  <c r="AH77" i="36"/>
  <c r="Y77" i="36"/>
  <c r="AB77" i="36"/>
  <c r="Z77" i="36"/>
  <c r="K77" i="36"/>
  <c r="E77" i="36"/>
  <c r="R77" i="36"/>
  <c r="G77" i="36"/>
  <c r="AD90" i="36"/>
  <c r="T90" i="36"/>
  <c r="V90" i="36"/>
  <c r="AE90" i="36"/>
  <c r="J90" i="36"/>
  <c r="H90" i="36"/>
  <c r="Z90" i="36"/>
  <c r="N90" i="36"/>
  <c r="AV79" i="36"/>
  <c r="BC111" i="36"/>
  <c r="BC112" i="36"/>
  <c r="BC110" i="36"/>
  <c r="BN112" i="36"/>
  <c r="AR112" i="36"/>
  <c r="AR110" i="36"/>
  <c r="AR111" i="36"/>
  <c r="BE110" i="36"/>
  <c r="BE111" i="36"/>
  <c r="BE112" i="36"/>
  <c r="AQ112" i="36"/>
  <c r="AZ112" i="36"/>
  <c r="AZ110" i="36"/>
  <c r="AZ111" i="36"/>
  <c r="AM111" i="36"/>
  <c r="AM112" i="36"/>
  <c r="AM110" i="36"/>
  <c r="AT110" i="36"/>
  <c r="U110" i="36"/>
  <c r="U112" i="36"/>
  <c r="U111" i="36"/>
  <c r="W111" i="36"/>
  <c r="W110" i="36"/>
  <c r="W112" i="36"/>
  <c r="AD110" i="36"/>
  <c r="AD112" i="36"/>
  <c r="AD111" i="36"/>
  <c r="X112" i="36"/>
  <c r="X110" i="36"/>
  <c r="X111" i="36"/>
  <c r="J111" i="36"/>
  <c r="J110" i="36"/>
  <c r="J112" i="36"/>
  <c r="AH111" i="36"/>
  <c r="AH110" i="36"/>
  <c r="AH112" i="36"/>
  <c r="M110" i="36"/>
  <c r="M112" i="36"/>
  <c r="M111" i="36"/>
  <c r="AE111" i="36"/>
  <c r="AE110" i="36"/>
  <c r="AE112" i="36"/>
  <c r="T110" i="36"/>
  <c r="T112" i="36"/>
  <c r="T111" i="36"/>
  <c r="Y110" i="36"/>
  <c r="Y112" i="36"/>
  <c r="Y111" i="36"/>
  <c r="K111" i="36"/>
  <c r="K110" i="36"/>
  <c r="K112" i="36"/>
  <c r="G111" i="36"/>
  <c r="G110" i="36"/>
  <c r="G112" i="36"/>
  <c r="AB110" i="36"/>
  <c r="AB112" i="36"/>
  <c r="AB111" i="36"/>
  <c r="P92" i="36"/>
  <c r="AJ92" i="36"/>
  <c r="AU85" i="36"/>
  <c r="AR85" i="36"/>
  <c r="BH85" i="36"/>
  <c r="AK85" i="36"/>
  <c r="AN85" i="36"/>
  <c r="BE85" i="36"/>
  <c r="AQ85" i="36"/>
  <c r="BD85" i="36"/>
  <c r="BF85" i="36"/>
  <c r="AL85" i="36"/>
  <c r="BC85" i="36"/>
  <c r="AT85" i="36"/>
  <c r="BK85" i="36"/>
  <c r="AV85" i="36"/>
  <c r="AY85" i="36"/>
  <c r="BB85" i="36"/>
  <c r="Z109" i="36"/>
  <c r="O109" i="36"/>
  <c r="F109" i="36"/>
  <c r="L109" i="36"/>
  <c r="E109" i="36"/>
  <c r="AF109" i="36"/>
  <c r="I109" i="36"/>
  <c r="N109" i="36"/>
  <c r="AV90" i="36"/>
  <c r="BI106" i="36"/>
  <c r="BA85" i="36"/>
  <c r="BB106" i="36"/>
  <c r="AS85" i="36"/>
  <c r="AX106" i="36"/>
  <c r="BM106" i="36"/>
  <c r="BM85" i="36"/>
  <c r="BI85" i="36"/>
  <c r="BA90" i="36"/>
  <c r="K314" i="38"/>
  <c r="K316" i="38" s="1"/>
  <c r="BG106" i="36"/>
  <c r="AG109" i="36"/>
  <c r="R109" i="36"/>
  <c r="AA109" i="36"/>
  <c r="AC109" i="36"/>
  <c r="V109" i="36"/>
  <c r="AC223" i="38"/>
  <c r="AD223" i="38"/>
  <c r="O223" i="38"/>
  <c r="AG89" i="38"/>
  <c r="AG223" i="38"/>
  <c r="J89" i="38"/>
  <c r="J223" i="38"/>
  <c r="E89" i="38"/>
  <c r="E223" i="38"/>
  <c r="Z89" i="38"/>
  <c r="Z223" i="38"/>
  <c r="X89" i="38"/>
  <c r="X223" i="38"/>
  <c r="Y89" i="38"/>
  <c r="Y223" i="38"/>
  <c r="Q89" i="38"/>
  <c r="Q223" i="38"/>
  <c r="W89" i="38"/>
  <c r="W223" i="38"/>
  <c r="H89" i="38"/>
  <c r="H223" i="38"/>
  <c r="P89" i="38"/>
  <c r="P223" i="38"/>
  <c r="AB89" i="38"/>
  <c r="AB223" i="38"/>
  <c r="AF89" i="38"/>
  <c r="AF223" i="38"/>
  <c r="L89" i="38"/>
  <c r="L223" i="38"/>
  <c r="V89" i="38"/>
  <c r="V223" i="38"/>
  <c r="AA89" i="38"/>
  <c r="AA223" i="38"/>
  <c r="D89" i="38"/>
  <c r="D223" i="38"/>
  <c r="F89" i="38"/>
  <c r="F223" i="38"/>
  <c r="U89" i="38"/>
  <c r="U223" i="38"/>
  <c r="I89" i="38"/>
  <c r="I223" i="38"/>
  <c r="AE89" i="38"/>
  <c r="AE223" i="38"/>
  <c r="N89" i="38"/>
  <c r="N223" i="38"/>
  <c r="G89" i="38"/>
  <c r="G223" i="38"/>
  <c r="R89" i="38"/>
  <c r="R223" i="38"/>
  <c r="M89" i="38"/>
  <c r="M223" i="38"/>
  <c r="T89" i="38"/>
  <c r="T223" i="38"/>
  <c r="S89" i="38"/>
  <c r="S223" i="38"/>
  <c r="J140" i="38"/>
  <c r="G140" i="38"/>
  <c r="Y140" i="38"/>
  <c r="AG140" i="38"/>
  <c r="AF140" i="38"/>
  <c r="Q140" i="38"/>
  <c r="AB140" i="38"/>
  <c r="R140" i="38"/>
  <c r="X140" i="38"/>
  <c r="H140" i="38"/>
  <c r="N140" i="38"/>
  <c r="AC140" i="38"/>
  <c r="V140" i="38"/>
  <c r="T140" i="38"/>
  <c r="M140" i="38"/>
  <c r="AA140" i="38"/>
  <c r="K140" i="38"/>
  <c r="Z140" i="38"/>
  <c r="AD140" i="38"/>
  <c r="L140" i="38"/>
  <c r="W140" i="38"/>
  <c r="U140" i="38"/>
  <c r="F140" i="38"/>
  <c r="I140" i="38"/>
  <c r="C140" i="38"/>
  <c r="P140" i="38"/>
  <c r="S140" i="38"/>
  <c r="D140" i="38"/>
  <c r="O140" i="38"/>
  <c r="AE140" i="38"/>
  <c r="E140" i="38"/>
  <c r="R141" i="38"/>
  <c r="AE141" i="38"/>
  <c r="X141" i="38"/>
  <c r="G141" i="38"/>
  <c r="K141" i="38"/>
  <c r="Y141" i="38"/>
  <c r="W141" i="38"/>
  <c r="T141" i="38"/>
  <c r="F141" i="38"/>
  <c r="P141" i="38"/>
  <c r="AB141" i="38"/>
  <c r="D141" i="38"/>
  <c r="E141" i="38"/>
  <c r="AD141" i="38"/>
  <c r="AC141" i="38"/>
  <c r="Z141" i="38"/>
  <c r="O141" i="38"/>
  <c r="M141" i="38"/>
  <c r="V141" i="38"/>
  <c r="S141" i="38"/>
  <c r="H141" i="38"/>
  <c r="AG141" i="38"/>
  <c r="AF141" i="38"/>
  <c r="I141" i="38"/>
  <c r="C141" i="38"/>
  <c r="AA141" i="38"/>
  <c r="N141" i="38"/>
  <c r="Q141" i="38"/>
  <c r="L141" i="38"/>
  <c r="J141" i="38"/>
  <c r="U141" i="38"/>
  <c r="I74" i="38"/>
  <c r="G74" i="38"/>
  <c r="T74" i="38"/>
  <c r="AD74" i="38"/>
  <c r="AC74" i="38"/>
  <c r="X74" i="38"/>
  <c r="P74" i="38"/>
  <c r="C74" i="38"/>
  <c r="Y74" i="38"/>
  <c r="W74" i="38"/>
  <c r="S74" i="38"/>
  <c r="AE74" i="38"/>
  <c r="H74" i="38"/>
  <c r="F74" i="38"/>
  <c r="R74" i="38"/>
  <c r="O74" i="38"/>
  <c r="Q74" i="38"/>
  <c r="N74" i="38"/>
  <c r="D74" i="38"/>
  <c r="U74" i="38"/>
  <c r="Z74" i="38"/>
  <c r="V74" i="38"/>
  <c r="AA74" i="38"/>
  <c r="K74" i="38"/>
  <c r="E74" i="38"/>
  <c r="L74" i="38"/>
  <c r="M74" i="38"/>
  <c r="J74" i="38"/>
  <c r="AF74" i="38"/>
  <c r="AG74" i="38"/>
  <c r="AB74" i="38"/>
  <c r="J139" i="38"/>
  <c r="W139" i="38"/>
  <c r="V139" i="38"/>
  <c r="K139" i="38"/>
  <c r="X139" i="38"/>
  <c r="S139" i="38"/>
  <c r="AA139" i="38"/>
  <c r="N139" i="38"/>
  <c r="P139" i="38"/>
  <c r="U139" i="38"/>
  <c r="AE139" i="38"/>
  <c r="T139" i="38"/>
  <c r="L139" i="38"/>
  <c r="AB139" i="38"/>
  <c r="F139" i="38"/>
  <c r="O139" i="38"/>
  <c r="Z139" i="38"/>
  <c r="AG139" i="38"/>
  <c r="M139" i="38"/>
  <c r="G139" i="38"/>
  <c r="R139" i="38"/>
  <c r="Q139" i="38"/>
  <c r="Y139" i="38"/>
  <c r="D139" i="38"/>
  <c r="E139" i="38"/>
  <c r="AD139" i="38"/>
  <c r="I139" i="38"/>
  <c r="H139" i="38"/>
  <c r="AF139" i="38"/>
  <c r="AC139" i="38"/>
  <c r="N76" i="38"/>
  <c r="AD76" i="38"/>
  <c r="W76" i="38"/>
  <c r="C76" i="38"/>
  <c r="AG76" i="38"/>
  <c r="AC76" i="38"/>
  <c r="J76" i="38"/>
  <c r="V76" i="38"/>
  <c r="K76" i="38"/>
  <c r="G76" i="38"/>
  <c r="O76" i="38"/>
  <c r="H76" i="38"/>
  <c r="E76" i="38"/>
  <c r="R76" i="38"/>
  <c r="F76" i="38"/>
  <c r="S76" i="38"/>
  <c r="AA76" i="38"/>
  <c r="Q76" i="38"/>
  <c r="AB76" i="38"/>
  <c r="AF76" i="38"/>
  <c r="M76" i="38"/>
  <c r="Y76" i="38"/>
  <c r="U76" i="38"/>
  <c r="AE76" i="38"/>
  <c r="D76" i="38"/>
  <c r="L76" i="38"/>
  <c r="P76" i="38"/>
  <c r="I76" i="38"/>
  <c r="T76" i="38"/>
  <c r="X76" i="38"/>
  <c r="Z76" i="38"/>
  <c r="AA75" i="38"/>
  <c r="X75" i="38"/>
  <c r="AF75" i="38"/>
  <c r="E75" i="38"/>
  <c r="AG75" i="38"/>
  <c r="Z75" i="38"/>
  <c r="AD75" i="38"/>
  <c r="Q75" i="38"/>
  <c r="J75" i="38"/>
  <c r="N75" i="38"/>
  <c r="S75" i="38"/>
  <c r="AB75" i="38"/>
  <c r="T75" i="38"/>
  <c r="U75" i="38"/>
  <c r="R75" i="38"/>
  <c r="K75" i="38"/>
  <c r="F75" i="38"/>
  <c r="D75" i="38"/>
  <c r="P75" i="38"/>
  <c r="AC75" i="38"/>
  <c r="L75" i="38"/>
  <c r="V75" i="38"/>
  <c r="G75" i="38"/>
  <c r="O75" i="38"/>
  <c r="Y75" i="38"/>
  <c r="W75" i="38"/>
  <c r="M75" i="38"/>
  <c r="C75" i="38"/>
  <c r="I75" i="38"/>
  <c r="AE75" i="38"/>
  <c r="H75" i="38"/>
  <c r="C63" i="38"/>
  <c r="C246" i="38" s="1"/>
  <c r="BJ85" i="36" l="1"/>
  <c r="AM85" i="36"/>
  <c r="AW85" i="36"/>
  <c r="BH112" i="36"/>
  <c r="BG85" i="36"/>
  <c r="AO85" i="36"/>
  <c r="Z92" i="36"/>
  <c r="BN90" i="36"/>
  <c r="AQ110" i="36"/>
  <c r="AT111" i="36"/>
  <c r="BK79" i="36"/>
  <c r="BN110" i="36"/>
  <c r="BH111" i="36"/>
  <c r="AQ111" i="36"/>
  <c r="BN111" i="36"/>
  <c r="BF90" i="36"/>
  <c r="AT112" i="36"/>
  <c r="BM88" i="36"/>
  <c r="BL85" i="36"/>
  <c r="AM88" i="36"/>
  <c r="AJ95" i="36"/>
  <c r="T92" i="36"/>
  <c r="BE77" i="36"/>
  <c r="L92" i="36"/>
  <c r="AB88" i="36"/>
  <c r="AQ90" i="36"/>
  <c r="G92" i="36"/>
  <c r="BB77" i="36"/>
  <c r="AL77" i="36"/>
  <c r="O88" i="36"/>
  <c r="T88" i="36"/>
  <c r="AD88" i="36"/>
  <c r="AN109" i="36"/>
  <c r="AM77" i="36"/>
  <c r="BD90" i="36"/>
  <c r="BM109" i="36"/>
  <c r="BC88" i="36"/>
  <c r="AQ88" i="36"/>
  <c r="Z95" i="36"/>
  <c r="AV82" i="36"/>
  <c r="AD92" i="36"/>
  <c r="AH79" i="36"/>
  <c r="AS90" i="36"/>
  <c r="AJ97" i="36"/>
  <c r="AZ77" i="36"/>
  <c r="U92" i="36"/>
  <c r="D95" i="36"/>
  <c r="BD77" i="36"/>
  <c r="S112" i="36"/>
  <c r="Y88" i="36"/>
  <c r="L88" i="36"/>
  <c r="Z88" i="36"/>
  <c r="AE88" i="36"/>
  <c r="AP109" i="36"/>
  <c r="D82" i="36"/>
  <c r="AX109" i="36"/>
  <c r="BE88" i="36"/>
  <c r="AX90" i="36"/>
  <c r="AP85" i="36"/>
  <c r="AS88" i="36"/>
  <c r="AY88" i="36"/>
  <c r="BF88" i="36"/>
  <c r="AN88" i="36"/>
  <c r="BK82" i="36"/>
  <c r="AX77" i="36"/>
  <c r="AH92" i="36"/>
  <c r="BG77" i="36"/>
  <c r="AL90" i="36"/>
  <c r="AT77" i="36"/>
  <c r="AS77" i="36"/>
  <c r="M88" i="36"/>
  <c r="W88" i="36"/>
  <c r="U88" i="36"/>
  <c r="AY109" i="36"/>
  <c r="BJ111" i="36"/>
  <c r="AO109" i="36"/>
  <c r="AV109" i="36"/>
  <c r="BB88" i="36"/>
  <c r="AK90" i="36"/>
  <c r="AA88" i="36"/>
  <c r="I88" i="36"/>
  <c r="BB109" i="36"/>
  <c r="AV88" i="36"/>
  <c r="AX85" i="36"/>
  <c r="AK88" i="36"/>
  <c r="H92" i="36"/>
  <c r="AK77" i="36"/>
  <c r="AY90" i="36"/>
  <c r="AW77" i="36"/>
  <c r="AB92" i="36"/>
  <c r="AY77" i="36"/>
  <c r="Q92" i="36"/>
  <c r="AU90" i="36"/>
  <c r="Q112" i="36"/>
  <c r="P112" i="36"/>
  <c r="AW109" i="36"/>
  <c r="AJ113" i="36"/>
  <c r="N92" i="36"/>
  <c r="BA77" i="36"/>
  <c r="Q88" i="36"/>
  <c r="G88" i="36"/>
  <c r="AL109" i="36"/>
  <c r="BJ88" i="36"/>
  <c r="BG88" i="36"/>
  <c r="BH88" i="36"/>
  <c r="AP90" i="36"/>
  <c r="AQ77" i="36"/>
  <c r="BC77" i="36"/>
  <c r="AO77" i="36"/>
  <c r="Y92" i="36"/>
  <c r="AN77" i="36"/>
  <c r="AA92" i="36"/>
  <c r="BI90" i="36"/>
  <c r="S88" i="36"/>
  <c r="AF88" i="36"/>
  <c r="BK109" i="36"/>
  <c r="R88" i="36"/>
  <c r="X88" i="36"/>
  <c r="AK109" i="36"/>
  <c r="P88" i="36"/>
  <c r="BD111" i="36"/>
  <c r="K88" i="36"/>
  <c r="AL88" i="36"/>
  <c r="I92" i="36"/>
  <c r="AJ79" i="36"/>
  <c r="AW88" i="36"/>
  <c r="BA88" i="36"/>
  <c r="BK88" i="36"/>
  <c r="AO88" i="36"/>
  <c r="AR88" i="36"/>
  <c r="AE92" i="36"/>
  <c r="BF77" i="36"/>
  <c r="BM77" i="36"/>
  <c r="H88" i="36"/>
  <c r="AG92" i="36"/>
  <c r="AU77" i="36"/>
  <c r="AF92" i="36"/>
  <c r="BC90" i="36"/>
  <c r="AZ85" i="36"/>
  <c r="AC88" i="36"/>
  <c r="AG88" i="36"/>
  <c r="BN85" i="36"/>
  <c r="AS109" i="36"/>
  <c r="J88" i="36"/>
  <c r="BJ79" i="36"/>
  <c r="AU109" i="36"/>
  <c r="BH110" i="36"/>
  <c r="BG109" i="36"/>
  <c r="BF109" i="36"/>
  <c r="BI88" i="36"/>
  <c r="BI109" i="36"/>
  <c r="AT88" i="36"/>
  <c r="BD88" i="36"/>
  <c r="AU88" i="36"/>
  <c r="BB90" i="36"/>
  <c r="BH77" i="36"/>
  <c r="BI77" i="36"/>
  <c r="E88" i="36"/>
  <c r="AR97" i="36"/>
  <c r="AP77" i="36"/>
  <c r="BL77" i="36"/>
  <c r="H111" i="36"/>
  <c r="F88" i="36"/>
  <c r="N88" i="36"/>
  <c r="AH88" i="36"/>
  <c r="V88" i="36"/>
  <c r="AR79" i="36"/>
  <c r="BL109" i="36"/>
  <c r="BM90" i="36"/>
  <c r="BL90" i="36"/>
  <c r="AW90" i="36"/>
  <c r="Q110" i="36"/>
  <c r="P111" i="36"/>
  <c r="P110" i="36"/>
  <c r="V92" i="36"/>
  <c r="F92" i="36"/>
  <c r="BJ90" i="36"/>
  <c r="BE90" i="36"/>
  <c r="J92" i="36"/>
  <c r="W92" i="36"/>
  <c r="K92" i="36"/>
  <c r="H110" i="36"/>
  <c r="AR90" i="36"/>
  <c r="D101" i="36"/>
  <c r="M92" i="36"/>
  <c r="O92" i="36"/>
  <c r="Q111" i="36"/>
  <c r="S110" i="36"/>
  <c r="S111" i="36"/>
  <c r="H112" i="36"/>
  <c r="BN77" i="36"/>
  <c r="AZ90" i="36"/>
  <c r="AN90" i="36"/>
  <c r="X92" i="36"/>
  <c r="D114" i="36"/>
  <c r="S97" i="36"/>
  <c r="M97" i="36"/>
  <c r="R97" i="36"/>
  <c r="AH97" i="36"/>
  <c r="AO90" i="36"/>
  <c r="R92" i="36"/>
  <c r="O97" i="36"/>
  <c r="G97" i="36"/>
  <c r="AC97" i="36"/>
  <c r="T97" i="36"/>
  <c r="N97" i="36"/>
  <c r="H97" i="36"/>
  <c r="AF97" i="36"/>
  <c r="V97" i="36"/>
  <c r="E97" i="36"/>
  <c r="W97" i="36"/>
  <c r="AG97" i="36"/>
  <c r="Q97" i="36"/>
  <c r="X97" i="36"/>
  <c r="Z97" i="36"/>
  <c r="AA97" i="36"/>
  <c r="K97" i="36"/>
  <c r="P97" i="36"/>
  <c r="AM90" i="36"/>
  <c r="BG90" i="36"/>
  <c r="AT90" i="36"/>
  <c r="BK90" i="36"/>
  <c r="BH90" i="36"/>
  <c r="AC92" i="36"/>
  <c r="U97" i="36"/>
  <c r="J97" i="36"/>
  <c r="AB97" i="36"/>
  <c r="I97" i="36"/>
  <c r="Y97" i="36"/>
  <c r="F97" i="36"/>
  <c r="AD97" i="36"/>
  <c r="S92" i="36"/>
  <c r="AE97" i="36"/>
  <c r="E92" i="36"/>
  <c r="L95" i="36"/>
  <c r="L114" i="36"/>
  <c r="AE95" i="36"/>
  <c r="AJ114" i="36"/>
  <c r="BD79" i="36"/>
  <c r="P95" i="36"/>
  <c r="BB110" i="36"/>
  <c r="BB111" i="36"/>
  <c r="BB112" i="36"/>
  <c r="BI110" i="36"/>
  <c r="AX110" i="36"/>
  <c r="AX111" i="36"/>
  <c r="AX112" i="36"/>
  <c r="AF110" i="36"/>
  <c r="AF112" i="36"/>
  <c r="AF111" i="36"/>
  <c r="V111" i="36"/>
  <c r="V110" i="36"/>
  <c r="V112" i="36"/>
  <c r="AG110" i="36"/>
  <c r="AG112" i="36"/>
  <c r="AG111" i="36"/>
  <c r="E110" i="36"/>
  <c r="E112" i="36"/>
  <c r="E111" i="36"/>
  <c r="Z110" i="36"/>
  <c r="Z112" i="36"/>
  <c r="Z111" i="36"/>
  <c r="AC110" i="36"/>
  <c r="AC112" i="36"/>
  <c r="AC111" i="36"/>
  <c r="N110" i="36"/>
  <c r="N112" i="36"/>
  <c r="N111" i="36"/>
  <c r="L110" i="36"/>
  <c r="L112" i="36"/>
  <c r="L111" i="36"/>
  <c r="R110" i="36"/>
  <c r="R112" i="36"/>
  <c r="R111" i="36"/>
  <c r="O111" i="36"/>
  <c r="O110" i="36"/>
  <c r="O112" i="36"/>
  <c r="AA111" i="36"/>
  <c r="AA110" i="36"/>
  <c r="AA112" i="36"/>
  <c r="I110" i="36"/>
  <c r="I112" i="36"/>
  <c r="I111" i="36"/>
  <c r="F110" i="36"/>
  <c r="F112" i="36"/>
  <c r="F111" i="36"/>
  <c r="BM79" i="36"/>
  <c r="BA79" i="36"/>
  <c r="AQ79" i="36"/>
  <c r="AS79" i="36"/>
  <c r="AW79" i="36"/>
  <c r="AM79" i="36"/>
  <c r="BI79" i="36"/>
  <c r="AY92" i="36"/>
  <c r="BA92" i="36"/>
  <c r="AX92" i="36"/>
  <c r="BN92" i="36"/>
  <c r="AW92" i="36"/>
  <c r="AK92" i="36"/>
  <c r="AP92" i="36"/>
  <c r="AV92" i="36"/>
  <c r="BF92" i="36"/>
  <c r="BB92" i="36"/>
  <c r="BI92" i="36"/>
  <c r="BC92" i="36"/>
  <c r="BD92" i="36"/>
  <c r="AS92" i="36"/>
  <c r="AQ92" i="36"/>
  <c r="AU92" i="36"/>
  <c r="BM92" i="36"/>
  <c r="K317" i="38"/>
  <c r="K320" i="38" s="1"/>
  <c r="S314" i="38"/>
  <c r="S317" i="38" s="1"/>
  <c r="M314" i="38"/>
  <c r="M317" i="38" s="1"/>
  <c r="G314" i="38"/>
  <c r="G317" i="38" s="1"/>
  <c r="AE314" i="38"/>
  <c r="AE317" i="38" s="1"/>
  <c r="U314" i="38"/>
  <c r="U317" i="38" s="1"/>
  <c r="D314" i="38"/>
  <c r="D317" i="38" s="1"/>
  <c r="D320" i="38" s="1"/>
  <c r="V314" i="38"/>
  <c r="V316" i="38" s="1"/>
  <c r="AF314" i="38"/>
  <c r="AF317" i="38" s="1"/>
  <c r="P314" i="38"/>
  <c r="P317" i="38" s="1"/>
  <c r="W314" i="38"/>
  <c r="W316" i="38" s="1"/>
  <c r="Y314" i="38"/>
  <c r="Y317" i="38" s="1"/>
  <c r="Z314" i="38"/>
  <c r="Z317" i="38" s="1"/>
  <c r="Z320" i="38" s="1"/>
  <c r="J314" i="38"/>
  <c r="J316" i="38" s="1"/>
  <c r="O314" i="38"/>
  <c r="O317" i="38" s="1"/>
  <c r="AD314" i="38"/>
  <c r="AD316" i="38" s="1"/>
  <c r="L101" i="36"/>
  <c r="C243" i="38"/>
  <c r="AJ246" i="38"/>
  <c r="T314" i="38"/>
  <c r="T317" i="38" s="1"/>
  <c r="R314" i="38"/>
  <c r="R317" i="38" s="1"/>
  <c r="N314" i="38"/>
  <c r="N317" i="38" s="1"/>
  <c r="N318" i="38" s="1"/>
  <c r="N319" i="38" s="1"/>
  <c r="N321" i="38" s="1"/>
  <c r="I314" i="38"/>
  <c r="I316" i="38" s="1"/>
  <c r="F314" i="38"/>
  <c r="F316" i="38" s="1"/>
  <c r="AA314" i="38"/>
  <c r="AA317" i="38" s="1"/>
  <c r="L314" i="38"/>
  <c r="L317" i="38" s="1"/>
  <c r="L320" i="38" s="1"/>
  <c r="AB314" i="38"/>
  <c r="AB316" i="38" s="1"/>
  <c r="H314" i="38"/>
  <c r="H317" i="38" s="1"/>
  <c r="Q314" i="38"/>
  <c r="Q317" i="38" s="1"/>
  <c r="X314" i="38"/>
  <c r="X317" i="38" s="1"/>
  <c r="E314" i="38"/>
  <c r="E316" i="38" s="1"/>
  <c r="AC314" i="38"/>
  <c r="AC317" i="38" s="1"/>
  <c r="AC320" i="38" s="1"/>
  <c r="AA79" i="36"/>
  <c r="V79" i="36"/>
  <c r="G79" i="36"/>
  <c r="K79" i="36"/>
  <c r="M79" i="36"/>
  <c r="R79" i="36"/>
  <c r="H79" i="36"/>
  <c r="AE79" i="36"/>
  <c r="U79" i="36"/>
  <c r="E79" i="36"/>
  <c r="N79" i="36"/>
  <c r="AB79" i="36"/>
  <c r="F79" i="36"/>
  <c r="L79" i="36"/>
  <c r="O79" i="36"/>
  <c r="Q79" i="36"/>
  <c r="AC79" i="36"/>
  <c r="P79" i="36"/>
  <c r="X79" i="36"/>
  <c r="Y79" i="36"/>
  <c r="Z79" i="36"/>
  <c r="S79" i="36"/>
  <c r="AD79" i="36"/>
  <c r="J79" i="36"/>
  <c r="AF79" i="36"/>
  <c r="AG79" i="36"/>
  <c r="T79" i="36"/>
  <c r="I79" i="36"/>
  <c r="W79" i="36"/>
  <c r="U316" i="38"/>
  <c r="AG314" i="38"/>
  <c r="AS111" i="36" l="1"/>
  <c r="BG111" i="36"/>
  <c r="BK112" i="36"/>
  <c r="BC79" i="36"/>
  <c r="AL92" i="36"/>
  <c r="BM110" i="36"/>
  <c r="BB79" i="36"/>
  <c r="BI111" i="36"/>
  <c r="AS112" i="36"/>
  <c r="BI112" i="36"/>
  <c r="BG110" i="36"/>
  <c r="BG112" i="36"/>
  <c r="BM112" i="36"/>
  <c r="BM111" i="36"/>
  <c r="BK111" i="36"/>
  <c r="AJ115" i="36"/>
  <c r="V95" i="36"/>
  <c r="AV112" i="36"/>
  <c r="AV111" i="36"/>
  <c r="AV110" i="36"/>
  <c r="AX79" i="36"/>
  <c r="J82" i="36"/>
  <c r="H82" i="36"/>
  <c r="L82" i="36"/>
  <c r="T82" i="36"/>
  <c r="X82" i="36"/>
  <c r="N82" i="36"/>
  <c r="G82" i="36"/>
  <c r="BD95" i="36"/>
  <c r="AK95" i="36"/>
  <c r="AW82" i="36"/>
  <c r="S95" i="36"/>
  <c r="AC95" i="36"/>
  <c r="BG97" i="36"/>
  <c r="BL97" i="36"/>
  <c r="AO92" i="36"/>
  <c r="AZ92" i="36"/>
  <c r="D104" i="36"/>
  <c r="BJ92" i="36"/>
  <c r="AY111" i="36"/>
  <c r="AY112" i="36"/>
  <c r="AY110" i="36"/>
  <c r="AH95" i="36"/>
  <c r="AP110" i="36"/>
  <c r="AP111" i="36"/>
  <c r="AP112" i="36"/>
  <c r="U95" i="36"/>
  <c r="AH82" i="36"/>
  <c r="T95" i="36"/>
  <c r="AF82" i="36"/>
  <c r="AQ82" i="36"/>
  <c r="BK92" i="36"/>
  <c r="AT97" i="36"/>
  <c r="AZ79" i="36"/>
  <c r="AG82" i="36"/>
  <c r="P82" i="36"/>
  <c r="E82" i="36"/>
  <c r="V82" i="36"/>
  <c r="BC95" i="36"/>
  <c r="AW95" i="36"/>
  <c r="AS82" i="36"/>
  <c r="BJ97" i="36"/>
  <c r="BH92" i="36"/>
  <c r="BF97" i="36"/>
  <c r="AN97" i="36"/>
  <c r="AH101" i="36"/>
  <c r="BN79" i="36"/>
  <c r="AR92" i="36"/>
  <c r="F95" i="36"/>
  <c r="AU111" i="36"/>
  <c r="AU112" i="36"/>
  <c r="AU110" i="36"/>
  <c r="BN88" i="36"/>
  <c r="Y95" i="36"/>
  <c r="AL110" i="36"/>
  <c r="AL112" i="36"/>
  <c r="AL111" i="36"/>
  <c r="N95" i="36"/>
  <c r="AB95" i="36"/>
  <c r="H95" i="36"/>
  <c r="AA82" i="36"/>
  <c r="BN95" i="36"/>
  <c r="BD97" i="36"/>
  <c r="Q82" i="36"/>
  <c r="AE82" i="36"/>
  <c r="BM95" i="36"/>
  <c r="BB95" i="36"/>
  <c r="AX95" i="36"/>
  <c r="BA82" i="36"/>
  <c r="BE97" i="36"/>
  <c r="AT92" i="36"/>
  <c r="AW97" i="36"/>
  <c r="AZ97" i="36"/>
  <c r="AS97" i="36"/>
  <c r="K95" i="36"/>
  <c r="BL79" i="36"/>
  <c r="BF110" i="36"/>
  <c r="BF111" i="36"/>
  <c r="BF112" i="36"/>
  <c r="BJ82" i="36"/>
  <c r="AF95" i="36"/>
  <c r="AJ82" i="36"/>
  <c r="AO79" i="36"/>
  <c r="AT79" i="36"/>
  <c r="AU95" i="36"/>
  <c r="BF95" i="36"/>
  <c r="BA95" i="36"/>
  <c r="BM82" i="36"/>
  <c r="L115" i="36"/>
  <c r="AO97" i="36"/>
  <c r="BG92" i="36"/>
  <c r="BM97" i="36"/>
  <c r="BI97" i="36"/>
  <c r="AY97" i="36"/>
  <c r="W95" i="36"/>
  <c r="AX88" i="36"/>
  <c r="AO112" i="36"/>
  <c r="AO110" i="36"/>
  <c r="AO111" i="36"/>
  <c r="AJ101" i="36"/>
  <c r="AL97" i="36"/>
  <c r="AL79" i="36"/>
  <c r="O82" i="36"/>
  <c r="R82" i="36"/>
  <c r="AQ95" i="36"/>
  <c r="AY95" i="36"/>
  <c r="BC82" i="36"/>
  <c r="AD95" i="36"/>
  <c r="BH97" i="36"/>
  <c r="AM92" i="36"/>
  <c r="BC97" i="36"/>
  <c r="AM97" i="36"/>
  <c r="D115" i="36"/>
  <c r="BL111" i="36"/>
  <c r="BL112" i="36"/>
  <c r="BL110" i="36"/>
  <c r="AP79" i="36"/>
  <c r="BH79" i="36"/>
  <c r="AU79" i="36"/>
  <c r="BF79" i="36"/>
  <c r="I95" i="36"/>
  <c r="BK110" i="36"/>
  <c r="AA95" i="36"/>
  <c r="AW112" i="36"/>
  <c r="AW111" i="36"/>
  <c r="AW110" i="36"/>
  <c r="Q95" i="36"/>
  <c r="BL88" i="36"/>
  <c r="U82" i="36"/>
  <c r="AN112" i="36"/>
  <c r="AN110" i="36"/>
  <c r="AN111" i="36"/>
  <c r="Z82" i="36"/>
  <c r="M82" i="36"/>
  <c r="BL92" i="36"/>
  <c r="AL95" i="36"/>
  <c r="BI82" i="36"/>
  <c r="BB82" i="36"/>
  <c r="E95" i="36"/>
  <c r="AP97" i="36"/>
  <c r="AV97" i="36"/>
  <c r="AK97" i="36"/>
  <c r="AU97" i="36"/>
  <c r="X95" i="36"/>
  <c r="O95" i="36"/>
  <c r="J95" i="36"/>
  <c r="BG79" i="36"/>
  <c r="AP88" i="36"/>
  <c r="G95" i="36"/>
  <c r="BE79" i="36"/>
  <c r="AC82" i="36"/>
  <c r="BI95" i="36"/>
  <c r="AX97" i="36"/>
  <c r="AD82" i="36"/>
  <c r="S82" i="36"/>
  <c r="W82" i="36"/>
  <c r="F82" i="36"/>
  <c r="I82" i="36"/>
  <c r="Y82" i="36"/>
  <c r="AB82" i="36"/>
  <c r="K82" i="36"/>
  <c r="AS95" i="36"/>
  <c r="AP95" i="36"/>
  <c r="AM82" i="36"/>
  <c r="BD82" i="36"/>
  <c r="BK97" i="36"/>
  <c r="BA97" i="36"/>
  <c r="AQ97" i="36"/>
  <c r="BB97" i="36"/>
  <c r="R95" i="36"/>
  <c r="AN92" i="36"/>
  <c r="M95" i="36"/>
  <c r="BE92" i="36"/>
  <c r="AR82" i="36"/>
  <c r="AS110" i="36"/>
  <c r="AZ88" i="36"/>
  <c r="AG95" i="36"/>
  <c r="AK111" i="36"/>
  <c r="AK112" i="36"/>
  <c r="AK110" i="36"/>
  <c r="AN79" i="36"/>
  <c r="AY79" i="36"/>
  <c r="AK79" i="36"/>
  <c r="N114" i="36"/>
  <c r="D102" i="36"/>
  <c r="AE114" i="36"/>
  <c r="AF114" i="36"/>
  <c r="K114" i="36"/>
  <c r="AA114" i="36"/>
  <c r="AG114" i="36"/>
  <c r="S114" i="36"/>
  <c r="P114" i="36"/>
  <c r="O114" i="36"/>
  <c r="X114" i="36"/>
  <c r="G114" i="36"/>
  <c r="BN97" i="36"/>
  <c r="H114" i="36"/>
  <c r="Q114" i="36"/>
  <c r="P316" i="38"/>
  <c r="E114" i="36"/>
  <c r="U114" i="36"/>
  <c r="AD114" i="36"/>
  <c r="R114" i="36"/>
  <c r="AB114" i="36"/>
  <c r="F114" i="36"/>
  <c r="AH114" i="36"/>
  <c r="M114" i="36"/>
  <c r="I114" i="36"/>
  <c r="Y316" i="38"/>
  <c r="J114" i="36"/>
  <c r="AC114" i="36"/>
  <c r="Y114" i="36"/>
  <c r="T114" i="36"/>
  <c r="V114" i="36"/>
  <c r="Z114" i="36"/>
  <c r="W114" i="36"/>
  <c r="J317" i="38"/>
  <c r="J318" i="38" s="1"/>
  <c r="J319" i="38" s="1"/>
  <c r="J321" i="38" s="1"/>
  <c r="S316" i="38"/>
  <c r="Q316" i="38"/>
  <c r="AD317" i="38"/>
  <c r="AD320" i="38" s="1"/>
  <c r="G316" i="38"/>
  <c r="V317" i="38"/>
  <c r="V318" i="38" s="1"/>
  <c r="V319" i="38" s="1"/>
  <c r="V321" i="38" s="1"/>
  <c r="AZ114" i="36"/>
  <c r="BC114" i="36"/>
  <c r="BI114" i="36"/>
  <c r="AH104" i="36"/>
  <c r="AH102" i="36"/>
  <c r="AV95" i="36"/>
  <c r="AW114" i="36"/>
  <c r="W317" i="38"/>
  <c r="W318" i="38" s="1"/>
  <c r="W319" i="38" s="1"/>
  <c r="W321" i="38" s="1"/>
  <c r="AO114" i="36"/>
  <c r="AU114" i="36"/>
  <c r="AR95" i="36"/>
  <c r="AR114" i="36"/>
  <c r="BF114" i="36"/>
  <c r="AL114" i="36"/>
  <c r="AQ114" i="36"/>
  <c r="BA114" i="36"/>
  <c r="T316" i="38"/>
  <c r="BK95" i="36"/>
  <c r="BK114" i="36"/>
  <c r="BH114" i="36"/>
  <c r="BG114" i="36"/>
  <c r="L104" i="36"/>
  <c r="L102" i="36"/>
  <c r="AY114" i="36"/>
  <c r="AS114" i="36"/>
  <c r="AN114" i="36"/>
  <c r="R316" i="38"/>
  <c r="AE316" i="38"/>
  <c r="AC316" i="38"/>
  <c r="Z316" i="38"/>
  <c r="K318" i="38"/>
  <c r="K319" i="38" s="1"/>
  <c r="K321" i="38" s="1"/>
  <c r="AA316" i="38"/>
  <c r="F317" i="38"/>
  <c r="F318" i="38" s="1"/>
  <c r="F319" i="38" s="1"/>
  <c r="F321" i="38" s="1"/>
  <c r="E317" i="38"/>
  <c r="E320" i="38" s="1"/>
  <c r="I317" i="38"/>
  <c r="I318" i="38" s="1"/>
  <c r="I319" i="38" s="1"/>
  <c r="I321" i="38" s="1"/>
  <c r="AB317" i="38"/>
  <c r="AB318" i="38" s="1"/>
  <c r="AB319" i="38" s="1"/>
  <c r="AB321" i="38" s="1"/>
  <c r="AF316" i="38"/>
  <c r="M316" i="38"/>
  <c r="O316" i="38"/>
  <c r="D316" i="38"/>
  <c r="L316" i="38"/>
  <c r="X316" i="38"/>
  <c r="H316" i="38"/>
  <c r="N316" i="38"/>
  <c r="P101" i="36"/>
  <c r="AA101" i="36"/>
  <c r="X101" i="36"/>
  <c r="AG101" i="36"/>
  <c r="E101" i="36"/>
  <c r="AF101" i="36"/>
  <c r="N101" i="36"/>
  <c r="AD101" i="36"/>
  <c r="F101" i="36"/>
  <c r="R101" i="36"/>
  <c r="AC101" i="36"/>
  <c r="AB101" i="36"/>
  <c r="J101" i="36"/>
  <c r="S101" i="36"/>
  <c r="C290" i="38"/>
  <c r="C291" i="38" s="1"/>
  <c r="C313" i="38"/>
  <c r="C314" i="38" s="1"/>
  <c r="C316" i="38" s="1"/>
  <c r="C317" i="38" s="1"/>
  <c r="C320" i="38" s="1"/>
  <c r="C325" i="38" s="1"/>
  <c r="C247" i="38"/>
  <c r="AI246" i="38"/>
  <c r="AR101" i="36"/>
  <c r="AE101" i="36"/>
  <c r="K101" i="36"/>
  <c r="Z101" i="36"/>
  <c r="Q101" i="36"/>
  <c r="W101" i="36"/>
  <c r="V101" i="36"/>
  <c r="H101" i="36"/>
  <c r="T101" i="36"/>
  <c r="Y101" i="36"/>
  <c r="I101" i="36"/>
  <c r="M101" i="36"/>
  <c r="G101" i="36"/>
  <c r="O101" i="36"/>
  <c r="U101" i="36"/>
  <c r="N320" i="38"/>
  <c r="N325" i="38" s="1"/>
  <c r="N326" i="38" s="1"/>
  <c r="N333" i="38" s="1"/>
  <c r="D325" i="38"/>
  <c r="D326" i="38" s="1"/>
  <c r="D333" i="38" s="1"/>
  <c r="AC325" i="38"/>
  <c r="AC326" i="38" s="1"/>
  <c r="AC335" i="38" s="1"/>
  <c r="Z325" i="38"/>
  <c r="Z326" i="38" s="1"/>
  <c r="Z335" i="38" s="1"/>
  <c r="AF320" i="38"/>
  <c r="AF318" i="38"/>
  <c r="AF319" i="38" s="1"/>
  <c r="AF321" i="38" s="1"/>
  <c r="K325" i="38"/>
  <c r="O320" i="38"/>
  <c r="O318" i="38"/>
  <c r="O319" i="38" s="1"/>
  <c r="O321" i="38" s="1"/>
  <c r="AG317" i="38"/>
  <c r="AG316" i="38"/>
  <c r="X320" i="38"/>
  <c r="X318" i="38"/>
  <c r="X319" i="38" s="1"/>
  <c r="X321" i="38" s="1"/>
  <c r="H320" i="38"/>
  <c r="H318" i="38"/>
  <c r="H319" i="38" s="1"/>
  <c r="H321" i="38" s="1"/>
  <c r="T320" i="38"/>
  <c r="T318" i="38"/>
  <c r="T319" i="38" s="1"/>
  <c r="T321" i="38" s="1"/>
  <c r="U320" i="38"/>
  <c r="U318" i="38"/>
  <c r="U319" i="38" s="1"/>
  <c r="U321" i="38" s="1"/>
  <c r="S320" i="38"/>
  <c r="S318" i="38"/>
  <c r="S319" i="38" s="1"/>
  <c r="S321" i="38" s="1"/>
  <c r="Z318" i="38"/>
  <c r="Z319" i="38" s="1"/>
  <c r="Z321" i="38" s="1"/>
  <c r="P320" i="38"/>
  <c r="P318" i="38"/>
  <c r="P319" i="38" s="1"/>
  <c r="P321" i="38" s="1"/>
  <c r="L318" i="38"/>
  <c r="L319" i="38" s="1"/>
  <c r="L321" i="38" s="1"/>
  <c r="R320" i="38"/>
  <c r="R318" i="38"/>
  <c r="R319" i="38" s="1"/>
  <c r="R321" i="38" s="1"/>
  <c r="AA320" i="38"/>
  <c r="AA318" i="38"/>
  <c r="AA319" i="38" s="1"/>
  <c r="AA321" i="38" s="1"/>
  <c r="Y320" i="38"/>
  <c r="Y318" i="38"/>
  <c r="Y319" i="38" s="1"/>
  <c r="Y321" i="38" s="1"/>
  <c r="L325" i="38"/>
  <c r="L326" i="38" s="1"/>
  <c r="L335" i="38" s="1"/>
  <c r="AE320" i="38"/>
  <c r="AE318" i="38"/>
  <c r="AE319" i="38" s="1"/>
  <c r="AE321" i="38" s="1"/>
  <c r="D318" i="38"/>
  <c r="D319" i="38" s="1"/>
  <c r="D321" i="38" s="1"/>
  <c r="M320" i="38"/>
  <c r="M318" i="38"/>
  <c r="M319" i="38" s="1"/>
  <c r="M321" i="38" s="1"/>
  <c r="AC318" i="38"/>
  <c r="AC319" i="38" s="1"/>
  <c r="AC321" i="38" s="1"/>
  <c r="Q320" i="38"/>
  <c r="Q318" i="38"/>
  <c r="Q319" i="38" s="1"/>
  <c r="Q321" i="38" s="1"/>
  <c r="G320" i="38"/>
  <c r="G318" i="38"/>
  <c r="G319" i="38" s="1"/>
  <c r="G321" i="38" s="1"/>
  <c r="P115" i="36" l="1"/>
  <c r="N115" i="36"/>
  <c r="BL114" i="36"/>
  <c r="BL115" i="36"/>
  <c r="F115" i="36"/>
  <c r="AM95" i="36"/>
  <c r="AY82" i="36"/>
  <c r="L116" i="36"/>
  <c r="BA115" i="36"/>
  <c r="AU115" i="36"/>
  <c r="BJ114" i="36"/>
  <c r="AZ115" i="36"/>
  <c r="Z115" i="36"/>
  <c r="M115" i="36"/>
  <c r="S115" i="36"/>
  <c r="BF82" i="36"/>
  <c r="AO115" i="36"/>
  <c r="BF115" i="36"/>
  <c r="K115" i="36"/>
  <c r="L118" i="36"/>
  <c r="AQ115" i="36"/>
  <c r="BB114" i="36"/>
  <c r="BJ95" i="36"/>
  <c r="V115" i="36"/>
  <c r="AH115" i="36"/>
  <c r="Q115" i="36"/>
  <c r="AG115" i="36"/>
  <c r="AK82" i="36"/>
  <c r="BE82" i="36"/>
  <c r="AL82" i="36"/>
  <c r="L127" i="36"/>
  <c r="BL82" i="36"/>
  <c r="AZ82" i="36"/>
  <c r="AO95" i="36"/>
  <c r="T115" i="36"/>
  <c r="AH118" i="36"/>
  <c r="BN101" i="36"/>
  <c r="AT95" i="36"/>
  <c r="BD114" i="36"/>
  <c r="AK114" i="36"/>
  <c r="AP114" i="36"/>
  <c r="AW115" i="36"/>
  <c r="BI115" i="36"/>
  <c r="AC115" i="36"/>
  <c r="R115" i="36"/>
  <c r="G115" i="36"/>
  <c r="AF115" i="36"/>
  <c r="BH82" i="36"/>
  <c r="D127" i="36"/>
  <c r="AJ104" i="36"/>
  <c r="AJ102" i="36"/>
  <c r="AH116" i="36"/>
  <c r="AN115" i="36"/>
  <c r="Y115" i="36"/>
  <c r="BE95" i="36"/>
  <c r="AS115" i="36"/>
  <c r="BK115" i="36"/>
  <c r="AM114" i="36"/>
  <c r="AX114" i="36"/>
  <c r="BC115" i="36"/>
  <c r="J115" i="36"/>
  <c r="AD115" i="36"/>
  <c r="X115" i="36"/>
  <c r="AE115" i="36"/>
  <c r="AN82" i="36"/>
  <c r="BG95" i="36"/>
  <c r="AO82" i="36"/>
  <c r="D118" i="36"/>
  <c r="AL115" i="36"/>
  <c r="AA115" i="36"/>
  <c r="BH115" i="36"/>
  <c r="AB115" i="36"/>
  <c r="AT82" i="36"/>
  <c r="P127" i="36"/>
  <c r="AY115" i="36"/>
  <c r="AR115" i="36"/>
  <c r="AV114" i="36"/>
  <c r="BM114" i="36"/>
  <c r="U115" i="36"/>
  <c r="O115" i="36"/>
  <c r="D116" i="36"/>
  <c r="BL95" i="36"/>
  <c r="AP82" i="36"/>
  <c r="BG115" i="36"/>
  <c r="H115" i="36"/>
  <c r="AU82" i="36"/>
  <c r="N127" i="36"/>
  <c r="BE114" i="36"/>
  <c r="AT114" i="36"/>
  <c r="W115" i="36"/>
  <c r="I115" i="36"/>
  <c r="E115" i="36"/>
  <c r="AN95" i="36"/>
  <c r="BG82" i="36"/>
  <c r="BN82" i="36"/>
  <c r="BH95" i="36"/>
  <c r="AZ95" i="36"/>
  <c r="AX82" i="36"/>
  <c r="AJ127" i="36"/>
  <c r="BN114" i="36"/>
  <c r="J320" i="38"/>
  <c r="J325" i="38" s="1"/>
  <c r="J326" i="38" s="1"/>
  <c r="F320" i="38"/>
  <c r="F325" i="38" s="1"/>
  <c r="W320" i="38"/>
  <c r="W325" i="38" s="1"/>
  <c r="W326" i="38" s="1"/>
  <c r="W335" i="38" s="1"/>
  <c r="AD318" i="38"/>
  <c r="AD319" i="38" s="1"/>
  <c r="AD321" i="38" s="1"/>
  <c r="V320" i="38"/>
  <c r="V325" i="38" s="1"/>
  <c r="AA120" i="36"/>
  <c r="AD120" i="36"/>
  <c r="M120" i="36"/>
  <c r="E119" i="36"/>
  <c r="O119" i="36"/>
  <c r="U102" i="36"/>
  <c r="U104" i="36"/>
  <c r="I104" i="36"/>
  <c r="I102" i="36"/>
  <c r="V104" i="36"/>
  <c r="V102" i="36"/>
  <c r="K104" i="36"/>
  <c r="K102" i="36"/>
  <c r="AC102" i="36"/>
  <c r="AC104" i="36"/>
  <c r="N104" i="36"/>
  <c r="N102" i="36"/>
  <c r="X102" i="36"/>
  <c r="X104" i="36"/>
  <c r="H102" i="36"/>
  <c r="H104" i="36"/>
  <c r="BN104" i="36"/>
  <c r="BN102" i="36"/>
  <c r="AB320" i="38"/>
  <c r="AB325" i="38" s="1"/>
  <c r="M102" i="36"/>
  <c r="M104" i="36"/>
  <c r="AD104" i="36"/>
  <c r="AD102" i="36"/>
  <c r="O102" i="36"/>
  <c r="O104" i="36"/>
  <c r="Y104" i="36"/>
  <c r="Y102" i="36"/>
  <c r="W104" i="36"/>
  <c r="W102" i="36"/>
  <c r="AE104" i="36"/>
  <c r="AE102" i="36"/>
  <c r="S102" i="36"/>
  <c r="S104" i="36"/>
  <c r="R104" i="36"/>
  <c r="R102" i="36"/>
  <c r="AF102" i="36"/>
  <c r="AF104" i="36"/>
  <c r="AA104" i="36"/>
  <c r="AA102" i="36"/>
  <c r="AB104" i="36"/>
  <c r="AB102" i="36"/>
  <c r="Z102" i="36"/>
  <c r="Z104" i="36"/>
  <c r="AG104" i="36"/>
  <c r="AG102" i="36"/>
  <c r="G104" i="36"/>
  <c r="G102" i="36"/>
  <c r="T102" i="36"/>
  <c r="T104" i="36"/>
  <c r="Q102" i="36"/>
  <c r="Q104" i="36"/>
  <c r="AR104" i="36"/>
  <c r="AR102" i="36"/>
  <c r="J102" i="36"/>
  <c r="J104" i="36"/>
  <c r="F102" i="36"/>
  <c r="F104" i="36"/>
  <c r="E104" i="36"/>
  <c r="E102" i="36"/>
  <c r="P102" i="36"/>
  <c r="P104" i="36"/>
  <c r="C318" i="38"/>
  <c r="C319" i="38" s="1"/>
  <c r="C321" i="38" s="1"/>
  <c r="E318" i="38"/>
  <c r="E319" i="38" s="1"/>
  <c r="E321" i="38" s="1"/>
  <c r="I320" i="38"/>
  <c r="I325" i="38" s="1"/>
  <c r="AM101" i="36"/>
  <c r="AZ101" i="36"/>
  <c r="AW101" i="36"/>
  <c r="BH101" i="36"/>
  <c r="BJ101" i="36"/>
  <c r="BM101" i="36"/>
  <c r="AU101" i="36"/>
  <c r="BE101" i="36"/>
  <c r="BC101" i="36"/>
  <c r="BK101" i="36"/>
  <c r="D247" i="38"/>
  <c r="C280" i="38"/>
  <c r="C281" i="38" s="1"/>
  <c r="AP101" i="36"/>
  <c r="AL101" i="36"/>
  <c r="AK101" i="36"/>
  <c r="AV101" i="36"/>
  <c r="BA101" i="36"/>
  <c r="AO101" i="36"/>
  <c r="BB101" i="36"/>
  <c r="AQ101" i="36"/>
  <c r="AY101" i="36"/>
  <c r="AX101" i="36"/>
  <c r="BL101" i="36"/>
  <c r="BG101" i="36"/>
  <c r="AS101" i="36"/>
  <c r="AN101" i="36"/>
  <c r="BF101" i="36"/>
  <c r="C307" i="38"/>
  <c r="C309" i="38"/>
  <c r="C311" i="38"/>
  <c r="C310" i="38"/>
  <c r="C306" i="38"/>
  <c r="C308" i="38"/>
  <c r="BI101" i="36"/>
  <c r="AT101" i="36"/>
  <c r="BD101" i="36"/>
  <c r="C326" i="38"/>
  <c r="C333" i="38" s="1"/>
  <c r="Y325" i="38"/>
  <c r="Y326" i="38" s="1"/>
  <c r="Y333" i="38" s="1"/>
  <c r="AG320" i="38"/>
  <c r="AG318" i="38"/>
  <c r="AG319" i="38" s="1"/>
  <c r="AG321" i="38" s="1"/>
  <c r="AF325" i="38"/>
  <c r="AF326" i="38" s="1"/>
  <c r="AF335" i="38" s="1"/>
  <c r="G325" i="38"/>
  <c r="E325" i="38"/>
  <c r="E326" i="38" s="1"/>
  <c r="E333" i="38" s="1"/>
  <c r="P325" i="38"/>
  <c r="S325" i="38"/>
  <c r="S326" i="38" s="1"/>
  <c r="S335" i="38" s="1"/>
  <c r="AC333" i="38"/>
  <c r="Q325" i="38"/>
  <c r="T325" i="38"/>
  <c r="T326" i="38" s="1"/>
  <c r="T333" i="38" s="1"/>
  <c r="H325" i="38"/>
  <c r="AD325" i="38"/>
  <c r="AD326" i="38" s="1"/>
  <c r="M325" i="38"/>
  <c r="AE325" i="38"/>
  <c r="AE326" i="38" s="1"/>
  <c r="AE335" i="38" s="1"/>
  <c r="R325" i="38"/>
  <c r="L333" i="38"/>
  <c r="AA325" i="38"/>
  <c r="N335" i="38"/>
  <c r="X325" i="38"/>
  <c r="O325" i="38"/>
  <c r="O326" i="38" s="1"/>
  <c r="O335" i="38" s="1"/>
  <c r="K326" i="38"/>
  <c r="K335" i="38" s="1"/>
  <c r="U325" i="38"/>
  <c r="U326" i="38" s="1"/>
  <c r="U333" i="38" s="1"/>
  <c r="Z333" i="38"/>
  <c r="D335" i="38"/>
  <c r="AD116" i="36" l="1"/>
  <c r="K118" i="36"/>
  <c r="BG127" i="36"/>
  <c r="X127" i="36"/>
  <c r="F118" i="36"/>
  <c r="T118" i="36"/>
  <c r="AB116" i="36"/>
  <c r="S118" i="36"/>
  <c r="O118" i="36"/>
  <c r="BN118" i="36"/>
  <c r="AC116" i="36"/>
  <c r="U116" i="36"/>
  <c r="W127" i="36"/>
  <c r="H127" i="36"/>
  <c r="D122" i="36"/>
  <c r="AR127" i="36"/>
  <c r="AB127" i="36"/>
  <c r="AE127" i="36"/>
  <c r="BC127" i="36"/>
  <c r="AJ118" i="36"/>
  <c r="AH127" i="36"/>
  <c r="AZ127" i="36"/>
  <c r="J118" i="36"/>
  <c r="AM115" i="36"/>
  <c r="F116" i="36"/>
  <c r="T116" i="36"/>
  <c r="AB118" i="36"/>
  <c r="S116" i="36"/>
  <c r="O116" i="36"/>
  <c r="H118" i="36"/>
  <c r="K116" i="36"/>
  <c r="AU119" i="36"/>
  <c r="AT115" i="36"/>
  <c r="AX115" i="36"/>
  <c r="G127" i="36"/>
  <c r="AW127" i="36"/>
  <c r="BJ115" i="36"/>
  <c r="H116" i="36"/>
  <c r="AY127" i="36"/>
  <c r="AP115" i="36"/>
  <c r="S127" i="36"/>
  <c r="J116" i="36"/>
  <c r="G118" i="36"/>
  <c r="AA118" i="36"/>
  <c r="AE118" i="36"/>
  <c r="AD118" i="36"/>
  <c r="X118" i="36"/>
  <c r="V116" i="36"/>
  <c r="AS120" i="36"/>
  <c r="R127" i="36"/>
  <c r="AK115" i="36"/>
  <c r="AU127" i="36"/>
  <c r="O127" i="36"/>
  <c r="Y127" i="36"/>
  <c r="V127" i="36"/>
  <c r="P118" i="36"/>
  <c r="AR116" i="36"/>
  <c r="AG116" i="36"/>
  <c r="AF118" i="36"/>
  <c r="W116" i="36"/>
  <c r="M118" i="36"/>
  <c r="X116" i="36"/>
  <c r="V118" i="36"/>
  <c r="BJ120" i="36"/>
  <c r="BN115" i="36"/>
  <c r="E127" i="36"/>
  <c r="U127" i="36"/>
  <c r="AA127" i="36"/>
  <c r="AD127" i="36"/>
  <c r="BK127" i="36"/>
  <c r="AN127" i="36"/>
  <c r="BD115" i="36"/>
  <c r="T127" i="36"/>
  <c r="AG127" i="36"/>
  <c r="BB115" i="36"/>
  <c r="BF127" i="36"/>
  <c r="M127" i="36"/>
  <c r="AE116" i="36"/>
  <c r="AK119" i="36"/>
  <c r="K127" i="36"/>
  <c r="P116" i="36"/>
  <c r="AR118" i="36"/>
  <c r="AG118" i="36"/>
  <c r="AF116" i="36"/>
  <c r="W118" i="36"/>
  <c r="M116" i="36"/>
  <c r="N116" i="36"/>
  <c r="I116" i="36"/>
  <c r="BG120" i="36"/>
  <c r="BM115" i="36"/>
  <c r="AC127" i="36"/>
  <c r="BA127" i="36"/>
  <c r="F127" i="36"/>
  <c r="AA116" i="36"/>
  <c r="BE115" i="36"/>
  <c r="E116" i="36"/>
  <c r="Q118" i="36"/>
  <c r="Z118" i="36"/>
  <c r="R116" i="36"/>
  <c r="Y116" i="36"/>
  <c r="N118" i="36"/>
  <c r="I118" i="36"/>
  <c r="I127" i="36"/>
  <c r="AV115" i="36"/>
  <c r="AL127" i="36"/>
  <c r="J127" i="36"/>
  <c r="AS127" i="36"/>
  <c r="AH122" i="36"/>
  <c r="Q127" i="36"/>
  <c r="AQ127" i="36"/>
  <c r="AO127" i="36"/>
  <c r="Z127" i="36"/>
  <c r="G116" i="36"/>
  <c r="BH127" i="36"/>
  <c r="E118" i="36"/>
  <c r="Q116" i="36"/>
  <c r="Z116" i="36"/>
  <c r="R118" i="36"/>
  <c r="Y118" i="36"/>
  <c r="BN116" i="36"/>
  <c r="AC118" i="36"/>
  <c r="U118" i="36"/>
  <c r="AJ116" i="36"/>
  <c r="AF127" i="36"/>
  <c r="BI127" i="36"/>
  <c r="L122" i="36"/>
  <c r="BL127" i="36"/>
  <c r="C286" i="38"/>
  <c r="C282" i="38"/>
  <c r="C287" i="38"/>
  <c r="C285" i="38"/>
  <c r="C283" i="38"/>
  <c r="C284" i="38"/>
  <c r="C335" i="38"/>
  <c r="D120" i="36" s="1"/>
  <c r="T120" i="36"/>
  <c r="X120" i="36"/>
  <c r="AF120" i="36"/>
  <c r="Z119" i="36"/>
  <c r="AA119" i="36"/>
  <c r="AG120" i="36"/>
  <c r="F119" i="36"/>
  <c r="U119" i="36"/>
  <c r="L120" i="36"/>
  <c r="M326" i="38"/>
  <c r="M335" i="38" s="1"/>
  <c r="V119" i="36"/>
  <c r="P120" i="36"/>
  <c r="M119" i="36"/>
  <c r="AD119" i="36"/>
  <c r="D119" i="36"/>
  <c r="BE104" i="36"/>
  <c r="BE102" i="36"/>
  <c r="AP102" i="36"/>
  <c r="AP104" i="36"/>
  <c r="BG104" i="36"/>
  <c r="BG102" i="36"/>
  <c r="AT102" i="36"/>
  <c r="AT104" i="36"/>
  <c r="BI102" i="36"/>
  <c r="BI104" i="36"/>
  <c r="BF102" i="36"/>
  <c r="BF104" i="36"/>
  <c r="BL104" i="36"/>
  <c r="BL102" i="36"/>
  <c r="BB102" i="36"/>
  <c r="BB104" i="36"/>
  <c r="AK104" i="36"/>
  <c r="AK102" i="36"/>
  <c r="BK102" i="36"/>
  <c r="BK104" i="36"/>
  <c r="BM104" i="36"/>
  <c r="BM102" i="36"/>
  <c r="AZ102" i="36"/>
  <c r="AZ104" i="36"/>
  <c r="BD102" i="36"/>
  <c r="BD104" i="36"/>
  <c r="AY102" i="36"/>
  <c r="AY104" i="36"/>
  <c r="BH102" i="36"/>
  <c r="BH104" i="36"/>
  <c r="AQ104" i="36"/>
  <c r="AQ102" i="36"/>
  <c r="AW104" i="36"/>
  <c r="AW102" i="36"/>
  <c r="AS104" i="36"/>
  <c r="AS102" i="36"/>
  <c r="AV104" i="36"/>
  <c r="AV102" i="36"/>
  <c r="AU104" i="36"/>
  <c r="AU102" i="36"/>
  <c r="D337" i="38"/>
  <c r="E120" i="36"/>
  <c r="AN102" i="36"/>
  <c r="AN104" i="36"/>
  <c r="AX102" i="36"/>
  <c r="AX104" i="36"/>
  <c r="AO102" i="36"/>
  <c r="AO104" i="36"/>
  <c r="AL102" i="36"/>
  <c r="AL104" i="36"/>
  <c r="BC104" i="36"/>
  <c r="BC102" i="36"/>
  <c r="BJ102" i="36"/>
  <c r="BJ104" i="36"/>
  <c r="AM102" i="36"/>
  <c r="AM104" i="36"/>
  <c r="BA104" i="36"/>
  <c r="BA102" i="36"/>
  <c r="N342" i="38"/>
  <c r="O120" i="36"/>
  <c r="E247" i="38"/>
  <c r="D280" i="38"/>
  <c r="D281" i="38" s="1"/>
  <c r="Y335" i="38"/>
  <c r="X326" i="38"/>
  <c r="X335" i="38" s="1"/>
  <c r="L337" i="38"/>
  <c r="L342" i="38"/>
  <c r="AD335" i="38"/>
  <c r="AD333" i="38"/>
  <c r="AC337" i="38"/>
  <c r="AC342" i="38"/>
  <c r="S333" i="38"/>
  <c r="AG325" i="38"/>
  <c r="AG326" i="38" s="1"/>
  <c r="AG333" i="38" s="1"/>
  <c r="AB326" i="38"/>
  <c r="AB335" i="38" s="1"/>
  <c r="K333" i="38"/>
  <c r="O333" i="38"/>
  <c r="H326" i="38"/>
  <c r="H335" i="38" s="1"/>
  <c r="W333" i="38"/>
  <c r="E335" i="38"/>
  <c r="F326" i="38"/>
  <c r="F335" i="38" s="1"/>
  <c r="Z337" i="38"/>
  <c r="Z342" i="38"/>
  <c r="T335" i="38"/>
  <c r="U335" i="38"/>
  <c r="V326" i="38"/>
  <c r="V335" i="38" s="1"/>
  <c r="AA326" i="38"/>
  <c r="AA333" i="38" s="1"/>
  <c r="R326" i="38"/>
  <c r="R333" i="38" s="1"/>
  <c r="AE333" i="38"/>
  <c r="I326" i="38"/>
  <c r="I335" i="38" s="1"/>
  <c r="Q326" i="38"/>
  <c r="Q335" i="38" s="1"/>
  <c r="N337" i="38"/>
  <c r="P326" i="38"/>
  <c r="P333" i="38" s="1"/>
  <c r="J335" i="38"/>
  <c r="J333" i="38"/>
  <c r="G326" i="38"/>
  <c r="G333" i="38" s="1"/>
  <c r="AF333" i="38"/>
  <c r="D342" i="38"/>
  <c r="AK116" i="36" l="1"/>
  <c r="BD116" i="36"/>
  <c r="AX116" i="36"/>
  <c r="BH116" i="36"/>
  <c r="BL118" i="36"/>
  <c r="AV120" i="36"/>
  <c r="O124" i="36"/>
  <c r="BC116" i="36"/>
  <c r="AN118" i="36"/>
  <c r="AS116" i="36"/>
  <c r="AY118" i="36"/>
  <c r="BK118" i="36"/>
  <c r="BF118" i="36"/>
  <c r="AP118" i="36"/>
  <c r="BB119" i="36"/>
  <c r="BL120" i="36"/>
  <c r="E124" i="36"/>
  <c r="AZ120" i="36"/>
  <c r="BC118" i="36"/>
  <c r="AN116" i="36"/>
  <c r="AS118" i="36"/>
  <c r="AY116" i="36"/>
  <c r="BK116" i="36"/>
  <c r="BF116" i="36"/>
  <c r="AP116" i="36"/>
  <c r="BD120" i="36"/>
  <c r="BN122" i="36"/>
  <c r="Q122" i="36"/>
  <c r="AV127" i="36"/>
  <c r="Y122" i="36"/>
  <c r="E122" i="36"/>
  <c r="I122" i="36"/>
  <c r="AF122" i="36"/>
  <c r="BD127" i="36"/>
  <c r="W122" i="36"/>
  <c r="V122" i="36"/>
  <c r="AP127" i="36"/>
  <c r="S122" i="36"/>
  <c r="AM127" i="36"/>
  <c r="U122" i="36"/>
  <c r="BD118" i="36"/>
  <c r="AK118" i="36"/>
  <c r="BE118" i="36"/>
  <c r="BA119" i="36"/>
  <c r="R122" i="36"/>
  <c r="BE127" i="36"/>
  <c r="N122" i="36"/>
  <c r="BB127" i="36"/>
  <c r="AK127" i="36"/>
  <c r="K122" i="36"/>
  <c r="AC122" i="36"/>
  <c r="AB122" i="36"/>
  <c r="AW116" i="36"/>
  <c r="AW118" i="36"/>
  <c r="BI116" i="36"/>
  <c r="AJ120" i="36"/>
  <c r="AJ122" i="36"/>
  <c r="AM118" i="36"/>
  <c r="AO118" i="36"/>
  <c r="AU116" i="36"/>
  <c r="AQ116" i="36"/>
  <c r="AZ118" i="36"/>
  <c r="BB118" i="36"/>
  <c r="AT118" i="36"/>
  <c r="AJ119" i="36"/>
  <c r="AL119" i="36"/>
  <c r="BA116" i="36"/>
  <c r="BE116" i="36"/>
  <c r="BA118" i="36"/>
  <c r="AO116" i="36"/>
  <c r="AQ118" i="36"/>
  <c r="BB116" i="36"/>
  <c r="BJ119" i="36"/>
  <c r="AA122" i="36"/>
  <c r="BM127" i="36"/>
  <c r="M122" i="36"/>
  <c r="AE122" i="36"/>
  <c r="X122" i="36"/>
  <c r="AG122" i="36"/>
  <c r="J122" i="36"/>
  <c r="H122" i="36"/>
  <c r="AX127" i="36"/>
  <c r="T122" i="36"/>
  <c r="AL118" i="36"/>
  <c r="AR120" i="36"/>
  <c r="AL116" i="36"/>
  <c r="AM116" i="36"/>
  <c r="AU118" i="36"/>
  <c r="AZ116" i="36"/>
  <c r="AT116" i="36"/>
  <c r="BM120" i="36"/>
  <c r="BJ118" i="36"/>
  <c r="AX118" i="36"/>
  <c r="AV116" i="36"/>
  <c r="BH118" i="36"/>
  <c r="BM116" i="36"/>
  <c r="BL116" i="36"/>
  <c r="BG116" i="36"/>
  <c r="AS119" i="36"/>
  <c r="BG119" i="36"/>
  <c r="BI118" i="36"/>
  <c r="BJ116" i="36"/>
  <c r="AV118" i="36"/>
  <c r="BM118" i="36"/>
  <c r="BG118" i="36"/>
  <c r="BF119" i="36"/>
  <c r="Z122" i="36"/>
  <c r="G122" i="36"/>
  <c r="P122" i="36"/>
  <c r="BN127" i="36"/>
  <c r="AR122" i="36"/>
  <c r="BJ127" i="36"/>
  <c r="AT127" i="36"/>
  <c r="O122" i="36"/>
  <c r="F122" i="36"/>
  <c r="AD122" i="36"/>
  <c r="AA124" i="36"/>
  <c r="C337" i="38"/>
  <c r="D283" i="38"/>
  <c r="D287" i="38"/>
  <c r="D286" i="38"/>
  <c r="D284" i="38"/>
  <c r="D282" i="38"/>
  <c r="D285" i="38"/>
  <c r="C342" i="38"/>
  <c r="D125" i="36" s="1"/>
  <c r="BJ124" i="36"/>
  <c r="AD121" i="36"/>
  <c r="BG124" i="36"/>
  <c r="AD124" i="36"/>
  <c r="AA121" i="36"/>
  <c r="M333" i="38"/>
  <c r="M124" i="36"/>
  <c r="R120" i="36"/>
  <c r="P119" i="36"/>
  <c r="AE120" i="36"/>
  <c r="K120" i="36"/>
  <c r="W120" i="36"/>
  <c r="Q119" i="36"/>
  <c r="G120" i="36"/>
  <c r="I120" i="36"/>
  <c r="AC120" i="36"/>
  <c r="D121" i="36"/>
  <c r="K119" i="36"/>
  <c r="X119" i="36"/>
  <c r="T119" i="36"/>
  <c r="J120" i="36"/>
  <c r="L119" i="36"/>
  <c r="AG119" i="36"/>
  <c r="AF119" i="36"/>
  <c r="H119" i="36"/>
  <c r="S119" i="36"/>
  <c r="F120" i="36"/>
  <c r="AH119" i="36"/>
  <c r="AE119" i="36"/>
  <c r="Y120" i="36"/>
  <c r="D124" i="36"/>
  <c r="M121" i="36"/>
  <c r="AB119" i="36"/>
  <c r="N120" i="36"/>
  <c r="U337" i="38"/>
  <c r="V120" i="36"/>
  <c r="T337" i="38"/>
  <c r="U120" i="36"/>
  <c r="Z343" i="38"/>
  <c r="AA125" i="36"/>
  <c r="D343" i="38"/>
  <c r="E125" i="36"/>
  <c r="L343" i="38"/>
  <c r="M125" i="36"/>
  <c r="AC343" i="38"/>
  <c r="AD125" i="36"/>
  <c r="AU120" i="36"/>
  <c r="O121" i="36"/>
  <c r="AK120" i="36"/>
  <c r="E121" i="36"/>
  <c r="Y342" i="38"/>
  <c r="Z120" i="36"/>
  <c r="N343" i="38"/>
  <c r="O125" i="36"/>
  <c r="Y337" i="38"/>
  <c r="F247" i="38"/>
  <c r="E280" i="38"/>
  <c r="E281" i="38" s="1"/>
  <c r="H333" i="38"/>
  <c r="AB333" i="38"/>
  <c r="R335" i="38"/>
  <c r="J337" i="38"/>
  <c r="J342" i="38"/>
  <c r="F333" i="38"/>
  <c r="W337" i="38"/>
  <c r="W342" i="38"/>
  <c r="V333" i="38"/>
  <c r="S337" i="38"/>
  <c r="S342" i="38"/>
  <c r="Q333" i="38"/>
  <c r="X333" i="38"/>
  <c r="T342" i="38"/>
  <c r="AF337" i="38"/>
  <c r="AF342" i="38"/>
  <c r="AE337" i="38"/>
  <c r="AE342" i="38"/>
  <c r="O337" i="38"/>
  <c r="O342" i="38"/>
  <c r="I333" i="38"/>
  <c r="P335" i="38"/>
  <c r="E337" i="38"/>
  <c r="E342" i="38"/>
  <c r="K337" i="38"/>
  <c r="K342" i="38"/>
  <c r="AA335" i="38"/>
  <c r="AG335" i="38"/>
  <c r="AD337" i="38"/>
  <c r="AD342" i="38"/>
  <c r="G335" i="38"/>
  <c r="U342" i="38"/>
  <c r="C343" i="38" l="1"/>
  <c r="AJ121" i="36"/>
  <c r="AJ124" i="36"/>
  <c r="AU121" i="36"/>
  <c r="BE120" i="36"/>
  <c r="AR119" i="36"/>
  <c r="AM120" i="36"/>
  <c r="BK119" i="36"/>
  <c r="AP120" i="36"/>
  <c r="AW119" i="36"/>
  <c r="BG121" i="36"/>
  <c r="BM122" i="36"/>
  <c r="BB122" i="36"/>
  <c r="BE122" i="36"/>
  <c r="AU122" i="36"/>
  <c r="BF122" i="36"/>
  <c r="AN122" i="36"/>
  <c r="BC122" i="36"/>
  <c r="BH122" i="36"/>
  <c r="AK121" i="36"/>
  <c r="BN119" i="36"/>
  <c r="T124" i="36"/>
  <c r="BC120" i="36"/>
  <c r="AL120" i="36"/>
  <c r="X124" i="36"/>
  <c r="AQ120" i="36"/>
  <c r="AS121" i="36"/>
  <c r="AM122" i="36"/>
  <c r="BA122" i="36"/>
  <c r="BI122" i="36"/>
  <c r="BK122" i="36"/>
  <c r="AX122" i="36"/>
  <c r="AT120" i="36"/>
  <c r="AY119" i="36"/>
  <c r="AQ119" i="36"/>
  <c r="BK120" i="36"/>
  <c r="BH119" i="36"/>
  <c r="AN119" i="36"/>
  <c r="P121" i="36"/>
  <c r="AS124" i="36"/>
  <c r="BJ122" i="36"/>
  <c r="BG122" i="36"/>
  <c r="AV122" i="36"/>
  <c r="AT122" i="36"/>
  <c r="AL122" i="36"/>
  <c r="AO122" i="36"/>
  <c r="AY122" i="36"/>
  <c r="AS122" i="36"/>
  <c r="BD122" i="36"/>
  <c r="BL119" i="36"/>
  <c r="BI120" i="36"/>
  <c r="AX120" i="36"/>
  <c r="AG121" i="36"/>
  <c r="AO120" i="36"/>
  <c r="BL122" i="36"/>
  <c r="AZ122" i="36"/>
  <c r="BJ121" i="36"/>
  <c r="AQ122" i="36"/>
  <c r="AW122" i="36"/>
  <c r="AP122" i="36"/>
  <c r="AK122" i="36"/>
  <c r="K124" i="36"/>
  <c r="E284" i="38"/>
  <c r="E283" i="38"/>
  <c r="E282" i="38"/>
  <c r="E286" i="38"/>
  <c r="E285" i="38"/>
  <c r="E287" i="38"/>
  <c r="T121" i="36"/>
  <c r="AG124" i="36"/>
  <c r="BM119" i="36"/>
  <c r="L121" i="36"/>
  <c r="AV119" i="36"/>
  <c r="F124" i="36"/>
  <c r="F121" i="36"/>
  <c r="L124" i="36"/>
  <c r="AZ119" i="36"/>
  <c r="X121" i="36"/>
  <c r="AF121" i="36"/>
  <c r="BD119" i="36"/>
  <c r="AF124" i="36"/>
  <c r="AE124" i="36"/>
  <c r="N119" i="36"/>
  <c r="M342" i="38"/>
  <c r="AE121" i="36"/>
  <c r="M337" i="38"/>
  <c r="BK121" i="36"/>
  <c r="M126" i="36"/>
  <c r="J119" i="36"/>
  <c r="Y119" i="36"/>
  <c r="D126" i="36"/>
  <c r="AD126" i="36"/>
  <c r="E126" i="36"/>
  <c r="R119" i="36"/>
  <c r="G119" i="36"/>
  <c r="P124" i="36"/>
  <c r="W119" i="36"/>
  <c r="O126" i="36"/>
  <c r="K121" i="36"/>
  <c r="AA126" i="36"/>
  <c r="AU124" i="36"/>
  <c r="S343" i="38"/>
  <c r="T125" i="36"/>
  <c r="AR121" i="36"/>
  <c r="AR124" i="36"/>
  <c r="U343" i="38"/>
  <c r="V125" i="36"/>
  <c r="E343" i="38"/>
  <c r="F125" i="36"/>
  <c r="AF343" i="38"/>
  <c r="AG125" i="36"/>
  <c r="AB337" i="38"/>
  <c r="AC119" i="36"/>
  <c r="P337" i="38"/>
  <c r="Q120" i="36"/>
  <c r="T343" i="38"/>
  <c r="U125" i="36"/>
  <c r="W343" i="38"/>
  <c r="X125" i="36"/>
  <c r="K343" i="38"/>
  <c r="L125" i="36"/>
  <c r="R342" i="38"/>
  <c r="S120" i="36"/>
  <c r="AD343" i="38"/>
  <c r="AE125" i="36"/>
  <c r="AG337" i="38"/>
  <c r="AH120" i="36"/>
  <c r="O343" i="38"/>
  <c r="P125" i="36"/>
  <c r="BF120" i="36"/>
  <c r="Z124" i="36"/>
  <c r="Z121" i="36"/>
  <c r="AE343" i="38"/>
  <c r="AF125" i="36"/>
  <c r="G342" i="38"/>
  <c r="H120" i="36"/>
  <c r="H337" i="38"/>
  <c r="I119" i="36"/>
  <c r="AA337" i="38"/>
  <c r="AB120" i="36"/>
  <c r="J343" i="38"/>
  <c r="K125" i="36"/>
  <c r="AK124" i="36"/>
  <c r="Y343" i="38"/>
  <c r="Z125" i="36"/>
  <c r="BA120" i="36"/>
  <c r="U124" i="36"/>
  <c r="U121" i="36"/>
  <c r="BB120" i="36"/>
  <c r="V121" i="36"/>
  <c r="V124" i="36"/>
  <c r="F280" i="38"/>
  <c r="F281" i="38" s="1"/>
  <c r="G247" i="38"/>
  <c r="AB342" i="38"/>
  <c r="R337" i="38"/>
  <c r="H342" i="38"/>
  <c r="P342" i="38"/>
  <c r="X337" i="38"/>
  <c r="X342" i="38"/>
  <c r="AA342" i="38"/>
  <c r="I337" i="38"/>
  <c r="I342" i="38"/>
  <c r="V337" i="38"/>
  <c r="V342" i="38"/>
  <c r="G337" i="38"/>
  <c r="Q337" i="38"/>
  <c r="Q342" i="38"/>
  <c r="F337" i="38"/>
  <c r="F342" i="38"/>
  <c r="AG342" i="38"/>
  <c r="BL124" i="36" l="1"/>
  <c r="AQ124" i="36"/>
  <c r="BK124" i="36"/>
  <c r="AQ121" i="36"/>
  <c r="AM119" i="36"/>
  <c r="W121" i="36"/>
  <c r="J121" i="36"/>
  <c r="AV121" i="36"/>
  <c r="BD121" i="36"/>
  <c r="R124" i="36"/>
  <c r="BM121" i="36"/>
  <c r="AZ121" i="36"/>
  <c r="BL121" i="36"/>
  <c r="BE119" i="36"/>
  <c r="AL121" i="36"/>
  <c r="AL124" i="36"/>
  <c r="W124" i="36"/>
  <c r="G124" i="36"/>
  <c r="BD124" i="36"/>
  <c r="F285" i="38"/>
  <c r="F282" i="38"/>
  <c r="F284" i="38"/>
  <c r="F283" i="38"/>
  <c r="F287" i="38"/>
  <c r="F286" i="38"/>
  <c r="N125" i="36"/>
  <c r="BC119" i="36"/>
  <c r="G121" i="36"/>
  <c r="R121" i="36"/>
  <c r="M343" i="38"/>
  <c r="N126" i="36" s="1"/>
  <c r="AV124" i="36"/>
  <c r="AZ124" i="36"/>
  <c r="BM124" i="36"/>
  <c r="AX119" i="36"/>
  <c r="AP119" i="36"/>
  <c r="Y124" i="36"/>
  <c r="Y121" i="36"/>
  <c r="N121" i="36"/>
  <c r="AT119" i="36"/>
  <c r="N124" i="36"/>
  <c r="T126" i="36"/>
  <c r="U126" i="36"/>
  <c r="V126" i="36"/>
  <c r="Z126" i="36"/>
  <c r="J124" i="36"/>
  <c r="X126" i="36"/>
  <c r="F126" i="36"/>
  <c r="L126" i="36"/>
  <c r="AG126" i="36"/>
  <c r="K126" i="36"/>
  <c r="AF126" i="36"/>
  <c r="P126" i="36"/>
  <c r="AE126" i="36"/>
  <c r="Q343" i="38"/>
  <c r="R125" i="36"/>
  <c r="X343" i="38"/>
  <c r="Y125" i="36"/>
  <c r="AN120" i="36"/>
  <c r="H124" i="36"/>
  <c r="H121" i="36"/>
  <c r="AY120" i="36"/>
  <c r="S124" i="36"/>
  <c r="S121" i="36"/>
  <c r="AW120" i="36"/>
  <c r="Q121" i="36"/>
  <c r="Q124" i="36"/>
  <c r="H343" i="38"/>
  <c r="I125" i="36"/>
  <c r="AM121" i="36"/>
  <c r="AM124" i="36"/>
  <c r="V343" i="38"/>
  <c r="W125" i="36"/>
  <c r="BB121" i="36"/>
  <c r="BB124" i="36"/>
  <c r="BH120" i="36"/>
  <c r="AB124" i="36"/>
  <c r="AB121" i="36"/>
  <c r="BE121" i="36"/>
  <c r="BE124" i="36"/>
  <c r="G343" i="38"/>
  <c r="H125" i="36"/>
  <c r="BI119" i="36"/>
  <c r="AC121" i="36"/>
  <c r="AC124" i="36"/>
  <c r="I343" i="38"/>
  <c r="J125" i="36"/>
  <c r="AA343" i="38"/>
  <c r="AB125" i="36"/>
  <c r="R343" i="38"/>
  <c r="S125" i="36"/>
  <c r="P343" i="38"/>
  <c r="Q125" i="36"/>
  <c r="AG343" i="38"/>
  <c r="AH125" i="36"/>
  <c r="AB343" i="38"/>
  <c r="AC125" i="36"/>
  <c r="F343" i="38"/>
  <c r="G125" i="36"/>
  <c r="BA121" i="36"/>
  <c r="BA124" i="36"/>
  <c r="AO119" i="36"/>
  <c r="I121" i="36"/>
  <c r="I124" i="36"/>
  <c r="BF121" i="36"/>
  <c r="BF124" i="36"/>
  <c r="BN120" i="36"/>
  <c r="AH124" i="36"/>
  <c r="AH121" i="36"/>
  <c r="G280" i="38"/>
  <c r="G281" i="38" s="1"/>
  <c r="H247" i="38"/>
  <c r="BC124" i="36" l="1"/>
  <c r="AX121" i="36"/>
  <c r="AP121" i="36"/>
  <c r="BC121" i="36"/>
  <c r="AX124" i="36"/>
  <c r="G286" i="38"/>
  <c r="G285" i="38"/>
  <c r="G284" i="38"/>
  <c r="G287" i="38"/>
  <c r="G282" i="38"/>
  <c r="G283" i="38"/>
  <c r="AP124" i="36"/>
  <c r="AT121" i="36"/>
  <c r="AT124" i="36"/>
  <c r="G126" i="36"/>
  <c r="AH126" i="36"/>
  <c r="S126" i="36"/>
  <c r="J126" i="36"/>
  <c r="W126" i="36"/>
  <c r="I126" i="36"/>
  <c r="Y126" i="36"/>
  <c r="H126" i="36"/>
  <c r="R126" i="36"/>
  <c r="AC126" i="36"/>
  <c r="Q126" i="36"/>
  <c r="AB126" i="36"/>
  <c r="AW124" i="36"/>
  <c r="AW121" i="36"/>
  <c r="AY124" i="36"/>
  <c r="AY121" i="36"/>
  <c r="BI121" i="36"/>
  <c r="BI124" i="36"/>
  <c r="BN121" i="36"/>
  <c r="BN124" i="36"/>
  <c r="BH121" i="36"/>
  <c r="BH124" i="36"/>
  <c r="AO121" i="36"/>
  <c r="AO124" i="36"/>
  <c r="AN121" i="36"/>
  <c r="AN124" i="36"/>
  <c r="H280" i="38"/>
  <c r="H281" i="38" s="1"/>
  <c r="I247" i="38"/>
  <c r="H283" i="38" l="1"/>
  <c r="H287" i="38"/>
  <c r="H286" i="38"/>
  <c r="H285" i="38"/>
  <c r="H282" i="38"/>
  <c r="H284" i="38"/>
  <c r="J247" i="38"/>
  <c r="I280" i="38"/>
  <c r="I281" i="38" s="1"/>
  <c r="I284" i="38" l="1"/>
  <c r="I287" i="38"/>
  <c r="I283" i="38"/>
  <c r="I286" i="38"/>
  <c r="I282" i="38"/>
  <c r="I285" i="38"/>
  <c r="K247" i="38"/>
  <c r="J280" i="38"/>
  <c r="J281" i="38" s="1"/>
  <c r="J285" i="38" l="1"/>
  <c r="J282" i="38"/>
  <c r="J283" i="38"/>
  <c r="J284" i="38"/>
  <c r="J286" i="38"/>
  <c r="J287" i="38"/>
  <c r="L247" i="38"/>
  <c r="K280" i="38"/>
  <c r="K281" i="38" s="1"/>
  <c r="K286" i="38" l="1"/>
  <c r="K284" i="38"/>
  <c r="K282" i="38"/>
  <c r="K283" i="38"/>
  <c r="K285" i="38"/>
  <c r="K287" i="38"/>
  <c r="L280" i="38"/>
  <c r="L281" i="38" s="1"/>
  <c r="M247" i="38"/>
  <c r="L283" i="38" l="1"/>
  <c r="L287" i="38"/>
  <c r="L285" i="38"/>
  <c r="L284" i="38"/>
  <c r="L286" i="38"/>
  <c r="L282" i="38"/>
  <c r="N247" i="38"/>
  <c r="M280" i="38"/>
  <c r="M281" i="38" s="1"/>
  <c r="M284" i="38" l="1"/>
  <c r="M286" i="38"/>
  <c r="M285" i="38"/>
  <c r="M282" i="38"/>
  <c r="M283" i="38"/>
  <c r="M287" i="38"/>
  <c r="O247" i="38"/>
  <c r="N280" i="38"/>
  <c r="N281" i="38" s="1"/>
  <c r="N285" i="38" l="1"/>
  <c r="N282" i="38"/>
  <c r="N287" i="38"/>
  <c r="N283" i="38"/>
  <c r="N286" i="38"/>
  <c r="N284" i="38"/>
  <c r="P247" i="38"/>
  <c r="O280" i="38"/>
  <c r="O281" i="38" s="1"/>
  <c r="O286" i="38" l="1"/>
  <c r="O283" i="38"/>
  <c r="O287" i="38"/>
  <c r="O285" i="38"/>
  <c r="O282" i="38"/>
  <c r="O284" i="38"/>
  <c r="Q247" i="38"/>
  <c r="P280" i="38"/>
  <c r="P281" i="38" s="1"/>
  <c r="P283" i="38" l="1"/>
  <c r="P287" i="38"/>
  <c r="P284" i="38"/>
  <c r="P282" i="38"/>
  <c r="P285" i="38"/>
  <c r="P286" i="38"/>
  <c r="R247" i="38"/>
  <c r="Q280" i="38"/>
  <c r="Q281" i="38" s="1"/>
  <c r="Q284" i="38" l="1"/>
  <c r="Q285" i="38"/>
  <c r="Q283" i="38"/>
  <c r="Q286" i="38"/>
  <c r="Q282" i="38"/>
  <c r="Q287" i="38"/>
  <c r="S247" i="38"/>
  <c r="R280" i="38"/>
  <c r="R281" i="38" s="1"/>
  <c r="R285" i="38" l="1"/>
  <c r="R282" i="38"/>
  <c r="R286" i="38"/>
  <c r="R284" i="38"/>
  <c r="R287" i="38"/>
  <c r="R283" i="38"/>
  <c r="T247" i="38"/>
  <c r="S280" i="38"/>
  <c r="S281" i="38" s="1"/>
  <c r="S286" i="38" l="1"/>
  <c r="S287" i="38"/>
  <c r="S285" i="38"/>
  <c r="S283" i="38"/>
  <c r="S284" i="38"/>
  <c r="S282" i="38"/>
  <c r="U247" i="38"/>
  <c r="T280" i="38"/>
  <c r="T281" i="38" s="1"/>
  <c r="T283" i="38" l="1"/>
  <c r="T287" i="38"/>
  <c r="T284" i="38"/>
  <c r="T282" i="38"/>
  <c r="T285" i="38"/>
  <c r="T286" i="38"/>
  <c r="V247" i="38"/>
  <c r="U280" i="38"/>
  <c r="U281" i="38" s="1"/>
  <c r="U284" i="38" l="1"/>
  <c r="U283" i="38"/>
  <c r="U282" i="38"/>
  <c r="U285" i="38"/>
  <c r="U287" i="38"/>
  <c r="U286" i="38"/>
  <c r="W247" i="38"/>
  <c r="V280" i="38"/>
  <c r="V281" i="38" s="1"/>
  <c r="V285" i="38" l="1"/>
  <c r="V282" i="38"/>
  <c r="V284" i="38"/>
  <c r="V283" i="38"/>
  <c r="V287" i="38"/>
  <c r="V286" i="38"/>
  <c r="X247" i="38"/>
  <c r="W280" i="38"/>
  <c r="W281" i="38" s="1"/>
  <c r="W286" i="38" l="1"/>
  <c r="W285" i="38"/>
  <c r="W284" i="38"/>
  <c r="W283" i="38"/>
  <c r="W287" i="38"/>
  <c r="W282" i="38"/>
  <c r="Y247" i="38"/>
  <c r="X280" i="38"/>
  <c r="X281" i="38" s="1"/>
  <c r="X283" i="38" l="1"/>
  <c r="X287" i="38"/>
  <c r="X286" i="38"/>
  <c r="X285" i="38"/>
  <c r="X282" i="38"/>
  <c r="X284" i="38"/>
  <c r="Z247" i="38"/>
  <c r="Y280" i="38"/>
  <c r="Y281" i="38" s="1"/>
  <c r="Y284" i="38" l="1"/>
  <c r="Y287" i="38"/>
  <c r="Y286" i="38"/>
  <c r="Y283" i="38"/>
  <c r="Y285" i="38"/>
  <c r="Y282" i="38"/>
  <c r="AA247" i="38"/>
  <c r="Z280" i="38"/>
  <c r="Z281" i="38" s="1"/>
  <c r="Z285" i="38" l="1"/>
  <c r="Z282" i="38"/>
  <c r="Z283" i="38"/>
  <c r="Z284" i="38"/>
  <c r="Z286" i="38"/>
  <c r="Z287" i="38"/>
  <c r="AB247" i="38"/>
  <c r="AA280" i="38"/>
  <c r="AA281" i="38" s="1"/>
  <c r="AA286" i="38" l="1"/>
  <c r="AA284" i="38"/>
  <c r="AA282" i="38"/>
  <c r="AA283" i="38"/>
  <c r="AA285" i="38"/>
  <c r="AA287" i="38"/>
  <c r="AC247" i="38"/>
  <c r="AB280" i="38"/>
  <c r="AB281" i="38" s="1"/>
  <c r="AB283" i="38" l="1"/>
  <c r="AB287" i="38"/>
  <c r="AB285" i="38"/>
  <c r="AB284" i="38"/>
  <c r="AB282" i="38"/>
  <c r="AB286" i="38"/>
  <c r="AD247" i="38"/>
  <c r="AC280" i="38"/>
  <c r="AC281" i="38" s="1"/>
  <c r="AC284" i="38" l="1"/>
  <c r="AC286" i="38"/>
  <c r="AC285" i="38"/>
  <c r="AC287" i="38"/>
  <c r="AC282" i="38"/>
  <c r="AC283" i="38"/>
  <c r="AD280" i="38"/>
  <c r="AD281" i="38" s="1"/>
  <c r="AE247" i="38"/>
  <c r="AD285" i="38" l="1"/>
  <c r="AD282" i="38"/>
  <c r="AD287" i="38"/>
  <c r="AD283" i="38"/>
  <c r="AD284" i="38"/>
  <c r="AD286" i="38"/>
  <c r="AF247" i="38"/>
  <c r="AE280" i="38"/>
  <c r="AE281" i="38" s="1"/>
  <c r="AE286" i="38" l="1"/>
  <c r="AE283" i="38"/>
  <c r="AE284" i="38"/>
  <c r="AE287" i="38"/>
  <c r="AE282" i="38"/>
  <c r="AE285" i="38"/>
  <c r="AG247" i="38"/>
  <c r="AG280" i="38" s="1"/>
  <c r="AG281" i="38" s="1"/>
  <c r="AF280" i="38"/>
  <c r="AF281" i="38" s="1"/>
  <c r="AF283" i="38" l="1"/>
  <c r="AF287" i="38"/>
  <c r="AF284" i="38"/>
  <c r="AF282" i="38"/>
  <c r="AF285" i="38"/>
  <c r="AF286" i="38"/>
  <c r="AG284" i="38"/>
  <c r="AG285" i="38"/>
  <c r="AG283" i="38"/>
  <c r="AG287" i="38"/>
  <c r="AG282" i="38"/>
  <c r="AG286" i="38"/>
  <c r="C191" i="29"/>
  <c r="G191" i="29"/>
  <c r="V191" i="29"/>
  <c r="AD191" i="29"/>
  <c r="Y191" i="29"/>
  <c r="D191" i="29"/>
  <c r="I191" i="29"/>
  <c r="M191" i="29"/>
  <c r="Q191" i="29"/>
  <c r="AF191" i="29"/>
  <c r="J191" i="29"/>
  <c r="AC191" i="29"/>
  <c r="K191" i="29"/>
  <c r="T191" i="29"/>
  <c r="R191" i="29"/>
  <c r="H191" i="29"/>
  <c r="E191" i="29"/>
  <c r="AA191" i="29"/>
  <c r="AB191" i="29"/>
  <c r="X191" i="29"/>
  <c r="AE191" i="29"/>
  <c r="W191" i="29"/>
  <c r="N191" i="29"/>
  <c r="L191" i="29"/>
  <c r="P191" i="29"/>
  <c r="S191" i="29"/>
  <c r="U191" i="29"/>
  <c r="AG191" i="29"/>
  <c r="O191" i="29"/>
  <c r="F191" i="29"/>
  <c r="Z191" i="29"/>
  <c r="AA16" i="44" l="1"/>
  <c r="U11" i="44"/>
  <c r="E59" i="44" s="1"/>
  <c r="E65" i="44" l="1"/>
  <c r="E62" i="44"/>
  <c r="E63" i="44" l="1"/>
  <c r="E66" i="44"/>
  <c r="N97" i="44" l="1"/>
  <c r="M85" i="44" l="1"/>
  <c r="E3" i="49" l="1"/>
  <c r="F18" i="49" l="1"/>
  <c r="C18" i="49"/>
  <c r="C22" i="49" s="1"/>
  <c r="O10" i="24" l="1"/>
  <c r="F23" i="49"/>
  <c r="C23" i="49"/>
  <c r="D19" i="49" s="1"/>
  <c r="D18" i="49" l="1"/>
  <c r="D20" i="49"/>
  <c r="D22" i="49"/>
  <c r="G19" i="49"/>
  <c r="G21" i="49"/>
  <c r="G20" i="49"/>
  <c r="G22" i="49"/>
  <c r="G18" i="49"/>
  <c r="D21" i="49"/>
  <c r="AG145" i="53" l="1"/>
  <c r="AG147" i="53" s="1"/>
  <c r="AG148" i="53" s="1"/>
  <c r="AH60" i="51" s="1"/>
  <c r="D7" i="7"/>
  <c r="I21" i="7" s="1"/>
  <c r="H14" i="7" s="1"/>
  <c r="C8" i="7"/>
  <c r="K7" i="12" s="1"/>
  <c r="C9" i="7"/>
  <c r="D9" i="7" s="1"/>
  <c r="S16" i="7" s="1"/>
  <c r="C10" i="7"/>
  <c r="D10" i="7" s="1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E7" i="12"/>
  <c r="G7" i="12"/>
  <c r="H7" i="12"/>
  <c r="I7" i="12"/>
  <c r="J7" i="12"/>
  <c r="M7" i="12"/>
  <c r="O7" i="12"/>
  <c r="P7" i="12"/>
  <c r="Q7" i="12"/>
  <c r="R7" i="12"/>
  <c r="U7" i="12"/>
  <c r="V7" i="12"/>
  <c r="W7" i="12"/>
  <c r="X7" i="12"/>
  <c r="Y7" i="12"/>
  <c r="Z7" i="12"/>
  <c r="AC7" i="12"/>
  <c r="AD7" i="12"/>
  <c r="AE7" i="12"/>
  <c r="AF7" i="12"/>
  <c r="AG7" i="12"/>
  <c r="AH7" i="12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J8" i="12" l="1"/>
  <c r="AE8" i="12"/>
  <c r="W8" i="12"/>
  <c r="O8" i="12"/>
  <c r="G8" i="12"/>
  <c r="I8" i="12"/>
  <c r="Q8" i="12"/>
  <c r="K8" i="12"/>
  <c r="Z8" i="12"/>
  <c r="Y8" i="12"/>
  <c r="U8" i="12"/>
  <c r="M8" i="12"/>
  <c r="E8" i="12"/>
  <c r="AH8" i="14"/>
  <c r="W8" i="14"/>
  <c r="G8" i="14"/>
  <c r="O8" i="14"/>
  <c r="V8" i="14"/>
  <c r="F8" i="14"/>
  <c r="N7" i="12"/>
  <c r="F7" i="12"/>
  <c r="AB7" i="12"/>
  <c r="T7" i="12"/>
  <c r="L7" i="12"/>
  <c r="AA7" i="12"/>
  <c r="S7" i="12"/>
  <c r="X8" i="12"/>
  <c r="H8" i="12"/>
  <c r="P8" i="12"/>
  <c r="Y8" i="14"/>
  <c r="Q8" i="14"/>
  <c r="I8" i="14"/>
  <c r="C11" i="7"/>
  <c r="D11" i="7" s="1"/>
  <c r="T20" i="7" s="1"/>
  <c r="D8" i="7"/>
  <c r="N16" i="7" s="1"/>
  <c r="M14" i="7" s="1"/>
  <c r="C38" i="7" s="1"/>
  <c r="F65" i="7" s="1"/>
  <c r="D7" i="12"/>
  <c r="R8" i="14"/>
  <c r="AC8" i="14"/>
  <c r="U8" i="14"/>
  <c r="M8" i="14"/>
  <c r="E8" i="14"/>
  <c r="AB8" i="14"/>
  <c r="T8" i="14"/>
  <c r="V8" i="12"/>
  <c r="S8" i="14"/>
  <c r="AB8" i="12"/>
  <c r="D8" i="14"/>
  <c r="AD8" i="12"/>
  <c r="R8" i="12"/>
  <c r="AA8" i="14"/>
  <c r="N8" i="14"/>
  <c r="AC8" i="12"/>
  <c r="AH8" i="12"/>
  <c r="AD8" i="14"/>
  <c r="Z8" i="14"/>
  <c r="L8" i="14"/>
  <c r="AG8" i="14"/>
  <c r="AF8" i="12"/>
  <c r="AG8" i="12"/>
  <c r="K8" i="14"/>
  <c r="X8" i="14"/>
  <c r="P8" i="14"/>
  <c r="H8" i="14"/>
  <c r="AA8" i="12"/>
  <c r="J8" i="14"/>
  <c r="N8" i="12"/>
  <c r="F8" i="12"/>
  <c r="BN60" i="51"/>
  <c r="AE8" i="14"/>
  <c r="AF8" i="14"/>
  <c r="T19" i="7"/>
  <c r="O14" i="7"/>
  <c r="D9" i="12" s="1"/>
  <c r="S15" i="7"/>
  <c r="R14" i="7"/>
  <c r="H19" i="7"/>
  <c r="K26" i="7"/>
  <c r="H17" i="7"/>
  <c r="C36" i="7"/>
  <c r="C37" i="7"/>
  <c r="H15" i="7"/>
  <c r="I15" i="7" s="1"/>
  <c r="H16" i="7"/>
  <c r="H18" i="7"/>
  <c r="H20" i="7"/>
  <c r="K24" i="7"/>
  <c r="K25" i="7"/>
  <c r="X14" i="7"/>
  <c r="X15" i="7"/>
  <c r="E3" i="44"/>
  <c r="S8" i="12" l="1"/>
  <c r="L8" i="12"/>
  <c r="T8" i="12"/>
  <c r="N15" i="7"/>
  <c r="J15" i="7"/>
  <c r="E15" i="7"/>
  <c r="E14" i="7"/>
  <c r="T14" i="7"/>
  <c r="Y14" i="7"/>
  <c r="J14" i="7"/>
  <c r="D10" i="12" s="1"/>
  <c r="D8" i="12"/>
  <c r="F68" i="7"/>
  <c r="F66" i="7"/>
  <c r="C12" i="44"/>
  <c r="N22" i="7"/>
  <c r="C39" i="7"/>
  <c r="R15" i="7"/>
  <c r="C13" i="44" s="1"/>
  <c r="D13" i="44" s="1"/>
  <c r="E13" i="44" s="1"/>
  <c r="T15" i="7"/>
  <c r="M15" i="7"/>
  <c r="M16" i="7" s="1"/>
  <c r="O15" i="7"/>
  <c r="F63" i="7"/>
  <c r="C84" i="7"/>
  <c r="F64" i="7"/>
  <c r="F67" i="7"/>
  <c r="H64" i="7"/>
  <c r="H69" i="7"/>
  <c r="H68" i="7"/>
  <c r="G64" i="7"/>
  <c r="G67" i="7"/>
  <c r="G68" i="7"/>
  <c r="G65" i="7"/>
  <c r="G66" i="7"/>
  <c r="G63" i="7"/>
  <c r="C85" i="7"/>
  <c r="H21" i="7"/>
  <c r="D12" i="44"/>
  <c r="D3" i="44"/>
  <c r="G9" i="12"/>
  <c r="O9" i="12"/>
  <c r="W9" i="12"/>
  <c r="AE9" i="12"/>
  <c r="H9" i="12"/>
  <c r="P9" i="12"/>
  <c r="X9" i="12"/>
  <c r="AF9" i="12"/>
  <c r="I9" i="12"/>
  <c r="Q9" i="12"/>
  <c r="Y9" i="12"/>
  <c r="AG9" i="12"/>
  <c r="J9" i="12"/>
  <c r="R9" i="12"/>
  <c r="Z9" i="12"/>
  <c r="AH9" i="12"/>
  <c r="K9" i="12"/>
  <c r="S9" i="12"/>
  <c r="AA9" i="12"/>
  <c r="L9" i="12"/>
  <c r="T9" i="12"/>
  <c r="AB9" i="12"/>
  <c r="E9" i="12"/>
  <c r="M9" i="12"/>
  <c r="U9" i="12"/>
  <c r="AC9" i="12"/>
  <c r="F9" i="12"/>
  <c r="N9" i="12"/>
  <c r="V9" i="12"/>
  <c r="AD9" i="12"/>
  <c r="K9" i="14"/>
  <c r="S9" i="14"/>
  <c r="AA9" i="14"/>
  <c r="D9" i="14"/>
  <c r="L9" i="14"/>
  <c r="T9" i="14"/>
  <c r="AB9" i="14"/>
  <c r="E9" i="14"/>
  <c r="M9" i="14"/>
  <c r="U9" i="14"/>
  <c r="AC9" i="14"/>
  <c r="F9" i="14"/>
  <c r="N9" i="14"/>
  <c r="V9" i="14"/>
  <c r="AD9" i="14"/>
  <c r="G9" i="14"/>
  <c r="O9" i="14"/>
  <c r="W9" i="14"/>
  <c r="AE9" i="14"/>
  <c r="H9" i="14"/>
  <c r="P9" i="14"/>
  <c r="X9" i="14"/>
  <c r="AF9" i="14"/>
  <c r="I9" i="14"/>
  <c r="Q9" i="14"/>
  <c r="Y9" i="14"/>
  <c r="AG9" i="14"/>
  <c r="J9" i="14"/>
  <c r="R9" i="14"/>
  <c r="Z9" i="14"/>
  <c r="AH9" i="14"/>
  <c r="AF10" i="12"/>
  <c r="I10" i="12"/>
  <c r="AH10" i="12"/>
  <c r="K10" i="12"/>
  <c r="M10" i="12"/>
  <c r="U10" i="12"/>
  <c r="O10" i="12"/>
  <c r="W10" i="12"/>
  <c r="M10" i="14"/>
  <c r="U10" i="14"/>
  <c r="O10" i="14"/>
  <c r="W10" i="14"/>
  <c r="Q10" i="14"/>
  <c r="Y10" i="14"/>
  <c r="K10" i="14"/>
  <c r="S10" i="14"/>
  <c r="AA10" i="14"/>
  <c r="I16" i="7"/>
  <c r="J16" i="7" s="1"/>
  <c r="E10" i="14" l="1"/>
  <c r="Z10" i="12"/>
  <c r="X10" i="12"/>
  <c r="G10" i="14"/>
  <c r="E10" i="12"/>
  <c r="AF10" i="14"/>
  <c r="AB10" i="14"/>
  <c r="AD10" i="12"/>
  <c r="AB10" i="12"/>
  <c r="R10" i="12"/>
  <c r="P10" i="12"/>
  <c r="I10" i="14"/>
  <c r="G10" i="12"/>
  <c r="AH10" i="14"/>
  <c r="AD10" i="14"/>
  <c r="Z10" i="14"/>
  <c r="X10" i="14"/>
  <c r="V10" i="14"/>
  <c r="T10" i="14"/>
  <c r="V10" i="12"/>
  <c r="T10" i="12"/>
  <c r="J10" i="12"/>
  <c r="H10" i="12"/>
  <c r="N10" i="14"/>
  <c r="R10" i="14"/>
  <c r="L10" i="14"/>
  <c r="L10" i="12"/>
  <c r="J10" i="14"/>
  <c r="H10" i="14"/>
  <c r="F10" i="14"/>
  <c r="D10" i="14"/>
  <c r="F10" i="12"/>
  <c r="AA10" i="12"/>
  <c r="Y10" i="12"/>
  <c r="P10" i="14"/>
  <c r="N10" i="12"/>
  <c r="AG10" i="12"/>
  <c r="AG10" i="14"/>
  <c r="AE10" i="14"/>
  <c r="AC10" i="14"/>
  <c r="AE10" i="12"/>
  <c r="AC10" i="12"/>
  <c r="S10" i="12"/>
  <c r="Q10" i="12"/>
  <c r="F70" i="7"/>
  <c r="E63" i="7"/>
  <c r="E68" i="7"/>
  <c r="E66" i="7"/>
  <c r="C86" i="7"/>
  <c r="F86" i="7" s="1"/>
  <c r="E64" i="7"/>
  <c r="E67" i="7"/>
  <c r="E65" i="7"/>
  <c r="F84" i="7"/>
  <c r="G84" i="7"/>
  <c r="C14" i="44"/>
  <c r="D14" i="44" s="1"/>
  <c r="R16" i="7"/>
  <c r="D17" i="44"/>
  <c r="D18" i="44"/>
  <c r="E18" i="44" s="1"/>
  <c r="C59" i="44" s="1"/>
  <c r="C65" i="44" s="1"/>
  <c r="E12" i="44"/>
  <c r="D19" i="44"/>
  <c r="I17" i="7"/>
  <c r="G70" i="7"/>
  <c r="C77" i="7"/>
  <c r="J69" i="7"/>
  <c r="D77" i="7"/>
  <c r="E77" i="7"/>
  <c r="D7" i="44"/>
  <c r="E7" i="44" s="1"/>
  <c r="G85" i="7"/>
  <c r="H70" i="7"/>
  <c r="E70" i="7" l="1"/>
  <c r="K69" i="7"/>
  <c r="D29" i="49"/>
  <c r="E4" i="9"/>
  <c r="D50" i="12" s="1"/>
  <c r="F77" i="7"/>
  <c r="G77" i="7" s="1"/>
  <c r="J17" i="7"/>
  <c r="I18" i="7"/>
  <c r="D8" i="44"/>
  <c r="E17" i="44"/>
  <c r="H20" i="44"/>
  <c r="D55" i="12" l="1"/>
  <c r="E5" i="9"/>
  <c r="E6" i="9" s="1"/>
  <c r="D50" i="14"/>
  <c r="I20" i="44"/>
  <c r="H24" i="44"/>
  <c r="I24" i="44" s="1"/>
  <c r="C58" i="44"/>
  <c r="E110" i="24"/>
  <c r="O29" i="49"/>
  <c r="I29" i="49"/>
  <c r="J18" i="7"/>
  <c r="I19" i="7"/>
  <c r="K14" i="7"/>
  <c r="M69" i="7"/>
  <c r="L24" i="7"/>
  <c r="I77" i="7"/>
  <c r="D60" i="12" l="1"/>
  <c r="D56" i="12"/>
  <c r="D61" i="12"/>
  <c r="E10" i="9"/>
  <c r="E7" i="9"/>
  <c r="E8" i="9"/>
  <c r="C62" i="44"/>
  <c r="C63" i="44" s="1"/>
  <c r="C47" i="44"/>
  <c r="C48" i="44" s="1"/>
  <c r="D51" i="44" s="1"/>
  <c r="J19" i="7"/>
  <c r="C40" i="7" s="1"/>
  <c r="I20" i="7"/>
  <c r="J20" i="7" s="1"/>
  <c r="D55" i="14"/>
  <c r="E50" i="14"/>
  <c r="E111" i="24"/>
  <c r="E113" i="24"/>
  <c r="E115" i="24"/>
  <c r="E96" i="24"/>
  <c r="E61" i="33"/>
  <c r="E112" i="24"/>
  <c r="E114" i="24"/>
  <c r="E117" i="24"/>
  <c r="E50" i="12"/>
  <c r="L29" i="49"/>
  <c r="J4" i="9"/>
  <c r="R29" i="49"/>
  <c r="D30" i="51"/>
  <c r="D57" i="12" l="1"/>
  <c r="D58" i="12"/>
  <c r="K112" i="24"/>
  <c r="G68" i="33"/>
  <c r="G76" i="33" s="1"/>
  <c r="G84" i="33"/>
  <c r="G93" i="33" s="1" a="1"/>
  <c r="G93" i="33" s="1"/>
  <c r="G71" i="33"/>
  <c r="G79" i="33" s="1"/>
  <c r="G86" i="33"/>
  <c r="G95" i="33" s="1" a="1"/>
  <c r="G95" i="33" s="1"/>
  <c r="G69" i="33"/>
  <c r="G77" i="33" s="1"/>
  <c r="G72" i="33"/>
  <c r="G80" i="33" s="1"/>
  <c r="G88" i="33"/>
  <c r="G97" i="33" s="1" a="1"/>
  <c r="G97" i="33" s="1"/>
  <c r="G85" i="33"/>
  <c r="G94" i="33" s="1" a="1"/>
  <c r="G94" i="33" s="1"/>
  <c r="G70" i="33"/>
  <c r="G78" i="33" s="1"/>
  <c r="G96" i="33" a="1"/>
  <c r="G96" i="33" s="1"/>
  <c r="G50" i="44"/>
  <c r="G51" i="44"/>
  <c r="E101" i="24"/>
  <c r="E99" i="24"/>
  <c r="E103" i="24"/>
  <c r="E60" i="33"/>
  <c r="E97" i="24"/>
  <c r="E100" i="24"/>
  <c r="E98" i="24"/>
  <c r="K115" i="24"/>
  <c r="D32" i="51"/>
  <c r="D31" i="51"/>
  <c r="AJ30" i="51"/>
  <c r="D34" i="51"/>
  <c r="E30" i="51"/>
  <c r="E52" i="12"/>
  <c r="E51" i="12"/>
  <c r="E54" i="12"/>
  <c r="F50" i="12"/>
  <c r="C39" i="20"/>
  <c r="D112" i="12"/>
  <c r="K113" i="24"/>
  <c r="E118" i="24"/>
  <c r="K111" i="24"/>
  <c r="K117" i="24"/>
  <c r="F50" i="14"/>
  <c r="E52" i="14"/>
  <c r="E51" i="14"/>
  <c r="E54" i="14"/>
  <c r="E9" i="9"/>
  <c r="E11" i="9" s="1"/>
  <c r="J5" i="9"/>
  <c r="J6" i="9"/>
  <c r="K114" i="24"/>
  <c r="C39" i="19"/>
  <c r="D60" i="14"/>
  <c r="D56" i="14"/>
  <c r="D61" i="14"/>
  <c r="D112" i="14"/>
  <c r="D59" i="12" l="1"/>
  <c r="D44" i="51"/>
  <c r="E53" i="14"/>
  <c r="D33" i="51"/>
  <c r="J10" i="9"/>
  <c r="J7" i="9"/>
  <c r="J8" i="9"/>
  <c r="F54" i="14"/>
  <c r="G50" i="14"/>
  <c r="F52" i="14"/>
  <c r="F51" i="14"/>
  <c r="K103" i="24"/>
  <c r="K99" i="24"/>
  <c r="E53" i="12"/>
  <c r="K101" i="24"/>
  <c r="D58" i="14"/>
  <c r="D57" i="14"/>
  <c r="K118" i="24"/>
  <c r="L111" i="24" s="1"/>
  <c r="H45" i="19"/>
  <c r="C45" i="19"/>
  <c r="D45" i="19"/>
  <c r="E45" i="19"/>
  <c r="F45" i="19"/>
  <c r="G45" i="19"/>
  <c r="E32" i="51"/>
  <c r="E31" i="51"/>
  <c r="AK30" i="51"/>
  <c r="E34" i="51"/>
  <c r="F30" i="51"/>
  <c r="K98" i="24"/>
  <c r="K100" i="24"/>
  <c r="AG60" i="46"/>
  <c r="AG60" i="48"/>
  <c r="AG60" i="53"/>
  <c r="AG60" i="54"/>
  <c r="H45" i="20"/>
  <c r="C45" i="20"/>
  <c r="D45" i="20"/>
  <c r="E45" i="20"/>
  <c r="F45" i="20"/>
  <c r="G45" i="20"/>
  <c r="AJ32" i="51"/>
  <c r="AJ31" i="51"/>
  <c r="AJ34" i="51"/>
  <c r="K97" i="24"/>
  <c r="E104" i="24"/>
  <c r="F52" i="12"/>
  <c r="F51" i="12"/>
  <c r="F54" i="12"/>
  <c r="G50" i="12"/>
  <c r="D35" i="51"/>
  <c r="M4" i="47"/>
  <c r="C18" i="47"/>
  <c r="M25" i="47"/>
  <c r="C4" i="47"/>
  <c r="M11" i="47"/>
  <c r="M18" i="47"/>
  <c r="C32" i="47"/>
  <c r="C11" i="47"/>
  <c r="C25" i="47"/>
  <c r="M32" i="47"/>
  <c r="F71" i="33"/>
  <c r="F79" i="33" s="1"/>
  <c r="F86" i="33"/>
  <c r="F69" i="33"/>
  <c r="F77" i="33" s="1"/>
  <c r="F72" i="33"/>
  <c r="F80" i="33" s="1"/>
  <c r="F88" i="33"/>
  <c r="F85" i="33"/>
  <c r="F70" i="33"/>
  <c r="F78" i="33" s="1"/>
  <c r="E64" i="33"/>
  <c r="F68" i="33"/>
  <c r="F84" i="33"/>
  <c r="L112" i="24"/>
  <c r="C85" i="44" l="1"/>
  <c r="E55" i="12"/>
  <c r="AJ44" i="51"/>
  <c r="D43" i="51"/>
  <c r="E55" i="14"/>
  <c r="F53" i="12"/>
  <c r="E33" i="51"/>
  <c r="J9" i="9"/>
  <c r="J11" i="9" s="1"/>
  <c r="L113" i="24"/>
  <c r="L115" i="24"/>
  <c r="L114" i="24"/>
  <c r="L117" i="24"/>
  <c r="K80" i="44"/>
  <c r="M111" i="24"/>
  <c r="M14" i="47"/>
  <c r="N11" i="47" s="1"/>
  <c r="AI59" i="47" s="1"/>
  <c r="C173" i="20"/>
  <c r="C177" i="20" s="1"/>
  <c r="C179" i="20"/>
  <c r="C185" i="20"/>
  <c r="C129" i="19"/>
  <c r="C128" i="19" s="1"/>
  <c r="C133" i="19"/>
  <c r="C132" i="19"/>
  <c r="C131" i="19"/>
  <c r="C130" i="19"/>
  <c r="AG65" i="53"/>
  <c r="AG64" i="53"/>
  <c r="AG62" i="53"/>
  <c r="AG61" i="53"/>
  <c r="AG66" i="53"/>
  <c r="AG73" i="53" s="1"/>
  <c r="AG67" i="53"/>
  <c r="F53" i="14"/>
  <c r="C136" i="46"/>
  <c r="C136" i="48"/>
  <c r="F95" i="33" a="1"/>
  <c r="F95" i="33" s="1"/>
  <c r="C7" i="47"/>
  <c r="G4" i="47" s="1"/>
  <c r="E51" i="47" s="1"/>
  <c r="H185" i="20"/>
  <c r="H173" i="20"/>
  <c r="H179" i="20"/>
  <c r="H129" i="19"/>
  <c r="H128" i="19" s="1"/>
  <c r="H133" i="19"/>
  <c r="H132" i="19"/>
  <c r="H131" i="19"/>
  <c r="H130" i="19"/>
  <c r="I125" i="12"/>
  <c r="AG61" i="48"/>
  <c r="AG67" i="48"/>
  <c r="AG66" i="48"/>
  <c r="AG65" i="48"/>
  <c r="AG64" i="48"/>
  <c r="AG62" i="48"/>
  <c r="D59" i="14"/>
  <c r="K84" i="44"/>
  <c r="M115" i="24"/>
  <c r="C21" i="46"/>
  <c r="C21" i="48"/>
  <c r="M28" i="47"/>
  <c r="AJ33" i="51"/>
  <c r="K82" i="44"/>
  <c r="H4" i="3"/>
  <c r="M113" i="24"/>
  <c r="AG67" i="46"/>
  <c r="AG66" i="46"/>
  <c r="AG89" i="46" s="1"/>
  <c r="AG65" i="46"/>
  <c r="AG64" i="46"/>
  <c r="AG62" i="46"/>
  <c r="AG61" i="46"/>
  <c r="D39" i="20"/>
  <c r="I45" i="20" s="1"/>
  <c r="E56" i="12"/>
  <c r="E61" i="12"/>
  <c r="E60" i="12"/>
  <c r="E112" i="12"/>
  <c r="G54" i="14"/>
  <c r="H50" i="14"/>
  <c r="G52" i="14"/>
  <c r="G51" i="14"/>
  <c r="L35" i="47"/>
  <c r="C21" i="47"/>
  <c r="K86" i="44"/>
  <c r="M117" i="24"/>
  <c r="I4" i="26"/>
  <c r="C20" i="46"/>
  <c r="C20" i="48"/>
  <c r="C60" i="46"/>
  <c r="C60" i="48"/>
  <c r="C60" i="53"/>
  <c r="C60" i="54"/>
  <c r="F93" i="33" a="1"/>
  <c r="F93" i="33" s="1"/>
  <c r="C257" i="46"/>
  <c r="C257" i="48"/>
  <c r="C153" i="53"/>
  <c r="C153" i="54"/>
  <c r="F97" i="33" a="1"/>
  <c r="F97" i="33" s="1"/>
  <c r="C28" i="47"/>
  <c r="M7" i="47"/>
  <c r="N4" i="47" s="1"/>
  <c r="AI39" i="47" s="1"/>
  <c r="G185" i="20"/>
  <c r="G173" i="20"/>
  <c r="G179" i="20"/>
  <c r="G129" i="19"/>
  <c r="G128" i="19" s="1"/>
  <c r="G133" i="19"/>
  <c r="G132" i="19"/>
  <c r="G131" i="19"/>
  <c r="G130" i="19"/>
  <c r="H125" i="12"/>
  <c r="C240" i="46"/>
  <c r="C240" i="48"/>
  <c r="F94" i="33" a="1"/>
  <c r="F94" i="33" s="1"/>
  <c r="F76" i="33"/>
  <c r="C22" i="46"/>
  <c r="C22" i="48"/>
  <c r="C14" i="47"/>
  <c r="C36" i="53"/>
  <c r="D55" i="51"/>
  <c r="F173" i="20"/>
  <c r="F179" i="20"/>
  <c r="F185" i="20"/>
  <c r="F129" i="19"/>
  <c r="F128" i="19" s="1"/>
  <c r="F132" i="19"/>
  <c r="F131" i="19"/>
  <c r="F130" i="19"/>
  <c r="F133" i="19"/>
  <c r="G125" i="12"/>
  <c r="K83" i="44"/>
  <c r="M114" i="24"/>
  <c r="G30" i="51"/>
  <c r="F32" i="51"/>
  <c r="F31" i="51"/>
  <c r="AL30" i="51"/>
  <c r="F34" i="51"/>
  <c r="C35" i="47"/>
  <c r="H50" i="12"/>
  <c r="G52" i="12"/>
  <c r="G51" i="12"/>
  <c r="G54" i="12"/>
  <c r="K104" i="24"/>
  <c r="L98" i="24" s="1"/>
  <c r="L4" i="4" s="1"/>
  <c r="E173" i="20"/>
  <c r="E179" i="20"/>
  <c r="E185" i="20"/>
  <c r="E131" i="19"/>
  <c r="E130" i="19"/>
  <c r="E129" i="19"/>
  <c r="E128" i="19" s="1"/>
  <c r="E133" i="19"/>
  <c r="E132" i="19"/>
  <c r="F125" i="12"/>
  <c r="J68" i="33"/>
  <c r="J76" i="33" s="1"/>
  <c r="J84" i="33"/>
  <c r="J93" i="33" s="1" a="1"/>
  <c r="J93" i="33" s="1"/>
  <c r="J71" i="33"/>
  <c r="J79" i="33" s="1"/>
  <c r="J86" i="33"/>
  <c r="J69" i="33"/>
  <c r="J77" i="33" s="1"/>
  <c r="J72" i="33"/>
  <c r="J80" i="33" s="1"/>
  <c r="J88" i="33"/>
  <c r="J85" i="33"/>
  <c r="J70" i="33"/>
  <c r="J78" i="33" s="1"/>
  <c r="K81" i="44"/>
  <c r="M112" i="24"/>
  <c r="M4" i="4"/>
  <c r="C199" i="46"/>
  <c r="C199" i="48"/>
  <c r="C127" i="53"/>
  <c r="C127" i="54"/>
  <c r="F96" i="33" a="1"/>
  <c r="F96" i="33" s="1"/>
  <c r="C19" i="46"/>
  <c r="C19" i="48"/>
  <c r="M21" i="47"/>
  <c r="O18" i="47" s="1"/>
  <c r="AI79" i="47" s="1"/>
  <c r="D173" i="20"/>
  <c r="D179" i="20"/>
  <c r="D185" i="20"/>
  <c r="D129" i="19"/>
  <c r="D128" i="19" s="1"/>
  <c r="D130" i="19"/>
  <c r="D133" i="19"/>
  <c r="D132" i="19"/>
  <c r="D131" i="19"/>
  <c r="E125" i="12"/>
  <c r="AG65" i="54"/>
  <c r="AG64" i="54"/>
  <c r="AG62" i="54"/>
  <c r="AG61" i="54"/>
  <c r="AG67" i="54"/>
  <c r="AG66" i="54"/>
  <c r="AG73" i="54" s="1"/>
  <c r="AK32" i="51"/>
  <c r="AK31" i="51"/>
  <c r="AK34" i="51"/>
  <c r="D86" i="44"/>
  <c r="F86" i="44"/>
  <c r="D80" i="44"/>
  <c r="D81" i="44"/>
  <c r="D82" i="44"/>
  <c r="D83" i="44"/>
  <c r="D84" i="44"/>
  <c r="D85" i="44"/>
  <c r="G86" i="44"/>
  <c r="F80" i="44"/>
  <c r="F81" i="44"/>
  <c r="F82" i="44"/>
  <c r="F83" i="44"/>
  <c r="F84" i="44"/>
  <c r="F85" i="44"/>
  <c r="G80" i="44"/>
  <c r="G81" i="44"/>
  <c r="G82" i="44"/>
  <c r="G83" i="44"/>
  <c r="G84" i="44"/>
  <c r="G85" i="44"/>
  <c r="C83" i="44"/>
  <c r="C84" i="44"/>
  <c r="C82" i="44"/>
  <c r="C86" i="44"/>
  <c r="C80" i="44"/>
  <c r="L101" i="24"/>
  <c r="C81" i="44"/>
  <c r="F55" i="12" l="1"/>
  <c r="E39" i="20"/>
  <c r="J45" i="20" s="1"/>
  <c r="E60" i="14"/>
  <c r="E56" i="14"/>
  <c r="E112" i="14"/>
  <c r="E61" i="14"/>
  <c r="D39" i="19"/>
  <c r="I45" i="19" s="1"/>
  <c r="D10" i="47"/>
  <c r="F112" i="12"/>
  <c r="D46" i="51"/>
  <c r="D26" i="47"/>
  <c r="D24" i="47"/>
  <c r="D27" i="47"/>
  <c r="E89" i="47" s="1"/>
  <c r="F19" i="47"/>
  <c r="E84" i="47" s="1"/>
  <c r="E19" i="47"/>
  <c r="E80" i="47" s="1"/>
  <c r="D19" i="47"/>
  <c r="E76" i="47" s="1"/>
  <c r="F20" i="47"/>
  <c r="E17" i="47"/>
  <c r="E20" i="47"/>
  <c r="F17" i="47"/>
  <c r="D17" i="47"/>
  <c r="D20" i="47"/>
  <c r="E77" i="47" s="1"/>
  <c r="F18" i="47"/>
  <c r="E83" i="47" s="1"/>
  <c r="F55" i="14"/>
  <c r="E18" i="47"/>
  <c r="E35" i="51"/>
  <c r="D18" i="47"/>
  <c r="D25" i="47"/>
  <c r="D11" i="47"/>
  <c r="E59" i="47" s="1"/>
  <c r="F59" i="47" s="1"/>
  <c r="G59" i="47" s="1"/>
  <c r="H59" i="47" s="1"/>
  <c r="I59" i="47" s="1"/>
  <c r="J59" i="47" s="1"/>
  <c r="K59" i="47" s="1"/>
  <c r="L59" i="47" s="1"/>
  <c r="M59" i="47" s="1"/>
  <c r="N59" i="47" s="1"/>
  <c r="O59" i="47" s="1"/>
  <c r="P59" i="47" s="1"/>
  <c r="Q59" i="47" s="1"/>
  <c r="R59" i="47" s="1"/>
  <c r="S59" i="47" s="1"/>
  <c r="T59" i="47" s="1"/>
  <c r="U59" i="47" s="1"/>
  <c r="V59" i="47" s="1"/>
  <c r="W59" i="47" s="1"/>
  <c r="X59" i="47" s="1"/>
  <c r="Y59" i="47" s="1"/>
  <c r="Z59" i="47" s="1"/>
  <c r="AA59" i="47" s="1"/>
  <c r="AB59" i="47" s="1"/>
  <c r="AC59" i="47" s="1"/>
  <c r="AD59" i="47" s="1"/>
  <c r="AE59" i="47" s="1"/>
  <c r="AF59" i="47" s="1"/>
  <c r="AG59" i="47" s="1"/>
  <c r="AH59" i="47" s="1"/>
  <c r="L119" i="24"/>
  <c r="F60" i="12"/>
  <c r="F61" i="12"/>
  <c r="F56" i="12"/>
  <c r="AK33" i="51"/>
  <c r="G53" i="12"/>
  <c r="AG63" i="46"/>
  <c r="G53" i="14"/>
  <c r="G11" i="47"/>
  <c r="E71" i="47" s="1"/>
  <c r="R4" i="47"/>
  <c r="AI55" i="47" s="1"/>
  <c r="F4" i="47"/>
  <c r="E47" i="47" s="1"/>
  <c r="C87" i="44"/>
  <c r="L97" i="24"/>
  <c r="F87" i="44"/>
  <c r="AG63" i="54"/>
  <c r="K84" i="33"/>
  <c r="L84" i="33" s="1"/>
  <c r="P11" i="47"/>
  <c r="AI67" i="47" s="1"/>
  <c r="Q11" i="47"/>
  <c r="AI71" i="47" s="1"/>
  <c r="F71" i="47" s="1"/>
  <c r="G71" i="47" s="1"/>
  <c r="H71" i="47" s="1"/>
  <c r="I71" i="47" s="1"/>
  <c r="J71" i="47" s="1"/>
  <c r="K71" i="47" s="1"/>
  <c r="L71" i="47" s="1"/>
  <c r="M71" i="47" s="1"/>
  <c r="N71" i="47" s="1"/>
  <c r="O71" i="47" s="1"/>
  <c r="P71" i="47" s="1"/>
  <c r="Q71" i="47" s="1"/>
  <c r="R71" i="47" s="1"/>
  <c r="S71" i="47" s="1"/>
  <c r="T71" i="47" s="1"/>
  <c r="U71" i="47" s="1"/>
  <c r="V71" i="47" s="1"/>
  <c r="W71" i="47" s="1"/>
  <c r="X71" i="47" s="1"/>
  <c r="Y71" i="47" s="1"/>
  <c r="Z71" i="47" s="1"/>
  <c r="AA71" i="47" s="1"/>
  <c r="AB71" i="47" s="1"/>
  <c r="AC71" i="47" s="1"/>
  <c r="AD71" i="47" s="1"/>
  <c r="AE71" i="47" s="1"/>
  <c r="AF71" i="47" s="1"/>
  <c r="AG71" i="47" s="1"/>
  <c r="AH71" i="47" s="1"/>
  <c r="F11" i="47"/>
  <c r="E67" i="47" s="1"/>
  <c r="C70" i="44"/>
  <c r="L5" i="4"/>
  <c r="L6" i="4" s="1"/>
  <c r="D38" i="45"/>
  <c r="D87" i="44"/>
  <c r="C201" i="48"/>
  <c r="C200" i="48"/>
  <c r="D33" i="47"/>
  <c r="E92" i="47" s="1"/>
  <c r="D31" i="47"/>
  <c r="D34" i="47"/>
  <c r="E93" i="47" s="1"/>
  <c r="K72" i="33"/>
  <c r="G190" i="20"/>
  <c r="G152" i="19" s="1"/>
  <c r="G189" i="20"/>
  <c r="G151" i="19" s="1"/>
  <c r="G188" i="20"/>
  <c r="G150" i="19" s="1"/>
  <c r="G187" i="20"/>
  <c r="G149" i="19" s="1"/>
  <c r="G186" i="20"/>
  <c r="G148" i="19" s="1"/>
  <c r="G147" i="19"/>
  <c r="H137" i="12"/>
  <c r="C154" i="54"/>
  <c r="C62" i="46"/>
  <c r="C61" i="46"/>
  <c r="D60" i="46"/>
  <c r="C67" i="46"/>
  <c r="C66" i="46"/>
  <c r="C89" i="46" s="1"/>
  <c r="AG94" i="46" s="1"/>
  <c r="C65" i="46"/>
  <c r="C64" i="46"/>
  <c r="E81" i="47"/>
  <c r="E85" i="47"/>
  <c r="E58" i="12"/>
  <c r="N26" i="47"/>
  <c r="AI88" i="47" s="1"/>
  <c r="N24" i="47"/>
  <c r="N27" i="47"/>
  <c r="AI89" i="47" s="1"/>
  <c r="H186" i="20"/>
  <c r="H148" i="19" s="1"/>
  <c r="H190" i="20"/>
  <c r="H152" i="19" s="1"/>
  <c r="H189" i="20"/>
  <c r="H151" i="19" s="1"/>
  <c r="H188" i="20"/>
  <c r="H150" i="19" s="1"/>
  <c r="H187" i="20"/>
  <c r="H149" i="19" s="1"/>
  <c r="H147" i="19"/>
  <c r="I137" i="12"/>
  <c r="C138" i="48"/>
  <c r="C137" i="48"/>
  <c r="M80" i="44"/>
  <c r="K87" i="44"/>
  <c r="J82" i="44" s="1"/>
  <c r="M4" i="8"/>
  <c r="C200" i="46"/>
  <c r="C201" i="46"/>
  <c r="G34" i="51"/>
  <c r="H30" i="51"/>
  <c r="G32" i="51"/>
  <c r="G31" i="51"/>
  <c r="AM30" i="51"/>
  <c r="AG240" i="46"/>
  <c r="AG241" i="46" s="1"/>
  <c r="AG240" i="48"/>
  <c r="AG241" i="48" s="1"/>
  <c r="C154" i="53"/>
  <c r="D20" i="48"/>
  <c r="C26" i="48"/>
  <c r="C41" i="48" s="1"/>
  <c r="E57" i="12"/>
  <c r="AG93" i="46"/>
  <c r="AG92" i="46"/>
  <c r="AG91" i="46"/>
  <c r="AG90" i="46"/>
  <c r="AG89" i="48"/>
  <c r="D21" i="48"/>
  <c r="C27" i="48"/>
  <c r="C42" i="48" s="1"/>
  <c r="F47" i="47"/>
  <c r="G47" i="47" s="1"/>
  <c r="H47" i="47" s="1"/>
  <c r="I47" i="47" s="1"/>
  <c r="J47" i="47" s="1"/>
  <c r="K47" i="47" s="1"/>
  <c r="L47" i="47" s="1"/>
  <c r="M47" i="47" s="1"/>
  <c r="N47" i="47" s="1"/>
  <c r="O47" i="47" s="1"/>
  <c r="P47" i="47" s="1"/>
  <c r="Q47" i="47" s="1"/>
  <c r="R47" i="47" s="1"/>
  <c r="S47" i="47" s="1"/>
  <c r="T47" i="47" s="1"/>
  <c r="U47" i="47" s="1"/>
  <c r="V47" i="47" s="1"/>
  <c r="W47" i="47" s="1"/>
  <c r="X47" i="47" s="1"/>
  <c r="Y47" i="47" s="1"/>
  <c r="Z47" i="47" s="1"/>
  <c r="AA47" i="47" s="1"/>
  <c r="AB47" i="47" s="1"/>
  <c r="AC47" i="47" s="1"/>
  <c r="AD47" i="47" s="1"/>
  <c r="AE47" i="47" s="1"/>
  <c r="AF47" i="47" s="1"/>
  <c r="AG47" i="47" s="1"/>
  <c r="AH47" i="47" s="1"/>
  <c r="C138" i="46"/>
  <c r="C137" i="46"/>
  <c r="P17" i="47"/>
  <c r="N20" i="47"/>
  <c r="AI77" i="47" s="1"/>
  <c r="O20" i="47"/>
  <c r="AI81" i="47" s="1"/>
  <c r="N19" i="47"/>
  <c r="AI76" i="47" s="1"/>
  <c r="P20" i="47"/>
  <c r="AI85" i="47" s="1"/>
  <c r="O19" i="47"/>
  <c r="AI80" i="47" s="1"/>
  <c r="O17" i="47"/>
  <c r="P19" i="47"/>
  <c r="AI84" i="47" s="1"/>
  <c r="N17" i="47"/>
  <c r="P18" i="47"/>
  <c r="AI83" i="47" s="1"/>
  <c r="M5" i="4"/>
  <c r="M6" i="4" s="1"/>
  <c r="J95" i="33" a="1"/>
  <c r="J95" i="33" s="1"/>
  <c r="K86" i="33"/>
  <c r="L86" i="33" s="1"/>
  <c r="C76" i="44"/>
  <c r="F190" i="20"/>
  <c r="F152" i="19" s="1"/>
  <c r="F189" i="20"/>
  <c r="F151" i="19" s="1"/>
  <c r="F188" i="20"/>
  <c r="F150" i="19" s="1"/>
  <c r="F187" i="20"/>
  <c r="F149" i="19" s="1"/>
  <c r="F186" i="20"/>
  <c r="F148" i="19" s="1"/>
  <c r="F147" i="19"/>
  <c r="G137" i="12"/>
  <c r="E10" i="47"/>
  <c r="F10" i="47"/>
  <c r="D12" i="47"/>
  <c r="E60" i="47" s="1"/>
  <c r="D13" i="47"/>
  <c r="E61" i="47" s="1"/>
  <c r="G10" i="47"/>
  <c r="E12" i="47"/>
  <c r="E64" i="47" s="1"/>
  <c r="E13" i="47"/>
  <c r="E65" i="47" s="1"/>
  <c r="F12" i="47"/>
  <c r="E68" i="47" s="1"/>
  <c r="F13" i="47"/>
  <c r="E69" i="47" s="1"/>
  <c r="G12" i="47"/>
  <c r="E72" i="47" s="1"/>
  <c r="G13" i="47"/>
  <c r="E73" i="47" s="1"/>
  <c r="C241" i="48"/>
  <c r="N3" i="47"/>
  <c r="O3" i="47"/>
  <c r="R3" i="47"/>
  <c r="N5" i="47"/>
  <c r="AI40" i="47" s="1"/>
  <c r="N6" i="47"/>
  <c r="AI41" i="47" s="1"/>
  <c r="O5" i="47"/>
  <c r="AI44" i="47" s="1"/>
  <c r="O6" i="47"/>
  <c r="AI45" i="47" s="1"/>
  <c r="R5" i="47"/>
  <c r="AI56" i="47" s="1"/>
  <c r="R6" i="47"/>
  <c r="AI57" i="47" s="1"/>
  <c r="C258" i="48"/>
  <c r="C26" i="46"/>
  <c r="C41" i="46" s="1"/>
  <c r="D20" i="46"/>
  <c r="E79" i="47"/>
  <c r="H51" i="14"/>
  <c r="H54" i="14"/>
  <c r="I50" i="14"/>
  <c r="H52" i="14"/>
  <c r="D21" i="46"/>
  <c r="C27" i="46"/>
  <c r="C42" i="46" s="1"/>
  <c r="F51" i="47"/>
  <c r="G51" i="47" s="1"/>
  <c r="H51" i="47" s="1"/>
  <c r="I51" i="47" s="1"/>
  <c r="J51" i="47" s="1"/>
  <c r="K51" i="47" s="1"/>
  <c r="L51" i="47" s="1"/>
  <c r="M51" i="47" s="1"/>
  <c r="N51" i="47" s="1"/>
  <c r="O51" i="47" s="1"/>
  <c r="P51" i="47" s="1"/>
  <c r="Q51" i="47" s="1"/>
  <c r="R51" i="47" s="1"/>
  <c r="S51" i="47" s="1"/>
  <c r="T51" i="47" s="1"/>
  <c r="U51" i="47" s="1"/>
  <c r="V51" i="47" s="1"/>
  <c r="W51" i="47" s="1"/>
  <c r="X51" i="47" s="1"/>
  <c r="Y51" i="47" s="1"/>
  <c r="Z51" i="47" s="1"/>
  <c r="AA51" i="47" s="1"/>
  <c r="AB51" i="47" s="1"/>
  <c r="AC51" i="47" s="1"/>
  <c r="AD51" i="47" s="1"/>
  <c r="AE51" i="47" s="1"/>
  <c r="AF51" i="47" s="1"/>
  <c r="AG51" i="47" s="1"/>
  <c r="AH51" i="47" s="1"/>
  <c r="G87" i="44"/>
  <c r="D190" i="20"/>
  <c r="D152" i="19" s="1"/>
  <c r="D189" i="20"/>
  <c r="D151" i="19" s="1"/>
  <c r="D188" i="20"/>
  <c r="D150" i="19" s="1"/>
  <c r="D187" i="20"/>
  <c r="D149" i="19" s="1"/>
  <c r="D186" i="20"/>
  <c r="D148" i="19" s="1"/>
  <c r="D147" i="19"/>
  <c r="E137" i="12"/>
  <c r="D19" i="48"/>
  <c r="C25" i="48"/>
  <c r="M83" i="44"/>
  <c r="F184" i="20"/>
  <c r="F146" i="19" s="1"/>
  <c r="F183" i="20"/>
  <c r="F145" i="19" s="1"/>
  <c r="F182" i="20"/>
  <c r="F144" i="19" s="1"/>
  <c r="F181" i="20"/>
  <c r="F143" i="19" s="1"/>
  <c r="F180" i="20"/>
  <c r="F142" i="19" s="1"/>
  <c r="F141" i="19"/>
  <c r="E11" i="47"/>
  <c r="E63" i="47" s="1"/>
  <c r="C241" i="46"/>
  <c r="O4" i="47"/>
  <c r="AI43" i="47" s="1"/>
  <c r="C258" i="46"/>
  <c r="I5" i="26"/>
  <c r="I6" i="26" s="1"/>
  <c r="E75" i="47"/>
  <c r="G5" i="47"/>
  <c r="E52" i="47" s="1"/>
  <c r="G6" i="47"/>
  <c r="E53" i="47" s="1"/>
  <c r="H5" i="47"/>
  <c r="E56" i="47" s="1"/>
  <c r="H6" i="47"/>
  <c r="E57" i="47" s="1"/>
  <c r="D3" i="47"/>
  <c r="E3" i="47"/>
  <c r="F3" i="47"/>
  <c r="D5" i="47"/>
  <c r="E40" i="47" s="1"/>
  <c r="D6" i="47"/>
  <c r="E41" i="47" s="1"/>
  <c r="H3" i="47"/>
  <c r="F5" i="47"/>
  <c r="E48" i="47" s="1"/>
  <c r="F6" i="47"/>
  <c r="E49" i="47" s="1"/>
  <c r="G3" i="47"/>
  <c r="E5" i="47"/>
  <c r="E44" i="47" s="1"/>
  <c r="E6" i="47"/>
  <c r="E45" i="47" s="1"/>
  <c r="C74" i="44"/>
  <c r="C189" i="20"/>
  <c r="C151" i="19" s="1"/>
  <c r="C188" i="20"/>
  <c r="C150" i="19" s="1"/>
  <c r="C187" i="20"/>
  <c r="C149" i="19" s="1"/>
  <c r="C186" i="20"/>
  <c r="C148" i="19" s="1"/>
  <c r="C190" i="20"/>
  <c r="C152" i="19" s="1"/>
  <c r="C147" i="19"/>
  <c r="D137" i="14" s="1"/>
  <c r="D137" i="12"/>
  <c r="F57" i="12"/>
  <c r="D182" i="20"/>
  <c r="D144" i="19" s="1"/>
  <c r="D181" i="20"/>
  <c r="D143" i="19" s="1"/>
  <c r="D180" i="20"/>
  <c r="D142" i="19" s="1"/>
  <c r="D184" i="20"/>
  <c r="D146" i="19" s="1"/>
  <c r="D183" i="20"/>
  <c r="D145" i="19" s="1"/>
  <c r="D141" i="19"/>
  <c r="C25" i="46"/>
  <c r="D19" i="46"/>
  <c r="M81" i="44"/>
  <c r="E190" i="20"/>
  <c r="E152" i="19" s="1"/>
  <c r="E189" i="20"/>
  <c r="E151" i="19" s="1"/>
  <c r="E188" i="20"/>
  <c r="E150" i="19" s="1"/>
  <c r="E187" i="20"/>
  <c r="E149" i="19" s="1"/>
  <c r="E186" i="20"/>
  <c r="E148" i="19" s="1"/>
  <c r="E147" i="19"/>
  <c r="F137" i="12"/>
  <c r="F174" i="20"/>
  <c r="F136" i="19" s="1"/>
  <c r="F175" i="20"/>
  <c r="F137" i="19" s="1"/>
  <c r="F176" i="20"/>
  <c r="F138" i="19" s="1"/>
  <c r="F177" i="20"/>
  <c r="F139" i="19" s="1"/>
  <c r="F178" i="20"/>
  <c r="F140" i="19" s="1"/>
  <c r="F135" i="19"/>
  <c r="G113" i="12"/>
  <c r="L103" i="24"/>
  <c r="H4" i="26" s="1"/>
  <c r="N33" i="47"/>
  <c r="AI92" i="47" s="1"/>
  <c r="N31" i="47"/>
  <c r="N34" i="47"/>
  <c r="AI93" i="47" s="1"/>
  <c r="I173" i="20"/>
  <c r="I179" i="20"/>
  <c r="I185" i="20"/>
  <c r="I129" i="19"/>
  <c r="I128" i="19" s="1"/>
  <c r="I133" i="19"/>
  <c r="I132" i="19"/>
  <c r="I131" i="19"/>
  <c r="I130" i="19"/>
  <c r="J125" i="12"/>
  <c r="H5" i="3"/>
  <c r="H7" i="3" s="1"/>
  <c r="E4" i="47"/>
  <c r="E43" i="47" s="1"/>
  <c r="C181" i="20"/>
  <c r="C143" i="19" s="1"/>
  <c r="C180" i="20"/>
  <c r="C142" i="19" s="1"/>
  <c r="C184" i="20"/>
  <c r="C146" i="19" s="1"/>
  <c r="C183" i="20"/>
  <c r="C145" i="19" s="1"/>
  <c r="C182" i="20"/>
  <c r="C144" i="19" s="1"/>
  <c r="C141" i="19"/>
  <c r="D125" i="14" s="1"/>
  <c r="D174" i="20"/>
  <c r="D136" i="19" s="1"/>
  <c r="D175" i="20"/>
  <c r="D137" i="19" s="1"/>
  <c r="D176" i="20"/>
  <c r="D138" i="19" s="1"/>
  <c r="D177" i="20"/>
  <c r="D139" i="19" s="1"/>
  <c r="D178" i="20"/>
  <c r="D140" i="19" s="1"/>
  <c r="D135" i="19"/>
  <c r="E113" i="12"/>
  <c r="AG199" i="46"/>
  <c r="D199" i="46" s="1"/>
  <c r="E199" i="46" s="1"/>
  <c r="F199" i="46" s="1"/>
  <c r="G199" i="46" s="1"/>
  <c r="H199" i="46" s="1"/>
  <c r="I199" i="46" s="1"/>
  <c r="J199" i="46" s="1"/>
  <c r="K199" i="46" s="1"/>
  <c r="L199" i="46" s="1"/>
  <c r="M199" i="46" s="1"/>
  <c r="N199" i="46" s="1"/>
  <c r="O199" i="46" s="1"/>
  <c r="P199" i="46" s="1"/>
  <c r="Q199" i="46" s="1"/>
  <c r="R199" i="46" s="1"/>
  <c r="S199" i="46" s="1"/>
  <c r="T199" i="46" s="1"/>
  <c r="U199" i="46" s="1"/>
  <c r="V199" i="46" s="1"/>
  <c r="W199" i="46" s="1"/>
  <c r="X199" i="46" s="1"/>
  <c r="Y199" i="46" s="1"/>
  <c r="Z199" i="46" s="1"/>
  <c r="AA199" i="46" s="1"/>
  <c r="AB199" i="46" s="1"/>
  <c r="AC199" i="46" s="1"/>
  <c r="AD199" i="46" s="1"/>
  <c r="AE199" i="46" s="1"/>
  <c r="AF199" i="46" s="1"/>
  <c r="AG199" i="48"/>
  <c r="D199" i="48" s="1"/>
  <c r="E199" i="48" s="1"/>
  <c r="F199" i="48" s="1"/>
  <c r="G199" i="48" s="1"/>
  <c r="H199" i="48" s="1"/>
  <c r="I199" i="48" s="1"/>
  <c r="J199" i="48" s="1"/>
  <c r="K199" i="48" s="1"/>
  <c r="L199" i="48" s="1"/>
  <c r="M199" i="48" s="1"/>
  <c r="N199" i="48" s="1"/>
  <c r="O199" i="48" s="1"/>
  <c r="P199" i="48" s="1"/>
  <c r="Q199" i="48" s="1"/>
  <c r="R199" i="48" s="1"/>
  <c r="S199" i="48" s="1"/>
  <c r="T199" i="48" s="1"/>
  <c r="U199" i="48" s="1"/>
  <c r="V199" i="48" s="1"/>
  <c r="W199" i="48" s="1"/>
  <c r="X199" i="48" s="1"/>
  <c r="Y199" i="48" s="1"/>
  <c r="Z199" i="48" s="1"/>
  <c r="AA199" i="48" s="1"/>
  <c r="AB199" i="48" s="1"/>
  <c r="AC199" i="48" s="1"/>
  <c r="AD199" i="48" s="1"/>
  <c r="AE199" i="48" s="1"/>
  <c r="AF199" i="48" s="1"/>
  <c r="AG127" i="53"/>
  <c r="D127" i="53" s="1"/>
  <c r="E127" i="53" s="1"/>
  <c r="F127" i="53" s="1"/>
  <c r="G127" i="53" s="1"/>
  <c r="H127" i="53" s="1"/>
  <c r="I127" i="53" s="1"/>
  <c r="J127" i="53" s="1"/>
  <c r="K127" i="53" s="1"/>
  <c r="L127" i="53" s="1"/>
  <c r="M127" i="53" s="1"/>
  <c r="N127" i="53" s="1"/>
  <c r="O127" i="53" s="1"/>
  <c r="P127" i="53" s="1"/>
  <c r="Q127" i="53" s="1"/>
  <c r="R127" i="53" s="1"/>
  <c r="S127" i="53" s="1"/>
  <c r="T127" i="53" s="1"/>
  <c r="U127" i="53" s="1"/>
  <c r="V127" i="53" s="1"/>
  <c r="W127" i="53" s="1"/>
  <c r="X127" i="53" s="1"/>
  <c r="Y127" i="53" s="1"/>
  <c r="Z127" i="53" s="1"/>
  <c r="AA127" i="53" s="1"/>
  <c r="AB127" i="53" s="1"/>
  <c r="AC127" i="53" s="1"/>
  <c r="AD127" i="53" s="1"/>
  <c r="AE127" i="53" s="1"/>
  <c r="AF127" i="53" s="1"/>
  <c r="AG127" i="54"/>
  <c r="D127" i="54" s="1"/>
  <c r="E127" i="54" s="1"/>
  <c r="F127" i="54" s="1"/>
  <c r="G127" i="54" s="1"/>
  <c r="H127" i="54" s="1"/>
  <c r="I127" i="54" s="1"/>
  <c r="J127" i="54" s="1"/>
  <c r="K127" i="54" s="1"/>
  <c r="L127" i="54" s="1"/>
  <c r="M127" i="54" s="1"/>
  <c r="N127" i="54" s="1"/>
  <c r="O127" i="54" s="1"/>
  <c r="P127" i="54" s="1"/>
  <c r="Q127" i="54" s="1"/>
  <c r="R127" i="54" s="1"/>
  <c r="S127" i="54" s="1"/>
  <c r="T127" i="54" s="1"/>
  <c r="U127" i="54" s="1"/>
  <c r="V127" i="54" s="1"/>
  <c r="W127" i="54" s="1"/>
  <c r="X127" i="54" s="1"/>
  <c r="Y127" i="54" s="1"/>
  <c r="Z127" i="54" s="1"/>
  <c r="AA127" i="54" s="1"/>
  <c r="AB127" i="54" s="1"/>
  <c r="AC127" i="54" s="1"/>
  <c r="AD127" i="54" s="1"/>
  <c r="AE127" i="54" s="1"/>
  <c r="AF127" i="54" s="1"/>
  <c r="E183" i="20"/>
  <c r="E145" i="19" s="1"/>
  <c r="E182" i="20"/>
  <c r="E144" i="19" s="1"/>
  <c r="E181" i="20"/>
  <c r="E143" i="19" s="1"/>
  <c r="E180" i="20"/>
  <c r="E142" i="19" s="1"/>
  <c r="E184" i="20"/>
  <c r="E146" i="19" s="1"/>
  <c r="E141" i="19"/>
  <c r="AL32" i="51"/>
  <c r="AL31" i="51"/>
  <c r="AL34" i="51"/>
  <c r="C75" i="44"/>
  <c r="C28" i="48"/>
  <c r="D22" i="48"/>
  <c r="E88" i="47"/>
  <c r="D60" i="54"/>
  <c r="C67" i="54"/>
  <c r="C66" i="54"/>
  <c r="C73" i="54" s="1"/>
  <c r="C74" i="54" s="1"/>
  <c r="C65" i="54"/>
  <c r="C64" i="54"/>
  <c r="C62" i="54"/>
  <c r="C61" i="54"/>
  <c r="M86" i="44"/>
  <c r="J86" i="44"/>
  <c r="N32" i="47"/>
  <c r="AI91" i="47" s="1"/>
  <c r="C72" i="44"/>
  <c r="M82" i="44"/>
  <c r="L99" i="24"/>
  <c r="G4" i="3" s="1"/>
  <c r="D4" i="47"/>
  <c r="E39" i="47" s="1"/>
  <c r="C174" i="20"/>
  <c r="C136" i="19" s="1"/>
  <c r="C175" i="20"/>
  <c r="C137" i="19" s="1"/>
  <c r="C176" i="20"/>
  <c r="C139" i="19"/>
  <c r="C178" i="20"/>
  <c r="C140" i="19" s="1"/>
  <c r="C135" i="19"/>
  <c r="D113" i="14" s="1"/>
  <c r="D113" i="12"/>
  <c r="C71" i="44"/>
  <c r="C128" i="54"/>
  <c r="C129" i="54"/>
  <c r="J94" i="33" a="1"/>
  <c r="J94" i="33" s="1"/>
  <c r="K85" i="33"/>
  <c r="L85" i="33" s="1"/>
  <c r="J96" i="33" a="1"/>
  <c r="J96" i="33" s="1"/>
  <c r="K87" i="33"/>
  <c r="L87" i="33" s="1"/>
  <c r="E174" i="20"/>
  <c r="E136" i="19" s="1"/>
  <c r="E175" i="20"/>
  <c r="E137" i="19" s="1"/>
  <c r="E176" i="20"/>
  <c r="E138" i="19" s="1"/>
  <c r="E177" i="20"/>
  <c r="E139" i="19" s="1"/>
  <c r="E178" i="20"/>
  <c r="E140" i="19" s="1"/>
  <c r="E135" i="19"/>
  <c r="F113" i="12"/>
  <c r="H54" i="12"/>
  <c r="I50" i="12"/>
  <c r="H52" i="12"/>
  <c r="H51" i="12"/>
  <c r="D22" i="46"/>
  <c r="C28" i="46"/>
  <c r="G184" i="20"/>
  <c r="G146" i="19" s="1"/>
  <c r="G183" i="20"/>
  <c r="G145" i="19" s="1"/>
  <c r="G182" i="20"/>
  <c r="G144" i="19" s="1"/>
  <c r="G181" i="20"/>
  <c r="G143" i="19" s="1"/>
  <c r="G180" i="20"/>
  <c r="G142" i="19" s="1"/>
  <c r="G141" i="19"/>
  <c r="E87" i="47"/>
  <c r="D60" i="53"/>
  <c r="C67" i="53"/>
  <c r="C66" i="53"/>
  <c r="C73" i="53" s="1"/>
  <c r="C74" i="53" s="1"/>
  <c r="C65" i="53"/>
  <c r="C64" i="53"/>
  <c r="C62" i="53"/>
  <c r="C61" i="53"/>
  <c r="AJ43" i="51"/>
  <c r="AJ35" i="51"/>
  <c r="H184" i="20"/>
  <c r="H146" i="19" s="1"/>
  <c r="H183" i="20"/>
  <c r="H145" i="19" s="1"/>
  <c r="H182" i="20"/>
  <c r="H144" i="19" s="1"/>
  <c r="H181" i="20"/>
  <c r="H143" i="19" s="1"/>
  <c r="H180" i="20"/>
  <c r="H142" i="19" s="1"/>
  <c r="H141" i="19"/>
  <c r="H4" i="47"/>
  <c r="E55" i="47" s="1"/>
  <c r="Q12" i="47"/>
  <c r="AI72" i="47" s="1"/>
  <c r="Q13" i="47"/>
  <c r="AI73" i="47" s="1"/>
  <c r="N10" i="47"/>
  <c r="O10" i="47"/>
  <c r="P10" i="47"/>
  <c r="N12" i="47"/>
  <c r="AI60" i="47" s="1"/>
  <c r="N13" i="47"/>
  <c r="AI61" i="47" s="1"/>
  <c r="P12" i="47"/>
  <c r="AI68" i="47" s="1"/>
  <c r="P13" i="47"/>
  <c r="AI69" i="47" s="1"/>
  <c r="Q10" i="47"/>
  <c r="O12" i="47"/>
  <c r="AI64" i="47" s="1"/>
  <c r="O13" i="47"/>
  <c r="AI65" i="47" s="1"/>
  <c r="N18" i="47"/>
  <c r="AI75" i="47" s="1"/>
  <c r="C128" i="53"/>
  <c r="C129" i="53"/>
  <c r="J97" i="33" a="1"/>
  <c r="J97" i="33" s="1"/>
  <c r="K88" i="33"/>
  <c r="L88" i="33" s="1"/>
  <c r="F74" i="44"/>
  <c r="G75" i="44"/>
  <c r="F73" i="44"/>
  <c r="G74" i="44"/>
  <c r="F72" i="44"/>
  <c r="G73" i="44"/>
  <c r="F71" i="44"/>
  <c r="G72" i="44"/>
  <c r="F70" i="44"/>
  <c r="G71" i="44"/>
  <c r="G70" i="44"/>
  <c r="F76" i="44"/>
  <c r="F75" i="44"/>
  <c r="G76" i="44"/>
  <c r="D32" i="47"/>
  <c r="E91" i="47" s="1"/>
  <c r="F33" i="51"/>
  <c r="C42" i="53"/>
  <c r="D42" i="53"/>
  <c r="E42" i="53"/>
  <c r="F42" i="53"/>
  <c r="H42" i="53"/>
  <c r="G42" i="53"/>
  <c r="C18" i="46"/>
  <c r="C18" i="48"/>
  <c r="K80" i="33"/>
  <c r="C73" i="44"/>
  <c r="G174" i="20"/>
  <c r="G136" i="19" s="1"/>
  <c r="G175" i="20"/>
  <c r="G137" i="19" s="1"/>
  <c r="G176" i="20"/>
  <c r="G138" i="19" s="1"/>
  <c r="G177" i="20"/>
  <c r="G139" i="19" s="1"/>
  <c r="G178" i="20"/>
  <c r="G140" i="19" s="1"/>
  <c r="G135" i="19"/>
  <c r="H113" i="12"/>
  <c r="AG257" i="46"/>
  <c r="AG258" i="46" s="1"/>
  <c r="AG257" i="48"/>
  <c r="AG258" i="48" s="1"/>
  <c r="AG153" i="53"/>
  <c r="AG154" i="53" s="1"/>
  <c r="AG153" i="54"/>
  <c r="AG154" i="54" s="1"/>
  <c r="D60" i="48"/>
  <c r="C62" i="48"/>
  <c r="C61" i="48"/>
  <c r="C63" i="48" s="1"/>
  <c r="C67" i="48"/>
  <c r="C66" i="48"/>
  <c r="C65" i="48"/>
  <c r="C64" i="48"/>
  <c r="L100" i="24"/>
  <c r="N25" i="47"/>
  <c r="AI87" i="47" s="1"/>
  <c r="J84" i="44"/>
  <c r="M84" i="44"/>
  <c r="AG63" i="48"/>
  <c r="H174" i="20"/>
  <c r="H136" i="19" s="1"/>
  <c r="H175" i="20"/>
  <c r="H137" i="19" s="1"/>
  <c r="H176" i="20"/>
  <c r="H138" i="19" s="1"/>
  <c r="H177" i="20"/>
  <c r="H139" i="19" s="1"/>
  <c r="H178" i="20"/>
  <c r="H140" i="19" s="1"/>
  <c r="H135" i="19"/>
  <c r="I113" i="12"/>
  <c r="AG136" i="46"/>
  <c r="AG136" i="48"/>
  <c r="AG63" i="53"/>
  <c r="O11" i="47"/>
  <c r="AI63" i="47" s="1"/>
  <c r="J173" i="20"/>
  <c r="J179" i="20"/>
  <c r="J185" i="20"/>
  <c r="K125" i="12"/>
  <c r="E39" i="19" l="1"/>
  <c r="J45" i="19" s="1"/>
  <c r="J133" i="19" s="1"/>
  <c r="F58" i="12"/>
  <c r="J130" i="19"/>
  <c r="J129" i="19"/>
  <c r="J128" i="19" s="1"/>
  <c r="F112" i="14"/>
  <c r="F60" i="14"/>
  <c r="F56" i="14"/>
  <c r="F61" i="14"/>
  <c r="E57" i="14"/>
  <c r="D36" i="53"/>
  <c r="I42" i="53" s="1"/>
  <c r="G55" i="14"/>
  <c r="E55" i="51"/>
  <c r="E58" i="14"/>
  <c r="G55" i="12"/>
  <c r="AK35" i="51"/>
  <c r="F35" i="51"/>
  <c r="AJ46" i="51"/>
  <c r="F67" i="47"/>
  <c r="I125" i="14"/>
  <c r="H125" i="14"/>
  <c r="F125" i="14"/>
  <c r="H53" i="14"/>
  <c r="H53" i="12"/>
  <c r="AG74" i="54"/>
  <c r="J81" i="44"/>
  <c r="J83" i="44"/>
  <c r="C63" i="46"/>
  <c r="D240" i="46"/>
  <c r="D241" i="46" s="1"/>
  <c r="F113" i="14"/>
  <c r="C243" i="46"/>
  <c r="C247" i="46" s="1"/>
  <c r="C252" i="46" s="1"/>
  <c r="F137" i="14"/>
  <c r="H113" i="14"/>
  <c r="AG74" i="53"/>
  <c r="I113" i="14"/>
  <c r="F77" i="44"/>
  <c r="C77" i="44"/>
  <c r="D240" i="48"/>
  <c r="D241" i="48" s="1"/>
  <c r="G67" i="47"/>
  <c r="H67" i="47" s="1"/>
  <c r="I67" i="47" s="1"/>
  <c r="J67" i="47" s="1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C202" i="48"/>
  <c r="H8" i="3"/>
  <c r="H12" i="3" s="1"/>
  <c r="I8" i="26"/>
  <c r="I7" i="26"/>
  <c r="F136" i="53"/>
  <c r="F134" i="53"/>
  <c r="F138" i="53"/>
  <c r="C138" i="53"/>
  <c r="C139" i="53" s="1"/>
  <c r="D69" i="51" s="1"/>
  <c r="C130" i="53"/>
  <c r="C136" i="53"/>
  <c r="C137" i="53" s="1"/>
  <c r="D63" i="51" s="1"/>
  <c r="C134" i="53"/>
  <c r="C130" i="54"/>
  <c r="C138" i="19"/>
  <c r="F88" i="47"/>
  <c r="G88" i="47" s="1"/>
  <c r="H88" i="47" s="1"/>
  <c r="I88" i="47" s="1"/>
  <c r="J88" i="47" s="1"/>
  <c r="K88" i="47" s="1"/>
  <c r="L88" i="47" s="1"/>
  <c r="M88" i="47" s="1"/>
  <c r="N88" i="47" s="1"/>
  <c r="O88" i="47" s="1"/>
  <c r="P88" i="47" s="1"/>
  <c r="Q88" i="47" s="1"/>
  <c r="R88" i="47" s="1"/>
  <c r="S88" i="47" s="1"/>
  <c r="T88" i="47" s="1"/>
  <c r="U88" i="47" s="1"/>
  <c r="V88" i="47" s="1"/>
  <c r="W88" i="47" s="1"/>
  <c r="X88" i="47" s="1"/>
  <c r="Y88" i="47" s="1"/>
  <c r="Z88" i="47" s="1"/>
  <c r="AA88" i="47" s="1"/>
  <c r="AB88" i="47" s="1"/>
  <c r="AC88" i="47" s="1"/>
  <c r="AD88" i="47" s="1"/>
  <c r="AE88" i="47" s="1"/>
  <c r="AF88" i="47" s="1"/>
  <c r="AG88" i="47" s="1"/>
  <c r="AH88" i="47" s="1"/>
  <c r="H5" i="26"/>
  <c r="H6" i="26" s="1"/>
  <c r="F48" i="47"/>
  <c r="G48" i="47" s="1"/>
  <c r="H48" i="47" s="1"/>
  <c r="I48" i="47" s="1"/>
  <c r="J48" i="47" s="1"/>
  <c r="K48" i="47" s="1"/>
  <c r="L48" i="47" s="1"/>
  <c r="M48" i="47" s="1"/>
  <c r="N48" i="47" s="1"/>
  <c r="O48" i="47" s="1"/>
  <c r="P48" i="47" s="1"/>
  <c r="Q48" i="47" s="1"/>
  <c r="R48" i="47" s="1"/>
  <c r="S48" i="47" s="1"/>
  <c r="T48" i="47" s="1"/>
  <c r="U48" i="47" s="1"/>
  <c r="V48" i="47" s="1"/>
  <c r="W48" i="47" s="1"/>
  <c r="X48" i="47" s="1"/>
  <c r="Y48" i="47" s="1"/>
  <c r="Z48" i="47" s="1"/>
  <c r="AA48" i="47" s="1"/>
  <c r="AB48" i="47" s="1"/>
  <c r="AC48" i="47" s="1"/>
  <c r="AD48" i="47" s="1"/>
  <c r="AE48" i="47" s="1"/>
  <c r="AF48" i="47" s="1"/>
  <c r="AG48" i="47" s="1"/>
  <c r="AH48" i="47" s="1"/>
  <c r="F56" i="47"/>
  <c r="G56" i="47" s="1"/>
  <c r="H56" i="47" s="1"/>
  <c r="I56" i="47" s="1"/>
  <c r="J56" i="47" s="1"/>
  <c r="K56" i="47" s="1"/>
  <c r="L56" i="47" s="1"/>
  <c r="M56" i="47" s="1"/>
  <c r="N56" i="47" s="1"/>
  <c r="O56" i="47" s="1"/>
  <c r="P56" i="47" s="1"/>
  <c r="Q56" i="47" s="1"/>
  <c r="R56" i="47" s="1"/>
  <c r="S56" i="47" s="1"/>
  <c r="T56" i="47" s="1"/>
  <c r="U56" i="47" s="1"/>
  <c r="V56" i="47" s="1"/>
  <c r="W56" i="47" s="1"/>
  <c r="X56" i="47" s="1"/>
  <c r="Y56" i="47" s="1"/>
  <c r="Z56" i="47" s="1"/>
  <c r="AA56" i="47" s="1"/>
  <c r="AB56" i="47" s="1"/>
  <c r="AC56" i="47" s="1"/>
  <c r="AD56" i="47" s="1"/>
  <c r="AE56" i="47" s="1"/>
  <c r="AF56" i="47" s="1"/>
  <c r="AG56" i="47" s="1"/>
  <c r="AH56" i="47" s="1"/>
  <c r="E19" i="48"/>
  <c r="D25" i="48"/>
  <c r="D14" i="47"/>
  <c r="E58" i="47"/>
  <c r="F61" i="47"/>
  <c r="G61" i="47" s="1"/>
  <c r="H61" i="47" s="1"/>
  <c r="I61" i="47" s="1"/>
  <c r="J61" i="47" s="1"/>
  <c r="K61" i="47" s="1"/>
  <c r="L61" i="47" s="1"/>
  <c r="M61" i="47" s="1"/>
  <c r="N61" i="47" s="1"/>
  <c r="O61" i="47" s="1"/>
  <c r="P61" i="47" s="1"/>
  <c r="Q61" i="47" s="1"/>
  <c r="R61" i="47" s="1"/>
  <c r="S61" i="47" s="1"/>
  <c r="T61" i="47" s="1"/>
  <c r="U61" i="47" s="1"/>
  <c r="V61" i="47" s="1"/>
  <c r="W61" i="47" s="1"/>
  <c r="X61" i="47" s="1"/>
  <c r="Y61" i="47" s="1"/>
  <c r="Z61" i="47" s="1"/>
  <c r="AA61" i="47" s="1"/>
  <c r="AB61" i="47" s="1"/>
  <c r="AC61" i="47" s="1"/>
  <c r="AD61" i="47" s="1"/>
  <c r="AE61" i="47" s="1"/>
  <c r="AF61" i="47" s="1"/>
  <c r="AG61" i="47" s="1"/>
  <c r="AH61" i="47" s="1"/>
  <c r="C139" i="46"/>
  <c r="E21" i="48"/>
  <c r="D27" i="48"/>
  <c r="D42" i="48" s="1"/>
  <c r="E59" i="12"/>
  <c r="G33" i="51"/>
  <c r="J85" i="44"/>
  <c r="M87" i="44"/>
  <c r="N85" i="44" s="1"/>
  <c r="E74" i="47"/>
  <c r="D21" i="47"/>
  <c r="D153" i="54"/>
  <c r="E90" i="47"/>
  <c r="D35" i="47"/>
  <c r="E60" i="48"/>
  <c r="D64" i="48"/>
  <c r="D62" i="48"/>
  <c r="D61" i="48"/>
  <c r="D67" i="48"/>
  <c r="D66" i="48"/>
  <c r="D65" i="48"/>
  <c r="G136" i="53"/>
  <c r="G134" i="53"/>
  <c r="G138" i="53"/>
  <c r="AG138" i="48"/>
  <c r="AG137" i="48"/>
  <c r="AG201" i="48"/>
  <c r="AG200" i="48"/>
  <c r="AG138" i="46"/>
  <c r="AG137" i="46"/>
  <c r="AG200" i="46"/>
  <c r="AG201" i="46"/>
  <c r="E134" i="53"/>
  <c r="E138" i="53"/>
  <c r="E136" i="53"/>
  <c r="G77" i="44"/>
  <c r="I54" i="12"/>
  <c r="J50" i="12"/>
  <c r="I52" i="12"/>
  <c r="I51" i="12"/>
  <c r="J70" i="44"/>
  <c r="K70" i="44" s="1"/>
  <c r="J72" i="44"/>
  <c r="K72" i="44" s="1"/>
  <c r="M72" i="44" s="1"/>
  <c r="I187" i="20"/>
  <c r="I149" i="19" s="1"/>
  <c r="I186" i="20"/>
  <c r="I148" i="19" s="1"/>
  <c r="I190" i="20"/>
  <c r="I152" i="19" s="1"/>
  <c r="I189" i="20"/>
  <c r="I151" i="19" s="1"/>
  <c r="I188" i="20"/>
  <c r="I150" i="19" s="1"/>
  <c r="I147" i="19"/>
  <c r="J137" i="14" s="1"/>
  <c r="J137" i="12"/>
  <c r="E125" i="14"/>
  <c r="E54" i="47"/>
  <c r="H7" i="47"/>
  <c r="F53" i="47"/>
  <c r="G53" i="47" s="1"/>
  <c r="H53" i="47" s="1"/>
  <c r="I53" i="47" s="1"/>
  <c r="J53" i="47" s="1"/>
  <c r="K53" i="47" s="1"/>
  <c r="L53" i="47" s="1"/>
  <c r="M53" i="47" s="1"/>
  <c r="N53" i="47" s="1"/>
  <c r="O53" i="47" s="1"/>
  <c r="P53" i="47" s="1"/>
  <c r="Q53" i="47" s="1"/>
  <c r="R53" i="47" s="1"/>
  <c r="S53" i="47" s="1"/>
  <c r="T53" i="47" s="1"/>
  <c r="U53" i="47" s="1"/>
  <c r="V53" i="47" s="1"/>
  <c r="W53" i="47" s="1"/>
  <c r="X53" i="47" s="1"/>
  <c r="Y53" i="47" s="1"/>
  <c r="Z53" i="47" s="1"/>
  <c r="AA53" i="47" s="1"/>
  <c r="AB53" i="47" s="1"/>
  <c r="AC53" i="47" s="1"/>
  <c r="AD53" i="47" s="1"/>
  <c r="AE53" i="47" s="1"/>
  <c r="AF53" i="47" s="1"/>
  <c r="AG53" i="47" s="1"/>
  <c r="AH53" i="47" s="1"/>
  <c r="D26" i="46"/>
  <c r="D41" i="46" s="1"/>
  <c r="E20" i="46"/>
  <c r="F73" i="47"/>
  <c r="G73" i="47" s="1"/>
  <c r="H73" i="47" s="1"/>
  <c r="I73" i="47" s="1"/>
  <c r="J73" i="47" s="1"/>
  <c r="K73" i="47" s="1"/>
  <c r="L73" i="47" s="1"/>
  <c r="M73" i="47" s="1"/>
  <c r="N73" i="47" s="1"/>
  <c r="O73" i="47" s="1"/>
  <c r="P73" i="47" s="1"/>
  <c r="Q73" i="47" s="1"/>
  <c r="R73" i="47" s="1"/>
  <c r="S73" i="47" s="1"/>
  <c r="T73" i="47" s="1"/>
  <c r="U73" i="47" s="1"/>
  <c r="V73" i="47" s="1"/>
  <c r="W73" i="47" s="1"/>
  <c r="X73" i="47" s="1"/>
  <c r="Y73" i="47" s="1"/>
  <c r="Z73" i="47" s="1"/>
  <c r="AA73" i="47" s="1"/>
  <c r="AB73" i="47" s="1"/>
  <c r="AC73" i="47" s="1"/>
  <c r="AD73" i="47" s="1"/>
  <c r="AE73" i="47" s="1"/>
  <c r="AF73" i="47" s="1"/>
  <c r="AG73" i="47" s="1"/>
  <c r="AH73" i="47" s="1"/>
  <c r="F60" i="47"/>
  <c r="G60" i="47" s="1"/>
  <c r="H60" i="47" s="1"/>
  <c r="I60" i="47" s="1"/>
  <c r="J60" i="47" s="1"/>
  <c r="K60" i="47" s="1"/>
  <c r="L60" i="47" s="1"/>
  <c r="M60" i="47" s="1"/>
  <c r="N60" i="47" s="1"/>
  <c r="O60" i="47" s="1"/>
  <c r="P60" i="47" s="1"/>
  <c r="Q60" i="47" s="1"/>
  <c r="R60" i="47" s="1"/>
  <c r="S60" i="47" s="1"/>
  <c r="T60" i="47" s="1"/>
  <c r="U60" i="47" s="1"/>
  <c r="V60" i="47" s="1"/>
  <c r="W60" i="47" s="1"/>
  <c r="X60" i="47" s="1"/>
  <c r="Y60" i="47" s="1"/>
  <c r="Z60" i="47" s="1"/>
  <c r="AA60" i="47" s="1"/>
  <c r="AB60" i="47" s="1"/>
  <c r="AC60" i="47" s="1"/>
  <c r="AD60" i="47" s="1"/>
  <c r="AE60" i="47" s="1"/>
  <c r="AF60" i="47" s="1"/>
  <c r="AG60" i="47" s="1"/>
  <c r="AH60" i="47" s="1"/>
  <c r="C142" i="46"/>
  <c r="C141" i="46"/>
  <c r="C140" i="46"/>
  <c r="AG93" i="48"/>
  <c r="AG92" i="48"/>
  <c r="AG91" i="48"/>
  <c r="AG90" i="48"/>
  <c r="F83" i="47"/>
  <c r="G83" i="47" s="1"/>
  <c r="H83" i="47" s="1"/>
  <c r="I83" i="47" s="1"/>
  <c r="J83" i="47" s="1"/>
  <c r="K83" i="47" s="1"/>
  <c r="L83" i="47" s="1"/>
  <c r="M83" i="47" s="1"/>
  <c r="N83" i="47" s="1"/>
  <c r="O83" i="47" s="1"/>
  <c r="P83" i="47" s="1"/>
  <c r="Q83" i="47" s="1"/>
  <c r="R83" i="47" s="1"/>
  <c r="S83" i="47" s="1"/>
  <c r="T83" i="47" s="1"/>
  <c r="U83" i="47" s="1"/>
  <c r="V83" i="47" s="1"/>
  <c r="W83" i="47" s="1"/>
  <c r="X83" i="47" s="1"/>
  <c r="Y83" i="47" s="1"/>
  <c r="Z83" i="47" s="1"/>
  <c r="AA83" i="47" s="1"/>
  <c r="AB83" i="47" s="1"/>
  <c r="AC83" i="47" s="1"/>
  <c r="AD83" i="47" s="1"/>
  <c r="AE83" i="47" s="1"/>
  <c r="AF83" i="47" s="1"/>
  <c r="AG83" i="47" s="1"/>
  <c r="AH83" i="47" s="1"/>
  <c r="M88" i="44"/>
  <c r="F80" i="47"/>
  <c r="G80" i="47" s="1"/>
  <c r="H80" i="47" s="1"/>
  <c r="I80" i="47" s="1"/>
  <c r="J80" i="47" s="1"/>
  <c r="K80" i="47" s="1"/>
  <c r="L80" i="47" s="1"/>
  <c r="M80" i="47" s="1"/>
  <c r="N80" i="47" s="1"/>
  <c r="O80" i="47" s="1"/>
  <c r="P80" i="47" s="1"/>
  <c r="Q80" i="47" s="1"/>
  <c r="R80" i="47" s="1"/>
  <c r="S80" i="47" s="1"/>
  <c r="T80" i="47" s="1"/>
  <c r="U80" i="47" s="1"/>
  <c r="V80" i="47" s="1"/>
  <c r="W80" i="47" s="1"/>
  <c r="X80" i="47" s="1"/>
  <c r="Y80" i="47" s="1"/>
  <c r="Z80" i="47" s="1"/>
  <c r="AA80" i="47" s="1"/>
  <c r="AB80" i="47" s="1"/>
  <c r="AC80" i="47" s="1"/>
  <c r="AD80" i="47" s="1"/>
  <c r="AE80" i="47" s="1"/>
  <c r="AF80" i="47" s="1"/>
  <c r="AG80" i="47" s="1"/>
  <c r="AH80" i="47" s="1"/>
  <c r="F92" i="47"/>
  <c r="G92" i="47" s="1"/>
  <c r="H92" i="47" s="1"/>
  <c r="I92" i="47" s="1"/>
  <c r="J92" i="47" s="1"/>
  <c r="K92" i="47" s="1"/>
  <c r="L92" i="47" s="1"/>
  <c r="M92" i="47" s="1"/>
  <c r="N92" i="47" s="1"/>
  <c r="O92" i="47" s="1"/>
  <c r="P92" i="47" s="1"/>
  <c r="Q92" i="47" s="1"/>
  <c r="R92" i="47" s="1"/>
  <c r="S92" i="47" s="1"/>
  <c r="T92" i="47" s="1"/>
  <c r="U92" i="47" s="1"/>
  <c r="V92" i="47" s="1"/>
  <c r="W92" i="47" s="1"/>
  <c r="X92" i="47" s="1"/>
  <c r="Y92" i="47" s="1"/>
  <c r="Z92" i="47" s="1"/>
  <c r="AA92" i="47" s="1"/>
  <c r="AB92" i="47" s="1"/>
  <c r="AC92" i="47" s="1"/>
  <c r="AD92" i="47" s="1"/>
  <c r="AE92" i="47" s="1"/>
  <c r="AF92" i="47" s="1"/>
  <c r="AG92" i="47" s="1"/>
  <c r="AH92" i="47" s="1"/>
  <c r="J73" i="44"/>
  <c r="K73" i="44" s="1"/>
  <c r="M73" i="44" s="1"/>
  <c r="D134" i="53"/>
  <c r="D138" i="53"/>
  <c r="D136" i="53"/>
  <c r="C36" i="54"/>
  <c r="AJ55" i="51"/>
  <c r="E22" i="48"/>
  <c r="D28" i="48"/>
  <c r="I184" i="20"/>
  <c r="I146" i="19" s="1"/>
  <c r="I183" i="20"/>
  <c r="I145" i="19" s="1"/>
  <c r="I182" i="20"/>
  <c r="I144" i="19" s="1"/>
  <c r="I181" i="20"/>
  <c r="I143" i="19" s="1"/>
  <c r="I180" i="20"/>
  <c r="I142" i="19" s="1"/>
  <c r="I141" i="19"/>
  <c r="J125" i="14" s="1"/>
  <c r="F59" i="12"/>
  <c r="F41" i="47"/>
  <c r="G41" i="47" s="1"/>
  <c r="H41" i="47" s="1"/>
  <c r="I41" i="47" s="1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W41" i="47" s="1"/>
  <c r="X41" i="47" s="1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F52" i="47"/>
  <c r="G52" i="47" s="1"/>
  <c r="H52" i="47" s="1"/>
  <c r="I52" i="47" s="1"/>
  <c r="J52" i="47" s="1"/>
  <c r="K52" i="47" s="1"/>
  <c r="L52" i="47" s="1"/>
  <c r="M52" i="47" s="1"/>
  <c r="N52" i="47" s="1"/>
  <c r="O52" i="47" s="1"/>
  <c r="P52" i="47" s="1"/>
  <c r="Q52" i="47" s="1"/>
  <c r="R52" i="47" s="1"/>
  <c r="S52" i="47" s="1"/>
  <c r="T52" i="47" s="1"/>
  <c r="U52" i="47" s="1"/>
  <c r="V52" i="47" s="1"/>
  <c r="W52" i="47" s="1"/>
  <c r="X52" i="47" s="1"/>
  <c r="Y52" i="47" s="1"/>
  <c r="Z52" i="47" s="1"/>
  <c r="AA52" i="47" s="1"/>
  <c r="AB52" i="47" s="1"/>
  <c r="AC52" i="47" s="1"/>
  <c r="AD52" i="47" s="1"/>
  <c r="AE52" i="47" s="1"/>
  <c r="AF52" i="47" s="1"/>
  <c r="AG52" i="47" s="1"/>
  <c r="AH52" i="47" s="1"/>
  <c r="E137" i="14"/>
  <c r="I51" i="14"/>
  <c r="I54" i="14"/>
  <c r="J50" i="14"/>
  <c r="I52" i="14"/>
  <c r="F72" i="47"/>
  <c r="G72" i="47" s="1"/>
  <c r="H72" i="47" s="1"/>
  <c r="I72" i="47" s="1"/>
  <c r="J72" i="47" s="1"/>
  <c r="K72" i="47" s="1"/>
  <c r="L72" i="47" s="1"/>
  <c r="M72" i="47" s="1"/>
  <c r="N72" i="47" s="1"/>
  <c r="O72" i="47" s="1"/>
  <c r="P72" i="47" s="1"/>
  <c r="Q72" i="47" s="1"/>
  <c r="R72" i="47" s="1"/>
  <c r="S72" i="47" s="1"/>
  <c r="T72" i="47" s="1"/>
  <c r="U72" i="47" s="1"/>
  <c r="V72" i="47" s="1"/>
  <c r="W72" i="47" s="1"/>
  <c r="X72" i="47" s="1"/>
  <c r="Y72" i="47" s="1"/>
  <c r="Z72" i="47" s="1"/>
  <c r="AA72" i="47" s="1"/>
  <c r="AB72" i="47" s="1"/>
  <c r="AC72" i="47" s="1"/>
  <c r="AD72" i="47" s="1"/>
  <c r="AE72" i="47" s="1"/>
  <c r="AF72" i="47" s="1"/>
  <c r="AG72" i="47" s="1"/>
  <c r="AH72" i="47" s="1"/>
  <c r="F14" i="47"/>
  <c r="E66" i="47"/>
  <c r="AN30" i="51"/>
  <c r="H34" i="51"/>
  <c r="I30" i="51"/>
  <c r="H32" i="51"/>
  <c r="H31" i="51"/>
  <c r="J80" i="44"/>
  <c r="F85" i="47"/>
  <c r="G85" i="47" s="1"/>
  <c r="H85" i="47" s="1"/>
  <c r="I85" i="47" s="1"/>
  <c r="J85" i="47" s="1"/>
  <c r="K85" i="47" s="1"/>
  <c r="L85" i="47" s="1"/>
  <c r="M85" i="47" s="1"/>
  <c r="N85" i="47" s="1"/>
  <c r="O85" i="47" s="1"/>
  <c r="P85" i="47" s="1"/>
  <c r="Q85" i="47" s="1"/>
  <c r="R85" i="47" s="1"/>
  <c r="S85" i="47" s="1"/>
  <c r="T85" i="47" s="1"/>
  <c r="U85" i="47" s="1"/>
  <c r="V85" i="47" s="1"/>
  <c r="W85" i="47" s="1"/>
  <c r="X85" i="47" s="1"/>
  <c r="Y85" i="47" s="1"/>
  <c r="Z85" i="47" s="1"/>
  <c r="AA85" i="47" s="1"/>
  <c r="AB85" i="47" s="1"/>
  <c r="AC85" i="47" s="1"/>
  <c r="AD85" i="47" s="1"/>
  <c r="AE85" i="47" s="1"/>
  <c r="AF85" i="47" s="1"/>
  <c r="AG85" i="47" s="1"/>
  <c r="AH85" i="47" s="1"/>
  <c r="L105" i="24"/>
  <c r="J180" i="20"/>
  <c r="J142" i="19" s="1"/>
  <c r="J184" i="20"/>
  <c r="J146" i="19" s="1"/>
  <c r="J183" i="20"/>
  <c r="J145" i="19" s="1"/>
  <c r="J182" i="20"/>
  <c r="J144" i="19" s="1"/>
  <c r="J181" i="20"/>
  <c r="J143" i="19" s="1"/>
  <c r="J141" i="19"/>
  <c r="K125" i="14" s="1"/>
  <c r="J188" i="20"/>
  <c r="J150" i="19" s="1"/>
  <c r="J187" i="20"/>
  <c r="J149" i="19" s="1"/>
  <c r="J186" i="20"/>
  <c r="J148" i="19" s="1"/>
  <c r="J190" i="20"/>
  <c r="J152" i="19" s="1"/>
  <c r="J189" i="20"/>
  <c r="J151" i="19" s="1"/>
  <c r="J147" i="19"/>
  <c r="K137" i="14" s="1"/>
  <c r="K137" i="12"/>
  <c r="F55" i="47"/>
  <c r="G55" i="47" s="1"/>
  <c r="H55" i="47" s="1"/>
  <c r="I55" i="47" s="1"/>
  <c r="J55" i="47" s="1"/>
  <c r="K55" i="47" s="1"/>
  <c r="L55" i="47" s="1"/>
  <c r="M55" i="47" s="1"/>
  <c r="N55" i="47" s="1"/>
  <c r="O55" i="47" s="1"/>
  <c r="P55" i="47" s="1"/>
  <c r="Q55" i="47" s="1"/>
  <c r="R55" i="47" s="1"/>
  <c r="S55" i="47" s="1"/>
  <c r="T55" i="47" s="1"/>
  <c r="U55" i="47" s="1"/>
  <c r="V55" i="47" s="1"/>
  <c r="W55" i="47" s="1"/>
  <c r="X55" i="47" s="1"/>
  <c r="Y55" i="47" s="1"/>
  <c r="Z55" i="47" s="1"/>
  <c r="AA55" i="47" s="1"/>
  <c r="AB55" i="47" s="1"/>
  <c r="AC55" i="47" s="1"/>
  <c r="AD55" i="47" s="1"/>
  <c r="AE55" i="47" s="1"/>
  <c r="AF55" i="47" s="1"/>
  <c r="AG55" i="47" s="1"/>
  <c r="AH55" i="47" s="1"/>
  <c r="E60" i="53"/>
  <c r="D67" i="53"/>
  <c r="D66" i="53"/>
  <c r="D73" i="53" s="1"/>
  <c r="D74" i="53" s="1"/>
  <c r="D65" i="53"/>
  <c r="D64" i="53"/>
  <c r="D61" i="53"/>
  <c r="D62" i="53"/>
  <c r="J71" i="44"/>
  <c r="K71" i="44" s="1"/>
  <c r="M71" i="44" s="1"/>
  <c r="F39" i="47"/>
  <c r="G39" i="47" s="1"/>
  <c r="H39" i="47" s="1"/>
  <c r="I39" i="47" s="1"/>
  <c r="J39" i="47" s="1"/>
  <c r="K39" i="47" s="1"/>
  <c r="L39" i="47" s="1"/>
  <c r="M39" i="47" s="1"/>
  <c r="N39" i="47" s="1"/>
  <c r="O39" i="47" s="1"/>
  <c r="P39" i="47" s="1"/>
  <c r="Q39" i="47" s="1"/>
  <c r="R39" i="47" s="1"/>
  <c r="S39" i="47" s="1"/>
  <c r="T39" i="47" s="1"/>
  <c r="U39" i="47" s="1"/>
  <c r="V39" i="47" s="1"/>
  <c r="W39" i="47" s="1"/>
  <c r="X39" i="47" s="1"/>
  <c r="Y39" i="47" s="1"/>
  <c r="Z39" i="47" s="1"/>
  <c r="AA39" i="47" s="1"/>
  <c r="AB39" i="47" s="1"/>
  <c r="AC39" i="47" s="1"/>
  <c r="AD39" i="47" s="1"/>
  <c r="AE39" i="47" s="1"/>
  <c r="AF39" i="47" s="1"/>
  <c r="AG39" i="47" s="1"/>
  <c r="AH39" i="47" s="1"/>
  <c r="I174" i="20"/>
  <c r="I136" i="19" s="1"/>
  <c r="I175" i="20"/>
  <c r="I137" i="19" s="1"/>
  <c r="I176" i="20"/>
  <c r="I138" i="19" s="1"/>
  <c r="I177" i="20"/>
  <c r="I139" i="19" s="1"/>
  <c r="I178" i="20"/>
  <c r="I140" i="19" s="1"/>
  <c r="I135" i="19"/>
  <c r="J113" i="14" s="1"/>
  <c r="J113" i="12"/>
  <c r="J74" i="44"/>
  <c r="K74" i="44" s="1"/>
  <c r="M74" i="44" s="1"/>
  <c r="F40" i="47"/>
  <c r="G40" i="47" s="1"/>
  <c r="H40" i="47" s="1"/>
  <c r="I40" i="47" s="1"/>
  <c r="J40" i="47" s="1"/>
  <c r="K40" i="47" s="1"/>
  <c r="L40" i="47" s="1"/>
  <c r="M40" i="47" s="1"/>
  <c r="N40" i="47" s="1"/>
  <c r="O40" i="47" s="1"/>
  <c r="P40" i="47" s="1"/>
  <c r="Q40" i="47" s="1"/>
  <c r="R40" i="47" s="1"/>
  <c r="S40" i="47" s="1"/>
  <c r="T40" i="47" s="1"/>
  <c r="U40" i="47" s="1"/>
  <c r="V40" i="47" s="1"/>
  <c r="W40" i="47" s="1"/>
  <c r="X40" i="47" s="1"/>
  <c r="Y40" i="47" s="1"/>
  <c r="Z40" i="47" s="1"/>
  <c r="AA40" i="47" s="1"/>
  <c r="AB40" i="47" s="1"/>
  <c r="AC40" i="47" s="1"/>
  <c r="AD40" i="47" s="1"/>
  <c r="AE40" i="47" s="1"/>
  <c r="AF40" i="47" s="1"/>
  <c r="AG40" i="47" s="1"/>
  <c r="AH40" i="47" s="1"/>
  <c r="F75" i="47"/>
  <c r="G75" i="47" s="1"/>
  <c r="H75" i="47" s="1"/>
  <c r="I75" i="47" s="1"/>
  <c r="J75" i="47" s="1"/>
  <c r="K75" i="47" s="1"/>
  <c r="L75" i="47" s="1"/>
  <c r="M75" i="47" s="1"/>
  <c r="N75" i="47" s="1"/>
  <c r="O75" i="47" s="1"/>
  <c r="P75" i="47" s="1"/>
  <c r="Q75" i="47" s="1"/>
  <c r="R75" i="47" s="1"/>
  <c r="S75" i="47" s="1"/>
  <c r="T75" i="47" s="1"/>
  <c r="U75" i="47" s="1"/>
  <c r="V75" i="47" s="1"/>
  <c r="W75" i="47" s="1"/>
  <c r="X75" i="47" s="1"/>
  <c r="Y75" i="47" s="1"/>
  <c r="Z75" i="47" s="1"/>
  <c r="AA75" i="47" s="1"/>
  <c r="AB75" i="47" s="1"/>
  <c r="AC75" i="47" s="1"/>
  <c r="AD75" i="47" s="1"/>
  <c r="AE75" i="47" s="1"/>
  <c r="AF75" i="47" s="1"/>
  <c r="AG75" i="47" s="1"/>
  <c r="AH75" i="47" s="1"/>
  <c r="F63" i="47"/>
  <c r="G63" i="47" s="1"/>
  <c r="H63" i="47" s="1"/>
  <c r="I63" i="47" s="1"/>
  <c r="J63" i="47" s="1"/>
  <c r="K63" i="47" s="1"/>
  <c r="L63" i="47" s="1"/>
  <c r="M63" i="47" s="1"/>
  <c r="N63" i="47" s="1"/>
  <c r="O63" i="47" s="1"/>
  <c r="P63" i="47" s="1"/>
  <c r="Q63" i="47" s="1"/>
  <c r="R63" i="47" s="1"/>
  <c r="S63" i="47" s="1"/>
  <c r="T63" i="47" s="1"/>
  <c r="U63" i="47" s="1"/>
  <c r="V63" i="47" s="1"/>
  <c r="W63" i="47" s="1"/>
  <c r="X63" i="47" s="1"/>
  <c r="Y63" i="47" s="1"/>
  <c r="Z63" i="47" s="1"/>
  <c r="AA63" i="47" s="1"/>
  <c r="AB63" i="47" s="1"/>
  <c r="AC63" i="47" s="1"/>
  <c r="AD63" i="47" s="1"/>
  <c r="AE63" i="47" s="1"/>
  <c r="AF63" i="47" s="1"/>
  <c r="AG63" i="47" s="1"/>
  <c r="AH63" i="47" s="1"/>
  <c r="AI54" i="47"/>
  <c r="R7" i="47"/>
  <c r="F69" i="47"/>
  <c r="G69" i="47" s="1"/>
  <c r="H69" i="47" s="1"/>
  <c r="I69" i="47" s="1"/>
  <c r="J69" i="47" s="1"/>
  <c r="K69" i="47" s="1"/>
  <c r="L69" i="47" s="1"/>
  <c r="M69" i="47" s="1"/>
  <c r="N69" i="47" s="1"/>
  <c r="O69" i="47" s="1"/>
  <c r="P69" i="47" s="1"/>
  <c r="Q69" i="47" s="1"/>
  <c r="R69" i="47" s="1"/>
  <c r="S69" i="47" s="1"/>
  <c r="T69" i="47" s="1"/>
  <c r="U69" i="47" s="1"/>
  <c r="V69" i="47" s="1"/>
  <c r="W69" i="47" s="1"/>
  <c r="X69" i="47" s="1"/>
  <c r="Y69" i="47" s="1"/>
  <c r="Z69" i="47" s="1"/>
  <c r="AA69" i="47" s="1"/>
  <c r="AB69" i="47" s="1"/>
  <c r="AC69" i="47" s="1"/>
  <c r="AD69" i="47" s="1"/>
  <c r="AE69" i="47" s="1"/>
  <c r="AF69" i="47" s="1"/>
  <c r="AG69" i="47" s="1"/>
  <c r="AH69" i="47" s="1"/>
  <c r="E62" i="47"/>
  <c r="E14" i="47"/>
  <c r="J76" i="44"/>
  <c r="K76" i="44" s="1"/>
  <c r="M76" i="44" s="1"/>
  <c r="D136" i="48"/>
  <c r="F76" i="47"/>
  <c r="G76" i="47" s="1"/>
  <c r="H76" i="47" s="1"/>
  <c r="I76" i="47" s="1"/>
  <c r="J76" i="47" s="1"/>
  <c r="K76" i="47" s="1"/>
  <c r="L76" i="47" s="1"/>
  <c r="M76" i="47" s="1"/>
  <c r="N76" i="47" s="1"/>
  <c r="O76" i="47" s="1"/>
  <c r="P76" i="47" s="1"/>
  <c r="Q76" i="47" s="1"/>
  <c r="R76" i="47" s="1"/>
  <c r="S76" i="47" s="1"/>
  <c r="T76" i="47" s="1"/>
  <c r="U76" i="47" s="1"/>
  <c r="V76" i="47" s="1"/>
  <c r="W76" i="47" s="1"/>
  <c r="X76" i="47" s="1"/>
  <c r="Y76" i="47" s="1"/>
  <c r="Z76" i="47" s="1"/>
  <c r="AA76" i="47" s="1"/>
  <c r="AB76" i="47" s="1"/>
  <c r="AC76" i="47" s="1"/>
  <c r="AD76" i="47" s="1"/>
  <c r="AE76" i="47" s="1"/>
  <c r="AF76" i="47" s="1"/>
  <c r="AG76" i="47" s="1"/>
  <c r="AH76" i="47" s="1"/>
  <c r="C91" i="46"/>
  <c r="C94" i="46"/>
  <c r="C93" i="46"/>
  <c r="C98" i="46" s="1"/>
  <c r="C92" i="46"/>
  <c r="C97" i="46" s="1"/>
  <c r="C89" i="48"/>
  <c r="AG94" i="48" s="1"/>
  <c r="H137" i="14"/>
  <c r="P14" i="47"/>
  <c r="AI66" i="47"/>
  <c r="F87" i="47"/>
  <c r="G87" i="47" s="1"/>
  <c r="H87" i="47" s="1"/>
  <c r="I87" i="47" s="1"/>
  <c r="J87" i="47" s="1"/>
  <c r="K87" i="47" s="1"/>
  <c r="L87" i="47" s="1"/>
  <c r="M87" i="47" s="1"/>
  <c r="N87" i="47" s="1"/>
  <c r="O87" i="47" s="1"/>
  <c r="P87" i="47" s="1"/>
  <c r="Q87" i="47" s="1"/>
  <c r="R87" i="47" s="1"/>
  <c r="S87" i="47" s="1"/>
  <c r="T87" i="47" s="1"/>
  <c r="U87" i="47" s="1"/>
  <c r="V87" i="47" s="1"/>
  <c r="W87" i="47" s="1"/>
  <c r="X87" i="47" s="1"/>
  <c r="Y87" i="47" s="1"/>
  <c r="Z87" i="47" s="1"/>
  <c r="AA87" i="47" s="1"/>
  <c r="AB87" i="47" s="1"/>
  <c r="AC87" i="47" s="1"/>
  <c r="AD87" i="47" s="1"/>
  <c r="AE87" i="47" s="1"/>
  <c r="AF87" i="47" s="1"/>
  <c r="AG87" i="47" s="1"/>
  <c r="AH87" i="47" s="1"/>
  <c r="E22" i="46"/>
  <c r="D28" i="46"/>
  <c r="D16" i="45"/>
  <c r="G5" i="3"/>
  <c r="G7" i="3" s="1"/>
  <c r="J75" i="44"/>
  <c r="K75" i="44" s="1"/>
  <c r="M75" i="44" s="1"/>
  <c r="F45" i="47"/>
  <c r="G45" i="47" s="1"/>
  <c r="H45" i="47" s="1"/>
  <c r="I45" i="47" s="1"/>
  <c r="J45" i="47" s="1"/>
  <c r="K45" i="47" s="1"/>
  <c r="L45" i="47" s="1"/>
  <c r="M45" i="47" s="1"/>
  <c r="N45" i="47" s="1"/>
  <c r="O45" i="47" s="1"/>
  <c r="P45" i="47" s="1"/>
  <c r="Q45" i="47" s="1"/>
  <c r="R45" i="47" s="1"/>
  <c r="S45" i="47" s="1"/>
  <c r="T45" i="47" s="1"/>
  <c r="U45" i="47" s="1"/>
  <c r="V45" i="47" s="1"/>
  <c r="W45" i="47" s="1"/>
  <c r="X45" i="47" s="1"/>
  <c r="Y45" i="47" s="1"/>
  <c r="Z45" i="47" s="1"/>
  <c r="AA45" i="47" s="1"/>
  <c r="AB45" i="47" s="1"/>
  <c r="AC45" i="47" s="1"/>
  <c r="AD45" i="47" s="1"/>
  <c r="AE45" i="47" s="1"/>
  <c r="AF45" i="47" s="1"/>
  <c r="AG45" i="47" s="1"/>
  <c r="AH45" i="47" s="1"/>
  <c r="F7" i="47"/>
  <c r="E46" i="47"/>
  <c r="C90" i="46" s="1"/>
  <c r="G125" i="14"/>
  <c r="D257" i="48"/>
  <c r="AI42" i="47"/>
  <c r="O7" i="47"/>
  <c r="F68" i="47"/>
  <c r="G68" i="47" s="1"/>
  <c r="H68" i="47" s="1"/>
  <c r="I68" i="47" s="1"/>
  <c r="J68" i="47" s="1"/>
  <c r="K68" i="47" s="1"/>
  <c r="L68" i="47" s="1"/>
  <c r="M68" i="47" s="1"/>
  <c r="N68" i="47" s="1"/>
  <c r="O68" i="47" s="1"/>
  <c r="P68" i="47" s="1"/>
  <c r="Q68" i="47" s="1"/>
  <c r="R68" i="47" s="1"/>
  <c r="S68" i="47" s="1"/>
  <c r="T68" i="47" s="1"/>
  <c r="U68" i="47" s="1"/>
  <c r="V68" i="47" s="1"/>
  <c r="W68" i="47" s="1"/>
  <c r="X68" i="47" s="1"/>
  <c r="Y68" i="47" s="1"/>
  <c r="Z68" i="47" s="1"/>
  <c r="AA68" i="47" s="1"/>
  <c r="AB68" i="47" s="1"/>
  <c r="AC68" i="47" s="1"/>
  <c r="AD68" i="47" s="1"/>
  <c r="AE68" i="47" s="1"/>
  <c r="AF68" i="47" s="1"/>
  <c r="AG68" i="47" s="1"/>
  <c r="AH68" i="47" s="1"/>
  <c r="E20" i="48"/>
  <c r="D26" i="48"/>
  <c r="D41" i="48" s="1"/>
  <c r="C204" i="46"/>
  <c r="C203" i="46"/>
  <c r="C139" i="48"/>
  <c r="F77" i="47"/>
  <c r="G77" i="47" s="1"/>
  <c r="H77" i="47" s="1"/>
  <c r="I77" i="47" s="1"/>
  <c r="J77" i="47" s="1"/>
  <c r="K77" i="47" s="1"/>
  <c r="L77" i="47" s="1"/>
  <c r="M77" i="47" s="1"/>
  <c r="N77" i="47" s="1"/>
  <c r="O77" i="47" s="1"/>
  <c r="P77" i="47" s="1"/>
  <c r="Q77" i="47" s="1"/>
  <c r="R77" i="47" s="1"/>
  <c r="S77" i="47" s="1"/>
  <c r="T77" i="47" s="1"/>
  <c r="U77" i="47" s="1"/>
  <c r="V77" i="47" s="1"/>
  <c r="W77" i="47" s="1"/>
  <c r="X77" i="47" s="1"/>
  <c r="Y77" i="47" s="1"/>
  <c r="Z77" i="47" s="1"/>
  <c r="AA77" i="47" s="1"/>
  <c r="AB77" i="47" s="1"/>
  <c r="AC77" i="47" s="1"/>
  <c r="AD77" i="47" s="1"/>
  <c r="AE77" i="47" s="1"/>
  <c r="AF77" i="47" s="1"/>
  <c r="AG77" i="47" s="1"/>
  <c r="AH77" i="47" s="1"/>
  <c r="F81" i="47"/>
  <c r="G81" i="47" s="1"/>
  <c r="H81" i="47" s="1"/>
  <c r="I81" i="47" s="1"/>
  <c r="J81" i="47" s="1"/>
  <c r="K81" i="47" s="1"/>
  <c r="L81" i="47" s="1"/>
  <c r="M81" i="47" s="1"/>
  <c r="N81" i="47" s="1"/>
  <c r="O81" i="47" s="1"/>
  <c r="P81" i="47" s="1"/>
  <c r="Q81" i="47" s="1"/>
  <c r="R81" i="47" s="1"/>
  <c r="S81" i="47" s="1"/>
  <c r="T81" i="47" s="1"/>
  <c r="U81" i="47" s="1"/>
  <c r="V81" i="47" s="1"/>
  <c r="W81" i="47" s="1"/>
  <c r="X81" i="47" s="1"/>
  <c r="Y81" i="47" s="1"/>
  <c r="Z81" i="47" s="1"/>
  <c r="AA81" i="47" s="1"/>
  <c r="AB81" i="47" s="1"/>
  <c r="AC81" i="47" s="1"/>
  <c r="AD81" i="47" s="1"/>
  <c r="AE81" i="47" s="1"/>
  <c r="AF81" i="47" s="1"/>
  <c r="AG81" i="47" s="1"/>
  <c r="AH81" i="47" s="1"/>
  <c r="D18" i="48"/>
  <c r="C24" i="48"/>
  <c r="E36" i="53"/>
  <c r="J42" i="53" s="1"/>
  <c r="F55" i="51"/>
  <c r="J174" i="20"/>
  <c r="J136" i="19" s="1"/>
  <c r="J175" i="20"/>
  <c r="J137" i="19" s="1"/>
  <c r="J176" i="20"/>
  <c r="J138" i="19" s="1"/>
  <c r="J177" i="20"/>
  <c r="J139" i="19" s="1"/>
  <c r="J178" i="20"/>
  <c r="J140" i="19" s="1"/>
  <c r="J135" i="19"/>
  <c r="K113" i="14" s="1"/>
  <c r="K113" i="12"/>
  <c r="D18" i="46"/>
  <c r="C24" i="46"/>
  <c r="F91" i="47"/>
  <c r="G91" i="47" s="1"/>
  <c r="H91" i="47" s="1"/>
  <c r="I91" i="47" s="1"/>
  <c r="J91" i="47" s="1"/>
  <c r="K91" i="47" s="1"/>
  <c r="L91" i="47" s="1"/>
  <c r="M91" i="47" s="1"/>
  <c r="N91" i="47" s="1"/>
  <c r="O91" i="47" s="1"/>
  <c r="P91" i="47" s="1"/>
  <c r="Q91" i="47" s="1"/>
  <c r="R91" i="47" s="1"/>
  <c r="S91" i="47" s="1"/>
  <c r="T91" i="47" s="1"/>
  <c r="U91" i="47" s="1"/>
  <c r="V91" i="47" s="1"/>
  <c r="W91" i="47" s="1"/>
  <c r="X91" i="47" s="1"/>
  <c r="Y91" i="47" s="1"/>
  <c r="Z91" i="47" s="1"/>
  <c r="AA91" i="47" s="1"/>
  <c r="AB91" i="47" s="1"/>
  <c r="AC91" i="47" s="1"/>
  <c r="AD91" i="47" s="1"/>
  <c r="AE91" i="47" s="1"/>
  <c r="AF91" i="47" s="1"/>
  <c r="AG91" i="47" s="1"/>
  <c r="AH91" i="47" s="1"/>
  <c r="O14" i="47"/>
  <c r="AI62" i="47"/>
  <c r="C63" i="53"/>
  <c r="E60" i="54"/>
  <c r="D67" i="54"/>
  <c r="D66" i="54"/>
  <c r="D73" i="54" s="1"/>
  <c r="D74" i="54" s="1"/>
  <c r="D65" i="54"/>
  <c r="D64" i="54"/>
  <c r="D62" i="54"/>
  <c r="D61" i="54"/>
  <c r="M35" i="47"/>
  <c r="AI90" i="47"/>
  <c r="F44" i="47"/>
  <c r="G44" i="47" s="1"/>
  <c r="H44" i="47" s="1"/>
  <c r="I44" i="47" s="1"/>
  <c r="J44" i="47" s="1"/>
  <c r="K44" i="47" s="1"/>
  <c r="L44" i="47" s="1"/>
  <c r="M44" i="47" s="1"/>
  <c r="N44" i="47" s="1"/>
  <c r="O44" i="47" s="1"/>
  <c r="P44" i="47" s="1"/>
  <c r="Q44" i="47" s="1"/>
  <c r="R44" i="47" s="1"/>
  <c r="S44" i="47" s="1"/>
  <c r="T44" i="47" s="1"/>
  <c r="U44" i="47" s="1"/>
  <c r="V44" i="47" s="1"/>
  <c r="W44" i="47" s="1"/>
  <c r="X44" i="47" s="1"/>
  <c r="Y44" i="47" s="1"/>
  <c r="Z44" i="47" s="1"/>
  <c r="AA44" i="47" s="1"/>
  <c r="AB44" i="47" s="1"/>
  <c r="AC44" i="47" s="1"/>
  <c r="AD44" i="47" s="1"/>
  <c r="AE44" i="47" s="1"/>
  <c r="AF44" i="47" s="1"/>
  <c r="AG44" i="47" s="1"/>
  <c r="AH44" i="47" s="1"/>
  <c r="E42" i="47"/>
  <c r="E7" i="47"/>
  <c r="N7" i="47"/>
  <c r="AI38" i="47"/>
  <c r="F65" i="47"/>
  <c r="G65" i="47" s="1"/>
  <c r="H65" i="47" s="1"/>
  <c r="I65" i="47" s="1"/>
  <c r="J65" i="47" s="1"/>
  <c r="K65" i="47" s="1"/>
  <c r="L65" i="47" s="1"/>
  <c r="M65" i="47" s="1"/>
  <c r="N65" i="47" s="1"/>
  <c r="O65" i="47" s="1"/>
  <c r="P65" i="47" s="1"/>
  <c r="Q65" i="47" s="1"/>
  <c r="R65" i="47" s="1"/>
  <c r="S65" i="47" s="1"/>
  <c r="T65" i="47" s="1"/>
  <c r="U65" i="47" s="1"/>
  <c r="V65" i="47" s="1"/>
  <c r="W65" i="47" s="1"/>
  <c r="X65" i="47" s="1"/>
  <c r="Y65" i="47" s="1"/>
  <c r="Z65" i="47" s="1"/>
  <c r="AA65" i="47" s="1"/>
  <c r="AB65" i="47" s="1"/>
  <c r="AC65" i="47" s="1"/>
  <c r="AD65" i="47" s="1"/>
  <c r="AE65" i="47" s="1"/>
  <c r="AF65" i="47" s="1"/>
  <c r="AG65" i="47" s="1"/>
  <c r="AH65" i="47" s="1"/>
  <c r="G137" i="14"/>
  <c r="N21" i="47"/>
  <c r="AI74" i="47"/>
  <c r="AI82" i="47"/>
  <c r="P21" i="47"/>
  <c r="D153" i="53"/>
  <c r="C202" i="46"/>
  <c r="C216" i="46"/>
  <c r="C206" i="46"/>
  <c r="C226" i="46"/>
  <c r="C141" i="48"/>
  <c r="C140" i="48"/>
  <c r="C142" i="48"/>
  <c r="F21" i="47"/>
  <c r="E82" i="47"/>
  <c r="D62" i="46"/>
  <c r="D61" i="46"/>
  <c r="E60" i="46"/>
  <c r="D67" i="46"/>
  <c r="D66" i="46"/>
  <c r="D89" i="46" s="1"/>
  <c r="D65" i="46"/>
  <c r="D64" i="46"/>
  <c r="C204" i="48"/>
  <c r="C203" i="48"/>
  <c r="E38" i="45"/>
  <c r="D41" i="45"/>
  <c r="AJ38" i="45"/>
  <c r="AI58" i="47"/>
  <c r="N14" i="47"/>
  <c r="F89" i="47"/>
  <c r="G89" i="47" s="1"/>
  <c r="H89" i="47" s="1"/>
  <c r="I89" i="47" s="1"/>
  <c r="J89" i="47" s="1"/>
  <c r="K89" i="47" s="1"/>
  <c r="L89" i="47" s="1"/>
  <c r="M89" i="47" s="1"/>
  <c r="N89" i="47" s="1"/>
  <c r="O89" i="47" s="1"/>
  <c r="P89" i="47" s="1"/>
  <c r="Q89" i="47" s="1"/>
  <c r="R89" i="47" s="1"/>
  <c r="S89" i="47" s="1"/>
  <c r="T89" i="47" s="1"/>
  <c r="U89" i="47" s="1"/>
  <c r="V89" i="47" s="1"/>
  <c r="W89" i="47" s="1"/>
  <c r="X89" i="47" s="1"/>
  <c r="Y89" i="47" s="1"/>
  <c r="Z89" i="47" s="1"/>
  <c r="AA89" i="47" s="1"/>
  <c r="AB89" i="47" s="1"/>
  <c r="AC89" i="47" s="1"/>
  <c r="AD89" i="47" s="1"/>
  <c r="AE89" i="47" s="1"/>
  <c r="AF89" i="47" s="1"/>
  <c r="AG89" i="47" s="1"/>
  <c r="AH89" i="47" s="1"/>
  <c r="E113" i="14"/>
  <c r="F43" i="47"/>
  <c r="G43" i="47" s="1"/>
  <c r="H43" i="47" s="1"/>
  <c r="I43" i="47" s="1"/>
  <c r="J43" i="47" s="1"/>
  <c r="K43" i="47" s="1"/>
  <c r="L43" i="47" s="1"/>
  <c r="M43" i="47" s="1"/>
  <c r="N43" i="47" s="1"/>
  <c r="O43" i="47" s="1"/>
  <c r="P43" i="47" s="1"/>
  <c r="Q43" i="47" s="1"/>
  <c r="R43" i="47" s="1"/>
  <c r="S43" i="47" s="1"/>
  <c r="T43" i="47" s="1"/>
  <c r="U43" i="47" s="1"/>
  <c r="V43" i="47" s="1"/>
  <c r="W43" i="47" s="1"/>
  <c r="X43" i="47" s="1"/>
  <c r="Y43" i="47" s="1"/>
  <c r="Z43" i="47" s="1"/>
  <c r="AA43" i="47" s="1"/>
  <c r="AB43" i="47" s="1"/>
  <c r="AC43" i="47" s="1"/>
  <c r="AD43" i="47" s="1"/>
  <c r="AE43" i="47" s="1"/>
  <c r="AF43" i="47" s="1"/>
  <c r="AG43" i="47" s="1"/>
  <c r="AH43" i="47" s="1"/>
  <c r="G7" i="47"/>
  <c r="E50" i="47"/>
  <c r="E38" i="47"/>
  <c r="D7" i="47"/>
  <c r="F79" i="47"/>
  <c r="G79" i="47" s="1"/>
  <c r="H79" i="47" s="1"/>
  <c r="I79" i="47" s="1"/>
  <c r="J79" i="47" s="1"/>
  <c r="K79" i="47" s="1"/>
  <c r="L79" i="47" s="1"/>
  <c r="M79" i="47" s="1"/>
  <c r="N79" i="47" s="1"/>
  <c r="O79" i="47" s="1"/>
  <c r="P79" i="47" s="1"/>
  <c r="Q79" i="47" s="1"/>
  <c r="R79" i="47" s="1"/>
  <c r="S79" i="47" s="1"/>
  <c r="T79" i="47" s="1"/>
  <c r="U79" i="47" s="1"/>
  <c r="V79" i="47" s="1"/>
  <c r="W79" i="47" s="1"/>
  <c r="X79" i="47" s="1"/>
  <c r="Y79" i="47" s="1"/>
  <c r="Z79" i="47" s="1"/>
  <c r="AA79" i="47" s="1"/>
  <c r="AB79" i="47" s="1"/>
  <c r="AC79" i="47" s="1"/>
  <c r="AD79" i="47" s="1"/>
  <c r="AE79" i="47" s="1"/>
  <c r="AF79" i="47" s="1"/>
  <c r="AG79" i="47" s="1"/>
  <c r="AH79" i="47" s="1"/>
  <c r="F64" i="47"/>
  <c r="G64" i="47" s="1"/>
  <c r="H64" i="47" s="1"/>
  <c r="I64" i="47" s="1"/>
  <c r="J64" i="47" s="1"/>
  <c r="K64" i="47" s="1"/>
  <c r="L64" i="47" s="1"/>
  <c r="M64" i="47" s="1"/>
  <c r="N64" i="47" s="1"/>
  <c r="O64" i="47" s="1"/>
  <c r="P64" i="47" s="1"/>
  <c r="Q64" i="47" s="1"/>
  <c r="R64" i="47" s="1"/>
  <c r="S64" i="47" s="1"/>
  <c r="T64" i="47" s="1"/>
  <c r="U64" i="47" s="1"/>
  <c r="V64" i="47" s="1"/>
  <c r="W64" i="47" s="1"/>
  <c r="X64" i="47" s="1"/>
  <c r="Y64" i="47" s="1"/>
  <c r="Z64" i="47" s="1"/>
  <c r="AA64" i="47" s="1"/>
  <c r="AB64" i="47" s="1"/>
  <c r="AC64" i="47" s="1"/>
  <c r="AD64" i="47" s="1"/>
  <c r="AE64" i="47" s="1"/>
  <c r="AF64" i="47" s="1"/>
  <c r="AG64" i="47" s="1"/>
  <c r="AH64" i="47" s="1"/>
  <c r="M7" i="4"/>
  <c r="M8" i="4"/>
  <c r="AM32" i="51"/>
  <c r="AM31" i="51"/>
  <c r="AM34" i="51"/>
  <c r="E78" i="47"/>
  <c r="E21" i="47"/>
  <c r="L7" i="4"/>
  <c r="L8" i="4"/>
  <c r="H138" i="53"/>
  <c r="H136" i="53"/>
  <c r="H134" i="53"/>
  <c r="C131" i="53"/>
  <c r="C132" i="53"/>
  <c r="Q14" i="47"/>
  <c r="AI70" i="47"/>
  <c r="C132" i="54"/>
  <c r="C131" i="54"/>
  <c r="C63" i="54"/>
  <c r="D28" i="47"/>
  <c r="E86" i="47"/>
  <c r="AL33" i="51"/>
  <c r="G113" i="14"/>
  <c r="E19" i="46"/>
  <c r="D25" i="46"/>
  <c r="F49" i="47"/>
  <c r="G49" i="47" s="1"/>
  <c r="H49" i="47" s="1"/>
  <c r="I49" i="47" s="1"/>
  <c r="J49" i="47" s="1"/>
  <c r="K49" i="47" s="1"/>
  <c r="L49" i="47" s="1"/>
  <c r="M49" i="47" s="1"/>
  <c r="N49" i="47" s="1"/>
  <c r="O49" i="47" s="1"/>
  <c r="P49" i="47" s="1"/>
  <c r="Q49" i="47" s="1"/>
  <c r="R49" i="47" s="1"/>
  <c r="S49" i="47" s="1"/>
  <c r="T49" i="47" s="1"/>
  <c r="U49" i="47" s="1"/>
  <c r="V49" i="47" s="1"/>
  <c r="W49" i="47" s="1"/>
  <c r="X49" i="47" s="1"/>
  <c r="Y49" i="47" s="1"/>
  <c r="Z49" i="47" s="1"/>
  <c r="AA49" i="47" s="1"/>
  <c r="AB49" i="47" s="1"/>
  <c r="AC49" i="47" s="1"/>
  <c r="AD49" i="47" s="1"/>
  <c r="AE49" i="47" s="1"/>
  <c r="AF49" i="47" s="1"/>
  <c r="AG49" i="47" s="1"/>
  <c r="AH49" i="47" s="1"/>
  <c r="F57" i="47"/>
  <c r="G57" i="47" s="1"/>
  <c r="H57" i="47" s="1"/>
  <c r="I57" i="47" s="1"/>
  <c r="J57" i="47" s="1"/>
  <c r="K57" i="47" s="1"/>
  <c r="L57" i="47" s="1"/>
  <c r="M57" i="47" s="1"/>
  <c r="N57" i="47" s="1"/>
  <c r="O57" i="47" s="1"/>
  <c r="P57" i="47" s="1"/>
  <c r="Q57" i="47" s="1"/>
  <c r="R57" i="47" s="1"/>
  <c r="S57" i="47" s="1"/>
  <c r="T57" i="47" s="1"/>
  <c r="U57" i="47" s="1"/>
  <c r="V57" i="47" s="1"/>
  <c r="W57" i="47" s="1"/>
  <c r="X57" i="47" s="1"/>
  <c r="Y57" i="47" s="1"/>
  <c r="Z57" i="47" s="1"/>
  <c r="AA57" i="47" s="1"/>
  <c r="AB57" i="47" s="1"/>
  <c r="AC57" i="47" s="1"/>
  <c r="AD57" i="47" s="1"/>
  <c r="AE57" i="47" s="1"/>
  <c r="AF57" i="47" s="1"/>
  <c r="AG57" i="47" s="1"/>
  <c r="AH57" i="47" s="1"/>
  <c r="D257" i="46"/>
  <c r="F57" i="14"/>
  <c r="D27" i="46"/>
  <c r="D42" i="46" s="1"/>
  <c r="E21" i="46"/>
  <c r="E70" i="47"/>
  <c r="G14" i="47"/>
  <c r="O21" i="47"/>
  <c r="AI78" i="47"/>
  <c r="D136" i="46"/>
  <c r="M5" i="8"/>
  <c r="M6" i="8" s="1"/>
  <c r="I137" i="14"/>
  <c r="N28" i="47"/>
  <c r="AI86" i="47"/>
  <c r="F84" i="47"/>
  <c r="G84" i="47" s="1"/>
  <c r="H84" i="47" s="1"/>
  <c r="I84" i="47" s="1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T84" i="47" s="1"/>
  <c r="U84" i="47" s="1"/>
  <c r="V84" i="47" s="1"/>
  <c r="W84" i="47" s="1"/>
  <c r="X84" i="47" s="1"/>
  <c r="Y84" i="47" s="1"/>
  <c r="Z84" i="47" s="1"/>
  <c r="AA84" i="47" s="1"/>
  <c r="AB84" i="47" s="1"/>
  <c r="AC84" i="47" s="1"/>
  <c r="AD84" i="47" s="1"/>
  <c r="AE84" i="47" s="1"/>
  <c r="AF84" i="47" s="1"/>
  <c r="AG84" i="47" s="1"/>
  <c r="AH84" i="47" s="1"/>
  <c r="F93" i="47"/>
  <c r="G93" i="47" s="1"/>
  <c r="H93" i="47" s="1"/>
  <c r="I93" i="47" s="1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J132" i="19" l="1"/>
  <c r="J131" i="19"/>
  <c r="AK55" i="51"/>
  <c r="G61" i="12"/>
  <c r="F58" i="14"/>
  <c r="G60" i="14"/>
  <c r="E240" i="46"/>
  <c r="C245" i="46"/>
  <c r="C250" i="46" s="1"/>
  <c r="E240" i="48"/>
  <c r="C248" i="46"/>
  <c r="D96" i="45" s="1"/>
  <c r="G60" i="12"/>
  <c r="G112" i="12"/>
  <c r="F39" i="20"/>
  <c r="K45" i="20" s="1"/>
  <c r="G56" i="12"/>
  <c r="F39" i="19"/>
  <c r="K45" i="19" s="1"/>
  <c r="G112" i="14"/>
  <c r="G61" i="14"/>
  <c r="G56" i="14"/>
  <c r="AJ63" i="51"/>
  <c r="G35" i="51"/>
  <c r="H55" i="12"/>
  <c r="I134" i="53"/>
  <c r="J56" i="51" s="1"/>
  <c r="I138" i="53"/>
  <c r="I139" i="53" s="1"/>
  <c r="J69" i="51" s="1"/>
  <c r="I136" i="53"/>
  <c r="AL35" i="51"/>
  <c r="AJ69" i="51"/>
  <c r="E59" i="14"/>
  <c r="AJ41" i="45"/>
  <c r="H55" i="14"/>
  <c r="D36" i="54"/>
  <c r="I42" i="54" s="1"/>
  <c r="C207" i="46"/>
  <c r="I53" i="12"/>
  <c r="AM33" i="51"/>
  <c r="C243" i="48"/>
  <c r="C248" i="48" s="1"/>
  <c r="C246" i="46"/>
  <c r="C251" i="46" s="1"/>
  <c r="M9" i="4"/>
  <c r="I9" i="26"/>
  <c r="H10" i="3"/>
  <c r="AG97" i="46"/>
  <c r="J77" i="44"/>
  <c r="AG202" i="48"/>
  <c r="N82" i="44"/>
  <c r="N80" i="44"/>
  <c r="D243" i="46"/>
  <c r="D246" i="46" s="1"/>
  <c r="D63" i="54"/>
  <c r="N84" i="44"/>
  <c r="N81" i="44"/>
  <c r="N86" i="44"/>
  <c r="N83" i="44"/>
  <c r="L9" i="4"/>
  <c r="AG98" i="46"/>
  <c r="E137" i="53"/>
  <c r="F63" i="51" s="1"/>
  <c r="J87" i="44"/>
  <c r="D137" i="53"/>
  <c r="E63" i="51" s="1"/>
  <c r="E139" i="53"/>
  <c r="F69" i="51" s="1"/>
  <c r="D139" i="53"/>
  <c r="E69" i="51" s="1"/>
  <c r="F137" i="53"/>
  <c r="G63" i="51" s="1"/>
  <c r="I137" i="53"/>
  <c r="J63" i="51" s="1"/>
  <c r="G139" i="53"/>
  <c r="H69" i="51" s="1"/>
  <c r="G137" i="53"/>
  <c r="H63" i="51" s="1"/>
  <c r="H137" i="53"/>
  <c r="I63" i="51" s="1"/>
  <c r="H139" i="53"/>
  <c r="I69" i="51" s="1"/>
  <c r="C95" i="46"/>
  <c r="AG95" i="46"/>
  <c r="M8" i="8"/>
  <c r="M10" i="8"/>
  <c r="M7" i="8"/>
  <c r="M9" i="8"/>
  <c r="G8" i="3"/>
  <c r="G12" i="3" s="1"/>
  <c r="H7" i="26"/>
  <c r="H8" i="26"/>
  <c r="E136" i="46"/>
  <c r="D138" i="46"/>
  <c r="D137" i="46"/>
  <c r="D200" i="46"/>
  <c r="D201" i="46"/>
  <c r="F59" i="14"/>
  <c r="AK38" i="45"/>
  <c r="F38" i="45"/>
  <c r="E40" i="45"/>
  <c r="E39" i="45"/>
  <c r="D63" i="46"/>
  <c r="C211" i="46"/>
  <c r="D89" i="45" s="1"/>
  <c r="C210" i="46"/>
  <c r="C215" i="46" s="1"/>
  <c r="C209" i="46"/>
  <c r="C214" i="46" s="1"/>
  <c r="C208" i="46"/>
  <c r="C213" i="46" s="1"/>
  <c r="C212" i="46"/>
  <c r="C206" i="48"/>
  <c r="D138" i="48"/>
  <c r="D137" i="48"/>
  <c r="E136" i="48"/>
  <c r="D201" i="48"/>
  <c r="D200" i="48"/>
  <c r="F66" i="47"/>
  <c r="G66" i="47" s="1"/>
  <c r="H66" i="47" s="1"/>
  <c r="I66" i="47" s="1"/>
  <c r="J66" i="47" s="1"/>
  <c r="K66" i="47" s="1"/>
  <c r="L66" i="47" s="1"/>
  <c r="M66" i="47" s="1"/>
  <c r="N66" i="47" s="1"/>
  <c r="O66" i="47" s="1"/>
  <c r="P66" i="47" s="1"/>
  <c r="Q66" i="47" s="1"/>
  <c r="R66" i="47" s="1"/>
  <c r="S66" i="47" s="1"/>
  <c r="T66" i="47" s="1"/>
  <c r="U66" i="47" s="1"/>
  <c r="V66" i="47" s="1"/>
  <c r="W66" i="47" s="1"/>
  <c r="X66" i="47" s="1"/>
  <c r="Y66" i="47" s="1"/>
  <c r="Z66" i="47" s="1"/>
  <c r="AA66" i="47" s="1"/>
  <c r="AB66" i="47" s="1"/>
  <c r="AC66" i="47" s="1"/>
  <c r="AD66" i="47" s="1"/>
  <c r="AE66" i="47" s="1"/>
  <c r="AF66" i="47" s="1"/>
  <c r="AG66" i="47" s="1"/>
  <c r="AH66" i="47" s="1"/>
  <c r="J52" i="14"/>
  <c r="J51" i="14"/>
  <c r="J54" i="14"/>
  <c r="K50" i="14"/>
  <c r="AG140" i="46"/>
  <c r="AG141" i="46"/>
  <c r="AG142" i="46"/>
  <c r="H135" i="53"/>
  <c r="I56" i="51"/>
  <c r="F78" i="47"/>
  <c r="G78" i="47" s="1"/>
  <c r="H78" i="47" s="1"/>
  <c r="I78" i="47" s="1"/>
  <c r="J78" i="47" s="1"/>
  <c r="K78" i="47" s="1"/>
  <c r="L78" i="47" s="1"/>
  <c r="M78" i="47" s="1"/>
  <c r="N78" i="47" s="1"/>
  <c r="O78" i="47" s="1"/>
  <c r="P78" i="47" s="1"/>
  <c r="Q78" i="47" s="1"/>
  <c r="R78" i="47" s="1"/>
  <c r="S78" i="47" s="1"/>
  <c r="T78" i="47" s="1"/>
  <c r="U78" i="47" s="1"/>
  <c r="V78" i="47" s="1"/>
  <c r="W78" i="47" s="1"/>
  <c r="X78" i="47" s="1"/>
  <c r="Y78" i="47" s="1"/>
  <c r="Z78" i="47" s="1"/>
  <c r="AA78" i="47" s="1"/>
  <c r="AB78" i="47" s="1"/>
  <c r="AC78" i="47" s="1"/>
  <c r="AD78" i="47" s="1"/>
  <c r="AE78" i="47" s="1"/>
  <c r="AF78" i="47" s="1"/>
  <c r="AG78" i="47" s="1"/>
  <c r="AH78" i="47" s="1"/>
  <c r="C219" i="46"/>
  <c r="C224" i="46" s="1"/>
  <c r="C218" i="46"/>
  <c r="C223" i="46" s="1"/>
  <c r="C217" i="46"/>
  <c r="C222" i="46" s="1"/>
  <c r="C221" i="46"/>
  <c r="D99" i="45" s="1"/>
  <c r="C220" i="46"/>
  <c r="C225" i="46" s="1"/>
  <c r="C216" i="48"/>
  <c r="F20" i="48"/>
  <c r="E26" i="48"/>
  <c r="E41" i="48" s="1"/>
  <c r="E61" i="53"/>
  <c r="F60" i="53"/>
  <c r="E67" i="53"/>
  <c r="E66" i="53"/>
  <c r="E73" i="53" s="1"/>
  <c r="E74" i="53" s="1"/>
  <c r="E65" i="53"/>
  <c r="E64" i="53"/>
  <c r="E62" i="53"/>
  <c r="F22" i="48"/>
  <c r="E28" i="48"/>
  <c r="E241" i="46"/>
  <c r="F240" i="46"/>
  <c r="F54" i="47"/>
  <c r="G54" i="47" s="1"/>
  <c r="H54" i="47" s="1"/>
  <c r="I54" i="47" s="1"/>
  <c r="J54" i="47" s="1"/>
  <c r="K54" i="47" s="1"/>
  <c r="L54" i="47" s="1"/>
  <c r="M54" i="47" s="1"/>
  <c r="N54" i="47" s="1"/>
  <c r="O54" i="47" s="1"/>
  <c r="P54" i="47" s="1"/>
  <c r="Q54" i="47" s="1"/>
  <c r="R54" i="47" s="1"/>
  <c r="S54" i="47" s="1"/>
  <c r="T54" i="47" s="1"/>
  <c r="U54" i="47" s="1"/>
  <c r="V54" i="47" s="1"/>
  <c r="W54" i="47" s="1"/>
  <c r="X54" i="47" s="1"/>
  <c r="Y54" i="47" s="1"/>
  <c r="Z54" i="47" s="1"/>
  <c r="AA54" i="47" s="1"/>
  <c r="AB54" i="47" s="1"/>
  <c r="AC54" i="47" s="1"/>
  <c r="AD54" i="47" s="1"/>
  <c r="AE54" i="47" s="1"/>
  <c r="AF54" i="47" s="1"/>
  <c r="AG54" i="47" s="1"/>
  <c r="AH54" i="47" s="1"/>
  <c r="F19" i="48"/>
  <c r="E25" i="48"/>
  <c r="E257" i="46"/>
  <c r="D258" i="46"/>
  <c r="F38" i="47"/>
  <c r="G38" i="47" s="1"/>
  <c r="H38" i="47" s="1"/>
  <c r="I38" i="47" s="1"/>
  <c r="J38" i="47" s="1"/>
  <c r="K38" i="47" s="1"/>
  <c r="L38" i="47" s="1"/>
  <c r="M38" i="47" s="1"/>
  <c r="N38" i="47" s="1"/>
  <c r="O38" i="47" s="1"/>
  <c r="P38" i="47" s="1"/>
  <c r="Q38" i="47" s="1"/>
  <c r="R38" i="47" s="1"/>
  <c r="S38" i="47" s="1"/>
  <c r="T38" i="47" s="1"/>
  <c r="U38" i="47" s="1"/>
  <c r="V38" i="47" s="1"/>
  <c r="W38" i="47" s="1"/>
  <c r="X38" i="47" s="1"/>
  <c r="Y38" i="47" s="1"/>
  <c r="Z38" i="47" s="1"/>
  <c r="AA38" i="47" s="1"/>
  <c r="AB38" i="47" s="1"/>
  <c r="AC38" i="47" s="1"/>
  <c r="AD38" i="47" s="1"/>
  <c r="AE38" i="47" s="1"/>
  <c r="AF38" i="47" s="1"/>
  <c r="AG38" i="47" s="1"/>
  <c r="AH38" i="47" s="1"/>
  <c r="F82" i="47"/>
  <c r="G82" i="47" s="1"/>
  <c r="H82" i="47" s="1"/>
  <c r="I82" i="47" s="1"/>
  <c r="J82" i="47" s="1"/>
  <c r="K82" i="47" s="1"/>
  <c r="L82" i="47" s="1"/>
  <c r="M82" i="47" s="1"/>
  <c r="N82" i="47" s="1"/>
  <c r="O82" i="47" s="1"/>
  <c r="P82" i="47" s="1"/>
  <c r="Q82" i="47" s="1"/>
  <c r="R82" i="47" s="1"/>
  <c r="S82" i="47" s="1"/>
  <c r="T82" i="47" s="1"/>
  <c r="U82" i="47" s="1"/>
  <c r="V82" i="47" s="1"/>
  <c r="W82" i="47" s="1"/>
  <c r="X82" i="47" s="1"/>
  <c r="Y82" i="47" s="1"/>
  <c r="Z82" i="47" s="1"/>
  <c r="AA82" i="47" s="1"/>
  <c r="AB82" i="47" s="1"/>
  <c r="AC82" i="47" s="1"/>
  <c r="AD82" i="47" s="1"/>
  <c r="AE82" i="47" s="1"/>
  <c r="AF82" i="47" s="1"/>
  <c r="AG82" i="47" s="1"/>
  <c r="AH82" i="47" s="1"/>
  <c r="C29" i="46"/>
  <c r="D258" i="48"/>
  <c r="E257" i="48"/>
  <c r="E28" i="46"/>
  <c r="F22" i="46"/>
  <c r="H33" i="51"/>
  <c r="AG204" i="48"/>
  <c r="AG203" i="48"/>
  <c r="F90" i="47"/>
  <c r="G90" i="47" s="1"/>
  <c r="H90" i="47" s="1"/>
  <c r="I90" i="47" s="1"/>
  <c r="J90" i="47" s="1"/>
  <c r="K90" i="47" s="1"/>
  <c r="L90" i="47" s="1"/>
  <c r="M90" i="47" s="1"/>
  <c r="N90" i="47" s="1"/>
  <c r="O90" i="47" s="1"/>
  <c r="P90" i="47" s="1"/>
  <c r="Q90" i="47" s="1"/>
  <c r="R90" i="47" s="1"/>
  <c r="S90" i="47" s="1"/>
  <c r="T90" i="47" s="1"/>
  <c r="U90" i="47" s="1"/>
  <c r="V90" i="47" s="1"/>
  <c r="W90" i="47" s="1"/>
  <c r="X90" i="47" s="1"/>
  <c r="Y90" i="47" s="1"/>
  <c r="Z90" i="47" s="1"/>
  <c r="AA90" i="47" s="1"/>
  <c r="AB90" i="47" s="1"/>
  <c r="AC90" i="47" s="1"/>
  <c r="AD90" i="47" s="1"/>
  <c r="AE90" i="47" s="1"/>
  <c r="AF90" i="47" s="1"/>
  <c r="AG90" i="47" s="1"/>
  <c r="AH90" i="47" s="1"/>
  <c r="F139" i="53"/>
  <c r="G69" i="51" s="1"/>
  <c r="E36" i="54"/>
  <c r="J42" i="54" s="1"/>
  <c r="AL55" i="51"/>
  <c r="F50" i="47"/>
  <c r="G50" i="47" s="1"/>
  <c r="H50" i="47" s="1"/>
  <c r="I50" i="47" s="1"/>
  <c r="J50" i="47" s="1"/>
  <c r="K50" i="47" s="1"/>
  <c r="L50" i="47" s="1"/>
  <c r="M50" i="47" s="1"/>
  <c r="N50" i="47" s="1"/>
  <c r="O50" i="47" s="1"/>
  <c r="P50" i="47" s="1"/>
  <c r="Q50" i="47" s="1"/>
  <c r="R50" i="47" s="1"/>
  <c r="S50" i="47" s="1"/>
  <c r="T50" i="47" s="1"/>
  <c r="U50" i="47" s="1"/>
  <c r="V50" i="47" s="1"/>
  <c r="W50" i="47" s="1"/>
  <c r="X50" i="47" s="1"/>
  <c r="Y50" i="47" s="1"/>
  <c r="Z50" i="47" s="1"/>
  <c r="AA50" i="47" s="1"/>
  <c r="AB50" i="47" s="1"/>
  <c r="AC50" i="47" s="1"/>
  <c r="AD50" i="47" s="1"/>
  <c r="AE50" i="47" s="1"/>
  <c r="AF50" i="47" s="1"/>
  <c r="AG50" i="47" s="1"/>
  <c r="AH50" i="47" s="1"/>
  <c r="D154" i="53"/>
  <c r="E153" i="53"/>
  <c r="E18" i="46"/>
  <c r="D24" i="46"/>
  <c r="F62" i="47"/>
  <c r="G62" i="47" s="1"/>
  <c r="H62" i="47" s="1"/>
  <c r="I62" i="47" s="1"/>
  <c r="J62" i="47" s="1"/>
  <c r="K62" i="47" s="1"/>
  <c r="L62" i="47" s="1"/>
  <c r="M62" i="47" s="1"/>
  <c r="N62" i="47" s="1"/>
  <c r="O62" i="47" s="1"/>
  <c r="P62" i="47" s="1"/>
  <c r="Q62" i="47" s="1"/>
  <c r="R62" i="47" s="1"/>
  <c r="S62" i="47" s="1"/>
  <c r="T62" i="47" s="1"/>
  <c r="U62" i="47" s="1"/>
  <c r="V62" i="47" s="1"/>
  <c r="W62" i="47" s="1"/>
  <c r="X62" i="47" s="1"/>
  <c r="Y62" i="47" s="1"/>
  <c r="Z62" i="47" s="1"/>
  <c r="AA62" i="47" s="1"/>
  <c r="AB62" i="47" s="1"/>
  <c r="AC62" i="47" s="1"/>
  <c r="AD62" i="47" s="1"/>
  <c r="AE62" i="47" s="1"/>
  <c r="AF62" i="47" s="1"/>
  <c r="AG62" i="47" s="1"/>
  <c r="AH62" i="47" s="1"/>
  <c r="I53" i="14"/>
  <c r="C42" i="54"/>
  <c r="D42" i="54"/>
  <c r="E42" i="54"/>
  <c r="F42" i="54"/>
  <c r="G42" i="54"/>
  <c r="H42" i="54"/>
  <c r="M70" i="44"/>
  <c r="K77" i="44"/>
  <c r="M77" i="44" s="1"/>
  <c r="N71" i="44" s="1"/>
  <c r="L4" i="8"/>
  <c r="AG139" i="48"/>
  <c r="D63" i="48"/>
  <c r="D154" i="54"/>
  <c r="E153" i="54"/>
  <c r="F135" i="53"/>
  <c r="G56" i="51"/>
  <c r="F70" i="47"/>
  <c r="G70" i="47" s="1"/>
  <c r="H70" i="47" s="1"/>
  <c r="I70" i="47" s="1"/>
  <c r="J70" i="47" s="1"/>
  <c r="K70" i="47" s="1"/>
  <c r="L70" i="47" s="1"/>
  <c r="M70" i="47" s="1"/>
  <c r="N70" i="47" s="1"/>
  <c r="O70" i="47" s="1"/>
  <c r="P70" i="47" s="1"/>
  <c r="Q70" i="47" s="1"/>
  <c r="R70" i="47" s="1"/>
  <c r="S70" i="47" s="1"/>
  <c r="T70" i="47" s="1"/>
  <c r="U70" i="47" s="1"/>
  <c r="V70" i="47" s="1"/>
  <c r="W70" i="47" s="1"/>
  <c r="X70" i="47" s="1"/>
  <c r="Y70" i="47" s="1"/>
  <c r="Z70" i="47" s="1"/>
  <c r="AA70" i="47" s="1"/>
  <c r="AB70" i="47" s="1"/>
  <c r="AC70" i="47" s="1"/>
  <c r="AD70" i="47" s="1"/>
  <c r="AE70" i="47" s="1"/>
  <c r="AF70" i="47" s="1"/>
  <c r="AG70" i="47" s="1"/>
  <c r="AH70" i="47" s="1"/>
  <c r="F86" i="47"/>
  <c r="F42" i="47"/>
  <c r="G42" i="47" s="1"/>
  <c r="H42" i="47" s="1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T42" i="47" s="1"/>
  <c r="U42" i="47" s="1"/>
  <c r="V42" i="47" s="1"/>
  <c r="W42" i="47" s="1"/>
  <c r="X42" i="47" s="1"/>
  <c r="Y42" i="47" s="1"/>
  <c r="Z42" i="47" s="1"/>
  <c r="AA42" i="47" s="1"/>
  <c r="AB42" i="47" s="1"/>
  <c r="AC42" i="47" s="1"/>
  <c r="AD42" i="47" s="1"/>
  <c r="AE42" i="47" s="1"/>
  <c r="AF42" i="47" s="1"/>
  <c r="AG42" i="47" s="1"/>
  <c r="AH42" i="47" s="1"/>
  <c r="C94" i="48"/>
  <c r="C93" i="48"/>
  <c r="C98" i="48" s="1"/>
  <c r="C92" i="48"/>
  <c r="C97" i="48" s="1"/>
  <c r="C91" i="48"/>
  <c r="C90" i="48"/>
  <c r="C95" i="48" s="1"/>
  <c r="D63" i="53"/>
  <c r="I31" i="51"/>
  <c r="AO30" i="51"/>
  <c r="I34" i="51"/>
  <c r="J30" i="51"/>
  <c r="I32" i="51"/>
  <c r="E135" i="53"/>
  <c r="F56" i="51"/>
  <c r="AG142" i="48"/>
  <c r="AG141" i="48"/>
  <c r="AG140" i="48"/>
  <c r="E27" i="46"/>
  <c r="E42" i="46" s="1"/>
  <c r="F21" i="46"/>
  <c r="D92" i="46"/>
  <c r="D97" i="46" s="1"/>
  <c r="D91" i="46"/>
  <c r="D94" i="46"/>
  <c r="D93" i="46"/>
  <c r="D98" i="46" s="1"/>
  <c r="D89" i="48"/>
  <c r="E61" i="54"/>
  <c r="F60" i="54"/>
  <c r="E67" i="54"/>
  <c r="E66" i="54"/>
  <c r="E73" i="54" s="1"/>
  <c r="E74" i="54" s="1"/>
  <c r="E65" i="54"/>
  <c r="E64" i="54"/>
  <c r="E62" i="54"/>
  <c r="J138" i="53"/>
  <c r="J139" i="53" s="1"/>
  <c r="K69" i="51" s="1"/>
  <c r="J136" i="53"/>
  <c r="J137" i="53" s="1"/>
  <c r="K63" i="51" s="1"/>
  <c r="J134" i="53"/>
  <c r="F46" i="47"/>
  <c r="D90" i="46" s="1"/>
  <c r="D95" i="46" s="1"/>
  <c r="AG204" i="46"/>
  <c r="AG203" i="46"/>
  <c r="C29" i="48"/>
  <c r="AN34" i="51"/>
  <c r="AN32" i="51"/>
  <c r="AN31" i="51"/>
  <c r="D135" i="53"/>
  <c r="E56" i="51"/>
  <c r="J51" i="12"/>
  <c r="J54" i="12"/>
  <c r="K50" i="12"/>
  <c r="J52" i="12"/>
  <c r="AG202" i="46"/>
  <c r="G135" i="53"/>
  <c r="H56" i="51"/>
  <c r="F60" i="48"/>
  <c r="E65" i="48"/>
  <c r="E64" i="48"/>
  <c r="E62" i="48"/>
  <c r="E61" i="48"/>
  <c r="E67" i="48"/>
  <c r="E66" i="48"/>
  <c r="F58" i="47"/>
  <c r="G58" i="47" s="1"/>
  <c r="H58" i="47" s="1"/>
  <c r="I58" i="47" s="1"/>
  <c r="J58" i="47" s="1"/>
  <c r="K58" i="47" s="1"/>
  <c r="L58" i="47" s="1"/>
  <c r="M58" i="47" s="1"/>
  <c r="N58" i="47" s="1"/>
  <c r="O58" i="47" s="1"/>
  <c r="P58" i="47" s="1"/>
  <c r="Q58" i="47" s="1"/>
  <c r="R58" i="47" s="1"/>
  <c r="S58" i="47" s="1"/>
  <c r="T58" i="47" s="1"/>
  <c r="U58" i="47" s="1"/>
  <c r="V58" i="47" s="1"/>
  <c r="W58" i="47" s="1"/>
  <c r="X58" i="47" s="1"/>
  <c r="Y58" i="47" s="1"/>
  <c r="Z58" i="47" s="1"/>
  <c r="AA58" i="47" s="1"/>
  <c r="AB58" i="47" s="1"/>
  <c r="AC58" i="47" s="1"/>
  <c r="AD58" i="47" s="1"/>
  <c r="AE58" i="47" s="1"/>
  <c r="AF58" i="47" s="1"/>
  <c r="AG58" i="47" s="1"/>
  <c r="AH58" i="47" s="1"/>
  <c r="C135" i="53"/>
  <c r="D56" i="51"/>
  <c r="H11" i="3"/>
  <c r="H13" i="3" s="1"/>
  <c r="F19" i="46"/>
  <c r="E25" i="46"/>
  <c r="E241" i="48"/>
  <c r="F240" i="48"/>
  <c r="C35" i="46"/>
  <c r="D44" i="45"/>
  <c r="D43" i="45"/>
  <c r="D95" i="45"/>
  <c r="D42" i="45"/>
  <c r="E64" i="46"/>
  <c r="E62" i="46"/>
  <c r="E61" i="46"/>
  <c r="F60" i="46"/>
  <c r="E67" i="46"/>
  <c r="E66" i="46"/>
  <c r="E89" i="46" s="1"/>
  <c r="E65" i="46"/>
  <c r="C227" i="46"/>
  <c r="C232" i="46" s="1"/>
  <c r="C230" i="46"/>
  <c r="C235" i="46" s="1"/>
  <c r="C229" i="46"/>
  <c r="C234" i="46" s="1"/>
  <c r="C228" i="46"/>
  <c r="C233" i="46" s="1"/>
  <c r="C231" i="46"/>
  <c r="D108" i="45" s="1"/>
  <c r="C226" i="48"/>
  <c r="E18" i="48"/>
  <c r="D24" i="48"/>
  <c r="AJ16" i="45"/>
  <c r="E16" i="45"/>
  <c r="D18" i="45"/>
  <c r="C244" i="46"/>
  <c r="C249" i="46" s="1"/>
  <c r="N73" i="44"/>
  <c r="F20" i="46"/>
  <c r="E26" i="46"/>
  <c r="E41" i="46" s="1"/>
  <c r="AG139" i="46"/>
  <c r="F74" i="47"/>
  <c r="G74" i="47" s="1"/>
  <c r="H74" i="47" s="1"/>
  <c r="I74" i="47" s="1"/>
  <c r="J74" i="47" s="1"/>
  <c r="K74" i="47" s="1"/>
  <c r="L74" i="47" s="1"/>
  <c r="M74" i="47" s="1"/>
  <c r="N74" i="47" s="1"/>
  <c r="O74" i="47" s="1"/>
  <c r="P74" i="47" s="1"/>
  <c r="Q74" i="47" s="1"/>
  <c r="R74" i="47" s="1"/>
  <c r="S74" i="47" s="1"/>
  <c r="T74" i="47" s="1"/>
  <c r="U74" i="47" s="1"/>
  <c r="V74" i="47" s="1"/>
  <c r="W74" i="47" s="1"/>
  <c r="X74" i="47" s="1"/>
  <c r="Y74" i="47" s="1"/>
  <c r="Z74" i="47" s="1"/>
  <c r="AA74" i="47" s="1"/>
  <c r="AB74" i="47" s="1"/>
  <c r="AC74" i="47" s="1"/>
  <c r="AD74" i="47" s="1"/>
  <c r="AE74" i="47" s="1"/>
  <c r="AF74" i="47" s="1"/>
  <c r="AG74" i="47" s="1"/>
  <c r="AH74" i="47" s="1"/>
  <c r="F21" i="48"/>
  <c r="E27" i="48"/>
  <c r="E42" i="48" s="1"/>
  <c r="G58" i="12" l="1"/>
  <c r="G58" i="14"/>
  <c r="AJ96" i="45"/>
  <c r="G57" i="12"/>
  <c r="AJ42" i="45"/>
  <c r="F36" i="53"/>
  <c r="K42" i="53" s="1"/>
  <c r="G59" i="12"/>
  <c r="C244" i="48"/>
  <c r="C249" i="48" s="1"/>
  <c r="D247" i="46"/>
  <c r="D252" i="46" s="1"/>
  <c r="C245" i="48"/>
  <c r="C250" i="48" s="1"/>
  <c r="C247" i="48"/>
  <c r="C252" i="48" s="1"/>
  <c r="C246" i="48"/>
  <c r="C251" i="48" s="1"/>
  <c r="AJ95" i="45"/>
  <c r="AJ43" i="45"/>
  <c r="C35" i="48"/>
  <c r="G55" i="51"/>
  <c r="AJ44" i="45"/>
  <c r="D251" i="46"/>
  <c r="D248" i="46"/>
  <c r="E96" i="45" s="1"/>
  <c r="D244" i="46"/>
  <c r="D243" i="48"/>
  <c r="D246" i="48" s="1"/>
  <c r="D251" i="48" s="1"/>
  <c r="D245" i="46"/>
  <c r="D250" i="46" s="1"/>
  <c r="AN69" i="51"/>
  <c r="G39" i="20"/>
  <c r="L45" i="20" s="1"/>
  <c r="H61" i="12"/>
  <c r="H60" i="12"/>
  <c r="H56" i="12"/>
  <c r="H112" i="12"/>
  <c r="AP63" i="51"/>
  <c r="G39" i="19"/>
  <c r="L45" i="19" s="1"/>
  <c r="H56" i="14"/>
  <c r="H61" i="14"/>
  <c r="H60" i="14"/>
  <c r="H112" i="14"/>
  <c r="AN56" i="51"/>
  <c r="D23" i="45"/>
  <c r="H35" i="51"/>
  <c r="E41" i="45"/>
  <c r="AM63" i="51"/>
  <c r="AK69" i="51"/>
  <c r="AQ63" i="51"/>
  <c r="AO56" i="51"/>
  <c r="AO69" i="51"/>
  <c r="AL69" i="51"/>
  <c r="I55" i="12"/>
  <c r="AQ69" i="51"/>
  <c r="AP69" i="51"/>
  <c r="AK63" i="51"/>
  <c r="AM35" i="51"/>
  <c r="I55" i="14"/>
  <c r="AO63" i="51"/>
  <c r="AP56" i="51"/>
  <c r="G57" i="14"/>
  <c r="K132" i="19"/>
  <c r="K131" i="19"/>
  <c r="K130" i="19"/>
  <c r="K173" i="20"/>
  <c r="L125" i="12"/>
  <c r="K133" i="19"/>
  <c r="K179" i="20"/>
  <c r="K185" i="20"/>
  <c r="K129" i="19"/>
  <c r="K128" i="19" s="1"/>
  <c r="AJ108" i="45"/>
  <c r="AL56" i="51"/>
  <c r="AM56" i="51"/>
  <c r="AM69" i="51"/>
  <c r="AJ99" i="45"/>
  <c r="AN63" i="51"/>
  <c r="AL63" i="51"/>
  <c r="I138" i="54"/>
  <c r="I136" i="54"/>
  <c r="I134" i="54"/>
  <c r="I135" i="53"/>
  <c r="AG97" i="48"/>
  <c r="M11" i="8"/>
  <c r="N87" i="44"/>
  <c r="D139" i="46"/>
  <c r="G10" i="3"/>
  <c r="E63" i="46"/>
  <c r="AG95" i="48"/>
  <c r="N75" i="44"/>
  <c r="E63" i="54"/>
  <c r="N74" i="44"/>
  <c r="D249" i="46"/>
  <c r="E63" i="48"/>
  <c r="D139" i="48"/>
  <c r="H9" i="26"/>
  <c r="E17" i="45"/>
  <c r="AK16" i="45"/>
  <c r="F16" i="45"/>
  <c r="N70" i="44"/>
  <c r="M78" i="44"/>
  <c r="K138" i="53"/>
  <c r="K139" i="53" s="1"/>
  <c r="L69" i="51" s="1"/>
  <c r="K136" i="53"/>
  <c r="K137" i="53" s="1"/>
  <c r="L63" i="51" s="1"/>
  <c r="K134" i="53"/>
  <c r="N72" i="44"/>
  <c r="N76" i="44"/>
  <c r="C221" i="48"/>
  <c r="C220" i="48"/>
  <c r="C225" i="48" s="1"/>
  <c r="C219" i="48"/>
  <c r="C224" i="48" s="1"/>
  <c r="C218" i="48"/>
  <c r="C223" i="48" s="1"/>
  <c r="C217" i="48"/>
  <c r="C222" i="48" s="1"/>
  <c r="J53" i="14"/>
  <c r="D202" i="48"/>
  <c r="AJ18" i="45"/>
  <c r="G240" i="48"/>
  <c r="F241" i="48"/>
  <c r="AK56" i="51"/>
  <c r="G46" i="47"/>
  <c r="H46" i="47" s="1"/>
  <c r="I46" i="47" s="1"/>
  <c r="J46" i="47" s="1"/>
  <c r="K46" i="47" s="1"/>
  <c r="L46" i="47" s="1"/>
  <c r="M46" i="47" s="1"/>
  <c r="N46" i="47" s="1"/>
  <c r="O46" i="47" s="1"/>
  <c r="P46" i="47" s="1"/>
  <c r="Q46" i="47" s="1"/>
  <c r="R46" i="47" s="1"/>
  <c r="S46" i="47" s="1"/>
  <c r="T46" i="47" s="1"/>
  <c r="U46" i="47" s="1"/>
  <c r="V46" i="47" s="1"/>
  <c r="W46" i="47" s="1"/>
  <c r="X46" i="47" s="1"/>
  <c r="Y46" i="47" s="1"/>
  <c r="Z46" i="47" s="1"/>
  <c r="AA46" i="47" s="1"/>
  <c r="AB46" i="47" s="1"/>
  <c r="AC46" i="47" s="1"/>
  <c r="AD46" i="47" s="1"/>
  <c r="AE46" i="47" s="1"/>
  <c r="AF46" i="47" s="1"/>
  <c r="AG46" i="47" s="1"/>
  <c r="AH46" i="47" s="1"/>
  <c r="H138" i="54"/>
  <c r="H136" i="54"/>
  <c r="H134" i="54"/>
  <c r="D29" i="46"/>
  <c r="E258" i="48"/>
  <c r="F257" i="48"/>
  <c r="D204" i="48"/>
  <c r="D203" i="48"/>
  <c r="D203" i="46"/>
  <c r="D204" i="46"/>
  <c r="G21" i="48"/>
  <c r="F27" i="48"/>
  <c r="F42" i="48" s="1"/>
  <c r="G20" i="46"/>
  <c r="F26" i="46"/>
  <c r="F41" i="46" s="1"/>
  <c r="D29" i="48"/>
  <c r="AN33" i="51"/>
  <c r="E154" i="54"/>
  <c r="F153" i="54"/>
  <c r="G138" i="54"/>
  <c r="G136" i="54"/>
  <c r="G134" i="54"/>
  <c r="F18" i="46"/>
  <c r="E24" i="46"/>
  <c r="F136" i="48"/>
  <c r="E138" i="48"/>
  <c r="E137" i="48"/>
  <c r="E201" i="48"/>
  <c r="E200" i="48"/>
  <c r="C211" i="48"/>
  <c r="C210" i="48"/>
  <c r="C215" i="48" s="1"/>
  <c r="C209" i="48"/>
  <c r="C214" i="48" s="1"/>
  <c r="C208" i="48"/>
  <c r="C213" i="48" s="1"/>
  <c r="C207" i="48"/>
  <c r="C212" i="48" s="1"/>
  <c r="D202" i="46"/>
  <c r="D216" i="46"/>
  <c r="D206" i="46"/>
  <c r="D226" i="46"/>
  <c r="F18" i="48"/>
  <c r="E24" i="48"/>
  <c r="E93" i="46"/>
  <c r="E98" i="46" s="1"/>
  <c r="E92" i="46"/>
  <c r="E97" i="46" s="1"/>
  <c r="E91" i="46"/>
  <c r="E94" i="46"/>
  <c r="E89" i="48"/>
  <c r="J31" i="51"/>
  <c r="AP30" i="51"/>
  <c r="J34" i="51"/>
  <c r="K30" i="51"/>
  <c r="J32" i="51"/>
  <c r="F138" i="54"/>
  <c r="F136" i="54"/>
  <c r="F134" i="54"/>
  <c r="E154" i="53"/>
  <c r="F153" i="53"/>
  <c r="AG98" i="48"/>
  <c r="C227" i="48"/>
  <c r="C232" i="48" s="1"/>
  <c r="C231" i="48"/>
  <c r="C230" i="48"/>
  <c r="C235" i="48" s="1"/>
  <c r="C229" i="48"/>
  <c r="C234" i="48" s="1"/>
  <c r="C228" i="48"/>
  <c r="C233" i="48" s="1"/>
  <c r="G19" i="46"/>
  <c r="F25" i="46"/>
  <c r="G60" i="48"/>
  <c r="F66" i="48"/>
  <c r="F65" i="48"/>
  <c r="F64" i="48"/>
  <c r="F62" i="48"/>
  <c r="F61" i="48"/>
  <c r="F67" i="48"/>
  <c r="K51" i="12"/>
  <c r="K54" i="12"/>
  <c r="L50" i="12"/>
  <c r="K52" i="12"/>
  <c r="J135" i="53"/>
  <c r="K56" i="51"/>
  <c r="F62" i="54"/>
  <c r="F61" i="54"/>
  <c r="G60" i="54"/>
  <c r="F67" i="54"/>
  <c r="F66" i="54"/>
  <c r="F73" i="54" s="1"/>
  <c r="F74" i="54" s="1"/>
  <c r="F65" i="54"/>
  <c r="F64" i="54"/>
  <c r="G21" i="46"/>
  <c r="F27" i="46"/>
  <c r="F42" i="46" s="1"/>
  <c r="G86" i="47"/>
  <c r="H86" i="47" s="1"/>
  <c r="I86" i="47" s="1"/>
  <c r="J86" i="47" s="1"/>
  <c r="K86" i="47" s="1"/>
  <c r="L86" i="47" s="1"/>
  <c r="M86" i="47" s="1"/>
  <c r="N86" i="47" s="1"/>
  <c r="O86" i="47" s="1"/>
  <c r="P86" i="47" s="1"/>
  <c r="Q86" i="47" s="1"/>
  <c r="R86" i="47" s="1"/>
  <c r="S86" i="47" s="1"/>
  <c r="T86" i="47" s="1"/>
  <c r="U86" i="47" s="1"/>
  <c r="V86" i="47" s="1"/>
  <c r="W86" i="47" s="1"/>
  <c r="X86" i="47" s="1"/>
  <c r="Y86" i="47" s="1"/>
  <c r="Z86" i="47" s="1"/>
  <c r="AA86" i="47" s="1"/>
  <c r="AB86" i="47" s="1"/>
  <c r="AC86" i="47" s="1"/>
  <c r="AD86" i="47" s="1"/>
  <c r="AE86" i="47" s="1"/>
  <c r="AF86" i="47" s="1"/>
  <c r="AG86" i="47" s="1"/>
  <c r="AH86" i="47" s="1"/>
  <c r="E136" i="54"/>
  <c r="E134" i="54"/>
  <c r="E138" i="54"/>
  <c r="F257" i="46"/>
  <c r="E258" i="46"/>
  <c r="F241" i="46"/>
  <c r="G240" i="46"/>
  <c r="D142" i="48"/>
  <c r="D141" i="48"/>
  <c r="D140" i="48"/>
  <c r="AL38" i="45"/>
  <c r="G38" i="45"/>
  <c r="F40" i="45"/>
  <c r="F39" i="45"/>
  <c r="D142" i="46"/>
  <c r="D141" i="46"/>
  <c r="D140" i="46"/>
  <c r="F65" i="46"/>
  <c r="F64" i="46"/>
  <c r="F62" i="46"/>
  <c r="F61" i="46"/>
  <c r="G60" i="46"/>
  <c r="F67" i="46"/>
  <c r="F66" i="46"/>
  <c r="F89" i="46" s="1"/>
  <c r="AO34" i="51"/>
  <c r="AO32" i="51"/>
  <c r="AO31" i="51"/>
  <c r="D136" i="54"/>
  <c r="D134" i="54"/>
  <c r="D138" i="54"/>
  <c r="J134" i="54"/>
  <c r="J138" i="54"/>
  <c r="J136" i="54"/>
  <c r="E243" i="46"/>
  <c r="F62" i="53"/>
  <c r="F61" i="53"/>
  <c r="G60" i="53"/>
  <c r="F67" i="53"/>
  <c r="F66" i="53"/>
  <c r="F73" i="53" s="1"/>
  <c r="F74" i="53" s="1"/>
  <c r="F65" i="53"/>
  <c r="F64" i="53"/>
  <c r="K52" i="14"/>
  <c r="K51" i="14"/>
  <c r="K54" i="14"/>
  <c r="L50" i="14"/>
  <c r="AK40" i="45"/>
  <c r="AK39" i="45"/>
  <c r="F136" i="46"/>
  <c r="E138" i="46"/>
  <c r="E137" i="46"/>
  <c r="E201" i="46"/>
  <c r="E200" i="46"/>
  <c r="G11" i="3"/>
  <c r="AJ56" i="51"/>
  <c r="D94" i="48"/>
  <c r="D93" i="48"/>
  <c r="D98" i="48" s="1"/>
  <c r="D92" i="48"/>
  <c r="D97" i="48" s="1"/>
  <c r="D91" i="48"/>
  <c r="D90" i="48"/>
  <c r="D95" i="48" s="1"/>
  <c r="L5" i="8"/>
  <c r="L6" i="8" s="1"/>
  <c r="D27" i="45"/>
  <c r="C134" i="54"/>
  <c r="C138" i="54"/>
  <c r="C136" i="54"/>
  <c r="C31" i="46"/>
  <c r="C306" i="46"/>
  <c r="BP4" i="55"/>
  <c r="G19" i="48"/>
  <c r="F25" i="48"/>
  <c r="E63" i="53"/>
  <c r="G20" i="48"/>
  <c r="F26" i="48"/>
  <c r="F41" i="48" s="1"/>
  <c r="C34" i="46"/>
  <c r="E40" i="46" s="1"/>
  <c r="D24" i="45"/>
  <c r="D26" i="45"/>
  <c r="J53" i="12"/>
  <c r="C31" i="48"/>
  <c r="C306" i="48"/>
  <c r="I33" i="51"/>
  <c r="I60" i="14"/>
  <c r="F28" i="46"/>
  <c r="G22" i="46"/>
  <c r="G22" i="48"/>
  <c r="F28" i="48"/>
  <c r="AJ89" i="45"/>
  <c r="AM55" i="51" l="1"/>
  <c r="I112" i="14"/>
  <c r="AK96" i="45"/>
  <c r="E43" i="45"/>
  <c r="H55" i="51"/>
  <c r="D25" i="45"/>
  <c r="F243" i="46"/>
  <c r="D82" i="45"/>
  <c r="E95" i="45"/>
  <c r="E44" i="45"/>
  <c r="D35" i="46"/>
  <c r="G36" i="53"/>
  <c r="L42" i="53" s="1"/>
  <c r="I61" i="14"/>
  <c r="D248" i="48"/>
  <c r="D247" i="48"/>
  <c r="D252" i="48" s="1"/>
  <c r="H39" i="19"/>
  <c r="M45" i="19" s="1"/>
  <c r="D244" i="48"/>
  <c r="D249" i="48" s="1"/>
  <c r="I56" i="14"/>
  <c r="D245" i="48"/>
  <c r="D250" i="48" s="1"/>
  <c r="E42" i="45"/>
  <c r="AR63" i="51"/>
  <c r="AR69" i="51"/>
  <c r="H58" i="12"/>
  <c r="E90" i="46"/>
  <c r="E95" i="46" s="1"/>
  <c r="K188" i="20"/>
  <c r="K150" i="19" s="1"/>
  <c r="K187" i="20"/>
  <c r="K149" i="19" s="1"/>
  <c r="K186" i="20"/>
  <c r="K148" i="19" s="1"/>
  <c r="K190" i="20"/>
  <c r="K152" i="19" s="1"/>
  <c r="K147" i="19"/>
  <c r="L137" i="14" s="1"/>
  <c r="L137" i="12"/>
  <c r="K189" i="20"/>
  <c r="K151" i="19" s="1"/>
  <c r="G59" i="14"/>
  <c r="H57" i="12"/>
  <c r="I35" i="51"/>
  <c r="AJ23" i="45"/>
  <c r="K141" i="19"/>
  <c r="L125" i="14" s="1"/>
  <c r="K183" i="20"/>
  <c r="K145" i="19" s="1"/>
  <c r="K182" i="20"/>
  <c r="K144" i="19" s="1"/>
  <c r="K181" i="20"/>
  <c r="K143" i="19" s="1"/>
  <c r="K180" i="20"/>
  <c r="K142" i="19" s="1"/>
  <c r="K184" i="20"/>
  <c r="K146" i="19" s="1"/>
  <c r="L131" i="19"/>
  <c r="L173" i="20"/>
  <c r="M125" i="12"/>
  <c r="L179" i="20"/>
  <c r="L185" i="20"/>
  <c r="L129" i="19"/>
  <c r="L128" i="19" s="1"/>
  <c r="L130" i="19"/>
  <c r="L132" i="19"/>
  <c r="L133" i="19"/>
  <c r="AQ56" i="51"/>
  <c r="F36" i="54"/>
  <c r="K42" i="54" s="1"/>
  <c r="H39" i="20"/>
  <c r="M45" i="20" s="1"/>
  <c r="I61" i="12"/>
  <c r="I60" i="12"/>
  <c r="I56" i="12"/>
  <c r="I112" i="12"/>
  <c r="J55" i="12"/>
  <c r="AN35" i="51"/>
  <c r="J55" i="14"/>
  <c r="H58" i="14"/>
  <c r="E69" i="45"/>
  <c r="K177" i="20"/>
  <c r="K139" i="19" s="1"/>
  <c r="K178" i="20"/>
  <c r="K140" i="19" s="1"/>
  <c r="K135" i="19"/>
  <c r="L113" i="14" s="1"/>
  <c r="L113" i="12"/>
  <c r="K174" i="20"/>
  <c r="K136" i="19" s="1"/>
  <c r="K176" i="20"/>
  <c r="K138" i="19" s="1"/>
  <c r="K175" i="20"/>
  <c r="K137" i="19" s="1"/>
  <c r="H57" i="14"/>
  <c r="G13" i="3"/>
  <c r="K53" i="14"/>
  <c r="E139" i="48"/>
  <c r="F63" i="48"/>
  <c r="K53" i="12"/>
  <c r="E139" i="46"/>
  <c r="AK41" i="45"/>
  <c r="F41" i="45"/>
  <c r="E18" i="45"/>
  <c r="F63" i="46"/>
  <c r="F63" i="54"/>
  <c r="J135" i="54"/>
  <c r="E144" i="46"/>
  <c r="I58" i="14"/>
  <c r="E202" i="46"/>
  <c r="E216" i="46"/>
  <c r="E206" i="46"/>
  <c r="E226" i="46"/>
  <c r="G62" i="53"/>
  <c r="G61" i="53"/>
  <c r="H60" i="53"/>
  <c r="G67" i="53"/>
  <c r="G66" i="53"/>
  <c r="G73" i="53" s="1"/>
  <c r="G74" i="53" s="1"/>
  <c r="G64" i="53"/>
  <c r="G65" i="53"/>
  <c r="F94" i="46"/>
  <c r="F93" i="46"/>
  <c r="F98" i="46" s="1"/>
  <c r="F92" i="46"/>
  <c r="F97" i="46" s="1"/>
  <c r="F91" i="46"/>
  <c r="F90" i="46"/>
  <c r="F95" i="46" s="1"/>
  <c r="F89" i="48"/>
  <c r="F40" i="46"/>
  <c r="F139" i="54"/>
  <c r="G136" i="48"/>
  <c r="F138" i="48"/>
  <c r="F137" i="48"/>
  <c r="F201" i="48"/>
  <c r="F200" i="48"/>
  <c r="E29" i="46"/>
  <c r="H20" i="46"/>
  <c r="G26" i="46"/>
  <c r="G41" i="46" s="1"/>
  <c r="F258" i="48"/>
  <c r="G257" i="48"/>
  <c r="I39" i="19"/>
  <c r="N45" i="19" s="1"/>
  <c r="J56" i="14"/>
  <c r="J61" i="14"/>
  <c r="J60" i="14"/>
  <c r="J112" i="14"/>
  <c r="K135" i="53"/>
  <c r="L56" i="51"/>
  <c r="H22" i="48"/>
  <c r="G28" i="48"/>
  <c r="I57" i="14"/>
  <c r="E204" i="46"/>
  <c r="E203" i="46"/>
  <c r="F63" i="53"/>
  <c r="E139" i="54"/>
  <c r="H19" i="46"/>
  <c r="G25" i="46"/>
  <c r="G40" i="46" s="1"/>
  <c r="E29" i="48"/>
  <c r="G18" i="46"/>
  <c r="F24" i="46"/>
  <c r="D31" i="46"/>
  <c r="D306" i="46"/>
  <c r="BQ4" i="55"/>
  <c r="AJ27" i="45"/>
  <c r="E27" i="45"/>
  <c r="D34" i="45"/>
  <c r="D37" i="45"/>
  <c r="D36" i="45"/>
  <c r="D35" i="45"/>
  <c r="D54" i="45"/>
  <c r="H20" i="48"/>
  <c r="G26" i="48"/>
  <c r="G41" i="48" s="1"/>
  <c r="G66" i="46"/>
  <c r="G89" i="46" s="1"/>
  <c r="G65" i="46"/>
  <c r="G64" i="46"/>
  <c r="G62" i="46"/>
  <c r="G61" i="46"/>
  <c r="H60" i="46"/>
  <c r="G67" i="46"/>
  <c r="E135" i="54"/>
  <c r="H21" i="46"/>
  <c r="G27" i="46"/>
  <c r="G42" i="46" s="1"/>
  <c r="F24" i="48"/>
  <c r="G18" i="48"/>
  <c r="G135" i="54"/>
  <c r="H21" i="48"/>
  <c r="G27" i="48"/>
  <c r="G42" i="48" s="1"/>
  <c r="H22" i="46"/>
  <c r="G28" i="46"/>
  <c r="C137" i="54"/>
  <c r="I137" i="54"/>
  <c r="E142" i="46"/>
  <c r="E174" i="46" s="1"/>
  <c r="E141" i="46"/>
  <c r="E164" i="46" s="1"/>
  <c r="E140" i="46"/>
  <c r="E154" i="46" s="1"/>
  <c r="E245" i="46"/>
  <c r="E250" i="46" s="1"/>
  <c r="E244" i="46"/>
  <c r="E249" i="46" s="1"/>
  <c r="E248" i="46"/>
  <c r="F96" i="45" s="1"/>
  <c r="E247" i="46"/>
  <c r="E252" i="46" s="1"/>
  <c r="E246" i="46"/>
  <c r="E251" i="46" s="1"/>
  <c r="E243" i="48"/>
  <c r="D139" i="54"/>
  <c r="G241" i="46"/>
  <c r="H240" i="46"/>
  <c r="E137" i="54"/>
  <c r="K32" i="51"/>
  <c r="K31" i="51"/>
  <c r="AQ30" i="51"/>
  <c r="K34" i="51"/>
  <c r="L30" i="51"/>
  <c r="E90" i="48"/>
  <c r="E95" i="48" s="1"/>
  <c r="E94" i="48"/>
  <c r="E93" i="48"/>
  <c r="E98" i="48" s="1"/>
  <c r="E92" i="48"/>
  <c r="E97" i="48" s="1"/>
  <c r="E91" i="48"/>
  <c r="D231" i="46"/>
  <c r="E108" i="45" s="1"/>
  <c r="D230" i="46"/>
  <c r="D235" i="46" s="1"/>
  <c r="D229" i="46"/>
  <c r="D234" i="46" s="1"/>
  <c r="D228" i="46"/>
  <c r="D233" i="46" s="1"/>
  <c r="D227" i="46"/>
  <c r="D232" i="46" s="1"/>
  <c r="D226" i="48"/>
  <c r="G137" i="54"/>
  <c r="G36" i="54"/>
  <c r="L42" i="54" s="1"/>
  <c r="AN55" i="51"/>
  <c r="H135" i="54"/>
  <c r="E19" i="45"/>
  <c r="C139" i="54"/>
  <c r="I139" i="54"/>
  <c r="F137" i="46"/>
  <c r="G136" i="46"/>
  <c r="F138" i="46"/>
  <c r="F201" i="46"/>
  <c r="F200" i="46"/>
  <c r="D135" i="54"/>
  <c r="F246" i="46"/>
  <c r="F251" i="46" s="1"/>
  <c r="F245" i="46"/>
  <c r="F250" i="46" s="1"/>
  <c r="F244" i="46"/>
  <c r="F249" i="46" s="1"/>
  <c r="F248" i="46"/>
  <c r="G96" i="45" s="1"/>
  <c r="F247" i="46"/>
  <c r="F252" i="46" s="1"/>
  <c r="F243" i="48"/>
  <c r="F154" i="53"/>
  <c r="G153" i="53"/>
  <c r="D211" i="46"/>
  <c r="E89" i="45" s="1"/>
  <c r="D210" i="46"/>
  <c r="D215" i="46" s="1"/>
  <c r="D209" i="46"/>
  <c r="D214" i="46" s="1"/>
  <c r="D208" i="46"/>
  <c r="D213" i="46" s="1"/>
  <c r="D207" i="46"/>
  <c r="D212" i="46" s="1"/>
  <c r="D206" i="48"/>
  <c r="E202" i="48"/>
  <c r="G139" i="54"/>
  <c r="H137" i="54"/>
  <c r="F17" i="45"/>
  <c r="AL16" i="45"/>
  <c r="G16" i="45"/>
  <c r="C135" i="54"/>
  <c r="I135" i="54"/>
  <c r="J137" i="54"/>
  <c r="D137" i="54"/>
  <c r="AO33" i="51"/>
  <c r="G39" i="45"/>
  <c r="AM38" i="45"/>
  <c r="H38" i="45"/>
  <c r="G40" i="45"/>
  <c r="L52" i="12"/>
  <c r="L51" i="12"/>
  <c r="L54" i="12"/>
  <c r="M50" i="12"/>
  <c r="AP31" i="51"/>
  <c r="AP34" i="51"/>
  <c r="AP32" i="51"/>
  <c r="D220" i="46"/>
  <c r="D225" i="46" s="1"/>
  <c r="D219" i="46"/>
  <c r="D224" i="46" s="1"/>
  <c r="D218" i="46"/>
  <c r="D223" i="46" s="1"/>
  <c r="D217" i="46"/>
  <c r="D222" i="46" s="1"/>
  <c r="D221" i="46"/>
  <c r="E99" i="45" s="1"/>
  <c r="D216" i="48"/>
  <c r="E204" i="48"/>
  <c r="E203" i="48"/>
  <c r="F154" i="54"/>
  <c r="G153" i="54"/>
  <c r="H139" i="54"/>
  <c r="AK17" i="45"/>
  <c r="C40" i="46"/>
  <c r="D40" i="46"/>
  <c r="G25" i="48"/>
  <c r="H19" i="48"/>
  <c r="L7" i="8"/>
  <c r="L9" i="8"/>
  <c r="L8" i="8"/>
  <c r="L10" i="8"/>
  <c r="J139" i="54"/>
  <c r="AL40" i="45"/>
  <c r="AL39" i="45"/>
  <c r="G257" i="46"/>
  <c r="F258" i="46"/>
  <c r="F135" i="54"/>
  <c r="D31" i="48"/>
  <c r="D306" i="48"/>
  <c r="L134" i="53"/>
  <c r="L138" i="53"/>
  <c r="L139" i="53" s="1"/>
  <c r="M69" i="51" s="1"/>
  <c r="L136" i="53"/>
  <c r="L137" i="53" s="1"/>
  <c r="M63" i="51" s="1"/>
  <c r="L52" i="14"/>
  <c r="L51" i="14"/>
  <c r="L54" i="14"/>
  <c r="M50" i="14"/>
  <c r="G62" i="54"/>
  <c r="G61" i="54"/>
  <c r="H60" i="54"/>
  <c r="G67" i="54"/>
  <c r="G66" i="54"/>
  <c r="G73" i="54" s="1"/>
  <c r="G74" i="54" s="1"/>
  <c r="G65" i="54"/>
  <c r="G64" i="54"/>
  <c r="H60" i="48"/>
  <c r="G67" i="48"/>
  <c r="G66" i="48"/>
  <c r="G65" i="48"/>
  <c r="G64" i="48"/>
  <c r="G62" i="48"/>
  <c r="G61" i="48"/>
  <c r="F137" i="54"/>
  <c r="J33" i="51"/>
  <c r="E142" i="48"/>
  <c r="E141" i="48"/>
  <c r="E140" i="48"/>
  <c r="H240" i="48"/>
  <c r="G241" i="48"/>
  <c r="N77" i="44"/>
  <c r="E20" i="45" l="1"/>
  <c r="D35" i="48"/>
  <c r="D60" i="45"/>
  <c r="I39" i="20"/>
  <c r="N45" i="20" s="1"/>
  <c r="AJ24" i="45"/>
  <c r="M133" i="19"/>
  <c r="C34" i="48"/>
  <c r="F40" i="48" s="1"/>
  <c r="AJ82" i="45"/>
  <c r="AJ25" i="45"/>
  <c r="AJ26" i="45"/>
  <c r="AS69" i="51"/>
  <c r="AK99" i="45"/>
  <c r="M129" i="19"/>
  <c r="M128" i="19" s="1"/>
  <c r="L189" i="20"/>
  <c r="L151" i="19" s="1"/>
  <c r="L188" i="20"/>
  <c r="L150" i="19" s="1"/>
  <c r="L187" i="20"/>
  <c r="L149" i="19" s="1"/>
  <c r="L186" i="20"/>
  <c r="L148" i="19" s="1"/>
  <c r="L147" i="19"/>
  <c r="M137" i="14" s="1"/>
  <c r="L190" i="20"/>
  <c r="L152" i="19" s="1"/>
  <c r="M137" i="12"/>
  <c r="AK69" i="45"/>
  <c r="F42" i="45"/>
  <c r="K138" i="54"/>
  <c r="K139" i="54" s="1"/>
  <c r="K136" i="54"/>
  <c r="K137" i="54" s="1"/>
  <c r="K134" i="54"/>
  <c r="K135" i="54" s="1"/>
  <c r="L182" i="20"/>
  <c r="L144" i="19" s="1"/>
  <c r="L181" i="20"/>
  <c r="L143" i="19" s="1"/>
  <c r="L180" i="20"/>
  <c r="L142" i="19" s="1"/>
  <c r="L184" i="20"/>
  <c r="L146" i="19" s="1"/>
  <c r="L183" i="20"/>
  <c r="L145" i="19" s="1"/>
  <c r="L141" i="19"/>
  <c r="M125" i="14" s="1"/>
  <c r="AO35" i="51"/>
  <c r="J35" i="51"/>
  <c r="D58" i="45"/>
  <c r="J112" i="12"/>
  <c r="AK108" i="45"/>
  <c r="M130" i="19"/>
  <c r="AK43" i="45"/>
  <c r="K55" i="14"/>
  <c r="M185" i="20"/>
  <c r="N125" i="12"/>
  <c r="M173" i="20"/>
  <c r="M179" i="20"/>
  <c r="I55" i="51"/>
  <c r="H59" i="12"/>
  <c r="H36" i="53"/>
  <c r="M42" i="53" s="1"/>
  <c r="AM96" i="45"/>
  <c r="J60" i="12"/>
  <c r="L135" i="19"/>
  <c r="M113" i="14" s="1"/>
  <c r="L178" i="20"/>
  <c r="L140" i="19" s="1"/>
  <c r="M113" i="12"/>
  <c r="L174" i="20"/>
  <c r="L136" i="19" s="1"/>
  <c r="L177" i="20"/>
  <c r="L139" i="19" s="1"/>
  <c r="L175" i="20"/>
  <c r="L137" i="19" s="1"/>
  <c r="L176" i="20"/>
  <c r="L138" i="19" s="1"/>
  <c r="M131" i="19"/>
  <c r="D59" i="45"/>
  <c r="J61" i="12"/>
  <c r="AL96" i="45"/>
  <c r="AR56" i="51"/>
  <c r="K55" i="12"/>
  <c r="H59" i="14"/>
  <c r="I58" i="12"/>
  <c r="AS63" i="51"/>
  <c r="F69" i="45"/>
  <c r="J56" i="12"/>
  <c r="D57" i="45"/>
  <c r="M132" i="19"/>
  <c r="I57" i="12"/>
  <c r="AL41" i="45"/>
  <c r="G243" i="46"/>
  <c r="F95" i="45"/>
  <c r="E21" i="45"/>
  <c r="AP33" i="51"/>
  <c r="G63" i="48"/>
  <c r="AK44" i="45"/>
  <c r="F44" i="45"/>
  <c r="E35" i="46"/>
  <c r="G63" i="46"/>
  <c r="AK42" i="45"/>
  <c r="AK95" i="45"/>
  <c r="F43" i="45"/>
  <c r="AK18" i="45"/>
  <c r="G41" i="45"/>
  <c r="L11" i="8"/>
  <c r="F139" i="48"/>
  <c r="E157" i="46"/>
  <c r="E156" i="46"/>
  <c r="E155" i="46"/>
  <c r="E158" i="46"/>
  <c r="E154" i="48"/>
  <c r="E168" i="46"/>
  <c r="E167" i="46"/>
  <c r="E166" i="46"/>
  <c r="E165" i="46"/>
  <c r="E164" i="48"/>
  <c r="E178" i="46"/>
  <c r="E177" i="46"/>
  <c r="E176" i="46"/>
  <c r="E175" i="46"/>
  <c r="E174" i="48"/>
  <c r="H241" i="48"/>
  <c r="I240" i="48"/>
  <c r="H25" i="48"/>
  <c r="H40" i="48" s="1"/>
  <c r="I19" i="48"/>
  <c r="H39" i="45"/>
  <c r="AN38" i="45"/>
  <c r="I38" i="45"/>
  <c r="H40" i="45"/>
  <c r="F18" i="45"/>
  <c r="F139" i="46"/>
  <c r="N173" i="20"/>
  <c r="N179" i="20"/>
  <c r="N185" i="20"/>
  <c r="N129" i="19"/>
  <c r="N128" i="19" s="1"/>
  <c r="N132" i="19"/>
  <c r="N131" i="19"/>
  <c r="N130" i="19"/>
  <c r="N133" i="19"/>
  <c r="O125" i="12"/>
  <c r="L32" i="51"/>
  <c r="L31" i="51"/>
  <c r="AR30" i="51"/>
  <c r="L34" i="51"/>
  <c r="M30" i="51"/>
  <c r="F202" i="48"/>
  <c r="G63" i="53"/>
  <c r="I60" i="48"/>
  <c r="H67" i="48"/>
  <c r="H66" i="48"/>
  <c r="H65" i="48"/>
  <c r="H64" i="48"/>
  <c r="H62" i="48"/>
  <c r="H61" i="48"/>
  <c r="L53" i="14"/>
  <c r="AM40" i="45"/>
  <c r="AM39" i="45"/>
  <c r="G17" i="45"/>
  <c r="AM16" i="45"/>
  <c r="H16" i="45"/>
  <c r="I21" i="48"/>
  <c r="H27" i="48"/>
  <c r="H42" i="48" s="1"/>
  <c r="I60" i="46"/>
  <c r="H67" i="46"/>
  <c r="H66" i="46"/>
  <c r="H89" i="46" s="1"/>
  <c r="H65" i="46"/>
  <c r="H64" i="46"/>
  <c r="H62" i="46"/>
  <c r="H61" i="46"/>
  <c r="I19" i="46"/>
  <c r="H25" i="46"/>
  <c r="H40" i="46" s="1"/>
  <c r="I20" i="46"/>
  <c r="H26" i="46"/>
  <c r="H41" i="46" s="1"/>
  <c r="F204" i="48"/>
  <c r="F203" i="48"/>
  <c r="D144" i="46"/>
  <c r="D164" i="46"/>
  <c r="D154" i="46"/>
  <c r="D174" i="46"/>
  <c r="M52" i="12"/>
  <c r="M51" i="12"/>
  <c r="M54" i="12"/>
  <c r="N50" i="12"/>
  <c r="AL17" i="45"/>
  <c r="AQ31" i="51"/>
  <c r="AQ34" i="51"/>
  <c r="AQ32" i="51"/>
  <c r="I240" i="46"/>
  <c r="H241" i="46"/>
  <c r="E231" i="46"/>
  <c r="F108" i="45" s="1"/>
  <c r="E230" i="46"/>
  <c r="E235" i="46" s="1"/>
  <c r="E229" i="46"/>
  <c r="E234" i="46" s="1"/>
  <c r="E228" i="46"/>
  <c r="E233" i="46" s="1"/>
  <c r="E227" i="46"/>
  <c r="E232" i="46" s="1"/>
  <c r="E226" i="48"/>
  <c r="C154" i="46"/>
  <c r="C144" i="46"/>
  <c r="E149" i="46" s="1"/>
  <c r="F83" i="45" s="1"/>
  <c r="C164" i="46"/>
  <c r="E169" i="46" s="1"/>
  <c r="F77" i="45" s="1"/>
  <c r="C174" i="46"/>
  <c r="E179" i="46" s="1"/>
  <c r="F107" i="45" s="1"/>
  <c r="AK89" i="45"/>
  <c r="L136" i="54"/>
  <c r="L137" i="54" s="1"/>
  <c r="L134" i="54"/>
  <c r="L135" i="54" s="1"/>
  <c r="L138" i="54"/>
  <c r="L139" i="54" s="1"/>
  <c r="G247" i="46"/>
  <c r="G252" i="46" s="1"/>
  <c r="G246" i="46"/>
  <c r="G251" i="46" s="1"/>
  <c r="G245" i="46"/>
  <c r="G250" i="46" s="1"/>
  <c r="G244" i="46"/>
  <c r="G249" i="46" s="1"/>
  <c r="G248" i="46"/>
  <c r="H96" i="45" s="1"/>
  <c r="G243" i="48"/>
  <c r="G24" i="48"/>
  <c r="H18" i="48"/>
  <c r="J58" i="14"/>
  <c r="G258" i="48"/>
  <c r="H257" i="48"/>
  <c r="F142" i="48"/>
  <c r="F141" i="48"/>
  <c r="F140" i="48"/>
  <c r="F91" i="48"/>
  <c r="F90" i="48"/>
  <c r="F95" i="48" s="1"/>
  <c r="F94" i="48"/>
  <c r="F93" i="48"/>
  <c r="F98" i="48" s="1"/>
  <c r="F92" i="48"/>
  <c r="F97" i="48" s="1"/>
  <c r="E211" i="46"/>
  <c r="F89" i="45" s="1"/>
  <c r="E210" i="46"/>
  <c r="E215" i="46" s="1"/>
  <c r="E209" i="46"/>
  <c r="E214" i="46" s="1"/>
  <c r="E208" i="46"/>
  <c r="E213" i="46" s="1"/>
  <c r="E207" i="46"/>
  <c r="E212" i="46" s="1"/>
  <c r="E206" i="48"/>
  <c r="H36" i="54"/>
  <c r="M42" i="54" s="1"/>
  <c r="AO55" i="51"/>
  <c r="G154" i="53"/>
  <c r="H153" i="53"/>
  <c r="F206" i="46"/>
  <c r="F202" i="46"/>
  <c r="F216" i="46"/>
  <c r="F226" i="46"/>
  <c r="D73" i="45"/>
  <c r="K33" i="51"/>
  <c r="F29" i="48"/>
  <c r="F29" i="46"/>
  <c r="J57" i="14"/>
  <c r="G137" i="48"/>
  <c r="H136" i="48"/>
  <c r="G138" i="48"/>
  <c r="G200" i="48"/>
  <c r="G201" i="48"/>
  <c r="E221" i="46"/>
  <c r="F99" i="45" s="1"/>
  <c r="E220" i="46"/>
  <c r="E225" i="46" s="1"/>
  <c r="E219" i="46"/>
  <c r="E224" i="46" s="1"/>
  <c r="E218" i="46"/>
  <c r="E223" i="46" s="1"/>
  <c r="E217" i="46"/>
  <c r="E222" i="46" s="1"/>
  <c r="E216" i="48"/>
  <c r="E148" i="46"/>
  <c r="E147" i="46"/>
  <c r="E146" i="46"/>
  <c r="E145" i="46"/>
  <c r="E144" i="48"/>
  <c r="L53" i="12"/>
  <c r="F248" i="48"/>
  <c r="F247" i="48"/>
  <c r="F252" i="48" s="1"/>
  <c r="F246" i="48"/>
  <c r="F251" i="48" s="1"/>
  <c r="F245" i="48"/>
  <c r="F250" i="48" s="1"/>
  <c r="F244" i="48"/>
  <c r="F249" i="48" s="1"/>
  <c r="F204" i="46"/>
  <c r="F203" i="46"/>
  <c r="D227" i="48"/>
  <c r="D232" i="48" s="1"/>
  <c r="D231" i="48"/>
  <c r="D230" i="48"/>
  <c r="D235" i="48" s="1"/>
  <c r="D229" i="48"/>
  <c r="D234" i="48" s="1"/>
  <c r="D228" i="48"/>
  <c r="D233" i="48" s="1"/>
  <c r="E247" i="48"/>
  <c r="E252" i="48" s="1"/>
  <c r="E246" i="48"/>
  <c r="E251" i="48" s="1"/>
  <c r="E245" i="48"/>
  <c r="E250" i="48" s="1"/>
  <c r="E244" i="48"/>
  <c r="E249" i="48" s="1"/>
  <c r="E248" i="48"/>
  <c r="C33" i="46"/>
  <c r="C39" i="46" s="1"/>
  <c r="C69" i="46" s="1"/>
  <c r="D75" i="45"/>
  <c r="H18" i="46"/>
  <c r="G24" i="46"/>
  <c r="I22" i="48"/>
  <c r="H28" i="48"/>
  <c r="H64" i="54"/>
  <c r="H62" i="54"/>
  <c r="H61" i="54"/>
  <c r="I60" i="54"/>
  <c r="H67" i="54"/>
  <c r="H66" i="54"/>
  <c r="H73" i="54" s="1"/>
  <c r="H74" i="54" s="1"/>
  <c r="H65" i="54"/>
  <c r="L135" i="53"/>
  <c r="M56" i="51"/>
  <c r="D211" i="48"/>
  <c r="D210" i="48"/>
  <c r="D215" i="48" s="1"/>
  <c r="D209" i="48"/>
  <c r="D214" i="48" s="1"/>
  <c r="D208" i="48"/>
  <c r="D213" i="48" s="1"/>
  <c r="D207" i="48"/>
  <c r="D212" i="48" s="1"/>
  <c r="F140" i="46"/>
  <c r="F154" i="46" s="1"/>
  <c r="F141" i="46"/>
  <c r="F164" i="46" s="1"/>
  <c r="F142" i="46"/>
  <c r="F174" i="46" s="1"/>
  <c r="M134" i="53"/>
  <c r="M138" i="53"/>
  <c r="M139" i="53" s="1"/>
  <c r="N69" i="51" s="1"/>
  <c r="M136" i="53"/>
  <c r="M137" i="53" s="1"/>
  <c r="N63" i="51" s="1"/>
  <c r="J57" i="12"/>
  <c r="C40" i="48"/>
  <c r="D40" i="48"/>
  <c r="E40" i="48"/>
  <c r="I21" i="46"/>
  <c r="H27" i="46"/>
  <c r="H42" i="46" s="1"/>
  <c r="G94" i="46"/>
  <c r="G93" i="46"/>
  <c r="G98" i="46" s="1"/>
  <c r="G92" i="46"/>
  <c r="G97" i="46" s="1"/>
  <c r="G91" i="46"/>
  <c r="G90" i="46"/>
  <c r="G95" i="46" s="1"/>
  <c r="G89" i="48"/>
  <c r="H26" i="48"/>
  <c r="H41" i="48" s="1"/>
  <c r="I20" i="48"/>
  <c r="E28" i="45"/>
  <c r="AK27" i="45"/>
  <c r="F27" i="45"/>
  <c r="E29" i="45"/>
  <c r="E31" i="45"/>
  <c r="E54" i="45"/>
  <c r="I59" i="14"/>
  <c r="E31" i="46"/>
  <c r="E306" i="46"/>
  <c r="BR4" i="55"/>
  <c r="N50" i="14"/>
  <c r="M52" i="14"/>
  <c r="M51" i="14"/>
  <c r="M54" i="14"/>
  <c r="G63" i="54"/>
  <c r="H257" i="46"/>
  <c r="G258" i="46"/>
  <c r="H153" i="54"/>
  <c r="G154" i="54"/>
  <c r="D221" i="48"/>
  <c r="D220" i="48"/>
  <c r="D225" i="48" s="1"/>
  <c r="D219" i="48"/>
  <c r="D224" i="48" s="1"/>
  <c r="D218" i="48"/>
  <c r="D223" i="48" s="1"/>
  <c r="D217" i="48"/>
  <c r="D222" i="48" s="1"/>
  <c r="G138" i="46"/>
  <c r="G137" i="46"/>
  <c r="G144" i="46" s="1"/>
  <c r="H136" i="46"/>
  <c r="G201" i="46"/>
  <c r="G200" i="46"/>
  <c r="I22" i="46"/>
  <c r="H28" i="46"/>
  <c r="AJ37" i="45"/>
  <c r="AJ36" i="45"/>
  <c r="AJ35" i="45"/>
  <c r="AJ34" i="45"/>
  <c r="AJ54" i="45"/>
  <c r="E31" i="48"/>
  <c r="E306" i="48"/>
  <c r="F144" i="46"/>
  <c r="H64" i="53"/>
  <c r="H62" i="53"/>
  <c r="H61" i="53"/>
  <c r="I60" i="53"/>
  <c r="H67" i="53"/>
  <c r="H65" i="53"/>
  <c r="H66" i="53"/>
  <c r="H73" i="53" s="1"/>
  <c r="H74" i="53" s="1"/>
  <c r="J55" i="51" l="1"/>
  <c r="J58" i="12"/>
  <c r="K60" i="12"/>
  <c r="AK19" i="45"/>
  <c r="C37" i="46"/>
  <c r="G43" i="46" s="1"/>
  <c r="H43" i="46"/>
  <c r="D104" i="45"/>
  <c r="K112" i="12"/>
  <c r="AK20" i="45"/>
  <c r="G40" i="48"/>
  <c r="K56" i="12"/>
  <c r="E23" i="45"/>
  <c r="L55" i="14"/>
  <c r="AL99" i="45"/>
  <c r="AL107" i="45"/>
  <c r="AL69" i="45"/>
  <c r="I36" i="53"/>
  <c r="N42" i="53" s="1"/>
  <c r="N136" i="53" s="1"/>
  <c r="N137" i="53" s="1"/>
  <c r="O63" i="51" s="1"/>
  <c r="J39" i="20"/>
  <c r="O45" i="20" s="1"/>
  <c r="M175" i="20"/>
  <c r="M137" i="19" s="1"/>
  <c r="N113" i="12"/>
  <c r="M176" i="20"/>
  <c r="M138" i="19" s="1"/>
  <c r="M177" i="20"/>
  <c r="M139" i="19" s="1"/>
  <c r="M178" i="20"/>
  <c r="M140" i="19" s="1"/>
  <c r="M135" i="19"/>
  <c r="N113" i="14" s="1"/>
  <c r="M174" i="20"/>
  <c r="M136" i="19" s="1"/>
  <c r="AN96" i="45"/>
  <c r="AT63" i="51"/>
  <c r="K35" i="51"/>
  <c r="E35" i="48"/>
  <c r="I59" i="12"/>
  <c r="D72" i="45"/>
  <c r="K58" i="12"/>
  <c r="AT69" i="51"/>
  <c r="AL83" i="45"/>
  <c r="AL108" i="45"/>
  <c r="N137" i="12"/>
  <c r="M190" i="20"/>
  <c r="M152" i="19" s="1"/>
  <c r="M186" i="20"/>
  <c r="M148" i="19" s="1"/>
  <c r="M189" i="20"/>
  <c r="M151" i="19" s="1"/>
  <c r="M187" i="20"/>
  <c r="M149" i="19" s="1"/>
  <c r="M147" i="19"/>
  <c r="N137" i="14" s="1"/>
  <c r="M188" i="20"/>
  <c r="M150" i="19" s="1"/>
  <c r="K112" i="14"/>
  <c r="J39" i="19"/>
  <c r="O45" i="19" s="1"/>
  <c r="K60" i="14"/>
  <c r="K56" i="14"/>
  <c r="K61" i="14"/>
  <c r="F35" i="46"/>
  <c r="K61" i="12"/>
  <c r="M182" i="20"/>
  <c r="M144" i="19" s="1"/>
  <c r="M181" i="20"/>
  <c r="M143" i="19" s="1"/>
  <c r="M180" i="20"/>
  <c r="M142" i="19" s="1"/>
  <c r="M184" i="20"/>
  <c r="M146" i="19" s="1"/>
  <c r="M141" i="19"/>
  <c r="N125" i="14" s="1"/>
  <c r="M183" i="20"/>
  <c r="M145" i="19" s="1"/>
  <c r="AS56" i="51"/>
  <c r="G69" i="45"/>
  <c r="AJ57" i="45"/>
  <c r="E36" i="45"/>
  <c r="L55" i="12"/>
  <c r="AP35" i="51"/>
  <c r="D71" i="45"/>
  <c r="AL42" i="45"/>
  <c r="AL95" i="45"/>
  <c r="AL44" i="45"/>
  <c r="AL43" i="45"/>
  <c r="E25" i="45"/>
  <c r="H243" i="46"/>
  <c r="H244" i="46" s="1"/>
  <c r="H249" i="46" s="1"/>
  <c r="E37" i="45"/>
  <c r="AQ33" i="51"/>
  <c r="H63" i="46"/>
  <c r="H63" i="53"/>
  <c r="AM41" i="45"/>
  <c r="H41" i="45"/>
  <c r="G95" i="45"/>
  <c r="M53" i="12"/>
  <c r="AL18" i="45"/>
  <c r="E35" i="45"/>
  <c r="G42" i="45"/>
  <c r="G260" i="46"/>
  <c r="G260" i="48" s="1"/>
  <c r="G43" i="45"/>
  <c r="G44" i="45"/>
  <c r="G149" i="46"/>
  <c r="H83" i="45" s="1"/>
  <c r="G148" i="46"/>
  <c r="G147" i="46"/>
  <c r="G146" i="46"/>
  <c r="G145" i="46"/>
  <c r="G144" i="48"/>
  <c r="AL77" i="45"/>
  <c r="F179" i="46"/>
  <c r="G107" i="45" s="1"/>
  <c r="F178" i="46"/>
  <c r="F177" i="46"/>
  <c r="F176" i="46"/>
  <c r="F175" i="46"/>
  <c r="F174" i="48"/>
  <c r="F149" i="46"/>
  <c r="G83" i="45" s="1"/>
  <c r="F148" i="46"/>
  <c r="F147" i="46"/>
  <c r="F146" i="46"/>
  <c r="F145" i="46"/>
  <c r="F144" i="48"/>
  <c r="N54" i="14"/>
  <c r="O50" i="14"/>
  <c r="N52" i="14"/>
  <c r="N51" i="14"/>
  <c r="E148" i="48"/>
  <c r="E147" i="48"/>
  <c r="E146" i="48"/>
  <c r="E145" i="48"/>
  <c r="G139" i="48"/>
  <c r="F31" i="48"/>
  <c r="F306" i="48"/>
  <c r="H258" i="48"/>
  <c r="I257" i="48"/>
  <c r="I18" i="48"/>
  <c r="H24" i="48"/>
  <c r="C147" i="46"/>
  <c r="C152" i="46" s="1"/>
  <c r="C146" i="46"/>
  <c r="C151" i="46" s="1"/>
  <c r="C145" i="46"/>
  <c r="C150" i="46" s="1"/>
  <c r="C149" i="46"/>
  <c r="D83" i="45" s="1"/>
  <c r="C148" i="46"/>
  <c r="C153" i="46" s="1"/>
  <c r="C144" i="48"/>
  <c r="J20" i="46"/>
  <c r="I26" i="46"/>
  <c r="I41" i="46" s="1"/>
  <c r="J60" i="46"/>
  <c r="I67" i="46"/>
  <c r="I66" i="46"/>
  <c r="I89" i="46" s="1"/>
  <c r="I65" i="46"/>
  <c r="I64" i="46"/>
  <c r="I62" i="46"/>
  <c r="I61" i="46"/>
  <c r="H63" i="48"/>
  <c r="N138" i="53"/>
  <c r="N139" i="53" s="1"/>
  <c r="O69" i="51" s="1"/>
  <c r="M32" i="51"/>
  <c r="M31" i="51"/>
  <c r="AS30" i="51"/>
  <c r="M34" i="51"/>
  <c r="N30" i="51"/>
  <c r="N190" i="20"/>
  <c r="N152" i="19" s="1"/>
  <c r="N189" i="20"/>
  <c r="N151" i="19" s="1"/>
  <c r="N188" i="20"/>
  <c r="N150" i="19" s="1"/>
  <c r="N187" i="20"/>
  <c r="N149" i="19" s="1"/>
  <c r="N186" i="20"/>
  <c r="N148" i="19" s="1"/>
  <c r="N147" i="19"/>
  <c r="O137" i="14" s="1"/>
  <c r="O137" i="12"/>
  <c r="AN40" i="45"/>
  <c r="AN39" i="45"/>
  <c r="J19" i="48"/>
  <c r="I25" i="48"/>
  <c r="I40" i="48" s="1"/>
  <c r="E175" i="48"/>
  <c r="E178" i="48"/>
  <c r="E177" i="48"/>
  <c r="E176" i="48"/>
  <c r="F158" i="46"/>
  <c r="F157" i="46"/>
  <c r="F156" i="46"/>
  <c r="F155" i="46"/>
  <c r="F159" i="46"/>
  <c r="G98" i="45" s="1"/>
  <c r="F154" i="48"/>
  <c r="J59" i="12"/>
  <c r="C79" i="46"/>
  <c r="C99" i="46"/>
  <c r="C109" i="46"/>
  <c r="M136" i="54"/>
  <c r="M137" i="54" s="1"/>
  <c r="M134" i="54"/>
  <c r="M135" i="54" s="1"/>
  <c r="M138" i="54"/>
  <c r="M139" i="54" s="1"/>
  <c r="G29" i="48"/>
  <c r="C155" i="46"/>
  <c r="C160" i="46" s="1"/>
  <c r="C159" i="46"/>
  <c r="D98" i="45" s="1"/>
  <c r="C158" i="46"/>
  <c r="C163" i="46" s="1"/>
  <c r="C157" i="46"/>
  <c r="C162" i="46" s="1"/>
  <c r="C156" i="46"/>
  <c r="C161" i="46" s="1"/>
  <c r="C154" i="48"/>
  <c r="H245" i="46"/>
  <c r="H250" i="46" s="1"/>
  <c r="D177" i="46"/>
  <c r="D176" i="46"/>
  <c r="D175" i="46"/>
  <c r="D179" i="46"/>
  <c r="E107" i="45" s="1"/>
  <c r="D178" i="46"/>
  <c r="D174" i="48"/>
  <c r="N184" i="20"/>
  <c r="N146" i="19" s="1"/>
  <c r="N183" i="20"/>
  <c r="N145" i="19" s="1"/>
  <c r="N182" i="20"/>
  <c r="N144" i="19" s="1"/>
  <c r="N181" i="20"/>
  <c r="N143" i="19" s="1"/>
  <c r="N180" i="20"/>
  <c r="N142" i="19" s="1"/>
  <c r="N141" i="19"/>
  <c r="O125" i="14" s="1"/>
  <c r="F169" i="46"/>
  <c r="G77" i="45" s="1"/>
  <c r="F168" i="46"/>
  <c r="F167" i="46"/>
  <c r="F166" i="46"/>
  <c r="F165" i="46"/>
  <c r="F164" i="48"/>
  <c r="I153" i="54"/>
  <c r="H154" i="54"/>
  <c r="F28" i="45"/>
  <c r="AL27" i="45"/>
  <c r="G27" i="45"/>
  <c r="F29" i="45"/>
  <c r="F32" i="45"/>
  <c r="F31" i="45"/>
  <c r="F54" i="45"/>
  <c r="G29" i="46"/>
  <c r="J59" i="14"/>
  <c r="E207" i="48"/>
  <c r="E212" i="48" s="1"/>
  <c r="E211" i="48"/>
  <c r="E210" i="48"/>
  <c r="E215" i="48" s="1"/>
  <c r="E209" i="48"/>
  <c r="E214" i="48" s="1"/>
  <c r="E208" i="48"/>
  <c r="E213" i="48" s="1"/>
  <c r="J240" i="46"/>
  <c r="I241" i="46"/>
  <c r="D156" i="46"/>
  <c r="D155" i="46"/>
  <c r="D159" i="46"/>
  <c r="E98" i="45" s="1"/>
  <c r="D158" i="46"/>
  <c r="D157" i="46"/>
  <c r="D154" i="48"/>
  <c r="C43" i="46"/>
  <c r="C260" i="46" s="1"/>
  <c r="G265" i="46" s="1"/>
  <c r="H105" i="45" s="1"/>
  <c r="D43" i="46"/>
  <c r="D260" i="46" s="1"/>
  <c r="E43" i="46"/>
  <c r="E260" i="46" s="1"/>
  <c r="F43" i="46"/>
  <c r="F260" i="46" s="1"/>
  <c r="I27" i="48"/>
  <c r="I42" i="48" s="1"/>
  <c r="J21" i="48"/>
  <c r="AR32" i="51"/>
  <c r="AR31" i="51"/>
  <c r="AR34" i="51"/>
  <c r="N174" i="20"/>
  <c r="N136" i="19" s="1"/>
  <c r="N175" i="20"/>
  <c r="N137" i="19" s="1"/>
  <c r="N176" i="20"/>
  <c r="N138" i="19" s="1"/>
  <c r="N177" i="20"/>
  <c r="N139" i="19" s="1"/>
  <c r="N178" i="20"/>
  <c r="N140" i="19" s="1"/>
  <c r="N135" i="19"/>
  <c r="O113" i="14" s="1"/>
  <c r="O113" i="12"/>
  <c r="I65" i="53"/>
  <c r="I64" i="53"/>
  <c r="I62" i="53"/>
  <c r="I61" i="53"/>
  <c r="I66" i="53"/>
  <c r="I73" i="53" s="1"/>
  <c r="I74" i="53" s="1"/>
  <c r="I67" i="53"/>
  <c r="J60" i="53"/>
  <c r="G206" i="46"/>
  <c r="G202" i="46"/>
  <c r="G216" i="46"/>
  <c r="G226" i="46"/>
  <c r="E56" i="45"/>
  <c r="E55" i="45"/>
  <c r="AK28" i="45"/>
  <c r="AK29" i="45"/>
  <c r="AK31" i="45"/>
  <c r="AK54" i="45"/>
  <c r="I18" i="46"/>
  <c r="H24" i="46"/>
  <c r="F31" i="46"/>
  <c r="F306" i="46"/>
  <c r="BS4" i="55"/>
  <c r="N52" i="12"/>
  <c r="N51" i="12"/>
  <c r="N54" i="12"/>
  <c r="O50" i="12"/>
  <c r="D169" i="46"/>
  <c r="E77" i="45" s="1"/>
  <c r="D168" i="46"/>
  <c r="D167" i="46"/>
  <c r="D166" i="46"/>
  <c r="D165" i="46"/>
  <c r="D164" i="48"/>
  <c r="E167" i="48"/>
  <c r="E166" i="48"/>
  <c r="E165" i="48"/>
  <c r="E168" i="48"/>
  <c r="G204" i="46"/>
  <c r="G203" i="46"/>
  <c r="E30" i="45"/>
  <c r="M135" i="53"/>
  <c r="N56" i="51"/>
  <c r="AJ58" i="45"/>
  <c r="G204" i="48"/>
  <c r="G203" i="48"/>
  <c r="AJ60" i="45"/>
  <c r="F231" i="46"/>
  <c r="G108" i="45" s="1"/>
  <c r="F230" i="46"/>
  <c r="F235" i="46" s="1"/>
  <c r="F229" i="46"/>
  <c r="F234" i="46" s="1"/>
  <c r="F228" i="46"/>
  <c r="F233" i="46" s="1"/>
  <c r="F227" i="46"/>
  <c r="F232" i="46" s="1"/>
  <c r="F226" i="48"/>
  <c r="D148" i="46"/>
  <c r="D147" i="46"/>
  <c r="D146" i="46"/>
  <c r="D145" i="46"/>
  <c r="D149" i="46"/>
  <c r="E83" i="45" s="1"/>
  <c r="D144" i="48"/>
  <c r="H17" i="45"/>
  <c r="AN16" i="45"/>
  <c r="I16" i="45"/>
  <c r="L33" i="51"/>
  <c r="H138" i="46"/>
  <c r="H137" i="46"/>
  <c r="H144" i="46" s="1"/>
  <c r="I136" i="46"/>
  <c r="H200" i="46"/>
  <c r="H201" i="46"/>
  <c r="I257" i="46"/>
  <c r="H258" i="46"/>
  <c r="H260" i="46" s="1"/>
  <c r="I26" i="48"/>
  <c r="I41" i="48" s="1"/>
  <c r="J20" i="48"/>
  <c r="I65" i="54"/>
  <c r="I64" i="54"/>
  <c r="I62" i="54"/>
  <c r="I61" i="54"/>
  <c r="J60" i="54"/>
  <c r="I67" i="54"/>
  <c r="I66" i="54"/>
  <c r="I73" i="54" s="1"/>
  <c r="I74" i="54" s="1"/>
  <c r="G202" i="48"/>
  <c r="F221" i="46"/>
  <c r="G99" i="45" s="1"/>
  <c r="F220" i="46"/>
  <c r="F225" i="46" s="1"/>
  <c r="F219" i="46"/>
  <c r="F224" i="46" s="1"/>
  <c r="F218" i="46"/>
  <c r="F223" i="46" s="1"/>
  <c r="F217" i="46"/>
  <c r="F222" i="46" s="1"/>
  <c r="F216" i="48"/>
  <c r="AJ59" i="45"/>
  <c r="G248" i="48"/>
  <c r="G247" i="48"/>
  <c r="G252" i="48" s="1"/>
  <c r="G246" i="48"/>
  <c r="G251" i="48" s="1"/>
  <c r="G245" i="48"/>
  <c r="G250" i="48" s="1"/>
  <c r="G244" i="48"/>
  <c r="G249" i="48" s="1"/>
  <c r="E227" i="48"/>
  <c r="E232" i="48" s="1"/>
  <c r="E231" i="48"/>
  <c r="E230" i="48"/>
  <c r="E235" i="48" s="1"/>
  <c r="E229" i="48"/>
  <c r="E234" i="48" s="1"/>
  <c r="E228" i="48"/>
  <c r="E233" i="48" s="1"/>
  <c r="AM17" i="45"/>
  <c r="F20" i="45"/>
  <c r="F19" i="45"/>
  <c r="E159" i="48"/>
  <c r="E158" i="48"/>
  <c r="E157" i="48"/>
  <c r="E156" i="48"/>
  <c r="E155" i="48"/>
  <c r="C37" i="48"/>
  <c r="H43" i="48" s="1"/>
  <c r="AJ104" i="45"/>
  <c r="J22" i="46"/>
  <c r="I28" i="46"/>
  <c r="G139" i="46"/>
  <c r="M53" i="14"/>
  <c r="E32" i="45"/>
  <c r="J21" i="46"/>
  <c r="I27" i="46"/>
  <c r="I42" i="46" s="1"/>
  <c r="H63" i="54"/>
  <c r="E221" i="48"/>
  <c r="E220" i="48"/>
  <c r="E225" i="48" s="1"/>
  <c r="E219" i="48"/>
  <c r="E224" i="48" s="1"/>
  <c r="E218" i="48"/>
  <c r="E223" i="48" s="1"/>
  <c r="E217" i="48"/>
  <c r="E222" i="48" s="1"/>
  <c r="G142" i="48"/>
  <c r="G141" i="48"/>
  <c r="G140" i="48"/>
  <c r="H154" i="53"/>
  <c r="I153" i="53"/>
  <c r="C176" i="46"/>
  <c r="C181" i="46" s="1"/>
  <c r="C175" i="46"/>
  <c r="C180" i="46" s="1"/>
  <c r="C179" i="46"/>
  <c r="D107" i="45" s="1"/>
  <c r="C178" i="46"/>
  <c r="C183" i="46" s="1"/>
  <c r="C177" i="46"/>
  <c r="C182" i="46" s="1"/>
  <c r="C174" i="48"/>
  <c r="J19" i="46"/>
  <c r="I25" i="46"/>
  <c r="I40" i="46" s="1"/>
  <c r="H94" i="46"/>
  <c r="H93" i="46"/>
  <c r="H98" i="46" s="1"/>
  <c r="H92" i="46"/>
  <c r="H97" i="46" s="1"/>
  <c r="H91" i="46"/>
  <c r="H90" i="46"/>
  <c r="H95" i="46" s="1"/>
  <c r="H89" i="48"/>
  <c r="J60" i="48"/>
  <c r="I61" i="48"/>
  <c r="I67" i="48"/>
  <c r="I66" i="48"/>
  <c r="I65" i="48"/>
  <c r="I64" i="48"/>
  <c r="I62" i="48"/>
  <c r="I241" i="48"/>
  <c r="J240" i="48"/>
  <c r="C33" i="48"/>
  <c r="C39" i="48" s="1"/>
  <c r="AJ75" i="45"/>
  <c r="G140" i="46"/>
  <c r="G154" i="46" s="1"/>
  <c r="G141" i="46"/>
  <c r="G164" i="46" s="1"/>
  <c r="G142" i="46"/>
  <c r="G174" i="46" s="1"/>
  <c r="G92" i="48"/>
  <c r="G97" i="48" s="1"/>
  <c r="G91" i="48"/>
  <c r="G90" i="48"/>
  <c r="G95" i="48" s="1"/>
  <c r="G94" i="48"/>
  <c r="G93" i="48"/>
  <c r="G98" i="48" s="1"/>
  <c r="J22" i="48"/>
  <c r="I28" i="48"/>
  <c r="H138" i="48"/>
  <c r="H137" i="48"/>
  <c r="I136" i="48"/>
  <c r="H201" i="48"/>
  <c r="H200" i="48"/>
  <c r="F211" i="46"/>
  <c r="G89" i="45" s="1"/>
  <c r="F210" i="46"/>
  <c r="F215" i="46" s="1"/>
  <c r="F209" i="46"/>
  <c r="F214" i="46" s="1"/>
  <c r="F208" i="46"/>
  <c r="F213" i="46" s="1"/>
  <c r="F207" i="46"/>
  <c r="F212" i="46" s="1"/>
  <c r="F206" i="48"/>
  <c r="AL89" i="45"/>
  <c r="C168" i="46"/>
  <c r="C173" i="46" s="1"/>
  <c r="C167" i="46"/>
  <c r="C172" i="46" s="1"/>
  <c r="C166" i="46"/>
  <c r="C171" i="46" s="1"/>
  <c r="C165" i="46"/>
  <c r="C170" i="46" s="1"/>
  <c r="C169" i="46"/>
  <c r="D77" i="45" s="1"/>
  <c r="C164" i="48"/>
  <c r="G18" i="45"/>
  <c r="I39" i="45"/>
  <c r="AO38" i="45"/>
  <c r="J38" i="45"/>
  <c r="I40" i="45"/>
  <c r="AK21" i="45"/>
  <c r="E159" i="46"/>
  <c r="F98" i="45" s="1"/>
  <c r="N134" i="53" l="1"/>
  <c r="AP55" i="51"/>
  <c r="L61" i="12"/>
  <c r="L61" i="14"/>
  <c r="J36" i="53"/>
  <c r="O42" i="53" s="1"/>
  <c r="AL20" i="45"/>
  <c r="G262" i="46"/>
  <c r="L56" i="14"/>
  <c r="K39" i="19"/>
  <c r="P45" i="19" s="1"/>
  <c r="K55" i="51"/>
  <c r="L60" i="12"/>
  <c r="L60" i="14"/>
  <c r="L112" i="14"/>
  <c r="I36" i="54"/>
  <c r="N42" i="54" s="1"/>
  <c r="H246" i="46"/>
  <c r="H251" i="46" s="1"/>
  <c r="H247" i="46"/>
  <c r="H252" i="46" s="1"/>
  <c r="H243" i="48"/>
  <c r="H248" i="46"/>
  <c r="I96" i="45" s="1"/>
  <c r="AQ35" i="51"/>
  <c r="AM99" i="45"/>
  <c r="AK107" i="45"/>
  <c r="L56" i="12"/>
  <c r="AU69" i="51"/>
  <c r="AJ98" i="45"/>
  <c r="AJ107" i="45"/>
  <c r="E33" i="45"/>
  <c r="H69" i="45"/>
  <c r="AT56" i="51"/>
  <c r="AN105" i="45"/>
  <c r="K39" i="20"/>
  <c r="P45" i="20" s="1"/>
  <c r="P129" i="19" s="1"/>
  <c r="P128" i="19" s="1"/>
  <c r="AM83" i="45"/>
  <c r="M55" i="12"/>
  <c r="K57" i="14"/>
  <c r="K57" i="12"/>
  <c r="AL98" i="45"/>
  <c r="AK35" i="45"/>
  <c r="F37" i="45"/>
  <c r="AN41" i="45"/>
  <c r="AU63" i="51"/>
  <c r="AN83" i="45"/>
  <c r="O130" i="19"/>
  <c r="O185" i="20"/>
  <c r="P125" i="12"/>
  <c r="O173" i="20"/>
  <c r="O179" i="20"/>
  <c r="O129" i="19"/>
  <c r="O128" i="19" s="1"/>
  <c r="O133" i="19"/>
  <c r="O132" i="19"/>
  <c r="O131" i="19"/>
  <c r="AM69" i="45"/>
  <c r="AM98" i="45"/>
  <c r="M55" i="14"/>
  <c r="AJ72" i="45"/>
  <c r="AK83" i="45"/>
  <c r="G35" i="46"/>
  <c r="K58" i="14"/>
  <c r="L112" i="12"/>
  <c r="F35" i="48"/>
  <c r="AM107" i="45"/>
  <c r="AM108" i="45"/>
  <c r="L35" i="51"/>
  <c r="AK98" i="45"/>
  <c r="AL19" i="45"/>
  <c r="D34" i="46"/>
  <c r="E82" i="45"/>
  <c r="E24" i="45"/>
  <c r="E26" i="45"/>
  <c r="E151" i="46"/>
  <c r="D151" i="46"/>
  <c r="AR33" i="51"/>
  <c r="D161" i="46"/>
  <c r="D152" i="46"/>
  <c r="F36" i="45"/>
  <c r="E152" i="46"/>
  <c r="H95" i="45"/>
  <c r="H44" i="45"/>
  <c r="E153" i="46"/>
  <c r="G261" i="46"/>
  <c r="H43" i="45"/>
  <c r="G263" i="46"/>
  <c r="H42" i="45"/>
  <c r="G264" i="46"/>
  <c r="D160" i="46"/>
  <c r="AM42" i="45"/>
  <c r="AM95" i="45"/>
  <c r="E161" i="46"/>
  <c r="AM43" i="45"/>
  <c r="AK36" i="45"/>
  <c r="AK37" i="45"/>
  <c r="F35" i="45"/>
  <c r="AM44" i="45"/>
  <c r="M33" i="51"/>
  <c r="D150" i="46"/>
  <c r="D162" i="46"/>
  <c r="E150" i="46"/>
  <c r="E162" i="46"/>
  <c r="C44" i="46"/>
  <c r="C271" i="46" s="1"/>
  <c r="H139" i="46"/>
  <c r="E57" i="45"/>
  <c r="F21" i="45"/>
  <c r="I41" i="45"/>
  <c r="I243" i="46"/>
  <c r="I248" i="46" s="1"/>
  <c r="J96" i="45" s="1"/>
  <c r="H202" i="48"/>
  <c r="E163" i="46"/>
  <c r="D153" i="46"/>
  <c r="AK30" i="45"/>
  <c r="D163" i="46"/>
  <c r="I138" i="48"/>
  <c r="I137" i="48"/>
  <c r="J136" i="48"/>
  <c r="I201" i="48"/>
  <c r="I200" i="48"/>
  <c r="L57" i="14"/>
  <c r="J25" i="46"/>
  <c r="J40" i="46" s="1"/>
  <c r="K19" i="46"/>
  <c r="E183" i="46"/>
  <c r="H149" i="46"/>
  <c r="I83" i="45" s="1"/>
  <c r="H148" i="46"/>
  <c r="H153" i="46" s="1"/>
  <c r="H147" i="46"/>
  <c r="H152" i="46" s="1"/>
  <c r="H146" i="46"/>
  <c r="H151" i="46" s="1"/>
  <c r="H145" i="46"/>
  <c r="H150" i="46" s="1"/>
  <c r="H144" i="48"/>
  <c r="E170" i="46"/>
  <c r="D173" i="46"/>
  <c r="AK55" i="45"/>
  <c r="AK56" i="45"/>
  <c r="C265" i="46"/>
  <c r="D105" i="45" s="1"/>
  <c r="C264" i="46"/>
  <c r="C269" i="46" s="1"/>
  <c r="C263" i="46"/>
  <c r="C268" i="46" s="1"/>
  <c r="C274" i="46"/>
  <c r="C262" i="46"/>
  <c r="C267" i="46" s="1"/>
  <c r="C261" i="46"/>
  <c r="C266" i="46" s="1"/>
  <c r="C260" i="48"/>
  <c r="G265" i="48" s="1"/>
  <c r="AM77" i="45"/>
  <c r="K20" i="46"/>
  <c r="J26" i="46"/>
  <c r="J41" i="46" s="1"/>
  <c r="C149" i="48"/>
  <c r="C148" i="48"/>
  <c r="C153" i="48" s="1"/>
  <c r="C147" i="48"/>
  <c r="C152" i="48" s="1"/>
  <c r="C146" i="48"/>
  <c r="C151" i="48" s="1"/>
  <c r="C145" i="48"/>
  <c r="C150" i="48" s="1"/>
  <c r="G152" i="46"/>
  <c r="H139" i="48"/>
  <c r="J241" i="48"/>
  <c r="K240" i="48"/>
  <c r="H93" i="48"/>
  <c r="H98" i="48" s="1"/>
  <c r="H92" i="48"/>
  <c r="H97" i="48" s="1"/>
  <c r="H91" i="48"/>
  <c r="H90" i="48"/>
  <c r="H95" i="48" s="1"/>
  <c r="H94" i="48"/>
  <c r="AM18" i="45"/>
  <c r="K20" i="48"/>
  <c r="J26" i="48"/>
  <c r="J41" i="48" s="1"/>
  <c r="H140" i="46"/>
  <c r="H154" i="46" s="1"/>
  <c r="H141" i="46"/>
  <c r="H164" i="46" s="1"/>
  <c r="H142" i="46"/>
  <c r="H174" i="46" s="1"/>
  <c r="E182" i="46"/>
  <c r="H18" i="45"/>
  <c r="AK77" i="45"/>
  <c r="G231" i="46"/>
  <c r="H108" i="45" s="1"/>
  <c r="G230" i="46"/>
  <c r="G235" i="46" s="1"/>
  <c r="G229" i="46"/>
  <c r="G234" i="46" s="1"/>
  <c r="G228" i="46"/>
  <c r="G233" i="46" s="1"/>
  <c r="G227" i="46"/>
  <c r="G232" i="46" s="1"/>
  <c r="G226" i="48"/>
  <c r="I63" i="53"/>
  <c r="J241" i="46"/>
  <c r="K240" i="46"/>
  <c r="G31" i="46"/>
  <c r="G306" i="46"/>
  <c r="BT4" i="55"/>
  <c r="I154" i="54"/>
  <c r="J153" i="54"/>
  <c r="D180" i="46"/>
  <c r="F160" i="46"/>
  <c r="N135" i="53"/>
  <c r="O56" i="51"/>
  <c r="I94" i="46"/>
  <c r="I93" i="46"/>
  <c r="I98" i="46" s="1"/>
  <c r="I92" i="46"/>
  <c r="I97" i="46" s="1"/>
  <c r="I91" i="46"/>
  <c r="I90" i="46"/>
  <c r="I95" i="46" s="1"/>
  <c r="I89" i="48"/>
  <c r="I258" i="48"/>
  <c r="J257" i="48"/>
  <c r="F176" i="48"/>
  <c r="F175" i="48"/>
  <c r="F179" i="48"/>
  <c r="F178" i="48"/>
  <c r="F177" i="48"/>
  <c r="G153" i="46"/>
  <c r="H142" i="48"/>
  <c r="H141" i="48"/>
  <c r="H140" i="48"/>
  <c r="L39" i="19"/>
  <c r="Q45" i="19" s="1"/>
  <c r="M61" i="14"/>
  <c r="M60" i="14"/>
  <c r="M56" i="14"/>
  <c r="M112" i="14"/>
  <c r="P50" i="12"/>
  <c r="O52" i="12"/>
  <c r="O51" i="12"/>
  <c r="O54" i="12"/>
  <c r="G221" i="46"/>
  <c r="H99" i="45" s="1"/>
  <c r="G220" i="46"/>
  <c r="G225" i="46" s="1"/>
  <c r="G219" i="46"/>
  <c r="G224" i="46" s="1"/>
  <c r="G218" i="46"/>
  <c r="G223" i="46" s="1"/>
  <c r="G217" i="46"/>
  <c r="G222" i="46" s="1"/>
  <c r="G216" i="48"/>
  <c r="D159" i="48"/>
  <c r="D158" i="48"/>
  <c r="D157" i="48"/>
  <c r="D156" i="48"/>
  <c r="D155" i="48"/>
  <c r="D181" i="46"/>
  <c r="F161" i="46"/>
  <c r="G35" i="48"/>
  <c r="O30" i="51"/>
  <c r="N32" i="51"/>
  <c r="N31" i="51"/>
  <c r="AT30" i="51"/>
  <c r="N34" i="51"/>
  <c r="AJ83" i="45"/>
  <c r="D84" i="45"/>
  <c r="F180" i="46"/>
  <c r="L58" i="14"/>
  <c r="C179" i="48"/>
  <c r="C178" i="48"/>
  <c r="C183" i="48" s="1"/>
  <c r="C177" i="48"/>
  <c r="C182" i="48" s="1"/>
  <c r="C176" i="48"/>
  <c r="C181" i="48" s="1"/>
  <c r="C175" i="48"/>
  <c r="C180" i="48" s="1"/>
  <c r="H265" i="46"/>
  <c r="I105" i="45" s="1"/>
  <c r="H264" i="46"/>
  <c r="H263" i="46"/>
  <c r="H262" i="46"/>
  <c r="H261" i="46"/>
  <c r="H260" i="48"/>
  <c r="K36" i="53"/>
  <c r="P42" i="53" s="1"/>
  <c r="L55" i="51"/>
  <c r="D149" i="48"/>
  <c r="D148" i="48"/>
  <c r="D147" i="48"/>
  <c r="D146" i="48"/>
  <c r="D145" i="48"/>
  <c r="F227" i="48"/>
  <c r="F232" i="48" s="1"/>
  <c r="F231" i="48"/>
  <c r="F230" i="48"/>
  <c r="F235" i="48" s="1"/>
  <c r="F228" i="48"/>
  <c r="F233" i="48" s="1"/>
  <c r="F229" i="48"/>
  <c r="F234" i="48" s="1"/>
  <c r="E67" i="45"/>
  <c r="E181" i="46"/>
  <c r="J27" i="48"/>
  <c r="J42" i="48" s="1"/>
  <c r="K21" i="48"/>
  <c r="F167" i="48"/>
  <c r="F166" i="48"/>
  <c r="F165" i="48"/>
  <c r="F168" i="48"/>
  <c r="F169" i="48"/>
  <c r="D182" i="46"/>
  <c r="F162" i="46"/>
  <c r="E179" i="48"/>
  <c r="J61" i="46"/>
  <c r="K60" i="46"/>
  <c r="J67" i="46"/>
  <c r="J66" i="46"/>
  <c r="J89" i="46" s="1"/>
  <c r="J65" i="46"/>
  <c r="J64" i="46"/>
  <c r="J62" i="46"/>
  <c r="D86" i="45"/>
  <c r="D87" i="45"/>
  <c r="D85" i="45"/>
  <c r="AJ86" i="45"/>
  <c r="AJ87" i="45"/>
  <c r="AJ85" i="45"/>
  <c r="F145" i="48"/>
  <c r="F149" i="48"/>
  <c r="F148" i="48"/>
  <c r="F147" i="48"/>
  <c r="F146" i="48"/>
  <c r="F181" i="46"/>
  <c r="J39" i="45"/>
  <c r="AP38" i="45"/>
  <c r="K38" i="45"/>
  <c r="J40" i="45"/>
  <c r="AO39" i="45"/>
  <c r="AO40" i="45"/>
  <c r="AM89" i="45"/>
  <c r="J28" i="48"/>
  <c r="K22" i="48"/>
  <c r="G179" i="46"/>
  <c r="H107" i="45" s="1"/>
  <c r="G178" i="46"/>
  <c r="G183" i="46" s="1"/>
  <c r="G177" i="46"/>
  <c r="G182" i="46" s="1"/>
  <c r="G176" i="46"/>
  <c r="G181" i="46" s="1"/>
  <c r="G175" i="46"/>
  <c r="G180" i="46" s="1"/>
  <c r="G174" i="48"/>
  <c r="I63" i="48"/>
  <c r="F221" i="48"/>
  <c r="F220" i="48"/>
  <c r="F225" i="48" s="1"/>
  <c r="F219" i="48"/>
  <c r="F224" i="48" s="1"/>
  <c r="F218" i="48"/>
  <c r="F223" i="48" s="1"/>
  <c r="F217" i="48"/>
  <c r="F222" i="48" s="1"/>
  <c r="J66" i="54"/>
  <c r="J73" i="54" s="1"/>
  <c r="J74" i="54" s="1"/>
  <c r="J65" i="54"/>
  <c r="J64" i="54"/>
  <c r="J62" i="54"/>
  <c r="J61" i="54"/>
  <c r="K60" i="54"/>
  <c r="J67" i="54"/>
  <c r="J257" i="46"/>
  <c r="I258" i="46"/>
  <c r="D167" i="48"/>
  <c r="D166" i="48"/>
  <c r="D165" i="48"/>
  <c r="D168" i="48"/>
  <c r="D169" i="48"/>
  <c r="AK32" i="45"/>
  <c r="G207" i="46"/>
  <c r="G212" i="46" s="1"/>
  <c r="G211" i="46"/>
  <c r="H89" i="45" s="1"/>
  <c r="G210" i="46"/>
  <c r="G215" i="46" s="1"/>
  <c r="G209" i="46"/>
  <c r="G214" i="46" s="1"/>
  <c r="G208" i="46"/>
  <c r="G213" i="46" s="1"/>
  <c r="G206" i="48"/>
  <c r="F170" i="46"/>
  <c r="H248" i="48"/>
  <c r="H247" i="48"/>
  <c r="H252" i="48" s="1"/>
  <c r="H246" i="48"/>
  <c r="H251" i="48" s="1"/>
  <c r="H245" i="48"/>
  <c r="H250" i="48" s="1"/>
  <c r="H244" i="48"/>
  <c r="H249" i="48" s="1"/>
  <c r="C114" i="46"/>
  <c r="D97" i="45" s="1"/>
  <c r="C113" i="46"/>
  <c r="C118" i="46" s="1"/>
  <c r="C112" i="46"/>
  <c r="C117" i="46" s="1"/>
  <c r="C111" i="46"/>
  <c r="C116" i="46" s="1"/>
  <c r="C110" i="46"/>
  <c r="C115" i="46" s="1"/>
  <c r="C109" i="48"/>
  <c r="F163" i="46"/>
  <c r="AS32" i="51"/>
  <c r="AS31" i="51"/>
  <c r="AS34" i="51"/>
  <c r="F150" i="46"/>
  <c r="F182" i="46"/>
  <c r="C166" i="48"/>
  <c r="C171" i="48" s="1"/>
  <c r="C165" i="48"/>
  <c r="C170" i="48" s="1"/>
  <c r="C168" i="48"/>
  <c r="C173" i="48" s="1"/>
  <c r="C167" i="48"/>
  <c r="C172" i="48" s="1"/>
  <c r="C169" i="48"/>
  <c r="G169" i="46"/>
  <c r="H77" i="45" s="1"/>
  <c r="G168" i="46"/>
  <c r="G173" i="46" s="1"/>
  <c r="G167" i="46"/>
  <c r="G172" i="46" s="1"/>
  <c r="G166" i="46"/>
  <c r="G171" i="46" s="1"/>
  <c r="G165" i="46"/>
  <c r="G170" i="46" s="1"/>
  <c r="G164" i="48"/>
  <c r="K60" i="48"/>
  <c r="J62" i="48"/>
  <c r="J61" i="48"/>
  <c r="J67" i="48"/>
  <c r="J66" i="48"/>
  <c r="J65" i="48"/>
  <c r="J64" i="48"/>
  <c r="K22" i="46"/>
  <c r="J28" i="46"/>
  <c r="I63" i="54"/>
  <c r="H204" i="46"/>
  <c r="H203" i="46"/>
  <c r="D170" i="46"/>
  <c r="N53" i="12"/>
  <c r="F263" i="46"/>
  <c r="F262" i="46"/>
  <c r="F261" i="46"/>
  <c r="F265" i="46"/>
  <c r="G105" i="45" s="1"/>
  <c r="F264" i="46"/>
  <c r="F260" i="48"/>
  <c r="O136" i="53"/>
  <c r="O137" i="53" s="1"/>
  <c r="P63" i="51" s="1"/>
  <c r="O134" i="53"/>
  <c r="O138" i="53"/>
  <c r="O139" i="53" s="1"/>
  <c r="P69" i="51" s="1"/>
  <c r="F56" i="45"/>
  <c r="F55" i="45"/>
  <c r="G28" i="45"/>
  <c r="AM27" i="45"/>
  <c r="H27" i="45"/>
  <c r="G29" i="45"/>
  <c r="G32" i="45"/>
  <c r="G31" i="45"/>
  <c r="G54" i="45"/>
  <c r="F171" i="46"/>
  <c r="C158" i="48"/>
  <c r="C163" i="48" s="1"/>
  <c r="C157" i="48"/>
  <c r="C162" i="48" s="1"/>
  <c r="C156" i="48"/>
  <c r="C161" i="48" s="1"/>
  <c r="C155" i="48"/>
  <c r="C160" i="48" s="1"/>
  <c r="C159" i="48"/>
  <c r="C100" i="46"/>
  <c r="C105" i="46" s="1"/>
  <c r="C104" i="46"/>
  <c r="D106" i="45" s="1"/>
  <c r="C103" i="46"/>
  <c r="C108" i="46" s="1"/>
  <c r="C102" i="46"/>
  <c r="C107" i="46" s="1"/>
  <c r="C101" i="46"/>
  <c r="C106" i="46" s="1"/>
  <c r="C99" i="48"/>
  <c r="E84" i="45"/>
  <c r="I63" i="46"/>
  <c r="N53" i="14"/>
  <c r="F151" i="46"/>
  <c r="F183" i="46"/>
  <c r="G146" i="48"/>
  <c r="G145" i="48"/>
  <c r="G150" i="48" s="1"/>
  <c r="G149" i="48"/>
  <c r="G148" i="48"/>
  <c r="G147" i="48"/>
  <c r="G159" i="46"/>
  <c r="H98" i="45" s="1"/>
  <c r="G158" i="46"/>
  <c r="G163" i="46" s="1"/>
  <c r="G157" i="46"/>
  <c r="G162" i="46" s="1"/>
  <c r="G156" i="46"/>
  <c r="G161" i="46" s="1"/>
  <c r="G155" i="46"/>
  <c r="G160" i="46" s="1"/>
  <c r="G154" i="48"/>
  <c r="E172" i="46"/>
  <c r="K21" i="46"/>
  <c r="J27" i="46"/>
  <c r="J42" i="46" s="1"/>
  <c r="H216" i="46"/>
  <c r="H206" i="46"/>
  <c r="H202" i="46"/>
  <c r="H226" i="46"/>
  <c r="J16" i="45"/>
  <c r="I17" i="45"/>
  <c r="AO16" i="45"/>
  <c r="G262" i="48"/>
  <c r="G261" i="48"/>
  <c r="G263" i="48"/>
  <c r="G264" i="48"/>
  <c r="E169" i="48"/>
  <c r="D171" i="46"/>
  <c r="H29" i="46"/>
  <c r="J66" i="53"/>
  <c r="J73" i="53" s="1"/>
  <c r="J74" i="53" s="1"/>
  <c r="J65" i="53"/>
  <c r="J64" i="53"/>
  <c r="J62" i="53"/>
  <c r="J61" i="53"/>
  <c r="K60" i="53"/>
  <c r="J67" i="53"/>
  <c r="E262" i="46"/>
  <c r="E261" i="46"/>
  <c r="E266" i="46" s="1"/>
  <c r="E265" i="46"/>
  <c r="F105" i="45" s="1"/>
  <c r="E264" i="46"/>
  <c r="E263" i="46"/>
  <c r="E260" i="48"/>
  <c r="AJ73" i="45"/>
  <c r="AL28" i="45"/>
  <c r="AL29" i="45"/>
  <c r="AL31" i="45"/>
  <c r="AL32" i="45"/>
  <c r="AL54" i="45"/>
  <c r="F172" i="46"/>
  <c r="D179" i="48"/>
  <c r="D178" i="48"/>
  <c r="D177" i="48"/>
  <c r="D176" i="48"/>
  <c r="D175" i="48"/>
  <c r="G31" i="48"/>
  <c r="G306" i="48"/>
  <c r="L58" i="12"/>
  <c r="C71" i="46"/>
  <c r="C76" i="46" s="1"/>
  <c r="C70" i="46"/>
  <c r="C75" i="46" s="1"/>
  <c r="C74" i="46"/>
  <c r="D76" i="45" s="1"/>
  <c r="C73" i="46"/>
  <c r="C78" i="46" s="1"/>
  <c r="C72" i="46"/>
  <c r="C77" i="46" s="1"/>
  <c r="C69" i="48"/>
  <c r="E160" i="46"/>
  <c r="H29" i="48"/>
  <c r="F152" i="46"/>
  <c r="G150" i="46"/>
  <c r="AK23" i="45"/>
  <c r="G20" i="45"/>
  <c r="G19" i="45"/>
  <c r="AJ77" i="45"/>
  <c r="E173" i="46"/>
  <c r="F208" i="48"/>
  <c r="F213" i="48" s="1"/>
  <c r="F207" i="48"/>
  <c r="F212" i="48" s="1"/>
  <c r="F211" i="48"/>
  <c r="F210" i="48"/>
  <c r="F215" i="48" s="1"/>
  <c r="F209" i="48"/>
  <c r="F214" i="48" s="1"/>
  <c r="H204" i="48"/>
  <c r="H203" i="48"/>
  <c r="J153" i="53"/>
  <c r="I154" i="53"/>
  <c r="C43" i="48"/>
  <c r="D43" i="48"/>
  <c r="E43" i="48"/>
  <c r="F43" i="48"/>
  <c r="G43" i="48"/>
  <c r="E171" i="46"/>
  <c r="I138" i="46"/>
  <c r="I137" i="46"/>
  <c r="J136" i="46"/>
  <c r="I201" i="46"/>
  <c r="I200" i="46"/>
  <c r="AN17" i="45"/>
  <c r="D172" i="46"/>
  <c r="I24" i="46"/>
  <c r="J18" i="46"/>
  <c r="E180" i="46"/>
  <c r="D261" i="46"/>
  <c r="D266" i="46" s="1"/>
  <c r="D265" i="46"/>
  <c r="E105" i="45" s="1"/>
  <c r="D264" i="46"/>
  <c r="D263" i="46"/>
  <c r="D262" i="46"/>
  <c r="D260" i="48"/>
  <c r="AJ71" i="45"/>
  <c r="F33" i="45"/>
  <c r="F30" i="45"/>
  <c r="F173" i="46"/>
  <c r="D183" i="46"/>
  <c r="L57" i="12"/>
  <c r="C80" i="46"/>
  <c r="C85" i="46" s="1"/>
  <c r="C81" i="46"/>
  <c r="C86" i="46" s="1"/>
  <c r="C83" i="46"/>
  <c r="C88" i="46" s="1"/>
  <c r="C82" i="46"/>
  <c r="C87" i="46" s="1"/>
  <c r="C84" i="46"/>
  <c r="D90" i="45" s="1"/>
  <c r="C79" i="48"/>
  <c r="F159" i="48"/>
  <c r="F158" i="48"/>
  <c r="F157" i="48"/>
  <c r="F156" i="48"/>
  <c r="F155" i="48"/>
  <c r="K19" i="48"/>
  <c r="J25" i="48"/>
  <c r="J40" i="48" s="1"/>
  <c r="J18" i="48"/>
  <c r="I24" i="48"/>
  <c r="E149" i="48"/>
  <c r="O54" i="14"/>
  <c r="P50" i="14"/>
  <c r="O52" i="14"/>
  <c r="O51" i="14"/>
  <c r="F153" i="46"/>
  <c r="G151" i="46"/>
  <c r="D110" i="45" l="1"/>
  <c r="AQ55" i="51"/>
  <c r="D80" i="45"/>
  <c r="AN43" i="45"/>
  <c r="E68" i="45"/>
  <c r="AO96" i="45"/>
  <c r="AL21" i="45"/>
  <c r="E34" i="45"/>
  <c r="E173" i="48"/>
  <c r="AN44" i="45"/>
  <c r="AN42" i="45"/>
  <c r="AN95" i="45"/>
  <c r="N138" i="54"/>
  <c r="N139" i="54" s="1"/>
  <c r="N136" i="54"/>
  <c r="N137" i="54" s="1"/>
  <c r="N134" i="54"/>
  <c r="N135" i="54" s="1"/>
  <c r="H267" i="46"/>
  <c r="P179" i="20"/>
  <c r="P183" i="20" s="1"/>
  <c r="P145" i="19" s="1"/>
  <c r="AN98" i="45"/>
  <c r="N55" i="14"/>
  <c r="AL23" i="45"/>
  <c r="AR35" i="51"/>
  <c r="O189" i="20"/>
  <c r="O151" i="19" s="1"/>
  <c r="O188" i="20"/>
  <c r="O150" i="19" s="1"/>
  <c r="O190" i="20"/>
  <c r="O152" i="19" s="1"/>
  <c r="O187" i="20"/>
  <c r="O149" i="19" s="1"/>
  <c r="O186" i="20"/>
  <c r="O148" i="19" s="1"/>
  <c r="O147" i="19"/>
  <c r="P137" i="14" s="1"/>
  <c r="P137" i="12"/>
  <c r="P173" i="20"/>
  <c r="AN108" i="45"/>
  <c r="D37" i="46"/>
  <c r="I43" i="46" s="1"/>
  <c r="I260" i="46" s="1"/>
  <c r="I265" i="46" s="1"/>
  <c r="J105" i="45" s="1"/>
  <c r="AL105" i="45"/>
  <c r="AK105" i="45"/>
  <c r="I69" i="45"/>
  <c r="AV63" i="51"/>
  <c r="AO105" i="45"/>
  <c r="Q125" i="12"/>
  <c r="P185" i="20"/>
  <c r="P187" i="20" s="1"/>
  <c r="P149" i="19" s="1"/>
  <c r="J243" i="46"/>
  <c r="J245" i="46" s="1"/>
  <c r="J250" i="46" s="1"/>
  <c r="K59" i="14"/>
  <c r="AV69" i="51"/>
  <c r="AN99" i="45"/>
  <c r="P130" i="19"/>
  <c r="AN69" i="45"/>
  <c r="AJ84" i="45"/>
  <c r="P131" i="19"/>
  <c r="AO83" i="45"/>
  <c r="AP96" i="45"/>
  <c r="M35" i="51"/>
  <c r="AM105" i="45"/>
  <c r="AK33" i="45"/>
  <c r="P132" i="19"/>
  <c r="I44" i="45"/>
  <c r="O182" i="20"/>
  <c r="O144" i="19" s="1"/>
  <c r="O181" i="20"/>
  <c r="O143" i="19" s="1"/>
  <c r="O180" i="20"/>
  <c r="O142" i="19" s="1"/>
  <c r="O184" i="20"/>
  <c r="O146" i="19" s="1"/>
  <c r="O183" i="20"/>
  <c r="O145" i="19" s="1"/>
  <c r="O141" i="19"/>
  <c r="P125" i="14" s="1"/>
  <c r="M112" i="12"/>
  <c r="L39" i="20"/>
  <c r="Q45" i="20" s="1"/>
  <c r="M56" i="12"/>
  <c r="M61" i="12"/>
  <c r="M60" i="12"/>
  <c r="AL37" i="45"/>
  <c r="P133" i="19"/>
  <c r="F23" i="45"/>
  <c r="P113" i="12"/>
  <c r="O174" i="20"/>
  <c r="O136" i="19" s="1"/>
  <c r="O178" i="20"/>
  <c r="O140" i="19" s="1"/>
  <c r="O175" i="20"/>
  <c r="O137" i="19" s="1"/>
  <c r="O176" i="20"/>
  <c r="O138" i="19" s="1"/>
  <c r="O135" i="19"/>
  <c r="P113" i="14" s="1"/>
  <c r="O177" i="20"/>
  <c r="O139" i="19" s="1"/>
  <c r="K59" i="12"/>
  <c r="N55" i="12"/>
  <c r="D93" i="45"/>
  <c r="AJ106" i="45"/>
  <c r="AN107" i="45"/>
  <c r="AU56" i="51"/>
  <c r="J36" i="54"/>
  <c r="O42" i="54" s="1"/>
  <c r="F269" i="46"/>
  <c r="G269" i="46"/>
  <c r="H269" i="46"/>
  <c r="D269" i="46"/>
  <c r="E269" i="46"/>
  <c r="E86" i="45"/>
  <c r="K36" i="54"/>
  <c r="P42" i="54" s="1"/>
  <c r="P134" i="54" s="1"/>
  <c r="P135" i="54" s="1"/>
  <c r="F266" i="46"/>
  <c r="F152" i="48"/>
  <c r="H266" i="46"/>
  <c r="G153" i="48"/>
  <c r="I244" i="46"/>
  <c r="I249" i="46" s="1"/>
  <c r="E58" i="45"/>
  <c r="F150" i="48"/>
  <c r="E150" i="48"/>
  <c r="D150" i="48"/>
  <c r="D111" i="45"/>
  <c r="F268" i="46"/>
  <c r="G268" i="46"/>
  <c r="D182" i="48"/>
  <c r="I95" i="45"/>
  <c r="E70" i="45"/>
  <c r="I42" i="45"/>
  <c r="F68" i="45"/>
  <c r="H35" i="46"/>
  <c r="J63" i="54"/>
  <c r="E87" i="45"/>
  <c r="E85" i="45"/>
  <c r="G267" i="46"/>
  <c r="E60" i="45"/>
  <c r="E267" i="46"/>
  <c r="E59" i="45"/>
  <c r="F163" i="48"/>
  <c r="E104" i="45"/>
  <c r="D267" i="46"/>
  <c r="D112" i="45"/>
  <c r="I43" i="45"/>
  <c r="F267" i="46"/>
  <c r="J63" i="48"/>
  <c r="D153" i="48"/>
  <c r="D180" i="48"/>
  <c r="E180" i="48"/>
  <c r="E153" i="48"/>
  <c r="AL25" i="45"/>
  <c r="D181" i="48"/>
  <c r="AL35" i="45"/>
  <c r="F25" i="45"/>
  <c r="E34" i="48"/>
  <c r="AO41" i="45"/>
  <c r="I243" i="48"/>
  <c r="I246" i="48" s="1"/>
  <c r="I251" i="48" s="1"/>
  <c r="E34" i="46"/>
  <c r="I245" i="46"/>
  <c r="I250" i="46" s="1"/>
  <c r="I246" i="46"/>
  <c r="I251" i="46" s="1"/>
  <c r="AL82" i="45"/>
  <c r="I247" i="46"/>
  <c r="I252" i="46" s="1"/>
  <c r="F82" i="45"/>
  <c r="AL26" i="45"/>
  <c r="J41" i="45"/>
  <c r="C44" i="48"/>
  <c r="C271" i="48" s="1"/>
  <c r="F160" i="48"/>
  <c r="G151" i="48"/>
  <c r="D151" i="48"/>
  <c r="C316" i="46"/>
  <c r="F153" i="48"/>
  <c r="D102" i="45"/>
  <c r="D268" i="46"/>
  <c r="E268" i="46"/>
  <c r="AK57" i="45"/>
  <c r="AN18" i="45"/>
  <c r="E151" i="48"/>
  <c r="F162" i="48"/>
  <c r="I139" i="46"/>
  <c r="F151" i="48"/>
  <c r="G33" i="45"/>
  <c r="H268" i="46"/>
  <c r="F161" i="48"/>
  <c r="D152" i="48"/>
  <c r="F34" i="45"/>
  <c r="D183" i="48"/>
  <c r="AL36" i="45"/>
  <c r="G30" i="45"/>
  <c r="G152" i="48"/>
  <c r="E152" i="48"/>
  <c r="AJ111" i="45"/>
  <c r="F57" i="45"/>
  <c r="AK67" i="45"/>
  <c r="AL30" i="45"/>
  <c r="AK34" i="45"/>
  <c r="AJ94" i="45"/>
  <c r="D94" i="45"/>
  <c r="AJ93" i="45"/>
  <c r="I216" i="46"/>
  <c r="I206" i="46"/>
  <c r="I202" i="46"/>
  <c r="I226" i="46"/>
  <c r="L59" i="12"/>
  <c r="J138" i="46"/>
  <c r="J137" i="46"/>
  <c r="J144" i="46" s="1"/>
  <c r="K136" i="46"/>
  <c r="J201" i="46"/>
  <c r="J200" i="46"/>
  <c r="E265" i="48"/>
  <c r="E264" i="48"/>
  <c r="E263" i="48"/>
  <c r="E261" i="48"/>
  <c r="E262" i="48"/>
  <c r="L22" i="46"/>
  <c r="K28" i="46"/>
  <c r="AJ97" i="45"/>
  <c r="D100" i="45"/>
  <c r="L38" i="45"/>
  <c r="K40" i="45"/>
  <c r="K39" i="45"/>
  <c r="AQ38" i="45"/>
  <c r="J90" i="46"/>
  <c r="J95" i="46" s="1"/>
  <c r="J94" i="46"/>
  <c r="J93" i="46"/>
  <c r="J98" i="46" s="1"/>
  <c r="J92" i="46"/>
  <c r="J97" i="46" s="1"/>
  <c r="J91" i="46"/>
  <c r="J89" i="48"/>
  <c r="AT32" i="51"/>
  <c r="AT31" i="51"/>
  <c r="AT34" i="51"/>
  <c r="AJ101" i="45"/>
  <c r="P184" i="20"/>
  <c r="P146" i="19" s="1"/>
  <c r="I204" i="48"/>
  <c r="I203" i="48"/>
  <c r="L19" i="48"/>
  <c r="K25" i="48"/>
  <c r="K40" i="48" s="1"/>
  <c r="I29" i="48"/>
  <c r="C80" i="48"/>
  <c r="C85" i="48" s="1"/>
  <c r="C84" i="48"/>
  <c r="C83" i="48"/>
  <c r="C88" i="48" s="1"/>
  <c r="C82" i="48"/>
  <c r="C87" i="48" s="1"/>
  <c r="C81" i="48"/>
  <c r="C86" i="48" s="1"/>
  <c r="I144" i="46"/>
  <c r="C72" i="48"/>
  <c r="C77" i="48" s="1"/>
  <c r="C71" i="48"/>
  <c r="C76" i="48" s="1"/>
  <c r="C70" i="48"/>
  <c r="C75" i="48" s="1"/>
  <c r="C74" i="48"/>
  <c r="C73" i="48"/>
  <c r="C78" i="48" s="1"/>
  <c r="AL33" i="45"/>
  <c r="AO17" i="45"/>
  <c r="H208" i="46"/>
  <c r="H213" i="46" s="1"/>
  <c r="H207" i="46"/>
  <c r="H212" i="46" s="1"/>
  <c r="H211" i="46"/>
  <c r="I89" i="45" s="1"/>
  <c r="H210" i="46"/>
  <c r="H215" i="46" s="1"/>
  <c r="H209" i="46"/>
  <c r="H214" i="46" s="1"/>
  <c r="H206" i="48"/>
  <c r="G35" i="45"/>
  <c r="M39" i="20"/>
  <c r="R45" i="20" s="1"/>
  <c r="N60" i="12"/>
  <c r="N56" i="12"/>
  <c r="N61" i="12"/>
  <c r="N112" i="12"/>
  <c r="L60" i="48"/>
  <c r="K62" i="48"/>
  <c r="K61" i="48"/>
  <c r="K67" i="48"/>
  <c r="K66" i="48"/>
  <c r="K65" i="48"/>
  <c r="K64" i="48"/>
  <c r="K28" i="48"/>
  <c r="L22" i="48"/>
  <c r="AP39" i="45"/>
  <c r="AP40" i="45"/>
  <c r="F173" i="48"/>
  <c r="D33" i="46"/>
  <c r="D39" i="46" s="1"/>
  <c r="E75" i="45"/>
  <c r="D160" i="48"/>
  <c r="M58" i="14"/>
  <c r="F180" i="48"/>
  <c r="P174" i="20"/>
  <c r="P136" i="19" s="1"/>
  <c r="P175" i="20"/>
  <c r="P137" i="19" s="1"/>
  <c r="P176" i="20"/>
  <c r="P138" i="19" s="1"/>
  <c r="P177" i="20"/>
  <c r="P139" i="19" s="1"/>
  <c r="P178" i="20"/>
  <c r="P140" i="19" s="1"/>
  <c r="P135" i="19"/>
  <c r="Q113" i="14" s="1"/>
  <c r="Q113" i="12"/>
  <c r="AM20" i="45"/>
  <c r="AM19" i="45"/>
  <c r="AJ105" i="45"/>
  <c r="D109" i="45"/>
  <c r="K25" i="46"/>
  <c r="K40" i="46" s="1"/>
  <c r="L19" i="46"/>
  <c r="J138" i="48"/>
  <c r="J137" i="48"/>
  <c r="K136" i="48"/>
  <c r="J201" i="48"/>
  <c r="J200" i="48"/>
  <c r="H31" i="48"/>
  <c r="H306" i="48"/>
  <c r="O53" i="14"/>
  <c r="K18" i="48"/>
  <c r="J24" i="48"/>
  <c r="AJ90" i="45"/>
  <c r="D91" i="45"/>
  <c r="I140" i="46"/>
  <c r="I154" i="46" s="1"/>
  <c r="I141" i="46"/>
  <c r="I164" i="46" s="1"/>
  <c r="I142" i="46"/>
  <c r="I174" i="46" s="1"/>
  <c r="K153" i="53"/>
  <c r="J154" i="53"/>
  <c r="D113" i="45"/>
  <c r="H221" i="46"/>
  <c r="I99" i="45" s="1"/>
  <c r="H220" i="46"/>
  <c r="H225" i="46" s="1"/>
  <c r="H219" i="46"/>
  <c r="H224" i="46" s="1"/>
  <c r="H218" i="46"/>
  <c r="H223" i="46" s="1"/>
  <c r="H217" i="46"/>
  <c r="H222" i="46" s="1"/>
  <c r="H216" i="48"/>
  <c r="AN77" i="45"/>
  <c r="J258" i="46"/>
  <c r="K257" i="46"/>
  <c r="K62" i="46"/>
  <c r="K61" i="46"/>
  <c r="L60" i="46"/>
  <c r="K67" i="46"/>
  <c r="K66" i="46"/>
  <c r="K89" i="46" s="1"/>
  <c r="K65" i="46"/>
  <c r="K64" i="46"/>
  <c r="F170" i="48"/>
  <c r="P138" i="54"/>
  <c r="P139" i="54" s="1"/>
  <c r="P136" i="54"/>
  <c r="P137" i="54" s="1"/>
  <c r="N33" i="51"/>
  <c r="E183" i="48"/>
  <c r="D161" i="48"/>
  <c r="M57" i="14"/>
  <c r="F181" i="48"/>
  <c r="P190" i="20"/>
  <c r="P152" i="19" s="1"/>
  <c r="P189" i="20"/>
  <c r="P151" i="19" s="1"/>
  <c r="P188" i="20"/>
  <c r="P150" i="19" s="1"/>
  <c r="H179" i="46"/>
  <c r="I107" i="45" s="1"/>
  <c r="H178" i="46"/>
  <c r="H183" i="46" s="1"/>
  <c r="H177" i="46"/>
  <c r="H182" i="46" s="1"/>
  <c r="H176" i="46"/>
  <c r="H181" i="46" s="1"/>
  <c r="H175" i="46"/>
  <c r="H180" i="46" s="1"/>
  <c r="H174" i="48"/>
  <c r="E161" i="48"/>
  <c r="K241" i="48"/>
  <c r="L240" i="48"/>
  <c r="I139" i="48"/>
  <c r="J24" i="46"/>
  <c r="K18" i="46"/>
  <c r="L60" i="53"/>
  <c r="K67" i="53"/>
  <c r="K66" i="53"/>
  <c r="K73" i="53" s="1"/>
  <c r="K74" i="53" s="1"/>
  <c r="K65" i="53"/>
  <c r="K64" i="53"/>
  <c r="K62" i="53"/>
  <c r="K61" i="53"/>
  <c r="I18" i="45"/>
  <c r="G159" i="48"/>
  <c r="G158" i="48"/>
  <c r="G163" i="48" s="1"/>
  <c r="G157" i="48"/>
  <c r="G162" i="48" s="1"/>
  <c r="G156" i="48"/>
  <c r="G161" i="48" s="1"/>
  <c r="G155" i="48"/>
  <c r="G160" i="48" s="1"/>
  <c r="C104" i="48"/>
  <c r="C103" i="48"/>
  <c r="C108" i="48" s="1"/>
  <c r="C102" i="48"/>
  <c r="C107" i="48" s="1"/>
  <c r="C101" i="48"/>
  <c r="C106" i="48" s="1"/>
  <c r="C100" i="48"/>
  <c r="C105" i="48" s="1"/>
  <c r="G56" i="45"/>
  <c r="G55" i="45"/>
  <c r="I27" i="45"/>
  <c r="H28" i="45"/>
  <c r="AN27" i="45"/>
  <c r="H29" i="45"/>
  <c r="H32" i="45"/>
  <c r="H31" i="45"/>
  <c r="H54" i="45"/>
  <c r="C111" i="48"/>
  <c r="C116" i="48" s="1"/>
  <c r="C114" i="48"/>
  <c r="C113" i="48"/>
  <c r="C118" i="48" s="1"/>
  <c r="C112" i="48"/>
  <c r="C117" i="48" s="1"/>
  <c r="C110" i="48"/>
  <c r="C115" i="48" s="1"/>
  <c r="G209" i="48"/>
  <c r="G214" i="48" s="1"/>
  <c r="G208" i="48"/>
  <c r="G213" i="48" s="1"/>
  <c r="G207" i="48"/>
  <c r="G212" i="48" s="1"/>
  <c r="G211" i="48"/>
  <c r="G210" i="48"/>
  <c r="G215" i="48" s="1"/>
  <c r="D173" i="48"/>
  <c r="G177" i="48"/>
  <c r="G182" i="48" s="1"/>
  <c r="G176" i="48"/>
  <c r="G181" i="48" s="1"/>
  <c r="G175" i="48"/>
  <c r="G180" i="48" s="1"/>
  <c r="G179" i="48"/>
  <c r="G178" i="48"/>
  <c r="G183" i="48" s="1"/>
  <c r="J63" i="46"/>
  <c r="F171" i="48"/>
  <c r="P138" i="53"/>
  <c r="P139" i="53" s="1"/>
  <c r="Q69" i="51" s="1"/>
  <c r="P136" i="53"/>
  <c r="P137" i="53" s="1"/>
  <c r="Q63" i="51" s="1"/>
  <c r="P134" i="53"/>
  <c r="AJ102" i="45"/>
  <c r="D162" i="48"/>
  <c r="O53" i="12"/>
  <c r="F67" i="45"/>
  <c r="K241" i="46"/>
  <c r="L240" i="46"/>
  <c r="G227" i="48"/>
  <c r="G232" i="48" s="1"/>
  <c r="G228" i="48"/>
  <c r="G233" i="48" s="1"/>
  <c r="G231" i="48"/>
  <c r="G229" i="48"/>
  <c r="G234" i="48" s="1"/>
  <c r="G230" i="48"/>
  <c r="G235" i="48" s="1"/>
  <c r="E171" i="48"/>
  <c r="H165" i="46"/>
  <c r="H170" i="46" s="1"/>
  <c r="H169" i="46"/>
  <c r="I77" i="45" s="1"/>
  <c r="H168" i="46"/>
  <c r="H173" i="46" s="1"/>
  <c r="H167" i="46"/>
  <c r="H172" i="46" s="1"/>
  <c r="H166" i="46"/>
  <c r="H171" i="46" s="1"/>
  <c r="H164" i="48"/>
  <c r="C265" i="48"/>
  <c r="C264" i="48"/>
  <c r="C269" i="48" s="1"/>
  <c r="C263" i="48"/>
  <c r="C268" i="48" s="1"/>
  <c r="C274" i="48"/>
  <c r="C262" i="48"/>
  <c r="C267" i="48" s="1"/>
  <c r="C261" i="48"/>
  <c r="C266" i="48" s="1"/>
  <c r="H147" i="48"/>
  <c r="H152" i="48" s="1"/>
  <c r="H146" i="48"/>
  <c r="H151" i="48" s="1"/>
  <c r="H145" i="48"/>
  <c r="H150" i="48" s="1"/>
  <c r="H149" i="48"/>
  <c r="H148" i="48"/>
  <c r="H153" i="48" s="1"/>
  <c r="E160" i="48"/>
  <c r="I142" i="48"/>
  <c r="I141" i="48"/>
  <c r="I140" i="48"/>
  <c r="P51" i="14"/>
  <c r="P54" i="14"/>
  <c r="Q50" i="14"/>
  <c r="P52" i="14"/>
  <c r="I29" i="46"/>
  <c r="AJ76" i="45"/>
  <c r="D78" i="45"/>
  <c r="AL55" i="45"/>
  <c r="AL56" i="45"/>
  <c r="J63" i="53"/>
  <c r="H31" i="46"/>
  <c r="H306" i="46"/>
  <c r="BU4" i="55"/>
  <c r="K16" i="45"/>
  <c r="J17" i="45"/>
  <c r="AP16" i="45"/>
  <c r="G36" i="45"/>
  <c r="AM28" i="45"/>
  <c r="AM32" i="45"/>
  <c r="AM29" i="45"/>
  <c r="AM31" i="45"/>
  <c r="AM54" i="45"/>
  <c r="D170" i="48"/>
  <c r="L60" i="54"/>
  <c r="K67" i="54"/>
  <c r="K66" i="54"/>
  <c r="K73" i="54" s="1"/>
  <c r="K74" i="54" s="1"/>
  <c r="K65" i="54"/>
  <c r="K64" i="54"/>
  <c r="K62" i="54"/>
  <c r="K61" i="54"/>
  <c r="F172" i="48"/>
  <c r="O34" i="51"/>
  <c r="P30" i="51"/>
  <c r="O32" i="51"/>
  <c r="O31" i="51"/>
  <c r="AU30" i="51"/>
  <c r="D101" i="45"/>
  <c r="D163" i="48"/>
  <c r="E162" i="48"/>
  <c r="H159" i="46"/>
  <c r="I98" i="45" s="1"/>
  <c r="H158" i="46"/>
  <c r="H163" i="46" s="1"/>
  <c r="H157" i="46"/>
  <c r="H162" i="46" s="1"/>
  <c r="H156" i="46"/>
  <c r="H161" i="46" s="1"/>
  <c r="H155" i="46"/>
  <c r="H160" i="46" s="1"/>
  <c r="H154" i="48"/>
  <c r="E170" i="48"/>
  <c r="L59" i="14"/>
  <c r="G21" i="45"/>
  <c r="D81" i="45"/>
  <c r="D79" i="45"/>
  <c r="AJ79" i="45"/>
  <c r="AJ80" i="45"/>
  <c r="AJ81" i="45"/>
  <c r="M39" i="19"/>
  <c r="R45" i="19" s="1"/>
  <c r="N61" i="14"/>
  <c r="N60" i="14"/>
  <c r="N56" i="14"/>
  <c r="N112" i="14"/>
  <c r="G167" i="48"/>
  <c r="G172" i="48" s="1"/>
  <c r="G166" i="48"/>
  <c r="G171" i="48" s="1"/>
  <c r="G165" i="48"/>
  <c r="G170" i="48" s="1"/>
  <c r="G169" i="48"/>
  <c r="G168" i="48"/>
  <c r="G173" i="48" s="1"/>
  <c r="D171" i="48"/>
  <c r="AJ103" i="45"/>
  <c r="P54" i="12"/>
  <c r="Q50" i="12"/>
  <c r="P52" i="12"/>
  <c r="P51" i="12"/>
  <c r="AJ110" i="45"/>
  <c r="K26" i="46"/>
  <c r="K41" i="46" s="1"/>
  <c r="L20" i="46"/>
  <c r="G37" i="45"/>
  <c r="O135" i="53"/>
  <c r="P56" i="51"/>
  <c r="F261" i="48"/>
  <c r="F265" i="48"/>
  <c r="F264" i="48"/>
  <c r="F262" i="48"/>
  <c r="F263" i="48"/>
  <c r="AS33" i="51"/>
  <c r="D172" i="48"/>
  <c r="H263" i="48"/>
  <c r="H262" i="48"/>
  <c r="H261" i="48"/>
  <c r="H264" i="48"/>
  <c r="H265" i="48"/>
  <c r="E163" i="48"/>
  <c r="D103" i="45"/>
  <c r="G217" i="48"/>
  <c r="G222" i="48" s="1"/>
  <c r="G221" i="48"/>
  <c r="G220" i="48"/>
  <c r="G225" i="48" s="1"/>
  <c r="G219" i="48"/>
  <c r="G224" i="48" s="1"/>
  <c r="G218" i="48"/>
  <c r="G223" i="48" s="1"/>
  <c r="F182" i="48"/>
  <c r="K257" i="48"/>
  <c r="J258" i="48"/>
  <c r="J154" i="54"/>
  <c r="K153" i="54"/>
  <c r="AJ112" i="45"/>
  <c r="L20" i="48"/>
  <c r="K26" i="48"/>
  <c r="K41" i="48" s="1"/>
  <c r="E181" i="48"/>
  <c r="C318" i="46"/>
  <c r="C275" i="46"/>
  <c r="C341" i="46"/>
  <c r="C342" i="46" s="1"/>
  <c r="D265" i="48"/>
  <c r="D264" i="48"/>
  <c r="D263" i="48"/>
  <c r="D262" i="48"/>
  <c r="D261" i="48"/>
  <c r="I204" i="46"/>
  <c r="I203" i="46"/>
  <c r="D34" i="48"/>
  <c r="AK24" i="45"/>
  <c r="AK26" i="45"/>
  <c r="AK25" i="45"/>
  <c r="AK82" i="45"/>
  <c r="H227" i="46"/>
  <c r="H232" i="46" s="1"/>
  <c r="H231" i="46"/>
  <c r="I108" i="45" s="1"/>
  <c r="H230" i="46"/>
  <c r="H235" i="46" s="1"/>
  <c r="H229" i="46"/>
  <c r="H234" i="46" s="1"/>
  <c r="H228" i="46"/>
  <c r="H233" i="46" s="1"/>
  <c r="H226" i="48"/>
  <c r="L21" i="46"/>
  <c r="K27" i="46"/>
  <c r="K42" i="46" s="1"/>
  <c r="AN89" i="45"/>
  <c r="L21" i="48"/>
  <c r="K27" i="48"/>
  <c r="K42" i="48" s="1"/>
  <c r="E172" i="48"/>
  <c r="F183" i="48"/>
  <c r="I94" i="48"/>
  <c r="I93" i="48"/>
  <c r="I98" i="48" s="1"/>
  <c r="I92" i="48"/>
  <c r="I97" i="48" s="1"/>
  <c r="I91" i="48"/>
  <c r="I90" i="48"/>
  <c r="I95" i="48" s="1"/>
  <c r="E182" i="48"/>
  <c r="H20" i="45"/>
  <c r="H19" i="45"/>
  <c r="G266" i="46"/>
  <c r="I202" i="48"/>
  <c r="AR55" i="51" l="1"/>
  <c r="F24" i="45"/>
  <c r="AJ117" i="45"/>
  <c r="E72" i="45"/>
  <c r="D117" i="45"/>
  <c r="E33" i="46"/>
  <c r="E39" i="46" s="1"/>
  <c r="E73" i="45"/>
  <c r="F60" i="45"/>
  <c r="E71" i="45"/>
  <c r="I35" i="46"/>
  <c r="F104" i="45"/>
  <c r="P141" i="19"/>
  <c r="Q125" i="14" s="1"/>
  <c r="P180" i="20"/>
  <c r="P142" i="19" s="1"/>
  <c r="P181" i="20"/>
  <c r="P143" i="19" s="1"/>
  <c r="P182" i="20"/>
  <c r="P144" i="19" s="1"/>
  <c r="J246" i="46"/>
  <c r="J251" i="46" s="1"/>
  <c r="J247" i="46"/>
  <c r="J252" i="46" s="1"/>
  <c r="J248" i="46"/>
  <c r="K96" i="45" s="1"/>
  <c r="J243" i="48"/>
  <c r="J244" i="48" s="1"/>
  <c r="J249" i="48" s="1"/>
  <c r="J244" i="46"/>
  <c r="J249" i="46" s="1"/>
  <c r="P186" i="20"/>
  <c r="P148" i="19" s="1"/>
  <c r="Q137" i="12"/>
  <c r="P147" i="19"/>
  <c r="Q137" i="14" s="1"/>
  <c r="AV56" i="51"/>
  <c r="AO98" i="45"/>
  <c r="D114" i="45"/>
  <c r="AJ109" i="45"/>
  <c r="AO69" i="45"/>
  <c r="AK59" i="45"/>
  <c r="O138" i="54"/>
  <c r="O139" i="54" s="1"/>
  <c r="O136" i="54"/>
  <c r="O137" i="54" s="1"/>
  <c r="O134" i="54"/>
  <c r="O135" i="54" s="1"/>
  <c r="M58" i="12"/>
  <c r="AO107" i="45"/>
  <c r="AO99" i="45"/>
  <c r="AJ91" i="45"/>
  <c r="AJ100" i="45"/>
  <c r="AK68" i="45"/>
  <c r="AL86" i="45"/>
  <c r="M57" i="12"/>
  <c r="O55" i="12"/>
  <c r="J42" i="45"/>
  <c r="Q185" i="20"/>
  <c r="Q129" i="19"/>
  <c r="Q128" i="19" s="1"/>
  <c r="Q133" i="19"/>
  <c r="Q132" i="19"/>
  <c r="Q131" i="19"/>
  <c r="Q179" i="20"/>
  <c r="Q130" i="19"/>
  <c r="Q173" i="20"/>
  <c r="R125" i="12"/>
  <c r="AL24" i="45"/>
  <c r="H36" i="45"/>
  <c r="AK84" i="45"/>
  <c r="O55" i="14"/>
  <c r="AL87" i="45"/>
  <c r="AO95" i="45"/>
  <c r="F26" i="45"/>
  <c r="M55" i="51"/>
  <c r="L36" i="53"/>
  <c r="Q42" i="53" s="1"/>
  <c r="P53" i="12"/>
  <c r="J69" i="45"/>
  <c r="N35" i="51"/>
  <c r="F75" i="45"/>
  <c r="F84" i="45"/>
  <c r="AO108" i="45"/>
  <c r="AS35" i="51"/>
  <c r="AW63" i="51"/>
  <c r="J43" i="45"/>
  <c r="F58" i="45"/>
  <c r="AP105" i="45"/>
  <c r="F86" i="45"/>
  <c r="AM37" i="45"/>
  <c r="AW69" i="51"/>
  <c r="AN19" i="45"/>
  <c r="AL84" i="45"/>
  <c r="C319" i="46"/>
  <c r="C335" i="46" s="1"/>
  <c r="G68" i="45"/>
  <c r="C316" i="48"/>
  <c r="C320" i="48" s="1"/>
  <c r="H266" i="48"/>
  <c r="P53" i="14"/>
  <c r="G34" i="45"/>
  <c r="H269" i="48"/>
  <c r="D269" i="48"/>
  <c r="F269" i="48"/>
  <c r="G269" i="48"/>
  <c r="AK60" i="45"/>
  <c r="I248" i="48"/>
  <c r="J95" i="45"/>
  <c r="F59" i="45"/>
  <c r="I247" i="48"/>
  <c r="I252" i="48" s="1"/>
  <c r="E37" i="46"/>
  <c r="J43" i="46" s="1"/>
  <c r="J260" i="46" s="1"/>
  <c r="I245" i="48"/>
  <c r="I250" i="48" s="1"/>
  <c r="D37" i="48"/>
  <c r="I43" i="48" s="1"/>
  <c r="D266" i="48"/>
  <c r="I244" i="48"/>
  <c r="I249" i="48" s="1"/>
  <c r="F70" i="45"/>
  <c r="J44" i="45"/>
  <c r="F266" i="48"/>
  <c r="I262" i="46"/>
  <c r="I267" i="46" s="1"/>
  <c r="I260" i="48"/>
  <c r="I264" i="48" s="1"/>
  <c r="I269" i="48" s="1"/>
  <c r="I261" i="46"/>
  <c r="I266" i="46" s="1"/>
  <c r="AN20" i="45"/>
  <c r="K63" i="46"/>
  <c r="I263" i="46"/>
  <c r="I268" i="46" s="1"/>
  <c r="AK58" i="45"/>
  <c r="I264" i="46"/>
  <c r="I269" i="46" s="1"/>
  <c r="AK104" i="45"/>
  <c r="AO44" i="45"/>
  <c r="AP41" i="45"/>
  <c r="K41" i="45"/>
  <c r="AO43" i="45"/>
  <c r="AM35" i="45"/>
  <c r="AJ113" i="45"/>
  <c r="AO42" i="45"/>
  <c r="H35" i="48"/>
  <c r="AM36" i="45"/>
  <c r="F267" i="48"/>
  <c r="D267" i="48"/>
  <c r="C317" i="46"/>
  <c r="C320" i="46"/>
  <c r="H267" i="48"/>
  <c r="J18" i="45"/>
  <c r="G57" i="45"/>
  <c r="AL34" i="45"/>
  <c r="AM30" i="45"/>
  <c r="H33" i="45"/>
  <c r="H268" i="48"/>
  <c r="F268" i="48"/>
  <c r="D116" i="45"/>
  <c r="AM33" i="45"/>
  <c r="AO18" i="45"/>
  <c r="D268" i="48"/>
  <c r="H30" i="45"/>
  <c r="H21" i="45"/>
  <c r="AL67" i="45"/>
  <c r="K63" i="53"/>
  <c r="J202" i="48"/>
  <c r="AK85" i="45"/>
  <c r="AJ116" i="45"/>
  <c r="AP17" i="45"/>
  <c r="H35" i="45"/>
  <c r="H178" i="48"/>
  <c r="H183" i="48" s="1"/>
  <c r="H177" i="48"/>
  <c r="H182" i="48" s="1"/>
  <c r="H176" i="48"/>
  <c r="H181" i="48" s="1"/>
  <c r="H175" i="48"/>
  <c r="H180" i="48" s="1"/>
  <c r="H179" i="48"/>
  <c r="I179" i="46"/>
  <c r="J107" i="45" s="1"/>
  <c r="I178" i="46"/>
  <c r="I183" i="46" s="1"/>
  <c r="I177" i="46"/>
  <c r="I182" i="46" s="1"/>
  <c r="I176" i="46"/>
  <c r="I181" i="46" s="1"/>
  <c r="I175" i="46"/>
  <c r="I180" i="46" s="1"/>
  <c r="I174" i="48"/>
  <c r="L18" i="48"/>
  <c r="K24" i="48"/>
  <c r="K138" i="48"/>
  <c r="K137" i="48"/>
  <c r="L136" i="48"/>
  <c r="K201" i="48"/>
  <c r="K200" i="48"/>
  <c r="I31" i="48"/>
  <c r="I306" i="48"/>
  <c r="J141" i="46"/>
  <c r="J164" i="46" s="1"/>
  <c r="J140" i="46"/>
  <c r="J154" i="46" s="1"/>
  <c r="J142" i="46"/>
  <c r="J174" i="46" s="1"/>
  <c r="I209" i="46"/>
  <c r="I214" i="46" s="1"/>
  <c r="I208" i="46"/>
  <c r="I213" i="46" s="1"/>
  <c r="I207" i="46"/>
  <c r="I212" i="46" s="1"/>
  <c r="I211" i="46"/>
  <c r="J89" i="45" s="1"/>
  <c r="I210" i="46"/>
  <c r="I215" i="46" s="1"/>
  <c r="I206" i="48"/>
  <c r="L27" i="46"/>
  <c r="L42" i="46" s="1"/>
  <c r="M21" i="46"/>
  <c r="H227" i="48"/>
  <c r="H232" i="48" s="1"/>
  <c r="H229" i="48"/>
  <c r="H234" i="48" s="1"/>
  <c r="H228" i="48"/>
  <c r="H233" i="48" s="1"/>
  <c r="H230" i="48"/>
  <c r="H235" i="48" s="1"/>
  <c r="H231" i="48"/>
  <c r="K154" i="54"/>
  <c r="L153" i="54"/>
  <c r="L257" i="48"/>
  <c r="K258" i="48"/>
  <c r="H155" i="48"/>
  <c r="H160" i="48" s="1"/>
  <c r="H159" i="48"/>
  <c r="H158" i="48"/>
  <c r="H163" i="48" s="1"/>
  <c r="H157" i="48"/>
  <c r="H162" i="48" s="1"/>
  <c r="H156" i="48"/>
  <c r="H161" i="48" s="1"/>
  <c r="AV30" i="51"/>
  <c r="P34" i="51"/>
  <c r="Q30" i="51"/>
  <c r="P32" i="51"/>
  <c r="P31" i="51"/>
  <c r="K63" i="54"/>
  <c r="AL57" i="45"/>
  <c r="AO77" i="45"/>
  <c r="M59" i="14"/>
  <c r="K91" i="46"/>
  <c r="K90" i="46"/>
  <c r="K95" i="46" s="1"/>
  <c r="K94" i="46"/>
  <c r="K93" i="46"/>
  <c r="K98" i="46" s="1"/>
  <c r="K92" i="46"/>
  <c r="K97" i="46" s="1"/>
  <c r="K89" i="48"/>
  <c r="K258" i="46"/>
  <c r="L257" i="46"/>
  <c r="I166" i="46"/>
  <c r="I171" i="46" s="1"/>
  <c r="I165" i="46"/>
  <c r="I170" i="46" s="1"/>
  <c r="I169" i="46"/>
  <c r="J77" i="45" s="1"/>
  <c r="I168" i="46"/>
  <c r="I173" i="46" s="1"/>
  <c r="I167" i="46"/>
  <c r="I172" i="46" s="1"/>
  <c r="I164" i="48"/>
  <c r="J139" i="48"/>
  <c r="D44" i="46"/>
  <c r="D316" i="46" s="1"/>
  <c r="D79" i="46"/>
  <c r="D69" i="46"/>
  <c r="D99" i="46"/>
  <c r="D109" i="46"/>
  <c r="M22" i="48"/>
  <c r="L28" i="48"/>
  <c r="N57" i="12"/>
  <c r="I217" i="46"/>
  <c r="I222" i="46" s="1"/>
  <c r="I221" i="46"/>
  <c r="J99" i="45" s="1"/>
  <c r="I220" i="46"/>
  <c r="I225" i="46" s="1"/>
  <c r="I219" i="46"/>
  <c r="I224" i="46" s="1"/>
  <c r="I218" i="46"/>
  <c r="I223" i="46" s="1"/>
  <c r="I216" i="48"/>
  <c r="M20" i="48"/>
  <c r="L26" i="48"/>
  <c r="L41" i="48" s="1"/>
  <c r="N58" i="14"/>
  <c r="AM56" i="45"/>
  <c r="AM55" i="45"/>
  <c r="L241" i="46"/>
  <c r="M240" i="46"/>
  <c r="L18" i="46"/>
  <c r="K24" i="46"/>
  <c r="I159" i="46"/>
  <c r="J98" i="45" s="1"/>
  <c r="I158" i="46"/>
  <c r="I163" i="46" s="1"/>
  <c r="I157" i="46"/>
  <c r="I162" i="46" s="1"/>
  <c r="I156" i="46"/>
  <c r="I161" i="46" s="1"/>
  <c r="I155" i="46"/>
  <c r="I160" i="46" s="1"/>
  <c r="I154" i="48"/>
  <c r="J140" i="48"/>
  <c r="J142" i="48"/>
  <c r="J141" i="48"/>
  <c r="AM21" i="45"/>
  <c r="AT33" i="51"/>
  <c r="M38" i="45"/>
  <c r="L40" i="45"/>
  <c r="L39" i="45"/>
  <c r="AR38" i="45"/>
  <c r="G268" i="48"/>
  <c r="L26" i="46"/>
  <c r="L41" i="46" s="1"/>
  <c r="M20" i="46"/>
  <c r="N57" i="14"/>
  <c r="D118" i="45"/>
  <c r="AQ16" i="45"/>
  <c r="L16" i="45"/>
  <c r="K17" i="45"/>
  <c r="C275" i="48"/>
  <c r="C341" i="48"/>
  <c r="C342" i="48" s="1"/>
  <c r="C318" i="48"/>
  <c r="K243" i="46"/>
  <c r="H56" i="45"/>
  <c r="H55" i="45"/>
  <c r="AN28" i="45"/>
  <c r="AN32" i="45"/>
  <c r="AN29" i="45"/>
  <c r="AN31" i="45"/>
  <c r="AN54" i="45"/>
  <c r="J29" i="46"/>
  <c r="L62" i="46"/>
  <c r="L61" i="46"/>
  <c r="M60" i="46"/>
  <c r="L67" i="46"/>
  <c r="L66" i="46"/>
  <c r="L89" i="46" s="1"/>
  <c r="L65" i="46"/>
  <c r="L64" i="46"/>
  <c r="G266" i="48"/>
  <c r="M19" i="46"/>
  <c r="L25" i="46"/>
  <c r="L40" i="46" s="1"/>
  <c r="H210" i="48"/>
  <c r="H215" i="48" s="1"/>
  <c r="H209" i="48"/>
  <c r="H214" i="48" s="1"/>
  <c r="H208" i="48"/>
  <c r="H213" i="48" s="1"/>
  <c r="H207" i="48"/>
  <c r="H212" i="48" s="1"/>
  <c r="H211" i="48"/>
  <c r="E267" i="48"/>
  <c r="Q54" i="12"/>
  <c r="R50" i="12"/>
  <c r="Q52" i="12"/>
  <c r="Q51" i="12"/>
  <c r="Q51" i="14"/>
  <c r="Q54" i="14"/>
  <c r="R50" i="14"/>
  <c r="Q52" i="14"/>
  <c r="I19" i="45"/>
  <c r="I20" i="45"/>
  <c r="M60" i="53"/>
  <c r="L67" i="53"/>
  <c r="L66" i="53"/>
  <c r="L73" i="53" s="1"/>
  <c r="L74" i="53" s="1"/>
  <c r="L65" i="53"/>
  <c r="L64" i="53"/>
  <c r="L61" i="53"/>
  <c r="L62" i="53"/>
  <c r="H218" i="48"/>
  <c r="H223" i="48" s="1"/>
  <c r="H217" i="48"/>
  <c r="H222" i="48" s="1"/>
  <c r="H221" i="48"/>
  <c r="H220" i="48"/>
  <c r="H225" i="48" s="1"/>
  <c r="H219" i="48"/>
  <c r="H224" i="48" s="1"/>
  <c r="K63" i="48"/>
  <c r="N58" i="12"/>
  <c r="M19" i="48"/>
  <c r="L25" i="48"/>
  <c r="L40" i="48" s="1"/>
  <c r="J94" i="48"/>
  <c r="J93" i="48"/>
  <c r="J98" i="48" s="1"/>
  <c r="J92" i="48"/>
  <c r="J97" i="48" s="1"/>
  <c r="J91" i="48"/>
  <c r="J90" i="48"/>
  <c r="J95" i="48" s="1"/>
  <c r="E266" i="48"/>
  <c r="J226" i="46"/>
  <c r="J216" i="46"/>
  <c r="J206" i="46"/>
  <c r="J202" i="46"/>
  <c r="C308" i="46"/>
  <c r="C309" i="46" s="1"/>
  <c r="D275" i="46"/>
  <c r="G67" i="45"/>
  <c r="G23" i="45"/>
  <c r="AU32" i="51"/>
  <c r="AU31" i="51"/>
  <c r="AU34" i="51"/>
  <c r="H167" i="48"/>
  <c r="H172" i="48" s="1"/>
  <c r="H166" i="48"/>
  <c r="H171" i="48" s="1"/>
  <c r="H165" i="48"/>
  <c r="H170" i="48" s="1"/>
  <c r="H169" i="48"/>
  <c r="H168" i="48"/>
  <c r="H173" i="48" s="1"/>
  <c r="H37" i="45"/>
  <c r="J27" i="45"/>
  <c r="I29" i="45"/>
  <c r="I28" i="45"/>
  <c r="AO27" i="45"/>
  <c r="I31" i="45"/>
  <c r="I32" i="45"/>
  <c r="I54" i="45"/>
  <c r="G267" i="48"/>
  <c r="E33" i="48"/>
  <c r="E39" i="48" s="1"/>
  <c r="AL75" i="45"/>
  <c r="L241" i="48"/>
  <c r="M240" i="48"/>
  <c r="R173" i="20"/>
  <c r="R179" i="20"/>
  <c r="R185" i="20"/>
  <c r="R129" i="19"/>
  <c r="R128" i="19" s="1"/>
  <c r="R133" i="19"/>
  <c r="R132" i="19"/>
  <c r="R131" i="19"/>
  <c r="R130" i="19"/>
  <c r="S125" i="12"/>
  <c r="I145" i="46"/>
  <c r="I150" i="46" s="1"/>
  <c r="I149" i="46"/>
  <c r="J83" i="45" s="1"/>
  <c r="I148" i="46"/>
  <c r="I153" i="46" s="1"/>
  <c r="I147" i="46"/>
  <c r="I152" i="46" s="1"/>
  <c r="I146" i="46"/>
  <c r="I151" i="46" s="1"/>
  <c r="I144" i="48"/>
  <c r="J204" i="46"/>
  <c r="J203" i="46"/>
  <c r="D33" i="48"/>
  <c r="D39" i="48" s="1"/>
  <c r="AK75" i="45"/>
  <c r="AK86" i="45"/>
  <c r="AK72" i="45"/>
  <c r="C317" i="48"/>
  <c r="AJ118" i="45"/>
  <c r="AJ114" i="45"/>
  <c r="AJ78" i="45"/>
  <c r="I31" i="46"/>
  <c r="I306" i="46"/>
  <c r="BV4" i="55"/>
  <c r="P135" i="53"/>
  <c r="Q56" i="51"/>
  <c r="E44" i="46"/>
  <c r="E271" i="46" s="1"/>
  <c r="E79" i="46"/>
  <c r="E69" i="46"/>
  <c r="E99" i="46"/>
  <c r="E109" i="46"/>
  <c r="M60" i="48"/>
  <c r="L64" i="48"/>
  <c r="L62" i="48"/>
  <c r="L61" i="48"/>
  <c r="L67" i="48"/>
  <c r="L66" i="48"/>
  <c r="L65" i="48"/>
  <c r="AO89" i="45"/>
  <c r="AQ39" i="45"/>
  <c r="AQ40" i="45"/>
  <c r="E268" i="48"/>
  <c r="K138" i="46"/>
  <c r="K137" i="46"/>
  <c r="L136" i="46"/>
  <c r="K200" i="46"/>
  <c r="K201" i="46"/>
  <c r="I228" i="46"/>
  <c r="I233" i="46" s="1"/>
  <c r="I227" i="46"/>
  <c r="I232" i="46" s="1"/>
  <c r="I231" i="46"/>
  <c r="J108" i="45" s="1"/>
  <c r="I230" i="46"/>
  <c r="I235" i="46" s="1"/>
  <c r="I229" i="46"/>
  <c r="I234" i="46" s="1"/>
  <c r="I226" i="48"/>
  <c r="M21" i="48"/>
  <c r="L27" i="48"/>
  <c r="L42" i="48" s="1"/>
  <c r="AK73" i="45"/>
  <c r="AK87" i="45"/>
  <c r="O33" i="51"/>
  <c r="M60" i="54"/>
  <c r="L67" i="54"/>
  <c r="L66" i="54"/>
  <c r="L73" i="54" s="1"/>
  <c r="L74" i="54" s="1"/>
  <c r="L65" i="54"/>
  <c r="L64" i="54"/>
  <c r="L62" i="54"/>
  <c r="L61" i="54"/>
  <c r="N39" i="20"/>
  <c r="S45" i="20" s="1"/>
  <c r="O61" i="12"/>
  <c r="O60" i="12"/>
  <c r="O56" i="12"/>
  <c r="O112" i="12"/>
  <c r="J146" i="46"/>
  <c r="J151" i="46" s="1"/>
  <c r="J145" i="46"/>
  <c r="J150" i="46" s="1"/>
  <c r="J149" i="46"/>
  <c r="K83" i="45" s="1"/>
  <c r="J148" i="46"/>
  <c r="J153" i="46" s="1"/>
  <c r="J147" i="46"/>
  <c r="J152" i="46" s="1"/>
  <c r="J144" i="48"/>
  <c r="K154" i="53"/>
  <c r="L153" i="53"/>
  <c r="J29" i="48"/>
  <c r="J203" i="48"/>
  <c r="J204" i="48"/>
  <c r="AL68" i="45"/>
  <c r="M22" i="46"/>
  <c r="L28" i="46"/>
  <c r="E269" i="48"/>
  <c r="J139" i="46"/>
  <c r="K43" i="45" l="1"/>
  <c r="M36" i="53"/>
  <c r="R42" i="53" s="1"/>
  <c r="R138" i="53" s="1"/>
  <c r="R139" i="53" s="1"/>
  <c r="S69" i="51" s="1"/>
  <c r="N39" i="19"/>
  <c r="S45" i="19" s="1"/>
  <c r="AK70" i="45"/>
  <c r="P55" i="12"/>
  <c r="J35" i="46"/>
  <c r="L36" i="54"/>
  <c r="Q42" i="54" s="1"/>
  <c r="AK71" i="45"/>
  <c r="F72" i="45"/>
  <c r="G75" i="45"/>
  <c r="D115" i="45"/>
  <c r="AQ96" i="45"/>
  <c r="F85" i="45"/>
  <c r="J246" i="48"/>
  <c r="J251" i="48" s="1"/>
  <c r="J245" i="48"/>
  <c r="J250" i="48" s="1"/>
  <c r="AS55" i="51"/>
  <c r="J247" i="48"/>
  <c r="J252" i="48" s="1"/>
  <c r="J248" i="48"/>
  <c r="P112" i="12"/>
  <c r="P56" i="12"/>
  <c r="O39" i="20"/>
  <c r="T45" i="20" s="1"/>
  <c r="P60" i="12"/>
  <c r="P61" i="12"/>
  <c r="C336" i="46"/>
  <c r="C337" i="46"/>
  <c r="O112" i="14"/>
  <c r="N55" i="51"/>
  <c r="O56" i="14"/>
  <c r="C339" i="46"/>
  <c r="O60" i="14"/>
  <c r="C334" i="46"/>
  <c r="I261" i="48"/>
  <c r="I266" i="48" s="1"/>
  <c r="O61" i="14"/>
  <c r="C338" i="46"/>
  <c r="C319" i="48"/>
  <c r="C337" i="48" s="1"/>
  <c r="AT35" i="51"/>
  <c r="AP42" i="45"/>
  <c r="AN37" i="45"/>
  <c r="AP107" i="45"/>
  <c r="J19" i="45"/>
  <c r="AN21" i="45"/>
  <c r="AP69" i="45"/>
  <c r="F37" i="46"/>
  <c r="K43" i="46" s="1"/>
  <c r="K260" i="46" s="1"/>
  <c r="AP98" i="45"/>
  <c r="F71" i="45"/>
  <c r="AL85" i="45"/>
  <c r="M59" i="12"/>
  <c r="AQ83" i="45"/>
  <c r="O35" i="51"/>
  <c r="AP108" i="45"/>
  <c r="AW56" i="51"/>
  <c r="AP83" i="45"/>
  <c r="K69" i="45"/>
  <c r="Q147" i="19"/>
  <c r="R137" i="14" s="1"/>
  <c r="R137" i="12"/>
  <c r="Q187" i="20"/>
  <c r="Q149" i="19" s="1"/>
  <c r="Q190" i="20"/>
  <c r="Q152" i="19" s="1"/>
  <c r="Q186" i="20"/>
  <c r="Q148" i="19" s="1"/>
  <c r="Q189" i="20"/>
  <c r="Q151" i="19" s="1"/>
  <c r="Q188" i="20"/>
  <c r="Q150" i="19" s="1"/>
  <c r="AP99" i="45"/>
  <c r="H23" i="45"/>
  <c r="H34" i="45"/>
  <c r="Q177" i="20"/>
  <c r="Q139" i="19" s="1"/>
  <c r="Q176" i="20"/>
  <c r="Q138" i="19" s="1"/>
  <c r="Q174" i="20"/>
  <c r="Q136" i="19" s="1"/>
  <c r="Q175" i="20"/>
  <c r="Q137" i="19" s="1"/>
  <c r="Q178" i="20"/>
  <c r="Q140" i="19" s="1"/>
  <c r="Q135" i="19"/>
  <c r="R113" i="14" s="1"/>
  <c r="R113" i="12"/>
  <c r="AL70" i="45"/>
  <c r="G70" i="45"/>
  <c r="F33" i="46"/>
  <c r="F39" i="46" s="1"/>
  <c r="F69" i="46" s="1"/>
  <c r="F73" i="45"/>
  <c r="F87" i="45"/>
  <c r="Q141" i="19"/>
  <c r="R125" i="14" s="1"/>
  <c r="Q182" i="20"/>
  <c r="Q144" i="19" s="1"/>
  <c r="Q184" i="20"/>
  <c r="Q146" i="19" s="1"/>
  <c r="Q183" i="20"/>
  <c r="Q145" i="19" s="1"/>
  <c r="Q181" i="20"/>
  <c r="Q143" i="19" s="1"/>
  <c r="Q180" i="20"/>
  <c r="Q142" i="19" s="1"/>
  <c r="Q134" i="53"/>
  <c r="Q136" i="53"/>
  <c r="Q137" i="53" s="1"/>
  <c r="R63" i="51" s="1"/>
  <c r="Q138" i="53"/>
  <c r="Q139" i="53" s="1"/>
  <c r="R69" i="51" s="1"/>
  <c r="I36" i="45"/>
  <c r="AO20" i="45"/>
  <c r="K95" i="45"/>
  <c r="P55" i="14"/>
  <c r="J20" i="45"/>
  <c r="H68" i="45"/>
  <c r="K42" i="45"/>
  <c r="K44" i="45"/>
  <c r="I265" i="48"/>
  <c r="I262" i="48"/>
  <c r="I267" i="48" s="1"/>
  <c r="I263" i="48"/>
  <c r="I268" i="48" s="1"/>
  <c r="AJ115" i="45"/>
  <c r="I35" i="48"/>
  <c r="H67" i="45"/>
  <c r="H24" i="45"/>
  <c r="G104" i="45"/>
  <c r="G59" i="45"/>
  <c r="G60" i="45"/>
  <c r="AO19" i="45"/>
  <c r="AP95" i="45"/>
  <c r="G58" i="45"/>
  <c r="AP43" i="45"/>
  <c r="AP44" i="45"/>
  <c r="AU33" i="51"/>
  <c r="L63" i="53"/>
  <c r="AQ41" i="45"/>
  <c r="AN36" i="45"/>
  <c r="AN35" i="45"/>
  <c r="AM57" i="45"/>
  <c r="L63" i="46"/>
  <c r="C321" i="46"/>
  <c r="C322" i="46"/>
  <c r="C324" i="46"/>
  <c r="C323" i="46"/>
  <c r="Q53" i="14"/>
  <c r="Q53" i="12"/>
  <c r="I35" i="45"/>
  <c r="L63" i="54"/>
  <c r="K139" i="48"/>
  <c r="AM34" i="45"/>
  <c r="I37" i="45"/>
  <c r="AM68" i="45"/>
  <c r="K18" i="45"/>
  <c r="L41" i="45"/>
  <c r="AP18" i="45"/>
  <c r="D271" i="46"/>
  <c r="K139" i="46"/>
  <c r="I30" i="45"/>
  <c r="K202" i="48"/>
  <c r="O55" i="51"/>
  <c r="N21" i="48"/>
  <c r="M27" i="48"/>
  <c r="M42" i="48" s="1"/>
  <c r="Q138" i="54"/>
  <c r="Q139" i="54" s="1"/>
  <c r="Q136" i="54"/>
  <c r="Q137" i="54" s="1"/>
  <c r="Q134" i="54"/>
  <c r="Q135" i="54" s="1"/>
  <c r="E81" i="46"/>
  <c r="E86" i="46" s="1"/>
  <c r="E80" i="46"/>
  <c r="E85" i="46" s="1"/>
  <c r="E83" i="46"/>
  <c r="E88" i="46" s="1"/>
  <c r="E82" i="46"/>
  <c r="E87" i="46" s="1"/>
  <c r="E84" i="46"/>
  <c r="F90" i="45" s="1"/>
  <c r="E79" i="48"/>
  <c r="F34" i="46"/>
  <c r="G26" i="45"/>
  <c r="G25" i="45"/>
  <c r="G24" i="45"/>
  <c r="G82" i="45"/>
  <c r="J218" i="46"/>
  <c r="J223" i="46" s="1"/>
  <c r="J217" i="46"/>
  <c r="J222" i="46" s="1"/>
  <c r="J221" i="46"/>
  <c r="K99" i="45" s="1"/>
  <c r="J220" i="46"/>
  <c r="J225" i="46" s="1"/>
  <c r="J219" i="46"/>
  <c r="J224" i="46" s="1"/>
  <c r="J216" i="48"/>
  <c r="M64" i="46"/>
  <c r="M62" i="46"/>
  <c r="M61" i="46"/>
  <c r="N60" i="46"/>
  <c r="M67" i="46"/>
  <c r="M66" i="46"/>
  <c r="M89" i="46" s="1"/>
  <c r="M65" i="46"/>
  <c r="AN33" i="45"/>
  <c r="H57" i="45"/>
  <c r="AS38" i="45"/>
  <c r="N38" i="45"/>
  <c r="M40" i="45"/>
  <c r="M39" i="45"/>
  <c r="O58" i="14"/>
  <c r="E37" i="48"/>
  <c r="J43" i="48" s="1"/>
  <c r="AL59" i="45"/>
  <c r="AL104" i="45"/>
  <c r="AL58" i="45"/>
  <c r="AL60" i="45"/>
  <c r="AP89" i="45"/>
  <c r="K29" i="48"/>
  <c r="T173" i="20"/>
  <c r="T179" i="20"/>
  <c r="T185" i="20"/>
  <c r="U125" i="12"/>
  <c r="L154" i="53"/>
  <c r="M153" i="53"/>
  <c r="J149" i="48"/>
  <c r="J148" i="48"/>
  <c r="J153" i="48" s="1"/>
  <c r="J147" i="48"/>
  <c r="J152" i="48" s="1"/>
  <c r="J146" i="48"/>
  <c r="J151" i="48" s="1"/>
  <c r="J145" i="48"/>
  <c r="J150" i="48" s="1"/>
  <c r="M65" i="48"/>
  <c r="M64" i="48"/>
  <c r="M62" i="48"/>
  <c r="M61" i="48"/>
  <c r="M67" i="48"/>
  <c r="N60" i="48"/>
  <c r="M66" i="48"/>
  <c r="E316" i="46"/>
  <c r="H75" i="45"/>
  <c r="I148" i="48"/>
  <c r="I153" i="48" s="1"/>
  <c r="I147" i="48"/>
  <c r="I152" i="48" s="1"/>
  <c r="I146" i="48"/>
  <c r="I151" i="48" s="1"/>
  <c r="I145" i="48"/>
  <c r="I150" i="48" s="1"/>
  <c r="I149" i="48"/>
  <c r="E44" i="48"/>
  <c r="E271" i="48" s="1"/>
  <c r="I33" i="45"/>
  <c r="E275" i="46"/>
  <c r="D308" i="46"/>
  <c r="D309" i="46" s="1"/>
  <c r="J229" i="46"/>
  <c r="J234" i="46" s="1"/>
  <c r="J228" i="46"/>
  <c r="J233" i="46" s="1"/>
  <c r="J227" i="46"/>
  <c r="J232" i="46" s="1"/>
  <c r="J231" i="46"/>
  <c r="K108" i="45" s="1"/>
  <c r="J230" i="46"/>
  <c r="J235" i="46" s="1"/>
  <c r="J226" i="48"/>
  <c r="K144" i="46"/>
  <c r="R136" i="53"/>
  <c r="R137" i="53" s="1"/>
  <c r="S63" i="51" s="1"/>
  <c r="M61" i="53"/>
  <c r="N60" i="53"/>
  <c r="M67" i="53"/>
  <c r="M66" i="53"/>
  <c r="M73" i="53" s="1"/>
  <c r="M74" i="53" s="1"/>
  <c r="M65" i="53"/>
  <c r="M64" i="53"/>
  <c r="M62" i="53"/>
  <c r="R52" i="14"/>
  <c r="R51" i="14"/>
  <c r="R54" i="14"/>
  <c r="S50" i="14"/>
  <c r="M36" i="54"/>
  <c r="R42" i="54" s="1"/>
  <c r="AT55" i="51"/>
  <c r="AM67" i="45"/>
  <c r="AM23" i="45"/>
  <c r="N22" i="48"/>
  <c r="M28" i="48"/>
  <c r="O57" i="14"/>
  <c r="M257" i="46"/>
  <c r="L258" i="46"/>
  <c r="M18" i="48"/>
  <c r="L24" i="48"/>
  <c r="M61" i="54"/>
  <c r="N60" i="54"/>
  <c r="M67" i="54"/>
  <c r="M66" i="54"/>
  <c r="M73" i="54" s="1"/>
  <c r="M74" i="54" s="1"/>
  <c r="M65" i="54"/>
  <c r="M64" i="54"/>
  <c r="M62" i="54"/>
  <c r="C324" i="48"/>
  <c r="C323" i="48"/>
  <c r="C322" i="48"/>
  <c r="C321" i="48"/>
  <c r="AO28" i="45"/>
  <c r="AO32" i="45"/>
  <c r="AO29" i="45"/>
  <c r="AO31" i="45"/>
  <c r="AO54" i="45"/>
  <c r="C312" i="46"/>
  <c r="C311" i="46"/>
  <c r="C310" i="46"/>
  <c r="C315" i="46"/>
  <c r="C314" i="46"/>
  <c r="C313" i="46"/>
  <c r="AR16" i="45"/>
  <c r="M16" i="45"/>
  <c r="L17" i="45"/>
  <c r="K29" i="46"/>
  <c r="I219" i="48"/>
  <c r="I224" i="48" s="1"/>
  <c r="I218" i="48"/>
  <c r="I223" i="48" s="1"/>
  <c r="I217" i="48"/>
  <c r="I222" i="48" s="1"/>
  <c r="I221" i="48"/>
  <c r="I220" i="48"/>
  <c r="I225" i="48" s="1"/>
  <c r="L258" i="48"/>
  <c r="M257" i="48"/>
  <c r="I179" i="48"/>
  <c r="I178" i="48"/>
  <c r="I183" i="48" s="1"/>
  <c r="I177" i="48"/>
  <c r="I182" i="48" s="1"/>
  <c r="I176" i="48"/>
  <c r="I181" i="48" s="1"/>
  <c r="I175" i="48"/>
  <c r="I180" i="48" s="1"/>
  <c r="M28" i="46"/>
  <c r="N22" i="46"/>
  <c r="O58" i="12"/>
  <c r="I227" i="48"/>
  <c r="I232" i="48" s="1"/>
  <c r="I230" i="48"/>
  <c r="I235" i="48" s="1"/>
  <c r="I229" i="48"/>
  <c r="I234" i="48" s="1"/>
  <c r="I228" i="48"/>
  <c r="I233" i="48" s="1"/>
  <c r="I231" i="48"/>
  <c r="K204" i="46"/>
  <c r="K203" i="46"/>
  <c r="M241" i="48"/>
  <c r="N240" i="48"/>
  <c r="I55" i="45"/>
  <c r="I56" i="45"/>
  <c r="AQ17" i="45"/>
  <c r="N20" i="46"/>
  <c r="M26" i="46"/>
  <c r="M41" i="46" s="1"/>
  <c r="M18" i="46"/>
  <c r="L24" i="46"/>
  <c r="D110" i="46"/>
  <c r="D115" i="46" s="1"/>
  <c r="D114" i="46"/>
  <c r="E97" i="45" s="1"/>
  <c r="D113" i="46"/>
  <c r="D118" i="46" s="1"/>
  <c r="D112" i="46"/>
  <c r="D117" i="46" s="1"/>
  <c r="D111" i="46"/>
  <c r="D116" i="46" s="1"/>
  <c r="D109" i="48"/>
  <c r="D274" i="46"/>
  <c r="I168" i="48"/>
  <c r="I173" i="48" s="1"/>
  <c r="I167" i="48"/>
  <c r="I172" i="48" s="1"/>
  <c r="I166" i="48"/>
  <c r="I171" i="48" s="1"/>
  <c r="I165" i="48"/>
  <c r="I170" i="48" s="1"/>
  <c r="I169" i="48"/>
  <c r="K94" i="48"/>
  <c r="K93" i="48"/>
  <c r="K98" i="48" s="1"/>
  <c r="K92" i="48"/>
  <c r="K97" i="48" s="1"/>
  <c r="K91" i="48"/>
  <c r="K90" i="48"/>
  <c r="K95" i="48" s="1"/>
  <c r="P33" i="51"/>
  <c r="L154" i="54"/>
  <c r="M153" i="54"/>
  <c r="O57" i="12"/>
  <c r="K202" i="46"/>
  <c r="K216" i="46"/>
  <c r="K206" i="46"/>
  <c r="K226" i="46"/>
  <c r="I21" i="45"/>
  <c r="J31" i="46"/>
  <c r="J306" i="46"/>
  <c r="BW4" i="55"/>
  <c r="C308" i="48"/>
  <c r="C309" i="48" s="1"/>
  <c r="D275" i="48"/>
  <c r="AR39" i="45"/>
  <c r="AR40" i="45"/>
  <c r="J265" i="46"/>
  <c r="K105" i="45" s="1"/>
  <c r="J264" i="46"/>
  <c r="J269" i="46" s="1"/>
  <c r="J263" i="46"/>
  <c r="J268" i="46" s="1"/>
  <c r="J262" i="46"/>
  <c r="J267" i="46" s="1"/>
  <c r="J261" i="46"/>
  <c r="J266" i="46" s="1"/>
  <c r="J260" i="48"/>
  <c r="M241" i="46"/>
  <c r="N240" i="46"/>
  <c r="D101" i="46"/>
  <c r="D106" i="46" s="1"/>
  <c r="D100" i="46"/>
  <c r="D105" i="46" s="1"/>
  <c r="D103" i="46"/>
  <c r="D108" i="46" s="1"/>
  <c r="D102" i="46"/>
  <c r="D107" i="46" s="1"/>
  <c r="D104" i="46"/>
  <c r="E106" i="45" s="1"/>
  <c r="D99" i="48"/>
  <c r="J175" i="46"/>
  <c r="J180" i="46" s="1"/>
  <c r="J179" i="46"/>
  <c r="K107" i="45" s="1"/>
  <c r="J178" i="46"/>
  <c r="J183" i="46" s="1"/>
  <c r="J177" i="46"/>
  <c r="J182" i="46" s="1"/>
  <c r="J176" i="46"/>
  <c r="J181" i="46" s="1"/>
  <c r="J174" i="48"/>
  <c r="K204" i="48"/>
  <c r="K203" i="48"/>
  <c r="S173" i="20"/>
  <c r="S179" i="20"/>
  <c r="S185" i="20"/>
  <c r="S133" i="19"/>
  <c r="S132" i="19"/>
  <c r="S129" i="19"/>
  <c r="S128" i="19" s="1"/>
  <c r="S131" i="19"/>
  <c r="S130" i="19"/>
  <c r="T125" i="12"/>
  <c r="M136" i="46"/>
  <c r="L138" i="46"/>
  <c r="L137" i="46"/>
  <c r="L144" i="46" s="1"/>
  <c r="L200" i="46"/>
  <c r="L201" i="46"/>
  <c r="E111" i="46"/>
  <c r="E116" i="46" s="1"/>
  <c r="E110" i="46"/>
  <c r="E115" i="46" s="1"/>
  <c r="E114" i="46"/>
  <c r="F97" i="45" s="1"/>
  <c r="E113" i="46"/>
  <c r="E118" i="46" s="1"/>
  <c r="E112" i="46"/>
  <c r="E117" i="46" s="1"/>
  <c r="E109" i="48"/>
  <c r="E274" i="46"/>
  <c r="R188" i="20"/>
  <c r="R150" i="19" s="1"/>
  <c r="R187" i="20"/>
  <c r="R149" i="19" s="1"/>
  <c r="R186" i="20"/>
  <c r="R148" i="19" s="1"/>
  <c r="R190" i="20"/>
  <c r="R152" i="19" s="1"/>
  <c r="R189" i="20"/>
  <c r="R151" i="19" s="1"/>
  <c r="R147" i="19"/>
  <c r="S137" i="14" s="1"/>
  <c r="S137" i="12"/>
  <c r="AP27" i="45"/>
  <c r="K27" i="45"/>
  <c r="J28" i="45"/>
  <c r="J31" i="45"/>
  <c r="J29" i="45"/>
  <c r="J32" i="45"/>
  <c r="J54" i="45"/>
  <c r="R51" i="12"/>
  <c r="R54" i="12"/>
  <c r="S50" i="12"/>
  <c r="R52" i="12"/>
  <c r="AN56" i="45"/>
  <c r="AN55" i="45"/>
  <c r="AN30" i="45"/>
  <c r="L243" i="46"/>
  <c r="D72" i="46"/>
  <c r="D77" i="46" s="1"/>
  <c r="D71" i="46"/>
  <c r="D76" i="46" s="1"/>
  <c r="D70" i="46"/>
  <c r="D75" i="46" s="1"/>
  <c r="D74" i="46"/>
  <c r="E76" i="45" s="1"/>
  <c r="D73" i="46"/>
  <c r="D78" i="46" s="1"/>
  <c r="D69" i="48"/>
  <c r="Q31" i="51"/>
  <c r="AW30" i="51"/>
  <c r="Q34" i="51"/>
  <c r="R30" i="51"/>
  <c r="Q32" i="51"/>
  <c r="M27" i="46"/>
  <c r="M42" i="46" s="1"/>
  <c r="N21" i="46"/>
  <c r="J159" i="46"/>
  <c r="K98" i="45" s="1"/>
  <c r="J158" i="46"/>
  <c r="J163" i="46" s="1"/>
  <c r="J157" i="46"/>
  <c r="J162" i="46" s="1"/>
  <c r="J156" i="46"/>
  <c r="J161" i="46" s="1"/>
  <c r="J155" i="46"/>
  <c r="J160" i="46" s="1"/>
  <c r="J154" i="48"/>
  <c r="L138" i="48"/>
  <c r="L137" i="48"/>
  <c r="M136" i="48"/>
  <c r="L201" i="48"/>
  <c r="L200" i="48"/>
  <c r="J31" i="48"/>
  <c r="J306" i="48"/>
  <c r="L63" i="48"/>
  <c r="E102" i="46"/>
  <c r="E107" i="46" s="1"/>
  <c r="E101" i="46"/>
  <c r="E106" i="46" s="1"/>
  <c r="E100" i="46"/>
  <c r="E105" i="46" s="1"/>
  <c r="E103" i="46"/>
  <c r="E108" i="46" s="1"/>
  <c r="E104" i="46"/>
  <c r="F106" i="45" s="1"/>
  <c r="E99" i="48"/>
  <c r="D44" i="48"/>
  <c r="D271" i="48" s="1"/>
  <c r="R180" i="20"/>
  <c r="R142" i="19" s="1"/>
  <c r="R184" i="20"/>
  <c r="R146" i="19" s="1"/>
  <c r="R183" i="20"/>
  <c r="R145" i="19" s="1"/>
  <c r="R182" i="20"/>
  <c r="R144" i="19" s="1"/>
  <c r="R181" i="20"/>
  <c r="R143" i="19" s="1"/>
  <c r="R141" i="19"/>
  <c r="S125" i="14" s="1"/>
  <c r="N19" i="48"/>
  <c r="M25" i="48"/>
  <c r="M40" i="48" s="1"/>
  <c r="L92" i="46"/>
  <c r="L97" i="46" s="1"/>
  <c r="L91" i="46"/>
  <c r="L90" i="46"/>
  <c r="L95" i="46" s="1"/>
  <c r="L94" i="46"/>
  <c r="L93" i="46"/>
  <c r="L98" i="46" s="1"/>
  <c r="L89" i="48"/>
  <c r="I156" i="48"/>
  <c r="I161" i="48" s="1"/>
  <c r="I155" i="48"/>
  <c r="I160" i="48" s="1"/>
  <c r="I159" i="48"/>
  <c r="I158" i="48"/>
  <c r="I163" i="48" s="1"/>
  <c r="I157" i="48"/>
  <c r="I162" i="48" s="1"/>
  <c r="J21" i="45"/>
  <c r="N20" i="48"/>
  <c r="M26" i="48"/>
  <c r="M41" i="48" s="1"/>
  <c r="D80" i="46"/>
  <c r="D85" i="46" s="1"/>
  <c r="D81" i="46"/>
  <c r="D86" i="46" s="1"/>
  <c r="D83" i="46"/>
  <c r="D88" i="46" s="1"/>
  <c r="D82" i="46"/>
  <c r="D87" i="46" s="1"/>
  <c r="D84" i="46"/>
  <c r="E90" i="45" s="1"/>
  <c r="D79" i="48"/>
  <c r="AP77" i="45"/>
  <c r="I211" i="48"/>
  <c r="I210" i="48"/>
  <c r="I215" i="48" s="1"/>
  <c r="I209" i="48"/>
  <c r="I214" i="48" s="1"/>
  <c r="I208" i="48"/>
  <c r="I213" i="48" s="1"/>
  <c r="I207" i="48"/>
  <c r="I212" i="48" s="1"/>
  <c r="J167" i="46"/>
  <c r="J172" i="46" s="1"/>
  <c r="J166" i="46"/>
  <c r="J171" i="46" s="1"/>
  <c r="J165" i="46"/>
  <c r="J170" i="46" s="1"/>
  <c r="J169" i="46"/>
  <c r="K77" i="45" s="1"/>
  <c r="J168" i="46"/>
  <c r="J173" i="46" s="1"/>
  <c r="J164" i="48"/>
  <c r="P58" i="12"/>
  <c r="K142" i="46"/>
  <c r="K174" i="46" s="1"/>
  <c r="K141" i="46"/>
  <c r="K164" i="46" s="1"/>
  <c r="K140" i="46"/>
  <c r="K154" i="46" s="1"/>
  <c r="E73" i="46"/>
  <c r="E78" i="46" s="1"/>
  <c r="E72" i="46"/>
  <c r="E77" i="46" s="1"/>
  <c r="E71" i="46"/>
  <c r="E76" i="46" s="1"/>
  <c r="E70" i="46"/>
  <c r="E75" i="46" s="1"/>
  <c r="E74" i="46"/>
  <c r="F76" i="45" s="1"/>
  <c r="E69" i="48"/>
  <c r="R174" i="20"/>
  <c r="R136" i="19" s="1"/>
  <c r="R175" i="20"/>
  <c r="R137" i="19" s="1"/>
  <c r="R176" i="20"/>
  <c r="R138" i="19" s="1"/>
  <c r="R177" i="20"/>
  <c r="R139" i="19" s="1"/>
  <c r="R178" i="20"/>
  <c r="R140" i="19" s="1"/>
  <c r="R135" i="19"/>
  <c r="S113" i="14" s="1"/>
  <c r="S113" i="12"/>
  <c r="J210" i="46"/>
  <c r="J215" i="46" s="1"/>
  <c r="J209" i="46"/>
  <c r="J214" i="46" s="1"/>
  <c r="J208" i="46"/>
  <c r="J213" i="46" s="1"/>
  <c r="J207" i="46"/>
  <c r="J212" i="46" s="1"/>
  <c r="J211" i="46"/>
  <c r="K89" i="45" s="1"/>
  <c r="J206" i="48"/>
  <c r="N19" i="46"/>
  <c r="M25" i="46"/>
  <c r="M40" i="46" s="1"/>
  <c r="K248" i="46"/>
  <c r="L96" i="45" s="1"/>
  <c r="K247" i="46"/>
  <c r="K252" i="46" s="1"/>
  <c r="K246" i="46"/>
  <c r="K251" i="46" s="1"/>
  <c r="K245" i="46"/>
  <c r="K250" i="46" s="1"/>
  <c r="K244" i="46"/>
  <c r="K249" i="46" s="1"/>
  <c r="K243" i="48"/>
  <c r="N59" i="14"/>
  <c r="N59" i="12"/>
  <c r="D320" i="46"/>
  <c r="D317" i="46"/>
  <c r="AV34" i="51"/>
  <c r="AV32" i="51"/>
  <c r="AV31" i="51"/>
  <c r="K141" i="48"/>
  <c r="K140" i="48"/>
  <c r="K142" i="48"/>
  <c r="P57" i="12"/>
  <c r="R134" i="53" l="1"/>
  <c r="N36" i="53"/>
  <c r="S42" i="53" s="1"/>
  <c r="G33" i="46"/>
  <c r="G39" i="46" s="1"/>
  <c r="H82" i="45"/>
  <c r="C338" i="48"/>
  <c r="F99" i="46"/>
  <c r="F109" i="46"/>
  <c r="C339" i="48"/>
  <c r="C334" i="48"/>
  <c r="C335" i="48"/>
  <c r="C336" i="48"/>
  <c r="H70" i="45"/>
  <c r="F70" i="46"/>
  <c r="F75" i="46" s="1"/>
  <c r="F72" i="46"/>
  <c r="F77" i="46" s="1"/>
  <c r="H84" i="45"/>
  <c r="AQ105" i="45"/>
  <c r="L95" i="45"/>
  <c r="F37" i="48"/>
  <c r="K43" i="48" s="1"/>
  <c r="AQ99" i="45"/>
  <c r="AQ98" i="45"/>
  <c r="AQ107" i="45"/>
  <c r="P35" i="51"/>
  <c r="K19" i="45"/>
  <c r="Q55" i="12"/>
  <c r="AX69" i="51"/>
  <c r="H26" i="45"/>
  <c r="AQ108" i="45"/>
  <c r="G84" i="45"/>
  <c r="Q55" i="14"/>
  <c r="AO21" i="45"/>
  <c r="G34" i="46"/>
  <c r="P60" i="14"/>
  <c r="P112" i="14"/>
  <c r="O39" i="19"/>
  <c r="T45" i="19" s="1"/>
  <c r="P56" i="14"/>
  <c r="P61" i="14"/>
  <c r="AX63" i="51"/>
  <c r="AQ43" i="45"/>
  <c r="Q135" i="53"/>
  <c r="R56" i="51"/>
  <c r="L69" i="45"/>
  <c r="AN23" i="45"/>
  <c r="AQ69" i="45"/>
  <c r="AY63" i="51"/>
  <c r="AU35" i="51"/>
  <c r="AP20" i="45"/>
  <c r="AR96" i="45"/>
  <c r="AO36" i="45"/>
  <c r="H85" i="45"/>
  <c r="AM70" i="45"/>
  <c r="AY69" i="51"/>
  <c r="H25" i="45"/>
  <c r="F79" i="46"/>
  <c r="F274" i="46" s="1"/>
  <c r="F44" i="46"/>
  <c r="AM58" i="45"/>
  <c r="AM104" i="45"/>
  <c r="AM59" i="45"/>
  <c r="F99" i="48"/>
  <c r="F100" i="48" s="1"/>
  <c r="F105" i="48" s="1"/>
  <c r="AM60" i="45"/>
  <c r="F104" i="46"/>
  <c r="G106" i="45" s="1"/>
  <c r="F100" i="46"/>
  <c r="F105" i="46" s="1"/>
  <c r="F101" i="46"/>
  <c r="F106" i="46" s="1"/>
  <c r="F102" i="46"/>
  <c r="F107" i="46" s="1"/>
  <c r="F103" i="46"/>
  <c r="F108" i="46" s="1"/>
  <c r="F71" i="46"/>
  <c r="F76" i="46" s="1"/>
  <c r="F73" i="46"/>
  <c r="F78" i="46" s="1"/>
  <c r="F74" i="46"/>
  <c r="G76" i="45" s="1"/>
  <c r="F69" i="48"/>
  <c r="Q112" i="14"/>
  <c r="Q60" i="14"/>
  <c r="R53" i="12"/>
  <c r="Q61" i="14"/>
  <c r="Q56" i="14"/>
  <c r="K35" i="46"/>
  <c r="L43" i="45"/>
  <c r="L44" i="45"/>
  <c r="G109" i="45"/>
  <c r="J35" i="48"/>
  <c r="AQ44" i="45"/>
  <c r="AQ42" i="45"/>
  <c r="AQ95" i="45"/>
  <c r="M243" i="46"/>
  <c r="M246" i="46" s="1"/>
  <c r="M251" i="46" s="1"/>
  <c r="I57" i="45"/>
  <c r="L42" i="45"/>
  <c r="AN57" i="45"/>
  <c r="AO37" i="45"/>
  <c r="L139" i="48"/>
  <c r="C331" i="46"/>
  <c r="C343" i="46" s="1"/>
  <c r="C344" i="46" s="1"/>
  <c r="C345" i="46" s="1"/>
  <c r="C332" i="46"/>
  <c r="C326" i="46"/>
  <c r="C325" i="46"/>
  <c r="F33" i="48"/>
  <c r="F39" i="48" s="1"/>
  <c r="F44" i="48" s="1"/>
  <c r="F316" i="48" s="1"/>
  <c r="F320" i="48" s="1"/>
  <c r="AM75" i="45"/>
  <c r="J33" i="45"/>
  <c r="AR41" i="45"/>
  <c r="L18" i="45"/>
  <c r="J30" i="45"/>
  <c r="M41" i="45"/>
  <c r="AO35" i="45"/>
  <c r="K20" i="45"/>
  <c r="AP19" i="45"/>
  <c r="M63" i="48"/>
  <c r="D316" i="48"/>
  <c r="F111" i="45"/>
  <c r="F112" i="45"/>
  <c r="F110" i="45"/>
  <c r="N136" i="48"/>
  <c r="M138" i="48"/>
  <c r="M137" i="48"/>
  <c r="M201" i="48"/>
  <c r="M200" i="48"/>
  <c r="AW34" i="51"/>
  <c r="AW32" i="51"/>
  <c r="AW31" i="51"/>
  <c r="AK76" i="45"/>
  <c r="E78" i="45"/>
  <c r="F74" i="48"/>
  <c r="F73" i="48"/>
  <c r="F78" i="48" s="1"/>
  <c r="F72" i="48"/>
  <c r="F77" i="48" s="1"/>
  <c r="F71" i="48"/>
  <c r="F76" i="48" s="1"/>
  <c r="F70" i="48"/>
  <c r="F75" i="48" s="1"/>
  <c r="J37" i="45"/>
  <c r="AL97" i="45"/>
  <c r="F100" i="45"/>
  <c r="F113" i="45"/>
  <c r="J179" i="48"/>
  <c r="J178" i="48"/>
  <c r="J183" i="48" s="1"/>
  <c r="J177" i="48"/>
  <c r="J182" i="48" s="1"/>
  <c r="J176" i="48"/>
  <c r="J181" i="48" s="1"/>
  <c r="J175" i="48"/>
  <c r="J180" i="48" s="1"/>
  <c r="K230" i="46"/>
  <c r="K235" i="46" s="1"/>
  <c r="K229" i="46"/>
  <c r="K234" i="46" s="1"/>
  <c r="K228" i="46"/>
  <c r="K233" i="46" s="1"/>
  <c r="K227" i="46"/>
  <c r="K232" i="46" s="1"/>
  <c r="K231" i="46"/>
  <c r="L108" i="45" s="1"/>
  <c r="K226" i="48"/>
  <c r="D111" i="48"/>
  <c r="D116" i="48" s="1"/>
  <c r="D114" i="48"/>
  <c r="D113" i="48"/>
  <c r="D118" i="48" s="1"/>
  <c r="D112" i="48"/>
  <c r="D117" i="48" s="1"/>
  <c r="D110" i="48"/>
  <c r="D115" i="48" s="1"/>
  <c r="D274" i="48"/>
  <c r="L29" i="46"/>
  <c r="N18" i="48"/>
  <c r="M24" i="48"/>
  <c r="R135" i="53"/>
  <c r="S56" i="51"/>
  <c r="O60" i="48"/>
  <c r="N66" i="48"/>
  <c r="N65" i="48"/>
  <c r="N64" i="48"/>
  <c r="N62" i="48"/>
  <c r="N61" i="48"/>
  <c r="N67" i="48"/>
  <c r="T174" i="20"/>
  <c r="T136" i="19" s="1"/>
  <c r="T175" i="20"/>
  <c r="T137" i="19" s="1"/>
  <c r="T176" i="20"/>
  <c r="T138" i="19" s="1"/>
  <c r="T177" i="20"/>
  <c r="T139" i="19" s="1"/>
  <c r="T178" i="20"/>
  <c r="T140" i="19" s="1"/>
  <c r="T135" i="19"/>
  <c r="U113" i="14" s="1"/>
  <c r="U113" i="12"/>
  <c r="AS40" i="45"/>
  <c r="AS39" i="45"/>
  <c r="N65" i="46"/>
  <c r="N64" i="46"/>
  <c r="N62" i="46"/>
  <c r="N61" i="46"/>
  <c r="O60" i="46"/>
  <c r="N67" i="46"/>
  <c r="N66" i="46"/>
  <c r="N89" i="46" s="1"/>
  <c r="Q57" i="14"/>
  <c r="K155" i="46"/>
  <c r="K160" i="46" s="1"/>
  <c r="K159" i="46"/>
  <c r="L98" i="45" s="1"/>
  <c r="K158" i="46"/>
  <c r="K163" i="46" s="1"/>
  <c r="K157" i="46"/>
  <c r="K162" i="46" s="1"/>
  <c r="K156" i="46"/>
  <c r="K161" i="46" s="1"/>
  <c r="K154" i="48"/>
  <c r="AK94" i="45"/>
  <c r="E94" i="45"/>
  <c r="AK93" i="45"/>
  <c r="E93" i="45"/>
  <c r="E79" i="45"/>
  <c r="E81" i="45"/>
  <c r="E80" i="45"/>
  <c r="AK79" i="45"/>
  <c r="AK80" i="45"/>
  <c r="AK81" i="45"/>
  <c r="J55" i="45"/>
  <c r="J56" i="45"/>
  <c r="F101" i="45"/>
  <c r="F102" i="45"/>
  <c r="AL102" i="45"/>
  <c r="AL103" i="45"/>
  <c r="AL101" i="45"/>
  <c r="F103" i="45"/>
  <c r="D104" i="48"/>
  <c r="D103" i="48"/>
  <c r="D108" i="48" s="1"/>
  <c r="D102" i="48"/>
  <c r="D107" i="48" s="1"/>
  <c r="D101" i="48"/>
  <c r="D106" i="48" s="1"/>
  <c r="D100" i="48"/>
  <c r="D105" i="48" s="1"/>
  <c r="J265" i="48"/>
  <c r="J264" i="48"/>
  <c r="J269" i="48" s="1"/>
  <c r="J263" i="48"/>
  <c r="J268" i="48" s="1"/>
  <c r="J262" i="48"/>
  <c r="J267" i="48" s="1"/>
  <c r="J261" i="48"/>
  <c r="J266" i="48" s="1"/>
  <c r="I67" i="45"/>
  <c r="I23" i="45"/>
  <c r="K211" i="46"/>
  <c r="L89" i="45" s="1"/>
  <c r="K210" i="46"/>
  <c r="K215" i="46" s="1"/>
  <c r="K209" i="46"/>
  <c r="K214" i="46" s="1"/>
  <c r="K208" i="46"/>
  <c r="K213" i="46" s="1"/>
  <c r="K207" i="46"/>
  <c r="K212" i="46" s="1"/>
  <c r="K206" i="48"/>
  <c r="N18" i="46"/>
  <c r="M24" i="46"/>
  <c r="R134" i="54"/>
  <c r="R135" i="54" s="1"/>
  <c r="R138" i="54"/>
  <c r="R139" i="54" s="1"/>
  <c r="R136" i="54"/>
  <c r="R137" i="54" s="1"/>
  <c r="M63" i="46"/>
  <c r="G85" i="45"/>
  <c r="G71" i="45"/>
  <c r="O21" i="48"/>
  <c r="N27" i="48"/>
  <c r="N42" i="48" s="1"/>
  <c r="K245" i="48"/>
  <c r="K250" i="48" s="1"/>
  <c r="K244" i="48"/>
  <c r="K249" i="48" s="1"/>
  <c r="K248" i="48"/>
  <c r="K246" i="48"/>
  <c r="K251" i="48" s="1"/>
  <c r="K247" i="48"/>
  <c r="K252" i="48" s="1"/>
  <c r="O19" i="46"/>
  <c r="N25" i="46"/>
  <c r="N40" i="46" s="1"/>
  <c r="K168" i="46"/>
  <c r="K173" i="46" s="1"/>
  <c r="K167" i="46"/>
  <c r="K172" i="46" s="1"/>
  <c r="K166" i="46"/>
  <c r="K171" i="46" s="1"/>
  <c r="K165" i="46"/>
  <c r="K170" i="46" s="1"/>
  <c r="K169" i="46"/>
  <c r="L77" i="45" s="1"/>
  <c r="K164" i="48"/>
  <c r="O19" i="48"/>
  <c r="N25" i="48"/>
  <c r="N40" i="48" s="1"/>
  <c r="L142" i="48"/>
  <c r="L141" i="48"/>
  <c r="L140" i="48"/>
  <c r="O21" i="46"/>
  <c r="N27" i="46"/>
  <c r="N42" i="46" s="1"/>
  <c r="Q33" i="51"/>
  <c r="AQ27" i="45"/>
  <c r="L27" i="45"/>
  <c r="K28" i="45"/>
  <c r="K31" i="45"/>
  <c r="K29" i="45"/>
  <c r="K32" i="45"/>
  <c r="K54" i="45"/>
  <c r="L203" i="46"/>
  <c r="L204" i="46"/>
  <c r="AK106" i="45"/>
  <c r="E109" i="45"/>
  <c r="D308" i="48"/>
  <c r="D309" i="48" s="1"/>
  <c r="E275" i="48"/>
  <c r="K219" i="46"/>
  <c r="K224" i="46" s="1"/>
  <c r="K218" i="46"/>
  <c r="K223" i="46" s="1"/>
  <c r="K217" i="46"/>
  <c r="K222" i="46" s="1"/>
  <c r="K221" i="46"/>
  <c r="L99" i="45" s="1"/>
  <c r="K220" i="46"/>
  <c r="K225" i="46" s="1"/>
  <c r="K216" i="48"/>
  <c r="O36" i="53"/>
  <c r="T42" i="53" s="1"/>
  <c r="P55" i="51"/>
  <c r="AQ18" i="45"/>
  <c r="N28" i="46"/>
  <c r="O22" i="46"/>
  <c r="AO56" i="45"/>
  <c r="AO55" i="45"/>
  <c r="AO30" i="45"/>
  <c r="N257" i="46"/>
  <c r="M258" i="46"/>
  <c r="AL112" i="45"/>
  <c r="AL73" i="45"/>
  <c r="G86" i="45"/>
  <c r="G72" i="45"/>
  <c r="F94" i="45"/>
  <c r="AL93" i="45"/>
  <c r="F93" i="45"/>
  <c r="AL94" i="45"/>
  <c r="E74" i="48"/>
  <c r="E73" i="48"/>
  <c r="E78" i="48" s="1"/>
  <c r="E72" i="48"/>
  <c r="E77" i="48" s="1"/>
  <c r="E71" i="48"/>
  <c r="E76" i="48" s="1"/>
  <c r="E70" i="48"/>
  <c r="E75" i="48" s="1"/>
  <c r="K176" i="46"/>
  <c r="K181" i="46" s="1"/>
  <c r="K175" i="46"/>
  <c r="K180" i="46" s="1"/>
  <c r="K179" i="46"/>
  <c r="L107" i="45" s="1"/>
  <c r="K178" i="46"/>
  <c r="K183" i="46" s="1"/>
  <c r="K177" i="46"/>
  <c r="K182" i="46" s="1"/>
  <c r="K174" i="48"/>
  <c r="AP28" i="45"/>
  <c r="AP32" i="45"/>
  <c r="AP29" i="45"/>
  <c r="AP31" i="45"/>
  <c r="AP54" i="45"/>
  <c r="L202" i="46"/>
  <c r="L216" i="46"/>
  <c r="L206" i="46"/>
  <c r="L226" i="46"/>
  <c r="C310" i="48"/>
  <c r="C315" i="48"/>
  <c r="C314" i="48"/>
  <c r="C313" i="48"/>
  <c r="C311" i="48"/>
  <c r="C312" i="48"/>
  <c r="M154" i="54"/>
  <c r="N153" i="54"/>
  <c r="F34" i="48"/>
  <c r="AM25" i="45"/>
  <c r="AM24" i="45"/>
  <c r="AM26" i="45"/>
  <c r="AM82" i="45"/>
  <c r="K147" i="46"/>
  <c r="K152" i="46" s="1"/>
  <c r="K146" i="46"/>
  <c r="K151" i="46" s="1"/>
  <c r="K145" i="46"/>
  <c r="K150" i="46" s="1"/>
  <c r="K149" i="46"/>
  <c r="L83" i="45" s="1"/>
  <c r="K148" i="46"/>
  <c r="K153" i="46" s="1"/>
  <c r="K144" i="48"/>
  <c r="D313" i="46"/>
  <c r="D312" i="46"/>
  <c r="D311" i="46"/>
  <c r="D310" i="46"/>
  <c r="D315" i="46"/>
  <c r="D314" i="46"/>
  <c r="AL110" i="45"/>
  <c r="AL71" i="45"/>
  <c r="G37" i="46"/>
  <c r="L43" i="46" s="1"/>
  <c r="L260" i="46" s="1"/>
  <c r="H60" i="45"/>
  <c r="H59" i="45"/>
  <c r="H104" i="45"/>
  <c r="H58" i="45"/>
  <c r="G87" i="45"/>
  <c r="G73" i="45"/>
  <c r="S138" i="53"/>
  <c r="S139" i="53" s="1"/>
  <c r="T69" i="51" s="1"/>
  <c r="S136" i="53"/>
  <c r="S137" i="53" s="1"/>
  <c r="T63" i="51" s="1"/>
  <c r="S134" i="53"/>
  <c r="AL76" i="45"/>
  <c r="F78" i="45"/>
  <c r="D81" i="48"/>
  <c r="D86" i="48" s="1"/>
  <c r="D80" i="48"/>
  <c r="D85" i="48" s="1"/>
  <c r="D84" i="48"/>
  <c r="D83" i="48"/>
  <c r="D88" i="48" s="1"/>
  <c r="D82" i="48"/>
  <c r="D87" i="48" s="1"/>
  <c r="L148" i="46"/>
  <c r="L153" i="46" s="1"/>
  <c r="L147" i="46"/>
  <c r="L152" i="46" s="1"/>
  <c r="L146" i="46"/>
  <c r="L151" i="46" s="1"/>
  <c r="L145" i="46"/>
  <c r="L150" i="46" s="1"/>
  <c r="L149" i="46"/>
  <c r="M83" i="45" s="1"/>
  <c r="L144" i="48"/>
  <c r="J157" i="48"/>
  <c r="J162" i="48" s="1"/>
  <c r="J156" i="48"/>
  <c r="J161" i="48" s="1"/>
  <c r="J155" i="48"/>
  <c r="J160" i="48" s="1"/>
  <c r="J159" i="48"/>
  <c r="J158" i="48"/>
  <c r="J163" i="48" s="1"/>
  <c r="AN67" i="45"/>
  <c r="AN34" i="45"/>
  <c r="S51" i="12"/>
  <c r="S54" i="12"/>
  <c r="T50" i="12"/>
  <c r="S52" i="12"/>
  <c r="J35" i="45"/>
  <c r="E318" i="46"/>
  <c r="E319" i="46" s="1"/>
  <c r="E341" i="46"/>
  <c r="E342" i="46" s="1"/>
  <c r="L139" i="46"/>
  <c r="S189" i="20"/>
  <c r="S151" i="19" s="1"/>
  <c r="S188" i="20"/>
  <c r="S150" i="19" s="1"/>
  <c r="S187" i="20"/>
  <c r="S149" i="19" s="1"/>
  <c r="S186" i="20"/>
  <c r="S148" i="19" s="1"/>
  <c r="S190" i="20"/>
  <c r="S152" i="19" s="1"/>
  <c r="S147" i="19"/>
  <c r="T137" i="14" s="1"/>
  <c r="T137" i="12"/>
  <c r="O59" i="12"/>
  <c r="AK97" i="45"/>
  <c r="E100" i="45"/>
  <c r="E113" i="45"/>
  <c r="K265" i="46"/>
  <c r="L105" i="45" s="1"/>
  <c r="K264" i="46"/>
  <c r="K269" i="46" s="1"/>
  <c r="K263" i="46"/>
  <c r="K268" i="46" s="1"/>
  <c r="K262" i="46"/>
  <c r="K267" i="46" s="1"/>
  <c r="K261" i="46"/>
  <c r="K266" i="46" s="1"/>
  <c r="K260" i="48"/>
  <c r="K31" i="46"/>
  <c r="K306" i="46"/>
  <c r="BX4" i="55"/>
  <c r="AO33" i="45"/>
  <c r="O59" i="14"/>
  <c r="S52" i="14"/>
  <c r="S51" i="14"/>
  <c r="S54" i="14"/>
  <c r="T50" i="14"/>
  <c r="J227" i="48"/>
  <c r="J232" i="48" s="1"/>
  <c r="J231" i="48"/>
  <c r="J230" i="48"/>
  <c r="J235" i="48" s="1"/>
  <c r="J229" i="48"/>
  <c r="J234" i="48" s="1"/>
  <c r="J228" i="48"/>
  <c r="J233" i="48" s="1"/>
  <c r="F275" i="46"/>
  <c r="E308" i="46"/>
  <c r="E309" i="46" s="1"/>
  <c r="G44" i="46"/>
  <c r="G316" i="46" s="1"/>
  <c r="G79" i="46"/>
  <c r="G69" i="46"/>
  <c r="G99" i="46"/>
  <c r="G109" i="46"/>
  <c r="AN68" i="45"/>
  <c r="P59" i="12"/>
  <c r="AV33" i="51"/>
  <c r="D321" i="46"/>
  <c r="D324" i="46"/>
  <c r="D323" i="46"/>
  <c r="D322" i="46"/>
  <c r="J211" i="48"/>
  <c r="J210" i="48"/>
  <c r="J215" i="48" s="1"/>
  <c r="J209" i="48"/>
  <c r="J214" i="48" s="1"/>
  <c r="J208" i="48"/>
  <c r="J213" i="48" s="1"/>
  <c r="J207" i="48"/>
  <c r="J212" i="48" s="1"/>
  <c r="F79" i="45"/>
  <c r="F81" i="45"/>
  <c r="F80" i="45"/>
  <c r="AL80" i="45"/>
  <c r="AL79" i="45"/>
  <c r="AL81" i="45"/>
  <c r="J165" i="48"/>
  <c r="J170" i="48" s="1"/>
  <c r="J168" i="48"/>
  <c r="J173" i="48" s="1"/>
  <c r="J167" i="48"/>
  <c r="J172" i="48" s="1"/>
  <c r="J166" i="48"/>
  <c r="J171" i="48" s="1"/>
  <c r="J169" i="48"/>
  <c r="AK90" i="45"/>
  <c r="E91" i="45"/>
  <c r="L94" i="48"/>
  <c r="L93" i="48"/>
  <c r="L98" i="48" s="1"/>
  <c r="L92" i="48"/>
  <c r="L97" i="48" s="1"/>
  <c r="L91" i="48"/>
  <c r="L90" i="48"/>
  <c r="L95" i="48" s="1"/>
  <c r="E104" i="48"/>
  <c r="E103" i="48"/>
  <c r="E108" i="48" s="1"/>
  <c r="E102" i="48"/>
  <c r="E107" i="48" s="1"/>
  <c r="E101" i="48"/>
  <c r="E106" i="48" s="1"/>
  <c r="E100" i="48"/>
  <c r="E105" i="48" s="1"/>
  <c r="E110" i="48"/>
  <c r="E115" i="48" s="1"/>
  <c r="E111" i="48"/>
  <c r="E116" i="48" s="1"/>
  <c r="E114" i="48"/>
  <c r="E113" i="48"/>
  <c r="E118" i="48" s="1"/>
  <c r="E112" i="48"/>
  <c r="E117" i="48" s="1"/>
  <c r="E274" i="48"/>
  <c r="L142" i="46"/>
  <c r="L174" i="46" s="1"/>
  <c r="L141" i="46"/>
  <c r="L164" i="46" s="1"/>
  <c r="L140" i="46"/>
  <c r="L154" i="46" s="1"/>
  <c r="S181" i="20"/>
  <c r="S143" i="19" s="1"/>
  <c r="S180" i="20"/>
  <c r="S142" i="19" s="1"/>
  <c r="S184" i="20"/>
  <c r="S146" i="19" s="1"/>
  <c r="S183" i="20"/>
  <c r="S145" i="19" s="1"/>
  <c r="S182" i="20"/>
  <c r="S144" i="19" s="1"/>
  <c r="S141" i="19"/>
  <c r="T125" i="14" s="1"/>
  <c r="E112" i="45"/>
  <c r="E110" i="45"/>
  <c r="E111" i="45"/>
  <c r="AK110" i="45"/>
  <c r="AK111" i="45"/>
  <c r="AK112" i="45"/>
  <c r="E101" i="45"/>
  <c r="E102" i="45"/>
  <c r="E103" i="45"/>
  <c r="AK102" i="45"/>
  <c r="AK103" i="45"/>
  <c r="AK101" i="45"/>
  <c r="L19" i="45"/>
  <c r="C326" i="48"/>
  <c r="C325" i="48"/>
  <c r="N62" i="54"/>
  <c r="N61" i="54"/>
  <c r="O60" i="54"/>
  <c r="N67" i="54"/>
  <c r="N66" i="54"/>
  <c r="N73" i="54" s="1"/>
  <c r="N74" i="54" s="1"/>
  <c r="N65" i="54"/>
  <c r="N64" i="54"/>
  <c r="I68" i="45"/>
  <c r="M154" i="53"/>
  <c r="N153" i="53"/>
  <c r="K31" i="48"/>
  <c r="K306" i="48"/>
  <c r="AL111" i="45"/>
  <c r="AL72" i="45"/>
  <c r="AQ89" i="45"/>
  <c r="O20" i="48"/>
  <c r="N26" i="48"/>
  <c r="N41" i="48" s="1"/>
  <c r="J23" i="45"/>
  <c r="AL106" i="45"/>
  <c r="F109" i="45"/>
  <c r="L202" i="48"/>
  <c r="R31" i="51"/>
  <c r="AX30" i="51"/>
  <c r="R34" i="51"/>
  <c r="S30" i="51"/>
  <c r="R32" i="51"/>
  <c r="D73" i="48"/>
  <c r="D78" i="48" s="1"/>
  <c r="D72" i="48"/>
  <c r="D77" i="48" s="1"/>
  <c r="D71" i="48"/>
  <c r="D76" i="48" s="1"/>
  <c r="D70" i="48"/>
  <c r="D75" i="48" s="1"/>
  <c r="D74" i="48"/>
  <c r="J36" i="45"/>
  <c r="N136" i="46"/>
  <c r="M138" i="46"/>
  <c r="M137" i="46"/>
  <c r="M201" i="46"/>
  <c r="M200" i="46"/>
  <c r="S174" i="20"/>
  <c r="S136" i="19" s="1"/>
  <c r="S175" i="20"/>
  <c r="S137" i="19" s="1"/>
  <c r="S176" i="20"/>
  <c r="S138" i="19" s="1"/>
  <c r="S177" i="20"/>
  <c r="S139" i="19" s="1"/>
  <c r="S178" i="20"/>
  <c r="S140" i="19" s="1"/>
  <c r="S135" i="19"/>
  <c r="T113" i="14" s="1"/>
  <c r="T113" i="12"/>
  <c r="F317" i="48"/>
  <c r="O20" i="46"/>
  <c r="N26" i="46"/>
  <c r="N41" i="46" s="1"/>
  <c r="M258" i="48"/>
  <c r="N257" i="48"/>
  <c r="M17" i="45"/>
  <c r="AS16" i="45"/>
  <c r="N16" i="45"/>
  <c r="C332" i="48"/>
  <c r="C331" i="48"/>
  <c r="C343" i="48" s="1"/>
  <c r="C344" i="48" s="1"/>
  <c r="C345" i="48" s="1"/>
  <c r="M63" i="54"/>
  <c r="O22" i="48"/>
  <c r="N28" i="48"/>
  <c r="N62" i="53"/>
  <c r="N61" i="53"/>
  <c r="O60" i="53"/>
  <c r="N67" i="53"/>
  <c r="N66" i="53"/>
  <c r="N73" i="53" s="1"/>
  <c r="N74" i="53" s="1"/>
  <c r="N65" i="53"/>
  <c r="N64" i="53"/>
  <c r="E320" i="46"/>
  <c r="E317" i="46"/>
  <c r="T190" i="20"/>
  <c r="T152" i="19" s="1"/>
  <c r="T189" i="20"/>
  <c r="T151" i="19" s="1"/>
  <c r="T188" i="20"/>
  <c r="T150" i="19" s="1"/>
  <c r="T187" i="20"/>
  <c r="T149" i="19" s="1"/>
  <c r="T186" i="20"/>
  <c r="T148" i="19" s="1"/>
  <c r="T147" i="19"/>
  <c r="U137" i="14" s="1"/>
  <c r="U137" i="12"/>
  <c r="M93" i="46"/>
  <c r="M98" i="46" s="1"/>
  <c r="M92" i="46"/>
  <c r="M97" i="46" s="1"/>
  <c r="M91" i="46"/>
  <c r="M90" i="46"/>
  <c r="M95" i="46" s="1"/>
  <c r="M94" i="46"/>
  <c r="M89" i="48"/>
  <c r="J220" i="48"/>
  <c r="J225" i="48" s="1"/>
  <c r="J219" i="48"/>
  <c r="J224" i="48" s="1"/>
  <c r="J218" i="48"/>
  <c r="J223" i="48" s="1"/>
  <c r="J217" i="48"/>
  <c r="J222" i="48" s="1"/>
  <c r="J221" i="48"/>
  <c r="E82" i="48"/>
  <c r="E87" i="48" s="1"/>
  <c r="E81" i="48"/>
  <c r="E86" i="48" s="1"/>
  <c r="E80" i="48"/>
  <c r="E85" i="48" s="1"/>
  <c r="E84" i="48"/>
  <c r="E83" i="48"/>
  <c r="E88" i="48" s="1"/>
  <c r="AQ77" i="45"/>
  <c r="L204" i="48"/>
  <c r="L203" i="48"/>
  <c r="L244" i="46"/>
  <c r="L249" i="46" s="1"/>
  <c r="L248" i="46"/>
  <c r="M96" i="45" s="1"/>
  <c r="L247" i="46"/>
  <c r="L252" i="46" s="1"/>
  <c r="L246" i="46"/>
  <c r="L251" i="46" s="1"/>
  <c r="L245" i="46"/>
  <c r="L250" i="46" s="1"/>
  <c r="L243" i="48"/>
  <c r="N241" i="46"/>
  <c r="O240" i="46"/>
  <c r="D318" i="46"/>
  <c r="D319" i="46" s="1"/>
  <c r="D341" i="46"/>
  <c r="D342" i="46" s="1"/>
  <c r="O240" i="48"/>
  <c r="N241" i="48"/>
  <c r="AR17" i="45"/>
  <c r="L29" i="48"/>
  <c r="R53" i="14"/>
  <c r="M63" i="53"/>
  <c r="E316" i="48"/>
  <c r="T182" i="20"/>
  <c r="T144" i="19" s="1"/>
  <c r="T181" i="20"/>
  <c r="T143" i="19" s="1"/>
  <c r="T180" i="20"/>
  <c r="T142" i="19" s="1"/>
  <c r="T184" i="20"/>
  <c r="T146" i="19" s="1"/>
  <c r="T183" i="20"/>
  <c r="T145" i="19" s="1"/>
  <c r="T141" i="19"/>
  <c r="U125" i="14" s="1"/>
  <c r="AT38" i="45"/>
  <c r="O38" i="45"/>
  <c r="N40" i="45"/>
  <c r="N39" i="45"/>
  <c r="AL90" i="45"/>
  <c r="F91" i="45"/>
  <c r="I34" i="45"/>
  <c r="Q58" i="14"/>
  <c r="AN59" i="45" l="1"/>
  <c r="AL117" i="45"/>
  <c r="F117" i="45"/>
  <c r="AM76" i="45"/>
  <c r="AK117" i="45"/>
  <c r="E117" i="45"/>
  <c r="L20" i="45"/>
  <c r="AM81" i="45"/>
  <c r="G78" i="45"/>
  <c r="F318" i="46"/>
  <c r="F341" i="46"/>
  <c r="F342" i="46" s="1"/>
  <c r="F102" i="48"/>
  <c r="F107" i="48" s="1"/>
  <c r="F111" i="46"/>
  <c r="F116" i="46" s="1"/>
  <c r="F109" i="48"/>
  <c r="F110" i="46"/>
  <c r="F115" i="46" s="1"/>
  <c r="F114" i="46"/>
  <c r="G97" i="45" s="1"/>
  <c r="F113" i="46"/>
  <c r="F118" i="46" s="1"/>
  <c r="F112" i="46"/>
  <c r="F117" i="46" s="1"/>
  <c r="G80" i="45"/>
  <c r="F101" i="48"/>
  <c r="F106" i="48" s="1"/>
  <c r="G79" i="45"/>
  <c r="F103" i="48"/>
  <c r="F108" i="48" s="1"/>
  <c r="AM80" i="45"/>
  <c r="F104" i="48"/>
  <c r="G81" i="45"/>
  <c r="AM79" i="45"/>
  <c r="P57" i="14"/>
  <c r="AZ69" i="51"/>
  <c r="N36" i="54"/>
  <c r="S42" i="54" s="1"/>
  <c r="AO23" i="45"/>
  <c r="H87" i="45"/>
  <c r="AK91" i="45"/>
  <c r="AR107" i="45"/>
  <c r="K35" i="48"/>
  <c r="AM111" i="45"/>
  <c r="F316" i="46"/>
  <c r="F271" i="46"/>
  <c r="AX56" i="51"/>
  <c r="T129" i="19"/>
  <c r="T128" i="19" s="1"/>
  <c r="T131" i="19"/>
  <c r="T130" i="19"/>
  <c r="T133" i="19"/>
  <c r="T132" i="19"/>
  <c r="AL91" i="45"/>
  <c r="AS96" i="45"/>
  <c r="E114" i="45"/>
  <c r="AS83" i="45"/>
  <c r="K36" i="45"/>
  <c r="AR98" i="45"/>
  <c r="AR108" i="45"/>
  <c r="AM106" i="45"/>
  <c r="F82" i="46"/>
  <c r="F87" i="46" s="1"/>
  <c r="F81" i="46"/>
  <c r="F86" i="46" s="1"/>
  <c r="F80" i="46"/>
  <c r="F85" i="46" s="1"/>
  <c r="F83" i="46"/>
  <c r="F88" i="46" s="1"/>
  <c r="F84" i="46"/>
  <c r="G90" i="45" s="1"/>
  <c r="F79" i="48"/>
  <c r="P39" i="19"/>
  <c r="U45" i="19" s="1"/>
  <c r="AZ63" i="51"/>
  <c r="AM84" i="45"/>
  <c r="F319" i="46"/>
  <c r="M69" i="45"/>
  <c r="AR83" i="45"/>
  <c r="AP21" i="45"/>
  <c r="AN104" i="45"/>
  <c r="H86" i="45"/>
  <c r="R55" i="14"/>
  <c r="AL109" i="45"/>
  <c r="AK109" i="45"/>
  <c r="K21" i="45"/>
  <c r="P58" i="14"/>
  <c r="P39" i="20"/>
  <c r="U45" i="20" s="1"/>
  <c r="Q61" i="12"/>
  <c r="Q60" i="12"/>
  <c r="Q56" i="12"/>
  <c r="Q112" i="12"/>
  <c r="AO68" i="45"/>
  <c r="AR99" i="45"/>
  <c r="H37" i="46"/>
  <c r="M43" i="46" s="1"/>
  <c r="M260" i="46" s="1"/>
  <c r="AU55" i="51"/>
  <c r="R55" i="12"/>
  <c r="F114" i="45"/>
  <c r="AR69" i="45"/>
  <c r="AV35" i="51"/>
  <c r="AR105" i="45"/>
  <c r="Q35" i="51"/>
  <c r="AY56" i="51"/>
  <c r="M42" i="45"/>
  <c r="G34" i="48"/>
  <c r="AN26" i="45"/>
  <c r="AN25" i="45"/>
  <c r="AN24" i="45"/>
  <c r="AN82" i="45"/>
  <c r="I58" i="45"/>
  <c r="M247" i="46"/>
  <c r="M252" i="46" s="1"/>
  <c r="I104" i="45"/>
  <c r="M248" i="46"/>
  <c r="N96" i="45" s="1"/>
  <c r="I59" i="45"/>
  <c r="AM110" i="45"/>
  <c r="I60" i="45"/>
  <c r="G111" i="45"/>
  <c r="G110" i="45"/>
  <c r="AM112" i="45"/>
  <c r="G112" i="45"/>
  <c r="S53" i="14"/>
  <c r="S53" i="12"/>
  <c r="M244" i="46"/>
  <c r="M249" i="46" s="1"/>
  <c r="M245" i="46"/>
  <c r="M250" i="46" s="1"/>
  <c r="M243" i="48"/>
  <c r="M248" i="48" s="1"/>
  <c r="AL116" i="45"/>
  <c r="M43" i="45"/>
  <c r="AL118" i="45"/>
  <c r="AN60" i="45"/>
  <c r="AR44" i="45"/>
  <c r="AR42" i="45"/>
  <c r="G37" i="48"/>
  <c r="L43" i="48" s="1"/>
  <c r="AR95" i="45"/>
  <c r="F116" i="45"/>
  <c r="AR43" i="45"/>
  <c r="AN58" i="45"/>
  <c r="C346" i="46"/>
  <c r="C347" i="46" s="1"/>
  <c r="AO57" i="45"/>
  <c r="F271" i="48"/>
  <c r="N41" i="45"/>
  <c r="J68" i="45"/>
  <c r="M202" i="48"/>
  <c r="J34" i="45"/>
  <c r="J67" i="45"/>
  <c r="G271" i="46"/>
  <c r="C348" i="46"/>
  <c r="C353" i="46" s="1"/>
  <c r="C328" i="46"/>
  <c r="C327" i="46"/>
  <c r="AS41" i="45"/>
  <c r="AP33" i="45"/>
  <c r="K37" i="45"/>
  <c r="N63" i="53"/>
  <c r="N63" i="54"/>
  <c r="F118" i="45"/>
  <c r="AP37" i="45"/>
  <c r="M95" i="45"/>
  <c r="M44" i="45"/>
  <c r="M139" i="46"/>
  <c r="K35" i="45"/>
  <c r="M139" i="48"/>
  <c r="L35" i="46"/>
  <c r="N243" i="46"/>
  <c r="N248" i="46" s="1"/>
  <c r="O96" i="45" s="1"/>
  <c r="J57" i="45"/>
  <c r="L21" i="45"/>
  <c r="L261" i="46"/>
  <c r="L266" i="46" s="1"/>
  <c r="L265" i="46"/>
  <c r="M105" i="45" s="1"/>
  <c r="L264" i="46"/>
  <c r="L269" i="46" s="1"/>
  <c r="L263" i="46"/>
  <c r="L268" i="46" s="1"/>
  <c r="L262" i="46"/>
  <c r="L267" i="46" s="1"/>
  <c r="L260" i="48"/>
  <c r="Q39" i="19"/>
  <c r="V45" i="19" s="1"/>
  <c r="R56" i="14"/>
  <c r="R61" i="14"/>
  <c r="R60" i="14"/>
  <c r="R112" i="14"/>
  <c r="AS17" i="45"/>
  <c r="F324" i="48"/>
  <c r="F323" i="48"/>
  <c r="F322" i="48"/>
  <c r="F321" i="48"/>
  <c r="M204" i="46"/>
  <c r="M203" i="46"/>
  <c r="AX31" i="51"/>
  <c r="AX34" i="51"/>
  <c r="AX32" i="51"/>
  <c r="I34" i="46"/>
  <c r="J26" i="45"/>
  <c r="J25" i="45"/>
  <c r="J24" i="45"/>
  <c r="J82" i="45"/>
  <c r="C346" i="48"/>
  <c r="C347" i="48" s="1"/>
  <c r="L156" i="46"/>
  <c r="L161" i="46" s="1"/>
  <c r="L155" i="46"/>
  <c r="L160" i="46" s="1"/>
  <c r="L159" i="46"/>
  <c r="M98" i="45" s="1"/>
  <c r="L158" i="46"/>
  <c r="L163" i="46" s="1"/>
  <c r="L157" i="46"/>
  <c r="L162" i="46" s="1"/>
  <c r="L154" i="48"/>
  <c r="G74" i="46"/>
  <c r="H76" i="45" s="1"/>
  <c r="G73" i="46"/>
  <c r="G78" i="46" s="1"/>
  <c r="G72" i="46"/>
  <c r="G77" i="46" s="1"/>
  <c r="G71" i="46"/>
  <c r="G76" i="46" s="1"/>
  <c r="G70" i="46"/>
  <c r="G75" i="46" s="1"/>
  <c r="G69" i="48"/>
  <c r="T52" i="12"/>
  <c r="T51" i="12"/>
  <c r="T54" i="12"/>
  <c r="U50" i="12"/>
  <c r="H73" i="45"/>
  <c r="AM85" i="45"/>
  <c r="AM71" i="45"/>
  <c r="L211" i="46"/>
  <c r="M89" i="45" s="1"/>
  <c r="L210" i="46"/>
  <c r="L215" i="46" s="1"/>
  <c r="L209" i="46"/>
  <c r="L214" i="46" s="1"/>
  <c r="L208" i="46"/>
  <c r="L213" i="46" s="1"/>
  <c r="L207" i="46"/>
  <c r="L212" i="46" s="1"/>
  <c r="L206" i="48"/>
  <c r="AP35" i="45"/>
  <c r="D311" i="48"/>
  <c r="D310" i="48"/>
  <c r="D315" i="48"/>
  <c r="D314" i="48"/>
  <c r="D312" i="48"/>
  <c r="D313" i="48"/>
  <c r="AQ28" i="45"/>
  <c r="AQ29" i="45"/>
  <c r="AQ31" i="45"/>
  <c r="AQ32" i="45"/>
  <c r="AQ54" i="45"/>
  <c r="M29" i="46"/>
  <c r="N63" i="48"/>
  <c r="AW33" i="51"/>
  <c r="C328" i="48"/>
  <c r="C327" i="48"/>
  <c r="L169" i="46"/>
  <c r="M77" i="45" s="1"/>
  <c r="L168" i="46"/>
  <c r="L173" i="46" s="1"/>
  <c r="L167" i="46"/>
  <c r="L172" i="46" s="1"/>
  <c r="L166" i="46"/>
  <c r="L171" i="46" s="1"/>
  <c r="L165" i="46"/>
  <c r="L170" i="46" s="1"/>
  <c r="L164" i="48"/>
  <c r="G82" i="46"/>
  <c r="G87" i="46" s="1"/>
  <c r="G81" i="46"/>
  <c r="G86" i="46" s="1"/>
  <c r="G80" i="46"/>
  <c r="G85" i="46" s="1"/>
  <c r="G84" i="46"/>
  <c r="H90" i="45" s="1"/>
  <c r="G83" i="46"/>
  <c r="G88" i="46" s="1"/>
  <c r="G79" i="48"/>
  <c r="K265" i="48"/>
  <c r="K264" i="48"/>
  <c r="K269" i="48" s="1"/>
  <c r="K263" i="48"/>
  <c r="K268" i="48" s="1"/>
  <c r="K262" i="48"/>
  <c r="K267" i="48" s="1"/>
  <c r="K261" i="48"/>
  <c r="K266" i="48" s="1"/>
  <c r="AK100" i="45"/>
  <c r="AK113" i="45"/>
  <c r="AM86" i="45"/>
  <c r="AM72" i="45"/>
  <c r="L220" i="46"/>
  <c r="L225" i="46" s="1"/>
  <c r="L219" i="46"/>
  <c r="L224" i="46" s="1"/>
  <c r="L218" i="46"/>
  <c r="L223" i="46" s="1"/>
  <c r="L217" i="46"/>
  <c r="L222" i="46" s="1"/>
  <c r="L221" i="46"/>
  <c r="M99" i="45" s="1"/>
  <c r="L216" i="48"/>
  <c r="O18" i="46"/>
  <c r="N24" i="46"/>
  <c r="L31" i="46"/>
  <c r="L306" i="46"/>
  <c r="BY4" i="55"/>
  <c r="M247" i="48"/>
  <c r="M252" i="48" s="1"/>
  <c r="F115" i="45"/>
  <c r="H33" i="46"/>
  <c r="H39" i="46" s="1"/>
  <c r="I75" i="45"/>
  <c r="AR18" i="45"/>
  <c r="C348" i="48"/>
  <c r="N258" i="48"/>
  <c r="O257" i="48"/>
  <c r="M142" i="46"/>
  <c r="M174" i="46" s="1"/>
  <c r="M141" i="46"/>
  <c r="M164" i="46" s="1"/>
  <c r="M140" i="46"/>
  <c r="M154" i="46" s="1"/>
  <c r="R33" i="51"/>
  <c r="N154" i="53"/>
  <c r="O153" i="53"/>
  <c r="L177" i="46"/>
  <c r="L182" i="46" s="1"/>
  <c r="L176" i="46"/>
  <c r="L181" i="46" s="1"/>
  <c r="L175" i="46"/>
  <c r="L180" i="46" s="1"/>
  <c r="L179" i="46"/>
  <c r="M107" i="45" s="1"/>
  <c r="L178" i="46"/>
  <c r="L183" i="46" s="1"/>
  <c r="L174" i="48"/>
  <c r="G320" i="46"/>
  <c r="G317" i="46"/>
  <c r="T52" i="14"/>
  <c r="T51" i="14"/>
  <c r="T54" i="14"/>
  <c r="U50" i="14"/>
  <c r="AP36" i="45"/>
  <c r="AQ19" i="45"/>
  <c r="AQ20" i="45"/>
  <c r="K221" i="48"/>
  <c r="K220" i="48"/>
  <c r="K225" i="48" s="1"/>
  <c r="K219" i="48"/>
  <c r="K224" i="48" s="1"/>
  <c r="K218" i="48"/>
  <c r="K223" i="48" s="1"/>
  <c r="K217" i="48"/>
  <c r="K222" i="48" s="1"/>
  <c r="AK118" i="45"/>
  <c r="E317" i="48"/>
  <c r="E320" i="48"/>
  <c r="M90" i="48"/>
  <c r="M95" i="48" s="1"/>
  <c r="M94" i="48"/>
  <c r="M93" i="48"/>
  <c r="M98" i="48" s="1"/>
  <c r="M92" i="48"/>
  <c r="M97" i="48" s="1"/>
  <c r="M91" i="48"/>
  <c r="E334" i="46"/>
  <c r="E336" i="46"/>
  <c r="E335" i="46"/>
  <c r="E339" i="46"/>
  <c r="E338" i="46"/>
  <c r="E337" i="46"/>
  <c r="P20" i="46"/>
  <c r="O26" i="46"/>
  <c r="O41" i="46" s="1"/>
  <c r="N137" i="46"/>
  <c r="N144" i="46" s="1"/>
  <c r="O136" i="46"/>
  <c r="N138" i="46"/>
  <c r="N201" i="46"/>
  <c r="N200" i="46"/>
  <c r="P20" i="48"/>
  <c r="O26" i="48"/>
  <c r="O41" i="48" s="1"/>
  <c r="E318" i="48"/>
  <c r="E319" i="48" s="1"/>
  <c r="E341" i="48"/>
  <c r="E342" i="48" s="1"/>
  <c r="D326" i="46"/>
  <c r="D325" i="46"/>
  <c r="E314" i="46"/>
  <c r="E313" i="46"/>
  <c r="E312" i="46"/>
  <c r="E311" i="46"/>
  <c r="E310" i="46"/>
  <c r="E315" i="46"/>
  <c r="N154" i="54"/>
  <c r="O153" i="54"/>
  <c r="AP56" i="45"/>
  <c r="AP55" i="45"/>
  <c r="AP30" i="45"/>
  <c r="K179" i="48"/>
  <c r="K178" i="48"/>
  <c r="K183" i="48" s="1"/>
  <c r="K177" i="48"/>
  <c r="K182" i="48" s="1"/>
  <c r="K176" i="48"/>
  <c r="K181" i="48" s="1"/>
  <c r="K175" i="48"/>
  <c r="K180" i="48" s="1"/>
  <c r="N258" i="46"/>
  <c r="O257" i="46"/>
  <c r="M29" i="48"/>
  <c r="D341" i="48"/>
  <c r="D342" i="48" s="1"/>
  <c r="D318" i="48"/>
  <c r="D319" i="48" s="1"/>
  <c r="AL100" i="45"/>
  <c r="AL113" i="45"/>
  <c r="E322" i="46"/>
  <c r="E321" i="46"/>
  <c r="E324" i="46"/>
  <c r="E323" i="46"/>
  <c r="D332" i="46"/>
  <c r="D331" i="46"/>
  <c r="D343" i="46" s="1"/>
  <c r="D344" i="46" s="1"/>
  <c r="G275" i="46"/>
  <c r="F308" i="46"/>
  <c r="F309" i="46" s="1"/>
  <c r="G33" i="48"/>
  <c r="G39" i="48" s="1"/>
  <c r="AN75" i="45"/>
  <c r="P22" i="46"/>
  <c r="O28" i="46"/>
  <c r="T134" i="53"/>
  <c r="T138" i="53"/>
  <c r="T139" i="53" s="1"/>
  <c r="U69" i="51" s="1"/>
  <c r="T136" i="53"/>
  <c r="T137" i="53" s="1"/>
  <c r="U63" i="51" s="1"/>
  <c r="K33" i="45"/>
  <c r="O25" i="48"/>
  <c r="O40" i="48" s="1"/>
  <c r="P19" i="48"/>
  <c r="AR89" i="45"/>
  <c r="AK116" i="45"/>
  <c r="K158" i="48"/>
  <c r="K163" i="48" s="1"/>
  <c r="K157" i="48"/>
  <c r="K162" i="48" s="1"/>
  <c r="K156" i="48"/>
  <c r="K161" i="48" s="1"/>
  <c r="K155" i="48"/>
  <c r="K160" i="48" s="1"/>
  <c r="K159" i="48"/>
  <c r="Q59" i="14"/>
  <c r="N94" i="46"/>
  <c r="N93" i="46"/>
  <c r="N98" i="46" s="1"/>
  <c r="N92" i="46"/>
  <c r="N97" i="46" s="1"/>
  <c r="N91" i="46"/>
  <c r="N90" i="46"/>
  <c r="N95" i="46" s="1"/>
  <c r="N89" i="48"/>
  <c r="N24" i="48"/>
  <c r="O18" i="48"/>
  <c r="K227" i="48"/>
  <c r="K232" i="48" s="1"/>
  <c r="K231" i="48"/>
  <c r="K230" i="48"/>
  <c r="K235" i="48" s="1"/>
  <c r="K229" i="48"/>
  <c r="K234" i="48" s="1"/>
  <c r="K228" i="48"/>
  <c r="K233" i="48" s="1"/>
  <c r="M204" i="48"/>
  <c r="M203" i="48"/>
  <c r="D317" i="48"/>
  <c r="D320" i="48"/>
  <c r="AT40" i="45"/>
  <c r="AT39" i="45"/>
  <c r="L31" i="48"/>
  <c r="L306" i="48"/>
  <c r="P240" i="48"/>
  <c r="O241" i="48"/>
  <c r="F335" i="46"/>
  <c r="F334" i="46"/>
  <c r="F337" i="46"/>
  <c r="F336" i="46"/>
  <c r="F339" i="46"/>
  <c r="F338" i="46"/>
  <c r="O62" i="54"/>
  <c r="O61" i="54"/>
  <c r="P60" i="54"/>
  <c r="O67" i="54"/>
  <c r="O66" i="54"/>
  <c r="O73" i="54" s="1"/>
  <c r="O74" i="54" s="1"/>
  <c r="O65" i="54"/>
  <c r="O64" i="54"/>
  <c r="AN70" i="45"/>
  <c r="S135" i="53"/>
  <c r="T56" i="51"/>
  <c r="H71" i="45"/>
  <c r="AO34" i="45"/>
  <c r="AO67" i="45"/>
  <c r="P36" i="53"/>
  <c r="U42" i="53" s="1"/>
  <c r="Q55" i="51"/>
  <c r="P19" i="46"/>
  <c r="O25" i="46"/>
  <c r="O40" i="46" s="1"/>
  <c r="P60" i="48"/>
  <c r="O67" i="48"/>
  <c r="O66" i="48"/>
  <c r="O65" i="48"/>
  <c r="O64" i="48"/>
  <c r="O62" i="48"/>
  <c r="O61" i="48"/>
  <c r="O39" i="45"/>
  <c r="AU38" i="45"/>
  <c r="P38" i="45"/>
  <c r="O40" i="45"/>
  <c r="D335" i="46"/>
  <c r="D339" i="46"/>
  <c r="D338" i="46"/>
  <c r="D337" i="46"/>
  <c r="D334" i="46"/>
  <c r="D336" i="46"/>
  <c r="O62" i="53"/>
  <c r="O61" i="53"/>
  <c r="P60" i="53"/>
  <c r="O67" i="53"/>
  <c r="O66" i="53"/>
  <c r="O73" i="53" s="1"/>
  <c r="O74" i="53" s="1"/>
  <c r="O64" i="53"/>
  <c r="O65" i="53"/>
  <c r="M18" i="45"/>
  <c r="S32" i="51"/>
  <c r="S31" i="51"/>
  <c r="AY30" i="51"/>
  <c r="S34" i="51"/>
  <c r="T30" i="51"/>
  <c r="AM78" i="45"/>
  <c r="O36" i="54"/>
  <c r="T42" i="54" s="1"/>
  <c r="AV55" i="51"/>
  <c r="G113" i="46"/>
  <c r="G118" i="46" s="1"/>
  <c r="G112" i="46"/>
  <c r="G117" i="46" s="1"/>
  <c r="G111" i="46"/>
  <c r="G116" i="46" s="1"/>
  <c r="G110" i="46"/>
  <c r="G115" i="46" s="1"/>
  <c r="G114" i="46"/>
  <c r="H97" i="45" s="1"/>
  <c r="G109" i="48"/>
  <c r="G274" i="46"/>
  <c r="K55" i="45"/>
  <c r="K56" i="45"/>
  <c r="K30" i="45"/>
  <c r="K166" i="48"/>
  <c r="K171" i="48" s="1"/>
  <c r="K165" i="48"/>
  <c r="K170" i="48" s="1"/>
  <c r="K167" i="48"/>
  <c r="K172" i="48" s="1"/>
  <c r="K169" i="48"/>
  <c r="K168" i="48"/>
  <c r="K173" i="48" s="1"/>
  <c r="H34" i="46"/>
  <c r="I26" i="45"/>
  <c r="I25" i="45"/>
  <c r="I24" i="45"/>
  <c r="I82" i="45"/>
  <c r="E118" i="45"/>
  <c r="M144" i="46"/>
  <c r="O66" i="46"/>
  <c r="O89" i="46" s="1"/>
  <c r="O65" i="46"/>
  <c r="O64" i="46"/>
  <c r="O62" i="46"/>
  <c r="O61" i="46"/>
  <c r="P60" i="46"/>
  <c r="O67" i="46"/>
  <c r="AK78" i="45"/>
  <c r="M142" i="48"/>
  <c r="M141" i="48"/>
  <c r="M140" i="48"/>
  <c r="L246" i="48"/>
  <c r="L251" i="48" s="1"/>
  <c r="L245" i="48"/>
  <c r="L250" i="48" s="1"/>
  <c r="L244" i="48"/>
  <c r="L249" i="48" s="1"/>
  <c r="L247" i="48"/>
  <c r="L252" i="48" s="1"/>
  <c r="L248" i="48"/>
  <c r="O241" i="46"/>
  <c r="P240" i="46"/>
  <c r="P22" i="48"/>
  <c r="O28" i="48"/>
  <c r="N17" i="45"/>
  <c r="AT16" i="45"/>
  <c r="O16" i="45"/>
  <c r="M202" i="46"/>
  <c r="M216" i="46"/>
  <c r="M206" i="46"/>
  <c r="M226" i="46"/>
  <c r="G103" i="46"/>
  <c r="G108" i="46" s="1"/>
  <c r="G102" i="46"/>
  <c r="G107" i="46" s="1"/>
  <c r="G101" i="46"/>
  <c r="G106" i="46" s="1"/>
  <c r="G100" i="46"/>
  <c r="G105" i="46" s="1"/>
  <c r="G104" i="46"/>
  <c r="H106" i="45" s="1"/>
  <c r="G99" i="48"/>
  <c r="E115" i="45"/>
  <c r="L149" i="48"/>
  <c r="L148" i="48"/>
  <c r="L153" i="48" s="1"/>
  <c r="L147" i="48"/>
  <c r="L152" i="48" s="1"/>
  <c r="L146" i="48"/>
  <c r="L151" i="48" s="1"/>
  <c r="L145" i="48"/>
  <c r="L150" i="48" s="1"/>
  <c r="AL114" i="45"/>
  <c r="AL78" i="45"/>
  <c r="H72" i="45"/>
  <c r="K149" i="48"/>
  <c r="K148" i="48"/>
  <c r="K153" i="48" s="1"/>
  <c r="K147" i="48"/>
  <c r="K152" i="48" s="1"/>
  <c r="K146" i="48"/>
  <c r="K151" i="48" s="1"/>
  <c r="K145" i="48"/>
  <c r="K150" i="48" s="1"/>
  <c r="AM87" i="45"/>
  <c r="AM73" i="45"/>
  <c r="L231" i="46"/>
  <c r="M108" i="45" s="1"/>
  <c r="L230" i="46"/>
  <c r="L235" i="46" s="1"/>
  <c r="L229" i="46"/>
  <c r="L234" i="46" s="1"/>
  <c r="L228" i="46"/>
  <c r="L233" i="46" s="1"/>
  <c r="L227" i="46"/>
  <c r="L232" i="46" s="1"/>
  <c r="L226" i="48"/>
  <c r="E308" i="48"/>
  <c r="E309" i="48" s="1"/>
  <c r="F275" i="48"/>
  <c r="L28" i="45"/>
  <c r="AR27" i="45"/>
  <c r="M27" i="45"/>
  <c r="L31" i="45"/>
  <c r="L29" i="45"/>
  <c r="L32" i="45"/>
  <c r="L54" i="45"/>
  <c r="P21" i="46"/>
  <c r="O27" i="46"/>
  <c r="O42" i="46" s="1"/>
  <c r="AR77" i="45"/>
  <c r="P21" i="48"/>
  <c r="O27" i="48"/>
  <c r="O42" i="48" s="1"/>
  <c r="K211" i="48"/>
  <c r="K210" i="48"/>
  <c r="K215" i="48" s="1"/>
  <c r="K209" i="48"/>
  <c r="K214" i="48" s="1"/>
  <c r="K208" i="48"/>
  <c r="K213" i="48" s="1"/>
  <c r="K207" i="48"/>
  <c r="K212" i="48" s="1"/>
  <c r="I70" i="45"/>
  <c r="E116" i="45"/>
  <c r="N63" i="46"/>
  <c r="O136" i="48"/>
  <c r="N138" i="48"/>
  <c r="N137" i="48"/>
  <c r="N201" i="48"/>
  <c r="N200" i="48"/>
  <c r="AP23" i="45" l="1"/>
  <c r="AK114" i="45"/>
  <c r="N95" i="45"/>
  <c r="AN72" i="45"/>
  <c r="Q39" i="20"/>
  <c r="V45" i="20" s="1"/>
  <c r="V173" i="20" s="1"/>
  <c r="M244" i="48"/>
  <c r="M249" i="48" s="1"/>
  <c r="M245" i="48"/>
  <c r="M250" i="48" s="1"/>
  <c r="M246" i="48"/>
  <c r="M251" i="48" s="1"/>
  <c r="G100" i="45"/>
  <c r="AM97" i="45"/>
  <c r="AM102" i="45"/>
  <c r="AM103" i="45"/>
  <c r="AM101" i="45"/>
  <c r="G101" i="45"/>
  <c r="G102" i="45"/>
  <c r="G103" i="45"/>
  <c r="F111" i="48"/>
  <c r="F116" i="48" s="1"/>
  <c r="F113" i="48"/>
  <c r="F118" i="48" s="1"/>
  <c r="F114" i="48"/>
  <c r="F112" i="48"/>
  <c r="F117" i="48" s="1"/>
  <c r="F110" i="48"/>
  <c r="F115" i="48" s="1"/>
  <c r="R60" i="12"/>
  <c r="R112" i="12"/>
  <c r="R56" i="12"/>
  <c r="V179" i="20"/>
  <c r="V185" i="20"/>
  <c r="V130" i="19"/>
  <c r="W125" i="12"/>
  <c r="R61" i="12"/>
  <c r="V133" i="19"/>
  <c r="L37" i="45"/>
  <c r="BA69" i="51"/>
  <c r="V131" i="19"/>
  <c r="J59" i="45"/>
  <c r="AN71" i="45"/>
  <c r="AN73" i="45"/>
  <c r="S55" i="12"/>
  <c r="AM93" i="45"/>
  <c r="G93" i="45"/>
  <c r="AM94" i="45"/>
  <c r="G94" i="45"/>
  <c r="AO25" i="45"/>
  <c r="AO82" i="45"/>
  <c r="H34" i="48"/>
  <c r="AO24" i="45"/>
  <c r="AO26" i="45"/>
  <c r="AT96" i="45"/>
  <c r="I84" i="45"/>
  <c r="AO70" i="45"/>
  <c r="V132" i="19"/>
  <c r="AS69" i="45"/>
  <c r="AU96" i="45"/>
  <c r="V129" i="19"/>
  <c r="V128" i="19" s="1"/>
  <c r="AS99" i="45"/>
  <c r="S134" i="54"/>
  <c r="S135" i="54" s="1"/>
  <c r="S138" i="54"/>
  <c r="S139" i="54" s="1"/>
  <c r="S136" i="54"/>
  <c r="S137" i="54" s="1"/>
  <c r="U129" i="19"/>
  <c r="U128" i="19" s="1"/>
  <c r="U132" i="19"/>
  <c r="U173" i="20"/>
  <c r="V125" i="12"/>
  <c r="U179" i="20"/>
  <c r="U133" i="19"/>
  <c r="U185" i="20"/>
  <c r="U131" i="19"/>
  <c r="U130" i="19"/>
  <c r="R35" i="51"/>
  <c r="J84" i="45"/>
  <c r="AS95" i="45"/>
  <c r="AN84" i="45"/>
  <c r="F317" i="46"/>
  <c r="F320" i="46"/>
  <c r="BA63" i="51"/>
  <c r="L23" i="45"/>
  <c r="AS108" i="45"/>
  <c r="AN106" i="45"/>
  <c r="AZ56" i="51"/>
  <c r="AQ36" i="45"/>
  <c r="AS105" i="45"/>
  <c r="N42" i="45"/>
  <c r="S55" i="14"/>
  <c r="AN85" i="45"/>
  <c r="K23" i="45"/>
  <c r="AM109" i="45"/>
  <c r="N69" i="45"/>
  <c r="AS107" i="45"/>
  <c r="AS98" i="45"/>
  <c r="AN86" i="45"/>
  <c r="Q58" i="12"/>
  <c r="F82" i="48"/>
  <c r="F87" i="48" s="1"/>
  <c r="F81" i="48"/>
  <c r="F86" i="48" s="1"/>
  <c r="F274" i="48"/>
  <c r="F80" i="48"/>
  <c r="F85" i="48" s="1"/>
  <c r="F84" i="48"/>
  <c r="F83" i="48"/>
  <c r="F88" i="48" s="1"/>
  <c r="P59" i="14"/>
  <c r="AW35" i="51"/>
  <c r="H37" i="48"/>
  <c r="M43" i="48" s="1"/>
  <c r="AN87" i="45"/>
  <c r="Q57" i="12"/>
  <c r="G113" i="45"/>
  <c r="AM90" i="45"/>
  <c r="G91" i="45"/>
  <c r="N246" i="46"/>
  <c r="N251" i="46" s="1"/>
  <c r="N43" i="45"/>
  <c r="N44" i="45"/>
  <c r="M35" i="46"/>
  <c r="O243" i="46"/>
  <c r="O247" i="46" s="1"/>
  <c r="O252" i="46" s="1"/>
  <c r="C349" i="46"/>
  <c r="L35" i="48"/>
  <c r="AO58" i="45"/>
  <c r="AO59" i="45"/>
  <c r="AS43" i="45"/>
  <c r="AP68" i="45"/>
  <c r="J70" i="45"/>
  <c r="AO104" i="45"/>
  <c r="AS44" i="45"/>
  <c r="AO60" i="45"/>
  <c r="AP34" i="45"/>
  <c r="AS42" i="45"/>
  <c r="N244" i="46"/>
  <c r="N249" i="46" s="1"/>
  <c r="N245" i="46"/>
  <c r="N250" i="46" s="1"/>
  <c r="AP67" i="45"/>
  <c r="N243" i="48"/>
  <c r="N248" i="48" s="1"/>
  <c r="N247" i="46"/>
  <c r="N252" i="46" s="1"/>
  <c r="N202" i="48"/>
  <c r="I37" i="46"/>
  <c r="N43" i="46" s="1"/>
  <c r="N260" i="46" s="1"/>
  <c r="AP57" i="45"/>
  <c r="O63" i="53"/>
  <c r="I33" i="46"/>
  <c r="I39" i="46" s="1"/>
  <c r="J75" i="45"/>
  <c r="L35" i="45"/>
  <c r="AT41" i="45"/>
  <c r="AQ30" i="45"/>
  <c r="L36" i="45"/>
  <c r="C329" i="46"/>
  <c r="C333" i="46" s="1"/>
  <c r="C330" i="46"/>
  <c r="D345" i="46"/>
  <c r="D348" i="46" s="1"/>
  <c r="C354" i="46"/>
  <c r="C361" i="46" s="1"/>
  <c r="H112" i="45"/>
  <c r="T53" i="12"/>
  <c r="T53" i="14"/>
  <c r="O63" i="46"/>
  <c r="AQ35" i="45"/>
  <c r="H111" i="45"/>
  <c r="AQ37" i="45"/>
  <c r="J58" i="45"/>
  <c r="J60" i="45"/>
  <c r="N139" i="48"/>
  <c r="O41" i="45"/>
  <c r="K57" i="45"/>
  <c r="N18" i="45"/>
  <c r="O63" i="54"/>
  <c r="J104" i="45"/>
  <c r="E334" i="48"/>
  <c r="E339" i="48"/>
  <c r="E338" i="48"/>
  <c r="E337" i="48"/>
  <c r="E336" i="48"/>
  <c r="E335" i="48"/>
  <c r="N142" i="48"/>
  <c r="N141" i="48"/>
  <c r="N140" i="48"/>
  <c r="L33" i="45"/>
  <c r="Q60" i="46"/>
  <c r="P67" i="46"/>
  <c r="P66" i="46"/>
  <c r="P89" i="46" s="1"/>
  <c r="P65" i="46"/>
  <c r="P64" i="46"/>
  <c r="P62" i="46"/>
  <c r="P61" i="46"/>
  <c r="I87" i="45"/>
  <c r="I73" i="45"/>
  <c r="P64" i="53"/>
  <c r="P62" i="53"/>
  <c r="P61" i="53"/>
  <c r="Q60" i="53"/>
  <c r="P67" i="53"/>
  <c r="P65" i="53"/>
  <c r="P66" i="53"/>
  <c r="P73" i="53" s="1"/>
  <c r="P74" i="53" s="1"/>
  <c r="O63" i="48"/>
  <c r="N91" i="48"/>
  <c r="N90" i="48"/>
  <c r="N95" i="48" s="1"/>
  <c r="N94" i="48"/>
  <c r="N93" i="48"/>
  <c r="N98" i="48" s="1"/>
  <c r="N92" i="48"/>
  <c r="N97" i="48" s="1"/>
  <c r="Q22" i="46"/>
  <c r="P28" i="46"/>
  <c r="N139" i="46"/>
  <c r="Q20" i="46"/>
  <c r="P26" i="46"/>
  <c r="P41" i="46" s="1"/>
  <c r="C353" i="48"/>
  <c r="C354" i="48" s="1"/>
  <c r="P18" i="46"/>
  <c r="O24" i="46"/>
  <c r="AK115" i="45"/>
  <c r="G84" i="48"/>
  <c r="G83" i="48"/>
  <c r="G88" i="48" s="1"/>
  <c r="G82" i="48"/>
  <c r="G87" i="48" s="1"/>
  <c r="G81" i="48"/>
  <c r="G86" i="48" s="1"/>
  <c r="G80" i="48"/>
  <c r="G85" i="48" s="1"/>
  <c r="P36" i="54"/>
  <c r="U42" i="54" s="1"/>
  <c r="M31" i="46"/>
  <c r="M306" i="46"/>
  <c r="BZ4" i="55"/>
  <c r="L211" i="48"/>
  <c r="L210" i="48"/>
  <c r="L215" i="48" s="1"/>
  <c r="L209" i="48"/>
  <c r="L214" i="48" s="1"/>
  <c r="L208" i="48"/>
  <c r="L213" i="48" s="1"/>
  <c r="L207" i="48"/>
  <c r="L212" i="48" s="1"/>
  <c r="AN76" i="45"/>
  <c r="H78" i="45"/>
  <c r="J86" i="45"/>
  <c r="R57" i="14"/>
  <c r="G101" i="48"/>
  <c r="G106" i="48" s="1"/>
  <c r="G100" i="48"/>
  <c r="G105" i="48" s="1"/>
  <c r="G104" i="48"/>
  <c r="G103" i="48"/>
  <c r="G108" i="48" s="1"/>
  <c r="G102" i="48"/>
  <c r="G107" i="48" s="1"/>
  <c r="M231" i="46"/>
  <c r="N108" i="45" s="1"/>
  <c r="M230" i="46"/>
  <c r="M235" i="46" s="1"/>
  <c r="M229" i="46"/>
  <c r="M234" i="46" s="1"/>
  <c r="M228" i="46"/>
  <c r="M233" i="46" s="1"/>
  <c r="M227" i="46"/>
  <c r="M232" i="46" s="1"/>
  <c r="M226" i="48"/>
  <c r="G318" i="46"/>
  <c r="G319" i="46" s="1"/>
  <c r="G341" i="46"/>
  <c r="G342" i="46" s="1"/>
  <c r="T136" i="54"/>
  <c r="T137" i="54" s="1"/>
  <c r="T134" i="54"/>
  <c r="T135" i="54" s="1"/>
  <c r="T138" i="54"/>
  <c r="T139" i="54" s="1"/>
  <c r="AY31" i="51"/>
  <c r="AY34" i="51"/>
  <c r="AY32" i="51"/>
  <c r="U134" i="53"/>
  <c r="U138" i="53"/>
  <c r="U139" i="53" s="1"/>
  <c r="V69" i="51" s="1"/>
  <c r="U136" i="53"/>
  <c r="U137" i="53" s="1"/>
  <c r="V63" i="51" s="1"/>
  <c r="P241" i="48"/>
  <c r="Q240" i="48"/>
  <c r="AR19" i="45"/>
  <c r="AR20" i="45"/>
  <c r="AN110" i="45"/>
  <c r="AS77" i="45"/>
  <c r="U52" i="12"/>
  <c r="U51" i="12"/>
  <c r="U54" i="12"/>
  <c r="V50" i="12"/>
  <c r="L159" i="48"/>
  <c r="L158" i="48"/>
  <c r="L163" i="48" s="1"/>
  <c r="L157" i="48"/>
  <c r="L162" i="48" s="1"/>
  <c r="L156" i="48"/>
  <c r="L161" i="48" s="1"/>
  <c r="L155" i="48"/>
  <c r="L160" i="48" s="1"/>
  <c r="J87" i="45"/>
  <c r="J73" i="45"/>
  <c r="Q21" i="46"/>
  <c r="P27" i="46"/>
  <c r="P42" i="46" s="1"/>
  <c r="M211" i="46"/>
  <c r="N89" i="45" s="1"/>
  <c r="M210" i="46"/>
  <c r="M215" i="46" s="1"/>
  <c r="M209" i="46"/>
  <c r="M214" i="46" s="1"/>
  <c r="M208" i="46"/>
  <c r="M213" i="46" s="1"/>
  <c r="M207" i="46"/>
  <c r="M212" i="46" s="1"/>
  <c r="M206" i="48"/>
  <c r="G112" i="48"/>
  <c r="G117" i="48" s="1"/>
  <c r="G110" i="48"/>
  <c r="G115" i="48" s="1"/>
  <c r="G111" i="48"/>
  <c r="G116" i="48" s="1"/>
  <c r="G114" i="48"/>
  <c r="G113" i="48"/>
  <c r="G118" i="48" s="1"/>
  <c r="G274" i="48"/>
  <c r="M20" i="45"/>
  <c r="M19" i="45"/>
  <c r="P39" i="45"/>
  <c r="AV38" i="45"/>
  <c r="Q38" i="45"/>
  <c r="P40" i="45"/>
  <c r="D339" i="48"/>
  <c r="D338" i="48"/>
  <c r="D337" i="48"/>
  <c r="D336" i="48"/>
  <c r="D335" i="48"/>
  <c r="D334" i="48"/>
  <c r="F315" i="46"/>
  <c r="F314" i="46"/>
  <c r="F313" i="46"/>
  <c r="F312" i="46"/>
  <c r="F311" i="46"/>
  <c r="F310" i="46"/>
  <c r="AN111" i="45"/>
  <c r="E324" i="48"/>
  <c r="E323" i="48"/>
  <c r="E322" i="48"/>
  <c r="E321" i="48"/>
  <c r="L221" i="48"/>
  <c r="L220" i="48"/>
  <c r="L225" i="48" s="1"/>
  <c r="L219" i="48"/>
  <c r="L224" i="48" s="1"/>
  <c r="L218" i="48"/>
  <c r="L223" i="48" s="1"/>
  <c r="L217" i="48"/>
  <c r="L222" i="48" s="1"/>
  <c r="AN90" i="45"/>
  <c r="H91" i="45"/>
  <c r="AQ33" i="45"/>
  <c r="L55" i="45"/>
  <c r="L56" i="45"/>
  <c r="M28" i="45"/>
  <c r="AS27" i="45"/>
  <c r="N27" i="45"/>
  <c r="M32" i="45"/>
  <c r="M31" i="45"/>
  <c r="M29" i="45"/>
  <c r="M54" i="45"/>
  <c r="M221" i="46"/>
  <c r="N99" i="45" s="1"/>
  <c r="M220" i="46"/>
  <c r="M225" i="46" s="1"/>
  <c r="M219" i="46"/>
  <c r="M224" i="46" s="1"/>
  <c r="M218" i="46"/>
  <c r="M223" i="46" s="1"/>
  <c r="M217" i="46"/>
  <c r="M222" i="46" s="1"/>
  <c r="M216" i="48"/>
  <c r="O17" i="45"/>
  <c r="AU16" i="45"/>
  <c r="P16" i="45"/>
  <c r="AN97" i="45"/>
  <c r="H100" i="45"/>
  <c r="H113" i="45"/>
  <c r="S33" i="51"/>
  <c r="AU40" i="45"/>
  <c r="AU39" i="45"/>
  <c r="H110" i="45"/>
  <c r="AN112" i="45"/>
  <c r="D324" i="48"/>
  <c r="D323" i="48"/>
  <c r="D322" i="48"/>
  <c r="D321" i="48"/>
  <c r="P25" i="48"/>
  <c r="P40" i="48" s="1"/>
  <c r="Q19" i="48"/>
  <c r="G308" i="46"/>
  <c r="G309" i="46" s="1"/>
  <c r="H275" i="46"/>
  <c r="P26" i="48"/>
  <c r="P41" i="48" s="1"/>
  <c r="Q20" i="48"/>
  <c r="AQ21" i="45"/>
  <c r="G324" i="46"/>
  <c r="G323" i="46"/>
  <c r="G322" i="46"/>
  <c r="G321" i="46"/>
  <c r="M157" i="46"/>
  <c r="M162" i="46" s="1"/>
  <c r="M156" i="46"/>
  <c r="M161" i="46" s="1"/>
  <c r="M155" i="46"/>
  <c r="M160" i="46" s="1"/>
  <c r="M159" i="46"/>
  <c r="N98" i="45" s="1"/>
  <c r="M158" i="46"/>
  <c r="M163" i="46" s="1"/>
  <c r="M154" i="48"/>
  <c r="V190" i="20"/>
  <c r="V152" i="19" s="1"/>
  <c r="V189" i="20"/>
  <c r="V151" i="19" s="1"/>
  <c r="V188" i="20"/>
  <c r="V150" i="19" s="1"/>
  <c r="V187" i="20"/>
  <c r="V149" i="19" s="1"/>
  <c r="V186" i="20"/>
  <c r="V148" i="19" s="1"/>
  <c r="V147" i="19"/>
  <c r="W137" i="14" s="1"/>
  <c r="W137" i="12"/>
  <c r="AN94" i="45"/>
  <c r="H94" i="45"/>
  <c r="AN93" i="45"/>
  <c r="H93" i="45"/>
  <c r="G74" i="48"/>
  <c r="G73" i="48"/>
  <c r="G78" i="48" s="1"/>
  <c r="G72" i="48"/>
  <c r="G77" i="48" s="1"/>
  <c r="G71" i="48"/>
  <c r="G76" i="48" s="1"/>
  <c r="G70" i="48"/>
  <c r="G75" i="48" s="1"/>
  <c r="F326" i="48"/>
  <c r="F325" i="48"/>
  <c r="AR28" i="45"/>
  <c r="AR29" i="45"/>
  <c r="AR31" i="45"/>
  <c r="AR32" i="45"/>
  <c r="AR54" i="45"/>
  <c r="L227" i="48"/>
  <c r="L232" i="48" s="1"/>
  <c r="L231" i="48"/>
  <c r="L230" i="48"/>
  <c r="L235" i="48" s="1"/>
  <c r="L229" i="48"/>
  <c r="L234" i="48" s="1"/>
  <c r="L228" i="48"/>
  <c r="L233" i="48" s="1"/>
  <c r="AT17" i="45"/>
  <c r="K34" i="45"/>
  <c r="K67" i="45"/>
  <c r="H109" i="45"/>
  <c r="AN103" i="45"/>
  <c r="AN102" i="45"/>
  <c r="H103" i="45"/>
  <c r="H102" i="45"/>
  <c r="H101" i="45"/>
  <c r="AN101" i="45"/>
  <c r="I34" i="48"/>
  <c r="AP26" i="45"/>
  <c r="AP25" i="45"/>
  <c r="AP24" i="45"/>
  <c r="AP82" i="45"/>
  <c r="P64" i="54"/>
  <c r="P62" i="54"/>
  <c r="P61" i="54"/>
  <c r="Q60" i="54"/>
  <c r="P67" i="54"/>
  <c r="P66" i="54"/>
  <c r="P73" i="54" s="1"/>
  <c r="P74" i="54" s="1"/>
  <c r="P65" i="54"/>
  <c r="AT95" i="45"/>
  <c r="N149" i="46"/>
  <c r="O83" i="45" s="1"/>
  <c r="N148" i="46"/>
  <c r="N153" i="46" s="1"/>
  <c r="N147" i="46"/>
  <c r="N152" i="46" s="1"/>
  <c r="N146" i="46"/>
  <c r="N151" i="46" s="1"/>
  <c r="N145" i="46"/>
  <c r="N150" i="46" s="1"/>
  <c r="N144" i="48"/>
  <c r="N206" i="46"/>
  <c r="N202" i="46"/>
  <c r="N216" i="46"/>
  <c r="N226" i="46"/>
  <c r="M262" i="46"/>
  <c r="M267" i="46" s="1"/>
  <c r="M261" i="46"/>
  <c r="M266" i="46" s="1"/>
  <c r="M265" i="46"/>
  <c r="N105" i="45" s="1"/>
  <c r="M264" i="46"/>
  <c r="M269" i="46" s="1"/>
  <c r="M263" i="46"/>
  <c r="M268" i="46" s="1"/>
  <c r="M260" i="48"/>
  <c r="V50" i="14"/>
  <c r="U52" i="14"/>
  <c r="U51" i="14"/>
  <c r="U54" i="14"/>
  <c r="O154" i="53"/>
  <c r="P153" i="53"/>
  <c r="M169" i="46"/>
  <c r="N77" i="45" s="1"/>
  <c r="M168" i="46"/>
  <c r="M173" i="46" s="1"/>
  <c r="M167" i="46"/>
  <c r="M172" i="46" s="1"/>
  <c r="M166" i="46"/>
  <c r="M171" i="46" s="1"/>
  <c r="M165" i="46"/>
  <c r="M170" i="46" s="1"/>
  <c r="M164" i="48"/>
  <c r="V184" i="20"/>
  <c r="V146" i="19" s="1"/>
  <c r="V183" i="20"/>
  <c r="V145" i="19" s="1"/>
  <c r="V182" i="20"/>
  <c r="V144" i="19" s="1"/>
  <c r="V181" i="20"/>
  <c r="V143" i="19" s="1"/>
  <c r="V180" i="20"/>
  <c r="V142" i="19" s="1"/>
  <c r="V141" i="19"/>
  <c r="W125" i="14" s="1"/>
  <c r="L167" i="48"/>
  <c r="L172" i="48" s="1"/>
  <c r="L166" i="48"/>
  <c r="L171" i="48" s="1"/>
  <c r="L165" i="48"/>
  <c r="L170" i="48" s="1"/>
  <c r="L168" i="48"/>
  <c r="L173" i="48" s="1"/>
  <c r="L169" i="48"/>
  <c r="C330" i="48"/>
  <c r="C329" i="48"/>
  <c r="C333" i="48" s="1"/>
  <c r="AQ55" i="45"/>
  <c r="AQ56" i="45"/>
  <c r="H80" i="45"/>
  <c r="AN79" i="45"/>
  <c r="H81" i="45"/>
  <c r="AN80" i="45"/>
  <c r="H79" i="45"/>
  <c r="AN81" i="45"/>
  <c r="F332" i="48"/>
  <c r="F331" i="48"/>
  <c r="F343" i="48" s="1"/>
  <c r="O137" i="48"/>
  <c r="P136" i="48"/>
  <c r="O138" i="48"/>
  <c r="O200" i="48"/>
  <c r="O201" i="48"/>
  <c r="L30" i="45"/>
  <c r="O94" i="46"/>
  <c r="O93" i="46"/>
  <c r="O98" i="46" s="1"/>
  <c r="O92" i="46"/>
  <c r="O97" i="46" s="1"/>
  <c r="O91" i="46"/>
  <c r="O90" i="46"/>
  <c r="O95" i="46" s="1"/>
  <c r="O89" i="48"/>
  <c r="Q19" i="46"/>
  <c r="P25" i="46"/>
  <c r="P40" i="46" s="1"/>
  <c r="O24" i="48"/>
  <c r="P18" i="48"/>
  <c r="G44" i="48"/>
  <c r="E326" i="46"/>
  <c r="E325" i="46"/>
  <c r="O258" i="46"/>
  <c r="P257" i="46"/>
  <c r="P153" i="54"/>
  <c r="O154" i="54"/>
  <c r="N204" i="46"/>
  <c r="N203" i="46"/>
  <c r="M178" i="46"/>
  <c r="M183" i="46" s="1"/>
  <c r="M177" i="46"/>
  <c r="M182" i="46" s="1"/>
  <c r="M176" i="46"/>
  <c r="M181" i="46" s="1"/>
  <c r="M175" i="46"/>
  <c r="M180" i="46" s="1"/>
  <c r="M179" i="46"/>
  <c r="N107" i="45" s="1"/>
  <c r="M174" i="48"/>
  <c r="C349" i="48"/>
  <c r="AS89" i="45"/>
  <c r="G275" i="48"/>
  <c r="F308" i="48"/>
  <c r="F309" i="48" s="1"/>
  <c r="I71" i="45"/>
  <c r="I85" i="45"/>
  <c r="Q60" i="48"/>
  <c r="P67" i="48"/>
  <c r="P66" i="48"/>
  <c r="P65" i="48"/>
  <c r="P64" i="48"/>
  <c r="P62" i="48"/>
  <c r="P61" i="48"/>
  <c r="H33" i="48"/>
  <c r="H39" i="48" s="1"/>
  <c r="AO75" i="45"/>
  <c r="N29" i="48"/>
  <c r="K68" i="45"/>
  <c r="T135" i="53"/>
  <c r="U56" i="51"/>
  <c r="E332" i="46"/>
  <c r="E331" i="46"/>
  <c r="M31" i="48"/>
  <c r="M306" i="48"/>
  <c r="N140" i="46"/>
  <c r="N154" i="46" s="1"/>
  <c r="N141" i="46"/>
  <c r="N164" i="46" s="1"/>
  <c r="N142" i="46"/>
  <c r="N174" i="46" s="1"/>
  <c r="L179" i="48"/>
  <c r="L178" i="48"/>
  <c r="L183" i="48" s="1"/>
  <c r="L177" i="48"/>
  <c r="L182" i="48" s="1"/>
  <c r="L176" i="48"/>
  <c r="L181" i="48" s="1"/>
  <c r="L175" i="48"/>
  <c r="L180" i="48" s="1"/>
  <c r="O258" i="48"/>
  <c r="P257" i="48"/>
  <c r="H44" i="46"/>
  <c r="H271" i="46" s="1"/>
  <c r="H79" i="46"/>
  <c r="H69" i="46"/>
  <c r="H99" i="46"/>
  <c r="H109" i="46"/>
  <c r="AO71" i="45"/>
  <c r="AX33" i="51"/>
  <c r="L265" i="48"/>
  <c r="L264" i="48"/>
  <c r="L269" i="48" s="1"/>
  <c r="L263" i="48"/>
  <c r="L268" i="48" s="1"/>
  <c r="L262" i="48"/>
  <c r="L267" i="48" s="1"/>
  <c r="L261" i="48"/>
  <c r="L266" i="48" s="1"/>
  <c r="N204" i="48"/>
  <c r="N203" i="48"/>
  <c r="Q21" i="48"/>
  <c r="P27" i="48"/>
  <c r="P42" i="48" s="1"/>
  <c r="E312" i="48"/>
  <c r="E311" i="48"/>
  <c r="E310" i="48"/>
  <c r="E315" i="48"/>
  <c r="E313" i="48"/>
  <c r="E314" i="48"/>
  <c r="Q22" i="48"/>
  <c r="P28" i="48"/>
  <c r="Q240" i="46"/>
  <c r="P241" i="46"/>
  <c r="M149" i="46"/>
  <c r="N83" i="45" s="1"/>
  <c r="M148" i="46"/>
  <c r="M153" i="46" s="1"/>
  <c r="M147" i="46"/>
  <c r="M152" i="46" s="1"/>
  <c r="M146" i="46"/>
  <c r="M151" i="46" s="1"/>
  <c r="M145" i="46"/>
  <c r="M150" i="46" s="1"/>
  <c r="M144" i="48"/>
  <c r="I86" i="45"/>
  <c r="I72" i="45"/>
  <c r="T32" i="51"/>
  <c r="T31" i="51"/>
  <c r="AZ30" i="51"/>
  <c r="T34" i="51"/>
  <c r="U30" i="51"/>
  <c r="AL115" i="45"/>
  <c r="D328" i="46"/>
  <c r="D327" i="46"/>
  <c r="O138" i="46"/>
  <c r="O137" i="46"/>
  <c r="P136" i="46"/>
  <c r="O201" i="46"/>
  <c r="O200" i="46"/>
  <c r="N29" i="46"/>
  <c r="J85" i="45"/>
  <c r="AS18" i="45"/>
  <c r="R58" i="14"/>
  <c r="V176" i="20" l="1"/>
  <c r="V138" i="19" s="1"/>
  <c r="V177" i="20"/>
  <c r="V139" i="19" s="1"/>
  <c r="W113" i="12"/>
  <c r="V135" i="19"/>
  <c r="W113" i="14" s="1"/>
  <c r="V174" i="20"/>
  <c r="V136" i="19" s="1"/>
  <c r="V178" i="20"/>
  <c r="V140" i="19" s="1"/>
  <c r="V175" i="20"/>
  <c r="V137" i="19" s="1"/>
  <c r="AW55" i="51"/>
  <c r="G117" i="45"/>
  <c r="AM117" i="45"/>
  <c r="H117" i="45"/>
  <c r="AM100" i="45"/>
  <c r="I33" i="48"/>
  <c r="I39" i="48" s="1"/>
  <c r="AT42" i="45"/>
  <c r="R39" i="20"/>
  <c r="W45" i="20" s="1"/>
  <c r="W185" i="20" s="1"/>
  <c r="R57" i="12"/>
  <c r="R58" i="12"/>
  <c r="G116" i="45"/>
  <c r="AN117" i="45"/>
  <c r="Q36" i="53"/>
  <c r="V42" i="53" s="1"/>
  <c r="AM116" i="45"/>
  <c r="L82" i="45"/>
  <c r="J72" i="45"/>
  <c r="AM118" i="45"/>
  <c r="D346" i="46"/>
  <c r="D347" i="46" s="1"/>
  <c r="O243" i="48"/>
  <c r="O248" i="46"/>
  <c r="P96" i="45" s="1"/>
  <c r="O244" i="46"/>
  <c r="O249" i="46" s="1"/>
  <c r="O245" i="46"/>
  <c r="O250" i="46" s="1"/>
  <c r="O246" i="46"/>
  <c r="O251" i="46" s="1"/>
  <c r="W173" i="20"/>
  <c r="W179" i="20"/>
  <c r="X125" i="12"/>
  <c r="S112" i="12"/>
  <c r="S60" i="12"/>
  <c r="S61" i="12"/>
  <c r="S56" i="12"/>
  <c r="L84" i="45"/>
  <c r="AT98" i="45"/>
  <c r="T55" i="12"/>
  <c r="L24" i="45"/>
  <c r="BA56" i="51"/>
  <c r="AT43" i="45"/>
  <c r="AT69" i="45"/>
  <c r="L26" i="45"/>
  <c r="AO72" i="45"/>
  <c r="G114" i="45"/>
  <c r="AN109" i="45"/>
  <c r="AO86" i="45"/>
  <c r="T55" i="14"/>
  <c r="AX35" i="51"/>
  <c r="AT105" i="45"/>
  <c r="AT44" i="45"/>
  <c r="BB63" i="51"/>
  <c r="AT108" i="45"/>
  <c r="J71" i="45"/>
  <c r="AO73" i="45"/>
  <c r="AM91" i="45"/>
  <c r="AM113" i="45"/>
  <c r="F318" i="48"/>
  <c r="F319" i="48" s="1"/>
  <c r="F341" i="48"/>
  <c r="F342" i="48" s="1"/>
  <c r="F344" i="48" s="1"/>
  <c r="F323" i="46"/>
  <c r="F322" i="46"/>
  <c r="F324" i="46"/>
  <c r="F321" i="46"/>
  <c r="U186" i="20"/>
  <c r="U148" i="19" s="1"/>
  <c r="U147" i="19"/>
  <c r="V137" i="14" s="1"/>
  <c r="V137" i="12"/>
  <c r="U190" i="20"/>
  <c r="U152" i="19" s="1"/>
  <c r="U187" i="20"/>
  <c r="U149" i="19" s="1"/>
  <c r="U189" i="20"/>
  <c r="U151" i="19" s="1"/>
  <c r="U188" i="20"/>
  <c r="U150" i="19" s="1"/>
  <c r="G118" i="45"/>
  <c r="S35" i="51"/>
  <c r="M35" i="48"/>
  <c r="AP84" i="45"/>
  <c r="AT99" i="45"/>
  <c r="BB69" i="51"/>
  <c r="AP70" i="45"/>
  <c r="L25" i="45"/>
  <c r="AN78" i="45"/>
  <c r="K26" i="45"/>
  <c r="K25" i="45"/>
  <c r="K82" i="45"/>
  <c r="J34" i="46"/>
  <c r="K24" i="45"/>
  <c r="U183" i="20"/>
  <c r="U145" i="19" s="1"/>
  <c r="U182" i="20"/>
  <c r="U144" i="19" s="1"/>
  <c r="U181" i="20"/>
  <c r="U143" i="19" s="1"/>
  <c r="U180" i="20"/>
  <c r="U142" i="19" s="1"/>
  <c r="U184" i="20"/>
  <c r="U146" i="19" s="1"/>
  <c r="U141" i="19"/>
  <c r="V125" i="14" s="1"/>
  <c r="AO87" i="45"/>
  <c r="H114" i="45"/>
  <c r="N35" i="46"/>
  <c r="S112" i="14"/>
  <c r="R39" i="19"/>
  <c r="W45" i="19" s="1"/>
  <c r="S56" i="14"/>
  <c r="S61" i="14"/>
  <c r="S60" i="14"/>
  <c r="O69" i="45"/>
  <c r="N20" i="45"/>
  <c r="AP60" i="45"/>
  <c r="Q59" i="12"/>
  <c r="AO85" i="45"/>
  <c r="K34" i="46"/>
  <c r="AO84" i="45"/>
  <c r="AN91" i="45"/>
  <c r="AT107" i="45"/>
  <c r="AT83" i="45"/>
  <c r="AU83" i="45"/>
  <c r="R55" i="51"/>
  <c r="AP75" i="45"/>
  <c r="K59" i="45"/>
  <c r="V113" i="12"/>
  <c r="U174" i="20"/>
  <c r="U136" i="19" s="1"/>
  <c r="U175" i="20"/>
  <c r="U137" i="19" s="1"/>
  <c r="U176" i="20"/>
  <c r="U138" i="19" s="1"/>
  <c r="U135" i="19"/>
  <c r="V113" i="14" s="1"/>
  <c r="U177" i="20"/>
  <c r="U139" i="19" s="1"/>
  <c r="U178" i="20"/>
  <c r="U140" i="19" s="1"/>
  <c r="T56" i="12"/>
  <c r="AN116" i="45"/>
  <c r="J37" i="46"/>
  <c r="O43" i="46" s="1"/>
  <c r="O260" i="46" s="1"/>
  <c r="S39" i="20"/>
  <c r="X45" i="20" s="1"/>
  <c r="X185" i="20" s="1"/>
  <c r="T112" i="12"/>
  <c r="N19" i="45"/>
  <c r="N244" i="48"/>
  <c r="N249" i="48" s="1"/>
  <c r="I37" i="48"/>
  <c r="N43" i="48" s="1"/>
  <c r="N245" i="48"/>
  <c r="N250" i="48" s="1"/>
  <c r="N246" i="48"/>
  <c r="N251" i="48" s="1"/>
  <c r="AP58" i="45"/>
  <c r="N247" i="48"/>
  <c r="N252" i="48" s="1"/>
  <c r="AP104" i="45"/>
  <c r="AP59" i="45"/>
  <c r="K60" i="45"/>
  <c r="K58" i="45"/>
  <c r="K104" i="45"/>
  <c r="AR21" i="45"/>
  <c r="O42" i="45"/>
  <c r="T33" i="51"/>
  <c r="O95" i="45"/>
  <c r="O43" i="45"/>
  <c r="O44" i="45"/>
  <c r="AU41" i="45"/>
  <c r="L57" i="45"/>
  <c r="I69" i="46"/>
  <c r="I79" i="46"/>
  <c r="I99" i="46"/>
  <c r="I109" i="46"/>
  <c r="I44" i="46"/>
  <c r="I271" i="46" s="1"/>
  <c r="P243" i="46"/>
  <c r="P248" i="46" s="1"/>
  <c r="Q96" i="45" s="1"/>
  <c r="AQ57" i="45"/>
  <c r="O18" i="45"/>
  <c r="C363" i="46"/>
  <c r="D120" i="45" s="1"/>
  <c r="AR33" i="45"/>
  <c r="O202" i="48"/>
  <c r="D119" i="45"/>
  <c r="AN118" i="45"/>
  <c r="H116" i="45"/>
  <c r="H118" i="45"/>
  <c r="P63" i="48"/>
  <c r="P41" i="45"/>
  <c r="P63" i="54"/>
  <c r="O139" i="46"/>
  <c r="O139" i="48"/>
  <c r="M33" i="45"/>
  <c r="M21" i="45"/>
  <c r="D349" i="46"/>
  <c r="AZ32" i="51"/>
  <c r="AZ31" i="51"/>
  <c r="AZ34" i="51"/>
  <c r="R240" i="46"/>
  <c r="Q241" i="46"/>
  <c r="H114" i="46"/>
  <c r="I97" i="45" s="1"/>
  <c r="H113" i="46"/>
  <c r="H118" i="46" s="1"/>
  <c r="H112" i="46"/>
  <c r="H117" i="46" s="1"/>
  <c r="H111" i="46"/>
  <c r="H116" i="46" s="1"/>
  <c r="H110" i="46"/>
  <c r="H115" i="46" s="1"/>
  <c r="H109" i="48"/>
  <c r="H274" i="46"/>
  <c r="G316" i="48"/>
  <c r="O142" i="48"/>
  <c r="O141" i="48"/>
  <c r="O140" i="48"/>
  <c r="W174" i="20"/>
  <c r="W136" i="19" s="1"/>
  <c r="W175" i="20"/>
  <c r="W137" i="19" s="1"/>
  <c r="W176" i="20"/>
  <c r="W138" i="19" s="1"/>
  <c r="W177" i="20"/>
  <c r="W139" i="19" s="1"/>
  <c r="W178" i="20"/>
  <c r="W140" i="19" s="1"/>
  <c r="W135" i="19"/>
  <c r="X113" i="14" s="1"/>
  <c r="X113" i="12"/>
  <c r="N211" i="46"/>
  <c r="O89" i="45" s="1"/>
  <c r="N210" i="46"/>
  <c r="N215" i="46" s="1"/>
  <c r="N209" i="46"/>
  <c r="N214" i="46" s="1"/>
  <c r="N208" i="46"/>
  <c r="N213" i="46" s="1"/>
  <c r="N207" i="46"/>
  <c r="N212" i="46" s="1"/>
  <c r="N206" i="48"/>
  <c r="AP86" i="45"/>
  <c r="G326" i="46"/>
  <c r="G325" i="46"/>
  <c r="R19" i="48"/>
  <c r="Q25" i="48"/>
  <c r="Q40" i="48" s="1"/>
  <c r="M221" i="48"/>
  <c r="M220" i="48"/>
  <c r="M225" i="48" s="1"/>
  <c r="M219" i="48"/>
  <c r="M224" i="48" s="1"/>
  <c r="M218" i="48"/>
  <c r="M223" i="48" s="1"/>
  <c r="M217" i="48"/>
  <c r="M222" i="48" s="1"/>
  <c r="M56" i="45"/>
  <c r="M55" i="45"/>
  <c r="N28" i="45"/>
  <c r="AT27" i="45"/>
  <c r="O27" i="45"/>
  <c r="N32" i="45"/>
  <c r="N31" i="45"/>
  <c r="N29" i="45"/>
  <c r="N54" i="45"/>
  <c r="U135" i="53"/>
  <c r="V56" i="51"/>
  <c r="AY33" i="51"/>
  <c r="M227" i="48"/>
  <c r="M232" i="48" s="1"/>
  <c r="M231" i="48"/>
  <c r="M230" i="48"/>
  <c r="M235" i="48" s="1"/>
  <c r="M229" i="48"/>
  <c r="M234" i="48" s="1"/>
  <c r="M228" i="48"/>
  <c r="M233" i="48" s="1"/>
  <c r="R20" i="46"/>
  <c r="Q26" i="46"/>
  <c r="Q41" i="46" s="1"/>
  <c r="R22" i="46"/>
  <c r="Q28" i="46"/>
  <c r="P63" i="46"/>
  <c r="N31" i="46"/>
  <c r="N306" i="46"/>
  <c r="CA4" i="55"/>
  <c r="M149" i="48"/>
  <c r="M148" i="48"/>
  <c r="M153" i="48" s="1"/>
  <c r="M147" i="48"/>
  <c r="M152" i="48" s="1"/>
  <c r="M146" i="48"/>
  <c r="M151" i="48" s="1"/>
  <c r="M145" i="48"/>
  <c r="M150" i="48" s="1"/>
  <c r="H104" i="46"/>
  <c r="I106" i="45" s="1"/>
  <c r="H103" i="46"/>
  <c r="H108" i="46" s="1"/>
  <c r="H102" i="46"/>
  <c r="H107" i="46" s="1"/>
  <c r="H101" i="46"/>
  <c r="H106" i="46" s="1"/>
  <c r="H100" i="46"/>
  <c r="H105" i="46" s="1"/>
  <c r="H99" i="48"/>
  <c r="P138" i="48"/>
  <c r="P137" i="48"/>
  <c r="Q136" i="48"/>
  <c r="P201" i="48"/>
  <c r="P200" i="48"/>
  <c r="M167" i="48"/>
  <c r="M172" i="48" s="1"/>
  <c r="M166" i="48"/>
  <c r="M171" i="48" s="1"/>
  <c r="M165" i="48"/>
  <c r="M170" i="48" s="1"/>
  <c r="M169" i="48"/>
  <c r="M168" i="48"/>
  <c r="M173" i="48" s="1"/>
  <c r="AP87" i="45"/>
  <c r="AR55" i="45"/>
  <c r="AR56" i="45"/>
  <c r="AR30" i="45"/>
  <c r="G332" i="46"/>
  <c r="G331" i="46"/>
  <c r="G343" i="46" s="1"/>
  <c r="G344" i="46" s="1"/>
  <c r="M35" i="45"/>
  <c r="AS28" i="45"/>
  <c r="AS29" i="45"/>
  <c r="AS31" i="45"/>
  <c r="AS32" i="45"/>
  <c r="AS54" i="45"/>
  <c r="V52" i="12"/>
  <c r="V51" i="12"/>
  <c r="V54" i="12"/>
  <c r="W50" i="12"/>
  <c r="R59" i="14"/>
  <c r="U136" i="54"/>
  <c r="U137" i="54" s="1"/>
  <c r="U134" i="54"/>
  <c r="U135" i="54" s="1"/>
  <c r="U138" i="54"/>
  <c r="U139" i="54" s="1"/>
  <c r="Q65" i="53"/>
  <c r="Q64" i="53"/>
  <c r="Q62" i="53"/>
  <c r="Q61" i="53"/>
  <c r="Q66" i="53"/>
  <c r="Q73" i="53" s="1"/>
  <c r="Q74" i="53" s="1"/>
  <c r="Q67" i="53"/>
  <c r="R60" i="53"/>
  <c r="H74" i="46"/>
  <c r="I76" i="45" s="1"/>
  <c r="H73" i="46"/>
  <c r="H78" i="46" s="1"/>
  <c r="H72" i="46"/>
  <c r="H77" i="46" s="1"/>
  <c r="H71" i="46"/>
  <c r="H76" i="46" s="1"/>
  <c r="H70" i="46"/>
  <c r="H75" i="46" s="1"/>
  <c r="H69" i="48"/>
  <c r="P258" i="48"/>
  <c r="Q257" i="48"/>
  <c r="N145" i="48"/>
  <c r="N150" i="48" s="1"/>
  <c r="N149" i="48"/>
  <c r="N148" i="48"/>
  <c r="N153" i="48" s="1"/>
  <c r="N147" i="48"/>
  <c r="N152" i="48" s="1"/>
  <c r="N146" i="48"/>
  <c r="N151" i="48" s="1"/>
  <c r="K70" i="45"/>
  <c r="F327" i="48"/>
  <c r="F328" i="48"/>
  <c r="M159" i="48"/>
  <c r="M158" i="48"/>
  <c r="M163" i="48" s="1"/>
  <c r="M157" i="48"/>
  <c r="M162" i="48" s="1"/>
  <c r="M156" i="48"/>
  <c r="M161" i="48" s="1"/>
  <c r="M155" i="48"/>
  <c r="M160" i="48" s="1"/>
  <c r="M30" i="45"/>
  <c r="G318" i="48"/>
  <c r="G341" i="48"/>
  <c r="G342" i="48" s="1"/>
  <c r="R21" i="46"/>
  <c r="Q27" i="46"/>
  <c r="Q42" i="46" s="1"/>
  <c r="O29" i="46"/>
  <c r="P63" i="53"/>
  <c r="O206" i="46"/>
  <c r="O202" i="46"/>
  <c r="O216" i="46"/>
  <c r="O226" i="46"/>
  <c r="AS19" i="45"/>
  <c r="AS20" i="45"/>
  <c r="O204" i="46"/>
  <c r="O203" i="46"/>
  <c r="Q27" i="48"/>
  <c r="Q42" i="48" s="1"/>
  <c r="R21" i="48"/>
  <c r="H83" i="46"/>
  <c r="H88" i="46" s="1"/>
  <c r="H82" i="46"/>
  <c r="H87" i="46" s="1"/>
  <c r="H80" i="46"/>
  <c r="H85" i="46" s="1"/>
  <c r="H81" i="46"/>
  <c r="H86" i="46" s="1"/>
  <c r="H84" i="46"/>
  <c r="I90" i="45" s="1"/>
  <c r="H79" i="48"/>
  <c r="E343" i="46"/>
  <c r="E344" i="46" s="1"/>
  <c r="E345" i="46"/>
  <c r="E346" i="46" s="1"/>
  <c r="Q61" i="48"/>
  <c r="R60" i="48"/>
  <c r="Q67" i="48"/>
  <c r="Q66" i="48"/>
  <c r="Q65" i="48"/>
  <c r="Q64" i="48"/>
  <c r="Q62" i="48"/>
  <c r="F313" i="48"/>
  <c r="F312" i="48"/>
  <c r="F311" i="48"/>
  <c r="F310" i="48"/>
  <c r="F314" i="48"/>
  <c r="F315" i="48"/>
  <c r="E328" i="46"/>
  <c r="E327" i="46"/>
  <c r="Q18" i="48"/>
  <c r="P24" i="48"/>
  <c r="L67" i="45"/>
  <c r="L34" i="45"/>
  <c r="M265" i="48"/>
  <c r="M264" i="48"/>
  <c r="M269" i="48" s="1"/>
  <c r="M263" i="48"/>
  <c r="M268" i="48" s="1"/>
  <c r="M261" i="48"/>
  <c r="M266" i="48" s="1"/>
  <c r="M262" i="48"/>
  <c r="M267" i="48" s="1"/>
  <c r="J33" i="46"/>
  <c r="J39" i="46" s="1"/>
  <c r="K75" i="45"/>
  <c r="AT18" i="45"/>
  <c r="AR35" i="45"/>
  <c r="AQ67" i="45"/>
  <c r="AQ23" i="45"/>
  <c r="R36" i="53"/>
  <c r="W42" i="53" s="1"/>
  <c r="S55" i="51"/>
  <c r="M36" i="45"/>
  <c r="E326" i="48"/>
  <c r="E325" i="48"/>
  <c r="Q39" i="45"/>
  <c r="AW38" i="45"/>
  <c r="R38" i="45"/>
  <c r="Q40" i="45"/>
  <c r="Q241" i="48"/>
  <c r="R240" i="48"/>
  <c r="Q18" i="46"/>
  <c r="P24" i="46"/>
  <c r="P138" i="46"/>
  <c r="P137" i="46"/>
  <c r="Q136" i="46"/>
  <c r="P200" i="46"/>
  <c r="P201" i="46"/>
  <c r="H316" i="46"/>
  <c r="N263" i="46"/>
  <c r="N268" i="46" s="1"/>
  <c r="N262" i="46"/>
  <c r="N267" i="46" s="1"/>
  <c r="N261" i="46"/>
  <c r="N266" i="46" s="1"/>
  <c r="N265" i="46"/>
  <c r="O105" i="45" s="1"/>
  <c r="N264" i="46"/>
  <c r="N269" i="46" s="1"/>
  <c r="N260" i="48"/>
  <c r="H44" i="48"/>
  <c r="H271" i="48" s="1"/>
  <c r="H275" i="48"/>
  <c r="G308" i="48"/>
  <c r="G309" i="48" s="1"/>
  <c r="O29" i="48"/>
  <c r="R19" i="46"/>
  <c r="Q25" i="46"/>
  <c r="Q40" i="46" s="1"/>
  <c r="U53" i="14"/>
  <c r="O144" i="46"/>
  <c r="H308" i="46"/>
  <c r="H309" i="46" s="1"/>
  <c r="I275" i="46"/>
  <c r="P17" i="45"/>
  <c r="AV16" i="45"/>
  <c r="Q16" i="45"/>
  <c r="E332" i="48"/>
  <c r="E331" i="48"/>
  <c r="AV40" i="45"/>
  <c r="AV39" i="45"/>
  <c r="AT89" i="45"/>
  <c r="U53" i="12"/>
  <c r="P94" i="46"/>
  <c r="P93" i="46"/>
  <c r="P98" i="46" s="1"/>
  <c r="P92" i="46"/>
  <c r="P97" i="46" s="1"/>
  <c r="P91" i="46"/>
  <c r="P90" i="46"/>
  <c r="P95" i="46" s="1"/>
  <c r="P89" i="48"/>
  <c r="L68" i="45"/>
  <c r="N179" i="46"/>
  <c r="O107" i="45" s="1"/>
  <c r="N178" i="46"/>
  <c r="N183" i="46" s="1"/>
  <c r="N177" i="46"/>
  <c r="N182" i="46" s="1"/>
  <c r="N176" i="46"/>
  <c r="N181" i="46" s="1"/>
  <c r="N175" i="46"/>
  <c r="N180" i="46" s="1"/>
  <c r="N174" i="48"/>
  <c r="O92" i="48"/>
  <c r="O97" i="48" s="1"/>
  <c r="O91" i="48"/>
  <c r="O90" i="48"/>
  <c r="O95" i="48" s="1"/>
  <c r="O94" i="48"/>
  <c r="O93" i="48"/>
  <c r="O98" i="48" s="1"/>
  <c r="N231" i="46"/>
  <c r="O108" i="45" s="1"/>
  <c r="N230" i="46"/>
  <c r="N235" i="46" s="1"/>
  <c r="N229" i="46"/>
  <c r="N234" i="46" s="1"/>
  <c r="N228" i="46"/>
  <c r="N233" i="46" s="1"/>
  <c r="N227" i="46"/>
  <c r="N232" i="46" s="1"/>
  <c r="N226" i="48"/>
  <c r="AR36" i="45"/>
  <c r="G315" i="46"/>
  <c r="G314" i="46"/>
  <c r="G313" i="46"/>
  <c r="G312" i="46"/>
  <c r="G311" i="46"/>
  <c r="G310" i="46"/>
  <c r="D325" i="48"/>
  <c r="D326" i="48"/>
  <c r="AU17" i="45"/>
  <c r="M37" i="45"/>
  <c r="O142" i="46"/>
  <c r="O174" i="46" s="1"/>
  <c r="O140" i="46"/>
  <c r="O154" i="46" s="1"/>
  <c r="O141" i="46"/>
  <c r="O164" i="46" s="1"/>
  <c r="U32" i="51"/>
  <c r="U31" i="51"/>
  <c r="BA30" i="51"/>
  <c r="U34" i="51"/>
  <c r="V30" i="51"/>
  <c r="R22" i="48"/>
  <c r="Q28" i="48"/>
  <c r="N169" i="46"/>
  <c r="O77" i="45" s="1"/>
  <c r="N168" i="46"/>
  <c r="N173" i="46" s="1"/>
  <c r="N167" i="46"/>
  <c r="N172" i="46" s="1"/>
  <c r="N166" i="46"/>
  <c r="N171" i="46" s="1"/>
  <c r="N165" i="46"/>
  <c r="N170" i="46" s="1"/>
  <c r="N164" i="48"/>
  <c r="N31" i="48"/>
  <c r="N306" i="48"/>
  <c r="Q153" i="54"/>
  <c r="P154" i="54"/>
  <c r="O204" i="48"/>
  <c r="O203" i="48"/>
  <c r="AT77" i="45"/>
  <c r="V54" i="14"/>
  <c r="W50" i="14"/>
  <c r="V52" i="14"/>
  <c r="V51" i="14"/>
  <c r="N221" i="46"/>
  <c r="O99" i="45" s="1"/>
  <c r="N220" i="46"/>
  <c r="N225" i="46" s="1"/>
  <c r="N219" i="46"/>
  <c r="N224" i="46" s="1"/>
  <c r="N218" i="46"/>
  <c r="N223" i="46" s="1"/>
  <c r="N217" i="46"/>
  <c r="N222" i="46" s="1"/>
  <c r="N216" i="48"/>
  <c r="AR37" i="45"/>
  <c r="Q26" i="48"/>
  <c r="Q41" i="48" s="1"/>
  <c r="R20" i="48"/>
  <c r="D332" i="48"/>
  <c r="D331" i="48"/>
  <c r="AN100" i="45"/>
  <c r="AN113" i="45"/>
  <c r="V136" i="53"/>
  <c r="V137" i="53" s="1"/>
  <c r="W63" i="51" s="1"/>
  <c r="V134" i="53"/>
  <c r="V138" i="53"/>
  <c r="V139" i="53" s="1"/>
  <c r="W69" i="51" s="1"/>
  <c r="G334" i="46"/>
  <c r="G338" i="46"/>
  <c r="G337" i="46"/>
  <c r="G336" i="46"/>
  <c r="G335" i="46"/>
  <c r="G339" i="46"/>
  <c r="R60" i="46"/>
  <c r="Q67" i="46"/>
  <c r="Q66" i="46"/>
  <c r="Q89" i="46" s="1"/>
  <c r="Q65" i="46"/>
  <c r="Q64" i="46"/>
  <c r="Q62" i="46"/>
  <c r="Q61" i="46"/>
  <c r="D329" i="46"/>
  <c r="D333" i="46" s="1"/>
  <c r="D330" i="46"/>
  <c r="Q36" i="54"/>
  <c r="V42" i="54" s="1"/>
  <c r="N158" i="46"/>
  <c r="N163" i="46" s="1"/>
  <c r="N157" i="46"/>
  <c r="N162" i="46" s="1"/>
  <c r="N156" i="46"/>
  <c r="N161" i="46" s="1"/>
  <c r="N155" i="46"/>
  <c r="N160" i="46" s="1"/>
  <c r="N159" i="46"/>
  <c r="O98" i="45" s="1"/>
  <c r="N154" i="48"/>
  <c r="D353" i="46"/>
  <c r="M175" i="48"/>
  <c r="M180" i="48" s="1"/>
  <c r="M179" i="48"/>
  <c r="M178" i="48"/>
  <c r="M183" i="48" s="1"/>
  <c r="M177" i="48"/>
  <c r="M182" i="48" s="1"/>
  <c r="M176" i="48"/>
  <c r="M181" i="48" s="1"/>
  <c r="Q257" i="46"/>
  <c r="P258" i="46"/>
  <c r="G271" i="48"/>
  <c r="W184" i="20"/>
  <c r="W146" i="19" s="1"/>
  <c r="W183" i="20"/>
  <c r="W145" i="19" s="1"/>
  <c r="W182" i="20"/>
  <c r="W144" i="19" s="1"/>
  <c r="W181" i="20"/>
  <c r="W143" i="19" s="1"/>
  <c r="W180" i="20"/>
  <c r="W142" i="19" s="1"/>
  <c r="W141" i="19"/>
  <c r="X125" i="14" s="1"/>
  <c r="P154" i="53"/>
  <c r="Q153" i="53"/>
  <c r="Q65" i="54"/>
  <c r="Q64" i="54"/>
  <c r="Q62" i="54"/>
  <c r="Q61" i="54"/>
  <c r="R60" i="54"/>
  <c r="Q67" i="54"/>
  <c r="Q66" i="54"/>
  <c r="Q73" i="54" s="1"/>
  <c r="Q74" i="54" s="1"/>
  <c r="AP85" i="45"/>
  <c r="F345" i="48"/>
  <c r="AQ68" i="45"/>
  <c r="M207" i="48"/>
  <c r="M212" i="48" s="1"/>
  <c r="M211" i="48"/>
  <c r="M210" i="48"/>
  <c r="M215" i="48" s="1"/>
  <c r="M209" i="48"/>
  <c r="M214" i="48" s="1"/>
  <c r="M208" i="48"/>
  <c r="M213" i="48" s="1"/>
  <c r="I44" i="48"/>
  <c r="I316" i="48" s="1"/>
  <c r="C363" i="48"/>
  <c r="AJ120" i="45" s="1"/>
  <c r="C361" i="48"/>
  <c r="O248" i="48"/>
  <c r="O247" i="48"/>
  <c r="O252" i="48" s="1"/>
  <c r="O246" i="48"/>
  <c r="O251" i="48" s="1"/>
  <c r="O245" i="48"/>
  <c r="O250" i="48" s="1"/>
  <c r="O244" i="48"/>
  <c r="O249" i="48" s="1"/>
  <c r="AQ34" i="45"/>
  <c r="W187" i="20" l="1"/>
  <c r="W149" i="19" s="1"/>
  <c r="W188" i="20"/>
  <c r="W150" i="19" s="1"/>
  <c r="D123" i="45"/>
  <c r="AP73" i="45"/>
  <c r="T61" i="12"/>
  <c r="G115" i="45"/>
  <c r="H115" i="45"/>
  <c r="AN114" i="45"/>
  <c r="K37" i="46"/>
  <c r="P43" i="46" s="1"/>
  <c r="S57" i="12"/>
  <c r="AQ58" i="45"/>
  <c r="S58" i="12"/>
  <c r="R59" i="12"/>
  <c r="N21" i="45"/>
  <c r="AV96" i="45"/>
  <c r="P244" i="46"/>
  <c r="P249" i="46" s="1"/>
  <c r="P245" i="46"/>
  <c r="P250" i="46" s="1"/>
  <c r="P243" i="48"/>
  <c r="P246" i="46"/>
  <c r="P251" i="46" s="1"/>
  <c r="P247" i="46"/>
  <c r="P252" i="46" s="1"/>
  <c r="K72" i="45"/>
  <c r="W189" i="20"/>
  <c r="W151" i="19" s="1"/>
  <c r="L60" i="45"/>
  <c r="W190" i="20"/>
  <c r="W152" i="19" s="1"/>
  <c r="L58" i="45"/>
  <c r="L104" i="45"/>
  <c r="X137" i="12"/>
  <c r="AQ104" i="45"/>
  <c r="L59" i="45"/>
  <c r="W147" i="19"/>
  <c r="X137" i="14" s="1"/>
  <c r="AQ59" i="45"/>
  <c r="W186" i="20"/>
  <c r="W148" i="19" s="1"/>
  <c r="AQ60" i="45"/>
  <c r="J37" i="48"/>
  <c r="O43" i="48" s="1"/>
  <c r="Y125" i="12"/>
  <c r="X173" i="20"/>
  <c r="X179" i="20"/>
  <c r="X183" i="20" s="1"/>
  <c r="X145" i="19" s="1"/>
  <c r="BC63" i="51"/>
  <c r="F335" i="48"/>
  <c r="F334" i="48"/>
  <c r="F339" i="48"/>
  <c r="F338" i="48"/>
  <c r="F337" i="48"/>
  <c r="F336" i="48"/>
  <c r="AP72" i="45"/>
  <c r="L85" i="45"/>
  <c r="AU98" i="45"/>
  <c r="K84" i="45"/>
  <c r="S39" i="19"/>
  <c r="X45" i="19" s="1"/>
  <c r="T60" i="14"/>
  <c r="T56" i="14"/>
  <c r="T61" i="14"/>
  <c r="T112" i="14"/>
  <c r="P69" i="45"/>
  <c r="N36" i="45"/>
  <c r="W132" i="19"/>
  <c r="W131" i="19"/>
  <c r="W130" i="19"/>
  <c r="W129" i="19"/>
  <c r="W128" i="19" s="1"/>
  <c r="W133" i="19"/>
  <c r="T57" i="12"/>
  <c r="K73" i="45"/>
  <c r="U55" i="12"/>
  <c r="AY35" i="51"/>
  <c r="O35" i="46"/>
  <c r="T35" i="51"/>
  <c r="K86" i="45"/>
  <c r="AM114" i="45"/>
  <c r="L87" i="45"/>
  <c r="T60" i="12"/>
  <c r="AU105" i="45"/>
  <c r="BB56" i="51"/>
  <c r="D122" i="45"/>
  <c r="AP71" i="45"/>
  <c r="K87" i="45"/>
  <c r="F332" i="46"/>
  <c r="F331" i="46"/>
  <c r="AU107" i="45"/>
  <c r="K85" i="45"/>
  <c r="AU99" i="45"/>
  <c r="AU108" i="45"/>
  <c r="U55" i="14"/>
  <c r="O20" i="45"/>
  <c r="AR23" i="45"/>
  <c r="S58" i="14"/>
  <c r="AJ122" i="45"/>
  <c r="AW96" i="45"/>
  <c r="BC69" i="51"/>
  <c r="AU69" i="45"/>
  <c r="M23" i="45"/>
  <c r="S57" i="14"/>
  <c r="L86" i="45"/>
  <c r="F326" i="46"/>
  <c r="F325" i="46"/>
  <c r="AX55" i="51"/>
  <c r="AS36" i="45"/>
  <c r="N35" i="48"/>
  <c r="K71" i="45"/>
  <c r="T55" i="51"/>
  <c r="M34" i="45"/>
  <c r="O19" i="45"/>
  <c r="G345" i="46"/>
  <c r="G348" i="46" s="1"/>
  <c r="G353" i="46" s="1"/>
  <c r="V53" i="14"/>
  <c r="M57" i="45"/>
  <c r="AR67" i="45"/>
  <c r="AU42" i="45"/>
  <c r="AU95" i="45"/>
  <c r="AU43" i="45"/>
  <c r="AU44" i="45"/>
  <c r="C365" i="46"/>
  <c r="AV41" i="45"/>
  <c r="M68" i="45"/>
  <c r="AR68" i="45"/>
  <c r="P95" i="45"/>
  <c r="C370" i="46"/>
  <c r="C371" i="46" s="1"/>
  <c r="D126" i="45" s="1"/>
  <c r="P43" i="45"/>
  <c r="P44" i="45"/>
  <c r="P42" i="45"/>
  <c r="AR34" i="45"/>
  <c r="I316" i="46"/>
  <c r="I109" i="48"/>
  <c r="I111" i="46"/>
  <c r="I116" i="46" s="1"/>
  <c r="I274" i="46"/>
  <c r="I110" i="46"/>
  <c r="I115" i="46" s="1"/>
  <c r="I114" i="46"/>
  <c r="J97" i="45" s="1"/>
  <c r="I113" i="46"/>
  <c r="I118" i="46" s="1"/>
  <c r="I112" i="46"/>
  <c r="I117" i="46" s="1"/>
  <c r="I99" i="48"/>
  <c r="I103" i="46"/>
  <c r="I108" i="46" s="1"/>
  <c r="I102" i="46"/>
  <c r="I107" i="46" s="1"/>
  <c r="I104" i="46"/>
  <c r="J106" i="45" s="1"/>
  <c r="I101" i="46"/>
  <c r="I106" i="46" s="1"/>
  <c r="I100" i="46"/>
  <c r="I105" i="46" s="1"/>
  <c r="I83" i="46"/>
  <c r="I88" i="46" s="1"/>
  <c r="I79" i="48"/>
  <c r="I82" i="46"/>
  <c r="I87" i="46" s="1"/>
  <c r="I84" i="46"/>
  <c r="J90" i="45" s="1"/>
  <c r="I81" i="46"/>
  <c r="I86" i="46" s="1"/>
  <c r="I80" i="46"/>
  <c r="I85" i="46" s="1"/>
  <c r="I70" i="46"/>
  <c r="I75" i="46" s="1"/>
  <c r="I69" i="48"/>
  <c r="I74" i="46"/>
  <c r="J76" i="45" s="1"/>
  <c r="I72" i="46"/>
  <c r="I77" i="46" s="1"/>
  <c r="I71" i="46"/>
  <c r="I76" i="46" s="1"/>
  <c r="I73" i="46"/>
  <c r="I78" i="46" s="1"/>
  <c r="Q63" i="48"/>
  <c r="D121" i="45"/>
  <c r="D124" i="45"/>
  <c r="V53" i="12"/>
  <c r="AS37" i="45"/>
  <c r="Q41" i="45"/>
  <c r="AS21" i="45"/>
  <c r="Q63" i="54"/>
  <c r="AS33" i="45"/>
  <c r="AR57" i="45"/>
  <c r="P139" i="46"/>
  <c r="N30" i="45"/>
  <c r="AS35" i="45"/>
  <c r="M60" i="45"/>
  <c r="AJ119" i="45"/>
  <c r="C365" i="48"/>
  <c r="C370" i="48"/>
  <c r="L34" i="46"/>
  <c r="M25" i="45"/>
  <c r="M24" i="45"/>
  <c r="M26" i="45"/>
  <c r="M82" i="45"/>
  <c r="X184" i="20"/>
  <c r="X146" i="19" s="1"/>
  <c r="I320" i="48"/>
  <c r="I317" i="48"/>
  <c r="R66" i="54"/>
  <c r="R73" i="54" s="1"/>
  <c r="R74" i="54" s="1"/>
  <c r="R65" i="54"/>
  <c r="R64" i="54"/>
  <c r="R62" i="54"/>
  <c r="R61" i="54"/>
  <c r="S60" i="54"/>
  <c r="R67" i="54"/>
  <c r="Q94" i="46"/>
  <c r="Q93" i="46"/>
  <c r="Q98" i="46" s="1"/>
  <c r="Q92" i="46"/>
  <c r="Q97" i="46" s="1"/>
  <c r="Q91" i="46"/>
  <c r="Q90" i="46"/>
  <c r="Q95" i="46" s="1"/>
  <c r="Q89" i="48"/>
  <c r="O169" i="46"/>
  <c r="P77" i="45" s="1"/>
  <c r="O168" i="46"/>
  <c r="O173" i="46" s="1"/>
  <c r="O167" i="46"/>
  <c r="O172" i="46" s="1"/>
  <c r="O166" i="46"/>
  <c r="O171" i="46" s="1"/>
  <c r="O165" i="46"/>
  <c r="O170" i="46" s="1"/>
  <c r="O164" i="48"/>
  <c r="O31" i="48"/>
  <c r="O306" i="48"/>
  <c r="N261" i="48"/>
  <c r="N266" i="48" s="1"/>
  <c r="N265" i="48"/>
  <c r="N264" i="48"/>
  <c r="N269" i="48" s="1"/>
  <c r="N262" i="48"/>
  <c r="N267" i="48" s="1"/>
  <c r="N263" i="48"/>
  <c r="N268" i="48" s="1"/>
  <c r="AW39" i="45"/>
  <c r="AW40" i="45"/>
  <c r="O31" i="46"/>
  <c r="O306" i="46"/>
  <c r="CB4" i="55"/>
  <c r="F330" i="48"/>
  <c r="F329" i="48"/>
  <c r="F333" i="48" s="1"/>
  <c r="Q138" i="48"/>
  <c r="Q137" i="48"/>
  <c r="R136" i="48"/>
  <c r="Q201" i="48"/>
  <c r="Q200" i="48"/>
  <c r="S22" i="46"/>
  <c r="R28" i="46"/>
  <c r="M67" i="45"/>
  <c r="N33" i="45"/>
  <c r="H110" i="48"/>
  <c r="H115" i="48" s="1"/>
  <c r="H113" i="48"/>
  <c r="H118" i="48" s="1"/>
  <c r="H112" i="48"/>
  <c r="H117" i="48" s="1"/>
  <c r="H111" i="48"/>
  <c r="H116" i="48" s="1"/>
  <c r="H114" i="48"/>
  <c r="H274" i="48"/>
  <c r="Q243" i="46"/>
  <c r="X174" i="20"/>
  <c r="X136" i="19" s="1"/>
  <c r="X175" i="20"/>
  <c r="X137" i="19" s="1"/>
  <c r="X176" i="20"/>
  <c r="X138" i="19" s="1"/>
  <c r="X177" i="20"/>
  <c r="X139" i="19" s="1"/>
  <c r="X178" i="20"/>
  <c r="X140" i="19" s="1"/>
  <c r="X135" i="19"/>
  <c r="Y113" i="14" s="1"/>
  <c r="Y113" i="12"/>
  <c r="J33" i="48"/>
  <c r="J39" i="48" s="1"/>
  <c r="AQ75" i="45"/>
  <c r="R153" i="53"/>
  <c r="Q154" i="53"/>
  <c r="P260" i="46"/>
  <c r="D354" i="46"/>
  <c r="D361" i="46" s="1"/>
  <c r="V138" i="54"/>
  <c r="V139" i="54" s="1"/>
  <c r="V136" i="54"/>
  <c r="V137" i="54" s="1"/>
  <c r="V134" i="54"/>
  <c r="V135" i="54" s="1"/>
  <c r="N221" i="48"/>
  <c r="N220" i="48"/>
  <c r="N225" i="48" s="1"/>
  <c r="N219" i="48"/>
  <c r="N224" i="48" s="1"/>
  <c r="N218" i="48"/>
  <c r="N223" i="48" s="1"/>
  <c r="N217" i="48"/>
  <c r="N222" i="48" s="1"/>
  <c r="R28" i="48"/>
  <c r="S22" i="48"/>
  <c r="O159" i="46"/>
  <c r="P98" i="45" s="1"/>
  <c r="O158" i="46"/>
  <c r="O163" i="46" s="1"/>
  <c r="O157" i="46"/>
  <c r="O162" i="46" s="1"/>
  <c r="O156" i="46"/>
  <c r="O161" i="46" s="1"/>
  <c r="O155" i="46"/>
  <c r="O160" i="46" s="1"/>
  <c r="O154" i="48"/>
  <c r="U112" i="12"/>
  <c r="H317" i="46"/>
  <c r="H320" i="46"/>
  <c r="P29" i="46"/>
  <c r="J44" i="46"/>
  <c r="J69" i="46"/>
  <c r="J79" i="46"/>
  <c r="J99" i="46"/>
  <c r="J109" i="46"/>
  <c r="Q63" i="53"/>
  <c r="P139" i="48"/>
  <c r="N37" i="45"/>
  <c r="G320" i="48"/>
  <c r="G319" i="48"/>
  <c r="G317" i="48"/>
  <c r="I102" i="45"/>
  <c r="I103" i="45"/>
  <c r="AO103" i="45"/>
  <c r="AO101" i="45"/>
  <c r="I101" i="45"/>
  <c r="AO102" i="45"/>
  <c r="R241" i="46"/>
  <c r="S240" i="46"/>
  <c r="X186" i="20"/>
  <c r="X148" i="19" s="1"/>
  <c r="X190" i="20"/>
  <c r="X152" i="19" s="1"/>
  <c r="X189" i="20"/>
  <c r="X151" i="19" s="1"/>
  <c r="X188" i="20"/>
  <c r="X150" i="19" s="1"/>
  <c r="X187" i="20"/>
  <c r="X149" i="19" s="1"/>
  <c r="X147" i="19"/>
  <c r="Y137" i="14" s="1"/>
  <c r="Y137" i="12"/>
  <c r="R257" i="46"/>
  <c r="Q258" i="46"/>
  <c r="N159" i="48"/>
  <c r="N158" i="48"/>
  <c r="N163" i="48" s="1"/>
  <c r="N157" i="48"/>
  <c r="N162" i="48" s="1"/>
  <c r="N156" i="48"/>
  <c r="N161" i="48" s="1"/>
  <c r="N155" i="48"/>
  <c r="N160" i="48" s="1"/>
  <c r="R61" i="46"/>
  <c r="S60" i="46"/>
  <c r="R67" i="46"/>
  <c r="R66" i="46"/>
  <c r="R89" i="46" s="1"/>
  <c r="R65" i="46"/>
  <c r="R64" i="46"/>
  <c r="R62" i="46"/>
  <c r="W54" i="14"/>
  <c r="X50" i="14"/>
  <c r="W52" i="14"/>
  <c r="W51" i="14"/>
  <c r="N167" i="48"/>
  <c r="N172" i="48" s="1"/>
  <c r="N166" i="48"/>
  <c r="N171" i="48" s="1"/>
  <c r="N165" i="48"/>
  <c r="N170" i="48" s="1"/>
  <c r="N168" i="48"/>
  <c r="N173" i="48" s="1"/>
  <c r="N169" i="48"/>
  <c r="O179" i="46"/>
  <c r="P107" i="45" s="1"/>
  <c r="O178" i="46"/>
  <c r="O183" i="46" s="1"/>
  <c r="O177" i="46"/>
  <c r="O182" i="46" s="1"/>
  <c r="O176" i="46"/>
  <c r="O181" i="46" s="1"/>
  <c r="O175" i="46"/>
  <c r="O180" i="46" s="1"/>
  <c r="O174" i="48"/>
  <c r="N23" i="45"/>
  <c r="E343" i="48"/>
  <c r="E344" i="48" s="1"/>
  <c r="E345" i="48"/>
  <c r="E346" i="48" s="1"/>
  <c r="I308" i="46"/>
  <c r="I309" i="46" s="1"/>
  <c r="J275" i="46"/>
  <c r="G314" i="48"/>
  <c r="G313" i="48"/>
  <c r="G312" i="48"/>
  <c r="G311" i="48"/>
  <c r="G310" i="48"/>
  <c r="G315" i="48"/>
  <c r="Q24" i="46"/>
  <c r="R18" i="46"/>
  <c r="P144" i="46"/>
  <c r="R62" i="48"/>
  <c r="R61" i="48"/>
  <c r="S60" i="48"/>
  <c r="R67" i="48"/>
  <c r="R66" i="48"/>
  <c r="R65" i="48"/>
  <c r="R64" i="48"/>
  <c r="R27" i="48"/>
  <c r="R42" i="48" s="1"/>
  <c r="S21" i="48"/>
  <c r="AO76" i="45"/>
  <c r="I78" i="45"/>
  <c r="P142" i="48"/>
  <c r="P141" i="48"/>
  <c r="P140" i="48"/>
  <c r="S20" i="46"/>
  <c r="R26" i="46"/>
  <c r="R41" i="46" s="1"/>
  <c r="O264" i="46"/>
  <c r="O269" i="46" s="1"/>
  <c r="O263" i="46"/>
  <c r="O268" i="46" s="1"/>
  <c r="O262" i="46"/>
  <c r="O267" i="46" s="1"/>
  <c r="O261" i="46"/>
  <c r="O266" i="46" s="1"/>
  <c r="O265" i="46"/>
  <c r="P105" i="45" s="1"/>
  <c r="O260" i="48"/>
  <c r="F348" i="48"/>
  <c r="P248" i="48"/>
  <c r="P247" i="48"/>
  <c r="P252" i="48" s="1"/>
  <c r="P246" i="48"/>
  <c r="P251" i="48" s="1"/>
  <c r="P245" i="48"/>
  <c r="P250" i="48" s="1"/>
  <c r="P244" i="48"/>
  <c r="P249" i="48" s="1"/>
  <c r="D343" i="48"/>
  <c r="D344" i="48" s="1"/>
  <c r="D345" i="48"/>
  <c r="D346" i="48" s="1"/>
  <c r="W30" i="51"/>
  <c r="V32" i="51"/>
  <c r="V31" i="51"/>
  <c r="BB30" i="51"/>
  <c r="V34" i="51"/>
  <c r="D328" i="48"/>
  <c r="D327" i="48"/>
  <c r="R16" i="45"/>
  <c r="Q17" i="45"/>
  <c r="AW16" i="45"/>
  <c r="H315" i="46"/>
  <c r="H314" i="46"/>
  <c r="H313" i="46"/>
  <c r="H312" i="46"/>
  <c r="H311" i="46"/>
  <c r="H310" i="46"/>
  <c r="T39" i="19"/>
  <c r="Y45" i="19" s="1"/>
  <c r="U61" i="14"/>
  <c r="U60" i="14"/>
  <c r="U56" i="14"/>
  <c r="U112" i="14"/>
  <c r="I275" i="48"/>
  <c r="H308" i="48"/>
  <c r="H309" i="48" s="1"/>
  <c r="P204" i="46"/>
  <c r="P203" i="46"/>
  <c r="P29" i="48"/>
  <c r="O231" i="46"/>
  <c r="P108" i="45" s="1"/>
  <c r="O230" i="46"/>
  <c r="O235" i="46" s="1"/>
  <c r="O229" i="46"/>
  <c r="O234" i="46" s="1"/>
  <c r="O228" i="46"/>
  <c r="O233" i="46" s="1"/>
  <c r="O227" i="46"/>
  <c r="O232" i="46" s="1"/>
  <c r="O226" i="48"/>
  <c r="Q258" i="48"/>
  <c r="R257" i="48"/>
  <c r="F346" i="48"/>
  <c r="F347" i="48" s="1"/>
  <c r="F349" i="48" s="1"/>
  <c r="AO106" i="45"/>
  <c r="I109" i="45"/>
  <c r="S19" i="48"/>
  <c r="R25" i="48"/>
  <c r="R40" i="48" s="1"/>
  <c r="AU89" i="45"/>
  <c r="Q63" i="46"/>
  <c r="S20" i="48"/>
  <c r="R26" i="48"/>
  <c r="R41" i="48" s="1"/>
  <c r="AV17" i="45"/>
  <c r="P216" i="46"/>
  <c r="P206" i="46"/>
  <c r="P202" i="46"/>
  <c r="P226" i="46"/>
  <c r="AT20" i="45"/>
  <c r="AT19" i="45"/>
  <c r="K33" i="46"/>
  <c r="K39" i="46" s="1"/>
  <c r="L75" i="45"/>
  <c r="R18" i="48"/>
  <c r="Q24" i="48"/>
  <c r="H84" i="48"/>
  <c r="H83" i="48"/>
  <c r="H88" i="48" s="1"/>
  <c r="H82" i="48"/>
  <c r="H87" i="48" s="1"/>
  <c r="H81" i="48"/>
  <c r="H86" i="48" s="1"/>
  <c r="H80" i="48"/>
  <c r="H85" i="48" s="1"/>
  <c r="O221" i="46"/>
  <c r="P99" i="45" s="1"/>
  <c r="O220" i="46"/>
  <c r="O225" i="46" s="1"/>
  <c r="O219" i="46"/>
  <c r="O224" i="46" s="1"/>
  <c r="O218" i="46"/>
  <c r="O223" i="46" s="1"/>
  <c r="O217" i="46"/>
  <c r="O222" i="46" s="1"/>
  <c r="O216" i="48"/>
  <c r="N35" i="45"/>
  <c r="AZ33" i="51"/>
  <c r="AN115" i="45"/>
  <c r="BA32" i="51"/>
  <c r="BA31" i="51"/>
  <c r="BA34" i="51"/>
  <c r="AU18" i="45"/>
  <c r="N176" i="48"/>
  <c r="N181" i="48" s="1"/>
  <c r="N175" i="48"/>
  <c r="N180" i="48" s="1"/>
  <c r="N179" i="48"/>
  <c r="N178" i="48"/>
  <c r="N183" i="48" s="1"/>
  <c r="N177" i="48"/>
  <c r="N182" i="48" s="1"/>
  <c r="L71" i="45"/>
  <c r="O149" i="46"/>
  <c r="P83" i="45" s="1"/>
  <c r="O148" i="46"/>
  <c r="O153" i="46" s="1"/>
  <c r="O147" i="46"/>
  <c r="O152" i="46" s="1"/>
  <c r="O146" i="46"/>
  <c r="O151" i="46" s="1"/>
  <c r="O145" i="46"/>
  <c r="O150" i="46" s="1"/>
  <c r="O144" i="48"/>
  <c r="Q138" i="46"/>
  <c r="Q137" i="46"/>
  <c r="R136" i="46"/>
  <c r="Q201" i="46"/>
  <c r="Q200" i="46"/>
  <c r="AR70" i="45"/>
  <c r="W136" i="53"/>
  <c r="W137" i="53" s="1"/>
  <c r="X63" i="51" s="1"/>
  <c r="W134" i="53"/>
  <c r="W138" i="53"/>
  <c r="W139" i="53" s="1"/>
  <c r="X69" i="51" s="1"/>
  <c r="L70" i="45"/>
  <c r="E330" i="46"/>
  <c r="E329" i="46"/>
  <c r="E333" i="46" s="1"/>
  <c r="E347" i="46"/>
  <c r="E349" i="46" s="1"/>
  <c r="E348" i="46"/>
  <c r="AO90" i="45"/>
  <c r="I91" i="45"/>
  <c r="S21" i="46"/>
  <c r="R27" i="46"/>
  <c r="R42" i="46" s="1"/>
  <c r="H74" i="48"/>
  <c r="H73" i="48"/>
  <c r="H78" i="48" s="1"/>
  <c r="H72" i="48"/>
  <c r="H77" i="48" s="1"/>
  <c r="H71" i="48"/>
  <c r="H76" i="48" s="1"/>
  <c r="H70" i="48"/>
  <c r="H75" i="48" s="1"/>
  <c r="X50" i="12"/>
  <c r="W52" i="12"/>
  <c r="W51" i="12"/>
  <c r="W54" i="12"/>
  <c r="N56" i="45"/>
  <c r="N55" i="45"/>
  <c r="O28" i="45"/>
  <c r="AU27" i="45"/>
  <c r="P27" i="45"/>
  <c r="O29" i="45"/>
  <c r="O35" i="45"/>
  <c r="O32" i="45"/>
  <c r="O37" i="45"/>
  <c r="O31" i="45"/>
  <c r="O36" i="45"/>
  <c r="O54" i="45"/>
  <c r="AO97" i="45"/>
  <c r="I100" i="45"/>
  <c r="I113" i="45"/>
  <c r="Q154" i="54"/>
  <c r="R153" i="54"/>
  <c r="P18" i="45"/>
  <c r="R25" i="46"/>
  <c r="R40" i="46" s="1"/>
  <c r="S19" i="46"/>
  <c r="E328" i="48"/>
  <c r="E327" i="48"/>
  <c r="J34" i="48"/>
  <c r="AQ26" i="45"/>
  <c r="AQ25" i="45"/>
  <c r="AQ24" i="45"/>
  <c r="AQ82" i="45"/>
  <c r="O207" i="46"/>
  <c r="O212" i="46" s="1"/>
  <c r="O211" i="46"/>
  <c r="P89" i="45" s="1"/>
  <c r="O210" i="46"/>
  <c r="O215" i="46" s="1"/>
  <c r="O209" i="46"/>
  <c r="O214" i="46" s="1"/>
  <c r="O208" i="46"/>
  <c r="O213" i="46" s="1"/>
  <c r="O206" i="48"/>
  <c r="I80" i="45"/>
  <c r="I79" i="45"/>
  <c r="I81" i="45"/>
  <c r="AO79" i="45"/>
  <c r="AO80" i="45"/>
  <c r="AO81" i="45"/>
  <c r="R66" i="53"/>
  <c r="R73" i="53" s="1"/>
  <c r="R74" i="53" s="1"/>
  <c r="R65" i="53"/>
  <c r="R64" i="53"/>
  <c r="R62" i="53"/>
  <c r="R61" i="53"/>
  <c r="S60" i="53"/>
  <c r="R67" i="53"/>
  <c r="P202" i="48"/>
  <c r="H102" i="48"/>
  <c r="H107" i="48" s="1"/>
  <c r="H101" i="48"/>
  <c r="H106" i="48" s="1"/>
  <c r="H100" i="48"/>
  <c r="H105" i="48" s="1"/>
  <c r="H104" i="48"/>
  <c r="H103" i="48"/>
  <c r="H108" i="48" s="1"/>
  <c r="AT28" i="45"/>
  <c r="AT29" i="45"/>
  <c r="AT31" i="45"/>
  <c r="AT32" i="45"/>
  <c r="AT54" i="45"/>
  <c r="N208" i="48"/>
  <c r="N213" i="48" s="1"/>
  <c r="N207" i="48"/>
  <c r="N212" i="48" s="1"/>
  <c r="N211" i="48"/>
  <c r="N210" i="48"/>
  <c r="N215" i="48" s="1"/>
  <c r="N209" i="48"/>
  <c r="N214" i="48" s="1"/>
  <c r="I271" i="48"/>
  <c r="V135" i="53"/>
  <c r="W56" i="51"/>
  <c r="AU77" i="45"/>
  <c r="U33" i="51"/>
  <c r="N227" i="48"/>
  <c r="N232" i="48" s="1"/>
  <c r="N231" i="48"/>
  <c r="N230" i="48"/>
  <c r="N235" i="48" s="1"/>
  <c r="N228" i="48"/>
  <c r="N233" i="48" s="1"/>
  <c r="N229" i="48"/>
  <c r="N234" i="48" s="1"/>
  <c r="P93" i="48"/>
  <c r="P98" i="48" s="1"/>
  <c r="P92" i="48"/>
  <c r="P97" i="48" s="1"/>
  <c r="P91" i="48"/>
  <c r="P90" i="48"/>
  <c r="P95" i="48" s="1"/>
  <c r="P94" i="48"/>
  <c r="H316" i="48"/>
  <c r="P140" i="46"/>
  <c r="P154" i="46" s="1"/>
  <c r="P142" i="46"/>
  <c r="P174" i="46" s="1"/>
  <c r="P141" i="46"/>
  <c r="P164" i="46" s="1"/>
  <c r="R241" i="48"/>
  <c r="S240" i="48"/>
  <c r="R39" i="45"/>
  <c r="AX38" i="45"/>
  <c r="S38" i="45"/>
  <c r="R40" i="45"/>
  <c r="AQ70" i="45"/>
  <c r="AO94" i="45"/>
  <c r="I94" i="45"/>
  <c r="AO93" i="45"/>
  <c r="I93" i="45"/>
  <c r="AS55" i="45"/>
  <c r="AS56" i="45"/>
  <c r="AS30" i="45"/>
  <c r="P204" i="48"/>
  <c r="P203" i="48"/>
  <c r="I110" i="45"/>
  <c r="I111" i="45"/>
  <c r="I112" i="45"/>
  <c r="AO110" i="45"/>
  <c r="AO111" i="45"/>
  <c r="AO112" i="45"/>
  <c r="G328" i="46"/>
  <c r="G327" i="46"/>
  <c r="H318" i="46"/>
  <c r="H319" i="46" s="1"/>
  <c r="H341" i="46"/>
  <c r="H342" i="46" s="1"/>
  <c r="L73" i="45" l="1"/>
  <c r="AO117" i="45"/>
  <c r="L33" i="46"/>
  <c r="L39" i="46" s="1"/>
  <c r="AR82" i="45"/>
  <c r="L72" i="45"/>
  <c r="I117" i="45"/>
  <c r="S59" i="12"/>
  <c r="T39" i="20"/>
  <c r="Y45" i="20" s="1"/>
  <c r="O21" i="45"/>
  <c r="M75" i="45"/>
  <c r="X141" i="19"/>
  <c r="Y125" i="14" s="1"/>
  <c r="X180" i="20"/>
  <c r="X142" i="19" s="1"/>
  <c r="X181" i="20"/>
  <c r="X143" i="19" s="1"/>
  <c r="AR24" i="45"/>
  <c r="X182" i="20"/>
  <c r="X144" i="19" s="1"/>
  <c r="AR26" i="45"/>
  <c r="U60" i="12"/>
  <c r="U61" i="12"/>
  <c r="U56" i="12"/>
  <c r="AR84" i="45"/>
  <c r="AV83" i="45"/>
  <c r="AV105" i="45"/>
  <c r="BD69" i="51"/>
  <c r="AV98" i="45"/>
  <c r="AR25" i="45"/>
  <c r="S59" i="14"/>
  <c r="T57" i="14"/>
  <c r="AY55" i="51"/>
  <c r="U35" i="51"/>
  <c r="R36" i="54"/>
  <c r="W42" i="54" s="1"/>
  <c r="W138" i="54" s="1"/>
  <c r="W139" i="54" s="1"/>
  <c r="I114" i="45"/>
  <c r="M84" i="45"/>
  <c r="AS23" i="45"/>
  <c r="T58" i="12"/>
  <c r="T58" i="14"/>
  <c r="AV108" i="45"/>
  <c r="AV107" i="45"/>
  <c r="K34" i="48"/>
  <c r="AO91" i="45"/>
  <c r="BD63" i="51"/>
  <c r="AV99" i="45"/>
  <c r="AV69" i="45"/>
  <c r="O23" i="45"/>
  <c r="X130" i="19"/>
  <c r="X129" i="19"/>
  <c r="X128" i="19" s="1"/>
  <c r="X133" i="19"/>
  <c r="X132" i="19"/>
  <c r="X131" i="19"/>
  <c r="AM115" i="45"/>
  <c r="BC56" i="51"/>
  <c r="AQ84" i="45"/>
  <c r="AZ35" i="51"/>
  <c r="Q69" i="45"/>
  <c r="P35" i="46"/>
  <c r="L37" i="46"/>
  <c r="Q43" i="46" s="1"/>
  <c r="Q260" i="46" s="1"/>
  <c r="S36" i="53"/>
  <c r="X42" i="53" s="1"/>
  <c r="AO109" i="45"/>
  <c r="K33" i="48"/>
  <c r="K39" i="48" s="1"/>
  <c r="K44" i="48" s="1"/>
  <c r="K271" i="48" s="1"/>
  <c r="O35" i="48"/>
  <c r="V55" i="14"/>
  <c r="F343" i="46"/>
  <c r="F344" i="46" s="1"/>
  <c r="F345" i="46"/>
  <c r="F348" i="46" s="1"/>
  <c r="F353" i="46" s="1"/>
  <c r="F354" i="46" s="1"/>
  <c r="AR60" i="45"/>
  <c r="AS34" i="45"/>
  <c r="AT37" i="45"/>
  <c r="V55" i="12"/>
  <c r="F328" i="46"/>
  <c r="F327" i="46"/>
  <c r="G346" i="46"/>
  <c r="G347" i="46" s="1"/>
  <c r="G349" i="46" s="1"/>
  <c r="M58" i="45"/>
  <c r="M70" i="45"/>
  <c r="M104" i="45"/>
  <c r="M59" i="45"/>
  <c r="D125" i="45"/>
  <c r="AR58" i="45"/>
  <c r="K37" i="48"/>
  <c r="P43" i="48" s="1"/>
  <c r="W53" i="12"/>
  <c r="AS82" i="45"/>
  <c r="AS25" i="45"/>
  <c r="AS26" i="45"/>
  <c r="L34" i="48"/>
  <c r="AV42" i="45"/>
  <c r="AV95" i="45"/>
  <c r="AR75" i="45"/>
  <c r="AV43" i="45"/>
  <c r="AS68" i="45"/>
  <c r="AV44" i="45"/>
  <c r="AT21" i="45"/>
  <c r="AP80" i="45"/>
  <c r="J81" i="45"/>
  <c r="AP81" i="45"/>
  <c r="J80" i="45"/>
  <c r="J79" i="45"/>
  <c r="AP79" i="45"/>
  <c r="J113" i="45"/>
  <c r="J100" i="45"/>
  <c r="AP97" i="45"/>
  <c r="AP106" i="45"/>
  <c r="J109" i="45"/>
  <c r="Q95" i="45"/>
  <c r="I318" i="46"/>
  <c r="I319" i="46" s="1"/>
  <c r="I341" i="46"/>
  <c r="I342" i="46" s="1"/>
  <c r="J102" i="45"/>
  <c r="AP101" i="45"/>
  <c r="J101" i="45"/>
  <c r="AP102" i="45"/>
  <c r="AP103" i="45"/>
  <c r="J103" i="45"/>
  <c r="AS57" i="45"/>
  <c r="R63" i="54"/>
  <c r="Q43" i="45"/>
  <c r="AP90" i="45"/>
  <c r="J91" i="45"/>
  <c r="J94" i="45"/>
  <c r="AP93" i="45"/>
  <c r="J93" i="45"/>
  <c r="AP94" i="45"/>
  <c r="Q44" i="45"/>
  <c r="I102" i="48"/>
  <c r="I107" i="48" s="1"/>
  <c r="I101" i="48"/>
  <c r="I106" i="48" s="1"/>
  <c r="I100" i="48"/>
  <c r="I105" i="48" s="1"/>
  <c r="I104" i="48"/>
  <c r="I103" i="48"/>
  <c r="I108" i="48" s="1"/>
  <c r="I110" i="48"/>
  <c r="I115" i="48" s="1"/>
  <c r="I111" i="48"/>
  <c r="I116" i="48" s="1"/>
  <c r="I114" i="48"/>
  <c r="I113" i="48"/>
  <c r="I118" i="48" s="1"/>
  <c r="I112" i="48"/>
  <c r="I117" i="48" s="1"/>
  <c r="I274" i="48"/>
  <c r="AV18" i="45"/>
  <c r="Q42" i="45"/>
  <c r="I84" i="48"/>
  <c r="I83" i="48"/>
  <c r="I88" i="48" s="1"/>
  <c r="I82" i="48"/>
  <c r="I87" i="48" s="1"/>
  <c r="I81" i="48"/>
  <c r="I86" i="48" s="1"/>
  <c r="I80" i="48"/>
  <c r="I85" i="48" s="1"/>
  <c r="AP76" i="45"/>
  <c r="J78" i="45"/>
  <c r="I70" i="48"/>
  <c r="I75" i="48" s="1"/>
  <c r="I74" i="48"/>
  <c r="I73" i="48"/>
  <c r="I78" i="48" s="1"/>
  <c r="I72" i="48"/>
  <c r="I77" i="48" s="1"/>
  <c r="I71" i="48"/>
  <c r="I76" i="48" s="1"/>
  <c r="J111" i="45"/>
  <c r="J112" i="45"/>
  <c r="AP111" i="45"/>
  <c r="AP112" i="45"/>
  <c r="J110" i="45"/>
  <c r="AP110" i="45"/>
  <c r="I317" i="46"/>
  <c r="I320" i="46"/>
  <c r="AT35" i="45"/>
  <c r="N57" i="45"/>
  <c r="R41" i="45"/>
  <c r="AT30" i="45"/>
  <c r="AW41" i="45"/>
  <c r="AR104" i="45"/>
  <c r="R63" i="46"/>
  <c r="AR59" i="45"/>
  <c r="H339" i="46"/>
  <c r="H334" i="46"/>
  <c r="H338" i="46"/>
  <c r="H337" i="46"/>
  <c r="H336" i="46"/>
  <c r="H335" i="46"/>
  <c r="E119" i="45"/>
  <c r="AX39" i="45"/>
  <c r="AX40" i="45"/>
  <c r="AT55" i="45"/>
  <c r="AT56" i="45"/>
  <c r="T60" i="53"/>
  <c r="S67" i="53"/>
  <c r="S66" i="53"/>
  <c r="S73" i="53" s="1"/>
  <c r="S74" i="53" s="1"/>
  <c r="S65" i="53"/>
  <c r="S64" i="53"/>
  <c r="S62" i="53"/>
  <c r="S61" i="53"/>
  <c r="AO116" i="45"/>
  <c r="O209" i="48"/>
  <c r="O214" i="48" s="1"/>
  <c r="O208" i="48"/>
  <c r="O213" i="48" s="1"/>
  <c r="O207" i="48"/>
  <c r="O212" i="48" s="1"/>
  <c r="O211" i="48"/>
  <c r="O210" i="48"/>
  <c r="O215" i="48" s="1"/>
  <c r="AQ72" i="45"/>
  <c r="AQ86" i="45"/>
  <c r="R154" i="54"/>
  <c r="S153" i="54"/>
  <c r="W135" i="53"/>
  <c r="X56" i="51"/>
  <c r="Q139" i="46"/>
  <c r="AU20" i="45"/>
  <c r="AU19" i="45"/>
  <c r="O217" i="48"/>
  <c r="O222" i="48" s="1"/>
  <c r="O221" i="48"/>
  <c r="O220" i="48"/>
  <c r="O225" i="48" s="1"/>
  <c r="O219" i="48"/>
  <c r="O224" i="48" s="1"/>
  <c r="O218" i="48"/>
  <c r="O223" i="48" s="1"/>
  <c r="T20" i="48"/>
  <c r="S26" i="48"/>
  <c r="S41" i="48" s="1"/>
  <c r="S16" i="45"/>
  <c r="R17" i="45"/>
  <c r="AX16" i="45"/>
  <c r="J308" i="46"/>
  <c r="J309" i="46" s="1"/>
  <c r="K275" i="46"/>
  <c r="X51" i="14"/>
  <c r="X54" i="14"/>
  <c r="Y50" i="14"/>
  <c r="X52" i="14"/>
  <c r="R90" i="46"/>
  <c r="R95" i="46" s="1"/>
  <c r="R94" i="46"/>
  <c r="R93" i="46"/>
  <c r="R98" i="46" s="1"/>
  <c r="R92" i="46"/>
  <c r="R97" i="46" s="1"/>
  <c r="R91" i="46"/>
  <c r="R89" i="48"/>
  <c r="J316" i="46"/>
  <c r="P31" i="46"/>
  <c r="P306" i="46"/>
  <c r="CC4" i="55"/>
  <c r="N68" i="45"/>
  <c r="R138" i="48"/>
  <c r="R137" i="48"/>
  <c r="S136" i="48"/>
  <c r="R201" i="48"/>
  <c r="R200" i="48"/>
  <c r="AJ125" i="45"/>
  <c r="C371" i="48"/>
  <c r="AJ126" i="45" s="1"/>
  <c r="R63" i="53"/>
  <c r="I118" i="45"/>
  <c r="AQ87" i="45"/>
  <c r="AQ73" i="45"/>
  <c r="AO100" i="45"/>
  <c r="AO113" i="45"/>
  <c r="Q140" i="46"/>
  <c r="Q154" i="46" s="1"/>
  <c r="Q141" i="46"/>
  <c r="Q164" i="46" s="1"/>
  <c r="Q142" i="46"/>
  <c r="Q174" i="46" s="1"/>
  <c r="S257" i="48"/>
  <c r="R258" i="48"/>
  <c r="W34" i="51"/>
  <c r="X30" i="51"/>
  <c r="W32" i="51"/>
  <c r="W31" i="51"/>
  <c r="BC30" i="51"/>
  <c r="S62" i="48"/>
  <c r="S61" i="48"/>
  <c r="T60" i="48"/>
  <c r="S67" i="48"/>
  <c r="S66" i="48"/>
  <c r="S65" i="48"/>
  <c r="S64" i="48"/>
  <c r="I310" i="46"/>
  <c r="I315" i="46"/>
  <c r="I314" i="46"/>
  <c r="I313" i="46"/>
  <c r="I312" i="46"/>
  <c r="I311" i="46"/>
  <c r="U58" i="12"/>
  <c r="Q248" i="46"/>
  <c r="R96" i="45" s="1"/>
  <c r="Q247" i="46"/>
  <c r="Q252" i="46" s="1"/>
  <c r="Q246" i="46"/>
  <c r="Q251" i="46" s="1"/>
  <c r="Q245" i="46"/>
  <c r="Q250" i="46" s="1"/>
  <c r="Q244" i="46"/>
  <c r="Q249" i="46" s="1"/>
  <c r="Q243" i="48"/>
  <c r="Q139" i="48"/>
  <c r="T60" i="54"/>
  <c r="S67" i="54"/>
  <c r="S66" i="54"/>
  <c r="S73" i="54" s="1"/>
  <c r="S74" i="54" s="1"/>
  <c r="S65" i="54"/>
  <c r="S64" i="54"/>
  <c r="S62" i="54"/>
  <c r="S61" i="54"/>
  <c r="I116" i="45"/>
  <c r="E353" i="46"/>
  <c r="E354" i="46" s="1"/>
  <c r="O227" i="48"/>
  <c r="O232" i="48" s="1"/>
  <c r="O228" i="48"/>
  <c r="O233" i="48" s="1"/>
  <c r="O231" i="48"/>
  <c r="O229" i="48"/>
  <c r="O234" i="48" s="1"/>
  <c r="O230" i="48"/>
  <c r="O235" i="48" s="1"/>
  <c r="G354" i="46"/>
  <c r="G363" i="46" s="1"/>
  <c r="H120" i="45" s="1"/>
  <c r="AS67" i="45"/>
  <c r="R63" i="48"/>
  <c r="O177" i="48"/>
  <c r="O182" i="48" s="1"/>
  <c r="O176" i="48"/>
  <c r="O181" i="48" s="1"/>
  <c r="O175" i="48"/>
  <c r="O180" i="48" s="1"/>
  <c r="O179" i="48"/>
  <c r="O178" i="48"/>
  <c r="O183" i="48" s="1"/>
  <c r="S62" i="46"/>
  <c r="S61" i="46"/>
  <c r="T60" i="46"/>
  <c r="S67" i="46"/>
  <c r="S66" i="46"/>
  <c r="S89" i="46" s="1"/>
  <c r="S65" i="46"/>
  <c r="S64" i="46"/>
  <c r="U57" i="12"/>
  <c r="S28" i="48"/>
  <c r="T22" i="48"/>
  <c r="P265" i="46"/>
  <c r="Q105" i="45" s="1"/>
  <c r="P264" i="46"/>
  <c r="P269" i="46" s="1"/>
  <c r="P263" i="46"/>
  <c r="P268" i="46" s="1"/>
  <c r="P262" i="46"/>
  <c r="P267" i="46" s="1"/>
  <c r="P261" i="46"/>
  <c r="P266" i="46" s="1"/>
  <c r="P260" i="48"/>
  <c r="H318" i="48"/>
  <c r="H319" i="48" s="1"/>
  <c r="H341" i="48"/>
  <c r="H342" i="48" s="1"/>
  <c r="Q142" i="48"/>
  <c r="Q141" i="48"/>
  <c r="Q140" i="48"/>
  <c r="O167" i="48"/>
  <c r="O172" i="48" s="1"/>
  <c r="O166" i="48"/>
  <c r="O171" i="48" s="1"/>
  <c r="O165" i="48"/>
  <c r="O170" i="48" s="1"/>
  <c r="O169" i="48"/>
  <c r="O168" i="48"/>
  <c r="O173" i="48" s="1"/>
  <c r="AJ123" i="45"/>
  <c r="AJ124" i="45"/>
  <c r="AJ121" i="45"/>
  <c r="S241" i="48"/>
  <c r="T240" i="48"/>
  <c r="P165" i="46"/>
  <c r="P170" i="46" s="1"/>
  <c r="P169" i="46"/>
  <c r="Q77" i="45" s="1"/>
  <c r="P168" i="46"/>
  <c r="P173" i="46" s="1"/>
  <c r="P167" i="46"/>
  <c r="P172" i="46" s="1"/>
  <c r="P166" i="46"/>
  <c r="P171" i="46" s="1"/>
  <c r="P164" i="48"/>
  <c r="AT36" i="45"/>
  <c r="E330" i="48"/>
  <c r="E329" i="48"/>
  <c r="E333" i="48" s="1"/>
  <c r="X54" i="12"/>
  <c r="Y50" i="12"/>
  <c r="X52" i="12"/>
  <c r="X51" i="12"/>
  <c r="P31" i="48"/>
  <c r="P306" i="48"/>
  <c r="H315" i="48"/>
  <c r="H314" i="48"/>
  <c r="H313" i="48"/>
  <c r="H312" i="48"/>
  <c r="H311" i="48"/>
  <c r="H310" i="48"/>
  <c r="U58" i="14"/>
  <c r="T21" i="48"/>
  <c r="S27" i="48"/>
  <c r="S42" i="48" s="1"/>
  <c r="M34" i="46"/>
  <c r="N25" i="45"/>
  <c r="N24" i="45"/>
  <c r="N26" i="45"/>
  <c r="N82" i="45"/>
  <c r="J271" i="46"/>
  <c r="P179" i="46"/>
  <c r="Q107" i="45" s="1"/>
  <c r="P178" i="46"/>
  <c r="P183" i="46" s="1"/>
  <c r="P177" i="46"/>
  <c r="P182" i="46" s="1"/>
  <c r="P176" i="46"/>
  <c r="P181" i="46" s="1"/>
  <c r="P175" i="46"/>
  <c r="P180" i="46" s="1"/>
  <c r="P174" i="48"/>
  <c r="AV89" i="45"/>
  <c r="O56" i="45"/>
  <c r="O55" i="45"/>
  <c r="Q27" i="45"/>
  <c r="P28" i="45"/>
  <c r="AV27" i="45"/>
  <c r="P29" i="45"/>
  <c r="P36" i="45"/>
  <c r="P35" i="45"/>
  <c r="P32" i="45"/>
  <c r="P37" i="45"/>
  <c r="P31" i="45"/>
  <c r="P54" i="45"/>
  <c r="Q29" i="48"/>
  <c r="P227" i="46"/>
  <c r="P232" i="46" s="1"/>
  <c r="P231" i="46"/>
  <c r="Q108" i="45" s="1"/>
  <c r="P230" i="46"/>
  <c r="P235" i="46" s="1"/>
  <c r="P229" i="46"/>
  <c r="P234" i="46" s="1"/>
  <c r="P228" i="46"/>
  <c r="P233" i="46" s="1"/>
  <c r="P226" i="48"/>
  <c r="T19" i="48"/>
  <c r="S25" i="48"/>
  <c r="S40" i="48" s="1"/>
  <c r="L44" i="46"/>
  <c r="L316" i="46" s="1"/>
  <c r="L79" i="46"/>
  <c r="L69" i="46"/>
  <c r="L99" i="46"/>
  <c r="L109" i="46"/>
  <c r="I308" i="48"/>
  <c r="I309" i="48" s="1"/>
  <c r="J275" i="48"/>
  <c r="U57" i="14"/>
  <c r="D330" i="48"/>
  <c r="D329" i="48"/>
  <c r="D333" i="48" s="1"/>
  <c r="F353" i="48"/>
  <c r="F354" i="48" s="1"/>
  <c r="P149" i="46"/>
  <c r="Q83" i="45" s="1"/>
  <c r="P148" i="46"/>
  <c r="P153" i="46" s="1"/>
  <c r="P147" i="46"/>
  <c r="P152" i="46" s="1"/>
  <c r="P146" i="46"/>
  <c r="P151" i="46" s="1"/>
  <c r="P145" i="46"/>
  <c r="P150" i="46" s="1"/>
  <c r="P144" i="48"/>
  <c r="R24" i="46"/>
  <c r="S18" i="46"/>
  <c r="E347" i="48"/>
  <c r="E349" i="48" s="1"/>
  <c r="E348" i="48"/>
  <c r="N67" i="45"/>
  <c r="J114" i="46"/>
  <c r="K97" i="45" s="1"/>
  <c r="J113" i="46"/>
  <c r="J118" i="46" s="1"/>
  <c r="J112" i="46"/>
  <c r="J117" i="46" s="1"/>
  <c r="J111" i="46"/>
  <c r="J116" i="46" s="1"/>
  <c r="J110" i="46"/>
  <c r="J115" i="46" s="1"/>
  <c r="J109" i="48"/>
  <c r="J274" i="46"/>
  <c r="O159" i="48"/>
  <c r="O158" i="48"/>
  <c r="O163" i="48" s="1"/>
  <c r="O157" i="48"/>
  <c r="O162" i="48" s="1"/>
  <c r="O156" i="48"/>
  <c r="O161" i="48" s="1"/>
  <c r="O155" i="48"/>
  <c r="O160" i="48" s="1"/>
  <c r="S153" i="53"/>
  <c r="R154" i="53"/>
  <c r="J44" i="48"/>
  <c r="J271" i="48" s="1"/>
  <c r="I322" i="48"/>
  <c r="I321" i="48"/>
  <c r="I324" i="48"/>
  <c r="I323" i="48"/>
  <c r="M73" i="45"/>
  <c r="M87" i="45"/>
  <c r="P159" i="46"/>
  <c r="Q98" i="45" s="1"/>
  <c r="P158" i="46"/>
  <c r="P163" i="46" s="1"/>
  <c r="P157" i="46"/>
  <c r="P162" i="46" s="1"/>
  <c r="P156" i="46"/>
  <c r="P161" i="46" s="1"/>
  <c r="P155" i="46"/>
  <c r="P160" i="46" s="1"/>
  <c r="P154" i="48"/>
  <c r="AT33" i="45"/>
  <c r="S25" i="46"/>
  <c r="S40" i="46" s="1"/>
  <c r="T19" i="46"/>
  <c r="AU28" i="45"/>
  <c r="AU32" i="45"/>
  <c r="AU35" i="45"/>
  <c r="AU29" i="45"/>
  <c r="AU31" i="45"/>
  <c r="AU37" i="45"/>
  <c r="AU36" i="45"/>
  <c r="AU54" i="45"/>
  <c r="Q216" i="46"/>
  <c r="Q206" i="46"/>
  <c r="Q202" i="46"/>
  <c r="Q226" i="46"/>
  <c r="Q144" i="46"/>
  <c r="S18" i="48"/>
  <c r="R24" i="48"/>
  <c r="AW17" i="45"/>
  <c r="BB32" i="51"/>
  <c r="BB31" i="51"/>
  <c r="BB34" i="51"/>
  <c r="Q29" i="46"/>
  <c r="R258" i="46"/>
  <c r="S257" i="46"/>
  <c r="S241" i="46"/>
  <c r="T240" i="46"/>
  <c r="J103" i="46"/>
  <c r="J108" i="46" s="1"/>
  <c r="J102" i="46"/>
  <c r="J107" i="46" s="1"/>
  <c r="J101" i="46"/>
  <c r="J106" i="46" s="1"/>
  <c r="J100" i="46"/>
  <c r="J105" i="46" s="1"/>
  <c r="J104" i="46"/>
  <c r="K106" i="45" s="1"/>
  <c r="J99" i="48"/>
  <c r="H324" i="46"/>
  <c r="H323" i="46"/>
  <c r="H322" i="46"/>
  <c r="H321" i="46"/>
  <c r="Y173" i="20"/>
  <c r="Y179" i="20"/>
  <c r="Y185" i="20"/>
  <c r="Y129" i="19"/>
  <c r="Y128" i="19" s="1"/>
  <c r="Y133" i="19"/>
  <c r="Y132" i="19"/>
  <c r="Y131" i="19"/>
  <c r="Y130" i="19"/>
  <c r="Z125" i="12"/>
  <c r="T22" i="46"/>
  <c r="S28" i="46"/>
  <c r="M85" i="45"/>
  <c r="G330" i="46"/>
  <c r="G329" i="46"/>
  <c r="G333" i="46" s="1"/>
  <c r="T36" i="53"/>
  <c r="Y42" i="53" s="1"/>
  <c r="U55" i="51"/>
  <c r="AO118" i="45"/>
  <c r="O33" i="45"/>
  <c r="O30" i="45"/>
  <c r="T21" i="46"/>
  <c r="S27" i="46"/>
  <c r="S42" i="46" s="1"/>
  <c r="Q204" i="46"/>
  <c r="Q203" i="46"/>
  <c r="O146" i="48"/>
  <c r="O151" i="48" s="1"/>
  <c r="O145" i="48"/>
  <c r="O150" i="48" s="1"/>
  <c r="O149" i="48"/>
  <c r="O148" i="48"/>
  <c r="O153" i="48" s="1"/>
  <c r="O147" i="48"/>
  <c r="O152" i="48" s="1"/>
  <c r="P208" i="46"/>
  <c r="P213" i="46" s="1"/>
  <c r="P207" i="46"/>
  <c r="P212" i="46" s="1"/>
  <c r="P211" i="46"/>
  <c r="Q89" i="45" s="1"/>
  <c r="P210" i="46"/>
  <c r="P215" i="46" s="1"/>
  <c r="P209" i="46"/>
  <c r="P214" i="46" s="1"/>
  <c r="P206" i="48"/>
  <c r="AO78" i="45"/>
  <c r="W53" i="14"/>
  <c r="R243" i="46"/>
  <c r="G336" i="48"/>
  <c r="G335" i="48"/>
  <c r="G334" i="48"/>
  <c r="G339" i="48"/>
  <c r="G338" i="48"/>
  <c r="G337" i="48"/>
  <c r="J80" i="46"/>
  <c r="J85" i="46" s="1"/>
  <c r="J84" i="46"/>
  <c r="K90" i="45" s="1"/>
  <c r="J81" i="46"/>
  <c r="J86" i="46" s="1"/>
  <c r="J82" i="46"/>
  <c r="J87" i="46" s="1"/>
  <c r="J83" i="46"/>
  <c r="J88" i="46" s="1"/>
  <c r="J79" i="48"/>
  <c r="Q202" i="48"/>
  <c r="Q94" i="48"/>
  <c r="Q93" i="48"/>
  <c r="Q98" i="48" s="1"/>
  <c r="Q92" i="48"/>
  <c r="Q97" i="48" s="1"/>
  <c r="Q91" i="48"/>
  <c r="Q90" i="48"/>
  <c r="Q95" i="48" s="1"/>
  <c r="D363" i="46"/>
  <c r="E120" i="45" s="1"/>
  <c r="M86" i="45"/>
  <c r="T38" i="45"/>
  <c r="S40" i="45"/>
  <c r="S39" i="45"/>
  <c r="AY38" i="45"/>
  <c r="H320" i="48"/>
  <c r="H317" i="48"/>
  <c r="AQ85" i="45"/>
  <c r="AQ71" i="45"/>
  <c r="P20" i="45"/>
  <c r="P19" i="45"/>
  <c r="R138" i="46"/>
  <c r="R137" i="46"/>
  <c r="S136" i="46"/>
  <c r="R201" i="46"/>
  <c r="R200" i="46"/>
  <c r="BA33" i="51"/>
  <c r="K44" i="46"/>
  <c r="K79" i="46"/>
  <c r="K69" i="46"/>
  <c r="K99" i="46"/>
  <c r="K109" i="46"/>
  <c r="P221" i="46"/>
  <c r="Q99" i="45" s="1"/>
  <c r="P220" i="46"/>
  <c r="P225" i="46" s="1"/>
  <c r="P219" i="46"/>
  <c r="P224" i="46" s="1"/>
  <c r="P218" i="46"/>
  <c r="P223" i="46" s="1"/>
  <c r="P217" i="46"/>
  <c r="P222" i="46" s="1"/>
  <c r="P216" i="48"/>
  <c r="Q18" i="45"/>
  <c r="V33" i="51"/>
  <c r="D347" i="48"/>
  <c r="D349" i="48" s="1"/>
  <c r="D348" i="48"/>
  <c r="O262" i="48"/>
  <c r="O267" i="48" s="1"/>
  <c r="O261" i="48"/>
  <c r="O266" i="48" s="1"/>
  <c r="O265" i="48"/>
  <c r="O263" i="48"/>
  <c r="O268" i="48" s="1"/>
  <c r="O264" i="48"/>
  <c r="O269" i="48" s="1"/>
  <c r="S26" i="46"/>
  <c r="S41" i="46" s="1"/>
  <c r="T20" i="46"/>
  <c r="G324" i="48"/>
  <c r="G323" i="48"/>
  <c r="G322" i="48"/>
  <c r="G321" i="48"/>
  <c r="J70" i="46"/>
  <c r="J75" i="46" s="1"/>
  <c r="J74" i="46"/>
  <c r="K76" i="45" s="1"/>
  <c r="J73" i="46"/>
  <c r="J78" i="46" s="1"/>
  <c r="J72" i="46"/>
  <c r="J77" i="46" s="1"/>
  <c r="J71" i="46"/>
  <c r="J76" i="46" s="1"/>
  <c r="J69" i="48"/>
  <c r="Q204" i="48"/>
  <c r="Q203" i="48"/>
  <c r="AV77" i="45"/>
  <c r="N34" i="45"/>
  <c r="O82" i="45" l="1"/>
  <c r="AV20" i="45"/>
  <c r="AP117" i="45"/>
  <c r="L33" i="48"/>
  <c r="L39" i="48" s="1"/>
  <c r="AO114" i="45"/>
  <c r="AR87" i="45"/>
  <c r="M71" i="45"/>
  <c r="AS59" i="45"/>
  <c r="AR85" i="45"/>
  <c r="J117" i="45"/>
  <c r="AS75" i="45"/>
  <c r="F363" i="46"/>
  <c r="G120" i="45" s="1"/>
  <c r="O25" i="45"/>
  <c r="AV19" i="45"/>
  <c r="N34" i="46"/>
  <c r="O24" i="45"/>
  <c r="E122" i="45"/>
  <c r="AS87" i="45"/>
  <c r="O68" i="45"/>
  <c r="AW69" i="45"/>
  <c r="U39" i="20"/>
  <c r="Z45" i="20" s="1"/>
  <c r="V60" i="12"/>
  <c r="V112" i="12"/>
  <c r="AW83" i="45"/>
  <c r="H122" i="45"/>
  <c r="W134" i="54"/>
  <c r="W135" i="54" s="1"/>
  <c r="R69" i="45"/>
  <c r="R95" i="45"/>
  <c r="AP109" i="45"/>
  <c r="AS84" i="45"/>
  <c r="F346" i="46"/>
  <c r="F347" i="46" s="1"/>
  <c r="F349" i="46" s="1"/>
  <c r="AS72" i="45"/>
  <c r="BA35" i="51"/>
  <c r="AW98" i="45"/>
  <c r="AS70" i="45"/>
  <c r="N84" i="45"/>
  <c r="W136" i="54"/>
  <c r="W137" i="54" s="1"/>
  <c r="N59" i="45"/>
  <c r="J114" i="45"/>
  <c r="W55" i="12"/>
  <c r="V56" i="12"/>
  <c r="AW107" i="45"/>
  <c r="W55" i="14"/>
  <c r="AW108" i="45"/>
  <c r="AP91" i="45"/>
  <c r="V61" i="12"/>
  <c r="V56" i="14"/>
  <c r="U39" i="19"/>
  <c r="Z45" i="19" s="1"/>
  <c r="V112" i="14"/>
  <c r="V61" i="14"/>
  <c r="V60" i="14"/>
  <c r="AS24" i="45"/>
  <c r="BD56" i="51"/>
  <c r="AW95" i="45"/>
  <c r="AW99" i="45"/>
  <c r="AZ55" i="51"/>
  <c r="AX96" i="45"/>
  <c r="AR72" i="45"/>
  <c r="AT23" i="45"/>
  <c r="AR71" i="45"/>
  <c r="O26" i="45"/>
  <c r="AR86" i="45"/>
  <c r="O84" i="45"/>
  <c r="T59" i="12"/>
  <c r="AS86" i="45"/>
  <c r="V35" i="51"/>
  <c r="S36" i="54"/>
  <c r="X42" i="54" s="1"/>
  <c r="F330" i="46"/>
  <c r="F329" i="46"/>
  <c r="F333" i="46" s="1"/>
  <c r="X134" i="53"/>
  <c r="X136" i="53"/>
  <c r="X137" i="53" s="1"/>
  <c r="Y63" i="51" s="1"/>
  <c r="X138" i="53"/>
  <c r="X139" i="53" s="1"/>
  <c r="Y69" i="51" s="1"/>
  <c r="G122" i="45"/>
  <c r="AW105" i="45"/>
  <c r="F361" i="46"/>
  <c r="F365" i="46" s="1"/>
  <c r="I115" i="45"/>
  <c r="L37" i="48"/>
  <c r="Q43" i="48" s="1"/>
  <c r="M72" i="45"/>
  <c r="AR73" i="45"/>
  <c r="T59" i="14"/>
  <c r="R44" i="45"/>
  <c r="BB33" i="51"/>
  <c r="AS60" i="45"/>
  <c r="AS58" i="45"/>
  <c r="AS104" i="45"/>
  <c r="AT67" i="45"/>
  <c r="N58" i="45"/>
  <c r="N60" i="45"/>
  <c r="R202" i="48"/>
  <c r="AT68" i="45"/>
  <c r="M37" i="46"/>
  <c r="R43" i="46" s="1"/>
  <c r="R260" i="46" s="1"/>
  <c r="N104" i="45"/>
  <c r="AW44" i="45"/>
  <c r="N70" i="45"/>
  <c r="P35" i="48"/>
  <c r="AW42" i="45"/>
  <c r="R42" i="45"/>
  <c r="Q35" i="46"/>
  <c r="P30" i="45"/>
  <c r="R43" i="45"/>
  <c r="AW43" i="45"/>
  <c r="I334" i="46"/>
  <c r="I339" i="46"/>
  <c r="I338" i="46"/>
  <c r="I337" i="46"/>
  <c r="I335" i="46"/>
  <c r="I336" i="46"/>
  <c r="AP116" i="45"/>
  <c r="J116" i="45"/>
  <c r="AP78" i="45"/>
  <c r="AP114" i="45"/>
  <c r="S41" i="45"/>
  <c r="L271" i="46"/>
  <c r="AP118" i="45"/>
  <c r="I321" i="46"/>
  <c r="I323" i="46"/>
  <c r="I324" i="46"/>
  <c r="I322" i="46"/>
  <c r="I318" i="48"/>
  <c r="I319" i="48" s="1"/>
  <c r="I341" i="48"/>
  <c r="I342" i="48" s="1"/>
  <c r="J118" i="45"/>
  <c r="R139" i="48"/>
  <c r="AP100" i="45"/>
  <c r="AP113" i="45"/>
  <c r="D365" i="46"/>
  <c r="X53" i="12"/>
  <c r="R139" i="46"/>
  <c r="S63" i="53"/>
  <c r="AU30" i="45"/>
  <c r="AX41" i="45"/>
  <c r="P33" i="45"/>
  <c r="S63" i="46"/>
  <c r="AU33" i="45"/>
  <c r="O57" i="45"/>
  <c r="R18" i="45"/>
  <c r="AV21" i="45"/>
  <c r="AT57" i="45"/>
  <c r="K316" i="46"/>
  <c r="R141" i="46"/>
  <c r="R164" i="46" s="1"/>
  <c r="R140" i="46"/>
  <c r="R154" i="46" s="1"/>
  <c r="R142" i="46"/>
  <c r="R174" i="46" s="1"/>
  <c r="AQ90" i="45"/>
  <c r="K91" i="45"/>
  <c r="V39" i="19"/>
  <c r="AA45" i="19" s="1"/>
  <c r="W61" i="14"/>
  <c r="W60" i="14"/>
  <c r="W56" i="14"/>
  <c r="W112" i="14"/>
  <c r="AW89" i="45"/>
  <c r="Y184" i="20"/>
  <c r="Y146" i="19" s="1"/>
  <c r="Y183" i="20"/>
  <c r="Y145" i="19" s="1"/>
  <c r="Y182" i="20"/>
  <c r="Y144" i="19" s="1"/>
  <c r="Y181" i="20"/>
  <c r="Y143" i="19" s="1"/>
  <c r="Y180" i="20"/>
  <c r="Y142" i="19" s="1"/>
  <c r="Y141" i="19"/>
  <c r="Z125" i="14" s="1"/>
  <c r="K111" i="45"/>
  <c r="K110" i="45"/>
  <c r="K112" i="45"/>
  <c r="AQ111" i="45"/>
  <c r="AQ112" i="45"/>
  <c r="AQ110" i="45"/>
  <c r="AW18" i="45"/>
  <c r="Q145" i="46"/>
  <c r="Q150" i="46" s="1"/>
  <c r="Q149" i="46"/>
  <c r="R83" i="45" s="1"/>
  <c r="Q148" i="46"/>
  <c r="Q153" i="46" s="1"/>
  <c r="Q147" i="46"/>
  <c r="Q152" i="46" s="1"/>
  <c r="Q146" i="46"/>
  <c r="Q151" i="46" s="1"/>
  <c r="Q144" i="48"/>
  <c r="J114" i="48"/>
  <c r="J113" i="48"/>
  <c r="J118" i="48" s="1"/>
  <c r="J112" i="48"/>
  <c r="J117" i="48" s="1"/>
  <c r="J110" i="48"/>
  <c r="J115" i="48" s="1"/>
  <c r="J111" i="48"/>
  <c r="J116" i="48" s="1"/>
  <c r="J274" i="48"/>
  <c r="L101" i="46"/>
  <c r="L106" i="46" s="1"/>
  <c r="L100" i="46"/>
  <c r="L105" i="46" s="1"/>
  <c r="L103" i="46"/>
  <c r="L108" i="46" s="1"/>
  <c r="L102" i="46"/>
  <c r="L107" i="46" s="1"/>
  <c r="L104" i="46"/>
  <c r="M106" i="45" s="1"/>
  <c r="L99" i="48"/>
  <c r="U22" i="48"/>
  <c r="T28" i="48"/>
  <c r="T64" i="48"/>
  <c r="T62" i="48"/>
  <c r="T61" i="48"/>
  <c r="U60" i="48"/>
  <c r="T67" i="48"/>
  <c r="T66" i="48"/>
  <c r="T65" i="48"/>
  <c r="R94" i="48"/>
  <c r="R93" i="48"/>
  <c r="R98" i="48" s="1"/>
  <c r="R92" i="48"/>
  <c r="R97" i="48" s="1"/>
  <c r="R91" i="48"/>
  <c r="R90" i="48"/>
  <c r="R95" i="48" s="1"/>
  <c r="AY16" i="45"/>
  <c r="T16" i="45"/>
  <c r="S17" i="45"/>
  <c r="S154" i="54"/>
  <c r="T153" i="54"/>
  <c r="E124" i="45"/>
  <c r="E123" i="45"/>
  <c r="E121" i="45"/>
  <c r="T26" i="46"/>
  <c r="T41" i="46" s="1"/>
  <c r="U20" i="46"/>
  <c r="Q19" i="45"/>
  <c r="Q20" i="45"/>
  <c r="T36" i="54"/>
  <c r="Y42" i="54" s="1"/>
  <c r="AQ94" i="45"/>
  <c r="K94" i="45"/>
  <c r="AQ93" i="45"/>
  <c r="K93" i="45"/>
  <c r="X138" i="54"/>
  <c r="X139" i="54" s="1"/>
  <c r="X136" i="54"/>
  <c r="X137" i="54" s="1"/>
  <c r="X134" i="54"/>
  <c r="X135" i="54" s="1"/>
  <c r="Y174" i="20"/>
  <c r="Y136" i="19" s="1"/>
  <c r="Y175" i="20"/>
  <c r="Y137" i="19" s="1"/>
  <c r="Y176" i="20"/>
  <c r="Y138" i="19" s="1"/>
  <c r="Y177" i="20"/>
  <c r="Y139" i="19" s="1"/>
  <c r="Y178" i="20"/>
  <c r="Y140" i="19" s="1"/>
  <c r="Y135" i="19"/>
  <c r="Z113" i="14" s="1"/>
  <c r="Z113" i="12"/>
  <c r="S258" i="46"/>
  <c r="T257" i="46"/>
  <c r="P155" i="48"/>
  <c r="P160" i="48" s="1"/>
  <c r="P159" i="48"/>
  <c r="P158" i="48"/>
  <c r="P163" i="48" s="1"/>
  <c r="P157" i="48"/>
  <c r="P162" i="48" s="1"/>
  <c r="P156" i="48"/>
  <c r="P161" i="48" s="1"/>
  <c r="AQ103" i="45"/>
  <c r="K103" i="45"/>
  <c r="AQ101" i="45"/>
  <c r="AQ102" i="45"/>
  <c r="K101" i="45"/>
  <c r="K102" i="45"/>
  <c r="E353" i="48"/>
  <c r="E354" i="48" s="1"/>
  <c r="L72" i="46"/>
  <c r="L77" i="46" s="1"/>
  <c r="L71" i="46"/>
  <c r="L76" i="46" s="1"/>
  <c r="L70" i="46"/>
  <c r="L75" i="46" s="1"/>
  <c r="L74" i="46"/>
  <c r="M76" i="45" s="1"/>
  <c r="L73" i="46"/>
  <c r="L78" i="46" s="1"/>
  <c r="L69" i="48"/>
  <c r="Q31" i="48"/>
  <c r="Q306" i="48"/>
  <c r="P56" i="45"/>
  <c r="P55" i="45"/>
  <c r="AV28" i="45"/>
  <c r="AV32" i="45"/>
  <c r="AV35" i="45"/>
  <c r="AV29" i="45"/>
  <c r="AV31" i="45"/>
  <c r="AV37" i="45"/>
  <c r="AV36" i="45"/>
  <c r="AV54" i="45"/>
  <c r="U21" i="48"/>
  <c r="T27" i="48"/>
  <c r="T42" i="48" s="1"/>
  <c r="K316" i="48"/>
  <c r="Y54" i="12"/>
  <c r="Z50" i="12"/>
  <c r="Y52" i="12"/>
  <c r="Y51" i="12"/>
  <c r="P167" i="48"/>
  <c r="P172" i="48" s="1"/>
  <c r="P166" i="48"/>
  <c r="P171" i="48" s="1"/>
  <c r="P165" i="48"/>
  <c r="P170" i="48" s="1"/>
  <c r="P169" i="48"/>
  <c r="P168" i="48"/>
  <c r="P173" i="48" s="1"/>
  <c r="U59" i="12"/>
  <c r="S63" i="48"/>
  <c r="G361" i="46"/>
  <c r="AU21" i="45"/>
  <c r="AT34" i="45"/>
  <c r="U38" i="45"/>
  <c r="T40" i="45"/>
  <c r="T39" i="45"/>
  <c r="AZ38" i="45"/>
  <c r="T241" i="46"/>
  <c r="U240" i="46"/>
  <c r="Q228" i="46"/>
  <c r="Q233" i="46" s="1"/>
  <c r="Q227" i="46"/>
  <c r="Q232" i="46" s="1"/>
  <c r="Q231" i="46"/>
  <c r="R108" i="45" s="1"/>
  <c r="Q230" i="46"/>
  <c r="Q235" i="46" s="1"/>
  <c r="Q229" i="46"/>
  <c r="Q234" i="46" s="1"/>
  <c r="Q226" i="48"/>
  <c r="I326" i="48"/>
  <c r="I325" i="48"/>
  <c r="L80" i="46"/>
  <c r="L85" i="46" s="1"/>
  <c r="L82" i="46"/>
  <c r="L87" i="46" s="1"/>
  <c r="L83" i="46"/>
  <c r="L88" i="46" s="1"/>
  <c r="L84" i="46"/>
  <c r="M90" i="45" s="1"/>
  <c r="L81" i="46"/>
  <c r="L86" i="46" s="1"/>
  <c r="L79" i="48"/>
  <c r="P178" i="48"/>
  <c r="P183" i="48" s="1"/>
  <c r="P177" i="48"/>
  <c r="P182" i="48" s="1"/>
  <c r="P176" i="48"/>
  <c r="P181" i="48" s="1"/>
  <c r="P175" i="48"/>
  <c r="P180" i="48" s="1"/>
  <c r="P179" i="48"/>
  <c r="N87" i="45"/>
  <c r="AO115" i="45"/>
  <c r="J317" i="46"/>
  <c r="J320" i="46"/>
  <c r="X53" i="14"/>
  <c r="AQ76" i="45"/>
  <c r="K114" i="45"/>
  <c r="K78" i="45"/>
  <c r="G332" i="48"/>
  <c r="G331" i="48"/>
  <c r="D353" i="48"/>
  <c r="D354" i="48" s="1"/>
  <c r="K271" i="46"/>
  <c r="T27" i="46"/>
  <c r="T42" i="46" s="1"/>
  <c r="U21" i="46"/>
  <c r="S243" i="46"/>
  <c r="I332" i="48"/>
  <c r="I331" i="48"/>
  <c r="T18" i="46"/>
  <c r="S24" i="46"/>
  <c r="U59" i="14"/>
  <c r="L320" i="46"/>
  <c r="L317" i="46"/>
  <c r="U19" i="48"/>
  <c r="T25" i="48"/>
  <c r="T40" i="48" s="1"/>
  <c r="P227" i="48"/>
  <c r="P232" i="48" s="1"/>
  <c r="P229" i="48"/>
  <c r="P234" i="48" s="1"/>
  <c r="P228" i="48"/>
  <c r="P233" i="48" s="1"/>
  <c r="P230" i="48"/>
  <c r="P235" i="48" s="1"/>
  <c r="P231" i="48"/>
  <c r="R27" i="45"/>
  <c r="Q28" i="45"/>
  <c r="AW27" i="45"/>
  <c r="Q31" i="45"/>
  <c r="Q29" i="45"/>
  <c r="Q36" i="45"/>
  <c r="Q35" i="45"/>
  <c r="Q32" i="45"/>
  <c r="Q37" i="45"/>
  <c r="Q54" i="45"/>
  <c r="N85" i="45"/>
  <c r="S91" i="46"/>
  <c r="S90" i="46"/>
  <c r="S95" i="46" s="1"/>
  <c r="S94" i="46"/>
  <c r="S93" i="46"/>
  <c r="S98" i="46" s="1"/>
  <c r="S92" i="46"/>
  <c r="S97" i="46" s="1"/>
  <c r="S89" i="48"/>
  <c r="U60" i="54"/>
  <c r="T67" i="54"/>
  <c r="T66" i="54"/>
  <c r="T73" i="54" s="1"/>
  <c r="T74" i="54" s="1"/>
  <c r="T65" i="54"/>
  <c r="T64" i="54"/>
  <c r="T62" i="54"/>
  <c r="T61" i="54"/>
  <c r="BC32" i="51"/>
  <c r="BC31" i="51"/>
  <c r="BC34" i="51"/>
  <c r="K308" i="46"/>
  <c r="K309" i="46" s="1"/>
  <c r="L275" i="46"/>
  <c r="G119" i="45"/>
  <c r="K79" i="45"/>
  <c r="K81" i="45"/>
  <c r="K80" i="45"/>
  <c r="AQ79" i="45"/>
  <c r="AQ81" i="45"/>
  <c r="AQ80" i="45"/>
  <c r="K114" i="46"/>
  <c r="L97" i="45" s="1"/>
  <c r="K113" i="46"/>
  <c r="K118" i="46" s="1"/>
  <c r="K112" i="46"/>
  <c r="K117" i="46" s="1"/>
  <c r="K111" i="46"/>
  <c r="K116" i="46" s="1"/>
  <c r="K110" i="46"/>
  <c r="K115" i="46" s="1"/>
  <c r="K109" i="48"/>
  <c r="K274" i="46"/>
  <c r="R226" i="46"/>
  <c r="R216" i="46"/>
  <c r="R206" i="46"/>
  <c r="R202" i="46"/>
  <c r="H337" i="48"/>
  <c r="H336" i="48"/>
  <c r="H335" i="48"/>
  <c r="H334" i="48"/>
  <c r="H339" i="48"/>
  <c r="H338" i="48"/>
  <c r="J84" i="48"/>
  <c r="J83" i="48"/>
  <c r="J88" i="48" s="1"/>
  <c r="J82" i="48"/>
  <c r="J87" i="48" s="1"/>
  <c r="J81" i="48"/>
  <c r="J86" i="48" s="1"/>
  <c r="J80" i="48"/>
  <c r="J85" i="48" s="1"/>
  <c r="R248" i="46"/>
  <c r="S96" i="45" s="1"/>
  <c r="R247" i="46"/>
  <c r="R252" i="46" s="1"/>
  <c r="R246" i="46"/>
  <c r="R251" i="46" s="1"/>
  <c r="R245" i="46"/>
  <c r="R250" i="46" s="1"/>
  <c r="R244" i="46"/>
  <c r="R249" i="46" s="1"/>
  <c r="R243" i="48"/>
  <c r="H325" i="46"/>
  <c r="H326" i="46"/>
  <c r="Q31" i="46"/>
  <c r="Q306" i="46"/>
  <c r="CD4" i="55"/>
  <c r="Q209" i="46"/>
  <c r="Q214" i="46" s="1"/>
  <c r="Q208" i="46"/>
  <c r="Q213" i="46" s="1"/>
  <c r="Q207" i="46"/>
  <c r="Q212" i="46" s="1"/>
  <c r="Q211" i="46"/>
  <c r="R89" i="45" s="1"/>
  <c r="Q210" i="46"/>
  <c r="Q215" i="46" s="1"/>
  <c r="Q206" i="48"/>
  <c r="U19" i="46"/>
  <c r="T25" i="46"/>
  <c r="T40" i="46" s="1"/>
  <c r="J316" i="48"/>
  <c r="R29" i="46"/>
  <c r="F361" i="48"/>
  <c r="F363" i="48"/>
  <c r="AM120" i="45" s="1"/>
  <c r="J308" i="48"/>
  <c r="J309" i="48" s="1"/>
  <c r="K275" i="48"/>
  <c r="N86" i="45"/>
  <c r="N72" i="45"/>
  <c r="R203" i="48"/>
  <c r="R204" i="48"/>
  <c r="J311" i="46"/>
  <c r="J310" i="46"/>
  <c r="J315" i="46"/>
  <c r="J314" i="46"/>
  <c r="J313" i="46"/>
  <c r="J312" i="46"/>
  <c r="U20" i="48"/>
  <c r="T26" i="48"/>
  <c r="T41" i="48" s="1"/>
  <c r="U36" i="53"/>
  <c r="Z42" i="53" s="1"/>
  <c r="V55" i="51"/>
  <c r="K100" i="46"/>
  <c r="K105" i="46" s="1"/>
  <c r="K104" i="46"/>
  <c r="L106" i="45" s="1"/>
  <c r="K103" i="46"/>
  <c r="K108" i="46" s="1"/>
  <c r="K102" i="46"/>
  <c r="K107" i="46" s="1"/>
  <c r="K101" i="46"/>
  <c r="K106" i="46" s="1"/>
  <c r="K99" i="48"/>
  <c r="R204" i="46"/>
  <c r="R203" i="46"/>
  <c r="P21" i="45"/>
  <c r="H321" i="48"/>
  <c r="H324" i="48"/>
  <c r="H323" i="48"/>
  <c r="H322" i="48"/>
  <c r="P210" i="48"/>
  <c r="P215" i="48" s="1"/>
  <c r="P209" i="48"/>
  <c r="P214" i="48" s="1"/>
  <c r="P208" i="48"/>
  <c r="P213" i="48" s="1"/>
  <c r="P207" i="48"/>
  <c r="P212" i="48" s="1"/>
  <c r="P211" i="48"/>
  <c r="R144" i="46"/>
  <c r="U22" i="46"/>
  <c r="T28" i="46"/>
  <c r="H332" i="46"/>
  <c r="H331" i="46"/>
  <c r="R29" i="48"/>
  <c r="Q217" i="46"/>
  <c r="Q222" i="46" s="1"/>
  <c r="Q221" i="46"/>
  <c r="R99" i="45" s="1"/>
  <c r="Q220" i="46"/>
  <c r="Q225" i="46" s="1"/>
  <c r="Q219" i="46"/>
  <c r="Q224" i="46" s="1"/>
  <c r="Q218" i="46"/>
  <c r="Q223" i="46" s="1"/>
  <c r="Q216" i="48"/>
  <c r="AQ97" i="45"/>
  <c r="K100" i="45"/>
  <c r="K113" i="45"/>
  <c r="P147" i="48"/>
  <c r="P152" i="48" s="1"/>
  <c r="P146" i="48"/>
  <c r="P151" i="48" s="1"/>
  <c r="P145" i="48"/>
  <c r="P150" i="48" s="1"/>
  <c r="P149" i="48"/>
  <c r="P148" i="48"/>
  <c r="P153" i="48" s="1"/>
  <c r="I315" i="48"/>
  <c r="I314" i="48"/>
  <c r="I313" i="48"/>
  <c r="I312" i="48"/>
  <c r="I311" i="48"/>
  <c r="I310" i="48"/>
  <c r="AW77" i="45"/>
  <c r="T62" i="46"/>
  <c r="T61" i="46"/>
  <c r="U60" i="46"/>
  <c r="T67" i="46"/>
  <c r="T66" i="46"/>
  <c r="T89" i="46" s="1"/>
  <c r="T65" i="46"/>
  <c r="T64" i="46"/>
  <c r="S63" i="54"/>
  <c r="W33" i="51"/>
  <c r="T257" i="48"/>
  <c r="S258" i="48"/>
  <c r="Q179" i="46"/>
  <c r="R107" i="45" s="1"/>
  <c r="Q178" i="46"/>
  <c r="Q183" i="46" s="1"/>
  <c r="Q177" i="46"/>
  <c r="Q182" i="46" s="1"/>
  <c r="Q176" i="46"/>
  <c r="Q181" i="46" s="1"/>
  <c r="Q175" i="46"/>
  <c r="Q180" i="46" s="1"/>
  <c r="Q174" i="48"/>
  <c r="S138" i="48"/>
  <c r="S137" i="48"/>
  <c r="T136" i="48"/>
  <c r="S201" i="48"/>
  <c r="S200" i="48"/>
  <c r="AX17" i="45"/>
  <c r="U60" i="53"/>
  <c r="T67" i="53"/>
  <c r="T66" i="53"/>
  <c r="T73" i="53" s="1"/>
  <c r="T74" i="53" s="1"/>
  <c r="T65" i="53"/>
  <c r="T64" i="53"/>
  <c r="T61" i="53"/>
  <c r="T62" i="53"/>
  <c r="G326" i="48"/>
  <c r="G325" i="48"/>
  <c r="M33" i="46"/>
  <c r="M39" i="46" s="1"/>
  <c r="N75" i="45"/>
  <c r="K71" i="46"/>
  <c r="K76" i="46" s="1"/>
  <c r="K70" i="46"/>
  <c r="K75" i="46" s="1"/>
  <c r="K74" i="46"/>
  <c r="L76" i="45" s="1"/>
  <c r="K73" i="46"/>
  <c r="K78" i="46" s="1"/>
  <c r="K72" i="46"/>
  <c r="K77" i="46" s="1"/>
  <c r="K69" i="48"/>
  <c r="S138" i="46"/>
  <c r="S137" i="46"/>
  <c r="T136" i="46"/>
  <c r="S200" i="46"/>
  <c r="S201" i="46"/>
  <c r="AY39" i="45"/>
  <c r="AY40" i="45"/>
  <c r="O67" i="45"/>
  <c r="O34" i="45"/>
  <c r="Y138" i="53"/>
  <c r="Y139" i="53" s="1"/>
  <c r="Z69" i="51" s="1"/>
  <c r="Y136" i="53"/>
  <c r="Y137" i="53" s="1"/>
  <c r="Z63" i="51" s="1"/>
  <c r="Y134" i="53"/>
  <c r="J104" i="48"/>
  <c r="J103" i="48"/>
  <c r="J108" i="48" s="1"/>
  <c r="J102" i="48"/>
  <c r="J107" i="48" s="1"/>
  <c r="J101" i="48"/>
  <c r="J106" i="48" s="1"/>
  <c r="J100" i="48"/>
  <c r="J105" i="48" s="1"/>
  <c r="T18" i="48"/>
  <c r="S24" i="48"/>
  <c r="S154" i="53"/>
  <c r="T153" i="53"/>
  <c r="Q166" i="46"/>
  <c r="Q171" i="46" s="1"/>
  <c r="Q165" i="46"/>
  <c r="Q170" i="46" s="1"/>
  <c r="Q169" i="46"/>
  <c r="R77" i="45" s="1"/>
  <c r="Q168" i="46"/>
  <c r="Q173" i="46" s="1"/>
  <c r="Q167" i="46"/>
  <c r="Q172" i="46" s="1"/>
  <c r="Q164" i="48"/>
  <c r="D370" i="46"/>
  <c r="J71" i="48"/>
  <c r="J76" i="48" s="1"/>
  <c r="J70" i="48"/>
  <c r="J75" i="48" s="1"/>
  <c r="J74" i="48"/>
  <c r="J73" i="48"/>
  <c r="J78" i="48" s="1"/>
  <c r="J72" i="48"/>
  <c r="J77" i="48" s="1"/>
  <c r="P218" i="48"/>
  <c r="P223" i="48" s="1"/>
  <c r="P217" i="48"/>
  <c r="P222" i="48" s="1"/>
  <c r="P221" i="48"/>
  <c r="P220" i="48"/>
  <c r="P225" i="48" s="1"/>
  <c r="P219" i="48"/>
  <c r="P224" i="48" s="1"/>
  <c r="K80" i="46"/>
  <c r="K85" i="46" s="1"/>
  <c r="K83" i="46"/>
  <c r="K88" i="46" s="1"/>
  <c r="K84" i="46"/>
  <c r="L90" i="45" s="1"/>
  <c r="K81" i="46"/>
  <c r="K86" i="46" s="1"/>
  <c r="K82" i="46"/>
  <c r="K87" i="46" s="1"/>
  <c r="K79" i="48"/>
  <c r="S44" i="45"/>
  <c r="L44" i="48"/>
  <c r="L271" i="48" s="1"/>
  <c r="Y187" i="20"/>
  <c r="Y149" i="19" s="1"/>
  <c r="Y186" i="20"/>
  <c r="Y148" i="19" s="1"/>
  <c r="Y190" i="20"/>
  <c r="Y152" i="19" s="1"/>
  <c r="Y189" i="20"/>
  <c r="Y151" i="19" s="1"/>
  <c r="Y188" i="20"/>
  <c r="Y150" i="19" s="1"/>
  <c r="Y147" i="19"/>
  <c r="Z137" i="14" s="1"/>
  <c r="Z137" i="12"/>
  <c r="AQ106" i="45"/>
  <c r="K109" i="45"/>
  <c r="AU56" i="45"/>
  <c r="AU55" i="45"/>
  <c r="J318" i="46"/>
  <c r="J319" i="46" s="1"/>
  <c r="J341" i="46"/>
  <c r="J342" i="46" s="1"/>
  <c r="Q265" i="46"/>
  <c r="R105" i="45" s="1"/>
  <c r="Q264" i="46"/>
  <c r="Q269" i="46" s="1"/>
  <c r="Q263" i="46"/>
  <c r="Q268" i="46" s="1"/>
  <c r="Q262" i="46"/>
  <c r="Q267" i="46" s="1"/>
  <c r="Q261" i="46"/>
  <c r="Q266" i="46" s="1"/>
  <c r="Q260" i="48"/>
  <c r="L110" i="46"/>
  <c r="L115" i="46" s="1"/>
  <c r="L114" i="46"/>
  <c r="M97" i="45" s="1"/>
  <c r="L113" i="46"/>
  <c r="L118" i="46" s="1"/>
  <c r="L112" i="46"/>
  <c r="L117" i="46" s="1"/>
  <c r="L111" i="46"/>
  <c r="L116" i="46" s="1"/>
  <c r="L109" i="48"/>
  <c r="L274" i="46"/>
  <c r="T241" i="48"/>
  <c r="U240" i="48"/>
  <c r="P263" i="48"/>
  <c r="P268" i="48" s="1"/>
  <c r="P262" i="48"/>
  <c r="P267" i="48" s="1"/>
  <c r="P261" i="48"/>
  <c r="P266" i="48" s="1"/>
  <c r="P264" i="48"/>
  <c r="P269" i="48" s="1"/>
  <c r="P265" i="48"/>
  <c r="E363" i="46"/>
  <c r="F120" i="45" s="1"/>
  <c r="E361" i="46"/>
  <c r="Q248" i="48"/>
  <c r="Q247" i="48"/>
  <c r="Q252" i="48" s="1"/>
  <c r="Q246" i="48"/>
  <c r="Q251" i="48" s="1"/>
  <c r="Q244" i="48"/>
  <c r="Q249" i="48" s="1"/>
  <c r="Q245" i="48"/>
  <c r="Q250" i="48" s="1"/>
  <c r="BD30" i="51"/>
  <c r="X34" i="51"/>
  <c r="Y30" i="51"/>
  <c r="X32" i="51"/>
  <c r="X31" i="51"/>
  <c r="Q159" i="46"/>
  <c r="R98" i="45" s="1"/>
  <c r="Q158" i="46"/>
  <c r="Q163" i="46" s="1"/>
  <c r="Q157" i="46"/>
  <c r="Q162" i="46" s="1"/>
  <c r="Q156" i="46"/>
  <c r="Q161" i="46" s="1"/>
  <c r="Q155" i="46"/>
  <c r="Q160" i="46" s="1"/>
  <c r="Q154" i="48"/>
  <c r="R140" i="48"/>
  <c r="R142" i="48"/>
  <c r="R141" i="48"/>
  <c r="Y51" i="14"/>
  <c r="Y54" i="14"/>
  <c r="Z50" i="14"/>
  <c r="Y52" i="14"/>
  <c r="R19" i="45"/>
  <c r="BA55" i="51" l="1"/>
  <c r="BB35" i="51"/>
  <c r="K117" i="45"/>
  <c r="N73" i="45"/>
  <c r="AT70" i="45"/>
  <c r="J115" i="45"/>
  <c r="O85" i="45"/>
  <c r="AQ117" i="45"/>
  <c r="O86" i="45"/>
  <c r="V58" i="14"/>
  <c r="BF63" i="51"/>
  <c r="AX107" i="45"/>
  <c r="AX42" i="45"/>
  <c r="BE69" i="51"/>
  <c r="V57" i="14"/>
  <c r="BF69" i="51"/>
  <c r="AY96" i="45"/>
  <c r="AQ116" i="45"/>
  <c r="AX108" i="45"/>
  <c r="M37" i="48"/>
  <c r="R43" i="48" s="1"/>
  <c r="BE63" i="51"/>
  <c r="M34" i="48"/>
  <c r="AT25" i="45"/>
  <c r="AT24" i="45"/>
  <c r="AT26" i="45"/>
  <c r="AT82" i="45"/>
  <c r="AX99" i="45"/>
  <c r="P34" i="45"/>
  <c r="F122" i="45"/>
  <c r="AV23" i="45"/>
  <c r="AS71" i="45"/>
  <c r="Y56" i="51"/>
  <c r="X135" i="53"/>
  <c r="N71" i="45"/>
  <c r="O70" i="45"/>
  <c r="W35" i="51"/>
  <c r="AM122" i="45"/>
  <c r="X55" i="14"/>
  <c r="R20" i="45"/>
  <c r="R35" i="46"/>
  <c r="AS73" i="45"/>
  <c r="W56" i="12"/>
  <c r="V39" i="20"/>
  <c r="AA45" i="20" s="1"/>
  <c r="AA133" i="19" s="1"/>
  <c r="W61" i="12"/>
  <c r="W112" i="12"/>
  <c r="W60" i="12"/>
  <c r="V58" i="12"/>
  <c r="AQ109" i="45"/>
  <c r="O60" i="45"/>
  <c r="X55" i="12"/>
  <c r="AX98" i="45"/>
  <c r="AX69" i="45"/>
  <c r="F370" i="46"/>
  <c r="S69" i="45"/>
  <c r="O87" i="45"/>
  <c r="Z130" i="19"/>
  <c r="Z173" i="20"/>
  <c r="AA125" i="12"/>
  <c r="Z179" i="20"/>
  <c r="Z185" i="20"/>
  <c r="Z131" i="19"/>
  <c r="Z129" i="19"/>
  <c r="Z128" i="19" s="1"/>
  <c r="Z132" i="19"/>
  <c r="Z133" i="19"/>
  <c r="AX83" i="45"/>
  <c r="AX105" i="45"/>
  <c r="AQ91" i="45"/>
  <c r="AS85" i="45"/>
  <c r="V57" i="12"/>
  <c r="S42" i="45"/>
  <c r="S95" i="45"/>
  <c r="S43" i="45"/>
  <c r="R265" i="46"/>
  <c r="S105" i="45" s="1"/>
  <c r="R264" i="46"/>
  <c r="R269" i="46" s="1"/>
  <c r="R263" i="46"/>
  <c r="R268" i="46" s="1"/>
  <c r="R262" i="46"/>
  <c r="R267" i="46" s="1"/>
  <c r="R261" i="46"/>
  <c r="R266" i="46" s="1"/>
  <c r="R260" i="48"/>
  <c r="R264" i="48" s="1"/>
  <c r="R269" i="48" s="1"/>
  <c r="AQ118" i="45"/>
  <c r="AT59" i="45"/>
  <c r="AX95" i="45"/>
  <c r="AX43" i="45"/>
  <c r="T243" i="46"/>
  <c r="AX44" i="45"/>
  <c r="Q35" i="48"/>
  <c r="AT60" i="45"/>
  <c r="AS112" i="45"/>
  <c r="AS111" i="45"/>
  <c r="K118" i="45"/>
  <c r="O58" i="45"/>
  <c r="O59" i="45"/>
  <c r="K115" i="45"/>
  <c r="P68" i="45"/>
  <c r="N37" i="46"/>
  <c r="S43" i="46" s="1"/>
  <c r="S260" i="46" s="1"/>
  <c r="K116" i="45"/>
  <c r="O104" i="45"/>
  <c r="AS110" i="45"/>
  <c r="T41" i="45"/>
  <c r="Q21" i="45"/>
  <c r="AT58" i="45"/>
  <c r="AT104" i="45"/>
  <c r="AV25" i="45"/>
  <c r="AV26" i="45"/>
  <c r="I338" i="48"/>
  <c r="I337" i="48"/>
  <c r="I336" i="48"/>
  <c r="I335" i="48"/>
  <c r="I334" i="48"/>
  <c r="I339" i="48"/>
  <c r="I331" i="46"/>
  <c r="I332" i="46"/>
  <c r="AP115" i="45"/>
  <c r="I326" i="46"/>
  <c r="I325" i="46"/>
  <c r="AV82" i="45"/>
  <c r="AA129" i="19"/>
  <c r="AA128" i="19" s="1"/>
  <c r="P57" i="45"/>
  <c r="T63" i="46"/>
  <c r="O33" i="46"/>
  <c r="O39" i="46" s="1"/>
  <c r="O109" i="46" s="1"/>
  <c r="P75" i="45"/>
  <c r="AY41" i="45"/>
  <c r="AV30" i="45"/>
  <c r="AX18" i="45"/>
  <c r="Q33" i="45"/>
  <c r="S139" i="46"/>
  <c r="AV33" i="45"/>
  <c r="T63" i="54"/>
  <c r="Q30" i="45"/>
  <c r="AU34" i="45"/>
  <c r="AU57" i="45"/>
  <c r="J334" i="46"/>
  <c r="J335" i="46"/>
  <c r="J339" i="46"/>
  <c r="J338" i="46"/>
  <c r="J337" i="46"/>
  <c r="J336" i="46"/>
  <c r="U18" i="48"/>
  <c r="T24" i="48"/>
  <c r="Y135" i="53"/>
  <c r="Z56" i="51"/>
  <c r="S202" i="48"/>
  <c r="Q179" i="48"/>
  <c r="Q178" i="48"/>
  <c r="Q183" i="48" s="1"/>
  <c r="Q177" i="48"/>
  <c r="Q182" i="48" s="1"/>
  <c r="Q176" i="48"/>
  <c r="Q181" i="48" s="1"/>
  <c r="Q175" i="48"/>
  <c r="Q180" i="48" s="1"/>
  <c r="AQ100" i="45"/>
  <c r="AQ113" i="45"/>
  <c r="Q219" i="48"/>
  <c r="Q224" i="48" s="1"/>
  <c r="Q218" i="48"/>
  <c r="Q223" i="48" s="1"/>
  <c r="Q217" i="48"/>
  <c r="Q222" i="48" s="1"/>
  <c r="Q221" i="48"/>
  <c r="Q220" i="48"/>
  <c r="Q225" i="48" s="1"/>
  <c r="Q211" i="48"/>
  <c r="Q210" i="48"/>
  <c r="Q215" i="48" s="1"/>
  <c r="Q209" i="48"/>
  <c r="Q214" i="48" s="1"/>
  <c r="Q208" i="48"/>
  <c r="Q213" i="48" s="1"/>
  <c r="Q207" i="48"/>
  <c r="Q212" i="48" s="1"/>
  <c r="R210" i="46"/>
  <c r="R215" i="46" s="1"/>
  <c r="R209" i="46"/>
  <c r="R214" i="46" s="1"/>
  <c r="R208" i="46"/>
  <c r="R213" i="46" s="1"/>
  <c r="R207" i="46"/>
  <c r="R212" i="46" s="1"/>
  <c r="R211" i="46"/>
  <c r="S89" i="45" s="1"/>
  <c r="R206" i="48"/>
  <c r="G124" i="45"/>
  <c r="G123" i="45"/>
  <c r="G121" i="45"/>
  <c r="BC33" i="51"/>
  <c r="U61" i="54"/>
  <c r="V60" i="54"/>
  <c r="U67" i="54"/>
  <c r="U66" i="54"/>
  <c r="U73" i="54" s="1"/>
  <c r="U74" i="54" s="1"/>
  <c r="U65" i="54"/>
  <c r="U64" i="54"/>
  <c r="U62" i="54"/>
  <c r="Q55" i="45"/>
  <c r="Q56" i="45"/>
  <c r="AW28" i="45"/>
  <c r="AW36" i="45"/>
  <c r="AW32" i="45"/>
  <c r="AW35" i="45"/>
  <c r="AW29" i="45"/>
  <c r="AW31" i="45"/>
  <c r="AW37" i="45"/>
  <c r="AW54" i="45"/>
  <c r="S29" i="46"/>
  <c r="U27" i="46"/>
  <c r="U42" i="46" s="1"/>
  <c r="V21" i="46"/>
  <c r="L81" i="48"/>
  <c r="L86" i="48" s="1"/>
  <c r="L80" i="48"/>
  <c r="L85" i="48" s="1"/>
  <c r="L84" i="48"/>
  <c r="L83" i="48"/>
  <c r="L88" i="48" s="1"/>
  <c r="L82" i="48"/>
  <c r="L87" i="48" s="1"/>
  <c r="AU68" i="45"/>
  <c r="U241" i="46"/>
  <c r="V240" i="46"/>
  <c r="AZ39" i="45"/>
  <c r="AZ40" i="45"/>
  <c r="U65" i="48"/>
  <c r="U64" i="48"/>
  <c r="U62" i="48"/>
  <c r="U61" i="48"/>
  <c r="V60" i="48"/>
  <c r="U67" i="48"/>
  <c r="U66" i="48"/>
  <c r="O73" i="45"/>
  <c r="X33" i="51"/>
  <c r="AX77" i="45"/>
  <c r="S142" i="46"/>
  <c r="S174" i="46" s="1"/>
  <c r="S141" i="46"/>
  <c r="S164" i="46" s="1"/>
  <c r="S140" i="46"/>
  <c r="S154" i="46" s="1"/>
  <c r="K72" i="48"/>
  <c r="K77" i="48" s="1"/>
  <c r="K71" i="48"/>
  <c r="K76" i="48" s="1"/>
  <c r="K70" i="48"/>
  <c r="K75" i="48" s="1"/>
  <c r="K74" i="48"/>
  <c r="K73" i="48"/>
  <c r="K78" i="48" s="1"/>
  <c r="S204" i="48"/>
  <c r="S203" i="48"/>
  <c r="T92" i="46"/>
  <c r="T97" i="46" s="1"/>
  <c r="T91" i="46"/>
  <c r="T90" i="46"/>
  <c r="T95" i="46" s="1"/>
  <c r="T94" i="46"/>
  <c r="T93" i="46"/>
  <c r="T98" i="46" s="1"/>
  <c r="T89" i="48"/>
  <c r="H343" i="46"/>
  <c r="H344" i="46" s="1"/>
  <c r="H345" i="46"/>
  <c r="H346" i="46" s="1"/>
  <c r="Z138" i="53"/>
  <c r="Z139" i="53" s="1"/>
  <c r="AA69" i="51" s="1"/>
  <c r="Z136" i="53"/>
  <c r="Z137" i="53" s="1"/>
  <c r="AA63" i="51" s="1"/>
  <c r="Z134" i="53"/>
  <c r="V20" i="48"/>
  <c r="U26" i="48"/>
  <c r="U41" i="48" s="1"/>
  <c r="R31" i="46"/>
  <c r="R306" i="46"/>
  <c r="CE4" i="55"/>
  <c r="R218" i="46"/>
  <c r="R223" i="46" s="1"/>
  <c r="R217" i="46"/>
  <c r="R222" i="46" s="1"/>
  <c r="R221" i="46"/>
  <c r="S99" i="45" s="1"/>
  <c r="R220" i="46"/>
  <c r="R225" i="46" s="1"/>
  <c r="R219" i="46"/>
  <c r="R224" i="46" s="1"/>
  <c r="R216" i="48"/>
  <c r="M275" i="46"/>
  <c r="L308" i="46"/>
  <c r="L309" i="46" s="1"/>
  <c r="U18" i="46"/>
  <c r="T24" i="46"/>
  <c r="Q227" i="48"/>
  <c r="Q232" i="48" s="1"/>
  <c r="Q230" i="48"/>
  <c r="Q235" i="48" s="1"/>
  <c r="Q229" i="48"/>
  <c r="Q234" i="48" s="1"/>
  <c r="Q228" i="48"/>
  <c r="Q233" i="48" s="1"/>
  <c r="Q231" i="48"/>
  <c r="T244" i="46"/>
  <c r="T249" i="46" s="1"/>
  <c r="T248" i="46"/>
  <c r="U96" i="45" s="1"/>
  <c r="T247" i="46"/>
  <c r="T252" i="46" s="1"/>
  <c r="T246" i="46"/>
  <c r="T251" i="46" s="1"/>
  <c r="T245" i="46"/>
  <c r="T250" i="46" s="1"/>
  <c r="T243" i="48"/>
  <c r="E363" i="48"/>
  <c r="AL120" i="45" s="1"/>
  <c r="E361" i="48"/>
  <c r="Y138" i="54"/>
  <c r="Y139" i="54" s="1"/>
  <c r="Y136" i="54"/>
  <c r="Y137" i="54" s="1"/>
  <c r="Y134" i="54"/>
  <c r="Y135" i="54" s="1"/>
  <c r="T154" i="54"/>
  <c r="U153" i="54"/>
  <c r="T63" i="48"/>
  <c r="V22" i="48"/>
  <c r="U28" i="48"/>
  <c r="M111" i="45"/>
  <c r="M110" i="45"/>
  <c r="M112" i="45"/>
  <c r="R175" i="46"/>
  <c r="R180" i="46" s="1"/>
  <c r="R179" i="46"/>
  <c r="S107" i="45" s="1"/>
  <c r="R178" i="46"/>
  <c r="R183" i="46" s="1"/>
  <c r="R177" i="46"/>
  <c r="R182" i="46" s="1"/>
  <c r="R176" i="46"/>
  <c r="R181" i="46" s="1"/>
  <c r="R174" i="48"/>
  <c r="Z52" i="14"/>
  <c r="Z51" i="14"/>
  <c r="Z54" i="14"/>
  <c r="AA50" i="14"/>
  <c r="L316" i="48"/>
  <c r="AR90" i="45"/>
  <c r="L91" i="45"/>
  <c r="U61" i="53"/>
  <c r="V60" i="53"/>
  <c r="U67" i="53"/>
  <c r="U66" i="53"/>
  <c r="U73" i="53" s="1"/>
  <c r="U74" i="53" s="1"/>
  <c r="U65" i="53"/>
  <c r="U64" i="53"/>
  <c r="U62" i="53"/>
  <c r="T138" i="48"/>
  <c r="T137" i="48"/>
  <c r="U136" i="48"/>
  <c r="T201" i="48"/>
  <c r="T200" i="48"/>
  <c r="R31" i="48"/>
  <c r="R306" i="48"/>
  <c r="AR106" i="45"/>
  <c r="L109" i="45"/>
  <c r="AX89" i="45"/>
  <c r="H328" i="46"/>
  <c r="H327" i="46"/>
  <c r="R229" i="46"/>
  <c r="R234" i="46" s="1"/>
  <c r="R228" i="46"/>
  <c r="R233" i="46" s="1"/>
  <c r="R227" i="46"/>
  <c r="R232" i="46" s="1"/>
  <c r="R231" i="46"/>
  <c r="S108" i="45" s="1"/>
  <c r="R230" i="46"/>
  <c r="R235" i="46" s="1"/>
  <c r="R226" i="48"/>
  <c r="AR97" i="45"/>
  <c r="L100" i="45"/>
  <c r="L113" i="45"/>
  <c r="K312" i="46"/>
  <c r="K311" i="46"/>
  <c r="K310" i="46"/>
  <c r="K315" i="46"/>
  <c r="K314" i="46"/>
  <c r="K313" i="46"/>
  <c r="AX27" i="45"/>
  <c r="S27" i="45"/>
  <c r="R28" i="45"/>
  <c r="R37" i="45"/>
  <c r="R31" i="45"/>
  <c r="R29" i="45"/>
  <c r="R36" i="45"/>
  <c r="R35" i="45"/>
  <c r="R32" i="45"/>
  <c r="R54" i="45"/>
  <c r="V19" i="48"/>
  <c r="U25" i="48"/>
  <c r="U40" i="48" s="1"/>
  <c r="I343" i="48"/>
  <c r="I344" i="48" s="1"/>
  <c r="I345" i="48"/>
  <c r="I346" i="48" s="1"/>
  <c r="W39" i="19"/>
  <c r="AB45" i="19" s="1"/>
  <c r="X56" i="14"/>
  <c r="X61" i="14"/>
  <c r="X60" i="14"/>
  <c r="X112" i="14"/>
  <c r="AS90" i="45"/>
  <c r="M91" i="45"/>
  <c r="AU67" i="45"/>
  <c r="AU23" i="45"/>
  <c r="K320" i="48"/>
  <c r="K317" i="48"/>
  <c r="L73" i="48"/>
  <c r="L78" i="48" s="1"/>
  <c r="L72" i="48"/>
  <c r="L77" i="48" s="1"/>
  <c r="L71" i="48"/>
  <c r="L76" i="48" s="1"/>
  <c r="L70" i="48"/>
  <c r="L75" i="48" s="1"/>
  <c r="L74" i="48"/>
  <c r="T258" i="46"/>
  <c r="U257" i="46"/>
  <c r="W58" i="14"/>
  <c r="R159" i="46"/>
  <c r="S98" i="45" s="1"/>
  <c r="R158" i="46"/>
  <c r="R163" i="46" s="1"/>
  <c r="R157" i="46"/>
  <c r="R162" i="46" s="1"/>
  <c r="R156" i="46"/>
  <c r="R161" i="46" s="1"/>
  <c r="R155" i="46"/>
  <c r="R160" i="46" s="1"/>
  <c r="R154" i="48"/>
  <c r="Y31" i="51"/>
  <c r="BE30" i="51"/>
  <c r="Y34" i="51"/>
  <c r="Z30" i="51"/>
  <c r="Y32" i="51"/>
  <c r="AS97" i="45"/>
  <c r="M100" i="45"/>
  <c r="M113" i="45"/>
  <c r="N33" i="46"/>
  <c r="N39" i="46" s="1"/>
  <c r="O75" i="45"/>
  <c r="G328" i="48"/>
  <c r="G327" i="48"/>
  <c r="S139" i="48"/>
  <c r="U64" i="46"/>
  <c r="U62" i="46"/>
  <c r="U61" i="46"/>
  <c r="V60" i="46"/>
  <c r="U67" i="46"/>
  <c r="U66" i="46"/>
  <c r="U89" i="46" s="1"/>
  <c r="U65" i="46"/>
  <c r="P67" i="45"/>
  <c r="P23" i="45"/>
  <c r="L110" i="45"/>
  <c r="L111" i="45"/>
  <c r="L112" i="45"/>
  <c r="AR112" i="45"/>
  <c r="AR111" i="45"/>
  <c r="AR110" i="45"/>
  <c r="J320" i="48"/>
  <c r="J317" i="48"/>
  <c r="AQ114" i="45"/>
  <c r="AQ78" i="45"/>
  <c r="J324" i="46"/>
  <c r="J323" i="46"/>
  <c r="J322" i="46"/>
  <c r="J321" i="46"/>
  <c r="M33" i="48"/>
  <c r="M39" i="48" s="1"/>
  <c r="AT75" i="45"/>
  <c r="Y53" i="12"/>
  <c r="W57" i="14"/>
  <c r="R167" i="46"/>
  <c r="R172" i="46" s="1"/>
  <c r="R166" i="46"/>
  <c r="R171" i="46" s="1"/>
  <c r="R165" i="46"/>
  <c r="R170" i="46" s="1"/>
  <c r="R169" i="46"/>
  <c r="S77" i="45" s="1"/>
  <c r="R168" i="46"/>
  <c r="R173" i="46" s="1"/>
  <c r="R164" i="48"/>
  <c r="Q156" i="48"/>
  <c r="Q161" i="48" s="1"/>
  <c r="Q155" i="48"/>
  <c r="Q160" i="48" s="1"/>
  <c r="Q159" i="48"/>
  <c r="Q158" i="48"/>
  <c r="Q163" i="48" s="1"/>
  <c r="Q157" i="48"/>
  <c r="Q162" i="48" s="1"/>
  <c r="M103" i="45"/>
  <c r="M101" i="45"/>
  <c r="M102" i="45"/>
  <c r="AS102" i="45"/>
  <c r="AS101" i="45"/>
  <c r="AS103" i="45"/>
  <c r="AR94" i="45"/>
  <c r="L94" i="45"/>
  <c r="AR93" i="45"/>
  <c r="L93" i="45"/>
  <c r="E125" i="45"/>
  <c r="D371" i="46"/>
  <c r="E126" i="45" s="1"/>
  <c r="T154" i="53"/>
  <c r="U153" i="53"/>
  <c r="AR76" i="45"/>
  <c r="L78" i="45"/>
  <c r="S141" i="48"/>
  <c r="S140" i="48"/>
  <c r="S142" i="48"/>
  <c r="U28" i="46"/>
  <c r="V22" i="46"/>
  <c r="K308" i="48"/>
  <c r="K309" i="48" s="1"/>
  <c r="L275" i="48"/>
  <c r="K318" i="46"/>
  <c r="K319" i="46" s="1"/>
  <c r="K341" i="46"/>
  <c r="K342" i="46" s="1"/>
  <c r="BA38" i="45"/>
  <c r="V38" i="45"/>
  <c r="U40" i="45"/>
  <c r="U39" i="45"/>
  <c r="AS76" i="45"/>
  <c r="M78" i="45"/>
  <c r="J318" i="48"/>
  <c r="J319" i="48" s="1"/>
  <c r="J341" i="48"/>
  <c r="J342" i="48" s="1"/>
  <c r="Q148" i="48"/>
  <c r="Q153" i="48" s="1"/>
  <c r="Q147" i="48"/>
  <c r="Q152" i="48" s="1"/>
  <c r="Q146" i="48"/>
  <c r="Q151" i="48" s="1"/>
  <c r="Q145" i="48"/>
  <c r="Q150" i="48" s="1"/>
  <c r="Q149" i="48"/>
  <c r="K320" i="46"/>
  <c r="K317" i="46"/>
  <c r="Q264" i="48"/>
  <c r="Q269" i="48" s="1"/>
  <c r="Q263" i="48"/>
  <c r="Q268" i="48" s="1"/>
  <c r="Q262" i="48"/>
  <c r="Q267" i="48" s="1"/>
  <c r="Q261" i="48"/>
  <c r="Q266" i="48" s="1"/>
  <c r="Q265" i="48"/>
  <c r="S204" i="46"/>
  <c r="S203" i="46"/>
  <c r="L80" i="45"/>
  <c r="L79" i="45"/>
  <c r="L81" i="45"/>
  <c r="AR80" i="45"/>
  <c r="AR79" i="45"/>
  <c r="AR81" i="45"/>
  <c r="M44" i="46"/>
  <c r="M271" i="46" s="1"/>
  <c r="M79" i="46"/>
  <c r="M69" i="46"/>
  <c r="M99" i="46"/>
  <c r="M109" i="46"/>
  <c r="T63" i="53"/>
  <c r="T258" i="48"/>
  <c r="U257" i="48"/>
  <c r="S144" i="46"/>
  <c r="J315" i="48"/>
  <c r="J314" i="48"/>
  <c r="J313" i="48"/>
  <c r="J312" i="48"/>
  <c r="J310" i="48"/>
  <c r="J311" i="48"/>
  <c r="K111" i="48"/>
  <c r="K116" i="48" s="1"/>
  <c r="K114" i="48"/>
  <c r="K113" i="48"/>
  <c r="K118" i="48" s="1"/>
  <c r="K112" i="48"/>
  <c r="K117" i="48" s="1"/>
  <c r="K110" i="48"/>
  <c r="K115" i="48" s="1"/>
  <c r="K274" i="48"/>
  <c r="L321" i="46"/>
  <c r="L324" i="46"/>
  <c r="L323" i="46"/>
  <c r="L322" i="46"/>
  <c r="S248" i="46"/>
  <c r="T96" i="45" s="1"/>
  <c r="S247" i="46"/>
  <c r="S252" i="46" s="1"/>
  <c r="S246" i="46"/>
  <c r="S251" i="46" s="1"/>
  <c r="S245" i="46"/>
  <c r="S250" i="46" s="1"/>
  <c r="S244" i="46"/>
  <c r="S249" i="46" s="1"/>
  <c r="S243" i="48"/>
  <c r="AS93" i="45"/>
  <c r="M93" i="45"/>
  <c r="AS94" i="45"/>
  <c r="M94" i="45"/>
  <c r="H119" i="45"/>
  <c r="G370" i="46"/>
  <c r="G365" i="46"/>
  <c r="Z51" i="12"/>
  <c r="Z54" i="12"/>
  <c r="AA50" i="12"/>
  <c r="Z52" i="12"/>
  <c r="V21" i="48"/>
  <c r="U27" i="48"/>
  <c r="U42" i="48" s="1"/>
  <c r="AS80" i="45"/>
  <c r="M80" i="45"/>
  <c r="AS79" i="45"/>
  <c r="M81" i="45"/>
  <c r="AS81" i="45"/>
  <c r="M79" i="45"/>
  <c r="V20" i="46"/>
  <c r="U26" i="46"/>
  <c r="U41" i="46" s="1"/>
  <c r="S18" i="45"/>
  <c r="L104" i="48"/>
  <c r="L103" i="48"/>
  <c r="L108" i="48" s="1"/>
  <c r="L102" i="48"/>
  <c r="L107" i="48" s="1"/>
  <c r="L101" i="48"/>
  <c r="L106" i="48" s="1"/>
  <c r="L100" i="48"/>
  <c r="L105" i="48" s="1"/>
  <c r="O71" i="45"/>
  <c r="Y53" i="14"/>
  <c r="BD34" i="51"/>
  <c r="BD32" i="51"/>
  <c r="BD31" i="51"/>
  <c r="L318" i="46"/>
  <c r="L319" i="46" s="1"/>
  <c r="L341" i="46"/>
  <c r="L342" i="46" s="1"/>
  <c r="Q167" i="48"/>
  <c r="Q172" i="48" s="1"/>
  <c r="Q166" i="48"/>
  <c r="Q171" i="48" s="1"/>
  <c r="Q165" i="48"/>
  <c r="Q170" i="48" s="1"/>
  <c r="Q169" i="48"/>
  <c r="Q168" i="48"/>
  <c r="Q173" i="48" s="1"/>
  <c r="S202" i="46"/>
  <c r="S216" i="46"/>
  <c r="S206" i="46"/>
  <c r="S226" i="46"/>
  <c r="R146" i="46"/>
  <c r="R151" i="46" s="1"/>
  <c r="R145" i="46"/>
  <c r="R150" i="46" s="1"/>
  <c r="R149" i="46"/>
  <c r="S83" i="45" s="1"/>
  <c r="R148" i="46"/>
  <c r="R153" i="46" s="1"/>
  <c r="R147" i="46"/>
  <c r="R152" i="46" s="1"/>
  <c r="R144" i="48"/>
  <c r="H326" i="48"/>
  <c r="H325" i="48"/>
  <c r="K104" i="48"/>
  <c r="K103" i="48"/>
  <c r="K108" i="48" s="1"/>
  <c r="K102" i="48"/>
  <c r="K107" i="48" s="1"/>
  <c r="K101" i="48"/>
  <c r="K106" i="48" s="1"/>
  <c r="K100" i="48"/>
  <c r="K105" i="48" s="1"/>
  <c r="R244" i="48"/>
  <c r="R249" i="48" s="1"/>
  <c r="R248" i="48"/>
  <c r="R247" i="48"/>
  <c r="R252" i="48" s="1"/>
  <c r="R245" i="48"/>
  <c r="R250" i="48" s="1"/>
  <c r="R246" i="48"/>
  <c r="R251" i="48" s="1"/>
  <c r="L102" i="45"/>
  <c r="L101" i="45"/>
  <c r="AR101" i="45"/>
  <c r="AR102" i="45"/>
  <c r="L103" i="45"/>
  <c r="AR103" i="45"/>
  <c r="G125" i="45"/>
  <c r="F371" i="46"/>
  <c r="G126" i="45" s="1"/>
  <c r="D363" i="48"/>
  <c r="AK120" i="45" s="1"/>
  <c r="D361" i="48"/>
  <c r="AZ16" i="45"/>
  <c r="U16" i="45"/>
  <c r="T17" i="45"/>
  <c r="AS106" i="45"/>
  <c r="M109" i="45"/>
  <c r="AW20" i="45"/>
  <c r="AW19" i="45"/>
  <c r="AV86" i="45"/>
  <c r="F119" i="45"/>
  <c r="E365" i="46"/>
  <c r="E370" i="46"/>
  <c r="U241" i="48"/>
  <c r="V240" i="48"/>
  <c r="L111" i="48"/>
  <c r="L116" i="48" s="1"/>
  <c r="L114" i="48"/>
  <c r="L113" i="48"/>
  <c r="L118" i="48" s="1"/>
  <c r="L112" i="48"/>
  <c r="L117" i="48" s="1"/>
  <c r="L110" i="48"/>
  <c r="L115" i="48" s="1"/>
  <c r="L274" i="48"/>
  <c r="K80" i="48"/>
  <c r="K85" i="48" s="1"/>
  <c r="K84" i="48"/>
  <c r="K83" i="48"/>
  <c r="K88" i="48" s="1"/>
  <c r="K82" i="48"/>
  <c r="K87" i="48" s="1"/>
  <c r="K81" i="48"/>
  <c r="K86" i="48" s="1"/>
  <c r="S29" i="48"/>
  <c r="U136" i="46"/>
  <c r="T138" i="46"/>
  <c r="T137" i="46"/>
  <c r="T200" i="46"/>
  <c r="T201" i="46"/>
  <c r="H332" i="48"/>
  <c r="H331" i="48"/>
  <c r="AM119" i="45"/>
  <c r="F365" i="48"/>
  <c r="F370" i="48"/>
  <c r="V19" i="46"/>
  <c r="U25" i="46"/>
  <c r="U40" i="46" s="1"/>
  <c r="S94" i="48"/>
  <c r="S93" i="48"/>
  <c r="S98" i="48" s="1"/>
  <c r="S92" i="48"/>
  <c r="S97" i="48" s="1"/>
  <c r="S91" i="48"/>
  <c r="S90" i="48"/>
  <c r="S95" i="48" s="1"/>
  <c r="G343" i="48"/>
  <c r="G344" i="48" s="1"/>
  <c r="G345" i="48"/>
  <c r="G346" i="48" s="1"/>
  <c r="I328" i="48"/>
  <c r="I327" i="48"/>
  <c r="AV56" i="45"/>
  <c r="AV55" i="45"/>
  <c r="AY17" i="45"/>
  <c r="AV87" i="45"/>
  <c r="BB55" i="51" l="1"/>
  <c r="V36" i="53"/>
  <c r="AA42" i="53" s="1"/>
  <c r="U36" i="54"/>
  <c r="Z42" i="54" s="1"/>
  <c r="Z134" i="54" s="1"/>
  <c r="Z135" i="54" s="1"/>
  <c r="W55" i="51"/>
  <c r="T95" i="45"/>
  <c r="M117" i="45"/>
  <c r="AR117" i="45"/>
  <c r="AS117" i="45"/>
  <c r="L117" i="45"/>
  <c r="R21" i="45"/>
  <c r="AX20" i="45"/>
  <c r="AV24" i="45"/>
  <c r="AA132" i="19"/>
  <c r="AA131" i="19"/>
  <c r="AK122" i="45"/>
  <c r="AY83" i="45"/>
  <c r="Y55" i="12"/>
  <c r="AY99" i="45"/>
  <c r="BC35" i="51"/>
  <c r="R35" i="48"/>
  <c r="AV85" i="45"/>
  <c r="W57" i="12"/>
  <c r="BE56" i="51"/>
  <c r="BG63" i="51"/>
  <c r="AV84" i="45"/>
  <c r="AT71" i="45"/>
  <c r="AT73" i="45"/>
  <c r="AA179" i="20"/>
  <c r="AA185" i="20"/>
  <c r="AA130" i="19"/>
  <c r="AB125" i="12"/>
  <c r="AA173" i="20"/>
  <c r="V59" i="14"/>
  <c r="M114" i="45"/>
  <c r="BA96" i="45"/>
  <c r="BG69" i="51"/>
  <c r="Q23" i="45"/>
  <c r="AU60" i="45"/>
  <c r="AS109" i="45"/>
  <c r="Y55" i="14"/>
  <c r="AS91" i="45"/>
  <c r="AY108" i="45"/>
  <c r="AR109" i="45"/>
  <c r="L114" i="45"/>
  <c r="T42" i="45"/>
  <c r="O72" i="45"/>
  <c r="AA137" i="12"/>
  <c r="Z147" i="19"/>
  <c r="AA137" i="14" s="1"/>
  <c r="Z188" i="20"/>
  <c r="Z150" i="19" s="1"/>
  <c r="Z187" i="20"/>
  <c r="Z149" i="19" s="1"/>
  <c r="Z186" i="20"/>
  <c r="Z148" i="19" s="1"/>
  <c r="Z190" i="20"/>
  <c r="Z152" i="19" s="1"/>
  <c r="Z189" i="20"/>
  <c r="Z151" i="19" s="1"/>
  <c r="AT84" i="45"/>
  <c r="AY107" i="45"/>
  <c r="T69" i="45"/>
  <c r="AR91" i="45"/>
  <c r="BF56" i="51"/>
  <c r="R23" i="45"/>
  <c r="Z141" i="19"/>
  <c r="AA125" i="14" s="1"/>
  <c r="Z181" i="20"/>
  <c r="Z143" i="19" s="1"/>
  <c r="Z180" i="20"/>
  <c r="Z142" i="19" s="1"/>
  <c r="Z184" i="20"/>
  <c r="Z146" i="19" s="1"/>
  <c r="Z183" i="20"/>
  <c r="Z145" i="19" s="1"/>
  <c r="Z182" i="20"/>
  <c r="Z144" i="19" s="1"/>
  <c r="O34" i="48"/>
  <c r="AT87" i="45"/>
  <c r="AV68" i="45"/>
  <c r="AT72" i="45"/>
  <c r="AY69" i="45"/>
  <c r="AZ96" i="45"/>
  <c r="AY98" i="45"/>
  <c r="AL122" i="45"/>
  <c r="P59" i="45"/>
  <c r="V59" i="12"/>
  <c r="AT85" i="45"/>
  <c r="AV67" i="45"/>
  <c r="X35" i="51"/>
  <c r="AX19" i="45"/>
  <c r="AY105" i="45"/>
  <c r="AA113" i="12"/>
  <c r="Z174" i="20"/>
  <c r="Z136" i="19" s="1"/>
  <c r="Z175" i="20"/>
  <c r="Z137" i="19" s="1"/>
  <c r="Z176" i="20"/>
  <c r="Z138" i="19" s="1"/>
  <c r="Z177" i="20"/>
  <c r="Z139" i="19" s="1"/>
  <c r="Z178" i="20"/>
  <c r="Z140" i="19" s="1"/>
  <c r="Z135" i="19"/>
  <c r="AA113" i="14" s="1"/>
  <c r="X60" i="12"/>
  <c r="X56" i="12"/>
  <c r="X112" i="12"/>
  <c r="X61" i="12"/>
  <c r="W39" i="20"/>
  <c r="AB45" i="20" s="1"/>
  <c r="AB130" i="19" s="1"/>
  <c r="W58" i="12"/>
  <c r="AT86" i="45"/>
  <c r="BD33" i="51"/>
  <c r="T43" i="45"/>
  <c r="T44" i="45"/>
  <c r="S35" i="46"/>
  <c r="Y33" i="51"/>
  <c r="AY95" i="45"/>
  <c r="R265" i="48"/>
  <c r="O99" i="46"/>
  <c r="O102" i="46" s="1"/>
  <c r="O107" i="46" s="1"/>
  <c r="Z53" i="12"/>
  <c r="Z53" i="14"/>
  <c r="R261" i="48"/>
  <c r="R266" i="48" s="1"/>
  <c r="R262" i="48"/>
  <c r="R267" i="48" s="1"/>
  <c r="R263" i="48"/>
  <c r="R268" i="48" s="1"/>
  <c r="Q68" i="45"/>
  <c r="O69" i="46"/>
  <c r="O72" i="46" s="1"/>
  <c r="O77" i="46" s="1"/>
  <c r="O79" i="46"/>
  <c r="O82" i="46" s="1"/>
  <c r="O87" i="46" s="1"/>
  <c r="O44" i="46"/>
  <c r="O316" i="46" s="1"/>
  <c r="O320" i="46" s="1"/>
  <c r="Q82" i="45"/>
  <c r="Q24" i="45"/>
  <c r="Q25" i="45"/>
  <c r="Q26" i="45"/>
  <c r="P70" i="45"/>
  <c r="P58" i="45"/>
  <c r="Q67" i="45"/>
  <c r="U41" i="45"/>
  <c r="R24" i="45"/>
  <c r="R25" i="45"/>
  <c r="M118" i="45"/>
  <c r="AS116" i="45"/>
  <c r="M116" i="45"/>
  <c r="P104" i="45"/>
  <c r="AY43" i="45"/>
  <c r="P60" i="45"/>
  <c r="O37" i="46"/>
  <c r="T43" i="46" s="1"/>
  <c r="T260" i="46" s="1"/>
  <c r="U63" i="54"/>
  <c r="AY44" i="45"/>
  <c r="AU70" i="45"/>
  <c r="AY42" i="45"/>
  <c r="Q34" i="45"/>
  <c r="I328" i="46"/>
  <c r="I327" i="46"/>
  <c r="N37" i="48"/>
  <c r="S43" i="48" s="1"/>
  <c r="I343" i="46"/>
  <c r="I344" i="46" s="1"/>
  <c r="I345" i="46"/>
  <c r="AV57" i="45"/>
  <c r="T202" i="48"/>
  <c r="Q57" i="45"/>
  <c r="R30" i="45"/>
  <c r="AV34" i="45"/>
  <c r="N33" i="48"/>
  <c r="N39" i="48" s="1"/>
  <c r="AU75" i="45"/>
  <c r="AZ41" i="45"/>
  <c r="AW30" i="45"/>
  <c r="AU58" i="45"/>
  <c r="AW21" i="45"/>
  <c r="U63" i="48"/>
  <c r="AU104" i="45"/>
  <c r="T139" i="48"/>
  <c r="AU59" i="45"/>
  <c r="T18" i="45"/>
  <c r="J339" i="48"/>
  <c r="J338" i="48"/>
  <c r="J337" i="48"/>
  <c r="J336" i="48"/>
  <c r="J335" i="48"/>
  <c r="J334" i="48"/>
  <c r="K335" i="46"/>
  <c r="K334" i="46"/>
  <c r="K339" i="46"/>
  <c r="K338" i="46"/>
  <c r="K337" i="46"/>
  <c r="K336" i="46"/>
  <c r="T142" i="46"/>
  <c r="T174" i="46" s="1"/>
  <c r="T141" i="46"/>
  <c r="T164" i="46" s="1"/>
  <c r="T140" i="46"/>
  <c r="T154" i="46" s="1"/>
  <c r="F125" i="45"/>
  <c r="E371" i="46"/>
  <c r="F126" i="45" s="1"/>
  <c r="S219" i="46"/>
  <c r="S224" i="46" s="1"/>
  <c r="S218" i="46"/>
  <c r="S223" i="46" s="1"/>
  <c r="S217" i="46"/>
  <c r="S222" i="46" s="1"/>
  <c r="S221" i="46"/>
  <c r="T99" i="45" s="1"/>
  <c r="S220" i="46"/>
  <c r="S225" i="46" s="1"/>
  <c r="S216" i="48"/>
  <c r="X39" i="19"/>
  <c r="AC45" i="19" s="1"/>
  <c r="Y56" i="14"/>
  <c r="Y61" i="14"/>
  <c r="Y60" i="14"/>
  <c r="Y112" i="14"/>
  <c r="L332" i="46"/>
  <c r="L331" i="46"/>
  <c r="L343" i="46" s="1"/>
  <c r="L344" i="46" s="1"/>
  <c r="AR116" i="45"/>
  <c r="K310" i="48"/>
  <c r="K315" i="48"/>
  <c r="K314" i="48"/>
  <c r="K313" i="48"/>
  <c r="K311" i="48"/>
  <c r="K312" i="48"/>
  <c r="V28" i="46"/>
  <c r="W22" i="46"/>
  <c r="AR78" i="45"/>
  <c r="J323" i="48"/>
  <c r="J322" i="48"/>
  <c r="J321" i="48"/>
  <c r="J324" i="48"/>
  <c r="U63" i="46"/>
  <c r="BE34" i="51"/>
  <c r="BE32" i="51"/>
  <c r="BE31" i="51"/>
  <c r="N34" i="48"/>
  <c r="AU25" i="45"/>
  <c r="AU24" i="45"/>
  <c r="AU26" i="45"/>
  <c r="AU82" i="45"/>
  <c r="W19" i="48"/>
  <c r="V25" i="48"/>
  <c r="V40" i="48" s="1"/>
  <c r="AA52" i="14"/>
  <c r="AA51" i="14"/>
  <c r="AA54" i="14"/>
  <c r="AB50" i="14"/>
  <c r="L313" i="46"/>
  <c r="L312" i="46"/>
  <c r="L311" i="46"/>
  <c r="L310" i="46"/>
  <c r="L315" i="46"/>
  <c r="L314" i="46"/>
  <c r="W36" i="53"/>
  <c r="AB42" i="53" s="1"/>
  <c r="X55" i="51"/>
  <c r="V62" i="54"/>
  <c r="V61" i="54"/>
  <c r="W60" i="54"/>
  <c r="V67" i="54"/>
  <c r="V66" i="54"/>
  <c r="V73" i="54" s="1"/>
  <c r="V74" i="54" s="1"/>
  <c r="V65" i="54"/>
  <c r="V64" i="54"/>
  <c r="AA138" i="53"/>
  <c r="AA139" i="53" s="1"/>
  <c r="AB69" i="51" s="1"/>
  <c r="AA136" i="53"/>
  <c r="AA137" i="53" s="1"/>
  <c r="AB63" i="51" s="1"/>
  <c r="AA134" i="53"/>
  <c r="L335" i="46"/>
  <c r="L334" i="46"/>
  <c r="L339" i="46"/>
  <c r="L338" i="46"/>
  <c r="L337" i="46"/>
  <c r="L336" i="46"/>
  <c r="S19" i="45"/>
  <c r="S20" i="45"/>
  <c r="AY77" i="45"/>
  <c r="X39" i="20"/>
  <c r="AC45" i="20" s="1"/>
  <c r="Y61" i="12"/>
  <c r="Y60" i="12"/>
  <c r="Y56" i="12"/>
  <c r="Y112" i="12"/>
  <c r="R55" i="45"/>
  <c r="R56" i="45"/>
  <c r="AL119" i="45"/>
  <c r="E365" i="48"/>
  <c r="E370" i="48"/>
  <c r="N275" i="46"/>
  <c r="M308" i="46"/>
  <c r="M309" i="46" s="1"/>
  <c r="V241" i="46"/>
  <c r="W240" i="46"/>
  <c r="W19" i="46"/>
  <c r="V25" i="46"/>
  <c r="V40" i="46" s="1"/>
  <c r="I330" i="48"/>
  <c r="I329" i="48"/>
  <c r="I333" i="48" s="1"/>
  <c r="H343" i="48"/>
  <c r="H344" i="48" s="1"/>
  <c r="H345" i="48"/>
  <c r="H328" i="48"/>
  <c r="H327" i="48"/>
  <c r="K341" i="48"/>
  <c r="K342" i="48" s="1"/>
  <c r="K318" i="48"/>
  <c r="K319" i="48" s="1"/>
  <c r="M111" i="46"/>
  <c r="M116" i="46" s="1"/>
  <c r="M110" i="46"/>
  <c r="M115" i="46" s="1"/>
  <c r="M114" i="46"/>
  <c r="N97" i="45" s="1"/>
  <c r="M113" i="46"/>
  <c r="M118" i="46" s="1"/>
  <c r="M112" i="46"/>
  <c r="M117" i="46" s="1"/>
  <c r="M109" i="48"/>
  <c r="M274" i="46"/>
  <c r="L118" i="45"/>
  <c r="AS114" i="45"/>
  <c r="AS78" i="45"/>
  <c r="AS100" i="45"/>
  <c r="AS113" i="45"/>
  <c r="AY27" i="45"/>
  <c r="T27" i="45"/>
  <c r="S28" i="45"/>
  <c r="S37" i="45"/>
  <c r="S31" i="45"/>
  <c r="S29" i="45"/>
  <c r="S36" i="45"/>
  <c r="S35" i="45"/>
  <c r="S32" i="45"/>
  <c r="S54" i="45"/>
  <c r="U243" i="46"/>
  <c r="S31" i="46"/>
  <c r="S306" i="46"/>
  <c r="CF4" i="55"/>
  <c r="V36" i="54"/>
  <c r="AA42" i="54" s="1"/>
  <c r="BC55" i="51"/>
  <c r="F124" i="45"/>
  <c r="F123" i="45"/>
  <c r="F121" i="45"/>
  <c r="R149" i="48"/>
  <c r="R148" i="48"/>
  <c r="R153" i="48" s="1"/>
  <c r="R147" i="48"/>
  <c r="R152" i="48" s="1"/>
  <c r="R146" i="48"/>
  <c r="R151" i="48" s="1"/>
  <c r="R145" i="48"/>
  <c r="R150" i="48" s="1"/>
  <c r="W20" i="46"/>
  <c r="V26" i="46"/>
  <c r="V41" i="46" s="1"/>
  <c r="S147" i="46"/>
  <c r="S152" i="46" s="1"/>
  <c r="S146" i="46"/>
  <c r="S151" i="46" s="1"/>
  <c r="S145" i="46"/>
  <c r="S150" i="46" s="1"/>
  <c r="S149" i="46"/>
  <c r="T83" i="45" s="1"/>
  <c r="S148" i="46"/>
  <c r="S153" i="46" s="1"/>
  <c r="S144" i="48"/>
  <c r="M102" i="46"/>
  <c r="M107" i="46" s="1"/>
  <c r="M101" i="46"/>
  <c r="M106" i="46" s="1"/>
  <c r="M100" i="46"/>
  <c r="M105" i="46" s="1"/>
  <c r="M103" i="46"/>
  <c r="M108" i="46" s="1"/>
  <c r="M104" i="46"/>
  <c r="N106" i="45" s="1"/>
  <c r="M99" i="48"/>
  <c r="L116" i="45"/>
  <c r="O113" i="46"/>
  <c r="O118" i="46" s="1"/>
  <c r="O112" i="46"/>
  <c r="O117" i="46" s="1"/>
  <c r="O111" i="46"/>
  <c r="O116" i="46" s="1"/>
  <c r="O110" i="46"/>
  <c r="O115" i="46" s="1"/>
  <c r="O114" i="46"/>
  <c r="P97" i="45" s="1"/>
  <c r="O109" i="48"/>
  <c r="BB38" i="45"/>
  <c r="W38" i="45"/>
  <c r="V40" i="45"/>
  <c r="V39" i="45"/>
  <c r="M44" i="48"/>
  <c r="M271" i="48" s="1"/>
  <c r="N44" i="46"/>
  <c r="N316" i="46" s="1"/>
  <c r="N79" i="46"/>
  <c r="N69" i="46"/>
  <c r="N99" i="46"/>
  <c r="N109" i="46"/>
  <c r="AX28" i="45"/>
  <c r="AX36" i="45"/>
  <c r="AX32" i="45"/>
  <c r="AX35" i="45"/>
  <c r="AX29" i="45"/>
  <c r="AX31" i="45"/>
  <c r="AX37" i="45"/>
  <c r="AX54" i="45"/>
  <c r="R179" i="48"/>
  <c r="R178" i="48"/>
  <c r="R183" i="48" s="1"/>
  <c r="R177" i="48"/>
  <c r="R182" i="48" s="1"/>
  <c r="R176" i="48"/>
  <c r="R181" i="48" s="1"/>
  <c r="R175" i="48"/>
  <c r="R180" i="48" s="1"/>
  <c r="H347" i="46"/>
  <c r="H349" i="46" s="1"/>
  <c r="H348" i="46"/>
  <c r="S155" i="46"/>
  <c r="S160" i="46" s="1"/>
  <c r="S159" i="46"/>
  <c r="T98" i="45" s="1"/>
  <c r="S158" i="46"/>
  <c r="S163" i="46" s="1"/>
  <c r="S157" i="46"/>
  <c r="S162" i="46" s="1"/>
  <c r="S156" i="46"/>
  <c r="S161" i="46" s="1"/>
  <c r="S154" i="48"/>
  <c r="AW56" i="45"/>
  <c r="AW55" i="45"/>
  <c r="R211" i="48"/>
  <c r="R210" i="48"/>
  <c r="R215" i="48" s="1"/>
  <c r="R209" i="48"/>
  <c r="R214" i="48" s="1"/>
  <c r="R208" i="48"/>
  <c r="R213" i="48" s="1"/>
  <c r="R207" i="48"/>
  <c r="R212" i="48" s="1"/>
  <c r="AY18" i="45"/>
  <c r="AM121" i="45"/>
  <c r="AM123" i="45"/>
  <c r="AM124" i="45"/>
  <c r="M73" i="46"/>
  <c r="M78" i="46" s="1"/>
  <c r="M72" i="46"/>
  <c r="M77" i="46" s="1"/>
  <c r="M71" i="46"/>
  <c r="M76" i="46" s="1"/>
  <c r="M70" i="46"/>
  <c r="M75" i="46" s="1"/>
  <c r="M74" i="46"/>
  <c r="N76" i="45" s="1"/>
  <c r="M69" i="48"/>
  <c r="BA40" i="45"/>
  <c r="BA39" i="45"/>
  <c r="O34" i="46"/>
  <c r="P26" i="45"/>
  <c r="P25" i="45"/>
  <c r="P24" i="45"/>
  <c r="P82" i="45"/>
  <c r="AB129" i="19"/>
  <c r="AB128" i="19" s="1"/>
  <c r="H330" i="46"/>
  <c r="H329" i="46"/>
  <c r="H333" i="46" s="1"/>
  <c r="T204" i="48"/>
  <c r="T203" i="48"/>
  <c r="L317" i="48"/>
  <c r="L320" i="48"/>
  <c r="U154" i="54"/>
  <c r="V153" i="54"/>
  <c r="S168" i="46"/>
  <c r="S173" i="46" s="1"/>
  <c r="S167" i="46"/>
  <c r="S172" i="46" s="1"/>
  <c r="S166" i="46"/>
  <c r="S171" i="46" s="1"/>
  <c r="S165" i="46"/>
  <c r="S170" i="46" s="1"/>
  <c r="S169" i="46"/>
  <c r="T77" i="45" s="1"/>
  <c r="S164" i="48"/>
  <c r="AY89" i="45"/>
  <c r="AQ115" i="45"/>
  <c r="Q86" i="45"/>
  <c r="V136" i="46"/>
  <c r="U138" i="46"/>
  <c r="U137" i="46"/>
  <c r="U144" i="46" s="1"/>
  <c r="U200" i="46"/>
  <c r="U201" i="46"/>
  <c r="O37" i="48"/>
  <c r="T43" i="48" s="1"/>
  <c r="AV60" i="45"/>
  <c r="AV59" i="45"/>
  <c r="AV104" i="45"/>
  <c r="AV58" i="45"/>
  <c r="G347" i="48"/>
  <c r="G349" i="48" s="1"/>
  <c r="G348" i="48"/>
  <c r="T203" i="46"/>
  <c r="T204" i="46"/>
  <c r="L341" i="48"/>
  <c r="L342" i="48" s="1"/>
  <c r="L318" i="48"/>
  <c r="L319" i="48" s="1"/>
  <c r="AS118" i="45"/>
  <c r="W21" i="48"/>
  <c r="V27" i="48"/>
  <c r="V42" i="48" s="1"/>
  <c r="H125" i="45"/>
  <c r="G371" i="46"/>
  <c r="H126" i="45" s="1"/>
  <c r="M81" i="46"/>
  <c r="M86" i="46" s="1"/>
  <c r="M80" i="46"/>
  <c r="M85" i="46" s="1"/>
  <c r="M82" i="46"/>
  <c r="M87" i="46" s="1"/>
  <c r="M83" i="46"/>
  <c r="M88" i="46" s="1"/>
  <c r="M84" i="46"/>
  <c r="N90" i="45" s="1"/>
  <c r="M79" i="48"/>
  <c r="J326" i="46"/>
  <c r="J325" i="46"/>
  <c r="U93" i="46"/>
  <c r="U98" i="46" s="1"/>
  <c r="U92" i="46"/>
  <c r="U97" i="46" s="1"/>
  <c r="U91" i="46"/>
  <c r="U90" i="46"/>
  <c r="U95" i="46" s="1"/>
  <c r="U94" i="46"/>
  <c r="U89" i="48"/>
  <c r="X58" i="14"/>
  <c r="I347" i="48"/>
  <c r="I349" i="48" s="1"/>
  <c r="I348" i="48"/>
  <c r="AR100" i="45"/>
  <c r="AR113" i="45"/>
  <c r="V136" i="48"/>
  <c r="U138" i="48"/>
  <c r="U137" i="48"/>
  <c r="U201" i="48"/>
  <c r="U200" i="48"/>
  <c r="V62" i="53"/>
  <c r="V61" i="53"/>
  <c r="W60" i="53"/>
  <c r="V67" i="53"/>
  <c r="V66" i="53"/>
  <c r="V73" i="53" s="1"/>
  <c r="V74" i="53" s="1"/>
  <c r="V65" i="53"/>
  <c r="V64" i="53"/>
  <c r="T29" i="46"/>
  <c r="W20" i="48"/>
  <c r="V26" i="48"/>
  <c r="V41" i="48" s="1"/>
  <c r="T94" i="48"/>
  <c r="T93" i="48"/>
  <c r="T98" i="48" s="1"/>
  <c r="T92" i="48"/>
  <c r="T97" i="48" s="1"/>
  <c r="T91" i="48"/>
  <c r="T90" i="48"/>
  <c r="T95" i="48" s="1"/>
  <c r="S176" i="46"/>
  <c r="S181" i="46" s="1"/>
  <c r="S175" i="46"/>
  <c r="S180" i="46" s="1"/>
  <c r="S179" i="46"/>
  <c r="T107" i="45" s="1"/>
  <c r="S178" i="46"/>
  <c r="S183" i="46" s="1"/>
  <c r="S177" i="46"/>
  <c r="S182" i="46" s="1"/>
  <c r="S174" i="48"/>
  <c r="V66" i="48"/>
  <c r="V65" i="48"/>
  <c r="V64" i="48"/>
  <c r="V62" i="48"/>
  <c r="V61" i="48"/>
  <c r="W60" i="48"/>
  <c r="V67" i="48"/>
  <c r="AW33" i="45"/>
  <c r="T29" i="48"/>
  <c r="AM125" i="45"/>
  <c r="F371" i="48"/>
  <c r="AM126" i="45" s="1"/>
  <c r="T202" i="46"/>
  <c r="T216" i="46"/>
  <c r="T206" i="46"/>
  <c r="T226" i="46"/>
  <c r="W240" i="48"/>
  <c r="V241" i="48"/>
  <c r="U17" i="45"/>
  <c r="BA16" i="45"/>
  <c r="V16" i="45"/>
  <c r="S230" i="46"/>
  <c r="S235" i="46" s="1"/>
  <c r="S229" i="46"/>
  <c r="S234" i="46" s="1"/>
  <c r="S228" i="46"/>
  <c r="S233" i="46" s="1"/>
  <c r="S227" i="46"/>
  <c r="S232" i="46" s="1"/>
  <c r="S231" i="46"/>
  <c r="T108" i="45" s="1"/>
  <c r="S226" i="48"/>
  <c r="H124" i="45"/>
  <c r="H123" i="45"/>
  <c r="H121" i="45"/>
  <c r="U258" i="48"/>
  <c r="V257" i="48"/>
  <c r="M316" i="46"/>
  <c r="O84" i="46"/>
  <c r="P90" i="45" s="1"/>
  <c r="K324" i="46"/>
  <c r="K323" i="46"/>
  <c r="K322" i="46"/>
  <c r="K321" i="46"/>
  <c r="W59" i="14"/>
  <c r="J332" i="46"/>
  <c r="J331" i="46"/>
  <c r="G330" i="48"/>
  <c r="G329" i="48"/>
  <c r="G333" i="48" s="1"/>
  <c r="Z31" i="51"/>
  <c r="BF30" i="51"/>
  <c r="Z34" i="51"/>
  <c r="AA30" i="51"/>
  <c r="Z32" i="51"/>
  <c r="R157" i="48"/>
  <c r="R162" i="48" s="1"/>
  <c r="R156" i="48"/>
  <c r="R161" i="48" s="1"/>
  <c r="R155" i="48"/>
  <c r="R160" i="48" s="1"/>
  <c r="R159" i="48"/>
  <c r="R158" i="48"/>
  <c r="R163" i="48" s="1"/>
  <c r="X57" i="14"/>
  <c r="R227" i="48"/>
  <c r="R232" i="48" s="1"/>
  <c r="R231" i="48"/>
  <c r="R230" i="48"/>
  <c r="R235" i="48" s="1"/>
  <c r="R229" i="48"/>
  <c r="R234" i="48" s="1"/>
  <c r="R228" i="48"/>
  <c r="R233" i="48" s="1"/>
  <c r="U63" i="53"/>
  <c r="V18" i="46"/>
  <c r="U24" i="46"/>
  <c r="R220" i="48"/>
  <c r="R225" i="48" s="1"/>
  <c r="R219" i="48"/>
  <c r="R224" i="48" s="1"/>
  <c r="R218" i="48"/>
  <c r="R223" i="48" s="1"/>
  <c r="R217" i="48"/>
  <c r="R222" i="48" s="1"/>
  <c r="R221" i="48"/>
  <c r="Z135" i="53"/>
  <c r="AA56" i="51"/>
  <c r="V18" i="48"/>
  <c r="U24" i="48"/>
  <c r="T139" i="46"/>
  <c r="S31" i="48"/>
  <c r="S306" i="48"/>
  <c r="AZ17" i="45"/>
  <c r="AK119" i="45"/>
  <c r="D365" i="48"/>
  <c r="D370" i="48"/>
  <c r="T144" i="46"/>
  <c r="S211" i="46"/>
  <c r="T89" i="45" s="1"/>
  <c r="S210" i="46"/>
  <c r="S215" i="46" s="1"/>
  <c r="S209" i="46"/>
  <c r="S214" i="46" s="1"/>
  <c r="S208" i="46"/>
  <c r="S213" i="46" s="1"/>
  <c r="S207" i="46"/>
  <c r="S212" i="46" s="1"/>
  <c r="S206" i="48"/>
  <c r="AA51" i="12"/>
  <c r="AA54" i="12"/>
  <c r="AB50" i="12"/>
  <c r="AA52" i="12"/>
  <c r="S245" i="48"/>
  <c r="S250" i="48" s="1"/>
  <c r="S244" i="48"/>
  <c r="S249" i="48" s="1"/>
  <c r="S248" i="48"/>
  <c r="S246" i="48"/>
  <c r="S251" i="48" s="1"/>
  <c r="S247" i="48"/>
  <c r="S252" i="48" s="1"/>
  <c r="L326" i="46"/>
  <c r="L325" i="46"/>
  <c r="AR118" i="45"/>
  <c r="L308" i="48"/>
  <c r="L309" i="48" s="1"/>
  <c r="M275" i="48"/>
  <c r="U154" i="53"/>
  <c r="V153" i="53"/>
  <c r="R165" i="48"/>
  <c r="R170" i="48" s="1"/>
  <c r="R167" i="48"/>
  <c r="R172" i="48" s="1"/>
  <c r="R166" i="48"/>
  <c r="R171" i="48" s="1"/>
  <c r="R169" i="48"/>
  <c r="R168" i="48"/>
  <c r="R173" i="48" s="1"/>
  <c r="S265" i="46"/>
  <c r="T105" i="45" s="1"/>
  <c r="S264" i="46"/>
  <c r="S269" i="46" s="1"/>
  <c r="S263" i="46"/>
  <c r="S268" i="46" s="1"/>
  <c r="S262" i="46"/>
  <c r="S267" i="46" s="1"/>
  <c r="S261" i="46"/>
  <c r="S266" i="46" s="1"/>
  <c r="S260" i="48"/>
  <c r="V65" i="46"/>
  <c r="V64" i="46"/>
  <c r="V62" i="46"/>
  <c r="V61" i="46"/>
  <c r="W60" i="46"/>
  <c r="V67" i="46"/>
  <c r="V66" i="46"/>
  <c r="V89" i="46" s="1"/>
  <c r="U258" i="46"/>
  <c r="V257" i="46"/>
  <c r="K324" i="48"/>
  <c r="K323" i="48"/>
  <c r="K322" i="48"/>
  <c r="K321" i="48"/>
  <c r="R33" i="45"/>
  <c r="T142" i="48"/>
  <c r="T141" i="48"/>
  <c r="T140" i="48"/>
  <c r="W22" i="48"/>
  <c r="V28" i="48"/>
  <c r="T246" i="48"/>
  <c r="T251" i="48" s="1"/>
  <c r="T245" i="48"/>
  <c r="T250" i="48" s="1"/>
  <c r="T244" i="48"/>
  <c r="T249" i="48" s="1"/>
  <c r="T247" i="48"/>
  <c r="T252" i="48" s="1"/>
  <c r="T248" i="48"/>
  <c r="W21" i="46"/>
  <c r="V27" i="46"/>
  <c r="V42" i="46" s="1"/>
  <c r="Z138" i="54" l="1"/>
  <c r="Z139" i="54" s="1"/>
  <c r="Z136" i="54"/>
  <c r="Z137" i="54" s="1"/>
  <c r="L115" i="45"/>
  <c r="R86" i="45"/>
  <c r="Q85" i="45"/>
  <c r="R26" i="45"/>
  <c r="AB131" i="19"/>
  <c r="M115" i="45"/>
  <c r="U95" i="45"/>
  <c r="AR114" i="45"/>
  <c r="O103" i="46"/>
  <c r="O108" i="46" s="1"/>
  <c r="AB132" i="19"/>
  <c r="AB133" i="19"/>
  <c r="U42" i="45"/>
  <c r="AV70" i="45"/>
  <c r="Q34" i="46"/>
  <c r="BH63" i="51"/>
  <c r="AW23" i="45"/>
  <c r="P37" i="46"/>
  <c r="U43" i="46" s="1"/>
  <c r="U260" i="46" s="1"/>
  <c r="Q87" i="45"/>
  <c r="AA147" i="19"/>
  <c r="AB137" i="14" s="1"/>
  <c r="AB137" i="12"/>
  <c r="AA190" i="20"/>
  <c r="AA152" i="19" s="1"/>
  <c r="AA189" i="20"/>
  <c r="AA151" i="19" s="1"/>
  <c r="AA188" i="20"/>
  <c r="AA150" i="19" s="1"/>
  <c r="AA187" i="20"/>
  <c r="AA149" i="19" s="1"/>
  <c r="AA186" i="20"/>
  <c r="AA148" i="19" s="1"/>
  <c r="AZ98" i="45"/>
  <c r="AZ107" i="45"/>
  <c r="O99" i="48"/>
  <c r="BH69" i="51"/>
  <c r="AA181" i="20"/>
  <c r="AA143" i="19" s="1"/>
  <c r="AA180" i="20"/>
  <c r="AA142" i="19" s="1"/>
  <c r="AA184" i="20"/>
  <c r="AA146" i="19" s="1"/>
  <c r="AA183" i="20"/>
  <c r="AA145" i="19" s="1"/>
  <c r="AA141" i="19"/>
  <c r="AB125" i="14" s="1"/>
  <c r="AA182" i="20"/>
  <c r="AA144" i="19" s="1"/>
  <c r="Z55" i="12"/>
  <c r="P84" i="45"/>
  <c r="O104" i="46"/>
  <c r="P106" i="45" s="1"/>
  <c r="AZ83" i="45"/>
  <c r="AX21" i="45"/>
  <c r="Y35" i="51"/>
  <c r="X58" i="12"/>
  <c r="W59" i="12"/>
  <c r="X57" i="12"/>
  <c r="R68" i="45"/>
  <c r="AZ105" i="45"/>
  <c r="AZ69" i="45"/>
  <c r="BG56" i="51"/>
  <c r="U69" i="45"/>
  <c r="O100" i="46"/>
  <c r="O105" i="46" s="1"/>
  <c r="AZ99" i="45"/>
  <c r="T20" i="45"/>
  <c r="AZ43" i="45"/>
  <c r="BD35" i="51"/>
  <c r="R85" i="45"/>
  <c r="Q84" i="45"/>
  <c r="R82" i="45"/>
  <c r="AU84" i="45"/>
  <c r="O101" i="46"/>
  <c r="O106" i="46" s="1"/>
  <c r="BE33" i="51"/>
  <c r="P33" i="46"/>
  <c r="P39" i="46" s="1"/>
  <c r="T35" i="46"/>
  <c r="P34" i="46"/>
  <c r="AZ108" i="45"/>
  <c r="Z55" i="14"/>
  <c r="AB179" i="20"/>
  <c r="AB185" i="20"/>
  <c r="AC125" i="12"/>
  <c r="AB173" i="20"/>
  <c r="AA174" i="20"/>
  <c r="AA136" i="19" s="1"/>
  <c r="AA175" i="20"/>
  <c r="AA137" i="19" s="1"/>
  <c r="AA176" i="20"/>
  <c r="AA138" i="19" s="1"/>
  <c r="AA177" i="20"/>
  <c r="AA139" i="19" s="1"/>
  <c r="AB113" i="12"/>
  <c r="AA178" i="20"/>
  <c r="AA140" i="19" s="1"/>
  <c r="AA135" i="19"/>
  <c r="AB113" i="14" s="1"/>
  <c r="S35" i="48"/>
  <c r="O73" i="46"/>
  <c r="O78" i="46" s="1"/>
  <c r="T19" i="45"/>
  <c r="O74" i="46"/>
  <c r="P76" i="45" s="1"/>
  <c r="O69" i="48"/>
  <c r="O72" i="48" s="1"/>
  <c r="O77" i="48" s="1"/>
  <c r="O70" i="46"/>
  <c r="O75" i="46" s="1"/>
  <c r="O71" i="46"/>
  <c r="O76" i="46" s="1"/>
  <c r="AZ42" i="45"/>
  <c r="AZ44" i="45"/>
  <c r="AZ95" i="45"/>
  <c r="Q70" i="45"/>
  <c r="O79" i="48"/>
  <c r="O84" i="48" s="1"/>
  <c r="O83" i="46"/>
  <c r="O88" i="46" s="1"/>
  <c r="O274" i="46"/>
  <c r="O80" i="46"/>
  <c r="O85" i="46" s="1"/>
  <c r="O81" i="46"/>
  <c r="O86" i="46" s="1"/>
  <c r="O271" i="46"/>
  <c r="AA53" i="12"/>
  <c r="P109" i="45"/>
  <c r="Q58" i="45"/>
  <c r="U43" i="45"/>
  <c r="Q75" i="45"/>
  <c r="Q104" i="45"/>
  <c r="U44" i="45"/>
  <c r="Q59" i="45"/>
  <c r="O317" i="46"/>
  <c r="Q60" i="45"/>
  <c r="AW68" i="45"/>
  <c r="AW67" i="45"/>
  <c r="V63" i="54"/>
  <c r="AR115" i="45"/>
  <c r="R67" i="45"/>
  <c r="U202" i="48"/>
  <c r="AS115" i="45"/>
  <c r="I329" i="46"/>
  <c r="I333" i="46" s="1"/>
  <c r="I330" i="46"/>
  <c r="I346" i="46"/>
  <c r="I347" i="46" s="1"/>
  <c r="I349" i="46" s="1"/>
  <c r="I348" i="46"/>
  <c r="I353" i="46" s="1"/>
  <c r="S21" i="45"/>
  <c r="BA41" i="45"/>
  <c r="AX33" i="45"/>
  <c r="V41" i="45"/>
  <c r="AW57" i="45"/>
  <c r="AZ18" i="45"/>
  <c r="N44" i="48"/>
  <c r="N271" i="48" s="1"/>
  <c r="O33" i="48"/>
  <c r="O39" i="48" s="1"/>
  <c r="O44" i="48" s="1"/>
  <c r="O316" i="48" s="1"/>
  <c r="O320" i="48" s="1"/>
  <c r="AV75" i="45"/>
  <c r="U149" i="46"/>
  <c r="V83" i="45" s="1"/>
  <c r="U148" i="46"/>
  <c r="U153" i="46" s="1"/>
  <c r="U147" i="46"/>
  <c r="U152" i="46" s="1"/>
  <c r="U146" i="46"/>
  <c r="U151" i="46" s="1"/>
  <c r="U145" i="46"/>
  <c r="U150" i="46" s="1"/>
  <c r="U144" i="48"/>
  <c r="L339" i="48"/>
  <c r="L338" i="48"/>
  <c r="L337" i="48"/>
  <c r="L336" i="48"/>
  <c r="L335" i="48"/>
  <c r="L334" i="48"/>
  <c r="U29" i="48"/>
  <c r="S231" i="48"/>
  <c r="S230" i="48"/>
  <c r="S235" i="48" s="1"/>
  <c r="S229" i="48"/>
  <c r="S234" i="48" s="1"/>
  <c r="S228" i="48"/>
  <c r="S233" i="48" s="1"/>
  <c r="S227" i="48"/>
  <c r="S232" i="48" s="1"/>
  <c r="T220" i="46"/>
  <c r="T225" i="46" s="1"/>
  <c r="T219" i="46"/>
  <c r="T224" i="46" s="1"/>
  <c r="T218" i="46"/>
  <c r="T223" i="46" s="1"/>
  <c r="T217" i="46"/>
  <c r="T222" i="46" s="1"/>
  <c r="T221" i="46"/>
  <c r="U99" i="45" s="1"/>
  <c r="T216" i="48"/>
  <c r="S179" i="48"/>
  <c r="S178" i="48"/>
  <c r="S183" i="48" s="1"/>
  <c r="S177" i="48"/>
  <c r="S182" i="48" s="1"/>
  <c r="S176" i="48"/>
  <c r="S181" i="48" s="1"/>
  <c r="S175" i="48"/>
  <c r="S180" i="48" s="1"/>
  <c r="AV73" i="45"/>
  <c r="P87" i="45"/>
  <c r="P73" i="45"/>
  <c r="AV97" i="45"/>
  <c r="P100" i="45"/>
  <c r="P113" i="45"/>
  <c r="AA134" i="54"/>
  <c r="AA135" i="54" s="1"/>
  <c r="AA138" i="54"/>
  <c r="AA139" i="54" s="1"/>
  <c r="AA136" i="54"/>
  <c r="AA137" i="54" s="1"/>
  <c r="W241" i="46"/>
  <c r="X240" i="46"/>
  <c r="AL124" i="45"/>
  <c r="AL123" i="45"/>
  <c r="AL121" i="45"/>
  <c r="AA53" i="14"/>
  <c r="V258" i="46"/>
  <c r="W257" i="46"/>
  <c r="W66" i="46"/>
  <c r="W89" i="46" s="1"/>
  <c r="W65" i="46"/>
  <c r="W64" i="46"/>
  <c r="W62" i="46"/>
  <c r="W61" i="46"/>
  <c r="X60" i="46"/>
  <c r="W67" i="46"/>
  <c r="V24" i="48"/>
  <c r="W18" i="48"/>
  <c r="Z33" i="51"/>
  <c r="X21" i="48"/>
  <c r="W27" i="48"/>
  <c r="W42" i="48" s="1"/>
  <c r="M74" i="48"/>
  <c r="M73" i="48"/>
  <c r="M78" i="48" s="1"/>
  <c r="M72" i="48"/>
  <c r="M77" i="48" s="1"/>
  <c r="M71" i="48"/>
  <c r="M76" i="48" s="1"/>
  <c r="M70" i="48"/>
  <c r="M75" i="48" s="1"/>
  <c r="AX56" i="45"/>
  <c r="AX55" i="45"/>
  <c r="AX30" i="45"/>
  <c r="N271" i="46"/>
  <c r="M316" i="48"/>
  <c r="W39" i="45"/>
  <c r="BC38" i="45"/>
  <c r="X38" i="45"/>
  <c r="W40" i="45"/>
  <c r="P101" i="45"/>
  <c r="P103" i="45"/>
  <c r="P102" i="45"/>
  <c r="AV102" i="45"/>
  <c r="AV103" i="45"/>
  <c r="AV101" i="45"/>
  <c r="M104" i="48"/>
  <c r="M103" i="48"/>
  <c r="M108" i="48" s="1"/>
  <c r="M102" i="48"/>
  <c r="M107" i="48" s="1"/>
  <c r="M101" i="48"/>
  <c r="M106" i="48" s="1"/>
  <c r="M100" i="48"/>
  <c r="M105" i="48" s="1"/>
  <c r="U245" i="46"/>
  <c r="U250" i="46" s="1"/>
  <c r="U244" i="46"/>
  <c r="U249" i="46" s="1"/>
  <c r="U248" i="46"/>
  <c r="V96" i="45" s="1"/>
  <c r="U247" i="46"/>
  <c r="U252" i="46" s="1"/>
  <c r="U246" i="46"/>
  <c r="U251" i="46" s="1"/>
  <c r="U243" i="48"/>
  <c r="S55" i="45"/>
  <c r="S56" i="45"/>
  <c r="S30" i="45"/>
  <c r="X19" i="46"/>
  <c r="W25" i="46"/>
  <c r="W40" i="46" s="1"/>
  <c r="V243" i="46"/>
  <c r="AU87" i="45"/>
  <c r="AU73" i="45"/>
  <c r="J326" i="48"/>
  <c r="J325" i="48"/>
  <c r="X22" i="46"/>
  <c r="W28" i="46"/>
  <c r="S211" i="48"/>
  <c r="S210" i="48"/>
  <c r="S215" i="48" s="1"/>
  <c r="S209" i="48"/>
  <c r="S214" i="48" s="1"/>
  <c r="S208" i="48"/>
  <c r="S213" i="48" s="1"/>
  <c r="S207" i="48"/>
  <c r="S212" i="48" s="1"/>
  <c r="X21" i="46"/>
  <c r="W27" i="46"/>
  <c r="W42" i="46" s="1"/>
  <c r="V63" i="46"/>
  <c r="AK124" i="45"/>
  <c r="AK123" i="45"/>
  <c r="AK121" i="45"/>
  <c r="J343" i="46"/>
  <c r="J344" i="46" s="1"/>
  <c r="J345" i="46"/>
  <c r="J346" i="46" s="1"/>
  <c r="U204" i="48"/>
  <c r="U203" i="48"/>
  <c r="N93" i="45"/>
  <c r="AT94" i="45"/>
  <c r="N94" i="45"/>
  <c r="AT93" i="45"/>
  <c r="O101" i="48"/>
  <c r="O106" i="48" s="1"/>
  <c r="O100" i="48"/>
  <c r="O105" i="48" s="1"/>
  <c r="O104" i="48"/>
  <c r="O103" i="48"/>
  <c r="O108" i="48" s="1"/>
  <c r="O102" i="48"/>
  <c r="O107" i="48" s="1"/>
  <c r="AT76" i="45"/>
  <c r="N78" i="45"/>
  <c r="S158" i="48"/>
  <c r="S163" i="48" s="1"/>
  <c r="S157" i="48"/>
  <c r="S162" i="48" s="1"/>
  <c r="S156" i="48"/>
  <c r="S161" i="48" s="1"/>
  <c r="S155" i="48"/>
  <c r="S160" i="48" s="1"/>
  <c r="S159" i="48"/>
  <c r="H353" i="46"/>
  <c r="N112" i="46"/>
  <c r="N117" i="46" s="1"/>
  <c r="N111" i="46"/>
  <c r="N116" i="46" s="1"/>
  <c r="N110" i="46"/>
  <c r="N115" i="46" s="1"/>
  <c r="N114" i="46"/>
  <c r="O97" i="45" s="1"/>
  <c r="N113" i="46"/>
  <c r="N118" i="46" s="1"/>
  <c r="N109" i="48"/>
  <c r="N274" i="46"/>
  <c r="BB40" i="45"/>
  <c r="BB39" i="45"/>
  <c r="AT106" i="45"/>
  <c r="N109" i="45"/>
  <c r="T28" i="45"/>
  <c r="AZ27" i="45"/>
  <c r="U27" i="45"/>
  <c r="T37" i="45"/>
  <c r="T31" i="45"/>
  <c r="T29" i="45"/>
  <c r="T36" i="45"/>
  <c r="T35" i="45"/>
  <c r="T32" i="45"/>
  <c r="T54" i="45"/>
  <c r="M318" i="46"/>
  <c r="M319" i="46" s="1"/>
  <c r="M341" i="46"/>
  <c r="M342" i="46" s="1"/>
  <c r="H348" i="48"/>
  <c r="M314" i="46"/>
  <c r="M313" i="46"/>
  <c r="M312" i="46"/>
  <c r="M311" i="46"/>
  <c r="M310" i="46"/>
  <c r="M315" i="46"/>
  <c r="Y58" i="12"/>
  <c r="AA135" i="53"/>
  <c r="AB56" i="51"/>
  <c r="AU85" i="45"/>
  <c r="AU71" i="45"/>
  <c r="Y58" i="14"/>
  <c r="S221" i="48"/>
  <c r="S220" i="48"/>
  <c r="S225" i="48" s="1"/>
  <c r="S219" i="48"/>
  <c r="S224" i="48" s="1"/>
  <c r="S218" i="48"/>
  <c r="S223" i="48" s="1"/>
  <c r="S217" i="48"/>
  <c r="S222" i="48" s="1"/>
  <c r="X59" i="14"/>
  <c r="K326" i="46"/>
  <c r="K325" i="46"/>
  <c r="U139" i="48"/>
  <c r="G353" i="48"/>
  <c r="U204" i="46"/>
  <c r="U203" i="46"/>
  <c r="V154" i="54"/>
  <c r="W153" i="54"/>
  <c r="N80" i="45"/>
  <c r="AT79" i="45"/>
  <c r="N81" i="45"/>
  <c r="N79" i="45"/>
  <c r="AT81" i="45"/>
  <c r="AT80" i="45"/>
  <c r="N103" i="46"/>
  <c r="N108" i="46" s="1"/>
  <c r="N102" i="46"/>
  <c r="N107" i="46" s="1"/>
  <c r="N101" i="46"/>
  <c r="N106" i="46" s="1"/>
  <c r="N100" i="46"/>
  <c r="N105" i="46" s="1"/>
  <c r="N104" i="46"/>
  <c r="O106" i="45" s="1"/>
  <c r="N99" i="48"/>
  <c r="AY28" i="45"/>
  <c r="AY29" i="45"/>
  <c r="AY31" i="45"/>
  <c r="AY37" i="45"/>
  <c r="AY36" i="45"/>
  <c r="AY32" i="45"/>
  <c r="AY35" i="45"/>
  <c r="AY54" i="45"/>
  <c r="M111" i="48"/>
  <c r="M116" i="48" s="1"/>
  <c r="M114" i="48"/>
  <c r="M113" i="48"/>
  <c r="M118" i="48" s="1"/>
  <c r="M112" i="48"/>
  <c r="M117" i="48" s="1"/>
  <c r="M110" i="48"/>
  <c r="M115" i="48" s="1"/>
  <c r="M274" i="48"/>
  <c r="K339" i="48"/>
  <c r="K338" i="48"/>
  <c r="K337" i="48"/>
  <c r="K336" i="48"/>
  <c r="K335" i="48"/>
  <c r="K334" i="48"/>
  <c r="H329" i="48"/>
  <c r="H333" i="48" s="1"/>
  <c r="H330" i="48"/>
  <c r="O275" i="46"/>
  <c r="N308" i="46"/>
  <c r="N309" i="46" s="1"/>
  <c r="R57" i="45"/>
  <c r="Y57" i="12"/>
  <c r="AU86" i="45"/>
  <c r="AU72" i="45"/>
  <c r="T261" i="46"/>
  <c r="T266" i="46" s="1"/>
  <c r="T265" i="46"/>
  <c r="U105" i="45" s="1"/>
  <c r="T264" i="46"/>
  <c r="T269" i="46" s="1"/>
  <c r="T263" i="46"/>
  <c r="T268" i="46" s="1"/>
  <c r="T262" i="46"/>
  <c r="T267" i="46" s="1"/>
  <c r="T260" i="48"/>
  <c r="Y57" i="14"/>
  <c r="T156" i="46"/>
  <c r="T161" i="46" s="1"/>
  <c r="T155" i="46"/>
  <c r="T160" i="46" s="1"/>
  <c r="T159" i="46"/>
  <c r="U98" i="45" s="1"/>
  <c r="T158" i="46"/>
  <c r="T163" i="46" s="1"/>
  <c r="T157" i="46"/>
  <c r="T162" i="46" s="1"/>
  <c r="T154" i="48"/>
  <c r="AW34" i="45"/>
  <c r="V154" i="53"/>
  <c r="W153" i="53"/>
  <c r="K332" i="46"/>
  <c r="K331" i="46"/>
  <c r="M320" i="46"/>
  <c r="M317" i="46"/>
  <c r="X20" i="48"/>
  <c r="W26" i="48"/>
  <c r="W41" i="48" s="1"/>
  <c r="U142" i="48"/>
  <c r="U141" i="48"/>
  <c r="U140" i="48"/>
  <c r="U202" i="46"/>
  <c r="U216" i="46"/>
  <c r="U206" i="46"/>
  <c r="U226" i="46"/>
  <c r="AY19" i="45"/>
  <c r="AY20" i="45"/>
  <c r="N74" i="46"/>
  <c r="O76" i="45" s="1"/>
  <c r="N73" i="46"/>
  <c r="N78" i="46" s="1"/>
  <c r="N72" i="46"/>
  <c r="N77" i="46" s="1"/>
  <c r="N71" i="46"/>
  <c r="N76" i="46" s="1"/>
  <c r="N70" i="46"/>
  <c r="N75" i="46" s="1"/>
  <c r="N69" i="48"/>
  <c r="N111" i="45"/>
  <c r="N112" i="45"/>
  <c r="N110" i="45"/>
  <c r="AT111" i="45"/>
  <c r="AT112" i="45"/>
  <c r="AT110" i="45"/>
  <c r="R34" i="45"/>
  <c r="AC173" i="20"/>
  <c r="AC179" i="20"/>
  <c r="AC185" i="20"/>
  <c r="AC131" i="19"/>
  <c r="AC130" i="19"/>
  <c r="AC129" i="19"/>
  <c r="AC128" i="19" s="1"/>
  <c r="AC133" i="19"/>
  <c r="AC132" i="19"/>
  <c r="AD125" i="12"/>
  <c r="T169" i="46"/>
  <c r="U77" i="45" s="1"/>
  <c r="T168" i="46"/>
  <c r="T173" i="46" s="1"/>
  <c r="T167" i="46"/>
  <c r="T172" i="46" s="1"/>
  <c r="T166" i="46"/>
  <c r="T171" i="46" s="1"/>
  <c r="T165" i="46"/>
  <c r="T170" i="46" s="1"/>
  <c r="T164" i="48"/>
  <c r="AB52" i="12"/>
  <c r="AB51" i="12"/>
  <c r="AB54" i="12"/>
  <c r="AC50" i="12"/>
  <c r="AZ89" i="45"/>
  <c r="U29" i="46"/>
  <c r="AA32" i="51"/>
  <c r="AA31" i="51"/>
  <c r="BG30" i="51"/>
  <c r="AA34" i="51"/>
  <c r="AB30" i="51"/>
  <c r="V258" i="48"/>
  <c r="W257" i="48"/>
  <c r="U18" i="45"/>
  <c r="X240" i="48"/>
  <c r="W241" i="48"/>
  <c r="W136" i="48"/>
  <c r="V138" i="48"/>
  <c r="V137" i="48"/>
  <c r="V201" i="48"/>
  <c r="V200" i="48"/>
  <c r="I353" i="48"/>
  <c r="I354" i="48" s="1"/>
  <c r="U90" i="48"/>
  <c r="U95" i="48" s="1"/>
  <c r="U94" i="48"/>
  <c r="U93" i="48"/>
  <c r="U98" i="48" s="1"/>
  <c r="U92" i="48"/>
  <c r="U97" i="48" s="1"/>
  <c r="U91" i="48"/>
  <c r="J327" i="46"/>
  <c r="J328" i="46"/>
  <c r="AV71" i="45"/>
  <c r="U139" i="46"/>
  <c r="N82" i="46"/>
  <c r="N87" i="46" s="1"/>
  <c r="N81" i="46"/>
  <c r="N86" i="46" s="1"/>
  <c r="N80" i="46"/>
  <c r="N85" i="46" s="1"/>
  <c r="N83" i="46"/>
  <c r="N88" i="46" s="1"/>
  <c r="N84" i="46"/>
  <c r="O90" i="45" s="1"/>
  <c r="N79" i="48"/>
  <c r="AL125" i="45"/>
  <c r="E371" i="48"/>
  <c r="AL126" i="45" s="1"/>
  <c r="AB134" i="53"/>
  <c r="AB138" i="53"/>
  <c r="AB139" i="53" s="1"/>
  <c r="AC69" i="51" s="1"/>
  <c r="AB136" i="53"/>
  <c r="AB137" i="53" s="1"/>
  <c r="AC63" i="51" s="1"/>
  <c r="AB52" i="14"/>
  <c r="AB51" i="14"/>
  <c r="AB54" i="14"/>
  <c r="AC50" i="14"/>
  <c r="W25" i="48"/>
  <c r="W40" i="48" s="1"/>
  <c r="X19" i="48"/>
  <c r="T177" i="46"/>
  <c r="T182" i="46" s="1"/>
  <c r="T176" i="46"/>
  <c r="T181" i="46" s="1"/>
  <c r="T175" i="46"/>
  <c r="T180" i="46" s="1"/>
  <c r="T179" i="46"/>
  <c r="U107" i="45" s="1"/>
  <c r="T178" i="46"/>
  <c r="T183" i="46" s="1"/>
  <c r="T174" i="48"/>
  <c r="K326" i="48"/>
  <c r="K325" i="48"/>
  <c r="S265" i="48"/>
  <c r="S264" i="48"/>
  <c r="S269" i="48" s="1"/>
  <c r="S263" i="48"/>
  <c r="S268" i="48" s="1"/>
  <c r="S262" i="48"/>
  <c r="S267" i="48" s="1"/>
  <c r="S261" i="48"/>
  <c r="S266" i="48" s="1"/>
  <c r="M308" i="48"/>
  <c r="M309" i="48" s="1"/>
  <c r="N275" i="48"/>
  <c r="L328" i="46"/>
  <c r="L327" i="46"/>
  <c r="T148" i="46"/>
  <c r="T153" i="46" s="1"/>
  <c r="T147" i="46"/>
  <c r="T152" i="46" s="1"/>
  <c r="T146" i="46"/>
  <c r="T151" i="46" s="1"/>
  <c r="T145" i="46"/>
  <c r="T150" i="46" s="1"/>
  <c r="T149" i="46"/>
  <c r="U83" i="45" s="1"/>
  <c r="T144" i="48"/>
  <c r="W18" i="46"/>
  <c r="V24" i="46"/>
  <c r="AV90" i="45"/>
  <c r="P91" i="45"/>
  <c r="V17" i="45"/>
  <c r="BB16" i="45"/>
  <c r="W16" i="45"/>
  <c r="T231" i="46"/>
  <c r="U108" i="45" s="1"/>
  <c r="T230" i="46"/>
  <c r="T235" i="46" s="1"/>
  <c r="T229" i="46"/>
  <c r="T234" i="46" s="1"/>
  <c r="T228" i="46"/>
  <c r="T233" i="46" s="1"/>
  <c r="T227" i="46"/>
  <c r="T232" i="46" s="1"/>
  <c r="T226" i="48"/>
  <c r="T31" i="48"/>
  <c r="T306" i="48"/>
  <c r="X60" i="48"/>
  <c r="W67" i="48"/>
  <c r="W66" i="48"/>
  <c r="W65" i="48"/>
  <c r="W64" i="48"/>
  <c r="W62" i="48"/>
  <c r="W61" i="48"/>
  <c r="T31" i="46"/>
  <c r="T306" i="46"/>
  <c r="CG4" i="55"/>
  <c r="W62" i="53"/>
  <c r="W61" i="53"/>
  <c r="X60" i="53"/>
  <c r="W67" i="53"/>
  <c r="W66" i="53"/>
  <c r="W73" i="53" s="1"/>
  <c r="W74" i="53" s="1"/>
  <c r="W64" i="53"/>
  <c r="W65" i="53"/>
  <c r="M82" i="48"/>
  <c r="M87" i="48" s="1"/>
  <c r="M81" i="48"/>
  <c r="M86" i="48" s="1"/>
  <c r="M80" i="48"/>
  <c r="M85" i="48" s="1"/>
  <c r="M84" i="48"/>
  <c r="M83" i="48"/>
  <c r="M88" i="48" s="1"/>
  <c r="U142" i="46"/>
  <c r="U174" i="46" s="1"/>
  <c r="U141" i="46"/>
  <c r="U164" i="46" s="1"/>
  <c r="U140" i="46"/>
  <c r="U154" i="46" s="1"/>
  <c r="S166" i="48"/>
  <c r="S171" i="48" s="1"/>
  <c r="S165" i="48"/>
  <c r="S170" i="48" s="1"/>
  <c r="S167" i="48"/>
  <c r="S172" i="48" s="1"/>
  <c r="S169" i="48"/>
  <c r="S168" i="48"/>
  <c r="S173" i="48" s="1"/>
  <c r="P71" i="45"/>
  <c r="P85" i="45"/>
  <c r="N320" i="46"/>
  <c r="N317" i="46"/>
  <c r="O318" i="46"/>
  <c r="O319" i="46" s="1"/>
  <c r="O341" i="46"/>
  <c r="O342" i="46" s="1"/>
  <c r="X20" i="46"/>
  <c r="W26" i="46"/>
  <c r="W41" i="46" s="1"/>
  <c r="AT97" i="45"/>
  <c r="N100" i="45"/>
  <c r="N113" i="45"/>
  <c r="W62" i="54"/>
  <c r="W61" i="54"/>
  <c r="X60" i="54"/>
  <c r="W67" i="54"/>
  <c r="W66" i="54"/>
  <c r="W73" i="54" s="1"/>
  <c r="W74" i="54" s="1"/>
  <c r="W65" i="54"/>
  <c r="W64" i="54"/>
  <c r="J331" i="48"/>
  <c r="J332" i="48"/>
  <c r="L345" i="46"/>
  <c r="L346" i="46" s="1"/>
  <c r="X22" i="48"/>
  <c r="W28" i="48"/>
  <c r="K332" i="48"/>
  <c r="K331" i="48"/>
  <c r="K343" i="48" s="1"/>
  <c r="K344" i="48" s="1"/>
  <c r="V94" i="46"/>
  <c r="V93" i="46"/>
  <c r="V98" i="46" s="1"/>
  <c r="V92" i="46"/>
  <c r="V97" i="46" s="1"/>
  <c r="V91" i="46"/>
  <c r="V90" i="46"/>
  <c r="V95" i="46" s="1"/>
  <c r="V89" i="48"/>
  <c r="L311" i="48"/>
  <c r="L310" i="48"/>
  <c r="L315" i="48"/>
  <c r="L314" i="48"/>
  <c r="L312" i="48"/>
  <c r="L313" i="48"/>
  <c r="O324" i="46"/>
  <c r="O323" i="46"/>
  <c r="O322" i="46"/>
  <c r="O321" i="46"/>
  <c r="AK125" i="45"/>
  <c r="D371" i="48"/>
  <c r="AK126" i="45" s="1"/>
  <c r="AZ19" i="45"/>
  <c r="BF31" i="51"/>
  <c r="BF34" i="51"/>
  <c r="BF32" i="51"/>
  <c r="BA17" i="45"/>
  <c r="T211" i="46"/>
  <c r="U89" i="45" s="1"/>
  <c r="T210" i="46"/>
  <c r="T215" i="46" s="1"/>
  <c r="T209" i="46"/>
  <c r="T214" i="46" s="1"/>
  <c r="T208" i="46"/>
  <c r="T213" i="46" s="1"/>
  <c r="T207" i="46"/>
  <c r="T212" i="46" s="1"/>
  <c r="T206" i="48"/>
  <c r="V63" i="48"/>
  <c r="V63" i="53"/>
  <c r="AT90" i="45"/>
  <c r="N91" i="45"/>
  <c r="AV72" i="45"/>
  <c r="V137" i="46"/>
  <c r="W136" i="46"/>
  <c r="V138" i="46"/>
  <c r="V201" i="46"/>
  <c r="V200" i="46"/>
  <c r="AZ77" i="45"/>
  <c r="L324" i="48"/>
  <c r="L323" i="48"/>
  <c r="L322" i="48"/>
  <c r="L321" i="48"/>
  <c r="P86" i="45"/>
  <c r="P72" i="45"/>
  <c r="O112" i="48"/>
  <c r="O117" i="48" s="1"/>
  <c r="O110" i="48"/>
  <c r="O115" i="48" s="1"/>
  <c r="O111" i="48"/>
  <c r="O116" i="48" s="1"/>
  <c r="O114" i="48"/>
  <c r="O113" i="48"/>
  <c r="O118" i="48" s="1"/>
  <c r="S149" i="48"/>
  <c r="S148" i="48"/>
  <c r="S153" i="48" s="1"/>
  <c r="S147" i="48"/>
  <c r="S152" i="48" s="1"/>
  <c r="S146" i="48"/>
  <c r="S151" i="48" s="1"/>
  <c r="S145" i="48"/>
  <c r="S150" i="48" s="1"/>
  <c r="S33" i="45"/>
  <c r="N103" i="45"/>
  <c r="N102" i="45"/>
  <c r="AT103" i="45"/>
  <c r="N101" i="45"/>
  <c r="AT102" i="45"/>
  <c r="AT101" i="45"/>
  <c r="H346" i="48"/>
  <c r="H347" i="48" s="1"/>
  <c r="H349" i="48" s="1"/>
  <c r="N117" i="45" l="1"/>
  <c r="AT117" i="45"/>
  <c r="AW59" i="45"/>
  <c r="AW82" i="45"/>
  <c r="R87" i="45"/>
  <c r="Q73" i="45"/>
  <c r="T21" i="45"/>
  <c r="BA43" i="45"/>
  <c r="BE35" i="51"/>
  <c r="AW25" i="45"/>
  <c r="O81" i="48"/>
  <c r="O86" i="48" s="1"/>
  <c r="AW24" i="45"/>
  <c r="P34" i="48"/>
  <c r="O82" i="48"/>
  <c r="O87" i="48" s="1"/>
  <c r="O80" i="48"/>
  <c r="O85" i="48" s="1"/>
  <c r="O83" i="48"/>
  <c r="O88" i="48" s="1"/>
  <c r="O317" i="48"/>
  <c r="O74" i="48"/>
  <c r="AV93" i="45"/>
  <c r="T35" i="48"/>
  <c r="AV111" i="45"/>
  <c r="BA95" i="45"/>
  <c r="AV110" i="45"/>
  <c r="P111" i="45"/>
  <c r="P112" i="45"/>
  <c r="P110" i="45"/>
  <c r="AV112" i="45"/>
  <c r="R70" i="45"/>
  <c r="P93" i="45"/>
  <c r="P81" i="45"/>
  <c r="BA83" i="45"/>
  <c r="AW104" i="45"/>
  <c r="AA55" i="12"/>
  <c r="P109" i="46"/>
  <c r="P69" i="46"/>
  <c r="P99" i="46"/>
  <c r="S68" i="45"/>
  <c r="V69" i="45"/>
  <c r="AV80" i="45"/>
  <c r="BB83" i="45"/>
  <c r="P44" i="46"/>
  <c r="P316" i="46" s="1"/>
  <c r="P317" i="46" s="1"/>
  <c r="AT91" i="45"/>
  <c r="BH56" i="51"/>
  <c r="AT109" i="45"/>
  <c r="AV79" i="45"/>
  <c r="BA99" i="45"/>
  <c r="BA44" i="45"/>
  <c r="AB190" i="20"/>
  <c r="AB152" i="19" s="1"/>
  <c r="AB189" i="20"/>
  <c r="AB151" i="19" s="1"/>
  <c r="AB188" i="20"/>
  <c r="AB150" i="19" s="1"/>
  <c r="AB187" i="20"/>
  <c r="AB149" i="19" s="1"/>
  <c r="AC137" i="12"/>
  <c r="AB186" i="20"/>
  <c r="AB148" i="19" s="1"/>
  <c r="AB147" i="19"/>
  <c r="AC137" i="14" s="1"/>
  <c r="W36" i="54"/>
  <c r="AB42" i="54" s="1"/>
  <c r="BD55" i="51"/>
  <c r="AV106" i="45"/>
  <c r="BA69" i="45"/>
  <c r="AV91" i="45"/>
  <c r="BI63" i="51"/>
  <c r="BB96" i="45"/>
  <c r="AV81" i="45"/>
  <c r="T23" i="45"/>
  <c r="AW84" i="45"/>
  <c r="AB182" i="20"/>
  <c r="AB144" i="19" s="1"/>
  <c r="AB181" i="20"/>
  <c r="AB143" i="19" s="1"/>
  <c r="AB180" i="20"/>
  <c r="AB142" i="19" s="1"/>
  <c r="AB184" i="20"/>
  <c r="AB146" i="19" s="1"/>
  <c r="AB183" i="20"/>
  <c r="AB145" i="19" s="1"/>
  <c r="AB141" i="19"/>
  <c r="AC125" i="14" s="1"/>
  <c r="R84" i="45"/>
  <c r="V43" i="45"/>
  <c r="BI69" i="51"/>
  <c r="V44" i="45"/>
  <c r="P80" i="45"/>
  <c r="S23" i="45"/>
  <c r="Q71" i="45"/>
  <c r="Z35" i="51"/>
  <c r="AX23" i="45"/>
  <c r="AC113" i="12"/>
  <c r="AB135" i="19"/>
  <c r="AC113" i="14" s="1"/>
  <c r="AB174" i="20"/>
  <c r="AB136" i="19" s="1"/>
  <c r="AB178" i="20"/>
  <c r="AB140" i="19" s="1"/>
  <c r="AB175" i="20"/>
  <c r="AB137" i="19" s="1"/>
  <c r="AB176" i="20"/>
  <c r="AB138" i="19" s="1"/>
  <c r="AB177" i="20"/>
  <c r="AB139" i="19" s="1"/>
  <c r="P79" i="45"/>
  <c r="AA55" i="14"/>
  <c r="X36" i="54"/>
  <c r="AC42" i="54" s="1"/>
  <c r="AC136" i="54" s="1"/>
  <c r="AC137" i="54" s="1"/>
  <c r="Q72" i="45"/>
  <c r="P79" i="46"/>
  <c r="P79" i="48" s="1"/>
  <c r="AV76" i="45"/>
  <c r="Y39" i="19"/>
  <c r="AD45" i="19" s="1"/>
  <c r="Z56" i="14"/>
  <c r="Z61" i="14"/>
  <c r="Z60" i="14"/>
  <c r="Z112" i="14"/>
  <c r="P37" i="48"/>
  <c r="U43" i="48" s="1"/>
  <c r="AW86" i="45"/>
  <c r="N114" i="45"/>
  <c r="BA107" i="45"/>
  <c r="BA108" i="45"/>
  <c r="BA98" i="45"/>
  <c r="BA105" i="45"/>
  <c r="AZ20" i="45"/>
  <c r="X59" i="12"/>
  <c r="Y55" i="51"/>
  <c r="X36" i="53"/>
  <c r="AC42" i="53" s="1"/>
  <c r="Z56" i="12"/>
  <c r="Y39" i="20"/>
  <c r="AD45" i="20" s="1"/>
  <c r="Z61" i="12"/>
  <c r="Z60" i="12"/>
  <c r="Z112" i="12"/>
  <c r="AW26" i="45"/>
  <c r="P78" i="45"/>
  <c r="P114" i="45"/>
  <c r="AW70" i="45"/>
  <c r="O73" i="48"/>
  <c r="O78" i="48" s="1"/>
  <c r="BA42" i="45"/>
  <c r="O274" i="48"/>
  <c r="O318" i="48" s="1"/>
  <c r="O319" i="48" s="1"/>
  <c r="AX68" i="45"/>
  <c r="O70" i="48"/>
  <c r="O75" i="48" s="1"/>
  <c r="O71" i="48"/>
  <c r="O76" i="48" s="1"/>
  <c r="P94" i="45"/>
  <c r="AV94" i="45"/>
  <c r="AB53" i="12"/>
  <c r="AW60" i="45"/>
  <c r="U35" i="46"/>
  <c r="V42" i="45"/>
  <c r="AW58" i="45"/>
  <c r="V95" i="45"/>
  <c r="S67" i="45"/>
  <c r="S82" i="45"/>
  <c r="S25" i="45"/>
  <c r="R34" i="46"/>
  <c r="AY21" i="45"/>
  <c r="O271" i="48"/>
  <c r="W41" i="45"/>
  <c r="S26" i="45"/>
  <c r="AY33" i="45"/>
  <c r="AA33" i="51"/>
  <c r="I354" i="46"/>
  <c r="I361" i="46" s="1"/>
  <c r="AZ21" i="45"/>
  <c r="S57" i="45"/>
  <c r="AX57" i="45"/>
  <c r="W63" i="48"/>
  <c r="W63" i="54"/>
  <c r="V202" i="48"/>
  <c r="T33" i="45"/>
  <c r="BB41" i="45"/>
  <c r="N316" i="48"/>
  <c r="W63" i="46"/>
  <c r="V139" i="46"/>
  <c r="L332" i="48"/>
  <c r="L331" i="48"/>
  <c r="BA89" i="45"/>
  <c r="U178" i="46"/>
  <c r="U183" i="46" s="1"/>
  <c r="U177" i="46"/>
  <c r="U182" i="46" s="1"/>
  <c r="U176" i="46"/>
  <c r="U181" i="46" s="1"/>
  <c r="U175" i="46"/>
  <c r="U180" i="46" s="1"/>
  <c r="U179" i="46"/>
  <c r="V107" i="45" s="1"/>
  <c r="U174" i="48"/>
  <c r="Y60" i="48"/>
  <c r="X67" i="48"/>
  <c r="X66" i="48"/>
  <c r="X65" i="48"/>
  <c r="X64" i="48"/>
  <c r="X62" i="48"/>
  <c r="X61" i="48"/>
  <c r="BB17" i="45"/>
  <c r="X18" i="46"/>
  <c r="W24" i="46"/>
  <c r="K328" i="48"/>
  <c r="K327" i="48"/>
  <c r="AD50" i="14"/>
  <c r="AC52" i="14"/>
  <c r="AC51" i="14"/>
  <c r="AC54" i="14"/>
  <c r="V204" i="48"/>
  <c r="V203" i="48"/>
  <c r="W258" i="48"/>
  <c r="X257" i="48"/>
  <c r="K345" i="48"/>
  <c r="K346" i="48" s="1"/>
  <c r="Q37" i="46"/>
  <c r="V43" i="46" s="1"/>
  <c r="V260" i="46" s="1"/>
  <c r="R58" i="45"/>
  <c r="R60" i="45"/>
  <c r="R59" i="45"/>
  <c r="R104" i="45"/>
  <c r="AZ28" i="45"/>
  <c r="AZ29" i="45"/>
  <c r="AZ31" i="45"/>
  <c r="AZ37" i="45"/>
  <c r="AZ36" i="45"/>
  <c r="AZ32" i="45"/>
  <c r="AZ35" i="45"/>
  <c r="AZ54" i="45"/>
  <c r="S34" i="45"/>
  <c r="AX34" i="45"/>
  <c r="AX67" i="45"/>
  <c r="W94" i="46"/>
  <c r="W93" i="46"/>
  <c r="W98" i="46" s="1"/>
  <c r="W92" i="46"/>
  <c r="W97" i="46" s="1"/>
  <c r="W91" i="46"/>
  <c r="W90" i="46"/>
  <c r="W95" i="46" s="1"/>
  <c r="W89" i="48"/>
  <c r="X64" i="54"/>
  <c r="X62" i="54"/>
  <c r="X61" i="54"/>
  <c r="Y60" i="54"/>
  <c r="X67" i="54"/>
  <c r="X66" i="54"/>
  <c r="X73" i="54" s="1"/>
  <c r="X74" i="54" s="1"/>
  <c r="X65" i="54"/>
  <c r="O338" i="46"/>
  <c r="O337" i="46"/>
  <c r="O336" i="46"/>
  <c r="O335" i="46"/>
  <c r="O334" i="46"/>
  <c r="O339" i="46"/>
  <c r="V139" i="48"/>
  <c r="Y59" i="14"/>
  <c r="Y59" i="12"/>
  <c r="G354" i="48"/>
  <c r="G361" i="48" s="1"/>
  <c r="K328" i="46"/>
  <c r="K327" i="46"/>
  <c r="H353" i="48"/>
  <c r="H354" i="48" s="1"/>
  <c r="T30" i="45"/>
  <c r="X39" i="45"/>
  <c r="BD38" i="45"/>
  <c r="Y38" i="45"/>
  <c r="X40" i="45"/>
  <c r="W258" i="46"/>
  <c r="X257" i="46"/>
  <c r="Z39" i="19"/>
  <c r="AE45" i="19" s="1"/>
  <c r="AA56" i="14"/>
  <c r="AA61" i="14"/>
  <c r="AA60" i="14"/>
  <c r="AA112" i="14"/>
  <c r="O326" i="46"/>
  <c r="O325" i="46"/>
  <c r="X64" i="53"/>
  <c r="X62" i="53"/>
  <c r="X61" i="53"/>
  <c r="Y60" i="53"/>
  <c r="X67" i="53"/>
  <c r="X65" i="53"/>
  <c r="X66" i="53"/>
  <c r="X73" i="53" s="1"/>
  <c r="X74" i="53" s="1"/>
  <c r="O324" i="48"/>
  <c r="O323" i="48"/>
  <c r="O322" i="48"/>
  <c r="O321" i="48"/>
  <c r="V142" i="48"/>
  <c r="V141" i="48"/>
  <c r="V140" i="48"/>
  <c r="X241" i="48"/>
  <c r="Y240" i="48"/>
  <c r="N74" i="48"/>
  <c r="N73" i="48"/>
  <c r="N78" i="48" s="1"/>
  <c r="N72" i="48"/>
  <c r="N77" i="48" s="1"/>
  <c r="N71" i="48"/>
  <c r="N76" i="48" s="1"/>
  <c r="N70" i="48"/>
  <c r="N75" i="48" s="1"/>
  <c r="W154" i="53"/>
  <c r="X153" i="53"/>
  <c r="T159" i="48"/>
  <c r="T158" i="48"/>
  <c r="T163" i="48" s="1"/>
  <c r="T157" i="48"/>
  <c r="T162" i="48" s="1"/>
  <c r="T156" i="48"/>
  <c r="T161" i="48" s="1"/>
  <c r="T155" i="48"/>
  <c r="T160" i="48" s="1"/>
  <c r="N315" i="46"/>
  <c r="N314" i="46"/>
  <c r="N313" i="46"/>
  <c r="N312" i="46"/>
  <c r="N311" i="46"/>
  <c r="N310" i="46"/>
  <c r="N318" i="46"/>
  <c r="N319" i="46" s="1"/>
  <c r="N341" i="46"/>
  <c r="N342" i="46" s="1"/>
  <c r="AT114" i="45"/>
  <c r="AT78" i="45"/>
  <c r="Y21" i="46"/>
  <c r="X27" i="46"/>
  <c r="X42" i="46" s="1"/>
  <c r="Y19" i="46"/>
  <c r="X25" i="46"/>
  <c r="X40" i="46" s="1"/>
  <c r="BC40" i="45"/>
  <c r="BC39" i="45"/>
  <c r="Y240" i="46"/>
  <c r="X241" i="46"/>
  <c r="T211" i="48"/>
  <c r="T210" i="48"/>
  <c r="T215" i="48" s="1"/>
  <c r="T209" i="48"/>
  <c r="T214" i="48" s="1"/>
  <c r="T208" i="48"/>
  <c r="T213" i="48" s="1"/>
  <c r="T207" i="48"/>
  <c r="T212" i="48" s="1"/>
  <c r="BA18" i="45"/>
  <c r="BF33" i="51"/>
  <c r="O332" i="46"/>
  <c r="O331" i="46"/>
  <c r="O343" i="46" s="1"/>
  <c r="O344" i="46" s="1"/>
  <c r="V91" i="48"/>
  <c r="V90" i="48"/>
  <c r="V95" i="48" s="1"/>
  <c r="V94" i="48"/>
  <c r="V93" i="48"/>
  <c r="V98" i="48" s="1"/>
  <c r="V92" i="48"/>
  <c r="V97" i="48" s="1"/>
  <c r="W63" i="53"/>
  <c r="T149" i="48"/>
  <c r="T148" i="48"/>
  <c r="T153" i="48" s="1"/>
  <c r="T147" i="48"/>
  <c r="T152" i="48" s="1"/>
  <c r="T146" i="48"/>
  <c r="T151" i="48" s="1"/>
  <c r="T145" i="48"/>
  <c r="T150" i="48" s="1"/>
  <c r="AB53" i="14"/>
  <c r="N83" i="48"/>
  <c r="N88" i="48" s="1"/>
  <c r="N82" i="48"/>
  <c r="N87" i="48" s="1"/>
  <c r="N81" i="48"/>
  <c r="N86" i="48" s="1"/>
  <c r="N80" i="48"/>
  <c r="N85" i="48" s="1"/>
  <c r="N84" i="48"/>
  <c r="AV78" i="45"/>
  <c r="W137" i="48"/>
  <c r="X136" i="48"/>
  <c r="W138" i="48"/>
  <c r="W200" i="48"/>
  <c r="W201" i="48"/>
  <c r="U20" i="45"/>
  <c r="U19" i="45"/>
  <c r="BA77" i="45"/>
  <c r="O81" i="45"/>
  <c r="O79" i="45"/>
  <c r="O80" i="45"/>
  <c r="AU79" i="45"/>
  <c r="AU80" i="45"/>
  <c r="AU81" i="45"/>
  <c r="O308" i="46"/>
  <c r="O309" i="46" s="1"/>
  <c r="P275" i="46"/>
  <c r="X153" i="54"/>
  <c r="W154" i="54"/>
  <c r="N110" i="48"/>
  <c r="N115" i="48" s="1"/>
  <c r="N111" i="48"/>
  <c r="N116" i="48" s="1"/>
  <c r="N114" i="48"/>
  <c r="N113" i="48"/>
  <c r="N118" i="48" s="1"/>
  <c r="N112" i="48"/>
  <c r="N117" i="48" s="1"/>
  <c r="N274" i="48"/>
  <c r="Y60" i="46"/>
  <c r="X67" i="46"/>
  <c r="X66" i="46"/>
  <c r="X89" i="46" s="1"/>
  <c r="X65" i="46"/>
  <c r="X64" i="46"/>
  <c r="X62" i="46"/>
  <c r="X61" i="46"/>
  <c r="W243" i="46"/>
  <c r="V206" i="46"/>
  <c r="V202" i="46"/>
  <c r="V216" i="46"/>
  <c r="V226" i="46"/>
  <c r="Y22" i="48"/>
  <c r="X28" i="48"/>
  <c r="J343" i="48"/>
  <c r="J344" i="48" s="1"/>
  <c r="J345" i="48"/>
  <c r="J346" i="48" s="1"/>
  <c r="L329" i="46"/>
  <c r="L333" i="46" s="1"/>
  <c r="L330" i="46"/>
  <c r="T179" i="48"/>
  <c r="T178" i="48"/>
  <c r="T183" i="48" s="1"/>
  <c r="T177" i="48"/>
  <c r="T182" i="48" s="1"/>
  <c r="T176" i="48"/>
  <c r="T181" i="48" s="1"/>
  <c r="T175" i="48"/>
  <c r="T180" i="48" s="1"/>
  <c r="AU90" i="45"/>
  <c r="O91" i="45"/>
  <c r="AB32" i="51"/>
  <c r="AB31" i="51"/>
  <c r="BH30" i="51"/>
  <c r="AB34" i="51"/>
  <c r="AC30" i="51"/>
  <c r="N100" i="48"/>
  <c r="N105" i="48" s="1"/>
  <c r="N104" i="48"/>
  <c r="N103" i="48"/>
  <c r="N108" i="48" s="1"/>
  <c r="N102" i="48"/>
  <c r="N107" i="48" s="1"/>
  <c r="N101" i="48"/>
  <c r="N106" i="48" s="1"/>
  <c r="AT118" i="45"/>
  <c r="AV100" i="45"/>
  <c r="T221" i="48"/>
  <c r="T220" i="48"/>
  <c r="T225" i="48" s="1"/>
  <c r="T219" i="48"/>
  <c r="T224" i="48" s="1"/>
  <c r="T218" i="48"/>
  <c r="T223" i="48" s="1"/>
  <c r="T217" i="48"/>
  <c r="T222" i="48" s="1"/>
  <c r="V204" i="46"/>
  <c r="V203" i="46"/>
  <c r="L347" i="46"/>
  <c r="L349" i="46" s="1"/>
  <c r="L348" i="46"/>
  <c r="I363" i="48"/>
  <c r="AP120" i="45" s="1"/>
  <c r="I361" i="48"/>
  <c r="AC52" i="12"/>
  <c r="AC51" i="12"/>
  <c r="AC54" i="12"/>
  <c r="AD50" i="12"/>
  <c r="AC190" i="20"/>
  <c r="AC152" i="19" s="1"/>
  <c r="AC189" i="20"/>
  <c r="AC151" i="19" s="1"/>
  <c r="AC188" i="20"/>
  <c r="AC150" i="19" s="1"/>
  <c r="AC187" i="20"/>
  <c r="AC149" i="19" s="1"/>
  <c r="AC186" i="20"/>
  <c r="AC148" i="19" s="1"/>
  <c r="AC147" i="19"/>
  <c r="AD137" i="14" s="1"/>
  <c r="AD137" i="12"/>
  <c r="U231" i="46"/>
  <c r="V108" i="45" s="1"/>
  <c r="U230" i="46"/>
  <c r="U235" i="46" s="1"/>
  <c r="U229" i="46"/>
  <c r="U234" i="46" s="1"/>
  <c r="U228" i="46"/>
  <c r="U233" i="46" s="1"/>
  <c r="U227" i="46"/>
  <c r="U232" i="46" s="1"/>
  <c r="U226" i="48"/>
  <c r="M334" i="46"/>
  <c r="M336" i="46"/>
  <c r="M335" i="46"/>
  <c r="M339" i="46"/>
  <c r="M338" i="46"/>
  <c r="M337" i="46"/>
  <c r="T265" i="48"/>
  <c r="T264" i="48"/>
  <c r="T269" i="48" s="1"/>
  <c r="T263" i="48"/>
  <c r="T268" i="48" s="1"/>
  <c r="T262" i="48"/>
  <c r="T267" i="48" s="1"/>
  <c r="T261" i="48"/>
  <c r="T266" i="48" s="1"/>
  <c r="AY55" i="45"/>
  <c r="AY56" i="45"/>
  <c r="AY30" i="45"/>
  <c r="AU106" i="45"/>
  <c r="O109" i="45"/>
  <c r="N116" i="45"/>
  <c r="AU97" i="45"/>
  <c r="O100" i="45"/>
  <c r="O113" i="45"/>
  <c r="J347" i="46"/>
  <c r="J349" i="46" s="1"/>
  <c r="J348" i="46"/>
  <c r="Y22" i="46"/>
  <c r="X28" i="46"/>
  <c r="V246" i="46"/>
  <c r="V251" i="46" s="1"/>
  <c r="V245" i="46"/>
  <c r="V250" i="46" s="1"/>
  <c r="V244" i="46"/>
  <c r="V249" i="46" s="1"/>
  <c r="V248" i="46"/>
  <c r="W96" i="45" s="1"/>
  <c r="V247" i="46"/>
  <c r="V252" i="46" s="1"/>
  <c r="V243" i="48"/>
  <c r="Y21" i="48"/>
  <c r="X27" i="48"/>
  <c r="X42" i="48" s="1"/>
  <c r="W24" i="48"/>
  <c r="X18" i="48"/>
  <c r="V141" i="46"/>
  <c r="V164" i="46" s="1"/>
  <c r="V140" i="46"/>
  <c r="V154" i="46" s="1"/>
  <c r="V142" i="46"/>
  <c r="V174" i="46" s="1"/>
  <c r="AT100" i="45"/>
  <c r="AT113" i="45"/>
  <c r="Y20" i="46"/>
  <c r="X26" i="46"/>
  <c r="X41" i="46" s="1"/>
  <c r="U157" i="46"/>
  <c r="U162" i="46" s="1"/>
  <c r="U156" i="46"/>
  <c r="U161" i="46" s="1"/>
  <c r="U155" i="46"/>
  <c r="U160" i="46" s="1"/>
  <c r="U159" i="46"/>
  <c r="V98" i="45" s="1"/>
  <c r="U158" i="46"/>
  <c r="U163" i="46" s="1"/>
  <c r="U154" i="48"/>
  <c r="V18" i="45"/>
  <c r="O275" i="48"/>
  <c r="N308" i="48"/>
  <c r="N309" i="48" s="1"/>
  <c r="X25" i="48"/>
  <c r="X40" i="48" s="1"/>
  <c r="Y19" i="48"/>
  <c r="AU93" i="45"/>
  <c r="O93" i="45"/>
  <c r="AU94" i="45"/>
  <c r="O94" i="45"/>
  <c r="J330" i="46"/>
  <c r="J329" i="46"/>
  <c r="J333" i="46" s="1"/>
  <c r="BG31" i="51"/>
  <c r="BG34" i="51"/>
  <c r="BG32" i="51"/>
  <c r="U31" i="46"/>
  <c r="U306" i="46"/>
  <c r="CH4" i="55"/>
  <c r="T167" i="48"/>
  <c r="T172" i="48" s="1"/>
  <c r="T166" i="48"/>
  <c r="T171" i="48" s="1"/>
  <c r="T165" i="48"/>
  <c r="T170" i="48" s="1"/>
  <c r="T169" i="48"/>
  <c r="T168" i="48"/>
  <c r="T173" i="48" s="1"/>
  <c r="AC183" i="20"/>
  <c r="AC145" i="19" s="1"/>
  <c r="AC182" i="20"/>
  <c r="AC144" i="19" s="1"/>
  <c r="AC181" i="20"/>
  <c r="AC143" i="19" s="1"/>
  <c r="AC180" i="20"/>
  <c r="AC142" i="19" s="1"/>
  <c r="AC184" i="20"/>
  <c r="AC146" i="19" s="1"/>
  <c r="AC141" i="19"/>
  <c r="AD125" i="14" s="1"/>
  <c r="U211" i="46"/>
  <c r="V89" i="45" s="1"/>
  <c r="U210" i="46"/>
  <c r="U215" i="46" s="1"/>
  <c r="U209" i="46"/>
  <c r="U214" i="46" s="1"/>
  <c r="U208" i="46"/>
  <c r="U213" i="46" s="1"/>
  <c r="U207" i="46"/>
  <c r="U212" i="46" s="1"/>
  <c r="U206" i="48"/>
  <c r="M322" i="46"/>
  <c r="M321" i="46"/>
  <c r="M324" i="46"/>
  <c r="M323" i="46"/>
  <c r="M318" i="48"/>
  <c r="M319" i="48" s="1"/>
  <c r="M341" i="48"/>
  <c r="M342" i="48" s="1"/>
  <c r="O110" i="45"/>
  <c r="O111" i="45"/>
  <c r="O112" i="45"/>
  <c r="AU112" i="45"/>
  <c r="AU111" i="45"/>
  <c r="AU110" i="45"/>
  <c r="N118" i="45"/>
  <c r="O103" i="45"/>
  <c r="O102" i="45"/>
  <c r="AU102" i="45"/>
  <c r="AU103" i="45"/>
  <c r="AU101" i="45"/>
  <c r="O101" i="45"/>
  <c r="M317" i="48"/>
  <c r="M320" i="48"/>
  <c r="V29" i="48"/>
  <c r="V144" i="46"/>
  <c r="U149" i="48"/>
  <c r="U148" i="48"/>
  <c r="U153" i="48" s="1"/>
  <c r="U147" i="48"/>
  <c r="U152" i="48" s="1"/>
  <c r="U146" i="48"/>
  <c r="U151" i="48" s="1"/>
  <c r="U145" i="48"/>
  <c r="U150" i="48" s="1"/>
  <c r="L325" i="48"/>
  <c r="L326" i="48"/>
  <c r="W138" i="46"/>
  <c r="W137" i="46"/>
  <c r="W144" i="46" s="1"/>
  <c r="X136" i="46"/>
  <c r="W201" i="46"/>
  <c r="W200" i="46"/>
  <c r="N323" i="46"/>
  <c r="N322" i="46"/>
  <c r="N321" i="46"/>
  <c r="N324" i="46"/>
  <c r="U169" i="46"/>
  <c r="V77" i="45" s="1"/>
  <c r="U168" i="46"/>
  <c r="U173" i="46" s="1"/>
  <c r="U167" i="46"/>
  <c r="U172" i="46" s="1"/>
  <c r="U166" i="46"/>
  <c r="U171" i="46" s="1"/>
  <c r="U165" i="46"/>
  <c r="U170" i="46" s="1"/>
  <c r="U164" i="48"/>
  <c r="T227" i="48"/>
  <c r="T232" i="48" s="1"/>
  <c r="T231" i="48"/>
  <c r="T230" i="48"/>
  <c r="T235" i="48" s="1"/>
  <c r="T229" i="48"/>
  <c r="T234" i="48" s="1"/>
  <c r="T228" i="48"/>
  <c r="T233" i="48" s="1"/>
  <c r="W17" i="45"/>
  <c r="BC16" i="45"/>
  <c r="X16" i="45"/>
  <c r="V29" i="46"/>
  <c r="M312" i="48"/>
  <c r="M311" i="48"/>
  <c r="M310" i="48"/>
  <c r="M313" i="48"/>
  <c r="M314" i="48"/>
  <c r="M315" i="48"/>
  <c r="AB135" i="53"/>
  <c r="AC56" i="51"/>
  <c r="AC174" i="20"/>
  <c r="AC136" i="19" s="1"/>
  <c r="AC175" i="20"/>
  <c r="AC137" i="19" s="1"/>
  <c r="AC176" i="20"/>
  <c r="AC138" i="19" s="1"/>
  <c r="AC177" i="20"/>
  <c r="AC139" i="19" s="1"/>
  <c r="AC178" i="20"/>
  <c r="AC140" i="19" s="1"/>
  <c r="AC135" i="19"/>
  <c r="AD113" i="14" s="1"/>
  <c r="AD113" i="12"/>
  <c r="Q33" i="46"/>
  <c r="Q39" i="46" s="1"/>
  <c r="R75" i="45"/>
  <c r="AU76" i="45"/>
  <c r="O78" i="45"/>
  <c r="U221" i="46"/>
  <c r="V99" i="45" s="1"/>
  <c r="U220" i="46"/>
  <c r="U225" i="46" s="1"/>
  <c r="U219" i="46"/>
  <c r="U224" i="46" s="1"/>
  <c r="U218" i="46"/>
  <c r="U223" i="46" s="1"/>
  <c r="U217" i="46"/>
  <c r="U222" i="46" s="1"/>
  <c r="U216" i="48"/>
  <c r="X26" i="48"/>
  <c r="X41" i="48" s="1"/>
  <c r="Y20" i="48"/>
  <c r="K343" i="46"/>
  <c r="K344" i="46" s="1"/>
  <c r="K345" i="46"/>
  <c r="P33" i="48"/>
  <c r="P39" i="48" s="1"/>
  <c r="AW75" i="45"/>
  <c r="AT116" i="45"/>
  <c r="T55" i="45"/>
  <c r="T56" i="45"/>
  <c r="U28" i="45"/>
  <c r="BA27" i="45"/>
  <c r="V27" i="45"/>
  <c r="U32" i="45"/>
  <c r="U37" i="45"/>
  <c r="U31" i="45"/>
  <c r="U29" i="45"/>
  <c r="U36" i="45"/>
  <c r="U35" i="45"/>
  <c r="U54" i="45"/>
  <c r="H354" i="46"/>
  <c r="H363" i="46" s="1"/>
  <c r="I120" i="45" s="1"/>
  <c r="U262" i="46"/>
  <c r="U267" i="46" s="1"/>
  <c r="U261" i="46"/>
  <c r="U266" i="46" s="1"/>
  <c r="U265" i="46"/>
  <c r="V105" i="45" s="1"/>
  <c r="U264" i="46"/>
  <c r="U269" i="46" s="1"/>
  <c r="U263" i="46"/>
  <c r="U268" i="46" s="1"/>
  <c r="U260" i="48"/>
  <c r="J328" i="48"/>
  <c r="J327" i="48"/>
  <c r="U247" i="48"/>
  <c r="U252" i="48" s="1"/>
  <c r="U246" i="48"/>
  <c r="U251" i="48" s="1"/>
  <c r="U245" i="48"/>
  <c r="U250" i="48" s="1"/>
  <c r="U244" i="48"/>
  <c r="U249" i="48" s="1"/>
  <c r="U248" i="48"/>
  <c r="AW72" i="45"/>
  <c r="U31" i="48"/>
  <c r="U306" i="48"/>
  <c r="O117" i="45" l="1"/>
  <c r="S70" i="45"/>
  <c r="P115" i="45"/>
  <c r="Y36" i="53"/>
  <c r="AD42" i="53" s="1"/>
  <c r="AD138" i="53" s="1"/>
  <c r="AD139" i="53" s="1"/>
  <c r="AE69" i="51" s="1"/>
  <c r="S87" i="45"/>
  <c r="N115" i="45"/>
  <c r="O114" i="45"/>
  <c r="AW85" i="45"/>
  <c r="P117" i="45"/>
  <c r="S104" i="45"/>
  <c r="AV113" i="45"/>
  <c r="AU117" i="45"/>
  <c r="BE55" i="51"/>
  <c r="P116" i="45"/>
  <c r="T26" i="45"/>
  <c r="AV117" i="45"/>
  <c r="T25" i="45"/>
  <c r="O341" i="48"/>
  <c r="O342" i="48" s="1"/>
  <c r="T24" i="45"/>
  <c r="T82" i="45"/>
  <c r="AV116" i="45"/>
  <c r="AV114" i="45"/>
  <c r="P271" i="46"/>
  <c r="P320" i="46"/>
  <c r="P321" i="46" s="1"/>
  <c r="P80" i="46"/>
  <c r="P85" i="46" s="1"/>
  <c r="P118" i="45"/>
  <c r="P84" i="46"/>
  <c r="Q90" i="45" s="1"/>
  <c r="P82" i="46"/>
  <c r="P87" i="46" s="1"/>
  <c r="Z55" i="51"/>
  <c r="P81" i="48"/>
  <c r="P86" i="48" s="1"/>
  <c r="P80" i="48"/>
  <c r="P85" i="48" s="1"/>
  <c r="P84" i="48"/>
  <c r="P82" i="48"/>
  <c r="P87" i="48" s="1"/>
  <c r="P83" i="48"/>
  <c r="P88" i="48" s="1"/>
  <c r="BB108" i="45"/>
  <c r="AC138" i="54"/>
  <c r="AC139" i="54" s="1"/>
  <c r="AB55" i="14"/>
  <c r="BF35" i="51"/>
  <c r="AA35" i="51"/>
  <c r="S84" i="45"/>
  <c r="P114" i="46"/>
  <c r="Q97" i="45" s="1"/>
  <c r="P274" i="46"/>
  <c r="P113" i="46"/>
  <c r="P118" i="46" s="1"/>
  <c r="P112" i="46"/>
  <c r="P117" i="46" s="1"/>
  <c r="P111" i="46"/>
  <c r="P116" i="46" s="1"/>
  <c r="P110" i="46"/>
  <c r="P115" i="46" s="1"/>
  <c r="P109" i="48"/>
  <c r="P69" i="48"/>
  <c r="P71" i="46"/>
  <c r="P76" i="46" s="1"/>
  <c r="P70" i="46"/>
  <c r="P75" i="46" s="1"/>
  <c r="P74" i="46"/>
  <c r="Q76" i="45" s="1"/>
  <c r="P73" i="46"/>
  <c r="P78" i="46" s="1"/>
  <c r="P72" i="46"/>
  <c r="P77" i="46" s="1"/>
  <c r="AC134" i="54"/>
  <c r="AC135" i="54" s="1"/>
  <c r="BB69" i="45"/>
  <c r="BC96" i="45"/>
  <c r="AU91" i="45"/>
  <c r="BB107" i="45"/>
  <c r="AW87" i="45"/>
  <c r="AC138" i="53"/>
  <c r="AC139" i="53" s="1"/>
  <c r="AD69" i="51" s="1"/>
  <c r="AC134" i="53"/>
  <c r="AC136" i="53"/>
  <c r="AC137" i="53" s="1"/>
  <c r="AD63" i="51" s="1"/>
  <c r="S24" i="45"/>
  <c r="AA112" i="12"/>
  <c r="Z39" i="20"/>
  <c r="AE45" i="20" s="1"/>
  <c r="AA56" i="12"/>
  <c r="AA61" i="12"/>
  <c r="AA60" i="12"/>
  <c r="BB99" i="45"/>
  <c r="AW71" i="45"/>
  <c r="BB105" i="45"/>
  <c r="BI56" i="51"/>
  <c r="BB98" i="45"/>
  <c r="Q37" i="48"/>
  <c r="V43" i="48" s="1"/>
  <c r="W43" i="45"/>
  <c r="T87" i="45"/>
  <c r="P83" i="46"/>
  <c r="P88" i="46" s="1"/>
  <c r="P81" i="46"/>
  <c r="P86" i="46" s="1"/>
  <c r="Q34" i="48"/>
  <c r="AX82" i="45"/>
  <c r="AX26" i="45"/>
  <c r="AX24" i="45"/>
  <c r="AX25" i="45"/>
  <c r="AD129" i="19"/>
  <c r="AD128" i="19" s="1"/>
  <c r="AD133" i="19"/>
  <c r="AD130" i="19"/>
  <c r="AD173" i="20"/>
  <c r="AE125" i="12"/>
  <c r="AD179" i="20"/>
  <c r="AD185" i="20"/>
  <c r="AD131" i="19"/>
  <c r="AD132" i="19"/>
  <c r="AU109" i="45"/>
  <c r="AX70" i="45"/>
  <c r="R37" i="46"/>
  <c r="W43" i="46" s="1"/>
  <c r="W260" i="46" s="1"/>
  <c r="AW73" i="45"/>
  <c r="Z58" i="14"/>
  <c r="AV109" i="45"/>
  <c r="W69" i="45"/>
  <c r="AB138" i="54"/>
  <c r="AB139" i="54" s="1"/>
  <c r="AB134" i="54"/>
  <c r="AB135" i="54" s="1"/>
  <c r="AB136" i="54"/>
  <c r="AB137" i="54" s="1"/>
  <c r="AY34" i="45"/>
  <c r="BB42" i="45"/>
  <c r="AZ23" i="45"/>
  <c r="AY23" i="45"/>
  <c r="T84" i="45"/>
  <c r="AB55" i="12"/>
  <c r="Z58" i="12"/>
  <c r="Z57" i="14"/>
  <c r="S34" i="46"/>
  <c r="I122" i="45"/>
  <c r="AY68" i="45"/>
  <c r="AP122" i="45"/>
  <c r="S86" i="45"/>
  <c r="AV118" i="45"/>
  <c r="Z57" i="12"/>
  <c r="P104" i="46"/>
  <c r="Q106" i="45" s="1"/>
  <c r="P101" i="46"/>
  <c r="P106" i="46" s="1"/>
  <c r="P103" i="46"/>
  <c r="P108" i="46" s="1"/>
  <c r="P102" i="46"/>
  <c r="P107" i="46" s="1"/>
  <c r="P100" i="46"/>
  <c r="P105" i="46" s="1"/>
  <c r="P99" i="48"/>
  <c r="AC53" i="14"/>
  <c r="AC53" i="12"/>
  <c r="Z36" i="53"/>
  <c r="AE42" i="53" s="1"/>
  <c r="AE136" i="53" s="1"/>
  <c r="AE137" i="53" s="1"/>
  <c r="AF63" i="51" s="1"/>
  <c r="AA55" i="51"/>
  <c r="AB33" i="51"/>
  <c r="S59" i="45"/>
  <c r="V35" i="46"/>
  <c r="T68" i="45"/>
  <c r="AT115" i="45"/>
  <c r="W44" i="45"/>
  <c r="BB43" i="45"/>
  <c r="BB44" i="45"/>
  <c r="U35" i="48"/>
  <c r="W42" i="45"/>
  <c r="W95" i="45"/>
  <c r="BB95" i="45"/>
  <c r="AX58" i="45"/>
  <c r="AX104" i="45"/>
  <c r="AX59" i="45"/>
  <c r="AX60" i="45"/>
  <c r="W139" i="48"/>
  <c r="S60" i="45"/>
  <c r="S58" i="45"/>
  <c r="BG33" i="51"/>
  <c r="I363" i="46"/>
  <c r="J120" i="45" s="1"/>
  <c r="U21" i="45"/>
  <c r="J119" i="45"/>
  <c r="AC55" i="12"/>
  <c r="W202" i="48"/>
  <c r="AY57" i="45"/>
  <c r="AZ30" i="45"/>
  <c r="X63" i="53"/>
  <c r="X63" i="54"/>
  <c r="BC41" i="45"/>
  <c r="N320" i="48"/>
  <c r="N317" i="48"/>
  <c r="T57" i="45"/>
  <c r="X41" i="45"/>
  <c r="AZ33" i="45"/>
  <c r="W149" i="46"/>
  <c r="X83" i="45" s="1"/>
  <c r="W148" i="46"/>
  <c r="W153" i="46" s="1"/>
  <c r="W147" i="46"/>
  <c r="W152" i="46" s="1"/>
  <c r="W146" i="46"/>
  <c r="W151" i="46" s="1"/>
  <c r="W145" i="46"/>
  <c r="W150" i="46" s="1"/>
  <c r="W144" i="48"/>
  <c r="AN119" i="45"/>
  <c r="J330" i="48"/>
  <c r="J329" i="48"/>
  <c r="J333" i="48" s="1"/>
  <c r="U265" i="48"/>
  <c r="U264" i="48"/>
  <c r="U269" i="48" s="1"/>
  <c r="U263" i="48"/>
  <c r="U268" i="48" s="1"/>
  <c r="U261" i="48"/>
  <c r="U266" i="48" s="1"/>
  <c r="U262" i="48"/>
  <c r="U267" i="48" s="1"/>
  <c r="U30" i="45"/>
  <c r="U221" i="48"/>
  <c r="U220" i="48"/>
  <c r="U225" i="48" s="1"/>
  <c r="U219" i="48"/>
  <c r="U224" i="48" s="1"/>
  <c r="U218" i="48"/>
  <c r="U223" i="48" s="1"/>
  <c r="U217" i="48"/>
  <c r="U222" i="48" s="1"/>
  <c r="BB77" i="45"/>
  <c r="W206" i="46"/>
  <c r="W202" i="46"/>
  <c r="W216" i="46"/>
  <c r="W226" i="46"/>
  <c r="M324" i="48"/>
  <c r="M323" i="48"/>
  <c r="M322" i="48"/>
  <c r="M321" i="48"/>
  <c r="V20" i="45"/>
  <c r="V19" i="45"/>
  <c r="Z22" i="46"/>
  <c r="Y28" i="46"/>
  <c r="AD52" i="12"/>
  <c r="AD51" i="12"/>
  <c r="AD54" i="12"/>
  <c r="AE50" i="12"/>
  <c r="V211" i="46"/>
  <c r="W89" i="45" s="1"/>
  <c r="V210" i="46"/>
  <c r="V215" i="46" s="1"/>
  <c r="V209" i="46"/>
  <c r="V214" i="46" s="1"/>
  <c r="V208" i="46"/>
  <c r="V213" i="46" s="1"/>
  <c r="V207" i="46"/>
  <c r="V212" i="46" s="1"/>
  <c r="V206" i="48"/>
  <c r="AU116" i="45"/>
  <c r="W204" i="48"/>
  <c r="W203" i="48"/>
  <c r="O336" i="48"/>
  <c r="O335" i="48"/>
  <c r="O334" i="48"/>
  <c r="O339" i="48"/>
  <c r="O338" i="48"/>
  <c r="O337" i="48"/>
  <c r="V263" i="46"/>
  <c r="V268" i="46" s="1"/>
  <c r="V262" i="46"/>
  <c r="V267" i="46" s="1"/>
  <c r="V261" i="46"/>
  <c r="V266" i="46" s="1"/>
  <c r="V265" i="46"/>
  <c r="W105" i="45" s="1"/>
  <c r="V264" i="46"/>
  <c r="V269" i="46" s="1"/>
  <c r="V260" i="48"/>
  <c r="O326" i="48"/>
  <c r="O325" i="48"/>
  <c r="AA57" i="14"/>
  <c r="H363" i="48"/>
  <c r="AO120" i="45" s="1"/>
  <c r="H361" i="48"/>
  <c r="K330" i="46"/>
  <c r="K329" i="46"/>
  <c r="K333" i="46" s="1"/>
  <c r="W92" i="48"/>
  <c r="W97" i="48" s="1"/>
  <c r="W91" i="48"/>
  <c r="W90" i="48"/>
  <c r="W95" i="48" s="1"/>
  <c r="W94" i="48"/>
  <c r="W93" i="48"/>
  <c r="W98" i="48" s="1"/>
  <c r="R33" i="46"/>
  <c r="R39" i="46" s="1"/>
  <c r="S75" i="45"/>
  <c r="G363" i="48"/>
  <c r="AN120" i="45" s="1"/>
  <c r="X63" i="48"/>
  <c r="U175" i="48"/>
  <c r="U180" i="48" s="1"/>
  <c r="U179" i="48"/>
  <c r="U178" i="48"/>
  <c r="U183" i="48" s="1"/>
  <c r="U177" i="48"/>
  <c r="U182" i="48" s="1"/>
  <c r="U176" i="48"/>
  <c r="U181" i="48" s="1"/>
  <c r="O345" i="46"/>
  <c r="O346" i="46" s="1"/>
  <c r="AU114" i="45"/>
  <c r="AU78" i="45"/>
  <c r="N331" i="46"/>
  <c r="N343" i="46" s="1"/>
  <c r="N344" i="46" s="1"/>
  <c r="N332" i="46"/>
  <c r="W204" i="46"/>
  <c r="W203" i="46"/>
  <c r="V149" i="46"/>
  <c r="W83" i="45" s="1"/>
  <c r="V148" i="46"/>
  <c r="V153" i="46" s="1"/>
  <c r="V147" i="46"/>
  <c r="V152" i="46" s="1"/>
  <c r="V146" i="46"/>
  <c r="V151" i="46" s="1"/>
  <c r="V145" i="46"/>
  <c r="V150" i="46" s="1"/>
  <c r="V144" i="48"/>
  <c r="Y18" i="48"/>
  <c r="X24" i="48"/>
  <c r="U227" i="48"/>
  <c r="U232" i="48" s="1"/>
  <c r="U231" i="48"/>
  <c r="U230" i="48"/>
  <c r="U235" i="48" s="1"/>
  <c r="U229" i="48"/>
  <c r="U234" i="48" s="1"/>
  <c r="U228" i="48"/>
  <c r="U233" i="48" s="1"/>
  <c r="Z22" i="48"/>
  <c r="Y28" i="48"/>
  <c r="X94" i="46"/>
  <c r="X93" i="46"/>
  <c r="X98" i="46" s="1"/>
  <c r="X92" i="46"/>
  <c r="X97" i="46" s="1"/>
  <c r="X91" i="46"/>
  <c r="X90" i="46"/>
  <c r="X95" i="46" s="1"/>
  <c r="X89" i="48"/>
  <c r="N318" i="48"/>
  <c r="N319" i="48" s="1"/>
  <c r="N341" i="48"/>
  <c r="N342" i="48" s="1"/>
  <c r="X154" i="53"/>
  <c r="Y153" i="53"/>
  <c r="Y241" i="48"/>
  <c r="Z240" i="48"/>
  <c r="O332" i="48"/>
  <c r="O331" i="48"/>
  <c r="O343" i="48" s="1"/>
  <c r="O344" i="48" s="1"/>
  <c r="AZ55" i="45"/>
  <c r="AZ56" i="45"/>
  <c r="K330" i="48"/>
  <c r="K329" i="48"/>
  <c r="K333" i="48" s="1"/>
  <c r="U33" i="45"/>
  <c r="V31" i="46"/>
  <c r="V306" i="46"/>
  <c r="CI4" i="55"/>
  <c r="X138" i="46"/>
  <c r="X137" i="46"/>
  <c r="X144" i="46" s="1"/>
  <c r="Y136" i="46"/>
  <c r="X200" i="46"/>
  <c r="X201" i="46"/>
  <c r="U207" i="48"/>
  <c r="U212" i="48" s="1"/>
  <c r="U211" i="48"/>
  <c r="U210" i="48"/>
  <c r="U215" i="48" s="1"/>
  <c r="U209" i="48"/>
  <c r="U214" i="48" s="1"/>
  <c r="U208" i="48"/>
  <c r="U213" i="48" s="1"/>
  <c r="Z20" i="46"/>
  <c r="Y26" i="46"/>
  <c r="Y41" i="46" s="1"/>
  <c r="W29" i="48"/>
  <c r="J353" i="46"/>
  <c r="J354" i="46" s="1"/>
  <c r="W247" i="46"/>
  <c r="W252" i="46" s="1"/>
  <c r="W246" i="46"/>
  <c r="W251" i="46" s="1"/>
  <c r="W245" i="46"/>
  <c r="W250" i="46" s="1"/>
  <c r="W244" i="46"/>
  <c r="W249" i="46" s="1"/>
  <c r="W248" i="46"/>
  <c r="X96" i="45" s="1"/>
  <c r="W243" i="48"/>
  <c r="P308" i="46"/>
  <c r="P309" i="46" s="1"/>
  <c r="Q275" i="46"/>
  <c r="O116" i="45"/>
  <c r="W142" i="48"/>
  <c r="W141" i="48"/>
  <c r="W140" i="48"/>
  <c r="Z21" i="46"/>
  <c r="Y27" i="46"/>
  <c r="Y42" i="46" s="1"/>
  <c r="Y65" i="53"/>
  <c r="Y64" i="53"/>
  <c r="Y62" i="53"/>
  <c r="Y61" i="53"/>
  <c r="Y66" i="53"/>
  <c r="Y73" i="53" s="1"/>
  <c r="Y74" i="53" s="1"/>
  <c r="Y67" i="53"/>
  <c r="Z60" i="53"/>
  <c r="P44" i="48"/>
  <c r="P271" i="48" s="1"/>
  <c r="Q44" i="46"/>
  <c r="Q271" i="46" s="1"/>
  <c r="Q69" i="46"/>
  <c r="Q79" i="46"/>
  <c r="Q99" i="46"/>
  <c r="Q109" i="46"/>
  <c r="U167" i="48"/>
  <c r="U172" i="48" s="1"/>
  <c r="U166" i="48"/>
  <c r="U171" i="48" s="1"/>
  <c r="U165" i="48"/>
  <c r="U170" i="48" s="1"/>
  <c r="U169" i="48"/>
  <c r="U168" i="48"/>
  <c r="U173" i="48" s="1"/>
  <c r="W139" i="46"/>
  <c r="U159" i="48"/>
  <c r="U158" i="48"/>
  <c r="U163" i="48" s="1"/>
  <c r="U157" i="48"/>
  <c r="U162" i="48" s="1"/>
  <c r="U156" i="48"/>
  <c r="U161" i="48" s="1"/>
  <c r="U155" i="48"/>
  <c r="U160" i="48" s="1"/>
  <c r="L353" i="46"/>
  <c r="L354" i="46" s="1"/>
  <c r="AC32" i="51"/>
  <c r="AC31" i="51"/>
  <c r="BI30" i="51"/>
  <c r="AC34" i="51"/>
  <c r="AD30" i="51"/>
  <c r="Z60" i="46"/>
  <c r="Y67" i="46"/>
  <c r="Y66" i="46"/>
  <c r="Y89" i="46" s="1"/>
  <c r="Y65" i="46"/>
  <c r="Y64" i="46"/>
  <c r="Y62" i="46"/>
  <c r="Y61" i="46"/>
  <c r="O315" i="46"/>
  <c r="O314" i="46"/>
  <c r="O313" i="46"/>
  <c r="O312" i="46"/>
  <c r="O311" i="46"/>
  <c r="O310" i="46"/>
  <c r="O118" i="45"/>
  <c r="X138" i="48"/>
  <c r="X137" i="48"/>
  <c r="Y136" i="48"/>
  <c r="X201" i="48"/>
  <c r="X200" i="48"/>
  <c r="Y39" i="45"/>
  <c r="BE38" i="45"/>
  <c r="Z38" i="45"/>
  <c r="Y40" i="45"/>
  <c r="W29" i="46"/>
  <c r="L343" i="48"/>
  <c r="L344" i="48" s="1"/>
  <c r="L345" i="48"/>
  <c r="L346" i="48" s="1"/>
  <c r="K348" i="46"/>
  <c r="X17" i="45"/>
  <c r="BD16" i="45"/>
  <c r="Y16" i="45"/>
  <c r="N326" i="46"/>
  <c r="N325" i="46"/>
  <c r="W141" i="46"/>
  <c r="W164" i="46" s="1"/>
  <c r="W140" i="46"/>
  <c r="W154" i="46" s="1"/>
  <c r="W142" i="46"/>
  <c r="W174" i="46" s="1"/>
  <c r="Z19" i="48"/>
  <c r="Y25" i="48"/>
  <c r="Y40" i="48" s="1"/>
  <c r="Y27" i="48"/>
  <c r="Y42" i="48" s="1"/>
  <c r="Z21" i="48"/>
  <c r="O115" i="45"/>
  <c r="X243" i="46"/>
  <c r="N335" i="46"/>
  <c r="N337" i="46"/>
  <c r="N336" i="46"/>
  <c r="N334" i="46"/>
  <c r="N339" i="46"/>
  <c r="N338" i="46"/>
  <c r="BD40" i="45"/>
  <c r="BD39" i="45"/>
  <c r="AD54" i="14"/>
  <c r="AE50" i="14"/>
  <c r="AD52" i="14"/>
  <c r="AD51" i="14"/>
  <c r="Y18" i="46"/>
  <c r="X24" i="46"/>
  <c r="BC17" i="45"/>
  <c r="L328" i="48"/>
  <c r="L327" i="48"/>
  <c r="V31" i="48"/>
  <c r="V306" i="48"/>
  <c r="N313" i="48"/>
  <c r="N312" i="48"/>
  <c r="N311" i="48"/>
  <c r="N310" i="48"/>
  <c r="N314" i="48"/>
  <c r="N315" i="48"/>
  <c r="V179" i="46"/>
  <c r="W107" i="45" s="1"/>
  <c r="V178" i="46"/>
  <c r="V183" i="46" s="1"/>
  <c r="V177" i="46"/>
  <c r="V182" i="46" s="1"/>
  <c r="V176" i="46"/>
  <c r="V181" i="46" s="1"/>
  <c r="V175" i="46"/>
  <c r="V180" i="46" s="1"/>
  <c r="V174" i="48"/>
  <c r="BH32" i="51"/>
  <c r="BH31" i="51"/>
  <c r="BH34" i="51"/>
  <c r="V231" i="46"/>
  <c r="W108" i="45" s="1"/>
  <c r="V230" i="46"/>
  <c r="V235" i="46" s="1"/>
  <c r="V229" i="46"/>
  <c r="V234" i="46" s="1"/>
  <c r="V228" i="46"/>
  <c r="V233" i="46" s="1"/>
  <c r="V227" i="46"/>
  <c r="V232" i="46" s="1"/>
  <c r="V226" i="48"/>
  <c r="X63" i="46"/>
  <c r="Y153" i="54"/>
  <c r="X154" i="54"/>
  <c r="AY67" i="45"/>
  <c r="Z240" i="46"/>
  <c r="Y241" i="46"/>
  <c r="T34" i="45"/>
  <c r="T67" i="45"/>
  <c r="Y65" i="54"/>
  <c r="Y64" i="54"/>
  <c r="Y62" i="54"/>
  <c r="Y61" i="54"/>
  <c r="Z60" i="54"/>
  <c r="Y67" i="54"/>
  <c r="Y66" i="54"/>
  <c r="Y73" i="54" s="1"/>
  <c r="Y74" i="54" s="1"/>
  <c r="R72" i="45"/>
  <c r="U56" i="45"/>
  <c r="U55" i="45"/>
  <c r="V28" i="45"/>
  <c r="BB27" i="45"/>
  <c r="W27" i="45"/>
  <c r="V35" i="45"/>
  <c r="V32" i="45"/>
  <c r="V37" i="45"/>
  <c r="V31" i="45"/>
  <c r="V29" i="45"/>
  <c r="V36" i="45"/>
  <c r="V54" i="45"/>
  <c r="Y26" i="48"/>
  <c r="Y41" i="48" s="1"/>
  <c r="Z20" i="48"/>
  <c r="H361" i="46"/>
  <c r="M326" i="46"/>
  <c r="M325" i="46"/>
  <c r="P275" i="48"/>
  <c r="O308" i="48"/>
  <c r="O309" i="48" s="1"/>
  <c r="V158" i="46"/>
  <c r="V163" i="46" s="1"/>
  <c r="V157" i="46"/>
  <c r="V162" i="46" s="1"/>
  <c r="V156" i="46"/>
  <c r="V161" i="46" s="1"/>
  <c r="V155" i="46"/>
  <c r="V160" i="46" s="1"/>
  <c r="V159" i="46"/>
  <c r="W98" i="45" s="1"/>
  <c r="V154" i="48"/>
  <c r="AU100" i="45"/>
  <c r="AU113" i="45"/>
  <c r="J347" i="48"/>
  <c r="J349" i="48" s="1"/>
  <c r="J348" i="48"/>
  <c r="V221" i="46"/>
  <c r="W99" i="45" s="1"/>
  <c r="V220" i="46"/>
  <c r="V225" i="46" s="1"/>
  <c r="V219" i="46"/>
  <c r="V224" i="46" s="1"/>
  <c r="V218" i="46"/>
  <c r="V223" i="46" s="1"/>
  <c r="V217" i="46"/>
  <c r="V222" i="46" s="1"/>
  <c r="V216" i="48"/>
  <c r="AU118" i="45"/>
  <c r="AB112" i="14"/>
  <c r="Y36" i="54"/>
  <c r="AD42" i="54" s="1"/>
  <c r="BF55" i="51"/>
  <c r="Y257" i="46"/>
  <c r="X258" i="46"/>
  <c r="K346" i="46"/>
  <c r="K347" i="46" s="1"/>
  <c r="K349" i="46" s="1"/>
  <c r="R73" i="45"/>
  <c r="K347" i="48"/>
  <c r="K349" i="48" s="1"/>
  <c r="K348" i="48"/>
  <c r="X258" i="48"/>
  <c r="Y257" i="48"/>
  <c r="Y61" i="48"/>
  <c r="Z60" i="48"/>
  <c r="Y67" i="48"/>
  <c r="Y66" i="48"/>
  <c r="Y65" i="48"/>
  <c r="Y64" i="48"/>
  <c r="Y62" i="48"/>
  <c r="BA28" i="45"/>
  <c r="BA29" i="45"/>
  <c r="BA31" i="45"/>
  <c r="BA37" i="45"/>
  <c r="BA36" i="45"/>
  <c r="BA32" i="45"/>
  <c r="BA35" i="45"/>
  <c r="BA54" i="45"/>
  <c r="W18" i="45"/>
  <c r="M334" i="48"/>
  <c r="M339" i="48"/>
  <c r="M338" i="48"/>
  <c r="M337" i="48"/>
  <c r="M336" i="48"/>
  <c r="M335" i="48"/>
  <c r="M332" i="46"/>
  <c r="M331" i="46"/>
  <c r="BB89" i="45"/>
  <c r="V169" i="46"/>
  <c r="W77" i="45" s="1"/>
  <c r="V168" i="46"/>
  <c r="V173" i="46" s="1"/>
  <c r="V167" i="46"/>
  <c r="V172" i="46" s="1"/>
  <c r="V166" i="46"/>
  <c r="V171" i="46" s="1"/>
  <c r="V165" i="46"/>
  <c r="V170" i="46" s="1"/>
  <c r="V164" i="48"/>
  <c r="V248" i="48"/>
  <c r="V247" i="48"/>
  <c r="V252" i="48" s="1"/>
  <c r="V246" i="48"/>
  <c r="V251" i="48" s="1"/>
  <c r="V245" i="48"/>
  <c r="V250" i="48" s="1"/>
  <c r="V244" i="48"/>
  <c r="V249" i="48" s="1"/>
  <c r="AP119" i="45"/>
  <c r="I365" i="48"/>
  <c r="I370" i="48"/>
  <c r="BA19" i="45"/>
  <c r="BA20" i="45"/>
  <c r="Z19" i="46"/>
  <c r="Y25" i="46"/>
  <c r="Y40" i="46" s="1"/>
  <c r="O328" i="46"/>
  <c r="O327" i="46"/>
  <c r="AA58" i="14"/>
  <c r="Q33" i="48"/>
  <c r="Q39" i="48" s="1"/>
  <c r="AX75" i="45"/>
  <c r="R71" i="45"/>
  <c r="BB18" i="45"/>
  <c r="AD134" i="53" l="1"/>
  <c r="AD136" i="53"/>
  <c r="AD137" i="53" s="1"/>
  <c r="AE63" i="51" s="1"/>
  <c r="AB35" i="51"/>
  <c r="T86" i="45"/>
  <c r="AB39" i="20"/>
  <c r="R33" i="48"/>
  <c r="R39" i="48" s="1"/>
  <c r="AV115" i="45"/>
  <c r="AY24" i="45"/>
  <c r="AW90" i="45"/>
  <c r="T85" i="45"/>
  <c r="S73" i="45"/>
  <c r="AY75" i="45"/>
  <c r="P324" i="46"/>
  <c r="P332" i="46" s="1"/>
  <c r="P323" i="46"/>
  <c r="P322" i="46"/>
  <c r="Q91" i="45"/>
  <c r="AX73" i="45"/>
  <c r="Q94" i="45"/>
  <c r="AB56" i="14"/>
  <c r="AA39" i="19"/>
  <c r="AF45" i="19" s="1"/>
  <c r="AB60" i="14"/>
  <c r="AB61" i="14"/>
  <c r="Q93" i="45"/>
  <c r="AW94" i="45"/>
  <c r="AX71" i="45"/>
  <c r="AW93" i="45"/>
  <c r="AY25" i="45"/>
  <c r="AC60" i="12"/>
  <c r="AC112" i="12"/>
  <c r="AC56" i="12"/>
  <c r="W35" i="46"/>
  <c r="Z59" i="12"/>
  <c r="AX86" i="45"/>
  <c r="AZ68" i="45"/>
  <c r="BC83" i="45"/>
  <c r="BC105" i="45"/>
  <c r="T104" i="45"/>
  <c r="S71" i="45"/>
  <c r="P102" i="48"/>
  <c r="P107" i="48" s="1"/>
  <c r="P103" i="48"/>
  <c r="P108" i="48" s="1"/>
  <c r="P101" i="48"/>
  <c r="P106" i="48" s="1"/>
  <c r="P100" i="48"/>
  <c r="P105" i="48" s="1"/>
  <c r="P104" i="48"/>
  <c r="R34" i="48"/>
  <c r="AY26" i="45"/>
  <c r="AY82" i="45"/>
  <c r="AE137" i="12"/>
  <c r="AD190" i="20"/>
  <c r="AD152" i="19" s="1"/>
  <c r="AD189" i="20"/>
  <c r="AD151" i="19" s="1"/>
  <c r="AD188" i="20"/>
  <c r="AD150" i="19" s="1"/>
  <c r="AD187" i="20"/>
  <c r="AD149" i="19" s="1"/>
  <c r="AD186" i="20"/>
  <c r="AD148" i="19" s="1"/>
  <c r="AD147" i="19"/>
  <c r="AE137" i="14" s="1"/>
  <c r="AX85" i="45"/>
  <c r="AA57" i="12"/>
  <c r="S85" i="45"/>
  <c r="AA58" i="12"/>
  <c r="X69" i="45"/>
  <c r="AO122" i="45"/>
  <c r="Q110" i="45"/>
  <c r="Q111" i="45"/>
  <c r="AW111" i="45"/>
  <c r="Q112" i="45"/>
  <c r="AW112" i="45"/>
  <c r="AD180" i="20"/>
  <c r="AD142" i="19" s="1"/>
  <c r="AD181" i="20"/>
  <c r="AD143" i="19" s="1"/>
  <c r="AD141" i="19"/>
  <c r="AE125" i="14" s="1"/>
  <c r="AD184" i="20"/>
  <c r="AD146" i="19" s="1"/>
  <c r="AD183" i="20"/>
  <c r="AD145" i="19" s="1"/>
  <c r="AD182" i="20"/>
  <c r="AD144" i="19" s="1"/>
  <c r="AX87" i="45"/>
  <c r="BJ63" i="51"/>
  <c r="BC98" i="45"/>
  <c r="Z59" i="14"/>
  <c r="Q102" i="45"/>
  <c r="Q101" i="45"/>
  <c r="AW102" i="45"/>
  <c r="Q103" i="45"/>
  <c r="AW103" i="45"/>
  <c r="AW101" i="45"/>
  <c r="AY70" i="45"/>
  <c r="AZ25" i="45"/>
  <c r="AZ82" i="45"/>
  <c r="S34" i="48"/>
  <c r="AZ26" i="45"/>
  <c r="AZ24" i="45"/>
  <c r="AX84" i="45"/>
  <c r="AE173" i="20"/>
  <c r="AE179" i="20"/>
  <c r="AE133" i="19"/>
  <c r="AF125" i="12"/>
  <c r="AE132" i="19"/>
  <c r="AE185" i="20"/>
  <c r="AE131" i="19"/>
  <c r="AE130" i="19"/>
  <c r="AE129" i="19"/>
  <c r="AE128" i="19" s="1"/>
  <c r="AC135" i="53"/>
  <c r="AD56" i="51"/>
  <c r="Q78" i="45"/>
  <c r="AW76" i="45"/>
  <c r="BC99" i="45"/>
  <c r="AY59" i="45"/>
  <c r="BC108" i="45"/>
  <c r="BK69" i="51"/>
  <c r="V35" i="48"/>
  <c r="U23" i="45"/>
  <c r="BL63" i="51"/>
  <c r="AD175" i="20"/>
  <c r="AD137" i="19" s="1"/>
  <c r="AD176" i="20"/>
  <c r="AD138" i="19" s="1"/>
  <c r="AD177" i="20"/>
  <c r="AD139" i="19" s="1"/>
  <c r="AD178" i="20"/>
  <c r="AD140" i="19" s="1"/>
  <c r="AD135" i="19"/>
  <c r="AE113" i="14" s="1"/>
  <c r="AD174" i="20"/>
  <c r="AD136" i="19" s="1"/>
  <c r="AE113" i="12"/>
  <c r="BJ69" i="51"/>
  <c r="Q81" i="45"/>
  <c r="Q79" i="45"/>
  <c r="Q80" i="45"/>
  <c r="AW80" i="45"/>
  <c r="AW81" i="45"/>
  <c r="AW79" i="45"/>
  <c r="P341" i="46"/>
  <c r="P342" i="46" s="1"/>
  <c r="P318" i="46"/>
  <c r="P319" i="46" s="1"/>
  <c r="BC69" i="45"/>
  <c r="BC107" i="45"/>
  <c r="J122" i="45"/>
  <c r="AX72" i="45"/>
  <c r="AB112" i="12"/>
  <c r="AA39" i="20"/>
  <c r="AF45" i="20" s="1"/>
  <c r="AB60" i="12"/>
  <c r="AB56" i="12"/>
  <c r="AB61" i="12"/>
  <c r="AW97" i="45"/>
  <c r="Q100" i="45"/>
  <c r="BK63" i="51"/>
  <c r="S72" i="45"/>
  <c r="AC61" i="12"/>
  <c r="BD83" i="45"/>
  <c r="AC55" i="14"/>
  <c r="AW106" i="45"/>
  <c r="Q109" i="45"/>
  <c r="Q113" i="45"/>
  <c r="P74" i="48"/>
  <c r="P73" i="48"/>
  <c r="P78" i="48" s="1"/>
  <c r="P72" i="48"/>
  <c r="P77" i="48" s="1"/>
  <c r="P71" i="48"/>
  <c r="P76" i="48" s="1"/>
  <c r="P70" i="48"/>
  <c r="P75" i="48" s="1"/>
  <c r="BD96" i="45"/>
  <c r="AN122" i="45"/>
  <c r="BG35" i="51"/>
  <c r="P113" i="48"/>
  <c r="P118" i="48" s="1"/>
  <c r="P112" i="48"/>
  <c r="P117" i="48" s="1"/>
  <c r="P111" i="48"/>
  <c r="P116" i="48" s="1"/>
  <c r="P114" i="48"/>
  <c r="P110" i="48"/>
  <c r="P115" i="48" s="1"/>
  <c r="P274" i="48"/>
  <c r="AW110" i="45"/>
  <c r="AE138" i="53"/>
  <c r="AE139" i="53" s="1"/>
  <c r="AF69" i="51" s="1"/>
  <c r="AE134" i="53"/>
  <c r="AE135" i="53" s="1"/>
  <c r="AC33" i="51"/>
  <c r="T70" i="45"/>
  <c r="BH33" i="51"/>
  <c r="U67" i="45"/>
  <c r="Y243" i="46"/>
  <c r="Y248" i="46" s="1"/>
  <c r="Z96" i="45" s="1"/>
  <c r="O345" i="48"/>
  <c r="O348" i="48" s="1"/>
  <c r="O353" i="48" s="1"/>
  <c r="AZ67" i="45"/>
  <c r="AU115" i="45"/>
  <c r="AY60" i="45"/>
  <c r="AY58" i="45"/>
  <c r="BC42" i="45"/>
  <c r="BC95" i="45"/>
  <c r="BC43" i="45"/>
  <c r="BC44" i="45"/>
  <c r="AZ34" i="45"/>
  <c r="Y41" i="45"/>
  <c r="R37" i="48"/>
  <c r="W43" i="48" s="1"/>
  <c r="BD41" i="45"/>
  <c r="I370" i="46"/>
  <c r="J125" i="45" s="1"/>
  <c r="AY104" i="45"/>
  <c r="I365" i="46"/>
  <c r="N345" i="46"/>
  <c r="N346" i="46" s="1"/>
  <c r="N347" i="46" s="1"/>
  <c r="BA30" i="45"/>
  <c r="X95" i="45"/>
  <c r="X43" i="45"/>
  <c r="X44" i="45"/>
  <c r="J124" i="45"/>
  <c r="J123" i="45"/>
  <c r="J121" i="45"/>
  <c r="G365" i="48"/>
  <c r="BA33" i="45"/>
  <c r="X139" i="46"/>
  <c r="Y63" i="53"/>
  <c r="AZ57" i="45"/>
  <c r="X42" i="45"/>
  <c r="T59" i="45"/>
  <c r="S37" i="46"/>
  <c r="X43" i="46" s="1"/>
  <c r="X260" i="46" s="1"/>
  <c r="Y63" i="46"/>
  <c r="Y63" i="54"/>
  <c r="X202" i="48"/>
  <c r="U57" i="45"/>
  <c r="T60" i="45"/>
  <c r="N321" i="48"/>
  <c r="N324" i="48"/>
  <c r="N323" i="48"/>
  <c r="N322" i="48"/>
  <c r="T58" i="45"/>
  <c r="X35" i="46"/>
  <c r="O330" i="46"/>
  <c r="O329" i="46"/>
  <c r="O333" i="46" s="1"/>
  <c r="R44" i="48"/>
  <c r="R271" i="48" s="1"/>
  <c r="S33" i="46"/>
  <c r="S39" i="46" s="1"/>
  <c r="T75" i="45"/>
  <c r="Y154" i="54"/>
  <c r="Z153" i="54"/>
  <c r="X29" i="46"/>
  <c r="W159" i="46"/>
  <c r="X98" i="45" s="1"/>
  <c r="W158" i="46"/>
  <c r="W163" i="46" s="1"/>
  <c r="W157" i="46"/>
  <c r="W162" i="46" s="1"/>
  <c r="W156" i="46"/>
  <c r="W161" i="46" s="1"/>
  <c r="W155" i="46"/>
  <c r="W160" i="46" s="1"/>
  <c r="W154" i="48"/>
  <c r="X18" i="45"/>
  <c r="K353" i="46"/>
  <c r="K354" i="46" s="1"/>
  <c r="Q74" i="46"/>
  <c r="R76" i="45" s="1"/>
  <c r="Q73" i="46"/>
  <c r="Q78" i="46" s="1"/>
  <c r="Q72" i="46"/>
  <c r="Q77" i="46" s="1"/>
  <c r="Q71" i="46"/>
  <c r="Q76" i="46" s="1"/>
  <c r="Q70" i="46"/>
  <c r="Q75" i="46" s="1"/>
  <c r="Q69" i="48"/>
  <c r="Z153" i="53"/>
  <c r="Y154" i="53"/>
  <c r="N335" i="48"/>
  <c r="N334" i="48"/>
  <c r="N339" i="48"/>
  <c r="N338" i="48"/>
  <c r="N337" i="48"/>
  <c r="N336" i="48"/>
  <c r="O328" i="48"/>
  <c r="O327" i="48"/>
  <c r="M326" i="48"/>
  <c r="M325" i="48"/>
  <c r="AN123" i="45"/>
  <c r="AN124" i="45"/>
  <c r="AN121" i="45"/>
  <c r="Y258" i="48"/>
  <c r="Z257" i="48"/>
  <c r="M328" i="46"/>
  <c r="M327" i="46"/>
  <c r="Y24" i="46"/>
  <c r="Z18" i="46"/>
  <c r="AA19" i="48"/>
  <c r="Z25" i="48"/>
  <c r="Z40" i="48" s="1"/>
  <c r="W169" i="46"/>
  <c r="X77" i="45" s="1"/>
  <c r="W168" i="46"/>
  <c r="W173" i="46" s="1"/>
  <c r="W167" i="46"/>
  <c r="W172" i="46" s="1"/>
  <c r="W166" i="46"/>
  <c r="W171" i="46" s="1"/>
  <c r="W165" i="46"/>
  <c r="W170" i="46" s="1"/>
  <c r="W164" i="48"/>
  <c r="W31" i="46"/>
  <c r="W306" i="46"/>
  <c r="CJ4" i="55"/>
  <c r="Q316" i="46"/>
  <c r="Z28" i="48"/>
  <c r="AA22" i="48"/>
  <c r="BC89" i="45"/>
  <c r="M332" i="48"/>
  <c r="M331" i="48"/>
  <c r="BB20" i="45"/>
  <c r="BB19" i="45"/>
  <c r="BA21" i="45"/>
  <c r="BC77" i="45"/>
  <c r="W20" i="45"/>
  <c r="W19" i="45"/>
  <c r="X149" i="46"/>
  <c r="Y83" i="45" s="1"/>
  <c r="X148" i="46"/>
  <c r="X153" i="46" s="1"/>
  <c r="X147" i="46"/>
  <c r="X152" i="46" s="1"/>
  <c r="X146" i="46"/>
  <c r="X151" i="46" s="1"/>
  <c r="X145" i="46"/>
  <c r="X150" i="46" s="1"/>
  <c r="X144" i="48"/>
  <c r="AB58" i="14"/>
  <c r="Q308" i="46"/>
  <c r="Q309" i="46" s="1"/>
  <c r="R275" i="46"/>
  <c r="J363" i="46"/>
  <c r="K120" i="45" s="1"/>
  <c r="J361" i="46"/>
  <c r="X204" i="46"/>
  <c r="X203" i="46"/>
  <c r="X93" i="48"/>
  <c r="X98" i="48" s="1"/>
  <c r="X92" i="48"/>
  <c r="X97" i="48" s="1"/>
  <c r="X91" i="48"/>
  <c r="X90" i="48"/>
  <c r="X95" i="48" s="1"/>
  <c r="X94" i="48"/>
  <c r="O347" i="46"/>
  <c r="O349" i="46" s="1"/>
  <c r="O348" i="46"/>
  <c r="AA59" i="14"/>
  <c r="AD53" i="12"/>
  <c r="AC58" i="12"/>
  <c r="Z25" i="46"/>
  <c r="Z40" i="46" s="1"/>
  <c r="AA19" i="46"/>
  <c r="K353" i="48"/>
  <c r="K354" i="48" s="1"/>
  <c r="Z257" i="46"/>
  <c r="Y258" i="46"/>
  <c r="O314" i="48"/>
  <c r="O313" i="48"/>
  <c r="O312" i="48"/>
  <c r="O311" i="48"/>
  <c r="O310" i="48"/>
  <c r="O315" i="48"/>
  <c r="V56" i="45"/>
  <c r="V55" i="45"/>
  <c r="W28" i="45"/>
  <c r="BC27" i="45"/>
  <c r="X27" i="45"/>
  <c r="W29" i="45"/>
  <c r="W35" i="45"/>
  <c r="W32" i="45"/>
  <c r="W37" i="45"/>
  <c r="W31" i="45"/>
  <c r="W36" i="45"/>
  <c r="W54" i="45"/>
  <c r="L330" i="48"/>
  <c r="L329" i="48"/>
  <c r="L333" i="48" s="1"/>
  <c r="AD53" i="14"/>
  <c r="AD135" i="53"/>
  <c r="AE56" i="51"/>
  <c r="N328" i="46"/>
  <c r="N327" i="46"/>
  <c r="Z39" i="45"/>
  <c r="BF38" i="45"/>
  <c r="AA38" i="45"/>
  <c r="Z40" i="45"/>
  <c r="X204" i="48"/>
  <c r="X203" i="48"/>
  <c r="Y94" i="46"/>
  <c r="Y93" i="46"/>
  <c r="Y98" i="46" s="1"/>
  <c r="Y92" i="46"/>
  <c r="Y97" i="46" s="1"/>
  <c r="Y91" i="46"/>
  <c r="Y90" i="46"/>
  <c r="Y95" i="46" s="1"/>
  <c r="Y89" i="48"/>
  <c r="P316" i="48"/>
  <c r="AA21" i="46"/>
  <c r="Z27" i="46"/>
  <c r="Z42" i="46" s="1"/>
  <c r="P315" i="46"/>
  <c r="P314" i="46"/>
  <c r="P313" i="46"/>
  <c r="P312" i="46"/>
  <c r="P311" i="46"/>
  <c r="P310" i="46"/>
  <c r="X216" i="46"/>
  <c r="X206" i="46"/>
  <c r="X202" i="46"/>
  <c r="X226" i="46"/>
  <c r="AO119" i="45"/>
  <c r="H365" i="48"/>
  <c r="H370" i="48"/>
  <c r="AA22" i="46"/>
  <c r="Z28" i="46"/>
  <c r="W231" i="46"/>
  <c r="X108" i="45" s="1"/>
  <c r="W230" i="46"/>
  <c r="W235" i="46" s="1"/>
  <c r="W229" i="46"/>
  <c r="W234" i="46" s="1"/>
  <c r="W228" i="46"/>
  <c r="W233" i="46" s="1"/>
  <c r="W227" i="46"/>
  <c r="W232" i="46" s="1"/>
  <c r="W226" i="48"/>
  <c r="T73" i="45"/>
  <c r="BA55" i="45"/>
  <c r="BA56" i="45"/>
  <c r="Z62" i="48"/>
  <c r="Z61" i="48"/>
  <c r="AA60" i="48"/>
  <c r="Z67" i="48"/>
  <c r="Z66" i="48"/>
  <c r="Z65" i="48"/>
  <c r="Z64" i="48"/>
  <c r="AD138" i="54"/>
  <c r="AD139" i="54" s="1"/>
  <c r="AD136" i="54"/>
  <c r="AD137" i="54" s="1"/>
  <c r="AD134" i="54"/>
  <c r="AD135" i="54" s="1"/>
  <c r="Q275" i="48"/>
  <c r="P308" i="48"/>
  <c r="P309" i="48" s="1"/>
  <c r="I119" i="45"/>
  <c r="H365" i="46"/>
  <c r="H370" i="46"/>
  <c r="BB28" i="45"/>
  <c r="BB29" i="45"/>
  <c r="BB31" i="45"/>
  <c r="BB37" i="45"/>
  <c r="BB36" i="45"/>
  <c r="BB32" i="45"/>
  <c r="BB35" i="45"/>
  <c r="BB54" i="45"/>
  <c r="X248" i="46"/>
  <c r="Y96" i="45" s="1"/>
  <c r="X247" i="46"/>
  <c r="X252" i="46" s="1"/>
  <c r="X246" i="46"/>
  <c r="X251" i="46" s="1"/>
  <c r="X245" i="46"/>
  <c r="X250" i="46" s="1"/>
  <c r="X244" i="46"/>
  <c r="X249" i="46" s="1"/>
  <c r="X243" i="48"/>
  <c r="Z27" i="48"/>
  <c r="Z42" i="48" s="1"/>
  <c r="AA21" i="48"/>
  <c r="BE39" i="45"/>
  <c r="BE40" i="45"/>
  <c r="Y138" i="48"/>
  <c r="Y137" i="48"/>
  <c r="Z136" i="48"/>
  <c r="Y201" i="48"/>
  <c r="Y200" i="48"/>
  <c r="Z66" i="53"/>
  <c r="Z73" i="53" s="1"/>
  <c r="Z74" i="53" s="1"/>
  <c r="Z65" i="53"/>
  <c r="Z64" i="53"/>
  <c r="Z62" i="53"/>
  <c r="Z61" i="53"/>
  <c r="AA60" i="53"/>
  <c r="Z67" i="53"/>
  <c r="W31" i="48"/>
  <c r="W306" i="48"/>
  <c r="Y138" i="46"/>
  <c r="Y137" i="46"/>
  <c r="Z136" i="46"/>
  <c r="Y201" i="46"/>
  <c r="Y200" i="46"/>
  <c r="U68" i="45"/>
  <c r="V208" i="48"/>
  <c r="V213" i="48" s="1"/>
  <c r="V207" i="48"/>
  <c r="V212" i="48" s="1"/>
  <c r="V211" i="48"/>
  <c r="V210" i="48"/>
  <c r="V215" i="48" s="1"/>
  <c r="V209" i="48"/>
  <c r="V214" i="48" s="1"/>
  <c r="W221" i="46"/>
  <c r="X99" i="45" s="1"/>
  <c r="W220" i="46"/>
  <c r="W225" i="46" s="1"/>
  <c r="W219" i="46"/>
  <c r="W224" i="46" s="1"/>
  <c r="W218" i="46"/>
  <c r="W223" i="46" s="1"/>
  <c r="W217" i="46"/>
  <c r="W222" i="46" s="1"/>
  <c r="W216" i="48"/>
  <c r="W146" i="48"/>
  <c r="W151" i="48" s="1"/>
  <c r="W145" i="48"/>
  <c r="W150" i="48" s="1"/>
  <c r="W149" i="48"/>
  <c r="W148" i="48"/>
  <c r="W153" i="48" s="1"/>
  <c r="W147" i="48"/>
  <c r="W152" i="48" s="1"/>
  <c r="W264" i="46"/>
  <c r="W269" i="46" s="1"/>
  <c r="W263" i="46"/>
  <c r="W268" i="46" s="1"/>
  <c r="W262" i="46"/>
  <c r="W267" i="46" s="1"/>
  <c r="W261" i="46"/>
  <c r="W266" i="46" s="1"/>
  <c r="W265" i="46"/>
  <c r="X105" i="45" s="1"/>
  <c r="W260" i="48"/>
  <c r="Q44" i="48"/>
  <c r="Q271" i="48" s="1"/>
  <c r="AP125" i="45"/>
  <c r="I371" i="48"/>
  <c r="AP126" i="45" s="1"/>
  <c r="V167" i="48"/>
  <c r="V172" i="48" s="1"/>
  <c r="V166" i="48"/>
  <c r="V171" i="48" s="1"/>
  <c r="V165" i="48"/>
  <c r="V170" i="48" s="1"/>
  <c r="V168" i="48"/>
  <c r="V173" i="48" s="1"/>
  <c r="V169" i="48"/>
  <c r="M343" i="46"/>
  <c r="M344" i="46" s="1"/>
  <c r="M345" i="46"/>
  <c r="M346" i="46" s="1"/>
  <c r="Y63" i="48"/>
  <c r="J353" i="48"/>
  <c r="V159" i="48"/>
  <c r="V158" i="48"/>
  <c r="V163" i="48" s="1"/>
  <c r="V157" i="48"/>
  <c r="V162" i="48" s="1"/>
  <c r="V156" i="48"/>
  <c r="V161" i="48" s="1"/>
  <c r="V155" i="48"/>
  <c r="V160" i="48" s="1"/>
  <c r="V30" i="45"/>
  <c r="V227" i="48"/>
  <c r="V232" i="48" s="1"/>
  <c r="V231" i="48"/>
  <c r="V230" i="48"/>
  <c r="V235" i="48" s="1"/>
  <c r="V228" i="48"/>
  <c r="V233" i="48" s="1"/>
  <c r="V229" i="48"/>
  <c r="V234" i="48" s="1"/>
  <c r="AE54" i="14"/>
  <c r="AF50" i="14"/>
  <c r="AE52" i="14"/>
  <c r="AE51" i="14"/>
  <c r="Z16" i="45"/>
  <c r="Y17" i="45"/>
  <c r="BE16" i="45"/>
  <c r="X139" i="48"/>
  <c r="Z61" i="46"/>
  <c r="AA60" i="46"/>
  <c r="Z67" i="46"/>
  <c r="Z66" i="46"/>
  <c r="Z89" i="46" s="1"/>
  <c r="Z65" i="46"/>
  <c r="Z64" i="46"/>
  <c r="Z62" i="46"/>
  <c r="AE30" i="51"/>
  <c r="AD32" i="51"/>
  <c r="AD31" i="51"/>
  <c r="BJ30" i="51"/>
  <c r="AD34" i="51"/>
  <c r="Q114" i="46"/>
  <c r="R97" i="45" s="1"/>
  <c r="Q113" i="46"/>
  <c r="Q118" i="46" s="1"/>
  <c r="Q112" i="46"/>
  <c r="Q117" i="46" s="1"/>
  <c r="Q111" i="46"/>
  <c r="Q116" i="46" s="1"/>
  <c r="Q110" i="46"/>
  <c r="Q115" i="46" s="1"/>
  <c r="Q109" i="48"/>
  <c r="Q274" i="46"/>
  <c r="W248" i="48"/>
  <c r="W247" i="48"/>
  <c r="W252" i="48" s="1"/>
  <c r="W246" i="48"/>
  <c r="W251" i="48" s="1"/>
  <c r="W245" i="48"/>
  <c r="W250" i="48" s="1"/>
  <c r="W244" i="48"/>
  <c r="W249" i="48" s="1"/>
  <c r="Z241" i="48"/>
  <c r="AA240" i="48"/>
  <c r="X29" i="48"/>
  <c r="G370" i="48"/>
  <c r="V221" i="48"/>
  <c r="V220" i="48"/>
  <c r="V225" i="48" s="1"/>
  <c r="V219" i="48"/>
  <c r="V224" i="48" s="1"/>
  <c r="V218" i="48"/>
  <c r="V223" i="48" s="1"/>
  <c r="V217" i="48"/>
  <c r="V222" i="48" s="1"/>
  <c r="AA20" i="48"/>
  <c r="Z26" i="48"/>
  <c r="Z41" i="48" s="1"/>
  <c r="V33" i="45"/>
  <c r="Z241" i="46"/>
  <c r="AA240" i="46"/>
  <c r="BC18" i="45"/>
  <c r="BD17" i="45"/>
  <c r="L347" i="48"/>
  <c r="L349" i="48" s="1"/>
  <c r="L348" i="48"/>
  <c r="X142" i="48"/>
  <c r="X141" i="48"/>
  <c r="X140" i="48"/>
  <c r="L361" i="46"/>
  <c r="L363" i="46"/>
  <c r="M120" i="45" s="1"/>
  <c r="Q103" i="46"/>
  <c r="Q108" i="46" s="1"/>
  <c r="Q102" i="46"/>
  <c r="Q107" i="46" s="1"/>
  <c r="Q101" i="46"/>
  <c r="Q106" i="46" s="1"/>
  <c r="Q100" i="46"/>
  <c r="Q105" i="46" s="1"/>
  <c r="Q104" i="46"/>
  <c r="R106" i="45" s="1"/>
  <c r="Q99" i="48"/>
  <c r="X140" i="46"/>
  <c r="X154" i="46" s="1"/>
  <c r="X141" i="46"/>
  <c r="X164" i="46" s="1"/>
  <c r="X142" i="46"/>
  <c r="X174" i="46" s="1"/>
  <c r="Z18" i="48"/>
  <c r="Y24" i="48"/>
  <c r="R44" i="46"/>
  <c r="R271" i="46" s="1"/>
  <c r="R69" i="46"/>
  <c r="R79" i="46"/>
  <c r="R99" i="46"/>
  <c r="R109" i="46"/>
  <c r="V261" i="48"/>
  <c r="V266" i="48" s="1"/>
  <c r="V265" i="48"/>
  <c r="V264" i="48"/>
  <c r="V269" i="48" s="1"/>
  <c r="V262" i="48"/>
  <c r="V267" i="48" s="1"/>
  <c r="V263" i="48"/>
  <c r="V268" i="48" s="1"/>
  <c r="W207" i="46"/>
  <c r="W212" i="46" s="1"/>
  <c r="W211" i="46"/>
  <c r="X89" i="45" s="1"/>
  <c r="W210" i="46"/>
  <c r="W215" i="46" s="1"/>
  <c r="W209" i="46"/>
  <c r="W214" i="46" s="1"/>
  <c r="W208" i="46"/>
  <c r="W213" i="46" s="1"/>
  <c r="W206" i="48"/>
  <c r="U34" i="45"/>
  <c r="AH113" i="12"/>
  <c r="AG179" i="20"/>
  <c r="AG185" i="20"/>
  <c r="AH125" i="12"/>
  <c r="AP123" i="45"/>
  <c r="AP124" i="45"/>
  <c r="AP121" i="45"/>
  <c r="AB57" i="14"/>
  <c r="Z66" i="54"/>
  <c r="Z73" i="54" s="1"/>
  <c r="Z74" i="54" s="1"/>
  <c r="Z65" i="54"/>
  <c r="Z64" i="54"/>
  <c r="Z62" i="54"/>
  <c r="Z61" i="54"/>
  <c r="AA60" i="54"/>
  <c r="Z67" i="54"/>
  <c r="V176" i="48"/>
  <c r="V181" i="48" s="1"/>
  <c r="V175" i="48"/>
  <c r="V180" i="48" s="1"/>
  <c r="V179" i="48"/>
  <c r="V178" i="48"/>
  <c r="V183" i="48" s="1"/>
  <c r="V177" i="48"/>
  <c r="V182" i="48" s="1"/>
  <c r="BD44" i="45"/>
  <c r="W179" i="46"/>
  <c r="X107" i="45" s="1"/>
  <c r="W178" i="46"/>
  <c r="W183" i="46" s="1"/>
  <c r="W177" i="46"/>
  <c r="W182" i="46" s="1"/>
  <c r="W176" i="46"/>
  <c r="W181" i="46" s="1"/>
  <c r="W175" i="46"/>
  <c r="W180" i="46" s="1"/>
  <c r="W174" i="48"/>
  <c r="BI32" i="51"/>
  <c r="BI31" i="51"/>
  <c r="BI34" i="51"/>
  <c r="Q84" i="46"/>
  <c r="R90" i="45" s="1"/>
  <c r="Q80" i="46"/>
  <c r="Q85" i="46" s="1"/>
  <c r="Q82" i="46"/>
  <c r="Q87" i="46" s="1"/>
  <c r="Q83" i="46"/>
  <c r="Q88" i="46" s="1"/>
  <c r="Q81" i="46"/>
  <c r="Q86" i="46" s="1"/>
  <c r="Q79" i="48"/>
  <c r="AA20" i="46"/>
  <c r="Z26" i="46"/>
  <c r="Z41" i="46" s="1"/>
  <c r="S37" i="48"/>
  <c r="X43" i="48" s="1"/>
  <c r="AZ58" i="45"/>
  <c r="AZ60" i="45"/>
  <c r="AZ59" i="45"/>
  <c r="AZ104" i="45"/>
  <c r="V145" i="48"/>
  <c r="V150" i="48" s="1"/>
  <c r="V149" i="48"/>
  <c r="V148" i="48"/>
  <c r="V153" i="48" s="1"/>
  <c r="V147" i="48"/>
  <c r="V152" i="48" s="1"/>
  <c r="V146" i="48"/>
  <c r="V151" i="48" s="1"/>
  <c r="AF50" i="12"/>
  <c r="AE52" i="12"/>
  <c r="AE51" i="12"/>
  <c r="AE54" i="12"/>
  <c r="V21" i="45"/>
  <c r="AB55" i="51" l="1"/>
  <c r="AA36" i="53"/>
  <c r="AF42" i="53" s="1"/>
  <c r="P331" i="46"/>
  <c r="AC57" i="12"/>
  <c r="AY86" i="45"/>
  <c r="Y44" i="45"/>
  <c r="AW91" i="45"/>
  <c r="AW117" i="45"/>
  <c r="Q117" i="45"/>
  <c r="AY85" i="45"/>
  <c r="Q114" i="45"/>
  <c r="O346" i="48"/>
  <c r="O347" i="48" s="1"/>
  <c r="P326" i="46"/>
  <c r="P325" i="46"/>
  <c r="AF132" i="19"/>
  <c r="N348" i="46"/>
  <c r="N353" i="46" s="1"/>
  <c r="N354" i="46" s="1"/>
  <c r="AF56" i="51"/>
  <c r="Y243" i="48"/>
  <c r="Y245" i="48" s="1"/>
  <c r="Y250" i="48" s="1"/>
  <c r="Y244" i="46"/>
  <c r="Y249" i="46" s="1"/>
  <c r="Y245" i="46"/>
  <c r="Y250" i="46" s="1"/>
  <c r="Y42" i="45"/>
  <c r="Y246" i="46"/>
  <c r="Y251" i="46" s="1"/>
  <c r="Y247" i="46"/>
  <c r="Y252" i="46" s="1"/>
  <c r="Y95" i="45"/>
  <c r="Y43" i="45"/>
  <c r="U70" i="45"/>
  <c r="BE96" i="45"/>
  <c r="BH35" i="51"/>
  <c r="AZ86" i="45"/>
  <c r="BD99" i="45"/>
  <c r="BA68" i="45"/>
  <c r="BE83" i="45"/>
  <c r="AW109" i="45"/>
  <c r="Q116" i="45"/>
  <c r="AF113" i="12"/>
  <c r="AE174" i="20"/>
  <c r="AE136" i="19" s="1"/>
  <c r="AE175" i="20"/>
  <c r="AE137" i="19" s="1"/>
  <c r="AE176" i="20"/>
  <c r="AE138" i="19" s="1"/>
  <c r="AE177" i="20"/>
  <c r="AE139" i="19" s="1"/>
  <c r="AE178" i="20"/>
  <c r="AE140" i="19" s="1"/>
  <c r="AE135" i="19"/>
  <c r="AF113" i="14" s="1"/>
  <c r="BJ56" i="51"/>
  <c r="AZ84" i="45"/>
  <c r="K122" i="45"/>
  <c r="AA59" i="12"/>
  <c r="BD105" i="45"/>
  <c r="BD108" i="45"/>
  <c r="AZ70" i="45"/>
  <c r="W35" i="48"/>
  <c r="AF130" i="19"/>
  <c r="AF131" i="19"/>
  <c r="AC35" i="51"/>
  <c r="AC61" i="14"/>
  <c r="AC60" i="14"/>
  <c r="AC56" i="14"/>
  <c r="AB39" i="19"/>
  <c r="AG45" i="19" s="1"/>
  <c r="AC112" i="14"/>
  <c r="AW113" i="45"/>
  <c r="AW100" i="45"/>
  <c r="Q118" i="45"/>
  <c r="BD98" i="45"/>
  <c r="AE181" i="20"/>
  <c r="AE143" i="19" s="1"/>
  <c r="AE180" i="20"/>
  <c r="AE142" i="19" s="1"/>
  <c r="AE182" i="20"/>
  <c r="AE144" i="19" s="1"/>
  <c r="AE141" i="19"/>
  <c r="AF125" i="14" s="1"/>
  <c r="AE184" i="20"/>
  <c r="AE146" i="19" s="1"/>
  <c r="AE183" i="20"/>
  <c r="AE145" i="19" s="1"/>
  <c r="BD107" i="45"/>
  <c r="BK56" i="51"/>
  <c r="U58" i="45"/>
  <c r="AF129" i="19"/>
  <c r="AF128" i="19" s="1"/>
  <c r="P335" i="46"/>
  <c r="P334" i="46"/>
  <c r="P336" i="46"/>
  <c r="P339" i="46"/>
  <c r="P338" i="46"/>
  <c r="P337" i="46"/>
  <c r="AY84" i="45"/>
  <c r="U26" i="45"/>
  <c r="U82" i="45"/>
  <c r="T34" i="46"/>
  <c r="U25" i="45"/>
  <c r="U24" i="45"/>
  <c r="T72" i="45"/>
  <c r="AD55" i="12"/>
  <c r="Z36" i="54"/>
  <c r="AE42" i="54" s="1"/>
  <c r="AE138" i="54" s="1"/>
  <c r="AE139" i="54" s="1"/>
  <c r="AY72" i="45"/>
  <c r="BL69" i="51"/>
  <c r="AB57" i="12"/>
  <c r="AW114" i="45"/>
  <c r="AW78" i="45"/>
  <c r="AE190" i="20"/>
  <c r="AE152" i="19" s="1"/>
  <c r="AE189" i="20"/>
  <c r="AE151" i="19" s="1"/>
  <c r="AE188" i="20"/>
  <c r="AE150" i="19" s="1"/>
  <c r="AE187" i="20"/>
  <c r="AE149" i="19" s="1"/>
  <c r="AE186" i="20"/>
  <c r="AE148" i="19" s="1"/>
  <c r="AE147" i="19"/>
  <c r="AF137" i="14" s="1"/>
  <c r="AF137" i="12"/>
  <c r="AZ85" i="45"/>
  <c r="AY87" i="45"/>
  <c r="BD69" i="45"/>
  <c r="Y69" i="45"/>
  <c r="AD55" i="14"/>
  <c r="T71" i="45"/>
  <c r="AZ75" i="45"/>
  <c r="BG55" i="51"/>
  <c r="Q115" i="45"/>
  <c r="AW116" i="45"/>
  <c r="AZ87" i="45"/>
  <c r="AW118" i="45"/>
  <c r="AY73" i="45"/>
  <c r="AG125" i="12"/>
  <c r="AF185" i="20"/>
  <c r="AF173" i="20"/>
  <c r="AF179" i="20"/>
  <c r="AF133" i="19"/>
  <c r="M122" i="45"/>
  <c r="BF96" i="45"/>
  <c r="AY71" i="45"/>
  <c r="P318" i="48"/>
  <c r="P319" i="48" s="1"/>
  <c r="P341" i="48"/>
  <c r="P342" i="48" s="1"/>
  <c r="AB58" i="12"/>
  <c r="S33" i="48"/>
  <c r="S39" i="48" s="1"/>
  <c r="S44" i="48" s="1"/>
  <c r="S271" i="48" s="1"/>
  <c r="BD42" i="45"/>
  <c r="BD95" i="45"/>
  <c r="BD43" i="45"/>
  <c r="U59" i="45"/>
  <c r="T37" i="46"/>
  <c r="Y43" i="46" s="1"/>
  <c r="Y260" i="46" s="1"/>
  <c r="U104" i="45"/>
  <c r="BA34" i="45"/>
  <c r="V68" i="45"/>
  <c r="BE41" i="45"/>
  <c r="I371" i="46"/>
  <c r="J126" i="45" s="1"/>
  <c r="BI33" i="51"/>
  <c r="AD33" i="51"/>
  <c r="U60" i="45"/>
  <c r="BD18" i="45"/>
  <c r="Z63" i="53"/>
  <c r="Z63" i="46"/>
  <c r="BA57" i="45"/>
  <c r="BB30" i="45"/>
  <c r="Z63" i="48"/>
  <c r="BB21" i="45"/>
  <c r="N332" i="48"/>
  <c r="N331" i="48"/>
  <c r="BB33" i="45"/>
  <c r="Z41" i="45"/>
  <c r="W30" i="45"/>
  <c r="W33" i="45"/>
  <c r="V57" i="45"/>
  <c r="Y139" i="46"/>
  <c r="Y202" i="48"/>
  <c r="N326" i="48"/>
  <c r="N325" i="48"/>
  <c r="W177" i="48"/>
  <c r="W182" i="48" s="1"/>
  <c r="W176" i="48"/>
  <c r="W181" i="48" s="1"/>
  <c r="W175" i="48"/>
  <c r="W180" i="48" s="1"/>
  <c r="W179" i="48"/>
  <c r="W178" i="48"/>
  <c r="W183" i="48" s="1"/>
  <c r="V67" i="45"/>
  <c r="V23" i="45"/>
  <c r="Z63" i="54"/>
  <c r="W209" i="48"/>
  <c r="W214" i="48" s="1"/>
  <c r="W208" i="48"/>
  <c r="W213" i="48" s="1"/>
  <c r="W207" i="48"/>
  <c r="W212" i="48" s="1"/>
  <c r="W211" i="48"/>
  <c r="W210" i="48"/>
  <c r="W215" i="48" s="1"/>
  <c r="R316" i="46"/>
  <c r="AX106" i="45"/>
  <c r="R109" i="45"/>
  <c r="M119" i="45"/>
  <c r="L365" i="46"/>
  <c r="L370" i="46"/>
  <c r="AB20" i="48"/>
  <c r="AA26" i="48"/>
  <c r="AA41" i="48" s="1"/>
  <c r="V34" i="45"/>
  <c r="W217" i="48"/>
  <c r="W222" i="48" s="1"/>
  <c r="W221" i="48"/>
  <c r="W220" i="48"/>
  <c r="W225" i="48" s="1"/>
  <c r="W219" i="48"/>
  <c r="W224" i="48" s="1"/>
  <c r="W218" i="48"/>
  <c r="W223" i="48" s="1"/>
  <c r="I125" i="45"/>
  <c r="H371" i="46"/>
  <c r="I126" i="45" s="1"/>
  <c r="AC59" i="12"/>
  <c r="Y94" i="48"/>
  <c r="Y93" i="48"/>
  <c r="Y98" i="48" s="1"/>
  <c r="Y92" i="48"/>
  <c r="Y97" i="48" s="1"/>
  <c r="Y91" i="48"/>
  <c r="Y90" i="48"/>
  <c r="Y95" i="48" s="1"/>
  <c r="N349" i="46"/>
  <c r="BC28" i="45"/>
  <c r="BC32" i="45"/>
  <c r="BC35" i="45"/>
  <c r="BC29" i="45"/>
  <c r="BC31" i="45"/>
  <c r="BC37" i="45"/>
  <c r="BC36" i="45"/>
  <c r="BC54" i="45"/>
  <c r="AA25" i="46"/>
  <c r="AA40" i="46" s="1"/>
  <c r="AB19" i="46"/>
  <c r="Q317" i="46"/>
  <c r="Q320" i="46"/>
  <c r="AX76" i="45"/>
  <c r="R78" i="45"/>
  <c r="W159" i="48"/>
  <c r="W158" i="48"/>
  <c r="W163" i="48" s="1"/>
  <c r="W157" i="48"/>
  <c r="W162" i="48" s="1"/>
  <c r="W156" i="48"/>
  <c r="W161" i="48" s="1"/>
  <c r="W155" i="48"/>
  <c r="W160" i="48" s="1"/>
  <c r="AA26" i="46"/>
  <c r="AA41" i="46" s="1"/>
  <c r="AB20" i="46"/>
  <c r="Y29" i="48"/>
  <c r="AX111" i="45"/>
  <c r="R112" i="45"/>
  <c r="AX112" i="45"/>
  <c r="R111" i="45"/>
  <c r="AX110" i="45"/>
  <c r="R110" i="45"/>
  <c r="Q318" i="46"/>
  <c r="Q319" i="46" s="1"/>
  <c r="Q341" i="46"/>
  <c r="Q342" i="46" s="1"/>
  <c r="AE34" i="51"/>
  <c r="AF30" i="51"/>
  <c r="AE32" i="51"/>
  <c r="AE31" i="51"/>
  <c r="BK30" i="51"/>
  <c r="AB21" i="48"/>
  <c r="AA27" i="48"/>
  <c r="AA42" i="48" s="1"/>
  <c r="X208" i="46"/>
  <c r="X213" i="46" s="1"/>
  <c r="X207" i="46"/>
  <c r="X212" i="46" s="1"/>
  <c r="X211" i="46"/>
  <c r="Y89" i="45" s="1"/>
  <c r="X210" i="46"/>
  <c r="X215" i="46" s="1"/>
  <c r="X209" i="46"/>
  <c r="X214" i="46" s="1"/>
  <c r="X206" i="48"/>
  <c r="Y144" i="46"/>
  <c r="AC39" i="20"/>
  <c r="AD60" i="12"/>
  <c r="AD56" i="12"/>
  <c r="AD61" i="12"/>
  <c r="AD112" i="12"/>
  <c r="W167" i="48"/>
  <c r="W172" i="48" s="1"/>
  <c r="W166" i="48"/>
  <c r="W171" i="48" s="1"/>
  <c r="W165" i="48"/>
  <c r="W170" i="48" s="1"/>
  <c r="W169" i="48"/>
  <c r="W168" i="48"/>
  <c r="W173" i="48" s="1"/>
  <c r="AF54" i="12"/>
  <c r="AG50" i="12"/>
  <c r="AF52" i="12"/>
  <c r="AF51" i="12"/>
  <c r="AZ72" i="45"/>
  <c r="Q84" i="48"/>
  <c r="Q83" i="48"/>
  <c r="Q88" i="48" s="1"/>
  <c r="Q82" i="48"/>
  <c r="Q87" i="48" s="1"/>
  <c r="Q81" i="48"/>
  <c r="Q86" i="48" s="1"/>
  <c r="Q80" i="48"/>
  <c r="Q85" i="48" s="1"/>
  <c r="AZ73" i="45"/>
  <c r="AA18" i="48"/>
  <c r="Z24" i="48"/>
  <c r="X179" i="46"/>
  <c r="Y107" i="45" s="1"/>
  <c r="X178" i="46"/>
  <c r="X183" i="46" s="1"/>
  <c r="X177" i="46"/>
  <c r="X182" i="46" s="1"/>
  <c r="X176" i="46"/>
  <c r="X181" i="46" s="1"/>
  <c r="X175" i="46"/>
  <c r="X180" i="46" s="1"/>
  <c r="X174" i="48"/>
  <c r="BC20" i="45"/>
  <c r="BC19" i="45"/>
  <c r="AA241" i="48"/>
  <c r="AB240" i="48"/>
  <c r="Q111" i="48"/>
  <c r="Q116" i="48" s="1"/>
  <c r="Q114" i="48"/>
  <c r="Q113" i="48"/>
  <c r="Q118" i="48" s="1"/>
  <c r="Q110" i="48"/>
  <c r="Q115" i="48" s="1"/>
  <c r="Q112" i="48"/>
  <c r="Q117" i="48" s="1"/>
  <c r="Q274" i="48"/>
  <c r="AE53" i="14"/>
  <c r="Y216" i="46"/>
  <c r="Y206" i="46"/>
  <c r="Y202" i="46"/>
  <c r="Y226" i="46"/>
  <c r="AB60" i="53"/>
  <c r="AA67" i="53"/>
  <c r="AA66" i="53"/>
  <c r="AA73" i="53" s="1"/>
  <c r="AA74" i="53" s="1"/>
  <c r="AA65" i="53"/>
  <c r="AA64" i="53"/>
  <c r="AA62" i="53"/>
  <c r="AA61" i="53"/>
  <c r="Y204" i="48"/>
  <c r="Y203" i="48"/>
  <c r="AO124" i="45"/>
  <c r="AO123" i="45"/>
  <c r="AO121" i="45"/>
  <c r="X221" i="46"/>
  <c r="Y99" i="45" s="1"/>
  <c r="X220" i="46"/>
  <c r="X225" i="46" s="1"/>
  <c r="X219" i="46"/>
  <c r="X224" i="46" s="1"/>
  <c r="X218" i="46"/>
  <c r="X223" i="46" s="1"/>
  <c r="X217" i="46"/>
  <c r="X222" i="46" s="1"/>
  <c r="X216" i="48"/>
  <c r="P320" i="48"/>
  <c r="P317" i="48"/>
  <c r="AB38" i="45"/>
  <c r="AA40" i="45"/>
  <c r="AA39" i="45"/>
  <c r="BG38" i="45"/>
  <c r="AC39" i="19"/>
  <c r="AD61" i="14"/>
  <c r="X265" i="46"/>
  <c r="Y105" i="45" s="1"/>
  <c r="X264" i="46"/>
  <c r="X269" i="46" s="1"/>
  <c r="X263" i="46"/>
  <c r="X268" i="46" s="1"/>
  <c r="X262" i="46"/>
  <c r="X267" i="46" s="1"/>
  <c r="X261" i="46"/>
  <c r="X266" i="46" s="1"/>
  <c r="X260" i="48"/>
  <c r="AB19" i="48"/>
  <c r="AA25" i="48"/>
  <c r="AA40" i="48" s="1"/>
  <c r="Z24" i="46"/>
  <c r="AA18" i="46"/>
  <c r="S44" i="46"/>
  <c r="S271" i="46" s="1"/>
  <c r="S79" i="46"/>
  <c r="S69" i="46"/>
  <c r="S99" i="46"/>
  <c r="S109" i="46"/>
  <c r="AE53" i="12"/>
  <c r="AZ71" i="45"/>
  <c r="AG187" i="20"/>
  <c r="AG149" i="19" s="1"/>
  <c r="AG186" i="20"/>
  <c r="AG148" i="19" s="1"/>
  <c r="AG190" i="20"/>
  <c r="AG152" i="19" s="1"/>
  <c r="AG189" i="20"/>
  <c r="AG151" i="19" s="1"/>
  <c r="AG188" i="20"/>
  <c r="AG150" i="19" s="1"/>
  <c r="AG147" i="19"/>
  <c r="AH137" i="14" s="1"/>
  <c r="AH137" i="12"/>
  <c r="X165" i="46"/>
  <c r="X170" i="46" s="1"/>
  <c r="X169" i="46"/>
  <c r="Y77" i="45" s="1"/>
  <c r="X168" i="46"/>
  <c r="X173" i="46" s="1"/>
  <c r="X167" i="46"/>
  <c r="X172" i="46" s="1"/>
  <c r="X166" i="46"/>
  <c r="X171" i="46" s="1"/>
  <c r="X164" i="48"/>
  <c r="X31" i="48"/>
  <c r="X306" i="48"/>
  <c r="R103" i="45"/>
  <c r="AX101" i="45"/>
  <c r="R102" i="45"/>
  <c r="R101" i="45"/>
  <c r="AX102" i="45"/>
  <c r="AX103" i="45"/>
  <c r="M347" i="46"/>
  <c r="M348" i="46"/>
  <c r="Y204" i="46"/>
  <c r="Y203" i="46"/>
  <c r="Z138" i="48"/>
  <c r="Z137" i="48"/>
  <c r="AA136" i="48"/>
  <c r="Z201" i="48"/>
  <c r="Z200" i="48"/>
  <c r="I123" i="45"/>
  <c r="I121" i="45"/>
  <c r="I124" i="45"/>
  <c r="BF39" i="45"/>
  <c r="BF40" i="45"/>
  <c r="Y29" i="46"/>
  <c r="O330" i="48"/>
  <c r="O329" i="48"/>
  <c r="O333" i="48" s="1"/>
  <c r="AA153" i="53"/>
  <c r="Z154" i="53"/>
  <c r="Q70" i="48"/>
  <c r="Q75" i="48" s="1"/>
  <c r="Q74" i="48"/>
  <c r="Q73" i="48"/>
  <c r="Q78" i="48" s="1"/>
  <c r="Q72" i="48"/>
  <c r="Q77" i="48" s="1"/>
  <c r="Q71" i="48"/>
  <c r="Q76" i="48" s="1"/>
  <c r="X31" i="46"/>
  <c r="X306" i="46"/>
  <c r="CK4" i="55"/>
  <c r="AB59" i="14"/>
  <c r="AG184" i="20"/>
  <c r="AG146" i="19" s="1"/>
  <c r="AG183" i="20"/>
  <c r="AG145" i="19" s="1"/>
  <c r="AG182" i="20"/>
  <c r="AG144" i="19" s="1"/>
  <c r="AG181" i="20"/>
  <c r="AG143" i="19" s="1"/>
  <c r="AG180" i="20"/>
  <c r="AG142" i="19" s="1"/>
  <c r="AG141" i="19"/>
  <c r="AH125" i="14" s="1"/>
  <c r="BD89" i="45"/>
  <c r="R114" i="46"/>
  <c r="S97" i="45" s="1"/>
  <c r="R113" i="46"/>
  <c r="R118" i="46" s="1"/>
  <c r="R112" i="46"/>
  <c r="R117" i="46" s="1"/>
  <c r="R111" i="46"/>
  <c r="R116" i="46" s="1"/>
  <c r="R110" i="46"/>
  <c r="R115" i="46" s="1"/>
  <c r="R109" i="48"/>
  <c r="R274" i="46"/>
  <c r="X159" i="46"/>
  <c r="Y98" i="45" s="1"/>
  <c r="X158" i="46"/>
  <c r="X163" i="46" s="1"/>
  <c r="X157" i="46"/>
  <c r="X162" i="46" s="1"/>
  <c r="X156" i="46"/>
  <c r="X161" i="46" s="1"/>
  <c r="X155" i="46"/>
  <c r="X160" i="46" s="1"/>
  <c r="X154" i="48"/>
  <c r="L353" i="48"/>
  <c r="L354" i="48" s="1"/>
  <c r="BE17" i="45"/>
  <c r="AF51" i="14"/>
  <c r="AF54" i="14"/>
  <c r="AG50" i="14"/>
  <c r="AF52" i="14"/>
  <c r="J354" i="48"/>
  <c r="J363" i="48" s="1"/>
  <c r="AQ120" i="45" s="1"/>
  <c r="Z138" i="46"/>
  <c r="Z137" i="46"/>
  <c r="AA136" i="46"/>
  <c r="Z200" i="46"/>
  <c r="Z201" i="46"/>
  <c r="Y139" i="48"/>
  <c r="BB55" i="45"/>
  <c r="BB56" i="45"/>
  <c r="P315" i="48"/>
  <c r="P314" i="48"/>
  <c r="P313" i="48"/>
  <c r="P312" i="48"/>
  <c r="P311" i="48"/>
  <c r="P310" i="48"/>
  <c r="AA62" i="48"/>
  <c r="AA61" i="48"/>
  <c r="AB60" i="48"/>
  <c r="AA67" i="48"/>
  <c r="AA66" i="48"/>
  <c r="AA65" i="48"/>
  <c r="AA64" i="48"/>
  <c r="Z258" i="46"/>
  <c r="AA257" i="46"/>
  <c r="K119" i="45"/>
  <c r="J365" i="46"/>
  <c r="J370" i="46"/>
  <c r="X147" i="48"/>
  <c r="X152" i="48" s="1"/>
  <c r="X146" i="48"/>
  <c r="X151" i="48" s="1"/>
  <c r="X145" i="48"/>
  <c r="X150" i="48" s="1"/>
  <c r="X149" i="48"/>
  <c r="X148" i="48"/>
  <c r="X153" i="48" s="1"/>
  <c r="BA67" i="45"/>
  <c r="BA23" i="45"/>
  <c r="M343" i="48"/>
  <c r="M344" i="48" s="1"/>
  <c r="M345" i="48"/>
  <c r="O349" i="48"/>
  <c r="R80" i="45"/>
  <c r="R81" i="45"/>
  <c r="R79" i="45"/>
  <c r="AX81" i="45"/>
  <c r="AX80" i="45"/>
  <c r="AX79" i="45"/>
  <c r="AX94" i="45"/>
  <c r="R94" i="45"/>
  <c r="AX93" i="45"/>
  <c r="R93" i="45"/>
  <c r="AG174" i="20"/>
  <c r="AG175" i="20"/>
  <c r="AG176" i="20"/>
  <c r="AG178" i="20"/>
  <c r="AH173" i="20"/>
  <c r="AG135" i="19"/>
  <c r="AH113" i="14" s="1"/>
  <c r="R103" i="46"/>
  <c r="R108" i="46" s="1"/>
  <c r="R102" i="46"/>
  <c r="R107" i="46" s="1"/>
  <c r="R101" i="46"/>
  <c r="R106" i="46" s="1"/>
  <c r="R100" i="46"/>
  <c r="R105" i="46" s="1"/>
  <c r="R104" i="46"/>
  <c r="S106" i="45" s="1"/>
  <c r="R99" i="48"/>
  <c r="AN125" i="45"/>
  <c r="G371" i="48"/>
  <c r="AN126" i="45" s="1"/>
  <c r="BJ32" i="51"/>
  <c r="BJ31" i="51"/>
  <c r="BJ34" i="51"/>
  <c r="Z90" i="46"/>
  <c r="Z95" i="46" s="1"/>
  <c r="Z94" i="46"/>
  <c r="Z93" i="46"/>
  <c r="Z98" i="46" s="1"/>
  <c r="Z92" i="46"/>
  <c r="Z97" i="46" s="1"/>
  <c r="Z91" i="46"/>
  <c r="Z89" i="48"/>
  <c r="Y247" i="48"/>
  <c r="Y252" i="48" s="1"/>
  <c r="Y246" i="48"/>
  <c r="Y251" i="48" s="1"/>
  <c r="Y244" i="48"/>
  <c r="Y249" i="48" s="1"/>
  <c r="Q316" i="48"/>
  <c r="Y142" i="48"/>
  <c r="Y141" i="48"/>
  <c r="Y140" i="48"/>
  <c r="X248" i="48"/>
  <c r="X247" i="48"/>
  <c r="X252" i="48" s="1"/>
  <c r="X246" i="48"/>
  <c r="X251" i="48" s="1"/>
  <c r="X245" i="48"/>
  <c r="X250" i="48" s="1"/>
  <c r="X244" i="48"/>
  <c r="X249" i="48" s="1"/>
  <c r="Q308" i="48"/>
  <c r="Q309" i="48" s="1"/>
  <c r="R275" i="48"/>
  <c r="AB22" i="46"/>
  <c r="AA28" i="46"/>
  <c r="O353" i="46"/>
  <c r="O354" i="46" s="1"/>
  <c r="AA28" i="48"/>
  <c r="AB22" i="48"/>
  <c r="AA257" i="48"/>
  <c r="Z258" i="48"/>
  <c r="M328" i="48"/>
  <c r="M327" i="48"/>
  <c r="K363" i="46"/>
  <c r="L120" i="45" s="1"/>
  <c r="K361" i="46"/>
  <c r="R316" i="48"/>
  <c r="AX90" i="45"/>
  <c r="R91" i="45"/>
  <c r="R80" i="46"/>
  <c r="R85" i="46" s="1"/>
  <c r="R81" i="46"/>
  <c r="R86" i="46" s="1"/>
  <c r="R84" i="46"/>
  <c r="S90" i="45" s="1"/>
  <c r="R82" i="46"/>
  <c r="R87" i="46" s="1"/>
  <c r="R83" i="46"/>
  <c r="R88" i="46" s="1"/>
  <c r="R79" i="48"/>
  <c r="AA241" i="46"/>
  <c r="AB240" i="46"/>
  <c r="Y18" i="45"/>
  <c r="W262" i="48"/>
  <c r="W267" i="48" s="1"/>
  <c r="W261" i="48"/>
  <c r="W266" i="48" s="1"/>
  <c r="W265" i="48"/>
  <c r="W263" i="48"/>
  <c r="W268" i="48" s="1"/>
  <c r="W264" i="48"/>
  <c r="W269" i="48" s="1"/>
  <c r="Y140" i="46"/>
  <c r="Y154" i="46" s="1"/>
  <c r="Y141" i="46"/>
  <c r="Y164" i="46" s="1"/>
  <c r="Y142" i="46"/>
  <c r="Y174" i="46" s="1"/>
  <c r="W227" i="48"/>
  <c r="W232" i="48" s="1"/>
  <c r="W228" i="48"/>
  <c r="W233" i="48" s="1"/>
  <c r="W231" i="48"/>
  <c r="W229" i="48"/>
  <c r="W234" i="48" s="1"/>
  <c r="W230" i="48"/>
  <c r="W235" i="48" s="1"/>
  <c r="AB21" i="46"/>
  <c r="AA27" i="46"/>
  <c r="AA42" i="46" s="1"/>
  <c r="R308" i="46"/>
  <c r="R309" i="46" s="1"/>
  <c r="S275" i="46"/>
  <c r="W21" i="45"/>
  <c r="BD77" i="45"/>
  <c r="M330" i="46"/>
  <c r="M329" i="46"/>
  <c r="M333" i="46" s="1"/>
  <c r="AB60" i="54"/>
  <c r="AA67" i="54"/>
  <c r="AA66" i="54"/>
  <c r="AA73" i="54" s="1"/>
  <c r="AA74" i="54" s="1"/>
  <c r="AA65" i="54"/>
  <c r="AA64" i="54"/>
  <c r="AA62" i="54"/>
  <c r="AA61" i="54"/>
  <c r="T33" i="46"/>
  <c r="T39" i="46" s="1"/>
  <c r="U75" i="45"/>
  <c r="R70" i="46"/>
  <c r="R75" i="46" s="1"/>
  <c r="R74" i="46"/>
  <c r="S76" i="45" s="1"/>
  <c r="R73" i="46"/>
  <c r="R78" i="46" s="1"/>
  <c r="R72" i="46"/>
  <c r="R77" i="46" s="1"/>
  <c r="R71" i="46"/>
  <c r="R76" i="46" s="1"/>
  <c r="R69" i="48"/>
  <c r="Q103" i="48"/>
  <c r="Q108" i="48" s="1"/>
  <c r="Q102" i="48"/>
  <c r="Q107" i="48" s="1"/>
  <c r="Q101" i="48"/>
  <c r="Q106" i="48" s="1"/>
  <c r="Q100" i="48"/>
  <c r="Q105" i="48" s="1"/>
  <c r="Q104" i="48"/>
  <c r="Z243" i="46"/>
  <c r="AX97" i="45"/>
  <c r="R100" i="45"/>
  <c r="R113" i="45"/>
  <c r="AA62" i="46"/>
  <c r="AA61" i="46"/>
  <c r="AB60" i="46"/>
  <c r="AA67" i="46"/>
  <c r="AA66" i="46"/>
  <c r="AA89" i="46" s="1"/>
  <c r="AA65" i="46"/>
  <c r="AA64" i="46"/>
  <c r="AA16" i="45"/>
  <c r="Z17" i="45"/>
  <c r="BF16" i="45"/>
  <c r="AO125" i="45"/>
  <c r="H371" i="48"/>
  <c r="AO126" i="45" s="1"/>
  <c r="X227" i="46"/>
  <c r="X232" i="46" s="1"/>
  <c r="X231" i="46"/>
  <c r="Y108" i="45" s="1"/>
  <c r="X230" i="46"/>
  <c r="X235" i="46" s="1"/>
  <c r="X229" i="46"/>
  <c r="X234" i="46" s="1"/>
  <c r="X228" i="46"/>
  <c r="X233" i="46" s="1"/>
  <c r="X226" i="48"/>
  <c r="N330" i="46"/>
  <c r="N329" i="46"/>
  <c r="N333" i="46" s="1"/>
  <c r="W56" i="45"/>
  <c r="W55" i="45"/>
  <c r="Y27" i="45"/>
  <c r="X28" i="45"/>
  <c r="BD27" i="45"/>
  <c r="X36" i="45"/>
  <c r="X35" i="45"/>
  <c r="X32" i="45"/>
  <c r="X37" i="45"/>
  <c r="X29" i="45"/>
  <c r="X31" i="45"/>
  <c r="X54" i="45"/>
  <c r="K363" i="48"/>
  <c r="AR120" i="45" s="1"/>
  <c r="K361" i="48"/>
  <c r="Q310" i="46"/>
  <c r="Q315" i="46"/>
  <c r="Q314" i="46"/>
  <c r="Q313" i="46"/>
  <c r="Q312" i="46"/>
  <c r="Q311" i="46"/>
  <c r="M349" i="46"/>
  <c r="X20" i="45"/>
  <c r="X19" i="45"/>
  <c r="Z154" i="54"/>
  <c r="AA153" i="54"/>
  <c r="O354" i="48"/>
  <c r="O363" i="48" s="1"/>
  <c r="AV120" i="45" s="1"/>
  <c r="BL56" i="51" l="1"/>
  <c r="AF138" i="53"/>
  <c r="AF139" i="53" s="1"/>
  <c r="AG69" i="51" s="1"/>
  <c r="AF136" i="53"/>
  <c r="AF137" i="53" s="1"/>
  <c r="AG63" i="51" s="1"/>
  <c r="AF134" i="53"/>
  <c r="AE134" i="54"/>
  <c r="AE135" i="54" s="1"/>
  <c r="AE136" i="54"/>
  <c r="AE137" i="54" s="1"/>
  <c r="BD20" i="45"/>
  <c r="P343" i="46"/>
  <c r="P344" i="46" s="1"/>
  <c r="P345" i="46"/>
  <c r="P348" i="46" s="1"/>
  <c r="R117" i="45"/>
  <c r="BH55" i="51"/>
  <c r="AX117" i="45"/>
  <c r="Y248" i="48"/>
  <c r="BD19" i="45"/>
  <c r="P328" i="46"/>
  <c r="P327" i="46"/>
  <c r="AA36" i="54"/>
  <c r="AF42" i="54" s="1"/>
  <c r="AF138" i="54" s="1"/>
  <c r="AF139" i="54" s="1"/>
  <c r="AG137" i="12"/>
  <c r="AF186" i="20"/>
  <c r="AF148" i="19" s="1"/>
  <c r="AF187" i="20"/>
  <c r="AF149" i="19" s="1"/>
  <c r="AF190" i="20"/>
  <c r="AF152" i="19" s="1"/>
  <c r="AF189" i="20"/>
  <c r="AF151" i="19" s="1"/>
  <c r="AF188" i="20"/>
  <c r="AF150" i="19" s="1"/>
  <c r="AF147" i="19"/>
  <c r="AG137" i="14" s="1"/>
  <c r="Z69" i="45"/>
  <c r="BE69" i="45"/>
  <c r="T37" i="48"/>
  <c r="Y43" i="48" s="1"/>
  <c r="X35" i="48"/>
  <c r="U84" i="45"/>
  <c r="L122" i="45"/>
  <c r="BE98" i="45"/>
  <c r="U71" i="45"/>
  <c r="AV122" i="45"/>
  <c r="BE108" i="45"/>
  <c r="AF136" i="54"/>
  <c r="AF137" i="54" s="1"/>
  <c r="R114" i="45"/>
  <c r="BA70" i="45"/>
  <c r="BE105" i="45"/>
  <c r="Y35" i="46"/>
  <c r="U87" i="45"/>
  <c r="AG133" i="19"/>
  <c r="AG132" i="19"/>
  <c r="AG131" i="19"/>
  <c r="AG130" i="19"/>
  <c r="AG129" i="19"/>
  <c r="AG128" i="19" s="1"/>
  <c r="BI35" i="51"/>
  <c r="AX91" i="45"/>
  <c r="AE55" i="12"/>
  <c r="T33" i="48"/>
  <c r="T39" i="48" s="1"/>
  <c r="T44" i="48" s="1"/>
  <c r="T271" i="48" s="1"/>
  <c r="U37" i="46"/>
  <c r="Z43" i="46" s="1"/>
  <c r="Z260" i="46" s="1"/>
  <c r="Z263" i="46" s="1"/>
  <c r="Z268" i="46" s="1"/>
  <c r="AQ122" i="45"/>
  <c r="AD112" i="14"/>
  <c r="AX109" i="45"/>
  <c r="AC58" i="14"/>
  <c r="AD56" i="14"/>
  <c r="BE99" i="45"/>
  <c r="V70" i="45"/>
  <c r="U73" i="45"/>
  <c r="AC55" i="51"/>
  <c r="AF184" i="20"/>
  <c r="AF146" i="19" s="1"/>
  <c r="AF183" i="20"/>
  <c r="AF145" i="19" s="1"/>
  <c r="AF182" i="20"/>
  <c r="AF144" i="19" s="1"/>
  <c r="AF181" i="20"/>
  <c r="AF143" i="19" s="1"/>
  <c r="AF180" i="20"/>
  <c r="AF142" i="19" s="1"/>
  <c r="AF141" i="19"/>
  <c r="AG125" i="14" s="1"/>
  <c r="AB59" i="12"/>
  <c r="AC57" i="14"/>
  <c r="AR122" i="45"/>
  <c r="U86" i="45"/>
  <c r="AD60" i="14"/>
  <c r="AE55" i="14"/>
  <c r="BE107" i="45"/>
  <c r="BB23" i="45"/>
  <c r="AD35" i="51"/>
  <c r="U72" i="45"/>
  <c r="AB36" i="53"/>
  <c r="AG42" i="53" s="1"/>
  <c r="AF176" i="20"/>
  <c r="AF138" i="19" s="1"/>
  <c r="AF175" i="20"/>
  <c r="AF137" i="19" s="1"/>
  <c r="AF177" i="20"/>
  <c r="AF139" i="19" s="1"/>
  <c r="AF178" i="20"/>
  <c r="AF140" i="19" s="1"/>
  <c r="AF135" i="19"/>
  <c r="AG113" i="14" s="1"/>
  <c r="AG113" i="12"/>
  <c r="AF174" i="20"/>
  <c r="AF136" i="19" s="1"/>
  <c r="U85" i="45"/>
  <c r="AW115" i="45"/>
  <c r="AX116" i="45"/>
  <c r="AA243" i="46"/>
  <c r="AA246" i="46" s="1"/>
  <c r="AA251" i="46" s="1"/>
  <c r="R116" i="45"/>
  <c r="S316" i="48"/>
  <c r="S320" i="48" s="1"/>
  <c r="BB34" i="45"/>
  <c r="BE95" i="45"/>
  <c r="BE43" i="45"/>
  <c r="BE44" i="45"/>
  <c r="BE42" i="45"/>
  <c r="W34" i="45"/>
  <c r="W57" i="45"/>
  <c r="BB68" i="45"/>
  <c r="W68" i="45"/>
  <c r="BB67" i="45"/>
  <c r="BA75" i="45"/>
  <c r="BA60" i="45"/>
  <c r="Y260" i="48"/>
  <c r="Y265" i="48" s="1"/>
  <c r="Y265" i="46"/>
  <c r="Z105" i="45" s="1"/>
  <c r="Y264" i="46"/>
  <c r="Y269" i="46" s="1"/>
  <c r="Y263" i="46"/>
  <c r="Y268" i="46" s="1"/>
  <c r="Y262" i="46"/>
  <c r="Y267" i="46" s="1"/>
  <c r="Y261" i="46"/>
  <c r="Y266" i="46" s="1"/>
  <c r="BA58" i="45"/>
  <c r="BA104" i="45"/>
  <c r="BA59" i="45"/>
  <c r="Z139" i="48"/>
  <c r="Z44" i="45"/>
  <c r="Z42" i="45"/>
  <c r="AE33" i="51"/>
  <c r="AA41" i="45"/>
  <c r="BB57" i="45"/>
  <c r="Z95" i="45"/>
  <c r="AX118" i="45"/>
  <c r="AF53" i="12"/>
  <c r="V104" i="45"/>
  <c r="X33" i="45"/>
  <c r="Z139" i="46"/>
  <c r="Z43" i="45"/>
  <c r="V58" i="45"/>
  <c r="AA63" i="53"/>
  <c r="AA63" i="48"/>
  <c r="Z18" i="45"/>
  <c r="BF41" i="45"/>
  <c r="O361" i="48"/>
  <c r="AV119" i="45" s="1"/>
  <c r="Z202" i="48"/>
  <c r="V59" i="45"/>
  <c r="N327" i="48"/>
  <c r="N328" i="48"/>
  <c r="N343" i="48"/>
  <c r="N344" i="48" s="1"/>
  <c r="N345" i="48"/>
  <c r="AA63" i="54"/>
  <c r="V60" i="45"/>
  <c r="BC33" i="45"/>
  <c r="Q339" i="46"/>
  <c r="Q338" i="46"/>
  <c r="Q337" i="46"/>
  <c r="Q336" i="46"/>
  <c r="Q335" i="46"/>
  <c r="Q334" i="46"/>
  <c r="X30" i="45"/>
  <c r="AC60" i="54"/>
  <c r="AB67" i="54"/>
  <c r="AB66" i="54"/>
  <c r="AB73" i="54" s="1"/>
  <c r="AB74" i="54" s="1"/>
  <c r="AB65" i="54"/>
  <c r="AB64" i="54"/>
  <c r="AB62" i="54"/>
  <c r="AB61" i="54"/>
  <c r="R311" i="46"/>
  <c r="R310" i="46"/>
  <c r="R315" i="46"/>
  <c r="R314" i="46"/>
  <c r="R313" i="46"/>
  <c r="R312" i="46"/>
  <c r="AY94" i="45"/>
  <c r="S94" i="45"/>
  <c r="AY93" i="45"/>
  <c r="S93" i="45"/>
  <c r="Q315" i="48"/>
  <c r="Q314" i="48"/>
  <c r="Q313" i="48"/>
  <c r="Q312" i="48"/>
  <c r="Q311" i="48"/>
  <c r="Q310" i="48"/>
  <c r="S111" i="45"/>
  <c r="S112" i="45"/>
  <c r="S110" i="45"/>
  <c r="AY111" i="45"/>
  <c r="AY112" i="45"/>
  <c r="AY110" i="45"/>
  <c r="AH175" i="20"/>
  <c r="AG137" i="19"/>
  <c r="AA258" i="46"/>
  <c r="AB257" i="46"/>
  <c r="AA138" i="46"/>
  <c r="AA137" i="46"/>
  <c r="AB136" i="46"/>
  <c r="AA200" i="46"/>
  <c r="AA201" i="46"/>
  <c r="AY97" i="45"/>
  <c r="S100" i="45"/>
  <c r="S113" i="45"/>
  <c r="AB18" i="46"/>
  <c r="AA24" i="46"/>
  <c r="BG39" i="45"/>
  <c r="BG40" i="45"/>
  <c r="X218" i="48"/>
  <c r="X223" i="48" s="1"/>
  <c r="X217" i="48"/>
  <c r="X222" i="48" s="1"/>
  <c r="X221" i="48"/>
  <c r="X220" i="48"/>
  <c r="X225" i="48" s="1"/>
  <c r="X219" i="48"/>
  <c r="X224" i="48" s="1"/>
  <c r="Y228" i="46"/>
  <c r="Y233" i="46" s="1"/>
  <c r="Y227" i="46"/>
  <c r="Y232" i="46" s="1"/>
  <c r="Y231" i="46"/>
  <c r="Z108" i="45" s="1"/>
  <c r="Y230" i="46"/>
  <c r="Y235" i="46" s="1"/>
  <c r="Y229" i="46"/>
  <c r="Y234" i="46" s="1"/>
  <c r="Y226" i="48"/>
  <c r="BC56" i="45"/>
  <c r="BC55" i="45"/>
  <c r="BC30" i="45"/>
  <c r="U34" i="46"/>
  <c r="V25" i="45"/>
  <c r="V24" i="45"/>
  <c r="V26" i="45"/>
  <c r="V82" i="45"/>
  <c r="Z27" i="45"/>
  <c r="Y28" i="45"/>
  <c r="BE27" i="45"/>
  <c r="Y29" i="45"/>
  <c r="Y31" i="45"/>
  <c r="Y36" i="45"/>
  <c r="Y35" i="45"/>
  <c r="Y32" i="45"/>
  <c r="Y37" i="45"/>
  <c r="Y54" i="45"/>
  <c r="Y179" i="46"/>
  <c r="Z107" i="45" s="1"/>
  <c r="Y178" i="46"/>
  <c r="Y183" i="46" s="1"/>
  <c r="Y177" i="46"/>
  <c r="Y182" i="46" s="1"/>
  <c r="Y176" i="46"/>
  <c r="Y181" i="46" s="1"/>
  <c r="Y175" i="46"/>
  <c r="Y180" i="46" s="1"/>
  <c r="Y174" i="48"/>
  <c r="AH174" i="20"/>
  <c r="AG136" i="19"/>
  <c r="BE18" i="45"/>
  <c r="J361" i="48"/>
  <c r="BD21" i="45"/>
  <c r="BE77" i="45"/>
  <c r="Z29" i="46"/>
  <c r="X263" i="48"/>
  <c r="X268" i="48" s="1"/>
  <c r="X262" i="48"/>
  <c r="X267" i="48" s="1"/>
  <c r="X261" i="48"/>
  <c r="X266" i="48" s="1"/>
  <c r="X264" i="48"/>
  <c r="X269" i="48" s="1"/>
  <c r="X265" i="48"/>
  <c r="AC60" i="53"/>
  <c r="AB67" i="53"/>
  <c r="AB66" i="53"/>
  <c r="AB73" i="53" s="1"/>
  <c r="AB74" i="53" s="1"/>
  <c r="AB65" i="53"/>
  <c r="AB64" i="53"/>
  <c r="AB61" i="53"/>
  <c r="AB62" i="53"/>
  <c r="Q318" i="48"/>
  <c r="Q319" i="48" s="1"/>
  <c r="Q341" i="48"/>
  <c r="Q342" i="48" s="1"/>
  <c r="Z29" i="48"/>
  <c r="X210" i="48"/>
  <c r="X215" i="48" s="1"/>
  <c r="X209" i="48"/>
  <c r="X214" i="48" s="1"/>
  <c r="X208" i="48"/>
  <c r="X213" i="48" s="1"/>
  <c r="X207" i="48"/>
  <c r="X212" i="48" s="1"/>
  <c r="X211" i="48"/>
  <c r="Y31" i="48"/>
  <c r="Y306" i="48"/>
  <c r="AX78" i="45"/>
  <c r="Q324" i="46"/>
  <c r="Q323" i="46"/>
  <c r="Q322" i="46"/>
  <c r="Q321" i="46"/>
  <c r="P353" i="46"/>
  <c r="R317" i="46"/>
  <c r="R320" i="46"/>
  <c r="W60" i="45"/>
  <c r="Y166" i="46"/>
  <c r="Y171" i="46" s="1"/>
  <c r="Y165" i="46"/>
  <c r="Y170" i="46" s="1"/>
  <c r="Y169" i="46"/>
  <c r="Z77" i="45" s="1"/>
  <c r="Y168" i="46"/>
  <c r="Y173" i="46" s="1"/>
  <c r="Y167" i="46"/>
  <c r="Y172" i="46" s="1"/>
  <c r="Y164" i="48"/>
  <c r="L119" i="45"/>
  <c r="K365" i="46"/>
  <c r="K370" i="46"/>
  <c r="Q320" i="48"/>
  <c r="Q317" i="48"/>
  <c r="AB64" i="48"/>
  <c r="AB62" i="48"/>
  <c r="AB61" i="48"/>
  <c r="AC60" i="48"/>
  <c r="AB67" i="48"/>
  <c r="AB66" i="48"/>
  <c r="AB65" i="48"/>
  <c r="Z141" i="46"/>
  <c r="Z164" i="46" s="1"/>
  <c r="Z140" i="46"/>
  <c r="Z154" i="46" s="1"/>
  <c r="Z142" i="46"/>
  <c r="Z174" i="46" s="1"/>
  <c r="R318" i="46"/>
  <c r="R319" i="46" s="1"/>
  <c r="R341" i="46"/>
  <c r="R342" i="46" s="1"/>
  <c r="S114" i="46"/>
  <c r="T97" i="45" s="1"/>
  <c r="S113" i="46"/>
  <c r="S118" i="46" s="1"/>
  <c r="S112" i="46"/>
  <c r="S117" i="46" s="1"/>
  <c r="S111" i="46"/>
  <c r="S116" i="46" s="1"/>
  <c r="S110" i="46"/>
  <c r="S115" i="46" s="1"/>
  <c r="S109" i="48"/>
  <c r="S274" i="46"/>
  <c r="Y209" i="46"/>
  <c r="Y214" i="46" s="1"/>
  <c r="Y208" i="46"/>
  <c r="Y213" i="46" s="1"/>
  <c r="Y207" i="46"/>
  <c r="Y212" i="46" s="1"/>
  <c r="Y211" i="46"/>
  <c r="Z89" i="45" s="1"/>
  <c r="Y210" i="46"/>
  <c r="Y215" i="46" s="1"/>
  <c r="Y206" i="48"/>
  <c r="AB18" i="48"/>
  <c r="AA24" i="48"/>
  <c r="AG54" i="12"/>
  <c r="AH50" i="12"/>
  <c r="AG52" i="12"/>
  <c r="AG51" i="12"/>
  <c r="AC21" i="48"/>
  <c r="AB27" i="48"/>
  <c r="AB42" i="48" s="1"/>
  <c r="BK32" i="51"/>
  <c r="BK31" i="51"/>
  <c r="BK34" i="51"/>
  <c r="U33" i="46"/>
  <c r="U39" i="46" s="1"/>
  <c r="V75" i="45"/>
  <c r="AX100" i="45"/>
  <c r="AX113" i="45"/>
  <c r="Z248" i="46"/>
  <c r="AA96" i="45" s="1"/>
  <c r="Z247" i="46"/>
  <c r="Z252" i="46" s="1"/>
  <c r="Z246" i="46"/>
  <c r="Z251" i="46" s="1"/>
  <c r="Z245" i="46"/>
  <c r="Z250" i="46" s="1"/>
  <c r="Z244" i="46"/>
  <c r="Z249" i="46" s="1"/>
  <c r="Z243" i="48"/>
  <c r="AY76" i="45"/>
  <c r="S78" i="45"/>
  <c r="AB27" i="46"/>
  <c r="AB42" i="46" s="1"/>
  <c r="AC21" i="46"/>
  <c r="Y159" i="46"/>
  <c r="Z98" i="45" s="1"/>
  <c r="Y158" i="46"/>
  <c r="Y163" i="46" s="1"/>
  <c r="Y157" i="46"/>
  <c r="Y162" i="46" s="1"/>
  <c r="Y156" i="46"/>
  <c r="Y161" i="46" s="1"/>
  <c r="Y155" i="46"/>
  <c r="Y160" i="46" s="1"/>
  <c r="Y154" i="48"/>
  <c r="R84" i="48"/>
  <c r="R83" i="48"/>
  <c r="R88" i="48" s="1"/>
  <c r="R82" i="48"/>
  <c r="R87" i="48" s="1"/>
  <c r="R81" i="48"/>
  <c r="R86" i="48" s="1"/>
  <c r="R80" i="48"/>
  <c r="R85" i="48" s="1"/>
  <c r="AB257" i="48"/>
  <c r="AA258" i="48"/>
  <c r="R118" i="45"/>
  <c r="M348" i="48"/>
  <c r="K125" i="45"/>
  <c r="J371" i="46"/>
  <c r="K126" i="45" s="1"/>
  <c r="AG51" i="14"/>
  <c r="AG54" i="14"/>
  <c r="AH50" i="14"/>
  <c r="AG52" i="14"/>
  <c r="L363" i="48"/>
  <c r="AS120" i="45" s="1"/>
  <c r="L361" i="48"/>
  <c r="R114" i="48"/>
  <c r="R113" i="48"/>
  <c r="R118" i="48" s="1"/>
  <c r="R110" i="48"/>
  <c r="R115" i="48" s="1"/>
  <c r="R112" i="48"/>
  <c r="R117" i="48" s="1"/>
  <c r="R111" i="48"/>
  <c r="R116" i="48" s="1"/>
  <c r="R274" i="48"/>
  <c r="S100" i="46"/>
  <c r="S105" i="46" s="1"/>
  <c r="S103" i="46"/>
  <c r="S108" i="46" s="1"/>
  <c r="S102" i="46"/>
  <c r="S107" i="46" s="1"/>
  <c r="S101" i="46"/>
  <c r="S106" i="46" s="1"/>
  <c r="S104" i="46"/>
  <c r="T106" i="45" s="1"/>
  <c r="S99" i="48"/>
  <c r="AC19" i="48"/>
  <c r="AB25" i="48"/>
  <c r="AB40" i="48" s="1"/>
  <c r="Y217" i="46"/>
  <c r="Y222" i="46" s="1"/>
  <c r="Y221" i="46"/>
  <c r="Z99" i="45" s="1"/>
  <c r="Y220" i="46"/>
  <c r="Y225" i="46" s="1"/>
  <c r="Y219" i="46"/>
  <c r="Y224" i="46" s="1"/>
  <c r="Y218" i="46"/>
  <c r="Y223" i="46" s="1"/>
  <c r="Y216" i="48"/>
  <c r="X178" i="48"/>
  <c r="X183" i="48" s="1"/>
  <c r="X177" i="48"/>
  <c r="X182" i="48" s="1"/>
  <c r="X176" i="48"/>
  <c r="X181" i="48" s="1"/>
  <c r="X175" i="48"/>
  <c r="X180" i="48" s="1"/>
  <c r="X179" i="48"/>
  <c r="Y145" i="46"/>
  <c r="Y150" i="46" s="1"/>
  <c r="Y149" i="46"/>
  <c r="Z83" i="45" s="1"/>
  <c r="Y148" i="46"/>
  <c r="Y153" i="46" s="1"/>
  <c r="Y147" i="46"/>
  <c r="Y152" i="46" s="1"/>
  <c r="Y146" i="46"/>
  <c r="Y151" i="46" s="1"/>
  <c r="Y144" i="48"/>
  <c r="M125" i="45"/>
  <c r="L371" i="46"/>
  <c r="M126" i="45" s="1"/>
  <c r="AA154" i="54"/>
  <c r="AB153" i="54"/>
  <c r="AA91" i="46"/>
  <c r="AA90" i="46"/>
  <c r="AA95" i="46" s="1"/>
  <c r="AA94" i="46"/>
  <c r="AA93" i="46"/>
  <c r="AA98" i="46" s="1"/>
  <c r="AA92" i="46"/>
  <c r="AA97" i="46" s="1"/>
  <c r="AA89" i="48"/>
  <c r="S80" i="45"/>
  <c r="S81" i="45"/>
  <c r="S79" i="45"/>
  <c r="AY80" i="45"/>
  <c r="AY79" i="45"/>
  <c r="AY81" i="45"/>
  <c r="W67" i="45"/>
  <c r="W23" i="45"/>
  <c r="Y19" i="45"/>
  <c r="Y20" i="45"/>
  <c r="R320" i="48"/>
  <c r="R317" i="48"/>
  <c r="X155" i="48"/>
  <c r="X160" i="48" s="1"/>
  <c r="X159" i="48"/>
  <c r="X158" i="48"/>
  <c r="X163" i="48" s="1"/>
  <c r="X157" i="48"/>
  <c r="X162" i="48" s="1"/>
  <c r="X156" i="48"/>
  <c r="X161" i="48" s="1"/>
  <c r="S103" i="45"/>
  <c r="S102" i="45"/>
  <c r="S101" i="45"/>
  <c r="AY103" i="45"/>
  <c r="AY101" i="45"/>
  <c r="AY102" i="45"/>
  <c r="Y31" i="46"/>
  <c r="Y306" i="46"/>
  <c r="CL4" i="55"/>
  <c r="Z203" i="48"/>
  <c r="Z204" i="48"/>
  <c r="S71" i="46"/>
  <c r="S76" i="46" s="1"/>
  <c r="S70" i="46"/>
  <c r="S75" i="46" s="1"/>
  <c r="S74" i="46"/>
  <c r="T76" i="45" s="1"/>
  <c r="S73" i="46"/>
  <c r="S78" i="46" s="1"/>
  <c r="S72" i="46"/>
  <c r="S77" i="46" s="1"/>
  <c r="S69" i="48"/>
  <c r="AC38" i="45"/>
  <c r="AB40" i="45"/>
  <c r="AB39" i="45"/>
  <c r="BH38" i="45"/>
  <c r="AD57" i="12"/>
  <c r="BE89" i="45"/>
  <c r="BG16" i="45"/>
  <c r="AB16" i="45"/>
  <c r="AA17" i="45"/>
  <c r="AR119" i="45"/>
  <c r="K365" i="48"/>
  <c r="K370" i="48"/>
  <c r="O363" i="46"/>
  <c r="P120" i="45" s="1"/>
  <c r="O361" i="46"/>
  <c r="Z94" i="48"/>
  <c r="Z93" i="48"/>
  <c r="Z98" i="48" s="1"/>
  <c r="Z92" i="48"/>
  <c r="Z97" i="48" s="1"/>
  <c r="Z91" i="48"/>
  <c r="Z90" i="48"/>
  <c r="Z95" i="48" s="1"/>
  <c r="BJ33" i="51"/>
  <c r="AH178" i="20"/>
  <c r="AG140" i="19"/>
  <c r="T34" i="48"/>
  <c r="BA24" i="45"/>
  <c r="BA26" i="45"/>
  <c r="BA25" i="45"/>
  <c r="BA82" i="45"/>
  <c r="Y263" i="48"/>
  <c r="Y268" i="48" s="1"/>
  <c r="Y261" i="48"/>
  <c r="Y266" i="48" s="1"/>
  <c r="AA138" i="48"/>
  <c r="AA137" i="48"/>
  <c r="AB136" i="48"/>
  <c r="AA201" i="48"/>
  <c r="AA200" i="48"/>
  <c r="X167" i="48"/>
  <c r="X172" i="48" s="1"/>
  <c r="X166" i="48"/>
  <c r="X171" i="48" s="1"/>
  <c r="X165" i="48"/>
  <c r="X170" i="48" s="1"/>
  <c r="X169" i="48"/>
  <c r="X168" i="48"/>
  <c r="X173" i="48" s="1"/>
  <c r="S80" i="46"/>
  <c r="S85" i="46" s="1"/>
  <c r="S81" i="46"/>
  <c r="S86" i="46" s="1"/>
  <c r="S84" i="46"/>
  <c r="T90" i="45" s="1"/>
  <c r="S82" i="46"/>
  <c r="S87" i="46" s="1"/>
  <c r="S83" i="46"/>
  <c r="S88" i="46" s="1"/>
  <c r="S79" i="48"/>
  <c r="AD58" i="14"/>
  <c r="BC21" i="45"/>
  <c r="M124" i="45"/>
  <c r="M123" i="45"/>
  <c r="M121" i="45"/>
  <c r="BF17" i="45"/>
  <c r="AB62" i="46"/>
  <c r="AB61" i="46"/>
  <c r="AC60" i="46"/>
  <c r="AB67" i="46"/>
  <c r="AB66" i="46"/>
  <c r="AB89" i="46" s="1"/>
  <c r="AB65" i="46"/>
  <c r="AB64" i="46"/>
  <c r="T44" i="46"/>
  <c r="T271" i="46" s="1"/>
  <c r="T79" i="46"/>
  <c r="T69" i="46"/>
  <c r="T99" i="46"/>
  <c r="T109" i="46"/>
  <c r="AB241" i="46"/>
  <c r="AC240" i="46"/>
  <c r="AY90" i="45"/>
  <c r="S91" i="45"/>
  <c r="M330" i="48"/>
  <c r="M329" i="48"/>
  <c r="M333" i="48" s="1"/>
  <c r="AC22" i="46"/>
  <c r="AB28" i="46"/>
  <c r="R104" i="48"/>
  <c r="R103" i="48"/>
  <c r="R108" i="48" s="1"/>
  <c r="R102" i="48"/>
  <c r="R107" i="48" s="1"/>
  <c r="R101" i="48"/>
  <c r="R106" i="48" s="1"/>
  <c r="R100" i="48"/>
  <c r="R105" i="48" s="1"/>
  <c r="AH177" i="20"/>
  <c r="AG139" i="19"/>
  <c r="M346" i="48"/>
  <c r="M347" i="48" s="1"/>
  <c r="M349" i="48" s="1"/>
  <c r="K123" i="45"/>
  <c r="K124" i="45"/>
  <c r="K121" i="45"/>
  <c r="Z204" i="46"/>
  <c r="Z203" i="46"/>
  <c r="AF53" i="14"/>
  <c r="S316" i="46"/>
  <c r="AD57" i="14"/>
  <c r="P337" i="48"/>
  <c r="P336" i="48"/>
  <c r="P335" i="48"/>
  <c r="P334" i="48"/>
  <c r="P339" i="48"/>
  <c r="P338" i="48"/>
  <c r="Z144" i="46"/>
  <c r="BL30" i="51"/>
  <c r="AF34" i="51"/>
  <c r="AG30" i="51"/>
  <c r="AF32" i="51"/>
  <c r="AF31" i="51"/>
  <c r="AB26" i="46"/>
  <c r="AB41" i="46" s="1"/>
  <c r="AC20" i="46"/>
  <c r="AC19" i="46"/>
  <c r="AB25" i="46"/>
  <c r="AB40" i="46" s="1"/>
  <c r="AC20" i="48"/>
  <c r="AB26" i="48"/>
  <c r="AB41" i="48" s="1"/>
  <c r="X21" i="45"/>
  <c r="X56" i="45"/>
  <c r="X55" i="45"/>
  <c r="BD28" i="45"/>
  <c r="BD32" i="45"/>
  <c r="BD35" i="45"/>
  <c r="BD29" i="45"/>
  <c r="BD31" i="45"/>
  <c r="BD37" i="45"/>
  <c r="BD36" i="45"/>
  <c r="BD54" i="45"/>
  <c r="X227" i="48"/>
  <c r="X232" i="48" s="1"/>
  <c r="X229" i="48"/>
  <c r="X234" i="48" s="1"/>
  <c r="X228" i="48"/>
  <c r="X233" i="48" s="1"/>
  <c r="X230" i="48"/>
  <c r="X235" i="48" s="1"/>
  <c r="X231" i="48"/>
  <c r="N363" i="46"/>
  <c r="O120" i="45" s="1"/>
  <c r="N361" i="46"/>
  <c r="AA63" i="46"/>
  <c r="R71" i="48"/>
  <c r="R76" i="48" s="1"/>
  <c r="R70" i="48"/>
  <c r="R75" i="48" s="1"/>
  <c r="R74" i="48"/>
  <c r="R73" i="48"/>
  <c r="R78" i="48" s="1"/>
  <c r="R72" i="48"/>
  <c r="R77" i="48" s="1"/>
  <c r="S308" i="46"/>
  <c r="S309" i="46" s="1"/>
  <c r="T275" i="46"/>
  <c r="AC22" i="48"/>
  <c r="AB28" i="48"/>
  <c r="R308" i="48"/>
  <c r="R309" i="48" s="1"/>
  <c r="S275" i="48"/>
  <c r="AY106" i="45"/>
  <c r="S109" i="45"/>
  <c r="AH176" i="20"/>
  <c r="AG138" i="19"/>
  <c r="Z226" i="46"/>
  <c r="Z216" i="46"/>
  <c r="Z206" i="46"/>
  <c r="Z202" i="46"/>
  <c r="AA154" i="53"/>
  <c r="AB153" i="53"/>
  <c r="Z140" i="48"/>
  <c r="Z142" i="48"/>
  <c r="Z141" i="48"/>
  <c r="M353" i="46"/>
  <c r="P321" i="48"/>
  <c r="P324" i="48"/>
  <c r="P323" i="48"/>
  <c r="P322" i="48"/>
  <c r="AB241" i="48"/>
  <c r="AC240" i="48"/>
  <c r="AD58" i="12"/>
  <c r="AA144" i="46"/>
  <c r="AF134" i="54" l="1"/>
  <c r="AF135" i="54" s="1"/>
  <c r="AF135" i="53"/>
  <c r="AG56" i="51"/>
  <c r="BM63" i="51"/>
  <c r="BM69" i="51"/>
  <c r="Z20" i="45"/>
  <c r="V33" i="46"/>
  <c r="V39" i="46" s="1"/>
  <c r="S117" i="45"/>
  <c r="AX114" i="45"/>
  <c r="P346" i="46"/>
  <c r="P347" i="46" s="1"/>
  <c r="P349" i="46" s="1"/>
  <c r="BI55" i="51"/>
  <c r="AY117" i="45"/>
  <c r="BB82" i="45"/>
  <c r="AA247" i="46"/>
  <c r="AA252" i="46" s="1"/>
  <c r="AA248" i="46"/>
  <c r="AB96" i="45" s="1"/>
  <c r="AA243" i="48"/>
  <c r="AA244" i="46"/>
  <c r="AA249" i="46" s="1"/>
  <c r="W75" i="45"/>
  <c r="AA245" i="46"/>
  <c r="AA250" i="46" s="1"/>
  <c r="T316" i="48"/>
  <c r="S317" i="48"/>
  <c r="U34" i="48"/>
  <c r="P329" i="46"/>
  <c r="P333" i="46" s="1"/>
  <c r="P330" i="46"/>
  <c r="BB24" i="45"/>
  <c r="BB26" i="45"/>
  <c r="O365" i="48"/>
  <c r="BG96" i="45"/>
  <c r="V84" i="45"/>
  <c r="AA69" i="45"/>
  <c r="AE112" i="14"/>
  <c r="BF108" i="45"/>
  <c r="U33" i="48"/>
  <c r="U39" i="48" s="1"/>
  <c r="U44" i="48" s="1"/>
  <c r="U271" i="48" s="1"/>
  <c r="AC36" i="53"/>
  <c r="Z19" i="45"/>
  <c r="AB36" i="54"/>
  <c r="AG42" i="54" s="1"/>
  <c r="W70" i="45"/>
  <c r="BF83" i="45"/>
  <c r="AG53" i="14"/>
  <c r="R115" i="45"/>
  <c r="AE112" i="12"/>
  <c r="AE56" i="14"/>
  <c r="AC59" i="14"/>
  <c r="AF55" i="12"/>
  <c r="AY109" i="45"/>
  <c r="AE56" i="12"/>
  <c r="Z264" i="46"/>
  <c r="Z269" i="46" s="1"/>
  <c r="BF107" i="45"/>
  <c r="AE60" i="14"/>
  <c r="BB59" i="45"/>
  <c r="W59" i="45"/>
  <c r="BB25" i="45"/>
  <c r="O122" i="45"/>
  <c r="AE60" i="12"/>
  <c r="AE61" i="14"/>
  <c r="AA42" i="45"/>
  <c r="BB87" i="45"/>
  <c r="BF105" i="45"/>
  <c r="AY91" i="45"/>
  <c r="AF55" i="14"/>
  <c r="BH96" i="45"/>
  <c r="BJ35" i="51"/>
  <c r="BF99" i="45"/>
  <c r="BF98" i="45"/>
  <c r="AE61" i="12"/>
  <c r="AD39" i="19"/>
  <c r="AE35" i="51"/>
  <c r="AG134" i="53"/>
  <c r="AG138" i="53"/>
  <c r="AG139" i="53" s="1"/>
  <c r="AH69" i="51" s="1"/>
  <c r="AG136" i="53"/>
  <c r="AG137" i="53" s="1"/>
  <c r="AH63" i="51" s="1"/>
  <c r="P122" i="45"/>
  <c r="S114" i="45"/>
  <c r="BF69" i="45"/>
  <c r="BA84" i="45"/>
  <c r="AS122" i="45"/>
  <c r="AD39" i="20"/>
  <c r="Y35" i="48"/>
  <c r="BB84" i="45"/>
  <c r="AD55" i="51"/>
  <c r="BB58" i="45"/>
  <c r="U37" i="48"/>
  <c r="Z43" i="48" s="1"/>
  <c r="AA95" i="45"/>
  <c r="V37" i="46"/>
  <c r="AA43" i="46" s="1"/>
  <c r="AA260" i="46" s="1"/>
  <c r="W58" i="45"/>
  <c r="W104" i="45"/>
  <c r="BB75" i="45"/>
  <c r="O370" i="48"/>
  <c r="AV125" i="45" s="1"/>
  <c r="BB70" i="45"/>
  <c r="AA43" i="45"/>
  <c r="AX115" i="45"/>
  <c r="Z35" i="46"/>
  <c r="AA44" i="45"/>
  <c r="BC68" i="45"/>
  <c r="Y262" i="48"/>
  <c r="Y267" i="48" s="1"/>
  <c r="Z265" i="46"/>
  <c r="AA105" i="45" s="1"/>
  <c r="BB104" i="45"/>
  <c r="Z260" i="48"/>
  <c r="Z261" i="48" s="1"/>
  <c r="Z266" i="48" s="1"/>
  <c r="Y264" i="48"/>
  <c r="Y269" i="48" s="1"/>
  <c r="Z261" i="46"/>
  <c r="Z266" i="46" s="1"/>
  <c r="X34" i="45"/>
  <c r="Z262" i="46"/>
  <c r="Z267" i="46" s="1"/>
  <c r="BC34" i="45"/>
  <c r="BB60" i="45"/>
  <c r="BC57" i="45"/>
  <c r="BF95" i="45"/>
  <c r="BF44" i="45"/>
  <c r="AF33" i="51"/>
  <c r="X57" i="45"/>
  <c r="AG53" i="12"/>
  <c r="BF43" i="45"/>
  <c r="AB41" i="45"/>
  <c r="BF42" i="45"/>
  <c r="AB63" i="54"/>
  <c r="N329" i="48"/>
  <c r="N333" i="48" s="1"/>
  <c r="N330" i="48"/>
  <c r="BD33" i="45"/>
  <c r="BF18" i="45"/>
  <c r="BG41" i="45"/>
  <c r="N346" i="48"/>
  <c r="N347" i="48" s="1"/>
  <c r="N349" i="48" s="1"/>
  <c r="N348" i="48"/>
  <c r="N353" i="48" s="1"/>
  <c r="R334" i="46"/>
  <c r="R339" i="46"/>
  <c r="R338" i="46"/>
  <c r="R337" i="46"/>
  <c r="R336" i="46"/>
  <c r="R335" i="46"/>
  <c r="P332" i="48"/>
  <c r="P331" i="48"/>
  <c r="AA147" i="46"/>
  <c r="AA152" i="46" s="1"/>
  <c r="AA146" i="46"/>
  <c r="AA151" i="46" s="1"/>
  <c r="AA145" i="46"/>
  <c r="AA150" i="46" s="1"/>
  <c r="AA149" i="46"/>
  <c r="AB83" i="45" s="1"/>
  <c r="AA148" i="46"/>
  <c r="AA153" i="46" s="1"/>
  <c r="AA144" i="48"/>
  <c r="AC241" i="48"/>
  <c r="AD240" i="48"/>
  <c r="AD19" i="46"/>
  <c r="AC25" i="46"/>
  <c r="AC40" i="46" s="1"/>
  <c r="AD59" i="14"/>
  <c r="T101" i="46"/>
  <c r="T106" i="46" s="1"/>
  <c r="T100" i="46"/>
  <c r="T105" i="46" s="1"/>
  <c r="T102" i="46"/>
  <c r="T107" i="46" s="1"/>
  <c r="T104" i="46"/>
  <c r="U106" i="45" s="1"/>
  <c r="T103" i="46"/>
  <c r="T108" i="46" s="1"/>
  <c r="T99" i="48"/>
  <c r="BA73" i="45"/>
  <c r="BA87" i="45"/>
  <c r="P119" i="45"/>
  <c r="O365" i="46"/>
  <c r="O370" i="46"/>
  <c r="BI38" i="45"/>
  <c r="AD38" i="45"/>
  <c r="AC40" i="45"/>
  <c r="AC39" i="45"/>
  <c r="AA94" i="48"/>
  <c r="AA93" i="48"/>
  <c r="AA98" i="48" s="1"/>
  <c r="AA92" i="48"/>
  <c r="AA97" i="48" s="1"/>
  <c r="AA91" i="48"/>
  <c r="AA90" i="48"/>
  <c r="AA95" i="48" s="1"/>
  <c r="AH52" i="14"/>
  <c r="AH51" i="14"/>
  <c r="AH54" i="14"/>
  <c r="AY78" i="45"/>
  <c r="AH51" i="12"/>
  <c r="AH54" i="12"/>
  <c r="AH52" i="12"/>
  <c r="S318" i="46"/>
  <c r="S319" i="46" s="1"/>
  <c r="S341" i="46"/>
  <c r="S342" i="46" s="1"/>
  <c r="Z167" i="46"/>
  <c r="Z172" i="46" s="1"/>
  <c r="Z166" i="46"/>
  <c r="Z171" i="46" s="1"/>
  <c r="Z165" i="46"/>
  <c r="Z170" i="46" s="1"/>
  <c r="Z169" i="46"/>
  <c r="AA77" i="45" s="1"/>
  <c r="Z168" i="46"/>
  <c r="Z173" i="46" s="1"/>
  <c r="Z164" i="48"/>
  <c r="L125" i="45"/>
  <c r="K371" i="46"/>
  <c r="L126" i="45" s="1"/>
  <c r="Y33" i="45"/>
  <c r="Y227" i="48"/>
  <c r="Y232" i="48" s="1"/>
  <c r="Y230" i="48"/>
  <c r="Y235" i="48" s="1"/>
  <c r="Y229" i="48"/>
  <c r="Y234" i="48" s="1"/>
  <c r="Y228" i="48"/>
  <c r="Y233" i="48" s="1"/>
  <c r="Y231" i="48"/>
  <c r="AC18" i="46"/>
  <c r="AB24" i="46"/>
  <c r="AA142" i="46"/>
  <c r="AA174" i="46" s="1"/>
  <c r="AA141" i="46"/>
  <c r="AA164" i="46" s="1"/>
  <c r="AA140" i="46"/>
  <c r="AA154" i="46" s="1"/>
  <c r="AB154" i="53"/>
  <c r="AC153" i="53"/>
  <c r="AD22" i="48"/>
  <c r="AC28" i="48"/>
  <c r="O119" i="45"/>
  <c r="N365" i="46"/>
  <c r="N370" i="46"/>
  <c r="BD56" i="45"/>
  <c r="BD55" i="45"/>
  <c r="BD30" i="45"/>
  <c r="AD20" i="48"/>
  <c r="AC26" i="48"/>
  <c r="AC41" i="48" s="1"/>
  <c r="AG31" i="51"/>
  <c r="BM30" i="51"/>
  <c r="AG34" i="51"/>
  <c r="AH30" i="51"/>
  <c r="AG32" i="51"/>
  <c r="T72" i="46"/>
  <c r="T77" i="46" s="1"/>
  <c r="T71" i="46"/>
  <c r="T76" i="46" s="1"/>
  <c r="T70" i="46"/>
  <c r="T75" i="46" s="1"/>
  <c r="T74" i="46"/>
  <c r="U76" i="45" s="1"/>
  <c r="T73" i="46"/>
  <c r="T78" i="46" s="1"/>
  <c r="T69" i="48"/>
  <c r="AC64" i="46"/>
  <c r="AC62" i="46"/>
  <c r="AC61" i="46"/>
  <c r="AD60" i="46"/>
  <c r="AC67" i="46"/>
  <c r="AC66" i="46"/>
  <c r="AC89" i="46" s="1"/>
  <c r="AC65" i="46"/>
  <c r="S80" i="48"/>
  <c r="S85" i="48" s="1"/>
  <c r="S84" i="48"/>
  <c r="S83" i="48"/>
  <c r="S88" i="48" s="1"/>
  <c r="S82" i="48"/>
  <c r="S87" i="48" s="1"/>
  <c r="S81" i="48"/>
  <c r="S86" i="48" s="1"/>
  <c r="BA85" i="45"/>
  <c r="BA71" i="45"/>
  <c r="AR125" i="45"/>
  <c r="K371" i="48"/>
  <c r="AR126" i="45" s="1"/>
  <c r="R323" i="48"/>
  <c r="R322" i="48"/>
  <c r="R321" i="48"/>
  <c r="R324" i="48"/>
  <c r="AB154" i="54"/>
  <c r="AC153" i="54"/>
  <c r="Z244" i="48"/>
  <c r="Z249" i="48" s="1"/>
  <c r="Z248" i="48"/>
  <c r="Z247" i="48"/>
  <c r="Z252" i="48" s="1"/>
  <c r="Z245" i="48"/>
  <c r="Z250" i="48" s="1"/>
  <c r="Z246" i="48"/>
  <c r="Z251" i="48" s="1"/>
  <c r="S114" i="48"/>
  <c r="S113" i="48"/>
  <c r="S118" i="48" s="1"/>
  <c r="S110" i="48"/>
  <c r="S115" i="48" s="1"/>
  <c r="S112" i="48"/>
  <c r="S117" i="48" s="1"/>
  <c r="S111" i="48"/>
  <c r="S116" i="48" s="1"/>
  <c r="S274" i="48"/>
  <c r="Q338" i="48"/>
  <c r="Q337" i="48"/>
  <c r="Q336" i="48"/>
  <c r="Q335" i="48"/>
  <c r="Q334" i="48"/>
  <c r="Q339" i="48"/>
  <c r="Q326" i="46"/>
  <c r="Q325" i="46"/>
  <c r="AC61" i="53"/>
  <c r="AD60" i="53"/>
  <c r="AC67" i="53"/>
  <c r="AC66" i="53"/>
  <c r="AC73" i="53" s="1"/>
  <c r="AC74" i="53" s="1"/>
  <c r="AC65" i="53"/>
  <c r="AC64" i="53"/>
  <c r="AC62" i="53"/>
  <c r="BE20" i="45"/>
  <c r="BE19" i="45"/>
  <c r="V87" i="45"/>
  <c r="V73" i="45"/>
  <c r="AB258" i="46"/>
  <c r="AC257" i="46"/>
  <c r="X68" i="45"/>
  <c r="T80" i="46"/>
  <c r="T85" i="46" s="1"/>
  <c r="T83" i="46"/>
  <c r="T88" i="46" s="1"/>
  <c r="T81" i="46"/>
  <c r="T86" i="46" s="1"/>
  <c r="T84" i="46"/>
  <c r="U90" i="45" s="1"/>
  <c r="T82" i="46"/>
  <c r="T87" i="46" s="1"/>
  <c r="T79" i="48"/>
  <c r="AB63" i="46"/>
  <c r="AA202" i="48"/>
  <c r="S72" i="48"/>
  <c r="S77" i="48" s="1"/>
  <c r="S71" i="48"/>
  <c r="S76" i="48" s="1"/>
  <c r="S70" i="48"/>
  <c r="S75" i="48" s="1"/>
  <c r="S74" i="48"/>
  <c r="S73" i="48"/>
  <c r="S78" i="48" s="1"/>
  <c r="AY118" i="45"/>
  <c r="Y148" i="48"/>
  <c r="Y153" i="48" s="1"/>
  <c r="Y147" i="48"/>
  <c r="Y152" i="48" s="1"/>
  <c r="Y146" i="48"/>
  <c r="Y151" i="48" s="1"/>
  <c r="Y145" i="48"/>
  <c r="Y150" i="48" s="1"/>
  <c r="Y149" i="48"/>
  <c r="M353" i="48"/>
  <c r="AD21" i="48"/>
  <c r="AC27" i="48"/>
  <c r="AC42" i="48" s="1"/>
  <c r="T103" i="45"/>
  <c r="T101" i="45"/>
  <c r="AZ103" i="45"/>
  <c r="T102" i="45"/>
  <c r="AZ102" i="45"/>
  <c r="AZ101" i="45"/>
  <c r="Q322" i="48"/>
  <c r="Q321" i="48"/>
  <c r="Q324" i="48"/>
  <c r="Q323" i="48"/>
  <c r="Q332" i="46"/>
  <c r="Q331" i="46"/>
  <c r="Z31" i="46"/>
  <c r="Z306" i="46"/>
  <c r="CM4" i="55"/>
  <c r="AV124" i="45"/>
  <c r="AV123" i="45"/>
  <c r="AV121" i="45"/>
  <c r="Y55" i="45"/>
  <c r="Y56" i="45"/>
  <c r="BE28" i="45"/>
  <c r="BE36" i="45"/>
  <c r="BE32" i="45"/>
  <c r="BE35" i="45"/>
  <c r="BE29" i="45"/>
  <c r="BE31" i="45"/>
  <c r="BE37" i="45"/>
  <c r="BE54" i="45"/>
  <c r="V85" i="45"/>
  <c r="V71" i="45"/>
  <c r="AY100" i="45"/>
  <c r="AY113" i="45"/>
  <c r="Z210" i="46"/>
  <c r="Z215" i="46" s="1"/>
  <c r="Z209" i="46"/>
  <c r="Z214" i="46" s="1"/>
  <c r="Z208" i="46"/>
  <c r="Z213" i="46" s="1"/>
  <c r="Z207" i="46"/>
  <c r="Z212" i="46" s="1"/>
  <c r="Z211" i="46"/>
  <c r="AA89" i="45" s="1"/>
  <c r="Z206" i="48"/>
  <c r="BL34" i="51"/>
  <c r="BL32" i="51"/>
  <c r="BL31" i="51"/>
  <c r="Z146" i="46"/>
  <c r="Z151" i="46" s="1"/>
  <c r="Z145" i="46"/>
  <c r="Z150" i="46" s="1"/>
  <c r="Z149" i="46"/>
  <c r="AA83" i="45" s="1"/>
  <c r="Z148" i="46"/>
  <c r="Z153" i="46" s="1"/>
  <c r="Z147" i="46"/>
  <c r="Z152" i="46" s="1"/>
  <c r="Z144" i="48"/>
  <c r="T316" i="46"/>
  <c r="AA204" i="48"/>
  <c r="AA203" i="48"/>
  <c r="AY116" i="45"/>
  <c r="T111" i="45"/>
  <c r="T112" i="45"/>
  <c r="T110" i="45"/>
  <c r="AZ111" i="45"/>
  <c r="AZ110" i="45"/>
  <c r="AZ112" i="45"/>
  <c r="AC27" i="46"/>
  <c r="AC42" i="46" s="1"/>
  <c r="AD21" i="46"/>
  <c r="AA29" i="48"/>
  <c r="L123" i="45"/>
  <c r="L124" i="45"/>
  <c r="L121" i="45"/>
  <c r="Y167" i="48"/>
  <c r="Y172" i="48" s="1"/>
  <c r="Y166" i="48"/>
  <c r="Y171" i="48" s="1"/>
  <c r="Y165" i="48"/>
  <c r="Y170" i="48" s="1"/>
  <c r="Y169" i="48"/>
  <c r="Y168" i="48"/>
  <c r="Y173" i="48" s="1"/>
  <c r="Y30" i="45"/>
  <c r="V86" i="45"/>
  <c r="V72" i="45"/>
  <c r="P326" i="48"/>
  <c r="P325" i="48"/>
  <c r="M354" i="46"/>
  <c r="M361" i="46" s="1"/>
  <c r="Z218" i="46"/>
  <c r="Z223" i="46" s="1"/>
  <c r="Z217" i="46"/>
  <c r="Z222" i="46" s="1"/>
  <c r="Z221" i="46"/>
  <c r="AA99" i="45" s="1"/>
  <c r="Z220" i="46"/>
  <c r="Z225" i="46" s="1"/>
  <c r="Z219" i="46"/>
  <c r="Z224" i="46" s="1"/>
  <c r="Z216" i="48"/>
  <c r="S308" i="48"/>
  <c r="S309" i="48" s="1"/>
  <c r="T275" i="48"/>
  <c r="AD20" i="46"/>
  <c r="AC26" i="46"/>
  <c r="AC41" i="46" s="1"/>
  <c r="AE39" i="19"/>
  <c r="AF56" i="14"/>
  <c r="AF61" i="14"/>
  <c r="AF60" i="14"/>
  <c r="AF112" i="14"/>
  <c r="AC28" i="46"/>
  <c r="AD22" i="46"/>
  <c r="AZ90" i="45"/>
  <c r="T91" i="45"/>
  <c r="AB138" i="48"/>
  <c r="AB137" i="48"/>
  <c r="AC136" i="48"/>
  <c r="AB201" i="48"/>
  <c r="AB200" i="48"/>
  <c r="AR124" i="45"/>
  <c r="AR123" i="45"/>
  <c r="AR121" i="45"/>
  <c r="BH39" i="45"/>
  <c r="BH40" i="45"/>
  <c r="AC18" i="48"/>
  <c r="AB24" i="48"/>
  <c r="AC65" i="48"/>
  <c r="AC64" i="48"/>
  <c r="AC62" i="48"/>
  <c r="AC61" i="48"/>
  <c r="AD60" i="48"/>
  <c r="AC67" i="48"/>
  <c r="AC66" i="48"/>
  <c r="P354" i="46"/>
  <c r="P363" i="46" s="1"/>
  <c r="Q120" i="45" s="1"/>
  <c r="AB63" i="53"/>
  <c r="Y179" i="48"/>
  <c r="Y178" i="48"/>
  <c r="Y183" i="48" s="1"/>
  <c r="Y177" i="48"/>
  <c r="Y182" i="48" s="1"/>
  <c r="Y176" i="48"/>
  <c r="Y181" i="48" s="1"/>
  <c r="Y175" i="48"/>
  <c r="Y180" i="48" s="1"/>
  <c r="BF27" i="45"/>
  <c r="AA27" i="45"/>
  <c r="Z28" i="45"/>
  <c r="Z37" i="45"/>
  <c r="Z29" i="45"/>
  <c r="Z31" i="45"/>
  <c r="Z36" i="45"/>
  <c r="Z35" i="45"/>
  <c r="Z32" i="45"/>
  <c r="Z54" i="45"/>
  <c r="AA204" i="46"/>
  <c r="AA203" i="46"/>
  <c r="R315" i="48"/>
  <c r="R314" i="48"/>
  <c r="R313" i="48"/>
  <c r="R312" i="48"/>
  <c r="R310" i="48"/>
  <c r="R311" i="48"/>
  <c r="AA245" i="48"/>
  <c r="AA250" i="48" s="1"/>
  <c r="AA244" i="48"/>
  <c r="AA249" i="48" s="1"/>
  <c r="AA248" i="48"/>
  <c r="AA246" i="48"/>
  <c r="AA251" i="48" s="1"/>
  <c r="AA247" i="48"/>
  <c r="AA252" i="48" s="1"/>
  <c r="U275" i="46"/>
  <c r="T308" i="46"/>
  <c r="T309" i="46" s="1"/>
  <c r="AC241" i="46"/>
  <c r="AD240" i="46"/>
  <c r="BC67" i="45"/>
  <c r="BC23" i="45"/>
  <c r="AA139" i="48"/>
  <c r="AA18" i="45"/>
  <c r="AZ76" i="45"/>
  <c r="T78" i="45"/>
  <c r="V44" i="46"/>
  <c r="V79" i="46"/>
  <c r="V69" i="46"/>
  <c r="V99" i="46"/>
  <c r="V109" i="46"/>
  <c r="Y21" i="45"/>
  <c r="S116" i="45"/>
  <c r="AS119" i="45"/>
  <c r="L365" i="48"/>
  <c r="L370" i="48"/>
  <c r="Y156" i="48"/>
  <c r="Y161" i="48" s="1"/>
  <c r="Y155" i="48"/>
  <c r="Y160" i="48" s="1"/>
  <c r="Y159" i="48"/>
  <c r="Y158" i="48"/>
  <c r="Y163" i="48" s="1"/>
  <c r="Y157" i="48"/>
  <c r="Y162" i="48" s="1"/>
  <c r="BK33" i="51"/>
  <c r="Y211" i="48"/>
  <c r="Y210" i="48"/>
  <c r="Y215" i="48" s="1"/>
  <c r="Y209" i="48"/>
  <c r="Y214" i="48" s="1"/>
  <c r="Y208" i="48"/>
  <c r="Y213" i="48" s="1"/>
  <c r="Y207" i="48"/>
  <c r="Y212" i="48" s="1"/>
  <c r="AB63" i="48"/>
  <c r="BD23" i="45"/>
  <c r="AA202" i="46"/>
  <c r="AA216" i="46"/>
  <c r="AA206" i="46"/>
  <c r="AA226" i="46"/>
  <c r="S312" i="46"/>
  <c r="S311" i="46"/>
  <c r="S310" i="46"/>
  <c r="S315" i="46"/>
  <c r="S314" i="46"/>
  <c r="S313" i="46"/>
  <c r="X67" i="45"/>
  <c r="X23" i="45"/>
  <c r="S320" i="46"/>
  <c r="S317" i="46"/>
  <c r="AB243" i="46"/>
  <c r="AZ93" i="45"/>
  <c r="T93" i="45"/>
  <c r="AZ94" i="45"/>
  <c r="T94" i="45"/>
  <c r="AA141" i="48"/>
  <c r="AA140" i="48"/>
  <c r="AA142" i="48"/>
  <c r="BH16" i="45"/>
  <c r="AC16" i="45"/>
  <c r="AB17" i="45"/>
  <c r="T81" i="45"/>
  <c r="T79" i="45"/>
  <c r="T80" i="45"/>
  <c r="AZ79" i="45"/>
  <c r="AZ80" i="45"/>
  <c r="AZ81" i="45"/>
  <c r="S118" i="45"/>
  <c r="S104" i="48"/>
  <c r="S103" i="48"/>
  <c r="S108" i="48" s="1"/>
  <c r="S102" i="48"/>
  <c r="S107" i="48" s="1"/>
  <c r="S101" i="48"/>
  <c r="S106" i="48" s="1"/>
  <c r="S100" i="48"/>
  <c r="S105" i="48" s="1"/>
  <c r="AB258" i="48"/>
  <c r="AC257" i="48"/>
  <c r="U44" i="46"/>
  <c r="U271" i="46" s="1"/>
  <c r="U79" i="46"/>
  <c r="U69" i="46"/>
  <c r="U99" i="46"/>
  <c r="U109" i="46"/>
  <c r="AZ97" i="45"/>
  <c r="T100" i="45"/>
  <c r="T113" i="45"/>
  <c r="Z175" i="46"/>
  <c r="Z180" i="46" s="1"/>
  <c r="Z179" i="46"/>
  <c r="AA107" i="45" s="1"/>
  <c r="Z178" i="46"/>
  <c r="Z183" i="46" s="1"/>
  <c r="Z177" i="46"/>
  <c r="Z182" i="46" s="1"/>
  <c r="Z176" i="46"/>
  <c r="Z181" i="46" s="1"/>
  <c r="Z174" i="48"/>
  <c r="BF77" i="45"/>
  <c r="R324" i="46"/>
  <c r="R323" i="46"/>
  <c r="R322" i="46"/>
  <c r="R321" i="46"/>
  <c r="Z31" i="48"/>
  <c r="Z306" i="48"/>
  <c r="AQ119" i="45"/>
  <c r="J365" i="48"/>
  <c r="J370" i="48"/>
  <c r="T317" i="48"/>
  <c r="T320" i="48"/>
  <c r="AC136" i="46"/>
  <c r="AB138" i="46"/>
  <c r="AB137" i="46"/>
  <c r="AB144" i="46" s="1"/>
  <c r="AB200" i="46"/>
  <c r="AB201" i="46"/>
  <c r="Z229" i="46"/>
  <c r="Z234" i="46" s="1"/>
  <c r="Z228" i="46"/>
  <c r="Z233" i="46" s="1"/>
  <c r="Z227" i="46"/>
  <c r="Z232" i="46" s="1"/>
  <c r="Z231" i="46"/>
  <c r="AA108" i="45" s="1"/>
  <c r="Z230" i="46"/>
  <c r="Z235" i="46" s="1"/>
  <c r="Z226" i="48"/>
  <c r="T110" i="46"/>
  <c r="T115" i="46" s="1"/>
  <c r="T114" i="46"/>
  <c r="U97" i="45" s="1"/>
  <c r="T113" i="46"/>
  <c r="T118" i="46" s="1"/>
  <c r="T112" i="46"/>
  <c r="T117" i="46" s="1"/>
  <c r="T111" i="46"/>
  <c r="T116" i="46" s="1"/>
  <c r="T109" i="48"/>
  <c r="T274" i="46"/>
  <c r="AB92" i="46"/>
  <c r="AB97" i="46" s="1"/>
  <c r="AB91" i="46"/>
  <c r="AB90" i="46"/>
  <c r="AB95" i="46" s="1"/>
  <c r="AB94" i="46"/>
  <c r="AB93" i="46"/>
  <c r="AB98" i="46" s="1"/>
  <c r="AB89" i="48"/>
  <c r="BA86" i="45"/>
  <c r="BA72" i="45"/>
  <c r="BG17" i="45"/>
  <c r="AD59" i="12"/>
  <c r="V34" i="46"/>
  <c r="W26" i="45"/>
  <c r="W25" i="45"/>
  <c r="W24" i="45"/>
  <c r="W82" i="45"/>
  <c r="Y219" i="48"/>
  <c r="Y224" i="48" s="1"/>
  <c r="Y218" i="48"/>
  <c r="Y223" i="48" s="1"/>
  <c r="Y217" i="48"/>
  <c r="Y222" i="48" s="1"/>
  <c r="Y221" i="48"/>
  <c r="Y220" i="48"/>
  <c r="Y225" i="48" s="1"/>
  <c r="AD19" i="48"/>
  <c r="AC25" i="48"/>
  <c r="AC40" i="48" s="1"/>
  <c r="AZ106" i="45"/>
  <c r="T109" i="45"/>
  <c r="R318" i="48"/>
  <c r="R319" i="48" s="1"/>
  <c r="R341" i="48"/>
  <c r="R342" i="48" s="1"/>
  <c r="S324" i="48"/>
  <c r="S323" i="48"/>
  <c r="S322" i="48"/>
  <c r="S321" i="48"/>
  <c r="BF89" i="45"/>
  <c r="Z159" i="46"/>
  <c r="AA98" i="45" s="1"/>
  <c r="Z158" i="46"/>
  <c r="Z163" i="46" s="1"/>
  <c r="Z157" i="46"/>
  <c r="Z162" i="46" s="1"/>
  <c r="Z156" i="46"/>
  <c r="Z161" i="46" s="1"/>
  <c r="Z155" i="46"/>
  <c r="Z160" i="46" s="1"/>
  <c r="Z154" i="48"/>
  <c r="AA29" i="46"/>
  <c r="AA139" i="46"/>
  <c r="AC61" i="54"/>
  <c r="AD60" i="54"/>
  <c r="AC67" i="54"/>
  <c r="AC66" i="54"/>
  <c r="AC73" i="54" s="1"/>
  <c r="AC74" i="54" s="1"/>
  <c r="AC65" i="54"/>
  <c r="AC64" i="54"/>
  <c r="AC62" i="54"/>
  <c r="BJ55" i="51" l="1"/>
  <c r="AC36" i="54"/>
  <c r="BM56" i="51"/>
  <c r="X60" i="45"/>
  <c r="Z21" i="45"/>
  <c r="AZ117" i="45"/>
  <c r="AE57" i="12"/>
  <c r="AE58" i="14"/>
  <c r="T117" i="45"/>
  <c r="V37" i="48"/>
  <c r="AA43" i="48" s="1"/>
  <c r="AE57" i="14"/>
  <c r="BB85" i="45"/>
  <c r="V33" i="48"/>
  <c r="V39" i="48" s="1"/>
  <c r="BC75" i="45"/>
  <c r="Z262" i="48"/>
  <c r="Z267" i="48" s="1"/>
  <c r="Z263" i="48"/>
  <c r="Z268" i="48" s="1"/>
  <c r="N354" i="48"/>
  <c r="N363" i="48" s="1"/>
  <c r="AU120" i="45" s="1"/>
  <c r="Z264" i="48"/>
  <c r="Z269" i="48" s="1"/>
  <c r="Z265" i="48"/>
  <c r="AB42" i="45"/>
  <c r="AZ109" i="45"/>
  <c r="W84" i="45"/>
  <c r="BK35" i="51"/>
  <c r="BF20" i="45"/>
  <c r="AE55" i="51"/>
  <c r="AD36" i="53"/>
  <c r="AG134" i="54"/>
  <c r="AG135" i="54" s="1"/>
  <c r="AG138" i="54"/>
  <c r="AG139" i="54" s="1"/>
  <c r="AG136" i="54"/>
  <c r="AG137" i="54" s="1"/>
  <c r="BG83" i="45"/>
  <c r="BG44" i="45"/>
  <c r="BB73" i="45"/>
  <c r="BG105" i="45"/>
  <c r="AE58" i="12"/>
  <c r="BG108" i="45"/>
  <c r="AG55" i="12"/>
  <c r="BB72" i="45"/>
  <c r="BG69" i="45"/>
  <c r="BB71" i="45"/>
  <c r="Q122" i="45"/>
  <c r="S115" i="45"/>
  <c r="BC58" i="45"/>
  <c r="X58" i="45"/>
  <c r="W33" i="46"/>
  <c r="W39" i="46" s="1"/>
  <c r="W109" i="46" s="1"/>
  <c r="AG55" i="14"/>
  <c r="BG107" i="45"/>
  <c r="AB69" i="45"/>
  <c r="BC104" i="45"/>
  <c r="AF35" i="51"/>
  <c r="T114" i="45"/>
  <c r="BH83" i="45"/>
  <c r="BC59" i="45"/>
  <c r="BN63" i="51"/>
  <c r="AG135" i="53"/>
  <c r="AH56" i="51"/>
  <c r="AF56" i="12"/>
  <c r="AE39" i="20"/>
  <c r="AF61" i="12"/>
  <c r="AF112" i="12"/>
  <c r="AF60" i="12"/>
  <c r="BG98" i="45"/>
  <c r="BC70" i="45"/>
  <c r="AZ91" i="45"/>
  <c r="BG99" i="45"/>
  <c r="AY114" i="45"/>
  <c r="BC60" i="45"/>
  <c r="BN69" i="51"/>
  <c r="BB86" i="45"/>
  <c r="O371" i="48"/>
  <c r="AV126" i="45" s="1"/>
  <c r="W37" i="46"/>
  <c r="AB43" i="46" s="1"/>
  <c r="AA35" i="46"/>
  <c r="BF19" i="45"/>
  <c r="BD67" i="45"/>
  <c r="X104" i="45"/>
  <c r="X59" i="45"/>
  <c r="AG33" i="51"/>
  <c r="Y34" i="45"/>
  <c r="BG42" i="45"/>
  <c r="BG95" i="45"/>
  <c r="X75" i="45"/>
  <c r="X70" i="45"/>
  <c r="AB95" i="45"/>
  <c r="AZ116" i="45"/>
  <c r="AB43" i="45"/>
  <c r="AB44" i="45"/>
  <c r="BG43" i="45"/>
  <c r="Z35" i="48"/>
  <c r="AC41" i="45"/>
  <c r="BL33" i="51"/>
  <c r="BD68" i="45"/>
  <c r="AB202" i="48"/>
  <c r="Y57" i="45"/>
  <c r="BG18" i="45"/>
  <c r="BH41" i="45"/>
  <c r="T116" i="45"/>
  <c r="AC243" i="46"/>
  <c r="AC245" i="46" s="1"/>
  <c r="AC250" i="46" s="1"/>
  <c r="BD34" i="45"/>
  <c r="AC63" i="54"/>
  <c r="AB18" i="45"/>
  <c r="T118" i="45"/>
  <c r="BD57" i="45"/>
  <c r="AZ118" i="45"/>
  <c r="AB139" i="48"/>
  <c r="BE33" i="45"/>
  <c r="N119" i="45"/>
  <c r="AB148" i="46"/>
  <c r="AB153" i="46" s="1"/>
  <c r="AB147" i="46"/>
  <c r="AB152" i="46" s="1"/>
  <c r="AB146" i="46"/>
  <c r="AB151" i="46" s="1"/>
  <c r="AB145" i="46"/>
  <c r="AB150" i="46" s="1"/>
  <c r="AB149" i="46"/>
  <c r="AC83" i="45" s="1"/>
  <c r="AB144" i="48"/>
  <c r="AB142" i="46"/>
  <c r="AB174" i="46" s="1"/>
  <c r="AB141" i="46"/>
  <c r="AB164" i="46" s="1"/>
  <c r="AB140" i="46"/>
  <c r="AB154" i="46" s="1"/>
  <c r="AE59" i="14"/>
  <c r="AQ125" i="45"/>
  <c r="J371" i="48"/>
  <c r="AQ126" i="45" s="1"/>
  <c r="R326" i="46"/>
  <c r="R325" i="46"/>
  <c r="U111" i="46"/>
  <c r="U116" i="46" s="1"/>
  <c r="U110" i="46"/>
  <c r="U115" i="46" s="1"/>
  <c r="U114" i="46"/>
  <c r="V97" i="45" s="1"/>
  <c r="U113" i="46"/>
  <c r="U118" i="46" s="1"/>
  <c r="U112" i="46"/>
  <c r="U117" i="46" s="1"/>
  <c r="U109" i="48"/>
  <c r="U274" i="46"/>
  <c r="BH17" i="45"/>
  <c r="N361" i="48"/>
  <c r="AA219" i="46"/>
  <c r="AA224" i="46" s="1"/>
  <c r="AA218" i="46"/>
  <c r="AA223" i="46" s="1"/>
  <c r="AA217" i="46"/>
  <c r="AA222" i="46" s="1"/>
  <c r="AA221" i="46"/>
  <c r="AB99" i="45" s="1"/>
  <c r="AA220" i="46"/>
  <c r="AA225" i="46" s="1"/>
  <c r="AA216" i="48"/>
  <c r="V82" i="46"/>
  <c r="V87" i="46" s="1"/>
  <c r="V81" i="46"/>
  <c r="V86" i="46" s="1"/>
  <c r="V80" i="46"/>
  <c r="V85" i="46" s="1"/>
  <c r="V83" i="46"/>
  <c r="V88" i="46" s="1"/>
  <c r="V84" i="46"/>
  <c r="W90" i="45" s="1"/>
  <c r="V79" i="48"/>
  <c r="V275" i="46"/>
  <c r="U308" i="46"/>
  <c r="U309" i="46" s="1"/>
  <c r="BG27" i="45"/>
  <c r="AB27" i="45"/>
  <c r="AA28" i="45"/>
  <c r="AA37" i="45"/>
  <c r="AA29" i="45"/>
  <c r="AA31" i="45"/>
  <c r="AA36" i="45"/>
  <c r="AA35" i="45"/>
  <c r="AA32" i="45"/>
  <c r="AA54" i="45"/>
  <c r="AD66" i="48"/>
  <c r="AD65" i="48"/>
  <c r="AD64" i="48"/>
  <c r="AD62" i="48"/>
  <c r="AD61" i="48"/>
  <c r="AE60" i="48"/>
  <c r="AD67" i="48"/>
  <c r="Z220" i="48"/>
  <c r="Z225" i="48" s="1"/>
  <c r="Z219" i="48"/>
  <c r="Z224" i="48" s="1"/>
  <c r="Z218" i="48"/>
  <c r="Z223" i="48" s="1"/>
  <c r="Z217" i="48"/>
  <c r="Z222" i="48" s="1"/>
  <c r="Z221" i="48"/>
  <c r="P328" i="48"/>
  <c r="P327" i="48"/>
  <c r="Q332" i="48"/>
  <c r="Q331" i="48"/>
  <c r="M363" i="46"/>
  <c r="N120" i="45" s="1"/>
  <c r="BM34" i="51"/>
  <c r="BM32" i="51"/>
  <c r="BM31" i="51"/>
  <c r="O121" i="45"/>
  <c r="O123" i="45"/>
  <c r="O124" i="45"/>
  <c r="AB29" i="46"/>
  <c r="Y68" i="45"/>
  <c r="AH53" i="12"/>
  <c r="AD62" i="54"/>
  <c r="AD61" i="54"/>
  <c r="AE60" i="54"/>
  <c r="AD67" i="54"/>
  <c r="AD66" i="54"/>
  <c r="AD73" i="54" s="1"/>
  <c r="AD74" i="54" s="1"/>
  <c r="AD65" i="54"/>
  <c r="AD64" i="54"/>
  <c r="AD136" i="46"/>
  <c r="AC138" i="46"/>
  <c r="AC137" i="46"/>
  <c r="AC200" i="46"/>
  <c r="AC201" i="46"/>
  <c r="R332" i="46"/>
  <c r="R331" i="46"/>
  <c r="U102" i="46"/>
  <c r="U107" i="46" s="1"/>
  <c r="U101" i="46"/>
  <c r="U106" i="46" s="1"/>
  <c r="U100" i="46"/>
  <c r="U105" i="46" s="1"/>
  <c r="U103" i="46"/>
  <c r="U108" i="46" s="1"/>
  <c r="U104" i="46"/>
  <c r="V106" i="45" s="1"/>
  <c r="U99" i="48"/>
  <c r="V316" i="46"/>
  <c r="AD241" i="46"/>
  <c r="AE240" i="46"/>
  <c r="BF28" i="45"/>
  <c r="BF36" i="45"/>
  <c r="BF32" i="45"/>
  <c r="BF35" i="45"/>
  <c r="BF29" i="45"/>
  <c r="BF31" i="45"/>
  <c r="BF37" i="45"/>
  <c r="BF54" i="45"/>
  <c r="AC63" i="48"/>
  <c r="AB29" i="48"/>
  <c r="AD28" i="46"/>
  <c r="AE22" i="46"/>
  <c r="AE21" i="46"/>
  <c r="AD27" i="46"/>
  <c r="AD42" i="46" s="1"/>
  <c r="T320" i="46"/>
  <c r="T317" i="46"/>
  <c r="Z211" i="48"/>
  <c r="Z210" i="48"/>
  <c r="Z215" i="48" s="1"/>
  <c r="Z209" i="48"/>
  <c r="Z214" i="48" s="1"/>
  <c r="Z208" i="48"/>
  <c r="Z213" i="48" s="1"/>
  <c r="Z207" i="48"/>
  <c r="Z212" i="48" s="1"/>
  <c r="M354" i="48"/>
  <c r="M361" i="48" s="1"/>
  <c r="BE21" i="45"/>
  <c r="AC154" i="54"/>
  <c r="AD153" i="54"/>
  <c r="AC93" i="46"/>
  <c r="AC98" i="46" s="1"/>
  <c r="AC92" i="46"/>
  <c r="AC97" i="46" s="1"/>
  <c r="AC91" i="46"/>
  <c r="AC90" i="46"/>
  <c r="AC95" i="46" s="1"/>
  <c r="AC94" i="46"/>
  <c r="AC89" i="48"/>
  <c r="BA76" i="45"/>
  <c r="U78" i="45"/>
  <c r="AE22" i="48"/>
  <c r="AD28" i="48"/>
  <c r="AD18" i="46"/>
  <c r="AC24" i="46"/>
  <c r="AE59" i="12"/>
  <c r="BJ38" i="45"/>
  <c r="AE38" i="45"/>
  <c r="AD40" i="45"/>
  <c r="AD39" i="45"/>
  <c r="P125" i="45"/>
  <c r="O371" i="46"/>
  <c r="P126" i="45" s="1"/>
  <c r="P343" i="48"/>
  <c r="P344" i="48" s="1"/>
  <c r="P345" i="48"/>
  <c r="P346" i="48" s="1"/>
  <c r="Z157" i="48"/>
  <c r="Z162" i="48" s="1"/>
  <c r="Z156" i="48"/>
  <c r="Z161" i="48" s="1"/>
  <c r="Z155" i="48"/>
  <c r="Z160" i="48" s="1"/>
  <c r="Z159" i="48"/>
  <c r="Z158" i="48"/>
  <c r="Z163" i="48" s="1"/>
  <c r="BA97" i="45"/>
  <c r="U100" i="45"/>
  <c r="U113" i="45"/>
  <c r="T324" i="48"/>
  <c r="T323" i="48"/>
  <c r="T322" i="48"/>
  <c r="T321" i="48"/>
  <c r="U73" i="46"/>
  <c r="U78" i="46" s="1"/>
  <c r="U72" i="46"/>
  <c r="U77" i="46" s="1"/>
  <c r="U71" i="46"/>
  <c r="U76" i="46" s="1"/>
  <c r="U70" i="46"/>
  <c r="U75" i="46" s="1"/>
  <c r="U74" i="46"/>
  <c r="V76" i="45" s="1"/>
  <c r="U69" i="48"/>
  <c r="BF21" i="45"/>
  <c r="Z23" i="45"/>
  <c r="AS123" i="45"/>
  <c r="AS121" i="45"/>
  <c r="AS124" i="45"/>
  <c r="Y67" i="45"/>
  <c r="Y23" i="45"/>
  <c r="AD18" i="48"/>
  <c r="AC24" i="48"/>
  <c r="Z149" i="48"/>
  <c r="Z148" i="48"/>
  <c r="Z153" i="48" s="1"/>
  <c r="Z147" i="48"/>
  <c r="Z152" i="48" s="1"/>
  <c r="Z146" i="48"/>
  <c r="Z151" i="48" s="1"/>
  <c r="Z145" i="48"/>
  <c r="Z150" i="48" s="1"/>
  <c r="BG89" i="45"/>
  <c r="AA265" i="46"/>
  <c r="AB105" i="45" s="1"/>
  <c r="AA264" i="46"/>
  <c r="AA269" i="46" s="1"/>
  <c r="AA263" i="46"/>
  <c r="AA268" i="46" s="1"/>
  <c r="AA262" i="46"/>
  <c r="AA267" i="46" s="1"/>
  <c r="AA261" i="46"/>
  <c r="AA266" i="46" s="1"/>
  <c r="AA260" i="48"/>
  <c r="T81" i="48"/>
  <c r="T86" i="48" s="1"/>
  <c r="T80" i="48"/>
  <c r="T85" i="48" s="1"/>
  <c r="T84" i="48"/>
  <c r="T83" i="48"/>
  <c r="T88" i="48" s="1"/>
  <c r="T82" i="48"/>
  <c r="T87" i="48" s="1"/>
  <c r="AD62" i="53"/>
  <c r="AD61" i="53"/>
  <c r="AE60" i="53"/>
  <c r="AD67" i="53"/>
  <c r="AD66" i="53"/>
  <c r="AD73" i="53" s="1"/>
  <c r="AD74" i="53" s="1"/>
  <c r="AD65" i="53"/>
  <c r="AD64" i="53"/>
  <c r="Q328" i="46"/>
  <c r="Q327" i="46"/>
  <c r="U80" i="45"/>
  <c r="U81" i="45"/>
  <c r="U79" i="45"/>
  <c r="BA81" i="45"/>
  <c r="BA80" i="45"/>
  <c r="BA79" i="45"/>
  <c r="AA155" i="46"/>
  <c r="AA160" i="46" s="1"/>
  <c r="AA159" i="46"/>
  <c r="AB98" i="45" s="1"/>
  <c r="AA158" i="46"/>
  <c r="AA163" i="46" s="1"/>
  <c r="AA157" i="46"/>
  <c r="AA162" i="46" s="1"/>
  <c r="AA156" i="46"/>
  <c r="AA161" i="46" s="1"/>
  <c r="AA154" i="48"/>
  <c r="BI40" i="45"/>
  <c r="BI39" i="45"/>
  <c r="U103" i="45"/>
  <c r="U102" i="45"/>
  <c r="BA102" i="45"/>
  <c r="BA103" i="45"/>
  <c r="BA101" i="45"/>
  <c r="U101" i="45"/>
  <c r="AQ124" i="45"/>
  <c r="AQ123" i="45"/>
  <c r="AQ121" i="45"/>
  <c r="U81" i="46"/>
  <c r="U86" i="46" s="1"/>
  <c r="U80" i="46"/>
  <c r="U85" i="46" s="1"/>
  <c r="U83" i="46"/>
  <c r="U88" i="46" s="1"/>
  <c r="U84" i="46"/>
  <c r="V90" i="45" s="1"/>
  <c r="U82" i="46"/>
  <c r="U87" i="46" s="1"/>
  <c r="U79" i="48"/>
  <c r="Y75" i="45"/>
  <c r="AC63" i="53"/>
  <c r="AD65" i="46"/>
  <c r="AD64" i="46"/>
  <c r="AD62" i="46"/>
  <c r="AD61" i="46"/>
  <c r="AE60" i="46"/>
  <c r="AD67" i="46"/>
  <c r="AD66" i="46"/>
  <c r="AD89" i="46" s="1"/>
  <c r="AA168" i="46"/>
  <c r="AA173" i="46" s="1"/>
  <c r="AA167" i="46"/>
  <c r="AA172" i="46" s="1"/>
  <c r="AA166" i="46"/>
  <c r="AA171" i="46" s="1"/>
  <c r="AA165" i="46"/>
  <c r="AA170" i="46" s="1"/>
  <c r="AA169" i="46"/>
  <c r="AB77" i="45" s="1"/>
  <c r="AA164" i="48"/>
  <c r="P123" i="45"/>
  <c r="P124" i="45"/>
  <c r="P121" i="45"/>
  <c r="T104" i="48"/>
  <c r="T103" i="48"/>
  <c r="T108" i="48" s="1"/>
  <c r="T102" i="48"/>
  <c r="T107" i="48" s="1"/>
  <c r="T101" i="48"/>
  <c r="T106" i="48" s="1"/>
  <c r="T100" i="48"/>
  <c r="T105" i="48" s="1"/>
  <c r="AE19" i="46"/>
  <c r="AD25" i="46"/>
  <c r="AD40" i="46" s="1"/>
  <c r="AA149" i="48"/>
  <c r="AA148" i="48"/>
  <c r="AA153" i="48" s="1"/>
  <c r="AA147" i="48"/>
  <c r="AA152" i="48" s="1"/>
  <c r="AA146" i="48"/>
  <c r="AA151" i="48" s="1"/>
  <c r="AA145" i="48"/>
  <c r="AA150" i="48" s="1"/>
  <c r="S326" i="48"/>
  <c r="S325" i="48"/>
  <c r="AE19" i="48"/>
  <c r="AD25" i="48"/>
  <c r="AD40" i="48" s="1"/>
  <c r="W85" i="45"/>
  <c r="W71" i="45"/>
  <c r="U316" i="46"/>
  <c r="W34" i="46"/>
  <c r="X26" i="45"/>
  <c r="X25" i="45"/>
  <c r="X24" i="45"/>
  <c r="X82" i="45"/>
  <c r="V271" i="46"/>
  <c r="AZ78" i="45"/>
  <c r="Z33" i="45"/>
  <c r="AB204" i="48"/>
  <c r="AB203" i="48"/>
  <c r="AF58" i="14"/>
  <c r="AE20" i="46"/>
  <c r="AD26" i="46"/>
  <c r="AD41" i="46" s="1"/>
  <c r="BE56" i="45"/>
  <c r="BE55" i="45"/>
  <c r="BE30" i="45"/>
  <c r="Q343" i="46"/>
  <c r="Q344" i="46" s="1"/>
  <c r="Q345" i="46"/>
  <c r="BA90" i="45"/>
  <c r="U91" i="45"/>
  <c r="U316" i="48"/>
  <c r="R331" i="48"/>
  <c r="R343" i="48" s="1"/>
  <c r="R344" i="48" s="1"/>
  <c r="R332" i="48"/>
  <c r="AC63" i="46"/>
  <c r="AC154" i="53"/>
  <c r="AD153" i="53"/>
  <c r="AA176" i="46"/>
  <c r="AA181" i="46" s="1"/>
  <c r="AA175" i="46"/>
  <c r="AA180" i="46" s="1"/>
  <c r="AA179" i="46"/>
  <c r="AB107" i="45" s="1"/>
  <c r="AA178" i="46"/>
  <c r="AA183" i="46" s="1"/>
  <c r="AA177" i="46"/>
  <c r="AA182" i="46" s="1"/>
  <c r="AA174" i="48"/>
  <c r="AH53" i="14"/>
  <c r="V44" i="48"/>
  <c r="V271" i="48" s="1"/>
  <c r="S332" i="48"/>
  <c r="S331" i="48"/>
  <c r="S343" i="48" s="1"/>
  <c r="W86" i="45"/>
  <c r="W72" i="45"/>
  <c r="T318" i="46"/>
  <c r="T319" i="46" s="1"/>
  <c r="T341" i="46"/>
  <c r="T342" i="46" s="1"/>
  <c r="AB203" i="46"/>
  <c r="AB204" i="46"/>
  <c r="Z179" i="48"/>
  <c r="Z178" i="48"/>
  <c r="Z183" i="48" s="1"/>
  <c r="Z177" i="48"/>
  <c r="Z182" i="48" s="1"/>
  <c r="Z176" i="48"/>
  <c r="Z181" i="48" s="1"/>
  <c r="Z175" i="48"/>
  <c r="Z180" i="48" s="1"/>
  <c r="AC258" i="48"/>
  <c r="AD257" i="48"/>
  <c r="S339" i="46"/>
  <c r="S338" i="46"/>
  <c r="S337" i="46"/>
  <c r="S336" i="46"/>
  <c r="S334" i="46"/>
  <c r="S335" i="46"/>
  <c r="V112" i="46"/>
  <c r="V117" i="46" s="1"/>
  <c r="V111" i="46"/>
  <c r="V116" i="46" s="1"/>
  <c r="V110" i="46"/>
  <c r="V115" i="46" s="1"/>
  <c r="V114" i="46"/>
  <c r="W97" i="45" s="1"/>
  <c r="V113" i="46"/>
  <c r="V118" i="46" s="1"/>
  <c r="V109" i="48"/>
  <c r="V274" i="46"/>
  <c r="AD136" i="48"/>
  <c r="AC138" i="48"/>
  <c r="AC137" i="48"/>
  <c r="AC201" i="48"/>
  <c r="AC200" i="48"/>
  <c r="AF57" i="14"/>
  <c r="AE21" i="48"/>
  <c r="AD27" i="48"/>
  <c r="AD42" i="48" s="1"/>
  <c r="Z165" i="48"/>
  <c r="Z170" i="48" s="1"/>
  <c r="Z167" i="48"/>
  <c r="Z172" i="48" s="1"/>
  <c r="Z166" i="48"/>
  <c r="Z171" i="48" s="1"/>
  <c r="Z169" i="48"/>
  <c r="Z168" i="48"/>
  <c r="Z173" i="48" s="1"/>
  <c r="BA106" i="45"/>
  <c r="U109" i="45"/>
  <c r="AE240" i="48"/>
  <c r="AD241" i="48"/>
  <c r="AA31" i="46"/>
  <c r="AA306" i="46"/>
  <c r="CN4" i="55"/>
  <c r="W87" i="45"/>
  <c r="W73" i="45"/>
  <c r="T111" i="48"/>
  <c r="T116" i="48" s="1"/>
  <c r="T114" i="48"/>
  <c r="T113" i="48"/>
  <c r="T118" i="48" s="1"/>
  <c r="T110" i="48"/>
  <c r="T115" i="48" s="1"/>
  <c r="T112" i="48"/>
  <c r="T117" i="48" s="1"/>
  <c r="T274" i="48"/>
  <c r="Z231" i="48"/>
  <c r="Z227" i="48"/>
  <c r="Z232" i="48" s="1"/>
  <c r="Z230" i="48"/>
  <c r="Z235" i="48" s="1"/>
  <c r="Z229" i="48"/>
  <c r="Z234" i="48" s="1"/>
  <c r="Z228" i="48"/>
  <c r="Z233" i="48" s="1"/>
  <c r="AB202" i="46"/>
  <c r="AB216" i="46"/>
  <c r="AB206" i="46"/>
  <c r="AB226" i="46"/>
  <c r="AZ100" i="45"/>
  <c r="AZ113" i="45"/>
  <c r="AB20" i="45"/>
  <c r="AB19" i="45"/>
  <c r="S324" i="46"/>
  <c r="S323" i="46"/>
  <c r="S322" i="46"/>
  <c r="S321" i="46"/>
  <c r="AA230" i="46"/>
  <c r="AA235" i="46" s="1"/>
  <c r="AA229" i="46"/>
  <c r="AA234" i="46" s="1"/>
  <c r="AA228" i="46"/>
  <c r="AA233" i="46" s="1"/>
  <c r="AA227" i="46"/>
  <c r="AA232" i="46" s="1"/>
  <c r="AA231" i="46"/>
  <c r="AB108" i="45" s="1"/>
  <c r="AA226" i="48"/>
  <c r="AD36" i="54"/>
  <c r="BK55" i="51"/>
  <c r="V103" i="46"/>
  <c r="V108" i="46" s="1"/>
  <c r="V102" i="46"/>
  <c r="V107" i="46" s="1"/>
  <c r="V101" i="46"/>
  <c r="V106" i="46" s="1"/>
  <c r="V100" i="46"/>
  <c r="V105" i="46" s="1"/>
  <c r="V104" i="46"/>
  <c r="W106" i="45" s="1"/>
  <c r="V99" i="48"/>
  <c r="AA19" i="45"/>
  <c r="AA20" i="45"/>
  <c r="V34" i="48"/>
  <c r="BC25" i="45"/>
  <c r="BC24" i="45"/>
  <c r="BC26" i="45"/>
  <c r="BC82" i="45"/>
  <c r="T308" i="48"/>
  <c r="T309" i="48" s="1"/>
  <c r="U275" i="48"/>
  <c r="P361" i="46"/>
  <c r="AA31" i="48"/>
  <c r="AA306" i="48"/>
  <c r="Y60" i="45"/>
  <c r="Y104" i="45"/>
  <c r="AC258" i="46"/>
  <c r="AD257" i="46"/>
  <c r="AH31" i="51"/>
  <c r="BN30" i="51"/>
  <c r="AH34" i="51"/>
  <c r="AH32" i="51"/>
  <c r="O125" i="45"/>
  <c r="N371" i="46"/>
  <c r="O126" i="45" s="1"/>
  <c r="R339" i="48"/>
  <c r="R338" i="48"/>
  <c r="R337" i="48"/>
  <c r="R336" i="48"/>
  <c r="R335" i="48"/>
  <c r="R334" i="48"/>
  <c r="AB94" i="48"/>
  <c r="AB93" i="48"/>
  <c r="AB98" i="48" s="1"/>
  <c r="AB92" i="48"/>
  <c r="AB97" i="48" s="1"/>
  <c r="AB91" i="48"/>
  <c r="AB90" i="48"/>
  <c r="AB95" i="48" s="1"/>
  <c r="AB139" i="46"/>
  <c r="AC17" i="45"/>
  <c r="BI16" i="45"/>
  <c r="AD16" i="45"/>
  <c r="AB244" i="46"/>
  <c r="AB249" i="46" s="1"/>
  <c r="AB248" i="46"/>
  <c r="AC96" i="45" s="1"/>
  <c r="AB247" i="46"/>
  <c r="AB252" i="46" s="1"/>
  <c r="AB246" i="46"/>
  <c r="AB251" i="46" s="1"/>
  <c r="AB245" i="46"/>
  <c r="AB250" i="46" s="1"/>
  <c r="AB243" i="48"/>
  <c r="AA211" i="46"/>
  <c r="AB89" i="45" s="1"/>
  <c r="AA210" i="46"/>
  <c r="AA215" i="46" s="1"/>
  <c r="AA209" i="46"/>
  <c r="AA214" i="46" s="1"/>
  <c r="AA208" i="46"/>
  <c r="AA213" i="46" s="1"/>
  <c r="AA207" i="46"/>
  <c r="AA212" i="46" s="1"/>
  <c r="AA206" i="48"/>
  <c r="W34" i="48"/>
  <c r="BD26" i="45"/>
  <c r="BD25" i="45"/>
  <c r="BD24" i="45"/>
  <c r="BD82" i="45"/>
  <c r="AS125" i="45"/>
  <c r="L371" i="48"/>
  <c r="AS126" i="45" s="1"/>
  <c r="V74" i="46"/>
  <c r="W76" i="45" s="1"/>
  <c r="V73" i="46"/>
  <c r="V78" i="46" s="1"/>
  <c r="V72" i="46"/>
  <c r="V77" i="46" s="1"/>
  <c r="V71" i="46"/>
  <c r="V76" i="46" s="1"/>
  <c r="V70" i="46"/>
  <c r="V75" i="46" s="1"/>
  <c r="V69" i="48"/>
  <c r="T313" i="46"/>
  <c r="T312" i="46"/>
  <c r="T311" i="46"/>
  <c r="T310" i="46"/>
  <c r="T315" i="46"/>
  <c r="T314" i="46"/>
  <c r="Z55" i="45"/>
  <c r="Z56" i="45"/>
  <c r="Z30" i="45"/>
  <c r="AB142" i="48"/>
  <c r="AB141" i="48"/>
  <c r="AB140" i="48"/>
  <c r="S310" i="48"/>
  <c r="S315" i="48"/>
  <c r="S314" i="48"/>
  <c r="S313" i="48"/>
  <c r="S311" i="48"/>
  <c r="S312" i="48"/>
  <c r="Q326" i="48"/>
  <c r="Q325" i="48"/>
  <c r="BA94" i="45"/>
  <c r="U94" i="45"/>
  <c r="BA93" i="45"/>
  <c r="U93" i="45"/>
  <c r="AB260" i="46"/>
  <c r="S341" i="48"/>
  <c r="S342" i="48" s="1"/>
  <c r="S318" i="48"/>
  <c r="S319" i="48" s="1"/>
  <c r="R326" i="48"/>
  <c r="R325" i="48"/>
  <c r="T73" i="48"/>
  <c r="T78" i="48" s="1"/>
  <c r="T72" i="48"/>
  <c r="T77" i="48" s="1"/>
  <c r="T71" i="48"/>
  <c r="T76" i="48" s="1"/>
  <c r="T70" i="48"/>
  <c r="T75" i="48" s="1"/>
  <c r="T74" i="48"/>
  <c r="AE20" i="48"/>
  <c r="AD26" i="48"/>
  <c r="AD41" i="48" s="1"/>
  <c r="BG77" i="45"/>
  <c r="U112" i="45"/>
  <c r="U110" i="45"/>
  <c r="U111" i="45"/>
  <c r="BA111" i="45"/>
  <c r="BA112" i="45"/>
  <c r="BA110" i="45"/>
  <c r="T115" i="45" l="1"/>
  <c r="AE36" i="53"/>
  <c r="BA117" i="45"/>
  <c r="AG56" i="12"/>
  <c r="U117" i="45"/>
  <c r="AF55" i="51"/>
  <c r="BH95" i="45"/>
  <c r="AU122" i="45"/>
  <c r="W99" i="46"/>
  <c r="W69" i="46"/>
  <c r="W44" i="46"/>
  <c r="W316" i="46" s="1"/>
  <c r="W79" i="46"/>
  <c r="AC246" i="46"/>
  <c r="AC251" i="46" s="1"/>
  <c r="BH42" i="45"/>
  <c r="AF57" i="12"/>
  <c r="AG60" i="12"/>
  <c r="AF39" i="20"/>
  <c r="BH44" i="45"/>
  <c r="BH43" i="45"/>
  <c r="BG19" i="45"/>
  <c r="BH69" i="45"/>
  <c r="BC84" i="45"/>
  <c r="BH108" i="45"/>
  <c r="BE34" i="45"/>
  <c r="BI83" i="45"/>
  <c r="AA35" i="48"/>
  <c r="Y58" i="45"/>
  <c r="AY115" i="45"/>
  <c r="Z34" i="45"/>
  <c r="BD84" i="45"/>
  <c r="BH107" i="45"/>
  <c r="AC69" i="45"/>
  <c r="BH105" i="45"/>
  <c r="BH99" i="45"/>
  <c r="X33" i="46"/>
  <c r="X39" i="46" s="1"/>
  <c r="X79" i="46" s="1"/>
  <c r="BN56" i="51"/>
  <c r="AF39" i="19"/>
  <c r="AG56" i="14"/>
  <c r="AG61" i="14"/>
  <c r="AG60" i="14"/>
  <c r="AG112" i="14"/>
  <c r="W37" i="48"/>
  <c r="AB43" i="48" s="1"/>
  <c r="BH98" i="45"/>
  <c r="BE68" i="45"/>
  <c r="AZ114" i="45"/>
  <c r="BD75" i="45"/>
  <c r="AG35" i="51"/>
  <c r="AG112" i="12"/>
  <c r="BL35" i="51"/>
  <c r="AF58" i="12"/>
  <c r="BI96" i="45"/>
  <c r="BA91" i="45"/>
  <c r="BA109" i="45"/>
  <c r="U114" i="45"/>
  <c r="X84" i="45"/>
  <c r="N122" i="45"/>
  <c r="AC42" i="45"/>
  <c r="AG61" i="12"/>
  <c r="AC43" i="45"/>
  <c r="AC44" i="45"/>
  <c r="AB35" i="46"/>
  <c r="AC95" i="45"/>
  <c r="BG20" i="45"/>
  <c r="BD70" i="45"/>
  <c r="AC202" i="48"/>
  <c r="R345" i="48"/>
  <c r="R346" i="48" s="1"/>
  <c r="R347" i="48" s="1"/>
  <c r="W33" i="48"/>
  <c r="W39" i="48" s="1"/>
  <c r="W44" i="48" s="1"/>
  <c r="W271" i="48" s="1"/>
  <c r="BC111" i="45"/>
  <c r="Y59" i="45"/>
  <c r="AC243" i="48"/>
  <c r="AC247" i="48" s="1"/>
  <c r="AC252" i="48" s="1"/>
  <c r="X37" i="46"/>
  <c r="AC43" i="46" s="1"/>
  <c r="AC247" i="46"/>
  <c r="AC252" i="46" s="1"/>
  <c r="AC248" i="46"/>
  <c r="AD96" i="45" s="1"/>
  <c r="BD58" i="45"/>
  <c r="AC244" i="46"/>
  <c r="AC249" i="46" s="1"/>
  <c r="AC139" i="46"/>
  <c r="BD104" i="45"/>
  <c r="BD59" i="45"/>
  <c r="BD60" i="45"/>
  <c r="Z57" i="45"/>
  <c r="M365" i="46"/>
  <c r="BC112" i="45"/>
  <c r="AD41" i="45"/>
  <c r="Y70" i="45"/>
  <c r="BF30" i="45"/>
  <c r="AD63" i="54"/>
  <c r="AC144" i="46"/>
  <c r="AC145" i="46" s="1"/>
  <c r="AC150" i="46" s="1"/>
  <c r="BI41" i="45"/>
  <c r="AC139" i="48"/>
  <c r="BE57" i="45"/>
  <c r="AA33" i="45"/>
  <c r="BG21" i="45"/>
  <c r="AA30" i="45"/>
  <c r="AT119" i="45"/>
  <c r="T334" i="46"/>
  <c r="T335" i="46"/>
  <c r="T339" i="46"/>
  <c r="T338" i="46"/>
  <c r="T337" i="46"/>
  <c r="T336" i="46"/>
  <c r="BD85" i="45"/>
  <c r="BN31" i="51"/>
  <c r="BN34" i="51"/>
  <c r="BN32" i="51"/>
  <c r="AA21" i="45"/>
  <c r="AF240" i="48"/>
  <c r="AF241" i="48" s="1"/>
  <c r="AE241" i="48"/>
  <c r="W82" i="46"/>
  <c r="W87" i="46" s="1"/>
  <c r="W81" i="46"/>
  <c r="W86" i="46" s="1"/>
  <c r="W80" i="46"/>
  <c r="W85" i="46" s="1"/>
  <c r="W83" i="46"/>
  <c r="W88" i="46" s="1"/>
  <c r="W84" i="46"/>
  <c r="X90" i="45" s="1"/>
  <c r="W79" i="48"/>
  <c r="AF20" i="46"/>
  <c r="AE26" i="46"/>
  <c r="AE41" i="46" s="1"/>
  <c r="U320" i="46"/>
  <c r="U317" i="46"/>
  <c r="AE25" i="48"/>
  <c r="AE40" i="48" s="1"/>
  <c r="AF19" i="48"/>
  <c r="AA166" i="48"/>
  <c r="AA171" i="48" s="1"/>
  <c r="AA165" i="48"/>
  <c r="AA170" i="48" s="1"/>
  <c r="AA167" i="48"/>
  <c r="AA172" i="48" s="1"/>
  <c r="AA169" i="48"/>
  <c r="AA168" i="48"/>
  <c r="AA173" i="48" s="1"/>
  <c r="V93" i="45"/>
  <c r="BB94" i="45"/>
  <c r="V94" i="45"/>
  <c r="BB93" i="45"/>
  <c r="U116" i="45"/>
  <c r="Q330" i="46"/>
  <c r="Q329" i="46"/>
  <c r="Q333" i="46" s="1"/>
  <c r="AD137" i="46"/>
  <c r="AD144" i="46" s="1"/>
  <c r="AE136" i="46"/>
  <c r="AD138" i="46"/>
  <c r="AD200" i="46"/>
  <c r="AD201" i="46"/>
  <c r="BM33" i="51"/>
  <c r="M363" i="48"/>
  <c r="AT120" i="45" s="1"/>
  <c r="W275" i="46"/>
  <c r="V308" i="46"/>
  <c r="V309" i="46" s="1"/>
  <c r="BD86" i="45"/>
  <c r="U308" i="48"/>
  <c r="U309" i="48" s="1"/>
  <c r="V275" i="48"/>
  <c r="V100" i="48"/>
  <c r="V105" i="48" s="1"/>
  <c r="V104" i="48"/>
  <c r="V103" i="48"/>
  <c r="V108" i="48" s="1"/>
  <c r="V102" i="48"/>
  <c r="V107" i="48" s="1"/>
  <c r="V101" i="48"/>
  <c r="V106" i="48" s="1"/>
  <c r="T341" i="48"/>
  <c r="T342" i="48" s="1"/>
  <c r="T318" i="48"/>
  <c r="T319" i="48" s="1"/>
  <c r="W320" i="46"/>
  <c r="W317" i="46"/>
  <c r="Z68" i="45"/>
  <c r="BH77" i="45"/>
  <c r="AD94" i="46"/>
  <c r="AD93" i="46"/>
  <c r="AD98" i="46" s="1"/>
  <c r="AD92" i="46"/>
  <c r="AD97" i="46" s="1"/>
  <c r="AD91" i="46"/>
  <c r="AD90" i="46"/>
  <c r="AD95" i="46" s="1"/>
  <c r="AD89" i="48"/>
  <c r="U118" i="45"/>
  <c r="AC29" i="48"/>
  <c r="X34" i="46"/>
  <c r="Y26" i="45"/>
  <c r="Y25" i="45"/>
  <c r="Y24" i="45"/>
  <c r="Y82" i="45"/>
  <c r="U74" i="48"/>
  <c r="U73" i="48"/>
  <c r="U78" i="48" s="1"/>
  <c r="U72" i="48"/>
  <c r="U77" i="48" s="1"/>
  <c r="U71" i="48"/>
  <c r="U76" i="48" s="1"/>
  <c r="U70" i="48"/>
  <c r="U75" i="48" s="1"/>
  <c r="AE241" i="46"/>
  <c r="AF240" i="46"/>
  <c r="AF241" i="46" s="1"/>
  <c r="V111" i="45"/>
  <c r="V110" i="45"/>
  <c r="V112" i="45"/>
  <c r="BB110" i="45"/>
  <c r="BB111" i="45"/>
  <c r="BB112" i="45"/>
  <c r="Q343" i="48"/>
  <c r="Q344" i="48" s="1"/>
  <c r="Q345" i="48"/>
  <c r="Q346" i="48" s="1"/>
  <c r="V83" i="48"/>
  <c r="V88" i="48" s="1"/>
  <c r="V82" i="48"/>
  <c r="V87" i="48" s="1"/>
  <c r="V81" i="48"/>
  <c r="V86" i="48" s="1"/>
  <c r="V80" i="48"/>
  <c r="V85" i="48" s="1"/>
  <c r="V84" i="48"/>
  <c r="AA221" i="48"/>
  <c r="AA220" i="48"/>
  <c r="AA225" i="48" s="1"/>
  <c r="AA219" i="48"/>
  <c r="AA224" i="48" s="1"/>
  <c r="AA218" i="48"/>
  <c r="AA223" i="48" s="1"/>
  <c r="AA217" i="48"/>
  <c r="AA222" i="48" s="1"/>
  <c r="M370" i="46"/>
  <c r="BD87" i="45"/>
  <c r="BD73" i="45"/>
  <c r="BH89" i="45"/>
  <c r="AH33" i="51"/>
  <c r="T311" i="48"/>
  <c r="T310" i="48"/>
  <c r="T315" i="48"/>
  <c r="T314" i="48"/>
  <c r="T312" i="48"/>
  <c r="T313" i="48"/>
  <c r="BC87" i="45"/>
  <c r="BC73" i="45"/>
  <c r="BC106" i="45"/>
  <c r="W109" i="45"/>
  <c r="AC204" i="48"/>
  <c r="AC203" i="48"/>
  <c r="V318" i="46"/>
  <c r="V319" i="46" s="1"/>
  <c r="V341" i="46"/>
  <c r="V342" i="46" s="1"/>
  <c r="AD258" i="48"/>
  <c r="AE257" i="48"/>
  <c r="AD154" i="53"/>
  <c r="AE153" i="53"/>
  <c r="U317" i="48"/>
  <c r="U320" i="48"/>
  <c r="S328" i="48"/>
  <c r="S327" i="48"/>
  <c r="AA158" i="48"/>
  <c r="AA163" i="48" s="1"/>
  <c r="AA157" i="48"/>
  <c r="AA162" i="48" s="1"/>
  <c r="AA156" i="48"/>
  <c r="AA161" i="48" s="1"/>
  <c r="AA155" i="48"/>
  <c r="AA160" i="48" s="1"/>
  <c r="AA159" i="48"/>
  <c r="AD24" i="48"/>
  <c r="AE18" i="48"/>
  <c r="BB76" i="45"/>
  <c r="V78" i="45"/>
  <c r="T325" i="48"/>
  <c r="T326" i="48"/>
  <c r="P347" i="48"/>
  <c r="P349" i="48" s="1"/>
  <c r="P348" i="48"/>
  <c r="AD243" i="46"/>
  <c r="AH55" i="12"/>
  <c r="AA55" i="45"/>
  <c r="AA56" i="45"/>
  <c r="BC90" i="45"/>
  <c r="W91" i="45"/>
  <c r="BB97" i="45"/>
  <c r="V100" i="45"/>
  <c r="V113" i="45"/>
  <c r="BC76" i="45"/>
  <c r="W78" i="45"/>
  <c r="AC18" i="45"/>
  <c r="BC85" i="45"/>
  <c r="BC71" i="45"/>
  <c r="W112" i="45"/>
  <c r="W110" i="45"/>
  <c r="W111" i="45"/>
  <c r="V111" i="48"/>
  <c r="V116" i="48" s="1"/>
  <c r="V114" i="48"/>
  <c r="V113" i="48"/>
  <c r="V118" i="48" s="1"/>
  <c r="V110" i="48"/>
  <c r="V115" i="48" s="1"/>
  <c r="V112" i="48"/>
  <c r="V117" i="48" s="1"/>
  <c r="V274" i="48"/>
  <c r="X71" i="45"/>
  <c r="X85" i="45"/>
  <c r="AE66" i="46"/>
  <c r="AE89" i="46" s="1"/>
  <c r="AE65" i="46"/>
  <c r="AE64" i="46"/>
  <c r="AE62" i="46"/>
  <c r="AE61" i="46"/>
  <c r="AF60" i="46"/>
  <c r="AE67" i="46"/>
  <c r="AA265" i="48"/>
  <c r="AA264" i="48"/>
  <c r="AA269" i="48" s="1"/>
  <c r="AA263" i="48"/>
  <c r="AA268" i="48" s="1"/>
  <c r="AA262" i="48"/>
  <c r="AA267" i="48" s="1"/>
  <c r="AA261" i="48"/>
  <c r="AA266" i="48" s="1"/>
  <c r="AC245" i="48"/>
  <c r="AC250" i="48" s="1"/>
  <c r="Y34" i="46"/>
  <c r="Z26" i="45"/>
  <c r="Z25" i="45"/>
  <c r="Z24" i="45"/>
  <c r="Z82" i="45"/>
  <c r="V79" i="45"/>
  <c r="V80" i="45"/>
  <c r="V81" i="45"/>
  <c r="BB81" i="45"/>
  <c r="BB80" i="45"/>
  <c r="BB79" i="45"/>
  <c r="T332" i="48"/>
  <c r="T331" i="48"/>
  <c r="T343" i="48" s="1"/>
  <c r="AE39" i="45"/>
  <c r="BK38" i="45"/>
  <c r="AF38" i="45"/>
  <c r="AE40" i="45"/>
  <c r="BA78" i="45"/>
  <c r="AD154" i="54"/>
  <c r="AE153" i="54"/>
  <c r="AF21" i="46"/>
  <c r="AE27" i="46"/>
  <c r="AE42" i="46" s="1"/>
  <c r="AB31" i="48"/>
  <c r="AB306" i="48"/>
  <c r="P329" i="48"/>
  <c r="P333" i="48" s="1"/>
  <c r="P330" i="48"/>
  <c r="AF60" i="48"/>
  <c r="AE67" i="48"/>
  <c r="AE66" i="48"/>
  <c r="AE65" i="48"/>
  <c r="AE64" i="48"/>
  <c r="AE62" i="48"/>
  <c r="AE61" i="48"/>
  <c r="AB28" i="45"/>
  <c r="BH27" i="45"/>
  <c r="AC27" i="45"/>
  <c r="AB37" i="45"/>
  <c r="AB29" i="45"/>
  <c r="AB31" i="45"/>
  <c r="AB36" i="45"/>
  <c r="AB35" i="45"/>
  <c r="AB32" i="45"/>
  <c r="AB54" i="45"/>
  <c r="V101" i="45"/>
  <c r="V102" i="45"/>
  <c r="V103" i="45"/>
  <c r="BB101" i="45"/>
  <c r="BB102" i="45"/>
  <c r="BB103" i="45"/>
  <c r="AB156" i="46"/>
  <c r="AB161" i="46" s="1"/>
  <c r="AB155" i="46"/>
  <c r="AB160" i="46" s="1"/>
  <c r="AB159" i="46"/>
  <c r="AC98" i="45" s="1"/>
  <c r="AB158" i="46"/>
  <c r="AB163" i="46" s="1"/>
  <c r="AB157" i="46"/>
  <c r="AB162" i="46" s="1"/>
  <c r="AB154" i="48"/>
  <c r="R328" i="48"/>
  <c r="R327" i="48"/>
  <c r="S339" i="48"/>
  <c r="S338" i="48"/>
  <c r="S337" i="48"/>
  <c r="S336" i="48"/>
  <c r="S335" i="48"/>
  <c r="S334" i="48"/>
  <c r="AB246" i="48"/>
  <c r="AB251" i="48" s="1"/>
  <c r="AB245" i="48"/>
  <c r="AB250" i="48" s="1"/>
  <c r="AB244" i="48"/>
  <c r="AB249" i="48" s="1"/>
  <c r="AB247" i="48"/>
  <c r="AB252" i="48" s="1"/>
  <c r="AB248" i="48"/>
  <c r="AD17" i="45"/>
  <c r="BJ16" i="45"/>
  <c r="AE16" i="45"/>
  <c r="BC86" i="45"/>
  <c r="BC72" i="45"/>
  <c r="S326" i="46"/>
  <c r="S325" i="46"/>
  <c r="AF21" i="48"/>
  <c r="AE27" i="48"/>
  <c r="AE42" i="48" s="1"/>
  <c r="AC142" i="48"/>
  <c r="AC141" i="48"/>
  <c r="AC140" i="48"/>
  <c r="W271" i="46"/>
  <c r="X86" i="45"/>
  <c r="X72" i="45"/>
  <c r="AD63" i="46"/>
  <c r="U82" i="48"/>
  <c r="U87" i="48" s="1"/>
  <c r="U81" i="48"/>
  <c r="U86" i="48" s="1"/>
  <c r="U80" i="48"/>
  <c r="U85" i="48" s="1"/>
  <c r="U84" i="48"/>
  <c r="U83" i="48"/>
  <c r="U88" i="48" s="1"/>
  <c r="Z67" i="45"/>
  <c r="BJ40" i="45"/>
  <c r="BJ39" i="45"/>
  <c r="AF22" i="48"/>
  <c r="AE28" i="48"/>
  <c r="AC90" i="48"/>
  <c r="AC95" i="48" s="1"/>
  <c r="AC94" i="48"/>
  <c r="AC93" i="48"/>
  <c r="AC98" i="48" s="1"/>
  <c r="AC92" i="48"/>
  <c r="AC97" i="48" s="1"/>
  <c r="AC91" i="48"/>
  <c r="AF22" i="46"/>
  <c r="AE28" i="46"/>
  <c r="V320" i="46"/>
  <c r="V317" i="46"/>
  <c r="R343" i="46"/>
  <c r="R344" i="46" s="1"/>
  <c r="R345" i="46"/>
  <c r="R346" i="46" s="1"/>
  <c r="AC204" i="46"/>
  <c r="AC203" i="46"/>
  <c r="AB31" i="46"/>
  <c r="AB306" i="46"/>
  <c r="CO4" i="55"/>
  <c r="AD63" i="48"/>
  <c r="BG28" i="45"/>
  <c r="BG29" i="45"/>
  <c r="BG31" i="45"/>
  <c r="BG37" i="45"/>
  <c r="BG36" i="45"/>
  <c r="BG32" i="45"/>
  <c r="BG35" i="45"/>
  <c r="BG54" i="45"/>
  <c r="W94" i="45"/>
  <c r="BC93" i="45"/>
  <c r="W93" i="45"/>
  <c r="BC94" i="45"/>
  <c r="BH18" i="45"/>
  <c r="AB169" i="46"/>
  <c r="AC77" i="45" s="1"/>
  <c r="AB168" i="46"/>
  <c r="AB173" i="46" s="1"/>
  <c r="AB167" i="46"/>
  <c r="AB172" i="46" s="1"/>
  <c r="AB166" i="46"/>
  <c r="AB171" i="46" s="1"/>
  <c r="AB165" i="46"/>
  <c r="AB170" i="46" s="1"/>
  <c r="AB164" i="48"/>
  <c r="N123" i="45"/>
  <c r="N121" i="45"/>
  <c r="N124" i="45"/>
  <c r="S345" i="48"/>
  <c r="S346" i="48" s="1"/>
  <c r="S344" i="48"/>
  <c r="AA211" i="48"/>
  <c r="AA210" i="48"/>
  <c r="AA215" i="48" s="1"/>
  <c r="AA209" i="48"/>
  <c r="AA214" i="48" s="1"/>
  <c r="AA208" i="48"/>
  <c r="AA213" i="48" s="1"/>
  <c r="AA207" i="48"/>
  <c r="AA212" i="48" s="1"/>
  <c r="BI17" i="45"/>
  <c r="AD258" i="46"/>
  <c r="AE257" i="46"/>
  <c r="Q119" i="45"/>
  <c r="P365" i="46"/>
  <c r="P370" i="46"/>
  <c r="S332" i="46"/>
  <c r="S331" i="46"/>
  <c r="AB231" i="46"/>
  <c r="AC108" i="45" s="1"/>
  <c r="AB230" i="46"/>
  <c r="AB235" i="46" s="1"/>
  <c r="AB229" i="46"/>
  <c r="AB234" i="46" s="1"/>
  <c r="AB228" i="46"/>
  <c r="AB233" i="46" s="1"/>
  <c r="AB227" i="46"/>
  <c r="AB232" i="46" s="1"/>
  <c r="AB226" i="48"/>
  <c r="AE136" i="48"/>
  <c r="AD138" i="48"/>
  <c r="AD137" i="48"/>
  <c r="AD201" i="48"/>
  <c r="AD200" i="48"/>
  <c r="BC97" i="45"/>
  <c r="W100" i="45"/>
  <c r="W113" i="45"/>
  <c r="AH55" i="14"/>
  <c r="W113" i="46"/>
  <c r="W118" i="46" s="1"/>
  <c r="W112" i="46"/>
  <c r="W117" i="46" s="1"/>
  <c r="W111" i="46"/>
  <c r="W116" i="46" s="1"/>
  <c r="W110" i="46"/>
  <c r="W115" i="46" s="1"/>
  <c r="W114" i="46"/>
  <c r="X97" i="45" s="1"/>
  <c r="W109" i="48"/>
  <c r="W274" i="46"/>
  <c r="Q348" i="46"/>
  <c r="X87" i="45"/>
  <c r="X73" i="45"/>
  <c r="AF19" i="46"/>
  <c r="AE25" i="46"/>
  <c r="AE40" i="46" s="1"/>
  <c r="BA116" i="45"/>
  <c r="Q346" i="46"/>
  <c r="Q347" i="46" s="1"/>
  <c r="Q349" i="46" s="1"/>
  <c r="BF56" i="45"/>
  <c r="BF55" i="45"/>
  <c r="AC202" i="46"/>
  <c r="AC216" i="46"/>
  <c r="AC206" i="46"/>
  <c r="AC226" i="46"/>
  <c r="AE62" i="54"/>
  <c r="AE61" i="54"/>
  <c r="AF60" i="54"/>
  <c r="AE67" i="54"/>
  <c r="AE66" i="54"/>
  <c r="AE73" i="54" s="1"/>
  <c r="AE74" i="54" s="1"/>
  <c r="AE65" i="54"/>
  <c r="AE64" i="54"/>
  <c r="AB177" i="46"/>
  <c r="AB182" i="46" s="1"/>
  <c r="AB176" i="46"/>
  <c r="AB181" i="46" s="1"/>
  <c r="AB175" i="46"/>
  <c r="AB180" i="46" s="1"/>
  <c r="AB179" i="46"/>
  <c r="AC107" i="45" s="1"/>
  <c r="AB178" i="46"/>
  <c r="AB183" i="46" s="1"/>
  <c r="AB174" i="48"/>
  <c r="AB149" i="48"/>
  <c r="AB148" i="48"/>
  <c r="AB153" i="48" s="1"/>
  <c r="AB147" i="48"/>
  <c r="AB152" i="48" s="1"/>
  <c r="AB146" i="48"/>
  <c r="AB151" i="48" s="1"/>
  <c r="AB145" i="48"/>
  <c r="AB150" i="48" s="1"/>
  <c r="AB261" i="46"/>
  <c r="AB266" i="46" s="1"/>
  <c r="AB265" i="46"/>
  <c r="AC105" i="45" s="1"/>
  <c r="AB264" i="46"/>
  <c r="AB269" i="46" s="1"/>
  <c r="AB263" i="46"/>
  <c r="AB268" i="46" s="1"/>
  <c r="AB262" i="46"/>
  <c r="AB267" i="46" s="1"/>
  <c r="AB260" i="48"/>
  <c r="Q328" i="48"/>
  <c r="Q327" i="48"/>
  <c r="V74" i="48"/>
  <c r="V73" i="48"/>
  <c r="V78" i="48" s="1"/>
  <c r="V72" i="48"/>
  <c r="V77" i="48" s="1"/>
  <c r="V71" i="48"/>
  <c r="V76" i="48" s="1"/>
  <c r="V70" i="48"/>
  <c r="V75" i="48" s="1"/>
  <c r="AC260" i="46"/>
  <c r="AA231" i="48"/>
  <c r="AA227" i="48"/>
  <c r="AA232" i="48" s="1"/>
  <c r="AA230" i="48"/>
  <c r="AA235" i="48" s="1"/>
  <c r="AA229" i="48"/>
  <c r="AA234" i="48" s="1"/>
  <c r="AA228" i="48"/>
  <c r="AA233" i="48" s="1"/>
  <c r="AB211" i="46"/>
  <c r="AC89" i="45" s="1"/>
  <c r="AB210" i="46"/>
  <c r="AB215" i="46" s="1"/>
  <c r="AB209" i="46"/>
  <c r="AB214" i="46" s="1"/>
  <c r="AB208" i="46"/>
  <c r="AB213" i="46" s="1"/>
  <c r="AB207" i="46"/>
  <c r="AB212" i="46" s="1"/>
  <c r="AB206" i="48"/>
  <c r="BC110" i="45"/>
  <c r="BC103" i="45"/>
  <c r="W102" i="45"/>
  <c r="W103" i="45"/>
  <c r="BC102" i="45"/>
  <c r="W101" i="45"/>
  <c r="BC101" i="45"/>
  <c r="AA179" i="48"/>
  <c r="AA178" i="48"/>
  <c r="AA183" i="48" s="1"/>
  <c r="AA177" i="48"/>
  <c r="AA182" i="48" s="1"/>
  <c r="AA176" i="48"/>
  <c r="AA181" i="48" s="1"/>
  <c r="AA175" i="48"/>
  <c r="AA180" i="48" s="1"/>
  <c r="W103" i="46"/>
  <c r="W108" i="46" s="1"/>
  <c r="W102" i="46"/>
  <c r="W107" i="46" s="1"/>
  <c r="W101" i="46"/>
  <c r="W106" i="46" s="1"/>
  <c r="W100" i="46"/>
  <c r="W105" i="46" s="1"/>
  <c r="W104" i="46"/>
  <c r="X106" i="45" s="1"/>
  <c r="W99" i="48"/>
  <c r="BB90" i="45"/>
  <c r="V91" i="45"/>
  <c r="AE62" i="53"/>
  <c r="AE61" i="53"/>
  <c r="AF60" i="53"/>
  <c r="AE67" i="53"/>
  <c r="AE66" i="53"/>
  <c r="AE73" i="53" s="1"/>
  <c r="AE74" i="53" s="1"/>
  <c r="AE64" i="53"/>
  <c r="AE65" i="53"/>
  <c r="BF23" i="45"/>
  <c r="BA100" i="45"/>
  <c r="BA113" i="45"/>
  <c r="AC29" i="46"/>
  <c r="BE67" i="45"/>
  <c r="BE23" i="45"/>
  <c r="T321" i="46"/>
  <c r="T324" i="46"/>
  <c r="T323" i="46"/>
  <c r="T322" i="46"/>
  <c r="U104" i="48"/>
  <c r="U103" i="48"/>
  <c r="U108" i="48" s="1"/>
  <c r="U102" i="48"/>
  <c r="U107" i="48" s="1"/>
  <c r="U101" i="48"/>
  <c r="U106" i="48" s="1"/>
  <c r="U100" i="48"/>
  <c r="U105" i="48" s="1"/>
  <c r="U318" i="46"/>
  <c r="U319" i="46" s="1"/>
  <c r="U341" i="46"/>
  <c r="U342" i="46" s="1"/>
  <c r="R327" i="46"/>
  <c r="R328" i="46"/>
  <c r="AF20" i="48"/>
  <c r="AE26" i="48"/>
  <c r="AE41" i="48" s="1"/>
  <c r="W79" i="45"/>
  <c r="W80" i="45"/>
  <c r="W81" i="45"/>
  <c r="BC81" i="45"/>
  <c r="BC80" i="45"/>
  <c r="BC79" i="45"/>
  <c r="AB21" i="45"/>
  <c r="AB220" i="46"/>
  <c r="AB225" i="46" s="1"/>
  <c r="AB219" i="46"/>
  <c r="AB224" i="46" s="1"/>
  <c r="AB218" i="46"/>
  <c r="AB223" i="46" s="1"/>
  <c r="AB217" i="46"/>
  <c r="AB222" i="46" s="1"/>
  <c r="AB221" i="46"/>
  <c r="AC99" i="45" s="1"/>
  <c r="AB216" i="48"/>
  <c r="AF59" i="14"/>
  <c r="V316" i="48"/>
  <c r="W74" i="46"/>
  <c r="X76" i="45" s="1"/>
  <c r="W73" i="46"/>
  <c r="W78" i="46" s="1"/>
  <c r="W72" i="46"/>
  <c r="W77" i="46" s="1"/>
  <c r="W71" i="46"/>
  <c r="W76" i="46" s="1"/>
  <c r="W70" i="46"/>
  <c r="W75" i="46" s="1"/>
  <c r="W69" i="48"/>
  <c r="BA118" i="45"/>
  <c r="AD63" i="53"/>
  <c r="AE18" i="46"/>
  <c r="AD24" i="46"/>
  <c r="BF33" i="45"/>
  <c r="BB106" i="45"/>
  <c r="V109" i="45"/>
  <c r="AC142" i="46"/>
  <c r="AC174" i="46" s="1"/>
  <c r="AC141" i="46"/>
  <c r="AC164" i="46" s="1"/>
  <c r="AC140" i="46"/>
  <c r="AC154" i="46" s="1"/>
  <c r="U314" i="46"/>
  <c r="U313" i="46"/>
  <c r="U312" i="46"/>
  <c r="U311" i="46"/>
  <c r="U310" i="46"/>
  <c r="U315" i="46"/>
  <c r="AU119" i="45"/>
  <c r="N365" i="48"/>
  <c r="N370" i="48"/>
  <c r="U111" i="48"/>
  <c r="U116" i="48" s="1"/>
  <c r="U114" i="48"/>
  <c r="U113" i="48"/>
  <c r="U118" i="48" s="1"/>
  <c r="U110" i="48"/>
  <c r="U115" i="48" s="1"/>
  <c r="U112" i="48"/>
  <c r="U117" i="48" s="1"/>
  <c r="U274" i="48"/>
  <c r="AZ115" i="45" l="1"/>
  <c r="U115" i="45"/>
  <c r="X33" i="48"/>
  <c r="X39" i="48" s="1"/>
  <c r="BB117" i="45"/>
  <c r="AD44" i="45"/>
  <c r="BA114" i="45"/>
  <c r="Z75" i="45"/>
  <c r="BC117" i="45"/>
  <c r="V117" i="45"/>
  <c r="Z59" i="45"/>
  <c r="AA68" i="45"/>
  <c r="BL55" i="51"/>
  <c r="W117" i="45"/>
  <c r="BE75" i="45"/>
  <c r="AE36" i="54"/>
  <c r="AE243" i="46"/>
  <c r="X44" i="46"/>
  <c r="X316" i="46" s="1"/>
  <c r="Y33" i="46"/>
  <c r="Y39" i="46" s="1"/>
  <c r="Z104" i="45"/>
  <c r="AC248" i="48"/>
  <c r="AC244" i="48"/>
  <c r="AC249" i="48" s="1"/>
  <c r="AC246" i="48"/>
  <c r="AC251" i="48" s="1"/>
  <c r="W114" i="45"/>
  <c r="BI105" i="45"/>
  <c r="BC91" i="45"/>
  <c r="BI107" i="45"/>
  <c r="Z60" i="45"/>
  <c r="BJ96" i="45"/>
  <c r="BI43" i="45"/>
  <c r="Z58" i="45"/>
  <c r="BD72" i="45"/>
  <c r="AG57" i="12"/>
  <c r="BE70" i="45"/>
  <c r="BI108" i="45"/>
  <c r="AD69" i="45"/>
  <c r="X109" i="46"/>
  <c r="Y37" i="46"/>
  <c r="AD43" i="46" s="1"/>
  <c r="AD260" i="46" s="1"/>
  <c r="Y84" i="45"/>
  <c r="AT122" i="45"/>
  <c r="AG57" i="14"/>
  <c r="BD71" i="45"/>
  <c r="BI98" i="45"/>
  <c r="Z84" i="45"/>
  <c r="X99" i="46"/>
  <c r="BC109" i="45"/>
  <c r="BM35" i="51"/>
  <c r="BG23" i="45"/>
  <c r="AG58" i="12"/>
  <c r="BI99" i="45"/>
  <c r="BB109" i="45"/>
  <c r="V114" i="45"/>
  <c r="X69" i="46"/>
  <c r="AB35" i="48"/>
  <c r="AH35" i="51"/>
  <c r="AC35" i="46"/>
  <c r="AF36" i="53"/>
  <c r="AG55" i="51"/>
  <c r="AF59" i="12"/>
  <c r="BI69" i="45"/>
  <c r="BB91" i="45"/>
  <c r="X37" i="48"/>
  <c r="AC43" i="48" s="1"/>
  <c r="AG58" i="14"/>
  <c r="R348" i="48"/>
  <c r="R353" i="48" s="1"/>
  <c r="AC147" i="46"/>
  <c r="AC152" i="46" s="1"/>
  <c r="AC146" i="46"/>
  <c r="AC151" i="46" s="1"/>
  <c r="AC148" i="46"/>
  <c r="AC153" i="46" s="1"/>
  <c r="AC149" i="46"/>
  <c r="AD83" i="45" s="1"/>
  <c r="AC144" i="48"/>
  <c r="AC149" i="48" s="1"/>
  <c r="BA115" i="45"/>
  <c r="W116" i="45"/>
  <c r="BC116" i="45"/>
  <c r="W118" i="45"/>
  <c r="AD95" i="45"/>
  <c r="AD43" i="45"/>
  <c r="BD111" i="45"/>
  <c r="BE58" i="45"/>
  <c r="BE59" i="45"/>
  <c r="BE60" i="45"/>
  <c r="Z70" i="45"/>
  <c r="BC118" i="45"/>
  <c r="BE104" i="45"/>
  <c r="AA34" i="45"/>
  <c r="BF57" i="45"/>
  <c r="AD42" i="45"/>
  <c r="BF67" i="45"/>
  <c r="BI44" i="45"/>
  <c r="AE41" i="45"/>
  <c r="BI42" i="45"/>
  <c r="BI95" i="45"/>
  <c r="M365" i="48"/>
  <c r="AD202" i="48"/>
  <c r="AD139" i="48"/>
  <c r="AA57" i="45"/>
  <c r="X271" i="46"/>
  <c r="BJ41" i="45"/>
  <c r="AE63" i="48"/>
  <c r="BD112" i="45"/>
  <c r="U334" i="46"/>
  <c r="U336" i="46"/>
  <c r="U335" i="46"/>
  <c r="U339" i="46"/>
  <c r="U338" i="46"/>
  <c r="U337" i="46"/>
  <c r="AC31" i="46"/>
  <c r="AC306" i="46"/>
  <c r="CP4" i="55"/>
  <c r="AB211" i="48"/>
  <c r="AB210" i="48"/>
  <c r="AB215" i="48" s="1"/>
  <c r="AB209" i="48"/>
  <c r="AB214" i="48" s="1"/>
  <c r="AB208" i="48"/>
  <c r="AB213" i="48" s="1"/>
  <c r="AB207" i="48"/>
  <c r="AB212" i="48" s="1"/>
  <c r="BD110" i="45"/>
  <c r="BD97" i="45"/>
  <c r="X100" i="45"/>
  <c r="X113" i="45"/>
  <c r="AD204" i="48"/>
  <c r="AD203" i="48"/>
  <c r="S348" i="48"/>
  <c r="BG33" i="45"/>
  <c r="V323" i="46"/>
  <c r="V322" i="46"/>
  <c r="V321" i="46"/>
  <c r="V324" i="46"/>
  <c r="BB116" i="45"/>
  <c r="Z72" i="45"/>
  <c r="Z86" i="45"/>
  <c r="AE94" i="46"/>
  <c r="AE93" i="46"/>
  <c r="AE98" i="46" s="1"/>
  <c r="AE92" i="46"/>
  <c r="AE97" i="46" s="1"/>
  <c r="AE91" i="46"/>
  <c r="AE90" i="46"/>
  <c r="AE95" i="46" s="1"/>
  <c r="AE89" i="48"/>
  <c r="AD204" i="46"/>
  <c r="AD203" i="46"/>
  <c r="AF25" i="48"/>
  <c r="AF40" i="48" s="1"/>
  <c r="AG19" i="48"/>
  <c r="AG25" i="48" s="1"/>
  <c r="AG40" i="48" s="1"/>
  <c r="X94" i="45"/>
  <c r="BD93" i="45"/>
  <c r="X93" i="45"/>
  <c r="BD94" i="45"/>
  <c r="BF68" i="45"/>
  <c r="BF34" i="45"/>
  <c r="V317" i="48"/>
  <c r="V320" i="48"/>
  <c r="X102" i="45"/>
  <c r="X101" i="45"/>
  <c r="X103" i="45"/>
  <c r="BD102" i="45"/>
  <c r="BD101" i="45"/>
  <c r="BD103" i="45"/>
  <c r="S328" i="46"/>
  <c r="S327" i="46"/>
  <c r="AF153" i="54"/>
  <c r="AF154" i="54" s="1"/>
  <c r="AE154" i="54"/>
  <c r="AF39" i="45"/>
  <c r="BL38" i="45"/>
  <c r="AG38" i="45"/>
  <c r="AF40" i="45"/>
  <c r="Z87" i="45"/>
  <c r="AC20" i="45"/>
  <c r="AC19" i="45"/>
  <c r="BB100" i="45"/>
  <c r="BB113" i="45"/>
  <c r="AE24" i="48"/>
  <c r="AF18" i="48"/>
  <c r="Q347" i="48"/>
  <c r="Q349" i="48" s="1"/>
  <c r="Q348" i="48"/>
  <c r="AC31" i="48"/>
  <c r="AC306" i="48"/>
  <c r="AD206" i="46"/>
  <c r="AD202" i="46"/>
  <c r="AD216" i="46"/>
  <c r="AD226" i="46"/>
  <c r="X44" i="48"/>
  <c r="X316" i="48" s="1"/>
  <c r="AB221" i="48"/>
  <c r="AB220" i="48"/>
  <c r="AB225" i="48" s="1"/>
  <c r="AB219" i="48"/>
  <c r="AB224" i="48" s="1"/>
  <c r="AB218" i="48"/>
  <c r="AB223" i="48" s="1"/>
  <c r="AB217" i="48"/>
  <c r="AB222" i="48" s="1"/>
  <c r="AD29" i="46"/>
  <c r="X80" i="45"/>
  <c r="X81" i="45"/>
  <c r="X79" i="45"/>
  <c r="BD81" i="45"/>
  <c r="BD79" i="45"/>
  <c r="BD80" i="45"/>
  <c r="AF26" i="48"/>
  <c r="AF41" i="48" s="1"/>
  <c r="AG20" i="48"/>
  <c r="AG26" i="48" s="1"/>
  <c r="AG41" i="48" s="1"/>
  <c r="R330" i="46"/>
  <c r="R329" i="46"/>
  <c r="R333" i="46" s="1"/>
  <c r="AF64" i="54"/>
  <c r="AF62" i="54"/>
  <c r="AF61" i="54"/>
  <c r="AF67" i="54"/>
  <c r="AF66" i="54"/>
  <c r="AF73" i="54" s="1"/>
  <c r="AF74" i="54" s="1"/>
  <c r="AF65" i="54"/>
  <c r="AD142" i="48"/>
  <c r="AD141" i="48"/>
  <c r="AD140" i="48"/>
  <c r="AE258" i="46"/>
  <c r="AF257" i="46"/>
  <c r="AF258" i="46" s="1"/>
  <c r="BG55" i="45"/>
  <c r="BG56" i="45"/>
  <c r="BG30" i="45"/>
  <c r="AD18" i="45"/>
  <c r="AB55" i="45"/>
  <c r="AB56" i="45"/>
  <c r="AC28" i="45"/>
  <c r="BI27" i="45"/>
  <c r="AD27" i="45"/>
  <c r="AC32" i="45"/>
  <c r="AC37" i="45"/>
  <c r="AC29" i="45"/>
  <c r="AC31" i="45"/>
  <c r="AC36" i="45"/>
  <c r="AC35" i="45"/>
  <c r="AC54" i="45"/>
  <c r="BK40" i="45"/>
  <c r="BK39" i="45"/>
  <c r="BB118" i="45"/>
  <c r="X114" i="46"/>
  <c r="Y97" i="45" s="1"/>
  <c r="X113" i="46"/>
  <c r="X118" i="46" s="1"/>
  <c r="X112" i="46"/>
  <c r="X117" i="46" s="1"/>
  <c r="X111" i="46"/>
  <c r="X116" i="46" s="1"/>
  <c r="X110" i="46"/>
  <c r="X115" i="46" s="1"/>
  <c r="X109" i="48"/>
  <c r="X274" i="46"/>
  <c r="P353" i="48"/>
  <c r="P354" i="48" s="1"/>
  <c r="AD29" i="48"/>
  <c r="N125" i="45"/>
  <c r="M371" i="46"/>
  <c r="N126" i="45" s="1"/>
  <c r="W324" i="46"/>
  <c r="W323" i="46"/>
  <c r="W322" i="46"/>
  <c r="W321" i="46"/>
  <c r="AD142" i="46"/>
  <c r="AD174" i="46" s="1"/>
  <c r="AD141" i="46"/>
  <c r="AD164" i="46" s="1"/>
  <c r="AD140" i="46"/>
  <c r="AD154" i="46" s="1"/>
  <c r="M370" i="48"/>
  <c r="W74" i="48"/>
  <c r="W73" i="48"/>
  <c r="W78" i="48" s="1"/>
  <c r="W72" i="48"/>
  <c r="W77" i="48" s="1"/>
  <c r="W71" i="48"/>
  <c r="W76" i="48" s="1"/>
  <c r="W70" i="48"/>
  <c r="W75" i="48" s="1"/>
  <c r="AF18" i="46"/>
  <c r="AE24" i="46"/>
  <c r="T326" i="46"/>
  <c r="T325" i="46"/>
  <c r="AE63" i="54"/>
  <c r="AG19" i="46"/>
  <c r="AG25" i="46" s="1"/>
  <c r="AG40" i="46" s="1"/>
  <c r="AF25" i="46"/>
  <c r="AF40" i="46" s="1"/>
  <c r="AE137" i="48"/>
  <c r="AF136" i="48"/>
  <c r="AE138" i="48"/>
  <c r="AE200" i="48"/>
  <c r="AE201" i="48"/>
  <c r="S343" i="46"/>
  <c r="S344" i="46" s="1"/>
  <c r="S345" i="46"/>
  <c r="AG22" i="46"/>
  <c r="AG28" i="46" s="1"/>
  <c r="AF28" i="46"/>
  <c r="AE17" i="45"/>
  <c r="BK16" i="45"/>
  <c r="AF16" i="45"/>
  <c r="BH28" i="45"/>
  <c r="BH29" i="45"/>
  <c r="BH31" i="45"/>
  <c r="BH37" i="45"/>
  <c r="BH36" i="45"/>
  <c r="BH32" i="45"/>
  <c r="BH35" i="45"/>
  <c r="BH54" i="45"/>
  <c r="AF67" i="48"/>
  <c r="AF66" i="48"/>
  <c r="AF65" i="48"/>
  <c r="AF64" i="48"/>
  <c r="AF62" i="48"/>
  <c r="AF61" i="48"/>
  <c r="V118" i="45"/>
  <c r="X104" i="46"/>
  <c r="Y106" i="45" s="1"/>
  <c r="X103" i="46"/>
  <c r="X108" i="46" s="1"/>
  <c r="X102" i="46"/>
  <c r="X107" i="46" s="1"/>
  <c r="X101" i="46"/>
  <c r="X106" i="46" s="1"/>
  <c r="X100" i="46"/>
  <c r="X105" i="46" s="1"/>
  <c r="X99" i="48"/>
  <c r="AF67" i="46"/>
  <c r="AF66" i="46"/>
  <c r="AF89" i="46" s="1"/>
  <c r="AF65" i="46"/>
  <c r="AF64" i="46"/>
  <c r="AF62" i="46"/>
  <c r="AF61" i="46"/>
  <c r="BB114" i="45"/>
  <c r="BB78" i="45"/>
  <c r="AE154" i="53"/>
  <c r="AF153" i="53"/>
  <c r="AF154" i="53" s="1"/>
  <c r="AE258" i="48"/>
  <c r="AF257" i="48"/>
  <c r="AF258" i="48" s="1"/>
  <c r="AE138" i="46"/>
  <c r="AE137" i="46"/>
  <c r="AE144" i="46" s="1"/>
  <c r="AF136" i="46"/>
  <c r="AE200" i="46"/>
  <c r="AE201" i="46"/>
  <c r="AU125" i="45"/>
  <c r="N371" i="48"/>
  <c r="AU126" i="45" s="1"/>
  <c r="T332" i="46"/>
  <c r="T331" i="46"/>
  <c r="Q330" i="48"/>
  <c r="Q329" i="48"/>
  <c r="Q333" i="48" s="1"/>
  <c r="AB179" i="48"/>
  <c r="AB178" i="48"/>
  <c r="AB183" i="48" s="1"/>
  <c r="AB177" i="48"/>
  <c r="AB182" i="48" s="1"/>
  <c r="AB176" i="48"/>
  <c r="AB181" i="48" s="1"/>
  <c r="AB175" i="48"/>
  <c r="AB180" i="48" s="1"/>
  <c r="BF104" i="45"/>
  <c r="BC100" i="45"/>
  <c r="BC113" i="45"/>
  <c r="BI77" i="45"/>
  <c r="R347" i="46"/>
  <c r="R349" i="46" s="1"/>
  <c r="R348" i="46"/>
  <c r="AG22" i="48"/>
  <c r="AG28" i="48" s="1"/>
  <c r="AF28" i="48"/>
  <c r="BJ17" i="45"/>
  <c r="AB30" i="45"/>
  <c r="X74" i="46"/>
  <c r="Y76" i="45" s="1"/>
  <c r="X73" i="46"/>
  <c r="X78" i="46" s="1"/>
  <c r="X72" i="46"/>
  <c r="X77" i="46" s="1"/>
  <c r="X71" i="46"/>
  <c r="X76" i="46" s="1"/>
  <c r="X70" i="46"/>
  <c r="X75" i="46" s="1"/>
  <c r="X69" i="48"/>
  <c r="AE63" i="46"/>
  <c r="BC114" i="45"/>
  <c r="BC78" i="45"/>
  <c r="AG39" i="20"/>
  <c r="AH56" i="12"/>
  <c r="AH61" i="12"/>
  <c r="AH60" i="12"/>
  <c r="AH112" i="12"/>
  <c r="AD246" i="46"/>
  <c r="AD251" i="46" s="1"/>
  <c r="AD245" i="46"/>
  <c r="AD250" i="46" s="1"/>
  <c r="AD244" i="46"/>
  <c r="AD249" i="46" s="1"/>
  <c r="AD248" i="46"/>
  <c r="AE96" i="45" s="1"/>
  <c r="AD247" i="46"/>
  <c r="AD252" i="46" s="1"/>
  <c r="AD243" i="48"/>
  <c r="AE247" i="46"/>
  <c r="AE252" i="46" s="1"/>
  <c r="AE246" i="46"/>
  <c r="AE251" i="46" s="1"/>
  <c r="AE245" i="46"/>
  <c r="AE250" i="46" s="1"/>
  <c r="AE244" i="46"/>
  <c r="AE249" i="46" s="1"/>
  <c r="AE248" i="46"/>
  <c r="AF96" i="45" s="1"/>
  <c r="AE243" i="48"/>
  <c r="Y71" i="45"/>
  <c r="Y85" i="45"/>
  <c r="AD139" i="46"/>
  <c r="U322" i="46"/>
  <c r="U321" i="46"/>
  <c r="U324" i="46"/>
  <c r="U323" i="46"/>
  <c r="BN33" i="51"/>
  <c r="AC157" i="46"/>
  <c r="AC162" i="46" s="1"/>
  <c r="AC156" i="46"/>
  <c r="AC161" i="46" s="1"/>
  <c r="AC155" i="46"/>
  <c r="AC160" i="46" s="1"/>
  <c r="AC159" i="46"/>
  <c r="AD98" i="45" s="1"/>
  <c r="AC158" i="46"/>
  <c r="AC163" i="46" s="1"/>
  <c r="AC154" i="48"/>
  <c r="W101" i="48"/>
  <c r="W106" i="48" s="1"/>
  <c r="W100" i="48"/>
  <c r="W105" i="48" s="1"/>
  <c r="W104" i="48"/>
  <c r="W103" i="48"/>
  <c r="W108" i="48" s="1"/>
  <c r="W102" i="48"/>
  <c r="W107" i="48" s="1"/>
  <c r="BI89" i="45"/>
  <c r="AC262" i="46"/>
  <c r="AC267" i="46" s="1"/>
  <c r="AC261" i="46"/>
  <c r="AC266" i="46" s="1"/>
  <c r="AC265" i="46"/>
  <c r="AD105" i="45" s="1"/>
  <c r="AC264" i="46"/>
  <c r="AC269" i="46" s="1"/>
  <c r="AC263" i="46"/>
  <c r="AC268" i="46" s="1"/>
  <c r="AC260" i="48"/>
  <c r="AC231" i="46"/>
  <c r="AD108" i="45" s="1"/>
  <c r="AC230" i="46"/>
  <c r="AC235" i="46" s="1"/>
  <c r="AC229" i="46"/>
  <c r="AC234" i="46" s="1"/>
  <c r="AC228" i="46"/>
  <c r="AC233" i="46" s="1"/>
  <c r="AC227" i="46"/>
  <c r="AC232" i="46" s="1"/>
  <c r="AC226" i="48"/>
  <c r="AG39" i="19"/>
  <c r="AH56" i="14"/>
  <c r="AH61" i="14"/>
  <c r="AH60" i="14"/>
  <c r="AH112" i="14"/>
  <c r="AB231" i="48"/>
  <c r="AB227" i="48"/>
  <c r="AB232" i="48" s="1"/>
  <c r="AB230" i="48"/>
  <c r="AB235" i="48" s="1"/>
  <c r="AB229" i="48"/>
  <c r="AB234" i="48" s="1"/>
  <c r="AB228" i="48"/>
  <c r="AB233" i="48" s="1"/>
  <c r="Q125" i="45"/>
  <c r="P371" i="46"/>
  <c r="Q126" i="45" s="1"/>
  <c r="BH19" i="45"/>
  <c r="BH20" i="45"/>
  <c r="AD149" i="46"/>
  <c r="AE83" i="45" s="1"/>
  <c r="AD148" i="46"/>
  <c r="AD153" i="46" s="1"/>
  <c r="AD147" i="46"/>
  <c r="AD152" i="46" s="1"/>
  <c r="AD146" i="46"/>
  <c r="AD151" i="46" s="1"/>
  <c r="AD145" i="46"/>
  <c r="AD150" i="46" s="1"/>
  <c r="AD144" i="48"/>
  <c r="AB159" i="48"/>
  <c r="AB158" i="48"/>
  <c r="AB163" i="48" s="1"/>
  <c r="AB157" i="48"/>
  <c r="AB162" i="48" s="1"/>
  <c r="AB156" i="48"/>
  <c r="AB161" i="48" s="1"/>
  <c r="AB155" i="48"/>
  <c r="AB160" i="48" s="1"/>
  <c r="AG21" i="46"/>
  <c r="AG27" i="46" s="1"/>
  <c r="AG42" i="46" s="1"/>
  <c r="AF27" i="46"/>
  <c r="AF42" i="46" s="1"/>
  <c r="V116" i="45"/>
  <c r="X83" i="46"/>
  <c r="X88" i="46" s="1"/>
  <c r="X80" i="46"/>
  <c r="X85" i="46" s="1"/>
  <c r="X82" i="46"/>
  <c r="X87" i="46" s="1"/>
  <c r="X81" i="46"/>
  <c r="X86" i="46" s="1"/>
  <c r="X84" i="46"/>
  <c r="Y90" i="45" s="1"/>
  <c r="X79" i="48"/>
  <c r="V318" i="48"/>
  <c r="V319" i="48" s="1"/>
  <c r="V341" i="48"/>
  <c r="V342" i="48" s="1"/>
  <c r="Y86" i="45"/>
  <c r="Y72" i="45"/>
  <c r="AD91" i="48"/>
  <c r="AD90" i="48"/>
  <c r="AD95" i="48" s="1"/>
  <c r="AD94" i="48"/>
  <c r="AD93" i="48"/>
  <c r="AD98" i="48" s="1"/>
  <c r="AD92" i="48"/>
  <c r="AD97" i="48" s="1"/>
  <c r="T339" i="48"/>
  <c r="T338" i="48"/>
  <c r="T337" i="48"/>
  <c r="T336" i="48"/>
  <c r="T335" i="48"/>
  <c r="T334" i="48"/>
  <c r="W84" i="48"/>
  <c r="W83" i="48"/>
  <c r="W88" i="48" s="1"/>
  <c r="W82" i="48"/>
  <c r="W87" i="48" s="1"/>
  <c r="W81" i="48"/>
  <c r="W86" i="48" s="1"/>
  <c r="W80" i="48"/>
  <c r="W85" i="48" s="1"/>
  <c r="AA67" i="45"/>
  <c r="AA23" i="45"/>
  <c r="AT124" i="45"/>
  <c r="AT123" i="45"/>
  <c r="AT121" i="45"/>
  <c r="U318" i="48"/>
  <c r="U319" i="48" s="1"/>
  <c r="U341" i="48"/>
  <c r="U342" i="48" s="1"/>
  <c r="AU121" i="45"/>
  <c r="AU123" i="45"/>
  <c r="AU124" i="45"/>
  <c r="AC169" i="46"/>
  <c r="AD77" i="45" s="1"/>
  <c r="AC168" i="46"/>
  <c r="AC173" i="46" s="1"/>
  <c r="AC167" i="46"/>
  <c r="AC172" i="46" s="1"/>
  <c r="AC166" i="46"/>
  <c r="AC171" i="46" s="1"/>
  <c r="AC165" i="46"/>
  <c r="AC170" i="46" s="1"/>
  <c r="AC164" i="48"/>
  <c r="BD76" i="45"/>
  <c r="X78" i="45"/>
  <c r="X34" i="48"/>
  <c r="BE26" i="45"/>
  <c r="BE25" i="45"/>
  <c r="BE24" i="45"/>
  <c r="BE82" i="45"/>
  <c r="AF64" i="53"/>
  <c r="AF62" i="53"/>
  <c r="AF61" i="53"/>
  <c r="AF67" i="53"/>
  <c r="AF65" i="53"/>
  <c r="AF66" i="53"/>
  <c r="AF73" i="53" s="1"/>
  <c r="AF74" i="53" s="1"/>
  <c r="BD106" i="45"/>
  <c r="X109" i="45"/>
  <c r="AB265" i="48"/>
  <c r="AB264" i="48"/>
  <c r="AB269" i="48" s="1"/>
  <c r="AB263" i="48"/>
  <c r="AB268" i="48" s="1"/>
  <c r="AB262" i="48"/>
  <c r="AB267" i="48" s="1"/>
  <c r="AB261" i="48"/>
  <c r="AB266" i="48" s="1"/>
  <c r="AC211" i="46"/>
  <c r="AD89" i="45" s="1"/>
  <c r="AC210" i="46"/>
  <c r="AC215" i="46" s="1"/>
  <c r="AC209" i="46"/>
  <c r="AC214" i="46" s="1"/>
  <c r="AC208" i="46"/>
  <c r="AC213" i="46" s="1"/>
  <c r="AC207" i="46"/>
  <c r="AC212" i="46" s="1"/>
  <c r="AC206" i="48"/>
  <c r="Q353" i="46"/>
  <c r="Q354" i="46" s="1"/>
  <c r="W318" i="46"/>
  <c r="W319" i="46" s="1"/>
  <c r="W341" i="46"/>
  <c r="W342" i="46" s="1"/>
  <c r="BI18" i="45"/>
  <c r="AG21" i="48"/>
  <c r="AG27" i="48" s="1"/>
  <c r="AG42" i="48" s="1"/>
  <c r="AF27" i="48"/>
  <c r="AF42" i="48" s="1"/>
  <c r="R330" i="48"/>
  <c r="R329" i="48"/>
  <c r="R333" i="48" s="1"/>
  <c r="AB33" i="45"/>
  <c r="X317" i="46"/>
  <c r="X320" i="46"/>
  <c r="Y87" i="45"/>
  <c r="Y73" i="45"/>
  <c r="T345" i="48"/>
  <c r="T346" i="48" s="1"/>
  <c r="T344" i="48"/>
  <c r="W275" i="48"/>
  <c r="V308" i="48"/>
  <c r="V309" i="48" s="1"/>
  <c r="V315" i="46"/>
  <c r="V314" i="46"/>
  <c r="V313" i="46"/>
  <c r="V312" i="46"/>
  <c r="V311" i="46"/>
  <c r="V310" i="46"/>
  <c r="BD90" i="45"/>
  <c r="X91" i="45"/>
  <c r="AC178" i="46"/>
  <c r="AC183" i="46" s="1"/>
  <c r="AC177" i="46"/>
  <c r="AC182" i="46" s="1"/>
  <c r="AC176" i="46"/>
  <c r="AC181" i="46" s="1"/>
  <c r="AC175" i="46"/>
  <c r="AC180" i="46" s="1"/>
  <c r="AC179" i="46"/>
  <c r="AD107" i="45" s="1"/>
  <c r="AC174" i="48"/>
  <c r="AB23" i="45"/>
  <c r="Y34" i="48"/>
  <c r="BF26" i="45"/>
  <c r="BF25" i="45"/>
  <c r="BF24" i="45"/>
  <c r="BF82" i="45"/>
  <c r="AE63" i="53"/>
  <c r="X110" i="45"/>
  <c r="X111" i="45"/>
  <c r="X112" i="45"/>
  <c r="AC221" i="46"/>
  <c r="AD99" i="45" s="1"/>
  <c r="AC220" i="46"/>
  <c r="AC225" i="46" s="1"/>
  <c r="AC219" i="46"/>
  <c r="AC224" i="46" s="1"/>
  <c r="AC218" i="46"/>
  <c r="AC223" i="46" s="1"/>
  <c r="AC217" i="46"/>
  <c r="AC222" i="46" s="1"/>
  <c r="AC216" i="48"/>
  <c r="W110" i="48"/>
  <c r="W115" i="48" s="1"/>
  <c r="W112" i="48"/>
  <c r="W117" i="48" s="1"/>
  <c r="W111" i="48"/>
  <c r="W116" i="48" s="1"/>
  <c r="W114" i="48"/>
  <c r="W113" i="48"/>
  <c r="W118" i="48" s="1"/>
  <c r="W274" i="48"/>
  <c r="Q121" i="45"/>
  <c r="Q123" i="45"/>
  <c r="Q124" i="45"/>
  <c r="S347" i="48"/>
  <c r="S349" i="48" s="1"/>
  <c r="AB167" i="48"/>
  <c r="AB172" i="48" s="1"/>
  <c r="AB166" i="48"/>
  <c r="AB171" i="48" s="1"/>
  <c r="AB165" i="48"/>
  <c r="AB170" i="48" s="1"/>
  <c r="AB169" i="48"/>
  <c r="AB168" i="48"/>
  <c r="AB173" i="48" s="1"/>
  <c r="V337" i="46"/>
  <c r="V334" i="46"/>
  <c r="V336" i="46"/>
  <c r="V335" i="46"/>
  <c r="V339" i="46"/>
  <c r="V338" i="46"/>
  <c r="W316" i="48"/>
  <c r="R349" i="48"/>
  <c r="Z85" i="45"/>
  <c r="T328" i="48"/>
  <c r="T327" i="48"/>
  <c r="S330" i="48"/>
  <c r="S329" i="48"/>
  <c r="S333" i="48" s="1"/>
  <c r="U324" i="48"/>
  <c r="U323" i="48"/>
  <c r="U322" i="48"/>
  <c r="U321" i="48"/>
  <c r="U312" i="48"/>
  <c r="U311" i="48"/>
  <c r="U310" i="48"/>
  <c r="U313" i="48"/>
  <c r="U315" i="48"/>
  <c r="U314" i="48"/>
  <c r="Y44" i="46"/>
  <c r="Y316" i="46" s="1"/>
  <c r="Y69" i="46"/>
  <c r="Y79" i="46"/>
  <c r="Y99" i="46"/>
  <c r="Y109" i="46"/>
  <c r="W308" i="46"/>
  <c r="W309" i="46" s="1"/>
  <c r="X275" i="46"/>
  <c r="AG20" i="46"/>
  <c r="AG26" i="46" s="1"/>
  <c r="AG41" i="46" s="1"/>
  <c r="AG243" i="46" s="1"/>
  <c r="AF26" i="46"/>
  <c r="AF41" i="46" s="1"/>
  <c r="AF243" i="46" s="1"/>
  <c r="AF36" i="54" l="1"/>
  <c r="Z71" i="45"/>
  <c r="X117" i="45"/>
  <c r="BF58" i="45"/>
  <c r="V115" i="45"/>
  <c r="Z73" i="45"/>
  <c r="BD117" i="45"/>
  <c r="BG24" i="45"/>
  <c r="W115" i="45"/>
  <c r="BF59" i="45"/>
  <c r="BF60" i="45"/>
  <c r="Z34" i="48"/>
  <c r="BG26" i="45"/>
  <c r="Y37" i="48"/>
  <c r="AD43" i="48" s="1"/>
  <c r="BG25" i="45"/>
  <c r="BM55" i="51"/>
  <c r="AD35" i="46"/>
  <c r="BJ83" i="45"/>
  <c r="BE84" i="45"/>
  <c r="BK83" i="45"/>
  <c r="AC146" i="48"/>
  <c r="AC151" i="48" s="1"/>
  <c r="BJ108" i="45"/>
  <c r="AG59" i="12"/>
  <c r="AC145" i="48"/>
  <c r="AC150" i="48" s="1"/>
  <c r="BD109" i="45"/>
  <c r="AH55" i="51"/>
  <c r="AC147" i="48"/>
  <c r="AC152" i="48" s="1"/>
  <c r="BJ107" i="45"/>
  <c r="AG36" i="53"/>
  <c r="BJ105" i="45"/>
  <c r="BN35" i="51"/>
  <c r="AB67" i="45"/>
  <c r="AC148" i="48"/>
  <c r="AC153" i="48" s="1"/>
  <c r="BJ69" i="45"/>
  <c r="AE42" i="45"/>
  <c r="BG82" i="45"/>
  <c r="BJ99" i="45"/>
  <c r="AA70" i="45"/>
  <c r="AA58" i="45"/>
  <c r="X114" i="45"/>
  <c r="BK96" i="45"/>
  <c r="AE69" i="45"/>
  <c r="AC35" i="48"/>
  <c r="Z33" i="46"/>
  <c r="Z39" i="46" s="1"/>
  <c r="AG59" i="14"/>
  <c r="BF84" i="45"/>
  <c r="BD91" i="45"/>
  <c r="BJ98" i="45"/>
  <c r="BL96" i="45"/>
  <c r="AE95" i="45"/>
  <c r="AE43" i="45"/>
  <c r="AE44" i="45"/>
  <c r="BD116" i="45"/>
  <c r="AB68" i="45"/>
  <c r="AA75" i="45"/>
  <c r="BE111" i="45"/>
  <c r="Z37" i="46"/>
  <c r="AE43" i="46" s="1"/>
  <c r="AA104" i="45"/>
  <c r="AA59" i="45"/>
  <c r="BJ42" i="45"/>
  <c r="AA60" i="45"/>
  <c r="BJ95" i="45"/>
  <c r="BF70" i="45"/>
  <c r="AF41" i="45"/>
  <c r="BJ43" i="45"/>
  <c r="BJ44" i="45"/>
  <c r="AF63" i="48"/>
  <c r="BG57" i="45"/>
  <c r="Y271" i="46"/>
  <c r="BK41" i="45"/>
  <c r="AF63" i="54"/>
  <c r="AC30" i="45"/>
  <c r="AB57" i="45"/>
  <c r="AE139" i="48"/>
  <c r="AF63" i="46"/>
  <c r="BE112" i="45"/>
  <c r="BH33" i="45"/>
  <c r="X271" i="48"/>
  <c r="AC21" i="45"/>
  <c r="AF248" i="46"/>
  <c r="AG96" i="45" s="1"/>
  <c r="AF247" i="46"/>
  <c r="AF252" i="46" s="1"/>
  <c r="AF246" i="46"/>
  <c r="AF251" i="46" s="1"/>
  <c r="AF245" i="46"/>
  <c r="AF250" i="46" s="1"/>
  <c r="AF244" i="46"/>
  <c r="AF249" i="46" s="1"/>
  <c r="AF243" i="48"/>
  <c r="V335" i="48"/>
  <c r="V334" i="48"/>
  <c r="V339" i="48"/>
  <c r="V338" i="48"/>
  <c r="V337" i="48"/>
  <c r="V336" i="48"/>
  <c r="AE149" i="46"/>
  <c r="AF83" i="45" s="1"/>
  <c r="AE148" i="46"/>
  <c r="AE153" i="46" s="1"/>
  <c r="AE147" i="46"/>
  <c r="AE152" i="46" s="1"/>
  <c r="AE146" i="46"/>
  <c r="AE151" i="46" s="1"/>
  <c r="AE145" i="46"/>
  <c r="AE150" i="46" s="1"/>
  <c r="AE144" i="48"/>
  <c r="Y74" i="46"/>
  <c r="Z76" i="45" s="1"/>
  <c r="Y73" i="46"/>
  <c r="Y78" i="46" s="1"/>
  <c r="Y72" i="46"/>
  <c r="Y77" i="46" s="1"/>
  <c r="Y71" i="46"/>
  <c r="Y76" i="46" s="1"/>
  <c r="Y70" i="46"/>
  <c r="Y75" i="46" s="1"/>
  <c r="Y69" i="48"/>
  <c r="T348" i="48"/>
  <c r="W338" i="46"/>
  <c r="W337" i="46"/>
  <c r="W334" i="46"/>
  <c r="W336" i="46"/>
  <c r="W335" i="46"/>
  <c r="W339" i="46"/>
  <c r="BJ89" i="45"/>
  <c r="BE76" i="45"/>
  <c r="Y78" i="45"/>
  <c r="R353" i="46"/>
  <c r="R354" i="46" s="1"/>
  <c r="T343" i="46"/>
  <c r="T344" i="46" s="1"/>
  <c r="T345" i="46"/>
  <c r="T346" i="46" s="1"/>
  <c r="AE206" i="46"/>
  <c r="AE202" i="46"/>
  <c r="AE216" i="46"/>
  <c r="AE226" i="46"/>
  <c r="AE29" i="46"/>
  <c r="AD158" i="46"/>
  <c r="AD163" i="46" s="1"/>
  <c r="AD157" i="46"/>
  <c r="AD162" i="46" s="1"/>
  <c r="AD156" i="46"/>
  <c r="AD161" i="46" s="1"/>
  <c r="AD155" i="46"/>
  <c r="AD160" i="46" s="1"/>
  <c r="AD159" i="46"/>
  <c r="AE98" i="45" s="1"/>
  <c r="AD154" i="48"/>
  <c r="W326" i="46"/>
  <c r="W325" i="46"/>
  <c r="X318" i="46"/>
  <c r="X319" i="46" s="1"/>
  <c r="X341" i="46"/>
  <c r="X342" i="46" s="1"/>
  <c r="AC33" i="45"/>
  <c r="AD31" i="46"/>
  <c r="AD306" i="46"/>
  <c r="CQ4" i="55"/>
  <c r="X320" i="48"/>
  <c r="X317" i="48"/>
  <c r="AD231" i="46"/>
  <c r="AE108" i="45" s="1"/>
  <c r="AD230" i="46"/>
  <c r="AD235" i="46" s="1"/>
  <c r="AD229" i="46"/>
  <c r="AD234" i="46" s="1"/>
  <c r="AD228" i="46"/>
  <c r="AD233" i="46" s="1"/>
  <c r="AD227" i="46"/>
  <c r="AD232" i="46" s="1"/>
  <c r="AD226" i="48"/>
  <c r="AE92" i="48"/>
  <c r="AE97" i="48" s="1"/>
  <c r="AE91" i="48"/>
  <c r="AE90" i="48"/>
  <c r="AE95" i="48" s="1"/>
  <c r="AE94" i="48"/>
  <c r="AE93" i="48"/>
  <c r="AE98" i="48" s="1"/>
  <c r="V331" i="46"/>
  <c r="V332" i="46"/>
  <c r="W315" i="46"/>
  <c r="W314" i="46"/>
  <c r="W313" i="46"/>
  <c r="W312" i="46"/>
  <c r="W311" i="46"/>
  <c r="W310" i="46"/>
  <c r="AG248" i="46"/>
  <c r="AH96" i="45" s="1"/>
  <c r="AG247" i="46"/>
  <c r="AG252" i="46" s="1"/>
  <c r="AG246" i="46"/>
  <c r="AG251" i="46" s="1"/>
  <c r="AG245" i="46"/>
  <c r="AG250" i="46" s="1"/>
  <c r="AG244" i="46"/>
  <c r="AG249" i="46" s="1"/>
  <c r="AG243" i="48"/>
  <c r="Y114" i="46"/>
  <c r="Z97" i="45" s="1"/>
  <c r="Y113" i="46"/>
  <c r="Y118" i="46" s="1"/>
  <c r="Y112" i="46"/>
  <c r="Y117" i="46" s="1"/>
  <c r="Y111" i="46"/>
  <c r="Y116" i="46" s="1"/>
  <c r="Y110" i="46"/>
  <c r="Y115" i="46" s="1"/>
  <c r="Y109" i="48"/>
  <c r="Y274" i="46"/>
  <c r="Y102" i="46"/>
  <c r="Y107" i="46" s="1"/>
  <c r="Y101" i="46"/>
  <c r="Y106" i="46" s="1"/>
  <c r="Y100" i="46"/>
  <c r="Y105" i="46" s="1"/>
  <c r="Y103" i="46"/>
  <c r="Y108" i="46" s="1"/>
  <c r="Y104" i="46"/>
  <c r="Z106" i="45" s="1"/>
  <c r="Y99" i="48"/>
  <c r="Q363" i="46"/>
  <c r="R120" i="45" s="1"/>
  <c r="Q361" i="46"/>
  <c r="BE110" i="45"/>
  <c r="AD145" i="48"/>
  <c r="AD150" i="48" s="1"/>
  <c r="AD149" i="48"/>
  <c r="AD148" i="48"/>
  <c r="AD153" i="48" s="1"/>
  <c r="AD147" i="48"/>
  <c r="AD152" i="48" s="1"/>
  <c r="AD146" i="48"/>
  <c r="AD151" i="48" s="1"/>
  <c r="AD248" i="48"/>
  <c r="AD247" i="48"/>
  <c r="AD252" i="48" s="1"/>
  <c r="AD246" i="48"/>
  <c r="AD251" i="48" s="1"/>
  <c r="AD245" i="48"/>
  <c r="AD250" i="48" s="1"/>
  <c r="AD244" i="48"/>
  <c r="AD249" i="48" s="1"/>
  <c r="BJ18" i="45"/>
  <c r="AF138" i="46"/>
  <c r="AF137" i="46"/>
  <c r="AF200" i="46"/>
  <c r="AF201" i="46"/>
  <c r="X102" i="48"/>
  <c r="X107" i="48" s="1"/>
  <c r="X101" i="48"/>
  <c r="X106" i="48" s="1"/>
  <c r="X100" i="48"/>
  <c r="X105" i="48" s="1"/>
  <c r="X104" i="48"/>
  <c r="X103" i="48"/>
  <c r="X108" i="48" s="1"/>
  <c r="AD263" i="46"/>
  <c r="AD268" i="46" s="1"/>
  <c r="AD262" i="46"/>
  <c r="AD267" i="46" s="1"/>
  <c r="AD261" i="46"/>
  <c r="AD266" i="46" s="1"/>
  <c r="AD265" i="46"/>
  <c r="AE105" i="45" s="1"/>
  <c r="AD264" i="46"/>
  <c r="AD269" i="46" s="1"/>
  <c r="AD260" i="48"/>
  <c r="AG18" i="46"/>
  <c r="AG24" i="46" s="1"/>
  <c r="AF24" i="46"/>
  <c r="AD169" i="46"/>
  <c r="AE77" i="45" s="1"/>
  <c r="AD168" i="46"/>
  <c r="AD173" i="46" s="1"/>
  <c r="AD167" i="46"/>
  <c r="AD172" i="46" s="1"/>
  <c r="AD166" i="46"/>
  <c r="AD171" i="46" s="1"/>
  <c r="AD165" i="46"/>
  <c r="AD170" i="46" s="1"/>
  <c r="AD164" i="48"/>
  <c r="W332" i="46"/>
  <c r="W331" i="46"/>
  <c r="W343" i="46" s="1"/>
  <c r="P363" i="48"/>
  <c r="AW120" i="45" s="1"/>
  <c r="P361" i="48"/>
  <c r="X110" i="48"/>
  <c r="X115" i="48" s="1"/>
  <c r="X113" i="48"/>
  <c r="X118" i="48" s="1"/>
  <c r="X112" i="48"/>
  <c r="X117" i="48" s="1"/>
  <c r="X111" i="48"/>
  <c r="X116" i="48" s="1"/>
  <c r="X114" i="48"/>
  <c r="X274" i="48"/>
  <c r="BD118" i="45"/>
  <c r="AD221" i="46"/>
  <c r="AE99" i="45" s="1"/>
  <c r="AD220" i="46"/>
  <c r="AD225" i="46" s="1"/>
  <c r="AD219" i="46"/>
  <c r="AD224" i="46" s="1"/>
  <c r="AD218" i="46"/>
  <c r="AD223" i="46" s="1"/>
  <c r="AD217" i="46"/>
  <c r="AD222" i="46" s="1"/>
  <c r="AD216" i="48"/>
  <c r="BB115" i="45"/>
  <c r="AG39" i="45"/>
  <c r="BM38" i="45"/>
  <c r="AH38" i="45"/>
  <c r="AG40" i="45"/>
  <c r="V324" i="48"/>
  <c r="V323" i="48"/>
  <c r="V322" i="48"/>
  <c r="V321" i="48"/>
  <c r="U334" i="48"/>
  <c r="U339" i="48"/>
  <c r="U338" i="48"/>
  <c r="U337" i="48"/>
  <c r="U336" i="48"/>
  <c r="U335" i="48"/>
  <c r="AG226" i="46"/>
  <c r="AG216" i="46"/>
  <c r="AG206" i="46"/>
  <c r="AE248" i="48"/>
  <c r="AE247" i="48"/>
  <c r="AE252" i="48" s="1"/>
  <c r="AE246" i="48"/>
  <c r="AE251" i="48" s="1"/>
  <c r="AE245" i="48"/>
  <c r="AE250" i="48" s="1"/>
  <c r="AE244" i="48"/>
  <c r="AE249" i="48" s="1"/>
  <c r="Y84" i="46"/>
  <c r="Z90" i="45" s="1"/>
  <c r="Y80" i="46"/>
  <c r="Y85" i="46" s="1"/>
  <c r="Y82" i="46"/>
  <c r="Y87" i="46" s="1"/>
  <c r="Y81" i="46"/>
  <c r="Y86" i="46" s="1"/>
  <c r="Y83" i="46"/>
  <c r="Y88" i="46" s="1"/>
  <c r="Y79" i="48"/>
  <c r="AC221" i="48"/>
  <c r="AC220" i="48"/>
  <c r="AC225" i="48" s="1"/>
  <c r="AC219" i="48"/>
  <c r="AC224" i="48" s="1"/>
  <c r="AC218" i="48"/>
  <c r="AC223" i="48" s="1"/>
  <c r="AC217" i="48"/>
  <c r="AC222" i="48" s="1"/>
  <c r="AG36" i="54"/>
  <c r="BN55" i="51"/>
  <c r="AE139" i="46"/>
  <c r="Y110" i="45"/>
  <c r="Y111" i="45"/>
  <c r="Y112" i="45"/>
  <c r="AF17" i="45"/>
  <c r="BL16" i="45"/>
  <c r="AG16" i="45"/>
  <c r="S348" i="46"/>
  <c r="AD179" i="46"/>
  <c r="AE107" i="45" s="1"/>
  <c r="AD178" i="46"/>
  <c r="AD183" i="46" s="1"/>
  <c r="AD177" i="46"/>
  <c r="AD182" i="46" s="1"/>
  <c r="AD176" i="46"/>
  <c r="AD181" i="46" s="1"/>
  <c r="AD175" i="46"/>
  <c r="AD180" i="46" s="1"/>
  <c r="AD174" i="48"/>
  <c r="Y102" i="45"/>
  <c r="BE103" i="45"/>
  <c r="Y103" i="45"/>
  <c r="BE101" i="45"/>
  <c r="Y101" i="45"/>
  <c r="BE102" i="45"/>
  <c r="X116" i="45"/>
  <c r="BL40" i="45"/>
  <c r="BL39" i="45"/>
  <c r="U326" i="48"/>
  <c r="U325" i="48"/>
  <c r="AC207" i="48"/>
  <c r="AC212" i="48" s="1"/>
  <c r="AC211" i="48"/>
  <c r="AC210" i="48"/>
  <c r="AC215" i="48" s="1"/>
  <c r="AC209" i="48"/>
  <c r="AC214" i="48" s="1"/>
  <c r="AC208" i="48"/>
  <c r="AC213" i="48" s="1"/>
  <c r="X74" i="48"/>
  <c r="X73" i="48"/>
  <c r="X78" i="48" s="1"/>
  <c r="X72" i="48"/>
  <c r="X77" i="48" s="1"/>
  <c r="X71" i="48"/>
  <c r="X76" i="48" s="1"/>
  <c r="X70" i="48"/>
  <c r="X75" i="48" s="1"/>
  <c r="AE140" i="46"/>
  <c r="AE154" i="46" s="1"/>
  <c r="AE142" i="46"/>
  <c r="AE174" i="46" s="1"/>
  <c r="AE141" i="46"/>
  <c r="AE164" i="46" s="1"/>
  <c r="BK17" i="45"/>
  <c r="AE260" i="46"/>
  <c r="X118" i="45"/>
  <c r="AD211" i="46"/>
  <c r="AE89" i="45" s="1"/>
  <c r="AD210" i="46"/>
  <c r="AD215" i="46" s="1"/>
  <c r="AD209" i="46"/>
  <c r="AD214" i="46" s="1"/>
  <c r="AD208" i="46"/>
  <c r="AD213" i="46" s="1"/>
  <c r="AD207" i="46"/>
  <c r="AD212" i="46" s="1"/>
  <c r="AD206" i="48"/>
  <c r="Q353" i="48"/>
  <c r="Q354" i="48" s="1"/>
  <c r="S330" i="46"/>
  <c r="S329" i="46"/>
  <c r="S333" i="46" s="1"/>
  <c r="V326" i="46"/>
  <c r="V325" i="46"/>
  <c r="S353" i="48"/>
  <c r="S354" i="48" s="1"/>
  <c r="X115" i="45"/>
  <c r="BJ77" i="45"/>
  <c r="V313" i="48"/>
  <c r="V312" i="48"/>
  <c r="V311" i="48"/>
  <c r="V310" i="48"/>
  <c r="V314" i="48"/>
  <c r="V315" i="48"/>
  <c r="BD78" i="45"/>
  <c r="BE90" i="45"/>
  <c r="Y91" i="45"/>
  <c r="AH58" i="12"/>
  <c r="Y80" i="45"/>
  <c r="Y79" i="45"/>
  <c r="Y81" i="45"/>
  <c r="BE79" i="45"/>
  <c r="BE80" i="45"/>
  <c r="BE81" i="45"/>
  <c r="AB34" i="45"/>
  <c r="AE204" i="48"/>
  <c r="AE203" i="48"/>
  <c r="T328" i="46"/>
  <c r="T327" i="46"/>
  <c r="Y33" i="48"/>
  <c r="Y39" i="48" s="1"/>
  <c r="BF75" i="45"/>
  <c r="Y317" i="46"/>
  <c r="Y320" i="46"/>
  <c r="U332" i="48"/>
  <c r="U331" i="48"/>
  <c r="U343" i="48" s="1"/>
  <c r="U344" i="48" s="1"/>
  <c r="X308" i="46"/>
  <c r="X309" i="46" s="1"/>
  <c r="Y275" i="46"/>
  <c r="BF71" i="45"/>
  <c r="BF85" i="45"/>
  <c r="X275" i="48"/>
  <c r="W308" i="48"/>
  <c r="W309" i="48" s="1"/>
  <c r="X324" i="46"/>
  <c r="X323" i="46"/>
  <c r="X322" i="46"/>
  <c r="X321" i="46"/>
  <c r="BI19" i="45"/>
  <c r="BI20" i="45"/>
  <c r="BE71" i="45"/>
  <c r="BE85" i="45"/>
  <c r="Z34" i="46"/>
  <c r="AA24" i="45"/>
  <c r="AA26" i="45"/>
  <c r="AA25" i="45"/>
  <c r="AA82" i="45"/>
  <c r="AH57" i="12"/>
  <c r="AE18" i="45"/>
  <c r="AE202" i="48"/>
  <c r="AT125" i="45"/>
  <c r="M371" i="48"/>
  <c r="AT126" i="45" s="1"/>
  <c r="AC56" i="45"/>
  <c r="AC55" i="45"/>
  <c r="AD28" i="45"/>
  <c r="BJ27" i="45"/>
  <c r="AE27" i="45"/>
  <c r="AD35" i="45"/>
  <c r="AD32" i="45"/>
  <c r="AD37" i="45"/>
  <c r="AD29" i="45"/>
  <c r="AD31" i="45"/>
  <c r="AD36" i="45"/>
  <c r="AD54" i="45"/>
  <c r="AD20" i="45"/>
  <c r="AD19" i="45"/>
  <c r="AG18" i="48"/>
  <c r="AG24" i="48" s="1"/>
  <c r="AF24" i="48"/>
  <c r="BD100" i="45"/>
  <c r="BD113" i="45"/>
  <c r="T330" i="48"/>
  <c r="T329" i="48"/>
  <c r="T333" i="48" s="1"/>
  <c r="BF86" i="45"/>
  <c r="BF72" i="45"/>
  <c r="AC175" i="48"/>
  <c r="AC180" i="48" s="1"/>
  <c r="AC179" i="48"/>
  <c r="AC178" i="48"/>
  <c r="AC183" i="48" s="1"/>
  <c r="AC177" i="48"/>
  <c r="AC182" i="48" s="1"/>
  <c r="AC176" i="48"/>
  <c r="AC181" i="48" s="1"/>
  <c r="AF63" i="53"/>
  <c r="BE86" i="45"/>
  <c r="BE72" i="45"/>
  <c r="AC166" i="48"/>
  <c r="AC171" i="48" s="1"/>
  <c r="AC165" i="48"/>
  <c r="AC170" i="48" s="1"/>
  <c r="AC169" i="48"/>
  <c r="AC167" i="48"/>
  <c r="AC172" i="48" s="1"/>
  <c r="AC168" i="48"/>
  <c r="AC173" i="48" s="1"/>
  <c r="BH21" i="45"/>
  <c r="AH58" i="14"/>
  <c r="AC227" i="48"/>
  <c r="AC232" i="48" s="1"/>
  <c r="AC231" i="48"/>
  <c r="AC230" i="48"/>
  <c r="AC235" i="48" s="1"/>
  <c r="AC229" i="48"/>
  <c r="AC234" i="48" s="1"/>
  <c r="AC228" i="48"/>
  <c r="AC233" i="48" s="1"/>
  <c r="AC159" i="48"/>
  <c r="AC158" i="48"/>
  <c r="AC163" i="48" s="1"/>
  <c r="AC157" i="48"/>
  <c r="AC162" i="48" s="1"/>
  <c r="AC156" i="48"/>
  <c r="AC161" i="48" s="1"/>
  <c r="AC155" i="48"/>
  <c r="AC160" i="48" s="1"/>
  <c r="U326" i="46"/>
  <c r="U325" i="46"/>
  <c r="R354" i="48"/>
  <c r="R363" i="48" s="1"/>
  <c r="AY120" i="45" s="1"/>
  <c r="BE106" i="45"/>
  <c r="Y109" i="45"/>
  <c r="BH55" i="45"/>
  <c r="BH56" i="45"/>
  <c r="BH30" i="45"/>
  <c r="AE142" i="48"/>
  <c r="AE141" i="48"/>
  <c r="AE140" i="48"/>
  <c r="AF144" i="46"/>
  <c r="BE97" i="45"/>
  <c r="Y100" i="45"/>
  <c r="Y113" i="45"/>
  <c r="BI28" i="45"/>
  <c r="BI29" i="45"/>
  <c r="BI31" i="45"/>
  <c r="BI37" i="45"/>
  <c r="BI36" i="45"/>
  <c r="BI32" i="45"/>
  <c r="BI35" i="45"/>
  <c r="BI54" i="45"/>
  <c r="BG34" i="45"/>
  <c r="BG67" i="45"/>
  <c r="AE29" i="48"/>
  <c r="BG68" i="45"/>
  <c r="X84" i="48"/>
  <c r="X83" i="48"/>
  <c r="X88" i="48" s="1"/>
  <c r="X82" i="48"/>
  <c r="X87" i="48" s="1"/>
  <c r="X81" i="48"/>
  <c r="X86" i="48" s="1"/>
  <c r="X80" i="48"/>
  <c r="X85" i="48" s="1"/>
  <c r="W320" i="48"/>
  <c r="W317" i="48"/>
  <c r="W318" i="48"/>
  <c r="W319" i="48" s="1"/>
  <c r="W341" i="48"/>
  <c r="W342" i="48" s="1"/>
  <c r="BF87" i="45"/>
  <c r="BF73" i="45"/>
  <c r="AA34" i="46"/>
  <c r="AB24" i="45"/>
  <c r="AB26" i="45"/>
  <c r="AB25" i="45"/>
  <c r="AB82" i="45"/>
  <c r="T347" i="48"/>
  <c r="T349" i="48" s="1"/>
  <c r="W344" i="46"/>
  <c r="BE87" i="45"/>
  <c r="BE73" i="45"/>
  <c r="BE94" i="45"/>
  <c r="Y94" i="45"/>
  <c r="BE93" i="45"/>
  <c r="Y93" i="45"/>
  <c r="AH57" i="14"/>
  <c r="AC265" i="48"/>
  <c r="AC264" i="48"/>
  <c r="AC269" i="48" s="1"/>
  <c r="AC263" i="48"/>
  <c r="AC268" i="48" s="1"/>
  <c r="AC261" i="48"/>
  <c r="AC266" i="48" s="1"/>
  <c r="AC262" i="48"/>
  <c r="AC267" i="48" s="1"/>
  <c r="U332" i="46"/>
  <c r="U331" i="46"/>
  <c r="BC115" i="45"/>
  <c r="AE204" i="46"/>
  <c r="AE203" i="46"/>
  <c r="AF94" i="46"/>
  <c r="AF93" i="46"/>
  <c r="AF98" i="46" s="1"/>
  <c r="AF92" i="46"/>
  <c r="AF97" i="46" s="1"/>
  <c r="AF91" i="46"/>
  <c r="AF90" i="46"/>
  <c r="AF95" i="46" s="1"/>
  <c r="AF89" i="48"/>
  <c r="AF138" i="48"/>
  <c r="AF137" i="48"/>
  <c r="AF201" i="48"/>
  <c r="AF200" i="48"/>
  <c r="AG144" i="46"/>
  <c r="AG154" i="46"/>
  <c r="AG174" i="46"/>
  <c r="AG164" i="46"/>
  <c r="AD31" i="48"/>
  <c r="AD306" i="48"/>
  <c r="S346" i="46"/>
  <c r="S347" i="46" s="1"/>
  <c r="S349" i="46" s="1"/>
  <c r="BG87" i="45" l="1"/>
  <c r="BG60" i="45"/>
  <c r="Y117" i="45"/>
  <c r="BG85" i="45"/>
  <c r="BE117" i="45"/>
  <c r="BD114" i="45"/>
  <c r="BG86" i="45"/>
  <c r="AD35" i="48"/>
  <c r="AB70" i="45"/>
  <c r="BK42" i="45"/>
  <c r="BK95" i="45"/>
  <c r="BK43" i="45"/>
  <c r="BK44" i="45"/>
  <c r="AB84" i="45"/>
  <c r="AY122" i="45"/>
  <c r="BL83" i="45"/>
  <c r="BE91" i="45"/>
  <c r="BG58" i="45"/>
  <c r="BK105" i="45"/>
  <c r="BK99" i="45"/>
  <c r="BK98" i="45"/>
  <c r="AW122" i="45"/>
  <c r="BN96" i="45"/>
  <c r="AA37" i="46"/>
  <c r="AF43" i="46" s="1"/>
  <c r="AF260" i="46" s="1"/>
  <c r="AF262" i="46" s="1"/>
  <c r="AF267" i="46" s="1"/>
  <c r="AA84" i="45"/>
  <c r="Y114" i="45"/>
  <c r="BM96" i="45"/>
  <c r="AE35" i="46"/>
  <c r="AC23" i="45"/>
  <c r="Z37" i="48"/>
  <c r="AE43" i="48" s="1"/>
  <c r="AF69" i="45"/>
  <c r="BK108" i="45"/>
  <c r="BG104" i="45"/>
  <c r="Z44" i="46"/>
  <c r="Z69" i="46"/>
  <c r="Z79" i="46"/>
  <c r="Z109" i="46"/>
  <c r="Z99" i="46"/>
  <c r="BK107" i="45"/>
  <c r="R122" i="45"/>
  <c r="BE109" i="45"/>
  <c r="BK69" i="45"/>
  <c r="BG59" i="45"/>
  <c r="BG84" i="45"/>
  <c r="AF95" i="45"/>
  <c r="W345" i="46"/>
  <c r="BF111" i="45"/>
  <c r="BF112" i="45"/>
  <c r="Y116" i="45"/>
  <c r="AC67" i="45"/>
  <c r="AF43" i="45"/>
  <c r="AF44" i="45"/>
  <c r="AB60" i="45"/>
  <c r="AF42" i="45"/>
  <c r="AB58" i="45"/>
  <c r="AB104" i="45"/>
  <c r="BH34" i="45"/>
  <c r="AB59" i="45"/>
  <c r="BH68" i="45"/>
  <c r="BD115" i="45"/>
  <c r="BL41" i="45"/>
  <c r="AD21" i="45"/>
  <c r="AD33" i="45"/>
  <c r="AD30" i="45"/>
  <c r="AC57" i="45"/>
  <c r="AF139" i="46"/>
  <c r="AF18" i="45"/>
  <c r="BI33" i="45"/>
  <c r="BI30" i="45"/>
  <c r="BH57" i="45"/>
  <c r="AG41" i="45"/>
  <c r="W336" i="48"/>
  <c r="W335" i="48"/>
  <c r="W334" i="48"/>
  <c r="W339" i="48"/>
  <c r="W338" i="48"/>
  <c r="W337" i="48"/>
  <c r="AF142" i="48"/>
  <c r="AF141" i="48"/>
  <c r="AF140" i="48"/>
  <c r="AB85" i="45"/>
  <c r="AD56" i="45"/>
  <c r="AD55" i="45"/>
  <c r="AE28" i="45"/>
  <c r="BK27" i="45"/>
  <c r="AF27" i="45"/>
  <c r="AE35" i="45"/>
  <c r="AE32" i="45"/>
  <c r="AE37" i="45"/>
  <c r="AE29" i="45"/>
  <c r="AE31" i="45"/>
  <c r="AE36" i="45"/>
  <c r="AE54" i="45"/>
  <c r="AA85" i="45"/>
  <c r="AA71" i="45"/>
  <c r="W314" i="48"/>
  <c r="W313" i="48"/>
  <c r="W312" i="48"/>
  <c r="W311" i="48"/>
  <c r="W310" i="48"/>
  <c r="W315" i="48"/>
  <c r="AE179" i="46"/>
  <c r="AF107" i="45" s="1"/>
  <c r="AE178" i="46"/>
  <c r="AE183" i="46" s="1"/>
  <c r="AE177" i="46"/>
  <c r="AE182" i="46" s="1"/>
  <c r="AE176" i="46"/>
  <c r="AE181" i="46" s="1"/>
  <c r="AE175" i="46"/>
  <c r="AE180" i="46" s="1"/>
  <c r="AE174" i="48"/>
  <c r="S353" i="46"/>
  <c r="BM39" i="45"/>
  <c r="BM40" i="45"/>
  <c r="BJ20" i="45"/>
  <c r="BJ19" i="45"/>
  <c r="R119" i="45"/>
  <c r="Q365" i="46"/>
  <c r="Q370" i="46"/>
  <c r="BF97" i="45"/>
  <c r="Z100" i="45"/>
  <c r="Z113" i="45"/>
  <c r="BF76" i="45"/>
  <c r="Z78" i="45"/>
  <c r="AG166" i="46"/>
  <c r="AG171" i="46" s="1"/>
  <c r="AG165" i="46"/>
  <c r="AG170" i="46" s="1"/>
  <c r="AG169" i="46"/>
  <c r="AH77" i="45" s="1"/>
  <c r="AG168" i="46"/>
  <c r="AG173" i="46" s="1"/>
  <c r="AG167" i="46"/>
  <c r="AG172" i="46" s="1"/>
  <c r="AG164" i="48"/>
  <c r="BJ28" i="45"/>
  <c r="BJ29" i="45"/>
  <c r="BJ31" i="45"/>
  <c r="BJ37" i="45"/>
  <c r="BJ36" i="45"/>
  <c r="BJ32" i="45"/>
  <c r="BJ35" i="45"/>
  <c r="BJ54" i="45"/>
  <c r="AH59" i="12"/>
  <c r="Y275" i="48"/>
  <c r="X308" i="48"/>
  <c r="X309" i="48" s="1"/>
  <c r="AA33" i="46"/>
  <c r="AA39" i="46" s="1"/>
  <c r="AB75" i="45"/>
  <c r="AD208" i="48"/>
  <c r="AD213" i="48" s="1"/>
  <c r="AD207" i="48"/>
  <c r="AD212" i="48" s="1"/>
  <c r="AD211" i="48"/>
  <c r="AD210" i="48"/>
  <c r="AD215" i="48" s="1"/>
  <c r="AD209" i="48"/>
  <c r="AD214" i="48" s="1"/>
  <c r="AE159" i="46"/>
  <c r="AF98" i="45" s="1"/>
  <c r="AE158" i="46"/>
  <c r="AE163" i="46" s="1"/>
  <c r="AE157" i="46"/>
  <c r="AE162" i="46" s="1"/>
  <c r="AE156" i="46"/>
  <c r="AE161" i="46" s="1"/>
  <c r="AE155" i="46"/>
  <c r="AE160" i="46" s="1"/>
  <c r="AE154" i="48"/>
  <c r="BF93" i="45"/>
  <c r="Z93" i="45"/>
  <c r="BF94" i="45"/>
  <c r="Z94" i="45"/>
  <c r="AW119" i="45"/>
  <c r="P365" i="48"/>
  <c r="P370" i="48"/>
  <c r="AG248" i="48"/>
  <c r="AG247" i="48"/>
  <c r="AG252" i="48" s="1"/>
  <c r="AG246" i="48"/>
  <c r="AG251" i="48" s="1"/>
  <c r="AG244" i="48"/>
  <c r="AG249" i="48" s="1"/>
  <c r="AG245" i="48"/>
  <c r="AG250" i="48" s="1"/>
  <c r="W346" i="46"/>
  <c r="W347" i="46" s="1"/>
  <c r="AE207" i="46"/>
  <c r="AE212" i="46" s="1"/>
  <c r="AE211" i="46"/>
  <c r="AF89" i="45" s="1"/>
  <c r="AE210" i="46"/>
  <c r="AE215" i="46" s="1"/>
  <c r="AE209" i="46"/>
  <c r="AE214" i="46" s="1"/>
  <c r="AE208" i="46"/>
  <c r="AE213" i="46" s="1"/>
  <c r="AE206" i="48"/>
  <c r="T353" i="48"/>
  <c r="T354" i="48" s="1"/>
  <c r="BG72" i="45"/>
  <c r="AG179" i="46"/>
  <c r="AH107" i="45" s="1"/>
  <c r="AG178" i="46"/>
  <c r="AG183" i="46" s="1"/>
  <c r="AG177" i="46"/>
  <c r="AG182" i="46" s="1"/>
  <c r="AG176" i="46"/>
  <c r="AG181" i="46" s="1"/>
  <c r="AG175" i="46"/>
  <c r="AG180" i="46" s="1"/>
  <c r="AG174" i="48"/>
  <c r="AE31" i="48"/>
  <c r="AE306" i="48"/>
  <c r="BH67" i="45"/>
  <c r="BH23" i="45"/>
  <c r="AF29" i="48"/>
  <c r="AD68" i="45"/>
  <c r="X325" i="46"/>
  <c r="X326" i="46"/>
  <c r="Y308" i="46"/>
  <c r="Y309" i="46" s="1"/>
  <c r="Z275" i="46"/>
  <c r="BE118" i="45"/>
  <c r="BF90" i="45"/>
  <c r="Z91" i="45"/>
  <c r="V326" i="48"/>
  <c r="V325" i="48"/>
  <c r="BK77" i="45"/>
  <c r="Y318" i="46"/>
  <c r="Y319" i="46" s="1"/>
  <c r="Y341" i="46"/>
  <c r="Y342" i="46" s="1"/>
  <c r="AC68" i="45"/>
  <c r="AC34" i="45"/>
  <c r="W328" i="46"/>
  <c r="W327" i="46"/>
  <c r="T347" i="46"/>
  <c r="T349" i="46" s="1"/>
  <c r="T348" i="46"/>
  <c r="BG73" i="45"/>
  <c r="AG159" i="46"/>
  <c r="AH98" i="45" s="1"/>
  <c r="AG158" i="46"/>
  <c r="AG163" i="46" s="1"/>
  <c r="AG157" i="46"/>
  <c r="AG162" i="46" s="1"/>
  <c r="AG156" i="46"/>
  <c r="AG161" i="46" s="1"/>
  <c r="AG155" i="46"/>
  <c r="AG160" i="46" s="1"/>
  <c r="AG154" i="48"/>
  <c r="AF93" i="48"/>
  <c r="AF98" i="48" s="1"/>
  <c r="AF92" i="48"/>
  <c r="AF97" i="48" s="1"/>
  <c r="AF91" i="48"/>
  <c r="AF90" i="48"/>
  <c r="AF95" i="48" s="1"/>
  <c r="AF94" i="48"/>
  <c r="U343" i="46"/>
  <c r="U344" i="46" s="1"/>
  <c r="U345" i="46"/>
  <c r="U346" i="46" s="1"/>
  <c r="BG70" i="45"/>
  <c r="BE100" i="45"/>
  <c r="BE113" i="45"/>
  <c r="U328" i="46"/>
  <c r="U327" i="46"/>
  <c r="AG29" i="48"/>
  <c r="AE20" i="45"/>
  <c r="AE19" i="45"/>
  <c r="R361" i="48"/>
  <c r="X332" i="46"/>
  <c r="X331" i="46"/>
  <c r="X343" i="46" s="1"/>
  <c r="X344" i="46" s="1"/>
  <c r="X315" i="46"/>
  <c r="X314" i="46"/>
  <c r="X313" i="46"/>
  <c r="X312" i="46"/>
  <c r="X311" i="46"/>
  <c r="X310" i="46"/>
  <c r="Y324" i="46"/>
  <c r="Y323" i="46"/>
  <c r="Y322" i="46"/>
  <c r="Y321" i="46"/>
  <c r="S363" i="48"/>
  <c r="AZ120" i="45" s="1"/>
  <c r="S361" i="48"/>
  <c r="AH16" i="45"/>
  <c r="AG17" i="45"/>
  <c r="BM16" i="45"/>
  <c r="AG209" i="46"/>
  <c r="AG214" i="46" s="1"/>
  <c r="AG208" i="46"/>
  <c r="AG213" i="46" s="1"/>
  <c r="AG207" i="46"/>
  <c r="AG212" i="46" s="1"/>
  <c r="AG211" i="46"/>
  <c r="AH89" i="45" s="1"/>
  <c r="AG210" i="46"/>
  <c r="AG215" i="46" s="1"/>
  <c r="AG206" i="48"/>
  <c r="V332" i="48"/>
  <c r="V331" i="48"/>
  <c r="X318" i="48"/>
  <c r="X319" i="48" s="1"/>
  <c r="X341" i="48"/>
  <c r="X342" i="48" s="1"/>
  <c r="Y111" i="48"/>
  <c r="Y116" i="48" s="1"/>
  <c r="Y114" i="48"/>
  <c r="Y110" i="48"/>
  <c r="Y115" i="48" s="1"/>
  <c r="Y113" i="48"/>
  <c r="Y118" i="48" s="1"/>
  <c r="Y112" i="48"/>
  <c r="Y117" i="48" s="1"/>
  <c r="Y274" i="48"/>
  <c r="AD159" i="48"/>
  <c r="AD158" i="48"/>
  <c r="AD163" i="48" s="1"/>
  <c r="AD157" i="48"/>
  <c r="AD162" i="48" s="1"/>
  <c r="AD156" i="48"/>
  <c r="AD161" i="48" s="1"/>
  <c r="AD155" i="48"/>
  <c r="AD160" i="48" s="1"/>
  <c r="R363" i="46"/>
  <c r="S120" i="45" s="1"/>
  <c r="R361" i="46"/>
  <c r="Y70" i="48"/>
  <c r="Y75" i="48" s="1"/>
  <c r="Y74" i="48"/>
  <c r="Y73" i="48"/>
  <c r="Y78" i="48" s="1"/>
  <c r="Y72" i="48"/>
  <c r="Y77" i="48" s="1"/>
  <c r="Y71" i="48"/>
  <c r="Y76" i="48" s="1"/>
  <c r="BG71" i="45"/>
  <c r="Z33" i="48"/>
  <c r="Z39" i="48" s="1"/>
  <c r="BG75" i="45"/>
  <c r="BE116" i="45"/>
  <c r="BK18" i="45"/>
  <c r="U328" i="48"/>
  <c r="U327" i="48"/>
  <c r="AD176" i="48"/>
  <c r="AD181" i="48" s="1"/>
  <c r="AD175" i="48"/>
  <c r="AD180" i="48" s="1"/>
  <c r="AD179" i="48"/>
  <c r="AD178" i="48"/>
  <c r="AD183" i="48" s="1"/>
  <c r="AD177" i="48"/>
  <c r="AD182" i="48" s="1"/>
  <c r="BL17" i="45"/>
  <c r="AG217" i="46"/>
  <c r="AG222" i="46" s="1"/>
  <c r="AG221" i="46"/>
  <c r="AH99" i="45" s="1"/>
  <c r="AG220" i="46"/>
  <c r="AG225" i="46" s="1"/>
  <c r="AG219" i="46"/>
  <c r="AG224" i="46" s="1"/>
  <c r="AG218" i="46"/>
  <c r="AG223" i="46" s="1"/>
  <c r="AG216" i="48"/>
  <c r="AF204" i="46"/>
  <c r="AF203" i="46"/>
  <c r="Y103" i="48"/>
  <c r="Y108" i="48" s="1"/>
  <c r="Y102" i="48"/>
  <c r="Y107" i="48" s="1"/>
  <c r="Y101" i="48"/>
  <c r="Y106" i="48" s="1"/>
  <c r="Y100" i="48"/>
  <c r="Y105" i="48" s="1"/>
  <c r="Y104" i="48"/>
  <c r="Z103" i="45"/>
  <c r="Z101" i="45"/>
  <c r="Z102" i="45"/>
  <c r="BF101" i="45"/>
  <c r="BF103" i="45"/>
  <c r="BF102" i="45"/>
  <c r="V343" i="46"/>
  <c r="V344" i="46" s="1"/>
  <c r="V345" i="46"/>
  <c r="V346" i="46" s="1"/>
  <c r="Z79" i="45"/>
  <c r="Z80" i="45"/>
  <c r="Z81" i="45"/>
  <c r="BF81" i="45"/>
  <c r="BF79" i="45"/>
  <c r="BF80" i="45"/>
  <c r="AG145" i="46"/>
  <c r="AG150" i="46" s="1"/>
  <c r="AG149" i="46"/>
  <c r="AH83" i="45" s="1"/>
  <c r="AG148" i="46"/>
  <c r="AG153" i="46" s="1"/>
  <c r="AG147" i="46"/>
  <c r="AG152" i="46" s="1"/>
  <c r="AG146" i="46"/>
  <c r="AG151" i="46" s="1"/>
  <c r="AG144" i="48"/>
  <c r="AH59" i="14"/>
  <c r="AF202" i="48"/>
  <c r="AF149" i="46"/>
  <c r="AG83" i="45" s="1"/>
  <c r="AF148" i="46"/>
  <c r="AF153" i="46" s="1"/>
  <c r="AF147" i="46"/>
  <c r="AF152" i="46" s="1"/>
  <c r="AF146" i="46"/>
  <c r="AF151" i="46" s="1"/>
  <c r="AF145" i="46"/>
  <c r="AF150" i="46" s="1"/>
  <c r="AF144" i="48"/>
  <c r="BF78" i="45"/>
  <c r="T329" i="46"/>
  <c r="T333" i="46" s="1"/>
  <c r="T330" i="46"/>
  <c r="Y118" i="45"/>
  <c r="AE264" i="46"/>
  <c r="AE269" i="46" s="1"/>
  <c r="AE263" i="46"/>
  <c r="AE268" i="46" s="1"/>
  <c r="AE262" i="46"/>
  <c r="AE267" i="46" s="1"/>
  <c r="AE261" i="46"/>
  <c r="AE266" i="46" s="1"/>
  <c r="AE265" i="46"/>
  <c r="AF105" i="45" s="1"/>
  <c r="AE260" i="48"/>
  <c r="Y84" i="48"/>
  <c r="Y83" i="48"/>
  <c r="Y88" i="48" s="1"/>
  <c r="Y82" i="48"/>
  <c r="Y87" i="48" s="1"/>
  <c r="Y81" i="48"/>
  <c r="Y86" i="48" s="1"/>
  <c r="Y80" i="48"/>
  <c r="Y85" i="48" s="1"/>
  <c r="AG228" i="46"/>
  <c r="AG233" i="46" s="1"/>
  <c r="AG227" i="46"/>
  <c r="AG232" i="46" s="1"/>
  <c r="AG231" i="46"/>
  <c r="AH108" i="45" s="1"/>
  <c r="AG230" i="46"/>
  <c r="AG235" i="46" s="1"/>
  <c r="AG229" i="46"/>
  <c r="AG234" i="46" s="1"/>
  <c r="AG226" i="48"/>
  <c r="AD166" i="48"/>
  <c r="AD171" i="48" s="1"/>
  <c r="AD165" i="48"/>
  <c r="AD170" i="48" s="1"/>
  <c r="AD167" i="48"/>
  <c r="AD172" i="48" s="1"/>
  <c r="AD168" i="48"/>
  <c r="AD173" i="48" s="1"/>
  <c r="AD169" i="48"/>
  <c r="AF29" i="46"/>
  <c r="AF216" i="46"/>
  <c r="AF206" i="46"/>
  <c r="AF202" i="46"/>
  <c r="AF226" i="46"/>
  <c r="BF106" i="45"/>
  <c r="Z109" i="45"/>
  <c r="AD227" i="48"/>
  <c r="AD232" i="48" s="1"/>
  <c r="AD231" i="48"/>
  <c r="AD230" i="48"/>
  <c r="AD235" i="48" s="1"/>
  <c r="AD228" i="48"/>
  <c r="AD233" i="48" s="1"/>
  <c r="AD229" i="48"/>
  <c r="AD234" i="48" s="1"/>
  <c r="X321" i="48"/>
  <c r="X324" i="48"/>
  <c r="X323" i="48"/>
  <c r="X322" i="48"/>
  <c r="X339" i="46"/>
  <c r="X338" i="46"/>
  <c r="X337" i="46"/>
  <c r="X334" i="46"/>
  <c r="X336" i="46"/>
  <c r="X335" i="46"/>
  <c r="AE146" i="48"/>
  <c r="AE151" i="48" s="1"/>
  <c r="AE145" i="48"/>
  <c r="AE150" i="48" s="1"/>
  <c r="AE149" i="48"/>
  <c r="AE148" i="48"/>
  <c r="AE153" i="48" s="1"/>
  <c r="AE147" i="48"/>
  <c r="AE152" i="48" s="1"/>
  <c r="AF248" i="48"/>
  <c r="AF247" i="48"/>
  <c r="AF252" i="48" s="1"/>
  <c r="AF246" i="48"/>
  <c r="AF251" i="48" s="1"/>
  <c r="AF245" i="48"/>
  <c r="AF250" i="48" s="1"/>
  <c r="AF244" i="48"/>
  <c r="AF249" i="48" s="1"/>
  <c r="AF204" i="48"/>
  <c r="AF203" i="48"/>
  <c r="AB86" i="45"/>
  <c r="AB72" i="45"/>
  <c r="W324" i="48"/>
  <c r="W323" i="48"/>
  <c r="W322" i="48"/>
  <c r="W321" i="48"/>
  <c r="AA72" i="45"/>
  <c r="AA86" i="45"/>
  <c r="Y44" i="48"/>
  <c r="BK89" i="45"/>
  <c r="AF19" i="45"/>
  <c r="AG29" i="46"/>
  <c r="AE31" i="46"/>
  <c r="AE306" i="46"/>
  <c r="CR4" i="55"/>
  <c r="AE231" i="46"/>
  <c r="AF108" i="45" s="1"/>
  <c r="AE230" i="46"/>
  <c r="AE235" i="46" s="1"/>
  <c r="AE229" i="46"/>
  <c r="AE234" i="46" s="1"/>
  <c r="AE228" i="46"/>
  <c r="AE233" i="46" s="1"/>
  <c r="AE227" i="46"/>
  <c r="AE232" i="46" s="1"/>
  <c r="AE226" i="48"/>
  <c r="AF139" i="48"/>
  <c r="W348" i="46"/>
  <c r="AB87" i="45"/>
  <c r="BI55" i="45"/>
  <c r="BI56" i="45"/>
  <c r="AA87" i="45"/>
  <c r="AA73" i="45"/>
  <c r="BI21" i="45"/>
  <c r="V328" i="46"/>
  <c r="V327" i="46"/>
  <c r="Q363" i="48"/>
  <c r="AX120" i="45" s="1"/>
  <c r="Q361" i="48"/>
  <c r="AE169" i="46"/>
  <c r="AF77" i="45" s="1"/>
  <c r="AE168" i="46"/>
  <c r="AE173" i="46" s="1"/>
  <c r="AE167" i="46"/>
  <c r="AE172" i="46" s="1"/>
  <c r="AE166" i="46"/>
  <c r="AE171" i="46" s="1"/>
  <c r="AE165" i="46"/>
  <c r="AE170" i="46" s="1"/>
  <c r="AE164" i="48"/>
  <c r="U345" i="48"/>
  <c r="AH39" i="45"/>
  <c r="BN38" i="45"/>
  <c r="AH40" i="45"/>
  <c r="AD221" i="48"/>
  <c r="AD220" i="48"/>
  <c r="AD225" i="48" s="1"/>
  <c r="AD219" i="48"/>
  <c r="AD224" i="48" s="1"/>
  <c r="AD218" i="48"/>
  <c r="AD223" i="48" s="1"/>
  <c r="AD217" i="48"/>
  <c r="AD222" i="48" s="1"/>
  <c r="AD261" i="48"/>
  <c r="AD266" i="48" s="1"/>
  <c r="AD265" i="48"/>
  <c r="AD264" i="48"/>
  <c r="AD269" i="48" s="1"/>
  <c r="AD262" i="48"/>
  <c r="AD267" i="48" s="1"/>
  <c r="AD263" i="48"/>
  <c r="AD268" i="48" s="1"/>
  <c r="AF140" i="46"/>
  <c r="AF154" i="46" s="1"/>
  <c r="AF141" i="46"/>
  <c r="AF164" i="46" s="1"/>
  <c r="AF142" i="46"/>
  <c r="AF174" i="46" s="1"/>
  <c r="Z112" i="45"/>
  <c r="Z110" i="45"/>
  <c r="Z111" i="45"/>
  <c r="BF110" i="45"/>
  <c r="AE221" i="46"/>
  <c r="AF99" i="45" s="1"/>
  <c r="AE220" i="46"/>
  <c r="AE225" i="46" s="1"/>
  <c r="AE219" i="46"/>
  <c r="AE224" i="46" s="1"/>
  <c r="AE218" i="46"/>
  <c r="AE223" i="46" s="1"/>
  <c r="AE217" i="46"/>
  <c r="AE222" i="46" s="1"/>
  <c r="AE216" i="48"/>
  <c r="BE78" i="45"/>
  <c r="AB71" i="45" l="1"/>
  <c r="BF117" i="45"/>
  <c r="Z117" i="45"/>
  <c r="AC104" i="45"/>
  <c r="BH75" i="45"/>
  <c r="BE114" i="45"/>
  <c r="AF263" i="46"/>
  <c r="AF268" i="46" s="1"/>
  <c r="AF264" i="46"/>
  <c r="AF269" i="46" s="1"/>
  <c r="AF265" i="46"/>
  <c r="AG105" i="45" s="1"/>
  <c r="AF260" i="48"/>
  <c r="AF261" i="46"/>
  <c r="AF266" i="46" s="1"/>
  <c r="AC59" i="45"/>
  <c r="AB37" i="46"/>
  <c r="AG43" i="46" s="1"/>
  <c r="AG260" i="46" s="1"/>
  <c r="AG262" i="46" s="1"/>
  <c r="AG267" i="46" s="1"/>
  <c r="AC60" i="45"/>
  <c r="AC58" i="45"/>
  <c r="AA37" i="48"/>
  <c r="AF43" i="48" s="1"/>
  <c r="AD23" i="45"/>
  <c r="Z84" i="46"/>
  <c r="AA90" i="45" s="1"/>
  <c r="Z82" i="46"/>
  <c r="Z87" i="46" s="1"/>
  <c r="Z81" i="46"/>
  <c r="Z86" i="46" s="1"/>
  <c r="Z83" i="46"/>
  <c r="Z88" i="46" s="1"/>
  <c r="Z79" i="48"/>
  <c r="Z80" i="46"/>
  <c r="Z85" i="46" s="1"/>
  <c r="AD67" i="45"/>
  <c r="BM83" i="45"/>
  <c r="AZ122" i="45"/>
  <c r="BF91" i="45"/>
  <c r="BL42" i="45"/>
  <c r="AB73" i="45"/>
  <c r="Z72" i="46"/>
  <c r="Z77" i="46" s="1"/>
  <c r="Z71" i="46"/>
  <c r="Z76" i="46" s="1"/>
  <c r="Z73" i="46"/>
  <c r="Z78" i="46" s="1"/>
  <c r="Z69" i="48"/>
  <c r="Z70" i="46"/>
  <c r="Z75" i="46" s="1"/>
  <c r="Z74" i="46"/>
  <c r="AA76" i="45" s="1"/>
  <c r="BL105" i="45"/>
  <c r="BN99" i="45"/>
  <c r="BH70" i="45"/>
  <c r="BN107" i="45"/>
  <c r="Y115" i="45"/>
  <c r="AF20" i="45"/>
  <c r="Z114" i="45"/>
  <c r="Z316" i="46"/>
  <c r="Z271" i="46"/>
  <c r="AB34" i="46"/>
  <c r="AC26" i="45"/>
  <c r="AC25" i="45"/>
  <c r="AC24" i="45"/>
  <c r="AC82" i="45"/>
  <c r="BN108" i="45"/>
  <c r="AG69" i="45"/>
  <c r="BM105" i="45"/>
  <c r="BL99" i="45"/>
  <c r="BI68" i="45"/>
  <c r="BL108" i="45"/>
  <c r="S122" i="45"/>
  <c r="BN98" i="45"/>
  <c r="AC70" i="45"/>
  <c r="AA33" i="48"/>
  <c r="AA39" i="48" s="1"/>
  <c r="AA44" i="48" s="1"/>
  <c r="AA271" i="48" s="1"/>
  <c r="BN83" i="45"/>
  <c r="AX122" i="45"/>
  <c r="BI57" i="45"/>
  <c r="BF109" i="45"/>
  <c r="Z103" i="46"/>
  <c r="Z108" i="46" s="1"/>
  <c r="Z102" i="46"/>
  <c r="Z107" i="46" s="1"/>
  <c r="Z101" i="46"/>
  <c r="Z106" i="46" s="1"/>
  <c r="Z100" i="46"/>
  <c r="Z105" i="46" s="1"/>
  <c r="Z104" i="46"/>
  <c r="AA106" i="45" s="1"/>
  <c r="Z99" i="48"/>
  <c r="BL69" i="45"/>
  <c r="BL98" i="45"/>
  <c r="BL107" i="45"/>
  <c r="AG42" i="45"/>
  <c r="Z114" i="46"/>
  <c r="AA97" i="45" s="1"/>
  <c r="Z112" i="46"/>
  <c r="Z117" i="46" s="1"/>
  <c r="Z109" i="48"/>
  <c r="Z113" i="46"/>
  <c r="Z118" i="46" s="1"/>
  <c r="Z111" i="46"/>
  <c r="Z116" i="46" s="1"/>
  <c r="Z110" i="46"/>
  <c r="Z115" i="46" s="1"/>
  <c r="Z274" i="46"/>
  <c r="BL95" i="45"/>
  <c r="BL43" i="45"/>
  <c r="BL44" i="45"/>
  <c r="AE35" i="48"/>
  <c r="AD24" i="45"/>
  <c r="AD25" i="45"/>
  <c r="BH58" i="45"/>
  <c r="BH104" i="45"/>
  <c r="X345" i="46"/>
  <c r="X348" i="46" s="1"/>
  <c r="X353" i="46" s="1"/>
  <c r="AG44" i="45"/>
  <c r="AD34" i="45"/>
  <c r="BH59" i="45"/>
  <c r="AF35" i="46"/>
  <c r="BI34" i="45"/>
  <c r="BM41" i="45"/>
  <c r="AG95" i="45"/>
  <c r="AG43" i="45"/>
  <c r="BH60" i="45"/>
  <c r="AE33" i="45"/>
  <c r="AD57" i="45"/>
  <c r="AF21" i="45"/>
  <c r="AB37" i="48"/>
  <c r="AG43" i="48" s="1"/>
  <c r="BI59" i="45"/>
  <c r="AX119" i="45"/>
  <c r="Q365" i="48"/>
  <c r="Q370" i="48"/>
  <c r="Y316" i="48"/>
  <c r="AF227" i="46"/>
  <c r="AF232" i="46" s="1"/>
  <c r="AF231" i="46"/>
  <c r="AG108" i="45" s="1"/>
  <c r="AF230" i="46"/>
  <c r="AF235" i="46" s="1"/>
  <c r="AF229" i="46"/>
  <c r="AF234" i="46" s="1"/>
  <c r="AF228" i="46"/>
  <c r="AF233" i="46" s="1"/>
  <c r="AF226" i="48"/>
  <c r="AG219" i="48"/>
  <c r="AG224" i="48" s="1"/>
  <c r="AG218" i="48"/>
  <c r="AG223" i="48" s="1"/>
  <c r="AG217" i="48"/>
  <c r="AG222" i="48" s="1"/>
  <c r="AG221" i="48"/>
  <c r="AG220" i="48"/>
  <c r="AG225" i="48" s="1"/>
  <c r="AH17" i="45"/>
  <c r="BN16" i="45"/>
  <c r="AZ119" i="45"/>
  <c r="S365" i="48"/>
  <c r="S370" i="48"/>
  <c r="AY119" i="45"/>
  <c r="R365" i="48"/>
  <c r="R370" i="48"/>
  <c r="U330" i="46"/>
  <c r="U329" i="46"/>
  <c r="U333" i="46" s="1"/>
  <c r="Y339" i="46"/>
  <c r="Y338" i="46"/>
  <c r="Y337" i="46"/>
  <c r="Y334" i="46"/>
  <c r="Y336" i="46"/>
  <c r="Y335" i="46"/>
  <c r="V327" i="48"/>
  <c r="V328" i="48"/>
  <c r="AW123" i="45"/>
  <c r="AW121" i="45"/>
  <c r="AW124" i="45"/>
  <c r="AF179" i="46"/>
  <c r="AG107" i="45" s="1"/>
  <c r="AF178" i="46"/>
  <c r="AF183" i="46" s="1"/>
  <c r="AF177" i="46"/>
  <c r="AF182" i="46" s="1"/>
  <c r="AF176" i="46"/>
  <c r="AF181" i="46" s="1"/>
  <c r="AF175" i="46"/>
  <c r="AF180" i="46" s="1"/>
  <c r="AF174" i="48"/>
  <c r="BF116" i="45"/>
  <c r="S119" i="45"/>
  <c r="R365" i="46"/>
  <c r="R370" i="46"/>
  <c r="Y318" i="48"/>
  <c r="Y341" i="48"/>
  <c r="Y342" i="48" s="1"/>
  <c r="AG211" i="48"/>
  <c r="AG210" i="48"/>
  <c r="AG215" i="48" s="1"/>
  <c r="AG209" i="48"/>
  <c r="AG214" i="48" s="1"/>
  <c r="AG208" i="48"/>
  <c r="AG213" i="48" s="1"/>
  <c r="AG207" i="48"/>
  <c r="AG212" i="48" s="1"/>
  <c r="AG265" i="46"/>
  <c r="AH105" i="45" s="1"/>
  <c r="AG264" i="46"/>
  <c r="AG269" i="46" s="1"/>
  <c r="AG263" i="46"/>
  <c r="AG268" i="46" s="1"/>
  <c r="W330" i="46"/>
  <c r="W329" i="46"/>
  <c r="W333" i="46" s="1"/>
  <c r="Z308" i="46"/>
  <c r="Z309" i="46" s="1"/>
  <c r="AA275" i="46"/>
  <c r="AE56" i="45"/>
  <c r="AE55" i="45"/>
  <c r="AG27" i="45"/>
  <c r="AF28" i="45"/>
  <c r="BL27" i="45"/>
  <c r="AF36" i="45"/>
  <c r="AF35" i="45"/>
  <c r="AF32" i="45"/>
  <c r="AF37" i="45"/>
  <c r="AF29" i="45"/>
  <c r="AF31" i="45"/>
  <c r="AF54" i="45"/>
  <c r="BN39" i="45"/>
  <c r="BN40" i="45"/>
  <c r="AF165" i="46"/>
  <c r="AF170" i="46" s="1"/>
  <c r="AF169" i="46"/>
  <c r="AG77" i="45" s="1"/>
  <c r="AF168" i="46"/>
  <c r="AF173" i="46" s="1"/>
  <c r="AF167" i="46"/>
  <c r="AF172" i="46" s="1"/>
  <c r="AF166" i="46"/>
  <c r="AF171" i="46" s="1"/>
  <c r="AF164" i="48"/>
  <c r="AH41" i="45"/>
  <c r="AE166" i="48"/>
  <c r="AE171" i="48" s="1"/>
  <c r="AE165" i="48"/>
  <c r="AE170" i="48" s="1"/>
  <c r="AE169" i="48"/>
  <c r="AE167" i="48"/>
  <c r="AE172" i="48" s="1"/>
  <c r="AE168" i="48"/>
  <c r="AE173" i="48" s="1"/>
  <c r="AF208" i="46"/>
  <c r="AF213" i="46" s="1"/>
  <c r="AF207" i="46"/>
  <c r="AF212" i="46" s="1"/>
  <c r="AF211" i="46"/>
  <c r="AG89" i="45" s="1"/>
  <c r="AF210" i="46"/>
  <c r="AF215" i="46" s="1"/>
  <c r="AF209" i="46"/>
  <c r="AF214" i="46" s="1"/>
  <c r="AF206" i="48"/>
  <c r="BF118" i="45"/>
  <c r="AE21" i="45"/>
  <c r="BE115" i="45"/>
  <c r="W349" i="46"/>
  <c r="Y310" i="46"/>
  <c r="Y315" i="46"/>
  <c r="Y314" i="46"/>
  <c r="Y313" i="46"/>
  <c r="Y312" i="46"/>
  <c r="Y311" i="46"/>
  <c r="AF31" i="48"/>
  <c r="AF306" i="48"/>
  <c r="T363" i="48"/>
  <c r="BA120" i="45" s="1"/>
  <c r="T361" i="48"/>
  <c r="BJ55" i="45"/>
  <c r="BJ56" i="45"/>
  <c r="BJ30" i="45"/>
  <c r="R125" i="45"/>
  <c r="Q371" i="46"/>
  <c r="R126" i="45" s="1"/>
  <c r="BK28" i="45"/>
  <c r="BK32" i="45"/>
  <c r="BK35" i="45"/>
  <c r="BK29" i="45"/>
  <c r="BK31" i="45"/>
  <c r="BK37" i="45"/>
  <c r="BK36" i="45"/>
  <c r="BK54" i="45"/>
  <c r="AF159" i="46"/>
  <c r="AG98" i="45" s="1"/>
  <c r="AF158" i="46"/>
  <c r="AF163" i="46" s="1"/>
  <c r="AF157" i="46"/>
  <c r="AF162" i="46" s="1"/>
  <c r="AF156" i="46"/>
  <c r="AF161" i="46" s="1"/>
  <c r="AF155" i="46"/>
  <c r="AF160" i="46" s="1"/>
  <c r="AF154" i="48"/>
  <c r="U348" i="48"/>
  <c r="AE227" i="48"/>
  <c r="AE232" i="48" s="1"/>
  <c r="AE228" i="48"/>
  <c r="AE233" i="48" s="1"/>
  <c r="AE231" i="48"/>
  <c r="AE229" i="48"/>
  <c r="AE234" i="48" s="1"/>
  <c r="AE230" i="48"/>
  <c r="AE235" i="48" s="1"/>
  <c r="AF221" i="46"/>
  <c r="AG99" i="45" s="1"/>
  <c r="AF220" i="46"/>
  <c r="AF225" i="46" s="1"/>
  <c r="AF219" i="46"/>
  <c r="AF224" i="46" s="1"/>
  <c r="AF218" i="46"/>
  <c r="AF223" i="46" s="1"/>
  <c r="AF217" i="46"/>
  <c r="AF222" i="46" s="1"/>
  <c r="AF216" i="48"/>
  <c r="AG227" i="48"/>
  <c r="AG232" i="48" s="1"/>
  <c r="AG230" i="48"/>
  <c r="AG235" i="48" s="1"/>
  <c r="AG229" i="48"/>
  <c r="AG234" i="48" s="1"/>
  <c r="AG228" i="48"/>
  <c r="AG233" i="48" s="1"/>
  <c r="AG231" i="48"/>
  <c r="Z118" i="45"/>
  <c r="AF263" i="48"/>
  <c r="AF268" i="48" s="1"/>
  <c r="AF262" i="48"/>
  <c r="AF267" i="48" s="1"/>
  <c r="AF261" i="48"/>
  <c r="AF266" i="48" s="1"/>
  <c r="AF264" i="48"/>
  <c r="AF269" i="48" s="1"/>
  <c r="AF265" i="48"/>
  <c r="U330" i="48"/>
  <c r="U329" i="48"/>
  <c r="U333" i="48" s="1"/>
  <c r="Z44" i="48"/>
  <c r="Z271" i="48" s="1"/>
  <c r="BN89" i="45"/>
  <c r="AG31" i="48"/>
  <c r="AG306" i="48"/>
  <c r="AB33" i="46"/>
  <c r="AB39" i="46" s="1"/>
  <c r="AC75" i="45"/>
  <c r="X328" i="46"/>
  <c r="X327" i="46"/>
  <c r="BL89" i="45"/>
  <c r="AE159" i="48"/>
  <c r="AE158" i="48"/>
  <c r="AE163" i="48" s="1"/>
  <c r="AE157" i="48"/>
  <c r="AE162" i="48" s="1"/>
  <c r="AE156" i="48"/>
  <c r="AE161" i="48" s="1"/>
  <c r="AE155" i="48"/>
  <c r="AE160" i="48" s="1"/>
  <c r="AG167" i="48"/>
  <c r="AG172" i="48" s="1"/>
  <c r="AG166" i="48"/>
  <c r="AG171" i="48" s="1"/>
  <c r="AG165" i="48"/>
  <c r="AG170" i="48" s="1"/>
  <c r="AG169" i="48"/>
  <c r="AG168" i="48"/>
  <c r="AG173" i="48" s="1"/>
  <c r="AE30" i="45"/>
  <c r="V330" i="46"/>
  <c r="V329" i="46"/>
  <c r="V333" i="46" s="1"/>
  <c r="X326" i="48"/>
  <c r="X325" i="48"/>
  <c r="AF147" i="48"/>
  <c r="AF152" i="48" s="1"/>
  <c r="AF146" i="48"/>
  <c r="AF151" i="48" s="1"/>
  <c r="AF145" i="48"/>
  <c r="AF150" i="48" s="1"/>
  <c r="AF149" i="48"/>
  <c r="AF148" i="48"/>
  <c r="AF153" i="48" s="1"/>
  <c r="AG148" i="48"/>
  <c r="AG153" i="48" s="1"/>
  <c r="AG147" i="48"/>
  <c r="AG152" i="48" s="1"/>
  <c r="AG146" i="48"/>
  <c r="AG151" i="48" s="1"/>
  <c r="AG145" i="48"/>
  <c r="AG150" i="48" s="1"/>
  <c r="AG149" i="48"/>
  <c r="BL18" i="45"/>
  <c r="U346" i="48"/>
  <c r="U347" i="48" s="1"/>
  <c r="U349" i="48" s="1"/>
  <c r="U347" i="46"/>
  <c r="U349" i="46" s="1"/>
  <c r="U348" i="46"/>
  <c r="AG156" i="48"/>
  <c r="AG161" i="48" s="1"/>
  <c r="AG155" i="48"/>
  <c r="AG160" i="48" s="1"/>
  <c r="AG159" i="48"/>
  <c r="AG158" i="48"/>
  <c r="AG163" i="48" s="1"/>
  <c r="AG157" i="48"/>
  <c r="AG162" i="48" s="1"/>
  <c r="AA44" i="46"/>
  <c r="AA271" i="46" s="1"/>
  <c r="AA79" i="46"/>
  <c r="AA69" i="46"/>
  <c r="AA99" i="46"/>
  <c r="AA109" i="46"/>
  <c r="X315" i="48"/>
  <c r="X314" i="48"/>
  <c r="X313" i="48"/>
  <c r="X312" i="48"/>
  <c r="X311" i="48"/>
  <c r="X310" i="48"/>
  <c r="S354" i="46"/>
  <c r="S363" i="46" s="1"/>
  <c r="T120" i="45" s="1"/>
  <c r="AE177" i="48"/>
  <c r="AE182" i="48" s="1"/>
  <c r="AE176" i="48"/>
  <c r="AE181" i="48" s="1"/>
  <c r="AE175" i="48"/>
  <c r="AE180" i="48" s="1"/>
  <c r="AE179" i="48"/>
  <c r="AE178" i="48"/>
  <c r="AE183" i="48" s="1"/>
  <c r="AE217" i="48"/>
  <c r="AE222" i="48" s="1"/>
  <c r="AE221" i="48"/>
  <c r="AE220" i="48"/>
  <c r="AE225" i="48" s="1"/>
  <c r="AE219" i="48"/>
  <c r="AE224" i="48" s="1"/>
  <c r="AE218" i="48"/>
  <c r="AE223" i="48" s="1"/>
  <c r="AG31" i="46"/>
  <c r="AG306" i="46"/>
  <c r="CT4" i="55"/>
  <c r="W326" i="48"/>
  <c r="W325" i="48"/>
  <c r="X332" i="48"/>
  <c r="X331" i="48"/>
  <c r="X343" i="48" s="1"/>
  <c r="X344" i="48" s="1"/>
  <c r="AF31" i="46"/>
  <c r="AF306" i="46"/>
  <c r="CS4" i="55"/>
  <c r="Z116" i="45"/>
  <c r="BK20" i="45"/>
  <c r="BK19" i="45"/>
  <c r="X337" i="48"/>
  <c r="X336" i="48"/>
  <c r="X335" i="48"/>
  <c r="X334" i="48"/>
  <c r="X339" i="48"/>
  <c r="X338" i="48"/>
  <c r="BM17" i="45"/>
  <c r="AW125" i="45"/>
  <c r="P371" i="48"/>
  <c r="AW126" i="45" s="1"/>
  <c r="Y308" i="48"/>
  <c r="Y309" i="48" s="1"/>
  <c r="Z275" i="48"/>
  <c r="R124" i="45"/>
  <c r="R123" i="45"/>
  <c r="R121" i="45"/>
  <c r="AD86" i="45"/>
  <c r="W353" i="46"/>
  <c r="W332" i="48"/>
  <c r="W331" i="48"/>
  <c r="V347" i="46"/>
  <c r="V349" i="46" s="1"/>
  <c r="V348" i="46"/>
  <c r="V343" i="48"/>
  <c r="V344" i="48" s="1"/>
  <c r="V345" i="48"/>
  <c r="V346" i="48" s="1"/>
  <c r="Y326" i="46"/>
  <c r="Y325" i="46"/>
  <c r="BN77" i="45"/>
  <c r="BF100" i="45"/>
  <c r="BF113" i="45"/>
  <c r="BL77" i="45"/>
  <c r="BI67" i="45"/>
  <c r="BI23" i="45"/>
  <c r="Y271" i="48"/>
  <c r="AE262" i="48"/>
  <c r="AE267" i="48" s="1"/>
  <c r="AE261" i="48"/>
  <c r="AE266" i="48" s="1"/>
  <c r="AE265" i="48"/>
  <c r="AE263" i="48"/>
  <c r="AE268" i="48" s="1"/>
  <c r="AE264" i="48"/>
  <c r="AE269" i="48" s="1"/>
  <c r="AG18" i="45"/>
  <c r="Y332" i="46"/>
  <c r="Y331" i="46"/>
  <c r="Y343" i="46" s="1"/>
  <c r="Y344" i="46" s="1"/>
  <c r="T353" i="46"/>
  <c r="T354" i="46" s="1"/>
  <c r="AA34" i="48"/>
  <c r="BH24" i="45"/>
  <c r="BH26" i="45"/>
  <c r="BH25" i="45"/>
  <c r="BH82" i="45"/>
  <c r="AG179" i="48"/>
  <c r="AG178" i="48"/>
  <c r="AG183" i="48" s="1"/>
  <c r="AG177" i="48"/>
  <c r="AG182" i="48" s="1"/>
  <c r="AG176" i="48"/>
  <c r="AG181" i="48" s="1"/>
  <c r="AG175" i="48"/>
  <c r="AG180" i="48" s="1"/>
  <c r="AE209" i="48"/>
  <c r="AE214" i="48" s="1"/>
  <c r="AE208" i="48"/>
  <c r="AE213" i="48" s="1"/>
  <c r="AE207" i="48"/>
  <c r="AE212" i="48" s="1"/>
  <c r="AE211" i="48"/>
  <c r="AE210" i="48"/>
  <c r="AE215" i="48" s="1"/>
  <c r="BJ33" i="45"/>
  <c r="BJ21" i="45"/>
  <c r="AG260" i="48" l="1"/>
  <c r="AG261" i="46"/>
  <c r="AG266" i="46" s="1"/>
  <c r="BF114" i="45"/>
  <c r="BI58" i="45"/>
  <c r="AD85" i="45"/>
  <c r="AC73" i="45"/>
  <c r="X346" i="46"/>
  <c r="X347" i="46" s="1"/>
  <c r="BI104" i="45"/>
  <c r="BI60" i="45"/>
  <c r="BG97" i="45"/>
  <c r="AA100" i="45"/>
  <c r="AA113" i="45"/>
  <c r="AC85" i="45"/>
  <c r="AC71" i="45"/>
  <c r="AA79" i="45"/>
  <c r="BG79" i="45"/>
  <c r="BG81" i="45"/>
  <c r="BG80" i="45"/>
  <c r="AA80" i="45"/>
  <c r="AA81" i="45"/>
  <c r="AH18" i="45"/>
  <c r="BM95" i="45"/>
  <c r="AC86" i="45"/>
  <c r="Z70" i="48"/>
  <c r="Z75" i="48" s="1"/>
  <c r="Z74" i="48"/>
  <c r="Z73" i="48"/>
  <c r="Z78" i="48" s="1"/>
  <c r="Z72" i="48"/>
  <c r="Z77" i="48" s="1"/>
  <c r="Z71" i="48"/>
  <c r="Z76" i="48" s="1"/>
  <c r="BG90" i="45"/>
  <c r="AA91" i="45"/>
  <c r="BM98" i="45"/>
  <c r="Z341" i="46"/>
  <c r="Z342" i="46" s="1"/>
  <c r="Z318" i="46"/>
  <c r="Z319" i="46" s="1"/>
  <c r="Z102" i="48"/>
  <c r="Z107" i="48" s="1"/>
  <c r="Z101" i="48"/>
  <c r="Z106" i="48" s="1"/>
  <c r="Z100" i="48"/>
  <c r="Z105" i="48" s="1"/>
  <c r="Z103" i="48"/>
  <c r="Z108" i="48" s="1"/>
  <c r="Z104" i="48"/>
  <c r="AC87" i="45"/>
  <c r="BN105" i="45"/>
  <c r="AD59" i="45"/>
  <c r="AA102" i="45"/>
  <c r="BG101" i="45"/>
  <c r="AA101" i="45"/>
  <c r="BG102" i="45"/>
  <c r="AA103" i="45"/>
  <c r="BG103" i="45"/>
  <c r="BG106" i="45"/>
  <c r="AA109" i="45"/>
  <c r="AF23" i="45"/>
  <c r="AD70" i="45"/>
  <c r="BH84" i="45"/>
  <c r="BM99" i="45"/>
  <c r="BM107" i="45"/>
  <c r="BG112" i="45"/>
  <c r="BG110" i="45"/>
  <c r="AA111" i="45"/>
  <c r="BG111" i="45"/>
  <c r="AA110" i="45"/>
  <c r="AA112" i="45"/>
  <c r="AA93" i="45"/>
  <c r="BG94" i="45"/>
  <c r="AA94" i="45"/>
  <c r="BG93" i="45"/>
  <c r="BF115" i="45"/>
  <c r="T122" i="45"/>
  <c r="BM108" i="45"/>
  <c r="AC72" i="45"/>
  <c r="Z80" i="48"/>
  <c r="Z85" i="48" s="1"/>
  <c r="Z84" i="48"/>
  <c r="Z82" i="48"/>
  <c r="Z87" i="48" s="1"/>
  <c r="Z83" i="48"/>
  <c r="Z88" i="48" s="1"/>
  <c r="Z81" i="48"/>
  <c r="Z86" i="48" s="1"/>
  <c r="AC34" i="46"/>
  <c r="AD26" i="45"/>
  <c r="AD82" i="45"/>
  <c r="BI70" i="45"/>
  <c r="BM69" i="45"/>
  <c r="Z115" i="45"/>
  <c r="Z114" i="48"/>
  <c r="Z112" i="48"/>
  <c r="Z117" i="48" s="1"/>
  <c r="Z110" i="48"/>
  <c r="Z115" i="48" s="1"/>
  <c r="Z113" i="48"/>
  <c r="Z118" i="48" s="1"/>
  <c r="Z111" i="48"/>
  <c r="Z116" i="48" s="1"/>
  <c r="Z274" i="48"/>
  <c r="Z320" i="46"/>
  <c r="Z317" i="46"/>
  <c r="BA122" i="45"/>
  <c r="AC84" i="45"/>
  <c r="BG76" i="45"/>
  <c r="AA78" i="45"/>
  <c r="BM43" i="45"/>
  <c r="AC37" i="46"/>
  <c r="BM42" i="45"/>
  <c r="BM44" i="45"/>
  <c r="AF35" i="48"/>
  <c r="AD75" i="45"/>
  <c r="AC33" i="46"/>
  <c r="AC39" i="46" s="1"/>
  <c r="BJ57" i="45"/>
  <c r="BJ68" i="45"/>
  <c r="AE34" i="45"/>
  <c r="AD58" i="45"/>
  <c r="AE68" i="45"/>
  <c r="AD104" i="45"/>
  <c r="AD60" i="45"/>
  <c r="AF82" i="45"/>
  <c r="AF26" i="45"/>
  <c r="BK21" i="45"/>
  <c r="AE34" i="46"/>
  <c r="AB33" i="48"/>
  <c r="AB39" i="48" s="1"/>
  <c r="AB44" i="48" s="1"/>
  <c r="AB316" i="48" s="1"/>
  <c r="AB317" i="48" s="1"/>
  <c r="BI75" i="45"/>
  <c r="BN41" i="45"/>
  <c r="AE57" i="45"/>
  <c r="BM18" i="45"/>
  <c r="AF33" i="45"/>
  <c r="BJ67" i="45"/>
  <c r="BJ23" i="45"/>
  <c r="V347" i="48"/>
  <c r="V349" i="48" s="1"/>
  <c r="V348" i="48"/>
  <c r="Y320" i="48"/>
  <c r="Y319" i="48"/>
  <c r="Y317" i="48"/>
  <c r="BH72" i="45"/>
  <c r="BH86" i="45"/>
  <c r="Y345" i="46"/>
  <c r="Y346" i="46" s="1"/>
  <c r="AA114" i="46"/>
  <c r="AB97" i="45" s="1"/>
  <c r="AA113" i="46"/>
  <c r="AA118" i="46" s="1"/>
  <c r="AA112" i="46"/>
  <c r="AA117" i="46" s="1"/>
  <c r="AA111" i="46"/>
  <c r="AA116" i="46" s="1"/>
  <c r="AA110" i="46"/>
  <c r="AA115" i="46" s="1"/>
  <c r="AA109" i="48"/>
  <c r="AA274" i="46"/>
  <c r="U353" i="46"/>
  <c r="U354" i="46" s="1"/>
  <c r="AF218" i="48"/>
  <c r="AF223" i="48" s="1"/>
  <c r="AF217" i="48"/>
  <c r="AF222" i="48" s="1"/>
  <c r="AF221" i="48"/>
  <c r="AF220" i="48"/>
  <c r="AF225" i="48" s="1"/>
  <c r="AF219" i="48"/>
  <c r="AF224" i="48" s="1"/>
  <c r="AF155" i="48"/>
  <c r="AF160" i="48" s="1"/>
  <c r="AF159" i="48"/>
  <c r="AF158" i="48"/>
  <c r="AF163" i="48" s="1"/>
  <c r="AF157" i="48"/>
  <c r="AF162" i="48" s="1"/>
  <c r="AF156" i="48"/>
  <c r="AF161" i="48" s="1"/>
  <c r="AY125" i="45"/>
  <c r="R371" i="48"/>
  <c r="AY126" i="45" s="1"/>
  <c r="AZ123" i="45"/>
  <c r="AZ124" i="45"/>
  <c r="AZ121" i="45"/>
  <c r="AB34" i="48"/>
  <c r="BI24" i="45"/>
  <c r="BI26" i="45"/>
  <c r="BI25" i="45"/>
  <c r="BI82" i="45"/>
  <c r="AA100" i="46"/>
  <c r="AA105" i="46" s="1"/>
  <c r="AA103" i="46"/>
  <c r="AA108" i="46" s="1"/>
  <c r="AA102" i="46"/>
  <c r="AA107" i="46" s="1"/>
  <c r="AA101" i="46"/>
  <c r="AA106" i="46" s="1"/>
  <c r="AA104" i="46"/>
  <c r="AB106" i="45" s="1"/>
  <c r="AA99" i="48"/>
  <c r="X345" i="48"/>
  <c r="X346" i="48" s="1"/>
  <c r="BL20" i="45"/>
  <c r="BL19" i="45"/>
  <c r="V330" i="48"/>
  <c r="V329" i="48"/>
  <c r="V333" i="48" s="1"/>
  <c r="BH87" i="45"/>
  <c r="BH73" i="45"/>
  <c r="BH85" i="45"/>
  <c r="BH71" i="45"/>
  <c r="Y328" i="46"/>
  <c r="Y327" i="46"/>
  <c r="X354" i="46"/>
  <c r="X363" i="46" s="1"/>
  <c r="Y120" i="45" s="1"/>
  <c r="W328" i="48"/>
  <c r="W327" i="48"/>
  <c r="AA71" i="46"/>
  <c r="AA76" i="46" s="1"/>
  <c r="AA70" i="46"/>
  <c r="AA75" i="46" s="1"/>
  <c r="AA74" i="46"/>
  <c r="AB76" i="45" s="1"/>
  <c r="AA73" i="46"/>
  <c r="AA78" i="46" s="1"/>
  <c r="AA72" i="46"/>
  <c r="AA77" i="46" s="1"/>
  <c r="AA69" i="48"/>
  <c r="S361" i="46"/>
  <c r="BK56" i="45"/>
  <c r="BK55" i="45"/>
  <c r="BK30" i="45"/>
  <c r="AE67" i="45"/>
  <c r="AE23" i="45"/>
  <c r="AF210" i="48"/>
  <c r="AF215" i="48" s="1"/>
  <c r="AF209" i="48"/>
  <c r="AF214" i="48" s="1"/>
  <c r="AF208" i="48"/>
  <c r="AF213" i="48" s="1"/>
  <c r="AF207" i="48"/>
  <c r="AF212" i="48" s="1"/>
  <c r="AF211" i="48"/>
  <c r="BM77" i="45"/>
  <c r="AF56" i="45"/>
  <c r="AF55" i="45"/>
  <c r="BL28" i="45"/>
  <c r="BL32" i="45"/>
  <c r="BL35" i="45"/>
  <c r="BL29" i="45"/>
  <c r="BL31" i="45"/>
  <c r="BL37" i="45"/>
  <c r="BL36" i="45"/>
  <c r="BL54" i="45"/>
  <c r="AA316" i="48"/>
  <c r="BN17" i="45"/>
  <c r="AX125" i="45"/>
  <c r="Q371" i="48"/>
  <c r="AX126" i="45" s="1"/>
  <c r="W343" i="48"/>
  <c r="W344" i="48" s="1"/>
  <c r="W345" i="48"/>
  <c r="AA80" i="46"/>
  <c r="AA85" i="46" s="1"/>
  <c r="AA84" i="46"/>
  <c r="AB90" i="45" s="1"/>
  <c r="AA82" i="46"/>
  <c r="AA87" i="46" s="1"/>
  <c r="AA81" i="46"/>
  <c r="AA86" i="46" s="1"/>
  <c r="AA83" i="46"/>
  <c r="AA88" i="46" s="1"/>
  <c r="AA79" i="48"/>
  <c r="X328" i="48"/>
  <c r="X327" i="48"/>
  <c r="BA119" i="45"/>
  <c r="T365" i="48"/>
  <c r="T370" i="48"/>
  <c r="AF30" i="45"/>
  <c r="AG264" i="48"/>
  <c r="AG269" i="48" s="1"/>
  <c r="AG263" i="48"/>
  <c r="AG268" i="48" s="1"/>
  <c r="AG262" i="48"/>
  <c r="AG267" i="48" s="1"/>
  <c r="AG261" i="48"/>
  <c r="AG266" i="48" s="1"/>
  <c r="AG265" i="48"/>
  <c r="AY121" i="45"/>
  <c r="AY124" i="45"/>
  <c r="AY123" i="45"/>
  <c r="AH69" i="45"/>
  <c r="T361" i="46"/>
  <c r="T363" i="46"/>
  <c r="U120" i="45" s="1"/>
  <c r="AG19" i="45"/>
  <c r="AG20" i="45"/>
  <c r="V353" i="46"/>
  <c r="V354" i="46" s="1"/>
  <c r="W354" i="46"/>
  <c r="W363" i="46" s="1"/>
  <c r="X120" i="45" s="1"/>
  <c r="AA316" i="46"/>
  <c r="X330" i="46"/>
  <c r="X329" i="46"/>
  <c r="X333" i="46" s="1"/>
  <c r="Z316" i="48"/>
  <c r="AH27" i="45"/>
  <c r="AG28" i="45"/>
  <c r="BM27" i="45"/>
  <c r="AG29" i="45"/>
  <c r="AG31" i="45"/>
  <c r="AG36" i="45"/>
  <c r="AG35" i="45"/>
  <c r="AG32" i="45"/>
  <c r="AG37" i="45"/>
  <c r="AG54" i="45"/>
  <c r="AA308" i="46"/>
  <c r="AA309" i="46" s="1"/>
  <c r="AB275" i="46"/>
  <c r="S125" i="45"/>
  <c r="R371" i="46"/>
  <c r="S126" i="45" s="1"/>
  <c r="Z308" i="48"/>
  <c r="Z309" i="48" s="1"/>
  <c r="AA275" i="48"/>
  <c r="X349" i="46"/>
  <c r="BK33" i="45"/>
  <c r="BJ34" i="45"/>
  <c r="BM89" i="45"/>
  <c r="AG35" i="46"/>
  <c r="AH43" i="45"/>
  <c r="AH95" i="45"/>
  <c r="AH42" i="45"/>
  <c r="AH44" i="45"/>
  <c r="Z311" i="46"/>
  <c r="Z310" i="46"/>
  <c r="Z315" i="46"/>
  <c r="Z314" i="46"/>
  <c r="Z313" i="46"/>
  <c r="Z312" i="46"/>
  <c r="AZ125" i="45"/>
  <c r="S371" i="48"/>
  <c r="AZ126" i="45" s="1"/>
  <c r="AX124" i="45"/>
  <c r="AX121" i="45"/>
  <c r="AX123" i="45"/>
  <c r="Y315" i="48"/>
  <c r="Y314" i="48"/>
  <c r="Y313" i="48"/>
  <c r="Y312" i="48"/>
  <c r="Y311" i="48"/>
  <c r="Y310" i="48"/>
  <c r="AB44" i="46"/>
  <c r="AB316" i="46" s="1"/>
  <c r="AB79" i="46"/>
  <c r="AB69" i="46"/>
  <c r="AB99" i="46"/>
  <c r="AB109" i="46"/>
  <c r="U353" i="48"/>
  <c r="U354" i="48" s="1"/>
  <c r="AF167" i="48"/>
  <c r="AF172" i="48" s="1"/>
  <c r="AF166" i="48"/>
  <c r="AF171" i="48" s="1"/>
  <c r="AF165" i="48"/>
  <c r="AF170" i="48" s="1"/>
  <c r="AF169" i="48"/>
  <c r="AF168" i="48"/>
  <c r="AF173" i="48" s="1"/>
  <c r="S123" i="45"/>
  <c r="S121" i="45"/>
  <c r="S124" i="45"/>
  <c r="AF178" i="48"/>
  <c r="AF183" i="48" s="1"/>
  <c r="AF177" i="48"/>
  <c r="AF182" i="48" s="1"/>
  <c r="AF176" i="48"/>
  <c r="AF181" i="48" s="1"/>
  <c r="AF175" i="48"/>
  <c r="AF180" i="48" s="1"/>
  <c r="AF179" i="48"/>
  <c r="AF227" i="48"/>
  <c r="AF232" i="48" s="1"/>
  <c r="AF229" i="48"/>
  <c r="AF234" i="48" s="1"/>
  <c r="AF228" i="48"/>
  <c r="AF233" i="48" s="1"/>
  <c r="AF230" i="48"/>
  <c r="AF235" i="48" s="1"/>
  <c r="AF231" i="48"/>
  <c r="AD33" i="46" l="1"/>
  <c r="AD39" i="46" s="1"/>
  <c r="AD109" i="46" s="1"/>
  <c r="AH19" i="45"/>
  <c r="BK23" i="45"/>
  <c r="AA117" i="45"/>
  <c r="BM19" i="45"/>
  <c r="AF24" i="45"/>
  <c r="BG117" i="45"/>
  <c r="AE75" i="45"/>
  <c r="AH20" i="45"/>
  <c r="AA116" i="45"/>
  <c r="BM20" i="45"/>
  <c r="AE59" i="45"/>
  <c r="AF84" i="45"/>
  <c r="AD84" i="45"/>
  <c r="Z334" i="46"/>
  <c r="Z339" i="46"/>
  <c r="Z336" i="46"/>
  <c r="Z338" i="46"/>
  <c r="Z337" i="46"/>
  <c r="Z335" i="46"/>
  <c r="BJ59" i="45"/>
  <c r="BN42" i="45"/>
  <c r="AD73" i="45"/>
  <c r="BG78" i="45"/>
  <c r="AD87" i="45"/>
  <c r="AF87" i="45"/>
  <c r="X122" i="45"/>
  <c r="BN69" i="45"/>
  <c r="AF85" i="45"/>
  <c r="Z324" i="46"/>
  <c r="Z323" i="46"/>
  <c r="Z322" i="46"/>
  <c r="Z321" i="46"/>
  <c r="AA118" i="45"/>
  <c r="Y122" i="45"/>
  <c r="Z341" i="48"/>
  <c r="Z342" i="48" s="1"/>
  <c r="Z318" i="48"/>
  <c r="Z319" i="48" s="1"/>
  <c r="AF25" i="45"/>
  <c r="BJ70" i="45"/>
  <c r="AD71" i="45"/>
  <c r="AA114" i="45"/>
  <c r="U122" i="45"/>
  <c r="AF68" i="45"/>
  <c r="AE70" i="45"/>
  <c r="AG35" i="48"/>
  <c r="BG91" i="45"/>
  <c r="BG118" i="45"/>
  <c r="BG100" i="45"/>
  <c r="BG113" i="45"/>
  <c r="BI84" i="45"/>
  <c r="BG109" i="45"/>
  <c r="AD72" i="45"/>
  <c r="BG116" i="45"/>
  <c r="AC37" i="48"/>
  <c r="AB320" i="48"/>
  <c r="AB321" i="48" s="1"/>
  <c r="AF57" i="45"/>
  <c r="AD37" i="46"/>
  <c r="BN95" i="45"/>
  <c r="AC69" i="46"/>
  <c r="AC79" i="46"/>
  <c r="AC99" i="46"/>
  <c r="AC109" i="46"/>
  <c r="AC44" i="46"/>
  <c r="BN43" i="45"/>
  <c r="BN44" i="45"/>
  <c r="BJ60" i="45"/>
  <c r="BJ58" i="45"/>
  <c r="BJ104" i="45"/>
  <c r="BK68" i="45"/>
  <c r="BL21" i="45"/>
  <c r="AE60" i="45"/>
  <c r="AE58" i="45"/>
  <c r="AE104" i="45"/>
  <c r="AB271" i="48"/>
  <c r="AB271" i="46"/>
  <c r="BM21" i="45"/>
  <c r="BL30" i="45"/>
  <c r="BN18" i="45"/>
  <c r="AG21" i="45"/>
  <c r="BK57" i="45"/>
  <c r="AB323" i="48"/>
  <c r="AB322" i="48"/>
  <c r="AB101" i="46"/>
  <c r="AB106" i="46" s="1"/>
  <c r="AB100" i="46"/>
  <c r="AB105" i="46" s="1"/>
  <c r="AB102" i="46"/>
  <c r="AB107" i="46" s="1"/>
  <c r="AB103" i="46"/>
  <c r="AB108" i="46" s="1"/>
  <c r="AB104" i="46"/>
  <c r="AC106" i="45" s="1"/>
  <c r="AB99" i="48"/>
  <c r="AC33" i="48"/>
  <c r="AC39" i="48" s="1"/>
  <c r="BJ75" i="45"/>
  <c r="AH21" i="45"/>
  <c r="AA312" i="46"/>
  <c r="AA311" i="46"/>
  <c r="AA310" i="46"/>
  <c r="AA315" i="46"/>
  <c r="AA314" i="46"/>
  <c r="AA313" i="46"/>
  <c r="V363" i="46"/>
  <c r="W120" i="45" s="1"/>
  <c r="V361" i="46"/>
  <c r="BA124" i="45"/>
  <c r="BA121" i="45"/>
  <c r="BA123" i="45"/>
  <c r="BH90" i="45"/>
  <c r="AB91" i="45"/>
  <c r="W330" i="48"/>
  <c r="W329" i="48"/>
  <c r="W333" i="48" s="1"/>
  <c r="U363" i="46"/>
  <c r="V120" i="45" s="1"/>
  <c r="U361" i="46"/>
  <c r="AB101" i="45"/>
  <c r="AB102" i="45"/>
  <c r="AB103" i="45"/>
  <c r="BH101" i="45"/>
  <c r="BH102" i="45"/>
  <c r="BH103" i="45"/>
  <c r="Z314" i="48"/>
  <c r="Z313" i="48"/>
  <c r="Z312" i="48"/>
  <c r="Z310" i="48"/>
  <c r="Z311" i="48"/>
  <c r="Z315" i="48"/>
  <c r="AG55" i="45"/>
  <c r="AG56" i="45"/>
  <c r="BM36" i="45"/>
  <c r="BM28" i="45"/>
  <c r="BM32" i="45"/>
  <c r="BM35" i="45"/>
  <c r="BM29" i="45"/>
  <c r="BM31" i="45"/>
  <c r="BM37" i="45"/>
  <c r="BM54" i="45"/>
  <c r="X329" i="48"/>
  <c r="X333" i="48" s="1"/>
  <c r="X330" i="48"/>
  <c r="BH94" i="45"/>
  <c r="AB94" i="45"/>
  <c r="BH93" i="45"/>
  <c r="AB93" i="45"/>
  <c r="Y330" i="46"/>
  <c r="Y329" i="46"/>
  <c r="Y333" i="46" s="1"/>
  <c r="X361" i="46"/>
  <c r="AB80" i="46"/>
  <c r="AB85" i="46" s="1"/>
  <c r="AB84" i="46"/>
  <c r="AC90" i="45" s="1"/>
  <c r="AB82" i="46"/>
  <c r="AB87" i="46" s="1"/>
  <c r="AB81" i="46"/>
  <c r="AB86" i="46" s="1"/>
  <c r="AB83" i="46"/>
  <c r="AB88" i="46" s="1"/>
  <c r="AB79" i="48"/>
  <c r="AD99" i="46"/>
  <c r="AG30" i="45"/>
  <c r="Z320" i="48"/>
  <c r="Z317" i="48"/>
  <c r="AF67" i="45"/>
  <c r="AF34" i="45"/>
  <c r="BL33" i="45"/>
  <c r="BK34" i="45"/>
  <c r="AA72" i="48"/>
  <c r="AA77" i="48" s="1"/>
  <c r="AA71" i="48"/>
  <c r="AA76" i="48" s="1"/>
  <c r="AA70" i="48"/>
  <c r="AA75" i="48" s="1"/>
  <c r="AA74" i="48"/>
  <c r="AA73" i="48"/>
  <c r="AA78" i="48" s="1"/>
  <c r="AA104" i="48"/>
  <c r="AA103" i="48"/>
  <c r="AA108" i="48" s="1"/>
  <c r="AA102" i="48"/>
  <c r="AA107" i="48" s="1"/>
  <c r="AA101" i="48"/>
  <c r="AA106" i="48" s="1"/>
  <c r="AA100" i="48"/>
  <c r="AA105" i="48" s="1"/>
  <c r="AC34" i="48"/>
  <c r="BJ25" i="45"/>
  <c r="BJ24" i="45"/>
  <c r="BJ26" i="45"/>
  <c r="BJ82" i="45"/>
  <c r="AA308" i="48"/>
  <c r="AA309" i="48" s="1"/>
  <c r="AB275" i="48"/>
  <c r="AB320" i="46"/>
  <c r="AB317" i="46"/>
  <c r="BN27" i="45"/>
  <c r="AH28" i="45"/>
  <c r="AH37" i="45"/>
  <c r="AH29" i="45"/>
  <c r="AH31" i="45"/>
  <c r="AH36" i="45"/>
  <c r="AH35" i="45"/>
  <c r="AH32" i="45"/>
  <c r="AH54" i="45"/>
  <c r="AA320" i="46"/>
  <c r="AA317" i="46"/>
  <c r="W361" i="46"/>
  <c r="X347" i="48"/>
  <c r="X349" i="48" s="1"/>
  <c r="X348" i="48"/>
  <c r="BH106" i="45"/>
  <c r="AB109" i="45"/>
  <c r="BI86" i="45"/>
  <c r="BI72" i="45"/>
  <c r="AB72" i="46"/>
  <c r="AB77" i="46" s="1"/>
  <c r="AB71" i="46"/>
  <c r="AB76" i="46" s="1"/>
  <c r="AB70" i="46"/>
  <c r="AB75" i="46" s="1"/>
  <c r="AB74" i="46"/>
  <c r="AC76" i="45" s="1"/>
  <c r="AB73" i="46"/>
  <c r="AB78" i="46" s="1"/>
  <c r="AB69" i="48"/>
  <c r="U363" i="48"/>
  <c r="BB120" i="45" s="1"/>
  <c r="U361" i="48"/>
  <c r="AA80" i="48"/>
  <c r="AA85" i="48" s="1"/>
  <c r="AA84" i="48"/>
  <c r="AA83" i="48"/>
  <c r="AA88" i="48" s="1"/>
  <c r="AA82" i="48"/>
  <c r="AA87" i="48" s="1"/>
  <c r="AA81" i="48"/>
  <c r="AA86" i="48" s="1"/>
  <c r="BI73" i="45"/>
  <c r="BI87" i="45"/>
  <c r="BH97" i="45"/>
  <c r="AB100" i="45"/>
  <c r="AB113" i="45"/>
  <c r="BA125" i="45"/>
  <c r="T371" i="48"/>
  <c r="BA126" i="45" s="1"/>
  <c r="W348" i="48"/>
  <c r="T119" i="45"/>
  <c r="S365" i="46"/>
  <c r="S370" i="46"/>
  <c r="BH76" i="45"/>
  <c r="AB114" i="45"/>
  <c r="AB78" i="45"/>
  <c r="BI85" i="45"/>
  <c r="BI71" i="45"/>
  <c r="Y347" i="46"/>
  <c r="Y349" i="46" s="1"/>
  <c r="Y348" i="46"/>
  <c r="Y338" i="48"/>
  <c r="Y337" i="48"/>
  <c r="Y336" i="48"/>
  <c r="Y335" i="48"/>
  <c r="Y334" i="48"/>
  <c r="Y339" i="48"/>
  <c r="AA320" i="48"/>
  <c r="AA317" i="48"/>
  <c r="AB79" i="45"/>
  <c r="AB81" i="45"/>
  <c r="AB80" i="45"/>
  <c r="BH80" i="45"/>
  <c r="BH81" i="45"/>
  <c r="BH79" i="45"/>
  <c r="W346" i="48"/>
  <c r="W347" i="48" s="1"/>
  <c r="W349" i="48" s="1"/>
  <c r="AA318" i="46"/>
  <c r="AA319" i="46" s="1"/>
  <c r="AA341" i="46"/>
  <c r="AA342" i="46" s="1"/>
  <c r="Y322" i="48"/>
  <c r="Y321" i="48"/>
  <c r="Y324" i="48"/>
  <c r="Y323" i="48"/>
  <c r="BK67" i="45"/>
  <c r="V353" i="48"/>
  <c r="V354" i="48" s="1"/>
  <c r="AB110" i="46"/>
  <c r="AB115" i="46" s="1"/>
  <c r="AB114" i="46"/>
  <c r="AC97" i="45" s="1"/>
  <c r="AB113" i="46"/>
  <c r="AB118" i="46" s="1"/>
  <c r="AB112" i="46"/>
  <c r="AB117" i="46" s="1"/>
  <c r="AB111" i="46"/>
  <c r="AB116" i="46" s="1"/>
  <c r="AB109" i="48"/>
  <c r="AB274" i="46"/>
  <c r="AC275" i="46"/>
  <c r="AB308" i="46"/>
  <c r="AB309" i="46" s="1"/>
  <c r="AG33" i="45"/>
  <c r="U119" i="45"/>
  <c r="T365" i="46"/>
  <c r="T370" i="46"/>
  <c r="BL56" i="45"/>
  <c r="BL55" i="45"/>
  <c r="AD34" i="46"/>
  <c r="AE26" i="45"/>
  <c r="AE25" i="45"/>
  <c r="AE24" i="45"/>
  <c r="AE82" i="45"/>
  <c r="AB110" i="45"/>
  <c r="AB112" i="45"/>
  <c r="AB111" i="45"/>
  <c r="BH111" i="45"/>
  <c r="BH112" i="45"/>
  <c r="BH110" i="45"/>
  <c r="AA114" i="48"/>
  <c r="AA110" i="48"/>
  <c r="AA115" i="48" s="1"/>
  <c r="AA113" i="48"/>
  <c r="AA118" i="48" s="1"/>
  <c r="AA112" i="48"/>
  <c r="AA117" i="48" s="1"/>
  <c r="AA111" i="48"/>
  <c r="AA116" i="48" s="1"/>
  <c r="AA274" i="48"/>
  <c r="AD44" i="46" l="1"/>
  <c r="AD271" i="46" s="1"/>
  <c r="AA115" i="45"/>
  <c r="AD69" i="46"/>
  <c r="AD79" i="46"/>
  <c r="BK82" i="45"/>
  <c r="BK26" i="45"/>
  <c r="BN20" i="45"/>
  <c r="AB117" i="45"/>
  <c r="BK24" i="45"/>
  <c r="BK25" i="45"/>
  <c r="BH117" i="45"/>
  <c r="AD34" i="48"/>
  <c r="BN19" i="45"/>
  <c r="AE84" i="45"/>
  <c r="BK84" i="45"/>
  <c r="BH91" i="45"/>
  <c r="AB324" i="48"/>
  <c r="AB332" i="48" s="1"/>
  <c r="BL23" i="45"/>
  <c r="AG23" i="45"/>
  <c r="AF58" i="45"/>
  <c r="BG114" i="45"/>
  <c r="BH109" i="45"/>
  <c r="BJ84" i="45"/>
  <c r="AF104" i="45"/>
  <c r="BM23" i="45"/>
  <c r="Z326" i="46"/>
  <c r="Z325" i="46"/>
  <c r="BK70" i="45"/>
  <c r="AF59" i="45"/>
  <c r="AF86" i="45"/>
  <c r="Z332" i="46"/>
  <c r="Z331" i="46"/>
  <c r="AF70" i="45"/>
  <c r="V122" i="45"/>
  <c r="AF60" i="45"/>
  <c r="BK60" i="45"/>
  <c r="BB122" i="45"/>
  <c r="W122" i="45"/>
  <c r="AE37" i="46"/>
  <c r="AC316" i="46"/>
  <c r="AC271" i="46"/>
  <c r="BL82" i="45"/>
  <c r="AC101" i="46"/>
  <c r="AC106" i="46" s="1"/>
  <c r="AC100" i="46"/>
  <c r="AC105" i="46" s="1"/>
  <c r="AC103" i="46"/>
  <c r="AC108" i="46" s="1"/>
  <c r="AC104" i="46"/>
  <c r="AD106" i="45" s="1"/>
  <c r="AC99" i="48"/>
  <c r="AC102" i="46"/>
  <c r="AC107" i="46" s="1"/>
  <c r="BL67" i="45"/>
  <c r="BL24" i="45"/>
  <c r="AC79" i="48"/>
  <c r="AC83" i="46"/>
  <c r="AC88" i="46" s="1"/>
  <c r="AC82" i="46"/>
  <c r="AC87" i="46" s="1"/>
  <c r="AC81" i="46"/>
  <c r="AC86" i="46" s="1"/>
  <c r="AC80" i="46"/>
  <c r="AC85" i="46" s="1"/>
  <c r="AC84" i="46"/>
  <c r="AD90" i="45" s="1"/>
  <c r="BL25" i="45"/>
  <c r="AC71" i="46"/>
  <c r="AC76" i="46" s="1"/>
  <c r="AC70" i="46"/>
  <c r="AC75" i="46" s="1"/>
  <c r="AC74" i="46"/>
  <c r="AD76" i="45" s="1"/>
  <c r="AC69" i="48"/>
  <c r="AC73" i="46"/>
  <c r="AC78" i="46" s="1"/>
  <c r="AC72" i="46"/>
  <c r="AC77" i="46" s="1"/>
  <c r="AC110" i="46"/>
  <c r="AC115" i="46" s="1"/>
  <c r="AC114" i="46"/>
  <c r="AD97" i="45" s="1"/>
  <c r="AC113" i="46"/>
  <c r="AC118" i="46" s="1"/>
  <c r="AC112" i="46"/>
  <c r="AC117" i="46" s="1"/>
  <c r="AC109" i="48"/>
  <c r="AC274" i="46"/>
  <c r="AC111" i="46"/>
  <c r="AC116" i="46" s="1"/>
  <c r="AG57" i="45"/>
  <c r="BM33" i="45"/>
  <c r="BK104" i="45"/>
  <c r="BK59" i="45"/>
  <c r="AD37" i="48"/>
  <c r="AG67" i="45"/>
  <c r="BK58" i="45"/>
  <c r="BL57" i="45"/>
  <c r="AA339" i="46"/>
  <c r="AA338" i="46"/>
  <c r="AA334" i="46"/>
  <c r="AA337" i="46"/>
  <c r="AA336" i="46"/>
  <c r="AA335" i="46"/>
  <c r="AG60" i="45"/>
  <c r="AE85" i="45"/>
  <c r="AE71" i="45"/>
  <c r="AB318" i="46"/>
  <c r="AB319" i="46" s="1"/>
  <c r="AB341" i="46"/>
  <c r="AB342" i="46" s="1"/>
  <c r="AA324" i="48"/>
  <c r="AA323" i="48"/>
  <c r="AA322" i="48"/>
  <c r="AA321" i="48"/>
  <c r="AB115" i="45"/>
  <c r="BB119" i="45"/>
  <c r="U365" i="48"/>
  <c r="U370" i="48"/>
  <c r="AA310" i="48"/>
  <c r="AA314" i="48"/>
  <c r="AA313" i="48"/>
  <c r="AA311" i="48"/>
  <c r="AA315" i="48"/>
  <c r="AA312" i="48"/>
  <c r="BJ86" i="45"/>
  <c r="BJ72" i="45"/>
  <c r="AD33" i="48"/>
  <c r="AD39" i="48" s="1"/>
  <c r="BK75" i="45"/>
  <c r="AD112" i="46"/>
  <c r="AD117" i="46" s="1"/>
  <c r="AD111" i="46"/>
  <c r="AD116" i="46" s="1"/>
  <c r="AD110" i="46"/>
  <c r="AD115" i="46" s="1"/>
  <c r="AD114" i="46"/>
  <c r="AE97" i="45" s="1"/>
  <c r="AD113" i="46"/>
  <c r="AD118" i="46" s="1"/>
  <c r="AD109" i="48"/>
  <c r="AD274" i="46"/>
  <c r="BK85" i="45"/>
  <c r="AC44" i="48"/>
  <c r="AC271" i="48" s="1"/>
  <c r="AE86" i="45"/>
  <c r="AE72" i="45"/>
  <c r="AB114" i="48"/>
  <c r="AB110" i="48"/>
  <c r="AB115" i="48" s="1"/>
  <c r="AB113" i="48"/>
  <c r="AB118" i="48" s="1"/>
  <c r="AB112" i="48"/>
  <c r="AB117" i="48" s="1"/>
  <c r="AB111" i="48"/>
  <c r="AB116" i="48" s="1"/>
  <c r="AB274" i="48"/>
  <c r="BH116" i="45"/>
  <c r="W353" i="48"/>
  <c r="W354" i="48" s="1"/>
  <c r="X353" i="48"/>
  <c r="X354" i="48" s="1"/>
  <c r="AA324" i="46"/>
  <c r="AA323" i="46"/>
  <c r="AA322" i="46"/>
  <c r="AA321" i="46"/>
  <c r="BL68" i="45"/>
  <c r="AG34" i="45"/>
  <c r="AD102" i="46"/>
  <c r="AD107" i="46" s="1"/>
  <c r="AD101" i="46"/>
  <c r="AD106" i="46" s="1"/>
  <c r="AD100" i="46"/>
  <c r="AD105" i="46" s="1"/>
  <c r="AD104" i="46"/>
  <c r="AE106" i="45" s="1"/>
  <c r="AD103" i="46"/>
  <c r="AD108" i="46" s="1"/>
  <c r="AD99" i="48"/>
  <c r="BI90" i="45"/>
  <c r="AC91" i="45"/>
  <c r="BK86" i="45"/>
  <c r="W119" i="45"/>
  <c r="V365" i="46"/>
  <c r="V370" i="46"/>
  <c r="U125" i="45"/>
  <c r="T371" i="46"/>
  <c r="U126" i="45" s="1"/>
  <c r="AE87" i="45"/>
  <c r="AE73" i="45"/>
  <c r="U121" i="45"/>
  <c r="U124" i="45"/>
  <c r="U123" i="45"/>
  <c r="BH118" i="45"/>
  <c r="T124" i="45"/>
  <c r="T121" i="45"/>
  <c r="T123" i="45"/>
  <c r="BN21" i="45"/>
  <c r="BH100" i="45"/>
  <c r="BH113" i="45"/>
  <c r="AB73" i="48"/>
  <c r="AB78" i="48" s="1"/>
  <c r="AB72" i="48"/>
  <c r="AB77" i="48" s="1"/>
  <c r="AB71" i="48"/>
  <c r="AB76" i="48" s="1"/>
  <c r="AB70" i="48"/>
  <c r="AB75" i="48" s="1"/>
  <c r="AB74" i="48"/>
  <c r="AH33" i="45"/>
  <c r="AD316" i="46"/>
  <c r="BI94" i="45"/>
  <c r="AC94" i="45"/>
  <c r="BI93" i="45"/>
  <c r="AC93" i="45"/>
  <c r="Y119" i="45"/>
  <c r="X365" i="46"/>
  <c r="X370" i="46"/>
  <c r="AH23" i="45"/>
  <c r="AC112" i="45"/>
  <c r="AC110" i="45"/>
  <c r="AC111" i="45"/>
  <c r="BI112" i="45"/>
  <c r="BI110" i="45"/>
  <c r="BI111" i="45"/>
  <c r="BL86" i="45"/>
  <c r="AF72" i="45"/>
  <c r="BJ85" i="45"/>
  <c r="BJ71" i="45"/>
  <c r="BK87" i="45"/>
  <c r="BK73" i="45"/>
  <c r="BI106" i="45"/>
  <c r="AC109" i="45"/>
  <c r="AG68" i="45"/>
  <c r="AB321" i="46"/>
  <c r="AB324" i="46"/>
  <c r="AB323" i="46"/>
  <c r="AB322" i="46"/>
  <c r="AD74" i="46"/>
  <c r="AE76" i="45" s="1"/>
  <c r="AD73" i="46"/>
  <c r="AD78" i="46" s="1"/>
  <c r="AD72" i="46"/>
  <c r="AD77" i="46" s="1"/>
  <c r="AD71" i="46"/>
  <c r="AD76" i="46" s="1"/>
  <c r="AD70" i="46"/>
  <c r="AD75" i="46" s="1"/>
  <c r="AD69" i="48"/>
  <c r="T125" i="45"/>
  <c r="S371" i="46"/>
  <c r="T126" i="45" s="1"/>
  <c r="AB313" i="46"/>
  <c r="AB312" i="46"/>
  <c r="AB311" i="46"/>
  <c r="AB310" i="46"/>
  <c r="AB315" i="46"/>
  <c r="AB314" i="46"/>
  <c r="Y326" i="48"/>
  <c r="Y325" i="48"/>
  <c r="BI76" i="45"/>
  <c r="AC78" i="45"/>
  <c r="AD81" i="46"/>
  <c r="AD86" i="46" s="1"/>
  <c r="AD80" i="46"/>
  <c r="AD85" i="46" s="1"/>
  <c r="AD83" i="46"/>
  <c r="AD88" i="46" s="1"/>
  <c r="AD84" i="46"/>
  <c r="AE90" i="45" s="1"/>
  <c r="AD82" i="46"/>
  <c r="AD87" i="46" s="1"/>
  <c r="AD79" i="48"/>
  <c r="AD275" i="46"/>
  <c r="AC308" i="46"/>
  <c r="AC309" i="46" s="1"/>
  <c r="BI97" i="45"/>
  <c r="AC100" i="45"/>
  <c r="AC113" i="45"/>
  <c r="Y332" i="48"/>
  <c r="Y331" i="48"/>
  <c r="AB118" i="45"/>
  <c r="Y353" i="46"/>
  <c r="AC80" i="45"/>
  <c r="AC81" i="45"/>
  <c r="AC79" i="45"/>
  <c r="BI80" i="45"/>
  <c r="BI81" i="45"/>
  <c r="BI79" i="45"/>
  <c r="AH55" i="45"/>
  <c r="AH56" i="45"/>
  <c r="AH30" i="45"/>
  <c r="Z339" i="48"/>
  <c r="Z338" i="48"/>
  <c r="Z337" i="48"/>
  <c r="Z336" i="48"/>
  <c r="Z335" i="48"/>
  <c r="Z334" i="48"/>
  <c r="AB81" i="48"/>
  <c r="AB86" i="48" s="1"/>
  <c r="AB80" i="48"/>
  <c r="AB85" i="48" s="1"/>
  <c r="AB84" i="48"/>
  <c r="AB83" i="48"/>
  <c r="AB88" i="48" s="1"/>
  <c r="AB82" i="48"/>
  <c r="AB87" i="48" s="1"/>
  <c r="BM30" i="45"/>
  <c r="BL34" i="45"/>
  <c r="AB308" i="48"/>
  <c r="AB309" i="48" s="1"/>
  <c r="AC275" i="48"/>
  <c r="AA341" i="48"/>
  <c r="AA342" i="48" s="1"/>
  <c r="AA318" i="48"/>
  <c r="AA319" i="48" s="1"/>
  <c r="AC103" i="45"/>
  <c r="BI101" i="45"/>
  <c r="AC101" i="45"/>
  <c r="BI102" i="45"/>
  <c r="AC102" i="45"/>
  <c r="BI103" i="45"/>
  <c r="V361" i="48"/>
  <c r="V363" i="48"/>
  <c r="BC120" i="45" s="1"/>
  <c r="AB116" i="45"/>
  <c r="BH114" i="45"/>
  <c r="BH78" i="45"/>
  <c r="X119" i="45"/>
  <c r="W365" i="46"/>
  <c r="W370" i="46"/>
  <c r="BN28" i="45"/>
  <c r="BN36" i="45"/>
  <c r="BN32" i="45"/>
  <c r="BN35" i="45"/>
  <c r="BN29" i="45"/>
  <c r="BN31" i="45"/>
  <c r="BN37" i="45"/>
  <c r="BN54" i="45"/>
  <c r="BJ73" i="45"/>
  <c r="BJ87" i="45"/>
  <c r="AE33" i="46"/>
  <c r="AE39" i="46" s="1"/>
  <c r="AF75" i="45"/>
  <c r="Z323" i="48"/>
  <c r="Z322" i="48"/>
  <c r="Z321" i="48"/>
  <c r="Z324" i="48"/>
  <c r="BM56" i="45"/>
  <c r="BM55" i="45"/>
  <c r="V119" i="45"/>
  <c r="U365" i="46"/>
  <c r="U370" i="46"/>
  <c r="AB104" i="48"/>
  <c r="AB103" i="48"/>
  <c r="AB108" i="48" s="1"/>
  <c r="AB102" i="48"/>
  <c r="AB107" i="48" s="1"/>
  <c r="AB101" i="48"/>
  <c r="AB106" i="48" s="1"/>
  <c r="AB100" i="48"/>
  <c r="AB105" i="48" s="1"/>
  <c r="AB325" i="48"/>
  <c r="AB326" i="48"/>
  <c r="BG115" i="45" l="1"/>
  <c r="BL26" i="45"/>
  <c r="AF73" i="45"/>
  <c r="BI117" i="45"/>
  <c r="AG59" i="45"/>
  <c r="BL104" i="45"/>
  <c r="BK72" i="45"/>
  <c r="AG26" i="45"/>
  <c r="AC117" i="45"/>
  <c r="BL85" i="45"/>
  <c r="AF71" i="45"/>
  <c r="AF37" i="46"/>
  <c r="AG24" i="45"/>
  <c r="AB331" i="48"/>
  <c r="AB343" i="48" s="1"/>
  <c r="AG25" i="45"/>
  <c r="AG82" i="45"/>
  <c r="AG58" i="45"/>
  <c r="BL59" i="45"/>
  <c r="AG104" i="45"/>
  <c r="BL60" i="45"/>
  <c r="AE37" i="48"/>
  <c r="BL58" i="45"/>
  <c r="BM68" i="45"/>
  <c r="BL71" i="45"/>
  <c r="AC114" i="45"/>
  <c r="AG86" i="45"/>
  <c r="AF34" i="46"/>
  <c r="BM82" i="45"/>
  <c r="BI91" i="45"/>
  <c r="BL84" i="45"/>
  <c r="Z343" i="46"/>
  <c r="Z344" i="46" s="1"/>
  <c r="Z345" i="46"/>
  <c r="Z346" i="46" s="1"/>
  <c r="BK71" i="45"/>
  <c r="AF34" i="48"/>
  <c r="AE34" i="48"/>
  <c r="BM25" i="45"/>
  <c r="BL87" i="45"/>
  <c r="BC122" i="45"/>
  <c r="BM26" i="45"/>
  <c r="BI109" i="45"/>
  <c r="AG70" i="45"/>
  <c r="BM24" i="45"/>
  <c r="Z327" i="46"/>
  <c r="Z328" i="46"/>
  <c r="BK112" i="45"/>
  <c r="BL70" i="45"/>
  <c r="AC341" i="46"/>
  <c r="AC342" i="46" s="1"/>
  <c r="AC318" i="46"/>
  <c r="AC319" i="46" s="1"/>
  <c r="BJ106" i="45"/>
  <c r="AD109" i="45"/>
  <c r="BJ76" i="45"/>
  <c r="AD78" i="45"/>
  <c r="AD112" i="45"/>
  <c r="BJ110" i="45"/>
  <c r="BJ112" i="45"/>
  <c r="AD110" i="45"/>
  <c r="BJ111" i="45"/>
  <c r="AD111" i="45"/>
  <c r="BJ79" i="45"/>
  <c r="AD79" i="45"/>
  <c r="AD81" i="45"/>
  <c r="BJ80" i="45"/>
  <c r="AD80" i="45"/>
  <c r="BJ81" i="45"/>
  <c r="AC82" i="48"/>
  <c r="AC87" i="48" s="1"/>
  <c r="AC81" i="48"/>
  <c r="AC86" i="48" s="1"/>
  <c r="AC80" i="48"/>
  <c r="AC85" i="48" s="1"/>
  <c r="AC84" i="48"/>
  <c r="AC83" i="48"/>
  <c r="AC88" i="48" s="1"/>
  <c r="BJ97" i="45"/>
  <c r="AD100" i="45"/>
  <c r="AD113" i="45"/>
  <c r="AC274" i="48"/>
  <c r="AC113" i="48"/>
  <c r="AC118" i="48" s="1"/>
  <c r="AC111" i="48"/>
  <c r="AC116" i="48" s="1"/>
  <c r="AC110" i="48"/>
  <c r="AC115" i="48" s="1"/>
  <c r="AC114" i="48"/>
  <c r="AC112" i="48"/>
  <c r="AC117" i="48" s="1"/>
  <c r="BJ103" i="45"/>
  <c r="BJ102" i="45"/>
  <c r="BJ101" i="45"/>
  <c r="AD101" i="45"/>
  <c r="AD103" i="45"/>
  <c r="AD102" i="45"/>
  <c r="AC70" i="48"/>
  <c r="AC75" i="48" s="1"/>
  <c r="AC72" i="48"/>
  <c r="AC77" i="48" s="1"/>
  <c r="AC74" i="48"/>
  <c r="AC73" i="48"/>
  <c r="AC78" i="48" s="1"/>
  <c r="AC71" i="48"/>
  <c r="AC76" i="48" s="1"/>
  <c r="AD91" i="45"/>
  <c r="BJ90" i="45"/>
  <c r="AD93" i="45"/>
  <c r="BJ94" i="45"/>
  <c r="AD94" i="45"/>
  <c r="BJ93" i="45"/>
  <c r="AC103" i="48"/>
  <c r="AC108" i="48" s="1"/>
  <c r="AC102" i="48"/>
  <c r="AC107" i="48" s="1"/>
  <c r="AC101" i="48"/>
  <c r="AC106" i="48" s="1"/>
  <c r="AC100" i="48"/>
  <c r="AC105" i="48" s="1"/>
  <c r="AC104" i="48"/>
  <c r="AC320" i="46"/>
  <c r="AC317" i="46"/>
  <c r="AG71" i="45"/>
  <c r="AG85" i="45"/>
  <c r="BM57" i="45"/>
  <c r="AH67" i="45"/>
  <c r="AC118" i="45"/>
  <c r="BK111" i="45"/>
  <c r="BI116" i="45"/>
  <c r="X125" i="45"/>
  <c r="W371" i="46"/>
  <c r="X126" i="45" s="1"/>
  <c r="BI78" i="45"/>
  <c r="Y125" i="45"/>
  <c r="X371" i="46"/>
  <c r="Y126" i="45" s="1"/>
  <c r="AF33" i="46"/>
  <c r="AF39" i="46" s="1"/>
  <c r="AG75" i="45"/>
  <c r="AB328" i="48"/>
  <c r="AB327" i="48"/>
  <c r="X124" i="45"/>
  <c r="X123" i="45"/>
  <c r="X121" i="45"/>
  <c r="AA339" i="48"/>
  <c r="AA338" i="48"/>
  <c r="AA337" i="48"/>
  <c r="AA336" i="48"/>
  <c r="AA335" i="48"/>
  <c r="AA334" i="48"/>
  <c r="AE275" i="46"/>
  <c r="AD308" i="46"/>
  <c r="AD309" i="46" s="1"/>
  <c r="BK93" i="45"/>
  <c r="AE93" i="45"/>
  <c r="BK94" i="45"/>
  <c r="AE94" i="45"/>
  <c r="Y328" i="48"/>
  <c r="Y327" i="48"/>
  <c r="AD74" i="48"/>
  <c r="AD73" i="48"/>
  <c r="AD78" i="48" s="1"/>
  <c r="AD72" i="48"/>
  <c r="AD77" i="48" s="1"/>
  <c r="AD71" i="48"/>
  <c r="AD76" i="48" s="1"/>
  <c r="AD70" i="48"/>
  <c r="AD75" i="48" s="1"/>
  <c r="AG34" i="46"/>
  <c r="AH26" i="45"/>
  <c r="AH25" i="45"/>
  <c r="AH24" i="45"/>
  <c r="AH82" i="45"/>
  <c r="AD320" i="46"/>
  <c r="AD317" i="46"/>
  <c r="AA326" i="46"/>
  <c r="AA325" i="46"/>
  <c r="AD318" i="46"/>
  <c r="AD319" i="46" s="1"/>
  <c r="AD341" i="46"/>
  <c r="AD342" i="46" s="1"/>
  <c r="BB123" i="45"/>
  <c r="BB124" i="45"/>
  <c r="BB121" i="45"/>
  <c r="BI118" i="45"/>
  <c r="Z326" i="48"/>
  <c r="Z325" i="48"/>
  <c r="V125" i="45"/>
  <c r="U371" i="46"/>
  <c r="V126" i="45" s="1"/>
  <c r="AC308" i="48"/>
  <c r="AC309" i="48" s="1"/>
  <c r="AD275" i="48"/>
  <c r="AC116" i="45"/>
  <c r="AE81" i="45"/>
  <c r="AE80" i="45"/>
  <c r="AE79" i="45"/>
  <c r="BK80" i="45"/>
  <c r="BK81" i="45"/>
  <c r="BK79" i="45"/>
  <c r="Y121" i="45"/>
  <c r="Y123" i="45"/>
  <c r="Y124" i="45"/>
  <c r="AH68" i="45"/>
  <c r="W121" i="45"/>
  <c r="W124" i="45"/>
  <c r="W123" i="45"/>
  <c r="AD100" i="48"/>
  <c r="AD105" i="48" s="1"/>
  <c r="AD104" i="48"/>
  <c r="AD103" i="48"/>
  <c r="AD108" i="48" s="1"/>
  <c r="AD102" i="48"/>
  <c r="AD107" i="48" s="1"/>
  <c r="AD101" i="48"/>
  <c r="AD106" i="48" s="1"/>
  <c r="AA332" i="46"/>
  <c r="AA331" i="46"/>
  <c r="AB341" i="48"/>
  <c r="AB342" i="48" s="1"/>
  <c r="AB318" i="48"/>
  <c r="AB319" i="48" s="1"/>
  <c r="AC316" i="48"/>
  <c r="AD111" i="48"/>
  <c r="AD116" i="48" s="1"/>
  <c r="AD114" i="48"/>
  <c r="AD110" i="48"/>
  <c r="AD115" i="48" s="1"/>
  <c r="AD113" i="48"/>
  <c r="AD118" i="48" s="1"/>
  <c r="AD112" i="48"/>
  <c r="AD117" i="48" s="1"/>
  <c r="AD274" i="48"/>
  <c r="AD44" i="48"/>
  <c r="AD271" i="48" s="1"/>
  <c r="AB311" i="48"/>
  <c r="AB310" i="48"/>
  <c r="AB315" i="48"/>
  <c r="AB314" i="48"/>
  <c r="AB312" i="48"/>
  <c r="AB313" i="48"/>
  <c r="W125" i="45"/>
  <c r="V371" i="46"/>
  <c r="W126" i="45" s="1"/>
  <c r="Y343" i="48"/>
  <c r="Y344" i="48" s="1"/>
  <c r="Y345" i="48"/>
  <c r="V121" i="45"/>
  <c r="V123" i="45"/>
  <c r="V124" i="45"/>
  <c r="AE44" i="46"/>
  <c r="AE271" i="46" s="1"/>
  <c r="AE79" i="46"/>
  <c r="AE69" i="46"/>
  <c r="AE99" i="46"/>
  <c r="AE109" i="46"/>
  <c r="BN56" i="45"/>
  <c r="BN55" i="45"/>
  <c r="BN30" i="45"/>
  <c r="AH34" i="45"/>
  <c r="BI100" i="45"/>
  <c r="BI113" i="45"/>
  <c r="BN23" i="45"/>
  <c r="BK106" i="45"/>
  <c r="AE109" i="45"/>
  <c r="BK97" i="45"/>
  <c r="AE100" i="45"/>
  <c r="AE113" i="45"/>
  <c r="BK90" i="45"/>
  <c r="AE91" i="45"/>
  <c r="AG72" i="45"/>
  <c r="AD83" i="48"/>
  <c r="AD88" i="48" s="1"/>
  <c r="AD82" i="48"/>
  <c r="AD87" i="48" s="1"/>
  <c r="AD81" i="48"/>
  <c r="AD86" i="48" s="1"/>
  <c r="AD80" i="48"/>
  <c r="AD85" i="48" s="1"/>
  <c r="AD84" i="48"/>
  <c r="AB326" i="46"/>
  <c r="AB325" i="46"/>
  <c r="AE112" i="45"/>
  <c r="AE111" i="45"/>
  <c r="AE110" i="45"/>
  <c r="AE102" i="45"/>
  <c r="AE103" i="45"/>
  <c r="AE101" i="45"/>
  <c r="BK103" i="45"/>
  <c r="BK101" i="45"/>
  <c r="BK102" i="45"/>
  <c r="AA326" i="48"/>
  <c r="AA325" i="48"/>
  <c r="AC314" i="46"/>
  <c r="AC313" i="46"/>
  <c r="AC312" i="46"/>
  <c r="AC311" i="46"/>
  <c r="AC310" i="46"/>
  <c r="AC315" i="46"/>
  <c r="Z331" i="48"/>
  <c r="Z332" i="48"/>
  <c r="BN33" i="45"/>
  <c r="BC119" i="45"/>
  <c r="V365" i="48"/>
  <c r="V370" i="48"/>
  <c r="AE33" i="48"/>
  <c r="AE39" i="48" s="1"/>
  <c r="BL75" i="45"/>
  <c r="BM67" i="45"/>
  <c r="BM34" i="45"/>
  <c r="AH57" i="45"/>
  <c r="Y354" i="46"/>
  <c r="Y363" i="46" s="1"/>
  <c r="Z120" i="45" s="1"/>
  <c r="BK76" i="45"/>
  <c r="AE78" i="45"/>
  <c r="AB332" i="46"/>
  <c r="AB331" i="46"/>
  <c r="AB343" i="46" s="1"/>
  <c r="AB344" i="46" s="1"/>
  <c r="BH115" i="45"/>
  <c r="X363" i="48"/>
  <c r="BE120" i="45" s="1"/>
  <c r="X361" i="48"/>
  <c r="W363" i="48"/>
  <c r="BD120" i="45" s="1"/>
  <c r="W361" i="48"/>
  <c r="BK110" i="45"/>
  <c r="BB125" i="45"/>
  <c r="U371" i="48"/>
  <c r="BB126" i="45" s="1"/>
  <c r="AA332" i="48"/>
  <c r="AA331" i="48"/>
  <c r="AA343" i="48" s="1"/>
  <c r="AA344" i="48" s="1"/>
  <c r="AB335" i="46"/>
  <c r="AB339" i="46"/>
  <c r="AB338" i="46"/>
  <c r="AB334" i="46"/>
  <c r="AB337" i="46"/>
  <c r="AB336" i="46"/>
  <c r="BI114" i="45" l="1"/>
  <c r="BL72" i="45"/>
  <c r="AE117" i="45"/>
  <c r="AC115" i="45"/>
  <c r="AG84" i="45"/>
  <c r="BJ117" i="45"/>
  <c r="AG73" i="45"/>
  <c r="AG87" i="45"/>
  <c r="BL73" i="45"/>
  <c r="BK117" i="45"/>
  <c r="AD117" i="45"/>
  <c r="AD114" i="45"/>
  <c r="BM70" i="45"/>
  <c r="Z330" i="46"/>
  <c r="Z329" i="46"/>
  <c r="Z333" i="46" s="1"/>
  <c r="AF37" i="48"/>
  <c r="BJ109" i="45"/>
  <c r="BM85" i="45"/>
  <c r="BM87" i="45"/>
  <c r="BK109" i="45"/>
  <c r="AH84" i="45"/>
  <c r="BM86" i="45"/>
  <c r="BD122" i="45"/>
  <c r="AE114" i="45"/>
  <c r="BK91" i="45"/>
  <c r="BJ91" i="45"/>
  <c r="Z122" i="45"/>
  <c r="BM84" i="45"/>
  <c r="BE122" i="45"/>
  <c r="Z347" i="46"/>
  <c r="Z349" i="46" s="1"/>
  <c r="Z348" i="46"/>
  <c r="Z353" i="46" s="1"/>
  <c r="BM58" i="45"/>
  <c r="BI115" i="45"/>
  <c r="BJ118" i="45"/>
  <c r="BJ116" i="45"/>
  <c r="AD118" i="45"/>
  <c r="AD116" i="45"/>
  <c r="BJ78" i="45"/>
  <c r="AC318" i="48"/>
  <c r="AC319" i="48" s="1"/>
  <c r="AC341" i="48"/>
  <c r="AC342" i="48" s="1"/>
  <c r="BJ113" i="45"/>
  <c r="BJ100" i="45"/>
  <c r="AC335" i="46"/>
  <c r="AC339" i="46"/>
  <c r="AC338" i="46"/>
  <c r="AC337" i="46"/>
  <c r="AC334" i="46"/>
  <c r="AC336" i="46"/>
  <c r="AC321" i="46"/>
  <c r="AC324" i="46"/>
  <c r="AC323" i="46"/>
  <c r="AC322" i="46"/>
  <c r="BN68" i="45"/>
  <c r="BM104" i="45"/>
  <c r="BM59" i="45"/>
  <c r="BM60" i="45"/>
  <c r="BN67" i="45"/>
  <c r="BN57" i="45"/>
  <c r="AD337" i="46"/>
  <c r="AD336" i="46"/>
  <c r="AD335" i="46"/>
  <c r="AD339" i="46"/>
  <c r="AD334" i="46"/>
  <c r="AD338" i="46"/>
  <c r="AE44" i="48"/>
  <c r="AG33" i="46"/>
  <c r="AG39" i="46" s="1"/>
  <c r="AH75" i="45"/>
  <c r="AA343" i="46"/>
  <c r="AA344" i="46" s="1"/>
  <c r="AA345" i="46"/>
  <c r="AA346" i="46" s="1"/>
  <c r="AE116" i="45"/>
  <c r="AA345" i="48"/>
  <c r="BC125" i="45"/>
  <c r="V371" i="48"/>
  <c r="BC126" i="45" s="1"/>
  <c r="AG34" i="48"/>
  <c r="BN26" i="45"/>
  <c r="BN25" i="45"/>
  <c r="BN24" i="45"/>
  <c r="BN82" i="45"/>
  <c r="AE113" i="46"/>
  <c r="AE118" i="46" s="1"/>
  <c r="AE112" i="46"/>
  <c r="AE117" i="46" s="1"/>
  <c r="AE111" i="46"/>
  <c r="AE116" i="46" s="1"/>
  <c r="AE110" i="46"/>
  <c r="AE115" i="46" s="1"/>
  <c r="AE114" i="46"/>
  <c r="AF97" i="45" s="1"/>
  <c r="AE109" i="48"/>
  <c r="AE274" i="46"/>
  <c r="AE118" i="45"/>
  <c r="BD119" i="45"/>
  <c r="W365" i="48"/>
  <c r="W370" i="48"/>
  <c r="Z343" i="48"/>
  <c r="Z344" i="48" s="1"/>
  <c r="Z345" i="48"/>
  <c r="Z346" i="48" s="1"/>
  <c r="Y361" i="46"/>
  <c r="AE103" i="46"/>
  <c r="AE108" i="46" s="1"/>
  <c r="AE102" i="46"/>
  <c r="AE107" i="46" s="1"/>
  <c r="AE101" i="46"/>
  <c r="AE106" i="46" s="1"/>
  <c r="AE100" i="46"/>
  <c r="AE105" i="46" s="1"/>
  <c r="AE104" i="46"/>
  <c r="AF106" i="45" s="1"/>
  <c r="AE99" i="48"/>
  <c r="Y348" i="48"/>
  <c r="Y330" i="48"/>
  <c r="Y329" i="48"/>
  <c r="Y333" i="48" s="1"/>
  <c r="AF44" i="46"/>
  <c r="AF316" i="46" s="1"/>
  <c r="AF79" i="46"/>
  <c r="AF69" i="46"/>
  <c r="AF99" i="46"/>
  <c r="AF109" i="46"/>
  <c r="AG37" i="46"/>
  <c r="AH58" i="45"/>
  <c r="AH60" i="45"/>
  <c r="AH59" i="45"/>
  <c r="AH104" i="45"/>
  <c r="BN34" i="45"/>
  <c r="AE74" i="46"/>
  <c r="AF76" i="45" s="1"/>
  <c r="AE73" i="46"/>
  <c r="AE78" i="46" s="1"/>
  <c r="AE72" i="46"/>
  <c r="AE77" i="46" s="1"/>
  <c r="AE71" i="46"/>
  <c r="AE76" i="46" s="1"/>
  <c r="AE70" i="46"/>
  <c r="AE75" i="46" s="1"/>
  <c r="AE69" i="48"/>
  <c r="AD316" i="48"/>
  <c r="AC317" i="48"/>
  <c r="AC320" i="48"/>
  <c r="AD323" i="46"/>
  <c r="AD322" i="46"/>
  <c r="AD321" i="46"/>
  <c r="AD324" i="46"/>
  <c r="AH85" i="45"/>
  <c r="AD315" i="46"/>
  <c r="AD314" i="46"/>
  <c r="AD313" i="46"/>
  <c r="AD312" i="46"/>
  <c r="AD311" i="46"/>
  <c r="AD310" i="46"/>
  <c r="Y346" i="48"/>
  <c r="Y347" i="48" s="1"/>
  <c r="Y349" i="48" s="1"/>
  <c r="AH70" i="45"/>
  <c r="BE119" i="45"/>
  <c r="X365" i="48"/>
  <c r="X370" i="48"/>
  <c r="AF33" i="48"/>
  <c r="AF39" i="48" s="1"/>
  <c r="BM75" i="45"/>
  <c r="BC123" i="45"/>
  <c r="BC124" i="45"/>
  <c r="BC121" i="45"/>
  <c r="AA346" i="48"/>
  <c r="AE82" i="46"/>
  <c r="AE87" i="46" s="1"/>
  <c r="AE81" i="46"/>
  <c r="AE86" i="46" s="1"/>
  <c r="AE83" i="46"/>
  <c r="AE88" i="46" s="1"/>
  <c r="AE84" i="46"/>
  <c r="AF90" i="45" s="1"/>
  <c r="AE80" i="46"/>
  <c r="AE85" i="46" s="1"/>
  <c r="AE79" i="48"/>
  <c r="AD318" i="48"/>
  <c r="AD341" i="48"/>
  <c r="AD342" i="48" s="1"/>
  <c r="BK116" i="45"/>
  <c r="AE275" i="48"/>
  <c r="AD308" i="48"/>
  <c r="AD309" i="48" s="1"/>
  <c r="BK78" i="45"/>
  <c r="AA328" i="46"/>
  <c r="AA327" i="46"/>
  <c r="AH72" i="45"/>
  <c r="AH86" i="45"/>
  <c r="AE308" i="46"/>
  <c r="AE309" i="46" s="1"/>
  <c r="AF275" i="46"/>
  <c r="AA328" i="48"/>
  <c r="AA327" i="48"/>
  <c r="AB328" i="46"/>
  <c r="AB327" i="46"/>
  <c r="BK100" i="45"/>
  <c r="BK113" i="45"/>
  <c r="AE316" i="46"/>
  <c r="AB339" i="48"/>
  <c r="AB338" i="48"/>
  <c r="AB337" i="48"/>
  <c r="AB336" i="48"/>
  <c r="AB335" i="48"/>
  <c r="AB334" i="48"/>
  <c r="BK118" i="45"/>
  <c r="AC312" i="48"/>
  <c r="AC311" i="48"/>
  <c r="AC310" i="48"/>
  <c r="AC313" i="48"/>
  <c r="AC314" i="48"/>
  <c r="AC315" i="48"/>
  <c r="Z328" i="48"/>
  <c r="Z327" i="48"/>
  <c r="AH87" i="45"/>
  <c r="AB345" i="46"/>
  <c r="AB345" i="48"/>
  <c r="AB344" i="48"/>
  <c r="AB330" i="48"/>
  <c r="AB329" i="48"/>
  <c r="AB333" i="48" s="1"/>
  <c r="BJ114" i="45" l="1"/>
  <c r="AH73" i="45"/>
  <c r="AD115" i="45"/>
  <c r="BK114" i="45"/>
  <c r="BM72" i="45"/>
  <c r="BM71" i="45"/>
  <c r="AE115" i="45"/>
  <c r="Z354" i="46"/>
  <c r="Z361" i="46" s="1"/>
  <c r="BN60" i="45"/>
  <c r="BN84" i="45"/>
  <c r="BM73" i="45"/>
  <c r="AH71" i="45"/>
  <c r="BN70" i="45"/>
  <c r="BJ115" i="45"/>
  <c r="AC326" i="46"/>
  <c r="AC325" i="46"/>
  <c r="AC332" i="46"/>
  <c r="AC331" i="46"/>
  <c r="BN59" i="45"/>
  <c r="AG37" i="48"/>
  <c r="BN58" i="45"/>
  <c r="BN104" i="45"/>
  <c r="AF271" i="46"/>
  <c r="AD326" i="46"/>
  <c r="AD325" i="46"/>
  <c r="AG33" i="48"/>
  <c r="AG39" i="48" s="1"/>
  <c r="BN75" i="45"/>
  <c r="BL103" i="45"/>
  <c r="AF101" i="45"/>
  <c r="BL102" i="45"/>
  <c r="AF102" i="45"/>
  <c r="BL101" i="45"/>
  <c r="AF103" i="45"/>
  <c r="AE316" i="48"/>
  <c r="AA330" i="48"/>
  <c r="AA329" i="48"/>
  <c r="AA333" i="48" s="1"/>
  <c r="AD319" i="48"/>
  <c r="AD317" i="48"/>
  <c r="AD320" i="48"/>
  <c r="AB346" i="48"/>
  <c r="AB347" i="48" s="1"/>
  <c r="AB349" i="48" s="1"/>
  <c r="AB348" i="48"/>
  <c r="Z330" i="48"/>
  <c r="Z329" i="48"/>
  <c r="Z333" i="48" s="1"/>
  <c r="AA330" i="46"/>
  <c r="AA329" i="46"/>
  <c r="AA333" i="46" s="1"/>
  <c r="AD313" i="48"/>
  <c r="AD312" i="48"/>
  <c r="AD311" i="48"/>
  <c r="AD310" i="48"/>
  <c r="AD314" i="48"/>
  <c r="AD315" i="48"/>
  <c r="AE84" i="48"/>
  <c r="AE83" i="48"/>
  <c r="AE88" i="48" s="1"/>
  <c r="AE82" i="48"/>
  <c r="AE87" i="48" s="1"/>
  <c r="AE81" i="48"/>
  <c r="AE86" i="48" s="1"/>
  <c r="AE80" i="48"/>
  <c r="AE85" i="48" s="1"/>
  <c r="AE74" i="48"/>
  <c r="AE73" i="48"/>
  <c r="AE78" i="48" s="1"/>
  <c r="AE72" i="48"/>
  <c r="AE77" i="48" s="1"/>
  <c r="AE71" i="48"/>
  <c r="AE76" i="48" s="1"/>
  <c r="AE70" i="48"/>
  <c r="AE75" i="48" s="1"/>
  <c r="AF114" i="46"/>
  <c r="AG97" i="45" s="1"/>
  <c r="AF113" i="46"/>
  <c r="AF118" i="46" s="1"/>
  <c r="AF112" i="46"/>
  <c r="AF117" i="46" s="1"/>
  <c r="AF111" i="46"/>
  <c r="AF116" i="46" s="1"/>
  <c r="AF110" i="46"/>
  <c r="AF115" i="46" s="1"/>
  <c r="AF109" i="48"/>
  <c r="AF274" i="46"/>
  <c r="AA347" i="48"/>
  <c r="AA349" i="48" s="1"/>
  <c r="AA348" i="48"/>
  <c r="AE320" i="46"/>
  <c r="AE317" i="46"/>
  <c r="AB329" i="46"/>
  <c r="AB333" i="46" s="1"/>
  <c r="AB330" i="46"/>
  <c r="AF275" i="48"/>
  <c r="AE308" i="48"/>
  <c r="AE309" i="48" s="1"/>
  <c r="BL93" i="45"/>
  <c r="AF93" i="45"/>
  <c r="BL94" i="45"/>
  <c r="AF94" i="45"/>
  <c r="AF81" i="45"/>
  <c r="AF79" i="45"/>
  <c r="AF80" i="45"/>
  <c r="BL80" i="45"/>
  <c r="BL81" i="45"/>
  <c r="BL79" i="45"/>
  <c r="AF102" i="46"/>
  <c r="AF107" i="46" s="1"/>
  <c r="AF101" i="46"/>
  <c r="AF106" i="46" s="1"/>
  <c r="AF100" i="46"/>
  <c r="AF105" i="46" s="1"/>
  <c r="AF104" i="46"/>
  <c r="AG106" i="45" s="1"/>
  <c r="AF103" i="46"/>
  <c r="AF108" i="46" s="1"/>
  <c r="AF99" i="48"/>
  <c r="Y353" i="48"/>
  <c r="Y354" i="48" s="1"/>
  <c r="Z119" i="45"/>
  <c r="Y365" i="46"/>
  <c r="Y370" i="46"/>
  <c r="BD125" i="45"/>
  <c r="W371" i="48"/>
  <c r="BD126" i="45" s="1"/>
  <c r="BL90" i="45"/>
  <c r="AF91" i="45"/>
  <c r="BE125" i="45"/>
  <c r="X371" i="48"/>
  <c r="BE126" i="45" s="1"/>
  <c r="AF74" i="46"/>
  <c r="AG76" i="45" s="1"/>
  <c r="AF73" i="46"/>
  <c r="AF78" i="46" s="1"/>
  <c r="AF72" i="46"/>
  <c r="AF77" i="46" s="1"/>
  <c r="AF71" i="46"/>
  <c r="AF76" i="46" s="1"/>
  <c r="AF70" i="46"/>
  <c r="AF75" i="46" s="1"/>
  <c r="AF69" i="48"/>
  <c r="Z347" i="48"/>
  <c r="Z349" i="48" s="1"/>
  <c r="Z348" i="48"/>
  <c r="BN85" i="45"/>
  <c r="AB348" i="46"/>
  <c r="AD331" i="46"/>
  <c r="AD332" i="46"/>
  <c r="AC334" i="48"/>
  <c r="AC339" i="48"/>
  <c r="AC338" i="48"/>
  <c r="AC337" i="48"/>
  <c r="AC336" i="48"/>
  <c r="AC335" i="48"/>
  <c r="AF83" i="46"/>
  <c r="AF88" i="46" s="1"/>
  <c r="AF80" i="46"/>
  <c r="AF85" i="46" s="1"/>
  <c r="AF81" i="46"/>
  <c r="AF86" i="46" s="1"/>
  <c r="AF84" i="46"/>
  <c r="AG90" i="45" s="1"/>
  <c r="AF82" i="46"/>
  <c r="AF87" i="46" s="1"/>
  <c r="AF79" i="48"/>
  <c r="AE101" i="48"/>
  <c r="AE106" i="48" s="1"/>
  <c r="AE100" i="48"/>
  <c r="AE105" i="48" s="1"/>
  <c r="AE104" i="48"/>
  <c r="AE103" i="48"/>
  <c r="AE108" i="48" s="1"/>
  <c r="AE102" i="48"/>
  <c r="AE107" i="48" s="1"/>
  <c r="AE318" i="46"/>
  <c r="AE319" i="46" s="1"/>
  <c r="AE341" i="46"/>
  <c r="AE342" i="46" s="1"/>
  <c r="BN86" i="45"/>
  <c r="BN72" i="45"/>
  <c r="AA347" i="46"/>
  <c r="AA349" i="46" s="1"/>
  <c r="AA348" i="46"/>
  <c r="AF308" i="46"/>
  <c r="AF309" i="46" s="1"/>
  <c r="AG275" i="46"/>
  <c r="AG308" i="46" s="1"/>
  <c r="AG309" i="46" s="1"/>
  <c r="AF44" i="48"/>
  <c r="AF271" i="48" s="1"/>
  <c r="BE123" i="45"/>
  <c r="BE124" i="45"/>
  <c r="BE121" i="45"/>
  <c r="AC324" i="48"/>
  <c r="AC323" i="48"/>
  <c r="AC322" i="48"/>
  <c r="AC321" i="48"/>
  <c r="AF317" i="46"/>
  <c r="AF320" i="46"/>
  <c r="BL106" i="45"/>
  <c r="AF109" i="45"/>
  <c r="BD123" i="45"/>
  <c r="BD124" i="45"/>
  <c r="BD121" i="45"/>
  <c r="AE112" i="48"/>
  <c r="AE117" i="48" s="1"/>
  <c r="AE111" i="48"/>
  <c r="AE116" i="48" s="1"/>
  <c r="AE114" i="48"/>
  <c r="AE110" i="48"/>
  <c r="AE115" i="48" s="1"/>
  <c r="AE113" i="48"/>
  <c r="AE118" i="48" s="1"/>
  <c r="AE274" i="48"/>
  <c r="BN87" i="45"/>
  <c r="BN73" i="45"/>
  <c r="AE315" i="46"/>
  <c r="AE314" i="46"/>
  <c r="AE313" i="46"/>
  <c r="AE312" i="46"/>
  <c r="AE311" i="46"/>
  <c r="AE310" i="46"/>
  <c r="AB346" i="46"/>
  <c r="AB347" i="46" s="1"/>
  <c r="AB349" i="46" s="1"/>
  <c r="BL76" i="45"/>
  <c r="AF78" i="45"/>
  <c r="AF111" i="45"/>
  <c r="AF112" i="45"/>
  <c r="AF110" i="45"/>
  <c r="BL111" i="45"/>
  <c r="BL112" i="45"/>
  <c r="BL110" i="45"/>
  <c r="BL97" i="45"/>
  <c r="AF100" i="45"/>
  <c r="AF113" i="45"/>
  <c r="AG69" i="46"/>
  <c r="AG44" i="46"/>
  <c r="AG316" i="46" s="1"/>
  <c r="AG79" i="46"/>
  <c r="AG99" i="46"/>
  <c r="AG109" i="46"/>
  <c r="AE271" i="48"/>
  <c r="BK115" i="45" l="1"/>
  <c r="BL117" i="45"/>
  <c r="AF117" i="45"/>
  <c r="Z363" i="46"/>
  <c r="AA120" i="45" s="1"/>
  <c r="AF114" i="45"/>
  <c r="BL91" i="45"/>
  <c r="AA119" i="45"/>
  <c r="BN71" i="45"/>
  <c r="BL109" i="45"/>
  <c r="AC343" i="46"/>
  <c r="AC344" i="46" s="1"/>
  <c r="AC345" i="46"/>
  <c r="AC348" i="46" s="1"/>
  <c r="AC353" i="46" s="1"/>
  <c r="AC354" i="46" s="1"/>
  <c r="AC327" i="46"/>
  <c r="AC328" i="46"/>
  <c r="AG271" i="46"/>
  <c r="AE334" i="46"/>
  <c r="AE338" i="46"/>
  <c r="AE337" i="46"/>
  <c r="AE336" i="46"/>
  <c r="AE335" i="46"/>
  <c r="AE339" i="46"/>
  <c r="AF315" i="46"/>
  <c r="AF314" i="46"/>
  <c r="AF313" i="46"/>
  <c r="AF312" i="46"/>
  <c r="AF311" i="46"/>
  <c r="AF310" i="46"/>
  <c r="Z125" i="45"/>
  <c r="Y371" i="46"/>
  <c r="Z126" i="45" s="1"/>
  <c r="AD335" i="48"/>
  <c r="AD334" i="48"/>
  <c r="AD339" i="48"/>
  <c r="AD338" i="48"/>
  <c r="AD337" i="48"/>
  <c r="AD336" i="48"/>
  <c r="AF84" i="48"/>
  <c r="AF83" i="48"/>
  <c r="AF88" i="48" s="1"/>
  <c r="AF82" i="48"/>
  <c r="AF87" i="48" s="1"/>
  <c r="AF81" i="48"/>
  <c r="AF86" i="48" s="1"/>
  <c r="AF80" i="48"/>
  <c r="AF85" i="48" s="1"/>
  <c r="AF74" i="48"/>
  <c r="AF73" i="48"/>
  <c r="AF78" i="48" s="1"/>
  <c r="AF72" i="48"/>
  <c r="AF77" i="48" s="1"/>
  <c r="AF71" i="48"/>
  <c r="AF76" i="48" s="1"/>
  <c r="AF70" i="48"/>
  <c r="AF75" i="48" s="1"/>
  <c r="BM106" i="45"/>
  <c r="AG109" i="45"/>
  <c r="AE324" i="46"/>
  <c r="AE323" i="46"/>
  <c r="AE322" i="46"/>
  <c r="AE321" i="46"/>
  <c r="BM97" i="45"/>
  <c r="AG100" i="45"/>
  <c r="AG113" i="45"/>
  <c r="AG114" i="46"/>
  <c r="AH97" i="45" s="1"/>
  <c r="AG113" i="46"/>
  <c r="AG118" i="46" s="1"/>
  <c r="AG112" i="46"/>
  <c r="AG117" i="46" s="1"/>
  <c r="AG111" i="46"/>
  <c r="AG116" i="46" s="1"/>
  <c r="AG110" i="46"/>
  <c r="AG115" i="46" s="1"/>
  <c r="AG109" i="48"/>
  <c r="AG274" i="46"/>
  <c r="BL100" i="45"/>
  <c r="BL113" i="45"/>
  <c r="AD343" i="46"/>
  <c r="AD344" i="46" s="1"/>
  <c r="AD345" i="46"/>
  <c r="AD346" i="46" s="1"/>
  <c r="Z353" i="48"/>
  <c r="AG80" i="45"/>
  <c r="AG81" i="45"/>
  <c r="AG79" i="45"/>
  <c r="BM80" i="45"/>
  <c r="BM79" i="45"/>
  <c r="BM81" i="45"/>
  <c r="Z124" i="45"/>
  <c r="Z121" i="45"/>
  <c r="Z123" i="45"/>
  <c r="AG112" i="45"/>
  <c r="AG111" i="45"/>
  <c r="AG110" i="45"/>
  <c r="BM111" i="45"/>
  <c r="BM110" i="45"/>
  <c r="BM112" i="45"/>
  <c r="BL116" i="45"/>
  <c r="AF316" i="48"/>
  <c r="BM90" i="45"/>
  <c r="AG91" i="45"/>
  <c r="BL118" i="45"/>
  <c r="AF318" i="46"/>
  <c r="AF319" i="46" s="1"/>
  <c r="AF341" i="46"/>
  <c r="AF342" i="46" s="1"/>
  <c r="AG102" i="46"/>
  <c r="AG107" i="46" s="1"/>
  <c r="AG101" i="46"/>
  <c r="AG106" i="46" s="1"/>
  <c r="AG100" i="46"/>
  <c r="AG105" i="46" s="1"/>
  <c r="AG104" i="46"/>
  <c r="AH106" i="45" s="1"/>
  <c r="AG103" i="46"/>
  <c r="AG108" i="46" s="1"/>
  <c r="AG99" i="48"/>
  <c r="AG84" i="46"/>
  <c r="AH90" i="45" s="1"/>
  <c r="AG80" i="46"/>
  <c r="AG85" i="46" s="1"/>
  <c r="AG82" i="46"/>
  <c r="AG87" i="46" s="1"/>
  <c r="AG81" i="46"/>
  <c r="AG86" i="46" s="1"/>
  <c r="AG83" i="46"/>
  <c r="AG88" i="46" s="1"/>
  <c r="AG79" i="48"/>
  <c r="AB353" i="46"/>
  <c r="AE314" i="48"/>
  <c r="AE313" i="48"/>
  <c r="AE312" i="48"/>
  <c r="AE311" i="48"/>
  <c r="AE310" i="48"/>
  <c r="AE315" i="48"/>
  <c r="AF110" i="48"/>
  <c r="AF115" i="48" s="1"/>
  <c r="AF113" i="48"/>
  <c r="AF118" i="48" s="1"/>
  <c r="AF112" i="48"/>
  <c r="AF117" i="48" s="1"/>
  <c r="AF111" i="48"/>
  <c r="AF116" i="48" s="1"/>
  <c r="AF114" i="48"/>
  <c r="AF274" i="48"/>
  <c r="AG317" i="46"/>
  <c r="AG320" i="46"/>
  <c r="BL114" i="45"/>
  <c r="BL78" i="45"/>
  <c r="AE318" i="48"/>
  <c r="AE319" i="48" s="1"/>
  <c r="AE341" i="48"/>
  <c r="AE342" i="48" s="1"/>
  <c r="AF324" i="46"/>
  <c r="AF323" i="46"/>
  <c r="AF322" i="46"/>
  <c r="AF321" i="46"/>
  <c r="AC326" i="48"/>
  <c r="AC325" i="48"/>
  <c r="AA353" i="46"/>
  <c r="AA354" i="46" s="1"/>
  <c r="BM94" i="45"/>
  <c r="AG94" i="45"/>
  <c r="BM93" i="45"/>
  <c r="AG93" i="45"/>
  <c r="Y363" i="48"/>
  <c r="BF120" i="45" s="1"/>
  <c r="Y361" i="48"/>
  <c r="AG275" i="48"/>
  <c r="AG308" i="48" s="1"/>
  <c r="AG309" i="48" s="1"/>
  <c r="AF308" i="48"/>
  <c r="AF309" i="48" s="1"/>
  <c r="AA353" i="48"/>
  <c r="AA354" i="48" s="1"/>
  <c r="AG102" i="45"/>
  <c r="AG103" i="45"/>
  <c r="BM102" i="45"/>
  <c r="BM101" i="45"/>
  <c r="AG101" i="45"/>
  <c r="BM103" i="45"/>
  <c r="AB353" i="48"/>
  <c r="AB354" i="48" s="1"/>
  <c r="AE320" i="48"/>
  <c r="AE317" i="48"/>
  <c r="AG74" i="46"/>
  <c r="AH76" i="45" s="1"/>
  <c r="AG73" i="46"/>
  <c r="AG78" i="46" s="1"/>
  <c r="AG72" i="46"/>
  <c r="AG77" i="46" s="1"/>
  <c r="AG71" i="46"/>
  <c r="AG76" i="46" s="1"/>
  <c r="AG70" i="46"/>
  <c r="AG75" i="46" s="1"/>
  <c r="AG69" i="48"/>
  <c r="AC332" i="48"/>
  <c r="AC331" i="48"/>
  <c r="BM76" i="45"/>
  <c r="AG78" i="45"/>
  <c r="AF116" i="45"/>
  <c r="AD324" i="48"/>
  <c r="AD323" i="48"/>
  <c r="AD322" i="48"/>
  <c r="AD321" i="48"/>
  <c r="AG310" i="46"/>
  <c r="AG315" i="46"/>
  <c r="AG314" i="46"/>
  <c r="AG313" i="46"/>
  <c r="AG312" i="46"/>
  <c r="AG311" i="46"/>
  <c r="AF102" i="48"/>
  <c r="AF107" i="48" s="1"/>
  <c r="AF101" i="48"/>
  <c r="AF106" i="48" s="1"/>
  <c r="AF100" i="48"/>
  <c r="AF105" i="48" s="1"/>
  <c r="AF104" i="48"/>
  <c r="AF103" i="48"/>
  <c r="AF108" i="48" s="1"/>
  <c r="AF118" i="45"/>
  <c r="AG44" i="48"/>
  <c r="AG271" i="48" s="1"/>
  <c r="AD328" i="46"/>
  <c r="AD327" i="46"/>
  <c r="Z365" i="46" l="1"/>
  <c r="Z370" i="46"/>
  <c r="BM117" i="45"/>
  <c r="AF115" i="45"/>
  <c r="AG117" i="45"/>
  <c r="AA122" i="45"/>
  <c r="AA121" i="45"/>
  <c r="AA123" i="45"/>
  <c r="AA124" i="45"/>
  <c r="BM109" i="45"/>
  <c r="AG114" i="45"/>
  <c r="BF122" i="45"/>
  <c r="BM91" i="45"/>
  <c r="AA125" i="45"/>
  <c r="Z371" i="46"/>
  <c r="AA126" i="45" s="1"/>
  <c r="AC361" i="46"/>
  <c r="AD119" i="45" s="1"/>
  <c r="AC363" i="46"/>
  <c r="AD120" i="45" s="1"/>
  <c r="AC346" i="46"/>
  <c r="AC347" i="46" s="1"/>
  <c r="AC349" i="46" s="1"/>
  <c r="AC330" i="46"/>
  <c r="AC329" i="46"/>
  <c r="AC333" i="46" s="1"/>
  <c r="BM78" i="45"/>
  <c r="AA363" i="48"/>
  <c r="BH120" i="45" s="1"/>
  <c r="AA361" i="48"/>
  <c r="AF332" i="46"/>
  <c r="AF331" i="46"/>
  <c r="AF343" i="46" s="1"/>
  <c r="AF344" i="46" s="1"/>
  <c r="AF320" i="48"/>
  <c r="AF317" i="48"/>
  <c r="BM116" i="45"/>
  <c r="AG70" i="48"/>
  <c r="AG75" i="48" s="1"/>
  <c r="AG74" i="48"/>
  <c r="AG73" i="48"/>
  <c r="AG78" i="48" s="1"/>
  <c r="AG72" i="48"/>
  <c r="AG77" i="48" s="1"/>
  <c r="AG71" i="48"/>
  <c r="AG76" i="48" s="1"/>
  <c r="BM100" i="45"/>
  <c r="BM113" i="45"/>
  <c r="AH80" i="45"/>
  <c r="AH79" i="45"/>
  <c r="AH81" i="45"/>
  <c r="BN79" i="45"/>
  <c r="BN81" i="45"/>
  <c r="BN80" i="45"/>
  <c r="AF314" i="48"/>
  <c r="AF313" i="48"/>
  <c r="AF312" i="48"/>
  <c r="AF311" i="48"/>
  <c r="AF310" i="48"/>
  <c r="AF315" i="48"/>
  <c r="BN94" i="45"/>
  <c r="AH94" i="45"/>
  <c r="BN93" i="45"/>
  <c r="AH93" i="45"/>
  <c r="AG116" i="45"/>
  <c r="BL115" i="45"/>
  <c r="BN97" i="45"/>
  <c r="AH113" i="45"/>
  <c r="AH100" i="45"/>
  <c r="AD326" i="48"/>
  <c r="AD325" i="48"/>
  <c r="AG314" i="48"/>
  <c r="AG313" i="48"/>
  <c r="AG312" i="48"/>
  <c r="AG311" i="48"/>
  <c r="AG315" i="48"/>
  <c r="AG310" i="48"/>
  <c r="BN90" i="45"/>
  <c r="AH91" i="45"/>
  <c r="AG118" i="45"/>
  <c r="AG316" i="48"/>
  <c r="AD332" i="48"/>
  <c r="AD331" i="48"/>
  <c r="AC328" i="48"/>
  <c r="AC327" i="48"/>
  <c r="AG103" i="48"/>
  <c r="AG108" i="48" s="1"/>
  <c r="AG102" i="48"/>
  <c r="AG107" i="48" s="1"/>
  <c r="AG101" i="48"/>
  <c r="AG106" i="48" s="1"/>
  <c r="AG100" i="48"/>
  <c r="AG105" i="48" s="1"/>
  <c r="AG104" i="48"/>
  <c r="AG318" i="46"/>
  <c r="AG319" i="46" s="1"/>
  <c r="AG341" i="46"/>
  <c r="AG342" i="46" s="1"/>
  <c r="AG111" i="48"/>
  <c r="AG116" i="48" s="1"/>
  <c r="AG110" i="48"/>
  <c r="AG115" i="48" s="1"/>
  <c r="AG114" i="48"/>
  <c r="AG113" i="48"/>
  <c r="AG118" i="48" s="1"/>
  <c r="AG112" i="48"/>
  <c r="AG117" i="48" s="1"/>
  <c r="AG274" i="48"/>
  <c r="AD330" i="46"/>
  <c r="AD329" i="46"/>
  <c r="AD333" i="46" s="1"/>
  <c r="BN76" i="45"/>
  <c r="AH78" i="45"/>
  <c r="AE336" i="48"/>
  <c r="AE335" i="48"/>
  <c r="AE334" i="48"/>
  <c r="AE339" i="48"/>
  <c r="AE338" i="48"/>
  <c r="AE337" i="48"/>
  <c r="AB363" i="48"/>
  <c r="BI120" i="45" s="1"/>
  <c r="AB361" i="48"/>
  <c r="AG84" i="48"/>
  <c r="AG83" i="48"/>
  <c r="AG88" i="48" s="1"/>
  <c r="AG82" i="48"/>
  <c r="AG87" i="48" s="1"/>
  <c r="AG81" i="48"/>
  <c r="AG86" i="48" s="1"/>
  <c r="AG80" i="48"/>
  <c r="AG85" i="48" s="1"/>
  <c r="BN106" i="45"/>
  <c r="AH109" i="45"/>
  <c r="AH103" i="45"/>
  <c r="AH101" i="45"/>
  <c r="BN103" i="45"/>
  <c r="AH102" i="45"/>
  <c r="BN102" i="45"/>
  <c r="BN101" i="45"/>
  <c r="AE326" i="46"/>
  <c r="AE325" i="46"/>
  <c r="AC343" i="48"/>
  <c r="AC344" i="48" s="1"/>
  <c r="AC345" i="48"/>
  <c r="AE324" i="48"/>
  <c r="AE323" i="48"/>
  <c r="AE322" i="48"/>
  <c r="AE321" i="48"/>
  <c r="BF119" i="45"/>
  <c r="Y365" i="48"/>
  <c r="Y370" i="48"/>
  <c r="AA363" i="46"/>
  <c r="AB120" i="45" s="1"/>
  <c r="AA361" i="46"/>
  <c r="AF325" i="46"/>
  <c r="AF326" i="46"/>
  <c r="AG324" i="46"/>
  <c r="AG323" i="46"/>
  <c r="AG322" i="46"/>
  <c r="AG321" i="46"/>
  <c r="AF318" i="48"/>
  <c r="AF319" i="48" s="1"/>
  <c r="AF341" i="48"/>
  <c r="AF342" i="48" s="1"/>
  <c r="AB354" i="46"/>
  <c r="AB361" i="46" s="1"/>
  <c r="AH112" i="45"/>
  <c r="AH110" i="45"/>
  <c r="BN112" i="45"/>
  <c r="AH111" i="45"/>
  <c r="BN110" i="45"/>
  <c r="BN111" i="45"/>
  <c r="AF339" i="46"/>
  <c r="AF334" i="46"/>
  <c r="AF338" i="46"/>
  <c r="AF337" i="46"/>
  <c r="AF336" i="46"/>
  <c r="AF335" i="46"/>
  <c r="BM118" i="45"/>
  <c r="Z354" i="48"/>
  <c r="Z361" i="48" s="1"/>
  <c r="AD347" i="46"/>
  <c r="AD349" i="46" s="1"/>
  <c r="AD348" i="46"/>
  <c r="AE332" i="46"/>
  <c r="AE331" i="46"/>
  <c r="BN117" i="45" l="1"/>
  <c r="AH117" i="45"/>
  <c r="AC370" i="46"/>
  <c r="AD125" i="45" s="1"/>
  <c r="AD122" i="45"/>
  <c r="BI122" i="45"/>
  <c r="BN109" i="45"/>
  <c r="AH114" i="45"/>
  <c r="BH122" i="45"/>
  <c r="AB122" i="45"/>
  <c r="BN91" i="45"/>
  <c r="AC365" i="46"/>
  <c r="BM114" i="45"/>
  <c r="AG115" i="45"/>
  <c r="AF345" i="46"/>
  <c r="AC119" i="45"/>
  <c r="BG119" i="45"/>
  <c r="AF337" i="48"/>
  <c r="AF336" i="48"/>
  <c r="AF335" i="48"/>
  <c r="AF334" i="48"/>
  <c r="AF339" i="48"/>
  <c r="AF338" i="48"/>
  <c r="AD353" i="46"/>
  <c r="AG326" i="46"/>
  <c r="AG325" i="46"/>
  <c r="BF125" i="45"/>
  <c r="Y371" i="48"/>
  <c r="BF126" i="45" s="1"/>
  <c r="AE332" i="48"/>
  <c r="AE331" i="48"/>
  <c r="Z363" i="48"/>
  <c r="BG120" i="45" s="1"/>
  <c r="AH118" i="45"/>
  <c r="AH116" i="45"/>
  <c r="AG332" i="46"/>
  <c r="AG331" i="46"/>
  <c r="AG343" i="46" s="1"/>
  <c r="AG344" i="46" s="1"/>
  <c r="AC348" i="48"/>
  <c r="AF328" i="46"/>
  <c r="AF327" i="46"/>
  <c r="BF123" i="45"/>
  <c r="BF124" i="45"/>
  <c r="BF121" i="45"/>
  <c r="AB363" i="46"/>
  <c r="AC120" i="45" s="1"/>
  <c r="BI119" i="45"/>
  <c r="AB365" i="48"/>
  <c r="AB370" i="48"/>
  <c r="AG339" i="46"/>
  <c r="AG334" i="46"/>
  <c r="AG338" i="46"/>
  <c r="AG337" i="46"/>
  <c r="AG336" i="46"/>
  <c r="AG335" i="46"/>
  <c r="AE343" i="46"/>
  <c r="AE344" i="46" s="1"/>
  <c r="AE345" i="46"/>
  <c r="AE346" i="46" s="1"/>
  <c r="AB119" i="45"/>
  <c r="AA365" i="46"/>
  <c r="AA370" i="46"/>
  <c r="AD343" i="48"/>
  <c r="AD344" i="48" s="1"/>
  <c r="AD345" i="48"/>
  <c r="AD346" i="48" s="1"/>
  <c r="AH115" i="45"/>
  <c r="AD124" i="45"/>
  <c r="AD123" i="45"/>
  <c r="AD121" i="45"/>
  <c r="BN78" i="45"/>
  <c r="AC330" i="48"/>
  <c r="AC329" i="48"/>
  <c r="AC333" i="48" s="1"/>
  <c r="AG320" i="48"/>
  <c r="AG317" i="48"/>
  <c r="BN113" i="45"/>
  <c r="BN100" i="45"/>
  <c r="AF321" i="48"/>
  <c r="AF324" i="48"/>
  <c r="AF323" i="48"/>
  <c r="AF322" i="48"/>
  <c r="AE328" i="46"/>
  <c r="AE327" i="46"/>
  <c r="AC346" i="48"/>
  <c r="AC347" i="48" s="1"/>
  <c r="AC349" i="48" s="1"/>
  <c r="BN118" i="45"/>
  <c r="AE326" i="48"/>
  <c r="AE325" i="48"/>
  <c r="AI274" i="48"/>
  <c r="AJ274" i="48"/>
  <c r="AG318" i="48"/>
  <c r="AG319" i="48" s="1"/>
  <c r="AG341" i="48"/>
  <c r="AG342" i="48" s="1"/>
  <c r="AD327" i="48"/>
  <c r="AD328" i="48"/>
  <c r="BN116" i="45"/>
  <c r="BH119" i="45"/>
  <c r="AA365" i="48"/>
  <c r="AA370" i="48"/>
  <c r="AC371" i="46" l="1"/>
  <c r="AD126" i="45" s="1"/>
  <c r="BN114" i="45"/>
  <c r="AC122" i="45"/>
  <c r="AF348" i="46"/>
  <c r="BG122" i="45"/>
  <c r="AF346" i="46"/>
  <c r="AF347" i="46" s="1"/>
  <c r="AF349" i="46" s="1"/>
  <c r="BM115" i="45"/>
  <c r="BN115" i="45"/>
  <c r="Z365" i="48"/>
  <c r="AB365" i="46"/>
  <c r="AG338" i="48"/>
  <c r="AG337" i="48"/>
  <c r="AG336" i="48"/>
  <c r="AG335" i="48"/>
  <c r="AG334" i="48"/>
  <c r="AG339" i="48"/>
  <c r="BG121" i="45"/>
  <c r="BG124" i="45"/>
  <c r="BG123" i="45"/>
  <c r="AB125" i="45"/>
  <c r="AA371" i="46"/>
  <c r="AB126" i="45" s="1"/>
  <c r="AG328" i="46"/>
  <c r="AG327" i="46"/>
  <c r="AF330" i="46"/>
  <c r="AF329" i="46"/>
  <c r="AF333" i="46" s="1"/>
  <c r="AG345" i="46"/>
  <c r="AB370" i="46"/>
  <c r="AD330" i="48"/>
  <c r="AD329" i="48"/>
  <c r="AD333" i="48" s="1"/>
  <c r="AE328" i="48"/>
  <c r="AE327" i="48"/>
  <c r="AF326" i="48"/>
  <c r="AF325" i="48"/>
  <c r="BI125" i="45"/>
  <c r="AB371" i="48"/>
  <c r="BI126" i="45" s="1"/>
  <c r="BH125" i="45"/>
  <c r="AA371" i="48"/>
  <c r="BH126" i="45" s="1"/>
  <c r="AE330" i="46"/>
  <c r="AE329" i="46"/>
  <c r="AE333" i="46" s="1"/>
  <c r="AF332" i="48"/>
  <c r="AF331" i="48"/>
  <c r="AD347" i="48"/>
  <c r="AD349" i="48" s="1"/>
  <c r="AD348" i="48"/>
  <c r="AB121" i="45"/>
  <c r="AB123" i="45"/>
  <c r="AB124" i="45"/>
  <c r="AE343" i="48"/>
  <c r="AE344" i="48" s="1"/>
  <c r="AE345" i="48"/>
  <c r="AE346" i="48" s="1"/>
  <c r="AD354" i="46"/>
  <c r="AD361" i="46" s="1"/>
  <c r="AC124" i="45"/>
  <c r="AC121" i="45"/>
  <c r="AC123" i="45"/>
  <c r="BH124" i="45"/>
  <c r="BH123" i="45"/>
  <c r="BH121" i="45"/>
  <c r="AF353" i="46"/>
  <c r="AF354" i="46" s="1"/>
  <c r="AE347" i="46"/>
  <c r="AE349" i="46" s="1"/>
  <c r="AE348" i="46"/>
  <c r="BI124" i="45"/>
  <c r="BI123" i="45"/>
  <c r="BI121" i="45"/>
  <c r="Z370" i="48"/>
  <c r="AG322" i="48"/>
  <c r="AG321" i="48"/>
  <c r="AG324" i="48"/>
  <c r="AG323" i="48"/>
  <c r="AC353" i="48"/>
  <c r="AC354" i="48" s="1"/>
  <c r="AD363" i="46" l="1"/>
  <c r="AE120" i="45" s="1"/>
  <c r="BG125" i="45"/>
  <c r="Z371" i="48"/>
  <c r="BG126" i="45" s="1"/>
  <c r="AE353" i="46"/>
  <c r="AC363" i="48"/>
  <c r="BJ120" i="45" s="1"/>
  <c r="AC361" i="48"/>
  <c r="AE119" i="45"/>
  <c r="AC125" i="45"/>
  <c r="AB371" i="46"/>
  <c r="AC126" i="45" s="1"/>
  <c r="AG330" i="46"/>
  <c r="AG329" i="46"/>
  <c r="AG333" i="46" s="1"/>
  <c r="AG348" i="46"/>
  <c r="AG332" i="48"/>
  <c r="AG331" i="48"/>
  <c r="AD353" i="48"/>
  <c r="AF363" i="46"/>
  <c r="AG120" i="45" s="1"/>
  <c r="AF361" i="46"/>
  <c r="AF328" i="48"/>
  <c r="AF327" i="48"/>
  <c r="AG326" i="48"/>
  <c r="AG325" i="48"/>
  <c r="AE347" i="48"/>
  <c r="AE349" i="48" s="1"/>
  <c r="AE348" i="48"/>
  <c r="AF343" i="48"/>
  <c r="AF344" i="48" s="1"/>
  <c r="AF345" i="48"/>
  <c r="AE330" i="48"/>
  <c r="AE329" i="48"/>
  <c r="AE333" i="48" s="1"/>
  <c r="AG346" i="46"/>
  <c r="AG347" i="46" s="1"/>
  <c r="AG349" i="46" s="1"/>
  <c r="AD365" i="46" l="1"/>
  <c r="AE122" i="45"/>
  <c r="BJ122" i="45"/>
  <c r="AG122" i="45"/>
  <c r="AD370" i="46"/>
  <c r="AD371" i="46" s="1"/>
  <c r="AE126" i="45" s="1"/>
  <c r="AG343" i="48"/>
  <c r="AG344" i="48" s="1"/>
  <c r="AG345" i="48"/>
  <c r="AG346" i="48" s="1"/>
  <c r="AF329" i="48"/>
  <c r="AF333" i="48" s="1"/>
  <c r="AF330" i="48"/>
  <c r="AE354" i="46"/>
  <c r="AE363" i="46" s="1"/>
  <c r="AF120" i="45" s="1"/>
  <c r="AE353" i="48"/>
  <c r="AG353" i="46"/>
  <c r="BJ119" i="45"/>
  <c r="AC365" i="48"/>
  <c r="AC370" i="48"/>
  <c r="AF348" i="48"/>
  <c r="AG119" i="45"/>
  <c r="AF365" i="46"/>
  <c r="AF370" i="46"/>
  <c r="AF346" i="48"/>
  <c r="AF347" i="48" s="1"/>
  <c r="AF349" i="48" s="1"/>
  <c r="AG328" i="48"/>
  <c r="AG327" i="48"/>
  <c r="AD354" i="48"/>
  <c r="AD363" i="48" s="1"/>
  <c r="BK120" i="45" s="1"/>
  <c r="AE121" i="45"/>
  <c r="AE124" i="45"/>
  <c r="AE123" i="45"/>
  <c r="AF122" i="45" l="1"/>
  <c r="AE125" i="45"/>
  <c r="BK122" i="45"/>
  <c r="AE361" i="46"/>
  <c r="AG347" i="48"/>
  <c r="AG349" i="48" s="1"/>
  <c r="AG348" i="48"/>
  <c r="AE354" i="48"/>
  <c r="AE363" i="48" s="1"/>
  <c r="BL120" i="45" s="1"/>
  <c r="AG125" i="45"/>
  <c r="AF371" i="46"/>
  <c r="AG126" i="45" s="1"/>
  <c r="AG354" i="46"/>
  <c r="AG361" i="46" s="1"/>
  <c r="BJ125" i="45"/>
  <c r="AC371" i="48"/>
  <c r="BJ126" i="45" s="1"/>
  <c r="AG121" i="45"/>
  <c r="AG123" i="45"/>
  <c r="AG124" i="45"/>
  <c r="AD361" i="48"/>
  <c r="BJ124" i="45"/>
  <c r="BJ123" i="45"/>
  <c r="BJ121" i="45"/>
  <c r="AG330" i="48"/>
  <c r="AG329" i="48"/>
  <c r="AG333" i="48" s="1"/>
  <c r="AF353" i="48"/>
  <c r="AF354" i="48" s="1"/>
  <c r="BL122" i="45" l="1"/>
  <c r="AE361" i="48"/>
  <c r="AE365" i="48" s="1"/>
  <c r="AH119" i="45"/>
  <c r="AG363" i="46"/>
  <c r="AH120" i="45" s="1"/>
  <c r="AG353" i="48"/>
  <c r="AG354" i="48" s="1"/>
  <c r="AF119" i="45"/>
  <c r="AE365" i="46"/>
  <c r="AE370" i="46"/>
  <c r="BK119" i="45"/>
  <c r="AD365" i="48"/>
  <c r="AD370" i="48"/>
  <c r="AF363" i="48"/>
  <c r="BM120" i="45" s="1"/>
  <c r="AF361" i="48"/>
  <c r="BM122" i="45" l="1"/>
  <c r="AH122" i="45"/>
  <c r="BL119" i="45"/>
  <c r="AE370" i="48"/>
  <c r="BL125" i="45" s="1"/>
  <c r="AG365" i="46"/>
  <c r="AG363" i="48"/>
  <c r="BN120" i="45" s="1"/>
  <c r="AG361" i="48"/>
  <c r="AF121" i="45"/>
  <c r="AF124" i="45"/>
  <c r="AF123" i="45"/>
  <c r="BM119" i="45"/>
  <c r="AF365" i="48"/>
  <c r="AF370" i="48"/>
  <c r="AG370" i="46"/>
  <c r="BK124" i="45"/>
  <c r="BK121" i="45"/>
  <c r="BK123" i="45"/>
  <c r="AF125" i="45"/>
  <c r="AE371" i="46"/>
  <c r="AF126" i="45" s="1"/>
  <c r="BK125" i="45"/>
  <c r="AD371" i="48"/>
  <c r="BK126" i="45" s="1"/>
  <c r="AH123" i="45"/>
  <c r="AH121" i="45"/>
  <c r="AH124" i="45"/>
  <c r="BL124" i="45" l="1"/>
  <c r="BL121" i="45"/>
  <c r="BL123" i="45"/>
  <c r="BN122" i="45"/>
  <c r="AE371" i="48"/>
  <c r="BL126" i="45" s="1"/>
  <c r="BM124" i="45"/>
  <c r="BM121" i="45"/>
  <c r="BM123" i="45"/>
  <c r="BM125" i="45"/>
  <c r="AF371" i="48"/>
  <c r="BM126" i="45" s="1"/>
  <c r="BN119" i="45"/>
  <c r="AG365" i="48"/>
  <c r="AG370" i="48"/>
  <c r="AH125" i="45"/>
  <c r="AG371" i="46"/>
  <c r="AH126" i="45" s="1"/>
  <c r="BN125" i="45" l="1"/>
  <c r="AG371" i="48"/>
  <c r="BN126" i="45" s="1"/>
  <c r="BN123" i="45"/>
  <c r="BN124" i="45"/>
  <c r="BN121" i="45"/>
  <c r="C14" i="7" l="1"/>
  <c r="C34" i="7" s="1"/>
  <c r="C15" i="7" l="1"/>
  <c r="C35" i="7" s="1"/>
  <c r="O32" i="20"/>
  <c r="T32" i="20"/>
  <c r="AB32" i="20"/>
  <c r="C32" i="20"/>
  <c r="W32" i="20"/>
  <c r="AG32" i="20"/>
  <c r="D32" i="20"/>
  <c r="F32" i="20"/>
  <c r="C83" i="7"/>
  <c r="E32" i="20"/>
  <c r="Y32" i="20"/>
  <c r="L32" i="20"/>
  <c r="X32" i="20"/>
  <c r="Q32" i="20"/>
  <c r="AE32" i="20"/>
  <c r="V32" i="20"/>
  <c r="S32" i="20"/>
  <c r="N32" i="20"/>
  <c r="P32" i="20"/>
  <c r="AD32" i="20"/>
  <c r="AF32" i="20"/>
  <c r="U32" i="20"/>
  <c r="K32" i="20"/>
  <c r="G32" i="20"/>
  <c r="AC32" i="20"/>
  <c r="Z32" i="20"/>
  <c r="C41" i="7"/>
  <c r="C42" i="7" s="1"/>
  <c r="R32" i="20"/>
  <c r="H32" i="20"/>
  <c r="C16" i="7"/>
  <c r="J32" i="20" l="1"/>
  <c r="AA32" i="20"/>
  <c r="M32" i="20"/>
  <c r="M34" i="20" s="1"/>
  <c r="I32" i="20"/>
  <c r="Z34" i="20"/>
  <c r="Z33" i="20"/>
  <c r="H33" i="20"/>
  <c r="H34" i="20"/>
  <c r="AC34" i="20"/>
  <c r="AC33" i="20"/>
  <c r="AD34" i="20"/>
  <c r="AD33" i="20"/>
  <c r="AE33" i="20"/>
  <c r="AE34" i="20"/>
  <c r="E34" i="20"/>
  <c r="E33" i="20"/>
  <c r="O33" i="20"/>
  <c r="O34" i="20"/>
  <c r="G83" i="7"/>
  <c r="C90" i="7"/>
  <c r="C33" i="20"/>
  <c r="C34" i="20"/>
  <c r="P33" i="20"/>
  <c r="P34" i="20"/>
  <c r="R33" i="20"/>
  <c r="R34" i="20"/>
  <c r="G33" i="20"/>
  <c r="G34" i="20"/>
  <c r="N34" i="20"/>
  <c r="N33" i="20"/>
  <c r="Q33" i="20"/>
  <c r="Q34" i="20"/>
  <c r="F33" i="20"/>
  <c r="F34" i="20"/>
  <c r="J34" i="20"/>
  <c r="J33" i="20"/>
  <c r="S34" i="20"/>
  <c r="S33" i="20"/>
  <c r="X34" i="20"/>
  <c r="X33" i="20"/>
  <c r="AA33" i="20"/>
  <c r="AA34" i="20"/>
  <c r="I65" i="7"/>
  <c r="I63" i="7"/>
  <c r="I68" i="7"/>
  <c r="I64" i="7"/>
  <c r="I66" i="7"/>
  <c r="I67" i="7"/>
  <c r="K34" i="20"/>
  <c r="K33" i="20"/>
  <c r="V33" i="20"/>
  <c r="V34" i="20"/>
  <c r="D33" i="20"/>
  <c r="D34" i="20"/>
  <c r="AB34" i="20"/>
  <c r="AB33" i="20"/>
  <c r="U33" i="20"/>
  <c r="U34" i="20"/>
  <c r="L33" i="20"/>
  <c r="L34" i="20"/>
  <c r="AG33" i="20"/>
  <c r="AG34" i="20"/>
  <c r="I34" i="20"/>
  <c r="I33" i="20"/>
  <c r="Y33" i="20"/>
  <c r="Y34" i="20"/>
  <c r="W34" i="20"/>
  <c r="W33" i="20"/>
  <c r="T33" i="20"/>
  <c r="T34" i="20"/>
  <c r="AF33" i="20"/>
  <c r="AF34" i="20"/>
  <c r="C66" i="7"/>
  <c r="C67" i="7"/>
  <c r="J67" i="7" s="1"/>
  <c r="C68" i="7"/>
  <c r="C64" i="7"/>
  <c r="C63" i="7"/>
  <c r="C65" i="7"/>
  <c r="M33" i="20" l="1"/>
  <c r="J66" i="7"/>
  <c r="C75" i="7"/>
  <c r="D75" i="7"/>
  <c r="E75" i="7"/>
  <c r="J65" i="7"/>
  <c r="C70" i="7"/>
  <c r="C73" i="7"/>
  <c r="E73" i="7"/>
  <c r="D73" i="7"/>
  <c r="J63" i="7"/>
  <c r="C74" i="7"/>
  <c r="E74" i="7"/>
  <c r="D74" i="7"/>
  <c r="J64" i="7"/>
  <c r="K67" i="7"/>
  <c r="M67" i="7" s="1"/>
  <c r="C76" i="7"/>
  <c r="E76" i="7"/>
  <c r="D76" i="7"/>
  <c r="J68" i="7"/>
  <c r="K66" i="7"/>
  <c r="I70" i="7"/>
  <c r="J70" i="7" l="1"/>
  <c r="F73" i="7"/>
  <c r="G73" i="7" s="1"/>
  <c r="K64" i="7"/>
  <c r="D27" i="49"/>
  <c r="K65" i="7"/>
  <c r="D28" i="49"/>
  <c r="K68" i="7"/>
  <c r="F4" i="26" s="1"/>
  <c r="F76" i="7"/>
  <c r="G76" i="7" s="1"/>
  <c r="F74" i="7"/>
  <c r="G74" i="7" s="1"/>
  <c r="I75" i="7"/>
  <c r="D26" i="49"/>
  <c r="K63" i="7"/>
  <c r="F75" i="7"/>
  <c r="G75" i="7" s="1"/>
  <c r="I76" i="7" l="1"/>
  <c r="I27" i="49"/>
  <c r="O27" i="49"/>
  <c r="M64" i="7"/>
  <c r="J4" i="4"/>
  <c r="I28" i="49"/>
  <c r="O28" i="49"/>
  <c r="M65" i="7"/>
  <c r="D4" i="3"/>
  <c r="D30" i="49"/>
  <c r="I26" i="49"/>
  <c r="O26" i="49"/>
  <c r="I74" i="7"/>
  <c r="M63" i="7"/>
  <c r="K70" i="7"/>
  <c r="M70" i="7" s="1"/>
  <c r="J4" i="8"/>
  <c r="I73" i="7"/>
  <c r="K80" i="7" l="1"/>
  <c r="J5" i="4"/>
  <c r="J6" i="4" s="1"/>
  <c r="D40" i="14"/>
  <c r="D40" i="12"/>
  <c r="N64" i="7"/>
  <c r="L26" i="49"/>
  <c r="O4" i="8"/>
  <c r="R27" i="49"/>
  <c r="D26" i="51"/>
  <c r="I30" i="49"/>
  <c r="O30" i="49"/>
  <c r="L27" i="49"/>
  <c r="O4" i="4"/>
  <c r="J5" i="8"/>
  <c r="J6" i="8" s="1"/>
  <c r="D26" i="14"/>
  <c r="D26" i="12"/>
  <c r="D5" i="3"/>
  <c r="D7" i="3" s="1"/>
  <c r="D12" i="14"/>
  <c r="D12" i="12"/>
  <c r="N63" i="7"/>
  <c r="N65" i="7"/>
  <c r="R26" i="49"/>
  <c r="D18" i="51"/>
  <c r="R28" i="49"/>
  <c r="D10" i="51"/>
  <c r="N69" i="7"/>
  <c r="M66" i="7"/>
  <c r="M68" i="7"/>
  <c r="N67" i="7"/>
  <c r="L28" i="49"/>
  <c r="J4" i="3"/>
  <c r="D34" i="12" l="1"/>
  <c r="D43" i="12"/>
  <c r="D62" i="12"/>
  <c r="D44" i="12"/>
  <c r="D48" i="12"/>
  <c r="D49" i="12"/>
  <c r="D8" i="3"/>
  <c r="D10" i="3" s="1"/>
  <c r="D11" i="3" s="1"/>
  <c r="J7" i="4"/>
  <c r="J8" i="4"/>
  <c r="O5" i="4"/>
  <c r="O6" i="4"/>
  <c r="R30" i="49"/>
  <c r="R31" i="49" s="1"/>
  <c r="O5" i="8"/>
  <c r="O6" i="8" s="1"/>
  <c r="AJ10" i="51"/>
  <c r="E10" i="51"/>
  <c r="D36" i="51"/>
  <c r="D12" i="51"/>
  <c r="O31" i="49"/>
  <c r="E26" i="12"/>
  <c r="D33" i="12"/>
  <c r="K4" i="26"/>
  <c r="L30" i="49"/>
  <c r="D34" i="14"/>
  <c r="D33" i="14"/>
  <c r="E26" i="14"/>
  <c r="AJ26" i="51"/>
  <c r="D29" i="51"/>
  <c r="E26" i="51"/>
  <c r="E40" i="12"/>
  <c r="J5" i="3"/>
  <c r="J7" i="3" s="1"/>
  <c r="J7" i="8"/>
  <c r="J9" i="8"/>
  <c r="J10" i="8"/>
  <c r="J8" i="8"/>
  <c r="D43" i="14"/>
  <c r="E40" i="14"/>
  <c r="L66" i="7"/>
  <c r="C5" i="26" s="1"/>
  <c r="F5" i="26" s="1"/>
  <c r="F6" i="26" s="1"/>
  <c r="M80" i="7" s="1"/>
  <c r="N66" i="7"/>
  <c r="D14" i="12"/>
  <c r="E12" i="12"/>
  <c r="N68" i="7"/>
  <c r="L68" i="7"/>
  <c r="AI15" i="20" s="1"/>
  <c r="AJ18" i="51"/>
  <c r="E18" i="51"/>
  <c r="D25" i="51"/>
  <c r="E12" i="14"/>
  <c r="D14" i="14"/>
  <c r="D62" i="14"/>
  <c r="I31" i="49"/>
  <c r="J30" i="49" s="1"/>
  <c r="D45" i="12" l="1"/>
  <c r="D46" i="12"/>
  <c r="D65" i="12"/>
  <c r="J9" i="4"/>
  <c r="D47" i="12"/>
  <c r="D71" i="12"/>
  <c r="D66" i="12"/>
  <c r="S28" i="49"/>
  <c r="S27" i="49"/>
  <c r="J11" i="8"/>
  <c r="O8" i="8"/>
  <c r="O7" i="8"/>
  <c r="O10" i="8"/>
  <c r="O9" i="8"/>
  <c r="D19" i="12"/>
  <c r="D49" i="14"/>
  <c r="D44" i="14"/>
  <c r="D122" i="14"/>
  <c r="D48" i="14"/>
  <c r="C38" i="19"/>
  <c r="N70" i="7"/>
  <c r="C36" i="19"/>
  <c r="C42" i="19" s="1"/>
  <c r="D92" i="14"/>
  <c r="D39" i="14"/>
  <c r="D38" i="14"/>
  <c r="K5" i="26"/>
  <c r="K6" i="26" s="1"/>
  <c r="P29" i="49"/>
  <c r="P27" i="49"/>
  <c r="P28" i="49"/>
  <c r="P26" i="49"/>
  <c r="D17" i="51"/>
  <c r="S30" i="49"/>
  <c r="E27" i="51"/>
  <c r="AK26" i="51"/>
  <c r="E28" i="51"/>
  <c r="F26" i="51"/>
  <c r="D39" i="12"/>
  <c r="C36" i="20"/>
  <c r="C42" i="20" s="1"/>
  <c r="D92" i="12"/>
  <c r="D38" i="12"/>
  <c r="D39" i="51"/>
  <c r="P30" i="49"/>
  <c r="D48" i="51"/>
  <c r="C33" i="53"/>
  <c r="C39" i="53" s="1"/>
  <c r="E22" i="51"/>
  <c r="E20" i="51"/>
  <c r="E23" i="51"/>
  <c r="E19" i="51"/>
  <c r="AK18" i="51"/>
  <c r="F18" i="51"/>
  <c r="AJ25" i="51"/>
  <c r="S29" i="49"/>
  <c r="J12" i="3"/>
  <c r="J11" i="3"/>
  <c r="J10" i="3"/>
  <c r="C35" i="53"/>
  <c r="D59" i="51"/>
  <c r="E27" i="12"/>
  <c r="E31" i="12"/>
  <c r="E30" i="12"/>
  <c r="E28" i="12"/>
  <c r="F26" i="12"/>
  <c r="AK10" i="51"/>
  <c r="E36" i="51"/>
  <c r="F10" i="51"/>
  <c r="E12" i="51"/>
  <c r="E13" i="14"/>
  <c r="E62" i="14"/>
  <c r="F12" i="14"/>
  <c r="J29" i="49"/>
  <c r="J31" i="49"/>
  <c r="J27" i="49"/>
  <c r="J26" i="49"/>
  <c r="J28" i="49"/>
  <c r="S26" i="49"/>
  <c r="AJ29" i="51"/>
  <c r="AJ12" i="51"/>
  <c r="AJ36" i="51"/>
  <c r="O7" i="4"/>
  <c r="O8" i="4"/>
  <c r="F8" i="26"/>
  <c r="F7" i="26"/>
  <c r="C38" i="20"/>
  <c r="D122" i="12"/>
  <c r="D13" i="3"/>
  <c r="D65" i="14"/>
  <c r="D19" i="14"/>
  <c r="E13" i="12"/>
  <c r="E62" i="12"/>
  <c r="F12" i="12"/>
  <c r="E41" i="14"/>
  <c r="E42" i="14"/>
  <c r="F40" i="14"/>
  <c r="E41" i="12"/>
  <c r="E42" i="12"/>
  <c r="F40" i="12"/>
  <c r="E31" i="14"/>
  <c r="E28" i="14"/>
  <c r="E30" i="14"/>
  <c r="E27" i="14"/>
  <c r="F26" i="14"/>
  <c r="L31" i="49"/>
  <c r="S31" i="49" s="1"/>
  <c r="D67" i="12" l="1"/>
  <c r="E14" i="14"/>
  <c r="D127" i="12"/>
  <c r="E14" i="12"/>
  <c r="D70" i="12"/>
  <c r="E34" i="12"/>
  <c r="E38" i="14"/>
  <c r="O9" i="4"/>
  <c r="E43" i="12"/>
  <c r="O11" i="8"/>
  <c r="F9" i="26"/>
  <c r="E38" i="12"/>
  <c r="J13" i="3"/>
  <c r="E15" i="14"/>
  <c r="E15" i="12"/>
  <c r="C37" i="19"/>
  <c r="D20" i="14"/>
  <c r="D24" i="14"/>
  <c r="D25" i="14"/>
  <c r="D102" i="14"/>
  <c r="AL10" i="51"/>
  <c r="F12" i="51"/>
  <c r="F36" i="51"/>
  <c r="G10" i="51"/>
  <c r="F19" i="51"/>
  <c r="F22" i="51"/>
  <c r="F20" i="51"/>
  <c r="F23" i="51"/>
  <c r="AL18" i="51"/>
  <c r="G18" i="51"/>
  <c r="C75" i="53"/>
  <c r="C69" i="53"/>
  <c r="C70" i="53" s="1"/>
  <c r="D49" i="51" s="1"/>
  <c r="C77" i="53"/>
  <c r="C78" i="53" s="1"/>
  <c r="D61" i="51" s="1"/>
  <c r="C71" i="53"/>
  <c r="C72" i="53" s="1"/>
  <c r="D57" i="51" s="1"/>
  <c r="C54" i="19"/>
  <c r="C55" i="19"/>
  <c r="C53" i="19"/>
  <c r="C50" i="19"/>
  <c r="C62" i="19"/>
  <c r="C59" i="19"/>
  <c r="C52" i="19"/>
  <c r="C49" i="19" s="1"/>
  <c r="C60" i="19"/>
  <c r="C58" i="19"/>
  <c r="C57" i="19"/>
  <c r="C51" i="19"/>
  <c r="C61" i="19"/>
  <c r="C96" i="20"/>
  <c r="C90" i="20"/>
  <c r="C84" i="20"/>
  <c r="C78" i="20"/>
  <c r="C72" i="20"/>
  <c r="AK28" i="51"/>
  <c r="AK27" i="51"/>
  <c r="P31" i="49"/>
  <c r="M30" i="49"/>
  <c r="D45" i="14"/>
  <c r="F13" i="12"/>
  <c r="F62" i="12"/>
  <c r="G12" i="12"/>
  <c r="AJ39" i="51"/>
  <c r="E38" i="51"/>
  <c r="E37" i="51"/>
  <c r="E32" i="12"/>
  <c r="D36" i="14"/>
  <c r="D20" i="12"/>
  <c r="D25" i="12"/>
  <c r="D24" i="12"/>
  <c r="D102" i="12"/>
  <c r="C37" i="20"/>
  <c r="E122" i="12"/>
  <c r="E48" i="12"/>
  <c r="E44" i="12"/>
  <c r="D38" i="20"/>
  <c r="E49" i="12"/>
  <c r="E64" i="12"/>
  <c r="E63" i="12"/>
  <c r="D134" i="12"/>
  <c r="C40" i="20"/>
  <c r="AJ17" i="51"/>
  <c r="F13" i="14"/>
  <c r="F62" i="14"/>
  <c r="G12" i="14"/>
  <c r="AK12" i="51"/>
  <c r="AK36" i="51"/>
  <c r="AK19" i="51"/>
  <c r="AK20" i="51"/>
  <c r="AK23" i="51"/>
  <c r="AK22" i="51"/>
  <c r="D35" i="12"/>
  <c r="D35" i="14"/>
  <c r="F28" i="14"/>
  <c r="F31" i="14"/>
  <c r="F27" i="14"/>
  <c r="F30" i="14"/>
  <c r="G26" i="14"/>
  <c r="E29" i="14"/>
  <c r="E34" i="14"/>
  <c r="E32" i="14"/>
  <c r="E43" i="14"/>
  <c r="E83" i="12"/>
  <c r="E63" i="14"/>
  <c r="E64" i="14"/>
  <c r="E29" i="12"/>
  <c r="E21" i="51"/>
  <c r="D65" i="51"/>
  <c r="C37" i="53"/>
  <c r="D52" i="51"/>
  <c r="C34" i="53"/>
  <c r="K7" i="26"/>
  <c r="K8" i="26"/>
  <c r="M31" i="49"/>
  <c r="M29" i="49"/>
  <c r="M27" i="49"/>
  <c r="M28" i="49"/>
  <c r="M26" i="49"/>
  <c r="F42" i="14"/>
  <c r="F41" i="14"/>
  <c r="G40" i="14"/>
  <c r="F31" i="12"/>
  <c r="F30" i="12"/>
  <c r="F27" i="12"/>
  <c r="F28" i="12"/>
  <c r="G26" i="12"/>
  <c r="F28" i="51"/>
  <c r="F27" i="51"/>
  <c r="AL26" i="51"/>
  <c r="G26" i="51"/>
  <c r="D46" i="14"/>
  <c r="C40" i="19"/>
  <c r="D134" i="14"/>
  <c r="D71" i="14"/>
  <c r="D66" i="14"/>
  <c r="D70" i="14"/>
  <c r="C35" i="54"/>
  <c r="AJ59" i="51"/>
  <c r="E83" i="14"/>
  <c r="C33" i="54"/>
  <c r="C39" i="54" s="1"/>
  <c r="AJ48" i="51"/>
  <c r="D36" i="12"/>
  <c r="E29" i="51"/>
  <c r="F41" i="12"/>
  <c r="F42" i="12"/>
  <c r="G40" i="12"/>
  <c r="E14" i="51"/>
  <c r="E13" i="51"/>
  <c r="E24" i="51"/>
  <c r="D95" i="12"/>
  <c r="E36" i="12" l="1"/>
  <c r="D89" i="12"/>
  <c r="F14" i="14"/>
  <c r="D90" i="12"/>
  <c r="D68" i="12"/>
  <c r="K9" i="26"/>
  <c r="E36" i="14"/>
  <c r="D85" i="12"/>
  <c r="F34" i="14"/>
  <c r="E82" i="14"/>
  <c r="D37" i="12"/>
  <c r="F38" i="14"/>
  <c r="F38" i="12"/>
  <c r="G27" i="51"/>
  <c r="AM26" i="51"/>
  <c r="G28" i="51"/>
  <c r="H26" i="51"/>
  <c r="F34" i="12"/>
  <c r="F32" i="14"/>
  <c r="F83" i="14"/>
  <c r="E46" i="12"/>
  <c r="G13" i="12"/>
  <c r="G62" i="12"/>
  <c r="H12" i="12"/>
  <c r="C85" i="20"/>
  <c r="C77" i="19" s="1"/>
  <c r="C87" i="20"/>
  <c r="C79" i="19" s="1"/>
  <c r="C89" i="20"/>
  <c r="C81" i="19" s="1"/>
  <c r="C86" i="20"/>
  <c r="C78" i="19" s="1"/>
  <c r="C88" i="20"/>
  <c r="C80" i="19" s="1"/>
  <c r="C76" i="19"/>
  <c r="D104" i="14" s="1"/>
  <c r="D104" i="12"/>
  <c r="AM10" i="51"/>
  <c r="G36" i="51"/>
  <c r="H10" i="51"/>
  <c r="G12" i="51"/>
  <c r="D67" i="14"/>
  <c r="AL28" i="51"/>
  <c r="AL27" i="51"/>
  <c r="E33" i="12"/>
  <c r="F29" i="14"/>
  <c r="AK38" i="51"/>
  <c r="AK37" i="51"/>
  <c r="C34" i="54"/>
  <c r="AJ52" i="51"/>
  <c r="AJ65" i="51"/>
  <c r="C37" i="54"/>
  <c r="F63" i="12"/>
  <c r="F64" i="12"/>
  <c r="G22" i="51"/>
  <c r="G20" i="51"/>
  <c r="AM18" i="51"/>
  <c r="G19" i="51"/>
  <c r="G23" i="51"/>
  <c r="H18" i="51"/>
  <c r="F38" i="51"/>
  <c r="F37" i="51"/>
  <c r="D90" i="14"/>
  <c r="D21" i="14"/>
  <c r="E15" i="51"/>
  <c r="F43" i="14"/>
  <c r="E65" i="14"/>
  <c r="E33" i="14"/>
  <c r="AK14" i="51"/>
  <c r="AK13" i="51"/>
  <c r="I43" i="20"/>
  <c r="J43" i="20"/>
  <c r="N43" i="20"/>
  <c r="L43" i="20"/>
  <c r="M43" i="20"/>
  <c r="D43" i="20"/>
  <c r="O43" i="20"/>
  <c r="G43" i="20"/>
  <c r="E43" i="20"/>
  <c r="C43" i="20"/>
  <c r="K43" i="20"/>
  <c r="H43" i="20"/>
  <c r="F43" i="20"/>
  <c r="F83" i="12"/>
  <c r="AJ57" i="51"/>
  <c r="D58" i="51"/>
  <c r="F14" i="51"/>
  <c r="F13" i="51"/>
  <c r="E16" i="12"/>
  <c r="G42" i="14"/>
  <c r="G41" i="14"/>
  <c r="H40" i="14"/>
  <c r="G43" i="53"/>
  <c r="G156" i="53" s="1"/>
  <c r="H43" i="53"/>
  <c r="H156" i="53" s="1"/>
  <c r="C43" i="53"/>
  <c r="C156" i="53" s="1"/>
  <c r="E43" i="53"/>
  <c r="E156" i="53" s="1"/>
  <c r="D43" i="53"/>
  <c r="D156" i="53" s="1"/>
  <c r="F43" i="53"/>
  <c r="F156" i="53" s="1"/>
  <c r="E45" i="12"/>
  <c r="E82" i="12"/>
  <c r="C95" i="20"/>
  <c r="C87" i="19" s="1"/>
  <c r="C92" i="20"/>
  <c r="C84" i="19" s="1"/>
  <c r="C93" i="20"/>
  <c r="C94" i="20"/>
  <c r="C86" i="19" s="1"/>
  <c r="C91" i="20"/>
  <c r="C82" i="19"/>
  <c r="D124" i="14" s="1"/>
  <c r="AJ61" i="51"/>
  <c r="AL19" i="51"/>
  <c r="AL20" i="51"/>
  <c r="AL23" i="51"/>
  <c r="AL22" i="51"/>
  <c r="AL12" i="51"/>
  <c r="AL36" i="51"/>
  <c r="D89" i="14"/>
  <c r="D22" i="14"/>
  <c r="C77" i="54"/>
  <c r="C78" i="54" s="1"/>
  <c r="C69" i="54"/>
  <c r="C70" i="54" s="1"/>
  <c r="C75" i="54"/>
  <c r="C76" i="54" s="1"/>
  <c r="C71" i="54"/>
  <c r="C72" i="54" s="1"/>
  <c r="F29" i="12"/>
  <c r="E44" i="14"/>
  <c r="E122" i="14"/>
  <c r="D38" i="19"/>
  <c r="E49" i="14"/>
  <c r="E48" i="14"/>
  <c r="G28" i="14"/>
  <c r="G27" i="14"/>
  <c r="G30" i="14"/>
  <c r="G31" i="14"/>
  <c r="H26" i="14"/>
  <c r="AK24" i="51"/>
  <c r="G13" i="14"/>
  <c r="G62" i="14"/>
  <c r="H12" i="14"/>
  <c r="D22" i="12"/>
  <c r="E39" i="51"/>
  <c r="AK29" i="51"/>
  <c r="C98" i="20"/>
  <c r="C90" i="19" s="1"/>
  <c r="C100" i="20"/>
  <c r="C92" i="19" s="1"/>
  <c r="C101" i="20"/>
  <c r="C93" i="19" s="1"/>
  <c r="C97" i="20"/>
  <c r="C89" i="19" s="1"/>
  <c r="C99" i="20"/>
  <c r="C91" i="19" s="1"/>
  <c r="C88" i="19"/>
  <c r="D136" i="14" s="1"/>
  <c r="D136" i="12"/>
  <c r="AJ49" i="51"/>
  <c r="E44" i="51"/>
  <c r="G46" i="19"/>
  <c r="H46" i="19"/>
  <c r="D46" i="19"/>
  <c r="C46" i="19"/>
  <c r="E46" i="19"/>
  <c r="F46" i="19"/>
  <c r="F32" i="12"/>
  <c r="F36" i="14"/>
  <c r="D21" i="12"/>
  <c r="D47" i="14"/>
  <c r="C76" i="53"/>
  <c r="D67" i="51"/>
  <c r="G41" i="12"/>
  <c r="G42" i="12"/>
  <c r="H40" i="12"/>
  <c r="D68" i="14"/>
  <c r="E25" i="51"/>
  <c r="D37" i="14"/>
  <c r="F64" i="14"/>
  <c r="F63" i="14"/>
  <c r="E65" i="12"/>
  <c r="C74" i="20"/>
  <c r="C66" i="19" s="1"/>
  <c r="C77" i="20"/>
  <c r="C69" i="19" s="1"/>
  <c r="C75" i="20"/>
  <c r="C76" i="20"/>
  <c r="C73" i="20"/>
  <c r="C64" i="19"/>
  <c r="D93" i="14" s="1"/>
  <c r="F24" i="51"/>
  <c r="D85" i="14"/>
  <c r="E16" i="14"/>
  <c r="F43" i="12"/>
  <c r="E59" i="51"/>
  <c r="D35" i="53"/>
  <c r="F29" i="51"/>
  <c r="G28" i="12"/>
  <c r="G31" i="12"/>
  <c r="G30" i="12"/>
  <c r="G27" i="12"/>
  <c r="H26" i="12"/>
  <c r="O40" i="53"/>
  <c r="N40" i="53"/>
  <c r="D40" i="53"/>
  <c r="M40" i="53"/>
  <c r="F40" i="53"/>
  <c r="J40" i="53"/>
  <c r="L40" i="53"/>
  <c r="I40" i="53"/>
  <c r="G40" i="53"/>
  <c r="E40" i="53"/>
  <c r="C40" i="53"/>
  <c r="K40" i="53"/>
  <c r="H40" i="53"/>
  <c r="AK21" i="51"/>
  <c r="F15" i="14"/>
  <c r="H46" i="20"/>
  <c r="D46" i="20"/>
  <c r="F46" i="20"/>
  <c r="E46" i="20"/>
  <c r="C46" i="20"/>
  <c r="G46" i="20"/>
  <c r="F14" i="12"/>
  <c r="C83" i="20"/>
  <c r="C75" i="19" s="1"/>
  <c r="C80" i="20"/>
  <c r="C81" i="20"/>
  <c r="C79" i="20"/>
  <c r="C70" i="19"/>
  <c r="D114" i="14" s="1"/>
  <c r="C82" i="20"/>
  <c r="D114" i="12"/>
  <c r="F21" i="51"/>
  <c r="E43" i="19"/>
  <c r="O43" i="19"/>
  <c r="I43" i="19"/>
  <c r="J43" i="19"/>
  <c r="L43" i="19"/>
  <c r="K43" i="19"/>
  <c r="M43" i="19"/>
  <c r="H43" i="19"/>
  <c r="G43" i="19"/>
  <c r="N43" i="19"/>
  <c r="D43" i="19"/>
  <c r="C43" i="19"/>
  <c r="F43" i="19"/>
  <c r="G38" i="12" l="1"/>
  <c r="F36" i="12"/>
  <c r="D69" i="12"/>
  <c r="D87" i="12"/>
  <c r="D86" i="12"/>
  <c r="G38" i="14"/>
  <c r="AL29" i="51"/>
  <c r="G43" i="12"/>
  <c r="G34" i="12"/>
  <c r="F25" i="51"/>
  <c r="F15" i="12"/>
  <c r="D167" i="19"/>
  <c r="D166" i="19" s="1"/>
  <c r="D211" i="20"/>
  <c r="C110" i="53"/>
  <c r="C111" i="53" s="1"/>
  <c r="C106" i="53"/>
  <c r="C107" i="53" s="1"/>
  <c r="D62" i="51" s="1"/>
  <c r="C108" i="53"/>
  <c r="C109" i="53" s="1"/>
  <c r="C104" i="53"/>
  <c r="C105" i="53" s="1"/>
  <c r="D53" i="51" s="1"/>
  <c r="C44" i="53"/>
  <c r="D110" i="53"/>
  <c r="D106" i="53"/>
  <c r="D104" i="53"/>
  <c r="D108" i="53"/>
  <c r="G32" i="12"/>
  <c r="E48" i="51"/>
  <c r="D33" i="53"/>
  <c r="D39" i="53" s="1"/>
  <c r="F82" i="12"/>
  <c r="G43" i="14"/>
  <c r="E96" i="19"/>
  <c r="E95" i="19" s="1"/>
  <c r="F94" i="12"/>
  <c r="E133" i="20"/>
  <c r="E97" i="19"/>
  <c r="E99" i="19"/>
  <c r="F126" i="12"/>
  <c r="E98" i="19"/>
  <c r="E127" i="20"/>
  <c r="E101" i="19"/>
  <c r="E145" i="20"/>
  <c r="E139" i="20"/>
  <c r="E100" i="19"/>
  <c r="I96" i="19"/>
  <c r="I95" i="19" s="1"/>
  <c r="I145" i="20"/>
  <c r="I127" i="20"/>
  <c r="I101" i="19"/>
  <c r="I100" i="19"/>
  <c r="J126" i="12"/>
  <c r="I97" i="19"/>
  <c r="J94" i="12"/>
  <c r="I139" i="20"/>
  <c r="I98" i="19"/>
  <c r="I99" i="19"/>
  <c r="I133" i="20"/>
  <c r="D69" i="14"/>
  <c r="G83" i="12"/>
  <c r="H167" i="19"/>
  <c r="H166" i="19" s="1"/>
  <c r="H211" i="20"/>
  <c r="E104" i="53"/>
  <c r="E105" i="53" s="1"/>
  <c r="F53" i="51" s="1"/>
  <c r="E110" i="53"/>
  <c r="E111" i="53" s="1"/>
  <c r="E106" i="53"/>
  <c r="E108" i="53"/>
  <c r="N110" i="53"/>
  <c r="N111" i="53" s="1"/>
  <c r="N104" i="53"/>
  <c r="N108" i="53"/>
  <c r="N106" i="53"/>
  <c r="N107" i="53" s="1"/>
  <c r="O62" i="51" s="1"/>
  <c r="AJ67" i="51"/>
  <c r="D23" i="12"/>
  <c r="G83" i="14"/>
  <c r="G32" i="14"/>
  <c r="AL24" i="51"/>
  <c r="C83" i="19"/>
  <c r="F157" i="53"/>
  <c r="G66" i="51" s="1"/>
  <c r="AJ58" i="51"/>
  <c r="G96" i="19"/>
  <c r="G95" i="19" s="1"/>
  <c r="G139" i="20"/>
  <c r="G127" i="20"/>
  <c r="G145" i="20"/>
  <c r="G101" i="19"/>
  <c r="G98" i="19"/>
  <c r="G100" i="19"/>
  <c r="H126" i="12"/>
  <c r="H94" i="12"/>
  <c r="G99" i="19"/>
  <c r="G133" i="20"/>
  <c r="G97" i="19"/>
  <c r="D36" i="19"/>
  <c r="D42" i="19" s="1"/>
  <c r="E92" i="14"/>
  <c r="E39" i="14"/>
  <c r="E17" i="12"/>
  <c r="G24" i="51"/>
  <c r="G14" i="51"/>
  <c r="G13" i="51"/>
  <c r="D115" i="12"/>
  <c r="C47" i="19"/>
  <c r="C74" i="19"/>
  <c r="D121" i="14" s="1"/>
  <c r="D121" i="12"/>
  <c r="G110" i="53"/>
  <c r="G111" i="53" s="1"/>
  <c r="G104" i="53"/>
  <c r="G106" i="53"/>
  <c r="G108" i="53"/>
  <c r="O110" i="53"/>
  <c r="O111" i="53" s="1"/>
  <c r="O106" i="53"/>
  <c r="O108" i="53"/>
  <c r="O104" i="53"/>
  <c r="F122" i="12"/>
  <c r="F44" i="12"/>
  <c r="E38" i="20"/>
  <c r="F48" i="12"/>
  <c r="F49" i="12"/>
  <c r="H41" i="12"/>
  <c r="H42" i="12"/>
  <c r="I40" i="12"/>
  <c r="AK44" i="51"/>
  <c r="G29" i="14"/>
  <c r="D87" i="14"/>
  <c r="E47" i="12"/>
  <c r="D157" i="53"/>
  <c r="E66" i="51" s="1"/>
  <c r="O96" i="19"/>
  <c r="O95" i="19" s="1"/>
  <c r="O127" i="20"/>
  <c r="O139" i="20"/>
  <c r="P94" i="12"/>
  <c r="O100" i="19"/>
  <c r="O101" i="19"/>
  <c r="O98" i="19"/>
  <c r="P126" i="12"/>
  <c r="O97" i="19"/>
  <c r="O133" i="20"/>
  <c r="O99" i="19"/>
  <c r="O145" i="20"/>
  <c r="E43" i="51"/>
  <c r="E17" i="51"/>
  <c r="I40" i="54"/>
  <c r="O40" i="54"/>
  <c r="L40" i="54"/>
  <c r="E40" i="54"/>
  <c r="F40" i="54"/>
  <c r="H40" i="54"/>
  <c r="C40" i="54"/>
  <c r="D40" i="54"/>
  <c r="N40" i="54"/>
  <c r="J40" i="54"/>
  <c r="M40" i="54"/>
  <c r="K40" i="54"/>
  <c r="G40" i="54"/>
  <c r="AN10" i="51"/>
  <c r="H12" i="51"/>
  <c r="H36" i="51"/>
  <c r="I10" i="51"/>
  <c r="D115" i="14"/>
  <c r="I110" i="53"/>
  <c r="I111" i="53" s="1"/>
  <c r="I106" i="53"/>
  <c r="I107" i="53" s="1"/>
  <c r="J62" i="51" s="1"/>
  <c r="I104" i="53"/>
  <c r="I105" i="53" s="1"/>
  <c r="J53" i="51" s="1"/>
  <c r="I108" i="53"/>
  <c r="E134" i="12"/>
  <c r="E71" i="12"/>
  <c r="E66" i="12"/>
  <c r="E70" i="12"/>
  <c r="D40" i="20"/>
  <c r="I46" i="20" s="1"/>
  <c r="F82" i="14"/>
  <c r="C85" i="19"/>
  <c r="E157" i="53"/>
  <c r="F66" i="51" s="1"/>
  <c r="F15" i="51"/>
  <c r="D96" i="19"/>
  <c r="D95" i="19" s="1"/>
  <c r="D133" i="20"/>
  <c r="D100" i="19"/>
  <c r="D99" i="19"/>
  <c r="D98" i="19"/>
  <c r="D97" i="19"/>
  <c r="D101" i="19"/>
  <c r="E126" i="12"/>
  <c r="E94" i="12"/>
  <c r="D139" i="20"/>
  <c r="D127" i="20"/>
  <c r="D145" i="20"/>
  <c r="D86" i="14"/>
  <c r="D23" i="14"/>
  <c r="H23" i="51"/>
  <c r="H19" i="51"/>
  <c r="H22" i="51"/>
  <c r="H20" i="51"/>
  <c r="AN18" i="51"/>
  <c r="I18" i="51"/>
  <c r="F65" i="12"/>
  <c r="F33" i="14"/>
  <c r="G38" i="51"/>
  <c r="G37" i="51"/>
  <c r="L110" i="53"/>
  <c r="L111" i="53" s="1"/>
  <c r="L106" i="53"/>
  <c r="L107" i="53" s="1"/>
  <c r="M62" i="51" s="1"/>
  <c r="L104" i="53"/>
  <c r="L108" i="53"/>
  <c r="G36" i="12"/>
  <c r="E35" i="53"/>
  <c r="F59" i="51"/>
  <c r="C65" i="19"/>
  <c r="G36" i="14"/>
  <c r="C157" i="53"/>
  <c r="D66" i="51" s="1"/>
  <c r="F96" i="19"/>
  <c r="F95" i="19" s="1"/>
  <c r="G94" i="12"/>
  <c r="F133" i="20"/>
  <c r="G126" i="12"/>
  <c r="F100" i="19"/>
  <c r="F97" i="19"/>
  <c r="F99" i="19"/>
  <c r="F98" i="19"/>
  <c r="F101" i="19"/>
  <c r="F127" i="20"/>
  <c r="F139" i="20"/>
  <c r="F145" i="20"/>
  <c r="M96" i="19"/>
  <c r="M95" i="19" s="1"/>
  <c r="M133" i="20"/>
  <c r="M101" i="19"/>
  <c r="M98" i="19"/>
  <c r="N94" i="12"/>
  <c r="N126" i="12"/>
  <c r="M100" i="19"/>
  <c r="M99" i="19"/>
  <c r="M97" i="19"/>
  <c r="M139" i="20"/>
  <c r="M127" i="20"/>
  <c r="M145" i="20"/>
  <c r="AM36" i="51"/>
  <c r="AM12" i="51"/>
  <c r="H27" i="51"/>
  <c r="AN26" i="51"/>
  <c r="H28" i="51"/>
  <c r="I26" i="51"/>
  <c r="D120" i="12"/>
  <c r="C73" i="19"/>
  <c r="D120" i="14" s="1"/>
  <c r="C167" i="19"/>
  <c r="C166" i="19" s="1"/>
  <c r="C211" i="20"/>
  <c r="F16" i="14"/>
  <c r="J104" i="53"/>
  <c r="J110" i="53"/>
  <c r="J111" i="53" s="1"/>
  <c r="J106" i="53"/>
  <c r="J108" i="53"/>
  <c r="H30" i="12"/>
  <c r="H27" i="12"/>
  <c r="H31" i="12"/>
  <c r="H28" i="12"/>
  <c r="I26" i="12"/>
  <c r="C68" i="19"/>
  <c r="D35" i="54"/>
  <c r="AK59" i="51"/>
  <c r="H13" i="14"/>
  <c r="H62" i="14"/>
  <c r="I12" i="14"/>
  <c r="G34" i="14"/>
  <c r="E46" i="14"/>
  <c r="AL38" i="51"/>
  <c r="AL37" i="51"/>
  <c r="AL21" i="51"/>
  <c r="H157" i="53"/>
  <c r="I66" i="51" s="1"/>
  <c r="H96" i="19"/>
  <c r="H95" i="19" s="1"/>
  <c r="H127" i="20"/>
  <c r="H139" i="20"/>
  <c r="I126" i="12"/>
  <c r="H100" i="19"/>
  <c r="H133" i="20"/>
  <c r="H98" i="19"/>
  <c r="H97" i="19"/>
  <c r="H99" i="19"/>
  <c r="I94" i="12"/>
  <c r="H101" i="19"/>
  <c r="H145" i="20"/>
  <c r="L96" i="19"/>
  <c r="L95" i="19" s="1"/>
  <c r="L133" i="20"/>
  <c r="M94" i="12"/>
  <c r="L98" i="19"/>
  <c r="L100" i="19"/>
  <c r="L97" i="19"/>
  <c r="L101" i="19"/>
  <c r="L99" i="19"/>
  <c r="M126" i="12"/>
  <c r="L145" i="20"/>
  <c r="L139" i="20"/>
  <c r="L127" i="20"/>
  <c r="AK15" i="51"/>
  <c r="D40" i="19"/>
  <c r="I46" i="19" s="1"/>
  <c r="E66" i="14"/>
  <c r="E70" i="14"/>
  <c r="E71" i="14"/>
  <c r="E134" i="14"/>
  <c r="AK39" i="51"/>
  <c r="H13" i="12"/>
  <c r="H62" i="12"/>
  <c r="I12" i="12"/>
  <c r="G29" i="51"/>
  <c r="G167" i="19"/>
  <c r="G166" i="19" s="1"/>
  <c r="G211" i="20"/>
  <c r="D119" i="12"/>
  <c r="C72" i="19"/>
  <c r="D119" i="14" s="1"/>
  <c r="E167" i="19"/>
  <c r="E166" i="19" s="1"/>
  <c r="E211" i="20"/>
  <c r="H110" i="53"/>
  <c r="H111" i="53" s="1"/>
  <c r="H106" i="53"/>
  <c r="H108" i="53"/>
  <c r="H104" i="53"/>
  <c r="F110" i="53"/>
  <c r="F111" i="53" s="1"/>
  <c r="F106" i="53"/>
  <c r="F108" i="53"/>
  <c r="F104" i="53"/>
  <c r="C67" i="19"/>
  <c r="E65" i="51"/>
  <c r="D37" i="53"/>
  <c r="I43" i="53" s="1"/>
  <c r="I156" i="53" s="1"/>
  <c r="G14" i="14"/>
  <c r="E45" i="14"/>
  <c r="AL13" i="51"/>
  <c r="AL14" i="51"/>
  <c r="G157" i="53"/>
  <c r="H66" i="51" s="1"/>
  <c r="K96" i="19"/>
  <c r="K95" i="19" s="1"/>
  <c r="L94" i="12"/>
  <c r="K133" i="20"/>
  <c r="K127" i="20"/>
  <c r="L126" i="12"/>
  <c r="K101" i="19"/>
  <c r="K97" i="19"/>
  <c r="K145" i="20"/>
  <c r="K99" i="19"/>
  <c r="K100" i="19"/>
  <c r="K98" i="19"/>
  <c r="K139" i="20"/>
  <c r="N96" i="19"/>
  <c r="N95" i="19" s="1"/>
  <c r="N145" i="20"/>
  <c r="O94" i="12"/>
  <c r="N101" i="19"/>
  <c r="N99" i="19"/>
  <c r="N139" i="20"/>
  <c r="N98" i="19"/>
  <c r="N97" i="19"/>
  <c r="O126" i="12"/>
  <c r="N100" i="19"/>
  <c r="N127" i="20"/>
  <c r="N133" i="20"/>
  <c r="G21" i="51"/>
  <c r="G14" i="12"/>
  <c r="C71" i="19"/>
  <c r="D116" i="14" s="1"/>
  <c r="D116" i="12"/>
  <c r="F167" i="19"/>
  <c r="F166" i="19" s="1"/>
  <c r="F211" i="20"/>
  <c r="AK25" i="51"/>
  <c r="K110" i="53"/>
  <c r="K111" i="53" s="1"/>
  <c r="K104" i="53"/>
  <c r="K106" i="53"/>
  <c r="K108" i="53"/>
  <c r="M110" i="53"/>
  <c r="M111" i="53" s="1"/>
  <c r="M106" i="53"/>
  <c r="M104" i="53"/>
  <c r="M108" i="53"/>
  <c r="G29" i="12"/>
  <c r="F44" i="51"/>
  <c r="F65" i="14"/>
  <c r="E17" i="14"/>
  <c r="G63" i="14"/>
  <c r="G64" i="14"/>
  <c r="H27" i="14"/>
  <c r="H30" i="14"/>
  <c r="H31" i="14"/>
  <c r="H28" i="14"/>
  <c r="I26" i="14"/>
  <c r="F33" i="12"/>
  <c r="H41" i="14"/>
  <c r="H42" i="14"/>
  <c r="I40" i="14"/>
  <c r="C96" i="19"/>
  <c r="C95" i="19" s="1"/>
  <c r="C97" i="19"/>
  <c r="C99" i="19"/>
  <c r="C98" i="19"/>
  <c r="C100" i="19"/>
  <c r="C101" i="19"/>
  <c r="C145" i="20"/>
  <c r="C139" i="20"/>
  <c r="C127" i="20"/>
  <c r="C133" i="20"/>
  <c r="C47" i="20"/>
  <c r="C221" i="20"/>
  <c r="J96" i="19"/>
  <c r="J95" i="19" s="1"/>
  <c r="K94" i="12"/>
  <c r="J99" i="19"/>
  <c r="J127" i="20"/>
  <c r="K126" i="12"/>
  <c r="J139" i="20"/>
  <c r="J101" i="19"/>
  <c r="J98" i="19"/>
  <c r="J145" i="20"/>
  <c r="J97" i="19"/>
  <c r="J133" i="20"/>
  <c r="J100" i="19"/>
  <c r="F122" i="14"/>
  <c r="F44" i="14"/>
  <c r="F49" i="14"/>
  <c r="E38" i="19"/>
  <c r="F48" i="14"/>
  <c r="F39" i="51"/>
  <c r="AM19" i="51"/>
  <c r="AM20" i="51"/>
  <c r="AM23" i="51"/>
  <c r="AM22" i="51"/>
  <c r="G43" i="54"/>
  <c r="G156" i="54" s="1"/>
  <c r="F43" i="54"/>
  <c r="F156" i="54" s="1"/>
  <c r="D43" i="54"/>
  <c r="D156" i="54" s="1"/>
  <c r="C43" i="54"/>
  <c r="C156" i="54" s="1"/>
  <c r="H43" i="54"/>
  <c r="H156" i="54" s="1"/>
  <c r="E43" i="54"/>
  <c r="E156" i="54" s="1"/>
  <c r="E39" i="12"/>
  <c r="E92" i="12"/>
  <c r="D36" i="20"/>
  <c r="D42" i="20" s="1"/>
  <c r="G63" i="12"/>
  <c r="G64" i="12"/>
  <c r="AM28" i="51"/>
  <c r="AM27" i="51"/>
  <c r="D111" i="53" l="1"/>
  <c r="AL59" i="51"/>
  <c r="E35" i="54"/>
  <c r="C204" i="53"/>
  <c r="C218" i="20"/>
  <c r="J107" i="53"/>
  <c r="K62" i="51" s="1"/>
  <c r="G44" i="12"/>
  <c r="H107" i="53"/>
  <c r="I62" i="51" s="1"/>
  <c r="H14" i="12"/>
  <c r="H34" i="12"/>
  <c r="D88" i="12"/>
  <c r="G122" i="12"/>
  <c r="H14" i="14"/>
  <c r="G49" i="12"/>
  <c r="C159" i="53"/>
  <c r="K107" i="53"/>
  <c r="L62" i="51" s="1"/>
  <c r="G39" i="51"/>
  <c r="O107" i="53"/>
  <c r="P62" i="51" s="1"/>
  <c r="F38" i="20"/>
  <c r="G107" i="53"/>
  <c r="H62" i="51" s="1"/>
  <c r="E107" i="53"/>
  <c r="F62" i="51" s="1"/>
  <c r="M107" i="53"/>
  <c r="N62" i="51" s="1"/>
  <c r="F107" i="53"/>
  <c r="G62" i="51" s="1"/>
  <c r="H38" i="12"/>
  <c r="G48" i="12"/>
  <c r="H105" i="53"/>
  <c r="I53" i="51" s="1"/>
  <c r="O105" i="53"/>
  <c r="P53" i="51" s="1"/>
  <c r="AM29" i="51"/>
  <c r="K105" i="53"/>
  <c r="L53" i="51" s="1"/>
  <c r="J105" i="53"/>
  <c r="K53" i="51" s="1"/>
  <c r="N105" i="53"/>
  <c r="O53" i="51" s="1"/>
  <c r="F105" i="53"/>
  <c r="G53" i="51" s="1"/>
  <c r="M105" i="53"/>
  <c r="N53" i="51" s="1"/>
  <c r="H43" i="14"/>
  <c r="L105" i="53"/>
  <c r="M53" i="51" s="1"/>
  <c r="G105" i="53"/>
  <c r="H53" i="51" s="1"/>
  <c r="H38" i="14"/>
  <c r="H34" i="14"/>
  <c r="M109" i="53"/>
  <c r="N68" i="51" s="1"/>
  <c r="O109" i="53"/>
  <c r="N109" i="53"/>
  <c r="O68" i="51" s="1"/>
  <c r="D109" i="53"/>
  <c r="F109" i="53"/>
  <c r="G109" i="53"/>
  <c r="H68" i="51" s="1"/>
  <c r="E109" i="53"/>
  <c r="F68" i="51" s="1"/>
  <c r="K109" i="53"/>
  <c r="L50" i="51" s="1"/>
  <c r="L109" i="53"/>
  <c r="M50" i="51" s="1"/>
  <c r="H109" i="53"/>
  <c r="J109" i="53"/>
  <c r="K68" i="51" s="1"/>
  <c r="I109" i="53"/>
  <c r="C162" i="53"/>
  <c r="C206" i="53" s="1"/>
  <c r="C207" i="53" s="1"/>
  <c r="C177" i="19"/>
  <c r="H44" i="14"/>
  <c r="G38" i="19"/>
  <c r="H49" i="14"/>
  <c r="H122" i="14"/>
  <c r="H48" i="14"/>
  <c r="H36" i="12"/>
  <c r="H15" i="14"/>
  <c r="G157" i="54"/>
  <c r="J132" i="20"/>
  <c r="J108" i="19" s="1"/>
  <c r="J129" i="20"/>
  <c r="J105" i="19" s="1"/>
  <c r="J128" i="20"/>
  <c r="J104" i="19" s="1"/>
  <c r="J131" i="20"/>
  <c r="J107" i="19" s="1"/>
  <c r="J130" i="20"/>
  <c r="J106" i="19" s="1"/>
  <c r="K103" i="12"/>
  <c r="J103" i="19"/>
  <c r="AR62" i="51"/>
  <c r="G25" i="51"/>
  <c r="N141" i="20"/>
  <c r="N117" i="19" s="1"/>
  <c r="N142" i="20"/>
  <c r="N118" i="19" s="1"/>
  <c r="N144" i="20"/>
  <c r="N120" i="19" s="1"/>
  <c r="N140" i="20"/>
  <c r="N116" i="19" s="1"/>
  <c r="N143" i="20"/>
  <c r="N119" i="19" s="1"/>
  <c r="N115" i="19"/>
  <c r="E47" i="14"/>
  <c r="AO62" i="51"/>
  <c r="F35" i="53"/>
  <c r="G59" i="51"/>
  <c r="AK65" i="51"/>
  <c r="D37" i="54"/>
  <c r="I43" i="54" s="1"/>
  <c r="I156" i="54" s="1"/>
  <c r="H143" i="20"/>
  <c r="H119" i="19" s="1"/>
  <c r="H144" i="20"/>
  <c r="H120" i="19" s="1"/>
  <c r="H141" i="20"/>
  <c r="H117" i="19" s="1"/>
  <c r="H142" i="20"/>
  <c r="H118" i="19" s="1"/>
  <c r="H140" i="20"/>
  <c r="H116" i="19" s="1"/>
  <c r="H115" i="19"/>
  <c r="H64" i="14"/>
  <c r="H63" i="14"/>
  <c r="D118" i="12"/>
  <c r="M132" i="20"/>
  <c r="M108" i="19" s="1"/>
  <c r="M130" i="20"/>
  <c r="M106" i="19" s="1"/>
  <c r="M131" i="20"/>
  <c r="M107" i="19" s="1"/>
  <c r="M128" i="20"/>
  <c r="M104" i="19" s="1"/>
  <c r="M129" i="20"/>
  <c r="M105" i="19" s="1"/>
  <c r="M103" i="19"/>
  <c r="N103" i="12"/>
  <c r="AN23" i="51"/>
  <c r="AN20" i="51"/>
  <c r="AN22" i="51"/>
  <c r="AN19" i="51"/>
  <c r="E67" i="12"/>
  <c r="H110" i="54"/>
  <c r="H106" i="54"/>
  <c r="H104" i="54"/>
  <c r="H108" i="54"/>
  <c r="H43" i="12"/>
  <c r="F46" i="12"/>
  <c r="AV62" i="51"/>
  <c r="C176" i="19"/>
  <c r="E81" i="12"/>
  <c r="E19" i="12"/>
  <c r="G134" i="20"/>
  <c r="G110" i="19" s="1"/>
  <c r="G137" i="20"/>
  <c r="G113" i="19" s="1"/>
  <c r="G136" i="20"/>
  <c r="G112" i="19" s="1"/>
  <c r="G138" i="20"/>
  <c r="G114" i="19" s="1"/>
  <c r="G135" i="20"/>
  <c r="G111" i="19" s="1"/>
  <c r="G109" i="19"/>
  <c r="G128" i="20"/>
  <c r="G104" i="19" s="1"/>
  <c r="H103" i="12"/>
  <c r="G103" i="19"/>
  <c r="G132" i="20"/>
  <c r="G108" i="19" s="1"/>
  <c r="G129" i="20"/>
  <c r="G105" i="19" s="1"/>
  <c r="G131" i="20"/>
  <c r="G107" i="19" s="1"/>
  <c r="G130" i="20"/>
  <c r="G106" i="19" s="1"/>
  <c r="I136" i="20"/>
  <c r="I112" i="19" s="1"/>
  <c r="I134" i="20"/>
  <c r="I110" i="19" s="1"/>
  <c r="I135" i="20"/>
  <c r="I111" i="19" s="1"/>
  <c r="I137" i="20"/>
  <c r="I113" i="19" s="1"/>
  <c r="I138" i="20"/>
  <c r="I114" i="19" s="1"/>
  <c r="I109" i="19"/>
  <c r="E103" i="19"/>
  <c r="E131" i="20"/>
  <c r="E107" i="19" s="1"/>
  <c r="E129" i="20"/>
  <c r="E105" i="19" s="1"/>
  <c r="E132" i="20"/>
  <c r="E108" i="19" s="1"/>
  <c r="E130" i="20"/>
  <c r="E106" i="19" s="1"/>
  <c r="E128" i="20"/>
  <c r="E104" i="19" s="1"/>
  <c r="F103" i="12"/>
  <c r="G46" i="12"/>
  <c r="D52" i="19"/>
  <c r="D49" i="19" s="1"/>
  <c r="D177" i="19" s="1"/>
  <c r="E124" i="12"/>
  <c r="D53" i="19"/>
  <c r="D59" i="19"/>
  <c r="D47" i="20"/>
  <c r="D72" i="20"/>
  <c r="D55" i="19"/>
  <c r="D50" i="19"/>
  <c r="D51" i="19"/>
  <c r="D62" i="19"/>
  <c r="D58" i="19"/>
  <c r="D96" i="20"/>
  <c r="E93" i="12"/>
  <c r="D61" i="19"/>
  <c r="D90" i="20"/>
  <c r="D57" i="19"/>
  <c r="D54" i="19"/>
  <c r="D221" i="20"/>
  <c r="D84" i="20"/>
  <c r="D60" i="19"/>
  <c r="D78" i="20"/>
  <c r="E35" i="12"/>
  <c r="AM24" i="51"/>
  <c r="F46" i="14"/>
  <c r="J135" i="20"/>
  <c r="J111" i="19" s="1"/>
  <c r="J138" i="20"/>
  <c r="J114" i="19" s="1"/>
  <c r="J137" i="20"/>
  <c r="J113" i="19" s="1"/>
  <c r="J134" i="20"/>
  <c r="J110" i="19" s="1"/>
  <c r="J136" i="20"/>
  <c r="J112" i="19" s="1"/>
  <c r="J109" i="19"/>
  <c r="C135" i="20"/>
  <c r="C134" i="20"/>
  <c r="C137" i="20"/>
  <c r="C136" i="20"/>
  <c r="C138" i="20"/>
  <c r="C114" i="19" s="1"/>
  <c r="C109" i="19"/>
  <c r="D126" i="14" s="1"/>
  <c r="D168" i="14"/>
  <c r="G33" i="12"/>
  <c r="G15" i="14"/>
  <c r="H15" i="12"/>
  <c r="AK43" i="51"/>
  <c r="AK17" i="51"/>
  <c r="H103" i="19"/>
  <c r="I103" i="12"/>
  <c r="H129" i="20"/>
  <c r="H105" i="19" s="1"/>
  <c r="H130" i="20"/>
  <c r="H106" i="19" s="1"/>
  <c r="H131" i="20"/>
  <c r="H107" i="19" s="1"/>
  <c r="H132" i="20"/>
  <c r="H108" i="19" s="1"/>
  <c r="H128" i="20"/>
  <c r="H104" i="19" s="1"/>
  <c r="I27" i="51"/>
  <c r="I28" i="51"/>
  <c r="AO26" i="51"/>
  <c r="J26" i="51"/>
  <c r="AM14" i="51"/>
  <c r="AM13" i="51"/>
  <c r="M140" i="20"/>
  <c r="M116" i="19" s="1"/>
  <c r="M142" i="20"/>
  <c r="M118" i="19" s="1"/>
  <c r="M143" i="20"/>
  <c r="M119" i="19" s="1"/>
  <c r="M141" i="20"/>
  <c r="M117" i="19" s="1"/>
  <c r="M144" i="20"/>
  <c r="M120" i="19" s="1"/>
  <c r="M115" i="19"/>
  <c r="M138" i="20"/>
  <c r="M114" i="19" s="1"/>
  <c r="M135" i="20"/>
  <c r="M111" i="19" s="1"/>
  <c r="M136" i="20"/>
  <c r="M112" i="19" s="1"/>
  <c r="M137" i="20"/>
  <c r="M113" i="19" s="1"/>
  <c r="M134" i="20"/>
  <c r="M110" i="19" s="1"/>
  <c r="M109" i="19"/>
  <c r="G106" i="54"/>
  <c r="G110" i="54"/>
  <c r="G104" i="54"/>
  <c r="G108" i="54"/>
  <c r="F106" i="54"/>
  <c r="F110" i="54"/>
  <c r="F108" i="54"/>
  <c r="F104" i="54"/>
  <c r="O148" i="20"/>
  <c r="O124" i="19" s="1"/>
  <c r="O147" i="20"/>
  <c r="O123" i="19" s="1"/>
  <c r="O150" i="20"/>
  <c r="O126" i="19" s="1"/>
  <c r="O146" i="20"/>
  <c r="O122" i="19" s="1"/>
  <c r="O149" i="20"/>
  <c r="O125" i="19" s="1"/>
  <c r="O121" i="19"/>
  <c r="P138" i="12"/>
  <c r="AK66" i="51"/>
  <c r="I41" i="12"/>
  <c r="I42" i="12"/>
  <c r="J40" i="12"/>
  <c r="C222" i="19"/>
  <c r="C272" i="19"/>
  <c r="C273" i="19"/>
  <c r="C221" i="19"/>
  <c r="C225" i="19"/>
  <c r="G15" i="51"/>
  <c r="E35" i="14"/>
  <c r="G140" i="20"/>
  <c r="G116" i="19" s="1"/>
  <c r="G143" i="20"/>
  <c r="G119" i="19" s="1"/>
  <c r="G144" i="20"/>
  <c r="G120" i="19" s="1"/>
  <c r="G115" i="19"/>
  <c r="G142" i="20"/>
  <c r="G118" i="19" s="1"/>
  <c r="G141" i="20"/>
  <c r="G117" i="19" s="1"/>
  <c r="AL44" i="51"/>
  <c r="I103" i="19"/>
  <c r="I129" i="20"/>
  <c r="I105" i="19" s="1"/>
  <c r="I131" i="20"/>
  <c r="I107" i="19" s="1"/>
  <c r="I128" i="20"/>
  <c r="I104" i="19" s="1"/>
  <c r="I130" i="20"/>
  <c r="I106" i="19" s="1"/>
  <c r="I132" i="20"/>
  <c r="I108" i="19" s="1"/>
  <c r="J103" i="12"/>
  <c r="G48" i="14"/>
  <c r="G44" i="14"/>
  <c r="G122" i="14"/>
  <c r="G49" i="14"/>
  <c r="F38" i="19"/>
  <c r="C208" i="53"/>
  <c r="C205" i="53"/>
  <c r="C103" i="19"/>
  <c r="D103" i="14" s="1"/>
  <c r="C131" i="20"/>
  <c r="C130" i="20"/>
  <c r="C129" i="20"/>
  <c r="C105" i="19" s="1"/>
  <c r="C132" i="20"/>
  <c r="C108" i="19" s="1"/>
  <c r="C128" i="20"/>
  <c r="D103" i="12"/>
  <c r="N136" i="20"/>
  <c r="N112" i="19" s="1"/>
  <c r="N134" i="20"/>
  <c r="N110" i="19" s="1"/>
  <c r="N135" i="20"/>
  <c r="N111" i="19" s="1"/>
  <c r="N137" i="20"/>
  <c r="N113" i="19" s="1"/>
  <c r="N138" i="20"/>
  <c r="N114" i="19" s="1"/>
  <c r="N109" i="19"/>
  <c r="O126" i="14" s="1"/>
  <c r="K150" i="20"/>
  <c r="K126" i="19" s="1"/>
  <c r="K147" i="20"/>
  <c r="K123" i="19" s="1"/>
  <c r="K148" i="20"/>
  <c r="K124" i="19" s="1"/>
  <c r="K146" i="20"/>
  <c r="K122" i="19" s="1"/>
  <c r="K149" i="20"/>
  <c r="K125" i="19" s="1"/>
  <c r="K121" i="19"/>
  <c r="L138" i="12"/>
  <c r="I157" i="53"/>
  <c r="J66" i="51" s="1"/>
  <c r="AM53" i="51"/>
  <c r="E215" i="20"/>
  <c r="E173" i="19" s="1"/>
  <c r="E212" i="20"/>
  <c r="E170" i="19" s="1"/>
  <c r="E214" i="20"/>
  <c r="E172" i="19" s="1"/>
  <c r="E216" i="20"/>
  <c r="E174" i="19" s="1"/>
  <c r="E213" i="20"/>
  <c r="E171" i="19" s="1"/>
  <c r="F135" i="12"/>
  <c r="E169" i="19"/>
  <c r="I13" i="12"/>
  <c r="I62" i="12"/>
  <c r="J12" i="12"/>
  <c r="E67" i="14"/>
  <c r="H83" i="14"/>
  <c r="H29" i="51"/>
  <c r="AM37" i="51"/>
  <c r="AM38" i="51"/>
  <c r="G82" i="12"/>
  <c r="H24" i="51"/>
  <c r="AL66" i="51"/>
  <c r="J68" i="51"/>
  <c r="J50" i="51"/>
  <c r="K108" i="54"/>
  <c r="K110" i="54"/>
  <c r="K106" i="54"/>
  <c r="K104" i="54"/>
  <c r="E108" i="54"/>
  <c r="E110" i="54"/>
  <c r="E104" i="54"/>
  <c r="E106" i="54"/>
  <c r="O140" i="20"/>
  <c r="O116" i="19" s="1"/>
  <c r="O141" i="20"/>
  <c r="O117" i="19" s="1"/>
  <c r="O142" i="20"/>
  <c r="O118" i="19" s="1"/>
  <c r="O143" i="20"/>
  <c r="O119" i="19" s="1"/>
  <c r="O144" i="20"/>
  <c r="O120" i="19" s="1"/>
  <c r="O115" i="19"/>
  <c r="I150" i="20"/>
  <c r="I126" i="19" s="1"/>
  <c r="I147" i="20"/>
  <c r="I123" i="19" s="1"/>
  <c r="I149" i="20"/>
  <c r="I125" i="19" s="1"/>
  <c r="I148" i="20"/>
  <c r="I124" i="19" s="1"/>
  <c r="I146" i="20"/>
  <c r="I122" i="19" s="1"/>
  <c r="J138" i="12"/>
  <c r="I121" i="19"/>
  <c r="AJ53" i="51"/>
  <c r="D72" i="51"/>
  <c r="D54" i="51"/>
  <c r="F16" i="12"/>
  <c r="E157" i="54"/>
  <c r="F45" i="14"/>
  <c r="J149" i="20"/>
  <c r="J125" i="19" s="1"/>
  <c r="J147" i="20"/>
  <c r="J123" i="19" s="1"/>
  <c r="J148" i="20"/>
  <c r="J124" i="19" s="1"/>
  <c r="J150" i="20"/>
  <c r="J126" i="19" s="1"/>
  <c r="J146" i="20"/>
  <c r="J122" i="19" s="1"/>
  <c r="J121" i="19"/>
  <c r="K138" i="12"/>
  <c r="C141" i="20"/>
  <c r="C117" i="19" s="1"/>
  <c r="C140" i="20"/>
  <c r="D96" i="12" s="1"/>
  <c r="C142" i="20"/>
  <c r="C144" i="20"/>
  <c r="C143" i="20"/>
  <c r="C119" i="19" s="1"/>
  <c r="D101" i="14" s="1"/>
  <c r="C115" i="19"/>
  <c r="D94" i="14" s="1"/>
  <c r="F92" i="12"/>
  <c r="F39" i="12"/>
  <c r="E36" i="20"/>
  <c r="E42" i="20" s="1"/>
  <c r="H32" i="14"/>
  <c r="D33" i="54"/>
  <c r="D39" i="54" s="1"/>
  <c r="AK48" i="51"/>
  <c r="O103" i="12"/>
  <c r="N132" i="20"/>
  <c r="N108" i="19" s="1"/>
  <c r="N128" i="20"/>
  <c r="N104" i="19" s="1"/>
  <c r="N131" i="20"/>
  <c r="N107" i="19" s="1"/>
  <c r="N130" i="20"/>
  <c r="N106" i="19" s="1"/>
  <c r="N129" i="20"/>
  <c r="N105" i="19" s="1"/>
  <c r="N103" i="19"/>
  <c r="AL15" i="51"/>
  <c r="G50" i="51"/>
  <c r="G68" i="51"/>
  <c r="H64" i="12"/>
  <c r="H63" i="12"/>
  <c r="E68" i="14"/>
  <c r="M103" i="12"/>
  <c r="L132" i="20"/>
  <c r="L108" i="19" s="1"/>
  <c r="L129" i="20"/>
  <c r="L105" i="19" s="1"/>
  <c r="L131" i="20"/>
  <c r="L107" i="19" s="1"/>
  <c r="L130" i="20"/>
  <c r="L106" i="19" s="1"/>
  <c r="L128" i="20"/>
  <c r="L104" i="19" s="1"/>
  <c r="L103" i="19"/>
  <c r="F150" i="20"/>
  <c r="F126" i="19" s="1"/>
  <c r="F148" i="20"/>
  <c r="F124" i="19" s="1"/>
  <c r="F149" i="20"/>
  <c r="F125" i="19" s="1"/>
  <c r="F146" i="20"/>
  <c r="F122" i="19" s="1"/>
  <c r="F147" i="20"/>
  <c r="F123" i="19" s="1"/>
  <c r="G138" i="12"/>
  <c r="F121" i="19"/>
  <c r="F92" i="14"/>
  <c r="E36" i="19"/>
  <c r="E42" i="19" s="1"/>
  <c r="F39" i="14"/>
  <c r="H21" i="51"/>
  <c r="D146" i="20"/>
  <c r="D122" i="19" s="1"/>
  <c r="D149" i="20"/>
  <c r="D125" i="19" s="1"/>
  <c r="D150" i="20"/>
  <c r="D126" i="19" s="1"/>
  <c r="D147" i="20"/>
  <c r="D123" i="19" s="1"/>
  <c r="D148" i="20"/>
  <c r="D124" i="19" s="1"/>
  <c r="D121" i="19"/>
  <c r="E138" i="12"/>
  <c r="AP53" i="51"/>
  <c r="M110" i="54"/>
  <c r="M106" i="54"/>
  <c r="M108" i="54"/>
  <c r="M104" i="54"/>
  <c r="L106" i="54"/>
  <c r="L104" i="54"/>
  <c r="L108" i="54"/>
  <c r="L110" i="54"/>
  <c r="O136" i="20"/>
  <c r="O112" i="19" s="1"/>
  <c r="O138" i="20"/>
  <c r="O114" i="19" s="1"/>
  <c r="O134" i="20"/>
  <c r="O110" i="19" s="1"/>
  <c r="O137" i="20"/>
  <c r="O113" i="19" s="1"/>
  <c r="O135" i="20"/>
  <c r="O111" i="19" s="1"/>
  <c r="O109" i="19"/>
  <c r="P126" i="14" s="1"/>
  <c r="O131" i="20"/>
  <c r="O107" i="19" s="1"/>
  <c r="O132" i="20"/>
  <c r="O108" i="19" s="1"/>
  <c r="O103" i="19"/>
  <c r="O128" i="20"/>
  <c r="O104" i="19" s="1"/>
  <c r="O130" i="20"/>
  <c r="O106" i="19" s="1"/>
  <c r="O129" i="20"/>
  <c r="O105" i="19" s="1"/>
  <c r="P103" i="12"/>
  <c r="AN62" i="51"/>
  <c r="AL53" i="51"/>
  <c r="I143" i="20"/>
  <c r="I119" i="19" s="1"/>
  <c r="I141" i="20"/>
  <c r="I117" i="19" s="1"/>
  <c r="I142" i="20"/>
  <c r="I118" i="19" s="1"/>
  <c r="I144" i="20"/>
  <c r="I120" i="19" s="1"/>
  <c r="I140" i="20"/>
  <c r="I116" i="19" s="1"/>
  <c r="I115" i="19"/>
  <c r="D50" i="51"/>
  <c r="D68" i="51"/>
  <c r="G45" i="12"/>
  <c r="H157" i="54"/>
  <c r="C146" i="20"/>
  <c r="C150" i="20"/>
  <c r="C126" i="19" s="1"/>
  <c r="C148" i="20"/>
  <c r="C149" i="20"/>
  <c r="C125" i="19" s="1"/>
  <c r="C147" i="20"/>
  <c r="C123" i="19" s="1"/>
  <c r="C121" i="19"/>
  <c r="D138" i="14" s="1"/>
  <c r="D138" i="12"/>
  <c r="H29" i="14"/>
  <c r="N150" i="20"/>
  <c r="N126" i="19" s="1"/>
  <c r="N147" i="20"/>
  <c r="N123" i="19" s="1"/>
  <c r="N146" i="20"/>
  <c r="N122" i="19" s="1"/>
  <c r="N149" i="20"/>
  <c r="N125" i="19" s="1"/>
  <c r="N148" i="20"/>
  <c r="N124" i="19" s="1"/>
  <c r="O138" i="12"/>
  <c r="N121" i="19"/>
  <c r="AN66" i="51"/>
  <c r="H83" i="12"/>
  <c r="L141" i="20"/>
  <c r="L117" i="19" s="1"/>
  <c r="L140" i="20"/>
  <c r="L116" i="19" s="1"/>
  <c r="L144" i="20"/>
  <c r="L120" i="19" s="1"/>
  <c r="L142" i="20"/>
  <c r="L118" i="19" s="1"/>
  <c r="L143" i="20"/>
  <c r="L119" i="19" s="1"/>
  <c r="L115" i="19"/>
  <c r="AO66" i="51"/>
  <c r="H29" i="12"/>
  <c r="C214" i="20"/>
  <c r="C172" i="19" s="1"/>
  <c r="C213" i="20"/>
  <c r="C171" i="19" s="1"/>
  <c r="C212" i="20"/>
  <c r="C170" i="19" s="1"/>
  <c r="C215" i="20"/>
  <c r="C216" i="20"/>
  <c r="C174" i="19" s="1"/>
  <c r="D135" i="12"/>
  <c r="C169" i="19"/>
  <c r="C220" i="20"/>
  <c r="AN28" i="51"/>
  <c r="AN27" i="51"/>
  <c r="F142" i="20"/>
  <c r="F118" i="19" s="1"/>
  <c r="F143" i="20"/>
  <c r="F119" i="19" s="1"/>
  <c r="F140" i="20"/>
  <c r="F116" i="19" s="1"/>
  <c r="F141" i="20"/>
  <c r="F117" i="19" s="1"/>
  <c r="F144" i="20"/>
  <c r="F120" i="19" s="1"/>
  <c r="F115" i="19"/>
  <c r="F137" i="20"/>
  <c r="F113" i="19" s="1"/>
  <c r="F135" i="20"/>
  <c r="F111" i="19" s="1"/>
  <c r="F134" i="20"/>
  <c r="F110" i="19" s="1"/>
  <c r="F138" i="20"/>
  <c r="F114" i="19" s="1"/>
  <c r="F136" i="20"/>
  <c r="F112" i="19" s="1"/>
  <c r="F109" i="19"/>
  <c r="F37" i="53"/>
  <c r="K43" i="53" s="1"/>
  <c r="K156" i="53" s="1"/>
  <c r="G65" i="51"/>
  <c r="D129" i="20"/>
  <c r="D105" i="19" s="1"/>
  <c r="D131" i="20"/>
  <c r="D107" i="19" s="1"/>
  <c r="D128" i="20"/>
  <c r="D104" i="19" s="1"/>
  <c r="D132" i="20"/>
  <c r="D108" i="19" s="1"/>
  <c r="D130" i="20"/>
  <c r="D106" i="19" s="1"/>
  <c r="D103" i="19"/>
  <c r="E103" i="12"/>
  <c r="AP62" i="51"/>
  <c r="I12" i="51"/>
  <c r="AO10" i="51"/>
  <c r="I36" i="51"/>
  <c r="J10" i="51"/>
  <c r="J106" i="54"/>
  <c r="J104" i="54"/>
  <c r="J108" i="54"/>
  <c r="J110" i="54"/>
  <c r="O108" i="54"/>
  <c r="O110" i="54"/>
  <c r="O106" i="54"/>
  <c r="O104" i="54"/>
  <c r="G33" i="14"/>
  <c r="D47" i="19"/>
  <c r="AU62" i="51"/>
  <c r="I135" i="12"/>
  <c r="H212" i="20"/>
  <c r="H170" i="19" s="1"/>
  <c r="H216" i="20"/>
  <c r="H174" i="19" s="1"/>
  <c r="H213" i="20"/>
  <c r="H171" i="19" s="1"/>
  <c r="H214" i="20"/>
  <c r="H172" i="19" s="1"/>
  <c r="H215" i="20"/>
  <c r="H173" i="19" s="1"/>
  <c r="H169" i="19"/>
  <c r="E68" i="51"/>
  <c r="E50" i="51"/>
  <c r="AJ62" i="51"/>
  <c r="D64" i="51"/>
  <c r="F48" i="51"/>
  <c r="E33" i="53"/>
  <c r="E39" i="53" s="1"/>
  <c r="AM21" i="51"/>
  <c r="I28" i="14"/>
  <c r="I31" i="14"/>
  <c r="I30" i="14"/>
  <c r="I27" i="14"/>
  <c r="J26" i="14"/>
  <c r="E81" i="14"/>
  <c r="E19" i="14"/>
  <c r="G135" i="12"/>
  <c r="F214" i="20"/>
  <c r="F172" i="19" s="1"/>
  <c r="F215" i="20"/>
  <c r="F173" i="19" s="1"/>
  <c r="F216" i="20"/>
  <c r="F174" i="19" s="1"/>
  <c r="F212" i="20"/>
  <c r="F170" i="19" s="1"/>
  <c r="F213" i="20"/>
  <c r="F171" i="19" s="1"/>
  <c r="F169" i="19"/>
  <c r="G15" i="12"/>
  <c r="L148" i="20"/>
  <c r="L124" i="19" s="1"/>
  <c r="L149" i="20"/>
  <c r="L125" i="19" s="1"/>
  <c r="L146" i="20"/>
  <c r="L122" i="19" s="1"/>
  <c r="L150" i="20"/>
  <c r="L126" i="19" s="1"/>
  <c r="L147" i="20"/>
  <c r="L123" i="19" s="1"/>
  <c r="M138" i="12"/>
  <c r="L121" i="19"/>
  <c r="L135" i="20"/>
  <c r="L111" i="19" s="1"/>
  <c r="L134" i="20"/>
  <c r="L110" i="19" s="1"/>
  <c r="L136" i="20"/>
  <c r="L112" i="19" s="1"/>
  <c r="L138" i="20"/>
  <c r="L114" i="19" s="1"/>
  <c r="L137" i="20"/>
  <c r="L113" i="19" s="1"/>
  <c r="L109" i="19"/>
  <c r="H138" i="20"/>
  <c r="H114" i="19" s="1"/>
  <c r="H134" i="20"/>
  <c r="H110" i="19" s="1"/>
  <c r="H135" i="20"/>
  <c r="H111" i="19" s="1"/>
  <c r="H136" i="20"/>
  <c r="H112" i="19" s="1"/>
  <c r="H137" i="20"/>
  <c r="H113" i="19" s="1"/>
  <c r="H109" i="19"/>
  <c r="AL25" i="51"/>
  <c r="H32" i="12"/>
  <c r="F132" i="20"/>
  <c r="F108" i="19" s="1"/>
  <c r="F128" i="20"/>
  <c r="F104" i="19" s="1"/>
  <c r="F131" i="20"/>
  <c r="F107" i="19" s="1"/>
  <c r="F130" i="20"/>
  <c r="F106" i="19" s="1"/>
  <c r="F129" i="20"/>
  <c r="F105" i="19" s="1"/>
  <c r="G103" i="12"/>
  <c r="F103" i="19"/>
  <c r="AS53" i="51"/>
  <c r="F66" i="12"/>
  <c r="F71" i="12"/>
  <c r="F70" i="12"/>
  <c r="F134" i="12"/>
  <c r="E40" i="20"/>
  <c r="J46" i="20" s="1"/>
  <c r="D144" i="20"/>
  <c r="D120" i="19" s="1"/>
  <c r="D142" i="20"/>
  <c r="D118" i="19" s="1"/>
  <c r="D141" i="20"/>
  <c r="D117" i="19" s="1"/>
  <c r="D143" i="20"/>
  <c r="D119" i="19" s="1"/>
  <c r="D140" i="20"/>
  <c r="D116" i="19" s="1"/>
  <c r="D115" i="19"/>
  <c r="D138" i="20"/>
  <c r="D114" i="19" s="1"/>
  <c r="D135" i="20"/>
  <c r="D111" i="19" s="1"/>
  <c r="D137" i="20"/>
  <c r="D136" i="20"/>
  <c r="D112" i="19" s="1"/>
  <c r="D134" i="20"/>
  <c r="D110" i="19" s="1"/>
  <c r="D109" i="19"/>
  <c r="I167" i="19"/>
  <c r="I166" i="19" s="1"/>
  <c r="I211" i="20"/>
  <c r="H38" i="51"/>
  <c r="H37" i="51"/>
  <c r="N104" i="54"/>
  <c r="N106" i="54"/>
  <c r="N110" i="54"/>
  <c r="N108" i="54"/>
  <c r="I106" i="54"/>
  <c r="I104" i="54"/>
  <c r="I110" i="54"/>
  <c r="I108" i="54"/>
  <c r="E141" i="20"/>
  <c r="E117" i="19" s="1"/>
  <c r="E142" i="20"/>
  <c r="E118" i="19" s="1"/>
  <c r="E143" i="20"/>
  <c r="E119" i="19" s="1"/>
  <c r="E140" i="20"/>
  <c r="E116" i="19" s="1"/>
  <c r="E144" i="20"/>
  <c r="E120" i="19" s="1"/>
  <c r="E115" i="19"/>
  <c r="E134" i="20"/>
  <c r="E110" i="19" s="1"/>
  <c r="E138" i="20"/>
  <c r="E114" i="19" s="1"/>
  <c r="E135" i="20"/>
  <c r="E111" i="19" s="1"/>
  <c r="E137" i="20"/>
  <c r="E113" i="19" s="1"/>
  <c r="E136" i="20"/>
  <c r="E112" i="19" s="1"/>
  <c r="E109" i="19"/>
  <c r="F126" i="14" s="1"/>
  <c r="D105" i="53"/>
  <c r="E53" i="51" s="1"/>
  <c r="C157" i="54"/>
  <c r="G65" i="12"/>
  <c r="D157" i="54"/>
  <c r="J143" i="20"/>
  <c r="J119" i="19" s="1"/>
  <c r="J144" i="20"/>
  <c r="J120" i="19" s="1"/>
  <c r="J141" i="20"/>
  <c r="J117" i="19" s="1"/>
  <c r="J140" i="20"/>
  <c r="J116" i="19" s="1"/>
  <c r="J142" i="20"/>
  <c r="J118" i="19" s="1"/>
  <c r="J115" i="19"/>
  <c r="D9" i="55"/>
  <c r="C265" i="20"/>
  <c r="C222" i="20"/>
  <c r="C288" i="20"/>
  <c r="C289" i="20" s="1"/>
  <c r="I41" i="14"/>
  <c r="I42" i="14"/>
  <c r="J40" i="14"/>
  <c r="G65" i="14"/>
  <c r="E40" i="19"/>
  <c r="J46" i="19" s="1"/>
  <c r="F71" i="14"/>
  <c r="F66" i="14"/>
  <c r="F134" i="14"/>
  <c r="F70" i="14"/>
  <c r="K144" i="20"/>
  <c r="K120" i="19" s="1"/>
  <c r="K140" i="20"/>
  <c r="K116" i="19" s="1"/>
  <c r="K141" i="20"/>
  <c r="K117" i="19" s="1"/>
  <c r="K142" i="20"/>
  <c r="K118" i="19" s="1"/>
  <c r="K143" i="20"/>
  <c r="K119" i="19" s="1"/>
  <c r="K115" i="19"/>
  <c r="K132" i="20"/>
  <c r="K108" i="19" s="1"/>
  <c r="K131" i="20"/>
  <c r="K107" i="19" s="1"/>
  <c r="K128" i="20"/>
  <c r="K104" i="19" s="1"/>
  <c r="K130" i="20"/>
  <c r="K106" i="19" s="1"/>
  <c r="L103" i="12"/>
  <c r="K129" i="20"/>
  <c r="K105" i="19" s="1"/>
  <c r="K103" i="19"/>
  <c r="AO53" i="51"/>
  <c r="G216" i="20"/>
  <c r="G174" i="19" s="1"/>
  <c r="G212" i="20"/>
  <c r="G170" i="19" s="1"/>
  <c r="G213" i="20"/>
  <c r="G171" i="19" s="1"/>
  <c r="G214" i="20"/>
  <c r="G172" i="19" s="1"/>
  <c r="G215" i="20"/>
  <c r="G173" i="19" s="1"/>
  <c r="H135" i="12"/>
  <c r="G169" i="19"/>
  <c r="AS62" i="51"/>
  <c r="D88" i="14"/>
  <c r="E68" i="12"/>
  <c r="F17" i="14"/>
  <c r="H14" i="51"/>
  <c r="H13" i="51"/>
  <c r="D110" i="54"/>
  <c r="D106" i="54"/>
  <c r="D104" i="54"/>
  <c r="D108" i="54"/>
  <c r="D34" i="53"/>
  <c r="P40" i="53" s="1"/>
  <c r="E52" i="51"/>
  <c r="F45" i="12"/>
  <c r="AV53" i="51"/>
  <c r="D117" i="12"/>
  <c r="G44" i="51"/>
  <c r="AM66" i="51"/>
  <c r="E146" i="20"/>
  <c r="E122" i="19" s="1"/>
  <c r="E147" i="20"/>
  <c r="E123" i="19" s="1"/>
  <c r="E148" i="20"/>
  <c r="E124" i="19" s="1"/>
  <c r="E150" i="20"/>
  <c r="E126" i="19" s="1"/>
  <c r="E149" i="20"/>
  <c r="E125" i="19" s="1"/>
  <c r="F138" i="12"/>
  <c r="E121" i="19"/>
  <c r="D107" i="53"/>
  <c r="E62" i="51" s="1"/>
  <c r="D212" i="20"/>
  <c r="D170" i="19" s="1"/>
  <c r="D216" i="20"/>
  <c r="D174" i="19" s="1"/>
  <c r="D215" i="20"/>
  <c r="D173" i="19" s="1"/>
  <c r="D213" i="20"/>
  <c r="D171" i="19" s="1"/>
  <c r="D214" i="20"/>
  <c r="D172" i="19" s="1"/>
  <c r="D169" i="19"/>
  <c r="E135" i="12"/>
  <c r="F157" i="54"/>
  <c r="F65" i="51"/>
  <c r="E37" i="53"/>
  <c r="J43" i="53" s="1"/>
  <c r="J156" i="53" s="1"/>
  <c r="C263" i="20"/>
  <c r="C314" i="20"/>
  <c r="C264" i="20"/>
  <c r="C315" i="20"/>
  <c r="D4" i="55"/>
  <c r="C267" i="20"/>
  <c r="D169" i="14"/>
  <c r="H36" i="14"/>
  <c r="L68" i="51"/>
  <c r="K137" i="20"/>
  <c r="K113" i="19" s="1"/>
  <c r="K135" i="20"/>
  <c r="K111" i="19" s="1"/>
  <c r="K134" i="20"/>
  <c r="K110" i="19" s="1"/>
  <c r="K138" i="20"/>
  <c r="K114" i="19" s="1"/>
  <c r="K136" i="20"/>
  <c r="K112" i="19" s="1"/>
  <c r="K109" i="19"/>
  <c r="I68" i="51"/>
  <c r="I50" i="51"/>
  <c r="H146" i="20"/>
  <c r="H122" i="19" s="1"/>
  <c r="H150" i="20"/>
  <c r="H126" i="19" s="1"/>
  <c r="H148" i="20"/>
  <c r="H124" i="19" s="1"/>
  <c r="H149" i="20"/>
  <c r="H125" i="19" s="1"/>
  <c r="H147" i="20"/>
  <c r="H123" i="19" s="1"/>
  <c r="H121" i="19"/>
  <c r="I138" i="12"/>
  <c r="AL39" i="51"/>
  <c r="I13" i="14"/>
  <c r="I62" i="14"/>
  <c r="J12" i="14"/>
  <c r="I30" i="12"/>
  <c r="I28" i="12"/>
  <c r="I27" i="12"/>
  <c r="I31" i="12"/>
  <c r="J26" i="12"/>
  <c r="AQ62" i="51"/>
  <c r="D118" i="14"/>
  <c r="M149" i="20"/>
  <c r="M125" i="19" s="1"/>
  <c r="M147" i="20"/>
  <c r="M123" i="19" s="1"/>
  <c r="M146" i="20"/>
  <c r="M122" i="19" s="1"/>
  <c r="M150" i="20"/>
  <c r="M126" i="19" s="1"/>
  <c r="M148" i="20"/>
  <c r="M124" i="19" s="1"/>
  <c r="N138" i="12"/>
  <c r="M121" i="19"/>
  <c r="AJ66" i="51"/>
  <c r="I22" i="51"/>
  <c r="I19" i="51"/>
  <c r="I23" i="51"/>
  <c r="AO18" i="51"/>
  <c r="I20" i="51"/>
  <c r="J18" i="51"/>
  <c r="F43" i="51"/>
  <c r="F17" i="51"/>
  <c r="AN12" i="51"/>
  <c r="AN36" i="51"/>
  <c r="C108" i="54"/>
  <c r="C109" i="54" s="1"/>
  <c r="C110" i="54"/>
  <c r="C111" i="54" s="1"/>
  <c r="C104" i="54"/>
  <c r="C105" i="54" s="1"/>
  <c r="C106" i="54"/>
  <c r="C107" i="54" s="1"/>
  <c r="C44" i="54"/>
  <c r="E46" i="51"/>
  <c r="G82" i="14"/>
  <c r="P68" i="51"/>
  <c r="P50" i="51"/>
  <c r="D117" i="14"/>
  <c r="G146" i="20"/>
  <c r="G122" i="19" s="1"/>
  <c r="G147" i="20"/>
  <c r="G123" i="19" s="1"/>
  <c r="G150" i="20"/>
  <c r="G126" i="19" s="1"/>
  <c r="G149" i="20"/>
  <c r="G125" i="19" s="1"/>
  <c r="G148" i="20"/>
  <c r="G124" i="19" s="1"/>
  <c r="G121" i="19"/>
  <c r="H138" i="12"/>
  <c r="D44" i="53"/>
  <c r="D75" i="53"/>
  <c r="D71" i="53"/>
  <c r="D72" i="53" s="1"/>
  <c r="E57" i="51" s="1"/>
  <c r="D69" i="53"/>
  <c r="D70" i="53" s="1"/>
  <c r="E49" i="51" s="1"/>
  <c r="D77" i="53"/>
  <c r="AR53" i="51" l="1"/>
  <c r="AL62" i="51"/>
  <c r="D109" i="12"/>
  <c r="AN53" i="51"/>
  <c r="F35" i="54"/>
  <c r="AM59" i="51"/>
  <c r="C204" i="54"/>
  <c r="C163" i="53"/>
  <c r="D204" i="53"/>
  <c r="AU53" i="51"/>
  <c r="D70" i="51"/>
  <c r="AQ53" i="51"/>
  <c r="AT62" i="51"/>
  <c r="H82" i="14"/>
  <c r="G16" i="12"/>
  <c r="D218" i="20"/>
  <c r="I43" i="14"/>
  <c r="D127" i="14"/>
  <c r="I14" i="12"/>
  <c r="E127" i="12"/>
  <c r="AT53" i="51"/>
  <c r="AM62" i="51"/>
  <c r="D176" i="19"/>
  <c r="G103" i="14"/>
  <c r="M103" i="14"/>
  <c r="P103" i="14"/>
  <c r="E103" i="14"/>
  <c r="L103" i="14"/>
  <c r="O103" i="14"/>
  <c r="M68" i="51"/>
  <c r="AM39" i="51"/>
  <c r="N50" i="51"/>
  <c r="I38" i="12"/>
  <c r="C159" i="54"/>
  <c r="O50" i="51"/>
  <c r="K50" i="51"/>
  <c r="I29" i="51"/>
  <c r="D109" i="14"/>
  <c r="E126" i="14"/>
  <c r="M126" i="14"/>
  <c r="G126" i="14"/>
  <c r="I34" i="14"/>
  <c r="D220" i="20"/>
  <c r="I34" i="12"/>
  <c r="L126" i="14"/>
  <c r="I126" i="14"/>
  <c r="N126" i="14"/>
  <c r="H138" i="14"/>
  <c r="G94" i="14"/>
  <c r="J94" i="14"/>
  <c r="I138" i="14"/>
  <c r="C266" i="20"/>
  <c r="K94" i="14"/>
  <c r="H50" i="51"/>
  <c r="F138" i="14"/>
  <c r="F94" i="14"/>
  <c r="M94" i="14"/>
  <c r="M138" i="14"/>
  <c r="L94" i="14"/>
  <c r="O138" i="14"/>
  <c r="F50" i="51"/>
  <c r="C229" i="53"/>
  <c r="C230" i="53" s="1"/>
  <c r="D159" i="53"/>
  <c r="N138" i="14"/>
  <c r="E94" i="14"/>
  <c r="D143" i="14"/>
  <c r="H65" i="12"/>
  <c r="N169" i="14"/>
  <c r="N168" i="14"/>
  <c r="C205" i="54"/>
  <c r="C208" i="54"/>
  <c r="J23" i="51"/>
  <c r="J20" i="51"/>
  <c r="J22" i="51"/>
  <c r="J19" i="51"/>
  <c r="AP18" i="51"/>
  <c r="K18" i="51"/>
  <c r="I63" i="14"/>
  <c r="I64" i="14"/>
  <c r="AR68" i="51"/>
  <c r="C271" i="20"/>
  <c r="C268" i="20"/>
  <c r="C269" i="20"/>
  <c r="C270" i="20"/>
  <c r="E135" i="14"/>
  <c r="F47" i="12"/>
  <c r="D107" i="54"/>
  <c r="AQ68" i="51"/>
  <c r="F67" i="14"/>
  <c r="I111" i="54"/>
  <c r="D113" i="19"/>
  <c r="AM25" i="51"/>
  <c r="AJ64" i="51"/>
  <c r="J111" i="54"/>
  <c r="AS68" i="51"/>
  <c r="D146" i="12"/>
  <c r="L109" i="54"/>
  <c r="H25" i="51"/>
  <c r="E52" i="19"/>
  <c r="E49" i="19" s="1"/>
  <c r="E177" i="19" s="1"/>
  <c r="E221" i="20"/>
  <c r="E47" i="20"/>
  <c r="E57" i="19"/>
  <c r="E62" i="19"/>
  <c r="E72" i="20"/>
  <c r="E53" i="19"/>
  <c r="E50" i="19"/>
  <c r="E59" i="19"/>
  <c r="E54" i="19"/>
  <c r="E51" i="19"/>
  <c r="E60" i="19"/>
  <c r="E90" i="20"/>
  <c r="F124" i="12"/>
  <c r="E55" i="19"/>
  <c r="E96" i="20"/>
  <c r="E61" i="19"/>
  <c r="F93" i="12"/>
  <c r="E218" i="20"/>
  <c r="E84" i="20"/>
  <c r="E78" i="20"/>
  <c r="E58" i="19"/>
  <c r="J138" i="14"/>
  <c r="P94" i="14"/>
  <c r="E111" i="54"/>
  <c r="C107" i="19"/>
  <c r="D111" i="14" s="1"/>
  <c r="D111" i="12"/>
  <c r="C212" i="53"/>
  <c r="C210" i="53"/>
  <c r="C209" i="53"/>
  <c r="C211" i="53"/>
  <c r="G46" i="14"/>
  <c r="C229" i="19"/>
  <c r="C226" i="19"/>
  <c r="C227" i="19"/>
  <c r="C228" i="19"/>
  <c r="I43" i="12"/>
  <c r="P138" i="14"/>
  <c r="F111" i="54"/>
  <c r="AK52" i="51"/>
  <c r="D34" i="54"/>
  <c r="P40" i="54" s="1"/>
  <c r="G92" i="12"/>
  <c r="G39" i="12"/>
  <c r="F36" i="20"/>
  <c r="F42" i="20" s="1"/>
  <c r="C113" i="19"/>
  <c r="D133" i="14" s="1"/>
  <c r="D133" i="12"/>
  <c r="D101" i="12"/>
  <c r="H105" i="54"/>
  <c r="H65" i="14"/>
  <c r="H46" i="14"/>
  <c r="D78" i="53"/>
  <c r="E61" i="51" s="1"/>
  <c r="D162" i="53"/>
  <c r="AV50" i="51"/>
  <c r="I83" i="14"/>
  <c r="J157" i="53"/>
  <c r="K66" i="51" s="1"/>
  <c r="D111" i="54"/>
  <c r="I105" i="54"/>
  <c r="J167" i="19"/>
  <c r="J166" i="19" s="1"/>
  <c r="J211" i="20"/>
  <c r="I38" i="14"/>
  <c r="J109" i="54"/>
  <c r="AS50" i="51"/>
  <c r="AN29" i="51"/>
  <c r="C173" i="19"/>
  <c r="D145" i="14" s="1"/>
  <c r="D145" i="12"/>
  <c r="L105" i="54"/>
  <c r="G138" i="14"/>
  <c r="AM68" i="51"/>
  <c r="D75" i="54"/>
  <c r="D76" i="54" s="1"/>
  <c r="D69" i="54"/>
  <c r="D70" i="54" s="1"/>
  <c r="D77" i="54"/>
  <c r="D78" i="54" s="1"/>
  <c r="D71" i="54"/>
  <c r="D72" i="54" s="1"/>
  <c r="D44" i="54"/>
  <c r="C118" i="19"/>
  <c r="D100" i="14" s="1"/>
  <c r="D100" i="12"/>
  <c r="E109" i="54"/>
  <c r="E69" i="14"/>
  <c r="F135" i="14"/>
  <c r="D105" i="14"/>
  <c r="F107" i="54"/>
  <c r="AK46" i="51"/>
  <c r="C110" i="19"/>
  <c r="D128" i="14" s="1"/>
  <c r="D128" i="12"/>
  <c r="D83" i="20"/>
  <c r="D75" i="19" s="1"/>
  <c r="D80" i="20"/>
  <c r="E114" i="12"/>
  <c r="D82" i="20"/>
  <c r="D81" i="20"/>
  <c r="D79" i="20"/>
  <c r="D70" i="19"/>
  <c r="E114" i="14" s="1"/>
  <c r="E147" i="12"/>
  <c r="D77" i="20"/>
  <c r="D69" i="19" s="1"/>
  <c r="D73" i="20"/>
  <c r="D74" i="20"/>
  <c r="D66" i="19" s="1"/>
  <c r="D75" i="20"/>
  <c r="D76" i="20"/>
  <c r="D64" i="19"/>
  <c r="E93" i="14" s="1"/>
  <c r="H107" i="54"/>
  <c r="O94" i="14"/>
  <c r="AK49" i="51"/>
  <c r="AV68" i="51"/>
  <c r="AO19" i="51"/>
  <c r="AO23" i="51"/>
  <c r="AO20" i="51"/>
  <c r="AO22" i="51"/>
  <c r="C162" i="54"/>
  <c r="I107" i="54"/>
  <c r="AL48" i="51"/>
  <c r="E33" i="54"/>
  <c r="E39" i="54" s="1"/>
  <c r="G135" i="14"/>
  <c r="AK50" i="51"/>
  <c r="F36" i="19"/>
  <c r="F42" i="19" s="1"/>
  <c r="G92" i="14"/>
  <c r="G39" i="14"/>
  <c r="J105" i="54"/>
  <c r="L107" i="54"/>
  <c r="E138" i="14"/>
  <c r="F35" i="14"/>
  <c r="AM50" i="51"/>
  <c r="F35" i="12"/>
  <c r="C116" i="19"/>
  <c r="D96" i="14" s="1"/>
  <c r="K105" i="54"/>
  <c r="G109" i="54"/>
  <c r="AO28" i="51"/>
  <c r="AO27" i="51"/>
  <c r="C111" i="19"/>
  <c r="D131" i="14" s="1"/>
  <c r="D131" i="12"/>
  <c r="D97" i="20"/>
  <c r="D100" i="20"/>
  <c r="D92" i="19" s="1"/>
  <c r="D99" i="20"/>
  <c r="D98" i="20"/>
  <c r="D90" i="19" s="1"/>
  <c r="D101" i="20"/>
  <c r="D93" i="19" s="1"/>
  <c r="D88" i="19"/>
  <c r="E136" i="14" s="1"/>
  <c r="E136" i="12"/>
  <c r="D263" i="20"/>
  <c r="D315" i="20"/>
  <c r="D264" i="20"/>
  <c r="D314" i="20"/>
  <c r="E4" i="55"/>
  <c r="D267" i="20"/>
  <c r="F17" i="12"/>
  <c r="H111" i="54"/>
  <c r="AK57" i="51"/>
  <c r="E58" i="51"/>
  <c r="I29" i="12"/>
  <c r="E54" i="51"/>
  <c r="H15" i="51"/>
  <c r="C255" i="20"/>
  <c r="C256" i="20" s="1"/>
  <c r="D222" i="20"/>
  <c r="N109" i="54"/>
  <c r="I214" i="20"/>
  <c r="I172" i="19" s="1"/>
  <c r="I213" i="20"/>
  <c r="I171" i="19" s="1"/>
  <c r="I215" i="20"/>
  <c r="I173" i="19" s="1"/>
  <c r="I216" i="20"/>
  <c r="I174" i="19" s="1"/>
  <c r="I212" i="20"/>
  <c r="I170" i="19" s="1"/>
  <c r="I169" i="19"/>
  <c r="J135" i="12"/>
  <c r="I29" i="14"/>
  <c r="AK68" i="51"/>
  <c r="J107" i="54"/>
  <c r="M105" i="54"/>
  <c r="E47" i="19"/>
  <c r="K107" i="54"/>
  <c r="I15" i="12"/>
  <c r="D147" i="12"/>
  <c r="D105" i="12"/>
  <c r="E37" i="14"/>
  <c r="G105" i="54"/>
  <c r="AM15" i="51"/>
  <c r="K126" i="14"/>
  <c r="D87" i="20"/>
  <c r="D79" i="19" s="1"/>
  <c r="D89" i="20"/>
  <c r="D81" i="19" s="1"/>
  <c r="D85" i="20"/>
  <c r="D77" i="19" s="1"/>
  <c r="D86" i="20"/>
  <c r="D78" i="19" s="1"/>
  <c r="D88" i="20"/>
  <c r="D80" i="19" s="1"/>
  <c r="D76" i="19"/>
  <c r="E104" i="14" s="1"/>
  <c r="E104" i="12"/>
  <c r="C196" i="53"/>
  <c r="C197" i="53" s="1"/>
  <c r="D163" i="53"/>
  <c r="H45" i="14"/>
  <c r="F52" i="51"/>
  <c r="E34" i="53"/>
  <c r="Q40" i="53" s="1"/>
  <c r="AL65" i="51"/>
  <c r="E37" i="54"/>
  <c r="J43" i="54" s="1"/>
  <c r="J156" i="54" s="1"/>
  <c r="D76" i="53"/>
  <c r="E67" i="51"/>
  <c r="F46" i="51"/>
  <c r="I21" i="51"/>
  <c r="AO50" i="51"/>
  <c r="P110" i="53"/>
  <c r="P111" i="53" s="1"/>
  <c r="P104" i="53"/>
  <c r="P105" i="53" s="1"/>
  <c r="Q53" i="51" s="1"/>
  <c r="P106" i="53"/>
  <c r="P107" i="53" s="1"/>
  <c r="Q62" i="51" s="1"/>
  <c r="P108" i="53"/>
  <c r="P109" i="53" s="1"/>
  <c r="F68" i="14"/>
  <c r="F40" i="19"/>
  <c r="K46" i="19" s="1"/>
  <c r="G134" i="14"/>
  <c r="G71" i="14"/>
  <c r="G70" i="14"/>
  <c r="G66" i="14"/>
  <c r="N111" i="54"/>
  <c r="E102" i="14"/>
  <c r="D37" i="19"/>
  <c r="P43" i="19" s="1"/>
  <c r="E25" i="14"/>
  <c r="E20" i="14"/>
  <c r="E24" i="14"/>
  <c r="I32" i="14"/>
  <c r="E77" i="53"/>
  <c r="E44" i="53"/>
  <c r="E69" i="53"/>
  <c r="E70" i="53" s="1"/>
  <c r="F49" i="51" s="1"/>
  <c r="E71" i="53"/>
  <c r="E72" i="53" s="1"/>
  <c r="F57" i="51" s="1"/>
  <c r="E75" i="53"/>
  <c r="D221" i="19"/>
  <c r="D222" i="19"/>
  <c r="D272" i="19"/>
  <c r="D273" i="19"/>
  <c r="D225" i="19"/>
  <c r="O105" i="54"/>
  <c r="AP10" i="51"/>
  <c r="J12" i="51"/>
  <c r="J36" i="51"/>
  <c r="K10" i="51"/>
  <c r="C124" i="19"/>
  <c r="D144" i="14" s="1"/>
  <c r="D144" i="12"/>
  <c r="G47" i="12"/>
  <c r="M109" i="54"/>
  <c r="AT68" i="51"/>
  <c r="F47" i="14"/>
  <c r="K111" i="54"/>
  <c r="H44" i="51"/>
  <c r="J13" i="12"/>
  <c r="J62" i="12"/>
  <c r="K12" i="12"/>
  <c r="AP66" i="51"/>
  <c r="C104" i="19"/>
  <c r="D106" i="14" s="1"/>
  <c r="D106" i="12"/>
  <c r="G111" i="54"/>
  <c r="G16" i="14"/>
  <c r="AM44" i="51"/>
  <c r="D265" i="20"/>
  <c r="D288" i="20"/>
  <c r="D289" i="20" s="1"/>
  <c r="E51" i="51"/>
  <c r="F103" i="14"/>
  <c r="H103" i="14"/>
  <c r="AN21" i="51"/>
  <c r="I94" i="14"/>
  <c r="I157" i="54"/>
  <c r="H16" i="14"/>
  <c r="I24" i="51"/>
  <c r="I36" i="12"/>
  <c r="I32" i="12"/>
  <c r="AO68" i="51"/>
  <c r="C281" i="20"/>
  <c r="C283" i="20"/>
  <c r="C284" i="20"/>
  <c r="C285" i="20"/>
  <c r="C286" i="20"/>
  <c r="C282" i="20"/>
  <c r="I44" i="14"/>
  <c r="I48" i="14"/>
  <c r="I49" i="14"/>
  <c r="H38" i="19"/>
  <c r="I122" i="14"/>
  <c r="N107" i="54"/>
  <c r="E84" i="14"/>
  <c r="O107" i="54"/>
  <c r="I38" i="51"/>
  <c r="I37" i="51"/>
  <c r="M107" i="54"/>
  <c r="AL43" i="51"/>
  <c r="AL17" i="51"/>
  <c r="D146" i="14"/>
  <c r="D95" i="14"/>
  <c r="K138" i="14"/>
  <c r="AN68" i="51"/>
  <c r="K109" i="54"/>
  <c r="G35" i="53"/>
  <c r="H59" i="51"/>
  <c r="I63" i="12"/>
  <c r="I64" i="12"/>
  <c r="G45" i="14"/>
  <c r="AJ4" i="55"/>
  <c r="G107" i="54"/>
  <c r="N94" i="14"/>
  <c r="I103" i="14"/>
  <c r="J126" i="14"/>
  <c r="E102" i="12"/>
  <c r="E20" i="12"/>
  <c r="E24" i="12"/>
  <c r="E25" i="12"/>
  <c r="D37" i="20"/>
  <c r="P43" i="20" s="1"/>
  <c r="E69" i="12"/>
  <c r="AN24" i="51"/>
  <c r="AK62" i="51"/>
  <c r="D109" i="54"/>
  <c r="F81" i="14"/>
  <c r="F19" i="14"/>
  <c r="H135" i="14"/>
  <c r="J41" i="14"/>
  <c r="J42" i="14"/>
  <c r="K40" i="14"/>
  <c r="AJ9" i="55"/>
  <c r="AU68" i="51"/>
  <c r="N105" i="54"/>
  <c r="F68" i="12"/>
  <c r="O111" i="54"/>
  <c r="AO12" i="51"/>
  <c r="AO36" i="51"/>
  <c r="K157" i="53"/>
  <c r="L66" i="51" s="1"/>
  <c r="D135" i="14"/>
  <c r="C179" i="19"/>
  <c r="H33" i="12"/>
  <c r="C122" i="19"/>
  <c r="D140" i="14" s="1"/>
  <c r="D140" i="12"/>
  <c r="AJ68" i="51"/>
  <c r="M111" i="54"/>
  <c r="AJ72" i="51"/>
  <c r="AJ54" i="51"/>
  <c r="H82" i="12"/>
  <c r="E107" i="54"/>
  <c r="AP50" i="51"/>
  <c r="L138" i="14"/>
  <c r="C224" i="53"/>
  <c r="C226" i="53"/>
  <c r="C222" i="53"/>
  <c r="C227" i="53"/>
  <c r="C225" i="53"/>
  <c r="C223" i="53"/>
  <c r="G43" i="51"/>
  <c r="G17" i="51"/>
  <c r="J41" i="12"/>
  <c r="J42" i="12"/>
  <c r="K40" i="12"/>
  <c r="F105" i="54"/>
  <c r="E37" i="12"/>
  <c r="AL68" i="51"/>
  <c r="E84" i="12"/>
  <c r="H44" i="12"/>
  <c r="G38" i="20"/>
  <c r="H48" i="12"/>
  <c r="H49" i="12"/>
  <c r="H122" i="12"/>
  <c r="N103" i="14"/>
  <c r="D143" i="12"/>
  <c r="K103" i="14"/>
  <c r="D205" i="53"/>
  <c r="D208" i="53"/>
  <c r="AN38" i="51"/>
  <c r="AN37" i="51"/>
  <c r="J31" i="12"/>
  <c r="J28" i="12"/>
  <c r="J27" i="12"/>
  <c r="J30" i="12"/>
  <c r="K26" i="12"/>
  <c r="J13" i="14"/>
  <c r="J62" i="14"/>
  <c r="K12" i="14"/>
  <c r="AN14" i="51"/>
  <c r="AN13" i="51"/>
  <c r="I14" i="14"/>
  <c r="AR50" i="51"/>
  <c r="D105" i="54"/>
  <c r="AQ50" i="51"/>
  <c r="I82" i="14"/>
  <c r="G134" i="12"/>
  <c r="G71" i="12"/>
  <c r="G66" i="12"/>
  <c r="G70" i="12"/>
  <c r="F40" i="20"/>
  <c r="K46" i="20" s="1"/>
  <c r="AK53" i="51"/>
  <c r="I109" i="54"/>
  <c r="H39" i="51"/>
  <c r="F67" i="12"/>
  <c r="J27" i="14"/>
  <c r="J31" i="14"/>
  <c r="J30" i="14"/>
  <c r="J28" i="14"/>
  <c r="K26" i="14"/>
  <c r="I135" i="14"/>
  <c r="O109" i="54"/>
  <c r="I14" i="51"/>
  <c r="I13" i="51"/>
  <c r="D139" i="12"/>
  <c r="D97" i="14"/>
  <c r="H33" i="14"/>
  <c r="AJ50" i="51"/>
  <c r="D71" i="51"/>
  <c r="D51" i="51"/>
  <c r="L111" i="54"/>
  <c r="C120" i="19"/>
  <c r="D99" i="14" s="1"/>
  <c r="D99" i="12"/>
  <c r="E105" i="54"/>
  <c r="AP68" i="51"/>
  <c r="I83" i="12"/>
  <c r="C106" i="19"/>
  <c r="D110" i="14" s="1"/>
  <c r="D110" i="12"/>
  <c r="J103" i="14"/>
  <c r="H94" i="14"/>
  <c r="F109" i="54"/>
  <c r="J27" i="51"/>
  <c r="J28" i="51"/>
  <c r="AP26" i="51"/>
  <c r="K26" i="51"/>
  <c r="H16" i="12"/>
  <c r="C112" i="19"/>
  <c r="D132" i="14" s="1"/>
  <c r="D132" i="12"/>
  <c r="D94" i="20"/>
  <c r="D86" i="19" s="1"/>
  <c r="D93" i="20"/>
  <c r="D95" i="20"/>
  <c r="D87" i="19" s="1"/>
  <c r="D91" i="20"/>
  <c r="D92" i="20"/>
  <c r="D82" i="19"/>
  <c r="E124" i="14" s="1"/>
  <c r="H126" i="14"/>
  <c r="H109" i="54"/>
  <c r="F33" i="53"/>
  <c r="F39" i="53" s="1"/>
  <c r="G48" i="51"/>
  <c r="E95" i="12"/>
  <c r="AU50" i="51" l="1"/>
  <c r="E204" i="53"/>
  <c r="D204" i="54"/>
  <c r="E9" i="55"/>
  <c r="J14" i="14"/>
  <c r="F95" i="12"/>
  <c r="F37" i="54"/>
  <c r="K43" i="54" s="1"/>
  <c r="K156" i="54" s="1"/>
  <c r="K157" i="54" s="1"/>
  <c r="AN50" i="51"/>
  <c r="I16" i="12"/>
  <c r="H35" i="53"/>
  <c r="AK4" i="55"/>
  <c r="I82" i="12"/>
  <c r="G17" i="12"/>
  <c r="J14" i="12"/>
  <c r="AT50" i="51"/>
  <c r="F127" i="12"/>
  <c r="H66" i="12"/>
  <c r="I65" i="14"/>
  <c r="D147" i="14"/>
  <c r="E127" i="14"/>
  <c r="AM65" i="51"/>
  <c r="E159" i="53"/>
  <c r="J34" i="12"/>
  <c r="G40" i="20"/>
  <c r="L46" i="20" s="1"/>
  <c r="D159" i="54"/>
  <c r="J38" i="14"/>
  <c r="H70" i="12"/>
  <c r="H71" i="12"/>
  <c r="H134" i="12"/>
  <c r="I59" i="51"/>
  <c r="E176" i="19"/>
  <c r="I65" i="12"/>
  <c r="D162" i="54"/>
  <c r="F51" i="51"/>
  <c r="E145" i="12"/>
  <c r="I39" i="51"/>
  <c r="D154" i="14"/>
  <c r="E133" i="14"/>
  <c r="J43" i="12"/>
  <c r="AL50" i="51"/>
  <c r="E71" i="51"/>
  <c r="D148" i="12"/>
  <c r="E145" i="14"/>
  <c r="D152" i="14"/>
  <c r="D84" i="19"/>
  <c r="E131" i="14" s="1"/>
  <c r="E131" i="12"/>
  <c r="D152" i="12"/>
  <c r="J34" i="14"/>
  <c r="F44" i="53"/>
  <c r="F77" i="53"/>
  <c r="F75" i="53"/>
  <c r="F69" i="53"/>
  <c r="F70" i="53" s="1"/>
  <c r="G49" i="51" s="1"/>
  <c r="F71" i="53"/>
  <c r="F72" i="53" s="1"/>
  <c r="G57" i="51" s="1"/>
  <c r="D83" i="19"/>
  <c r="E128" i="14" s="1"/>
  <c r="E128" i="12"/>
  <c r="J29" i="51"/>
  <c r="D108" i="14"/>
  <c r="D73" i="51"/>
  <c r="F69" i="12"/>
  <c r="J83" i="14"/>
  <c r="E143" i="12"/>
  <c r="J83" i="12"/>
  <c r="D227" i="19"/>
  <c r="D229" i="19"/>
  <c r="D226" i="19"/>
  <c r="D228" i="19"/>
  <c r="AL49" i="51"/>
  <c r="AW53" i="51"/>
  <c r="H47" i="14"/>
  <c r="AM43" i="51"/>
  <c r="AM17" i="51"/>
  <c r="D141" i="14"/>
  <c r="F37" i="12"/>
  <c r="F47" i="19"/>
  <c r="D65" i="19"/>
  <c r="E96" i="14" s="1"/>
  <c r="E96" i="12"/>
  <c r="E115" i="12"/>
  <c r="E146" i="12"/>
  <c r="E139" i="12"/>
  <c r="AN59" i="51"/>
  <c r="G35" i="54"/>
  <c r="F52" i="19"/>
  <c r="F49" i="19" s="1"/>
  <c r="F177" i="19" s="1"/>
  <c r="F96" i="20"/>
  <c r="F90" i="20"/>
  <c r="F53" i="19"/>
  <c r="G93" i="12"/>
  <c r="F55" i="19"/>
  <c r="F51" i="19"/>
  <c r="G124" i="12"/>
  <c r="F60" i="19"/>
  <c r="F62" i="19"/>
  <c r="F221" i="20"/>
  <c r="F61" i="19"/>
  <c r="F58" i="19"/>
  <c r="F57" i="19"/>
  <c r="F59" i="19"/>
  <c r="F50" i="19"/>
  <c r="F54" i="19"/>
  <c r="F47" i="20"/>
  <c r="F78" i="20"/>
  <c r="F84" i="20"/>
  <c r="F72" i="20"/>
  <c r="C236" i="19"/>
  <c r="C248" i="19" s="1"/>
  <c r="C237" i="19"/>
  <c r="C219" i="53"/>
  <c r="C231" i="53" s="1"/>
  <c r="C232" i="53" s="1"/>
  <c r="C233" i="53" s="1"/>
  <c r="C220" i="53"/>
  <c r="E75" i="20"/>
  <c r="E73" i="20"/>
  <c r="E77" i="20"/>
  <c r="E69" i="19" s="1"/>
  <c r="E76" i="20"/>
  <c r="E74" i="20"/>
  <c r="E66" i="19" s="1"/>
  <c r="E64" i="19"/>
  <c r="F93" i="14" s="1"/>
  <c r="C211" i="54"/>
  <c r="C210" i="54"/>
  <c r="C209" i="54"/>
  <c r="C212" i="54"/>
  <c r="AJ71" i="51"/>
  <c r="AJ51" i="51"/>
  <c r="H17" i="12"/>
  <c r="AR66" i="51"/>
  <c r="G81" i="12"/>
  <c r="G19" i="12"/>
  <c r="E105" i="12"/>
  <c r="I25" i="51"/>
  <c r="D91" i="19"/>
  <c r="E144" i="14" s="1"/>
  <c r="E144" i="12"/>
  <c r="F37" i="14"/>
  <c r="E69" i="54"/>
  <c r="E70" i="54" s="1"/>
  <c r="E71" i="54"/>
  <c r="E72" i="54" s="1"/>
  <c r="E77" i="54"/>
  <c r="E44" i="54"/>
  <c r="AL4" i="55" s="1"/>
  <c r="E75" i="54"/>
  <c r="E76" i="54" s="1"/>
  <c r="AO24" i="51"/>
  <c r="E119" i="12"/>
  <c r="D72" i="19"/>
  <c r="E119" i="14" s="1"/>
  <c r="J214" i="20"/>
  <c r="J172" i="19" s="1"/>
  <c r="J213" i="20"/>
  <c r="J171" i="19" s="1"/>
  <c r="J215" i="20"/>
  <c r="J173" i="19" s="1"/>
  <c r="J216" i="20"/>
  <c r="J174" i="19" s="1"/>
  <c r="J212" i="20"/>
  <c r="J170" i="19" s="1"/>
  <c r="K135" i="12"/>
  <c r="J169" i="19"/>
  <c r="D206" i="53"/>
  <c r="D207" i="53" s="1"/>
  <c r="D229" i="53"/>
  <c r="D230" i="53" s="1"/>
  <c r="G35" i="12"/>
  <c r="D107" i="12"/>
  <c r="E83" i="20"/>
  <c r="E75" i="19" s="1"/>
  <c r="E70" i="19"/>
  <c r="F114" i="14" s="1"/>
  <c r="E80" i="20"/>
  <c r="E79" i="20"/>
  <c r="E82" i="20"/>
  <c r="F114" i="12"/>
  <c r="E81" i="20"/>
  <c r="E94" i="20"/>
  <c r="E92" i="20"/>
  <c r="E84" i="19" s="1"/>
  <c r="E93" i="20"/>
  <c r="E91" i="20"/>
  <c r="E95" i="20"/>
  <c r="E87" i="19" s="1"/>
  <c r="E82" i="19"/>
  <c r="F124" i="14" s="1"/>
  <c r="G33" i="53"/>
  <c r="G39" i="53" s="1"/>
  <c r="H48" i="51"/>
  <c r="K23" i="51"/>
  <c r="K19" i="51"/>
  <c r="K20" i="51"/>
  <c r="AQ18" i="51"/>
  <c r="K22" i="51"/>
  <c r="L18" i="51"/>
  <c r="K28" i="51"/>
  <c r="K27" i="51"/>
  <c r="AQ26" i="51"/>
  <c r="L26" i="51"/>
  <c r="K167" i="19"/>
  <c r="K166" i="19" s="1"/>
  <c r="K211" i="20"/>
  <c r="D85" i="19"/>
  <c r="E132" i="14" s="1"/>
  <c r="E132" i="12"/>
  <c r="AP27" i="51"/>
  <c r="AP28" i="51"/>
  <c r="G68" i="12"/>
  <c r="J38" i="12"/>
  <c r="H45" i="12"/>
  <c r="G47" i="14"/>
  <c r="H67" i="12"/>
  <c r="AQ10" i="51"/>
  <c r="L10" i="51"/>
  <c r="K36" i="51"/>
  <c r="K12" i="51"/>
  <c r="E205" i="53"/>
  <c r="E208" i="53"/>
  <c r="E85" i="14"/>
  <c r="E106" i="14"/>
  <c r="E146" i="14"/>
  <c r="E72" i="51"/>
  <c r="E143" i="14"/>
  <c r="AQ66" i="51"/>
  <c r="AK61" i="51"/>
  <c r="E64" i="51"/>
  <c r="D107" i="14"/>
  <c r="E87" i="20"/>
  <c r="E79" i="19" s="1"/>
  <c r="E86" i="20"/>
  <c r="E78" i="19" s="1"/>
  <c r="E89" i="20"/>
  <c r="E81" i="19" s="1"/>
  <c r="E85" i="20"/>
  <c r="E77" i="19" s="1"/>
  <c r="E88" i="20"/>
  <c r="E80" i="19" s="1"/>
  <c r="F104" i="12"/>
  <c r="E76" i="19"/>
  <c r="F104" i="14" s="1"/>
  <c r="D179" i="19"/>
  <c r="AP23" i="51"/>
  <c r="AP20" i="51"/>
  <c r="AP19" i="51"/>
  <c r="AP22" i="51"/>
  <c r="G36" i="19"/>
  <c r="G42" i="19" s="1"/>
  <c r="H92" i="14"/>
  <c r="H39" i="14"/>
  <c r="J32" i="14"/>
  <c r="H65" i="51"/>
  <c r="G37" i="53"/>
  <c r="L43" i="53" s="1"/>
  <c r="L156" i="53" s="1"/>
  <c r="K28" i="12"/>
  <c r="K31" i="12"/>
  <c r="K27" i="12"/>
  <c r="K30" i="12"/>
  <c r="L26" i="12"/>
  <c r="H46" i="12"/>
  <c r="G52" i="51"/>
  <c r="F34" i="53"/>
  <c r="R40" i="53" s="1"/>
  <c r="AO37" i="51"/>
  <c r="AO38" i="51"/>
  <c r="P96" i="19"/>
  <c r="P95" i="19" s="1"/>
  <c r="Q94" i="12"/>
  <c r="P139" i="20"/>
  <c r="P133" i="20"/>
  <c r="P127" i="20"/>
  <c r="P100" i="19"/>
  <c r="Q126" i="12"/>
  <c r="P97" i="19"/>
  <c r="P101" i="19"/>
  <c r="P145" i="20"/>
  <c r="P99" i="19"/>
  <c r="P98" i="19"/>
  <c r="J15" i="12"/>
  <c r="J37" i="51"/>
  <c r="J38" i="51"/>
  <c r="E78" i="53"/>
  <c r="F61" i="51" s="1"/>
  <c r="E162" i="53"/>
  <c r="E111" i="14"/>
  <c r="E21" i="14"/>
  <c r="E90" i="14"/>
  <c r="D89" i="19"/>
  <c r="E140" i="14" s="1"/>
  <c r="E140" i="12"/>
  <c r="G35" i="14"/>
  <c r="D153" i="12"/>
  <c r="D98" i="12"/>
  <c r="D154" i="12"/>
  <c r="D97" i="12"/>
  <c r="G95" i="12"/>
  <c r="F4" i="55"/>
  <c r="E315" i="20"/>
  <c r="E264" i="20"/>
  <c r="E314" i="20"/>
  <c r="E263" i="20"/>
  <c r="E267" i="20"/>
  <c r="E133" i="12"/>
  <c r="E139" i="14"/>
  <c r="H40" i="19"/>
  <c r="M46" i="19" s="1"/>
  <c r="I134" i="14"/>
  <c r="I71" i="14"/>
  <c r="I66" i="14"/>
  <c r="I70" i="14"/>
  <c r="J21" i="51"/>
  <c r="D130" i="12"/>
  <c r="G67" i="12"/>
  <c r="I15" i="14"/>
  <c r="G46" i="51"/>
  <c r="H39" i="12"/>
  <c r="H92" i="12"/>
  <c r="G36" i="20"/>
  <c r="G42" i="20" s="1"/>
  <c r="AO14" i="51"/>
  <c r="AO13" i="51"/>
  <c r="J43" i="14"/>
  <c r="E111" i="12"/>
  <c r="E90" i="12"/>
  <c r="E21" i="12"/>
  <c r="E34" i="54"/>
  <c r="Q40" i="54" s="1"/>
  <c r="AL52" i="51"/>
  <c r="I44" i="51"/>
  <c r="K62" i="12"/>
  <c r="K13" i="12"/>
  <c r="L12" i="12"/>
  <c r="D142" i="12"/>
  <c r="J14" i="51"/>
  <c r="J13" i="51"/>
  <c r="G68" i="14"/>
  <c r="Q110" i="53"/>
  <c r="Q111" i="53" s="1"/>
  <c r="Q104" i="53"/>
  <c r="Q105" i="53" s="1"/>
  <c r="R53" i="51" s="1"/>
  <c r="Q106" i="53"/>
  <c r="Q107" i="53" s="1"/>
  <c r="R62" i="51" s="1"/>
  <c r="Q108" i="53"/>
  <c r="Q109" i="53" s="1"/>
  <c r="D196" i="53"/>
  <c r="D197" i="53" s="1"/>
  <c r="E163" i="53"/>
  <c r="E99" i="14"/>
  <c r="E221" i="19"/>
  <c r="E273" i="19"/>
  <c r="E272" i="19"/>
  <c r="E222" i="19"/>
  <c r="E225" i="19"/>
  <c r="I33" i="14"/>
  <c r="D255" i="20"/>
  <c r="D256" i="20" s="1"/>
  <c r="E222" i="20"/>
  <c r="I33" i="12"/>
  <c r="D266" i="20"/>
  <c r="E147" i="14"/>
  <c r="E95" i="14"/>
  <c r="E115" i="14"/>
  <c r="D153" i="14"/>
  <c r="D98" i="14"/>
  <c r="AJ70" i="51"/>
  <c r="D129" i="12"/>
  <c r="P108" i="54"/>
  <c r="P109" i="54" s="1"/>
  <c r="P104" i="54"/>
  <c r="P105" i="54" s="1"/>
  <c r="P110" i="54"/>
  <c r="P111" i="54" s="1"/>
  <c r="P106" i="54"/>
  <c r="P107" i="54" s="1"/>
  <c r="I122" i="12"/>
  <c r="I44" i="12"/>
  <c r="H38" i="20"/>
  <c r="I49" i="12"/>
  <c r="I48" i="12"/>
  <c r="F147" i="12"/>
  <c r="F9" i="55"/>
  <c r="E265" i="20"/>
  <c r="E288" i="20"/>
  <c r="E289" i="20" s="1"/>
  <c r="C272" i="20"/>
  <c r="C273" i="20"/>
  <c r="J24" i="51"/>
  <c r="D130" i="14"/>
  <c r="I15" i="51"/>
  <c r="J15" i="14"/>
  <c r="AN39" i="51"/>
  <c r="K41" i="14"/>
  <c r="K42" i="14"/>
  <c r="L40" i="14"/>
  <c r="E89" i="12"/>
  <c r="E22" i="12"/>
  <c r="E110" i="12"/>
  <c r="I134" i="12"/>
  <c r="I70" i="12"/>
  <c r="I71" i="12"/>
  <c r="I66" i="12"/>
  <c r="H40" i="20"/>
  <c r="M46" i="20" s="1"/>
  <c r="AL46" i="51"/>
  <c r="I65" i="51"/>
  <c r="H37" i="53"/>
  <c r="M43" i="53" s="1"/>
  <c r="M156" i="53" s="1"/>
  <c r="I45" i="14"/>
  <c r="AN25" i="51"/>
  <c r="D142" i="14"/>
  <c r="AP12" i="51"/>
  <c r="AP36" i="51"/>
  <c r="E105" i="14"/>
  <c r="AK67" i="51"/>
  <c r="E70" i="51"/>
  <c r="F54" i="51"/>
  <c r="C202" i="53"/>
  <c r="C199" i="53"/>
  <c r="C201" i="53"/>
  <c r="C198" i="53"/>
  <c r="C203" i="53"/>
  <c r="C200" i="53"/>
  <c r="J135" i="14"/>
  <c r="C260" i="20"/>
  <c r="C262" i="20"/>
  <c r="C261" i="20"/>
  <c r="C259" i="20"/>
  <c r="C258" i="20"/>
  <c r="C257" i="20"/>
  <c r="D149" i="12"/>
  <c r="C206" i="54"/>
  <c r="C207" i="54" s="1"/>
  <c r="C163" i="54"/>
  <c r="C229" i="54"/>
  <c r="C230" i="54" s="1"/>
  <c r="D68" i="19"/>
  <c r="E101" i="14" s="1"/>
  <c r="E101" i="12"/>
  <c r="D71" i="19"/>
  <c r="E116" i="14" s="1"/>
  <c r="E116" i="12"/>
  <c r="D205" i="54"/>
  <c r="D208" i="54"/>
  <c r="D129" i="14"/>
  <c r="AK54" i="51"/>
  <c r="C230" i="19"/>
  <c r="C231" i="19"/>
  <c r="C213" i="53"/>
  <c r="C214" i="53"/>
  <c r="K27" i="14"/>
  <c r="K31" i="14"/>
  <c r="K30" i="14"/>
  <c r="K28" i="14"/>
  <c r="L26" i="14"/>
  <c r="J29" i="14"/>
  <c r="L12" i="14"/>
  <c r="K62" i="14"/>
  <c r="K13" i="14"/>
  <c r="J32" i="12"/>
  <c r="E99" i="12"/>
  <c r="J122" i="12"/>
  <c r="I38" i="20"/>
  <c r="J48" i="12"/>
  <c r="J44" i="12"/>
  <c r="J49" i="12"/>
  <c r="C223" i="19"/>
  <c r="C224" i="19" s="1"/>
  <c r="C180" i="19"/>
  <c r="C246" i="19"/>
  <c r="C247" i="19" s="1"/>
  <c r="E37" i="19"/>
  <c r="Q43" i="19" s="1"/>
  <c r="F24" i="14"/>
  <c r="F20" i="14"/>
  <c r="F25" i="14"/>
  <c r="F102" i="14"/>
  <c r="AN44" i="51"/>
  <c r="I46" i="14"/>
  <c r="E76" i="53"/>
  <c r="F67" i="51"/>
  <c r="E89" i="14"/>
  <c r="E22" i="14"/>
  <c r="E110" i="14"/>
  <c r="G67" i="14"/>
  <c r="Q68" i="51"/>
  <c r="Q50" i="51"/>
  <c r="G17" i="14"/>
  <c r="I17" i="12"/>
  <c r="F81" i="12"/>
  <c r="F19" i="12"/>
  <c r="D149" i="14"/>
  <c r="AO21" i="51"/>
  <c r="H17" i="14"/>
  <c r="D67" i="19"/>
  <c r="E100" i="14" s="1"/>
  <c r="E100" i="12"/>
  <c r="E120" i="12"/>
  <c r="D73" i="19"/>
  <c r="E120" i="14" s="1"/>
  <c r="D141" i="12"/>
  <c r="I36" i="14"/>
  <c r="E98" i="20"/>
  <c r="E90" i="19" s="1"/>
  <c r="E97" i="20"/>
  <c r="E99" i="20"/>
  <c r="E101" i="20"/>
  <c r="E93" i="19" s="1"/>
  <c r="E100" i="20"/>
  <c r="E88" i="19"/>
  <c r="F136" i="12"/>
  <c r="E220" i="20"/>
  <c r="AK51" i="51"/>
  <c r="F33" i="54"/>
  <c r="F39" i="54" s="1"/>
  <c r="AM48" i="51"/>
  <c r="F69" i="14"/>
  <c r="D108" i="12"/>
  <c r="AN15" i="51"/>
  <c r="J64" i="14"/>
  <c r="J63" i="14"/>
  <c r="J29" i="12"/>
  <c r="D209" i="53"/>
  <c r="D210" i="53"/>
  <c r="D211" i="53"/>
  <c r="D212" i="53"/>
  <c r="K41" i="12"/>
  <c r="K42" i="12"/>
  <c r="L40" i="12"/>
  <c r="D139" i="14"/>
  <c r="F84" i="14"/>
  <c r="E85" i="12"/>
  <c r="E106" i="12"/>
  <c r="L211" i="20"/>
  <c r="D206" i="54"/>
  <c r="D207" i="54" s="1"/>
  <c r="D229" i="54"/>
  <c r="D230" i="54" s="1"/>
  <c r="AK9" i="55"/>
  <c r="J64" i="12"/>
  <c r="J63" i="12"/>
  <c r="AL57" i="51"/>
  <c r="F58" i="51"/>
  <c r="AW62" i="51"/>
  <c r="J157" i="54"/>
  <c r="H43" i="51"/>
  <c r="H17" i="51"/>
  <c r="AK58" i="51"/>
  <c r="D268" i="20"/>
  <c r="D269" i="20"/>
  <c r="D271" i="20"/>
  <c r="D270" i="20"/>
  <c r="AO29" i="51"/>
  <c r="D74" i="19"/>
  <c r="E121" i="14" s="1"/>
  <c r="E121" i="12"/>
  <c r="G40" i="19"/>
  <c r="L46" i="19" s="1"/>
  <c r="L167" i="19" s="1"/>
  <c r="L166" i="19" s="1"/>
  <c r="H134" i="14"/>
  <c r="H70" i="14"/>
  <c r="H71" i="14"/>
  <c r="H66" i="14"/>
  <c r="C279" i="20"/>
  <c r="C278" i="20"/>
  <c r="C290" i="20" s="1"/>
  <c r="C291" i="20" s="1"/>
  <c r="C292" i="20" s="1"/>
  <c r="F204" i="53" l="1"/>
  <c r="E204" i="54"/>
  <c r="AK71" i="51"/>
  <c r="F218" i="20"/>
  <c r="I16" i="14"/>
  <c r="G51" i="51"/>
  <c r="F127" i="14"/>
  <c r="G127" i="12"/>
  <c r="E141" i="14"/>
  <c r="E141" i="12"/>
  <c r="H68" i="12"/>
  <c r="J36" i="14"/>
  <c r="K14" i="14"/>
  <c r="E129" i="14"/>
  <c r="K29" i="51"/>
  <c r="F159" i="53"/>
  <c r="F131" i="12"/>
  <c r="E159" i="54"/>
  <c r="F176" i="19"/>
  <c r="K43" i="14"/>
  <c r="AL51" i="51"/>
  <c r="F131" i="14"/>
  <c r="D150" i="14"/>
  <c r="C234" i="53"/>
  <c r="C235" i="53" s="1"/>
  <c r="J65" i="12"/>
  <c r="D226" i="54"/>
  <c r="D222" i="54"/>
  <c r="D227" i="54"/>
  <c r="D225" i="54"/>
  <c r="D223" i="54"/>
  <c r="D224" i="54"/>
  <c r="H67" i="14"/>
  <c r="J70" i="12"/>
  <c r="F143" i="14"/>
  <c r="E153" i="12"/>
  <c r="E98" i="12"/>
  <c r="AW68" i="51"/>
  <c r="AL67" i="51"/>
  <c r="F70" i="51"/>
  <c r="J45" i="12"/>
  <c r="K15" i="14"/>
  <c r="J33" i="14"/>
  <c r="E154" i="14"/>
  <c r="E97" i="14"/>
  <c r="I43" i="51"/>
  <c r="I17" i="51"/>
  <c r="D261" i="20"/>
  <c r="D262" i="20"/>
  <c r="D260" i="20"/>
  <c r="D257" i="20"/>
  <c r="D258" i="20"/>
  <c r="D259" i="20"/>
  <c r="AX62" i="51"/>
  <c r="L13" i="12"/>
  <c r="L62" i="12"/>
  <c r="M12" i="12"/>
  <c r="E269" i="20"/>
  <c r="E268" i="20"/>
  <c r="E271" i="20"/>
  <c r="E270" i="20"/>
  <c r="Q103" i="12"/>
  <c r="P130" i="20"/>
  <c r="P106" i="19" s="1"/>
  <c r="P131" i="20"/>
  <c r="P107" i="19" s="1"/>
  <c r="P132" i="20"/>
  <c r="P108" i="19" s="1"/>
  <c r="P128" i="20"/>
  <c r="P104" i="19" s="1"/>
  <c r="P129" i="20"/>
  <c r="P105" i="19" s="1"/>
  <c r="P103" i="19"/>
  <c r="Q103" i="14" s="1"/>
  <c r="AO39" i="51"/>
  <c r="K29" i="12"/>
  <c r="D223" i="19"/>
  <c r="D224" i="19" s="1"/>
  <c r="D246" i="19"/>
  <c r="D247" i="19" s="1"/>
  <c r="AQ12" i="51"/>
  <c r="AQ36" i="51"/>
  <c r="AP29" i="51"/>
  <c r="L28" i="51"/>
  <c r="L27" i="51"/>
  <c r="AR26" i="51"/>
  <c r="M26" i="51"/>
  <c r="E83" i="19"/>
  <c r="F128" i="14" s="1"/>
  <c r="F128" i="12"/>
  <c r="E72" i="19"/>
  <c r="F119" i="14" s="1"/>
  <c r="F119" i="12"/>
  <c r="E142" i="12"/>
  <c r="C236" i="53"/>
  <c r="AM49" i="51"/>
  <c r="L42" i="12"/>
  <c r="L41" i="12"/>
  <c r="M40" i="12"/>
  <c r="D220" i="53"/>
  <c r="D219" i="53"/>
  <c r="D231" i="53" s="1"/>
  <c r="D232" i="53" s="1"/>
  <c r="F139" i="12"/>
  <c r="E153" i="14"/>
  <c r="E98" i="14"/>
  <c r="F20" i="12"/>
  <c r="F25" i="12"/>
  <c r="F24" i="12"/>
  <c r="F102" i="12"/>
  <c r="E37" i="20"/>
  <c r="Q43" i="20" s="1"/>
  <c r="K64" i="14"/>
  <c r="K63" i="14"/>
  <c r="K29" i="14"/>
  <c r="AX53" i="51"/>
  <c r="J15" i="51"/>
  <c r="K83" i="12"/>
  <c r="AO15" i="51"/>
  <c r="I17" i="14"/>
  <c r="E266" i="20"/>
  <c r="D151" i="12"/>
  <c r="P136" i="20"/>
  <c r="P112" i="19" s="1"/>
  <c r="P134" i="20"/>
  <c r="P110" i="19" s="1"/>
  <c r="P135" i="20"/>
  <c r="P111" i="19" s="1"/>
  <c r="P138" i="20"/>
  <c r="P114" i="19" s="1"/>
  <c r="P137" i="20"/>
  <c r="P113" i="19" s="1"/>
  <c r="P109" i="19"/>
  <c r="Q126" i="14" s="1"/>
  <c r="K216" i="20"/>
  <c r="K174" i="19" s="1"/>
  <c r="K215" i="20"/>
  <c r="K173" i="19" s="1"/>
  <c r="K214" i="20"/>
  <c r="K172" i="19" s="1"/>
  <c r="K212" i="20"/>
  <c r="K170" i="19" s="1"/>
  <c r="K213" i="20"/>
  <c r="K171" i="19" s="1"/>
  <c r="L135" i="12"/>
  <c r="K169" i="19"/>
  <c r="AQ27" i="51"/>
  <c r="AQ28" i="51"/>
  <c r="L22" i="51"/>
  <c r="L23" i="51"/>
  <c r="AR18" i="51"/>
  <c r="L20" i="51"/>
  <c r="L19" i="51"/>
  <c r="M18" i="51"/>
  <c r="E85" i="19"/>
  <c r="F132" i="14" s="1"/>
  <c r="F132" i="12"/>
  <c r="F115" i="14"/>
  <c r="D222" i="53"/>
  <c r="D223" i="53"/>
  <c r="D225" i="53"/>
  <c r="D227" i="53"/>
  <c r="D224" i="53"/>
  <c r="D226" i="53"/>
  <c r="E205" i="54"/>
  <c r="E208" i="54"/>
  <c r="E142" i="14"/>
  <c r="G25" i="12"/>
  <c r="G24" i="12"/>
  <c r="G20" i="12"/>
  <c r="F37" i="20"/>
  <c r="R43" i="20" s="1"/>
  <c r="G102" i="12"/>
  <c r="E68" i="19"/>
  <c r="F101" i="14" s="1"/>
  <c r="F101" i="12"/>
  <c r="F99" i="12"/>
  <c r="F76" i="53"/>
  <c r="G67" i="51"/>
  <c r="D213" i="53"/>
  <c r="D214" i="53"/>
  <c r="F136" i="14"/>
  <c r="E179" i="19"/>
  <c r="H81" i="14"/>
  <c r="H19" i="14"/>
  <c r="F84" i="12"/>
  <c r="I81" i="12"/>
  <c r="I19" i="12"/>
  <c r="G69" i="14"/>
  <c r="J82" i="14"/>
  <c r="L13" i="14"/>
  <c r="L62" i="14"/>
  <c r="M12" i="14"/>
  <c r="L28" i="14"/>
  <c r="L27" i="14"/>
  <c r="L30" i="14"/>
  <c r="L31" i="14"/>
  <c r="M26" i="14"/>
  <c r="C196" i="54"/>
  <c r="C197" i="54" s="1"/>
  <c r="D163" i="54"/>
  <c r="BP9" i="55"/>
  <c r="K49" i="14"/>
  <c r="AL9" i="55"/>
  <c r="H36" i="19"/>
  <c r="H42" i="19" s="1"/>
  <c r="I39" i="14"/>
  <c r="I92" i="14"/>
  <c r="K63" i="12"/>
  <c r="K64" i="12"/>
  <c r="E86" i="12"/>
  <c r="E107" i="12"/>
  <c r="E23" i="12"/>
  <c r="I67" i="14"/>
  <c r="G37" i="14"/>
  <c r="E86" i="14"/>
  <c r="E107" i="14"/>
  <c r="E23" i="14"/>
  <c r="P140" i="20"/>
  <c r="P116" i="19" s="1"/>
  <c r="P141" i="20"/>
  <c r="P117" i="19" s="1"/>
  <c r="P142" i="20"/>
  <c r="P118" i="19" s="1"/>
  <c r="P144" i="20"/>
  <c r="P120" i="19" s="1"/>
  <c r="P143" i="20"/>
  <c r="P119" i="19" s="1"/>
  <c r="P115" i="19"/>
  <c r="Q94" i="14" s="1"/>
  <c r="L157" i="53"/>
  <c r="M66" i="51" s="1"/>
  <c r="AP24" i="51"/>
  <c r="E211" i="53"/>
  <c r="E210" i="53"/>
  <c r="E212" i="53"/>
  <c r="E209" i="53"/>
  <c r="J35" i="53"/>
  <c r="K59" i="51"/>
  <c r="E78" i="54"/>
  <c r="E162" i="54"/>
  <c r="G84" i="12"/>
  <c r="C219" i="54"/>
  <c r="C231" i="54" s="1"/>
  <c r="C232" i="54" s="1"/>
  <c r="C233" i="54" s="1"/>
  <c r="C220" i="54"/>
  <c r="J82" i="12"/>
  <c r="L212" i="20"/>
  <c r="L170" i="19" s="1"/>
  <c r="L216" i="20"/>
  <c r="L174" i="19" s="1"/>
  <c r="L213" i="20"/>
  <c r="L171" i="19" s="1"/>
  <c r="L215" i="20"/>
  <c r="L173" i="19" s="1"/>
  <c r="L214" i="20"/>
  <c r="L172" i="19" s="1"/>
  <c r="M135" i="12"/>
  <c r="L169" i="19"/>
  <c r="K43" i="12"/>
  <c r="E92" i="19"/>
  <c r="F145" i="14" s="1"/>
  <c r="F145" i="12"/>
  <c r="F105" i="14"/>
  <c r="J46" i="12"/>
  <c r="K38" i="14"/>
  <c r="C225" i="54"/>
  <c r="C227" i="54"/>
  <c r="C224" i="54"/>
  <c r="C226" i="54"/>
  <c r="C223" i="54"/>
  <c r="C222" i="54"/>
  <c r="AP38" i="51"/>
  <c r="AP37" i="51"/>
  <c r="AN48" i="51"/>
  <c r="G33" i="54"/>
  <c r="G39" i="54" s="1"/>
  <c r="M157" i="53"/>
  <c r="N66" i="51" s="1"/>
  <c r="L41" i="14"/>
  <c r="L42" i="14"/>
  <c r="M40" i="14"/>
  <c r="AN65" i="51"/>
  <c r="G37" i="54"/>
  <c r="L43" i="54" s="1"/>
  <c r="L156" i="54" s="1"/>
  <c r="D281" i="20"/>
  <c r="D286" i="20"/>
  <c r="D285" i="20"/>
  <c r="D283" i="20"/>
  <c r="D282" i="20"/>
  <c r="D284" i="20"/>
  <c r="J25" i="51"/>
  <c r="D150" i="12"/>
  <c r="P148" i="20"/>
  <c r="P124" i="19" s="1"/>
  <c r="P147" i="20"/>
  <c r="P123" i="19" s="1"/>
  <c r="P149" i="20"/>
  <c r="P125" i="19" s="1"/>
  <c r="P150" i="20"/>
  <c r="P126" i="19" s="1"/>
  <c r="P146" i="20"/>
  <c r="P122" i="19" s="1"/>
  <c r="Q138" i="12"/>
  <c r="P121" i="19"/>
  <c r="Q138" i="14" s="1"/>
  <c r="K38" i="12"/>
  <c r="K24" i="51"/>
  <c r="E86" i="19"/>
  <c r="F133" i="14" s="1"/>
  <c r="F133" i="12"/>
  <c r="K135" i="14"/>
  <c r="E65" i="19"/>
  <c r="F96" i="14" s="1"/>
  <c r="F96" i="12"/>
  <c r="F74" i="20"/>
  <c r="F66" i="19" s="1"/>
  <c r="F76" i="20"/>
  <c r="F75" i="20"/>
  <c r="F77" i="20"/>
  <c r="F69" i="19" s="1"/>
  <c r="F73" i="20"/>
  <c r="F64" i="19"/>
  <c r="G93" i="14" s="1"/>
  <c r="G147" i="12"/>
  <c r="E149" i="12"/>
  <c r="F72" i="51"/>
  <c r="F143" i="12"/>
  <c r="F78" i="53"/>
  <c r="G61" i="51" s="1"/>
  <c r="F162" i="53"/>
  <c r="D279" i="20"/>
  <c r="D278" i="20"/>
  <c r="E117" i="12"/>
  <c r="E117" i="14"/>
  <c r="H68" i="14"/>
  <c r="AN43" i="51"/>
  <c r="AN17" i="51"/>
  <c r="F69" i="54"/>
  <c r="F70" i="54" s="1"/>
  <c r="F44" i="54"/>
  <c r="F77" i="54"/>
  <c r="F75" i="54"/>
  <c r="F76" i="54" s="1"/>
  <c r="F71" i="54"/>
  <c r="F72" i="54" s="1"/>
  <c r="AO25" i="51"/>
  <c r="G81" i="14"/>
  <c r="G19" i="14"/>
  <c r="C249" i="19"/>
  <c r="C250" i="19" s="1"/>
  <c r="C253" i="19" s="1"/>
  <c r="K34" i="14"/>
  <c r="AK70" i="51"/>
  <c r="AP14" i="51"/>
  <c r="AP13" i="51"/>
  <c r="M167" i="19"/>
  <c r="M166" i="19" s="1"/>
  <c r="M211" i="20"/>
  <c r="J44" i="51"/>
  <c r="I92" i="12"/>
  <c r="I39" i="12"/>
  <c r="H36" i="20"/>
  <c r="H42" i="20" s="1"/>
  <c r="E226" i="19"/>
  <c r="E227" i="19"/>
  <c r="E229" i="19"/>
  <c r="E228" i="19"/>
  <c r="G69" i="12"/>
  <c r="K34" i="12"/>
  <c r="G47" i="19"/>
  <c r="AP21" i="51"/>
  <c r="H47" i="12"/>
  <c r="E130" i="12"/>
  <c r="AQ23" i="51"/>
  <c r="AQ19" i="51"/>
  <c r="AQ20" i="51"/>
  <c r="AQ22" i="51"/>
  <c r="G44" i="53"/>
  <c r="G75" i="53"/>
  <c r="G69" i="53"/>
  <c r="G70" i="53" s="1"/>
  <c r="H49" i="51" s="1"/>
  <c r="G71" i="53"/>
  <c r="G72" i="53" s="1"/>
  <c r="H57" i="51" s="1"/>
  <c r="G77" i="53"/>
  <c r="E73" i="19"/>
  <c r="F120" i="14" s="1"/>
  <c r="F120" i="12"/>
  <c r="E67" i="19"/>
  <c r="F100" i="14" s="1"/>
  <c r="F100" i="12"/>
  <c r="F89" i="20"/>
  <c r="F81" i="19" s="1"/>
  <c r="F88" i="20"/>
  <c r="F80" i="19" s="1"/>
  <c r="F86" i="20"/>
  <c r="F78" i="19" s="1"/>
  <c r="F87" i="20"/>
  <c r="F79" i="19" s="1"/>
  <c r="F85" i="20"/>
  <c r="F77" i="19" s="1"/>
  <c r="F76" i="19"/>
  <c r="G104" i="14" s="1"/>
  <c r="G104" i="12"/>
  <c r="E149" i="14"/>
  <c r="I35" i="53"/>
  <c r="J59" i="51"/>
  <c r="F205" i="53"/>
  <c r="F208" i="53"/>
  <c r="C295" i="20"/>
  <c r="H52" i="51"/>
  <c r="G34" i="53"/>
  <c r="S40" i="53" s="1"/>
  <c r="J33" i="12"/>
  <c r="E91" i="19"/>
  <c r="F144" i="14" s="1"/>
  <c r="F144" i="12"/>
  <c r="E108" i="14"/>
  <c r="E87" i="14"/>
  <c r="F90" i="14"/>
  <c r="F21" i="14"/>
  <c r="F111" i="14"/>
  <c r="C213" i="19"/>
  <c r="C214" i="19" s="1"/>
  <c r="D180" i="19"/>
  <c r="C216" i="53"/>
  <c r="C215" i="53"/>
  <c r="D211" i="54"/>
  <c r="D209" i="54"/>
  <c r="D210" i="54"/>
  <c r="D212" i="54"/>
  <c r="I46" i="12"/>
  <c r="E196" i="53"/>
  <c r="E197" i="53" s="1"/>
  <c r="F163" i="53"/>
  <c r="AL54" i="51"/>
  <c r="G52" i="19"/>
  <c r="G49" i="19" s="1"/>
  <c r="G177" i="19" s="1"/>
  <c r="G47" i="20"/>
  <c r="G72" i="20"/>
  <c r="G61" i="19"/>
  <c r="G51" i="19"/>
  <c r="G53" i="19"/>
  <c r="G78" i="20"/>
  <c r="H124" i="12"/>
  <c r="G58" i="19"/>
  <c r="G90" i="20"/>
  <c r="G57" i="19"/>
  <c r="G221" i="20"/>
  <c r="G96" i="20"/>
  <c r="G50" i="19"/>
  <c r="G54" i="19"/>
  <c r="G218" i="20"/>
  <c r="H93" i="12"/>
  <c r="G60" i="19"/>
  <c r="G55" i="19"/>
  <c r="G84" i="20"/>
  <c r="G62" i="19"/>
  <c r="G59" i="19"/>
  <c r="G176" i="19" s="1"/>
  <c r="I68" i="14"/>
  <c r="E206" i="53"/>
  <c r="E207" i="53" s="1"/>
  <c r="E229" i="53"/>
  <c r="E230" i="53" s="1"/>
  <c r="R110" i="53"/>
  <c r="R111" i="53" s="1"/>
  <c r="R108" i="53"/>
  <c r="R109" i="53" s="1"/>
  <c r="R104" i="53"/>
  <c r="R105" i="53" s="1"/>
  <c r="S53" i="51" s="1"/>
  <c r="R106" i="53"/>
  <c r="R107" i="53" s="1"/>
  <c r="S62" i="51" s="1"/>
  <c r="K14" i="51"/>
  <c r="K13" i="51"/>
  <c r="E130" i="14"/>
  <c r="F115" i="12"/>
  <c r="F146" i="12"/>
  <c r="F99" i="14"/>
  <c r="AJ73" i="51"/>
  <c r="C213" i="54"/>
  <c r="C214" i="54"/>
  <c r="F83" i="20"/>
  <c r="F75" i="19" s="1"/>
  <c r="F79" i="20"/>
  <c r="F81" i="20"/>
  <c r="F80" i="20"/>
  <c r="F70" i="19"/>
  <c r="G114" i="14" s="1"/>
  <c r="G114" i="12"/>
  <c r="F82" i="20"/>
  <c r="F265" i="20"/>
  <c r="G9" i="55"/>
  <c r="F288" i="20"/>
  <c r="F289" i="20" s="1"/>
  <c r="D230" i="19"/>
  <c r="D231" i="19"/>
  <c r="E89" i="19"/>
  <c r="F140" i="14" s="1"/>
  <c r="F140" i="12"/>
  <c r="E118" i="14"/>
  <c r="F85" i="14"/>
  <c r="F106" i="14"/>
  <c r="C239" i="19"/>
  <c r="C241" i="19"/>
  <c r="C244" i="19"/>
  <c r="C240" i="19"/>
  <c r="C242" i="19"/>
  <c r="C243" i="19"/>
  <c r="I67" i="12"/>
  <c r="J16" i="14"/>
  <c r="C274" i="20"/>
  <c r="C275" i="20"/>
  <c r="D151" i="14"/>
  <c r="E255" i="20"/>
  <c r="E256" i="20" s="1"/>
  <c r="F222" i="20"/>
  <c r="D198" i="53"/>
  <c r="D202" i="53"/>
  <c r="D203" i="53"/>
  <c r="D199" i="53"/>
  <c r="D200" i="53"/>
  <c r="D201" i="53"/>
  <c r="Q106" i="54"/>
  <c r="Q107" i="54" s="1"/>
  <c r="Q108" i="54"/>
  <c r="Q109" i="54" s="1"/>
  <c r="Q104" i="54"/>
  <c r="Q105" i="54" s="1"/>
  <c r="Q110" i="54"/>
  <c r="Q111" i="54" s="1"/>
  <c r="I38" i="19"/>
  <c r="J49" i="14"/>
  <c r="J48" i="14"/>
  <c r="J122" i="14"/>
  <c r="J44" i="14"/>
  <c r="AL61" i="51"/>
  <c r="F64" i="51"/>
  <c r="F71" i="51"/>
  <c r="J16" i="12"/>
  <c r="G54" i="51"/>
  <c r="L30" i="12"/>
  <c r="L27" i="12"/>
  <c r="L31" i="12"/>
  <c r="L28" i="12"/>
  <c r="M26" i="12"/>
  <c r="AK64" i="51"/>
  <c r="K38" i="51"/>
  <c r="K37" i="51"/>
  <c r="H69" i="12"/>
  <c r="K21" i="51"/>
  <c r="E74" i="19"/>
  <c r="F121" i="14" s="1"/>
  <c r="F121" i="12"/>
  <c r="G37" i="12"/>
  <c r="AO44" i="51"/>
  <c r="I48" i="51"/>
  <c r="H33" i="53"/>
  <c r="H39" i="53" s="1"/>
  <c r="H81" i="12"/>
  <c r="H19" i="12"/>
  <c r="F264" i="20"/>
  <c r="F315" i="20"/>
  <c r="F314" i="20"/>
  <c r="G4" i="55"/>
  <c r="F263" i="20"/>
  <c r="F267" i="20"/>
  <c r="F91" i="20"/>
  <c r="F95" i="20"/>
  <c r="F87" i="19" s="1"/>
  <c r="F93" i="20"/>
  <c r="F94" i="20"/>
  <c r="F92" i="20"/>
  <c r="F82" i="19"/>
  <c r="G124" i="14" s="1"/>
  <c r="F34" i="54"/>
  <c r="R40" i="54" s="1"/>
  <c r="AM52" i="51"/>
  <c r="E73" i="51"/>
  <c r="H35" i="54"/>
  <c r="AO59" i="51"/>
  <c r="H46" i="51"/>
  <c r="D272" i="20"/>
  <c r="D273" i="20"/>
  <c r="AL58" i="51"/>
  <c r="J65" i="14"/>
  <c r="E118" i="12"/>
  <c r="AW50" i="51"/>
  <c r="F110" i="14"/>
  <c r="F89" i="14"/>
  <c r="F22" i="14"/>
  <c r="K83" i="14"/>
  <c r="K32" i="14"/>
  <c r="C232" i="19"/>
  <c r="C233" i="19"/>
  <c r="E154" i="12"/>
  <c r="E97" i="12"/>
  <c r="I47" i="14"/>
  <c r="I68" i="12"/>
  <c r="E87" i="12"/>
  <c r="E108" i="12"/>
  <c r="C293" i="20"/>
  <c r="C294" i="20" s="1"/>
  <c r="I45" i="12"/>
  <c r="R50" i="51"/>
  <c r="R68" i="51"/>
  <c r="K14" i="12"/>
  <c r="H35" i="12"/>
  <c r="E129" i="12"/>
  <c r="AK72" i="51"/>
  <c r="J39" i="51"/>
  <c r="K32" i="12"/>
  <c r="H35" i="14"/>
  <c r="AR10" i="51"/>
  <c r="M10" i="51"/>
  <c r="L12" i="51"/>
  <c r="L36" i="51"/>
  <c r="J36" i="12"/>
  <c r="F116" i="12"/>
  <c r="E71" i="19"/>
  <c r="F116" i="14" s="1"/>
  <c r="D148" i="14"/>
  <c r="F147" i="14"/>
  <c r="F95" i="14"/>
  <c r="F101" i="20"/>
  <c r="F93" i="19" s="1"/>
  <c r="F97" i="20"/>
  <c r="F99" i="20"/>
  <c r="F100" i="20"/>
  <c r="F98" i="20"/>
  <c r="F90" i="19" s="1"/>
  <c r="G136" i="12"/>
  <c r="F88" i="19"/>
  <c r="F220" i="20"/>
  <c r="F221" i="19"/>
  <c r="F272" i="19"/>
  <c r="F222" i="19"/>
  <c r="AM4" i="55"/>
  <c r="F273" i="19"/>
  <c r="F225" i="19"/>
  <c r="AM46" i="51"/>
  <c r="D237" i="19"/>
  <c r="D236" i="19"/>
  <c r="D248" i="19" s="1"/>
  <c r="AM57" i="51"/>
  <c r="G58" i="51"/>
  <c r="G204" i="53" l="1"/>
  <c r="F204" i="54"/>
  <c r="F208" i="54" s="1"/>
  <c r="L14" i="14"/>
  <c r="H95" i="12"/>
  <c r="K16" i="14"/>
  <c r="J71" i="12"/>
  <c r="H127" i="12"/>
  <c r="H51" i="51"/>
  <c r="AM51" i="51"/>
  <c r="L14" i="12"/>
  <c r="G127" i="14"/>
  <c r="J38" i="19"/>
  <c r="K122" i="14"/>
  <c r="K44" i="14"/>
  <c r="K48" i="14"/>
  <c r="K39" i="51"/>
  <c r="J66" i="12"/>
  <c r="L34" i="14"/>
  <c r="J134" i="12"/>
  <c r="F159" i="54"/>
  <c r="AP39" i="51"/>
  <c r="C237" i="53"/>
  <c r="C258" i="53" s="1"/>
  <c r="L43" i="14"/>
  <c r="G159" i="53"/>
  <c r="I40" i="20"/>
  <c r="N46" i="20" s="1"/>
  <c r="C258" i="19"/>
  <c r="C236" i="54"/>
  <c r="F227" i="19"/>
  <c r="F226" i="19"/>
  <c r="F229" i="19"/>
  <c r="F228" i="19"/>
  <c r="G139" i="12"/>
  <c r="L38" i="51"/>
  <c r="L37" i="51"/>
  <c r="AM54" i="51"/>
  <c r="F86" i="19"/>
  <c r="G133" i="14" s="1"/>
  <c r="G133" i="12"/>
  <c r="F255" i="20"/>
  <c r="F256" i="20" s="1"/>
  <c r="G222" i="20"/>
  <c r="C277" i="20"/>
  <c r="C276" i="20"/>
  <c r="C280" i="20" s="1"/>
  <c r="F71" i="19"/>
  <c r="G116" i="14" s="1"/>
  <c r="G116" i="12"/>
  <c r="AY62" i="51"/>
  <c r="H147" i="12"/>
  <c r="F153" i="14"/>
  <c r="F98" i="14"/>
  <c r="H58" i="51"/>
  <c r="AN57" i="51"/>
  <c r="AQ21" i="51"/>
  <c r="D290" i="20"/>
  <c r="D291" i="20" s="1"/>
  <c r="D292" i="20"/>
  <c r="F149" i="14"/>
  <c r="K36" i="12"/>
  <c r="L29" i="14"/>
  <c r="I102" i="12"/>
  <c r="I24" i="12"/>
  <c r="H37" i="20"/>
  <c r="T43" i="20" s="1"/>
  <c r="I20" i="12"/>
  <c r="I25" i="12"/>
  <c r="E283" i="20"/>
  <c r="E281" i="20"/>
  <c r="E282" i="20"/>
  <c r="E286" i="20"/>
  <c r="E285" i="20"/>
  <c r="E284" i="20"/>
  <c r="AO43" i="51"/>
  <c r="AO17" i="51"/>
  <c r="L43" i="12"/>
  <c r="D233" i="53"/>
  <c r="D234" i="53" s="1"/>
  <c r="E272" i="20"/>
  <c r="E273" i="20"/>
  <c r="L15" i="12"/>
  <c r="AM58" i="51"/>
  <c r="L14" i="51"/>
  <c r="L13" i="51"/>
  <c r="I47" i="12"/>
  <c r="E150" i="12"/>
  <c r="I40" i="19"/>
  <c r="N46" i="19" s="1"/>
  <c r="J70" i="14"/>
  <c r="J66" i="14"/>
  <c r="J134" i="14"/>
  <c r="J71" i="14"/>
  <c r="R106" i="54"/>
  <c r="R107" i="54" s="1"/>
  <c r="R108" i="54"/>
  <c r="R109" i="54" s="1"/>
  <c r="R104" i="54"/>
  <c r="R105" i="54" s="1"/>
  <c r="R110" i="54"/>
  <c r="R111" i="54" s="1"/>
  <c r="F85" i="19"/>
  <c r="G132" i="14" s="1"/>
  <c r="G132" i="12"/>
  <c r="L34" i="12"/>
  <c r="AM9" i="55"/>
  <c r="AY53" i="51"/>
  <c r="D220" i="54"/>
  <c r="D219" i="54"/>
  <c r="C216" i="19"/>
  <c r="C219" i="19"/>
  <c r="C220" i="19"/>
  <c r="C218" i="19"/>
  <c r="C217" i="19"/>
  <c r="C215" i="19"/>
  <c r="AN49" i="51"/>
  <c r="E230" i="19"/>
  <c r="E231" i="19"/>
  <c r="M214" i="20"/>
  <c r="M172" i="19" s="1"/>
  <c r="M213" i="20"/>
  <c r="M171" i="19" s="1"/>
  <c r="M216" i="20"/>
  <c r="M174" i="19" s="1"/>
  <c r="M215" i="20"/>
  <c r="M173" i="19" s="1"/>
  <c r="M212" i="20"/>
  <c r="M170" i="19" s="1"/>
  <c r="M169" i="19"/>
  <c r="N135" i="12"/>
  <c r="F37" i="19"/>
  <c r="R43" i="19" s="1"/>
  <c r="R98" i="19" s="1"/>
  <c r="G102" i="14"/>
  <c r="G24" i="14"/>
  <c r="G25" i="14"/>
  <c r="G20" i="14"/>
  <c r="F78" i="54"/>
  <c r="F162" i="54"/>
  <c r="G147" i="14"/>
  <c r="G95" i="14"/>
  <c r="M42" i="14"/>
  <c r="M41" i="14"/>
  <c r="N40" i="14"/>
  <c r="AT66" i="51"/>
  <c r="K44" i="12"/>
  <c r="K122" i="12"/>
  <c r="J38" i="20"/>
  <c r="K49" i="12"/>
  <c r="K48" i="12"/>
  <c r="I84" i="12"/>
  <c r="E223" i="19"/>
  <c r="E224" i="19" s="1"/>
  <c r="E246" i="19"/>
  <c r="E247" i="19" s="1"/>
  <c r="L21" i="51"/>
  <c r="D250" i="19"/>
  <c r="D251" i="19" s="1"/>
  <c r="D249" i="19"/>
  <c r="E279" i="20"/>
  <c r="E278" i="20"/>
  <c r="E150" i="14"/>
  <c r="J68" i="12"/>
  <c r="K25" i="51"/>
  <c r="E259" i="20"/>
  <c r="E260" i="20"/>
  <c r="E258" i="20"/>
  <c r="E261" i="20"/>
  <c r="E262" i="20"/>
  <c r="E257" i="20"/>
  <c r="S68" i="51"/>
  <c r="S50" i="51"/>
  <c r="G83" i="20"/>
  <c r="G75" i="19" s="1"/>
  <c r="G70" i="19"/>
  <c r="H114" i="14" s="1"/>
  <c r="G79" i="20"/>
  <c r="G80" i="20"/>
  <c r="G81" i="20"/>
  <c r="H114" i="12"/>
  <c r="G82" i="20"/>
  <c r="S110" i="53"/>
  <c r="S111" i="53" s="1"/>
  <c r="S104" i="53"/>
  <c r="S105" i="53" s="1"/>
  <c r="T53" i="51" s="1"/>
  <c r="S106" i="53"/>
  <c r="S107" i="53" s="1"/>
  <c r="T62" i="51" s="1"/>
  <c r="S108" i="53"/>
  <c r="S109" i="53" s="1"/>
  <c r="E237" i="19"/>
  <c r="E236" i="19"/>
  <c r="E248" i="19" s="1"/>
  <c r="G84" i="14"/>
  <c r="F65" i="19"/>
  <c r="G96" i="14" s="1"/>
  <c r="G96" i="12"/>
  <c r="K44" i="51"/>
  <c r="J17" i="12"/>
  <c r="J48" i="51"/>
  <c r="I33" i="53"/>
  <c r="I39" i="53" s="1"/>
  <c r="G69" i="54"/>
  <c r="G70" i="54" s="1"/>
  <c r="G75" i="54"/>
  <c r="G76" i="54" s="1"/>
  <c r="G44" i="54"/>
  <c r="G77" i="54"/>
  <c r="G71" i="54"/>
  <c r="G72" i="54" s="1"/>
  <c r="K36" i="14"/>
  <c r="AL72" i="51"/>
  <c r="AP44" i="51"/>
  <c r="G99" i="14"/>
  <c r="K45" i="14"/>
  <c r="F139" i="14"/>
  <c r="G85" i="12"/>
  <c r="G106" i="12"/>
  <c r="E209" i="54"/>
  <c r="E210" i="54"/>
  <c r="E212" i="54"/>
  <c r="E211" i="54"/>
  <c r="F146" i="14"/>
  <c r="AQ29" i="51"/>
  <c r="F89" i="12"/>
  <c r="F110" i="12"/>
  <c r="F22" i="12"/>
  <c r="D239" i="19"/>
  <c r="D243" i="19"/>
  <c r="D240" i="19"/>
  <c r="D244" i="19"/>
  <c r="D241" i="19"/>
  <c r="D242" i="19"/>
  <c r="M13" i="12"/>
  <c r="N12" i="12"/>
  <c r="M62" i="12"/>
  <c r="AL70" i="51"/>
  <c r="F91" i="19"/>
  <c r="G144" i="14" s="1"/>
  <c r="G144" i="12"/>
  <c r="AR12" i="51"/>
  <c r="AR36" i="51"/>
  <c r="F83" i="19"/>
  <c r="G128" i="14" s="1"/>
  <c r="G128" i="12"/>
  <c r="H24" i="12"/>
  <c r="H102" i="12"/>
  <c r="H20" i="12"/>
  <c r="H25" i="12"/>
  <c r="G37" i="20"/>
  <c r="S43" i="20" s="1"/>
  <c r="G99" i="12"/>
  <c r="F73" i="51"/>
  <c r="I69" i="12"/>
  <c r="F74" i="19"/>
  <c r="G121" i="14" s="1"/>
  <c r="G121" i="12"/>
  <c r="C215" i="54"/>
  <c r="C216" i="54"/>
  <c r="K15" i="51"/>
  <c r="K82" i="14"/>
  <c r="F86" i="14"/>
  <c r="F107" i="14"/>
  <c r="F23" i="14"/>
  <c r="F142" i="12"/>
  <c r="H54" i="51"/>
  <c r="F212" i="53"/>
  <c r="F210" i="53"/>
  <c r="F209" i="53"/>
  <c r="F211" i="53"/>
  <c r="G76" i="53"/>
  <c r="H67" i="51"/>
  <c r="G143" i="12"/>
  <c r="E206" i="54"/>
  <c r="E207" i="54" s="1"/>
  <c r="E229" i="54"/>
  <c r="E230" i="54" s="1"/>
  <c r="E88" i="12"/>
  <c r="E109" i="12"/>
  <c r="M27" i="14"/>
  <c r="M28" i="14"/>
  <c r="M31" i="14"/>
  <c r="M30" i="14"/>
  <c r="N26" i="14"/>
  <c r="M13" i="14"/>
  <c r="N12" i="14"/>
  <c r="M62" i="14"/>
  <c r="D216" i="53"/>
  <c r="D215" i="53"/>
  <c r="G89" i="12"/>
  <c r="G110" i="12"/>
  <c r="G22" i="12"/>
  <c r="AR22" i="51"/>
  <c r="AR23" i="51"/>
  <c r="AR19" i="51"/>
  <c r="AR20" i="51"/>
  <c r="L135" i="14"/>
  <c r="F90" i="12"/>
  <c r="F21" i="12"/>
  <c r="F111" i="12"/>
  <c r="C241" i="53"/>
  <c r="C242" i="53" s="1"/>
  <c r="I35" i="54"/>
  <c r="AP59" i="51"/>
  <c r="L64" i="12"/>
  <c r="L63" i="12"/>
  <c r="I52" i="51"/>
  <c r="H34" i="53"/>
  <c r="T40" i="53" s="1"/>
  <c r="H37" i="12"/>
  <c r="J37" i="53"/>
  <c r="O43" i="53" s="1"/>
  <c r="O156" i="53" s="1"/>
  <c r="F89" i="19"/>
  <c r="G140" i="14" s="1"/>
  <c r="G140" i="12"/>
  <c r="J65" i="51"/>
  <c r="I37" i="53"/>
  <c r="N43" i="53" s="1"/>
  <c r="N156" i="53" s="1"/>
  <c r="K15" i="12"/>
  <c r="F87" i="14"/>
  <c r="F108" i="14"/>
  <c r="F268" i="20"/>
  <c r="F269" i="20"/>
  <c r="F271" i="20"/>
  <c r="F270" i="20"/>
  <c r="H84" i="12"/>
  <c r="L29" i="12"/>
  <c r="D232" i="19"/>
  <c r="D233" i="19"/>
  <c r="G115" i="12"/>
  <c r="G146" i="12"/>
  <c r="C234" i="54"/>
  <c r="C235" i="54" s="1"/>
  <c r="G98" i="20"/>
  <c r="G90" i="19" s="1"/>
  <c r="G100" i="20"/>
  <c r="G97" i="20"/>
  <c r="G101" i="20"/>
  <c r="G93" i="19" s="1"/>
  <c r="G99" i="20"/>
  <c r="G88" i="19"/>
  <c r="H136" i="12"/>
  <c r="G220" i="20"/>
  <c r="D213" i="54"/>
  <c r="D214" i="54"/>
  <c r="F142" i="14"/>
  <c r="G205" i="53"/>
  <c r="G208" i="53"/>
  <c r="H33" i="54"/>
  <c r="H39" i="54" s="1"/>
  <c r="AO48" i="51"/>
  <c r="G34" i="54"/>
  <c r="S40" i="54" s="1"/>
  <c r="AN52" i="51"/>
  <c r="F206" i="53"/>
  <c r="F207" i="53" s="1"/>
  <c r="F229" i="53"/>
  <c r="F230" i="53" s="1"/>
  <c r="F67" i="19"/>
  <c r="G100" i="14" s="1"/>
  <c r="G100" i="12"/>
  <c r="F141" i="12"/>
  <c r="M135" i="14"/>
  <c r="I35" i="14"/>
  <c r="BP12" i="55"/>
  <c r="BP13" i="55"/>
  <c r="BP14" i="55"/>
  <c r="BP11" i="55"/>
  <c r="BP19" i="55" s="1"/>
  <c r="BP15" i="55"/>
  <c r="BP16" i="55"/>
  <c r="L38" i="14"/>
  <c r="L64" i="14"/>
  <c r="L63" i="14"/>
  <c r="AM67" i="51"/>
  <c r="G70" i="51"/>
  <c r="F97" i="12"/>
  <c r="G111" i="12"/>
  <c r="G90" i="12"/>
  <c r="G21" i="12"/>
  <c r="I81" i="14"/>
  <c r="I19" i="14"/>
  <c r="AQ37" i="51"/>
  <c r="AQ38" i="51"/>
  <c r="I46" i="51"/>
  <c r="C251" i="19"/>
  <c r="C252" i="19" s="1"/>
  <c r="C254" i="19" s="1"/>
  <c r="J67" i="12"/>
  <c r="H69" i="14"/>
  <c r="AX68" i="51"/>
  <c r="C234" i="19"/>
  <c r="C238" i="19" s="1"/>
  <c r="C235" i="19"/>
  <c r="F266" i="20"/>
  <c r="L32" i="12"/>
  <c r="AL64" i="51"/>
  <c r="AL71" i="51"/>
  <c r="J46" i="14"/>
  <c r="G115" i="14"/>
  <c r="E222" i="53"/>
  <c r="E226" i="53"/>
  <c r="E227" i="53"/>
  <c r="E224" i="53"/>
  <c r="E223" i="53"/>
  <c r="E225" i="53"/>
  <c r="G89" i="20"/>
  <c r="G81" i="19" s="1"/>
  <c r="G87" i="20"/>
  <c r="G79" i="19" s="1"/>
  <c r="G88" i="20"/>
  <c r="G80" i="19" s="1"/>
  <c r="G86" i="20"/>
  <c r="G78" i="19" s="1"/>
  <c r="G85" i="20"/>
  <c r="G77" i="19" s="1"/>
  <c r="G76" i="19"/>
  <c r="H104" i="14" s="1"/>
  <c r="H104" i="12"/>
  <c r="G265" i="20"/>
  <c r="G288" i="20"/>
  <c r="G289" i="20" s="1"/>
  <c r="F196" i="53"/>
  <c r="F197" i="53" s="1"/>
  <c r="G163" i="53"/>
  <c r="C217" i="53"/>
  <c r="C221" i="53" s="1"/>
  <c r="C218" i="53"/>
  <c r="F118" i="12"/>
  <c r="AQ24" i="51"/>
  <c r="AP25" i="51"/>
  <c r="H52" i="19"/>
  <c r="H49" i="19" s="1"/>
  <c r="H177" i="19" s="1"/>
  <c r="H72" i="20"/>
  <c r="H84" i="20"/>
  <c r="I93" i="12"/>
  <c r="I124" i="12"/>
  <c r="H57" i="19"/>
  <c r="H90" i="20"/>
  <c r="H50" i="19"/>
  <c r="H96" i="20"/>
  <c r="H58" i="19"/>
  <c r="H78" i="20"/>
  <c r="H59" i="19"/>
  <c r="H61" i="19"/>
  <c r="H47" i="20"/>
  <c r="H54" i="19"/>
  <c r="H62" i="19"/>
  <c r="H53" i="19"/>
  <c r="H51" i="19"/>
  <c r="H55" i="19"/>
  <c r="H60" i="19"/>
  <c r="H221" i="20"/>
  <c r="AP15" i="51"/>
  <c r="AN46" i="51"/>
  <c r="AM61" i="51"/>
  <c r="G71" i="51"/>
  <c r="G64" i="51"/>
  <c r="F68" i="19"/>
  <c r="G101" i="14" s="1"/>
  <c r="G101" i="12"/>
  <c r="L157" i="54"/>
  <c r="F141" i="14"/>
  <c r="E148" i="12"/>
  <c r="E219" i="53"/>
  <c r="E231" i="53" s="1"/>
  <c r="E232" i="53" s="1"/>
  <c r="E220" i="53"/>
  <c r="H47" i="19"/>
  <c r="D196" i="54"/>
  <c r="D197" i="54" s="1"/>
  <c r="E163" i="54"/>
  <c r="BQ9" i="55"/>
  <c r="L15" i="14"/>
  <c r="G143" i="14"/>
  <c r="K82" i="12"/>
  <c r="F154" i="14"/>
  <c r="F97" i="14"/>
  <c r="F130" i="12"/>
  <c r="L24" i="51"/>
  <c r="J43" i="51"/>
  <c r="J17" i="51"/>
  <c r="K33" i="14"/>
  <c r="F85" i="12"/>
  <c r="F106" i="12"/>
  <c r="G72" i="51"/>
  <c r="M27" i="51"/>
  <c r="M28" i="51"/>
  <c r="AS26" i="51"/>
  <c r="N26" i="51"/>
  <c r="AQ14" i="51"/>
  <c r="AQ13" i="51"/>
  <c r="K33" i="12"/>
  <c r="L83" i="12"/>
  <c r="J92" i="14"/>
  <c r="I36" i="19"/>
  <c r="I42" i="19" s="1"/>
  <c r="J39" i="14"/>
  <c r="J47" i="12"/>
  <c r="E151" i="12"/>
  <c r="AS10" i="51"/>
  <c r="M36" i="51"/>
  <c r="N10" i="51"/>
  <c r="M12" i="51"/>
  <c r="D274" i="20"/>
  <c r="D275" i="20"/>
  <c r="H75" i="53"/>
  <c r="H44" i="53"/>
  <c r="H69" i="53"/>
  <c r="H70" i="53" s="1"/>
  <c r="I49" i="51" s="1"/>
  <c r="H77" i="53"/>
  <c r="H71" i="53"/>
  <c r="H72" i="53" s="1"/>
  <c r="I57" i="51" s="1"/>
  <c r="F117" i="12"/>
  <c r="L38" i="12"/>
  <c r="J45" i="14"/>
  <c r="F72" i="19"/>
  <c r="G119" i="14" s="1"/>
  <c r="G119" i="12"/>
  <c r="G76" i="20"/>
  <c r="G73" i="20"/>
  <c r="G75" i="20"/>
  <c r="G74" i="20"/>
  <c r="G66" i="19" s="1"/>
  <c r="G77" i="20"/>
  <c r="G69" i="19" s="1"/>
  <c r="G64" i="19"/>
  <c r="H93" i="14" s="1"/>
  <c r="E200" i="53"/>
  <c r="E199" i="53"/>
  <c r="E202" i="53"/>
  <c r="E203" i="53"/>
  <c r="E198" i="53"/>
  <c r="E201" i="53"/>
  <c r="J92" i="12"/>
  <c r="I36" i="20"/>
  <c r="I42" i="20" s="1"/>
  <c r="J39" i="12"/>
  <c r="F118" i="14"/>
  <c r="G273" i="19"/>
  <c r="G222" i="19"/>
  <c r="G221" i="19"/>
  <c r="G272" i="19"/>
  <c r="G225" i="19"/>
  <c r="I35" i="12"/>
  <c r="F129" i="12"/>
  <c r="E148" i="14"/>
  <c r="I37" i="54"/>
  <c r="N43" i="54" s="1"/>
  <c r="N156" i="54" s="1"/>
  <c r="E88" i="14"/>
  <c r="E109" i="14"/>
  <c r="K46" i="14"/>
  <c r="C199" i="54"/>
  <c r="C198" i="54"/>
  <c r="C201" i="54"/>
  <c r="C200" i="54"/>
  <c r="C202" i="54"/>
  <c r="C203" i="54"/>
  <c r="L83" i="14"/>
  <c r="G37" i="19"/>
  <c r="S43" i="19" s="1"/>
  <c r="H102" i="14"/>
  <c r="H25" i="14"/>
  <c r="H24" i="14"/>
  <c r="H20" i="14"/>
  <c r="G105" i="12"/>
  <c r="F130" i="14"/>
  <c r="Q96" i="19"/>
  <c r="Q95" i="19" s="1"/>
  <c r="Q133" i="20"/>
  <c r="R94" i="12"/>
  <c r="Q145" i="20"/>
  <c r="Q97" i="19"/>
  <c r="Q98" i="19"/>
  <c r="R126" i="12"/>
  <c r="Q101" i="19"/>
  <c r="Q99" i="19"/>
  <c r="Q127" i="20"/>
  <c r="Q100" i="19"/>
  <c r="Q139" i="20"/>
  <c r="E151" i="14"/>
  <c r="L29" i="51"/>
  <c r="H37" i="54"/>
  <c r="M43" i="54" s="1"/>
  <c r="M156" i="54" s="1"/>
  <c r="AO65" i="51"/>
  <c r="AK73" i="51"/>
  <c r="F92" i="19"/>
  <c r="G145" i="14" s="1"/>
  <c r="G145" i="12"/>
  <c r="AX50" i="51"/>
  <c r="G136" i="14"/>
  <c r="F179" i="19"/>
  <c r="H37" i="14"/>
  <c r="D293" i="20"/>
  <c r="F84" i="19"/>
  <c r="G131" i="14" s="1"/>
  <c r="G131" i="12"/>
  <c r="F117" i="14"/>
  <c r="M31" i="12"/>
  <c r="M27" i="12"/>
  <c r="M28" i="12"/>
  <c r="M30" i="12"/>
  <c r="N26" i="12"/>
  <c r="C296" i="20"/>
  <c r="G120" i="12"/>
  <c r="F73" i="19"/>
  <c r="G120" i="14" s="1"/>
  <c r="G91" i="20"/>
  <c r="G92" i="20"/>
  <c r="G84" i="19" s="1"/>
  <c r="G95" i="20"/>
  <c r="G87" i="19" s="1"/>
  <c r="G94" i="20"/>
  <c r="G93" i="20"/>
  <c r="G82" i="19"/>
  <c r="H124" i="14" s="1"/>
  <c r="H4" i="55"/>
  <c r="G264" i="20"/>
  <c r="G315" i="20"/>
  <c r="G314" i="20"/>
  <c r="G263" i="20"/>
  <c r="G267" i="20"/>
  <c r="D213" i="19"/>
  <c r="D214" i="19" s="1"/>
  <c r="E180" i="19"/>
  <c r="C300" i="20"/>
  <c r="C301" i="20" s="1"/>
  <c r="F98" i="12"/>
  <c r="G78" i="53"/>
  <c r="H61" i="51" s="1"/>
  <c r="G162" i="53"/>
  <c r="I95" i="12"/>
  <c r="J17" i="14"/>
  <c r="F129" i="14"/>
  <c r="E214" i="53"/>
  <c r="E213" i="53"/>
  <c r="AS66" i="51"/>
  <c r="I69" i="14"/>
  <c r="K65" i="12"/>
  <c r="L32" i="14"/>
  <c r="H84" i="14"/>
  <c r="S94" i="12"/>
  <c r="R139" i="20"/>
  <c r="S126" i="12"/>
  <c r="R145" i="20"/>
  <c r="R97" i="19"/>
  <c r="R133" i="20"/>
  <c r="R127" i="20"/>
  <c r="M23" i="51"/>
  <c r="M22" i="51"/>
  <c r="M20" i="51"/>
  <c r="AS18" i="51"/>
  <c r="M19" i="51"/>
  <c r="N18" i="51"/>
  <c r="K65" i="14"/>
  <c r="F105" i="12"/>
  <c r="M41" i="12"/>
  <c r="M42" i="12"/>
  <c r="N40" i="12"/>
  <c r="AR27" i="51"/>
  <c r="AR28" i="51"/>
  <c r="K17" i="14"/>
  <c r="H72" i="51" l="1"/>
  <c r="R96" i="19"/>
  <c r="R95" i="19" s="1"/>
  <c r="R101" i="19"/>
  <c r="AP65" i="51"/>
  <c r="F205" i="54"/>
  <c r="K65" i="51"/>
  <c r="H9" i="55"/>
  <c r="AN9" i="55" s="1"/>
  <c r="G204" i="54"/>
  <c r="G208" i="54" s="1"/>
  <c r="H204" i="53"/>
  <c r="H208" i="53" s="1"/>
  <c r="F149" i="12"/>
  <c r="I127" i="12"/>
  <c r="AM72" i="51"/>
  <c r="H127" i="14"/>
  <c r="H176" i="19"/>
  <c r="M14" i="12"/>
  <c r="F153" i="12"/>
  <c r="L16" i="12"/>
  <c r="K16" i="12"/>
  <c r="F154" i="12"/>
  <c r="M14" i="14"/>
  <c r="F148" i="14"/>
  <c r="AN51" i="51"/>
  <c r="L16" i="14"/>
  <c r="L122" i="14"/>
  <c r="I51" i="51"/>
  <c r="M34" i="12"/>
  <c r="L49" i="14"/>
  <c r="AN4" i="55"/>
  <c r="G159" i="54"/>
  <c r="L48" i="14"/>
  <c r="N167" i="19"/>
  <c r="N166" i="19" s="1"/>
  <c r="M43" i="12"/>
  <c r="AQ39" i="51"/>
  <c r="K38" i="19"/>
  <c r="N211" i="20"/>
  <c r="L44" i="14"/>
  <c r="M43" i="14"/>
  <c r="H159" i="53"/>
  <c r="R100" i="19"/>
  <c r="R99" i="19"/>
  <c r="H143" i="12"/>
  <c r="G266" i="20"/>
  <c r="G281" i="20" s="1"/>
  <c r="M15" i="12"/>
  <c r="AN61" i="51"/>
  <c r="H71" i="51"/>
  <c r="H64" i="51"/>
  <c r="F223" i="19"/>
  <c r="F224" i="19" s="1"/>
  <c r="F246" i="19"/>
  <c r="F247" i="19" s="1"/>
  <c r="H105" i="14"/>
  <c r="E152" i="14"/>
  <c r="L36" i="12"/>
  <c r="H76" i="53"/>
  <c r="I67" i="51"/>
  <c r="M14" i="51"/>
  <c r="M13" i="51"/>
  <c r="AQ15" i="51"/>
  <c r="J36" i="19"/>
  <c r="J42" i="19" s="1"/>
  <c r="K92" i="14"/>
  <c r="K39" i="14"/>
  <c r="D199" i="54"/>
  <c r="D203" i="54"/>
  <c r="D200" i="54"/>
  <c r="D201" i="54"/>
  <c r="D202" i="54"/>
  <c r="D198" i="54"/>
  <c r="AP43" i="51"/>
  <c r="AP17" i="51"/>
  <c r="H92" i="20"/>
  <c r="H84" i="19" s="1"/>
  <c r="H93" i="20"/>
  <c r="H95" i="20"/>
  <c r="H87" i="19" s="1"/>
  <c r="H91" i="20"/>
  <c r="H94" i="20"/>
  <c r="H82" i="19"/>
  <c r="I124" i="14" s="1"/>
  <c r="AP48" i="51"/>
  <c r="I33" i="54"/>
  <c r="I39" i="54" s="1"/>
  <c r="G196" i="53"/>
  <c r="G197" i="53" s="1"/>
  <c r="H163" i="53"/>
  <c r="H143" i="14"/>
  <c r="O157" i="53"/>
  <c r="P66" i="51" s="1"/>
  <c r="L65" i="12"/>
  <c r="C249" i="53"/>
  <c r="C251" i="53"/>
  <c r="D75" i="51" s="1"/>
  <c r="F86" i="12"/>
  <c r="F107" i="12"/>
  <c r="F23" i="12"/>
  <c r="AR24" i="51"/>
  <c r="M83" i="14"/>
  <c r="M29" i="14"/>
  <c r="H89" i="12"/>
  <c r="H22" i="12"/>
  <c r="H110" i="12"/>
  <c r="AR37" i="51"/>
  <c r="AR38" i="51"/>
  <c r="L82" i="12"/>
  <c r="J35" i="54"/>
  <c r="AQ59" i="51"/>
  <c r="K47" i="14"/>
  <c r="F210" i="54"/>
  <c r="F209" i="54"/>
  <c r="F212" i="54"/>
  <c r="F211" i="54"/>
  <c r="H121" i="12"/>
  <c r="G74" i="19"/>
  <c r="H121" i="14" s="1"/>
  <c r="AY68" i="51"/>
  <c r="D252" i="19"/>
  <c r="D254" i="19" s="1"/>
  <c r="E250" i="19"/>
  <c r="E253" i="19" s="1"/>
  <c r="E249" i="19"/>
  <c r="E232" i="19"/>
  <c r="E233" i="19"/>
  <c r="G130" i="14"/>
  <c r="I85" i="12"/>
  <c r="C241" i="54"/>
  <c r="G118" i="14"/>
  <c r="E216" i="53"/>
  <c r="E215" i="53"/>
  <c r="G118" i="12"/>
  <c r="M32" i="12"/>
  <c r="G139" i="14"/>
  <c r="G67" i="19"/>
  <c r="H100" i="14" s="1"/>
  <c r="H100" i="12"/>
  <c r="AT10" i="51"/>
  <c r="N36" i="51"/>
  <c r="O10" i="51"/>
  <c r="N12" i="51"/>
  <c r="H315" i="20"/>
  <c r="H264" i="20"/>
  <c r="H263" i="20"/>
  <c r="H314" i="20"/>
  <c r="I4" i="55"/>
  <c r="H267" i="20"/>
  <c r="H218" i="20"/>
  <c r="F203" i="53"/>
  <c r="F201" i="53"/>
  <c r="F198" i="53"/>
  <c r="F200" i="53"/>
  <c r="F202" i="53"/>
  <c r="F199" i="53"/>
  <c r="L65" i="14"/>
  <c r="AN54" i="51"/>
  <c r="G210" i="53"/>
  <c r="G211" i="53"/>
  <c r="G209" i="53"/>
  <c r="G212" i="53"/>
  <c r="H139" i="12"/>
  <c r="D234" i="19"/>
  <c r="D238" i="19" s="1"/>
  <c r="D235" i="19"/>
  <c r="O135" i="12"/>
  <c r="N212" i="20"/>
  <c r="N170" i="19" s="1"/>
  <c r="N213" i="20"/>
  <c r="N171" i="19" s="1"/>
  <c r="N214" i="20"/>
  <c r="N172" i="19" s="1"/>
  <c r="N215" i="20"/>
  <c r="N173" i="19" s="1"/>
  <c r="N216" i="20"/>
  <c r="N174" i="19" s="1"/>
  <c r="N169" i="19"/>
  <c r="D77" i="51"/>
  <c r="C259" i="53"/>
  <c r="D78" i="51" s="1"/>
  <c r="N30" i="14"/>
  <c r="N31" i="14"/>
  <c r="N27" i="14"/>
  <c r="N28" i="14"/>
  <c r="O26" i="14"/>
  <c r="E224" i="54"/>
  <c r="E226" i="54"/>
  <c r="E223" i="54"/>
  <c r="E225" i="54"/>
  <c r="E227" i="54"/>
  <c r="E222" i="54"/>
  <c r="K43" i="51"/>
  <c r="K17" i="51"/>
  <c r="S96" i="19"/>
  <c r="S95" i="19" s="1"/>
  <c r="T126" i="12"/>
  <c r="S127" i="20"/>
  <c r="S101" i="19"/>
  <c r="S98" i="19"/>
  <c r="S97" i="19"/>
  <c r="S99" i="19"/>
  <c r="S100" i="19"/>
  <c r="S133" i="20"/>
  <c r="S145" i="20"/>
  <c r="S139" i="20"/>
  <c r="T94" i="12"/>
  <c r="AR14" i="51"/>
  <c r="AR13" i="51"/>
  <c r="M64" i="12"/>
  <c r="M63" i="12"/>
  <c r="G78" i="54"/>
  <c r="G162" i="54"/>
  <c r="H115" i="12"/>
  <c r="H146" i="12"/>
  <c r="E242" i="19"/>
  <c r="E240" i="19"/>
  <c r="E243" i="19"/>
  <c r="E239" i="19"/>
  <c r="E244" i="19"/>
  <c r="E241" i="19"/>
  <c r="G85" i="14"/>
  <c r="G106" i="14"/>
  <c r="N135" i="14"/>
  <c r="AO52" i="51"/>
  <c r="H34" i="54"/>
  <c r="T40" i="54" s="1"/>
  <c r="T127" i="20"/>
  <c r="T133" i="20"/>
  <c r="T145" i="20"/>
  <c r="U126" i="12"/>
  <c r="T139" i="20"/>
  <c r="U94" i="12"/>
  <c r="AN58" i="51"/>
  <c r="K81" i="14"/>
  <c r="K19" i="14"/>
  <c r="K66" i="12"/>
  <c r="K134" i="12"/>
  <c r="K71" i="12"/>
  <c r="J40" i="20"/>
  <c r="O46" i="20" s="1"/>
  <c r="K70" i="12"/>
  <c r="N20" i="51"/>
  <c r="N23" i="51"/>
  <c r="N22" i="51"/>
  <c r="N19" i="51"/>
  <c r="AT18" i="51"/>
  <c r="O18" i="51"/>
  <c r="J81" i="14"/>
  <c r="J19" i="14"/>
  <c r="D217" i="19"/>
  <c r="D220" i="19"/>
  <c r="D215" i="19"/>
  <c r="D216" i="19"/>
  <c r="D219" i="19"/>
  <c r="D218" i="19"/>
  <c r="G85" i="19"/>
  <c r="H132" i="14" s="1"/>
  <c r="H132" i="12"/>
  <c r="H99" i="14"/>
  <c r="M157" i="54"/>
  <c r="J35" i="12"/>
  <c r="G65" i="19"/>
  <c r="H96" i="14" s="1"/>
  <c r="H96" i="12"/>
  <c r="D277" i="20"/>
  <c r="D276" i="20"/>
  <c r="D280" i="20" s="1"/>
  <c r="M37" i="51"/>
  <c r="M38" i="51"/>
  <c r="F150" i="14"/>
  <c r="G73" i="51"/>
  <c r="H265" i="20"/>
  <c r="H288" i="20"/>
  <c r="H289" i="20" s="1"/>
  <c r="AQ44" i="51"/>
  <c r="F284" i="20"/>
  <c r="F285" i="20"/>
  <c r="F281" i="20"/>
  <c r="F283" i="20"/>
  <c r="F282" i="20"/>
  <c r="F286" i="20"/>
  <c r="BP6" i="55"/>
  <c r="S110" i="54"/>
  <c r="S111" i="54" s="1"/>
  <c r="S108" i="54"/>
  <c r="S109" i="54" s="1"/>
  <c r="S106" i="54"/>
  <c r="S107" i="54" s="1"/>
  <c r="S104" i="54"/>
  <c r="S105" i="54" s="1"/>
  <c r="H136" i="14"/>
  <c r="G179" i="19"/>
  <c r="E233" i="53"/>
  <c r="E234" i="53" s="1"/>
  <c r="N157" i="53"/>
  <c r="O66" i="51" s="1"/>
  <c r="M34" i="14"/>
  <c r="AN67" i="51"/>
  <c r="H70" i="51"/>
  <c r="F87" i="12"/>
  <c r="F108" i="12"/>
  <c r="E213" i="54"/>
  <c r="E214" i="54"/>
  <c r="J81" i="12"/>
  <c r="J19" i="12"/>
  <c r="H120" i="12"/>
  <c r="G73" i="19"/>
  <c r="H120" i="14" s="1"/>
  <c r="L25" i="51"/>
  <c r="G111" i="14"/>
  <c r="G90" i="14"/>
  <c r="G21" i="14"/>
  <c r="E274" i="20"/>
  <c r="E275" i="20"/>
  <c r="AO46" i="51"/>
  <c r="I89" i="12"/>
  <c r="I22" i="12"/>
  <c r="R149" i="20"/>
  <c r="R125" i="19" s="1"/>
  <c r="R146" i="20"/>
  <c r="R122" i="19" s="1"/>
  <c r="R150" i="20"/>
  <c r="R126" i="19" s="1"/>
  <c r="R121" i="19"/>
  <c r="S138" i="14" s="1"/>
  <c r="R147" i="20"/>
  <c r="R123" i="19" s="1"/>
  <c r="R148" i="20"/>
  <c r="R124" i="19" s="1"/>
  <c r="S138" i="12"/>
  <c r="AR29" i="51"/>
  <c r="S103" i="12"/>
  <c r="R132" i="20"/>
  <c r="R108" i="19" s="1"/>
  <c r="R129" i="20"/>
  <c r="R105" i="19" s="1"/>
  <c r="R128" i="20"/>
  <c r="R104" i="19" s="1"/>
  <c r="R131" i="20"/>
  <c r="R107" i="19" s="1"/>
  <c r="R130" i="20"/>
  <c r="R106" i="19" s="1"/>
  <c r="R103" i="19"/>
  <c r="S103" i="14" s="1"/>
  <c r="G269" i="20"/>
  <c r="G268" i="20"/>
  <c r="G271" i="20"/>
  <c r="G270" i="20"/>
  <c r="G86" i="19"/>
  <c r="H133" i="14" s="1"/>
  <c r="H133" i="12"/>
  <c r="G141" i="12"/>
  <c r="Q140" i="20"/>
  <c r="Q116" i="19" s="1"/>
  <c r="Q144" i="20"/>
  <c r="Q120" i="19" s="1"/>
  <c r="Q143" i="20"/>
  <c r="Q119" i="19" s="1"/>
  <c r="Q142" i="20"/>
  <c r="Q118" i="19" s="1"/>
  <c r="Q141" i="20"/>
  <c r="Q117" i="19" s="1"/>
  <c r="Q115" i="19"/>
  <c r="R94" i="14" s="1"/>
  <c r="Q147" i="20"/>
  <c r="Q123" i="19" s="1"/>
  <c r="Q148" i="20"/>
  <c r="Q124" i="19" s="1"/>
  <c r="Q149" i="20"/>
  <c r="Q125" i="19" s="1"/>
  <c r="Q150" i="20"/>
  <c r="Q126" i="19" s="1"/>
  <c r="Q146" i="20"/>
  <c r="Q122" i="19" s="1"/>
  <c r="R138" i="12"/>
  <c r="Q121" i="19"/>
  <c r="R138" i="14" s="1"/>
  <c r="I37" i="12"/>
  <c r="G68" i="19"/>
  <c r="H101" i="14" s="1"/>
  <c r="H101" i="12"/>
  <c r="AO57" i="51"/>
  <c r="I58" i="51"/>
  <c r="AS12" i="51"/>
  <c r="AS36" i="51"/>
  <c r="I34" i="53"/>
  <c r="U40" i="53" s="1"/>
  <c r="J52" i="51"/>
  <c r="L17" i="14"/>
  <c r="H221" i="19"/>
  <c r="H272" i="19"/>
  <c r="H273" i="19"/>
  <c r="H222" i="19"/>
  <c r="H225" i="19"/>
  <c r="AM64" i="51"/>
  <c r="AM71" i="51"/>
  <c r="J69" i="12"/>
  <c r="BP7" i="55"/>
  <c r="G153" i="12"/>
  <c r="G98" i="12"/>
  <c r="G91" i="19"/>
  <c r="H144" i="14" s="1"/>
  <c r="H144" i="12"/>
  <c r="G87" i="12"/>
  <c r="G108" i="12"/>
  <c r="C237" i="54"/>
  <c r="C258" i="54" s="1"/>
  <c r="G142" i="12"/>
  <c r="N13" i="12"/>
  <c r="N62" i="12"/>
  <c r="O12" i="12"/>
  <c r="E219" i="54"/>
  <c r="E231" i="54" s="1"/>
  <c r="E232" i="54" s="1"/>
  <c r="E220" i="54"/>
  <c r="T68" i="51"/>
  <c r="T50" i="51"/>
  <c r="G72" i="19"/>
  <c r="H119" i="14" s="1"/>
  <c r="H119" i="12"/>
  <c r="K48" i="51"/>
  <c r="J33" i="53"/>
  <c r="J39" i="53" s="1"/>
  <c r="K46" i="12"/>
  <c r="N41" i="14"/>
  <c r="N42" i="14"/>
  <c r="O40" i="14"/>
  <c r="J68" i="14"/>
  <c r="D294" i="20"/>
  <c r="D296" i="20" s="1"/>
  <c r="D295" i="20"/>
  <c r="G255" i="20"/>
  <c r="G256" i="20" s="1"/>
  <c r="H222" i="20"/>
  <c r="L45" i="14"/>
  <c r="C259" i="19"/>
  <c r="C266" i="19" s="1"/>
  <c r="J40" i="19"/>
  <c r="O46" i="19" s="1"/>
  <c r="K134" i="14"/>
  <c r="K71" i="14"/>
  <c r="K66" i="14"/>
  <c r="K70" i="14"/>
  <c r="E213" i="19"/>
  <c r="E214" i="19" s="1"/>
  <c r="F180" i="19"/>
  <c r="R134" i="20"/>
  <c r="R110" i="19" s="1"/>
  <c r="R137" i="20"/>
  <c r="R113" i="19" s="1"/>
  <c r="R136" i="20"/>
  <c r="R112" i="19" s="1"/>
  <c r="R138" i="20"/>
  <c r="R114" i="19" s="1"/>
  <c r="R135" i="20"/>
  <c r="R111" i="19" s="1"/>
  <c r="R109" i="19"/>
  <c r="S126" i="14" s="1"/>
  <c r="G285" i="20"/>
  <c r="M29" i="12"/>
  <c r="G141" i="14"/>
  <c r="K35" i="53"/>
  <c r="L59" i="51"/>
  <c r="H85" i="14"/>
  <c r="H106" i="14"/>
  <c r="I52" i="19"/>
  <c r="I49" i="19" s="1"/>
  <c r="I177" i="19" s="1"/>
  <c r="I47" i="20"/>
  <c r="I90" i="20"/>
  <c r="I55" i="19"/>
  <c r="I53" i="19"/>
  <c r="I59" i="19"/>
  <c r="I57" i="19"/>
  <c r="I60" i="19"/>
  <c r="I58" i="19"/>
  <c r="I61" i="19"/>
  <c r="I54" i="19"/>
  <c r="J124" i="12"/>
  <c r="I62" i="19"/>
  <c r="I50" i="19"/>
  <c r="I51" i="19"/>
  <c r="I72" i="20"/>
  <c r="I96" i="20"/>
  <c r="I221" i="20"/>
  <c r="I78" i="20"/>
  <c r="I84" i="20"/>
  <c r="J93" i="12"/>
  <c r="H78" i="53"/>
  <c r="I61" i="51" s="1"/>
  <c r="H162" i="53"/>
  <c r="M29" i="51"/>
  <c r="J46" i="51"/>
  <c r="H83" i="20"/>
  <c r="H75" i="19" s="1"/>
  <c r="I114" i="12"/>
  <c r="H79" i="20"/>
  <c r="H81" i="20"/>
  <c r="H80" i="20"/>
  <c r="H82" i="20"/>
  <c r="H70" i="19"/>
  <c r="I114" i="14" s="1"/>
  <c r="I147" i="12"/>
  <c r="G86" i="12"/>
  <c r="G107" i="12"/>
  <c r="G23" i="12"/>
  <c r="AM70" i="51"/>
  <c r="G98" i="14"/>
  <c r="H77" i="54"/>
  <c r="H71" i="54"/>
  <c r="H72" i="54" s="1"/>
  <c r="H75" i="54"/>
  <c r="H76" i="54" s="1"/>
  <c r="H69" i="54"/>
  <c r="H70" i="54" s="1"/>
  <c r="H44" i="54"/>
  <c r="F272" i="20"/>
  <c r="F273" i="20"/>
  <c r="M63" i="14"/>
  <c r="M64" i="14"/>
  <c r="M38" i="14"/>
  <c r="F214" i="53"/>
  <c r="F213" i="53"/>
  <c r="F88" i="14"/>
  <c r="F109" i="14"/>
  <c r="C218" i="54"/>
  <c r="C217" i="54"/>
  <c r="C221" i="54" s="1"/>
  <c r="H111" i="12"/>
  <c r="H90" i="12"/>
  <c r="H21" i="12"/>
  <c r="G142" i="14"/>
  <c r="AZ62" i="51"/>
  <c r="G71" i="19"/>
  <c r="H116" i="14" s="1"/>
  <c r="H116" i="12"/>
  <c r="E290" i="20"/>
  <c r="E291" i="20" s="1"/>
  <c r="E292" i="20"/>
  <c r="K45" i="12"/>
  <c r="D235" i="53"/>
  <c r="D237" i="53" s="1"/>
  <c r="D236" i="53"/>
  <c r="F151" i="14"/>
  <c r="F261" i="20"/>
  <c r="F262" i="20"/>
  <c r="F258" i="20"/>
  <c r="F257" i="20"/>
  <c r="F260" i="20"/>
  <c r="F259" i="20"/>
  <c r="F230" i="19"/>
  <c r="F231" i="19"/>
  <c r="M21" i="51"/>
  <c r="R141" i="20"/>
  <c r="R117" i="19" s="1"/>
  <c r="R142" i="20"/>
  <c r="R118" i="19" s="1"/>
  <c r="R144" i="20"/>
  <c r="R120" i="19" s="1"/>
  <c r="R143" i="20"/>
  <c r="R119" i="19" s="1"/>
  <c r="R140" i="20"/>
  <c r="R116" i="19" s="1"/>
  <c r="R115" i="19"/>
  <c r="S94" i="14" s="1"/>
  <c r="F148" i="12"/>
  <c r="AS20" i="51"/>
  <c r="AS22" i="51"/>
  <c r="AS23" i="51"/>
  <c r="AS19" i="51"/>
  <c r="H131" i="12"/>
  <c r="C310" i="20"/>
  <c r="D156" i="12" s="1"/>
  <c r="C308" i="20"/>
  <c r="H131" i="14"/>
  <c r="M38" i="12"/>
  <c r="R103" i="12"/>
  <c r="Q132" i="20"/>
  <c r="Q108" i="19" s="1"/>
  <c r="Q131" i="20"/>
  <c r="Q107" i="19" s="1"/>
  <c r="Q129" i="20"/>
  <c r="Q105" i="19" s="1"/>
  <c r="Q128" i="20"/>
  <c r="Q104" i="19" s="1"/>
  <c r="Q130" i="20"/>
  <c r="Q106" i="19" s="1"/>
  <c r="Q103" i="19"/>
  <c r="R103" i="14" s="1"/>
  <c r="Q136" i="20"/>
  <c r="Q112" i="19" s="1"/>
  <c r="Q137" i="20"/>
  <c r="Q113" i="19" s="1"/>
  <c r="Q138" i="20"/>
  <c r="Q114" i="19" s="1"/>
  <c r="Q134" i="20"/>
  <c r="Q110" i="19" s="1"/>
  <c r="Q109" i="19"/>
  <c r="R126" i="14" s="1"/>
  <c r="Q135" i="20"/>
  <c r="Q111" i="19" s="1"/>
  <c r="J47" i="14"/>
  <c r="AO49" i="51"/>
  <c r="J35" i="14"/>
  <c r="N28" i="51"/>
  <c r="N27" i="51"/>
  <c r="AT26" i="51"/>
  <c r="O26" i="51"/>
  <c r="H87" i="20"/>
  <c r="H79" i="19" s="1"/>
  <c r="H86" i="20"/>
  <c r="H78" i="19" s="1"/>
  <c r="H85" i="20"/>
  <c r="H77" i="19" s="1"/>
  <c r="H89" i="20"/>
  <c r="H81" i="19" s="1"/>
  <c r="H88" i="20"/>
  <c r="H80" i="19" s="1"/>
  <c r="I104" i="12"/>
  <c r="H76" i="19"/>
  <c r="I104" i="14" s="1"/>
  <c r="G146" i="14"/>
  <c r="AL73" i="51"/>
  <c r="L36" i="14"/>
  <c r="G89" i="19"/>
  <c r="H140" i="14" s="1"/>
  <c r="H140" i="12"/>
  <c r="F278" i="20"/>
  <c r="F279" i="20"/>
  <c r="H99" i="12"/>
  <c r="T104" i="53"/>
  <c r="T105" i="53" s="1"/>
  <c r="U53" i="51" s="1"/>
  <c r="T110" i="53"/>
  <c r="T111" i="53" s="1"/>
  <c r="T106" i="53"/>
  <c r="T107" i="53" s="1"/>
  <c r="U62" i="51" s="1"/>
  <c r="T108" i="53"/>
  <c r="T109" i="53" s="1"/>
  <c r="N13" i="14"/>
  <c r="N62" i="14"/>
  <c r="O12" i="14"/>
  <c r="M32" i="14"/>
  <c r="E152" i="12"/>
  <c r="G117" i="12"/>
  <c r="H85" i="12"/>
  <c r="H106" i="12"/>
  <c r="L82" i="14"/>
  <c r="G149" i="12"/>
  <c r="AZ53" i="51"/>
  <c r="H115" i="14"/>
  <c r="H146" i="14"/>
  <c r="G89" i="14"/>
  <c r="G22" i="14"/>
  <c r="G110" i="14"/>
  <c r="L15" i="51"/>
  <c r="L33" i="14"/>
  <c r="G129" i="12"/>
  <c r="F236" i="19"/>
  <c r="F248" i="19" s="1"/>
  <c r="F237" i="19"/>
  <c r="L46" i="14"/>
  <c r="M49" i="12"/>
  <c r="L38" i="20"/>
  <c r="N41" i="12"/>
  <c r="N42" i="12"/>
  <c r="O40" i="12"/>
  <c r="G83" i="19"/>
  <c r="H128" i="14" s="1"/>
  <c r="H128" i="12"/>
  <c r="N27" i="12"/>
  <c r="N31" i="12"/>
  <c r="N28" i="12"/>
  <c r="N30" i="12"/>
  <c r="O26" i="12"/>
  <c r="H110" i="14"/>
  <c r="H89" i="14"/>
  <c r="H22" i="14"/>
  <c r="G229" i="19"/>
  <c r="G226" i="19"/>
  <c r="G227" i="19"/>
  <c r="G228" i="19"/>
  <c r="H147" i="14"/>
  <c r="H95" i="14"/>
  <c r="H205" i="53"/>
  <c r="I47" i="19"/>
  <c r="K92" i="12"/>
  <c r="J36" i="20"/>
  <c r="J42" i="20" s="1"/>
  <c r="K39" i="12"/>
  <c r="AS27" i="51"/>
  <c r="AS28" i="51"/>
  <c r="L44" i="51"/>
  <c r="BQ13" i="55"/>
  <c r="BQ11" i="55"/>
  <c r="BQ19" i="55" s="1"/>
  <c r="BQ16" i="55"/>
  <c r="BQ15" i="55"/>
  <c r="BQ14" i="55"/>
  <c r="BQ12" i="55"/>
  <c r="G154" i="12"/>
  <c r="G97" i="12"/>
  <c r="H98" i="20"/>
  <c r="H90" i="19" s="1"/>
  <c r="H101" i="20"/>
  <c r="H93" i="19" s="1"/>
  <c r="H97" i="20"/>
  <c r="H99" i="20"/>
  <c r="H100" i="20"/>
  <c r="H88" i="19"/>
  <c r="I136" i="12"/>
  <c r="H220" i="20"/>
  <c r="H75" i="20"/>
  <c r="H73" i="20"/>
  <c r="H76" i="20"/>
  <c r="H74" i="20"/>
  <c r="H66" i="19" s="1"/>
  <c r="H77" i="20"/>
  <c r="H69" i="19" s="1"/>
  <c r="H64" i="19"/>
  <c r="I93" i="14" s="1"/>
  <c r="H37" i="19"/>
  <c r="T43" i="19" s="1"/>
  <c r="T96" i="19" s="1"/>
  <c r="T95" i="19" s="1"/>
  <c r="I102" i="14"/>
  <c r="I20" i="14"/>
  <c r="I25" i="14"/>
  <c r="I24" i="14"/>
  <c r="F226" i="53"/>
  <c r="F225" i="53"/>
  <c r="F222" i="53"/>
  <c r="F224" i="53"/>
  <c r="F227" i="53"/>
  <c r="F223" i="53"/>
  <c r="D216" i="54"/>
  <c r="D215" i="54"/>
  <c r="G92" i="19"/>
  <c r="H145" i="14" s="1"/>
  <c r="H145" i="12"/>
  <c r="K17" i="12"/>
  <c r="AR21" i="51"/>
  <c r="G117" i="14"/>
  <c r="H105" i="12"/>
  <c r="M83" i="12"/>
  <c r="D253" i="19"/>
  <c r="F206" i="54"/>
  <c r="F207" i="54" s="1"/>
  <c r="F229" i="54"/>
  <c r="F230" i="54" s="1"/>
  <c r="G105" i="14"/>
  <c r="J67" i="14"/>
  <c r="K38" i="20"/>
  <c r="L122" i="12"/>
  <c r="L49" i="12"/>
  <c r="L48" i="12"/>
  <c r="L44" i="12"/>
  <c r="G129" i="14"/>
  <c r="L39" i="51"/>
  <c r="M24" i="51"/>
  <c r="G206" i="53"/>
  <c r="G207" i="53" s="1"/>
  <c r="G229" i="53"/>
  <c r="G230" i="53" s="1"/>
  <c r="H111" i="14"/>
  <c r="H90" i="14"/>
  <c r="H21" i="14"/>
  <c r="N157" i="54"/>
  <c r="E196" i="54"/>
  <c r="E197" i="54" s="1"/>
  <c r="F163" i="54"/>
  <c r="BR9" i="55"/>
  <c r="G97" i="14"/>
  <c r="I84" i="14"/>
  <c r="I37" i="14"/>
  <c r="L33" i="12"/>
  <c r="I54" i="51"/>
  <c r="D218" i="53"/>
  <c r="D217" i="53"/>
  <c r="D221" i="53" s="1"/>
  <c r="M15" i="14"/>
  <c r="F219" i="53"/>
  <c r="F231" i="53" s="1"/>
  <c r="F232" i="53" s="1"/>
  <c r="F220" i="53"/>
  <c r="I44" i="53"/>
  <c r="I69" i="53"/>
  <c r="I70" i="53" s="1"/>
  <c r="J49" i="51" s="1"/>
  <c r="I77" i="53"/>
  <c r="I75" i="53"/>
  <c r="I71" i="53"/>
  <c r="I72" i="53" s="1"/>
  <c r="J57" i="51" s="1"/>
  <c r="AY50" i="51"/>
  <c r="D231" i="54"/>
  <c r="D232" i="54" s="1"/>
  <c r="D233" i="54"/>
  <c r="G130" i="12"/>
  <c r="L17" i="12"/>
  <c r="I90" i="12"/>
  <c r="I21" i="12"/>
  <c r="I111" i="12"/>
  <c r="AQ25" i="51"/>
  <c r="J37" i="54" l="1"/>
  <c r="O43" i="54" s="1"/>
  <c r="O156" i="54" s="1"/>
  <c r="G205" i="54"/>
  <c r="I9" i="55"/>
  <c r="AO9" i="55" s="1"/>
  <c r="H204" i="54"/>
  <c r="I204" i="53"/>
  <c r="I72" i="51"/>
  <c r="AN72" i="51"/>
  <c r="M122" i="12"/>
  <c r="M44" i="14"/>
  <c r="M82" i="14"/>
  <c r="G154" i="14"/>
  <c r="G149" i="14"/>
  <c r="I127" i="14"/>
  <c r="M16" i="14"/>
  <c r="J95" i="12"/>
  <c r="N14" i="12"/>
  <c r="J127" i="12"/>
  <c r="AO51" i="51"/>
  <c r="F150" i="12"/>
  <c r="AQ65" i="51"/>
  <c r="M39" i="51"/>
  <c r="M48" i="12"/>
  <c r="M44" i="12"/>
  <c r="I131" i="12"/>
  <c r="I143" i="12"/>
  <c r="N34" i="14"/>
  <c r="M49" i="14"/>
  <c r="L38" i="19"/>
  <c r="H159" i="54"/>
  <c r="N38" i="14"/>
  <c r="M122" i="14"/>
  <c r="M48" i="14"/>
  <c r="I176" i="19"/>
  <c r="I143" i="14"/>
  <c r="G283" i="20"/>
  <c r="G282" i="20"/>
  <c r="I131" i="14"/>
  <c r="G286" i="20"/>
  <c r="G284" i="20"/>
  <c r="BQ7" i="55"/>
  <c r="E251" i="19"/>
  <c r="E252" i="19" s="1"/>
  <c r="E254" i="19" s="1"/>
  <c r="M65" i="12"/>
  <c r="AJ77" i="51"/>
  <c r="C259" i="54"/>
  <c r="AJ78" i="51" s="1"/>
  <c r="D155" i="14"/>
  <c r="N15" i="12"/>
  <c r="H92" i="19"/>
  <c r="I145" i="14" s="1"/>
  <c r="I145" i="12"/>
  <c r="N32" i="12"/>
  <c r="O41" i="12"/>
  <c r="O42" i="12"/>
  <c r="P40" i="12"/>
  <c r="G87" i="14"/>
  <c r="G108" i="14"/>
  <c r="N83" i="14"/>
  <c r="F290" i="20"/>
  <c r="F291" i="20" s="1"/>
  <c r="F292" i="20"/>
  <c r="E295" i="20"/>
  <c r="M65" i="14"/>
  <c r="H74" i="19"/>
  <c r="I121" i="14" s="1"/>
  <c r="I121" i="12"/>
  <c r="I97" i="20"/>
  <c r="I101" i="20"/>
  <c r="I93" i="19" s="1"/>
  <c r="I100" i="20"/>
  <c r="J136" i="12"/>
  <c r="I98" i="20"/>
  <c r="I90" i="19" s="1"/>
  <c r="I99" i="20"/>
  <c r="I88" i="19"/>
  <c r="I220" i="20"/>
  <c r="J4" i="55"/>
  <c r="I264" i="20"/>
  <c r="I315" i="20"/>
  <c r="I314" i="20"/>
  <c r="I267" i="20"/>
  <c r="I263" i="20"/>
  <c r="J44" i="53"/>
  <c r="J75" i="53"/>
  <c r="J77" i="53"/>
  <c r="J71" i="53"/>
  <c r="J72" i="53" s="1"/>
  <c r="K57" i="51" s="1"/>
  <c r="J69" i="53"/>
  <c r="J70" i="53" s="1"/>
  <c r="K49" i="51" s="1"/>
  <c r="AS13" i="51"/>
  <c r="AS14" i="51"/>
  <c r="H154" i="14"/>
  <c r="H97" i="14"/>
  <c r="C268" i="19"/>
  <c r="D156" i="14" s="1"/>
  <c r="T101" i="19"/>
  <c r="T103" i="19"/>
  <c r="U103" i="14" s="1"/>
  <c r="U103" i="12"/>
  <c r="T132" i="20"/>
  <c r="T108" i="19" s="1"/>
  <c r="T128" i="20"/>
  <c r="T104" i="19" s="1"/>
  <c r="T131" i="20"/>
  <c r="T107" i="19" s="1"/>
  <c r="T129" i="20"/>
  <c r="T105" i="19" s="1"/>
  <c r="T130" i="20"/>
  <c r="T106" i="19" s="1"/>
  <c r="H266" i="20"/>
  <c r="N38" i="51"/>
  <c r="N37" i="51"/>
  <c r="M82" i="12"/>
  <c r="AR39" i="51"/>
  <c r="G199" i="53"/>
  <c r="G202" i="53"/>
  <c r="G201" i="53"/>
  <c r="G200" i="53"/>
  <c r="G198" i="53"/>
  <c r="G203" i="53"/>
  <c r="H85" i="19"/>
  <c r="I132" i="14" s="1"/>
  <c r="I132" i="12"/>
  <c r="J47" i="19"/>
  <c r="L65" i="51"/>
  <c r="K37" i="53"/>
  <c r="P43" i="53" s="1"/>
  <c r="P156" i="53" s="1"/>
  <c r="AR25" i="51"/>
  <c r="U68" i="51"/>
  <c r="U50" i="51"/>
  <c r="I119" i="12"/>
  <c r="H72" i="19"/>
  <c r="I119" i="14" s="1"/>
  <c r="I75" i="20"/>
  <c r="I73" i="20"/>
  <c r="I77" i="20"/>
  <c r="I69" i="19" s="1"/>
  <c r="I76" i="20"/>
  <c r="I74" i="20"/>
  <c r="I66" i="19" s="1"/>
  <c r="I64" i="19"/>
  <c r="J93" i="14" s="1"/>
  <c r="K67" i="14"/>
  <c r="O13" i="12"/>
  <c r="O62" i="12"/>
  <c r="P12" i="12"/>
  <c r="H226" i="19"/>
  <c r="H227" i="19"/>
  <c r="H229" i="19"/>
  <c r="H228" i="19"/>
  <c r="I99" i="12"/>
  <c r="H129" i="12"/>
  <c r="H118" i="14"/>
  <c r="AN70" i="51"/>
  <c r="E235" i="53"/>
  <c r="E237" i="53" s="1"/>
  <c r="E236" i="53"/>
  <c r="T100" i="19"/>
  <c r="T110" i="54"/>
  <c r="T111" i="54" s="1"/>
  <c r="T108" i="54"/>
  <c r="T109" i="54" s="1"/>
  <c r="T104" i="54"/>
  <c r="T105" i="54" s="1"/>
  <c r="T106" i="54"/>
  <c r="T107" i="54" s="1"/>
  <c r="M70" i="12"/>
  <c r="M66" i="12"/>
  <c r="L40" i="20"/>
  <c r="Q46" i="20" s="1"/>
  <c r="M71" i="12"/>
  <c r="M134" i="12"/>
  <c r="N36" i="14"/>
  <c r="K40" i="19"/>
  <c r="P46" i="19" s="1"/>
  <c r="L66" i="14"/>
  <c r="L134" i="14"/>
  <c r="L70" i="14"/>
  <c r="L71" i="14"/>
  <c r="AT36" i="51"/>
  <c r="AT12" i="51"/>
  <c r="E217" i="53"/>
  <c r="E221" i="53" s="1"/>
  <c r="E218" i="53"/>
  <c r="H117" i="14"/>
  <c r="I71" i="54"/>
  <c r="I72" i="54" s="1"/>
  <c r="I75" i="54"/>
  <c r="I76" i="54" s="1"/>
  <c r="I69" i="54"/>
  <c r="I70" i="54" s="1"/>
  <c r="I44" i="54"/>
  <c r="I77" i="54"/>
  <c r="H141" i="12"/>
  <c r="I85" i="14"/>
  <c r="I106" i="14"/>
  <c r="H91" i="19"/>
  <c r="I144" i="14" s="1"/>
  <c r="I144" i="12"/>
  <c r="K35" i="12"/>
  <c r="F196" i="54"/>
  <c r="F197" i="54" s="1"/>
  <c r="G163" i="54"/>
  <c r="BS9" i="55"/>
  <c r="H86" i="14"/>
  <c r="H107" i="14"/>
  <c r="H23" i="14"/>
  <c r="H141" i="14"/>
  <c r="I105" i="14"/>
  <c r="H68" i="19"/>
  <c r="I101" i="14" s="1"/>
  <c r="I101" i="12"/>
  <c r="H89" i="19"/>
  <c r="I140" i="14" s="1"/>
  <c r="I140" i="12"/>
  <c r="J52" i="19"/>
  <c r="J49" i="19" s="1"/>
  <c r="J177" i="19" s="1"/>
  <c r="J90" i="20"/>
  <c r="J55" i="19"/>
  <c r="J60" i="19"/>
  <c r="J62" i="19"/>
  <c r="J51" i="19"/>
  <c r="J50" i="19"/>
  <c r="J61" i="19"/>
  <c r="J57" i="19"/>
  <c r="J58" i="19"/>
  <c r="J59" i="19"/>
  <c r="J176" i="19" s="1"/>
  <c r="J54" i="19"/>
  <c r="J53" i="19"/>
  <c r="K124" i="12"/>
  <c r="K93" i="12"/>
  <c r="J47" i="20"/>
  <c r="J96" i="20"/>
  <c r="J72" i="20"/>
  <c r="J84" i="20"/>
  <c r="J78" i="20"/>
  <c r="J221" i="20"/>
  <c r="H212" i="53"/>
  <c r="H209" i="53"/>
  <c r="H210" i="53"/>
  <c r="H211" i="53"/>
  <c r="G230" i="19"/>
  <c r="G231" i="19"/>
  <c r="L43" i="51"/>
  <c r="L17" i="51"/>
  <c r="BA62" i="51"/>
  <c r="M36" i="12"/>
  <c r="AS21" i="51"/>
  <c r="M25" i="51"/>
  <c r="H208" i="54"/>
  <c r="H205" i="54"/>
  <c r="G153" i="14"/>
  <c r="O157" i="54"/>
  <c r="I120" i="12"/>
  <c r="H73" i="19"/>
  <c r="I120" i="14" s="1"/>
  <c r="H206" i="53"/>
  <c r="H207" i="53" s="1"/>
  <c r="H229" i="53"/>
  <c r="H230" i="53" s="1"/>
  <c r="I218" i="20"/>
  <c r="F213" i="19"/>
  <c r="F214" i="19" s="1"/>
  <c r="G180" i="19"/>
  <c r="H255" i="20"/>
  <c r="H256" i="20" s="1"/>
  <c r="I222" i="20"/>
  <c r="G151" i="12"/>
  <c r="AO4" i="55"/>
  <c r="J54" i="51"/>
  <c r="H129" i="14"/>
  <c r="K35" i="54"/>
  <c r="AR59" i="51"/>
  <c r="I110" i="12"/>
  <c r="G86" i="14"/>
  <c r="G107" i="14"/>
  <c r="G23" i="14"/>
  <c r="H118" i="12"/>
  <c r="G210" i="54"/>
  <c r="G209" i="54"/>
  <c r="G212" i="54"/>
  <c r="G211" i="54"/>
  <c r="G223" i="19"/>
  <c r="G224" i="19" s="1"/>
  <c r="G246" i="19"/>
  <c r="G247" i="19" s="1"/>
  <c r="H130" i="12"/>
  <c r="O23" i="51"/>
  <c r="O22" i="51"/>
  <c r="O20" i="51"/>
  <c r="O19" i="51"/>
  <c r="AU18" i="51"/>
  <c r="P18" i="51"/>
  <c r="T98" i="19"/>
  <c r="AO54" i="51"/>
  <c r="O135" i="14"/>
  <c r="H117" i="12"/>
  <c r="D74" i="51"/>
  <c r="C253" i="53"/>
  <c r="I34" i="54"/>
  <c r="U40" i="54" s="1"/>
  <c r="AP52" i="51"/>
  <c r="F250" i="19"/>
  <c r="F253" i="19" s="1"/>
  <c r="F249" i="19"/>
  <c r="I205" i="53"/>
  <c r="I208" i="53"/>
  <c r="F227" i="54"/>
  <c r="F225" i="54"/>
  <c r="F224" i="54"/>
  <c r="F226" i="54"/>
  <c r="F222" i="54"/>
  <c r="F223" i="54"/>
  <c r="D236" i="54"/>
  <c r="M17" i="14"/>
  <c r="E201" i="54"/>
  <c r="E202" i="54"/>
  <c r="E198" i="54"/>
  <c r="E199" i="54"/>
  <c r="E203" i="54"/>
  <c r="E200" i="54"/>
  <c r="L46" i="12"/>
  <c r="J69" i="14"/>
  <c r="D218" i="54"/>
  <c r="D217" i="54"/>
  <c r="D221" i="54" s="1"/>
  <c r="H65" i="19"/>
  <c r="I96" i="14" s="1"/>
  <c r="I96" i="12"/>
  <c r="K95" i="12"/>
  <c r="N29" i="12"/>
  <c r="K47" i="12"/>
  <c r="F152" i="14"/>
  <c r="H71" i="19"/>
  <c r="I116" i="14" s="1"/>
  <c r="I116" i="12"/>
  <c r="AO61" i="51"/>
  <c r="I71" i="51"/>
  <c r="I64" i="51"/>
  <c r="M33" i="12"/>
  <c r="E219" i="19"/>
  <c r="E218" i="19"/>
  <c r="E216" i="19"/>
  <c r="E215" i="19"/>
  <c r="E220" i="19"/>
  <c r="E217" i="19"/>
  <c r="G259" i="20"/>
  <c r="G257" i="20"/>
  <c r="G258" i="20"/>
  <c r="G261" i="20"/>
  <c r="G260" i="20"/>
  <c r="G262" i="20"/>
  <c r="N64" i="12"/>
  <c r="N63" i="12"/>
  <c r="U110" i="53"/>
  <c r="U111" i="53" s="1"/>
  <c r="U108" i="53"/>
  <c r="U109" i="53" s="1"/>
  <c r="U106" i="53"/>
  <c r="U107" i="53" s="1"/>
  <c r="V62" i="51" s="1"/>
  <c r="U104" i="53"/>
  <c r="U105" i="53" s="1"/>
  <c r="V53" i="51" s="1"/>
  <c r="G272" i="20"/>
  <c r="G273" i="20"/>
  <c r="H139" i="14"/>
  <c r="H149" i="12"/>
  <c r="H130" i="14"/>
  <c r="K68" i="12"/>
  <c r="T99" i="19"/>
  <c r="S142" i="20"/>
  <c r="S118" i="19" s="1"/>
  <c r="S141" i="20"/>
  <c r="S117" i="19" s="1"/>
  <c r="S144" i="20"/>
  <c r="S120" i="19" s="1"/>
  <c r="S140" i="20"/>
  <c r="S116" i="19" s="1"/>
  <c r="S143" i="20"/>
  <c r="S119" i="19" s="1"/>
  <c r="S115" i="19"/>
  <c r="T94" i="14" s="1"/>
  <c r="T103" i="12"/>
  <c r="S128" i="20"/>
  <c r="S104" i="19" s="1"/>
  <c r="S130" i="20"/>
  <c r="S106" i="19" s="1"/>
  <c r="S132" i="20"/>
  <c r="S108" i="19" s="1"/>
  <c r="S129" i="20"/>
  <c r="S105" i="19" s="1"/>
  <c r="S131" i="20"/>
  <c r="S107" i="19" s="1"/>
  <c r="S103" i="19"/>
  <c r="T103" i="14" s="1"/>
  <c r="G220" i="53"/>
  <c r="G219" i="53"/>
  <c r="G231" i="53" s="1"/>
  <c r="G232" i="53" s="1"/>
  <c r="E258" i="19"/>
  <c r="E259" i="19" s="1"/>
  <c r="F213" i="54"/>
  <c r="F214" i="54"/>
  <c r="AR44" i="51"/>
  <c r="L134" i="12"/>
  <c r="L66" i="12"/>
  <c r="L71" i="12"/>
  <c r="K40" i="20"/>
  <c r="P46" i="20" s="1"/>
  <c r="L70" i="12"/>
  <c r="AP46" i="51"/>
  <c r="AO67" i="51"/>
  <c r="I70" i="51"/>
  <c r="F239" i="19"/>
  <c r="F242" i="19"/>
  <c r="F243" i="19"/>
  <c r="F240" i="19"/>
  <c r="F244" i="19"/>
  <c r="F241" i="19"/>
  <c r="AP49" i="51"/>
  <c r="J33" i="54"/>
  <c r="J39" i="54" s="1"/>
  <c r="AQ48" i="51"/>
  <c r="AP57" i="51"/>
  <c r="J58" i="51"/>
  <c r="L39" i="12"/>
  <c r="L92" i="12"/>
  <c r="K36" i="20"/>
  <c r="K42" i="20" s="1"/>
  <c r="G222" i="53"/>
  <c r="G225" i="53"/>
  <c r="G227" i="53"/>
  <c r="G226" i="53"/>
  <c r="G224" i="53"/>
  <c r="G223" i="53"/>
  <c r="L45" i="12"/>
  <c r="D258" i="19"/>
  <c r="D259" i="19" s="1"/>
  <c r="I89" i="14"/>
  <c r="I110" i="14"/>
  <c r="I22" i="14"/>
  <c r="H67" i="19"/>
  <c r="I100" i="14" s="1"/>
  <c r="I100" i="12"/>
  <c r="BQ6" i="55"/>
  <c r="O28" i="12"/>
  <c r="O31" i="12"/>
  <c r="O27" i="12"/>
  <c r="O30" i="12"/>
  <c r="P26" i="12"/>
  <c r="O13" i="14"/>
  <c r="O62" i="14"/>
  <c r="P12" i="14"/>
  <c r="BA53" i="51"/>
  <c r="J37" i="14"/>
  <c r="D155" i="12"/>
  <c r="D10" i="55"/>
  <c r="C312" i="20"/>
  <c r="C317" i="20"/>
  <c r="AS24" i="51"/>
  <c r="I105" i="12"/>
  <c r="H86" i="12"/>
  <c r="H107" i="12"/>
  <c r="H23" i="12"/>
  <c r="I115" i="12"/>
  <c r="I146" i="12"/>
  <c r="J147" i="12"/>
  <c r="E293" i="20"/>
  <c r="E294" i="20" s="1"/>
  <c r="E296" i="20" s="1"/>
  <c r="G278" i="20"/>
  <c r="G279" i="20"/>
  <c r="M65" i="51"/>
  <c r="L37" i="53"/>
  <c r="Q43" i="53" s="1"/>
  <c r="Q156" i="53" s="1"/>
  <c r="H149" i="14"/>
  <c r="I37" i="19"/>
  <c r="U43" i="19" s="1"/>
  <c r="J102" i="14"/>
  <c r="J20" i="14"/>
  <c r="J24" i="14"/>
  <c r="J25" i="14"/>
  <c r="AT23" i="51"/>
  <c r="AT20" i="51"/>
  <c r="AT22" i="51"/>
  <c r="AT19" i="51"/>
  <c r="O167" i="19"/>
  <c r="O166" i="19" s="1"/>
  <c r="O211" i="20"/>
  <c r="J37" i="19"/>
  <c r="V43" i="19" s="1"/>
  <c r="K20" i="14"/>
  <c r="K102" i="14"/>
  <c r="K24" i="14"/>
  <c r="K25" i="14"/>
  <c r="G206" i="54"/>
  <c r="G207" i="54" s="1"/>
  <c r="G229" i="54"/>
  <c r="G230" i="54" s="1"/>
  <c r="S148" i="20"/>
  <c r="S124" i="19" s="1"/>
  <c r="S150" i="20"/>
  <c r="S126" i="19" s="1"/>
  <c r="S147" i="20"/>
  <c r="S123" i="19" s="1"/>
  <c r="S146" i="20"/>
  <c r="S122" i="19" s="1"/>
  <c r="S149" i="20"/>
  <c r="S125" i="19" s="1"/>
  <c r="S121" i="19"/>
  <c r="T138" i="14" s="1"/>
  <c r="T138" i="12"/>
  <c r="F219" i="54"/>
  <c r="F231" i="54" s="1"/>
  <c r="F232" i="54" s="1"/>
  <c r="F220" i="54"/>
  <c r="AQ43" i="51"/>
  <c r="AQ17" i="51"/>
  <c r="M16" i="12"/>
  <c r="BR11" i="55"/>
  <c r="BR19" i="55" s="1"/>
  <c r="BR13" i="55"/>
  <c r="BR14" i="55"/>
  <c r="BR15" i="55"/>
  <c r="BR16" i="55"/>
  <c r="BR12" i="55"/>
  <c r="I76" i="53"/>
  <c r="J67" i="51"/>
  <c r="K81" i="12"/>
  <c r="K19" i="12"/>
  <c r="AS29" i="51"/>
  <c r="G236" i="19"/>
  <c r="G248" i="19" s="1"/>
  <c r="G237" i="19"/>
  <c r="N34" i="12"/>
  <c r="K36" i="19"/>
  <c r="K42" i="19" s="1"/>
  <c r="L92" i="14"/>
  <c r="L39" i="14"/>
  <c r="N29" i="51"/>
  <c r="D158" i="12"/>
  <c r="D162" i="12"/>
  <c r="G109" i="12"/>
  <c r="G88" i="12"/>
  <c r="L35" i="53"/>
  <c r="M59" i="51"/>
  <c r="I86" i="20"/>
  <c r="I78" i="19" s="1"/>
  <c r="I88" i="20"/>
  <c r="I80" i="19" s="1"/>
  <c r="I85" i="20"/>
  <c r="I77" i="19" s="1"/>
  <c r="I87" i="20"/>
  <c r="I79" i="19" s="1"/>
  <c r="I89" i="20"/>
  <c r="I81" i="19" s="1"/>
  <c r="I76" i="19"/>
  <c r="J104" i="14" s="1"/>
  <c r="J104" i="12"/>
  <c r="K68" i="14"/>
  <c r="O41" i="14"/>
  <c r="O42" i="14"/>
  <c r="P40" i="14"/>
  <c r="G148" i="12"/>
  <c r="L48" i="51"/>
  <c r="K33" i="53"/>
  <c r="K39" i="53" s="1"/>
  <c r="E216" i="54"/>
  <c r="E215" i="54"/>
  <c r="AU66" i="51"/>
  <c r="J84" i="14"/>
  <c r="N21" i="51"/>
  <c r="K67" i="12"/>
  <c r="K84" i="14"/>
  <c r="T149" i="20"/>
  <c r="T125" i="19" s="1"/>
  <c r="T148" i="20"/>
  <c r="T124" i="19" s="1"/>
  <c r="T147" i="20"/>
  <c r="T123" i="19" s="1"/>
  <c r="T150" i="20"/>
  <c r="T126" i="19" s="1"/>
  <c r="T146" i="20"/>
  <c r="T122" i="19" s="1"/>
  <c r="U138" i="12"/>
  <c r="T121" i="19"/>
  <c r="U138" i="14" s="1"/>
  <c r="AR15" i="51"/>
  <c r="S134" i="20"/>
  <c r="S110" i="19" s="1"/>
  <c r="S135" i="20"/>
  <c r="S111" i="19" s="1"/>
  <c r="S137" i="20"/>
  <c r="S113" i="19" s="1"/>
  <c r="S136" i="20"/>
  <c r="S112" i="19" s="1"/>
  <c r="S138" i="20"/>
  <c r="S114" i="19" s="1"/>
  <c r="S109" i="19"/>
  <c r="T126" i="14" s="1"/>
  <c r="N29" i="14"/>
  <c r="G213" i="53"/>
  <c r="G214" i="53"/>
  <c r="H271" i="20"/>
  <c r="H269" i="20"/>
  <c r="H268" i="20"/>
  <c r="H270" i="20"/>
  <c r="C242" i="54"/>
  <c r="C249" i="54" s="1"/>
  <c r="I106" i="12"/>
  <c r="H87" i="12"/>
  <c r="H108" i="12"/>
  <c r="E233" i="54"/>
  <c r="E234" i="54" s="1"/>
  <c r="F88" i="12"/>
  <c r="F109" i="12"/>
  <c r="AV66" i="51"/>
  <c r="H86" i="19"/>
  <c r="I133" i="14" s="1"/>
  <c r="I133" i="12"/>
  <c r="K35" i="14"/>
  <c r="H73" i="51"/>
  <c r="I86" i="12"/>
  <c r="I107" i="12"/>
  <c r="I23" i="12"/>
  <c r="L81" i="12"/>
  <c r="L19" i="12"/>
  <c r="I78" i="53"/>
  <c r="J61" i="51" s="1"/>
  <c r="I162" i="53"/>
  <c r="I111" i="14"/>
  <c r="I90" i="14"/>
  <c r="I21" i="14"/>
  <c r="I139" i="12"/>
  <c r="N38" i="12"/>
  <c r="M45" i="12"/>
  <c r="N14" i="14"/>
  <c r="O27" i="51"/>
  <c r="AU26" i="51"/>
  <c r="O28" i="51"/>
  <c r="P26" i="51"/>
  <c r="H148" i="12"/>
  <c r="F232" i="19"/>
  <c r="F233" i="19"/>
  <c r="F216" i="53"/>
  <c r="F215" i="53"/>
  <c r="I83" i="20"/>
  <c r="I75" i="19" s="1"/>
  <c r="I81" i="20"/>
  <c r="I70" i="19"/>
  <c r="J114" i="14" s="1"/>
  <c r="I80" i="20"/>
  <c r="I79" i="20"/>
  <c r="J114" i="12"/>
  <c r="I82" i="20"/>
  <c r="N43" i="14"/>
  <c r="AZ50" i="51"/>
  <c r="N83" i="12"/>
  <c r="H142" i="12"/>
  <c r="AM73" i="51"/>
  <c r="AO58" i="51"/>
  <c r="E276" i="20"/>
  <c r="E280" i="20" s="1"/>
  <c r="E277" i="20"/>
  <c r="J102" i="12"/>
  <c r="J25" i="12"/>
  <c r="J24" i="12"/>
  <c r="I37" i="20"/>
  <c r="U43" i="20" s="1"/>
  <c r="J20" i="12"/>
  <c r="J37" i="12"/>
  <c r="N24" i="51"/>
  <c r="T141" i="20"/>
  <c r="T117" i="19" s="1"/>
  <c r="T143" i="20"/>
  <c r="T119" i="19" s="1"/>
  <c r="T142" i="20"/>
  <c r="T118" i="19" s="1"/>
  <c r="T144" i="20"/>
  <c r="T120" i="19" s="1"/>
  <c r="T140" i="20"/>
  <c r="T116" i="19" s="1"/>
  <c r="T115" i="19"/>
  <c r="U94" i="14" s="1"/>
  <c r="T136" i="20"/>
  <c r="T112" i="19" s="1"/>
  <c r="T137" i="20"/>
  <c r="T113" i="19" s="1"/>
  <c r="T138" i="20"/>
  <c r="T114" i="19" s="1"/>
  <c r="T134" i="20"/>
  <c r="T110" i="19" s="1"/>
  <c r="T109" i="19"/>
  <c r="U126" i="14" s="1"/>
  <c r="T135" i="20"/>
  <c r="T111" i="19" s="1"/>
  <c r="G148" i="14"/>
  <c r="K52" i="51"/>
  <c r="J34" i="53"/>
  <c r="V40" i="53" s="1"/>
  <c r="N14" i="51"/>
  <c r="N13" i="51"/>
  <c r="H153" i="12"/>
  <c r="H98" i="12"/>
  <c r="F151" i="12"/>
  <c r="E234" i="19"/>
  <c r="E238" i="19" s="1"/>
  <c r="E235" i="19"/>
  <c r="M33" i="14"/>
  <c r="H83" i="19"/>
  <c r="I128" i="14" s="1"/>
  <c r="I128" i="12"/>
  <c r="I99" i="14"/>
  <c r="I159" i="53"/>
  <c r="D234" i="54"/>
  <c r="D235" i="54" s="1"/>
  <c r="D237" i="54" s="1"/>
  <c r="M44" i="51"/>
  <c r="I147" i="14"/>
  <c r="I95" i="14"/>
  <c r="I136" i="14"/>
  <c r="H179" i="19"/>
  <c r="G150" i="12"/>
  <c r="I222" i="19"/>
  <c r="I221" i="19"/>
  <c r="I272" i="19"/>
  <c r="I273" i="19"/>
  <c r="I225" i="19"/>
  <c r="H87" i="14"/>
  <c r="H108" i="14"/>
  <c r="N43" i="12"/>
  <c r="M46" i="12"/>
  <c r="N63" i="14"/>
  <c r="N64" i="14"/>
  <c r="F233" i="53"/>
  <c r="F234" i="53" s="1"/>
  <c r="AT27" i="51"/>
  <c r="AT28" i="51"/>
  <c r="F251" i="19"/>
  <c r="D258" i="53"/>
  <c r="D241" i="53"/>
  <c r="M36" i="14"/>
  <c r="F274" i="20"/>
  <c r="F275" i="20"/>
  <c r="H78" i="54"/>
  <c r="H162" i="54"/>
  <c r="I115" i="14"/>
  <c r="I265" i="20"/>
  <c r="I288" i="20"/>
  <c r="I289" i="20" s="1"/>
  <c r="I93" i="20"/>
  <c r="I95" i="20"/>
  <c r="I87" i="19" s="1"/>
  <c r="I94" i="20"/>
  <c r="I92" i="20"/>
  <c r="I91" i="20"/>
  <c r="I82" i="19"/>
  <c r="J124" i="14" s="1"/>
  <c r="L47" i="14"/>
  <c r="D300" i="20"/>
  <c r="D301" i="20" s="1"/>
  <c r="AZ68" i="51"/>
  <c r="H142" i="14"/>
  <c r="L81" i="14"/>
  <c r="L19" i="14"/>
  <c r="AS37" i="51"/>
  <c r="AS38" i="51"/>
  <c r="H154" i="12"/>
  <c r="H97" i="12"/>
  <c r="I87" i="12"/>
  <c r="I108" i="12"/>
  <c r="J84" i="12"/>
  <c r="T97" i="19"/>
  <c r="K46" i="51"/>
  <c r="O27" i="14"/>
  <c r="O28" i="14"/>
  <c r="O31" i="14"/>
  <c r="O30" i="14"/>
  <c r="P26" i="14"/>
  <c r="N32" i="14"/>
  <c r="AU10" i="51"/>
  <c r="O36" i="51"/>
  <c r="P10" i="51"/>
  <c r="O12" i="51"/>
  <c r="H153" i="14"/>
  <c r="H98" i="14"/>
  <c r="J51" i="51"/>
  <c r="H196" i="53"/>
  <c r="H197" i="53" s="1"/>
  <c r="I163" i="53"/>
  <c r="M15" i="51"/>
  <c r="AN71" i="51"/>
  <c r="AN64" i="51"/>
  <c r="J9" i="55" l="1"/>
  <c r="I204" i="54"/>
  <c r="J204" i="53"/>
  <c r="J205" i="53" s="1"/>
  <c r="M46" i="14"/>
  <c r="O14" i="14"/>
  <c r="I146" i="14"/>
  <c r="J72" i="51"/>
  <c r="G150" i="14"/>
  <c r="J218" i="20"/>
  <c r="N39" i="51"/>
  <c r="K51" i="51"/>
  <c r="J127" i="14"/>
  <c r="K127" i="12"/>
  <c r="AP51" i="51"/>
  <c r="G151" i="14"/>
  <c r="M45" i="14"/>
  <c r="BR6" i="55"/>
  <c r="AP4" i="55"/>
  <c r="O29" i="51"/>
  <c r="I159" i="54"/>
  <c r="O34" i="12"/>
  <c r="J143" i="12"/>
  <c r="BR7" i="55"/>
  <c r="H148" i="14"/>
  <c r="AJ74" i="51"/>
  <c r="O15" i="14"/>
  <c r="O38" i="14"/>
  <c r="AU12" i="51"/>
  <c r="AU36" i="51"/>
  <c r="F277" i="20"/>
  <c r="F276" i="20"/>
  <c r="F280" i="20" s="1"/>
  <c r="J119" i="12"/>
  <c r="I72" i="19"/>
  <c r="J119" i="14" s="1"/>
  <c r="AO72" i="51"/>
  <c r="AP61" i="51"/>
  <c r="J71" i="51"/>
  <c r="J64" i="51"/>
  <c r="F152" i="12"/>
  <c r="H272" i="20"/>
  <c r="H273" i="20"/>
  <c r="K84" i="12"/>
  <c r="AT21" i="51"/>
  <c r="J85" i="14"/>
  <c r="J106" i="14"/>
  <c r="M47" i="14"/>
  <c r="AP58" i="51"/>
  <c r="F216" i="54"/>
  <c r="F215" i="54"/>
  <c r="AO71" i="51"/>
  <c r="AO64" i="51"/>
  <c r="I149" i="12"/>
  <c r="U106" i="54"/>
  <c r="U107" i="54" s="1"/>
  <c r="U104" i="54"/>
  <c r="U105" i="54" s="1"/>
  <c r="U110" i="54"/>
  <c r="U111" i="54" s="1"/>
  <c r="U108" i="54"/>
  <c r="U109" i="54" s="1"/>
  <c r="G213" i="19"/>
  <c r="G214" i="19" s="1"/>
  <c r="H180" i="19"/>
  <c r="H212" i="54"/>
  <c r="H211" i="54"/>
  <c r="H210" i="54"/>
  <c r="H209" i="54"/>
  <c r="L46" i="51"/>
  <c r="J315" i="20"/>
  <c r="J314" i="20"/>
  <c r="J263" i="20"/>
  <c r="J264" i="20"/>
  <c r="K4" i="55"/>
  <c r="J267" i="20"/>
  <c r="G196" i="54"/>
  <c r="G197" i="54" s="1"/>
  <c r="H163" i="54"/>
  <c r="BT9" i="55"/>
  <c r="L68" i="14"/>
  <c r="H230" i="19"/>
  <c r="H231" i="19"/>
  <c r="K69" i="14"/>
  <c r="I65" i="19"/>
  <c r="J96" i="14" s="1"/>
  <c r="J96" i="12"/>
  <c r="H282" i="20"/>
  <c r="H285" i="20"/>
  <c r="H286" i="20"/>
  <c r="H283" i="20"/>
  <c r="H281" i="20"/>
  <c r="H284" i="20"/>
  <c r="J76" i="53"/>
  <c r="K67" i="51"/>
  <c r="I89" i="19"/>
  <c r="J140" i="14" s="1"/>
  <c r="J140" i="12"/>
  <c r="E300" i="20"/>
  <c r="E301" i="20" s="1"/>
  <c r="D163" i="14"/>
  <c r="D157" i="14"/>
  <c r="AP9" i="55"/>
  <c r="N15" i="51"/>
  <c r="J90" i="12"/>
  <c r="J21" i="12"/>
  <c r="J111" i="12"/>
  <c r="J115" i="14"/>
  <c r="N35" i="53"/>
  <c r="O59" i="51"/>
  <c r="N15" i="14"/>
  <c r="K37" i="14"/>
  <c r="K47" i="19"/>
  <c r="AQ52" i="51"/>
  <c r="J34" i="54"/>
  <c r="V40" i="54" s="1"/>
  <c r="K85" i="14"/>
  <c r="AT24" i="51"/>
  <c r="D13" i="55"/>
  <c r="D12" i="55"/>
  <c r="D16" i="55"/>
  <c r="D14" i="55"/>
  <c r="D11" i="55"/>
  <c r="D15" i="55"/>
  <c r="P30" i="12"/>
  <c r="P31" i="12"/>
  <c r="P28" i="12"/>
  <c r="P27" i="12"/>
  <c r="Q26" i="12"/>
  <c r="K52" i="19"/>
  <c r="K49" i="19" s="1"/>
  <c r="K177" i="19" s="1"/>
  <c r="K57" i="19"/>
  <c r="K62" i="19"/>
  <c r="K96" i="20"/>
  <c r="K51" i="19"/>
  <c r="L124" i="12"/>
  <c r="K53" i="19"/>
  <c r="L93" i="12"/>
  <c r="K55" i="19"/>
  <c r="K58" i="19"/>
  <c r="K54" i="19"/>
  <c r="K59" i="19"/>
  <c r="K176" i="19" s="1"/>
  <c r="K61" i="19"/>
  <c r="K47" i="20"/>
  <c r="K60" i="19"/>
  <c r="K50" i="19"/>
  <c r="K90" i="20"/>
  <c r="K72" i="20"/>
  <c r="K78" i="20"/>
  <c r="K84" i="20"/>
  <c r="K221" i="20"/>
  <c r="M17" i="12"/>
  <c r="L67" i="12"/>
  <c r="I149" i="14"/>
  <c r="D258" i="54"/>
  <c r="D241" i="54"/>
  <c r="D242" i="54" s="1"/>
  <c r="I212" i="53"/>
  <c r="I210" i="53"/>
  <c r="I209" i="53"/>
  <c r="I211" i="53"/>
  <c r="AU23" i="51"/>
  <c r="AU20" i="51"/>
  <c r="AU19" i="51"/>
  <c r="AU22" i="51"/>
  <c r="F220" i="19"/>
  <c r="F219" i="19"/>
  <c r="F215" i="19"/>
  <c r="F217" i="19"/>
  <c r="F218" i="19"/>
  <c r="F216" i="19"/>
  <c r="I118" i="14"/>
  <c r="K147" i="12"/>
  <c r="F202" i="54"/>
  <c r="F203" i="54"/>
  <c r="F199" i="54"/>
  <c r="F201" i="54"/>
  <c r="F198" i="54"/>
  <c r="F200" i="54"/>
  <c r="I142" i="12"/>
  <c r="M67" i="12"/>
  <c r="H236" i="19"/>
  <c r="H248" i="19" s="1"/>
  <c r="H237" i="19"/>
  <c r="O83" i="12"/>
  <c r="I67" i="19"/>
  <c r="J100" i="14" s="1"/>
  <c r="J100" i="12"/>
  <c r="N82" i="12"/>
  <c r="AR65" i="51"/>
  <c r="K37" i="54"/>
  <c r="P43" i="54" s="1"/>
  <c r="P156" i="54" s="1"/>
  <c r="I117" i="12"/>
  <c r="F295" i="20"/>
  <c r="I196" i="53"/>
  <c r="I197" i="53" s="1"/>
  <c r="J163" i="53"/>
  <c r="I83" i="19"/>
  <c r="J128" i="14" s="1"/>
  <c r="J128" i="12"/>
  <c r="E77" i="51"/>
  <c r="D259" i="53"/>
  <c r="E78" i="51" s="1"/>
  <c r="M38" i="19"/>
  <c r="N44" i="14"/>
  <c r="N48" i="14"/>
  <c r="N122" i="14"/>
  <c r="N49" i="14"/>
  <c r="I73" i="19"/>
  <c r="J120" i="14" s="1"/>
  <c r="J120" i="12"/>
  <c r="AV26" i="51"/>
  <c r="P27" i="51"/>
  <c r="P28" i="51"/>
  <c r="Q26" i="51"/>
  <c r="N36" i="12"/>
  <c r="L102" i="12"/>
  <c r="L25" i="12"/>
  <c r="L24" i="12"/>
  <c r="K37" i="20"/>
  <c r="W43" i="20" s="1"/>
  <c r="L20" i="12"/>
  <c r="K44" i="53"/>
  <c r="K77" i="53"/>
  <c r="K71" i="53"/>
  <c r="K72" i="53" s="1"/>
  <c r="L57" i="51" s="1"/>
  <c r="K75" i="53"/>
  <c r="K69" i="53"/>
  <c r="K70" i="53" s="1"/>
  <c r="L49" i="51" s="1"/>
  <c r="D160" i="12"/>
  <c r="C251" i="54"/>
  <c r="AJ75" i="51" s="1"/>
  <c r="H88" i="12"/>
  <c r="H109" i="12"/>
  <c r="I148" i="12"/>
  <c r="D163" i="12"/>
  <c r="D157" i="12"/>
  <c r="P13" i="14"/>
  <c r="P62" i="14"/>
  <c r="Q12" i="14"/>
  <c r="O38" i="12"/>
  <c r="AO70" i="51"/>
  <c r="G274" i="20"/>
  <c r="G275" i="20"/>
  <c r="O21" i="51"/>
  <c r="I118" i="12"/>
  <c r="H219" i="53"/>
  <c r="H231" i="53" s="1"/>
  <c r="H232" i="53" s="1"/>
  <c r="H220" i="53"/>
  <c r="I142" i="14"/>
  <c r="Q211" i="20"/>
  <c r="E241" i="53"/>
  <c r="E258" i="53"/>
  <c r="J272" i="19"/>
  <c r="J222" i="19"/>
  <c r="J273" i="19"/>
  <c r="J221" i="19"/>
  <c r="J225" i="19"/>
  <c r="H150" i="14"/>
  <c r="J136" i="14"/>
  <c r="I179" i="19"/>
  <c r="I117" i="14"/>
  <c r="O29" i="14"/>
  <c r="P28" i="14"/>
  <c r="P31" i="14"/>
  <c r="P27" i="14"/>
  <c r="P30" i="14"/>
  <c r="Q26" i="14"/>
  <c r="K37" i="19"/>
  <c r="W43" i="19" s="1"/>
  <c r="L102" i="14"/>
  <c r="L25" i="14"/>
  <c r="L24" i="14"/>
  <c r="L20" i="14"/>
  <c r="I84" i="19"/>
  <c r="J131" i="14" s="1"/>
  <c r="J131" i="12"/>
  <c r="D242" i="53"/>
  <c r="D251" i="53" s="1"/>
  <c r="E75" i="51" s="1"/>
  <c r="F235" i="53"/>
  <c r="F237" i="53" s="1"/>
  <c r="F236" i="53"/>
  <c r="I226" i="19"/>
  <c r="I227" i="19"/>
  <c r="I229" i="19"/>
  <c r="I228" i="19"/>
  <c r="H223" i="19"/>
  <c r="H224" i="19" s="1"/>
  <c r="H246" i="19"/>
  <c r="H247" i="19" s="1"/>
  <c r="V110" i="53"/>
  <c r="V111" i="53" s="1"/>
  <c r="V106" i="53"/>
  <c r="V107" i="53" s="1"/>
  <c r="W62" i="51" s="1"/>
  <c r="V104" i="53"/>
  <c r="V105" i="53" s="1"/>
  <c r="W53" i="51" s="1"/>
  <c r="V108" i="53"/>
  <c r="V109" i="53" s="1"/>
  <c r="J105" i="12"/>
  <c r="F235" i="19"/>
  <c r="F234" i="19"/>
  <c r="F238" i="19" s="1"/>
  <c r="L84" i="12"/>
  <c r="I129" i="12"/>
  <c r="E235" i="54"/>
  <c r="E237" i="54" s="1"/>
  <c r="E236" i="54"/>
  <c r="H279" i="20"/>
  <c r="H278" i="20"/>
  <c r="AQ46" i="51"/>
  <c r="G222" i="54"/>
  <c r="G225" i="54"/>
  <c r="G226" i="54"/>
  <c r="G227" i="54"/>
  <c r="G224" i="54"/>
  <c r="G223" i="54"/>
  <c r="J105" i="14"/>
  <c r="O64" i="14"/>
  <c r="O63" i="14"/>
  <c r="I153" i="12"/>
  <c r="I98" i="12"/>
  <c r="D268" i="19"/>
  <c r="E156" i="14" s="1"/>
  <c r="D266" i="19"/>
  <c r="L95" i="12"/>
  <c r="J77" i="54"/>
  <c r="J75" i="54"/>
  <c r="J76" i="54" s="1"/>
  <c r="J69" i="54"/>
  <c r="J70" i="54" s="1"/>
  <c r="J71" i="54"/>
  <c r="J72" i="54" s="1"/>
  <c r="J44" i="54"/>
  <c r="N65" i="12"/>
  <c r="M39" i="12"/>
  <c r="M92" i="12"/>
  <c r="L36" i="20"/>
  <c r="L42" i="20" s="1"/>
  <c r="G250" i="19"/>
  <c r="G251" i="19" s="1"/>
  <c r="G249" i="19"/>
  <c r="I255" i="20"/>
  <c r="I256" i="20" s="1"/>
  <c r="J222" i="20"/>
  <c r="M48" i="51"/>
  <c r="L33" i="53"/>
  <c r="L39" i="53" s="1"/>
  <c r="J265" i="20"/>
  <c r="J288" i="20"/>
  <c r="J289" i="20" s="1"/>
  <c r="I154" i="12"/>
  <c r="I97" i="12"/>
  <c r="H88" i="14"/>
  <c r="H109" i="14"/>
  <c r="AR48" i="51"/>
  <c r="K33" i="54"/>
  <c r="K39" i="54" s="1"/>
  <c r="I266" i="20"/>
  <c r="I91" i="19"/>
  <c r="J144" i="14" s="1"/>
  <c r="J144" i="12"/>
  <c r="I141" i="12"/>
  <c r="F233" i="54"/>
  <c r="F234" i="54" s="1"/>
  <c r="N16" i="12"/>
  <c r="H151" i="14"/>
  <c r="O14" i="51"/>
  <c r="O13" i="51"/>
  <c r="O34" i="14"/>
  <c r="H150" i="12"/>
  <c r="L84" i="14"/>
  <c r="I86" i="19"/>
  <c r="J133" i="14" s="1"/>
  <c r="J133" i="12"/>
  <c r="N65" i="14"/>
  <c r="I139" i="14"/>
  <c r="K54" i="51"/>
  <c r="J85" i="12"/>
  <c r="J106" i="12"/>
  <c r="AU28" i="51"/>
  <c r="AU27" i="51"/>
  <c r="I129" i="14"/>
  <c r="G216" i="53"/>
  <c r="G215" i="53"/>
  <c r="L35" i="14"/>
  <c r="AS59" i="51"/>
  <c r="L35" i="54"/>
  <c r="J99" i="14"/>
  <c r="I153" i="14"/>
  <c r="I98" i="14"/>
  <c r="L35" i="12"/>
  <c r="E266" i="19"/>
  <c r="E268" i="19"/>
  <c r="F156" i="14" s="1"/>
  <c r="J143" i="14"/>
  <c r="M81" i="14"/>
  <c r="M19" i="14"/>
  <c r="F258" i="19"/>
  <c r="F259" i="19" s="1"/>
  <c r="G242" i="19"/>
  <c r="G244" i="19"/>
  <c r="G243" i="19"/>
  <c r="G241" i="19"/>
  <c r="G239" i="19"/>
  <c r="G240" i="19"/>
  <c r="J83" i="20"/>
  <c r="J75" i="19" s="1"/>
  <c r="J80" i="20"/>
  <c r="J79" i="20"/>
  <c r="J70" i="19"/>
  <c r="K114" i="14" s="1"/>
  <c r="J82" i="20"/>
  <c r="K114" i="12"/>
  <c r="J81" i="20"/>
  <c r="I154" i="14"/>
  <c r="I97" i="14"/>
  <c r="AT13" i="51"/>
  <c r="AT14" i="51"/>
  <c r="P13" i="12"/>
  <c r="Q12" i="12"/>
  <c r="P62" i="12"/>
  <c r="J147" i="14"/>
  <c r="J95" i="14"/>
  <c r="I130" i="12"/>
  <c r="N65" i="51"/>
  <c r="M37" i="53"/>
  <c r="R43" i="53" s="1"/>
  <c r="R156" i="53" s="1"/>
  <c r="D158" i="14"/>
  <c r="D162" i="14"/>
  <c r="AQ49" i="51"/>
  <c r="I271" i="20"/>
  <c r="I268" i="20"/>
  <c r="I269" i="20"/>
  <c r="I270" i="20"/>
  <c r="I141" i="14"/>
  <c r="H202" i="53"/>
  <c r="H198" i="53"/>
  <c r="H203" i="53"/>
  <c r="H201" i="53"/>
  <c r="H199" i="53"/>
  <c r="H200" i="53"/>
  <c r="AN73" i="51"/>
  <c r="AV10" i="51"/>
  <c r="P36" i="51"/>
  <c r="P12" i="51"/>
  <c r="Q10" i="51"/>
  <c r="N82" i="14"/>
  <c r="H206" i="54"/>
  <c r="H207" i="54" s="1"/>
  <c r="H229" i="54"/>
  <c r="H230" i="54" s="1"/>
  <c r="N44" i="51"/>
  <c r="U96" i="19"/>
  <c r="U95" i="19" s="1"/>
  <c r="U139" i="20"/>
  <c r="U127" i="20"/>
  <c r="U100" i="19"/>
  <c r="U101" i="19"/>
  <c r="U99" i="19"/>
  <c r="U97" i="19"/>
  <c r="V126" i="12"/>
  <c r="U98" i="19"/>
  <c r="U133" i="20"/>
  <c r="V94" i="12"/>
  <c r="U145" i="20"/>
  <c r="I74" i="19"/>
  <c r="J121" i="14" s="1"/>
  <c r="J121" i="12"/>
  <c r="K69" i="12"/>
  <c r="M35" i="53"/>
  <c r="N59" i="51"/>
  <c r="AP67" i="51"/>
  <c r="J70" i="51"/>
  <c r="K90" i="14"/>
  <c r="K21" i="14"/>
  <c r="O213" i="20"/>
  <c r="O171" i="19" s="1"/>
  <c r="O214" i="20"/>
  <c r="O172" i="19" s="1"/>
  <c r="O216" i="20"/>
  <c r="O174" i="19" s="1"/>
  <c r="O212" i="20"/>
  <c r="O170" i="19" s="1"/>
  <c r="O215" i="20"/>
  <c r="O173" i="19" s="1"/>
  <c r="O169" i="19"/>
  <c r="P135" i="12"/>
  <c r="J111" i="14"/>
  <c r="J90" i="14"/>
  <c r="J21" i="14"/>
  <c r="G290" i="20"/>
  <c r="G291" i="20" s="1"/>
  <c r="G292" i="20"/>
  <c r="G293" i="20" s="1"/>
  <c r="AS44" i="51"/>
  <c r="O32" i="12"/>
  <c r="I87" i="14"/>
  <c r="I108" i="14"/>
  <c r="L47" i="12"/>
  <c r="BB53" i="51"/>
  <c r="N33" i="12"/>
  <c r="G233" i="53"/>
  <c r="O24" i="51"/>
  <c r="H257" i="20"/>
  <c r="H261" i="20"/>
  <c r="H258" i="20"/>
  <c r="H259" i="20"/>
  <c r="H262" i="20"/>
  <c r="H260" i="20"/>
  <c r="G232" i="19"/>
  <c r="G233" i="19"/>
  <c r="J85" i="20"/>
  <c r="J77" i="19" s="1"/>
  <c r="K106" i="14" s="1"/>
  <c r="J86" i="20"/>
  <c r="J78" i="19" s="1"/>
  <c r="J87" i="20"/>
  <c r="J79" i="19" s="1"/>
  <c r="K110" i="14" s="1"/>
  <c r="J88" i="20"/>
  <c r="J80" i="19" s="1"/>
  <c r="K111" i="14" s="1"/>
  <c r="J89" i="20"/>
  <c r="J81" i="19" s="1"/>
  <c r="J76" i="19"/>
  <c r="K104" i="14" s="1"/>
  <c r="K104" i="12"/>
  <c r="I78" i="54"/>
  <c r="I162" i="54"/>
  <c r="AT37" i="51"/>
  <c r="AT38" i="51"/>
  <c r="M68" i="12"/>
  <c r="O14" i="12"/>
  <c r="BA50" i="51"/>
  <c r="P157" i="53"/>
  <c r="Q66" i="51" s="1"/>
  <c r="I130" i="14"/>
  <c r="AQ57" i="51"/>
  <c r="K58" i="51"/>
  <c r="J139" i="12"/>
  <c r="F293" i="20"/>
  <c r="F294" i="20" s="1"/>
  <c r="F296" i="20" s="1"/>
  <c r="O43" i="12"/>
  <c r="C270" i="19"/>
  <c r="N48" i="12"/>
  <c r="N44" i="12"/>
  <c r="M38" i="20"/>
  <c r="N122" i="12"/>
  <c r="N49" i="12"/>
  <c r="H151" i="12"/>
  <c r="J115" i="12"/>
  <c r="J146" i="12"/>
  <c r="I86" i="14"/>
  <c r="I107" i="14"/>
  <c r="I23" i="14"/>
  <c r="N33" i="14"/>
  <c r="E217" i="54"/>
  <c r="E221" i="54" s="1"/>
  <c r="E218" i="54"/>
  <c r="P41" i="14"/>
  <c r="P42" i="14"/>
  <c r="Q40" i="14"/>
  <c r="G152" i="12"/>
  <c r="K89" i="14"/>
  <c r="K22" i="14"/>
  <c r="O83" i="14"/>
  <c r="O29" i="12"/>
  <c r="L68" i="12"/>
  <c r="BB62" i="51"/>
  <c r="F252" i="19"/>
  <c r="F254" i="19" s="1"/>
  <c r="D76" i="51"/>
  <c r="G214" i="54"/>
  <c r="G213" i="54"/>
  <c r="H223" i="53"/>
  <c r="H222" i="53"/>
  <c r="H226" i="53"/>
  <c r="H227" i="53"/>
  <c r="H224" i="53"/>
  <c r="H225" i="53"/>
  <c r="AS25" i="51"/>
  <c r="J77" i="20"/>
  <c r="J69" i="19" s="1"/>
  <c r="J74" i="20"/>
  <c r="J66" i="19" s="1"/>
  <c r="J76" i="20"/>
  <c r="J73" i="20"/>
  <c r="J75" i="20"/>
  <c r="J64" i="19"/>
  <c r="K93" i="14" s="1"/>
  <c r="K37" i="12"/>
  <c r="O64" i="12"/>
  <c r="O63" i="12"/>
  <c r="I68" i="19"/>
  <c r="J101" i="14" s="1"/>
  <c r="J101" i="12"/>
  <c r="BA68" i="51"/>
  <c r="J78" i="53"/>
  <c r="K61" i="51" s="1"/>
  <c r="J162" i="53"/>
  <c r="I92" i="19"/>
  <c r="J145" i="14" s="1"/>
  <c r="J145" i="12"/>
  <c r="L40" i="19"/>
  <c r="Q46" i="19" s="1"/>
  <c r="Q167" i="19" s="1"/>
  <c r="Q166" i="19" s="1"/>
  <c r="M71" i="14"/>
  <c r="M134" i="14"/>
  <c r="M66" i="14"/>
  <c r="M70" i="14"/>
  <c r="P41" i="12"/>
  <c r="P42" i="12"/>
  <c r="Q40" i="12"/>
  <c r="C275" i="19"/>
  <c r="O38" i="51"/>
  <c r="O37" i="51"/>
  <c r="I85" i="19"/>
  <c r="J132" i="14" s="1"/>
  <c r="J132" i="12"/>
  <c r="M43" i="51"/>
  <c r="M17" i="51"/>
  <c r="O32" i="14"/>
  <c r="AS39" i="51"/>
  <c r="D310" i="20"/>
  <c r="E156" i="12" s="1"/>
  <c r="D308" i="20"/>
  <c r="AT29" i="51"/>
  <c r="L36" i="19"/>
  <c r="L42" i="19" s="1"/>
  <c r="M92" i="14"/>
  <c r="M39" i="14"/>
  <c r="J99" i="12"/>
  <c r="J89" i="12"/>
  <c r="J22" i="12"/>
  <c r="J110" i="12"/>
  <c r="I71" i="19"/>
  <c r="J116" i="14" s="1"/>
  <c r="J116" i="12"/>
  <c r="F217" i="53"/>
  <c r="F221" i="53" s="1"/>
  <c r="F218" i="53"/>
  <c r="M47" i="12"/>
  <c r="I206" i="53"/>
  <c r="I207" i="53" s="1"/>
  <c r="I229" i="53"/>
  <c r="I230" i="53" s="1"/>
  <c r="I88" i="12"/>
  <c r="I109" i="12"/>
  <c r="AR43" i="51"/>
  <c r="AR17" i="51"/>
  <c r="N25" i="51"/>
  <c r="O43" i="14"/>
  <c r="K102" i="12"/>
  <c r="K24" i="12"/>
  <c r="K20" i="12"/>
  <c r="K25" i="12"/>
  <c r="J37" i="20"/>
  <c r="V43" i="20" s="1"/>
  <c r="J89" i="14"/>
  <c r="J22" i="14"/>
  <c r="J110" i="14"/>
  <c r="Q157" i="53"/>
  <c r="R66" i="51" s="1"/>
  <c r="D164" i="12"/>
  <c r="C318" i="20"/>
  <c r="D165" i="12" s="1"/>
  <c r="P167" i="19"/>
  <c r="P166" i="19" s="1"/>
  <c r="P211" i="20"/>
  <c r="V50" i="51"/>
  <c r="V68" i="51"/>
  <c r="I73" i="51"/>
  <c r="AP54" i="51"/>
  <c r="P23" i="51"/>
  <c r="P20" i="51"/>
  <c r="P22" i="51"/>
  <c r="P19" i="51"/>
  <c r="AV18" i="51"/>
  <c r="Q18" i="51"/>
  <c r="G219" i="54"/>
  <c r="G231" i="54" s="1"/>
  <c r="G232" i="54" s="1"/>
  <c r="G220" i="54"/>
  <c r="G88" i="14"/>
  <c r="G109" i="14"/>
  <c r="L52" i="51"/>
  <c r="K34" i="53"/>
  <c r="W40" i="53" s="1"/>
  <c r="H213" i="53"/>
  <c r="H214" i="53"/>
  <c r="J98" i="20"/>
  <c r="J90" i="19" s="1"/>
  <c r="J97" i="20"/>
  <c r="J99" i="20"/>
  <c r="J101" i="20"/>
  <c r="J93" i="19" s="1"/>
  <c r="J100" i="20"/>
  <c r="K136" i="12"/>
  <c r="J88" i="19"/>
  <c r="J220" i="20"/>
  <c r="J92" i="20"/>
  <c r="J84" i="19" s="1"/>
  <c r="J91" i="20"/>
  <c r="J94" i="20"/>
  <c r="J95" i="20"/>
  <c r="J87" i="19" s="1"/>
  <c r="J93" i="20"/>
  <c r="J82" i="19"/>
  <c r="K124" i="14" s="1"/>
  <c r="BS13" i="55"/>
  <c r="BS15" i="55"/>
  <c r="BS16" i="55"/>
  <c r="BS12" i="55"/>
  <c r="BS11" i="55"/>
  <c r="BS19" i="55" s="1"/>
  <c r="BS14" i="55"/>
  <c r="I205" i="54"/>
  <c r="I208" i="54"/>
  <c r="L67" i="14"/>
  <c r="AS15" i="51"/>
  <c r="J159" i="53"/>
  <c r="O82" i="12"/>
  <c r="K105" i="14" l="1"/>
  <c r="J208" i="53"/>
  <c r="J204" i="54"/>
  <c r="K9" i="55"/>
  <c r="AQ9" i="55" s="1"/>
  <c r="K204" i="53"/>
  <c r="I148" i="14"/>
  <c r="O16" i="14"/>
  <c r="P14" i="14"/>
  <c r="AP72" i="51"/>
  <c r="K127" i="14"/>
  <c r="L51" i="51"/>
  <c r="L127" i="12"/>
  <c r="N16" i="14"/>
  <c r="AJ10" i="55"/>
  <c r="AJ16" i="55" s="1"/>
  <c r="H233" i="53"/>
  <c r="H234" i="53" s="1"/>
  <c r="H235" i="53" s="1"/>
  <c r="K159" i="53"/>
  <c r="P34" i="12"/>
  <c r="P38" i="12"/>
  <c r="BS7" i="55"/>
  <c r="J159" i="54"/>
  <c r="P34" i="14"/>
  <c r="BS6" i="55"/>
  <c r="P36" i="12"/>
  <c r="AS43" i="51"/>
  <c r="AS17" i="51"/>
  <c r="L69" i="14"/>
  <c r="J85" i="19"/>
  <c r="K132" i="14" s="1"/>
  <c r="K132" i="12"/>
  <c r="J92" i="19"/>
  <c r="K145" i="14" s="1"/>
  <c r="K145" i="12"/>
  <c r="L54" i="51"/>
  <c r="P24" i="51"/>
  <c r="L47" i="19"/>
  <c r="Q41" i="12"/>
  <c r="Q42" i="12"/>
  <c r="R40" i="12"/>
  <c r="J68" i="19"/>
  <c r="K101" i="14" s="1"/>
  <c r="K101" i="12"/>
  <c r="I88" i="14"/>
  <c r="I109" i="14"/>
  <c r="N45" i="12"/>
  <c r="O15" i="12"/>
  <c r="I206" i="54"/>
  <c r="I207" i="54" s="1"/>
  <c r="I229" i="54"/>
  <c r="I230" i="54" s="1"/>
  <c r="U150" i="20"/>
  <c r="U126" i="19" s="1"/>
  <c r="U148" i="20"/>
  <c r="U124" i="19" s="1"/>
  <c r="U149" i="20"/>
  <c r="U125" i="19" s="1"/>
  <c r="U146" i="20"/>
  <c r="U122" i="19" s="1"/>
  <c r="U147" i="20"/>
  <c r="U123" i="19" s="1"/>
  <c r="U121" i="19"/>
  <c r="V138" i="14" s="1"/>
  <c r="V138" i="12"/>
  <c r="I279" i="20"/>
  <c r="I278" i="20"/>
  <c r="P83" i="12"/>
  <c r="I150" i="14"/>
  <c r="J72" i="19"/>
  <c r="K119" i="14" s="1"/>
  <c r="K119" i="12"/>
  <c r="Q28" i="14"/>
  <c r="Q27" i="14"/>
  <c r="Q31" i="14"/>
  <c r="Q30" i="14"/>
  <c r="R26" i="14"/>
  <c r="AR57" i="51"/>
  <c r="L58" i="51"/>
  <c r="L85" i="12"/>
  <c r="J196" i="53"/>
  <c r="J197" i="53" s="1"/>
  <c r="K163" i="53"/>
  <c r="D259" i="54"/>
  <c r="AK78" i="51" s="1"/>
  <c r="AK77" i="51"/>
  <c r="L4" i="55"/>
  <c r="K315" i="20"/>
  <c r="K314" i="20"/>
  <c r="K264" i="20"/>
  <c r="K263" i="20"/>
  <c r="K267" i="20"/>
  <c r="V110" i="54"/>
  <c r="V111" i="54" s="1"/>
  <c r="V108" i="54"/>
  <c r="V109" i="54" s="1"/>
  <c r="V104" i="54"/>
  <c r="V105" i="54" s="1"/>
  <c r="V106" i="54"/>
  <c r="V107" i="54" s="1"/>
  <c r="D249" i="53"/>
  <c r="E10" i="55" s="1"/>
  <c r="J149" i="12"/>
  <c r="H196" i="54"/>
  <c r="H197" i="54" s="1"/>
  <c r="I163" i="54"/>
  <c r="BU9" i="55"/>
  <c r="G216" i="19"/>
  <c r="G217" i="19"/>
  <c r="G219" i="19"/>
  <c r="G220" i="19"/>
  <c r="G218" i="19"/>
  <c r="G215" i="19"/>
  <c r="O82" i="14"/>
  <c r="Q135" i="12"/>
  <c r="P214" i="20"/>
  <c r="P172" i="19" s="1"/>
  <c r="P212" i="20"/>
  <c r="P170" i="19" s="1"/>
  <c r="P216" i="20"/>
  <c r="P174" i="19" s="1"/>
  <c r="P213" i="20"/>
  <c r="P171" i="19" s="1"/>
  <c r="P215" i="20"/>
  <c r="P173" i="19" s="1"/>
  <c r="P169" i="19"/>
  <c r="K85" i="12"/>
  <c r="K106" i="12"/>
  <c r="M52" i="51"/>
  <c r="L34" i="53"/>
  <c r="X40" i="53" s="1"/>
  <c r="M67" i="14"/>
  <c r="K108" i="14"/>
  <c r="K87" i="14"/>
  <c r="O44" i="51"/>
  <c r="U132" i="20"/>
  <c r="U108" i="19" s="1"/>
  <c r="U131" i="20"/>
  <c r="U107" i="19" s="1"/>
  <c r="U128" i="20"/>
  <c r="U104" i="19" s="1"/>
  <c r="U130" i="20"/>
  <c r="U106" i="19" s="1"/>
  <c r="U129" i="20"/>
  <c r="U105" i="19" s="1"/>
  <c r="U103" i="19"/>
  <c r="V103" i="14" s="1"/>
  <c r="V103" i="12"/>
  <c r="K72" i="51"/>
  <c r="R157" i="53"/>
  <c r="S66" i="51" s="1"/>
  <c r="AT15" i="51"/>
  <c r="O15" i="51"/>
  <c r="I150" i="12"/>
  <c r="G252" i="19"/>
  <c r="G254" i="19" s="1"/>
  <c r="N134" i="12"/>
  <c r="N70" i="12"/>
  <c r="N71" i="12"/>
  <c r="N66" i="12"/>
  <c r="M40" i="20"/>
  <c r="R46" i="20" s="1"/>
  <c r="J78" i="54"/>
  <c r="J162" i="54"/>
  <c r="O65" i="14"/>
  <c r="H250" i="19"/>
  <c r="H251" i="19" s="1"/>
  <c r="H249" i="19"/>
  <c r="F241" i="53"/>
  <c r="F258" i="53"/>
  <c r="J227" i="19"/>
  <c r="J229" i="19"/>
  <c r="J226" i="19"/>
  <c r="J228" i="19"/>
  <c r="E259" i="53"/>
  <c r="F78" i="51" s="1"/>
  <c r="F77" i="51"/>
  <c r="H152" i="12"/>
  <c r="W127" i="20"/>
  <c r="W96" i="19"/>
  <c r="W95" i="19" s="1"/>
  <c r="W133" i="20"/>
  <c r="X94" i="12"/>
  <c r="W139" i="20"/>
  <c r="X126" i="12"/>
  <c r="W97" i="19"/>
  <c r="W145" i="20"/>
  <c r="W100" i="19"/>
  <c r="W101" i="19"/>
  <c r="W98" i="19"/>
  <c r="W99" i="19"/>
  <c r="I202" i="53"/>
  <c r="I199" i="53"/>
  <c r="I198" i="53"/>
  <c r="I203" i="53"/>
  <c r="I201" i="53"/>
  <c r="I200" i="53"/>
  <c r="K265" i="20"/>
  <c r="K288" i="20"/>
  <c r="K289" i="20" s="1"/>
  <c r="AQ54" i="51"/>
  <c r="K99" i="14"/>
  <c r="J149" i="14"/>
  <c r="G203" i="54"/>
  <c r="G199" i="54"/>
  <c r="G200" i="54"/>
  <c r="G201" i="54"/>
  <c r="G198" i="54"/>
  <c r="G202" i="54"/>
  <c r="F217" i="54"/>
  <c r="F221" i="54" s="1"/>
  <c r="F218" i="54"/>
  <c r="AR46" i="51"/>
  <c r="J86" i="19"/>
  <c r="K133" i="14" s="1"/>
  <c r="K133" i="12"/>
  <c r="J91" i="19"/>
  <c r="K144" i="14" s="1"/>
  <c r="K144" i="12"/>
  <c r="K34" i="54"/>
  <c r="W40" i="54" s="1"/>
  <c r="AR52" i="51"/>
  <c r="I222" i="53"/>
  <c r="I224" i="53"/>
  <c r="I227" i="53"/>
  <c r="I226" i="53"/>
  <c r="I223" i="53"/>
  <c r="I225" i="53"/>
  <c r="M46" i="51"/>
  <c r="O39" i="51"/>
  <c r="I152" i="12"/>
  <c r="O33" i="12"/>
  <c r="G235" i="19"/>
  <c r="G234" i="19"/>
  <c r="G238" i="19" s="1"/>
  <c r="AP70" i="51"/>
  <c r="U135" i="20"/>
  <c r="U111" i="19" s="1"/>
  <c r="U137" i="20"/>
  <c r="U113" i="19" s="1"/>
  <c r="U134" i="20"/>
  <c r="U110" i="19" s="1"/>
  <c r="U136" i="20"/>
  <c r="U112" i="19" s="1"/>
  <c r="U138" i="20"/>
  <c r="U114" i="19" s="1"/>
  <c r="U109" i="19"/>
  <c r="V126" i="14" s="1"/>
  <c r="U141" i="20"/>
  <c r="U117" i="19" s="1"/>
  <c r="U144" i="20"/>
  <c r="U120" i="19" s="1"/>
  <c r="U140" i="20"/>
  <c r="U116" i="19" s="1"/>
  <c r="U143" i="20"/>
  <c r="U119" i="19" s="1"/>
  <c r="U142" i="20"/>
  <c r="U118" i="19" s="1"/>
  <c r="U115" i="19"/>
  <c r="V94" i="14" s="1"/>
  <c r="L37" i="12"/>
  <c r="M40" i="19"/>
  <c r="R46" i="19" s="1"/>
  <c r="N70" i="14"/>
  <c r="N71" i="14"/>
  <c r="N66" i="14"/>
  <c r="N134" i="14"/>
  <c r="J255" i="20"/>
  <c r="J256" i="20" s="1"/>
  <c r="K222" i="20"/>
  <c r="H239" i="19"/>
  <c r="H242" i="19"/>
  <c r="H244" i="19"/>
  <c r="H240" i="19"/>
  <c r="H241" i="19"/>
  <c r="H243" i="19"/>
  <c r="L85" i="14"/>
  <c r="P38" i="14"/>
  <c r="AQ4" i="55"/>
  <c r="D159" i="12"/>
  <c r="K78" i="53"/>
  <c r="L61" i="51" s="1"/>
  <c r="K162" i="53"/>
  <c r="L89" i="12"/>
  <c r="L22" i="12"/>
  <c r="J118" i="12"/>
  <c r="F300" i="20"/>
  <c r="P157" i="54"/>
  <c r="K89" i="20"/>
  <c r="K81" i="19" s="1"/>
  <c r="K88" i="20"/>
  <c r="K80" i="19" s="1"/>
  <c r="K86" i="20"/>
  <c r="K78" i="19" s="1"/>
  <c r="K87" i="20"/>
  <c r="K79" i="19" s="1"/>
  <c r="K85" i="20"/>
  <c r="K77" i="19" s="1"/>
  <c r="L106" i="14" s="1"/>
  <c r="L104" i="12"/>
  <c r="K76" i="19"/>
  <c r="L104" i="14" s="1"/>
  <c r="D20" i="55"/>
  <c r="D19" i="55"/>
  <c r="J86" i="12"/>
  <c r="J107" i="12"/>
  <c r="J23" i="12"/>
  <c r="K143" i="14"/>
  <c r="AT25" i="51"/>
  <c r="J73" i="51"/>
  <c r="C253" i="54"/>
  <c r="J89" i="19"/>
  <c r="K140" i="14" s="1"/>
  <c r="K140" i="12"/>
  <c r="M36" i="19"/>
  <c r="M42" i="19" s="1"/>
  <c r="N92" i="14"/>
  <c r="N39" i="14"/>
  <c r="G236" i="53"/>
  <c r="G294" i="20"/>
  <c r="G296" i="20" s="1"/>
  <c r="G295" i="20"/>
  <c r="J73" i="19"/>
  <c r="K120" i="14" s="1"/>
  <c r="K120" i="12"/>
  <c r="F268" i="19"/>
  <c r="G156" i="14" s="1"/>
  <c r="F266" i="19"/>
  <c r="I151" i="14"/>
  <c r="L37" i="14"/>
  <c r="AU29" i="51"/>
  <c r="J142" i="12"/>
  <c r="K77" i="54"/>
  <c r="K75" i="54"/>
  <c r="K76" i="54" s="1"/>
  <c r="K71" i="54"/>
  <c r="K72" i="54" s="1"/>
  <c r="K44" i="54"/>
  <c r="K69" i="54"/>
  <c r="K70" i="54" s="1"/>
  <c r="I261" i="20"/>
  <c r="I262" i="20"/>
  <c r="I258" i="20"/>
  <c r="I257" i="20"/>
  <c r="I259" i="20"/>
  <c r="I260" i="20"/>
  <c r="L52" i="19"/>
  <c r="L49" i="19" s="1"/>
  <c r="L177" i="19" s="1"/>
  <c r="L90" i="20"/>
  <c r="L47" i="20"/>
  <c r="M124" i="12"/>
  <c r="L51" i="19"/>
  <c r="L96" i="20"/>
  <c r="L55" i="19"/>
  <c r="L84" i="20"/>
  <c r="L54" i="19"/>
  <c r="L72" i="20"/>
  <c r="L59" i="19"/>
  <c r="L58" i="19"/>
  <c r="L60" i="19"/>
  <c r="L61" i="19"/>
  <c r="L57" i="19"/>
  <c r="L53" i="19"/>
  <c r="L62" i="19"/>
  <c r="L78" i="20"/>
  <c r="L221" i="20"/>
  <c r="L50" i="19"/>
  <c r="M93" i="12"/>
  <c r="H290" i="20"/>
  <c r="H291" i="20" s="1"/>
  <c r="H292" i="20"/>
  <c r="I230" i="19"/>
  <c r="I231" i="19"/>
  <c r="L89" i="14"/>
  <c r="L110" i="14"/>
  <c r="L22" i="14"/>
  <c r="O33" i="14"/>
  <c r="I223" i="19"/>
  <c r="I224" i="19" s="1"/>
  <c r="I246" i="19"/>
  <c r="I247" i="19" s="1"/>
  <c r="E242" i="53"/>
  <c r="E251" i="53" s="1"/>
  <c r="F75" i="51" s="1"/>
  <c r="G276" i="20"/>
  <c r="G280" i="20" s="1"/>
  <c r="G277" i="20"/>
  <c r="O36" i="12"/>
  <c r="K205" i="53"/>
  <c r="K208" i="53"/>
  <c r="P29" i="51"/>
  <c r="J118" i="14"/>
  <c r="I214" i="53"/>
  <c r="I213" i="53"/>
  <c r="K83" i="20"/>
  <c r="K75" i="19" s="1"/>
  <c r="K70" i="19"/>
  <c r="L114" i="14" s="1"/>
  <c r="K79" i="20"/>
  <c r="K81" i="20"/>
  <c r="K82" i="20"/>
  <c r="K80" i="20"/>
  <c r="L114" i="12"/>
  <c r="K97" i="20"/>
  <c r="K101" i="20"/>
  <c r="K93" i="19" s="1"/>
  <c r="L136" i="12"/>
  <c r="K100" i="20"/>
  <c r="K98" i="20"/>
  <c r="K90" i="19" s="1"/>
  <c r="K99" i="20"/>
  <c r="K88" i="19"/>
  <c r="K220" i="20"/>
  <c r="D6" i="55"/>
  <c r="J271" i="20"/>
  <c r="J268" i="20"/>
  <c r="J269" i="20"/>
  <c r="J270" i="20"/>
  <c r="O36" i="14"/>
  <c r="AJ76" i="51"/>
  <c r="O122" i="14"/>
  <c r="N38" i="19"/>
  <c r="O44" i="14"/>
  <c r="O49" i="14"/>
  <c r="O48" i="14"/>
  <c r="AJ12" i="55"/>
  <c r="AJ14" i="55"/>
  <c r="K131" i="14"/>
  <c r="Q20" i="51"/>
  <c r="Q23" i="51"/>
  <c r="Q22" i="51"/>
  <c r="AW18" i="51"/>
  <c r="Q19" i="51"/>
  <c r="R18" i="51"/>
  <c r="BB68" i="51"/>
  <c r="K110" i="12"/>
  <c r="K89" i="12"/>
  <c r="K22" i="12"/>
  <c r="J87" i="12"/>
  <c r="J108" i="12"/>
  <c r="E155" i="12"/>
  <c r="D312" i="20"/>
  <c r="D317" i="20"/>
  <c r="J130" i="12"/>
  <c r="M68" i="14"/>
  <c r="J141" i="12"/>
  <c r="J154" i="12"/>
  <c r="J97" i="12"/>
  <c r="AS48" i="51"/>
  <c r="L33" i="54"/>
  <c r="L39" i="54" s="1"/>
  <c r="Q41" i="14"/>
  <c r="Q42" i="14"/>
  <c r="R40" i="14"/>
  <c r="AW66" i="51"/>
  <c r="AT39" i="51"/>
  <c r="N92" i="12"/>
  <c r="N39" i="12"/>
  <c r="M36" i="20"/>
  <c r="M42" i="20" s="1"/>
  <c r="K86" i="14"/>
  <c r="K107" i="14"/>
  <c r="K23" i="14"/>
  <c r="K143" i="12"/>
  <c r="AW10" i="51"/>
  <c r="Q12" i="51"/>
  <c r="Q36" i="51"/>
  <c r="R10" i="51"/>
  <c r="P63" i="12"/>
  <c r="P64" i="12"/>
  <c r="K115" i="12"/>
  <c r="K146" i="12"/>
  <c r="F162" i="14"/>
  <c r="F158" i="14"/>
  <c r="J142" i="14"/>
  <c r="J205" i="54"/>
  <c r="J208" i="54"/>
  <c r="E155" i="14"/>
  <c r="D270" i="19"/>
  <c r="D275" i="19"/>
  <c r="I236" i="19"/>
  <c r="I248" i="19" s="1"/>
  <c r="I237" i="19"/>
  <c r="L90" i="14"/>
  <c r="L21" i="14"/>
  <c r="L111" i="14"/>
  <c r="P32" i="14"/>
  <c r="N17" i="12"/>
  <c r="J139" i="14"/>
  <c r="Q215" i="20"/>
  <c r="Q173" i="19" s="1"/>
  <c r="Q216" i="20"/>
  <c r="Q174" i="19" s="1"/>
  <c r="Q212" i="20"/>
  <c r="Q170" i="19" s="1"/>
  <c r="Q214" i="20"/>
  <c r="Q172" i="19" s="1"/>
  <c r="Q213" i="20"/>
  <c r="Q171" i="19" s="1"/>
  <c r="Q169" i="19"/>
  <c r="R135" i="12"/>
  <c r="O25" i="51"/>
  <c r="Q13" i="14"/>
  <c r="Q62" i="14"/>
  <c r="R12" i="14"/>
  <c r="L111" i="12"/>
  <c r="L90" i="12"/>
  <c r="L21" i="12"/>
  <c r="Q28" i="51"/>
  <c r="AW26" i="51"/>
  <c r="Q27" i="51"/>
  <c r="R26" i="51"/>
  <c r="N45" i="14"/>
  <c r="L69" i="12"/>
  <c r="K77" i="20"/>
  <c r="K69" i="19" s="1"/>
  <c r="K76" i="20"/>
  <c r="K75" i="20"/>
  <c r="K73" i="20"/>
  <c r="K74" i="20"/>
  <c r="K66" i="19" s="1"/>
  <c r="K64" i="19"/>
  <c r="L93" i="14" s="1"/>
  <c r="P29" i="12"/>
  <c r="AT44" i="51"/>
  <c r="K221" i="19"/>
  <c r="AR4" i="55"/>
  <c r="K222" i="19"/>
  <c r="K272" i="19"/>
  <c r="K273" i="19"/>
  <c r="K225" i="19"/>
  <c r="J146" i="14"/>
  <c r="E308" i="20"/>
  <c r="E310" i="20"/>
  <c r="F156" i="12" s="1"/>
  <c r="H274" i="20"/>
  <c r="H275" i="20"/>
  <c r="AP71" i="51"/>
  <c r="AP64" i="51"/>
  <c r="G152" i="14"/>
  <c r="BB50" i="51"/>
  <c r="AX66" i="51"/>
  <c r="M35" i="14"/>
  <c r="E158" i="12"/>
  <c r="E162" i="12"/>
  <c r="J130" i="14"/>
  <c r="J141" i="14"/>
  <c r="J154" i="14"/>
  <c r="J97" i="14"/>
  <c r="K147" i="14"/>
  <c r="K95" i="14"/>
  <c r="G216" i="54"/>
  <c r="G215" i="54"/>
  <c r="AQ58" i="51"/>
  <c r="P135" i="14"/>
  <c r="J117" i="12"/>
  <c r="P14" i="51"/>
  <c r="P13" i="51"/>
  <c r="I272" i="20"/>
  <c r="I273" i="20"/>
  <c r="D160" i="14"/>
  <c r="Q13" i="12"/>
  <c r="Q62" i="12"/>
  <c r="R12" i="12"/>
  <c r="J74" i="19"/>
  <c r="K121" i="14" s="1"/>
  <c r="K121" i="12"/>
  <c r="F155" i="14"/>
  <c r="E270" i="19"/>
  <c r="E275" i="19"/>
  <c r="J129" i="12"/>
  <c r="F235" i="54"/>
  <c r="F237" i="54" s="1"/>
  <c r="F236" i="54"/>
  <c r="I286" i="20"/>
  <c r="I283" i="20"/>
  <c r="I285" i="20"/>
  <c r="I282" i="20"/>
  <c r="I284" i="20"/>
  <c r="I281" i="20"/>
  <c r="E158" i="14"/>
  <c r="E162" i="14"/>
  <c r="W68" i="51"/>
  <c r="W50" i="51"/>
  <c r="P29" i="14"/>
  <c r="P64" i="14"/>
  <c r="P63" i="14"/>
  <c r="M69" i="12"/>
  <c r="AU24" i="51"/>
  <c r="K94" i="20"/>
  <c r="K92" i="20"/>
  <c r="K84" i="19" s="1"/>
  <c r="K91" i="20"/>
  <c r="K95" i="20"/>
  <c r="K87" i="19" s="1"/>
  <c r="K93" i="20"/>
  <c r="K82" i="19"/>
  <c r="L124" i="14" s="1"/>
  <c r="K218" i="20"/>
  <c r="N43" i="51"/>
  <c r="N17" i="51"/>
  <c r="H213" i="54"/>
  <c r="H214" i="54"/>
  <c r="AO73" i="51"/>
  <c r="H293" i="20"/>
  <c r="AU37" i="51"/>
  <c r="AU38" i="51"/>
  <c r="J83" i="19"/>
  <c r="K128" i="14" s="1"/>
  <c r="K128" i="12"/>
  <c r="H215" i="53"/>
  <c r="H216" i="53"/>
  <c r="AV19" i="51"/>
  <c r="AV22" i="51"/>
  <c r="AV23" i="51"/>
  <c r="AV20" i="51"/>
  <c r="K105" i="12"/>
  <c r="V127" i="20"/>
  <c r="V96" i="19"/>
  <c r="V95" i="19" s="1"/>
  <c r="W94" i="12"/>
  <c r="V139" i="20"/>
  <c r="V133" i="20"/>
  <c r="V145" i="20"/>
  <c r="V99" i="19"/>
  <c r="W126" i="12"/>
  <c r="V100" i="19"/>
  <c r="V97" i="19"/>
  <c r="V98" i="19"/>
  <c r="V101" i="19"/>
  <c r="AS65" i="51"/>
  <c r="L37" i="54"/>
  <c r="Q43" i="54" s="1"/>
  <c r="Q156" i="54" s="1"/>
  <c r="D164" i="14"/>
  <c r="C276" i="19"/>
  <c r="D165" i="14" s="1"/>
  <c r="J206" i="53"/>
  <c r="J207" i="53" s="1"/>
  <c r="J229" i="53"/>
  <c r="J230" i="53" s="1"/>
  <c r="O65" i="12"/>
  <c r="K99" i="12"/>
  <c r="J67" i="19"/>
  <c r="K100" i="14" s="1"/>
  <c r="K100" i="12"/>
  <c r="P43" i="14"/>
  <c r="H236" i="53"/>
  <c r="J117" i="14"/>
  <c r="H223" i="54"/>
  <c r="H227" i="54"/>
  <c r="H224" i="54"/>
  <c r="H226" i="54"/>
  <c r="H225" i="54"/>
  <c r="H222" i="54"/>
  <c r="P38" i="51"/>
  <c r="P37" i="51"/>
  <c r="P14" i="12"/>
  <c r="K115" i="14"/>
  <c r="L37" i="19"/>
  <c r="X43" i="19" s="1"/>
  <c r="M20" i="14"/>
  <c r="M24" i="14"/>
  <c r="M102" i="14"/>
  <c r="M25" i="14"/>
  <c r="J129" i="14"/>
  <c r="H152" i="14"/>
  <c r="M35" i="12"/>
  <c r="I151" i="12"/>
  <c r="E241" i="54"/>
  <c r="E242" i="54" s="1"/>
  <c r="E258" i="54"/>
  <c r="BC53" i="51"/>
  <c r="K131" i="12"/>
  <c r="P15" i="14"/>
  <c r="AR49" i="51"/>
  <c r="N46" i="14"/>
  <c r="J211" i="53"/>
  <c r="J210" i="53"/>
  <c r="J209" i="53"/>
  <c r="J212" i="53"/>
  <c r="J153" i="12"/>
  <c r="J98" i="12"/>
  <c r="I220" i="53"/>
  <c r="I219" i="53"/>
  <c r="I231" i="53" s="1"/>
  <c r="I232" i="53" s="1"/>
  <c r="N17" i="14"/>
  <c r="J266" i="20"/>
  <c r="H219" i="54"/>
  <c r="H231" i="54" s="1"/>
  <c r="H232" i="54" s="1"/>
  <c r="H220" i="54"/>
  <c r="AU13" i="51"/>
  <c r="AU14" i="51"/>
  <c r="O17" i="14"/>
  <c r="I212" i="54"/>
  <c r="I209" i="54"/>
  <c r="I211" i="54"/>
  <c r="I210" i="54"/>
  <c r="K136" i="14"/>
  <c r="J179" i="19"/>
  <c r="K139" i="12"/>
  <c r="W110" i="53"/>
  <c r="W111" i="53" s="1"/>
  <c r="W106" i="53"/>
  <c r="W107" i="53" s="1"/>
  <c r="X62" i="51" s="1"/>
  <c r="W104" i="53"/>
  <c r="W105" i="53" s="1"/>
  <c r="X53" i="51" s="1"/>
  <c r="W108" i="53"/>
  <c r="W109" i="53" s="1"/>
  <c r="P21" i="51"/>
  <c r="J87" i="14"/>
  <c r="J108" i="14"/>
  <c r="K111" i="12"/>
  <c r="K90" i="12"/>
  <c r="K21" i="12"/>
  <c r="N48" i="51"/>
  <c r="M33" i="53"/>
  <c r="M39" i="53" s="1"/>
  <c r="M35" i="54"/>
  <c r="AT59" i="51"/>
  <c r="P43" i="12"/>
  <c r="AQ61" i="51"/>
  <c r="K71" i="51"/>
  <c r="K64" i="51"/>
  <c r="J65" i="19"/>
  <c r="K96" i="14" s="1"/>
  <c r="K96" i="12"/>
  <c r="N46" i="12"/>
  <c r="O122" i="12"/>
  <c r="N38" i="20"/>
  <c r="O49" i="12"/>
  <c r="O44" i="12"/>
  <c r="O48" i="12"/>
  <c r="J86" i="14"/>
  <c r="J107" i="14"/>
  <c r="J23" i="14"/>
  <c r="G234" i="53"/>
  <c r="G235" i="53" s="1"/>
  <c r="G237" i="53" s="1"/>
  <c r="AV12" i="51"/>
  <c r="AV36" i="51"/>
  <c r="J148" i="14"/>
  <c r="J71" i="19"/>
  <c r="K116" i="14" s="1"/>
  <c r="K116" i="12"/>
  <c r="M84" i="14"/>
  <c r="G218" i="53"/>
  <c r="G217" i="53"/>
  <c r="G221" i="53" s="1"/>
  <c r="L77" i="53"/>
  <c r="L44" i="53"/>
  <c r="L75" i="53"/>
  <c r="L71" i="53"/>
  <c r="L72" i="53" s="1"/>
  <c r="M57" i="51" s="1"/>
  <c r="L69" i="53"/>
  <c r="L70" i="53" s="1"/>
  <c r="M49" i="51" s="1"/>
  <c r="G253" i="19"/>
  <c r="BC62" i="51"/>
  <c r="AQ51" i="51"/>
  <c r="P83" i="14"/>
  <c r="G233" i="54"/>
  <c r="K76" i="53"/>
  <c r="L67" i="51"/>
  <c r="L105" i="12"/>
  <c r="AV27" i="51"/>
  <c r="AV28" i="51"/>
  <c r="J153" i="14"/>
  <c r="J98" i="14"/>
  <c r="AU21" i="51"/>
  <c r="D249" i="54"/>
  <c r="D251" i="54"/>
  <c r="AK75" i="51" s="1"/>
  <c r="M81" i="12"/>
  <c r="M19" i="12"/>
  <c r="L147" i="12"/>
  <c r="Q28" i="12"/>
  <c r="Q30" i="12"/>
  <c r="Q27" i="12"/>
  <c r="Q31" i="12"/>
  <c r="R26" i="12"/>
  <c r="P32" i="12"/>
  <c r="D7" i="55"/>
  <c r="D159" i="14"/>
  <c r="AQ67" i="51"/>
  <c r="K70" i="51"/>
  <c r="H232" i="19"/>
  <c r="H233" i="19"/>
  <c r="BT11" i="55"/>
  <c r="BT19" i="55" s="1"/>
  <c r="BT13" i="55"/>
  <c r="BT12" i="55"/>
  <c r="BT16" i="55"/>
  <c r="BT14" i="55"/>
  <c r="BT15" i="55"/>
  <c r="H213" i="19"/>
  <c r="H214" i="19" s="1"/>
  <c r="I180" i="19"/>
  <c r="AJ13" i="55" l="1"/>
  <c r="L176" i="19"/>
  <c r="AJ15" i="55"/>
  <c r="AJ7" i="55" s="1"/>
  <c r="AJ11" i="55"/>
  <c r="AJ20" i="55" s="1"/>
  <c r="K204" i="54"/>
  <c r="K205" i="54" s="1"/>
  <c r="L204" i="53"/>
  <c r="L205" i="53" s="1"/>
  <c r="K146" i="14"/>
  <c r="AR51" i="51"/>
  <c r="L127" i="14"/>
  <c r="M95" i="12"/>
  <c r="M127" i="12"/>
  <c r="Q14" i="14"/>
  <c r="L218" i="20"/>
  <c r="L105" i="14"/>
  <c r="L72" i="51"/>
  <c r="H237" i="53"/>
  <c r="Q29" i="51"/>
  <c r="Q43" i="12"/>
  <c r="AU39" i="51"/>
  <c r="Q34" i="12"/>
  <c r="L131" i="12"/>
  <c r="L131" i="14"/>
  <c r="BT7" i="55"/>
  <c r="H253" i="19"/>
  <c r="G236" i="54"/>
  <c r="AS49" i="51"/>
  <c r="O46" i="12"/>
  <c r="K73" i="51"/>
  <c r="M75" i="53"/>
  <c r="M77" i="53"/>
  <c r="M44" i="53"/>
  <c r="M71" i="53"/>
  <c r="M72" i="53" s="1"/>
  <c r="N57" i="51" s="1"/>
  <c r="M69" i="53"/>
  <c r="M70" i="53" s="1"/>
  <c r="N49" i="51" s="1"/>
  <c r="Q157" i="54"/>
  <c r="AV21" i="51"/>
  <c r="E160" i="14"/>
  <c r="Q64" i="12"/>
  <c r="Q63" i="12"/>
  <c r="O48" i="51"/>
  <c r="N33" i="53"/>
  <c r="N39" i="53" s="1"/>
  <c r="L86" i="14"/>
  <c r="L107" i="14"/>
  <c r="L23" i="14"/>
  <c r="E163" i="14"/>
  <c r="E157" i="14"/>
  <c r="Q14" i="51"/>
  <c r="Q13" i="51"/>
  <c r="J279" i="20"/>
  <c r="J278" i="20"/>
  <c r="L136" i="14"/>
  <c r="K179" i="19"/>
  <c r="L119" i="12"/>
  <c r="K72" i="19"/>
  <c r="L119" i="14" s="1"/>
  <c r="I215" i="53"/>
  <c r="I216" i="53"/>
  <c r="O39" i="14"/>
  <c r="N36" i="19"/>
  <c r="N42" i="19" s="1"/>
  <c r="O92" i="14"/>
  <c r="H294" i="20"/>
  <c r="H296" i="20" s="1"/>
  <c r="H295" i="20"/>
  <c r="L86" i="20"/>
  <c r="L78" i="19" s="1"/>
  <c r="L88" i="20"/>
  <c r="L80" i="19" s="1"/>
  <c r="M111" i="14" s="1"/>
  <c r="L87" i="20"/>
  <c r="L79" i="19" s="1"/>
  <c r="L89" i="20"/>
  <c r="L81" i="19" s="1"/>
  <c r="L85" i="20"/>
  <c r="L77" i="19" s="1"/>
  <c r="M104" i="12"/>
  <c r="L76" i="19"/>
  <c r="M104" i="14" s="1"/>
  <c r="G155" i="14"/>
  <c r="F270" i="19"/>
  <c r="F275" i="19"/>
  <c r="AR61" i="51"/>
  <c r="L71" i="51"/>
  <c r="L64" i="51"/>
  <c r="P36" i="14"/>
  <c r="W138" i="20"/>
  <c r="W114" i="19" s="1"/>
  <c r="W136" i="20"/>
  <c r="W112" i="19" s="1"/>
  <c r="W137" i="20"/>
  <c r="W113" i="19" s="1"/>
  <c r="W135" i="20"/>
  <c r="W111" i="19" s="1"/>
  <c r="W134" i="20"/>
  <c r="W110" i="19" s="1"/>
  <c r="W109" i="19"/>
  <c r="X126" i="14" s="1"/>
  <c r="N68" i="12"/>
  <c r="AY66" i="51"/>
  <c r="K196" i="53"/>
  <c r="K197" i="53" s="1"/>
  <c r="L163" i="53"/>
  <c r="Q32" i="14"/>
  <c r="I227" i="54"/>
  <c r="I222" i="54"/>
  <c r="I225" i="54"/>
  <c r="I226" i="54"/>
  <c r="I224" i="54"/>
  <c r="I223" i="54"/>
  <c r="I152" i="14"/>
  <c r="K141" i="12"/>
  <c r="R30" i="12"/>
  <c r="R31" i="12"/>
  <c r="R27" i="12"/>
  <c r="R28" i="12"/>
  <c r="S26" i="12"/>
  <c r="Q38" i="12"/>
  <c r="AS57" i="51"/>
  <c r="M58" i="51"/>
  <c r="AU15" i="51"/>
  <c r="N81" i="14"/>
  <c r="N19" i="14"/>
  <c r="O70" i="12"/>
  <c r="O134" i="12"/>
  <c r="O71" i="12"/>
  <c r="O66" i="12"/>
  <c r="N40" i="20"/>
  <c r="S46" i="20" s="1"/>
  <c r="K86" i="19"/>
  <c r="L133" i="14" s="1"/>
  <c r="L133" i="12"/>
  <c r="F241" i="54"/>
  <c r="F242" i="54" s="1"/>
  <c r="F258" i="54"/>
  <c r="P15" i="51"/>
  <c r="F158" i="12"/>
  <c r="F162" i="12"/>
  <c r="K65" i="19"/>
  <c r="L96" i="14" s="1"/>
  <c r="L96" i="12"/>
  <c r="AW27" i="51"/>
  <c r="AW28" i="51"/>
  <c r="J212" i="54"/>
  <c r="J209" i="54"/>
  <c r="J210" i="54"/>
  <c r="J211" i="54"/>
  <c r="P65" i="12"/>
  <c r="AW12" i="51"/>
  <c r="AW36" i="51"/>
  <c r="R42" i="14"/>
  <c r="R41" i="14"/>
  <c r="S40" i="14"/>
  <c r="K91" i="19"/>
  <c r="L144" i="14" s="1"/>
  <c r="L144" i="12"/>
  <c r="K74" i="19"/>
  <c r="L121" i="14" s="1"/>
  <c r="L121" i="12"/>
  <c r="O35" i="53"/>
  <c r="P59" i="51"/>
  <c r="N35" i="54"/>
  <c r="AU59" i="51"/>
  <c r="G158" i="14"/>
  <c r="G162" i="14"/>
  <c r="G300" i="20"/>
  <c r="K255" i="20"/>
  <c r="K256" i="20" s="1"/>
  <c r="L222" i="20"/>
  <c r="O65" i="51"/>
  <c r="N37" i="53"/>
  <c r="S43" i="53" s="1"/>
  <c r="S156" i="53" s="1"/>
  <c r="J203" i="53"/>
  <c r="J202" i="53"/>
  <c r="J198" i="53"/>
  <c r="J201" i="53"/>
  <c r="J199" i="53"/>
  <c r="J200" i="53"/>
  <c r="Q122" i="12"/>
  <c r="P38" i="20"/>
  <c r="Q49" i="12"/>
  <c r="Q44" i="12"/>
  <c r="Q48" i="12"/>
  <c r="K141" i="14"/>
  <c r="AS46" i="51"/>
  <c r="H216" i="19"/>
  <c r="H215" i="19"/>
  <c r="H218" i="19"/>
  <c r="H220" i="19"/>
  <c r="H217" i="19"/>
  <c r="H219" i="19"/>
  <c r="M20" i="12"/>
  <c r="M102" i="12"/>
  <c r="M24" i="12"/>
  <c r="L37" i="20"/>
  <c r="X43" i="20" s="1"/>
  <c r="M25" i="12"/>
  <c r="J151" i="14"/>
  <c r="M67" i="51"/>
  <c r="L76" i="53"/>
  <c r="AQ71" i="51"/>
  <c r="AQ64" i="51"/>
  <c r="P25" i="51"/>
  <c r="I214" i="54"/>
  <c r="I213" i="54"/>
  <c r="J219" i="53"/>
  <c r="J231" i="53" s="1"/>
  <c r="J232" i="53" s="1"/>
  <c r="J220" i="53"/>
  <c r="M90" i="14"/>
  <c r="M21" i="14"/>
  <c r="V146" i="20"/>
  <c r="V122" i="19" s="1"/>
  <c r="V150" i="20"/>
  <c r="V126" i="19" s="1"/>
  <c r="V147" i="20"/>
  <c r="V123" i="19" s="1"/>
  <c r="V148" i="20"/>
  <c r="V124" i="19" s="1"/>
  <c r="V149" i="20"/>
  <c r="V125" i="19" s="1"/>
  <c r="V121" i="19"/>
  <c r="W138" i="14" s="1"/>
  <c r="W138" i="12"/>
  <c r="H215" i="54"/>
  <c r="H216" i="54"/>
  <c r="AU44" i="51"/>
  <c r="BC50" i="51"/>
  <c r="F157" i="14"/>
  <c r="F163" i="14"/>
  <c r="E160" i="12"/>
  <c r="F155" i="12"/>
  <c r="E312" i="20"/>
  <c r="E317" i="20"/>
  <c r="K67" i="19"/>
  <c r="L100" i="14" s="1"/>
  <c r="L100" i="12"/>
  <c r="Q43" i="14"/>
  <c r="J150" i="12"/>
  <c r="R23" i="51"/>
  <c r="AX18" i="51"/>
  <c r="R19" i="51"/>
  <c r="R20" i="51"/>
  <c r="R22" i="51"/>
  <c r="S18" i="51"/>
  <c r="L120" i="12"/>
  <c r="K73" i="19"/>
  <c r="L120" i="14" s="1"/>
  <c r="L87" i="14"/>
  <c r="L108" i="14"/>
  <c r="M147" i="12"/>
  <c r="L99" i="20"/>
  <c r="L100" i="20"/>
  <c r="L101" i="20"/>
  <c r="L93" i="19" s="1"/>
  <c r="L97" i="20"/>
  <c r="L98" i="20"/>
  <c r="L90" i="19" s="1"/>
  <c r="M136" i="12"/>
  <c r="L88" i="19"/>
  <c r="L220" i="20"/>
  <c r="K118" i="12"/>
  <c r="J88" i="12"/>
  <c r="J109" i="12"/>
  <c r="AR54" i="51"/>
  <c r="K142" i="12"/>
  <c r="X103" i="12"/>
  <c r="W103" i="19"/>
  <c r="X103" i="14" s="1"/>
  <c r="W128" i="20"/>
  <c r="W104" i="19" s="1"/>
  <c r="W132" i="20"/>
  <c r="W108" i="19" s="1"/>
  <c r="W129" i="20"/>
  <c r="W105" i="19" s="1"/>
  <c r="W131" i="20"/>
  <c r="W107" i="19" s="1"/>
  <c r="W130" i="20"/>
  <c r="W106" i="19" s="1"/>
  <c r="F259" i="53"/>
  <c r="G78" i="51" s="1"/>
  <c r="G77" i="51"/>
  <c r="N40" i="19"/>
  <c r="S46" i="19" s="1"/>
  <c r="O70" i="14"/>
  <c r="O134" i="14"/>
  <c r="O71" i="14"/>
  <c r="O66" i="14"/>
  <c r="O43" i="51"/>
  <c r="O17" i="51"/>
  <c r="P82" i="12"/>
  <c r="Q135" i="14"/>
  <c r="AR58" i="51"/>
  <c r="Q29" i="14"/>
  <c r="R41" i="12"/>
  <c r="R42" i="12"/>
  <c r="S40" i="12"/>
  <c r="K130" i="12"/>
  <c r="I213" i="19"/>
  <c r="I214" i="19" s="1"/>
  <c r="J180" i="19"/>
  <c r="H235" i="19"/>
  <c r="H234" i="19"/>
  <c r="H238" i="19" s="1"/>
  <c r="M84" i="12"/>
  <c r="L208" i="53"/>
  <c r="J88" i="14"/>
  <c r="J109" i="14"/>
  <c r="O45" i="12"/>
  <c r="K86" i="12"/>
  <c r="K107" i="12"/>
  <c r="K23" i="12"/>
  <c r="J281" i="20"/>
  <c r="J284" i="20"/>
  <c r="J283" i="20"/>
  <c r="J285" i="20"/>
  <c r="J282" i="20"/>
  <c r="J286" i="20"/>
  <c r="P15" i="12"/>
  <c r="O38" i="19"/>
  <c r="P122" i="14"/>
  <c r="P48" i="14"/>
  <c r="P49" i="14"/>
  <c r="P44" i="14"/>
  <c r="J222" i="53"/>
  <c r="J225" i="53"/>
  <c r="J227" i="53"/>
  <c r="J224" i="53"/>
  <c r="J223" i="53"/>
  <c r="J226" i="53"/>
  <c r="V138" i="20"/>
  <c r="V114" i="19" s="1"/>
  <c r="V137" i="20"/>
  <c r="V113" i="19" s="1"/>
  <c r="V134" i="20"/>
  <c r="V110" i="19" s="1"/>
  <c r="V135" i="20"/>
  <c r="V111" i="19" s="1"/>
  <c r="V136" i="20"/>
  <c r="V112" i="19" s="1"/>
  <c r="V109" i="19"/>
  <c r="W126" i="14" s="1"/>
  <c r="H217" i="53"/>
  <c r="H221" i="53" s="1"/>
  <c r="H218" i="53"/>
  <c r="BC68" i="51"/>
  <c r="Q83" i="12"/>
  <c r="J150" i="14"/>
  <c r="K68" i="19"/>
  <c r="L101" i="14" s="1"/>
  <c r="L101" i="12"/>
  <c r="Q15" i="14"/>
  <c r="M37" i="54"/>
  <c r="R43" i="54" s="1"/>
  <c r="R156" i="54" s="1"/>
  <c r="AT65" i="51"/>
  <c r="O46" i="14"/>
  <c r="K92" i="19"/>
  <c r="L145" i="14" s="1"/>
  <c r="L145" i="12"/>
  <c r="K71" i="19"/>
  <c r="L116" i="14" s="1"/>
  <c r="L116" i="12"/>
  <c r="K209" i="53"/>
  <c r="K211" i="53"/>
  <c r="K212" i="53"/>
  <c r="K210" i="53"/>
  <c r="L99" i="14"/>
  <c r="K118" i="14"/>
  <c r="G258" i="53"/>
  <c r="G241" i="53"/>
  <c r="G242" i="53" s="1"/>
  <c r="N35" i="14"/>
  <c r="AT48" i="51"/>
  <c r="M33" i="54"/>
  <c r="M39" i="54" s="1"/>
  <c r="L87" i="12"/>
  <c r="J260" i="20"/>
  <c r="J258" i="20"/>
  <c r="J257" i="20"/>
  <c r="J261" i="20"/>
  <c r="J259" i="20"/>
  <c r="J262" i="20"/>
  <c r="N67" i="14"/>
  <c r="L99" i="12"/>
  <c r="K142" i="14"/>
  <c r="W150" i="20"/>
  <c r="W126" i="19" s="1"/>
  <c r="W148" i="20"/>
  <c r="W124" i="19" s="1"/>
  <c r="W149" i="20"/>
  <c r="W125" i="19" s="1"/>
  <c r="W147" i="20"/>
  <c r="W123" i="19" s="1"/>
  <c r="W146" i="20"/>
  <c r="W122" i="19" s="1"/>
  <c r="X138" i="12"/>
  <c r="W121" i="19"/>
  <c r="X138" i="14" s="1"/>
  <c r="J230" i="19"/>
  <c r="J231" i="19"/>
  <c r="J206" i="54"/>
  <c r="J207" i="54" s="1"/>
  <c r="J229" i="54"/>
  <c r="J230" i="54" s="1"/>
  <c r="I290" i="20"/>
  <c r="I291" i="20" s="1"/>
  <c r="I292" i="20"/>
  <c r="K130" i="14"/>
  <c r="BT6" i="55"/>
  <c r="Q29" i="12"/>
  <c r="L159" i="53"/>
  <c r="X50" i="51"/>
  <c r="X68" i="51"/>
  <c r="I220" i="54"/>
  <c r="I219" i="54"/>
  <c r="I231" i="54" s="1"/>
  <c r="I232" i="54" s="1"/>
  <c r="M105" i="14"/>
  <c r="V143" i="20"/>
  <c r="V119" i="19" s="1"/>
  <c r="V144" i="20"/>
  <c r="V120" i="19" s="1"/>
  <c r="V142" i="20"/>
  <c r="V118" i="19" s="1"/>
  <c r="V141" i="20"/>
  <c r="V117" i="19" s="1"/>
  <c r="V140" i="20"/>
  <c r="V116" i="19" s="1"/>
  <c r="V115" i="19"/>
  <c r="W94" i="14" s="1"/>
  <c r="M143" i="12"/>
  <c r="P33" i="14"/>
  <c r="K117" i="12"/>
  <c r="P82" i="14"/>
  <c r="AP73" i="51"/>
  <c r="N47" i="14"/>
  <c r="L86" i="12"/>
  <c r="L107" i="12"/>
  <c r="L23" i="12"/>
  <c r="R13" i="14"/>
  <c r="R62" i="14"/>
  <c r="S12" i="14"/>
  <c r="R135" i="14"/>
  <c r="N81" i="12"/>
  <c r="N19" i="12"/>
  <c r="F160" i="14"/>
  <c r="M52" i="19"/>
  <c r="M49" i="19" s="1"/>
  <c r="M177" i="19" s="1"/>
  <c r="M54" i="19"/>
  <c r="M58" i="19"/>
  <c r="M47" i="20"/>
  <c r="M50" i="19"/>
  <c r="M84" i="20"/>
  <c r="N124" i="12"/>
  <c r="M59" i="19"/>
  <c r="M96" i="20"/>
  <c r="M57" i="19"/>
  <c r="M90" i="20"/>
  <c r="M53" i="19"/>
  <c r="M51" i="19"/>
  <c r="M55" i="19"/>
  <c r="M62" i="19"/>
  <c r="M72" i="20"/>
  <c r="M221" i="20"/>
  <c r="M60" i="19"/>
  <c r="M61" i="19"/>
  <c r="M78" i="20"/>
  <c r="N93" i="12"/>
  <c r="G234" i="54"/>
  <c r="G235" i="54" s="1"/>
  <c r="G237" i="54" s="1"/>
  <c r="E164" i="12"/>
  <c r="D318" i="20"/>
  <c r="E165" i="12" s="1"/>
  <c r="K108" i="12"/>
  <c r="K87" i="12"/>
  <c r="Q21" i="51"/>
  <c r="O45" i="14"/>
  <c r="L139" i="12"/>
  <c r="L115" i="14"/>
  <c r="L146" i="14"/>
  <c r="L265" i="20"/>
  <c r="L288" i="20"/>
  <c r="L289" i="20" s="1"/>
  <c r="K78" i="54"/>
  <c r="K162" i="54"/>
  <c r="E249" i="53"/>
  <c r="F10" i="55" s="1"/>
  <c r="N68" i="14"/>
  <c r="W104" i="54"/>
  <c r="W105" i="54" s="1"/>
  <c r="W110" i="54"/>
  <c r="W111" i="54" s="1"/>
  <c r="W106" i="54"/>
  <c r="W107" i="54" s="1"/>
  <c r="W108" i="54"/>
  <c r="W109" i="54" s="1"/>
  <c r="K129" i="12"/>
  <c r="F242" i="53"/>
  <c r="F251" i="53" s="1"/>
  <c r="G75" i="51" s="1"/>
  <c r="AT43" i="51"/>
  <c r="AT17" i="51"/>
  <c r="X106" i="53"/>
  <c r="X107" i="53" s="1"/>
  <c r="Y62" i="51" s="1"/>
  <c r="X110" i="53"/>
  <c r="X111" i="53" s="1"/>
  <c r="X104" i="53"/>
  <c r="X105" i="53" s="1"/>
  <c r="Y53" i="51" s="1"/>
  <c r="X108" i="53"/>
  <c r="X109" i="53" s="1"/>
  <c r="R28" i="14"/>
  <c r="R30" i="14"/>
  <c r="R31" i="14"/>
  <c r="R27" i="14"/>
  <c r="S26" i="14"/>
  <c r="O16" i="12"/>
  <c r="L143" i="14"/>
  <c r="L78" i="53"/>
  <c r="M61" i="51" s="1"/>
  <c r="L162" i="53"/>
  <c r="AV37" i="51"/>
  <c r="AV38" i="51"/>
  <c r="K149" i="12"/>
  <c r="O38" i="20"/>
  <c r="P122" i="12"/>
  <c r="P49" i="12"/>
  <c r="P44" i="12"/>
  <c r="P48" i="12"/>
  <c r="BD53" i="51"/>
  <c r="O81" i="14"/>
  <c r="O19" i="14"/>
  <c r="D161" i="14"/>
  <c r="J214" i="53"/>
  <c r="J213" i="53"/>
  <c r="P16" i="14"/>
  <c r="M110" i="14"/>
  <c r="M89" i="14"/>
  <c r="M22" i="14"/>
  <c r="P39" i="51"/>
  <c r="H241" i="53"/>
  <c r="H242" i="53" s="1"/>
  <c r="H258" i="53"/>
  <c r="K153" i="12"/>
  <c r="K98" i="12"/>
  <c r="K85" i="19"/>
  <c r="L132" i="14" s="1"/>
  <c r="L132" i="12"/>
  <c r="K117" i="14"/>
  <c r="K229" i="19"/>
  <c r="K227" i="19"/>
  <c r="K226" i="19"/>
  <c r="K228" i="19"/>
  <c r="L143" i="12"/>
  <c r="Q63" i="14"/>
  <c r="Q64" i="14"/>
  <c r="J148" i="12"/>
  <c r="E164" i="14"/>
  <c r="D276" i="19"/>
  <c r="E165" i="14" s="1"/>
  <c r="L69" i="54"/>
  <c r="L70" i="54" s="1"/>
  <c r="L77" i="54"/>
  <c r="L75" i="54"/>
  <c r="L76" i="54" s="1"/>
  <c r="L71" i="54"/>
  <c r="L72" i="54" s="1"/>
  <c r="L44" i="54"/>
  <c r="L159" i="54" s="1"/>
  <c r="AW22" i="51"/>
  <c r="AW20" i="51"/>
  <c r="AW23" i="51"/>
  <c r="AW19" i="51"/>
  <c r="J272" i="20"/>
  <c r="J273" i="20"/>
  <c r="L83" i="20"/>
  <c r="L75" i="19" s="1"/>
  <c r="L80" i="20"/>
  <c r="M114" i="12"/>
  <c r="L82" i="20"/>
  <c r="L79" i="20"/>
  <c r="L81" i="20"/>
  <c r="L70" i="19"/>
  <c r="M114" i="14" s="1"/>
  <c r="L75" i="20"/>
  <c r="L76" i="20"/>
  <c r="L74" i="20"/>
  <c r="L66" i="19" s="1"/>
  <c r="L73" i="20"/>
  <c r="L77" i="20"/>
  <c r="L69" i="19" s="1"/>
  <c r="L64" i="19"/>
  <c r="M93" i="14" s="1"/>
  <c r="M4" i="55"/>
  <c r="L267" i="20"/>
  <c r="L264" i="20"/>
  <c r="L314" i="20"/>
  <c r="L315" i="20"/>
  <c r="L263" i="20"/>
  <c r="O92" i="12"/>
  <c r="N36" i="20"/>
  <c r="N42" i="20" s="1"/>
  <c r="O39" i="12"/>
  <c r="K129" i="14"/>
  <c r="J237" i="19"/>
  <c r="J236" i="19"/>
  <c r="J248" i="19" s="1"/>
  <c r="H258" i="19"/>
  <c r="H259" i="19" s="1"/>
  <c r="R167" i="19"/>
  <c r="R166" i="19" s="1"/>
  <c r="R211" i="20"/>
  <c r="M54" i="51"/>
  <c r="I233" i="53"/>
  <c r="I234" i="53" s="1"/>
  <c r="BU13" i="55"/>
  <c r="BU12" i="55"/>
  <c r="BU14" i="55"/>
  <c r="BU16" i="55"/>
  <c r="BU15" i="55"/>
  <c r="BU11" i="55"/>
  <c r="BU19" i="55" s="1"/>
  <c r="E74" i="51"/>
  <c r="D253" i="53"/>
  <c r="K271" i="20"/>
  <c r="K269" i="20"/>
  <c r="K268" i="20"/>
  <c r="K270" i="20"/>
  <c r="Q38" i="14"/>
  <c r="K154" i="12"/>
  <c r="K97" i="12"/>
  <c r="P44" i="51"/>
  <c r="AQ70" i="51"/>
  <c r="Q32" i="12"/>
  <c r="AK74" i="51"/>
  <c r="D253" i="54"/>
  <c r="AV29" i="51"/>
  <c r="AR67" i="51"/>
  <c r="L70" i="51"/>
  <c r="AV14" i="51"/>
  <c r="AV13" i="51"/>
  <c r="K149" i="14"/>
  <c r="BD62" i="51"/>
  <c r="J223" i="19"/>
  <c r="J224" i="19" s="1"/>
  <c r="J246" i="19"/>
  <c r="J247" i="19" s="1"/>
  <c r="AL77" i="51"/>
  <c r="E259" i="54"/>
  <c r="AL78" i="51" s="1"/>
  <c r="M37" i="12"/>
  <c r="M85" i="14"/>
  <c r="M106" i="14"/>
  <c r="K153" i="14"/>
  <c r="K98" i="14"/>
  <c r="N52" i="51"/>
  <c r="M34" i="53"/>
  <c r="Y40" i="53" s="1"/>
  <c r="Q14" i="12"/>
  <c r="G217" i="54"/>
  <c r="G221" i="54" s="1"/>
  <c r="G218" i="54"/>
  <c r="M37" i="14"/>
  <c r="P33" i="12"/>
  <c r="R28" i="51"/>
  <c r="AX26" i="51"/>
  <c r="R27" i="51"/>
  <c r="S26" i="51"/>
  <c r="Q83" i="14"/>
  <c r="AX10" i="51"/>
  <c r="R36" i="51"/>
  <c r="R12" i="51"/>
  <c r="S10" i="51"/>
  <c r="N35" i="12"/>
  <c r="E12" i="55"/>
  <c r="E11" i="55"/>
  <c r="E16" i="55"/>
  <c r="E14" i="55"/>
  <c r="E13" i="55"/>
  <c r="E15" i="55"/>
  <c r="Q24" i="51"/>
  <c r="K89" i="19"/>
  <c r="L140" i="14" s="1"/>
  <c r="L140" i="12"/>
  <c r="I250" i="19"/>
  <c r="I253" i="19" s="1"/>
  <c r="I249" i="19"/>
  <c r="I232" i="19"/>
  <c r="I233" i="19"/>
  <c r="L92" i="20"/>
  <c r="L93" i="20"/>
  <c r="L94" i="20"/>
  <c r="L82" i="19"/>
  <c r="M124" i="14" s="1"/>
  <c r="L91" i="20"/>
  <c r="L95" i="20"/>
  <c r="L87" i="19" s="1"/>
  <c r="AQ72" i="51"/>
  <c r="M47" i="19"/>
  <c r="L110" i="12"/>
  <c r="W143" i="20"/>
  <c r="W119" i="19" s="1"/>
  <c r="W142" i="20"/>
  <c r="W118" i="19" s="1"/>
  <c r="W140" i="20"/>
  <c r="W116" i="19" s="1"/>
  <c r="W144" i="20"/>
  <c r="W120" i="19" s="1"/>
  <c r="W141" i="20"/>
  <c r="W117" i="19" s="1"/>
  <c r="W115" i="19"/>
  <c r="X94" i="14" s="1"/>
  <c r="D161" i="12"/>
  <c r="I196" i="54"/>
  <c r="I197" i="54" s="1"/>
  <c r="J163" i="54"/>
  <c r="BV9" i="55"/>
  <c r="K266" i="20"/>
  <c r="L106" i="12"/>
  <c r="Q34" i="14"/>
  <c r="N47" i="12"/>
  <c r="K154" i="14"/>
  <c r="K97" i="14"/>
  <c r="L221" i="19"/>
  <c r="L273" i="19"/>
  <c r="AS4" i="55"/>
  <c r="L222" i="19"/>
  <c r="L272" i="19"/>
  <c r="L225" i="19"/>
  <c r="AU25" i="51"/>
  <c r="G258" i="19"/>
  <c r="G259" i="19" s="1"/>
  <c r="K139" i="14"/>
  <c r="J151" i="12"/>
  <c r="E251" i="54"/>
  <c r="AL75" i="51" s="1"/>
  <c r="E249" i="54"/>
  <c r="W103" i="12"/>
  <c r="V103" i="19"/>
  <c r="W103" i="14" s="1"/>
  <c r="V132" i="20"/>
  <c r="V108" i="19" s="1"/>
  <c r="V129" i="20"/>
  <c r="V105" i="19" s="1"/>
  <c r="V128" i="20"/>
  <c r="V104" i="19" s="1"/>
  <c r="V130" i="20"/>
  <c r="V106" i="19" s="1"/>
  <c r="V131" i="20"/>
  <c r="V107" i="19" s="1"/>
  <c r="AV24" i="51"/>
  <c r="N46" i="51"/>
  <c r="K83" i="19"/>
  <c r="L128" i="14" s="1"/>
  <c r="L128" i="12"/>
  <c r="P65" i="14"/>
  <c r="F164" i="14"/>
  <c r="E276" i="19"/>
  <c r="F165" i="14" s="1"/>
  <c r="R13" i="12"/>
  <c r="R62" i="12"/>
  <c r="S12" i="12"/>
  <c r="I275" i="20"/>
  <c r="I274" i="20"/>
  <c r="H233" i="54"/>
  <c r="H277" i="20"/>
  <c r="H276" i="20"/>
  <c r="H280" i="20" s="1"/>
  <c r="L147" i="14"/>
  <c r="L95" i="14"/>
  <c r="P35" i="53"/>
  <c r="Q59" i="51"/>
  <c r="AK10" i="55"/>
  <c r="Q37" i="51"/>
  <c r="Q38" i="51"/>
  <c r="K88" i="14"/>
  <c r="K109" i="14"/>
  <c r="N95" i="12"/>
  <c r="E163" i="12"/>
  <c r="E157" i="12"/>
  <c r="L115" i="12"/>
  <c r="L146" i="12"/>
  <c r="I239" i="19"/>
  <c r="I241" i="19"/>
  <c r="I244" i="19"/>
  <c r="I240" i="19"/>
  <c r="I242" i="19"/>
  <c r="I243" i="19"/>
  <c r="K159" i="54"/>
  <c r="F301" i="20"/>
  <c r="F308" i="20" s="1"/>
  <c r="K206" i="53"/>
  <c r="K207" i="53" s="1"/>
  <c r="K229" i="53"/>
  <c r="K230" i="53" s="1"/>
  <c r="L9" i="55"/>
  <c r="H252" i="19"/>
  <c r="H254" i="19" s="1"/>
  <c r="N67" i="12"/>
  <c r="M69" i="14"/>
  <c r="H201" i="54"/>
  <c r="H200" i="54"/>
  <c r="H202" i="54"/>
  <c r="H198" i="54"/>
  <c r="H199" i="54"/>
  <c r="H203" i="54"/>
  <c r="M51" i="51"/>
  <c r="AS52" i="51"/>
  <c r="L34" i="54"/>
  <c r="X40" i="54" s="1"/>
  <c r="K208" i="54" l="1"/>
  <c r="K212" i="54" s="1"/>
  <c r="I251" i="19"/>
  <c r="I252" i="19" s="1"/>
  <c r="I254" i="19" s="1"/>
  <c r="AJ19" i="55"/>
  <c r="AJ6" i="55"/>
  <c r="I233" i="54"/>
  <c r="I236" i="54" s="1"/>
  <c r="I241" i="54" s="1"/>
  <c r="M204" i="53"/>
  <c r="L204" i="54"/>
  <c r="M127" i="14"/>
  <c r="R14" i="12"/>
  <c r="M218" i="20"/>
  <c r="AR72" i="51"/>
  <c r="K148" i="14"/>
  <c r="R14" i="14"/>
  <c r="AS51" i="51"/>
  <c r="N51" i="51"/>
  <c r="N127" i="12"/>
  <c r="AU65" i="51"/>
  <c r="R43" i="14"/>
  <c r="R43" i="12"/>
  <c r="N37" i="54"/>
  <c r="S43" i="54" s="1"/>
  <c r="S156" i="54" s="1"/>
  <c r="AV39" i="51"/>
  <c r="AW29" i="51"/>
  <c r="R34" i="14"/>
  <c r="E6" i="55"/>
  <c r="L266" i="20"/>
  <c r="L282" i="20" s="1"/>
  <c r="G155" i="12"/>
  <c r="F11" i="55"/>
  <c r="F15" i="55"/>
  <c r="F14" i="55"/>
  <c r="F13" i="55"/>
  <c r="F16" i="55"/>
  <c r="F12" i="55"/>
  <c r="R15" i="14"/>
  <c r="N69" i="12"/>
  <c r="X106" i="54"/>
  <c r="X107" i="54" s="1"/>
  <c r="X104" i="54"/>
  <c r="X105" i="54" s="1"/>
  <c r="X110" i="54"/>
  <c r="X111" i="54" s="1"/>
  <c r="X108" i="54"/>
  <c r="X109" i="54" s="1"/>
  <c r="AS54" i="51"/>
  <c r="M143" i="14"/>
  <c r="R15" i="12"/>
  <c r="BV11" i="55"/>
  <c r="BV19" i="55" s="1"/>
  <c r="BV14" i="55"/>
  <c r="BV15" i="55"/>
  <c r="BV13" i="55"/>
  <c r="BV12" i="55"/>
  <c r="BV16" i="55"/>
  <c r="I234" i="19"/>
  <c r="I238" i="19" s="1"/>
  <c r="I235" i="19"/>
  <c r="K151" i="14"/>
  <c r="K150" i="12"/>
  <c r="L67" i="19"/>
  <c r="M100" i="14" s="1"/>
  <c r="M100" i="12"/>
  <c r="J274" i="20"/>
  <c r="J275" i="20"/>
  <c r="P65" i="51"/>
  <c r="O37" i="53"/>
  <c r="T43" i="53" s="1"/>
  <c r="T156" i="53" s="1"/>
  <c r="AS61" i="51"/>
  <c r="M71" i="51"/>
  <c r="M64" i="51"/>
  <c r="M34" i="54"/>
  <c r="Y40" i="54" s="1"/>
  <c r="AT52" i="51"/>
  <c r="Q25" i="51"/>
  <c r="Q82" i="12"/>
  <c r="J222" i="54"/>
  <c r="J225" i="54"/>
  <c r="J227" i="54"/>
  <c r="J223" i="54"/>
  <c r="J226" i="54"/>
  <c r="J224" i="54"/>
  <c r="G251" i="53"/>
  <c r="H75" i="51" s="1"/>
  <c r="G249" i="53"/>
  <c r="K88" i="12"/>
  <c r="K109" i="12"/>
  <c r="J213" i="19"/>
  <c r="J214" i="19" s="1"/>
  <c r="K180" i="19"/>
  <c r="R122" i="12"/>
  <c r="Q38" i="20"/>
  <c r="R48" i="12"/>
  <c r="R44" i="12"/>
  <c r="J152" i="12"/>
  <c r="M139" i="12"/>
  <c r="S23" i="51"/>
  <c r="S22" i="51"/>
  <c r="S20" i="51"/>
  <c r="S19" i="51"/>
  <c r="AY18" i="51"/>
  <c r="T18" i="51"/>
  <c r="M90" i="12"/>
  <c r="M21" i="12"/>
  <c r="M111" i="12"/>
  <c r="AW14" i="51"/>
  <c r="AW13" i="51"/>
  <c r="L149" i="14"/>
  <c r="AS58" i="51"/>
  <c r="N47" i="19"/>
  <c r="N75" i="53"/>
  <c r="N44" i="53"/>
  <c r="N77" i="53"/>
  <c r="N71" i="53"/>
  <c r="N72" i="53" s="1"/>
  <c r="O57" i="51" s="1"/>
  <c r="N69" i="53"/>
  <c r="N70" i="53" s="1"/>
  <c r="O49" i="51" s="1"/>
  <c r="J196" i="54"/>
  <c r="J197" i="54" s="1"/>
  <c r="K163" i="54"/>
  <c r="BW9" i="55"/>
  <c r="I258" i="19"/>
  <c r="E7" i="55"/>
  <c r="N37" i="12"/>
  <c r="Y110" i="53"/>
  <c r="Y111" i="53" s="1"/>
  <c r="Y106" i="53"/>
  <c r="Y107" i="53" s="1"/>
  <c r="Z62" i="51" s="1"/>
  <c r="Y104" i="53"/>
  <c r="Y105" i="53" s="1"/>
  <c r="Z53" i="51" s="1"/>
  <c r="Y108" i="53"/>
  <c r="Y109" i="53" s="1"/>
  <c r="AK76" i="51"/>
  <c r="K278" i="20"/>
  <c r="K279" i="20"/>
  <c r="L269" i="20"/>
  <c r="L268" i="20"/>
  <c r="L271" i="20"/>
  <c r="L270" i="20"/>
  <c r="M115" i="14"/>
  <c r="L78" i="54"/>
  <c r="L162" i="54"/>
  <c r="Q65" i="14"/>
  <c r="M87" i="14"/>
  <c r="M108" i="14"/>
  <c r="J216" i="53"/>
  <c r="J215" i="53"/>
  <c r="P46" i="12"/>
  <c r="R32" i="14"/>
  <c r="AT46" i="51"/>
  <c r="K206" i="54"/>
  <c r="K207" i="54" s="1"/>
  <c r="K229" i="54"/>
  <c r="K230" i="54" s="1"/>
  <c r="N147" i="12"/>
  <c r="M86" i="20"/>
  <c r="M78" i="19" s="1"/>
  <c r="M89" i="20"/>
  <c r="M81" i="19" s="1"/>
  <c r="M88" i="20"/>
  <c r="M80" i="19" s="1"/>
  <c r="M87" i="20"/>
  <c r="M79" i="19" s="1"/>
  <c r="M85" i="20"/>
  <c r="M77" i="19" s="1"/>
  <c r="N104" i="12"/>
  <c r="M76" i="19"/>
  <c r="N104" i="14" s="1"/>
  <c r="R63" i="14"/>
  <c r="R64" i="14"/>
  <c r="F249" i="53"/>
  <c r="K219" i="53"/>
  <c r="K231" i="53" s="1"/>
  <c r="K232" i="53" s="1"/>
  <c r="K220" i="53"/>
  <c r="Q82" i="14"/>
  <c r="O67" i="14"/>
  <c r="F164" i="12"/>
  <c r="E318" i="20"/>
  <c r="F165" i="12" s="1"/>
  <c r="F159" i="14"/>
  <c r="M86" i="14"/>
  <c r="M107" i="14"/>
  <c r="M23" i="14"/>
  <c r="I216" i="54"/>
  <c r="I215" i="54"/>
  <c r="X96" i="19"/>
  <c r="X95" i="19" s="1"/>
  <c r="Y126" i="12"/>
  <c r="X139" i="20"/>
  <c r="X133" i="20"/>
  <c r="X98" i="19"/>
  <c r="X99" i="19"/>
  <c r="X100" i="19"/>
  <c r="X97" i="19"/>
  <c r="X101" i="19"/>
  <c r="X127" i="20"/>
  <c r="Y94" i="12"/>
  <c r="X145" i="20"/>
  <c r="AM77" i="51"/>
  <c r="F259" i="54"/>
  <c r="AM78" i="51" s="1"/>
  <c r="R29" i="12"/>
  <c r="G164" i="14"/>
  <c r="F276" i="19"/>
  <c r="G165" i="14" s="1"/>
  <c r="O35" i="14"/>
  <c r="K223" i="19"/>
  <c r="K224" i="19" s="1"/>
  <c r="K246" i="19"/>
  <c r="K247" i="19" s="1"/>
  <c r="AK12" i="55"/>
  <c r="AK14" i="55"/>
  <c r="AK15" i="55"/>
  <c r="AK16" i="55"/>
  <c r="AK11" i="55"/>
  <c r="AK13" i="55"/>
  <c r="G268" i="19"/>
  <c r="H156" i="14" s="1"/>
  <c r="G266" i="19"/>
  <c r="I202" i="54"/>
  <c r="I203" i="54"/>
  <c r="I200" i="54"/>
  <c r="I201" i="54"/>
  <c r="I199" i="54"/>
  <c r="I198" i="54"/>
  <c r="L83" i="19"/>
  <c r="M128" i="14" s="1"/>
  <c r="M128" i="12"/>
  <c r="O36" i="20"/>
  <c r="O42" i="20" s="1"/>
  <c r="P92" i="12"/>
  <c r="P39" i="12"/>
  <c r="N54" i="51"/>
  <c r="BU7" i="55"/>
  <c r="O35" i="12"/>
  <c r="L73" i="19"/>
  <c r="M120" i="14" s="1"/>
  <c r="M120" i="12"/>
  <c r="K236" i="19"/>
  <c r="K248" i="19" s="1"/>
  <c r="K237" i="19"/>
  <c r="K151" i="12"/>
  <c r="M83" i="20"/>
  <c r="M75" i="19" s="1"/>
  <c r="N114" i="12"/>
  <c r="M80" i="20"/>
  <c r="M70" i="19"/>
  <c r="N114" i="14" s="1"/>
  <c r="M82" i="20"/>
  <c r="M81" i="20"/>
  <c r="M79" i="20"/>
  <c r="N25" i="12"/>
  <c r="N20" i="12"/>
  <c r="N24" i="12"/>
  <c r="M37" i="20"/>
  <c r="Y43" i="20" s="1"/>
  <c r="N102" i="12"/>
  <c r="R83" i="14"/>
  <c r="Q33" i="12"/>
  <c r="I295" i="20"/>
  <c r="H77" i="51"/>
  <c r="G259" i="53"/>
  <c r="H78" i="51" s="1"/>
  <c r="K214" i="53"/>
  <c r="K213" i="53"/>
  <c r="P45" i="14"/>
  <c r="P16" i="12"/>
  <c r="I215" i="19"/>
  <c r="I216" i="19"/>
  <c r="I220" i="19"/>
  <c r="I219" i="19"/>
  <c r="I218" i="19"/>
  <c r="I217" i="19"/>
  <c r="L89" i="19"/>
  <c r="M140" i="14" s="1"/>
  <c r="M140" i="12"/>
  <c r="R24" i="51"/>
  <c r="R49" i="14"/>
  <c r="R44" i="14"/>
  <c r="Q38" i="19"/>
  <c r="R122" i="14"/>
  <c r="R48" i="14"/>
  <c r="P66" i="12"/>
  <c r="P71" i="12"/>
  <c r="O40" i="20"/>
  <c r="T46" i="20" s="1"/>
  <c r="P70" i="12"/>
  <c r="P134" i="12"/>
  <c r="S167" i="19"/>
  <c r="S166" i="19" s="1"/>
  <c r="S211" i="20"/>
  <c r="Q36" i="12"/>
  <c r="L139" i="14"/>
  <c r="E159" i="14"/>
  <c r="AT49" i="51"/>
  <c r="H236" i="54"/>
  <c r="R83" i="12"/>
  <c r="AY10" i="51"/>
  <c r="S36" i="51"/>
  <c r="S12" i="51"/>
  <c r="T10" i="51"/>
  <c r="E76" i="51"/>
  <c r="R214" i="20"/>
  <c r="R172" i="19" s="1"/>
  <c r="R216" i="20"/>
  <c r="R174" i="19" s="1"/>
  <c r="R213" i="20"/>
  <c r="R171" i="19" s="1"/>
  <c r="R215" i="20"/>
  <c r="R173" i="19" s="1"/>
  <c r="R212" i="20"/>
  <c r="R170" i="19" s="1"/>
  <c r="S135" i="12"/>
  <c r="R169" i="19"/>
  <c r="N52" i="19"/>
  <c r="N49" i="19" s="1"/>
  <c r="N177" i="19" s="1"/>
  <c r="N47" i="20"/>
  <c r="N57" i="19"/>
  <c r="N50" i="19"/>
  <c r="N61" i="19"/>
  <c r="N59" i="19"/>
  <c r="N176" i="19" s="1"/>
  <c r="N60" i="19"/>
  <c r="O124" i="12"/>
  <c r="N53" i="19"/>
  <c r="N218" i="20"/>
  <c r="N62" i="19"/>
  <c r="N51" i="19"/>
  <c r="N55" i="19"/>
  <c r="N54" i="19"/>
  <c r="N58" i="19"/>
  <c r="N84" i="20"/>
  <c r="O93" i="12"/>
  <c r="N78" i="20"/>
  <c r="N90" i="20"/>
  <c r="N96" i="20"/>
  <c r="N72" i="20"/>
  <c r="N221" i="20"/>
  <c r="M147" i="14"/>
  <c r="M95" i="14"/>
  <c r="L71" i="19"/>
  <c r="M116" i="14" s="1"/>
  <c r="M116" i="12"/>
  <c r="AW24" i="51"/>
  <c r="N37" i="19"/>
  <c r="Z43" i="19" s="1"/>
  <c r="O20" i="14"/>
  <c r="O102" i="14"/>
  <c r="O24" i="14"/>
  <c r="O25" i="14"/>
  <c r="P45" i="12"/>
  <c r="S27" i="14"/>
  <c r="S31" i="14"/>
  <c r="S30" i="14"/>
  <c r="S28" i="14"/>
  <c r="T26" i="14"/>
  <c r="M92" i="20"/>
  <c r="M84" i="19" s="1"/>
  <c r="M91" i="20"/>
  <c r="M94" i="20"/>
  <c r="M93" i="20"/>
  <c r="M95" i="20"/>
  <c r="M87" i="19" s="1"/>
  <c r="M82" i="19"/>
  <c r="N124" i="14" s="1"/>
  <c r="M263" i="20"/>
  <c r="M314" i="20"/>
  <c r="M264" i="20"/>
  <c r="M315" i="20"/>
  <c r="N4" i="55"/>
  <c r="M267" i="20"/>
  <c r="N84" i="12"/>
  <c r="J232" i="19"/>
  <c r="J233" i="19"/>
  <c r="M69" i="54"/>
  <c r="M70" i="54" s="1"/>
  <c r="M77" i="54"/>
  <c r="M75" i="54"/>
  <c r="M76" i="54" s="1"/>
  <c r="M71" i="54"/>
  <c r="M72" i="54" s="1"/>
  <c r="M44" i="54"/>
  <c r="P46" i="14"/>
  <c r="O52" i="51"/>
  <c r="N34" i="53"/>
  <c r="Z40" i="53" s="1"/>
  <c r="L118" i="14"/>
  <c r="Q122" i="14"/>
  <c r="P38" i="19"/>
  <c r="Q49" i="14"/>
  <c r="Q44" i="14"/>
  <c r="Q48" i="14"/>
  <c r="H218" i="54"/>
  <c r="H217" i="54"/>
  <c r="H221" i="54" s="1"/>
  <c r="AS67" i="51"/>
  <c r="M70" i="51"/>
  <c r="L255" i="20"/>
  <c r="L256" i="20" s="1"/>
  <c r="M222" i="20"/>
  <c r="L117" i="12"/>
  <c r="S41" i="14"/>
  <c r="S42" i="14"/>
  <c r="T40" i="14"/>
  <c r="J214" i="54"/>
  <c r="J213" i="54"/>
  <c r="F251" i="54"/>
  <c r="AM75" i="51" s="1"/>
  <c r="F249" i="54"/>
  <c r="M37" i="19"/>
  <c r="Y43" i="19" s="1"/>
  <c r="N20" i="14"/>
  <c r="N24" i="14"/>
  <c r="N102" i="14"/>
  <c r="N25" i="14"/>
  <c r="R32" i="12"/>
  <c r="L73" i="51"/>
  <c r="G163" i="14"/>
  <c r="G157" i="14"/>
  <c r="J290" i="20"/>
  <c r="J291" i="20" s="1"/>
  <c r="J292" i="20"/>
  <c r="S157" i="54"/>
  <c r="AT57" i="51"/>
  <c r="N58" i="51"/>
  <c r="M72" i="51"/>
  <c r="AR9" i="55"/>
  <c r="E159" i="12"/>
  <c r="I277" i="20"/>
  <c r="I276" i="20"/>
  <c r="I280" i="20" s="1"/>
  <c r="N33" i="54"/>
  <c r="N39" i="54" s="1"/>
  <c r="AU48" i="51"/>
  <c r="M221" i="19"/>
  <c r="M273" i="19"/>
  <c r="M222" i="19"/>
  <c r="M272" i="19"/>
  <c r="M225" i="19"/>
  <c r="L86" i="19"/>
  <c r="M133" i="14" s="1"/>
  <c r="M133" i="12"/>
  <c r="R14" i="51"/>
  <c r="R13" i="51"/>
  <c r="S27" i="51"/>
  <c r="S28" i="51"/>
  <c r="AY26" i="51"/>
  <c r="T26" i="51"/>
  <c r="L74" i="19"/>
  <c r="M121" i="14" s="1"/>
  <c r="M121" i="12"/>
  <c r="O84" i="14"/>
  <c r="R38" i="14"/>
  <c r="Y50" i="51"/>
  <c r="Y68" i="51"/>
  <c r="L148" i="12"/>
  <c r="L88" i="12"/>
  <c r="L109" i="12"/>
  <c r="N69" i="14"/>
  <c r="R157" i="54"/>
  <c r="H234" i="54"/>
  <c r="H235" i="54" s="1"/>
  <c r="H237" i="54" s="1"/>
  <c r="O47" i="12"/>
  <c r="Q33" i="14"/>
  <c r="O46" i="51"/>
  <c r="O68" i="14"/>
  <c r="L92" i="19"/>
  <c r="M145" i="14" s="1"/>
  <c r="M145" i="12"/>
  <c r="L118" i="12"/>
  <c r="R21" i="51"/>
  <c r="F163" i="12"/>
  <c r="F157" i="12"/>
  <c r="O33" i="53"/>
  <c r="O39" i="53" s="1"/>
  <c r="P48" i="51"/>
  <c r="M89" i="12"/>
  <c r="M22" i="12"/>
  <c r="M110" i="12"/>
  <c r="Q46" i="12"/>
  <c r="O17" i="12"/>
  <c r="L117" i="14"/>
  <c r="P35" i="54"/>
  <c r="AW59" i="51"/>
  <c r="O67" i="12"/>
  <c r="N84" i="14"/>
  <c r="L196" i="53"/>
  <c r="L197" i="53" s="1"/>
  <c r="M163" i="53"/>
  <c r="AR71" i="51"/>
  <c r="AR64" i="51"/>
  <c r="H300" i="20"/>
  <c r="Q15" i="51"/>
  <c r="L88" i="14"/>
  <c r="L109" i="14"/>
  <c r="M205" i="53"/>
  <c r="M208" i="53"/>
  <c r="K152" i="14"/>
  <c r="Q39" i="51"/>
  <c r="AL74" i="51"/>
  <c r="E253" i="54"/>
  <c r="AL10" i="55"/>
  <c r="K150" i="14"/>
  <c r="M176" i="19"/>
  <c r="L85" i="19"/>
  <c r="M132" i="14" s="1"/>
  <c r="M132" i="12"/>
  <c r="E19" i="55"/>
  <c r="E20" i="55"/>
  <c r="R38" i="51"/>
  <c r="R37" i="51"/>
  <c r="R29" i="51"/>
  <c r="Q15" i="12"/>
  <c r="J250" i="19"/>
  <c r="J253" i="19" s="1"/>
  <c r="J249" i="19"/>
  <c r="Q36" i="14"/>
  <c r="BU6" i="55"/>
  <c r="I235" i="53"/>
  <c r="I237" i="53" s="1"/>
  <c r="I236" i="53"/>
  <c r="H266" i="19"/>
  <c r="H268" i="19"/>
  <c r="I156" i="14" s="1"/>
  <c r="L65" i="19"/>
  <c r="M96" i="14" s="1"/>
  <c r="M96" i="12"/>
  <c r="M115" i="12"/>
  <c r="M146" i="12"/>
  <c r="L205" i="54"/>
  <c r="L208" i="54"/>
  <c r="L130" i="12"/>
  <c r="H259" i="53"/>
  <c r="I78" i="51" s="1"/>
  <c r="I77" i="51"/>
  <c r="BE53" i="51"/>
  <c r="F74" i="51"/>
  <c r="E253" i="53"/>
  <c r="M265" i="20"/>
  <c r="M288" i="20"/>
  <c r="M289" i="20" s="1"/>
  <c r="N37" i="14"/>
  <c r="L152" i="14"/>
  <c r="Q16" i="14"/>
  <c r="L212" i="53"/>
  <c r="L210" i="53"/>
  <c r="L209" i="53"/>
  <c r="L211" i="53"/>
  <c r="L91" i="19"/>
  <c r="M144" i="14" s="1"/>
  <c r="M144" i="12"/>
  <c r="AX20" i="51"/>
  <c r="AX23" i="51"/>
  <c r="AX19" i="51"/>
  <c r="AX22" i="51"/>
  <c r="J233" i="53"/>
  <c r="J234" i="53" s="1"/>
  <c r="M105" i="12"/>
  <c r="K261" i="20"/>
  <c r="K258" i="20"/>
  <c r="K262" i="20"/>
  <c r="K259" i="20"/>
  <c r="K257" i="20"/>
  <c r="K260" i="20"/>
  <c r="G301" i="20"/>
  <c r="G310" i="20" s="1"/>
  <c r="H156" i="12" s="1"/>
  <c r="L142" i="12"/>
  <c r="P43" i="51"/>
  <c r="P17" i="51"/>
  <c r="R34" i="12"/>
  <c r="K203" i="53"/>
  <c r="K201" i="53"/>
  <c r="K202" i="53"/>
  <c r="K200" i="53"/>
  <c r="K199" i="53"/>
  <c r="K198" i="53"/>
  <c r="AV25" i="51"/>
  <c r="M159" i="53"/>
  <c r="T12" i="12"/>
  <c r="S13" i="12"/>
  <c r="S62" i="12"/>
  <c r="O40" i="19"/>
  <c r="T46" i="19" s="1"/>
  <c r="P71" i="14"/>
  <c r="P66" i="14"/>
  <c r="P70" i="14"/>
  <c r="P134" i="14"/>
  <c r="L84" i="19"/>
  <c r="M131" i="14" s="1"/>
  <c r="M131" i="12"/>
  <c r="Q44" i="51"/>
  <c r="AX12" i="51"/>
  <c r="AX36" i="51"/>
  <c r="M99" i="14"/>
  <c r="M99" i="12"/>
  <c r="J244" i="19"/>
  <c r="J242" i="19"/>
  <c r="J240" i="19"/>
  <c r="J241" i="19"/>
  <c r="J243" i="19"/>
  <c r="J239" i="19"/>
  <c r="AR70" i="51"/>
  <c r="K272" i="20"/>
  <c r="K273" i="20"/>
  <c r="O95" i="12"/>
  <c r="M119" i="12"/>
  <c r="L72" i="19"/>
  <c r="M119" i="14" s="1"/>
  <c r="AW21" i="51"/>
  <c r="L130" i="14"/>
  <c r="R29" i="14"/>
  <c r="O47" i="14"/>
  <c r="M75" i="20"/>
  <c r="M77" i="20"/>
  <c r="M69" i="19" s="1"/>
  <c r="M73" i="20"/>
  <c r="M76" i="20"/>
  <c r="M74" i="20"/>
  <c r="M66" i="19" s="1"/>
  <c r="M64" i="19"/>
  <c r="N93" i="14" s="1"/>
  <c r="M101" i="20"/>
  <c r="M93" i="19" s="1"/>
  <c r="M99" i="20"/>
  <c r="M97" i="20"/>
  <c r="M100" i="20"/>
  <c r="M98" i="20"/>
  <c r="M90" i="19" s="1"/>
  <c r="M88" i="19"/>
  <c r="N136" i="12"/>
  <c r="M220" i="20"/>
  <c r="BD68" i="51"/>
  <c r="L141" i="12"/>
  <c r="L154" i="12"/>
  <c r="L97" i="12"/>
  <c r="S41" i="12"/>
  <c r="S42" i="12"/>
  <c r="T40" i="12"/>
  <c r="L153" i="12"/>
  <c r="L98" i="12"/>
  <c r="M85" i="12"/>
  <c r="M106" i="12"/>
  <c r="S157" i="53"/>
  <c r="T66" i="51" s="1"/>
  <c r="L142" i="14"/>
  <c r="J219" i="54"/>
  <c r="J231" i="54" s="1"/>
  <c r="J232" i="54" s="1"/>
  <c r="J220" i="54"/>
  <c r="L129" i="12"/>
  <c r="R38" i="12"/>
  <c r="F310" i="20"/>
  <c r="G156" i="12" s="1"/>
  <c r="I217" i="53"/>
  <c r="I221" i="53" s="1"/>
  <c r="I218" i="53"/>
  <c r="I293" i="20"/>
  <c r="I294" i="20" s="1"/>
  <c r="I296" i="20" s="1"/>
  <c r="M78" i="53"/>
  <c r="N61" i="51" s="1"/>
  <c r="M162" i="53"/>
  <c r="G241" i="54"/>
  <c r="G242" i="54" s="1"/>
  <c r="G258" i="54"/>
  <c r="K224" i="53"/>
  <c r="K222" i="53"/>
  <c r="K226" i="53"/>
  <c r="K227" i="53"/>
  <c r="K223" i="53"/>
  <c r="K225" i="53"/>
  <c r="R63" i="12"/>
  <c r="R64" i="12"/>
  <c r="AV44" i="51"/>
  <c r="L226" i="19"/>
  <c r="L229" i="19"/>
  <c r="L227" i="19"/>
  <c r="L228" i="19"/>
  <c r="K286" i="20"/>
  <c r="K285" i="20"/>
  <c r="K284" i="20"/>
  <c r="K282" i="20"/>
  <c r="K283" i="20"/>
  <c r="K281" i="20"/>
  <c r="AX28" i="51"/>
  <c r="AX27" i="51"/>
  <c r="AV15" i="51"/>
  <c r="O35" i="54"/>
  <c r="AV59" i="51"/>
  <c r="L68" i="19"/>
  <c r="M101" i="14" s="1"/>
  <c r="M101" i="12"/>
  <c r="K230" i="19"/>
  <c r="K231" i="19"/>
  <c r="H249" i="53"/>
  <c r="H251" i="53"/>
  <c r="I75" i="51" s="1"/>
  <c r="L206" i="53"/>
  <c r="L207" i="53" s="1"/>
  <c r="L229" i="53"/>
  <c r="L230" i="53" s="1"/>
  <c r="BE62" i="51"/>
  <c r="M9" i="55"/>
  <c r="S13" i="14"/>
  <c r="T12" i="14"/>
  <c r="S62" i="14"/>
  <c r="P92" i="14"/>
  <c r="O36" i="19"/>
  <c r="O42" i="19" s="1"/>
  <c r="P39" i="14"/>
  <c r="BD50" i="51"/>
  <c r="L108" i="12"/>
  <c r="L141" i="14"/>
  <c r="L154" i="14"/>
  <c r="L97" i="14"/>
  <c r="K148" i="12"/>
  <c r="P17" i="14"/>
  <c r="J152" i="14"/>
  <c r="M136" i="14"/>
  <c r="L179" i="19"/>
  <c r="L153" i="14"/>
  <c r="L98" i="14"/>
  <c r="AQ73" i="51"/>
  <c r="Q45" i="12"/>
  <c r="G160" i="14"/>
  <c r="AW38" i="51"/>
  <c r="AW37" i="51"/>
  <c r="L149" i="12"/>
  <c r="F160" i="12"/>
  <c r="L129" i="14"/>
  <c r="O68" i="12"/>
  <c r="AU43" i="51"/>
  <c r="AU17" i="51"/>
  <c r="S31" i="12"/>
  <c r="S30" i="12"/>
  <c r="S28" i="12"/>
  <c r="S27" i="12"/>
  <c r="T26" i="12"/>
  <c r="Q65" i="12"/>
  <c r="M76" i="53"/>
  <c r="N67" i="51"/>
  <c r="K211" i="54" l="1"/>
  <c r="L286" i="20"/>
  <c r="K209" i="54"/>
  <c r="K210" i="54"/>
  <c r="O51" i="51"/>
  <c r="AV65" i="51"/>
  <c r="I234" i="54"/>
  <c r="I235" i="54" s="1"/>
  <c r="O37" i="54"/>
  <c r="T43" i="54" s="1"/>
  <c r="T156" i="54" s="1"/>
  <c r="T157" i="54" s="1"/>
  <c r="M204" i="54"/>
  <c r="N204" i="53"/>
  <c r="N205" i="53" s="1"/>
  <c r="O127" i="12"/>
  <c r="S14" i="14"/>
  <c r="AT51" i="51"/>
  <c r="R16" i="14"/>
  <c r="M146" i="14"/>
  <c r="N127" i="14"/>
  <c r="S14" i="12"/>
  <c r="R82" i="14"/>
  <c r="Q16" i="12"/>
  <c r="R65" i="14"/>
  <c r="AS72" i="51"/>
  <c r="R49" i="12"/>
  <c r="L281" i="20"/>
  <c r="L283" i="20"/>
  <c r="L285" i="20"/>
  <c r="L284" i="20"/>
  <c r="N159" i="53"/>
  <c r="M159" i="54"/>
  <c r="S34" i="12"/>
  <c r="AX29" i="51"/>
  <c r="AT4" i="55"/>
  <c r="N131" i="14"/>
  <c r="J233" i="54"/>
  <c r="J236" i="54" s="1"/>
  <c r="J241" i="54" s="1"/>
  <c r="J242" i="54" s="1"/>
  <c r="K233" i="53"/>
  <c r="K236" i="53" s="1"/>
  <c r="K241" i="53" s="1"/>
  <c r="F161" i="14"/>
  <c r="F6" i="55"/>
  <c r="H158" i="12"/>
  <c r="H162" i="12"/>
  <c r="J258" i="19"/>
  <c r="J259" i="19" s="1"/>
  <c r="L150" i="14"/>
  <c r="S15" i="14"/>
  <c r="L222" i="53"/>
  <c r="L227" i="53"/>
  <c r="L224" i="53"/>
  <c r="L223" i="53"/>
  <c r="L225" i="53"/>
  <c r="L226" i="53"/>
  <c r="M154" i="12"/>
  <c r="M97" i="12"/>
  <c r="R65" i="12"/>
  <c r="L151" i="12"/>
  <c r="T41" i="12"/>
  <c r="T42" i="12"/>
  <c r="U40" i="12"/>
  <c r="M65" i="19"/>
  <c r="N96" i="14" s="1"/>
  <c r="N96" i="12"/>
  <c r="S15" i="12"/>
  <c r="AX21" i="51"/>
  <c r="M149" i="14"/>
  <c r="I155" i="14"/>
  <c r="H275" i="19"/>
  <c r="H270" i="19"/>
  <c r="L203" i="53"/>
  <c r="L198" i="53"/>
  <c r="L202" i="53"/>
  <c r="L200" i="53"/>
  <c r="L199" i="53"/>
  <c r="L201" i="53"/>
  <c r="O81" i="12"/>
  <c r="O19" i="12"/>
  <c r="R36" i="14"/>
  <c r="M117" i="12"/>
  <c r="AY28" i="51"/>
  <c r="AY27" i="51"/>
  <c r="M129" i="12"/>
  <c r="N265" i="20"/>
  <c r="N288" i="20"/>
  <c r="N289" i="20" s="1"/>
  <c r="E161" i="12"/>
  <c r="P68" i="12"/>
  <c r="N85" i="12"/>
  <c r="N106" i="12"/>
  <c r="M118" i="14"/>
  <c r="O37" i="12"/>
  <c r="AK7" i="55"/>
  <c r="K250" i="19"/>
  <c r="K253" i="19" s="1"/>
  <c r="K249" i="19"/>
  <c r="O69" i="14"/>
  <c r="R45" i="12"/>
  <c r="K213" i="19"/>
  <c r="K214" i="19" s="1"/>
  <c r="L180" i="19"/>
  <c r="AT54" i="51"/>
  <c r="J276" i="20"/>
  <c r="J280" i="20" s="1"/>
  <c r="J277" i="20"/>
  <c r="AW39" i="51"/>
  <c r="Q47" i="12"/>
  <c r="R82" i="12"/>
  <c r="P35" i="14"/>
  <c r="S83" i="14"/>
  <c r="M154" i="14"/>
  <c r="M97" i="14"/>
  <c r="L236" i="19"/>
  <c r="L248" i="19" s="1"/>
  <c r="L237" i="19"/>
  <c r="M206" i="53"/>
  <c r="M207" i="53" s="1"/>
  <c r="M229" i="53"/>
  <c r="M230" i="53" s="1"/>
  <c r="M92" i="19"/>
  <c r="N145" i="14" s="1"/>
  <c r="N145" i="12"/>
  <c r="M148" i="12"/>
  <c r="P68" i="14"/>
  <c r="J235" i="53"/>
  <c r="J236" i="53"/>
  <c r="F76" i="51"/>
  <c r="L212" i="54"/>
  <c r="L209" i="54"/>
  <c r="L210" i="54"/>
  <c r="L211" i="54"/>
  <c r="I241" i="53"/>
  <c r="I242" i="53" s="1"/>
  <c r="I258" i="53"/>
  <c r="P37" i="53"/>
  <c r="U43" i="53" s="1"/>
  <c r="U156" i="53" s="1"/>
  <c r="Q65" i="51"/>
  <c r="M117" i="14"/>
  <c r="M129" i="14"/>
  <c r="G159" i="14"/>
  <c r="N105" i="14"/>
  <c r="AM74" i="51"/>
  <c r="F253" i="54"/>
  <c r="AM10" i="55"/>
  <c r="J234" i="19"/>
  <c r="J238" i="19" s="1"/>
  <c r="J235" i="19"/>
  <c r="M271" i="20"/>
  <c r="M268" i="20"/>
  <c r="M269" i="20"/>
  <c r="M270" i="20"/>
  <c r="M85" i="19"/>
  <c r="N132" i="14" s="1"/>
  <c r="N132" i="12"/>
  <c r="S29" i="14"/>
  <c r="AW44" i="51"/>
  <c r="N75" i="20"/>
  <c r="N74" i="20"/>
  <c r="N66" i="19" s="1"/>
  <c r="N77" i="20"/>
  <c r="N69" i="19" s="1"/>
  <c r="N73" i="20"/>
  <c r="N76" i="20"/>
  <c r="N64" i="19"/>
  <c r="O93" i="14" s="1"/>
  <c r="H258" i="54"/>
  <c r="H241" i="54"/>
  <c r="N72" i="51"/>
  <c r="T167" i="19"/>
  <c r="T166" i="19" s="1"/>
  <c r="T211" i="20"/>
  <c r="R44" i="51"/>
  <c r="P47" i="14"/>
  <c r="L152" i="12"/>
  <c r="N111" i="12"/>
  <c r="N90" i="12"/>
  <c r="N21" i="12"/>
  <c r="P35" i="12"/>
  <c r="AK20" i="55"/>
  <c r="AK19" i="55"/>
  <c r="K239" i="19"/>
  <c r="K240" i="19"/>
  <c r="K243" i="19"/>
  <c r="K244" i="19"/>
  <c r="K242" i="19"/>
  <c r="K241" i="19"/>
  <c r="Z68" i="51"/>
  <c r="Z50" i="51"/>
  <c r="N272" i="19"/>
  <c r="N273" i="19"/>
  <c r="N221" i="19"/>
  <c r="N222" i="19"/>
  <c r="N225" i="19"/>
  <c r="AY20" i="51"/>
  <c r="AY19" i="51"/>
  <c r="AY22" i="51"/>
  <c r="AY23" i="51"/>
  <c r="Y104" i="54"/>
  <c r="Y105" i="54" s="1"/>
  <c r="Y108" i="54"/>
  <c r="Y109" i="54" s="1"/>
  <c r="Y110" i="54"/>
  <c r="Y111" i="54" s="1"/>
  <c r="Y106" i="54"/>
  <c r="Y107" i="54" s="1"/>
  <c r="T157" i="53"/>
  <c r="U66" i="51" s="1"/>
  <c r="M153" i="12"/>
  <c r="M98" i="12"/>
  <c r="O47" i="19"/>
  <c r="AT61" i="51"/>
  <c r="N71" i="51"/>
  <c r="N64" i="51"/>
  <c r="G158" i="12"/>
  <c r="G162" i="12"/>
  <c r="M89" i="19"/>
  <c r="N140" i="14" s="1"/>
  <c r="N140" i="12"/>
  <c r="M67" i="19"/>
  <c r="N100" i="14" s="1"/>
  <c r="N100" i="12"/>
  <c r="S63" i="12"/>
  <c r="S64" i="12"/>
  <c r="K213" i="54"/>
  <c r="K214" i="54"/>
  <c r="N9" i="55"/>
  <c r="Q35" i="53"/>
  <c r="R59" i="51"/>
  <c r="M130" i="12"/>
  <c r="AL16" i="55"/>
  <c r="AL11" i="55"/>
  <c r="AL15" i="55"/>
  <c r="AL14" i="55"/>
  <c r="AL12" i="55"/>
  <c r="AL13" i="55"/>
  <c r="H301" i="20"/>
  <c r="H308" i="20" s="1"/>
  <c r="O75" i="53"/>
  <c r="O44" i="53"/>
  <c r="O77" i="53"/>
  <c r="O69" i="53"/>
  <c r="O70" i="53" s="1"/>
  <c r="P49" i="51" s="1"/>
  <c r="O71" i="53"/>
  <c r="O72" i="53" s="1"/>
  <c r="P57" i="51" s="1"/>
  <c r="M229" i="19"/>
  <c r="M226" i="19"/>
  <c r="M227" i="19"/>
  <c r="M228" i="19"/>
  <c r="N89" i="14"/>
  <c r="N22" i="14"/>
  <c r="N110" i="14"/>
  <c r="M205" i="54"/>
  <c r="M208" i="54"/>
  <c r="M86" i="19"/>
  <c r="N133" i="14" s="1"/>
  <c r="N133" i="12"/>
  <c r="S38" i="14"/>
  <c r="O85" i="14"/>
  <c r="N98" i="20"/>
  <c r="N90" i="19" s="1"/>
  <c r="N101" i="20"/>
  <c r="N93" i="19" s="1"/>
  <c r="N100" i="20"/>
  <c r="N97" i="20"/>
  <c r="N99" i="20"/>
  <c r="N88" i="19"/>
  <c r="O136" i="12"/>
  <c r="N220" i="20"/>
  <c r="P67" i="12"/>
  <c r="I300" i="20"/>
  <c r="I301" i="20" s="1"/>
  <c r="N105" i="12"/>
  <c r="N116" i="12"/>
  <c r="M71" i="19"/>
  <c r="N116" i="14" s="1"/>
  <c r="H155" i="14"/>
  <c r="G270" i="19"/>
  <c r="G275" i="19"/>
  <c r="R33" i="12"/>
  <c r="I217" i="54"/>
  <c r="I221" i="54" s="1"/>
  <c r="I218" i="54"/>
  <c r="Q40" i="19"/>
  <c r="V46" i="19" s="1"/>
  <c r="R66" i="14"/>
  <c r="R71" i="14"/>
  <c r="R70" i="14"/>
  <c r="R134" i="14"/>
  <c r="BF53" i="51"/>
  <c r="I259" i="19"/>
  <c r="I268" i="19" s="1"/>
  <c r="J156" i="14" s="1"/>
  <c r="AU49" i="51"/>
  <c r="S21" i="51"/>
  <c r="J215" i="19"/>
  <c r="J220" i="19"/>
  <c r="J216" i="19"/>
  <c r="J217" i="19"/>
  <c r="J219" i="19"/>
  <c r="J218" i="19"/>
  <c r="M153" i="14"/>
  <c r="M98" i="14"/>
  <c r="N131" i="12"/>
  <c r="N143" i="12"/>
  <c r="S32" i="12"/>
  <c r="M91" i="19"/>
  <c r="N144" i="14" s="1"/>
  <c r="N144" i="12"/>
  <c r="S83" i="12"/>
  <c r="P52" i="51"/>
  <c r="O34" i="53"/>
  <c r="AA40" i="53" s="1"/>
  <c r="M142" i="12"/>
  <c r="L213" i="53"/>
  <c r="L214" i="53"/>
  <c r="R39" i="51"/>
  <c r="M130" i="14"/>
  <c r="R25" i="51"/>
  <c r="N71" i="54"/>
  <c r="N72" i="54" s="1"/>
  <c r="N75" i="54"/>
  <c r="N76" i="54" s="1"/>
  <c r="N69" i="54"/>
  <c r="N70" i="54" s="1"/>
  <c r="N44" i="54"/>
  <c r="N77" i="54"/>
  <c r="N85" i="14"/>
  <c r="N106" i="14"/>
  <c r="J234" i="54"/>
  <c r="J235" i="54" s="1"/>
  <c r="Q46" i="14"/>
  <c r="M83" i="19"/>
  <c r="N128" i="14" s="1"/>
  <c r="N128" i="12"/>
  <c r="T28" i="14"/>
  <c r="T30" i="14"/>
  <c r="T27" i="14"/>
  <c r="T31" i="14"/>
  <c r="U26" i="14"/>
  <c r="P47" i="12"/>
  <c r="N91" i="20"/>
  <c r="N95" i="20"/>
  <c r="N87" i="19" s="1"/>
  <c r="N94" i="20"/>
  <c r="N93" i="20"/>
  <c r="N92" i="20"/>
  <c r="N84" i="19" s="1"/>
  <c r="O131" i="14" s="1"/>
  <c r="N82" i="19"/>
  <c r="O124" i="14" s="1"/>
  <c r="AZ10" i="51"/>
  <c r="T12" i="51"/>
  <c r="U10" i="51"/>
  <c r="T36" i="51"/>
  <c r="N120" i="12"/>
  <c r="M73" i="19"/>
  <c r="N120" i="14" s="1"/>
  <c r="O52" i="19"/>
  <c r="O49" i="19" s="1"/>
  <c r="O177" i="19" s="1"/>
  <c r="O47" i="20"/>
  <c r="O72" i="20"/>
  <c r="O96" i="20"/>
  <c r="P93" i="12"/>
  <c r="O61" i="19"/>
  <c r="O50" i="19"/>
  <c r="O51" i="19"/>
  <c r="O59" i="19"/>
  <c r="O176" i="19" s="1"/>
  <c r="O221" i="20"/>
  <c r="O84" i="20"/>
  <c r="O53" i="19"/>
  <c r="O55" i="19"/>
  <c r="O54" i="19"/>
  <c r="P124" i="12"/>
  <c r="O78" i="20"/>
  <c r="O90" i="20"/>
  <c r="O60" i="19"/>
  <c r="O57" i="19"/>
  <c r="O62" i="19"/>
  <c r="O58" i="19"/>
  <c r="H162" i="14"/>
  <c r="H158" i="14"/>
  <c r="O37" i="14"/>
  <c r="I237" i="54"/>
  <c r="I258" i="54" s="1"/>
  <c r="K222" i="54"/>
  <c r="K223" i="54"/>
  <c r="K226" i="54"/>
  <c r="K224" i="54"/>
  <c r="K225" i="54"/>
  <c r="K227" i="54"/>
  <c r="L272" i="20"/>
  <c r="L273" i="20"/>
  <c r="K290" i="20"/>
  <c r="K291" i="20" s="1"/>
  <c r="K292" i="20"/>
  <c r="K293" i="20" s="1"/>
  <c r="BF62" i="51"/>
  <c r="O58" i="51"/>
  <c r="AU57" i="51"/>
  <c r="AW15" i="51"/>
  <c r="M86" i="12"/>
  <c r="M107" i="12"/>
  <c r="M23" i="12"/>
  <c r="R46" i="12"/>
  <c r="K152" i="12"/>
  <c r="H74" i="51"/>
  <c r="G253" i="53"/>
  <c r="P33" i="53"/>
  <c r="P39" i="53" s="1"/>
  <c r="Q48" i="51"/>
  <c r="T27" i="12"/>
  <c r="T28" i="12"/>
  <c r="T30" i="12"/>
  <c r="T31" i="12"/>
  <c r="U26" i="12"/>
  <c r="AS9" i="55"/>
  <c r="I74" i="51"/>
  <c r="H253" i="53"/>
  <c r="R36" i="12"/>
  <c r="AX37" i="51"/>
  <c r="AX38" i="51"/>
  <c r="O33" i="54"/>
  <c r="O39" i="54" s="1"/>
  <c r="AV48" i="51"/>
  <c r="P46" i="51"/>
  <c r="M142" i="14"/>
  <c r="AL76" i="51"/>
  <c r="AR73" i="51"/>
  <c r="N143" i="14"/>
  <c r="R15" i="51"/>
  <c r="J216" i="54"/>
  <c r="J215" i="54"/>
  <c r="M255" i="20"/>
  <c r="M256" i="20" s="1"/>
  <c r="N222" i="20"/>
  <c r="N83" i="20"/>
  <c r="N75" i="19" s="1"/>
  <c r="O114" i="12"/>
  <c r="N79" i="20"/>
  <c r="N81" i="20"/>
  <c r="N80" i="20"/>
  <c r="N70" i="19"/>
  <c r="O114" i="14" s="1"/>
  <c r="N82" i="20"/>
  <c r="O4" i="55"/>
  <c r="N314" i="20"/>
  <c r="N315" i="20"/>
  <c r="N264" i="20"/>
  <c r="N263" i="20"/>
  <c r="N267" i="20"/>
  <c r="S14" i="51"/>
  <c r="S13" i="51"/>
  <c r="S214" i="20"/>
  <c r="S172" i="19" s="1"/>
  <c r="S213" i="20"/>
  <c r="S171" i="19" s="1"/>
  <c r="S215" i="20"/>
  <c r="S173" i="19" s="1"/>
  <c r="S212" i="20"/>
  <c r="S170" i="19" s="1"/>
  <c r="S216" i="20"/>
  <c r="S174" i="19" s="1"/>
  <c r="S169" i="19"/>
  <c r="T135" i="12"/>
  <c r="K234" i="53"/>
  <c r="K235" i="53" s="1"/>
  <c r="Q92" i="12"/>
  <c r="P36" i="20"/>
  <c r="P42" i="20" s="1"/>
  <c r="Q39" i="12"/>
  <c r="N121" i="12"/>
  <c r="M74" i="19"/>
  <c r="N121" i="14" s="1"/>
  <c r="X150" i="20"/>
  <c r="X126" i="19" s="1"/>
  <c r="X146" i="20"/>
  <c r="X122" i="19" s="1"/>
  <c r="X147" i="20"/>
  <c r="X123" i="19" s="1"/>
  <c r="X149" i="20"/>
  <c r="X125" i="19" s="1"/>
  <c r="X148" i="20"/>
  <c r="X124" i="19" s="1"/>
  <c r="Y138" i="12"/>
  <c r="X121" i="19"/>
  <c r="Y138" i="14" s="1"/>
  <c r="X135" i="20"/>
  <c r="X111" i="19" s="1"/>
  <c r="X136" i="20"/>
  <c r="X112" i="19" s="1"/>
  <c r="X137" i="20"/>
  <c r="X113" i="19" s="1"/>
  <c r="X138" i="20"/>
  <c r="X114" i="19" s="1"/>
  <c r="X134" i="20"/>
  <c r="X110" i="19" s="1"/>
  <c r="X109" i="19"/>
  <c r="Y126" i="14" s="1"/>
  <c r="M88" i="14"/>
  <c r="M109" i="14"/>
  <c r="P40" i="19"/>
  <c r="U46" i="19" s="1"/>
  <c r="Q134" i="14"/>
  <c r="Q66" i="14"/>
  <c r="Q70" i="14"/>
  <c r="Q71" i="14"/>
  <c r="L278" i="20"/>
  <c r="L279" i="20"/>
  <c r="M73" i="51"/>
  <c r="BV6" i="55"/>
  <c r="F7" i="55"/>
  <c r="F317" i="20"/>
  <c r="Q70" i="12"/>
  <c r="Q66" i="12"/>
  <c r="Q71" i="12"/>
  <c r="Q134" i="12"/>
  <c r="P40" i="20"/>
  <c r="U46" i="20" s="1"/>
  <c r="N34" i="54"/>
  <c r="Z40" i="54" s="1"/>
  <c r="AU52" i="51"/>
  <c r="P81" i="14"/>
  <c r="P19" i="14"/>
  <c r="K232" i="19"/>
  <c r="K233" i="19"/>
  <c r="N147" i="14"/>
  <c r="N95" i="14"/>
  <c r="K274" i="20"/>
  <c r="K275" i="20"/>
  <c r="AX14" i="51"/>
  <c r="AX13" i="51"/>
  <c r="P67" i="14"/>
  <c r="T13" i="12"/>
  <c r="T62" i="12"/>
  <c r="U12" i="12"/>
  <c r="K219" i="54"/>
  <c r="K231" i="54" s="1"/>
  <c r="K232" i="54" s="1"/>
  <c r="K220" i="54"/>
  <c r="AX24" i="51"/>
  <c r="M87" i="12"/>
  <c r="M108" i="12"/>
  <c r="T27" i="51"/>
  <c r="T28" i="51"/>
  <c r="AZ26" i="51"/>
  <c r="U26" i="51"/>
  <c r="S43" i="14"/>
  <c r="L257" i="20"/>
  <c r="L259" i="20"/>
  <c r="L261" i="20"/>
  <c r="L262" i="20"/>
  <c r="L258" i="20"/>
  <c r="L260" i="20"/>
  <c r="Q45" i="14"/>
  <c r="Q17" i="14"/>
  <c r="S34" i="14"/>
  <c r="O147" i="12"/>
  <c r="S38" i="51"/>
  <c r="S37" i="51"/>
  <c r="L148" i="14"/>
  <c r="R45" i="14"/>
  <c r="K216" i="53"/>
  <c r="K215" i="53"/>
  <c r="Y96" i="19"/>
  <c r="Y95" i="19" s="1"/>
  <c r="Y97" i="19"/>
  <c r="Y101" i="19"/>
  <c r="Y98" i="19"/>
  <c r="Y100" i="19"/>
  <c r="Z126" i="12"/>
  <c r="Y99" i="19"/>
  <c r="Y133" i="20"/>
  <c r="Y145" i="20"/>
  <c r="Z94" i="12"/>
  <c r="Y139" i="20"/>
  <c r="Y127" i="20"/>
  <c r="N115" i="14"/>
  <c r="X142" i="20"/>
  <c r="X118" i="19" s="1"/>
  <c r="X143" i="20"/>
  <c r="X119" i="19" s="1"/>
  <c r="X140" i="20"/>
  <c r="X116" i="19" s="1"/>
  <c r="X141" i="20"/>
  <c r="X117" i="19" s="1"/>
  <c r="X144" i="20"/>
  <c r="X120" i="19" s="1"/>
  <c r="X115" i="19"/>
  <c r="Y94" i="14" s="1"/>
  <c r="J218" i="53"/>
  <c r="J217" i="53"/>
  <c r="J221" i="53" s="1"/>
  <c r="L206" i="54"/>
  <c r="L207" i="54" s="1"/>
  <c r="L229" i="54"/>
  <c r="L230" i="54" s="1"/>
  <c r="N99" i="12"/>
  <c r="BW13" i="55"/>
  <c r="BW16" i="55"/>
  <c r="BW14" i="55"/>
  <c r="BW15" i="55"/>
  <c r="BW12" i="55"/>
  <c r="BW11" i="55"/>
  <c r="BW19" i="55" s="1"/>
  <c r="N78" i="53"/>
  <c r="O61" i="51" s="1"/>
  <c r="N162" i="53"/>
  <c r="S24" i="51"/>
  <c r="AS71" i="51"/>
  <c r="AS64" i="51"/>
  <c r="F312" i="20"/>
  <c r="L151" i="14"/>
  <c r="S38" i="12"/>
  <c r="AU46" i="51"/>
  <c r="L223" i="19"/>
  <c r="L224" i="19" s="1"/>
  <c r="L246" i="19"/>
  <c r="L247" i="19" s="1"/>
  <c r="S63" i="14"/>
  <c r="S64" i="14"/>
  <c r="K251" i="19"/>
  <c r="AV43" i="51"/>
  <c r="AV17" i="51"/>
  <c r="G259" i="54"/>
  <c r="AN78" i="51" s="1"/>
  <c r="AN77" i="51"/>
  <c r="N139" i="12"/>
  <c r="AW25" i="51"/>
  <c r="L219" i="53"/>
  <c r="L231" i="53" s="1"/>
  <c r="L232" i="53" s="1"/>
  <c r="L220" i="53"/>
  <c r="N99" i="14"/>
  <c r="Q17" i="12"/>
  <c r="Q43" i="51"/>
  <c r="Q17" i="51"/>
  <c r="O69" i="12"/>
  <c r="G308" i="20"/>
  <c r="F159" i="12"/>
  <c r="M141" i="12"/>
  <c r="BE68" i="51"/>
  <c r="S29" i="51"/>
  <c r="J295" i="20"/>
  <c r="T41" i="14"/>
  <c r="U40" i="14"/>
  <c r="T42" i="14"/>
  <c r="AS70" i="51"/>
  <c r="Z110" i="53"/>
  <c r="Z111" i="53" s="1"/>
  <c r="Z106" i="53"/>
  <c r="Z107" i="53" s="1"/>
  <c r="AA62" i="51" s="1"/>
  <c r="Z104" i="53"/>
  <c r="Z105" i="53" s="1"/>
  <c r="AA53" i="51" s="1"/>
  <c r="Z108" i="53"/>
  <c r="Z109" i="53" s="1"/>
  <c r="M78" i="54"/>
  <c r="M162" i="54"/>
  <c r="M266" i="20"/>
  <c r="O90" i="14"/>
  <c r="O21" i="14"/>
  <c r="N86" i="20"/>
  <c r="N78" i="19" s="1"/>
  <c r="N89" i="20"/>
  <c r="N81" i="19" s="1"/>
  <c r="N88" i="20"/>
  <c r="N80" i="19" s="1"/>
  <c r="O111" i="14" s="1"/>
  <c r="N85" i="20"/>
  <c r="N77" i="19" s="1"/>
  <c r="O106" i="14" s="1"/>
  <c r="O104" i="12"/>
  <c r="N87" i="20"/>
  <c r="N79" i="19" s="1"/>
  <c r="N76" i="19"/>
  <c r="O104" i="14" s="1"/>
  <c r="S135" i="14"/>
  <c r="AY36" i="51"/>
  <c r="AY12" i="51"/>
  <c r="R46" i="14"/>
  <c r="N110" i="12"/>
  <c r="N89" i="12"/>
  <c r="N22" i="12"/>
  <c r="M72" i="19"/>
  <c r="N119" i="14" s="1"/>
  <c r="N119" i="12"/>
  <c r="AK6" i="55"/>
  <c r="X129" i="20"/>
  <c r="X105" i="19" s="1"/>
  <c r="X130" i="20"/>
  <c r="X106" i="19" s="1"/>
  <c r="X131" i="20"/>
  <c r="X107" i="19" s="1"/>
  <c r="X128" i="20"/>
  <c r="X104" i="19" s="1"/>
  <c r="X132" i="20"/>
  <c r="X108" i="19" s="1"/>
  <c r="Y103" i="12"/>
  <c r="X103" i="19"/>
  <c r="Y103" i="14" s="1"/>
  <c r="G74" i="51"/>
  <c r="F253" i="53"/>
  <c r="J237" i="53"/>
  <c r="K196" i="54"/>
  <c r="K197" i="54" s="1"/>
  <c r="L163" i="54"/>
  <c r="BX9" i="55"/>
  <c r="P17" i="12"/>
  <c r="BV7" i="55"/>
  <c r="R17" i="14"/>
  <c r="G10" i="55"/>
  <c r="AT67" i="51"/>
  <c r="N70" i="51"/>
  <c r="S29" i="12"/>
  <c r="M139" i="14"/>
  <c r="T13" i="14"/>
  <c r="T62" i="14"/>
  <c r="U12" i="14"/>
  <c r="L230" i="19"/>
  <c r="L231" i="19"/>
  <c r="G251" i="54"/>
  <c r="AN75" i="51" s="1"/>
  <c r="G249" i="54"/>
  <c r="AZ66" i="51"/>
  <c r="S43" i="12"/>
  <c r="L150" i="12"/>
  <c r="N136" i="14"/>
  <c r="M179" i="19"/>
  <c r="M68" i="19"/>
  <c r="N101" i="14" s="1"/>
  <c r="N101" i="12"/>
  <c r="R33" i="14"/>
  <c r="M149" i="12"/>
  <c r="I162" i="14"/>
  <c r="I158" i="14"/>
  <c r="M211" i="53"/>
  <c r="M210" i="53"/>
  <c r="M209" i="53"/>
  <c r="M212" i="53"/>
  <c r="M196" i="53"/>
  <c r="M197" i="53" s="1"/>
  <c r="N163" i="53"/>
  <c r="M141" i="14"/>
  <c r="P36" i="19"/>
  <c r="P42" i="19" s="1"/>
  <c r="Q39" i="14"/>
  <c r="Q92" i="14"/>
  <c r="J251" i="19"/>
  <c r="J252" i="19" s="1"/>
  <c r="J254" i="19" s="1"/>
  <c r="BE50" i="51"/>
  <c r="AT58" i="51"/>
  <c r="N111" i="14"/>
  <c r="N90" i="14"/>
  <c r="N21" i="14"/>
  <c r="O54" i="51"/>
  <c r="S32" i="14"/>
  <c r="O89" i="14"/>
  <c r="O22" i="14"/>
  <c r="O110" i="14"/>
  <c r="N115" i="12"/>
  <c r="N146" i="12"/>
  <c r="M118" i="12"/>
  <c r="E161" i="14"/>
  <c r="J293" i="20"/>
  <c r="J294" i="20" s="1"/>
  <c r="J296" i="20" s="1"/>
  <c r="J201" i="54"/>
  <c r="J199" i="54"/>
  <c r="J198" i="54"/>
  <c r="J202" i="54"/>
  <c r="J200" i="54"/>
  <c r="J203" i="54"/>
  <c r="N76" i="53"/>
  <c r="O67" i="51"/>
  <c r="T23" i="51"/>
  <c r="T20" i="51"/>
  <c r="T22" i="51"/>
  <c r="T19" i="51"/>
  <c r="AZ18" i="51"/>
  <c r="U18" i="51"/>
  <c r="R16" i="12"/>
  <c r="I242" i="54"/>
  <c r="I249" i="54" s="1"/>
  <c r="F20" i="55"/>
  <c r="F19" i="55"/>
  <c r="G163" i="12"/>
  <c r="G157" i="12"/>
  <c r="O131" i="12" l="1"/>
  <c r="N208" i="53"/>
  <c r="L233" i="53"/>
  <c r="L236" i="53" s="1"/>
  <c r="L241" i="53" s="1"/>
  <c r="L242" i="53" s="1"/>
  <c r="N204" i="54"/>
  <c r="O204" i="53"/>
  <c r="S82" i="14"/>
  <c r="T14" i="14"/>
  <c r="Q35" i="54"/>
  <c r="O218" i="20"/>
  <c r="T14" i="12"/>
  <c r="O127" i="14"/>
  <c r="N146" i="14"/>
  <c r="P127" i="12"/>
  <c r="AX59" i="51"/>
  <c r="T34" i="12"/>
  <c r="T43" i="14"/>
  <c r="N266" i="20"/>
  <c r="AY29" i="51"/>
  <c r="T38" i="14"/>
  <c r="S65" i="14"/>
  <c r="N159" i="54"/>
  <c r="O159" i="53"/>
  <c r="AL6" i="55"/>
  <c r="K237" i="53"/>
  <c r="K258" i="53" s="1"/>
  <c r="K259" i="53" s="1"/>
  <c r="L78" i="51" s="1"/>
  <c r="BW6" i="55"/>
  <c r="AL7" i="55"/>
  <c r="T15" i="12"/>
  <c r="T15" i="14"/>
  <c r="J158" i="14"/>
  <c r="J162" i="14"/>
  <c r="AP74" i="51"/>
  <c r="I155" i="12"/>
  <c r="G159" i="12"/>
  <c r="N86" i="14"/>
  <c r="N107" i="14"/>
  <c r="N23" i="14"/>
  <c r="N154" i="12"/>
  <c r="N97" i="12"/>
  <c r="U42" i="14"/>
  <c r="U41" i="14"/>
  <c r="V40" i="14"/>
  <c r="H155" i="12"/>
  <c r="H10" i="55"/>
  <c r="G312" i="20"/>
  <c r="G317" i="20"/>
  <c r="L243" i="19"/>
  <c r="L242" i="19"/>
  <c r="L240" i="19"/>
  <c r="L239" i="19"/>
  <c r="L244" i="19"/>
  <c r="L241" i="19"/>
  <c r="Y147" i="20"/>
  <c r="Y123" i="19" s="1"/>
  <c r="Y150" i="20"/>
  <c r="Y126" i="19" s="1"/>
  <c r="Y148" i="20"/>
  <c r="Y124" i="19" s="1"/>
  <c r="Y149" i="20"/>
  <c r="Y125" i="19" s="1"/>
  <c r="Y146" i="20"/>
  <c r="Y122" i="19" s="1"/>
  <c r="Z138" i="12"/>
  <c r="Y121" i="19"/>
  <c r="Z138" i="14" s="1"/>
  <c r="S39" i="51"/>
  <c r="K276" i="20"/>
  <c r="K280" i="20" s="1"/>
  <c r="K277" i="20"/>
  <c r="K235" i="19"/>
  <c r="K234" i="19"/>
  <c r="K238" i="19" s="1"/>
  <c r="Z104" i="54"/>
  <c r="Z105" i="54" s="1"/>
  <c r="Z110" i="54"/>
  <c r="Z111" i="54" s="1"/>
  <c r="Z106" i="54"/>
  <c r="Z107" i="54" s="1"/>
  <c r="Z108" i="54"/>
  <c r="Z109" i="54" s="1"/>
  <c r="O115" i="14"/>
  <c r="J237" i="54"/>
  <c r="J258" i="54" s="1"/>
  <c r="I259" i="54"/>
  <c r="AP78" i="51" s="1"/>
  <c r="AP77" i="51"/>
  <c r="P147" i="12"/>
  <c r="AT72" i="51"/>
  <c r="L234" i="53"/>
  <c r="L235" i="53" s="1"/>
  <c r="R92" i="12"/>
  <c r="Q36" i="20"/>
  <c r="Q42" i="20" s="1"/>
  <c r="R39" i="12"/>
  <c r="AV49" i="51"/>
  <c r="M151" i="12"/>
  <c r="P37" i="12"/>
  <c r="N130" i="14"/>
  <c r="M213" i="53"/>
  <c r="M214" i="53"/>
  <c r="N154" i="14"/>
  <c r="N97" i="14"/>
  <c r="AN74" i="51"/>
  <c r="G253" i="54"/>
  <c r="U13" i="14"/>
  <c r="U62" i="14"/>
  <c r="V12" i="14"/>
  <c r="R17" i="12"/>
  <c r="M286" i="20"/>
  <c r="M285" i="20"/>
  <c r="M281" i="20"/>
  <c r="M282" i="20"/>
  <c r="M283" i="20"/>
  <c r="M284" i="20"/>
  <c r="AA50" i="51"/>
  <c r="AA68" i="51"/>
  <c r="O143" i="12"/>
  <c r="R40" i="19"/>
  <c r="W46" i="19" s="1"/>
  <c r="S66" i="14"/>
  <c r="S70" i="14"/>
  <c r="S71" i="14"/>
  <c r="S134" i="14"/>
  <c r="N206" i="53"/>
  <c r="N207" i="53" s="1"/>
  <c r="N229" i="53"/>
  <c r="N230" i="53" s="1"/>
  <c r="BW7" i="55"/>
  <c r="Y134" i="20"/>
  <c r="Y110" i="19" s="1"/>
  <c r="Y138" i="20"/>
  <c r="Y114" i="19" s="1"/>
  <c r="Y135" i="20"/>
  <c r="Y111" i="19" s="1"/>
  <c r="Y137" i="20"/>
  <c r="Y113" i="19" s="1"/>
  <c r="Y136" i="20"/>
  <c r="Y112" i="19" s="1"/>
  <c r="Y109" i="19"/>
  <c r="Z126" i="14" s="1"/>
  <c r="K218" i="53"/>
  <c r="K217" i="53"/>
  <c r="K221" i="53" s="1"/>
  <c r="U27" i="51"/>
  <c r="BA26" i="51"/>
  <c r="U28" i="51"/>
  <c r="V26" i="51"/>
  <c r="P69" i="14"/>
  <c r="Q67" i="12"/>
  <c r="T135" i="14"/>
  <c r="N271" i="20"/>
  <c r="N269" i="20"/>
  <c r="N268" i="20"/>
  <c r="N270" i="20"/>
  <c r="O119" i="12"/>
  <c r="N72" i="19"/>
  <c r="O119" i="14" s="1"/>
  <c r="R43" i="51"/>
  <c r="R17" i="51"/>
  <c r="T29" i="12"/>
  <c r="H76" i="51"/>
  <c r="O99" i="14"/>
  <c r="O98" i="20"/>
  <c r="O90" i="19" s="1"/>
  <c r="O97" i="20"/>
  <c r="O100" i="20"/>
  <c r="O99" i="20"/>
  <c r="O101" i="20"/>
  <c r="O93" i="19" s="1"/>
  <c r="O88" i="19"/>
  <c r="P136" i="12"/>
  <c r="O220" i="20"/>
  <c r="T29" i="14"/>
  <c r="O72" i="51"/>
  <c r="O139" i="12"/>
  <c r="G160" i="12"/>
  <c r="H242" i="54"/>
  <c r="H249" i="54" s="1"/>
  <c r="M272" i="20"/>
  <c r="M273" i="20"/>
  <c r="J77" i="51"/>
  <c r="I259" i="53"/>
  <c r="J78" i="51" s="1"/>
  <c r="N141" i="12"/>
  <c r="R47" i="12"/>
  <c r="O143" i="14"/>
  <c r="O99" i="12"/>
  <c r="I164" i="14"/>
  <c r="H276" i="19"/>
  <c r="I165" i="14" s="1"/>
  <c r="O108" i="14"/>
  <c r="O87" i="14"/>
  <c r="U23" i="51"/>
  <c r="U20" i="51"/>
  <c r="U22" i="51"/>
  <c r="U19" i="51"/>
  <c r="BA18" i="51"/>
  <c r="V18" i="51"/>
  <c r="AU67" i="51"/>
  <c r="O70" i="51"/>
  <c r="M223" i="19"/>
  <c r="M224" i="19" s="1"/>
  <c r="M246" i="19"/>
  <c r="M247" i="19" s="1"/>
  <c r="T63" i="14"/>
  <c r="T64" i="14"/>
  <c r="AT70" i="51"/>
  <c r="N212" i="53"/>
  <c r="N210" i="53"/>
  <c r="N209" i="53"/>
  <c r="N211" i="53"/>
  <c r="G76" i="51"/>
  <c r="N87" i="12"/>
  <c r="N108" i="12"/>
  <c r="BG53" i="51"/>
  <c r="AU61" i="51"/>
  <c r="O71" i="51"/>
  <c r="O64" i="51"/>
  <c r="AZ27" i="51"/>
  <c r="AZ28" i="51"/>
  <c r="O37" i="19"/>
  <c r="AA43" i="19" s="1"/>
  <c r="P24" i="14"/>
  <c r="P102" i="14"/>
  <c r="P25" i="14"/>
  <c r="P20" i="14"/>
  <c r="N285" i="20"/>
  <c r="N282" i="20"/>
  <c r="N284" i="20"/>
  <c r="N281" i="20"/>
  <c r="N286" i="20"/>
  <c r="N283" i="20"/>
  <c r="O120" i="12"/>
  <c r="N73" i="19"/>
  <c r="O120" i="14" s="1"/>
  <c r="T38" i="12"/>
  <c r="O88" i="20"/>
  <c r="O80" i="19" s="1"/>
  <c r="O85" i="20"/>
  <c r="O77" i="19" s="1"/>
  <c r="O86" i="20"/>
  <c r="O78" i="19" s="1"/>
  <c r="O89" i="20"/>
  <c r="O81" i="19" s="1"/>
  <c r="O87" i="20"/>
  <c r="O79" i="19" s="1"/>
  <c r="P104" i="12"/>
  <c r="O76" i="19"/>
  <c r="P104" i="14" s="1"/>
  <c r="O74" i="20"/>
  <c r="O66" i="19" s="1"/>
  <c r="O73" i="20"/>
  <c r="O76" i="20"/>
  <c r="O75" i="20"/>
  <c r="O77" i="20"/>
  <c r="O69" i="19" s="1"/>
  <c r="O64" i="19"/>
  <c r="P93" i="14" s="1"/>
  <c r="N85" i="19"/>
  <c r="O132" i="14" s="1"/>
  <c r="O132" i="12"/>
  <c r="T32" i="14"/>
  <c r="N78" i="54"/>
  <c r="N162" i="54"/>
  <c r="H164" i="14"/>
  <c r="G276" i="19"/>
  <c r="H165" i="14" s="1"/>
  <c r="P69" i="12"/>
  <c r="O136" i="14"/>
  <c r="N179" i="19"/>
  <c r="M236" i="19"/>
  <c r="M248" i="19" s="1"/>
  <c r="M237" i="19"/>
  <c r="O78" i="53"/>
  <c r="P61" i="51" s="1"/>
  <c r="O162" i="53"/>
  <c r="M152" i="14"/>
  <c r="N153" i="12"/>
  <c r="N98" i="12"/>
  <c r="T215" i="20"/>
  <c r="T173" i="19" s="1"/>
  <c r="T213" i="20"/>
  <c r="T171" i="19" s="1"/>
  <c r="T216" i="20"/>
  <c r="T174" i="19" s="1"/>
  <c r="T212" i="20"/>
  <c r="T170" i="19" s="1"/>
  <c r="T214" i="20"/>
  <c r="T172" i="19" s="1"/>
  <c r="T169" i="19"/>
  <c r="U135" i="12"/>
  <c r="AO77" i="51"/>
  <c r="H259" i="54"/>
  <c r="AO78" i="51" s="1"/>
  <c r="N67" i="19"/>
  <c r="O100" i="14" s="1"/>
  <c r="O100" i="12"/>
  <c r="N141" i="14"/>
  <c r="N149" i="12"/>
  <c r="N139" i="14"/>
  <c r="L232" i="19"/>
  <c r="L233" i="19"/>
  <c r="BG62" i="51"/>
  <c r="R47" i="14"/>
  <c r="Q81" i="14"/>
  <c r="Q19" i="14"/>
  <c r="T29" i="51"/>
  <c r="U13" i="12"/>
  <c r="U62" i="12"/>
  <c r="V12" i="12"/>
  <c r="P84" i="14"/>
  <c r="L290" i="20"/>
  <c r="L291" i="20" s="1"/>
  <c r="L292" i="20"/>
  <c r="N117" i="14"/>
  <c r="O116" i="12"/>
  <c r="N71" i="19"/>
  <c r="O116" i="14" s="1"/>
  <c r="U28" i="12"/>
  <c r="U30" i="12"/>
  <c r="U31" i="12"/>
  <c r="U27" i="12"/>
  <c r="V26" i="12"/>
  <c r="AW43" i="51"/>
  <c r="AW17" i="51"/>
  <c r="O94" i="20"/>
  <c r="O93" i="20"/>
  <c r="O95" i="20"/>
  <c r="O87" i="19" s="1"/>
  <c r="P131" i="14" s="1"/>
  <c r="O91" i="20"/>
  <c r="O92" i="20"/>
  <c r="O84" i="19" s="1"/>
  <c r="O82" i="19"/>
  <c r="P124" i="14" s="1"/>
  <c r="O265" i="20"/>
  <c r="O288" i="20"/>
  <c r="O289" i="20" s="1"/>
  <c r="O263" i="20"/>
  <c r="O315" i="20"/>
  <c r="O264" i="20"/>
  <c r="O314" i="20"/>
  <c r="P4" i="55"/>
  <c r="O267" i="20"/>
  <c r="T37" i="51"/>
  <c r="T38" i="51"/>
  <c r="N86" i="19"/>
  <c r="O133" i="14" s="1"/>
  <c r="O133" i="12"/>
  <c r="N205" i="54"/>
  <c r="N208" i="54"/>
  <c r="AA110" i="53"/>
  <c r="AA111" i="53" s="1"/>
  <c r="AA104" i="53"/>
  <c r="AA105" i="53" s="1"/>
  <c r="AB53" i="51" s="1"/>
  <c r="AA106" i="53"/>
  <c r="AA107" i="53" s="1"/>
  <c r="AB62" i="51" s="1"/>
  <c r="AA108" i="53"/>
  <c r="AA109" i="53" s="1"/>
  <c r="N142" i="12"/>
  <c r="K233" i="54"/>
  <c r="K234" i="54" s="1"/>
  <c r="N91" i="19"/>
  <c r="O144" i="14" s="1"/>
  <c r="O144" i="12"/>
  <c r="S36" i="14"/>
  <c r="N87" i="14"/>
  <c r="N108" i="14"/>
  <c r="O205" i="53"/>
  <c r="O208" i="53"/>
  <c r="S65" i="12"/>
  <c r="N153" i="14"/>
  <c r="N98" i="14"/>
  <c r="I249" i="53"/>
  <c r="I251" i="53"/>
  <c r="J75" i="51" s="1"/>
  <c r="M227" i="53"/>
  <c r="M225" i="53"/>
  <c r="M226" i="53"/>
  <c r="M223" i="53"/>
  <c r="M222" i="53"/>
  <c r="M224" i="53"/>
  <c r="O102" i="12"/>
  <c r="O24" i="12"/>
  <c r="O20" i="12"/>
  <c r="O25" i="12"/>
  <c r="N37" i="20"/>
  <c r="Z43" i="20" s="1"/>
  <c r="I157" i="14"/>
  <c r="I163" i="14"/>
  <c r="S16" i="12"/>
  <c r="N149" i="14"/>
  <c r="S16" i="14"/>
  <c r="AZ23" i="51"/>
  <c r="AZ20" i="51"/>
  <c r="AZ19" i="51"/>
  <c r="AZ22" i="51"/>
  <c r="Q35" i="14"/>
  <c r="N196" i="53"/>
  <c r="N197" i="53" s="1"/>
  <c r="O163" i="53"/>
  <c r="I160" i="14"/>
  <c r="G11" i="55"/>
  <c r="G13" i="55"/>
  <c r="G12" i="55"/>
  <c r="G16" i="55"/>
  <c r="G14" i="55"/>
  <c r="G15" i="55"/>
  <c r="J300" i="20"/>
  <c r="J301" i="20" s="1"/>
  <c r="P34" i="53"/>
  <c r="AB40" i="53" s="1"/>
  <c r="Q52" i="51"/>
  <c r="P33" i="54"/>
  <c r="P39" i="54" s="1"/>
  <c r="AW48" i="51"/>
  <c r="AV52" i="51"/>
  <c r="O34" i="54"/>
  <c r="AA40" i="54" s="1"/>
  <c r="F161" i="12"/>
  <c r="T64" i="12"/>
  <c r="T63" i="12"/>
  <c r="AX15" i="51"/>
  <c r="Q67" i="14"/>
  <c r="N117" i="12"/>
  <c r="O115" i="12"/>
  <c r="O146" i="12"/>
  <c r="O222" i="20"/>
  <c r="N255" i="20"/>
  <c r="N256" i="20" s="1"/>
  <c r="I76" i="51"/>
  <c r="O83" i="20"/>
  <c r="O75" i="19" s="1"/>
  <c r="O79" i="20"/>
  <c r="P114" i="12"/>
  <c r="O82" i="20"/>
  <c r="O80" i="20"/>
  <c r="O81" i="20"/>
  <c r="O70" i="19"/>
  <c r="P114" i="14" s="1"/>
  <c r="BA10" i="51"/>
  <c r="U12" i="51"/>
  <c r="U36" i="51"/>
  <c r="V10" i="51"/>
  <c r="P54" i="51"/>
  <c r="N142" i="14"/>
  <c r="S25" i="51"/>
  <c r="AN10" i="55"/>
  <c r="N89" i="19"/>
  <c r="O140" i="14" s="1"/>
  <c r="O140" i="12"/>
  <c r="N129" i="12"/>
  <c r="M209" i="54"/>
  <c r="M211" i="54"/>
  <c r="M210" i="54"/>
  <c r="M212" i="54"/>
  <c r="O76" i="53"/>
  <c r="P67" i="51"/>
  <c r="AT9" i="55"/>
  <c r="BA66" i="51"/>
  <c r="N229" i="19"/>
  <c r="N227" i="19"/>
  <c r="N226" i="19"/>
  <c r="N228" i="19"/>
  <c r="I266" i="19"/>
  <c r="M279" i="20"/>
  <c r="M278" i="20"/>
  <c r="L214" i="54"/>
  <c r="L213" i="54"/>
  <c r="P37" i="14"/>
  <c r="O9" i="55"/>
  <c r="G161" i="14"/>
  <c r="O84" i="12"/>
  <c r="H310" i="20"/>
  <c r="I156" i="12" s="1"/>
  <c r="K242" i="53"/>
  <c r="K249" i="53" s="1"/>
  <c r="M201" i="53"/>
  <c r="M203" i="53"/>
  <c r="M199" i="53"/>
  <c r="M202" i="53"/>
  <c r="M200" i="53"/>
  <c r="M198" i="53"/>
  <c r="T83" i="14"/>
  <c r="I251" i="54"/>
  <c r="AP75" i="51" s="1"/>
  <c r="BX13" i="55"/>
  <c r="BX16" i="55"/>
  <c r="BX11" i="55"/>
  <c r="BX19" i="55" s="1"/>
  <c r="BX12" i="55"/>
  <c r="BX15" i="55"/>
  <c r="BX14" i="55"/>
  <c r="M206" i="54"/>
  <c r="M207" i="54" s="1"/>
  <c r="M229" i="54"/>
  <c r="M230" i="54" s="1"/>
  <c r="Q46" i="51"/>
  <c r="AV46" i="51"/>
  <c r="AS73" i="51"/>
  <c r="Y131" i="20"/>
  <c r="Y107" i="19" s="1"/>
  <c r="Y129" i="20"/>
  <c r="Y105" i="19" s="1"/>
  <c r="Y103" i="19"/>
  <c r="Z103" i="14" s="1"/>
  <c r="Y132" i="20"/>
  <c r="Y108" i="19" s="1"/>
  <c r="Y130" i="20"/>
  <c r="Y106" i="19" s="1"/>
  <c r="Y128" i="20"/>
  <c r="Y104" i="19" s="1"/>
  <c r="Z103" i="12"/>
  <c r="T83" i="12"/>
  <c r="Q68" i="12"/>
  <c r="Q68" i="14"/>
  <c r="Q35" i="12"/>
  <c r="O77" i="54"/>
  <c r="O69" i="54"/>
  <c r="O70" i="54" s="1"/>
  <c r="O71" i="54"/>
  <c r="O72" i="54" s="1"/>
  <c r="O75" i="54"/>
  <c r="O76" i="54" s="1"/>
  <c r="O44" i="54"/>
  <c r="P44" i="53"/>
  <c r="P69" i="53"/>
  <c r="P70" i="53" s="1"/>
  <c r="Q49" i="51" s="1"/>
  <c r="P71" i="53"/>
  <c r="P72" i="53" s="1"/>
  <c r="Q57" i="51" s="1"/>
  <c r="P75" i="53"/>
  <c r="P77" i="53"/>
  <c r="AU58" i="51"/>
  <c r="K294" i="20"/>
  <c r="K296" i="20" s="1"/>
  <c r="K295" i="20"/>
  <c r="H160" i="14"/>
  <c r="T14" i="51"/>
  <c r="T13" i="51"/>
  <c r="N83" i="19"/>
  <c r="O128" i="14" s="1"/>
  <c r="O128" i="12"/>
  <c r="T36" i="14"/>
  <c r="R48" i="51"/>
  <c r="Q33" i="53"/>
  <c r="Q39" i="53" s="1"/>
  <c r="Q37" i="53"/>
  <c r="V43" i="53" s="1"/>
  <c r="V156" i="53" s="1"/>
  <c r="R65" i="51"/>
  <c r="H163" i="14"/>
  <c r="H157" i="14"/>
  <c r="N92" i="19"/>
  <c r="O145" i="14" s="1"/>
  <c r="O145" i="12"/>
  <c r="N129" i="14"/>
  <c r="AL20" i="55"/>
  <c r="AL19" i="55"/>
  <c r="N73" i="51"/>
  <c r="O273" i="19"/>
  <c r="O272" i="19"/>
  <c r="O222" i="19"/>
  <c r="O221" i="19"/>
  <c r="O225" i="19"/>
  <c r="AY24" i="51"/>
  <c r="AU4" i="55"/>
  <c r="O147" i="14"/>
  <c r="O95" i="14"/>
  <c r="AM16" i="55"/>
  <c r="AM14" i="55"/>
  <c r="AM12" i="55"/>
  <c r="AM13" i="55"/>
  <c r="AM15" i="55"/>
  <c r="AM11" i="55"/>
  <c r="AU51" i="51"/>
  <c r="P51" i="51"/>
  <c r="S82" i="12"/>
  <c r="K258" i="19"/>
  <c r="K259" i="19" s="1"/>
  <c r="O105" i="14"/>
  <c r="T24" i="51"/>
  <c r="P47" i="19"/>
  <c r="M219" i="53"/>
  <c r="M231" i="53" s="1"/>
  <c r="M232" i="53" s="1"/>
  <c r="M220" i="53"/>
  <c r="Q36" i="19"/>
  <c r="Q42" i="19" s="1"/>
  <c r="R39" i="14"/>
  <c r="R92" i="14"/>
  <c r="S122" i="12"/>
  <c r="R38" i="20"/>
  <c r="S49" i="12"/>
  <c r="S48" i="12"/>
  <c r="S44" i="12"/>
  <c r="S33" i="12"/>
  <c r="L196" i="54"/>
  <c r="L197" i="54" s="1"/>
  <c r="M163" i="54"/>
  <c r="BY9" i="55"/>
  <c r="AY14" i="51"/>
  <c r="AY13" i="51"/>
  <c r="O86" i="14"/>
  <c r="O107" i="14"/>
  <c r="O23" i="14"/>
  <c r="S36" i="12"/>
  <c r="L227" i="54"/>
  <c r="L226" i="54"/>
  <c r="L222" i="54"/>
  <c r="L224" i="54"/>
  <c r="L223" i="54"/>
  <c r="L225" i="54"/>
  <c r="Y144" i="20"/>
  <c r="Y120" i="19" s="1"/>
  <c r="Y141" i="20"/>
  <c r="Y117" i="19" s="1"/>
  <c r="Y143" i="20"/>
  <c r="Y119" i="19" s="1"/>
  <c r="Y140" i="20"/>
  <c r="Y116" i="19" s="1"/>
  <c r="Y142" i="20"/>
  <c r="Y118" i="19" s="1"/>
  <c r="Y115" i="19"/>
  <c r="Z94" i="14" s="1"/>
  <c r="Q47" i="14"/>
  <c r="AX44" i="51"/>
  <c r="G164" i="12"/>
  <c r="F318" i="20"/>
  <c r="G165" i="12" s="1"/>
  <c r="P52" i="19"/>
  <c r="P49" i="19" s="1"/>
  <c r="P177" i="19" s="1"/>
  <c r="P96" i="20"/>
  <c r="P54" i="19"/>
  <c r="P90" i="20"/>
  <c r="P57" i="19"/>
  <c r="P51" i="19"/>
  <c r="P60" i="19"/>
  <c r="P53" i="19"/>
  <c r="Q124" i="12"/>
  <c r="P62" i="19"/>
  <c r="P58" i="19"/>
  <c r="P61" i="19"/>
  <c r="P59" i="19"/>
  <c r="P55" i="19"/>
  <c r="P50" i="19"/>
  <c r="P47" i="20"/>
  <c r="P72" i="20"/>
  <c r="Q93" i="12"/>
  <c r="P84" i="20"/>
  <c r="P221" i="20"/>
  <c r="P78" i="20"/>
  <c r="S15" i="51"/>
  <c r="M259" i="20"/>
  <c r="M262" i="20"/>
  <c r="M260" i="20"/>
  <c r="M257" i="20"/>
  <c r="M258" i="20"/>
  <c r="M261" i="20"/>
  <c r="T32" i="12"/>
  <c r="N118" i="14"/>
  <c r="AZ12" i="51"/>
  <c r="AZ36" i="51"/>
  <c r="U31" i="14"/>
  <c r="U30" i="14"/>
  <c r="U27" i="14"/>
  <c r="U28" i="14"/>
  <c r="V26" i="14"/>
  <c r="R68" i="14"/>
  <c r="BF50" i="51"/>
  <c r="N86" i="12"/>
  <c r="N107" i="12"/>
  <c r="N23" i="12"/>
  <c r="N68" i="19"/>
  <c r="O101" i="14" s="1"/>
  <c r="O101" i="12"/>
  <c r="S33" i="14"/>
  <c r="J258" i="53"/>
  <c r="J241" i="53"/>
  <c r="J242" i="53" s="1"/>
  <c r="L213" i="19"/>
  <c r="L214" i="19" s="1"/>
  <c r="M180" i="19"/>
  <c r="U41" i="12"/>
  <c r="U42" i="12"/>
  <c r="V40" i="12"/>
  <c r="R134" i="12"/>
  <c r="R70" i="12"/>
  <c r="R66" i="12"/>
  <c r="R71" i="12"/>
  <c r="Q40" i="20"/>
  <c r="V46" i="20" s="1"/>
  <c r="J266" i="19"/>
  <c r="J268" i="19"/>
  <c r="K156" i="14" s="1"/>
  <c r="T21" i="51"/>
  <c r="R81" i="14"/>
  <c r="R19" i="14"/>
  <c r="P81" i="12"/>
  <c r="P19" i="12"/>
  <c r="K202" i="54"/>
  <c r="K203" i="54"/>
  <c r="K199" i="54"/>
  <c r="K198" i="54"/>
  <c r="K200" i="54"/>
  <c r="K201" i="54"/>
  <c r="AY37" i="51"/>
  <c r="AY38" i="51"/>
  <c r="R35" i="53"/>
  <c r="S59" i="51"/>
  <c r="Q81" i="12"/>
  <c r="Q19" i="12"/>
  <c r="L250" i="19"/>
  <c r="L249" i="19"/>
  <c r="S44" i="51"/>
  <c r="M148" i="14"/>
  <c r="S44" i="14"/>
  <c r="S122" i="14"/>
  <c r="R38" i="19"/>
  <c r="S48" i="14"/>
  <c r="S49" i="14"/>
  <c r="AU54" i="51"/>
  <c r="U167" i="19"/>
  <c r="U166" i="19" s="1"/>
  <c r="U211" i="20"/>
  <c r="O121" i="12"/>
  <c r="N74" i="19"/>
  <c r="O121" i="14" s="1"/>
  <c r="J217" i="54"/>
  <c r="J221" i="54" s="1"/>
  <c r="J218" i="54"/>
  <c r="AX39" i="51"/>
  <c r="M109" i="12"/>
  <c r="M88" i="12"/>
  <c r="L274" i="20"/>
  <c r="L275" i="20"/>
  <c r="N118" i="12"/>
  <c r="T34" i="14"/>
  <c r="L215" i="53"/>
  <c r="L216" i="53"/>
  <c r="M151" i="14"/>
  <c r="R67" i="14"/>
  <c r="P95" i="12"/>
  <c r="I310" i="20"/>
  <c r="J156" i="12" s="1"/>
  <c r="I308" i="20"/>
  <c r="M230" i="19"/>
  <c r="M231" i="19"/>
  <c r="AV57" i="51"/>
  <c r="P58" i="51"/>
  <c r="K215" i="54"/>
  <c r="K216" i="54"/>
  <c r="AT71" i="51"/>
  <c r="AT64" i="51"/>
  <c r="AY21" i="51"/>
  <c r="BF68" i="51"/>
  <c r="N65" i="19"/>
  <c r="O96" i="14" s="1"/>
  <c r="O96" i="12"/>
  <c r="N130" i="12"/>
  <c r="AM76" i="51"/>
  <c r="U157" i="53"/>
  <c r="V66" i="51" s="1"/>
  <c r="L219" i="54"/>
  <c r="L231" i="54" s="1"/>
  <c r="L232" i="54" s="1"/>
  <c r="L220" i="54"/>
  <c r="M150" i="14"/>
  <c r="J251" i="54"/>
  <c r="AQ75" i="51" s="1"/>
  <c r="J249" i="54"/>
  <c r="P37" i="54"/>
  <c r="U43" i="54" s="1"/>
  <c r="U156" i="54" s="1"/>
  <c r="AW65" i="51"/>
  <c r="K220" i="19"/>
  <c r="K218" i="19"/>
  <c r="K219" i="19"/>
  <c r="K215" i="19"/>
  <c r="K217" i="19"/>
  <c r="K216" i="19"/>
  <c r="K252" i="19"/>
  <c r="K254" i="19" s="1"/>
  <c r="AX25" i="51"/>
  <c r="T43" i="12"/>
  <c r="M150" i="12"/>
  <c r="H160" i="12"/>
  <c r="R35" i="54" l="1"/>
  <c r="P9" i="55"/>
  <c r="O204" i="54"/>
  <c r="P204" i="53"/>
  <c r="AY59" i="51"/>
  <c r="U14" i="14"/>
  <c r="T122" i="14"/>
  <c r="Q95" i="12"/>
  <c r="Q127" i="12"/>
  <c r="Q51" i="51"/>
  <c r="AV51" i="51"/>
  <c r="T49" i="14"/>
  <c r="U14" i="12"/>
  <c r="T82" i="14"/>
  <c r="T48" i="14"/>
  <c r="S38" i="19"/>
  <c r="P127" i="14"/>
  <c r="O146" i="14"/>
  <c r="T44" i="14"/>
  <c r="O159" i="54"/>
  <c r="U34" i="14"/>
  <c r="AY39" i="51"/>
  <c r="U38" i="14"/>
  <c r="L77" i="51"/>
  <c r="U34" i="12"/>
  <c r="AV4" i="55"/>
  <c r="U38" i="12"/>
  <c r="P176" i="19"/>
  <c r="AM6" i="55"/>
  <c r="BX6" i="55"/>
  <c r="G7" i="55"/>
  <c r="BX7" i="55"/>
  <c r="O266" i="20"/>
  <c r="G161" i="12"/>
  <c r="T65" i="12"/>
  <c r="L74" i="51"/>
  <c r="AO74" i="51"/>
  <c r="T122" i="12"/>
  <c r="T48" i="12"/>
  <c r="T44" i="12"/>
  <c r="S38" i="20"/>
  <c r="T49" i="12"/>
  <c r="Q33" i="54"/>
  <c r="Q39" i="54" s="1"/>
  <c r="AX48" i="51"/>
  <c r="J155" i="12"/>
  <c r="J10" i="55"/>
  <c r="I312" i="20"/>
  <c r="I317" i="20"/>
  <c r="L237" i="53"/>
  <c r="L258" i="53" s="1"/>
  <c r="S46" i="14"/>
  <c r="U32" i="14"/>
  <c r="P315" i="20"/>
  <c r="P264" i="20"/>
  <c r="P314" i="20"/>
  <c r="P263" i="20"/>
  <c r="Q4" i="55"/>
  <c r="P267" i="20"/>
  <c r="T15" i="51"/>
  <c r="P208" i="53"/>
  <c r="P205" i="53"/>
  <c r="P115" i="14"/>
  <c r="AZ24" i="51"/>
  <c r="O111" i="12"/>
  <c r="O90" i="12"/>
  <c r="O21" i="12"/>
  <c r="N151" i="14"/>
  <c r="O142" i="14"/>
  <c r="BH62" i="51"/>
  <c r="O129" i="12"/>
  <c r="S35" i="53"/>
  <c r="T59" i="51"/>
  <c r="M233" i="53"/>
  <c r="M234" i="53" s="1"/>
  <c r="P143" i="12"/>
  <c r="N206" i="54"/>
  <c r="N207" i="54" s="1"/>
  <c r="N229" i="54"/>
  <c r="N230" i="54" s="1"/>
  <c r="O67" i="19"/>
  <c r="P100" i="14" s="1"/>
  <c r="P100" i="12"/>
  <c r="N213" i="53"/>
  <c r="N214" i="53"/>
  <c r="T65" i="14"/>
  <c r="V20" i="51"/>
  <c r="V22" i="51"/>
  <c r="V23" i="51"/>
  <c r="BB18" i="51"/>
  <c r="V19" i="51"/>
  <c r="W18" i="51"/>
  <c r="P136" i="14"/>
  <c r="O179" i="19"/>
  <c r="R52" i="51"/>
  <c r="Q34" i="53"/>
  <c r="AC40" i="53" s="1"/>
  <c r="N278" i="20"/>
  <c r="N279" i="20"/>
  <c r="U29" i="51"/>
  <c r="U83" i="14"/>
  <c r="H251" i="54"/>
  <c r="AO75" i="51" s="1"/>
  <c r="V41" i="14"/>
  <c r="V42" i="14"/>
  <c r="W40" i="14"/>
  <c r="N150" i="12"/>
  <c r="N88" i="14"/>
  <c r="N109" i="14"/>
  <c r="I10" i="55"/>
  <c r="J160" i="14"/>
  <c r="K217" i="54"/>
  <c r="K221" i="54" s="1"/>
  <c r="K218" i="54"/>
  <c r="J162" i="12"/>
  <c r="J158" i="12"/>
  <c r="L218" i="53"/>
  <c r="L217" i="53"/>
  <c r="L221" i="53" s="1"/>
  <c r="L276" i="20"/>
  <c r="L280" i="20" s="1"/>
  <c r="L277" i="20"/>
  <c r="Q37" i="19"/>
  <c r="AC43" i="19" s="1"/>
  <c r="R24" i="14"/>
  <c r="R20" i="14"/>
  <c r="R102" i="14"/>
  <c r="R25" i="14"/>
  <c r="O154" i="12"/>
  <c r="O97" i="12"/>
  <c r="S43" i="51"/>
  <c r="S17" i="51"/>
  <c r="T44" i="51"/>
  <c r="AM19" i="55"/>
  <c r="AM20" i="55"/>
  <c r="O205" i="54"/>
  <c r="O208" i="54"/>
  <c r="AU9" i="55"/>
  <c r="M220" i="54"/>
  <c r="M219" i="54"/>
  <c r="M231" i="54" s="1"/>
  <c r="M232" i="54" s="1"/>
  <c r="P120" i="12"/>
  <c r="O73" i="19"/>
  <c r="P120" i="14" s="1"/>
  <c r="I159" i="14"/>
  <c r="O85" i="12"/>
  <c r="O106" i="12"/>
  <c r="BH53" i="51"/>
  <c r="O129" i="14"/>
  <c r="O83" i="19"/>
  <c r="P128" i="14" s="1"/>
  <c r="P128" i="12"/>
  <c r="L295" i="20"/>
  <c r="U15" i="12"/>
  <c r="P37" i="19"/>
  <c r="AB43" i="19" s="1"/>
  <c r="Q24" i="14"/>
  <c r="Q20" i="14"/>
  <c r="Q25" i="14"/>
  <c r="Q102" i="14"/>
  <c r="O206" i="53"/>
  <c r="O207" i="53" s="1"/>
  <c r="O229" i="53"/>
  <c r="O230" i="53" s="1"/>
  <c r="O68" i="19"/>
  <c r="P101" i="14" s="1"/>
  <c r="P101" i="12"/>
  <c r="P85" i="14"/>
  <c r="P106" i="14"/>
  <c r="BA23" i="51"/>
  <c r="BA20" i="51"/>
  <c r="BA19" i="51"/>
  <c r="BA22" i="51"/>
  <c r="R46" i="51"/>
  <c r="V28" i="51"/>
  <c r="V27" i="51"/>
  <c r="BB26" i="51"/>
  <c r="W26" i="51"/>
  <c r="N224" i="53"/>
  <c r="N223" i="53"/>
  <c r="N226" i="53"/>
  <c r="N227" i="53"/>
  <c r="N222" i="53"/>
  <c r="N225" i="53"/>
  <c r="P99" i="12"/>
  <c r="I163" i="12"/>
  <c r="I157" i="12"/>
  <c r="Q102" i="12"/>
  <c r="Q20" i="12"/>
  <c r="P37" i="20"/>
  <c r="AB43" i="20" s="1"/>
  <c r="Q24" i="12"/>
  <c r="Q25" i="12"/>
  <c r="R84" i="14"/>
  <c r="R68" i="12"/>
  <c r="J251" i="53"/>
  <c r="K75" i="51" s="1"/>
  <c r="J249" i="53"/>
  <c r="O154" i="14"/>
  <c r="O97" i="14"/>
  <c r="O88" i="14"/>
  <c r="O109" i="14"/>
  <c r="BY11" i="55"/>
  <c r="BY19" i="55" s="1"/>
  <c r="BY16" i="55"/>
  <c r="BY15" i="55"/>
  <c r="BY14" i="55"/>
  <c r="BY12" i="55"/>
  <c r="BY13" i="55"/>
  <c r="M222" i="54"/>
  <c r="M224" i="54"/>
  <c r="M226" i="54"/>
  <c r="M225" i="54"/>
  <c r="M223" i="54"/>
  <c r="M227" i="54"/>
  <c r="J155" i="14"/>
  <c r="AP10" i="55"/>
  <c r="I275" i="19"/>
  <c r="I270" i="19"/>
  <c r="AN13" i="55"/>
  <c r="AN15" i="55"/>
  <c r="AN16" i="55"/>
  <c r="AN11" i="55"/>
  <c r="AN12" i="55"/>
  <c r="AN14" i="55"/>
  <c r="O72" i="19"/>
  <c r="P119" i="14" s="1"/>
  <c r="P119" i="12"/>
  <c r="AX43" i="51"/>
  <c r="AX17" i="51"/>
  <c r="P69" i="54"/>
  <c r="P70" i="54" s="1"/>
  <c r="P75" i="54"/>
  <c r="P76" i="54" s="1"/>
  <c r="P77" i="54"/>
  <c r="P44" i="54"/>
  <c r="P71" i="54"/>
  <c r="P72" i="54" s="1"/>
  <c r="O196" i="53"/>
  <c r="O197" i="53" s="1"/>
  <c r="P163" i="53"/>
  <c r="K251" i="53"/>
  <c r="L75" i="51" s="1"/>
  <c r="I161" i="14"/>
  <c r="O110" i="12"/>
  <c r="O22" i="12"/>
  <c r="O89" i="12"/>
  <c r="T39" i="51"/>
  <c r="V30" i="12"/>
  <c r="V28" i="12"/>
  <c r="V31" i="12"/>
  <c r="V27" i="12"/>
  <c r="W26" i="12"/>
  <c r="V13" i="12"/>
  <c r="V62" i="12"/>
  <c r="W12" i="12"/>
  <c r="V14" i="12"/>
  <c r="Q84" i="14"/>
  <c r="AV61" i="51"/>
  <c r="P71" i="51"/>
  <c r="P64" i="51"/>
  <c r="O65" i="19"/>
  <c r="P96" i="14" s="1"/>
  <c r="P96" i="12"/>
  <c r="P90" i="14"/>
  <c r="P111" i="14"/>
  <c r="P21" i="14"/>
  <c r="AZ29" i="51"/>
  <c r="U21" i="51"/>
  <c r="O91" i="19"/>
  <c r="P144" i="14" s="1"/>
  <c r="P144" i="12"/>
  <c r="T33" i="12"/>
  <c r="N148" i="14"/>
  <c r="R81" i="12"/>
  <c r="R19" i="12"/>
  <c r="AN76" i="51"/>
  <c r="P72" i="51"/>
  <c r="L293" i="20"/>
  <c r="L294" i="20" s="1"/>
  <c r="L296" i="20" s="1"/>
  <c r="S65" i="51"/>
  <c r="R37" i="53"/>
  <c r="W43" i="53" s="1"/>
  <c r="W156" i="53" s="1"/>
  <c r="H164" i="12"/>
  <c r="G318" i="20"/>
  <c r="H165" i="12" s="1"/>
  <c r="U157" i="54"/>
  <c r="AY25" i="51"/>
  <c r="R69" i="14"/>
  <c r="Q84" i="12"/>
  <c r="T25" i="51"/>
  <c r="J259" i="53"/>
  <c r="K78" i="51" s="1"/>
  <c r="K77" i="51"/>
  <c r="V27" i="14"/>
  <c r="V28" i="14"/>
  <c r="V30" i="14"/>
  <c r="V31" i="14"/>
  <c r="W26" i="14"/>
  <c r="AZ38" i="51"/>
  <c r="AZ37" i="51"/>
  <c r="P83" i="20"/>
  <c r="P75" i="19" s="1"/>
  <c r="Q114" i="12"/>
  <c r="P70" i="19"/>
  <c r="Q114" i="14" s="1"/>
  <c r="P81" i="20"/>
  <c r="P80" i="20"/>
  <c r="P82" i="20"/>
  <c r="P79" i="20"/>
  <c r="M196" i="54"/>
  <c r="M197" i="54" s="1"/>
  <c r="N163" i="54"/>
  <c r="BZ9" i="55"/>
  <c r="R35" i="14"/>
  <c r="K268" i="19"/>
  <c r="L156" i="14" s="1"/>
  <c r="K266" i="19"/>
  <c r="AM7" i="55"/>
  <c r="AY44" i="51"/>
  <c r="V157" i="53"/>
  <c r="W66" i="51" s="1"/>
  <c r="P78" i="53"/>
  <c r="Q61" i="51" s="1"/>
  <c r="P162" i="53"/>
  <c r="L216" i="54"/>
  <c r="L215" i="54"/>
  <c r="N230" i="19"/>
  <c r="N231" i="19"/>
  <c r="M213" i="54"/>
  <c r="M214" i="54"/>
  <c r="R33" i="53"/>
  <c r="R39" i="53" s="1"/>
  <c r="S48" i="51"/>
  <c r="V36" i="51"/>
  <c r="W10" i="51"/>
  <c r="V12" i="51"/>
  <c r="BB10" i="51"/>
  <c r="P121" i="12"/>
  <c r="O74" i="19"/>
  <c r="P121" i="14" s="1"/>
  <c r="Q54" i="51"/>
  <c r="N198" i="53"/>
  <c r="N199" i="53"/>
  <c r="N202" i="53"/>
  <c r="N201" i="53"/>
  <c r="N203" i="53"/>
  <c r="N200" i="53"/>
  <c r="AZ21" i="51"/>
  <c r="O105" i="12"/>
  <c r="O281" i="20"/>
  <c r="O284" i="20"/>
  <c r="O285" i="20"/>
  <c r="O282" i="20"/>
  <c r="O286" i="20"/>
  <c r="O283" i="20"/>
  <c r="O85" i="19"/>
  <c r="P132" i="14" s="1"/>
  <c r="P132" i="12"/>
  <c r="P105" i="14"/>
  <c r="N219" i="53"/>
  <c r="N231" i="53" s="1"/>
  <c r="N232" i="53" s="1"/>
  <c r="N220" i="53"/>
  <c r="U24" i="51"/>
  <c r="T33" i="14"/>
  <c r="O92" i="19"/>
  <c r="P145" i="14" s="1"/>
  <c r="P145" i="12"/>
  <c r="BA27" i="51"/>
  <c r="BA28" i="51"/>
  <c r="N150" i="14"/>
  <c r="S17" i="14"/>
  <c r="T16" i="12"/>
  <c r="N88" i="12"/>
  <c r="N109" i="12"/>
  <c r="AZ14" i="51"/>
  <c r="AZ13" i="51"/>
  <c r="P265" i="20"/>
  <c r="P288" i="20"/>
  <c r="P289" i="20" s="1"/>
  <c r="P92" i="20"/>
  <c r="P91" i="20"/>
  <c r="P94" i="20"/>
  <c r="P95" i="20"/>
  <c r="P87" i="19" s="1"/>
  <c r="P93" i="20"/>
  <c r="P82" i="19"/>
  <c r="Q124" i="14" s="1"/>
  <c r="L203" i="54"/>
  <c r="L198" i="54"/>
  <c r="L200" i="54"/>
  <c r="L201" i="54"/>
  <c r="L202" i="54"/>
  <c r="L199" i="54"/>
  <c r="S46" i="12"/>
  <c r="P221" i="19"/>
  <c r="P273" i="19"/>
  <c r="P222" i="19"/>
  <c r="P272" i="19"/>
  <c r="P225" i="19"/>
  <c r="O141" i="12"/>
  <c r="H159" i="14"/>
  <c r="P76" i="53"/>
  <c r="Q67" i="51"/>
  <c r="I158" i="12"/>
  <c r="I162" i="12"/>
  <c r="U37" i="51"/>
  <c r="U38" i="51"/>
  <c r="P115" i="12"/>
  <c r="P146" i="12"/>
  <c r="AB110" i="53"/>
  <c r="AB111" i="53" s="1"/>
  <c r="AB104" i="53"/>
  <c r="AB105" i="53" s="1"/>
  <c r="AC53" i="51" s="1"/>
  <c r="AB106" i="53"/>
  <c r="AB107" i="53" s="1"/>
  <c r="AC62" i="51" s="1"/>
  <c r="AB108" i="53"/>
  <c r="AB109" i="53" s="1"/>
  <c r="Q37" i="14"/>
  <c r="S70" i="12"/>
  <c r="R40" i="20"/>
  <c r="W46" i="20" s="1"/>
  <c r="S134" i="12"/>
  <c r="S66" i="12"/>
  <c r="S71" i="12"/>
  <c r="K235" i="54"/>
  <c r="K237" i="54" s="1"/>
  <c r="K236" i="54"/>
  <c r="O86" i="19"/>
  <c r="P133" i="14" s="1"/>
  <c r="P133" i="12"/>
  <c r="U63" i="12"/>
  <c r="U64" i="12"/>
  <c r="L234" i="19"/>
  <c r="L238" i="19" s="1"/>
  <c r="L235" i="19"/>
  <c r="S17" i="12"/>
  <c r="U135" i="14"/>
  <c r="O130" i="12"/>
  <c r="T36" i="12"/>
  <c r="M250" i="19"/>
  <c r="M253" i="19" s="1"/>
  <c r="M249" i="19"/>
  <c r="P131" i="12"/>
  <c r="O89" i="19"/>
  <c r="P140" i="14" s="1"/>
  <c r="P140" i="12"/>
  <c r="V13" i="14"/>
  <c r="V62" i="14"/>
  <c r="W12" i="14"/>
  <c r="H14" i="55"/>
  <c r="H12" i="55"/>
  <c r="H11" i="55"/>
  <c r="H16" i="55"/>
  <c r="H13" i="55"/>
  <c r="H15" i="55"/>
  <c r="AV58" i="51"/>
  <c r="M152" i="12"/>
  <c r="O117" i="14"/>
  <c r="K155" i="14"/>
  <c r="AQ10" i="55"/>
  <c r="J275" i="19"/>
  <c r="J270" i="19"/>
  <c r="M213" i="19"/>
  <c r="M214" i="19" s="1"/>
  <c r="N180" i="19"/>
  <c r="U36" i="14"/>
  <c r="P86" i="20"/>
  <c r="P78" i="19" s="1"/>
  <c r="P89" i="20"/>
  <c r="P81" i="19" s="1"/>
  <c r="P87" i="20"/>
  <c r="P79" i="19" s="1"/>
  <c r="P85" i="20"/>
  <c r="P77" i="19" s="1"/>
  <c r="P88" i="20"/>
  <c r="P80" i="19" s="1"/>
  <c r="P76" i="19"/>
  <c r="Q104" i="14" s="1"/>
  <c r="Q104" i="12"/>
  <c r="S39" i="12"/>
  <c r="R36" i="20"/>
  <c r="R42" i="20" s="1"/>
  <c r="S92" i="12"/>
  <c r="S45" i="12"/>
  <c r="Q47" i="19"/>
  <c r="O229" i="19"/>
  <c r="O227" i="19"/>
  <c r="O226" i="19"/>
  <c r="O228" i="19"/>
  <c r="O141" i="14"/>
  <c r="Q75" i="53"/>
  <c r="Q44" i="53"/>
  <c r="Q77" i="53"/>
  <c r="Q69" i="53"/>
  <c r="Q70" i="53" s="1"/>
  <c r="R49" i="51" s="1"/>
  <c r="Q71" i="53"/>
  <c r="Q72" i="53" s="1"/>
  <c r="R57" i="51" s="1"/>
  <c r="AW57" i="51"/>
  <c r="Q58" i="51"/>
  <c r="P99" i="14"/>
  <c r="M290" i="20"/>
  <c r="M291" i="20" s="1"/>
  <c r="M292" i="20"/>
  <c r="M293" i="20" s="1"/>
  <c r="U14" i="51"/>
  <c r="U13" i="51"/>
  <c r="O71" i="19"/>
  <c r="P116" i="14" s="1"/>
  <c r="P116" i="12"/>
  <c r="N259" i="20"/>
  <c r="N262" i="20"/>
  <c r="N261" i="20"/>
  <c r="N258" i="20"/>
  <c r="N260" i="20"/>
  <c r="N257" i="20"/>
  <c r="Q69" i="14"/>
  <c r="AA110" i="54"/>
  <c r="AA111" i="54" s="1"/>
  <c r="AA106" i="54"/>
  <c r="AA107" i="54" s="1"/>
  <c r="AA108" i="54"/>
  <c r="AA109" i="54" s="1"/>
  <c r="AA104" i="54"/>
  <c r="AA105" i="54" s="1"/>
  <c r="G19" i="55"/>
  <c r="G20" i="55"/>
  <c r="Z96" i="19"/>
  <c r="Z95" i="19" s="1"/>
  <c r="Z127" i="20"/>
  <c r="Z133" i="20"/>
  <c r="Z145" i="20"/>
  <c r="AA94" i="12"/>
  <c r="Z101" i="19"/>
  <c r="Z98" i="19"/>
  <c r="AA126" i="12"/>
  <c r="Z100" i="19"/>
  <c r="Z99" i="19"/>
  <c r="Z139" i="20"/>
  <c r="Z97" i="19"/>
  <c r="J74" i="51"/>
  <c r="I253" i="53"/>
  <c r="O211" i="53"/>
  <c r="O210" i="53"/>
  <c r="O212" i="53"/>
  <c r="O209" i="53"/>
  <c r="N210" i="54"/>
  <c r="N209" i="54"/>
  <c r="N212" i="54"/>
  <c r="N211" i="54"/>
  <c r="P34" i="54"/>
  <c r="AB40" i="54" s="1"/>
  <c r="AW52" i="51"/>
  <c r="U29" i="12"/>
  <c r="N151" i="12"/>
  <c r="AU72" i="51"/>
  <c r="O130" i="14"/>
  <c r="O118" i="14"/>
  <c r="O73" i="51"/>
  <c r="M242" i="19"/>
  <c r="M239" i="19"/>
  <c r="M240" i="19"/>
  <c r="M241" i="19"/>
  <c r="M243" i="19"/>
  <c r="M244" i="19"/>
  <c r="AU70" i="51"/>
  <c r="M274" i="20"/>
  <c r="M275" i="20"/>
  <c r="N272" i="20"/>
  <c r="N273" i="20"/>
  <c r="P143" i="14"/>
  <c r="S67" i="14"/>
  <c r="U15" i="14"/>
  <c r="R35" i="12"/>
  <c r="H157" i="12"/>
  <c r="H163" i="12"/>
  <c r="T45" i="14"/>
  <c r="I253" i="54"/>
  <c r="T16" i="14"/>
  <c r="AQ74" i="51"/>
  <c r="J253" i="54"/>
  <c r="BB66" i="51"/>
  <c r="O149" i="14"/>
  <c r="AT73" i="51"/>
  <c r="M232" i="19"/>
  <c r="M233" i="19"/>
  <c r="AX65" i="51"/>
  <c r="Q37" i="54"/>
  <c r="V43" i="54" s="1"/>
  <c r="V156" i="54" s="1"/>
  <c r="O117" i="12"/>
  <c r="U213" i="20"/>
  <c r="U171" i="19" s="1"/>
  <c r="U214" i="20"/>
  <c r="U172" i="19" s="1"/>
  <c r="U212" i="20"/>
  <c r="U170" i="19" s="1"/>
  <c r="U215" i="20"/>
  <c r="U173" i="19" s="1"/>
  <c r="U216" i="20"/>
  <c r="U174" i="19" s="1"/>
  <c r="V135" i="12"/>
  <c r="U169" i="19"/>
  <c r="S45" i="14"/>
  <c r="L253" i="19"/>
  <c r="P20" i="12"/>
  <c r="P102" i="12"/>
  <c r="P24" i="12"/>
  <c r="O37" i="20"/>
  <c r="AA43" i="20" s="1"/>
  <c r="P25" i="12"/>
  <c r="V167" i="19"/>
  <c r="V166" i="19" s="1"/>
  <c r="V211" i="20"/>
  <c r="V41" i="12"/>
  <c r="V42" i="12"/>
  <c r="W40" i="12"/>
  <c r="L216" i="19"/>
  <c r="L215" i="19"/>
  <c r="L217" i="19"/>
  <c r="L218" i="19"/>
  <c r="L220" i="19"/>
  <c r="L219" i="19"/>
  <c r="Q147" i="12"/>
  <c r="P218" i="20"/>
  <c r="AY15" i="51"/>
  <c r="N148" i="12"/>
  <c r="P159" i="53"/>
  <c r="O78" i="54"/>
  <c r="O162" i="54"/>
  <c r="N236" i="19"/>
  <c r="N248" i="19" s="1"/>
  <c r="N237" i="19"/>
  <c r="AV67" i="51"/>
  <c r="P70" i="51"/>
  <c r="BA36" i="51"/>
  <c r="BA12" i="51"/>
  <c r="O255" i="20"/>
  <c r="O256" i="20" s="1"/>
  <c r="P222" i="20"/>
  <c r="AV54" i="51"/>
  <c r="L251" i="19"/>
  <c r="L252" i="19" s="1"/>
  <c r="L254" i="19" s="1"/>
  <c r="O271" i="20"/>
  <c r="O269" i="20"/>
  <c r="O268" i="20"/>
  <c r="O270" i="20"/>
  <c r="AV9" i="55"/>
  <c r="AW46" i="51"/>
  <c r="U83" i="12"/>
  <c r="O98" i="12"/>
  <c r="N223" i="19"/>
  <c r="N224" i="19" s="1"/>
  <c r="N246" i="19"/>
  <c r="N247" i="19" s="1"/>
  <c r="P147" i="14"/>
  <c r="P95" i="14"/>
  <c r="O118" i="12"/>
  <c r="AU71" i="51"/>
  <c r="AU64" i="51"/>
  <c r="O152" i="14"/>
  <c r="BG68" i="51"/>
  <c r="U64" i="14"/>
  <c r="U63" i="14"/>
  <c r="M216" i="53"/>
  <c r="M215" i="53"/>
  <c r="H317" i="20"/>
  <c r="T46" i="14"/>
  <c r="AP76" i="51"/>
  <c r="K162" i="14"/>
  <c r="K158" i="14"/>
  <c r="M251" i="19"/>
  <c r="P84" i="12"/>
  <c r="R67" i="12"/>
  <c r="U43" i="12"/>
  <c r="R36" i="19"/>
  <c r="R42" i="19" s="1"/>
  <c r="S39" i="14"/>
  <c r="S92" i="14"/>
  <c r="U29" i="14"/>
  <c r="P76" i="20"/>
  <c r="P77" i="20"/>
  <c r="P69" i="19" s="1"/>
  <c r="P74" i="20"/>
  <c r="P66" i="19" s="1"/>
  <c r="P73" i="20"/>
  <c r="P75" i="20"/>
  <c r="P64" i="19"/>
  <c r="Q93" i="14" s="1"/>
  <c r="P100" i="20"/>
  <c r="P101" i="20"/>
  <c r="P93" i="19" s="1"/>
  <c r="P97" i="20"/>
  <c r="P98" i="20"/>
  <c r="P90" i="19" s="1"/>
  <c r="P88" i="19"/>
  <c r="P99" i="20"/>
  <c r="Q136" i="12"/>
  <c r="P220" i="20"/>
  <c r="L249" i="53"/>
  <c r="L251" i="53"/>
  <c r="M75" i="51" s="1"/>
  <c r="K300" i="20"/>
  <c r="K301" i="20" s="1"/>
  <c r="AW49" i="51"/>
  <c r="Q37" i="12"/>
  <c r="L233" i="54"/>
  <c r="L234" i="54" s="1"/>
  <c r="J310" i="20"/>
  <c r="K156" i="12" s="1"/>
  <c r="J308" i="20"/>
  <c r="G6" i="55"/>
  <c r="O142" i="12"/>
  <c r="AB68" i="51"/>
  <c r="AB50" i="51"/>
  <c r="U32" i="12"/>
  <c r="O153" i="14"/>
  <c r="O98" i="14"/>
  <c r="O139" i="14"/>
  <c r="P110" i="14"/>
  <c r="P89" i="14"/>
  <c r="P22" i="14"/>
  <c r="P139" i="12"/>
  <c r="Q69" i="12"/>
  <c r="S68" i="14"/>
  <c r="BG50" i="51"/>
  <c r="T82" i="12"/>
  <c r="Q52" i="19"/>
  <c r="Q49" i="19" s="1"/>
  <c r="Q177" i="19" s="1"/>
  <c r="Q57" i="19"/>
  <c r="Q50" i="19"/>
  <c r="Q53" i="19"/>
  <c r="Q58" i="19"/>
  <c r="Q60" i="19"/>
  <c r="Q54" i="19"/>
  <c r="Q51" i="19"/>
  <c r="Q62" i="19"/>
  <c r="Q55" i="19"/>
  <c r="Q61" i="19"/>
  <c r="Q59" i="19"/>
  <c r="Q176" i="19" s="1"/>
  <c r="R93" i="12"/>
  <c r="R124" i="12"/>
  <c r="Q72" i="20"/>
  <c r="Q90" i="20"/>
  <c r="Q47" i="20"/>
  <c r="Q78" i="20"/>
  <c r="Q84" i="20"/>
  <c r="Q221" i="20"/>
  <c r="Q96" i="20"/>
  <c r="J259" i="54"/>
  <c r="AQ78" i="51" s="1"/>
  <c r="AQ77" i="51"/>
  <c r="U43" i="14"/>
  <c r="H312" i="20"/>
  <c r="AY65" i="51" l="1"/>
  <c r="R37" i="54"/>
  <c r="W43" i="54" s="1"/>
  <c r="W156" i="54" s="1"/>
  <c r="Q204" i="53"/>
  <c r="P204" i="54"/>
  <c r="Q9" i="55"/>
  <c r="AW9" i="55" s="1"/>
  <c r="U16" i="14"/>
  <c r="V14" i="14"/>
  <c r="AZ39" i="51"/>
  <c r="U16" i="12"/>
  <c r="R127" i="12"/>
  <c r="Q72" i="51"/>
  <c r="Q218" i="20"/>
  <c r="Q127" i="14"/>
  <c r="O153" i="12"/>
  <c r="R51" i="51"/>
  <c r="O149" i="12"/>
  <c r="T70" i="12"/>
  <c r="U36" i="12"/>
  <c r="S40" i="20"/>
  <c r="X46" i="20" s="1"/>
  <c r="U39" i="51"/>
  <c r="T66" i="12"/>
  <c r="T71" i="12"/>
  <c r="T134" i="12"/>
  <c r="BA29" i="51"/>
  <c r="AW4" i="55"/>
  <c r="V38" i="12"/>
  <c r="V38" i="14"/>
  <c r="V34" i="14"/>
  <c r="BY6" i="55"/>
  <c r="H6" i="55"/>
  <c r="AN6" i="55"/>
  <c r="Q89" i="20"/>
  <c r="Q81" i="19" s="1"/>
  <c r="Q86" i="20"/>
  <c r="Q78" i="19" s="1"/>
  <c r="Q85" i="20"/>
  <c r="Q77" i="19" s="1"/>
  <c r="Q88" i="20"/>
  <c r="Q80" i="19" s="1"/>
  <c r="Q87" i="20"/>
  <c r="Q79" i="19" s="1"/>
  <c r="Q76" i="19"/>
  <c r="R104" i="14" s="1"/>
  <c r="R104" i="12"/>
  <c r="BH50" i="51"/>
  <c r="O148" i="14"/>
  <c r="O272" i="20"/>
  <c r="O273" i="20"/>
  <c r="BA14" i="51"/>
  <c r="BA13" i="51"/>
  <c r="O206" i="54"/>
  <c r="O207" i="54" s="1"/>
  <c r="O229" i="54"/>
  <c r="O230" i="54" s="1"/>
  <c r="W41" i="12"/>
  <c r="X40" i="12"/>
  <c r="W42" i="12"/>
  <c r="P106" i="12"/>
  <c r="P85" i="12"/>
  <c r="T47" i="14"/>
  <c r="R37" i="12"/>
  <c r="AB108" i="54"/>
  <c r="AB109" i="54" s="1"/>
  <c r="AB110" i="54"/>
  <c r="AB111" i="54" s="1"/>
  <c r="AB104" i="54"/>
  <c r="AB105" i="54" s="1"/>
  <c r="AB106" i="54"/>
  <c r="AB107" i="54" s="1"/>
  <c r="O219" i="53"/>
  <c r="O231" i="53" s="1"/>
  <c r="O232" i="53" s="1"/>
  <c r="O220" i="53"/>
  <c r="M294" i="20"/>
  <c r="M296" i="20" s="1"/>
  <c r="M295" i="20"/>
  <c r="AW58" i="51"/>
  <c r="Q205" i="53"/>
  <c r="Q208" i="53"/>
  <c r="O237" i="19"/>
  <c r="O236" i="19"/>
  <c r="O248" i="19" s="1"/>
  <c r="V64" i="14"/>
  <c r="V63" i="14"/>
  <c r="AC68" i="51"/>
  <c r="AC50" i="51"/>
  <c r="U65" i="51"/>
  <c r="P83" i="19"/>
  <c r="Q128" i="14" s="1"/>
  <c r="Q128" i="12"/>
  <c r="V14" i="51"/>
  <c r="V13" i="51"/>
  <c r="L155" i="14"/>
  <c r="K270" i="19"/>
  <c r="K275" i="19"/>
  <c r="N196" i="54"/>
  <c r="N197" i="54" s="1"/>
  <c r="O163" i="54"/>
  <c r="CA9" i="55"/>
  <c r="Q115" i="14"/>
  <c r="P142" i="14"/>
  <c r="U25" i="51"/>
  <c r="P196" i="53"/>
  <c r="P197" i="53" s="1"/>
  <c r="Q163" i="53"/>
  <c r="AX52" i="51"/>
  <c r="Q34" i="54"/>
  <c r="AC40" i="54" s="1"/>
  <c r="AP11" i="55"/>
  <c r="AP13" i="55"/>
  <c r="AP15" i="55"/>
  <c r="AP16" i="55"/>
  <c r="AP12" i="55"/>
  <c r="AP14" i="55"/>
  <c r="K74" i="51"/>
  <c r="J253" i="53"/>
  <c r="O227" i="53"/>
  <c r="O225" i="53"/>
  <c r="O223" i="53"/>
  <c r="O226" i="53"/>
  <c r="O224" i="53"/>
  <c r="O222" i="53"/>
  <c r="J160" i="12"/>
  <c r="T35" i="53"/>
  <c r="U59" i="51"/>
  <c r="P139" i="14"/>
  <c r="N222" i="54"/>
  <c r="N227" i="54"/>
  <c r="N225" i="54"/>
  <c r="N224" i="54"/>
  <c r="N223" i="54"/>
  <c r="N226" i="54"/>
  <c r="AZ44" i="51"/>
  <c r="P271" i="20"/>
  <c r="P268" i="20"/>
  <c r="P269" i="20"/>
  <c r="P270" i="20"/>
  <c r="J13" i="55"/>
  <c r="J14" i="55"/>
  <c r="J15" i="55"/>
  <c r="J16" i="55"/>
  <c r="J12" i="55"/>
  <c r="J11" i="55"/>
  <c r="AO10" i="55"/>
  <c r="K253" i="53"/>
  <c r="K155" i="12"/>
  <c r="K10" i="55"/>
  <c r="J312" i="20"/>
  <c r="J317" i="20"/>
  <c r="Q139" i="12"/>
  <c r="U33" i="14"/>
  <c r="R47" i="19"/>
  <c r="BA37" i="51"/>
  <c r="BA38" i="51"/>
  <c r="V43" i="12"/>
  <c r="P90" i="12"/>
  <c r="P21" i="12"/>
  <c r="P111" i="12"/>
  <c r="V135" i="14"/>
  <c r="M235" i="19"/>
  <c r="M234" i="19"/>
  <c r="M238" i="19" s="1"/>
  <c r="AQ76" i="51"/>
  <c r="Q76" i="53"/>
  <c r="R67" i="51"/>
  <c r="R52" i="19"/>
  <c r="R49" i="19" s="1"/>
  <c r="R177" i="19" s="1"/>
  <c r="S93" i="12"/>
  <c r="R47" i="20"/>
  <c r="R96" i="20"/>
  <c r="R90" i="20"/>
  <c r="R84" i="20"/>
  <c r="S124" i="12"/>
  <c r="R57" i="19"/>
  <c r="R60" i="19"/>
  <c r="R61" i="19"/>
  <c r="R221" i="20"/>
  <c r="R51" i="19"/>
  <c r="R59" i="19"/>
  <c r="R50" i="19"/>
  <c r="R53" i="19"/>
  <c r="R72" i="20"/>
  <c r="R55" i="19"/>
  <c r="R62" i="19"/>
  <c r="R78" i="20"/>
  <c r="R54" i="19"/>
  <c r="R58" i="19"/>
  <c r="H7" i="55"/>
  <c r="M252" i="19"/>
  <c r="M254" i="19" s="1"/>
  <c r="P129" i="12"/>
  <c r="BI62" i="51"/>
  <c r="T67" i="12"/>
  <c r="P84" i="19"/>
  <c r="Q131" i="14" s="1"/>
  <c r="Q131" i="12"/>
  <c r="BC10" i="51"/>
  <c r="W12" i="51"/>
  <c r="W36" i="51"/>
  <c r="X10" i="51"/>
  <c r="N232" i="19"/>
  <c r="N233" i="19"/>
  <c r="H161" i="14"/>
  <c r="L162" i="14"/>
  <c r="L158" i="14"/>
  <c r="M201" i="54"/>
  <c r="M199" i="54"/>
  <c r="M198" i="54"/>
  <c r="M203" i="54"/>
  <c r="M202" i="54"/>
  <c r="M200" i="54"/>
  <c r="Q115" i="12"/>
  <c r="Q146" i="12"/>
  <c r="U82" i="14"/>
  <c r="R20" i="12"/>
  <c r="R102" i="12"/>
  <c r="R24" i="12"/>
  <c r="R25" i="12"/>
  <c r="Q37" i="20"/>
  <c r="AC43" i="20" s="1"/>
  <c r="V83" i="12"/>
  <c r="O201" i="53"/>
  <c r="O198" i="53"/>
  <c r="O200" i="53"/>
  <c r="O203" i="53"/>
  <c r="O202" i="53"/>
  <c r="O199" i="53"/>
  <c r="AX46" i="51"/>
  <c r="J163" i="14"/>
  <c r="J157" i="14"/>
  <c r="BY7" i="55"/>
  <c r="Q90" i="12"/>
  <c r="Q21" i="12"/>
  <c r="Q111" i="12"/>
  <c r="I159" i="12"/>
  <c r="W27" i="51"/>
  <c r="W28" i="51"/>
  <c r="BC26" i="51"/>
  <c r="X26" i="51"/>
  <c r="BA24" i="51"/>
  <c r="R85" i="14"/>
  <c r="R106" i="14"/>
  <c r="W41" i="14"/>
  <c r="W42" i="14"/>
  <c r="X40" i="14"/>
  <c r="J163" i="12"/>
  <c r="J157" i="12"/>
  <c r="H253" i="54"/>
  <c r="L76" i="51"/>
  <c r="Q265" i="20"/>
  <c r="Q288" i="20"/>
  <c r="Q289" i="20" s="1"/>
  <c r="O151" i="14"/>
  <c r="U48" i="14"/>
  <c r="U49" i="14"/>
  <c r="U122" i="14"/>
  <c r="T38" i="19"/>
  <c r="U44" i="14"/>
  <c r="Q83" i="20"/>
  <c r="Q75" i="19" s="1"/>
  <c r="Q70" i="19"/>
  <c r="R114" i="14" s="1"/>
  <c r="R114" i="12"/>
  <c r="Q82" i="20"/>
  <c r="Q81" i="20"/>
  <c r="Q80" i="20"/>
  <c r="Q79" i="20"/>
  <c r="P87" i="14"/>
  <c r="P108" i="14"/>
  <c r="BH68" i="51"/>
  <c r="Q263" i="20"/>
  <c r="Q264" i="20"/>
  <c r="Q315" i="20"/>
  <c r="Q314" i="20"/>
  <c r="R4" i="55"/>
  <c r="Q267" i="20"/>
  <c r="K162" i="12"/>
  <c r="K158" i="12"/>
  <c r="P91" i="19"/>
  <c r="Q144" i="14" s="1"/>
  <c r="Q144" i="12"/>
  <c r="Q147" i="14"/>
  <c r="Q95" i="14"/>
  <c r="U122" i="12"/>
  <c r="T38" i="20"/>
  <c r="U44" i="12"/>
  <c r="U49" i="12"/>
  <c r="U48" i="12"/>
  <c r="M217" i="53"/>
  <c r="M221" i="53" s="1"/>
  <c r="M218" i="53"/>
  <c r="P148" i="14"/>
  <c r="AA96" i="19"/>
  <c r="AA95" i="19" s="1"/>
  <c r="AA127" i="20"/>
  <c r="AA133" i="20"/>
  <c r="AA100" i="19"/>
  <c r="AA98" i="19"/>
  <c r="AB126" i="12"/>
  <c r="AB94" i="12"/>
  <c r="AA101" i="19"/>
  <c r="AA145" i="20"/>
  <c r="AA99" i="19"/>
  <c r="AA97" i="19"/>
  <c r="AA139" i="20"/>
  <c r="S69" i="14"/>
  <c r="N213" i="54"/>
  <c r="N214" i="54"/>
  <c r="O213" i="53"/>
  <c r="O214" i="53"/>
  <c r="S35" i="12"/>
  <c r="T17" i="14"/>
  <c r="AV72" i="51"/>
  <c r="V83" i="14"/>
  <c r="U65" i="12"/>
  <c r="P129" i="14"/>
  <c r="S67" i="12"/>
  <c r="BI53" i="51"/>
  <c r="AW67" i="51"/>
  <c r="Q70" i="51"/>
  <c r="S81" i="14"/>
  <c r="S19" i="14"/>
  <c r="V37" i="51"/>
  <c r="V38" i="51"/>
  <c r="P206" i="53"/>
  <c r="P207" i="53" s="1"/>
  <c r="P229" i="53"/>
  <c r="P230" i="53" s="1"/>
  <c r="R84" i="12"/>
  <c r="P149" i="14"/>
  <c r="V32" i="12"/>
  <c r="O87" i="12"/>
  <c r="O108" i="12"/>
  <c r="AN20" i="55"/>
  <c r="AN19" i="55"/>
  <c r="Q89" i="12"/>
  <c r="Q22" i="12"/>
  <c r="Q110" i="12"/>
  <c r="BB27" i="51"/>
  <c r="BB28" i="51"/>
  <c r="AW51" i="51"/>
  <c r="V43" i="14"/>
  <c r="N290" i="20"/>
  <c r="N291" i="20" s="1"/>
  <c r="N292" i="20"/>
  <c r="N293" i="20" s="1"/>
  <c r="W23" i="51"/>
  <c r="W20" i="51"/>
  <c r="W19" i="51"/>
  <c r="W22" i="51"/>
  <c r="BC18" i="51"/>
  <c r="X18" i="51"/>
  <c r="S40" i="19"/>
  <c r="X46" i="19" s="1"/>
  <c r="T134" i="14"/>
  <c r="T66" i="14"/>
  <c r="T70" i="14"/>
  <c r="T71" i="14"/>
  <c r="P266" i="20"/>
  <c r="U82" i="12"/>
  <c r="AO76" i="51"/>
  <c r="Q92" i="20"/>
  <c r="Q93" i="20"/>
  <c r="Q95" i="20"/>
  <c r="Q87" i="19" s="1"/>
  <c r="Q91" i="20"/>
  <c r="Q94" i="20"/>
  <c r="Q82" i="19"/>
  <c r="R124" i="14" s="1"/>
  <c r="L235" i="54"/>
  <c r="L237" i="54" s="1"/>
  <c r="L236" i="54"/>
  <c r="Q136" i="14"/>
  <c r="P179" i="19"/>
  <c r="P67" i="19"/>
  <c r="Q100" i="14" s="1"/>
  <c r="Q100" i="12"/>
  <c r="R69" i="12"/>
  <c r="O278" i="20"/>
  <c r="O279" i="20"/>
  <c r="L258" i="19"/>
  <c r="V157" i="54"/>
  <c r="W157" i="54"/>
  <c r="M276" i="20"/>
  <c r="M280" i="20" s="1"/>
  <c r="M277" i="20"/>
  <c r="N220" i="54"/>
  <c r="N219" i="54"/>
  <c r="N231" i="54" s="1"/>
  <c r="N232" i="54" s="1"/>
  <c r="Q221" i="19"/>
  <c r="Q273" i="19"/>
  <c r="Q272" i="19"/>
  <c r="Q222" i="19"/>
  <c r="Q225" i="19"/>
  <c r="K164" i="14"/>
  <c r="J276" i="19"/>
  <c r="K165" i="14" s="1"/>
  <c r="H20" i="55"/>
  <c r="H19" i="55"/>
  <c r="T68" i="12"/>
  <c r="P229" i="19"/>
  <c r="P227" i="19"/>
  <c r="P226" i="19"/>
  <c r="P228" i="19"/>
  <c r="U44" i="51"/>
  <c r="P130" i="12"/>
  <c r="L217" i="54"/>
  <c r="L221" i="54" s="1"/>
  <c r="L218" i="54"/>
  <c r="AW61" i="51"/>
  <c r="Q71" i="51"/>
  <c r="Q64" i="51"/>
  <c r="R37" i="14"/>
  <c r="V34" i="12"/>
  <c r="P159" i="54"/>
  <c r="AB96" i="19"/>
  <c r="AB95" i="19" s="1"/>
  <c r="AB101" i="19"/>
  <c r="AB97" i="19"/>
  <c r="AB133" i="20"/>
  <c r="AC126" i="12"/>
  <c r="AB99" i="19"/>
  <c r="AB100" i="19"/>
  <c r="AB98" i="19"/>
  <c r="AB127" i="20"/>
  <c r="AB139" i="20"/>
  <c r="AB145" i="20"/>
  <c r="AC94" i="12"/>
  <c r="V29" i="51"/>
  <c r="BA21" i="51"/>
  <c r="Q105" i="14"/>
  <c r="U17" i="12"/>
  <c r="I12" i="55"/>
  <c r="I16" i="55"/>
  <c r="I15" i="55"/>
  <c r="I11" i="55"/>
  <c r="I13" i="55"/>
  <c r="I14" i="55"/>
  <c r="AC110" i="53"/>
  <c r="AC111" i="53" s="1"/>
  <c r="AC104" i="53"/>
  <c r="AC105" i="53" s="1"/>
  <c r="AD53" i="51" s="1"/>
  <c r="AC108" i="53"/>
  <c r="AC109" i="53" s="1"/>
  <c r="AC106" i="53"/>
  <c r="AC107" i="53" s="1"/>
  <c r="AD62" i="51" s="1"/>
  <c r="N215" i="53"/>
  <c r="N216" i="53"/>
  <c r="O86" i="12"/>
  <c r="O107" i="12"/>
  <c r="O23" i="12"/>
  <c r="Q74" i="20"/>
  <c r="Q66" i="19" s="1"/>
  <c r="Q75" i="20"/>
  <c r="Q76" i="20"/>
  <c r="Q73" i="20"/>
  <c r="Q77" i="20"/>
  <c r="Q69" i="19" s="1"/>
  <c r="Q64" i="19"/>
  <c r="R93" i="14" s="1"/>
  <c r="K308" i="20"/>
  <c r="K310" i="20"/>
  <c r="L156" i="12" s="1"/>
  <c r="P65" i="19"/>
  <c r="Q96" i="14" s="1"/>
  <c r="Q96" i="12"/>
  <c r="U65" i="14"/>
  <c r="AU73" i="51"/>
  <c r="P255" i="20"/>
  <c r="P256" i="20" s="1"/>
  <c r="Q222" i="20"/>
  <c r="AY43" i="51"/>
  <c r="AY17" i="51"/>
  <c r="P89" i="12"/>
  <c r="P22" i="12"/>
  <c r="P110" i="12"/>
  <c r="H159" i="12"/>
  <c r="J76" i="51"/>
  <c r="U15" i="51"/>
  <c r="AX57" i="51"/>
  <c r="R58" i="51"/>
  <c r="AQ15" i="55"/>
  <c r="AQ14" i="55"/>
  <c r="AQ16" i="55"/>
  <c r="AQ11" i="55"/>
  <c r="AQ13" i="55"/>
  <c r="AQ12" i="55"/>
  <c r="S81" i="12"/>
  <c r="S19" i="12"/>
  <c r="X167" i="19"/>
  <c r="X166" i="19" s="1"/>
  <c r="X211" i="20"/>
  <c r="I160" i="12"/>
  <c r="P130" i="14"/>
  <c r="P71" i="19"/>
  <c r="Q116" i="14" s="1"/>
  <c r="Q116" i="12"/>
  <c r="AZ65" i="51"/>
  <c r="S37" i="54"/>
  <c r="X43" i="54" s="1"/>
  <c r="X156" i="54" s="1"/>
  <c r="V32" i="14"/>
  <c r="S33" i="53"/>
  <c r="S39" i="53" s="1"/>
  <c r="T48" i="51"/>
  <c r="S35" i="54"/>
  <c r="AZ59" i="51"/>
  <c r="P73" i="51"/>
  <c r="V15" i="12"/>
  <c r="V36" i="12"/>
  <c r="T65" i="51"/>
  <c r="S37" i="53"/>
  <c r="X43" i="53" s="1"/>
  <c r="X156" i="53" s="1"/>
  <c r="P205" i="54"/>
  <c r="P208" i="54"/>
  <c r="Q85" i="12"/>
  <c r="Q106" i="12"/>
  <c r="Q111" i="14"/>
  <c r="Q90" i="14"/>
  <c r="Q21" i="14"/>
  <c r="R22" i="14"/>
  <c r="R110" i="14"/>
  <c r="R89" i="14"/>
  <c r="N152" i="14"/>
  <c r="R54" i="51"/>
  <c r="V21" i="51"/>
  <c r="M235" i="53"/>
  <c r="M237" i="53" s="1"/>
  <c r="M236" i="53"/>
  <c r="P146" i="14"/>
  <c r="T46" i="12"/>
  <c r="P89" i="19"/>
  <c r="Q140" i="14" s="1"/>
  <c r="Q140" i="12"/>
  <c r="K160" i="14"/>
  <c r="I164" i="12"/>
  <c r="H318" i="20"/>
  <c r="I165" i="12" s="1"/>
  <c r="N250" i="19"/>
  <c r="N251" i="19" s="1"/>
  <c r="N249" i="19"/>
  <c r="N253" i="19"/>
  <c r="V212" i="20"/>
  <c r="V170" i="19" s="1"/>
  <c r="V216" i="20"/>
  <c r="V174" i="19" s="1"/>
  <c r="V213" i="20"/>
  <c r="V171" i="19" s="1"/>
  <c r="V214" i="20"/>
  <c r="V172" i="19" s="1"/>
  <c r="V215" i="20"/>
  <c r="V173" i="19" s="1"/>
  <c r="W135" i="12"/>
  <c r="V169" i="19"/>
  <c r="U33" i="12"/>
  <c r="Z148" i="20"/>
  <c r="Z124" i="19" s="1"/>
  <c r="Z147" i="20"/>
  <c r="Z123" i="19" s="1"/>
  <c r="Z146" i="20"/>
  <c r="Z122" i="19" s="1"/>
  <c r="Z150" i="20"/>
  <c r="Z126" i="19" s="1"/>
  <c r="AA138" i="12"/>
  <c r="Z149" i="20"/>
  <c r="Z125" i="19" s="1"/>
  <c r="Z121" i="19"/>
  <c r="AA138" i="14" s="1"/>
  <c r="AX49" i="51"/>
  <c r="O230" i="19"/>
  <c r="O231" i="19"/>
  <c r="S47" i="12"/>
  <c r="N213" i="19"/>
  <c r="N214" i="19" s="1"/>
  <c r="O180" i="19"/>
  <c r="K163" i="14"/>
  <c r="K157" i="14"/>
  <c r="W167" i="19"/>
  <c r="W166" i="19" s="1"/>
  <c r="W211" i="20"/>
  <c r="Q99" i="14"/>
  <c r="P85" i="19"/>
  <c r="Q132" i="14" s="1"/>
  <c r="Q132" i="12"/>
  <c r="AZ15" i="51"/>
  <c r="N152" i="12"/>
  <c r="P141" i="12"/>
  <c r="O148" i="12"/>
  <c r="P117" i="14"/>
  <c r="R44" i="53"/>
  <c r="R75" i="53"/>
  <c r="R77" i="53"/>
  <c r="R71" i="53"/>
  <c r="R72" i="53" s="1"/>
  <c r="S57" i="51" s="1"/>
  <c r="R69" i="53"/>
  <c r="R70" i="53" s="1"/>
  <c r="S49" i="51" s="1"/>
  <c r="P74" i="19"/>
  <c r="Q121" i="14" s="1"/>
  <c r="Q121" i="12"/>
  <c r="T17" i="12"/>
  <c r="W157" i="53"/>
  <c r="X66" i="51" s="1"/>
  <c r="T39" i="12"/>
  <c r="S36" i="20"/>
  <c r="S42" i="20" s="1"/>
  <c r="T92" i="12"/>
  <c r="P86" i="14"/>
  <c r="P107" i="14"/>
  <c r="P23" i="14"/>
  <c r="AV71" i="51"/>
  <c r="AV64" i="51"/>
  <c r="W27" i="12"/>
  <c r="W31" i="12"/>
  <c r="W28" i="12"/>
  <c r="W30" i="12"/>
  <c r="X26" i="12"/>
  <c r="P78" i="54"/>
  <c r="P162" i="54"/>
  <c r="AN7" i="55"/>
  <c r="O150" i="14"/>
  <c r="P154" i="12"/>
  <c r="P97" i="12"/>
  <c r="Q85" i="14"/>
  <c r="Q106" i="14"/>
  <c r="S52" i="51"/>
  <c r="R34" i="53"/>
  <c r="AD40" i="53" s="1"/>
  <c r="BB23" i="51"/>
  <c r="BB19" i="51"/>
  <c r="BB22" i="51"/>
  <c r="BB20" i="51"/>
  <c r="P98" i="12"/>
  <c r="P211" i="53"/>
  <c r="P210" i="53"/>
  <c r="P209" i="53"/>
  <c r="P212" i="53"/>
  <c r="L259" i="53"/>
  <c r="M78" i="51" s="1"/>
  <c r="M77" i="51"/>
  <c r="Q97" i="20"/>
  <c r="Q101" i="20"/>
  <c r="Q93" i="19" s="1"/>
  <c r="Q100" i="20"/>
  <c r="Q98" i="20"/>
  <c r="Q90" i="19" s="1"/>
  <c r="Q99" i="20"/>
  <c r="Q88" i="19"/>
  <c r="R136" i="12"/>
  <c r="Q220" i="20"/>
  <c r="R147" i="12"/>
  <c r="Q143" i="12"/>
  <c r="Q99" i="12"/>
  <c r="S35" i="14"/>
  <c r="N239" i="19"/>
  <c r="N243" i="19"/>
  <c r="N241" i="19"/>
  <c r="N244" i="19"/>
  <c r="N242" i="19"/>
  <c r="N240" i="19"/>
  <c r="O257" i="20"/>
  <c r="O262" i="20"/>
  <c r="O259" i="20"/>
  <c r="O258" i="20"/>
  <c r="O261" i="20"/>
  <c r="O260" i="20"/>
  <c r="U17" i="14"/>
  <c r="Z144" i="20"/>
  <c r="Z120" i="19" s="1"/>
  <c r="Z142" i="20"/>
  <c r="Z118" i="19" s="1"/>
  <c r="Z141" i="20"/>
  <c r="Z117" i="19" s="1"/>
  <c r="Z140" i="20"/>
  <c r="Z116" i="19" s="1"/>
  <c r="Z143" i="20"/>
  <c r="Z119" i="19" s="1"/>
  <c r="Z115" i="19"/>
  <c r="AA94" i="14" s="1"/>
  <c r="Z136" i="20"/>
  <c r="Z112" i="19" s="1"/>
  <c r="Z135" i="20"/>
  <c r="Z111" i="19" s="1"/>
  <c r="Z137" i="20"/>
  <c r="Z113" i="19" s="1"/>
  <c r="Z138" i="20"/>
  <c r="Z114" i="19" s="1"/>
  <c r="Z134" i="20"/>
  <c r="Z110" i="19" s="1"/>
  <c r="Z109" i="19"/>
  <c r="AA126" i="14" s="1"/>
  <c r="Q78" i="53"/>
  <c r="R61" i="51" s="1"/>
  <c r="Q162" i="53"/>
  <c r="V15" i="14"/>
  <c r="K258" i="54"/>
  <c r="K241" i="54"/>
  <c r="P141" i="14"/>
  <c r="P117" i="12"/>
  <c r="P72" i="19"/>
  <c r="Q119" i="14" s="1"/>
  <c r="Q119" i="12"/>
  <c r="AY48" i="51"/>
  <c r="R33" i="54"/>
  <c r="R39" i="54" s="1"/>
  <c r="W13" i="12"/>
  <c r="W62" i="12"/>
  <c r="X12" i="12"/>
  <c r="P154" i="14"/>
  <c r="P97" i="14"/>
  <c r="Q89" i="14"/>
  <c r="Q22" i="14"/>
  <c r="Q110" i="14"/>
  <c r="L300" i="20"/>
  <c r="P118" i="14"/>
  <c r="M233" i="54"/>
  <c r="M234" i="54" s="1"/>
  <c r="S46" i="51"/>
  <c r="R90" i="14"/>
  <c r="R21" i="14"/>
  <c r="R111" i="14"/>
  <c r="R95" i="12"/>
  <c r="P153" i="14"/>
  <c r="P98" i="14"/>
  <c r="T43" i="51"/>
  <c r="T17" i="51"/>
  <c r="J164" i="12"/>
  <c r="I318" i="20"/>
  <c r="J165" i="12" s="1"/>
  <c r="Q71" i="54"/>
  <c r="Q72" i="54" s="1"/>
  <c r="Q69" i="54"/>
  <c r="Q70" i="54" s="1"/>
  <c r="Q77" i="54"/>
  <c r="Q75" i="54"/>
  <c r="Q76" i="54" s="1"/>
  <c r="Q44" i="54"/>
  <c r="M74" i="51"/>
  <c r="L253" i="53"/>
  <c r="P92" i="19"/>
  <c r="Q145" i="14" s="1"/>
  <c r="Q145" i="12"/>
  <c r="P68" i="19"/>
  <c r="Q101" i="14" s="1"/>
  <c r="Q101" i="12"/>
  <c r="AV70" i="51"/>
  <c r="P105" i="12"/>
  <c r="S47" i="14"/>
  <c r="N274" i="20"/>
  <c r="N275" i="20"/>
  <c r="AW54" i="51"/>
  <c r="Z128" i="20"/>
  <c r="Z104" i="19" s="1"/>
  <c r="Z132" i="20"/>
  <c r="Z108" i="19" s="1"/>
  <c r="Z129" i="20"/>
  <c r="Z105" i="19" s="1"/>
  <c r="Z130" i="20"/>
  <c r="Z106" i="19" s="1"/>
  <c r="Z131" i="20"/>
  <c r="Z107" i="19" s="1"/>
  <c r="Z103" i="19"/>
  <c r="AA103" i="14" s="1"/>
  <c r="AA103" i="12"/>
  <c r="Q143" i="14"/>
  <c r="Q159" i="53"/>
  <c r="M218" i="19"/>
  <c r="M216" i="19"/>
  <c r="M217" i="19"/>
  <c r="M219" i="19"/>
  <c r="M215" i="19"/>
  <c r="M220" i="19"/>
  <c r="W13" i="14"/>
  <c r="W62" i="14"/>
  <c r="X12" i="14"/>
  <c r="M258" i="19"/>
  <c r="M259" i="19" s="1"/>
  <c r="S68" i="12"/>
  <c r="P86" i="19"/>
  <c r="Q133" i="14" s="1"/>
  <c r="Q133" i="12"/>
  <c r="S36" i="19"/>
  <c r="S42" i="19" s="1"/>
  <c r="T39" i="14"/>
  <c r="T92" i="14"/>
  <c r="AZ25" i="51"/>
  <c r="BB12" i="51"/>
  <c r="BB36" i="51"/>
  <c r="M216" i="54"/>
  <c r="M215" i="54"/>
  <c r="BC66" i="51"/>
  <c r="BZ13" i="55"/>
  <c r="BZ16" i="55"/>
  <c r="BZ11" i="55"/>
  <c r="BZ19" i="55" s="1"/>
  <c r="BZ15" i="55"/>
  <c r="BZ12" i="55"/>
  <c r="BZ14" i="55"/>
  <c r="Q120" i="12"/>
  <c r="P73" i="19"/>
  <c r="Q120" i="14" s="1"/>
  <c r="W28" i="14"/>
  <c r="W31" i="14"/>
  <c r="W30" i="14"/>
  <c r="W27" i="14"/>
  <c r="X26" i="14"/>
  <c r="V29" i="14"/>
  <c r="P142" i="12"/>
  <c r="V63" i="12"/>
  <c r="V64" i="12"/>
  <c r="V29" i="12"/>
  <c r="J164" i="14"/>
  <c r="I276" i="19"/>
  <c r="J165" i="14" s="1"/>
  <c r="Q105" i="12"/>
  <c r="P118" i="12"/>
  <c r="O210" i="54"/>
  <c r="O209" i="54"/>
  <c r="O212" i="54"/>
  <c r="O211" i="54"/>
  <c r="N233" i="53"/>
  <c r="N234" i="53" s="1"/>
  <c r="O223" i="19"/>
  <c r="O224" i="19" s="1"/>
  <c r="O246" i="19"/>
  <c r="O247" i="19" s="1"/>
  <c r="V24" i="51"/>
  <c r="N233" i="54"/>
  <c r="T45" i="12"/>
  <c r="P153" i="12" l="1"/>
  <c r="R143" i="14"/>
  <c r="AW72" i="51"/>
  <c r="R9" i="55"/>
  <c r="BA59" i="51"/>
  <c r="T35" i="54"/>
  <c r="R204" i="53"/>
  <c r="R208" i="53" s="1"/>
  <c r="Q204" i="54"/>
  <c r="S51" i="51"/>
  <c r="R127" i="14"/>
  <c r="P149" i="12"/>
  <c r="R105" i="14"/>
  <c r="AX51" i="51"/>
  <c r="R218" i="20"/>
  <c r="W14" i="14"/>
  <c r="H161" i="12"/>
  <c r="T37" i="53"/>
  <c r="Y43" i="53" s="1"/>
  <c r="Y156" i="53" s="1"/>
  <c r="V36" i="14"/>
  <c r="Q146" i="14"/>
  <c r="S127" i="12"/>
  <c r="R72" i="51"/>
  <c r="V65" i="14"/>
  <c r="BZ6" i="55"/>
  <c r="O233" i="53"/>
  <c r="O236" i="53" s="1"/>
  <c r="O241" i="53" s="1"/>
  <c r="Q159" i="54"/>
  <c r="R176" i="19"/>
  <c r="N236" i="54"/>
  <c r="N241" i="54" s="1"/>
  <c r="Q266" i="20"/>
  <c r="AP6" i="55"/>
  <c r="AQ6" i="55"/>
  <c r="J7" i="55"/>
  <c r="I6" i="55"/>
  <c r="AQ7" i="55"/>
  <c r="AX9" i="55"/>
  <c r="W15" i="14"/>
  <c r="V33" i="12"/>
  <c r="M218" i="54"/>
  <c r="M217" i="54"/>
  <c r="M221" i="54" s="1"/>
  <c r="T35" i="14"/>
  <c r="Q129" i="14"/>
  <c r="N276" i="20"/>
  <c r="N280" i="20" s="1"/>
  <c r="N277" i="20"/>
  <c r="R86" i="14"/>
  <c r="R107" i="14"/>
  <c r="R23" i="14"/>
  <c r="AX61" i="51"/>
  <c r="R71" i="51"/>
  <c r="R64" i="51"/>
  <c r="BB24" i="51"/>
  <c r="S54" i="51"/>
  <c r="X31" i="12"/>
  <c r="X27" i="12"/>
  <c r="X28" i="12"/>
  <c r="X30" i="12"/>
  <c r="Y26" i="12"/>
  <c r="W29" i="12"/>
  <c r="R76" i="53"/>
  <c r="S67" i="51"/>
  <c r="W215" i="20"/>
  <c r="W173" i="19" s="1"/>
  <c r="W214" i="20"/>
  <c r="W172" i="19" s="1"/>
  <c r="W212" i="20"/>
  <c r="W170" i="19" s="1"/>
  <c r="W216" i="20"/>
  <c r="W174" i="19" s="1"/>
  <c r="W213" i="20"/>
  <c r="W171" i="19" s="1"/>
  <c r="W169" i="19"/>
  <c r="X135" i="12"/>
  <c r="N217" i="19"/>
  <c r="N219" i="19"/>
  <c r="N216" i="19"/>
  <c r="N218" i="19"/>
  <c r="N215" i="19"/>
  <c r="N220" i="19"/>
  <c r="U92" i="12"/>
  <c r="T36" i="20"/>
  <c r="T42" i="20" s="1"/>
  <c r="U39" i="12"/>
  <c r="P210" i="54"/>
  <c r="P209" i="54"/>
  <c r="P212" i="54"/>
  <c r="P211" i="54"/>
  <c r="S44" i="53"/>
  <c r="S71" i="53"/>
  <c r="S72" i="53" s="1"/>
  <c r="T57" i="51" s="1"/>
  <c r="S75" i="53"/>
  <c r="S69" i="53"/>
  <c r="S70" i="53" s="1"/>
  <c r="T49" i="51" s="1"/>
  <c r="S77" i="53"/>
  <c r="AX58" i="51"/>
  <c r="Q255" i="20"/>
  <c r="Q256" i="20" s="1"/>
  <c r="R222" i="20"/>
  <c r="T40" i="19"/>
  <c r="Y46" i="19" s="1"/>
  <c r="U70" i="14"/>
  <c r="U71" i="14"/>
  <c r="U66" i="14"/>
  <c r="U134" i="14"/>
  <c r="Q65" i="19"/>
  <c r="R96" i="14" s="1"/>
  <c r="R96" i="12"/>
  <c r="Q153" i="14"/>
  <c r="Q98" i="14"/>
  <c r="BC19" i="51"/>
  <c r="BC23" i="51"/>
  <c r="BC20" i="51"/>
  <c r="BC22" i="51"/>
  <c r="U38" i="19"/>
  <c r="V48" i="14"/>
  <c r="V44" i="14"/>
  <c r="V49" i="14"/>
  <c r="V122" i="14"/>
  <c r="P222" i="53"/>
  <c r="P225" i="53"/>
  <c r="P226" i="53"/>
  <c r="P227" i="53"/>
  <c r="P223" i="53"/>
  <c r="P224" i="53"/>
  <c r="S84" i="14"/>
  <c r="U46" i="12"/>
  <c r="K160" i="12"/>
  <c r="R115" i="14"/>
  <c r="U45" i="14"/>
  <c r="W43" i="14"/>
  <c r="W29" i="51"/>
  <c r="R110" i="12"/>
  <c r="R89" i="12"/>
  <c r="R22" i="12"/>
  <c r="W14" i="51"/>
  <c r="W13" i="51"/>
  <c r="R75" i="20"/>
  <c r="R73" i="20"/>
  <c r="R77" i="20"/>
  <c r="R69" i="19" s="1"/>
  <c r="R74" i="20"/>
  <c r="R66" i="19" s="1"/>
  <c r="R76" i="20"/>
  <c r="R64" i="19"/>
  <c r="S93" i="14" s="1"/>
  <c r="K164" i="12"/>
  <c r="J318" i="20"/>
  <c r="K165" i="12" s="1"/>
  <c r="I161" i="12"/>
  <c r="P203" i="53"/>
  <c r="P201" i="53"/>
  <c r="P200" i="53"/>
  <c r="P199" i="53"/>
  <c r="P198" i="53"/>
  <c r="P202" i="53"/>
  <c r="U40" i="19"/>
  <c r="Z46" i="19" s="1"/>
  <c r="V71" i="14"/>
  <c r="V134" i="14"/>
  <c r="V66" i="14"/>
  <c r="V70" i="14"/>
  <c r="M300" i="20"/>
  <c r="M301" i="20" s="1"/>
  <c r="O219" i="54"/>
  <c r="O231" i="54" s="1"/>
  <c r="O232" i="54" s="1"/>
  <c r="O220" i="54"/>
  <c r="W29" i="14"/>
  <c r="S47" i="19"/>
  <c r="Q154" i="12"/>
  <c r="Q97" i="12"/>
  <c r="P151" i="14"/>
  <c r="P150" i="14"/>
  <c r="W64" i="12"/>
  <c r="W63" i="12"/>
  <c r="AR77" i="51"/>
  <c r="K259" i="54"/>
  <c r="AR78" i="51" s="1"/>
  <c r="U81" i="14"/>
  <c r="U19" i="14"/>
  <c r="S37" i="14"/>
  <c r="Q92" i="19"/>
  <c r="R145" i="14" s="1"/>
  <c r="R145" i="12"/>
  <c r="P213" i="53"/>
  <c r="P214" i="53"/>
  <c r="BD66" i="51"/>
  <c r="R159" i="53"/>
  <c r="Q130" i="12"/>
  <c r="V25" i="51"/>
  <c r="R108" i="14"/>
  <c r="R87" i="14"/>
  <c r="P258" i="20"/>
  <c r="P259" i="20"/>
  <c r="P257" i="20"/>
  <c r="P260" i="20"/>
  <c r="P261" i="20"/>
  <c r="P262" i="20"/>
  <c r="Q68" i="19"/>
  <c r="R101" i="14" s="1"/>
  <c r="R101" i="12"/>
  <c r="V82" i="14"/>
  <c r="Q73" i="51"/>
  <c r="P223" i="19"/>
  <c r="P224" i="19" s="1"/>
  <c r="P246" i="19"/>
  <c r="P247" i="19" s="1"/>
  <c r="W24" i="51"/>
  <c r="Q108" i="12"/>
  <c r="Q87" i="12"/>
  <c r="AW70" i="51"/>
  <c r="T81" i="14"/>
  <c r="T19" i="14"/>
  <c r="U45" i="12"/>
  <c r="U46" i="14"/>
  <c r="L160" i="14"/>
  <c r="BC12" i="51"/>
  <c r="BC36" i="51"/>
  <c r="T69" i="12"/>
  <c r="P86" i="12"/>
  <c r="P107" i="12"/>
  <c r="P23" i="12"/>
  <c r="T33" i="53"/>
  <c r="T39" i="53" s="1"/>
  <c r="U48" i="51"/>
  <c r="L163" i="14"/>
  <c r="L157" i="14"/>
  <c r="R99" i="12"/>
  <c r="O250" i="19"/>
  <c r="O251" i="19" s="1"/>
  <c r="O249" i="19"/>
  <c r="V44" i="51"/>
  <c r="V65" i="12"/>
  <c r="V33" i="14"/>
  <c r="W32" i="14"/>
  <c r="BB37" i="51"/>
  <c r="BB38" i="51"/>
  <c r="M266" i="19"/>
  <c r="M268" i="19"/>
  <c r="N156" i="14" s="1"/>
  <c r="Q154" i="14"/>
  <c r="Q97" i="14"/>
  <c r="Q208" i="54"/>
  <c r="Q205" i="54"/>
  <c r="W83" i="12"/>
  <c r="K242" i="54"/>
  <c r="K251" i="54" s="1"/>
  <c r="AR75" i="51" s="1"/>
  <c r="BB21" i="51"/>
  <c r="W38" i="12"/>
  <c r="T81" i="12"/>
  <c r="T19" i="12"/>
  <c r="Q130" i="14"/>
  <c r="W135" i="14"/>
  <c r="S102" i="12"/>
  <c r="S20" i="12"/>
  <c r="S24" i="12"/>
  <c r="S25" i="12"/>
  <c r="R37" i="20"/>
  <c r="AD43" i="20" s="1"/>
  <c r="AQ19" i="55"/>
  <c r="AQ20" i="55"/>
  <c r="U43" i="51"/>
  <c r="U17" i="51"/>
  <c r="P87" i="12"/>
  <c r="P108" i="12"/>
  <c r="Q67" i="19"/>
  <c r="R100" i="14" s="1"/>
  <c r="R100" i="12"/>
  <c r="AB134" i="20"/>
  <c r="AB110" i="19" s="1"/>
  <c r="AB138" i="20"/>
  <c r="AB114" i="19" s="1"/>
  <c r="AB136" i="20"/>
  <c r="AB112" i="19" s="1"/>
  <c r="AB135" i="20"/>
  <c r="AB111" i="19" s="1"/>
  <c r="AB137" i="20"/>
  <c r="AB113" i="19" s="1"/>
  <c r="AB109" i="19"/>
  <c r="AC126" i="14" s="1"/>
  <c r="Q139" i="14"/>
  <c r="Q86" i="19"/>
  <c r="R133" i="14" s="1"/>
  <c r="R133" i="12"/>
  <c r="T68" i="14"/>
  <c r="W21" i="51"/>
  <c r="V39" i="51"/>
  <c r="O215" i="53"/>
  <c r="O216" i="53"/>
  <c r="BA44" i="51"/>
  <c r="O151" i="12"/>
  <c r="K15" i="55"/>
  <c r="K12" i="55"/>
  <c r="K14" i="55"/>
  <c r="K13" i="55"/>
  <c r="K16" i="55"/>
  <c r="K11" i="55"/>
  <c r="AO16" i="55"/>
  <c r="AO12" i="55"/>
  <c r="AO15" i="55"/>
  <c r="AO11" i="55"/>
  <c r="AO13" i="55"/>
  <c r="AO14" i="55"/>
  <c r="P272" i="20"/>
  <c r="P273" i="20"/>
  <c r="K76" i="51"/>
  <c r="AP7" i="55"/>
  <c r="BI50" i="51"/>
  <c r="O224" i="54"/>
  <c r="O227" i="54"/>
  <c r="O222" i="54"/>
  <c r="O225" i="54"/>
  <c r="O223" i="54"/>
  <c r="O226" i="54"/>
  <c r="T47" i="12"/>
  <c r="O213" i="54"/>
  <c r="O214" i="54"/>
  <c r="BB14" i="51"/>
  <c r="BB13" i="51"/>
  <c r="Q141" i="12"/>
  <c r="T52" i="51"/>
  <c r="S34" i="53"/>
  <c r="AE40" i="53" s="1"/>
  <c r="L301" i="20"/>
  <c r="L308" i="20" s="1"/>
  <c r="Q89" i="19"/>
  <c r="R140" i="14" s="1"/>
  <c r="R140" i="12"/>
  <c r="W34" i="12"/>
  <c r="Q117" i="12"/>
  <c r="S84" i="12"/>
  <c r="O150" i="12"/>
  <c r="BA25" i="51"/>
  <c r="AB147" i="20"/>
  <c r="AB123" i="19" s="1"/>
  <c r="AB146" i="20"/>
  <c r="AB122" i="19" s="1"/>
  <c r="AB121" i="19"/>
  <c r="AC138" i="14" s="1"/>
  <c r="AB150" i="20"/>
  <c r="AB126" i="19" s="1"/>
  <c r="AB148" i="20"/>
  <c r="AB124" i="19" s="1"/>
  <c r="AB149" i="20"/>
  <c r="AB125" i="19" s="1"/>
  <c r="AC138" i="12"/>
  <c r="AW71" i="51"/>
  <c r="AW64" i="51"/>
  <c r="O290" i="20"/>
  <c r="O291" i="20" s="1"/>
  <c r="O292" i="20"/>
  <c r="O293" i="20" s="1"/>
  <c r="Q83" i="19"/>
  <c r="R128" i="14" s="1"/>
  <c r="R128" i="12"/>
  <c r="U66" i="12"/>
  <c r="U70" i="12"/>
  <c r="T40" i="20"/>
  <c r="Y46" i="20" s="1"/>
  <c r="U134" i="12"/>
  <c r="U71" i="12"/>
  <c r="O234" i="53"/>
  <c r="O235" i="53" s="1"/>
  <c r="AA141" i="20"/>
  <c r="AA117" i="19" s="1"/>
  <c r="AA143" i="20"/>
  <c r="AA119" i="19" s="1"/>
  <c r="AA142" i="20"/>
  <c r="AA118" i="19" s="1"/>
  <c r="AA140" i="20"/>
  <c r="AA116" i="19" s="1"/>
  <c r="AA144" i="20"/>
  <c r="AA120" i="19" s="1"/>
  <c r="AA115" i="19"/>
  <c r="AB94" i="14" s="1"/>
  <c r="Q142" i="12"/>
  <c r="Q283" i="20"/>
  <c r="Q285" i="20"/>
  <c r="Q282" i="20"/>
  <c r="Q284" i="20"/>
  <c r="Q281" i="20"/>
  <c r="Q286" i="20"/>
  <c r="Q71" i="19"/>
  <c r="R116" i="14" s="1"/>
  <c r="R116" i="12"/>
  <c r="J159" i="12"/>
  <c r="R105" i="12"/>
  <c r="R85" i="20"/>
  <c r="R77" i="19" s="1"/>
  <c r="R89" i="20"/>
  <c r="R81" i="19" s="1"/>
  <c r="R86" i="20"/>
  <c r="R78" i="19" s="1"/>
  <c r="R88" i="20"/>
  <c r="R80" i="19" s="1"/>
  <c r="R87" i="20"/>
  <c r="R79" i="19" s="1"/>
  <c r="S104" i="12"/>
  <c r="R76" i="19"/>
  <c r="S104" i="14" s="1"/>
  <c r="AX67" i="51"/>
  <c r="R70" i="51"/>
  <c r="K163" i="12"/>
  <c r="K157" i="12"/>
  <c r="J20" i="55"/>
  <c r="J19" i="55"/>
  <c r="AP19" i="55"/>
  <c r="AP20" i="55"/>
  <c r="CA13" i="55"/>
  <c r="CA14" i="55"/>
  <c r="CA12" i="55"/>
  <c r="CA15" i="55"/>
  <c r="CA11" i="55"/>
  <c r="CA19" i="55" s="1"/>
  <c r="CA16" i="55"/>
  <c r="BI68" i="51"/>
  <c r="Q212" i="53"/>
  <c r="Q209" i="53"/>
  <c r="Q210" i="53"/>
  <c r="Q211" i="53"/>
  <c r="BA15" i="51"/>
  <c r="Q141" i="14"/>
  <c r="T46" i="51"/>
  <c r="P151" i="12"/>
  <c r="P206" i="54"/>
  <c r="P207" i="54" s="1"/>
  <c r="P229" i="54"/>
  <c r="P230" i="54" s="1"/>
  <c r="W32" i="12"/>
  <c r="AV73" i="51"/>
  <c r="T93" i="12"/>
  <c r="S52" i="19"/>
  <c r="S49" i="19" s="1"/>
  <c r="S177" i="19" s="1"/>
  <c r="S51" i="19"/>
  <c r="S50" i="19"/>
  <c r="S60" i="19"/>
  <c r="S55" i="19"/>
  <c r="S53" i="19"/>
  <c r="T124" i="12"/>
  <c r="S90" i="20"/>
  <c r="S57" i="19"/>
  <c r="S58" i="19"/>
  <c r="S62" i="19"/>
  <c r="S54" i="19"/>
  <c r="S61" i="19"/>
  <c r="S59" i="19"/>
  <c r="S84" i="20"/>
  <c r="S47" i="20"/>
  <c r="S96" i="20"/>
  <c r="S78" i="20"/>
  <c r="S72" i="20"/>
  <c r="S221" i="20"/>
  <c r="Q117" i="14"/>
  <c r="K159" i="14"/>
  <c r="O232" i="19"/>
  <c r="O233" i="19"/>
  <c r="N258" i="19"/>
  <c r="N259" i="19" s="1"/>
  <c r="X157" i="53"/>
  <c r="Y66" i="51" s="1"/>
  <c r="X157" i="54"/>
  <c r="Q149" i="12"/>
  <c r="N218" i="53"/>
  <c r="N217" i="53"/>
  <c r="N221" i="53" s="1"/>
  <c r="I7" i="55"/>
  <c r="AB144" i="20"/>
  <c r="AB120" i="19" s="1"/>
  <c r="AB143" i="20"/>
  <c r="AB119" i="19" s="1"/>
  <c r="AB141" i="20"/>
  <c r="AB117" i="19" s="1"/>
  <c r="AB140" i="20"/>
  <c r="AB116" i="19" s="1"/>
  <c r="AB142" i="20"/>
  <c r="AB118" i="19" s="1"/>
  <c r="AB115" i="19"/>
  <c r="AC94" i="14" s="1"/>
  <c r="P230" i="19"/>
  <c r="P231" i="19"/>
  <c r="R143" i="12"/>
  <c r="P285" i="20"/>
  <c r="P286" i="20"/>
  <c r="P282" i="20"/>
  <c r="P283" i="20"/>
  <c r="P281" i="20"/>
  <c r="P284" i="20"/>
  <c r="BB29" i="51"/>
  <c r="S37" i="12"/>
  <c r="N215" i="54"/>
  <c r="N216" i="54"/>
  <c r="AA135" i="20"/>
  <c r="AA111" i="19" s="1"/>
  <c r="AA137" i="20"/>
  <c r="AA113" i="19" s="1"/>
  <c r="AA138" i="20"/>
  <c r="AA114" i="19" s="1"/>
  <c r="AA136" i="20"/>
  <c r="AA112" i="19" s="1"/>
  <c r="AA134" i="20"/>
  <c r="AA110" i="19" s="1"/>
  <c r="AA109" i="19"/>
  <c r="AB126" i="14" s="1"/>
  <c r="Q142" i="14"/>
  <c r="Q72" i="19"/>
  <c r="R119" i="14" s="1"/>
  <c r="R119" i="12"/>
  <c r="X27" i="51"/>
  <c r="X28" i="51"/>
  <c r="BD26" i="51"/>
  <c r="Y26" i="51"/>
  <c r="J159" i="14"/>
  <c r="R85" i="12"/>
  <c r="R106" i="12"/>
  <c r="R92" i="20"/>
  <c r="R84" i="19" s="1"/>
  <c r="R93" i="20"/>
  <c r="R95" i="20"/>
  <c r="R87" i="19" s="1"/>
  <c r="R94" i="20"/>
  <c r="R91" i="20"/>
  <c r="R82" i="19"/>
  <c r="S124" i="14" s="1"/>
  <c r="V122" i="12"/>
  <c r="V44" i="12"/>
  <c r="U38" i="20"/>
  <c r="V49" i="12"/>
  <c r="V48" i="12"/>
  <c r="R272" i="19"/>
  <c r="R273" i="19"/>
  <c r="R222" i="19"/>
  <c r="R221" i="19"/>
  <c r="R225" i="19"/>
  <c r="J6" i="55"/>
  <c r="AC104" i="54"/>
  <c r="AC105" i="54" s="1"/>
  <c r="AC110" i="54"/>
  <c r="AC111" i="54" s="1"/>
  <c r="AC108" i="54"/>
  <c r="AC109" i="54" s="1"/>
  <c r="AC106" i="54"/>
  <c r="AC107" i="54" s="1"/>
  <c r="O196" i="54"/>
  <c r="O197" i="54" s="1"/>
  <c r="P163" i="54"/>
  <c r="CB9" i="55"/>
  <c r="X41" i="12"/>
  <c r="X42" i="12"/>
  <c r="Y40" i="12"/>
  <c r="O244" i="19"/>
  <c r="O242" i="19"/>
  <c r="O240" i="19"/>
  <c r="O239" i="19"/>
  <c r="O241" i="19"/>
  <c r="O243" i="19"/>
  <c r="Q118" i="14"/>
  <c r="BZ7" i="55"/>
  <c r="S33" i="54"/>
  <c r="S39" i="54" s="1"/>
  <c r="AZ48" i="51"/>
  <c r="X13" i="14"/>
  <c r="X62" i="14"/>
  <c r="Y12" i="14"/>
  <c r="P148" i="12"/>
  <c r="Q78" i="54"/>
  <c r="Q162" i="54"/>
  <c r="M235" i="54"/>
  <c r="M237" i="54" s="1"/>
  <c r="M236" i="54"/>
  <c r="W14" i="12"/>
  <c r="R139" i="12"/>
  <c r="T35" i="12"/>
  <c r="AY49" i="51"/>
  <c r="Q86" i="14"/>
  <c r="Q107" i="14"/>
  <c r="Q23" i="14"/>
  <c r="V16" i="12"/>
  <c r="AY52" i="51"/>
  <c r="R34" i="54"/>
  <c r="AD40" i="54" s="1"/>
  <c r="Q149" i="14"/>
  <c r="BJ62" i="51"/>
  <c r="I19" i="55"/>
  <c r="I20" i="55"/>
  <c r="U35" i="53"/>
  <c r="V59" i="51"/>
  <c r="AB129" i="20"/>
  <c r="AB105" i="19" s="1"/>
  <c r="AB130" i="20"/>
  <c r="AB106" i="19" s="1"/>
  <c r="AB128" i="20"/>
  <c r="AB104" i="19" s="1"/>
  <c r="AB132" i="20"/>
  <c r="AB108" i="19" s="1"/>
  <c r="AB131" i="20"/>
  <c r="AB107" i="19" s="1"/>
  <c r="AB103" i="19"/>
  <c r="AC103" i="14" s="1"/>
  <c r="AC103" i="12"/>
  <c r="R99" i="14"/>
  <c r="Q229" i="19"/>
  <c r="Q227" i="19"/>
  <c r="Q226" i="19"/>
  <c r="Q228" i="19"/>
  <c r="L241" i="54"/>
  <c r="L242" i="54" s="1"/>
  <c r="L258" i="54"/>
  <c r="Q85" i="19"/>
  <c r="R132" i="14" s="1"/>
  <c r="R132" i="12"/>
  <c r="N234" i="54"/>
  <c r="N235" i="54" s="1"/>
  <c r="AA103" i="19"/>
  <c r="AB103" i="14" s="1"/>
  <c r="AB103" i="12"/>
  <c r="AA129" i="20"/>
  <c r="AA105" i="19" s="1"/>
  <c r="AA131" i="20"/>
  <c r="AA107" i="19" s="1"/>
  <c r="AA128" i="20"/>
  <c r="AA104" i="19" s="1"/>
  <c r="AA130" i="20"/>
  <c r="AA106" i="19" s="1"/>
  <c r="AA132" i="20"/>
  <c r="AA108" i="19" s="1"/>
  <c r="Q73" i="19"/>
  <c r="R120" i="14" s="1"/>
  <c r="R120" i="12"/>
  <c r="BC27" i="51"/>
  <c r="BC28" i="51"/>
  <c r="Q107" i="12"/>
  <c r="Q86" i="12"/>
  <c r="Q23" i="12"/>
  <c r="N234" i="19"/>
  <c r="N238" i="19" s="1"/>
  <c r="N235" i="19"/>
  <c r="R83" i="20"/>
  <c r="R75" i="19" s="1"/>
  <c r="R70" i="19"/>
  <c r="S114" i="14" s="1"/>
  <c r="R81" i="20"/>
  <c r="S114" i="12"/>
  <c r="R80" i="20"/>
  <c r="R82" i="20"/>
  <c r="R79" i="20"/>
  <c r="R265" i="20"/>
  <c r="R288" i="20"/>
  <c r="R289" i="20" s="1"/>
  <c r="R97" i="20"/>
  <c r="R101" i="20"/>
  <c r="R93" i="19" s="1"/>
  <c r="R98" i="20"/>
  <c r="R90" i="19" s="1"/>
  <c r="R100" i="20"/>
  <c r="R99" i="20"/>
  <c r="S136" i="12"/>
  <c r="R88" i="19"/>
  <c r="R220" i="20"/>
  <c r="BA39" i="51"/>
  <c r="P279" i="20"/>
  <c r="P278" i="20"/>
  <c r="N199" i="54"/>
  <c r="N201" i="54"/>
  <c r="N203" i="54"/>
  <c r="N202" i="54"/>
  <c r="N200" i="54"/>
  <c r="N198" i="54"/>
  <c r="V15" i="51"/>
  <c r="W43" i="12"/>
  <c r="X27" i="14"/>
  <c r="X28" i="14"/>
  <c r="X30" i="14"/>
  <c r="X31" i="14"/>
  <c r="Y26" i="14"/>
  <c r="N235" i="53"/>
  <c r="N237" i="53" s="1"/>
  <c r="N236" i="53"/>
  <c r="W38" i="14"/>
  <c r="Q118" i="12"/>
  <c r="W64" i="14"/>
  <c r="W63" i="14"/>
  <c r="M76" i="51"/>
  <c r="V16" i="14"/>
  <c r="R136" i="14"/>
  <c r="Q179" i="19"/>
  <c r="P219" i="53"/>
  <c r="P231" i="53" s="1"/>
  <c r="P220" i="53"/>
  <c r="P88" i="14"/>
  <c r="P109" i="14"/>
  <c r="AY57" i="51"/>
  <c r="S58" i="51"/>
  <c r="O213" i="19"/>
  <c r="O214" i="19" s="1"/>
  <c r="P180" i="19"/>
  <c r="N252" i="19"/>
  <c r="N254" i="19" s="1"/>
  <c r="M258" i="53"/>
  <c r="M241" i="53"/>
  <c r="M242" i="53" s="1"/>
  <c r="X213" i="20"/>
  <c r="X171" i="19" s="1"/>
  <c r="X214" i="20"/>
  <c r="X172" i="19" s="1"/>
  <c r="X215" i="20"/>
  <c r="X173" i="19" s="1"/>
  <c r="X216" i="20"/>
  <c r="X174" i="19" s="1"/>
  <c r="X212" i="20"/>
  <c r="X170" i="19" s="1"/>
  <c r="Y135" i="12"/>
  <c r="X169" i="19"/>
  <c r="AY46" i="51"/>
  <c r="L162" i="12"/>
  <c r="L158" i="12"/>
  <c r="R147" i="14"/>
  <c r="R95" i="14"/>
  <c r="O88" i="12"/>
  <c r="O109" i="12"/>
  <c r="AD68" i="51"/>
  <c r="AD50" i="51"/>
  <c r="AX4" i="55"/>
  <c r="L259" i="19"/>
  <c r="L266" i="19" s="1"/>
  <c r="Q84" i="19"/>
  <c r="R131" i="14" s="1"/>
  <c r="R131" i="12"/>
  <c r="X20" i="51"/>
  <c r="X23" i="51"/>
  <c r="X19" i="51"/>
  <c r="X22" i="51"/>
  <c r="BD18" i="51"/>
  <c r="Y18" i="51"/>
  <c r="N294" i="20"/>
  <c r="N296" i="20" s="1"/>
  <c r="N295" i="20"/>
  <c r="S69" i="12"/>
  <c r="AA150" i="20"/>
  <c r="AA126" i="19" s="1"/>
  <c r="AA147" i="20"/>
  <c r="AA123" i="19" s="1"/>
  <c r="AA149" i="20"/>
  <c r="AA125" i="19" s="1"/>
  <c r="AA148" i="20"/>
  <c r="AA124" i="19" s="1"/>
  <c r="AA146" i="20"/>
  <c r="AA122" i="19" s="1"/>
  <c r="AB138" i="12"/>
  <c r="AA121" i="19"/>
  <c r="AB138" i="14" s="1"/>
  <c r="Q271" i="20"/>
  <c r="Q268" i="20"/>
  <c r="Q269" i="20"/>
  <c r="Q270" i="20"/>
  <c r="Q74" i="19"/>
  <c r="R121" i="14" s="1"/>
  <c r="R121" i="12"/>
  <c r="AC96" i="19"/>
  <c r="AC95" i="19" s="1"/>
  <c r="AC139" i="20"/>
  <c r="AC133" i="20"/>
  <c r="AD94" i="12"/>
  <c r="AC100" i="19"/>
  <c r="AC98" i="19"/>
  <c r="AC99" i="19"/>
  <c r="AC101" i="19"/>
  <c r="AC97" i="19"/>
  <c r="AD126" i="12"/>
  <c r="AC127" i="20"/>
  <c r="AC145" i="20"/>
  <c r="X36" i="51"/>
  <c r="BD10" i="51"/>
  <c r="Y10" i="51"/>
  <c r="X12" i="51"/>
  <c r="R264" i="20"/>
  <c r="R314" i="20"/>
  <c r="S4" i="55"/>
  <c r="R263" i="20"/>
  <c r="R315" i="20"/>
  <c r="R267" i="20"/>
  <c r="T36" i="19"/>
  <c r="T42" i="19" s="1"/>
  <c r="U92" i="14"/>
  <c r="U39" i="14"/>
  <c r="AX54" i="51"/>
  <c r="L164" i="14"/>
  <c r="K276" i="19"/>
  <c r="L165" i="14" s="1"/>
  <c r="Y157" i="53"/>
  <c r="Z66" i="51" s="1"/>
  <c r="W34" i="14"/>
  <c r="Q129" i="12"/>
  <c r="W83" i="14"/>
  <c r="Q87" i="14"/>
  <c r="Q108" i="14"/>
  <c r="X13" i="12"/>
  <c r="X62" i="12"/>
  <c r="Y12" i="12"/>
  <c r="R75" i="54"/>
  <c r="R76" i="54" s="1"/>
  <c r="R71" i="54"/>
  <c r="R72" i="54" s="1"/>
  <c r="R69" i="54"/>
  <c r="R70" i="54" s="1"/>
  <c r="R77" i="54"/>
  <c r="R44" i="54"/>
  <c r="Q206" i="53"/>
  <c r="Q207" i="53" s="1"/>
  <c r="Q229" i="53"/>
  <c r="Q230" i="53" s="1"/>
  <c r="Q91" i="19"/>
  <c r="R144" i="14" s="1"/>
  <c r="R144" i="12"/>
  <c r="AD110" i="53"/>
  <c r="AD111" i="53" s="1"/>
  <c r="AD104" i="53"/>
  <c r="AD105" i="53" s="1"/>
  <c r="AE53" i="51" s="1"/>
  <c r="AD106" i="53"/>
  <c r="AD107" i="53" s="1"/>
  <c r="AE62" i="51" s="1"/>
  <c r="AD108" i="53"/>
  <c r="AD109" i="53" s="1"/>
  <c r="P150" i="12"/>
  <c r="R78" i="53"/>
  <c r="S61" i="51" s="1"/>
  <c r="R162" i="53"/>
  <c r="AZ43" i="51"/>
  <c r="AZ17" i="51"/>
  <c r="T51" i="51"/>
  <c r="L10" i="55"/>
  <c r="L155" i="12"/>
  <c r="K312" i="20"/>
  <c r="K317" i="20"/>
  <c r="BJ53" i="51"/>
  <c r="U81" i="12"/>
  <c r="U19" i="12"/>
  <c r="P236" i="19"/>
  <c r="P248" i="19" s="1"/>
  <c r="P237" i="19"/>
  <c r="Q153" i="12"/>
  <c r="Q98" i="12"/>
  <c r="T67" i="14"/>
  <c r="P233" i="53"/>
  <c r="P232" i="53"/>
  <c r="R37" i="19"/>
  <c r="AD43" i="19" s="1"/>
  <c r="S102" i="14"/>
  <c r="S20" i="14"/>
  <c r="S24" i="14"/>
  <c r="S25" i="14"/>
  <c r="V82" i="12"/>
  <c r="R115" i="12"/>
  <c r="R146" i="12"/>
  <c r="X41" i="14"/>
  <c r="X42" i="14"/>
  <c r="Y40" i="14"/>
  <c r="R111" i="12"/>
  <c r="R90" i="12"/>
  <c r="R21" i="12"/>
  <c r="W38" i="51"/>
  <c r="W37" i="51"/>
  <c r="Q148" i="12"/>
  <c r="S147" i="12"/>
  <c r="Q196" i="53"/>
  <c r="Q197" i="53" s="1"/>
  <c r="R163" i="53"/>
  <c r="S95" i="12"/>
  <c r="O274" i="20"/>
  <c r="O275" i="20"/>
  <c r="S176" i="19" l="1"/>
  <c r="R205" i="53"/>
  <c r="O233" i="54"/>
  <c r="O234" i="54" s="1"/>
  <c r="O235" i="54" s="1"/>
  <c r="S204" i="53"/>
  <c r="R204" i="54"/>
  <c r="AX72" i="51"/>
  <c r="R146" i="14"/>
  <c r="Q148" i="14"/>
  <c r="X29" i="51"/>
  <c r="T127" i="12"/>
  <c r="X14" i="12"/>
  <c r="S127" i="14"/>
  <c r="X34" i="14"/>
  <c r="X34" i="12"/>
  <c r="X43" i="12"/>
  <c r="S143" i="14"/>
  <c r="BB39" i="51"/>
  <c r="CA6" i="55"/>
  <c r="X43" i="14"/>
  <c r="X48" i="14" s="1"/>
  <c r="R159" i="54"/>
  <c r="R266" i="20"/>
  <c r="S131" i="14"/>
  <c r="CA7" i="55"/>
  <c r="AO6" i="55"/>
  <c r="M155" i="14"/>
  <c r="X44" i="14"/>
  <c r="M155" i="12"/>
  <c r="R91" i="19"/>
  <c r="S144" i="14" s="1"/>
  <c r="S144" i="12"/>
  <c r="Y41" i="14"/>
  <c r="Y42" i="14"/>
  <c r="Z40" i="14"/>
  <c r="S89" i="14"/>
  <c r="S22" i="14"/>
  <c r="S110" i="14"/>
  <c r="AE68" i="51"/>
  <c r="AE50" i="51"/>
  <c r="BD36" i="51"/>
  <c r="BD12" i="51"/>
  <c r="M249" i="53"/>
  <c r="M251" i="53"/>
  <c r="N75" i="51" s="1"/>
  <c r="P213" i="19"/>
  <c r="P214" i="19" s="1"/>
  <c r="Q180" i="19"/>
  <c r="X32" i="14"/>
  <c r="S115" i="12"/>
  <c r="S146" i="12"/>
  <c r="X64" i="14"/>
  <c r="X63" i="14"/>
  <c r="N268" i="19"/>
  <c r="O156" i="14" s="1"/>
  <c r="N266" i="19"/>
  <c r="S314" i="20"/>
  <c r="S263" i="20"/>
  <c r="S264" i="20"/>
  <c r="S315" i="20"/>
  <c r="T4" i="55"/>
  <c r="S267" i="20"/>
  <c r="Q220" i="53"/>
  <c r="Q219" i="53"/>
  <c r="Q231" i="53" s="1"/>
  <c r="Q232" i="53" s="1"/>
  <c r="AE110" i="53"/>
  <c r="AE111" i="53" s="1"/>
  <c r="AE104" i="53"/>
  <c r="AE105" i="53" s="1"/>
  <c r="AF53" i="51" s="1"/>
  <c r="AE108" i="53"/>
  <c r="AE109" i="53" s="1"/>
  <c r="AE106" i="53"/>
  <c r="AE107" i="53" s="1"/>
  <c r="AF62" i="51" s="1"/>
  <c r="K7" i="55"/>
  <c r="W25" i="51"/>
  <c r="S105" i="12"/>
  <c r="L310" i="20"/>
  <c r="M156" i="12" s="1"/>
  <c r="T44" i="53"/>
  <c r="T75" i="53"/>
  <c r="T77" i="53"/>
  <c r="T71" i="53"/>
  <c r="T72" i="53" s="1"/>
  <c r="U57" i="51" s="1"/>
  <c r="T69" i="53"/>
  <c r="T70" i="53" s="1"/>
  <c r="U49" i="51" s="1"/>
  <c r="S131" i="12"/>
  <c r="S273" i="19"/>
  <c r="S222" i="19"/>
  <c r="S221" i="19"/>
  <c r="S272" i="19"/>
  <c r="S225" i="19"/>
  <c r="S147" i="14"/>
  <c r="S95" i="14"/>
  <c r="Q258" i="20"/>
  <c r="Q260" i="20"/>
  <c r="Q261" i="20"/>
  <c r="Q262" i="20"/>
  <c r="Q257" i="20"/>
  <c r="Q259" i="20"/>
  <c r="AZ57" i="51"/>
  <c r="T58" i="51"/>
  <c r="P219" i="54"/>
  <c r="P231" i="54" s="1"/>
  <c r="P220" i="54"/>
  <c r="T52" i="19"/>
  <c r="T49" i="19" s="1"/>
  <c r="T177" i="19" s="1"/>
  <c r="U124" i="12"/>
  <c r="T47" i="20"/>
  <c r="T60" i="19"/>
  <c r="T54" i="19"/>
  <c r="T53" i="19"/>
  <c r="T57" i="19"/>
  <c r="T62" i="19"/>
  <c r="T59" i="19"/>
  <c r="T55" i="19"/>
  <c r="T61" i="19"/>
  <c r="T58" i="19"/>
  <c r="T51" i="19"/>
  <c r="T50" i="19"/>
  <c r="T221" i="20"/>
  <c r="T78" i="20"/>
  <c r="T72" i="20"/>
  <c r="T84" i="20"/>
  <c r="U93" i="12"/>
  <c r="T90" i="20"/>
  <c r="T96" i="20"/>
  <c r="AY67" i="51"/>
  <c r="S70" i="51"/>
  <c r="X32" i="12"/>
  <c r="AX71" i="51"/>
  <c r="AX64" i="51"/>
  <c r="T37" i="14"/>
  <c r="S105" i="14"/>
  <c r="R78" i="54"/>
  <c r="R162" i="54"/>
  <c r="AZ46" i="51"/>
  <c r="BK62" i="51"/>
  <c r="T47" i="19"/>
  <c r="X38" i="51"/>
  <c r="X37" i="51"/>
  <c r="Q278" i="20"/>
  <c r="Q279" i="20"/>
  <c r="N300" i="20"/>
  <c r="N77" i="51"/>
  <c r="M259" i="53"/>
  <c r="N78" i="51" s="1"/>
  <c r="O220" i="19"/>
  <c r="O215" i="19"/>
  <c r="O219" i="19"/>
  <c r="O218" i="19"/>
  <c r="O216" i="19"/>
  <c r="O217" i="19"/>
  <c r="AY58" i="51"/>
  <c r="W65" i="14"/>
  <c r="BA65" i="51"/>
  <c r="T37" i="54"/>
  <c r="Y43" i="54" s="1"/>
  <c r="Y156" i="54" s="1"/>
  <c r="R89" i="19"/>
  <c r="S140" i="14" s="1"/>
  <c r="S140" i="12"/>
  <c r="R73" i="19"/>
  <c r="S120" i="14" s="1"/>
  <c r="S120" i="12"/>
  <c r="Q88" i="12"/>
  <c r="Q109" i="12"/>
  <c r="R118" i="12"/>
  <c r="L268" i="19"/>
  <c r="M156" i="14" s="1"/>
  <c r="AD108" i="54"/>
  <c r="AD109" i="54" s="1"/>
  <c r="AD104" i="54"/>
  <c r="AD105" i="54" s="1"/>
  <c r="AD110" i="54"/>
  <c r="AD111" i="54" s="1"/>
  <c r="AD106" i="54"/>
  <c r="AD107" i="54" s="1"/>
  <c r="W16" i="12"/>
  <c r="W15" i="12"/>
  <c r="X83" i="14"/>
  <c r="R85" i="19"/>
  <c r="S132" i="14" s="1"/>
  <c r="S132" i="12"/>
  <c r="S87" i="20"/>
  <c r="S79" i="19" s="1"/>
  <c r="S88" i="20"/>
  <c r="S80" i="19" s="1"/>
  <c r="S89" i="20"/>
  <c r="S81" i="19" s="1"/>
  <c r="S86" i="20"/>
  <c r="S78" i="19" s="1"/>
  <c r="S85" i="20"/>
  <c r="S77" i="19" s="1"/>
  <c r="T104" i="12"/>
  <c r="S76" i="19"/>
  <c r="T104" i="14" s="1"/>
  <c r="S91" i="20"/>
  <c r="S93" i="20"/>
  <c r="S94" i="20"/>
  <c r="S92" i="20"/>
  <c r="S84" i="19" s="1"/>
  <c r="S95" i="20"/>
  <c r="S87" i="19" s="1"/>
  <c r="S82" i="19"/>
  <c r="T124" i="14" s="1"/>
  <c r="T147" i="12"/>
  <c r="BA43" i="51"/>
  <c r="BA17" i="51"/>
  <c r="K159" i="12"/>
  <c r="U67" i="12"/>
  <c r="T95" i="12"/>
  <c r="T54" i="51"/>
  <c r="BB15" i="51"/>
  <c r="AO20" i="55"/>
  <c r="AO19" i="55"/>
  <c r="O237" i="53"/>
  <c r="O258" i="53" s="1"/>
  <c r="AD96" i="19"/>
  <c r="AD95" i="19" s="1"/>
  <c r="AD139" i="20"/>
  <c r="AD145" i="20"/>
  <c r="AE94" i="12"/>
  <c r="AD99" i="19"/>
  <c r="AD100" i="19"/>
  <c r="AE126" i="12"/>
  <c r="AD98" i="19"/>
  <c r="AD97" i="19"/>
  <c r="AD101" i="19"/>
  <c r="AD133" i="20"/>
  <c r="AD127" i="20"/>
  <c r="W36" i="12"/>
  <c r="O252" i="19"/>
  <c r="T37" i="19"/>
  <c r="AF43" i="19" s="1"/>
  <c r="U102" i="14"/>
  <c r="U24" i="14"/>
  <c r="U25" i="14"/>
  <c r="U20" i="14"/>
  <c r="W65" i="12"/>
  <c r="V67" i="14"/>
  <c r="R68" i="19"/>
  <c r="S101" i="14" s="1"/>
  <c r="S101" i="12"/>
  <c r="V46" i="14"/>
  <c r="BC21" i="51"/>
  <c r="S208" i="53"/>
  <c r="S205" i="53"/>
  <c r="U95" i="12"/>
  <c r="K249" i="54"/>
  <c r="X15" i="12"/>
  <c r="AC140" i="20"/>
  <c r="AC116" i="19" s="1"/>
  <c r="AC144" i="20"/>
  <c r="AC120" i="19" s="1"/>
  <c r="AC141" i="20"/>
  <c r="AC117" i="19" s="1"/>
  <c r="AC142" i="20"/>
  <c r="AC118" i="19" s="1"/>
  <c r="AC143" i="20"/>
  <c r="AC119" i="19" s="1"/>
  <c r="AC115" i="19"/>
  <c r="AD94" i="14" s="1"/>
  <c r="R71" i="19"/>
  <c r="S116" i="14" s="1"/>
  <c r="S116" i="12"/>
  <c r="S85" i="14"/>
  <c r="S106" i="14"/>
  <c r="R206" i="53"/>
  <c r="R207" i="53" s="1"/>
  <c r="R229" i="53"/>
  <c r="R230" i="53" s="1"/>
  <c r="BK53" i="51"/>
  <c r="Q225" i="53"/>
  <c r="Q226" i="53"/>
  <c r="Q224" i="53"/>
  <c r="Q223" i="53"/>
  <c r="Q222" i="53"/>
  <c r="Q227" i="53"/>
  <c r="Y13" i="12"/>
  <c r="Z12" i="12"/>
  <c r="Y62" i="12"/>
  <c r="BJ50" i="51"/>
  <c r="Y135" i="14"/>
  <c r="N258" i="53"/>
  <c r="N241" i="53"/>
  <c r="N242" i="53" s="1"/>
  <c r="X29" i="14"/>
  <c r="S115" i="14"/>
  <c r="R118" i="14"/>
  <c r="AY54" i="51"/>
  <c r="Q88" i="14"/>
  <c r="Q109" i="14"/>
  <c r="AY4" i="55"/>
  <c r="N237" i="54"/>
  <c r="N258" i="54" s="1"/>
  <c r="O294" i="20"/>
  <c r="O296" i="20" s="1"/>
  <c r="O295" i="20"/>
  <c r="O217" i="53"/>
  <c r="O221" i="53" s="1"/>
  <c r="O218" i="53"/>
  <c r="S90" i="12"/>
  <c r="S111" i="12"/>
  <c r="S21" i="12"/>
  <c r="BB25" i="51"/>
  <c r="N162" i="14"/>
  <c r="N158" i="14"/>
  <c r="U36" i="19"/>
  <c r="U42" i="19" s="1"/>
  <c r="V92" i="14"/>
  <c r="V39" i="14"/>
  <c r="P250" i="19"/>
  <c r="P253" i="19" s="1"/>
  <c r="P249" i="19"/>
  <c r="V48" i="51"/>
  <c r="U33" i="53"/>
  <c r="U39" i="53" s="1"/>
  <c r="P216" i="53"/>
  <c r="P215" i="53"/>
  <c r="U84" i="14"/>
  <c r="V35" i="53"/>
  <c r="W59" i="51"/>
  <c r="U67" i="14"/>
  <c r="S159" i="53"/>
  <c r="W33" i="12"/>
  <c r="X29" i="12"/>
  <c r="BB44" i="51"/>
  <c r="W16" i="14"/>
  <c r="Q200" i="53"/>
  <c r="Q199" i="53"/>
  <c r="Q201" i="53"/>
  <c r="Q203" i="53"/>
  <c r="Q202" i="53"/>
  <c r="Q198" i="53"/>
  <c r="R117" i="14"/>
  <c r="BD23" i="51"/>
  <c r="BD22" i="51"/>
  <c r="BD19" i="51"/>
  <c r="BD20" i="51"/>
  <c r="R139" i="14"/>
  <c r="Y28" i="14"/>
  <c r="Y31" i="14"/>
  <c r="Y27" i="14"/>
  <c r="Y30" i="14"/>
  <c r="Z26" i="14"/>
  <c r="L164" i="12"/>
  <c r="K318" i="20"/>
  <c r="L165" i="12" s="1"/>
  <c r="AY61" i="51"/>
  <c r="S71" i="51"/>
  <c r="S64" i="51"/>
  <c r="X64" i="12"/>
  <c r="X63" i="12"/>
  <c r="BF66" i="51"/>
  <c r="AC150" i="20"/>
  <c r="AC126" i="19" s="1"/>
  <c r="AC149" i="20"/>
  <c r="AC125" i="19" s="1"/>
  <c r="AC146" i="20"/>
  <c r="AC122" i="19" s="1"/>
  <c r="AC148" i="20"/>
  <c r="AC124" i="19" s="1"/>
  <c r="AC147" i="20"/>
  <c r="AC123" i="19" s="1"/>
  <c r="AC121" i="19"/>
  <c r="AD138" i="14" s="1"/>
  <c r="AD138" i="12"/>
  <c r="Y22" i="51"/>
  <c r="Y23" i="51"/>
  <c r="Y20" i="51"/>
  <c r="Y19" i="51"/>
  <c r="BE18" i="51"/>
  <c r="Z18" i="51"/>
  <c r="BJ68" i="51"/>
  <c r="L160" i="12"/>
  <c r="V43" i="51"/>
  <c r="V17" i="51"/>
  <c r="S136" i="14"/>
  <c r="R179" i="19"/>
  <c r="R130" i="12"/>
  <c r="Q230" i="19"/>
  <c r="Q231" i="19"/>
  <c r="M258" i="54"/>
  <c r="M241" i="54"/>
  <c r="N217" i="54"/>
  <c r="N221" i="54" s="1"/>
  <c r="N218" i="54"/>
  <c r="U35" i="54"/>
  <c r="BB59" i="51"/>
  <c r="BE66" i="51"/>
  <c r="W82" i="12"/>
  <c r="Y167" i="19"/>
  <c r="Y166" i="19" s="1"/>
  <c r="Y211" i="20"/>
  <c r="K161" i="14"/>
  <c r="V17" i="12"/>
  <c r="N155" i="14"/>
  <c r="M275" i="19"/>
  <c r="M270" i="19"/>
  <c r="P239" i="19"/>
  <c r="P241" i="19"/>
  <c r="P240" i="19"/>
  <c r="P242" i="19"/>
  <c r="P244" i="19"/>
  <c r="P243" i="19"/>
  <c r="P234" i="53"/>
  <c r="P235" i="53" s="1"/>
  <c r="Q150" i="12"/>
  <c r="M308" i="20"/>
  <c r="M310" i="20"/>
  <c r="N156" i="12" s="1"/>
  <c r="V38" i="19"/>
  <c r="W49" i="14"/>
  <c r="W122" i="14"/>
  <c r="W48" i="14"/>
  <c r="W44" i="14"/>
  <c r="Q151" i="14"/>
  <c r="U68" i="14"/>
  <c r="L163" i="12"/>
  <c r="L157" i="12"/>
  <c r="O276" i="20"/>
  <c r="O280" i="20" s="1"/>
  <c r="O277" i="20"/>
  <c r="R196" i="53"/>
  <c r="R197" i="53" s="1"/>
  <c r="S163" i="53"/>
  <c r="R86" i="12"/>
  <c r="R107" i="12"/>
  <c r="R23" i="12"/>
  <c r="R142" i="12"/>
  <c r="R205" i="54"/>
  <c r="R208" i="54"/>
  <c r="R269" i="20"/>
  <c r="R271" i="20"/>
  <c r="R268" i="20"/>
  <c r="R270" i="20"/>
  <c r="AC129" i="20"/>
  <c r="AC105" i="19" s="1"/>
  <c r="AC132" i="20"/>
  <c r="AC108" i="19" s="1"/>
  <c r="AC130" i="20"/>
  <c r="AC106" i="19" s="1"/>
  <c r="AC128" i="20"/>
  <c r="AC104" i="19" s="1"/>
  <c r="AC131" i="20"/>
  <c r="AC107" i="19" s="1"/>
  <c r="AC103" i="19"/>
  <c r="AD103" i="14" s="1"/>
  <c r="AD103" i="12"/>
  <c r="AC137" i="20"/>
  <c r="AC113" i="19" s="1"/>
  <c r="AC135" i="20"/>
  <c r="AC111" i="19" s="1"/>
  <c r="AC138" i="20"/>
  <c r="AC114" i="19" s="1"/>
  <c r="AC136" i="20"/>
  <c r="AC112" i="19" s="1"/>
  <c r="AC134" i="20"/>
  <c r="AC110" i="19" s="1"/>
  <c r="AC109" i="19"/>
  <c r="AD126" i="14" s="1"/>
  <c r="R117" i="12"/>
  <c r="S143" i="12"/>
  <c r="O152" i="12"/>
  <c r="Q223" i="19"/>
  <c r="Q224" i="19" s="1"/>
  <c r="Q246" i="19"/>
  <c r="Q247" i="19" s="1"/>
  <c r="S139" i="12"/>
  <c r="S9" i="55"/>
  <c r="R130" i="14"/>
  <c r="S72" i="51"/>
  <c r="Y28" i="51"/>
  <c r="Y27" i="51"/>
  <c r="BE26" i="51"/>
  <c r="Z26" i="51"/>
  <c r="S99" i="12"/>
  <c r="O254" i="19"/>
  <c r="S265" i="20"/>
  <c r="S288" i="20"/>
  <c r="S289" i="20" s="1"/>
  <c r="R148" i="12"/>
  <c r="J161" i="14"/>
  <c r="N242" i="54"/>
  <c r="N249" i="54" s="1"/>
  <c r="P274" i="20"/>
  <c r="P275" i="20"/>
  <c r="V65" i="51"/>
  <c r="U37" i="53"/>
  <c r="Z43" i="53" s="1"/>
  <c r="Z156" i="53" s="1"/>
  <c r="U52" i="51"/>
  <c r="T34" i="53"/>
  <c r="AF40" i="53" s="1"/>
  <c r="R212" i="53"/>
  <c r="R209" i="53"/>
  <c r="R210" i="53"/>
  <c r="R211" i="53"/>
  <c r="Q212" i="54"/>
  <c r="Q209" i="54"/>
  <c r="Q210" i="54"/>
  <c r="Q211" i="54"/>
  <c r="V134" i="12"/>
  <c r="V70" i="12"/>
  <c r="V66" i="12"/>
  <c r="U40" i="20"/>
  <c r="Z46" i="20" s="1"/>
  <c r="V71" i="12"/>
  <c r="L159" i="14"/>
  <c r="S37" i="19"/>
  <c r="AE43" i="19" s="1"/>
  <c r="T24" i="14"/>
  <c r="T20" i="14"/>
  <c r="T25" i="14"/>
  <c r="T102" i="14"/>
  <c r="R141" i="12"/>
  <c r="W33" i="14"/>
  <c r="R65" i="19"/>
  <c r="S96" i="14" s="1"/>
  <c r="S96" i="12"/>
  <c r="R149" i="12"/>
  <c r="Y31" i="12"/>
  <c r="Y27" i="12"/>
  <c r="Y30" i="12"/>
  <c r="Y28" i="12"/>
  <c r="Z26" i="12"/>
  <c r="R88" i="14"/>
  <c r="R109" i="14"/>
  <c r="P152" i="14"/>
  <c r="AS77" i="51"/>
  <c r="L259" i="54"/>
  <c r="AS78" i="51" s="1"/>
  <c r="Q206" i="54"/>
  <c r="Q207" i="54" s="1"/>
  <c r="Q229" i="54"/>
  <c r="Q230" i="54" s="1"/>
  <c r="X122" i="12"/>
  <c r="X48" i="12"/>
  <c r="X49" i="12"/>
  <c r="X44" i="12"/>
  <c r="W38" i="20"/>
  <c r="CB13" i="55"/>
  <c r="CB12" i="55"/>
  <c r="CB15" i="55"/>
  <c r="CB16" i="55"/>
  <c r="CB11" i="55"/>
  <c r="CB19" i="55" s="1"/>
  <c r="CB14" i="55"/>
  <c r="V46" i="12"/>
  <c r="O234" i="19"/>
  <c r="O238" i="19" s="1"/>
  <c r="O235" i="19"/>
  <c r="S76" i="20"/>
  <c r="S74" i="20"/>
  <c r="S66" i="19" s="1"/>
  <c r="S75" i="20"/>
  <c r="S73" i="20"/>
  <c r="S77" i="20"/>
  <c r="S69" i="19" s="1"/>
  <c r="S64" i="19"/>
  <c r="T93" i="14" s="1"/>
  <c r="Q213" i="53"/>
  <c r="Q214" i="53"/>
  <c r="AX70" i="51"/>
  <c r="U68" i="12"/>
  <c r="AW73" i="51"/>
  <c r="O216" i="54"/>
  <c r="O215" i="54"/>
  <c r="K19" i="55"/>
  <c r="K20" i="55"/>
  <c r="R129" i="12"/>
  <c r="U46" i="51"/>
  <c r="S110" i="12"/>
  <c r="S89" i="12"/>
  <c r="S22" i="12"/>
  <c r="T20" i="12"/>
  <c r="T24" i="12"/>
  <c r="T25" i="12"/>
  <c r="S37" i="20"/>
  <c r="AE43" i="20" s="1"/>
  <c r="T102" i="12"/>
  <c r="Q150" i="14"/>
  <c r="U37" i="54"/>
  <c r="Z43" i="54" s="1"/>
  <c r="Z156" i="54" s="1"/>
  <c r="T84" i="14"/>
  <c r="R154" i="12"/>
  <c r="R97" i="12"/>
  <c r="R141" i="14"/>
  <c r="V68" i="14"/>
  <c r="R67" i="19"/>
  <c r="S100" i="14" s="1"/>
  <c r="S100" i="12"/>
  <c r="R87" i="12"/>
  <c r="R108" i="12"/>
  <c r="BC24" i="51"/>
  <c r="R149" i="14"/>
  <c r="S78" i="53"/>
  <c r="T61" i="51" s="1"/>
  <c r="S162" i="53"/>
  <c r="R142" i="14"/>
  <c r="T69" i="14"/>
  <c r="U84" i="12"/>
  <c r="L16" i="55"/>
  <c r="L13" i="55"/>
  <c r="L15" i="55"/>
  <c r="L14" i="55"/>
  <c r="L11" i="55"/>
  <c r="L12" i="55"/>
  <c r="U35" i="14"/>
  <c r="R285" i="20"/>
  <c r="R286" i="20"/>
  <c r="R284" i="20"/>
  <c r="R281" i="20"/>
  <c r="R282" i="20"/>
  <c r="R283" i="20"/>
  <c r="X14" i="51"/>
  <c r="X13" i="51"/>
  <c r="Q272" i="20"/>
  <c r="Q273" i="20"/>
  <c r="X24" i="51"/>
  <c r="X38" i="14"/>
  <c r="P290" i="20"/>
  <c r="P291" i="20" s="1"/>
  <c r="P292" i="20"/>
  <c r="P293" i="20" s="1"/>
  <c r="R92" i="19"/>
  <c r="S145" i="14" s="1"/>
  <c r="S145" i="12"/>
  <c r="R74" i="19"/>
  <c r="S121" i="14" s="1"/>
  <c r="S121" i="12"/>
  <c r="BC29" i="51"/>
  <c r="Q237" i="19"/>
  <c r="Q236" i="19"/>
  <c r="Q248" i="19" s="1"/>
  <c r="T37" i="12"/>
  <c r="Y13" i="14"/>
  <c r="Z12" i="14"/>
  <c r="Y62" i="14"/>
  <c r="S71" i="54"/>
  <c r="S72" i="54" s="1"/>
  <c r="S75" i="54"/>
  <c r="S76" i="54" s="1"/>
  <c r="S69" i="54"/>
  <c r="S70" i="54" s="1"/>
  <c r="S77" i="54"/>
  <c r="S44" i="54"/>
  <c r="Y41" i="12"/>
  <c r="Y42" i="12"/>
  <c r="Z40" i="12"/>
  <c r="P196" i="54"/>
  <c r="P197" i="54" s="1"/>
  <c r="Q163" i="54"/>
  <c r="CC9" i="55"/>
  <c r="V45" i="12"/>
  <c r="R83" i="19"/>
  <c r="S128" i="14" s="1"/>
  <c r="S128" i="12"/>
  <c r="S83" i="20"/>
  <c r="S75" i="19" s="1"/>
  <c r="S80" i="20"/>
  <c r="S79" i="20"/>
  <c r="T114" i="12"/>
  <c r="S70" i="19"/>
  <c r="T114" i="14" s="1"/>
  <c r="S81" i="20"/>
  <c r="S82" i="20"/>
  <c r="P233" i="54"/>
  <c r="P232" i="54"/>
  <c r="BA48" i="51"/>
  <c r="T33" i="54"/>
  <c r="T39" i="54" s="1"/>
  <c r="K6" i="55"/>
  <c r="R129" i="14"/>
  <c r="R153" i="12"/>
  <c r="R98" i="12"/>
  <c r="T84" i="12"/>
  <c r="O242" i="53"/>
  <c r="O251" i="53" s="1"/>
  <c r="P75" i="51" s="1"/>
  <c r="BC38" i="51"/>
  <c r="BC37" i="51"/>
  <c r="W44" i="51"/>
  <c r="R154" i="14"/>
  <c r="R97" i="14"/>
  <c r="S99" i="14"/>
  <c r="U47" i="14"/>
  <c r="V45" i="14"/>
  <c r="R255" i="20"/>
  <c r="R256" i="20" s="1"/>
  <c r="S222" i="20"/>
  <c r="AZ49" i="51"/>
  <c r="X38" i="12"/>
  <c r="R73" i="51"/>
  <c r="U36" i="20"/>
  <c r="U42" i="20" s="1"/>
  <c r="V92" i="12"/>
  <c r="V39" i="12"/>
  <c r="U102" i="12"/>
  <c r="U20" i="12"/>
  <c r="U25" i="12"/>
  <c r="U24" i="12"/>
  <c r="T37" i="20"/>
  <c r="AF43" i="20" s="1"/>
  <c r="W39" i="51"/>
  <c r="S111" i="14"/>
  <c r="S90" i="14"/>
  <c r="S21" i="14"/>
  <c r="P236" i="53"/>
  <c r="Q151" i="12"/>
  <c r="AZ52" i="51"/>
  <c r="S34" i="54"/>
  <c r="AE40" i="54" s="1"/>
  <c r="X83" i="12"/>
  <c r="BE10" i="51"/>
  <c r="Y12" i="51"/>
  <c r="Y36" i="51"/>
  <c r="Z10" i="51"/>
  <c r="X21" i="51"/>
  <c r="R148" i="14"/>
  <c r="W36" i="14"/>
  <c r="W122" i="12"/>
  <c r="W48" i="12"/>
  <c r="V38" i="20"/>
  <c r="W44" i="12"/>
  <c r="W49" i="12"/>
  <c r="R72" i="19"/>
  <c r="S119" i="14" s="1"/>
  <c r="S119" i="12"/>
  <c r="L251" i="54"/>
  <c r="AS75" i="51" s="1"/>
  <c r="L249" i="54"/>
  <c r="X14" i="14"/>
  <c r="O198" i="54"/>
  <c r="O202" i="54"/>
  <c r="O200" i="54"/>
  <c r="O201" i="54"/>
  <c r="O203" i="54"/>
  <c r="O199" i="54"/>
  <c r="R229" i="19"/>
  <c r="R227" i="19"/>
  <c r="R226" i="19"/>
  <c r="R228" i="19"/>
  <c r="R86" i="19"/>
  <c r="S133" i="14" s="1"/>
  <c r="S133" i="12"/>
  <c r="BD28" i="51"/>
  <c r="BD27" i="51"/>
  <c r="P232" i="19"/>
  <c r="P233" i="19"/>
  <c r="S100" i="20"/>
  <c r="S101" i="20"/>
  <c r="S93" i="19" s="1"/>
  <c r="S97" i="20"/>
  <c r="S98" i="20"/>
  <c r="S90" i="19" s="1"/>
  <c r="S99" i="20"/>
  <c r="S88" i="19"/>
  <c r="T136" i="12"/>
  <c r="S220" i="20"/>
  <c r="S218" i="20"/>
  <c r="P227" i="54"/>
  <c r="P226" i="54"/>
  <c r="P225" i="54"/>
  <c r="P224" i="54"/>
  <c r="P223" i="54"/>
  <c r="P222" i="54"/>
  <c r="V17" i="14"/>
  <c r="T131" i="12"/>
  <c r="AO7" i="55"/>
  <c r="J161" i="12"/>
  <c r="R153" i="14"/>
  <c r="R98" i="14"/>
  <c r="S106" i="12"/>
  <c r="S85" i="12"/>
  <c r="O253" i="19"/>
  <c r="P109" i="12"/>
  <c r="P88" i="12"/>
  <c r="BC14" i="51"/>
  <c r="BC13" i="51"/>
  <c r="W82" i="14"/>
  <c r="U47" i="12"/>
  <c r="AY51" i="51"/>
  <c r="W15" i="51"/>
  <c r="S76" i="53"/>
  <c r="T67" i="51"/>
  <c r="P213" i="54"/>
  <c r="P214" i="54"/>
  <c r="U35" i="12"/>
  <c r="X135" i="14"/>
  <c r="O236" i="54" l="1"/>
  <c r="Q233" i="53"/>
  <c r="Q234" i="53"/>
  <c r="X59" i="51"/>
  <c r="W35" i="53"/>
  <c r="T72" i="51"/>
  <c r="T204" i="53"/>
  <c r="S204" i="54"/>
  <c r="T9" i="55"/>
  <c r="AZ9" i="55" s="1"/>
  <c r="U51" i="51"/>
  <c r="R152" i="14"/>
  <c r="T159" i="53"/>
  <c r="X82" i="14"/>
  <c r="Y14" i="14"/>
  <c r="X82" i="12"/>
  <c r="T127" i="14"/>
  <c r="U127" i="12"/>
  <c r="BB65" i="51"/>
  <c r="AY72" i="51"/>
  <c r="X49" i="14"/>
  <c r="O237" i="54"/>
  <c r="X122" i="14"/>
  <c r="W38" i="19"/>
  <c r="Y34" i="14"/>
  <c r="BD29" i="51"/>
  <c r="S159" i="54"/>
  <c r="Y43" i="14"/>
  <c r="P236" i="54"/>
  <c r="P241" i="54" s="1"/>
  <c r="T176" i="19"/>
  <c r="T131" i="14"/>
  <c r="P234" i="54"/>
  <c r="X65" i="12"/>
  <c r="Y15" i="14"/>
  <c r="AU74" i="51"/>
  <c r="P258" i="19"/>
  <c r="P259" i="19" s="1"/>
  <c r="P216" i="54"/>
  <c r="P215" i="54"/>
  <c r="BC15" i="51"/>
  <c r="T136" i="14"/>
  <c r="S179" i="19"/>
  <c r="P235" i="19"/>
  <c r="P234" i="19"/>
  <c r="P238" i="19" s="1"/>
  <c r="S129" i="12"/>
  <c r="Y14" i="51"/>
  <c r="Y13" i="51"/>
  <c r="AF96" i="19"/>
  <c r="AF95" i="19" s="1"/>
  <c r="AF133" i="20"/>
  <c r="AG94" i="12"/>
  <c r="AF145" i="20"/>
  <c r="AF98" i="19"/>
  <c r="AG126" i="12"/>
  <c r="AF100" i="19"/>
  <c r="AF99" i="19"/>
  <c r="AF101" i="19"/>
  <c r="AF97" i="19"/>
  <c r="AF127" i="20"/>
  <c r="AF139" i="20"/>
  <c r="R261" i="20"/>
  <c r="R259" i="20"/>
  <c r="R260" i="20"/>
  <c r="R257" i="20"/>
  <c r="R258" i="20"/>
  <c r="R262" i="20"/>
  <c r="T115" i="14"/>
  <c r="Z41" i="12"/>
  <c r="Z42" i="12"/>
  <c r="AA40" i="12"/>
  <c r="X36" i="14"/>
  <c r="X15" i="51"/>
  <c r="AZ61" i="51"/>
  <c r="T71" i="51"/>
  <c r="T64" i="51"/>
  <c r="Z157" i="54"/>
  <c r="T90" i="12"/>
  <c r="T21" i="12"/>
  <c r="T111" i="12"/>
  <c r="S67" i="19"/>
  <c r="T100" i="14" s="1"/>
  <c r="T100" i="12"/>
  <c r="V68" i="12"/>
  <c r="Z157" i="53"/>
  <c r="AA66" i="51" s="1"/>
  <c r="BE28" i="51"/>
  <c r="BE27" i="51"/>
  <c r="Q239" i="19"/>
  <c r="Q241" i="19"/>
  <c r="Q243" i="19"/>
  <c r="Q244" i="19"/>
  <c r="Q240" i="19"/>
  <c r="Q242" i="19"/>
  <c r="R278" i="20"/>
  <c r="R279" i="20"/>
  <c r="L159" i="12"/>
  <c r="W45" i="14"/>
  <c r="N163" i="14"/>
  <c r="N157" i="14"/>
  <c r="N251" i="54"/>
  <c r="AU75" i="51" s="1"/>
  <c r="V46" i="51"/>
  <c r="X71" i="12"/>
  <c r="X70" i="12"/>
  <c r="X66" i="12"/>
  <c r="Z28" i="14"/>
  <c r="Z30" i="14"/>
  <c r="Z31" i="14"/>
  <c r="Z27" i="14"/>
  <c r="AA26" i="14"/>
  <c r="N160" i="14"/>
  <c r="Y83" i="12"/>
  <c r="AR74" i="51"/>
  <c r="K253" i="54"/>
  <c r="AR10" i="55"/>
  <c r="S154" i="12"/>
  <c r="S97" i="12"/>
  <c r="U90" i="14"/>
  <c r="U21" i="14"/>
  <c r="BA46" i="51"/>
  <c r="S130" i="12"/>
  <c r="M162" i="14"/>
  <c r="M158" i="14"/>
  <c r="S118" i="14"/>
  <c r="Q235" i="53"/>
  <c r="T85" i="20"/>
  <c r="T77" i="19" s="1"/>
  <c r="U106" i="14" s="1"/>
  <c r="T86" i="20"/>
  <c r="T78" i="19" s="1"/>
  <c r="T88" i="20"/>
  <c r="T80" i="19" s="1"/>
  <c r="U111" i="14" s="1"/>
  <c r="T87" i="20"/>
  <c r="T79" i="19" s="1"/>
  <c r="U110" i="14" s="1"/>
  <c r="T89" i="20"/>
  <c r="T81" i="19" s="1"/>
  <c r="U104" i="12"/>
  <c r="T76" i="19"/>
  <c r="U104" i="14" s="1"/>
  <c r="T263" i="20"/>
  <c r="T315" i="20"/>
  <c r="T264" i="20"/>
  <c r="T314" i="20"/>
  <c r="U4" i="55"/>
  <c r="T267" i="20"/>
  <c r="T205" i="53"/>
  <c r="T208" i="53"/>
  <c r="S271" i="20"/>
  <c r="S268" i="20"/>
  <c r="S269" i="20"/>
  <c r="S270" i="20"/>
  <c r="P251" i="19"/>
  <c r="P252" i="19" s="1"/>
  <c r="P254" i="19" s="1"/>
  <c r="P216" i="19"/>
  <c r="P220" i="19"/>
  <c r="P219" i="19"/>
  <c r="P217" i="19"/>
  <c r="P215" i="19"/>
  <c r="P218" i="19"/>
  <c r="L312" i="20"/>
  <c r="W45" i="12"/>
  <c r="T115" i="12"/>
  <c r="T146" i="12"/>
  <c r="V47" i="12"/>
  <c r="L19" i="55"/>
  <c r="L20" i="55"/>
  <c r="Y32" i="12"/>
  <c r="T85" i="14"/>
  <c r="T106" i="14"/>
  <c r="R88" i="12"/>
  <c r="R109" i="12"/>
  <c r="T143" i="12"/>
  <c r="Y213" i="20"/>
  <c r="Y171" i="19" s="1"/>
  <c r="Y215" i="20"/>
  <c r="Y173" i="19" s="1"/>
  <c r="Y216" i="20"/>
  <c r="Y174" i="19" s="1"/>
  <c r="Y212" i="20"/>
  <c r="Y170" i="19" s="1"/>
  <c r="Y214" i="20"/>
  <c r="Y172" i="19" s="1"/>
  <c r="Z135" i="12"/>
  <c r="Y169" i="19"/>
  <c r="Q232" i="19"/>
  <c r="Q233" i="19"/>
  <c r="Y24" i="51"/>
  <c r="V35" i="14"/>
  <c r="BC25" i="51"/>
  <c r="S154" i="14"/>
  <c r="S97" i="14"/>
  <c r="U89" i="14"/>
  <c r="U22" i="14"/>
  <c r="S86" i="19"/>
  <c r="T133" i="14" s="1"/>
  <c r="T133" i="12"/>
  <c r="S130" i="14"/>
  <c r="T99" i="14"/>
  <c r="T76" i="20"/>
  <c r="T75" i="20"/>
  <c r="T73" i="20"/>
  <c r="T77" i="20"/>
  <c r="T69" i="19" s="1"/>
  <c r="T74" i="20"/>
  <c r="T66" i="19" s="1"/>
  <c r="T64" i="19"/>
  <c r="U93" i="14" s="1"/>
  <c r="S229" i="19"/>
  <c r="S226" i="19"/>
  <c r="S227" i="19"/>
  <c r="S228" i="19"/>
  <c r="M162" i="12"/>
  <c r="M158" i="12"/>
  <c r="M163" i="12"/>
  <c r="M157" i="12"/>
  <c r="S91" i="19"/>
  <c r="T144" i="14" s="1"/>
  <c r="T144" i="12"/>
  <c r="AE110" i="54"/>
  <c r="AE111" i="54" s="1"/>
  <c r="AE106" i="54"/>
  <c r="AE107" i="54" s="1"/>
  <c r="AE108" i="54"/>
  <c r="AE109" i="54" s="1"/>
  <c r="AE104" i="54"/>
  <c r="AE105" i="54" s="1"/>
  <c r="R230" i="19"/>
  <c r="R231" i="19"/>
  <c r="V35" i="12"/>
  <c r="R151" i="12"/>
  <c r="S71" i="19"/>
  <c r="T116" i="14" s="1"/>
  <c r="T116" i="12"/>
  <c r="T99" i="12"/>
  <c r="S117" i="12"/>
  <c r="L6" i="55"/>
  <c r="T143" i="14"/>
  <c r="T110" i="12"/>
  <c r="T89" i="12"/>
  <c r="T22" i="12"/>
  <c r="Q215" i="53"/>
  <c r="Q216" i="53"/>
  <c r="Q237" i="53" s="1"/>
  <c r="S68" i="19"/>
  <c r="T101" i="14" s="1"/>
  <c r="T101" i="12"/>
  <c r="R220" i="53"/>
  <c r="R219" i="53"/>
  <c r="R231" i="53" s="1"/>
  <c r="R232" i="53" s="1"/>
  <c r="Y32" i="14"/>
  <c r="P218" i="53"/>
  <c r="P217" i="53"/>
  <c r="P221" i="53" s="1"/>
  <c r="BB48" i="51"/>
  <c r="U33" i="54"/>
  <c r="U39" i="54" s="1"/>
  <c r="R223" i="53"/>
  <c r="R226" i="53"/>
  <c r="R225" i="53"/>
  <c r="R224" i="53"/>
  <c r="R227" i="53"/>
  <c r="R222" i="53"/>
  <c r="V69" i="14"/>
  <c r="BB43" i="51"/>
  <c r="BB17" i="51"/>
  <c r="U69" i="12"/>
  <c r="S85" i="19"/>
  <c r="T132" i="14" s="1"/>
  <c r="T132" i="12"/>
  <c r="T83" i="20"/>
  <c r="T75" i="19" s="1"/>
  <c r="T82" i="20"/>
  <c r="T79" i="20"/>
  <c r="U114" i="12"/>
  <c r="T80" i="20"/>
  <c r="T81" i="20"/>
  <c r="T70" i="19"/>
  <c r="U114" i="14" s="1"/>
  <c r="AZ4" i="55"/>
  <c r="M10" i="55"/>
  <c r="O258" i="19"/>
  <c r="O259" i="19" s="1"/>
  <c r="BE36" i="51"/>
  <c r="BE12" i="51"/>
  <c r="AZ67" i="51"/>
  <c r="T70" i="51"/>
  <c r="AZ54" i="51"/>
  <c r="U89" i="12"/>
  <c r="U22" i="12"/>
  <c r="S89" i="19"/>
  <c r="T140" i="14" s="1"/>
  <c r="T140" i="12"/>
  <c r="X25" i="51"/>
  <c r="U90" i="12"/>
  <c r="U21" i="12"/>
  <c r="X36" i="12"/>
  <c r="R150" i="14"/>
  <c r="BC39" i="51"/>
  <c r="T75" i="54"/>
  <c r="T76" i="54" s="1"/>
  <c r="T69" i="54"/>
  <c r="T70" i="54" s="1"/>
  <c r="T71" i="54"/>
  <c r="T72" i="54" s="1"/>
  <c r="T44" i="54"/>
  <c r="BA4" i="55" s="1"/>
  <c r="T77" i="54"/>
  <c r="S72" i="19"/>
  <c r="T119" i="14" s="1"/>
  <c r="T119" i="12"/>
  <c r="Y64" i="14"/>
  <c r="Y63" i="14"/>
  <c r="S117" i="14"/>
  <c r="U37" i="14"/>
  <c r="T106" i="12"/>
  <c r="T85" i="12"/>
  <c r="X45" i="12"/>
  <c r="Y29" i="12"/>
  <c r="T110" i="14"/>
  <c r="T89" i="14"/>
  <c r="T22" i="14"/>
  <c r="V67" i="12"/>
  <c r="Q213" i="54"/>
  <c r="Q214" i="54"/>
  <c r="Y29" i="14"/>
  <c r="U69" i="14"/>
  <c r="P237" i="53"/>
  <c r="P258" i="53" s="1"/>
  <c r="Y64" i="12"/>
  <c r="Y63" i="12"/>
  <c r="AE103" i="12"/>
  <c r="AD128" i="20"/>
  <c r="AD104" i="19" s="1"/>
  <c r="AD129" i="20"/>
  <c r="AD105" i="19" s="1"/>
  <c r="AD131" i="20"/>
  <c r="AD107" i="19" s="1"/>
  <c r="AD132" i="20"/>
  <c r="AD108" i="19" s="1"/>
  <c r="AD130" i="20"/>
  <c r="AD106" i="19" s="1"/>
  <c r="AD103" i="19"/>
  <c r="AE103" i="14" s="1"/>
  <c r="S83" i="19"/>
  <c r="T128" i="14" s="1"/>
  <c r="T128" i="12"/>
  <c r="Y157" i="54"/>
  <c r="N301" i="20"/>
  <c r="N308" i="20" s="1"/>
  <c r="T272" i="19"/>
  <c r="T273" i="19"/>
  <c r="T221" i="19"/>
  <c r="T222" i="19"/>
  <c r="T225" i="19"/>
  <c r="R206" i="54"/>
  <c r="R207" i="54" s="1"/>
  <c r="R229" i="54"/>
  <c r="R230" i="54" s="1"/>
  <c r="T265" i="20"/>
  <c r="T288" i="20"/>
  <c r="T289" i="20" s="1"/>
  <c r="T218" i="20"/>
  <c r="BA49" i="51"/>
  <c r="N74" i="51"/>
  <c r="M253" i="53"/>
  <c r="S87" i="14"/>
  <c r="S108" i="14"/>
  <c r="X45" i="14"/>
  <c r="L275" i="19"/>
  <c r="W35" i="54"/>
  <c r="AS74" i="51"/>
  <c r="L253" i="54"/>
  <c r="V37" i="53"/>
  <c r="AA43" i="53" s="1"/>
  <c r="AA156" i="53" s="1"/>
  <c r="W65" i="51"/>
  <c r="U85" i="12"/>
  <c r="V47" i="14"/>
  <c r="CC13" i="55"/>
  <c r="CC11" i="55"/>
  <c r="CC19" i="55" s="1"/>
  <c r="CC15" i="55"/>
  <c r="CC16" i="55"/>
  <c r="CC14" i="55"/>
  <c r="CC12" i="55"/>
  <c r="Z13" i="14"/>
  <c r="Z62" i="14"/>
  <c r="AA12" i="14"/>
  <c r="S141" i="12"/>
  <c r="BC44" i="51"/>
  <c r="S153" i="12"/>
  <c r="S98" i="12"/>
  <c r="CB6" i="55"/>
  <c r="X46" i="12"/>
  <c r="Q227" i="54"/>
  <c r="Q224" i="54"/>
  <c r="Q222" i="54"/>
  <c r="Q223" i="54"/>
  <c r="Q225" i="54"/>
  <c r="Q226" i="54"/>
  <c r="Y38" i="12"/>
  <c r="S149" i="12"/>
  <c r="Z167" i="19"/>
  <c r="Z166" i="19" s="1"/>
  <c r="Z211" i="20"/>
  <c r="AY9" i="55"/>
  <c r="R209" i="54"/>
  <c r="R210" i="54"/>
  <c r="R212" i="54"/>
  <c r="R211" i="54"/>
  <c r="L161" i="14"/>
  <c r="V81" i="12"/>
  <c r="V19" i="12"/>
  <c r="Z19" i="51"/>
  <c r="Z20" i="51"/>
  <c r="Z22" i="51"/>
  <c r="BF18" i="51"/>
  <c r="Z23" i="51"/>
  <c r="AA18" i="51"/>
  <c r="BD21" i="51"/>
  <c r="S86" i="12"/>
  <c r="S107" i="12"/>
  <c r="S23" i="12"/>
  <c r="X33" i="14"/>
  <c r="Y14" i="12"/>
  <c r="S209" i="53"/>
  <c r="S210" i="53"/>
  <c r="S212" i="53"/>
  <c r="S211" i="53"/>
  <c r="AD137" i="20"/>
  <c r="AD113" i="19" s="1"/>
  <c r="AD138" i="20"/>
  <c r="AD114" i="19" s="1"/>
  <c r="AD135" i="20"/>
  <c r="AD111" i="19" s="1"/>
  <c r="AD136" i="20"/>
  <c r="AD112" i="19" s="1"/>
  <c r="AD134" i="20"/>
  <c r="AD110" i="19" s="1"/>
  <c r="AD109" i="19"/>
  <c r="AE126" i="14" s="1"/>
  <c r="AD147" i="20"/>
  <c r="AD123" i="19" s="1"/>
  <c r="AD149" i="20"/>
  <c r="AD125" i="19" s="1"/>
  <c r="AD150" i="20"/>
  <c r="AD126" i="19" s="1"/>
  <c r="AD148" i="20"/>
  <c r="AD124" i="19" s="1"/>
  <c r="AD146" i="20"/>
  <c r="AD122" i="19" s="1"/>
  <c r="AE138" i="12"/>
  <c r="AD121" i="19"/>
  <c r="AE138" i="14" s="1"/>
  <c r="Q152" i="12"/>
  <c r="AY70" i="51"/>
  <c r="BA57" i="51"/>
  <c r="U58" i="51"/>
  <c r="K161" i="12"/>
  <c r="S266" i="20"/>
  <c r="BD13" i="51"/>
  <c r="BD14" i="51"/>
  <c r="S142" i="12"/>
  <c r="X46" i="14"/>
  <c r="L270" i="19"/>
  <c r="W43" i="51"/>
  <c r="W17" i="51"/>
  <c r="S92" i="19"/>
  <c r="T145" i="14" s="1"/>
  <c r="T145" i="12"/>
  <c r="U52" i="19"/>
  <c r="U49" i="19" s="1"/>
  <c r="U177" i="19" s="1"/>
  <c r="U90" i="20"/>
  <c r="U61" i="19"/>
  <c r="U55" i="19"/>
  <c r="V124" i="12"/>
  <c r="U60" i="19"/>
  <c r="U54" i="19"/>
  <c r="U72" i="20"/>
  <c r="U62" i="19"/>
  <c r="U59" i="19"/>
  <c r="U47" i="20"/>
  <c r="U51" i="19"/>
  <c r="U50" i="19"/>
  <c r="V93" i="12"/>
  <c r="U57" i="19"/>
  <c r="U53" i="19"/>
  <c r="U58" i="19"/>
  <c r="U84" i="20"/>
  <c r="U96" i="20"/>
  <c r="U78" i="20"/>
  <c r="U221" i="20"/>
  <c r="P235" i="54"/>
  <c r="Q196" i="54"/>
  <c r="Q197" i="54" s="1"/>
  <c r="R163" i="54"/>
  <c r="CD9" i="55"/>
  <c r="S141" i="14"/>
  <c r="X44" i="51"/>
  <c r="L7" i="55"/>
  <c r="S153" i="14"/>
  <c r="S98" i="14"/>
  <c r="O217" i="54"/>
  <c r="O221" i="54" s="1"/>
  <c r="O218" i="54"/>
  <c r="T147" i="14"/>
  <c r="T95" i="14"/>
  <c r="CB7" i="55"/>
  <c r="S149" i="14"/>
  <c r="AF110" i="53"/>
  <c r="AF111" i="53" s="1"/>
  <c r="AF104" i="53"/>
  <c r="AF105" i="53" s="1"/>
  <c r="AG53" i="51" s="1"/>
  <c r="AF106" i="53"/>
  <c r="AF107" i="53" s="1"/>
  <c r="AG62" i="51" s="1"/>
  <c r="AF108" i="53"/>
  <c r="AF109" i="53" s="1"/>
  <c r="P276" i="20"/>
  <c r="P280" i="20" s="1"/>
  <c r="P277" i="20"/>
  <c r="S196" i="53"/>
  <c r="S197" i="53" s="1"/>
  <c r="T163" i="53"/>
  <c r="N162" i="12"/>
  <c r="N158" i="12"/>
  <c r="AT77" i="51"/>
  <c r="M259" i="54"/>
  <c r="AT78" i="51" s="1"/>
  <c r="R223" i="19"/>
  <c r="R224" i="19" s="1"/>
  <c r="R246" i="19"/>
  <c r="R247" i="19" s="1"/>
  <c r="BE23" i="51"/>
  <c r="BE20" i="51"/>
  <c r="BE22" i="51"/>
  <c r="BE19" i="51"/>
  <c r="S73" i="51"/>
  <c r="BD24" i="51"/>
  <c r="X33" i="12"/>
  <c r="U44" i="53"/>
  <c r="U71" i="53"/>
  <c r="U72" i="53" s="1"/>
  <c r="V57" i="51" s="1"/>
  <c r="U75" i="53"/>
  <c r="U77" i="53"/>
  <c r="U69" i="53"/>
  <c r="U70" i="53" s="1"/>
  <c r="V49" i="51" s="1"/>
  <c r="O300" i="20"/>
  <c r="N259" i="54"/>
  <c r="AU78" i="51" s="1"/>
  <c r="AU77" i="51"/>
  <c r="Q152" i="14"/>
  <c r="Z13" i="12"/>
  <c r="Z62" i="12"/>
  <c r="AA12" i="12"/>
  <c r="U105" i="14"/>
  <c r="AD141" i="20"/>
  <c r="AD117" i="19" s="1"/>
  <c r="AD115" i="19"/>
  <c r="AE94" i="14" s="1"/>
  <c r="AD143" i="20"/>
  <c r="AD119" i="19" s="1"/>
  <c r="AD142" i="20"/>
  <c r="AD118" i="19" s="1"/>
  <c r="AD144" i="20"/>
  <c r="AD120" i="19" s="1"/>
  <c r="AD140" i="20"/>
  <c r="AD116" i="19" s="1"/>
  <c r="AX73" i="51"/>
  <c r="T97" i="20"/>
  <c r="T99" i="20"/>
  <c r="T98" i="20"/>
  <c r="T90" i="19" s="1"/>
  <c r="T101" i="20"/>
  <c r="T93" i="19" s="1"/>
  <c r="T100" i="20"/>
  <c r="U136" i="12"/>
  <c r="T88" i="19"/>
  <c r="T220" i="20"/>
  <c r="BL62" i="51"/>
  <c r="BD38" i="51"/>
  <c r="BD37" i="51"/>
  <c r="S142" i="14"/>
  <c r="AS10" i="55"/>
  <c r="S129" i="14"/>
  <c r="P152" i="12"/>
  <c r="R237" i="19"/>
  <c r="R236" i="19"/>
  <c r="R248" i="19" s="1"/>
  <c r="U37" i="12"/>
  <c r="V81" i="14"/>
  <c r="V19" i="14"/>
  <c r="X15" i="14"/>
  <c r="W46" i="12"/>
  <c r="BF10" i="51"/>
  <c r="Z36" i="51"/>
  <c r="Z12" i="51"/>
  <c r="AA10" i="51"/>
  <c r="P241" i="53"/>
  <c r="P242" i="53" s="1"/>
  <c r="T121" i="12"/>
  <c r="S74" i="19"/>
  <c r="T121" i="14" s="1"/>
  <c r="P198" i="54"/>
  <c r="P202" i="54"/>
  <c r="P200" i="54"/>
  <c r="P203" i="54"/>
  <c r="P199" i="54"/>
  <c r="P201" i="54"/>
  <c r="S208" i="54"/>
  <c r="S205" i="54"/>
  <c r="P294" i="20"/>
  <c r="P296" i="20" s="1"/>
  <c r="P295" i="20"/>
  <c r="Q274" i="20"/>
  <c r="Q275" i="20"/>
  <c r="R150" i="12"/>
  <c r="O249" i="53"/>
  <c r="T105" i="12"/>
  <c r="S87" i="12"/>
  <c r="S108" i="12"/>
  <c r="Z28" i="12"/>
  <c r="Z31" i="12"/>
  <c r="Z27" i="12"/>
  <c r="Z30" i="12"/>
  <c r="AA26" i="12"/>
  <c r="V36" i="19"/>
  <c r="V42" i="19" s="1"/>
  <c r="W39" i="14"/>
  <c r="W92" i="14"/>
  <c r="T105" i="14"/>
  <c r="Q219" i="54"/>
  <c r="Q231" i="54" s="1"/>
  <c r="Q232" i="54" s="1"/>
  <c r="Q220" i="54"/>
  <c r="U54" i="51"/>
  <c r="Z27" i="51"/>
  <c r="BF26" i="51"/>
  <c r="Z28" i="51"/>
  <c r="AA26" i="51"/>
  <c r="R272" i="20"/>
  <c r="R273" i="20"/>
  <c r="R203" i="53"/>
  <c r="R199" i="53"/>
  <c r="R202" i="53"/>
  <c r="R200" i="53"/>
  <c r="R201" i="53"/>
  <c r="R198" i="53"/>
  <c r="W46" i="14"/>
  <c r="N10" i="55"/>
  <c r="N155" i="12"/>
  <c r="M312" i="20"/>
  <c r="M317" i="20"/>
  <c r="M242" i="54"/>
  <c r="M249" i="54" s="1"/>
  <c r="S139" i="14"/>
  <c r="Y21" i="51"/>
  <c r="AY71" i="51"/>
  <c r="AY64" i="51"/>
  <c r="U47" i="19"/>
  <c r="S146" i="14"/>
  <c r="N249" i="53"/>
  <c r="N251" i="53"/>
  <c r="O75" i="51" s="1"/>
  <c r="W66" i="12"/>
  <c r="W70" i="12"/>
  <c r="V40" i="20"/>
  <c r="AA46" i="20" s="1"/>
  <c r="W71" i="12"/>
  <c r="W134" i="12"/>
  <c r="T34" i="54"/>
  <c r="AF40" i="54" s="1"/>
  <c r="BA52" i="51"/>
  <c r="V40" i="19"/>
  <c r="AA46" i="19" s="1"/>
  <c r="W71" i="14"/>
  <c r="W66" i="14"/>
  <c r="W70" i="14"/>
  <c r="W134" i="14"/>
  <c r="Q290" i="20"/>
  <c r="Q291" i="20" s="1"/>
  <c r="Q292" i="20"/>
  <c r="Q293" i="20" s="1"/>
  <c r="T91" i="20"/>
  <c r="T94" i="20"/>
  <c r="T95" i="20"/>
  <c r="T87" i="19" s="1"/>
  <c r="T92" i="20"/>
  <c r="T84" i="19" s="1"/>
  <c r="T93" i="20"/>
  <c r="T82" i="19"/>
  <c r="U124" i="14" s="1"/>
  <c r="AZ58" i="51"/>
  <c r="T78" i="53"/>
  <c r="U61" i="51" s="1"/>
  <c r="T162" i="53"/>
  <c r="AF68" i="51"/>
  <c r="AF50" i="51"/>
  <c r="AU10" i="55"/>
  <c r="O155" i="14"/>
  <c r="N270" i="19"/>
  <c r="N275" i="19"/>
  <c r="X65" i="14"/>
  <c r="BK50" i="51"/>
  <c r="M163" i="14"/>
  <c r="M157" i="14"/>
  <c r="R151" i="14"/>
  <c r="T139" i="12"/>
  <c r="Y38" i="51"/>
  <c r="Y37" i="51"/>
  <c r="S86" i="14"/>
  <c r="S107" i="14"/>
  <c r="S23" i="14"/>
  <c r="U105" i="12"/>
  <c r="S255" i="20"/>
  <c r="S256" i="20" s="1"/>
  <c r="T222" i="20"/>
  <c r="S73" i="19"/>
  <c r="T120" i="14" s="1"/>
  <c r="T120" i="12"/>
  <c r="Y43" i="12"/>
  <c r="S78" i="54"/>
  <c r="S162" i="54"/>
  <c r="Y83" i="14"/>
  <c r="BC59" i="51"/>
  <c r="V35" i="54"/>
  <c r="S206" i="53"/>
  <c r="S207" i="53" s="1"/>
  <c r="S229" i="53"/>
  <c r="S230" i="53" s="1"/>
  <c r="AE96" i="19"/>
  <c r="AE95" i="19" s="1"/>
  <c r="AE127" i="20"/>
  <c r="AF126" i="12"/>
  <c r="AE101" i="19"/>
  <c r="AE99" i="19"/>
  <c r="AE97" i="19"/>
  <c r="AE133" i="20"/>
  <c r="AE100" i="19"/>
  <c r="AF94" i="12"/>
  <c r="AE98" i="19"/>
  <c r="AE145" i="20"/>
  <c r="AE139" i="20"/>
  <c r="S65" i="19"/>
  <c r="T96" i="14" s="1"/>
  <c r="T96" i="12"/>
  <c r="AZ51" i="51"/>
  <c r="Y34" i="12"/>
  <c r="T90" i="14"/>
  <c r="T111" i="14"/>
  <c r="T21" i="14"/>
  <c r="R213" i="53"/>
  <c r="R214" i="53"/>
  <c r="Y29" i="51"/>
  <c r="Q250" i="19"/>
  <c r="Q253" i="19" s="1"/>
  <c r="Q249" i="19"/>
  <c r="N164" i="14"/>
  <c r="M276" i="19"/>
  <c r="N165" i="14" s="1"/>
  <c r="V52" i="51"/>
  <c r="U34" i="53"/>
  <c r="AG40" i="53" s="1"/>
  <c r="Y38" i="14"/>
  <c r="W39" i="12"/>
  <c r="W92" i="12"/>
  <c r="V36" i="20"/>
  <c r="V42" i="20" s="1"/>
  <c r="O241" i="54"/>
  <c r="O258" i="54"/>
  <c r="O77" i="51"/>
  <c r="N259" i="53"/>
  <c r="O78" i="51" s="1"/>
  <c r="X16" i="12"/>
  <c r="U85" i="14"/>
  <c r="O259" i="53"/>
  <c r="P78" i="51" s="1"/>
  <c r="P77" i="51"/>
  <c r="W17" i="12"/>
  <c r="S118" i="12"/>
  <c r="X39" i="51"/>
  <c r="Q236" i="53"/>
  <c r="W17" i="14"/>
  <c r="U147" i="12"/>
  <c r="T76" i="53"/>
  <c r="U67" i="51"/>
  <c r="W48" i="51"/>
  <c r="V33" i="53"/>
  <c r="V39" i="53" s="1"/>
  <c r="BL53" i="51"/>
  <c r="O162" i="14"/>
  <c r="O158" i="14"/>
  <c r="Q213" i="19"/>
  <c r="Q214" i="19" s="1"/>
  <c r="R180" i="19"/>
  <c r="BK68" i="51"/>
  <c r="Z42" i="14"/>
  <c r="Z41" i="14"/>
  <c r="AA40" i="14"/>
  <c r="L317" i="20"/>
  <c r="BA51" i="51" l="1"/>
  <c r="BD59" i="51"/>
  <c r="T204" i="54"/>
  <c r="U204" i="53"/>
  <c r="T159" i="54"/>
  <c r="T146" i="14"/>
  <c r="V95" i="12"/>
  <c r="Z14" i="14"/>
  <c r="X38" i="19"/>
  <c r="U127" i="14"/>
  <c r="V51" i="51"/>
  <c r="V127" i="12"/>
  <c r="W40" i="20"/>
  <c r="AB46" i="20" s="1"/>
  <c r="Z34" i="14"/>
  <c r="X134" i="12"/>
  <c r="Y122" i="14"/>
  <c r="U110" i="12"/>
  <c r="T148" i="12"/>
  <c r="U111" i="12"/>
  <c r="Y48" i="14"/>
  <c r="Y44" i="14"/>
  <c r="Z43" i="14"/>
  <c r="Y49" i="14"/>
  <c r="Y39" i="51"/>
  <c r="Z34" i="12"/>
  <c r="U176" i="19"/>
  <c r="U131" i="14"/>
  <c r="Z43" i="12"/>
  <c r="U106" i="12"/>
  <c r="L161" i="12"/>
  <c r="Q258" i="19"/>
  <c r="Q259" i="19" s="1"/>
  <c r="Z15" i="14"/>
  <c r="AT74" i="51"/>
  <c r="O155" i="12"/>
  <c r="X35" i="53"/>
  <c r="Y59" i="51"/>
  <c r="T149" i="14"/>
  <c r="Y122" i="12"/>
  <c r="X38" i="20"/>
  <c r="Y49" i="12"/>
  <c r="Y44" i="12"/>
  <c r="Y48" i="12"/>
  <c r="S261" i="20"/>
  <c r="S262" i="20"/>
  <c r="S257" i="20"/>
  <c r="S258" i="20"/>
  <c r="S259" i="20"/>
  <c r="S260" i="20"/>
  <c r="O163" i="14"/>
  <c r="O157" i="14"/>
  <c r="W68" i="12"/>
  <c r="N164" i="12"/>
  <c r="M318" i="20"/>
  <c r="N165" i="12" s="1"/>
  <c r="Z29" i="51"/>
  <c r="AA28" i="12"/>
  <c r="AA30" i="12"/>
  <c r="AA27" i="12"/>
  <c r="AA31" i="12"/>
  <c r="AB26" i="12"/>
  <c r="BG10" i="51"/>
  <c r="AA12" i="51"/>
  <c r="AB10" i="51"/>
  <c r="AA36" i="51"/>
  <c r="U99" i="12"/>
  <c r="T92" i="19"/>
  <c r="U145" i="14" s="1"/>
  <c r="U145" i="12"/>
  <c r="Z63" i="12"/>
  <c r="Z64" i="12"/>
  <c r="U76" i="53"/>
  <c r="V67" i="51"/>
  <c r="T196" i="53"/>
  <c r="T197" i="53" s="1"/>
  <c r="U163" i="53"/>
  <c r="BM53" i="51"/>
  <c r="Q202" i="54"/>
  <c r="Q203" i="54"/>
  <c r="Q198" i="54"/>
  <c r="Q199" i="54"/>
  <c r="Q201" i="54"/>
  <c r="Q200" i="54"/>
  <c r="U83" i="20"/>
  <c r="U75" i="19" s="1"/>
  <c r="U70" i="19"/>
  <c r="V114" i="14" s="1"/>
  <c r="U79" i="20"/>
  <c r="V114" i="12"/>
  <c r="U81" i="20"/>
  <c r="U82" i="20"/>
  <c r="U80" i="20"/>
  <c r="S281" i="20"/>
  <c r="S285" i="20"/>
  <c r="S286" i="20"/>
  <c r="S284" i="20"/>
  <c r="S282" i="20"/>
  <c r="S283" i="20"/>
  <c r="X17" i="12"/>
  <c r="S88" i="12"/>
  <c r="S109" i="12"/>
  <c r="BF20" i="51"/>
  <c r="BF23" i="51"/>
  <c r="BF22" i="51"/>
  <c r="BF19" i="51"/>
  <c r="R214" i="54"/>
  <c r="R213" i="54"/>
  <c r="U72" i="51"/>
  <c r="V69" i="12"/>
  <c r="Y33" i="12"/>
  <c r="U86" i="12"/>
  <c r="U23" i="12"/>
  <c r="AZ70" i="51"/>
  <c r="M15" i="55"/>
  <c r="M13" i="55"/>
  <c r="M12" i="55"/>
  <c r="M14" i="55"/>
  <c r="M11" i="55"/>
  <c r="M16" i="55"/>
  <c r="U115" i="14"/>
  <c r="U143" i="12"/>
  <c r="U147" i="14"/>
  <c r="U95" i="14"/>
  <c r="R152" i="12"/>
  <c r="S150" i="12"/>
  <c r="Z32" i="14"/>
  <c r="T86" i="12"/>
  <c r="T107" i="12"/>
  <c r="T23" i="12"/>
  <c r="AZ71" i="51"/>
  <c r="AZ64" i="51"/>
  <c r="AF140" i="20"/>
  <c r="AF116" i="19" s="1"/>
  <c r="AF143" i="20"/>
  <c r="AF119" i="19" s="1"/>
  <c r="AF141" i="20"/>
  <c r="AF117" i="19" s="1"/>
  <c r="AF142" i="20"/>
  <c r="AF118" i="19" s="1"/>
  <c r="AF144" i="20"/>
  <c r="AF120" i="19" s="1"/>
  <c r="AF115" i="19"/>
  <c r="AG94" i="14" s="1"/>
  <c r="AF146" i="20"/>
  <c r="AF122" i="19" s="1"/>
  <c r="AF148" i="20"/>
  <c r="AF124" i="19" s="1"/>
  <c r="AF150" i="20"/>
  <c r="AF126" i="19" s="1"/>
  <c r="AF147" i="20"/>
  <c r="AF123" i="19" s="1"/>
  <c r="AF149" i="20"/>
  <c r="AF125" i="19" s="1"/>
  <c r="AF121" i="19"/>
  <c r="AG138" i="14" s="1"/>
  <c r="AG138" i="12"/>
  <c r="T139" i="14"/>
  <c r="Q220" i="19"/>
  <c r="Q218" i="19"/>
  <c r="Q217" i="19"/>
  <c r="Q215" i="19"/>
  <c r="Q219" i="19"/>
  <c r="Q216" i="19"/>
  <c r="AA41" i="14"/>
  <c r="AA42" i="14"/>
  <c r="AB40" i="14"/>
  <c r="AU12" i="55"/>
  <c r="AU16" i="55"/>
  <c r="AU11" i="55"/>
  <c r="AU15" i="55"/>
  <c r="AU14" i="55"/>
  <c r="AU13" i="55"/>
  <c r="Y25" i="51"/>
  <c r="AA27" i="51"/>
  <c r="AA28" i="51"/>
  <c r="BG26" i="51"/>
  <c r="AB26" i="51"/>
  <c r="W35" i="14"/>
  <c r="T117" i="14"/>
  <c r="Z14" i="51"/>
  <c r="Z13" i="51"/>
  <c r="AS11" i="55"/>
  <c r="AS13" i="55"/>
  <c r="AS12" i="55"/>
  <c r="AS15" i="55"/>
  <c r="AS16" i="55"/>
  <c r="AS14" i="55"/>
  <c r="Z83" i="12"/>
  <c r="V58" i="51"/>
  <c r="BB57" i="51"/>
  <c r="R250" i="19"/>
  <c r="R253" i="19" s="1"/>
  <c r="R249" i="19"/>
  <c r="S198" i="53"/>
  <c r="S200" i="53"/>
  <c r="S201" i="53"/>
  <c r="S203" i="53"/>
  <c r="S202" i="53"/>
  <c r="S199" i="53"/>
  <c r="U100" i="20"/>
  <c r="U99" i="20"/>
  <c r="U101" i="20"/>
  <c r="U93" i="19" s="1"/>
  <c r="U98" i="20"/>
  <c r="U90" i="19" s="1"/>
  <c r="U97" i="20"/>
  <c r="V136" i="12"/>
  <c r="U88" i="19"/>
  <c r="U220" i="20"/>
  <c r="W52" i="51"/>
  <c r="V34" i="53"/>
  <c r="BD25" i="51"/>
  <c r="Z24" i="51"/>
  <c r="V102" i="12"/>
  <c r="V20" i="12"/>
  <c r="V24" i="12"/>
  <c r="V25" i="12"/>
  <c r="U37" i="20"/>
  <c r="AG43" i="20" s="1"/>
  <c r="AG127" i="20" s="1"/>
  <c r="R220" i="54"/>
  <c r="R219" i="54"/>
  <c r="R231" i="54" s="1"/>
  <c r="R232" i="54" s="1"/>
  <c r="R222" i="54"/>
  <c r="R224" i="54"/>
  <c r="R225" i="54"/>
  <c r="R223" i="54"/>
  <c r="R226" i="54"/>
  <c r="R227" i="54"/>
  <c r="T73" i="19"/>
  <c r="U120" i="14" s="1"/>
  <c r="U120" i="12"/>
  <c r="U77" i="54"/>
  <c r="U69" i="54"/>
  <c r="U70" i="54" s="1"/>
  <c r="U75" i="54"/>
  <c r="U76" i="54" s="1"/>
  <c r="U44" i="54"/>
  <c r="U71" i="54"/>
  <c r="U72" i="54" s="1"/>
  <c r="T87" i="12"/>
  <c r="T108" i="12"/>
  <c r="Y82" i="14"/>
  <c r="R233" i="53"/>
  <c r="R234" i="53" s="1"/>
  <c r="Q235" i="19"/>
  <c r="Q234" i="19"/>
  <c r="Q238" i="19" s="1"/>
  <c r="T271" i="20"/>
  <c r="T268" i="20"/>
  <c r="T269" i="20"/>
  <c r="T270" i="20"/>
  <c r="N159" i="14"/>
  <c r="AA41" i="12"/>
  <c r="AA42" i="12"/>
  <c r="AB40" i="12"/>
  <c r="AF103" i="19"/>
  <c r="AG103" i="14" s="1"/>
  <c r="AF130" i="20"/>
  <c r="AF106" i="19" s="1"/>
  <c r="AF129" i="20"/>
  <c r="AF105" i="19" s="1"/>
  <c r="AF131" i="20"/>
  <c r="AF107" i="19" s="1"/>
  <c r="AF128" i="20"/>
  <c r="AF104" i="19" s="1"/>
  <c r="AF132" i="20"/>
  <c r="AF108" i="19" s="1"/>
  <c r="AG103" i="12"/>
  <c r="V54" i="51"/>
  <c r="X65" i="51"/>
  <c r="W37" i="53"/>
  <c r="AB43" i="53" s="1"/>
  <c r="AB156" i="53" s="1"/>
  <c r="AE141" i="20"/>
  <c r="AE117" i="19" s="1"/>
  <c r="AE143" i="20"/>
  <c r="AE119" i="19" s="1"/>
  <c r="AE144" i="20"/>
  <c r="AE120" i="19" s="1"/>
  <c r="AE140" i="20"/>
  <c r="AE116" i="19" s="1"/>
  <c r="AE142" i="20"/>
  <c r="AE118" i="19" s="1"/>
  <c r="AE115" i="19"/>
  <c r="AF94" i="14" s="1"/>
  <c r="T118" i="12"/>
  <c r="T85" i="19"/>
  <c r="U132" i="14" s="1"/>
  <c r="U132" i="12"/>
  <c r="W68" i="14"/>
  <c r="N163" i="12"/>
  <c r="N157" i="12"/>
  <c r="Z32" i="12"/>
  <c r="S209" i="54"/>
  <c r="S210" i="54"/>
  <c r="S211" i="54"/>
  <c r="S212" i="54"/>
  <c r="T117" i="12"/>
  <c r="Z38" i="51"/>
  <c r="Z37" i="51"/>
  <c r="O301" i="20"/>
  <c r="O310" i="20" s="1"/>
  <c r="P156" i="12" s="1"/>
  <c r="U205" i="53"/>
  <c r="U208" i="53"/>
  <c r="R239" i="19"/>
  <c r="R243" i="19"/>
  <c r="R240" i="19"/>
  <c r="R244" i="19"/>
  <c r="R241" i="19"/>
  <c r="R242" i="19"/>
  <c r="U88" i="20"/>
  <c r="U80" i="19" s="1"/>
  <c r="U87" i="20"/>
  <c r="U79" i="19" s="1"/>
  <c r="U85" i="20"/>
  <c r="U77" i="19" s="1"/>
  <c r="U89" i="20"/>
  <c r="U81" i="19" s="1"/>
  <c r="U86" i="20"/>
  <c r="U78" i="19" s="1"/>
  <c r="U76" i="19"/>
  <c r="V104" i="14" s="1"/>
  <c r="V104" i="12"/>
  <c r="U263" i="20"/>
  <c r="U315" i="20"/>
  <c r="U314" i="20"/>
  <c r="U264" i="20"/>
  <c r="V4" i="55"/>
  <c r="U267" i="20"/>
  <c r="W46" i="51"/>
  <c r="V84" i="12"/>
  <c r="CC6" i="55"/>
  <c r="AS76" i="51"/>
  <c r="U131" i="12"/>
  <c r="T229" i="19"/>
  <c r="T226" i="19"/>
  <c r="T227" i="19"/>
  <c r="T228" i="19"/>
  <c r="BC65" i="51"/>
  <c r="V37" i="54"/>
  <c r="AA43" i="54" s="1"/>
  <c r="AA156" i="54" s="1"/>
  <c r="BE13" i="51"/>
  <c r="BE14" i="51"/>
  <c r="U119" i="12"/>
  <c r="T72" i="19"/>
  <c r="U119" i="14" s="1"/>
  <c r="N310" i="20"/>
  <c r="O156" i="12" s="1"/>
  <c r="Q251" i="19"/>
  <c r="S230" i="19"/>
  <c r="S231" i="19"/>
  <c r="Z135" i="14"/>
  <c r="S278" i="20"/>
  <c r="S279" i="20"/>
  <c r="AF137" i="20"/>
  <c r="AF113" i="19" s="1"/>
  <c r="AF134" i="20"/>
  <c r="AF110" i="19" s="1"/>
  <c r="AF135" i="20"/>
  <c r="AF111" i="19" s="1"/>
  <c r="AF136" i="20"/>
  <c r="AF112" i="19" s="1"/>
  <c r="AF138" i="20"/>
  <c r="AF114" i="19" s="1"/>
  <c r="AF109" i="19"/>
  <c r="AG126" i="14" s="1"/>
  <c r="N253" i="54"/>
  <c r="W81" i="14"/>
  <c r="W19" i="14"/>
  <c r="BA67" i="51"/>
  <c r="U70" i="51"/>
  <c r="V52" i="19"/>
  <c r="V49" i="19" s="1"/>
  <c r="V177" i="19" s="1"/>
  <c r="V72" i="20"/>
  <c r="V47" i="20"/>
  <c r="V60" i="19"/>
  <c r="V50" i="19"/>
  <c r="V54" i="19"/>
  <c r="W124" i="12"/>
  <c r="V53" i="19"/>
  <c r="V51" i="19"/>
  <c r="V221" i="20"/>
  <c r="V57" i="19"/>
  <c r="V62" i="19"/>
  <c r="V96" i="20"/>
  <c r="V61" i="19"/>
  <c r="V59" i="19"/>
  <c r="V90" i="20"/>
  <c r="V55" i="19"/>
  <c r="V58" i="19"/>
  <c r="V84" i="20"/>
  <c r="V78" i="20"/>
  <c r="W93" i="12"/>
  <c r="Y36" i="14"/>
  <c r="R215" i="53"/>
  <c r="R216" i="53"/>
  <c r="AE146" i="20"/>
  <c r="AE122" i="19" s="1"/>
  <c r="AE149" i="20"/>
  <c r="AE125" i="19" s="1"/>
  <c r="AE147" i="20"/>
  <c r="AE123" i="19" s="1"/>
  <c r="AF138" i="12"/>
  <c r="AE148" i="20"/>
  <c r="AE124" i="19" s="1"/>
  <c r="AE150" i="20"/>
  <c r="AE126" i="19" s="1"/>
  <c r="AE121" i="19"/>
  <c r="AF138" i="14" s="1"/>
  <c r="S222" i="53"/>
  <c r="S223" i="53"/>
  <c r="S224" i="53"/>
  <c r="S227" i="53"/>
  <c r="S225" i="53"/>
  <c r="S226" i="53"/>
  <c r="T118" i="14"/>
  <c r="BL50" i="51"/>
  <c r="BA54" i="51"/>
  <c r="N14" i="55"/>
  <c r="N12" i="55"/>
  <c r="N11" i="55"/>
  <c r="N15" i="55"/>
  <c r="N16" i="55"/>
  <c r="N13" i="55"/>
  <c r="BF28" i="51"/>
  <c r="BF27" i="51"/>
  <c r="V47" i="19"/>
  <c r="Z29" i="12"/>
  <c r="P249" i="53"/>
  <c r="P251" i="53"/>
  <c r="Q75" i="51" s="1"/>
  <c r="BF12" i="51"/>
  <c r="BF36" i="51"/>
  <c r="X16" i="14"/>
  <c r="T91" i="19"/>
  <c r="U144" i="14" s="1"/>
  <c r="U144" i="12"/>
  <c r="X92" i="12"/>
  <c r="X39" i="12"/>
  <c r="W36" i="20"/>
  <c r="W42" i="20" s="1"/>
  <c r="U95" i="20"/>
  <c r="U87" i="19" s="1"/>
  <c r="U92" i="20"/>
  <c r="U84" i="19" s="1"/>
  <c r="U93" i="20"/>
  <c r="U94" i="20"/>
  <c r="U91" i="20"/>
  <c r="U82" i="19"/>
  <c r="V124" i="14" s="1"/>
  <c r="Y36" i="12"/>
  <c r="T87" i="14"/>
  <c r="T108" i="14"/>
  <c r="T78" i="54"/>
  <c r="T162" i="54"/>
  <c r="BE37" i="51"/>
  <c r="BE38" i="51"/>
  <c r="U115" i="12"/>
  <c r="U146" i="12"/>
  <c r="U34" i="54"/>
  <c r="AG40" i="54" s="1"/>
  <c r="BB52" i="51"/>
  <c r="T154" i="12"/>
  <c r="T97" i="12"/>
  <c r="T142" i="12"/>
  <c r="T65" i="19"/>
  <c r="U96" i="14" s="1"/>
  <c r="U96" i="12"/>
  <c r="S150" i="14"/>
  <c r="W47" i="12"/>
  <c r="T211" i="53"/>
  <c r="T212" i="53"/>
  <c r="T210" i="53"/>
  <c r="T209" i="53"/>
  <c r="M160" i="14"/>
  <c r="AR13" i="55"/>
  <c r="AR12" i="55"/>
  <c r="AR15" i="55"/>
  <c r="AR16" i="55"/>
  <c r="AR11" i="55"/>
  <c r="AR14" i="55"/>
  <c r="AA27" i="14"/>
  <c r="AA30" i="14"/>
  <c r="AA31" i="14"/>
  <c r="AA28" i="14"/>
  <c r="AB26" i="14"/>
  <c r="BC43" i="51"/>
  <c r="BC17" i="51"/>
  <c r="AU76" i="51"/>
  <c r="Y16" i="14"/>
  <c r="Z44" i="14"/>
  <c r="Y38" i="19"/>
  <c r="Z122" i="14"/>
  <c r="Z49" i="14"/>
  <c r="Z48" i="14"/>
  <c r="AF103" i="12"/>
  <c r="AE131" i="20"/>
  <c r="AE107" i="19" s="1"/>
  <c r="AE103" i="19"/>
  <c r="AF103" i="14" s="1"/>
  <c r="AE128" i="20"/>
  <c r="AE104" i="19" s="1"/>
  <c r="AE132" i="20"/>
  <c r="AE108" i="19" s="1"/>
  <c r="AE130" i="20"/>
  <c r="AE106" i="19" s="1"/>
  <c r="AE129" i="20"/>
  <c r="AE105" i="19" s="1"/>
  <c r="BL68" i="51"/>
  <c r="Q77" i="51"/>
  <c r="P259" i="53"/>
  <c r="Q78" i="51" s="1"/>
  <c r="T89" i="19"/>
  <c r="U140" i="14" s="1"/>
  <c r="U140" i="12"/>
  <c r="BE21" i="51"/>
  <c r="N160" i="12"/>
  <c r="S151" i="14"/>
  <c r="U218" i="20"/>
  <c r="BD15" i="51"/>
  <c r="S214" i="53"/>
  <c r="S213" i="53"/>
  <c r="Y15" i="12"/>
  <c r="Z21" i="51"/>
  <c r="Y65" i="12"/>
  <c r="U143" i="14"/>
  <c r="Q233" i="54"/>
  <c r="Y65" i="14"/>
  <c r="T205" i="54"/>
  <c r="T208" i="54"/>
  <c r="X48" i="51"/>
  <c r="W33" i="53"/>
  <c r="W39" i="53" s="1"/>
  <c r="U87" i="12"/>
  <c r="S148" i="14"/>
  <c r="T71" i="19"/>
  <c r="U116" i="14" s="1"/>
  <c r="U116" i="12"/>
  <c r="BB46" i="51"/>
  <c r="T154" i="14"/>
  <c r="T97" i="14"/>
  <c r="R232" i="19"/>
  <c r="R233" i="19"/>
  <c r="T142" i="14"/>
  <c r="T67" i="19"/>
  <c r="U100" i="14" s="1"/>
  <c r="U100" i="12"/>
  <c r="U86" i="14"/>
  <c r="U107" i="14"/>
  <c r="U23" i="14"/>
  <c r="Z38" i="14"/>
  <c r="BG66" i="51"/>
  <c r="T153" i="12"/>
  <c r="T98" i="12"/>
  <c r="X43" i="51"/>
  <c r="X17" i="51"/>
  <c r="V71" i="53"/>
  <c r="V72" i="53" s="1"/>
  <c r="W57" i="51" s="1"/>
  <c r="V44" i="53"/>
  <c r="V69" i="53"/>
  <c r="V70" i="53" s="1"/>
  <c r="W49" i="51" s="1"/>
  <c r="V77" i="53"/>
  <c r="V75" i="53"/>
  <c r="Q241" i="53"/>
  <c r="Q242" i="53" s="1"/>
  <c r="Q258" i="53"/>
  <c r="O160" i="14"/>
  <c r="O259" i="54"/>
  <c r="AV78" i="51" s="1"/>
  <c r="AV77" i="51"/>
  <c r="W35" i="12"/>
  <c r="W40" i="19"/>
  <c r="AB46" i="19" s="1"/>
  <c r="X66" i="14"/>
  <c r="X71" i="14"/>
  <c r="X70" i="14"/>
  <c r="X134" i="14"/>
  <c r="T206" i="53"/>
  <c r="T207" i="53" s="1"/>
  <c r="T229" i="53"/>
  <c r="T230" i="53" s="1"/>
  <c r="T86" i="19"/>
  <c r="U133" i="14" s="1"/>
  <c r="U133" i="12"/>
  <c r="AF108" i="54"/>
  <c r="AF109" i="54" s="1"/>
  <c r="AF106" i="54"/>
  <c r="AF107" i="54" s="1"/>
  <c r="AF104" i="54"/>
  <c r="AF105" i="54" s="1"/>
  <c r="AF110" i="54"/>
  <c r="AF111" i="54" s="1"/>
  <c r="O74" i="51"/>
  <c r="N253" i="53"/>
  <c r="R274" i="20"/>
  <c r="R275" i="20"/>
  <c r="Q276" i="20"/>
  <c r="Q280" i="20" s="1"/>
  <c r="Q277" i="20"/>
  <c r="U37" i="19"/>
  <c r="AG43" i="19" s="1"/>
  <c r="V25" i="14"/>
  <c r="V24" i="14"/>
  <c r="V20" i="14"/>
  <c r="V102" i="14"/>
  <c r="BB49" i="51"/>
  <c r="BD44" i="51"/>
  <c r="BE24" i="51"/>
  <c r="U73" i="20"/>
  <c r="U77" i="20"/>
  <c r="U69" i="19" s="1"/>
  <c r="U76" i="20"/>
  <c r="U74" i="20"/>
  <c r="U66" i="19" s="1"/>
  <c r="U75" i="20"/>
  <c r="U64" i="19"/>
  <c r="V93" i="14" s="1"/>
  <c r="BA58" i="51"/>
  <c r="S219" i="53"/>
  <c r="S231" i="53" s="1"/>
  <c r="S232" i="53" s="1"/>
  <c r="S220" i="53"/>
  <c r="W36" i="19"/>
  <c r="W42" i="19" s="1"/>
  <c r="X92" i="14"/>
  <c r="X39" i="14"/>
  <c r="Z215" i="20"/>
  <c r="Z173" i="19" s="1"/>
  <c r="Z212" i="20"/>
  <c r="Z170" i="19" s="1"/>
  <c r="Z213" i="20"/>
  <c r="Z171" i="19" s="1"/>
  <c r="Z214" i="20"/>
  <c r="Z172" i="19" s="1"/>
  <c r="Z216" i="20"/>
  <c r="Z174" i="19" s="1"/>
  <c r="AA135" i="12"/>
  <c r="Z169" i="19"/>
  <c r="S151" i="12"/>
  <c r="AA13" i="14"/>
  <c r="AB12" i="14"/>
  <c r="AA62" i="14"/>
  <c r="M164" i="14"/>
  <c r="L276" i="19"/>
  <c r="M165" i="14" s="1"/>
  <c r="N76" i="51"/>
  <c r="X47" i="12"/>
  <c r="U121" i="12"/>
  <c r="T74" i="19"/>
  <c r="U121" i="14" s="1"/>
  <c r="R251" i="19"/>
  <c r="S236" i="19"/>
  <c r="S248" i="19" s="1"/>
  <c r="S237" i="19"/>
  <c r="T68" i="19"/>
  <c r="U101" i="14" s="1"/>
  <c r="U101" i="12"/>
  <c r="T129" i="12"/>
  <c r="V37" i="14"/>
  <c r="Y44" i="51"/>
  <c r="Y82" i="12"/>
  <c r="AR76" i="51"/>
  <c r="X68" i="12"/>
  <c r="W47" i="14"/>
  <c r="R290" i="20"/>
  <c r="R291" i="20" s="1"/>
  <c r="R292" i="20"/>
  <c r="R293" i="20" s="1"/>
  <c r="T153" i="14"/>
  <c r="T98" i="14"/>
  <c r="Y15" i="51"/>
  <c r="P218" i="54"/>
  <c r="P217" i="54"/>
  <c r="P221" i="54" s="1"/>
  <c r="Y45" i="14"/>
  <c r="Q252" i="19"/>
  <c r="Q254" i="19" s="1"/>
  <c r="S206" i="54"/>
  <c r="S207" i="54" s="1"/>
  <c r="S229" i="54"/>
  <c r="S230" i="54" s="1"/>
  <c r="S88" i="14"/>
  <c r="S109" i="14"/>
  <c r="M159" i="14"/>
  <c r="O164" i="14"/>
  <c r="N276" i="19"/>
  <c r="O165" i="14" s="1"/>
  <c r="BA61" i="51"/>
  <c r="U71" i="51"/>
  <c r="U64" i="51"/>
  <c r="T83" i="19"/>
  <c r="U128" i="14" s="1"/>
  <c r="U128" i="12"/>
  <c r="W67" i="14"/>
  <c r="W67" i="12"/>
  <c r="AY73" i="51"/>
  <c r="P300" i="20"/>
  <c r="P301" i="20" s="1"/>
  <c r="V84" i="14"/>
  <c r="BD39" i="51"/>
  <c r="U136" i="14"/>
  <c r="T179" i="19"/>
  <c r="AA13" i="12"/>
  <c r="AB12" i="12"/>
  <c r="AA62" i="12"/>
  <c r="U78" i="53"/>
  <c r="V61" i="51" s="1"/>
  <c r="U162" i="53"/>
  <c r="AG68" i="51"/>
  <c r="AG50" i="51"/>
  <c r="CD12" i="55"/>
  <c r="CD11" i="55"/>
  <c r="CD19" i="55" s="1"/>
  <c r="CD16" i="55"/>
  <c r="CD15" i="55"/>
  <c r="CD14" i="55"/>
  <c r="CD13" i="55"/>
  <c r="AZ72" i="51"/>
  <c r="T141" i="12"/>
  <c r="AA20" i="51"/>
  <c r="AA19" i="51"/>
  <c r="AA22" i="51"/>
  <c r="BG18" i="51"/>
  <c r="AA23" i="51"/>
  <c r="AB18" i="51"/>
  <c r="M251" i="54"/>
  <c r="AT75" i="51" s="1"/>
  <c r="Z63" i="14"/>
  <c r="Z64" i="14"/>
  <c r="AA157" i="53"/>
  <c r="AB66" i="51" s="1"/>
  <c r="X47" i="14"/>
  <c r="U9" i="55"/>
  <c r="Q215" i="54"/>
  <c r="Q216" i="54"/>
  <c r="T130" i="12"/>
  <c r="V143" i="14"/>
  <c r="Q218" i="53"/>
  <c r="Q217" i="53"/>
  <c r="Q221" i="53" s="1"/>
  <c r="M160" i="12"/>
  <c r="T129" i="14"/>
  <c r="BC48" i="51"/>
  <c r="V33" i="54"/>
  <c r="V39" i="54" s="1"/>
  <c r="S148" i="12"/>
  <c r="T266" i="20"/>
  <c r="Z29" i="14"/>
  <c r="AB167" i="19"/>
  <c r="AB166" i="19" s="1"/>
  <c r="AB211" i="20"/>
  <c r="P237" i="54"/>
  <c r="P258" i="54" s="1"/>
  <c r="P242" i="54"/>
  <c r="P249" i="54" s="1"/>
  <c r="W81" i="12"/>
  <c r="W19" i="12"/>
  <c r="M164" i="12"/>
  <c r="L318" i="20"/>
  <c r="M165" i="12" s="1"/>
  <c r="R213" i="19"/>
  <c r="R214" i="19" s="1"/>
  <c r="S180" i="19"/>
  <c r="O242" i="54"/>
  <c r="O249" i="54" s="1"/>
  <c r="AG110" i="53"/>
  <c r="AG111" i="53" s="1"/>
  <c r="AG106" i="53"/>
  <c r="AG107" i="53" s="1"/>
  <c r="AH62" i="51" s="1"/>
  <c r="AG108" i="53"/>
  <c r="AG109" i="53" s="1"/>
  <c r="AG104" i="53"/>
  <c r="AG105" i="53" s="1"/>
  <c r="AH53" i="51" s="1"/>
  <c r="T86" i="14"/>
  <c r="T107" i="14"/>
  <c r="T23" i="14"/>
  <c r="T149" i="12"/>
  <c r="AE135" i="20"/>
  <c r="AE111" i="19" s="1"/>
  <c r="AE138" i="20"/>
  <c r="AE114" i="19" s="1"/>
  <c r="AE134" i="20"/>
  <c r="AE110" i="19" s="1"/>
  <c r="AE137" i="20"/>
  <c r="AE113" i="19" s="1"/>
  <c r="AE136" i="20"/>
  <c r="AE112" i="19" s="1"/>
  <c r="AE109" i="19"/>
  <c r="AF126" i="14" s="1"/>
  <c r="T255" i="20"/>
  <c r="T256" i="20" s="1"/>
  <c r="U222" i="20"/>
  <c r="Q294" i="20"/>
  <c r="Q296" i="20" s="1"/>
  <c r="Q295" i="20"/>
  <c r="AA167" i="19"/>
  <c r="AA166" i="19" s="1"/>
  <c r="AA211" i="20"/>
  <c r="U221" i="19"/>
  <c r="U273" i="19"/>
  <c r="U222" i="19"/>
  <c r="U272" i="19"/>
  <c r="U225" i="19"/>
  <c r="Z38" i="12"/>
  <c r="P74" i="51"/>
  <c r="O253" i="53"/>
  <c r="U139" i="12"/>
  <c r="Z14" i="12"/>
  <c r="U159" i="53"/>
  <c r="BM62" i="51"/>
  <c r="R196" i="54"/>
  <c r="R197" i="54" s="1"/>
  <c r="S163" i="54"/>
  <c r="CE9" i="55"/>
  <c r="U265" i="20"/>
  <c r="U288" i="20"/>
  <c r="U289" i="20" s="1"/>
  <c r="V147" i="12"/>
  <c r="T141" i="14"/>
  <c r="Z83" i="14"/>
  <c r="CC7" i="55"/>
  <c r="Y33" i="14"/>
  <c r="Q234" i="54"/>
  <c r="U99" i="14"/>
  <c r="O268" i="19"/>
  <c r="P156" i="14" s="1"/>
  <c r="O266" i="19"/>
  <c r="T130" i="14"/>
  <c r="V37" i="12"/>
  <c r="M159" i="12"/>
  <c r="U87" i="14"/>
  <c r="U108" i="14"/>
  <c r="S272" i="20"/>
  <c r="S273" i="20"/>
  <c r="X67" i="12"/>
  <c r="BE29" i="51"/>
  <c r="T73" i="51"/>
  <c r="S223" i="19"/>
  <c r="S224" i="19" s="1"/>
  <c r="S246" i="19"/>
  <c r="S247" i="19" s="1"/>
  <c r="P266" i="19"/>
  <c r="P268" i="19"/>
  <c r="Q156" i="14" s="1"/>
  <c r="V204" i="53" l="1"/>
  <c r="U204" i="54"/>
  <c r="V9" i="55"/>
  <c r="AA14" i="14"/>
  <c r="BB51" i="51"/>
  <c r="W127" i="12"/>
  <c r="V72" i="51"/>
  <c r="V127" i="14"/>
  <c r="Z82" i="12"/>
  <c r="Y65" i="51"/>
  <c r="U108" i="12"/>
  <c r="W95" i="12"/>
  <c r="AA14" i="12"/>
  <c r="Z122" i="12"/>
  <c r="Y16" i="12"/>
  <c r="Y46" i="14"/>
  <c r="U146" i="14"/>
  <c r="U107" i="12"/>
  <c r="V131" i="14"/>
  <c r="T148" i="14"/>
  <c r="X37" i="53"/>
  <c r="AC43" i="53" s="1"/>
  <c r="AC156" i="53" s="1"/>
  <c r="AC157" i="53" s="1"/>
  <c r="AD66" i="51" s="1"/>
  <c r="BB4" i="55"/>
  <c r="AA43" i="12"/>
  <c r="V176" i="19"/>
  <c r="Y38" i="20"/>
  <c r="Z44" i="12"/>
  <c r="V131" i="12"/>
  <c r="Z49" i="12"/>
  <c r="Z39" i="51"/>
  <c r="Z48" i="12"/>
  <c r="O251" i="54"/>
  <c r="AV75" i="51" s="1"/>
  <c r="AA38" i="14"/>
  <c r="AR6" i="55"/>
  <c r="N6" i="55"/>
  <c r="M6" i="55"/>
  <c r="CD6" i="55"/>
  <c r="AU7" i="55"/>
  <c r="AS6" i="55"/>
  <c r="AU6" i="55"/>
  <c r="P162" i="12"/>
  <c r="P158" i="12"/>
  <c r="AW74" i="51"/>
  <c r="AV74" i="51"/>
  <c r="Q162" i="14"/>
  <c r="Q158" i="14"/>
  <c r="X35" i="54"/>
  <c r="BE59" i="51"/>
  <c r="U255" i="20"/>
  <c r="U256" i="20" s="1"/>
  <c r="V222" i="20"/>
  <c r="BN53" i="51"/>
  <c r="R220" i="19"/>
  <c r="R219" i="19"/>
  <c r="R216" i="19"/>
  <c r="R217" i="19"/>
  <c r="R215" i="19"/>
  <c r="R218" i="19"/>
  <c r="BG20" i="51"/>
  <c r="BG23" i="51"/>
  <c r="BG19" i="51"/>
  <c r="BG22" i="51"/>
  <c r="AA15" i="12"/>
  <c r="S152" i="14"/>
  <c r="Y43" i="51"/>
  <c r="Y17" i="51"/>
  <c r="V99" i="14"/>
  <c r="U154" i="12"/>
  <c r="U97" i="12"/>
  <c r="V147" i="14"/>
  <c r="V95" i="14"/>
  <c r="O76" i="51"/>
  <c r="U129" i="14"/>
  <c r="V78" i="53"/>
  <c r="W61" i="51" s="1"/>
  <c r="V162" i="53"/>
  <c r="W34" i="53"/>
  <c r="X52" i="51"/>
  <c r="Y17" i="12"/>
  <c r="BE25" i="51"/>
  <c r="U83" i="19"/>
  <c r="V128" i="14" s="1"/>
  <c r="V128" i="12"/>
  <c r="V221" i="19"/>
  <c r="V272" i="19"/>
  <c r="V222" i="19"/>
  <c r="V273" i="19"/>
  <c r="V225" i="19"/>
  <c r="V83" i="20"/>
  <c r="V75" i="19" s="1"/>
  <c r="V81" i="20"/>
  <c r="V70" i="19"/>
  <c r="W114" i="14" s="1"/>
  <c r="V82" i="20"/>
  <c r="V80" i="20"/>
  <c r="V79" i="20"/>
  <c r="W114" i="12"/>
  <c r="S233" i="53"/>
  <c r="S234" i="53" s="1"/>
  <c r="AG96" i="19"/>
  <c r="AG95" i="19" s="1"/>
  <c r="AG145" i="20"/>
  <c r="AH126" i="12"/>
  <c r="AG133" i="20"/>
  <c r="AG101" i="19"/>
  <c r="AG98" i="19"/>
  <c r="AG99" i="19"/>
  <c r="AG100" i="19"/>
  <c r="AG97" i="19"/>
  <c r="AH94" i="12"/>
  <c r="AG139" i="20"/>
  <c r="Z44" i="51"/>
  <c r="U91" i="19"/>
  <c r="V144" i="14" s="1"/>
  <c r="V144" i="12"/>
  <c r="Y48" i="51"/>
  <c r="X33" i="53"/>
  <c r="X39" i="53" s="1"/>
  <c r="AA43" i="14"/>
  <c r="U73" i="19"/>
  <c r="V120" i="14" s="1"/>
  <c r="V120" i="12"/>
  <c r="U141" i="14"/>
  <c r="Y45" i="12"/>
  <c r="N317" i="20"/>
  <c r="Q155" i="14"/>
  <c r="P270" i="19"/>
  <c r="P275" i="19"/>
  <c r="S274" i="20"/>
  <c r="S275" i="20"/>
  <c r="X36" i="19"/>
  <c r="X42" i="19" s="1"/>
  <c r="Y92" i="14"/>
  <c r="Y39" i="14"/>
  <c r="AH68" i="51"/>
  <c r="AH50" i="51"/>
  <c r="AA24" i="51"/>
  <c r="AB13" i="12"/>
  <c r="AC12" i="12"/>
  <c r="AB62" i="12"/>
  <c r="U73" i="51"/>
  <c r="U154" i="14"/>
  <c r="U97" i="14"/>
  <c r="U117" i="14"/>
  <c r="U67" i="19"/>
  <c r="V100" i="14" s="1"/>
  <c r="V100" i="12"/>
  <c r="V159" i="53"/>
  <c r="X46" i="51"/>
  <c r="X40" i="19"/>
  <c r="AC46" i="19" s="1"/>
  <c r="Y134" i="14"/>
  <c r="Y66" i="14"/>
  <c r="Y71" i="14"/>
  <c r="Y70" i="14"/>
  <c r="AA34" i="14"/>
  <c r="AG104" i="54"/>
  <c r="AG105" i="54" s="1"/>
  <c r="AG108" i="54"/>
  <c r="AG109" i="54" s="1"/>
  <c r="AG106" i="54"/>
  <c r="AG107" i="54" s="1"/>
  <c r="AG110" i="54"/>
  <c r="AG111" i="54" s="1"/>
  <c r="T206" i="54"/>
  <c r="T207" i="54" s="1"/>
  <c r="T229" i="54"/>
  <c r="T230" i="54" s="1"/>
  <c r="U86" i="19"/>
  <c r="V133" i="14" s="1"/>
  <c r="V133" i="12"/>
  <c r="BF38" i="51"/>
  <c r="BF37" i="51"/>
  <c r="V87" i="20"/>
  <c r="V79" i="19" s="1"/>
  <c r="V88" i="20"/>
  <c r="V80" i="19" s="1"/>
  <c r="V85" i="20"/>
  <c r="V77" i="19" s="1"/>
  <c r="V86" i="20"/>
  <c r="V78" i="19" s="1"/>
  <c r="V89" i="20"/>
  <c r="V81" i="19" s="1"/>
  <c r="V76" i="19"/>
  <c r="W104" i="14" s="1"/>
  <c r="W104" i="12"/>
  <c r="W102" i="14"/>
  <c r="V37" i="19"/>
  <c r="W25" i="14"/>
  <c r="W24" i="14"/>
  <c r="W20" i="14"/>
  <c r="U78" i="54"/>
  <c r="U162" i="54"/>
  <c r="V90" i="12"/>
  <c r="V111" i="12"/>
  <c r="V21" i="12"/>
  <c r="W54" i="51"/>
  <c r="U92" i="19"/>
  <c r="V145" i="14" s="1"/>
  <c r="V145" i="12"/>
  <c r="O308" i="20"/>
  <c r="AB41" i="14"/>
  <c r="AB42" i="14"/>
  <c r="AC40" i="14"/>
  <c r="T88" i="12"/>
  <c r="T109" i="12"/>
  <c r="V115" i="12"/>
  <c r="V146" i="12"/>
  <c r="BB67" i="51"/>
  <c r="V70" i="51"/>
  <c r="AA32" i="12"/>
  <c r="Z46" i="12"/>
  <c r="N312" i="20"/>
  <c r="X69" i="12"/>
  <c r="S250" i="19"/>
  <c r="S253" i="19" s="1"/>
  <c r="S249" i="19"/>
  <c r="P155" i="14"/>
  <c r="AV10" i="55"/>
  <c r="O270" i="19"/>
  <c r="O275" i="19"/>
  <c r="P76" i="51"/>
  <c r="T259" i="20"/>
  <c r="T258" i="20"/>
  <c r="T262" i="20"/>
  <c r="T260" i="20"/>
  <c r="T257" i="20"/>
  <c r="T261" i="20"/>
  <c r="BN62" i="51"/>
  <c r="AA21" i="51"/>
  <c r="CD7" i="55"/>
  <c r="BM50" i="51"/>
  <c r="AA83" i="12"/>
  <c r="BA71" i="51"/>
  <c r="BA64" i="51"/>
  <c r="Y47" i="14"/>
  <c r="T151" i="14"/>
  <c r="U117" i="12"/>
  <c r="BE44" i="51"/>
  <c r="V85" i="14"/>
  <c r="V106" i="14"/>
  <c r="T227" i="53"/>
  <c r="T226" i="53"/>
  <c r="T224" i="53"/>
  <c r="T223" i="53"/>
  <c r="T222" i="53"/>
  <c r="T225" i="53"/>
  <c r="R77" i="51"/>
  <c r="Q259" i="53"/>
  <c r="R78" i="51" s="1"/>
  <c r="BC49" i="51"/>
  <c r="Z36" i="14"/>
  <c r="W44" i="53"/>
  <c r="W77" i="53"/>
  <c r="W71" i="53"/>
  <c r="W72" i="53" s="1"/>
  <c r="X57" i="51" s="1"/>
  <c r="W75" i="53"/>
  <c r="W69" i="53"/>
  <c r="W70" i="53" s="1"/>
  <c r="X49" i="51" s="1"/>
  <c r="Q235" i="54"/>
  <c r="Q237" i="54" s="1"/>
  <c r="Q236" i="54"/>
  <c r="AR20" i="55"/>
  <c r="AR19" i="55"/>
  <c r="U85" i="19"/>
  <c r="V132" i="14" s="1"/>
  <c r="V132" i="12"/>
  <c r="BF14" i="51"/>
  <c r="BF13" i="51"/>
  <c r="N20" i="55"/>
  <c r="N19" i="55"/>
  <c r="R217" i="53"/>
  <c r="R221" i="53" s="1"/>
  <c r="R218" i="53"/>
  <c r="V265" i="20"/>
  <c r="V288" i="20"/>
  <c r="V289" i="20" s="1"/>
  <c r="V315" i="20"/>
  <c r="V314" i="20"/>
  <c r="V264" i="20"/>
  <c r="V263" i="20"/>
  <c r="W4" i="55"/>
  <c r="V267" i="20"/>
  <c r="Z82" i="14"/>
  <c r="W84" i="14"/>
  <c r="BA72" i="51"/>
  <c r="V110" i="12"/>
  <c r="V89" i="12"/>
  <c r="V22" i="12"/>
  <c r="W33" i="54"/>
  <c r="W39" i="54" s="1"/>
  <c r="BD48" i="51"/>
  <c r="R258" i="19"/>
  <c r="R259" i="19" s="1"/>
  <c r="AA29" i="51"/>
  <c r="R216" i="54"/>
  <c r="R215" i="54"/>
  <c r="S152" i="12"/>
  <c r="U71" i="19"/>
  <c r="V116" i="14" s="1"/>
  <c r="V116" i="12"/>
  <c r="AA34" i="12"/>
  <c r="O10" i="55"/>
  <c r="Z16" i="14"/>
  <c r="Z36" i="12"/>
  <c r="Q300" i="20"/>
  <c r="T88" i="14"/>
  <c r="T109" i="14"/>
  <c r="BM68" i="51"/>
  <c r="W69" i="14"/>
  <c r="U68" i="19"/>
  <c r="V101" i="14" s="1"/>
  <c r="V101" i="12"/>
  <c r="V110" i="14"/>
  <c r="V22" i="14"/>
  <c r="V89" i="14"/>
  <c r="M161" i="14"/>
  <c r="V208" i="53"/>
  <c r="V205" i="53"/>
  <c r="T151" i="12"/>
  <c r="R234" i="19"/>
  <c r="R238" i="19" s="1"/>
  <c r="R235" i="19"/>
  <c r="Z46" i="14"/>
  <c r="T220" i="53"/>
  <c r="T219" i="53"/>
  <c r="T231" i="53" s="1"/>
  <c r="T232" i="53" s="1"/>
  <c r="T150" i="12"/>
  <c r="BE39" i="51"/>
  <c r="V74" i="20"/>
  <c r="V66" i="19" s="1"/>
  <c r="V77" i="20"/>
  <c r="V69" i="19" s="1"/>
  <c r="V76" i="20"/>
  <c r="V75" i="20"/>
  <c r="V64" i="19"/>
  <c r="W93" i="14" s="1"/>
  <c r="V73" i="20"/>
  <c r="BE15" i="51"/>
  <c r="T230" i="19"/>
  <c r="T231" i="19"/>
  <c r="AB157" i="53"/>
  <c r="AC66" i="51" s="1"/>
  <c r="U118" i="12"/>
  <c r="V85" i="12"/>
  <c r="V106" i="12"/>
  <c r="V136" i="14"/>
  <c r="U179" i="19"/>
  <c r="AB28" i="51"/>
  <c r="AB27" i="51"/>
  <c r="BH26" i="51"/>
  <c r="AC26" i="51"/>
  <c r="M7" i="55"/>
  <c r="V115" i="14"/>
  <c r="Z65" i="12"/>
  <c r="AA38" i="12"/>
  <c r="O163" i="12"/>
  <c r="O157" i="12"/>
  <c r="S240" i="19"/>
  <c r="S244" i="19"/>
  <c r="S239" i="19"/>
  <c r="S242" i="19"/>
  <c r="S243" i="19"/>
  <c r="S241" i="19"/>
  <c r="P162" i="14"/>
  <c r="P158" i="14"/>
  <c r="Z15" i="12"/>
  <c r="BB9" i="55"/>
  <c r="AA214" i="20"/>
  <c r="AA172" i="19" s="1"/>
  <c r="AA216" i="20"/>
  <c r="AA174" i="19" s="1"/>
  <c r="AA215" i="20"/>
  <c r="AA173" i="19" s="1"/>
  <c r="AA212" i="20"/>
  <c r="AA170" i="19" s="1"/>
  <c r="AA213" i="20"/>
  <c r="AA171" i="19" s="1"/>
  <c r="AA169" i="19"/>
  <c r="AB135" i="12"/>
  <c r="V69" i="54"/>
  <c r="V70" i="54" s="1"/>
  <c r="V77" i="54"/>
  <c r="V75" i="54"/>
  <c r="V76" i="54" s="1"/>
  <c r="V44" i="54"/>
  <c r="V71" i="54"/>
  <c r="V72" i="54" s="1"/>
  <c r="BH66" i="51"/>
  <c r="U206" i="53"/>
  <c r="U207" i="53" s="1"/>
  <c r="U229" i="53"/>
  <c r="U230" i="53" s="1"/>
  <c r="S222" i="54"/>
  <c r="S226" i="54"/>
  <c r="S227" i="54"/>
  <c r="S223" i="54"/>
  <c r="S225" i="54"/>
  <c r="S224" i="54"/>
  <c r="P251" i="54"/>
  <c r="AW75" i="51" s="1"/>
  <c r="AA63" i="14"/>
  <c r="AA64" i="14"/>
  <c r="V111" i="14"/>
  <c r="V90" i="14"/>
  <c r="V21" i="14"/>
  <c r="X68" i="14"/>
  <c r="Q251" i="53"/>
  <c r="R75" i="51" s="1"/>
  <c r="Q249" i="53"/>
  <c r="BC57" i="51"/>
  <c r="W58" i="51"/>
  <c r="U88" i="14"/>
  <c r="U109" i="14"/>
  <c r="S216" i="53"/>
  <c r="S215" i="53"/>
  <c r="Z45" i="14"/>
  <c r="T214" i="53"/>
  <c r="T213" i="53"/>
  <c r="BF29" i="51"/>
  <c r="V94" i="20"/>
  <c r="V92" i="20"/>
  <c r="V84" i="19" s="1"/>
  <c r="V91" i="20"/>
  <c r="V95" i="20"/>
  <c r="V87" i="19" s="1"/>
  <c r="V93" i="20"/>
  <c r="V82" i="19"/>
  <c r="W124" i="14" s="1"/>
  <c r="V218" i="20"/>
  <c r="Y17" i="14"/>
  <c r="U266" i="20"/>
  <c r="X17" i="14"/>
  <c r="S219" i="54"/>
  <c r="S231" i="54" s="1"/>
  <c r="S232" i="54" s="1"/>
  <c r="S220" i="54"/>
  <c r="N159" i="12"/>
  <c r="T272" i="20"/>
  <c r="T273" i="20"/>
  <c r="U118" i="14"/>
  <c r="V139" i="12"/>
  <c r="R252" i="19"/>
  <c r="R254" i="19" s="1"/>
  <c r="AS7" i="55"/>
  <c r="BG27" i="51"/>
  <c r="BG28" i="51"/>
  <c r="AU19" i="55"/>
  <c r="AU20" i="55"/>
  <c r="Y39" i="12"/>
  <c r="Y92" i="12"/>
  <c r="X36" i="20"/>
  <c r="X42" i="20" s="1"/>
  <c r="R233" i="54"/>
  <c r="R234" i="54" s="1"/>
  <c r="BF21" i="51"/>
  <c r="X81" i="12"/>
  <c r="X19" i="12"/>
  <c r="AA37" i="51"/>
  <c r="AA38" i="51"/>
  <c r="AB28" i="12"/>
  <c r="AB31" i="12"/>
  <c r="AB30" i="12"/>
  <c r="AB27" i="12"/>
  <c r="AC26" i="12"/>
  <c r="CE11" i="55"/>
  <c r="CE19" i="55" s="1"/>
  <c r="CE15" i="55"/>
  <c r="CE16" i="55"/>
  <c r="CE14" i="55"/>
  <c r="CE12" i="55"/>
  <c r="CE13" i="55"/>
  <c r="P259" i="54"/>
  <c r="AW78" i="51" s="1"/>
  <c r="AW77" i="51"/>
  <c r="AB215" i="20"/>
  <c r="AB173" i="19" s="1"/>
  <c r="AB216" i="20"/>
  <c r="AB174" i="19" s="1"/>
  <c r="AB213" i="20"/>
  <c r="AB171" i="19" s="1"/>
  <c r="AB212" i="20"/>
  <c r="AB170" i="19" s="1"/>
  <c r="AB214" i="20"/>
  <c r="AB172" i="19" s="1"/>
  <c r="AB169" i="19"/>
  <c r="AC135" i="12"/>
  <c r="T282" i="20"/>
  <c r="T281" i="20"/>
  <c r="T285" i="20"/>
  <c r="T284" i="20"/>
  <c r="T286" i="20"/>
  <c r="T283" i="20"/>
  <c r="Q217" i="54"/>
  <c r="Q221" i="54" s="1"/>
  <c r="Q218" i="54"/>
  <c r="Z65" i="14"/>
  <c r="BB61" i="51"/>
  <c r="V71" i="51"/>
  <c r="V64" i="51"/>
  <c r="T223" i="19"/>
  <c r="T224" i="19" s="1"/>
  <c r="T246" i="19"/>
  <c r="T247" i="19" s="1"/>
  <c r="AB13" i="14"/>
  <c r="AB62" i="14"/>
  <c r="AC12" i="14"/>
  <c r="AA135" i="14"/>
  <c r="X35" i="14"/>
  <c r="U65" i="19"/>
  <c r="V96" i="14" s="1"/>
  <c r="V96" i="12"/>
  <c r="X67" i="14"/>
  <c r="AA32" i="14"/>
  <c r="W131" i="12"/>
  <c r="W52" i="19"/>
  <c r="W49" i="19" s="1"/>
  <c r="W177" i="19" s="1"/>
  <c r="W90" i="20"/>
  <c r="W53" i="19"/>
  <c r="W55" i="19"/>
  <c r="W61" i="19"/>
  <c r="W62" i="19"/>
  <c r="W60" i="19"/>
  <c r="W58" i="19"/>
  <c r="W59" i="19"/>
  <c r="W50" i="19"/>
  <c r="W51" i="19"/>
  <c r="X124" i="12"/>
  <c r="W54" i="19"/>
  <c r="W57" i="19"/>
  <c r="W84" i="20"/>
  <c r="W96" i="20"/>
  <c r="X93" i="12"/>
  <c r="W72" i="20"/>
  <c r="W78" i="20"/>
  <c r="W221" i="20"/>
  <c r="W47" i="20"/>
  <c r="Q74" i="51"/>
  <c r="P253" i="53"/>
  <c r="S290" i="20"/>
  <c r="S291" i="20" s="1"/>
  <c r="S292" i="20"/>
  <c r="O162" i="12"/>
  <c r="O158" i="12"/>
  <c r="AA157" i="54"/>
  <c r="S213" i="54"/>
  <c r="S214" i="54"/>
  <c r="AB41" i="12"/>
  <c r="AB42" i="12"/>
  <c r="AC40" i="12"/>
  <c r="R235" i="53"/>
  <c r="R237" i="53" s="1"/>
  <c r="R236" i="53"/>
  <c r="U159" i="54"/>
  <c r="V105" i="12"/>
  <c r="U89" i="19"/>
  <c r="V140" i="14" s="1"/>
  <c r="V140" i="12"/>
  <c r="AS20" i="55"/>
  <c r="AS19" i="55"/>
  <c r="N161" i="14"/>
  <c r="BF24" i="51"/>
  <c r="V163" i="53"/>
  <c r="U196" i="53"/>
  <c r="U197" i="53" s="1"/>
  <c r="BH10" i="51"/>
  <c r="AB12" i="51"/>
  <c r="AC10" i="51"/>
  <c r="AB36" i="51"/>
  <c r="Y35" i="53"/>
  <c r="Z59" i="51"/>
  <c r="O159" i="14"/>
  <c r="Z45" i="12"/>
  <c r="AT10" i="55"/>
  <c r="S196" i="54"/>
  <c r="S197" i="54" s="1"/>
  <c r="T163" i="54"/>
  <c r="CF9" i="55"/>
  <c r="U227" i="19"/>
  <c r="U226" i="19"/>
  <c r="U229" i="19"/>
  <c r="U228" i="19"/>
  <c r="W102" i="12"/>
  <c r="V37" i="20"/>
  <c r="W20" i="12"/>
  <c r="W25" i="12"/>
  <c r="W24" i="12"/>
  <c r="M161" i="12"/>
  <c r="AB19" i="51"/>
  <c r="AB23" i="51"/>
  <c r="AB20" i="51"/>
  <c r="AB22" i="51"/>
  <c r="BH18" i="51"/>
  <c r="AC18" i="51"/>
  <c r="U139" i="14"/>
  <c r="P310" i="20"/>
  <c r="Q156" i="12" s="1"/>
  <c r="P308" i="20"/>
  <c r="R294" i="20"/>
  <c r="R296" i="20" s="1"/>
  <c r="R295" i="20"/>
  <c r="AA15" i="14"/>
  <c r="R276" i="20"/>
  <c r="R280" i="20" s="1"/>
  <c r="R277" i="20"/>
  <c r="U153" i="12"/>
  <c r="U98" i="12"/>
  <c r="T150" i="14"/>
  <c r="T210" i="54"/>
  <c r="T212" i="54"/>
  <c r="T209" i="54"/>
  <c r="T211" i="54"/>
  <c r="Y134" i="12"/>
  <c r="Y66" i="12"/>
  <c r="Y70" i="12"/>
  <c r="Y71" i="12"/>
  <c r="X40" i="20"/>
  <c r="AC46" i="20" s="1"/>
  <c r="Z25" i="51"/>
  <c r="V34" i="54"/>
  <c r="BC52" i="51"/>
  <c r="AA29" i="14"/>
  <c r="AR7" i="55"/>
  <c r="U149" i="12"/>
  <c r="X35" i="12"/>
  <c r="U142" i="12"/>
  <c r="S232" i="19"/>
  <c r="S233" i="19"/>
  <c r="T236" i="19"/>
  <c r="T248" i="19" s="1"/>
  <c r="T237" i="19"/>
  <c r="U211" i="53"/>
  <c r="U212" i="53"/>
  <c r="U209" i="53"/>
  <c r="U210" i="53"/>
  <c r="U130" i="12"/>
  <c r="W51" i="51"/>
  <c r="AA122" i="12"/>
  <c r="Z38" i="20"/>
  <c r="AA44" i="12"/>
  <c r="AA48" i="12"/>
  <c r="AA49" i="12"/>
  <c r="U208" i="54"/>
  <c r="U205" i="54"/>
  <c r="BB58" i="51"/>
  <c r="Z15" i="51"/>
  <c r="V143" i="12"/>
  <c r="U72" i="19"/>
  <c r="V119" i="14" s="1"/>
  <c r="V119" i="12"/>
  <c r="T198" i="53"/>
  <c r="T201" i="53"/>
  <c r="T199" i="53"/>
  <c r="T200" i="53"/>
  <c r="T202" i="53"/>
  <c r="T203" i="53"/>
  <c r="AA14" i="51"/>
  <c r="AA13" i="51"/>
  <c r="Y46" i="12"/>
  <c r="M253" i="54"/>
  <c r="Q266" i="19"/>
  <c r="Q268" i="19"/>
  <c r="R156" i="14" s="1"/>
  <c r="V99" i="12"/>
  <c r="R203" i="54"/>
  <c r="R200" i="54"/>
  <c r="R198" i="54"/>
  <c r="R201" i="54"/>
  <c r="R202" i="54"/>
  <c r="R199" i="54"/>
  <c r="S213" i="19"/>
  <c r="S214" i="19" s="1"/>
  <c r="T180" i="19"/>
  <c r="W84" i="12"/>
  <c r="Z33" i="14"/>
  <c r="BA9" i="55"/>
  <c r="AA64" i="12"/>
  <c r="AA63" i="12"/>
  <c r="BD65" i="51"/>
  <c r="W37" i="54"/>
  <c r="AB43" i="54" s="1"/>
  <c r="AB156" i="54" s="1"/>
  <c r="W69" i="12"/>
  <c r="AA83" i="14"/>
  <c r="W47" i="19"/>
  <c r="V105" i="14"/>
  <c r="U129" i="12"/>
  <c r="W37" i="12"/>
  <c r="V76" i="53"/>
  <c r="W67" i="51"/>
  <c r="U153" i="14"/>
  <c r="U98" i="14"/>
  <c r="BD43" i="51"/>
  <c r="BD17" i="51"/>
  <c r="BC46" i="51"/>
  <c r="AB28" i="14"/>
  <c r="AB31" i="14"/>
  <c r="AB27" i="14"/>
  <c r="AB30" i="14"/>
  <c r="AC26" i="14"/>
  <c r="U149" i="14"/>
  <c r="BB54" i="51"/>
  <c r="U142" i="14"/>
  <c r="Z33" i="12"/>
  <c r="N7" i="55"/>
  <c r="W147" i="12"/>
  <c r="V101" i="20"/>
  <c r="V93" i="19" s="1"/>
  <c r="V97" i="20"/>
  <c r="V98" i="20"/>
  <c r="V90" i="19" s="1"/>
  <c r="V100" i="20"/>
  <c r="V99" i="20"/>
  <c r="V88" i="19"/>
  <c r="W136" i="12"/>
  <c r="V220" i="20"/>
  <c r="BA70" i="51"/>
  <c r="U271" i="20"/>
  <c r="U268" i="20"/>
  <c r="U269" i="20"/>
  <c r="U270" i="20"/>
  <c r="U130" i="14"/>
  <c r="T278" i="20"/>
  <c r="T279" i="20"/>
  <c r="W37" i="14"/>
  <c r="AZ73" i="51"/>
  <c r="M19" i="55"/>
  <c r="M20" i="55"/>
  <c r="U88" i="12"/>
  <c r="U109" i="12"/>
  <c r="V121" i="12"/>
  <c r="U74" i="19"/>
  <c r="V121" i="14" s="1"/>
  <c r="U141" i="12"/>
  <c r="BG12" i="51"/>
  <c r="BG36" i="51"/>
  <c r="AA29" i="12"/>
  <c r="AT76" i="51"/>
  <c r="Y37" i="53" l="1"/>
  <c r="AD43" i="53" s="1"/>
  <c r="AD156" i="53" s="1"/>
  <c r="Z65" i="51"/>
  <c r="V204" i="54"/>
  <c r="W9" i="55"/>
  <c r="W204" i="53"/>
  <c r="W208" i="53" s="1"/>
  <c r="BB72" i="51"/>
  <c r="X127" i="12"/>
  <c r="U152" i="14"/>
  <c r="V146" i="14"/>
  <c r="BC51" i="51"/>
  <c r="AA36" i="14"/>
  <c r="X95" i="12"/>
  <c r="X51" i="51"/>
  <c r="W127" i="14"/>
  <c r="AB14" i="14"/>
  <c r="O253" i="54"/>
  <c r="S251" i="19"/>
  <c r="W131" i="14"/>
  <c r="V159" i="54"/>
  <c r="AB43" i="12"/>
  <c r="BG29" i="51"/>
  <c r="AB34" i="14"/>
  <c r="CE7" i="55"/>
  <c r="AA65" i="12"/>
  <c r="AA82" i="12"/>
  <c r="V266" i="20"/>
  <c r="V284" i="20" s="1"/>
  <c r="S220" i="19"/>
  <c r="S215" i="19"/>
  <c r="S217" i="19"/>
  <c r="S218" i="19"/>
  <c r="S219" i="19"/>
  <c r="S216" i="19"/>
  <c r="AA15" i="51"/>
  <c r="S234" i="19"/>
  <c r="S238" i="19" s="1"/>
  <c r="S235" i="19"/>
  <c r="Q162" i="12"/>
  <c r="Q158" i="12"/>
  <c r="W111" i="12"/>
  <c r="W90" i="12"/>
  <c r="W21" i="12"/>
  <c r="BH12" i="51"/>
  <c r="BH36" i="51"/>
  <c r="AB49" i="12"/>
  <c r="AB44" i="12"/>
  <c r="AB48" i="12"/>
  <c r="W315" i="20"/>
  <c r="W264" i="20"/>
  <c r="W314" i="20"/>
  <c r="W263" i="20"/>
  <c r="X4" i="55"/>
  <c r="W267" i="20"/>
  <c r="W218" i="20"/>
  <c r="V149" i="12"/>
  <c r="AC13" i="14"/>
  <c r="AC62" i="14"/>
  <c r="AD12" i="14"/>
  <c r="AB32" i="12"/>
  <c r="X52" i="19"/>
  <c r="X49" i="19" s="1"/>
  <c r="X177" i="19" s="1"/>
  <c r="Y124" i="12"/>
  <c r="X72" i="20"/>
  <c r="X47" i="20"/>
  <c r="X221" i="20"/>
  <c r="X90" i="20"/>
  <c r="X53" i="19"/>
  <c r="X54" i="19"/>
  <c r="X78" i="20"/>
  <c r="X57" i="19"/>
  <c r="X62" i="19"/>
  <c r="X50" i="19"/>
  <c r="X59" i="19"/>
  <c r="Y93" i="12"/>
  <c r="X60" i="19"/>
  <c r="X58" i="19"/>
  <c r="X55" i="19"/>
  <c r="X51" i="19"/>
  <c r="X84" i="20"/>
  <c r="X61" i="19"/>
  <c r="X96" i="20"/>
  <c r="R74" i="51"/>
  <c r="Q253" i="53"/>
  <c r="V86" i="14"/>
  <c r="V107" i="14"/>
  <c r="V23" i="14"/>
  <c r="X37" i="54"/>
  <c r="AC43" i="54" s="1"/>
  <c r="AC156" i="54" s="1"/>
  <c r="BE65" i="51"/>
  <c r="R217" i="54"/>
  <c r="R221" i="54" s="1"/>
  <c r="R218" i="54"/>
  <c r="V130" i="12"/>
  <c r="W205" i="53"/>
  <c r="S258" i="19"/>
  <c r="T152" i="12"/>
  <c r="BJ66" i="51"/>
  <c r="AC13" i="12"/>
  <c r="AD12" i="12"/>
  <c r="AC62" i="12"/>
  <c r="BN50" i="51"/>
  <c r="X47" i="19"/>
  <c r="AW10" i="55"/>
  <c r="V118" i="12"/>
  <c r="AH138" i="12"/>
  <c r="AG146" i="20"/>
  <c r="AG122" i="19" s="1"/>
  <c r="AG150" i="20"/>
  <c r="AG126" i="19" s="1"/>
  <c r="AG149" i="20"/>
  <c r="AG125" i="19" s="1"/>
  <c r="AG148" i="20"/>
  <c r="AG124" i="19" s="1"/>
  <c r="AG121" i="19"/>
  <c r="AH138" i="14" s="1"/>
  <c r="AG147" i="20"/>
  <c r="AG123" i="19" s="1"/>
  <c r="V73" i="19"/>
  <c r="W120" i="14" s="1"/>
  <c r="W120" i="12"/>
  <c r="BC4" i="55"/>
  <c r="P253" i="54"/>
  <c r="AB32" i="14"/>
  <c r="U151" i="14"/>
  <c r="AA45" i="12"/>
  <c r="U219" i="53"/>
  <c r="U231" i="53" s="1"/>
  <c r="U232" i="53" s="1"/>
  <c r="U220" i="53"/>
  <c r="X37" i="12"/>
  <c r="W85" i="12"/>
  <c r="W106" i="12"/>
  <c r="V148" i="12"/>
  <c r="AC42" i="12"/>
  <c r="AC41" i="12"/>
  <c r="AD40" i="12"/>
  <c r="O160" i="12"/>
  <c r="W265" i="20"/>
  <c r="W288" i="20"/>
  <c r="W289" i="20" s="1"/>
  <c r="V149" i="14"/>
  <c r="V73" i="51"/>
  <c r="X81" i="14"/>
  <c r="X19" i="14"/>
  <c r="V83" i="19"/>
  <c r="W128" i="14" s="1"/>
  <c r="W128" i="12"/>
  <c r="V65" i="19"/>
  <c r="W96" i="14" s="1"/>
  <c r="W96" i="12"/>
  <c r="V130" i="14"/>
  <c r="Q258" i="54"/>
  <c r="Q241" i="54"/>
  <c r="BB70" i="51"/>
  <c r="P155" i="12"/>
  <c r="P10" i="55"/>
  <c r="O312" i="20"/>
  <c r="O317" i="20"/>
  <c r="V129" i="12"/>
  <c r="BN68" i="51"/>
  <c r="O164" i="12"/>
  <c r="N318" i="20"/>
  <c r="O165" i="12" s="1"/>
  <c r="V118" i="14"/>
  <c r="V142" i="12"/>
  <c r="Y81" i="12"/>
  <c r="Y19" i="12"/>
  <c r="V206" i="53"/>
  <c r="V207" i="53" s="1"/>
  <c r="V229" i="53"/>
  <c r="V230" i="53" s="1"/>
  <c r="U260" i="20"/>
  <c r="U262" i="20"/>
  <c r="U261" i="20"/>
  <c r="U259" i="20"/>
  <c r="U258" i="20"/>
  <c r="U257" i="20"/>
  <c r="AW76" i="51"/>
  <c r="AB29" i="14"/>
  <c r="W221" i="19"/>
  <c r="W272" i="19"/>
  <c r="W273" i="19"/>
  <c r="W222" i="19"/>
  <c r="W225" i="19"/>
  <c r="Y36" i="19"/>
  <c r="Y42" i="19" s="1"/>
  <c r="Z92" i="14"/>
  <c r="Z39" i="14"/>
  <c r="AA46" i="12"/>
  <c r="U213" i="53"/>
  <c r="U214" i="53"/>
  <c r="Y68" i="12"/>
  <c r="AB21" i="51"/>
  <c r="AT11" i="55"/>
  <c r="AT12" i="55"/>
  <c r="AT16" i="55"/>
  <c r="AT13" i="55"/>
  <c r="AT14" i="55"/>
  <c r="AT15" i="55"/>
  <c r="U199" i="53"/>
  <c r="U198" i="53"/>
  <c r="U202" i="53"/>
  <c r="U200" i="53"/>
  <c r="U203" i="53"/>
  <c r="U201" i="53"/>
  <c r="W83" i="20"/>
  <c r="W75" i="19" s="1"/>
  <c r="W70" i="19"/>
  <c r="X114" i="14" s="1"/>
  <c r="W79" i="20"/>
  <c r="X114" i="12"/>
  <c r="W80" i="20"/>
  <c r="W82" i="20"/>
  <c r="W81" i="20"/>
  <c r="AB64" i="14"/>
  <c r="AB63" i="14"/>
  <c r="O161" i="14"/>
  <c r="X102" i="12"/>
  <c r="W37" i="20"/>
  <c r="X20" i="12"/>
  <c r="X25" i="12"/>
  <c r="X24" i="12"/>
  <c r="U286" i="20"/>
  <c r="U281" i="20"/>
  <c r="U285" i="20"/>
  <c r="U284" i="20"/>
  <c r="U282" i="20"/>
  <c r="U283" i="20"/>
  <c r="P160" i="14"/>
  <c r="N161" i="12"/>
  <c r="W147" i="14"/>
  <c r="W95" i="14"/>
  <c r="V87" i="14"/>
  <c r="V108" i="14"/>
  <c r="S233" i="54"/>
  <c r="S234" i="54" s="1"/>
  <c r="T152" i="14"/>
  <c r="O15" i="55"/>
  <c r="O12" i="55"/>
  <c r="O14" i="55"/>
  <c r="O11" i="55"/>
  <c r="O16" i="55"/>
  <c r="O13" i="55"/>
  <c r="BA73" i="51"/>
  <c r="S252" i="19"/>
  <c r="S254" i="19" s="1"/>
  <c r="V141" i="12"/>
  <c r="U206" i="54"/>
  <c r="U207" i="54" s="1"/>
  <c r="U229" i="54"/>
  <c r="U230" i="54" s="1"/>
  <c r="V129" i="14"/>
  <c r="AB83" i="12"/>
  <c r="V142" i="14"/>
  <c r="BC61" i="51"/>
  <c r="W71" i="51"/>
  <c r="W64" i="51"/>
  <c r="X34" i="53"/>
  <c r="Y52" i="51"/>
  <c r="AA16" i="12"/>
  <c r="AV76" i="51"/>
  <c r="V117" i="12"/>
  <c r="W136" i="14"/>
  <c r="V179" i="19"/>
  <c r="W176" i="19"/>
  <c r="W143" i="12"/>
  <c r="AA33" i="14"/>
  <c r="Z48" i="51"/>
  <c r="Y33" i="53"/>
  <c r="Y39" i="53" s="1"/>
  <c r="R300" i="20"/>
  <c r="R301" i="20" s="1"/>
  <c r="AC20" i="51"/>
  <c r="AC22" i="51"/>
  <c r="AC23" i="51"/>
  <c r="BI18" i="51"/>
  <c r="AC19" i="51"/>
  <c r="AD18" i="51"/>
  <c r="Z47" i="12"/>
  <c r="V196" i="53"/>
  <c r="V197" i="53" s="1"/>
  <c r="W163" i="53"/>
  <c r="W77" i="20"/>
  <c r="W69" i="19" s="1"/>
  <c r="W75" i="20"/>
  <c r="W74" i="20"/>
  <c r="W66" i="19" s="1"/>
  <c r="W76" i="20"/>
  <c r="W73" i="20"/>
  <c r="W64" i="19"/>
  <c r="X93" i="14" s="1"/>
  <c r="X37" i="14"/>
  <c r="AB83" i="14"/>
  <c r="BB71" i="51"/>
  <c r="BB64" i="51"/>
  <c r="AC135" i="14"/>
  <c r="AB38" i="12"/>
  <c r="X84" i="12"/>
  <c r="Y35" i="12"/>
  <c r="V86" i="19"/>
  <c r="W133" i="14" s="1"/>
  <c r="W133" i="12"/>
  <c r="U233" i="53"/>
  <c r="AB135" i="14"/>
  <c r="AC27" i="51"/>
  <c r="AC28" i="51"/>
  <c r="BI26" i="51"/>
  <c r="AD26" i="51"/>
  <c r="V67" i="19"/>
  <c r="W100" i="14" s="1"/>
  <c r="W100" i="12"/>
  <c r="U152" i="12"/>
  <c r="AA82" i="14"/>
  <c r="W77" i="54"/>
  <c r="W75" i="54"/>
  <c r="W76" i="54" s="1"/>
  <c r="W71" i="54"/>
  <c r="W72" i="54" s="1"/>
  <c r="W69" i="54"/>
  <c r="W70" i="54" s="1"/>
  <c r="W44" i="54"/>
  <c r="BD49" i="51"/>
  <c r="P164" i="14"/>
  <c r="O276" i="19"/>
  <c r="P165" i="14" s="1"/>
  <c r="V141" i="14"/>
  <c r="W105" i="14"/>
  <c r="AA44" i="51"/>
  <c r="Y47" i="12"/>
  <c r="W115" i="12"/>
  <c r="W146" i="12"/>
  <c r="V226" i="19"/>
  <c r="V229" i="19"/>
  <c r="V227" i="19"/>
  <c r="V228" i="19"/>
  <c r="U150" i="12"/>
  <c r="Y46" i="51"/>
  <c r="U148" i="12"/>
  <c r="P160" i="12"/>
  <c r="V117" i="14"/>
  <c r="W139" i="12"/>
  <c r="BG38" i="51"/>
  <c r="BG37" i="51"/>
  <c r="U272" i="20"/>
  <c r="U273" i="20"/>
  <c r="V91" i="19"/>
  <c r="W144" i="14" s="1"/>
  <c r="W144" i="12"/>
  <c r="W34" i="54"/>
  <c r="BD52" i="51"/>
  <c r="BC67" i="51"/>
  <c r="W70" i="51"/>
  <c r="AA16" i="14"/>
  <c r="CF13" i="55"/>
  <c r="CF16" i="55"/>
  <c r="CF15" i="55"/>
  <c r="CF12" i="55"/>
  <c r="CF14" i="55"/>
  <c r="CF11" i="55"/>
  <c r="CF19" i="55" s="1"/>
  <c r="S295" i="20"/>
  <c r="X147" i="12"/>
  <c r="W95" i="20"/>
  <c r="W87" i="19" s="1"/>
  <c r="W92" i="20"/>
  <c r="W91" i="20"/>
  <c r="W93" i="20"/>
  <c r="W82" i="19"/>
  <c r="X124" i="14" s="1"/>
  <c r="W94" i="20"/>
  <c r="X69" i="14"/>
  <c r="Y40" i="19"/>
  <c r="AD46" i="19" s="1"/>
  <c r="Z66" i="14"/>
  <c r="Z70" i="14"/>
  <c r="Z71" i="14"/>
  <c r="Z134" i="14"/>
  <c r="AA39" i="51"/>
  <c r="Y81" i="14"/>
  <c r="Y19" i="14"/>
  <c r="BF59" i="51"/>
  <c r="Y35" i="54"/>
  <c r="S217" i="53"/>
  <c r="S221" i="53" s="1"/>
  <c r="S218" i="53"/>
  <c r="AA65" i="14"/>
  <c r="U222" i="53"/>
  <c r="U227" i="53"/>
  <c r="U223" i="53"/>
  <c r="U224" i="53"/>
  <c r="U226" i="53"/>
  <c r="U225" i="53"/>
  <c r="V208" i="54"/>
  <c r="V205" i="54"/>
  <c r="O159" i="12"/>
  <c r="BH28" i="51"/>
  <c r="BH27" i="51"/>
  <c r="U223" i="19"/>
  <c r="U224" i="19" s="1"/>
  <c r="U246" i="19"/>
  <c r="U247" i="19" s="1"/>
  <c r="T232" i="19"/>
  <c r="T233" i="19"/>
  <c r="V68" i="19"/>
  <c r="W101" i="14" s="1"/>
  <c r="W101" i="12"/>
  <c r="V210" i="53"/>
  <c r="V209" i="53"/>
  <c r="V211" i="53"/>
  <c r="V212" i="53"/>
  <c r="BF15" i="51"/>
  <c r="W76" i="53"/>
  <c r="X67" i="51"/>
  <c r="AC41" i="14"/>
  <c r="AC42" i="14"/>
  <c r="AD40" i="14"/>
  <c r="W85" i="14"/>
  <c r="W106" i="14"/>
  <c r="BF39" i="51"/>
  <c r="T222" i="54"/>
  <c r="T225" i="54"/>
  <c r="T227" i="54"/>
  <c r="T224" i="54"/>
  <c r="T226" i="54"/>
  <c r="T223" i="54"/>
  <c r="Y68" i="14"/>
  <c r="T233" i="53"/>
  <c r="T234" i="53" s="1"/>
  <c r="S277" i="20"/>
  <c r="S276" i="20"/>
  <c r="S280" i="20" s="1"/>
  <c r="AA48" i="14"/>
  <c r="AA122" i="14"/>
  <c r="Z38" i="19"/>
  <c r="AA49" i="14"/>
  <c r="AA44" i="14"/>
  <c r="W116" i="12"/>
  <c r="V71" i="19"/>
  <c r="W116" i="14" s="1"/>
  <c r="Q160" i="14"/>
  <c r="BG14" i="51"/>
  <c r="BG13" i="51"/>
  <c r="V92" i="19"/>
  <c r="W145" i="14" s="1"/>
  <c r="W145" i="12"/>
  <c r="BD46" i="51"/>
  <c r="R162" i="14"/>
  <c r="R158" i="14"/>
  <c r="AD157" i="53"/>
  <c r="AE66" i="51" s="1"/>
  <c r="BC54" i="51"/>
  <c r="AC167" i="19"/>
  <c r="AC166" i="19" s="1"/>
  <c r="AC211" i="20"/>
  <c r="T214" i="54"/>
  <c r="T213" i="54"/>
  <c r="U151" i="12"/>
  <c r="BH22" i="51"/>
  <c r="BH20" i="51"/>
  <c r="BH23" i="51"/>
  <c r="BH19" i="51"/>
  <c r="W105" i="12"/>
  <c r="T196" i="54"/>
  <c r="T197" i="54" s="1"/>
  <c r="U163" i="54"/>
  <c r="CG9" i="55"/>
  <c r="AB37" i="51"/>
  <c r="AB38" i="51"/>
  <c r="BF44" i="51"/>
  <c r="R241" i="53"/>
  <c r="R242" i="53" s="1"/>
  <c r="R258" i="53"/>
  <c r="Q76" i="51"/>
  <c r="W99" i="20"/>
  <c r="W100" i="20"/>
  <c r="W98" i="20"/>
  <c r="W90" i="19" s="1"/>
  <c r="W97" i="20"/>
  <c r="W101" i="20"/>
  <c r="W93" i="19" s="1"/>
  <c r="W88" i="19"/>
  <c r="X136" i="12"/>
  <c r="W220" i="20"/>
  <c r="AC28" i="12"/>
  <c r="AC30" i="12"/>
  <c r="AC27" i="12"/>
  <c r="AC31" i="12"/>
  <c r="AD26" i="12"/>
  <c r="V139" i="14"/>
  <c r="V154" i="12"/>
  <c r="V97" i="12"/>
  <c r="W143" i="14"/>
  <c r="Z35" i="53"/>
  <c r="AA59" i="51"/>
  <c r="V87" i="12"/>
  <c r="V108" i="12"/>
  <c r="BD57" i="51"/>
  <c r="X58" i="51"/>
  <c r="AA25" i="51"/>
  <c r="AV11" i="55"/>
  <c r="AV15" i="55"/>
  <c r="AV13" i="55"/>
  <c r="AV16" i="55"/>
  <c r="AV12" i="55"/>
  <c r="AV14" i="55"/>
  <c r="AB43" i="14"/>
  <c r="W110" i="14"/>
  <c r="W89" i="14"/>
  <c r="W22" i="14"/>
  <c r="Y67" i="14"/>
  <c r="U150" i="14"/>
  <c r="AB14" i="12"/>
  <c r="Y35" i="14"/>
  <c r="Q164" i="14"/>
  <c r="P276" i="19"/>
  <c r="Q165" i="14" s="1"/>
  <c r="X159" i="53"/>
  <c r="X75" i="53"/>
  <c r="X44" i="53"/>
  <c r="X77" i="53"/>
  <c r="X69" i="53"/>
  <c r="X70" i="53" s="1"/>
  <c r="Y49" i="51" s="1"/>
  <c r="X71" i="53"/>
  <c r="X72" i="53" s="1"/>
  <c r="Y57" i="51" s="1"/>
  <c r="AG140" i="20"/>
  <c r="AG116" i="19" s="1"/>
  <c r="AG141" i="20"/>
  <c r="AG117" i="19" s="1"/>
  <c r="AG142" i="20"/>
  <c r="AG118" i="19" s="1"/>
  <c r="AG144" i="20"/>
  <c r="AG120" i="19" s="1"/>
  <c r="AG143" i="20"/>
  <c r="AG119" i="19" s="1"/>
  <c r="AG115" i="19"/>
  <c r="AH94" i="14" s="1"/>
  <c r="AI140" i="20"/>
  <c r="S235" i="53"/>
  <c r="S237" i="53" s="1"/>
  <c r="S236" i="53"/>
  <c r="V72" i="19"/>
  <c r="W119" i="14" s="1"/>
  <c r="W119" i="12"/>
  <c r="BG24" i="51"/>
  <c r="T290" i="20"/>
  <c r="T291" i="20" s="1"/>
  <c r="T292" i="20"/>
  <c r="T293" i="20" s="1"/>
  <c r="Z39" i="12"/>
  <c r="Y36" i="20"/>
  <c r="Y42" i="20" s="1"/>
  <c r="Z92" i="12"/>
  <c r="AB38" i="14"/>
  <c r="AB157" i="54"/>
  <c r="R155" i="14"/>
  <c r="Q275" i="19"/>
  <c r="Q270" i="19"/>
  <c r="Z43" i="51"/>
  <c r="Z17" i="51"/>
  <c r="AB24" i="51"/>
  <c r="U230" i="19"/>
  <c r="U231" i="19"/>
  <c r="S202" i="54"/>
  <c r="S200" i="54"/>
  <c r="S198" i="54"/>
  <c r="S203" i="54"/>
  <c r="S201" i="54"/>
  <c r="S199" i="54"/>
  <c r="BI10" i="51"/>
  <c r="AC12" i="51"/>
  <c r="AC36" i="51"/>
  <c r="AD10" i="51"/>
  <c r="W86" i="20"/>
  <c r="W78" i="19" s="1"/>
  <c r="W85" i="20"/>
  <c r="W77" i="19" s="1"/>
  <c r="W89" i="20"/>
  <c r="W81" i="19" s="1"/>
  <c r="W87" i="20"/>
  <c r="W79" i="19" s="1"/>
  <c r="W88" i="20"/>
  <c r="W80" i="19" s="1"/>
  <c r="W76" i="19"/>
  <c r="X104" i="14" s="1"/>
  <c r="X104" i="12"/>
  <c r="T250" i="19"/>
  <c r="T253" i="19" s="1"/>
  <c r="T249" i="19"/>
  <c r="CE6" i="55"/>
  <c r="AB34" i="12"/>
  <c r="BF25" i="51"/>
  <c r="T274" i="20"/>
  <c r="T275" i="20"/>
  <c r="T216" i="53"/>
  <c r="T215" i="53"/>
  <c r="BC58" i="51"/>
  <c r="V78" i="54"/>
  <c r="V162" i="54"/>
  <c r="AA36" i="12"/>
  <c r="U148" i="14"/>
  <c r="AB29" i="51"/>
  <c r="BI66" i="51"/>
  <c r="BE43" i="51"/>
  <c r="BE17" i="51"/>
  <c r="V154" i="14"/>
  <c r="V97" i="14"/>
  <c r="W159" i="53"/>
  <c r="P163" i="14"/>
  <c r="P157" i="14"/>
  <c r="Z17" i="14"/>
  <c r="AB82" i="14"/>
  <c r="V86" i="12"/>
  <c r="V107" i="12"/>
  <c r="V23" i="12"/>
  <c r="V153" i="12"/>
  <c r="V98" i="12"/>
  <c r="Y51" i="51"/>
  <c r="AG136" i="20"/>
  <c r="AG112" i="19" s="1"/>
  <c r="AG138" i="20"/>
  <c r="AG114" i="19" s="1"/>
  <c r="AG134" i="20"/>
  <c r="AG110" i="19" s="1"/>
  <c r="AG137" i="20"/>
  <c r="AG113" i="19" s="1"/>
  <c r="AG135" i="20"/>
  <c r="AG111" i="19" s="1"/>
  <c r="AG109" i="19"/>
  <c r="AH126" i="14" s="1"/>
  <c r="W121" i="12"/>
  <c r="V74" i="19"/>
  <c r="W121" i="14" s="1"/>
  <c r="X54" i="51"/>
  <c r="BG21" i="51"/>
  <c r="AA33" i="12"/>
  <c r="U279" i="20"/>
  <c r="U278" i="20"/>
  <c r="W99" i="12"/>
  <c r="W99" i="14"/>
  <c r="V89" i="19"/>
  <c r="W140" i="14" s="1"/>
  <c r="W140" i="12"/>
  <c r="AC28" i="14"/>
  <c r="AC31" i="14"/>
  <c r="AC27" i="14"/>
  <c r="AC30" i="14"/>
  <c r="AD26" i="14"/>
  <c r="T213" i="19"/>
  <c r="T214" i="19" s="1"/>
  <c r="U180" i="19"/>
  <c r="U209" i="54"/>
  <c r="U210" i="54"/>
  <c r="U212" i="54"/>
  <c r="U211" i="54"/>
  <c r="Y67" i="12"/>
  <c r="T220" i="54"/>
  <c r="T219" i="54"/>
  <c r="T231" i="54" s="1"/>
  <c r="T232" i="54" s="1"/>
  <c r="Q10" i="55"/>
  <c r="Q155" i="12"/>
  <c r="P312" i="20"/>
  <c r="P317" i="20"/>
  <c r="W89" i="12"/>
  <c r="W22" i="12"/>
  <c r="W110" i="12"/>
  <c r="U237" i="19"/>
  <c r="U236" i="19"/>
  <c r="U248" i="19" s="1"/>
  <c r="AB14" i="51"/>
  <c r="AB13" i="51"/>
  <c r="S216" i="54"/>
  <c r="S215" i="54"/>
  <c r="T240" i="19"/>
  <c r="T242" i="19"/>
  <c r="T241" i="19"/>
  <c r="T244" i="19"/>
  <c r="T239" i="19"/>
  <c r="T243" i="19"/>
  <c r="AB29" i="12"/>
  <c r="R235" i="54"/>
  <c r="R237" i="54" s="1"/>
  <c r="R236" i="54"/>
  <c r="V85" i="19"/>
  <c r="W132" i="14" s="1"/>
  <c r="W132" i="12"/>
  <c r="Z47" i="14"/>
  <c r="Z16" i="12"/>
  <c r="Z134" i="12"/>
  <c r="Y40" i="20"/>
  <c r="AD46" i="20" s="1"/>
  <c r="Z71" i="12"/>
  <c r="Z66" i="12"/>
  <c r="Z70" i="12"/>
  <c r="Q301" i="20"/>
  <c r="Q308" i="20" s="1"/>
  <c r="R266" i="19"/>
  <c r="R268" i="19"/>
  <c r="S156" i="14" s="1"/>
  <c r="V271" i="20"/>
  <c r="V268" i="20"/>
  <c r="V269" i="20"/>
  <c r="V270" i="20"/>
  <c r="BC9" i="55"/>
  <c r="W78" i="53"/>
  <c r="X61" i="51" s="1"/>
  <c r="W162" i="53"/>
  <c r="W72" i="51"/>
  <c r="S293" i="20"/>
  <c r="S294" i="20" s="1"/>
  <c r="S296" i="20" s="1"/>
  <c r="W90" i="14"/>
  <c r="W111" i="14"/>
  <c r="W21" i="14"/>
  <c r="V153" i="14"/>
  <c r="V98" i="14"/>
  <c r="AB64" i="12"/>
  <c r="AB63" i="12"/>
  <c r="Q157" i="14"/>
  <c r="Q163" i="14"/>
  <c r="AG130" i="20"/>
  <c r="AG131" i="20"/>
  <c r="AG129" i="20"/>
  <c r="AG132" i="20"/>
  <c r="AG128" i="20"/>
  <c r="AG103" i="19"/>
  <c r="AH103" i="14" s="1"/>
  <c r="AH127" i="20"/>
  <c r="AH103" i="12"/>
  <c r="W115" i="14"/>
  <c r="BE48" i="51"/>
  <c r="X33" i="54"/>
  <c r="X39" i="54" s="1"/>
  <c r="V255" i="20"/>
  <c r="V256" i="20" s="1"/>
  <c r="W222" i="20"/>
  <c r="X204" i="53" l="1"/>
  <c r="W204" i="54"/>
  <c r="X127" i="14"/>
  <c r="Y127" i="12"/>
  <c r="AB122" i="12"/>
  <c r="Y95" i="12"/>
  <c r="BG59" i="51"/>
  <c r="AB15" i="14"/>
  <c r="AC14" i="14"/>
  <c r="AC43" i="14"/>
  <c r="W146" i="14"/>
  <c r="Z35" i="54"/>
  <c r="X218" i="20"/>
  <c r="AA134" i="12"/>
  <c r="AA38" i="20"/>
  <c r="Z40" i="20"/>
  <c r="AE46" i="20" s="1"/>
  <c r="AA70" i="12"/>
  <c r="U236" i="53"/>
  <c r="U241" i="53" s="1"/>
  <c r="U242" i="53" s="1"/>
  <c r="V283" i="20"/>
  <c r="V281" i="20"/>
  <c r="AB39" i="51"/>
  <c r="V286" i="20"/>
  <c r="V285" i="20"/>
  <c r="V282" i="20"/>
  <c r="AC38" i="14"/>
  <c r="O6" i="55"/>
  <c r="O7" i="55"/>
  <c r="CF7" i="55"/>
  <c r="CF6" i="55"/>
  <c r="AA71" i="12"/>
  <c r="AA66" i="12"/>
  <c r="T258" i="19"/>
  <c r="R155" i="12"/>
  <c r="W255" i="20"/>
  <c r="W256" i="20" s="1"/>
  <c r="X222" i="20"/>
  <c r="W206" i="53"/>
  <c r="W207" i="53" s="1"/>
  <c r="W229" i="53"/>
  <c r="W230" i="53" s="1"/>
  <c r="R258" i="54"/>
  <c r="R241" i="54"/>
  <c r="W87" i="12"/>
  <c r="W108" i="12"/>
  <c r="AA39" i="12"/>
  <c r="AA92" i="12"/>
  <c r="Z36" i="20"/>
  <c r="Z42" i="20" s="1"/>
  <c r="X34" i="54"/>
  <c r="BE52" i="51"/>
  <c r="Y33" i="54"/>
  <c r="Y39" i="54" s="1"/>
  <c r="BF48" i="51"/>
  <c r="AC14" i="51"/>
  <c r="AC13" i="51"/>
  <c r="Y34" i="53"/>
  <c r="Z52" i="51"/>
  <c r="Z35" i="12"/>
  <c r="BG44" i="51"/>
  <c r="S258" i="53"/>
  <c r="S241" i="53"/>
  <c r="Y69" i="14"/>
  <c r="AB44" i="14"/>
  <c r="AB49" i="14"/>
  <c r="AB122" i="14"/>
  <c r="AB48" i="14"/>
  <c r="AA38" i="19"/>
  <c r="T251" i="19"/>
  <c r="AC32" i="12"/>
  <c r="T201" i="54"/>
  <c r="T200" i="54"/>
  <c r="T203" i="54"/>
  <c r="T198" i="54"/>
  <c r="T199" i="54"/>
  <c r="T202" i="54"/>
  <c r="R160" i="14"/>
  <c r="BD67" i="51"/>
  <c r="X70" i="51"/>
  <c r="V220" i="53"/>
  <c r="V219" i="53"/>
  <c r="V231" i="53" s="1"/>
  <c r="V232" i="53" s="1"/>
  <c r="T234" i="19"/>
  <c r="T238" i="19" s="1"/>
  <c r="T235" i="19"/>
  <c r="X37" i="19"/>
  <c r="Y25" i="14"/>
  <c r="Y102" i="14"/>
  <c r="Y20" i="14"/>
  <c r="Y24" i="14"/>
  <c r="Z67" i="14"/>
  <c r="W142" i="14"/>
  <c r="W159" i="54"/>
  <c r="AC29" i="51"/>
  <c r="W68" i="19"/>
  <c r="X101" i="14" s="1"/>
  <c r="X101" i="12"/>
  <c r="X105" i="12"/>
  <c r="X115" i="14"/>
  <c r="U234" i="53"/>
  <c r="Y25" i="12"/>
  <c r="X37" i="20"/>
  <c r="Y102" i="12"/>
  <c r="Y24" i="12"/>
  <c r="Y20" i="12"/>
  <c r="P164" i="12"/>
  <c r="O318" i="20"/>
  <c r="P165" i="12" s="1"/>
  <c r="W149" i="12"/>
  <c r="AA47" i="12"/>
  <c r="AC83" i="12"/>
  <c r="X83" i="20"/>
  <c r="X75" i="19" s="1"/>
  <c r="X79" i="20"/>
  <c r="X80" i="20"/>
  <c r="Y114" i="12"/>
  <c r="X81" i="20"/>
  <c r="X70" i="19"/>
  <c r="Y114" i="14" s="1"/>
  <c r="X82" i="20"/>
  <c r="BH14" i="51"/>
  <c r="BH13" i="51"/>
  <c r="Q160" i="12"/>
  <c r="AA43" i="51"/>
  <c r="AA17" i="51"/>
  <c r="V260" i="20"/>
  <c r="V257" i="20"/>
  <c r="V262" i="20"/>
  <c r="V259" i="20"/>
  <c r="V258" i="20"/>
  <c r="V261" i="20"/>
  <c r="AH128" i="20"/>
  <c r="AG104" i="19"/>
  <c r="AB65" i="12"/>
  <c r="BD61" i="51"/>
  <c r="X71" i="51"/>
  <c r="X64" i="51"/>
  <c r="S158" i="14"/>
  <c r="S162" i="14"/>
  <c r="V151" i="12"/>
  <c r="BE46" i="51"/>
  <c r="T217" i="53"/>
  <c r="T221" i="53" s="1"/>
  <c r="T218" i="53"/>
  <c r="BI12" i="51"/>
  <c r="BI36" i="51"/>
  <c r="U232" i="19"/>
  <c r="U233" i="19"/>
  <c r="Z46" i="51"/>
  <c r="BE57" i="51"/>
  <c r="Y58" i="51"/>
  <c r="AV19" i="55"/>
  <c r="AV20" i="55"/>
  <c r="W92" i="19"/>
  <c r="X145" i="14" s="1"/>
  <c r="X145" i="12"/>
  <c r="AD41" i="14"/>
  <c r="AD42" i="14"/>
  <c r="AE40" i="14"/>
  <c r="V213" i="53"/>
  <c r="V214" i="53"/>
  <c r="U250" i="19"/>
  <c r="U253" i="19" s="1"/>
  <c r="U249" i="19"/>
  <c r="Y84" i="14"/>
  <c r="W86" i="19"/>
  <c r="X133" i="14" s="1"/>
  <c r="X133" i="12"/>
  <c r="S300" i="20"/>
  <c r="BG39" i="51"/>
  <c r="W205" i="54"/>
  <c r="W208" i="54"/>
  <c r="AD28" i="51"/>
  <c r="AD27" i="51"/>
  <c r="BJ26" i="51"/>
  <c r="AE26" i="51"/>
  <c r="W129" i="12"/>
  <c r="AC24" i="51"/>
  <c r="BC71" i="51"/>
  <c r="BC64" i="51"/>
  <c r="X89" i="12"/>
  <c r="X110" i="12"/>
  <c r="X22" i="12"/>
  <c r="Y47" i="19"/>
  <c r="Y84" i="12"/>
  <c r="W149" i="14"/>
  <c r="W211" i="53"/>
  <c r="W209" i="53"/>
  <c r="W210" i="53"/>
  <c r="W212" i="53"/>
  <c r="Z67" i="12"/>
  <c r="AB15" i="51"/>
  <c r="Y69" i="12"/>
  <c r="U213" i="54"/>
  <c r="U214" i="54"/>
  <c r="W117" i="14"/>
  <c r="T294" i="20"/>
  <c r="T296" i="20" s="1"/>
  <c r="T295" i="20"/>
  <c r="BE49" i="51"/>
  <c r="Y37" i="14"/>
  <c r="Z33" i="53"/>
  <c r="Z39" i="53" s="1"/>
  <c r="AA48" i="51"/>
  <c r="AD31" i="12"/>
  <c r="AD28" i="12"/>
  <c r="AD27" i="12"/>
  <c r="AD30" i="12"/>
  <c r="AE26" i="12"/>
  <c r="W91" i="19"/>
  <c r="X144" i="14" s="1"/>
  <c r="X144" i="12"/>
  <c r="W148" i="12"/>
  <c r="BH24" i="51"/>
  <c r="W141" i="12"/>
  <c r="AA46" i="14"/>
  <c r="AC122" i="14"/>
  <c r="AC48" i="14"/>
  <c r="AC49" i="14"/>
  <c r="AB38" i="19"/>
  <c r="AC44" i="14"/>
  <c r="BF43" i="51"/>
  <c r="BF17" i="51"/>
  <c r="U239" i="19"/>
  <c r="U242" i="19"/>
  <c r="U243" i="19"/>
  <c r="U241" i="19"/>
  <c r="U240" i="19"/>
  <c r="U244" i="19"/>
  <c r="Z40" i="19"/>
  <c r="AE46" i="19" s="1"/>
  <c r="AE167" i="19" s="1"/>
  <c r="AE166" i="19" s="1"/>
  <c r="AA134" i="14"/>
  <c r="AA66" i="14"/>
  <c r="AA70" i="14"/>
  <c r="AA71" i="14"/>
  <c r="Z68" i="14"/>
  <c r="BC70" i="51"/>
  <c r="V230" i="19"/>
  <c r="V231" i="19"/>
  <c r="X72" i="51"/>
  <c r="BI28" i="51"/>
  <c r="BI27" i="51"/>
  <c r="W129" i="14"/>
  <c r="AB36" i="12"/>
  <c r="W67" i="19"/>
  <c r="X100" i="14" s="1"/>
  <c r="X100" i="12"/>
  <c r="V148" i="14"/>
  <c r="U225" i="54"/>
  <c r="U226" i="54"/>
  <c r="U227" i="54"/>
  <c r="U222" i="54"/>
  <c r="U224" i="54"/>
  <c r="U223" i="54"/>
  <c r="X90" i="12"/>
  <c r="X111" i="12"/>
  <c r="X21" i="12"/>
  <c r="AT20" i="55"/>
  <c r="AT19" i="55"/>
  <c r="P13" i="55"/>
  <c r="P15" i="55"/>
  <c r="P14" i="55"/>
  <c r="P12" i="55"/>
  <c r="P16" i="55"/>
  <c r="P11" i="55"/>
  <c r="Q242" i="54"/>
  <c r="Q251" i="54" s="1"/>
  <c r="AX75" i="51" s="1"/>
  <c r="W37" i="19"/>
  <c r="X20" i="14"/>
  <c r="X24" i="14"/>
  <c r="X102" i="14"/>
  <c r="X25" i="14"/>
  <c r="X99" i="12"/>
  <c r="AE211" i="20"/>
  <c r="W118" i="12"/>
  <c r="V109" i="14"/>
  <c r="V88" i="14"/>
  <c r="AB45" i="12"/>
  <c r="S155" i="14"/>
  <c r="R270" i="19"/>
  <c r="R275" i="19"/>
  <c r="AB33" i="12"/>
  <c r="AH129" i="20"/>
  <c r="AG105" i="19"/>
  <c r="AD167" i="19"/>
  <c r="AD166" i="19" s="1"/>
  <c r="AD211" i="20"/>
  <c r="Q164" i="12"/>
  <c r="P318" i="20"/>
  <c r="Q165" i="12" s="1"/>
  <c r="U219" i="54"/>
  <c r="U231" i="54" s="1"/>
  <c r="U232" i="54" s="1"/>
  <c r="U220" i="54"/>
  <c r="AD28" i="14"/>
  <c r="AD31" i="14"/>
  <c r="AD30" i="14"/>
  <c r="AD27" i="14"/>
  <c r="AE26" i="14"/>
  <c r="U290" i="20"/>
  <c r="U291" i="20" s="1"/>
  <c r="U292" i="20"/>
  <c r="U293" i="20" s="1"/>
  <c r="BG25" i="51"/>
  <c r="W117" i="12"/>
  <c r="Q310" i="20"/>
  <c r="R156" i="12" s="1"/>
  <c r="Z17" i="12"/>
  <c r="AB36" i="14"/>
  <c r="X78" i="53"/>
  <c r="Y61" i="51" s="1"/>
  <c r="X162" i="53"/>
  <c r="AC34" i="12"/>
  <c r="W141" i="14"/>
  <c r="BF65" i="51"/>
  <c r="Y37" i="54"/>
  <c r="AD43" i="54" s="1"/>
  <c r="AD156" i="54" s="1"/>
  <c r="BH29" i="51"/>
  <c r="V212" i="54"/>
  <c r="V210" i="54"/>
  <c r="V209" i="54"/>
  <c r="V211" i="54"/>
  <c r="W85" i="19"/>
  <c r="X132" i="14" s="1"/>
  <c r="X132" i="12"/>
  <c r="BD54" i="51"/>
  <c r="X143" i="12"/>
  <c r="X99" i="14"/>
  <c r="AD23" i="51"/>
  <c r="AD22" i="51"/>
  <c r="AD20" i="51"/>
  <c r="AD19" i="51"/>
  <c r="BJ18" i="51"/>
  <c r="AE18" i="51"/>
  <c r="R310" i="20"/>
  <c r="S156" i="12" s="1"/>
  <c r="R308" i="20"/>
  <c r="Y44" i="53"/>
  <c r="Y69" i="53"/>
  <c r="Y70" i="53" s="1"/>
  <c r="Z49" i="51" s="1"/>
  <c r="Y77" i="53"/>
  <c r="Y71" i="53"/>
  <c r="Y72" i="53" s="1"/>
  <c r="Z57" i="51" s="1"/>
  <c r="Y75" i="53"/>
  <c r="X120" i="12"/>
  <c r="W73" i="19"/>
  <c r="X120" i="14" s="1"/>
  <c r="AB82" i="12"/>
  <c r="AT6" i="55"/>
  <c r="AB33" i="14"/>
  <c r="P163" i="12"/>
  <c r="P157" i="12"/>
  <c r="Q259" i="54"/>
  <c r="AX78" i="51" s="1"/>
  <c r="AX77" i="51"/>
  <c r="X84" i="14"/>
  <c r="X9" i="55"/>
  <c r="W118" i="14"/>
  <c r="AC64" i="12"/>
  <c r="AC63" i="12"/>
  <c r="Y147" i="12"/>
  <c r="X92" i="20"/>
  <c r="X84" i="19" s="1"/>
  <c r="X91" i="20"/>
  <c r="X94" i="20"/>
  <c r="X93" i="20"/>
  <c r="X95" i="20"/>
  <c r="X87" i="19" s="1"/>
  <c r="X82" i="19"/>
  <c r="Y124" i="14" s="1"/>
  <c r="W86" i="12"/>
  <c r="W107" i="12"/>
  <c r="W23" i="12"/>
  <c r="AH132" i="20"/>
  <c r="AG108" i="19"/>
  <c r="AG107" i="19"/>
  <c r="AH131" i="20"/>
  <c r="AC34" i="14"/>
  <c r="AB44" i="51"/>
  <c r="R164" i="14"/>
  <c r="Q276" i="19"/>
  <c r="R165" i="14" s="1"/>
  <c r="X205" i="53"/>
  <c r="X208" i="53"/>
  <c r="W87" i="14"/>
  <c r="W108" i="14"/>
  <c r="BD58" i="51"/>
  <c r="V150" i="12"/>
  <c r="AC38" i="12"/>
  <c r="X139" i="12"/>
  <c r="BG15" i="51"/>
  <c r="AA45" i="14"/>
  <c r="W83" i="19"/>
  <c r="X128" i="14" s="1"/>
  <c r="X128" i="12"/>
  <c r="V237" i="19"/>
  <c r="V236" i="19"/>
  <c r="V248" i="19" s="1"/>
  <c r="O20" i="55"/>
  <c r="O19" i="55"/>
  <c r="X106" i="12"/>
  <c r="X85" i="12"/>
  <c r="X121" i="12"/>
  <c r="W74" i="19"/>
  <c r="X121" i="14" s="1"/>
  <c r="W229" i="19"/>
  <c r="W226" i="19"/>
  <c r="W227" i="19"/>
  <c r="W228" i="19"/>
  <c r="AA17" i="12"/>
  <c r="AC14" i="12"/>
  <c r="S259" i="19"/>
  <c r="S266" i="19" s="1"/>
  <c r="AC157" i="54"/>
  <c r="X98" i="20"/>
  <c r="X90" i="19" s="1"/>
  <c r="X100" i="20"/>
  <c r="X99" i="20"/>
  <c r="X101" i="20"/>
  <c r="X93" i="19" s="1"/>
  <c r="X97" i="20"/>
  <c r="Y136" i="12"/>
  <c r="X88" i="19"/>
  <c r="X220" i="20"/>
  <c r="X265" i="20"/>
  <c r="X288" i="20"/>
  <c r="X289" i="20" s="1"/>
  <c r="AD13" i="14"/>
  <c r="AD62" i="14"/>
  <c r="AE12" i="14"/>
  <c r="W269" i="20"/>
  <c r="W268" i="20"/>
  <c r="W271" i="20"/>
  <c r="W270" i="20"/>
  <c r="V272" i="20"/>
  <c r="V273" i="20"/>
  <c r="AG106" i="19"/>
  <c r="AH130" i="20"/>
  <c r="W130" i="12"/>
  <c r="Q157" i="12"/>
  <c r="Q163" i="12"/>
  <c r="Z81" i="14"/>
  <c r="Z19" i="14"/>
  <c r="V150" i="14"/>
  <c r="V206" i="54"/>
  <c r="V207" i="54" s="1"/>
  <c r="V229" i="54"/>
  <c r="V230" i="54" s="1"/>
  <c r="X76" i="53"/>
  <c r="Y67" i="51"/>
  <c r="AB15" i="12"/>
  <c r="X136" i="14"/>
  <c r="W179" i="19"/>
  <c r="S77" i="51"/>
  <c r="R259" i="53"/>
  <c r="S78" i="51" s="1"/>
  <c r="BH21" i="51"/>
  <c r="BK66" i="51"/>
  <c r="W154" i="12"/>
  <c r="W97" i="12"/>
  <c r="AA65" i="51"/>
  <c r="Z37" i="53"/>
  <c r="AE43" i="53" s="1"/>
  <c r="AE156" i="53" s="1"/>
  <c r="W84" i="19"/>
  <c r="X131" i="14" s="1"/>
  <c r="X131" i="12"/>
  <c r="U274" i="20"/>
  <c r="U275" i="20"/>
  <c r="T233" i="54"/>
  <c r="W78" i="54"/>
  <c r="W162" i="54"/>
  <c r="U235" i="53"/>
  <c r="W196" i="53"/>
  <c r="W197" i="53" s="1"/>
  <c r="X163" i="53"/>
  <c r="AC21" i="51"/>
  <c r="S235" i="54"/>
  <c r="S237" i="54" s="1"/>
  <c r="S236" i="54"/>
  <c r="AB65" i="14"/>
  <c r="W72" i="19"/>
  <c r="X119" i="14" s="1"/>
  <c r="X119" i="12"/>
  <c r="BD4" i="55"/>
  <c r="AA68" i="12"/>
  <c r="AW16" i="55"/>
  <c r="AW11" i="55"/>
  <c r="AW14" i="55"/>
  <c r="AW13" i="55"/>
  <c r="AW12" i="55"/>
  <c r="AW15" i="55"/>
  <c r="AD13" i="12"/>
  <c r="AE12" i="12"/>
  <c r="AD62" i="12"/>
  <c r="Y4" i="55"/>
  <c r="X315" i="20"/>
  <c r="X314" i="20"/>
  <c r="X264" i="20"/>
  <c r="X263" i="20"/>
  <c r="X267" i="20"/>
  <c r="AC15" i="14"/>
  <c r="X71" i="54"/>
  <c r="X72" i="54" s="1"/>
  <c r="X75" i="54"/>
  <c r="X76" i="54" s="1"/>
  <c r="X77" i="54"/>
  <c r="X69" i="54"/>
  <c r="X70" i="54" s="1"/>
  <c r="X44" i="54"/>
  <c r="Q159" i="14"/>
  <c r="V151" i="14"/>
  <c r="W86" i="14"/>
  <c r="W107" i="14"/>
  <c r="W23" i="14"/>
  <c r="W130" i="14"/>
  <c r="S217" i="54"/>
  <c r="S221" i="54" s="1"/>
  <c r="S218" i="54"/>
  <c r="Q14" i="55"/>
  <c r="Q11" i="55"/>
  <c r="Q12" i="55"/>
  <c r="Q13" i="55"/>
  <c r="Q16" i="55"/>
  <c r="Q15" i="55"/>
  <c r="U213" i="19"/>
  <c r="U214" i="19" s="1"/>
  <c r="V180" i="19"/>
  <c r="AC32" i="14"/>
  <c r="AB59" i="51"/>
  <c r="AA35" i="53"/>
  <c r="T252" i="19"/>
  <c r="T254" i="19" s="1"/>
  <c r="BJ10" i="51"/>
  <c r="AE10" i="51"/>
  <c r="AD36" i="51"/>
  <c r="AD12" i="51"/>
  <c r="R157" i="14"/>
  <c r="R163" i="14"/>
  <c r="AV7" i="55"/>
  <c r="AC29" i="12"/>
  <c r="R251" i="53"/>
  <c r="S75" i="51" s="1"/>
  <c r="R249" i="53"/>
  <c r="CG11" i="55"/>
  <c r="CG19" i="55" s="1"/>
  <c r="CG13" i="55"/>
  <c r="CG14" i="55"/>
  <c r="CG15" i="55"/>
  <c r="CG16" i="55"/>
  <c r="CG12" i="55"/>
  <c r="T216" i="54"/>
  <c r="T215" i="54"/>
  <c r="W154" i="14"/>
  <c r="W97" i="14"/>
  <c r="X143" i="14"/>
  <c r="W153" i="12"/>
  <c r="W98" i="12"/>
  <c r="O161" i="12"/>
  <c r="Y37" i="12"/>
  <c r="X147" i="14"/>
  <c r="X95" i="14"/>
  <c r="V200" i="53"/>
  <c r="V203" i="53"/>
  <c r="V202" i="53"/>
  <c r="V198" i="53"/>
  <c r="V201" i="53"/>
  <c r="V199" i="53"/>
  <c r="BI23" i="51"/>
  <c r="BI20" i="51"/>
  <c r="BI19" i="51"/>
  <c r="BI22" i="51"/>
  <c r="AA17" i="14"/>
  <c r="Z36" i="19"/>
  <c r="Z42" i="19" s="1"/>
  <c r="AA92" i="14"/>
  <c r="AA39" i="14"/>
  <c r="V223" i="19"/>
  <c r="V224" i="19" s="1"/>
  <c r="V246" i="19"/>
  <c r="V247" i="19" s="1"/>
  <c r="BD51" i="51"/>
  <c r="X115" i="12"/>
  <c r="X146" i="12"/>
  <c r="AB16" i="14"/>
  <c r="AD41" i="12"/>
  <c r="AE40" i="12"/>
  <c r="AD42" i="12"/>
  <c r="X273" i="19"/>
  <c r="X222" i="19"/>
  <c r="X221" i="19"/>
  <c r="X272" i="19"/>
  <c r="X225" i="19"/>
  <c r="BC72" i="51"/>
  <c r="X86" i="20"/>
  <c r="X78" i="19" s="1"/>
  <c r="X87" i="20"/>
  <c r="X79" i="19" s="1"/>
  <c r="X88" i="20"/>
  <c r="X80" i="19" s="1"/>
  <c r="X89" i="20"/>
  <c r="X81" i="19" s="1"/>
  <c r="X85" i="20"/>
  <c r="X77" i="19" s="1"/>
  <c r="Y104" i="12"/>
  <c r="X76" i="19"/>
  <c r="Y104" i="14" s="1"/>
  <c r="X74" i="20"/>
  <c r="X66" i="19" s="1"/>
  <c r="X75" i="20"/>
  <c r="X76" i="20"/>
  <c r="X77" i="20"/>
  <c r="X69" i="19" s="1"/>
  <c r="X73" i="20"/>
  <c r="X64" i="19"/>
  <c r="Y93" i="14" s="1"/>
  <c r="AC64" i="14"/>
  <c r="AC63" i="14"/>
  <c r="W266" i="20"/>
  <c r="Q161" i="14"/>
  <c r="V279" i="20"/>
  <c r="V278" i="20"/>
  <c r="Z68" i="12"/>
  <c r="T220" i="19"/>
  <c r="T219" i="19"/>
  <c r="T218" i="19"/>
  <c r="T217" i="19"/>
  <c r="T215" i="19"/>
  <c r="T216" i="19"/>
  <c r="AC29" i="14"/>
  <c r="V109" i="12"/>
  <c r="V88" i="12"/>
  <c r="P159" i="14"/>
  <c r="T277" i="20"/>
  <c r="T276" i="20"/>
  <c r="T280" i="20" s="1"/>
  <c r="AC37" i="51"/>
  <c r="AC38" i="51"/>
  <c r="Y52" i="19"/>
  <c r="Y49" i="19" s="1"/>
  <c r="Y177" i="19" s="1"/>
  <c r="Y90" i="20"/>
  <c r="Y72" i="20"/>
  <c r="Y84" i="20"/>
  <c r="Y78" i="20"/>
  <c r="Z124" i="12"/>
  <c r="Y62" i="19"/>
  <c r="Y59" i="19"/>
  <c r="Y176" i="19" s="1"/>
  <c r="Y50" i="19"/>
  <c r="Y55" i="19"/>
  <c r="Y58" i="19"/>
  <c r="Z93" i="12"/>
  <c r="Y51" i="19"/>
  <c r="Y60" i="19"/>
  <c r="Y53" i="19"/>
  <c r="Y47" i="20"/>
  <c r="Y61" i="19"/>
  <c r="Y221" i="20"/>
  <c r="Y54" i="19"/>
  <c r="Y96" i="20"/>
  <c r="Y57" i="19"/>
  <c r="AV6" i="55"/>
  <c r="W89" i="19"/>
  <c r="X140" i="14" s="1"/>
  <c r="X140" i="12"/>
  <c r="U196" i="54"/>
  <c r="U197" i="54" s="1"/>
  <c r="V163" i="54"/>
  <c r="CH9" i="55"/>
  <c r="AD135" i="12"/>
  <c r="AC215" i="20"/>
  <c r="AC173" i="19" s="1"/>
  <c r="AC212" i="20"/>
  <c r="AC170" i="19" s="1"/>
  <c r="AC216" i="20"/>
  <c r="AC174" i="19" s="1"/>
  <c r="AC214" i="20"/>
  <c r="AC172" i="19" s="1"/>
  <c r="AC213" i="20"/>
  <c r="AC171" i="19" s="1"/>
  <c r="AC169" i="19"/>
  <c r="T235" i="53"/>
  <c r="T237" i="53" s="1"/>
  <c r="T236" i="53"/>
  <c r="W142" i="12"/>
  <c r="W153" i="14"/>
  <c r="W98" i="14"/>
  <c r="BB73" i="51"/>
  <c r="W65" i="19"/>
  <c r="X96" i="14" s="1"/>
  <c r="X96" i="12"/>
  <c r="W139" i="14"/>
  <c r="Y54" i="51"/>
  <c r="W73" i="51"/>
  <c r="W71" i="19"/>
  <c r="X116" i="14" s="1"/>
  <c r="X116" i="12"/>
  <c r="AT7" i="55"/>
  <c r="AB25" i="51"/>
  <c r="U216" i="53"/>
  <c r="U215" i="53"/>
  <c r="Z35" i="14"/>
  <c r="V227" i="53"/>
  <c r="V225" i="53"/>
  <c r="V226" i="53"/>
  <c r="V222" i="53"/>
  <c r="V224" i="53"/>
  <c r="V223" i="53"/>
  <c r="AC43" i="12"/>
  <c r="X176" i="19"/>
  <c r="R76" i="51"/>
  <c r="AC83" i="14"/>
  <c r="AB46" i="12"/>
  <c r="BH37" i="51"/>
  <c r="BH38" i="51"/>
  <c r="AB65" i="51" l="1"/>
  <c r="AA37" i="53"/>
  <c r="AF43" i="53" s="1"/>
  <c r="AF156" i="53" s="1"/>
  <c r="AF157" i="53" s="1"/>
  <c r="AG66" i="51" s="1"/>
  <c r="Y204" i="53"/>
  <c r="Y9" i="55"/>
  <c r="X204" i="54"/>
  <c r="X208" i="54" s="1"/>
  <c r="X146" i="14"/>
  <c r="Y127" i="14"/>
  <c r="AC16" i="14"/>
  <c r="Z51" i="51"/>
  <c r="W148" i="14"/>
  <c r="AD14" i="12"/>
  <c r="AC36" i="14"/>
  <c r="Z127" i="12"/>
  <c r="Z95" i="12"/>
  <c r="AD14" i="14"/>
  <c r="Y72" i="51"/>
  <c r="AA67" i="12"/>
  <c r="AC65" i="14"/>
  <c r="BE4" i="55"/>
  <c r="BI29" i="51"/>
  <c r="Y131" i="14"/>
  <c r="V233" i="53"/>
  <c r="V236" i="53" s="1"/>
  <c r="V241" i="53" s="1"/>
  <c r="AD34" i="12"/>
  <c r="Y159" i="53"/>
  <c r="AD43" i="12"/>
  <c r="X266" i="20"/>
  <c r="X285" i="20" s="1"/>
  <c r="AD34" i="14"/>
  <c r="Q7" i="55"/>
  <c r="U237" i="53"/>
  <c r="U258" i="53" s="1"/>
  <c r="U259" i="53" s="1"/>
  <c r="V78" i="51" s="1"/>
  <c r="AW6" i="55"/>
  <c r="CG7" i="55"/>
  <c r="P6" i="55"/>
  <c r="Q6" i="55"/>
  <c r="U251" i="19"/>
  <c r="U252" i="19" s="1"/>
  <c r="U254" i="19" s="1"/>
  <c r="AC65" i="12"/>
  <c r="AD15" i="12"/>
  <c r="T155" i="14"/>
  <c r="AD49" i="12"/>
  <c r="U258" i="19"/>
  <c r="Y263" i="20"/>
  <c r="Y314" i="20"/>
  <c r="Y264" i="20"/>
  <c r="Y315" i="20"/>
  <c r="Z4" i="55"/>
  <c r="Y267" i="20"/>
  <c r="V152" i="12"/>
  <c r="AA35" i="14"/>
  <c r="BI21" i="51"/>
  <c r="R159" i="14"/>
  <c r="AD64" i="12"/>
  <c r="AD63" i="12"/>
  <c r="AW7" i="55"/>
  <c r="S258" i="54"/>
  <c r="S241" i="54"/>
  <c r="S242" i="54" s="1"/>
  <c r="U276" i="20"/>
  <c r="U280" i="20" s="1"/>
  <c r="U277" i="20"/>
  <c r="Z84" i="14"/>
  <c r="W272" i="20"/>
  <c r="W273" i="20"/>
  <c r="AC15" i="12"/>
  <c r="X117" i="12"/>
  <c r="Y76" i="53"/>
  <c r="Z67" i="51"/>
  <c r="AE20" i="51"/>
  <c r="AE22" i="51"/>
  <c r="AE19" i="51"/>
  <c r="AE23" i="51"/>
  <c r="BK18" i="51"/>
  <c r="AF18" i="51"/>
  <c r="AD38" i="14"/>
  <c r="AB47" i="12"/>
  <c r="AD38" i="12"/>
  <c r="U216" i="54"/>
  <c r="U215" i="54"/>
  <c r="Z69" i="12"/>
  <c r="X87" i="12"/>
  <c r="X108" i="12"/>
  <c r="AD29" i="51"/>
  <c r="S160" i="14"/>
  <c r="X73" i="19"/>
  <c r="Y120" i="14" s="1"/>
  <c r="Y120" i="12"/>
  <c r="X97" i="14"/>
  <c r="Y110" i="14"/>
  <c r="Y89" i="14"/>
  <c r="Y22" i="14"/>
  <c r="Y143" i="14"/>
  <c r="AC15" i="51"/>
  <c r="AY77" i="51"/>
  <c r="R259" i="54"/>
  <c r="AY78" i="51" s="1"/>
  <c r="X255" i="20"/>
  <c r="X256" i="20" s="1"/>
  <c r="Y222" i="20"/>
  <c r="Q317" i="20"/>
  <c r="Y218" i="20"/>
  <c r="Y147" i="14"/>
  <c r="Y95" i="14"/>
  <c r="X229" i="19"/>
  <c r="X226" i="19"/>
  <c r="X227" i="19"/>
  <c r="X228" i="19"/>
  <c r="R161" i="14"/>
  <c r="P161" i="14"/>
  <c r="W206" i="54"/>
  <c r="W207" i="54" s="1"/>
  <c r="W229" i="54"/>
  <c r="W230" i="54" s="1"/>
  <c r="X148" i="12"/>
  <c r="Q159" i="12"/>
  <c r="W279" i="20"/>
  <c r="W278" i="20"/>
  <c r="X91" i="19"/>
  <c r="Y144" i="14" s="1"/>
  <c r="Y144" i="12"/>
  <c r="BD9" i="55"/>
  <c r="BF57" i="51"/>
  <c r="Z58" i="51"/>
  <c r="V220" i="54"/>
  <c r="V219" i="54"/>
  <c r="V231" i="54" s="1"/>
  <c r="V232" i="54" s="1"/>
  <c r="AE31" i="14"/>
  <c r="AE27" i="14"/>
  <c r="AE30" i="14"/>
  <c r="AE28" i="14"/>
  <c r="AF26" i="14"/>
  <c r="AB35" i="54"/>
  <c r="BJ27" i="51"/>
  <c r="BJ28" i="51"/>
  <c r="Y131" i="12"/>
  <c r="Z34" i="53"/>
  <c r="AA52" i="51"/>
  <c r="Y115" i="12"/>
  <c r="Y146" i="12"/>
  <c r="Y85" i="14"/>
  <c r="Y106" i="14"/>
  <c r="AB46" i="14"/>
  <c r="W258" i="20"/>
  <c r="W261" i="20"/>
  <c r="W257" i="20"/>
  <c r="W259" i="20"/>
  <c r="W262" i="20"/>
  <c r="W260" i="20"/>
  <c r="Q312" i="20"/>
  <c r="BH39" i="51"/>
  <c r="AD135" i="14"/>
  <c r="CH11" i="55"/>
  <c r="CH19" i="55" s="1"/>
  <c r="CH16" i="55"/>
  <c r="CH12" i="55"/>
  <c r="CH13" i="55"/>
  <c r="CH14" i="55"/>
  <c r="CH15" i="55"/>
  <c r="AC39" i="51"/>
  <c r="X65" i="19"/>
  <c r="Y96" i="14" s="1"/>
  <c r="Y96" i="12"/>
  <c r="W151" i="12"/>
  <c r="X159" i="54"/>
  <c r="X269" i="20"/>
  <c r="X268" i="20"/>
  <c r="X271" i="20"/>
  <c r="X270" i="20"/>
  <c r="AE13" i="12"/>
  <c r="AE62" i="12"/>
  <c r="AF12" i="12"/>
  <c r="Q161" i="12"/>
  <c r="V274" i="20"/>
  <c r="V275" i="20"/>
  <c r="X92" i="19"/>
  <c r="Y145" i="14" s="1"/>
  <c r="Y145" i="12"/>
  <c r="AA81" i="12"/>
  <c r="AA19" i="12"/>
  <c r="W88" i="12"/>
  <c r="W109" i="12"/>
  <c r="X85" i="19"/>
  <c r="Y132" i="14" s="1"/>
  <c r="Y132" i="12"/>
  <c r="AB17" i="14"/>
  <c r="P159" i="12"/>
  <c r="Y78" i="53"/>
  <c r="Z61" i="51" s="1"/>
  <c r="Y162" i="53"/>
  <c r="BJ23" i="51"/>
  <c r="BJ22" i="51"/>
  <c r="BJ20" i="51"/>
  <c r="BJ19" i="51"/>
  <c r="X130" i="12"/>
  <c r="BH59" i="51"/>
  <c r="AA35" i="54"/>
  <c r="AB39" i="12"/>
  <c r="AA36" i="20"/>
  <c r="AA42" i="20" s="1"/>
  <c r="AB92" i="12"/>
  <c r="P7" i="55"/>
  <c r="X86" i="12"/>
  <c r="X107" i="12"/>
  <c r="X23" i="12"/>
  <c r="AD32" i="12"/>
  <c r="Y143" i="12"/>
  <c r="W213" i="53"/>
  <c r="W214" i="53"/>
  <c r="U233" i="54"/>
  <c r="X129" i="12"/>
  <c r="AA46" i="51"/>
  <c r="Y119" i="12"/>
  <c r="X72" i="19"/>
  <c r="Y119" i="14" s="1"/>
  <c r="Y105" i="14"/>
  <c r="Z37" i="12"/>
  <c r="BE54" i="51"/>
  <c r="R10" i="55"/>
  <c r="V196" i="54"/>
  <c r="V197" i="54" s="1"/>
  <c r="W163" i="54"/>
  <c r="CI9" i="55"/>
  <c r="V290" i="20"/>
  <c r="V291" i="20" s="1"/>
  <c r="V292" i="20"/>
  <c r="Z47" i="19"/>
  <c r="X205" i="54"/>
  <c r="X282" i="20"/>
  <c r="AD83" i="12"/>
  <c r="AW19" i="55"/>
  <c r="AW20" i="55"/>
  <c r="AC25" i="51"/>
  <c r="AE157" i="53"/>
  <c r="AF66" i="51" s="1"/>
  <c r="W223" i="19"/>
  <c r="W224" i="19" s="1"/>
  <c r="W246" i="19"/>
  <c r="W247" i="19" s="1"/>
  <c r="BE9" i="55"/>
  <c r="W230" i="19"/>
  <c r="W231" i="19"/>
  <c r="AA47" i="14"/>
  <c r="X86" i="19"/>
  <c r="Y133" i="14" s="1"/>
  <c r="Y133" i="12"/>
  <c r="BF49" i="51"/>
  <c r="AD21" i="51"/>
  <c r="U249" i="53"/>
  <c r="U251" i="53"/>
  <c r="V75" i="51" s="1"/>
  <c r="X130" i="14"/>
  <c r="AC82" i="14"/>
  <c r="X206" i="53"/>
  <c r="X207" i="53" s="1"/>
  <c r="X229" i="53"/>
  <c r="X230" i="53" s="1"/>
  <c r="V232" i="19"/>
  <c r="V233" i="19"/>
  <c r="AC45" i="14"/>
  <c r="BH44" i="51"/>
  <c r="X129" i="14"/>
  <c r="V216" i="53"/>
  <c r="V215" i="53"/>
  <c r="U234" i="19"/>
  <c r="U238" i="19" s="1"/>
  <c r="U235" i="19"/>
  <c r="X71" i="19"/>
  <c r="Y116" i="14" s="1"/>
  <c r="Y116" i="12"/>
  <c r="Y111" i="12"/>
  <c r="Y90" i="12"/>
  <c r="Y21" i="12"/>
  <c r="AB35" i="53"/>
  <c r="AC59" i="51"/>
  <c r="Y90" i="14"/>
  <c r="Y21" i="14"/>
  <c r="Y111" i="14"/>
  <c r="Z52" i="19"/>
  <c r="Z49" i="19" s="1"/>
  <c r="Z177" i="19" s="1"/>
  <c r="Z47" i="20"/>
  <c r="Z90" i="20"/>
  <c r="Z72" i="20"/>
  <c r="Z221" i="20"/>
  <c r="Z96" i="20"/>
  <c r="Z51" i="19"/>
  <c r="Z55" i="19"/>
  <c r="Z78" i="20"/>
  <c r="Z50" i="19"/>
  <c r="Z59" i="19"/>
  <c r="Z60" i="19"/>
  <c r="AA93" i="12"/>
  <c r="Z58" i="19"/>
  <c r="AA124" i="12"/>
  <c r="Z84" i="20"/>
  <c r="Z53" i="19"/>
  <c r="Z54" i="19"/>
  <c r="Z61" i="19"/>
  <c r="Z57" i="19"/>
  <c r="Z62" i="19"/>
  <c r="BE51" i="51"/>
  <c r="R163" i="12"/>
  <c r="R157" i="12"/>
  <c r="U202" i="54"/>
  <c r="U199" i="54"/>
  <c r="U200" i="54"/>
  <c r="U203" i="54"/>
  <c r="U201" i="54"/>
  <c r="U198" i="54"/>
  <c r="Y101" i="20"/>
  <c r="Y93" i="19" s="1"/>
  <c r="Y100" i="20"/>
  <c r="Y98" i="20"/>
  <c r="Y90" i="19" s="1"/>
  <c r="Y97" i="20"/>
  <c r="Y99" i="20"/>
  <c r="Z136" i="12"/>
  <c r="Y88" i="19"/>
  <c r="Y220" i="20"/>
  <c r="Z147" i="12"/>
  <c r="Y83" i="20"/>
  <c r="Y75" i="19" s="1"/>
  <c r="Y79" i="20"/>
  <c r="Z114" i="12"/>
  <c r="Y82" i="20"/>
  <c r="Y80" i="20"/>
  <c r="Y81" i="20"/>
  <c r="Y70" i="19"/>
  <c r="Z114" i="14" s="1"/>
  <c r="W281" i="20"/>
  <c r="W282" i="20"/>
  <c r="W284" i="20"/>
  <c r="W283" i="20"/>
  <c r="W286" i="20"/>
  <c r="W285" i="20"/>
  <c r="X68" i="19"/>
  <c r="Y101" i="14" s="1"/>
  <c r="Y101" i="12"/>
  <c r="AD82" i="12"/>
  <c r="T218" i="54"/>
  <c r="T217" i="54"/>
  <c r="T221" i="54" s="1"/>
  <c r="AD14" i="51"/>
  <c r="AD13" i="51"/>
  <c r="AA40" i="19"/>
  <c r="AF46" i="19" s="1"/>
  <c r="AB66" i="14"/>
  <c r="AB70" i="14"/>
  <c r="AB71" i="14"/>
  <c r="AB134" i="14"/>
  <c r="X139" i="14"/>
  <c r="V227" i="54"/>
  <c r="V225" i="54"/>
  <c r="V224" i="54"/>
  <c r="V223" i="54"/>
  <c r="V226" i="54"/>
  <c r="V222" i="54"/>
  <c r="AE13" i="14"/>
  <c r="AE62" i="14"/>
  <c r="AF12" i="14"/>
  <c r="X83" i="19"/>
  <c r="Y128" i="14" s="1"/>
  <c r="Y128" i="12"/>
  <c r="S268" i="19"/>
  <c r="T156" i="14" s="1"/>
  <c r="Y205" i="53"/>
  <c r="Y208" i="53"/>
  <c r="BE61" i="51"/>
  <c r="Y71" i="51"/>
  <c r="Y64" i="51"/>
  <c r="Z81" i="12"/>
  <c r="Z19" i="12"/>
  <c r="Z33" i="54"/>
  <c r="Z39" i="54" s="1"/>
  <c r="BG48" i="51"/>
  <c r="AD29" i="14"/>
  <c r="S164" i="14"/>
  <c r="R276" i="19"/>
  <c r="S165" i="14" s="1"/>
  <c r="X90" i="14"/>
  <c r="X21" i="14"/>
  <c r="X111" i="14"/>
  <c r="Y34" i="54"/>
  <c r="BF52" i="51"/>
  <c r="AC46" i="14"/>
  <c r="X142" i="12"/>
  <c r="AD29" i="12"/>
  <c r="Z44" i="53"/>
  <c r="Z77" i="53"/>
  <c r="Z75" i="53"/>
  <c r="Z71" i="53"/>
  <c r="Z72" i="53" s="1"/>
  <c r="AA57" i="51" s="1"/>
  <c r="Z69" i="53"/>
  <c r="Z70" i="53" s="1"/>
  <c r="AA49" i="51" s="1"/>
  <c r="T300" i="20"/>
  <c r="T301" i="20" s="1"/>
  <c r="AC82" i="12"/>
  <c r="BC73" i="51"/>
  <c r="BG65" i="51"/>
  <c r="Z37" i="54"/>
  <c r="AE43" i="54" s="1"/>
  <c r="AE156" i="54" s="1"/>
  <c r="V234" i="53"/>
  <c r="V235" i="53" s="1"/>
  <c r="X141" i="12"/>
  <c r="BI38" i="51"/>
  <c r="BI37" i="51"/>
  <c r="X73" i="51"/>
  <c r="W222" i="53"/>
  <c r="W223" i="53"/>
  <c r="W227" i="53"/>
  <c r="W226" i="53"/>
  <c r="W225" i="53"/>
  <c r="W224" i="53"/>
  <c r="Z37" i="14"/>
  <c r="U217" i="53"/>
  <c r="U221" i="53" s="1"/>
  <c r="U218" i="53"/>
  <c r="X149" i="12"/>
  <c r="W151" i="14"/>
  <c r="Y85" i="20"/>
  <c r="Y77" i="19" s="1"/>
  <c r="Y87" i="20"/>
  <c r="Y79" i="19" s="1"/>
  <c r="Y86" i="20"/>
  <c r="Y78" i="19" s="1"/>
  <c r="Y89" i="20"/>
  <c r="Y81" i="19" s="1"/>
  <c r="Y88" i="20"/>
  <c r="Y80" i="19" s="1"/>
  <c r="Y76" i="19"/>
  <c r="Z104" i="14" s="1"/>
  <c r="Z104" i="12"/>
  <c r="AC33" i="14"/>
  <c r="AC134" i="14"/>
  <c r="AB40" i="19"/>
  <c r="AG46" i="19" s="1"/>
  <c r="AC71" i="14"/>
  <c r="AC66" i="14"/>
  <c r="AC70" i="14"/>
  <c r="X67" i="19"/>
  <c r="Y100" i="14" s="1"/>
  <c r="Y100" i="12"/>
  <c r="AE41" i="12"/>
  <c r="AF40" i="12"/>
  <c r="AE42" i="12"/>
  <c r="W150" i="14"/>
  <c r="S74" i="51"/>
  <c r="R253" i="53"/>
  <c r="AD37" i="51"/>
  <c r="AD38" i="51"/>
  <c r="X78" i="54"/>
  <c r="X162" i="54"/>
  <c r="X196" i="53"/>
  <c r="X197" i="53" s="1"/>
  <c r="Y163" i="53"/>
  <c r="T236" i="54"/>
  <c r="AD15" i="14"/>
  <c r="Y136" i="14"/>
  <c r="X179" i="19"/>
  <c r="AC36" i="12"/>
  <c r="AA69" i="12"/>
  <c r="AA36" i="19"/>
  <c r="AA42" i="19" s="1"/>
  <c r="AB92" i="14"/>
  <c r="AB39" i="14"/>
  <c r="X118" i="14"/>
  <c r="AD24" i="51"/>
  <c r="AD157" i="54"/>
  <c r="R158" i="12"/>
  <c r="R162" i="12"/>
  <c r="AD32" i="14"/>
  <c r="AE135" i="12"/>
  <c r="AD215" i="20"/>
  <c r="AD173" i="19" s="1"/>
  <c r="AD214" i="20"/>
  <c r="AD172" i="19" s="1"/>
  <c r="AD216" i="20"/>
  <c r="AD174" i="19" s="1"/>
  <c r="AD212" i="20"/>
  <c r="AD170" i="19" s="1"/>
  <c r="AD213" i="20"/>
  <c r="AD171" i="19" s="1"/>
  <c r="AD169" i="19"/>
  <c r="X105" i="14"/>
  <c r="P19" i="55"/>
  <c r="P20" i="55"/>
  <c r="X142" i="14"/>
  <c r="AB43" i="51"/>
  <c r="AB17" i="51"/>
  <c r="Y221" i="19"/>
  <c r="Y272" i="19"/>
  <c r="Y273" i="19"/>
  <c r="Y222" i="19"/>
  <c r="Y225" i="19"/>
  <c r="W211" i="54"/>
  <c r="W209" i="54"/>
  <c r="W210" i="54"/>
  <c r="W212" i="54"/>
  <c r="AE41" i="14"/>
  <c r="AE42" i="14"/>
  <c r="AF40" i="14"/>
  <c r="X141" i="14"/>
  <c r="BI14" i="51"/>
  <c r="BI13" i="51"/>
  <c r="BD71" i="51"/>
  <c r="BD64" i="51"/>
  <c r="Y85" i="12"/>
  <c r="Y106" i="12"/>
  <c r="AB45" i="14"/>
  <c r="S242" i="53"/>
  <c r="S249" i="53" s="1"/>
  <c r="Z54" i="51"/>
  <c r="AA35" i="12"/>
  <c r="Y265" i="20"/>
  <c r="Y288" i="20"/>
  <c r="Y289" i="20" s="1"/>
  <c r="Y73" i="20"/>
  <c r="Y75" i="20"/>
  <c r="Y77" i="20"/>
  <c r="Y69" i="19" s="1"/>
  <c r="Y74" i="20"/>
  <c r="Y66" i="19" s="1"/>
  <c r="Y76" i="20"/>
  <c r="Y64" i="19"/>
  <c r="Z93" i="14" s="1"/>
  <c r="V250" i="19"/>
  <c r="V253" i="19" s="1"/>
  <c r="V249" i="19"/>
  <c r="AA81" i="14"/>
  <c r="AA19" i="14"/>
  <c r="Y99" i="12"/>
  <c r="CG6" i="55"/>
  <c r="BK10" i="51"/>
  <c r="AF10" i="51"/>
  <c r="AE36" i="51"/>
  <c r="AE12" i="51"/>
  <c r="W180" i="19"/>
  <c r="V213" i="19"/>
  <c r="V214" i="19" s="1"/>
  <c r="Q19" i="55"/>
  <c r="Q20" i="55"/>
  <c r="W198" i="53"/>
  <c r="W203" i="53"/>
  <c r="W201" i="53"/>
  <c r="W199" i="53"/>
  <c r="W200" i="53"/>
  <c r="W202" i="53"/>
  <c r="W150" i="12"/>
  <c r="T234" i="54"/>
  <c r="T235" i="54" s="1"/>
  <c r="T237" i="54" s="1"/>
  <c r="AB16" i="12"/>
  <c r="AD64" i="14"/>
  <c r="AD63" i="14"/>
  <c r="Y139" i="12"/>
  <c r="W237" i="19"/>
  <c r="W236" i="19"/>
  <c r="W248" i="19" s="1"/>
  <c r="X209" i="53"/>
  <c r="X210" i="53"/>
  <c r="X212" i="53"/>
  <c r="X211" i="53"/>
  <c r="AC66" i="12"/>
  <c r="AC71" i="12"/>
  <c r="AC70" i="12"/>
  <c r="AB40" i="20"/>
  <c r="AG46" i="20" s="1"/>
  <c r="AC134" i="12"/>
  <c r="X118" i="12"/>
  <c r="S155" i="12"/>
  <c r="S10" i="55"/>
  <c r="R312" i="20"/>
  <c r="R317" i="20"/>
  <c r="BD72" i="51"/>
  <c r="V213" i="54"/>
  <c r="V214" i="54"/>
  <c r="U294" i="20"/>
  <c r="U296" i="20" s="1"/>
  <c r="U295" i="20"/>
  <c r="V152" i="14"/>
  <c r="X89" i="14"/>
  <c r="X110" i="14"/>
  <c r="X22" i="14"/>
  <c r="X153" i="12"/>
  <c r="X98" i="12"/>
  <c r="AA67" i="14"/>
  <c r="BF46" i="51"/>
  <c r="AE28" i="12"/>
  <c r="AE30" i="12"/>
  <c r="AE27" i="12"/>
  <c r="AE31" i="12"/>
  <c r="AF26" i="12"/>
  <c r="Y99" i="14"/>
  <c r="Q249" i="54"/>
  <c r="AD43" i="14"/>
  <c r="BE58" i="51"/>
  <c r="BH15" i="51"/>
  <c r="X74" i="19"/>
  <c r="Y121" i="14" s="1"/>
  <c r="Y121" i="12"/>
  <c r="Y89" i="12"/>
  <c r="Y110" i="12"/>
  <c r="Y22" i="12"/>
  <c r="Z69" i="14"/>
  <c r="S259" i="53"/>
  <c r="T78" i="51" s="1"/>
  <c r="T77" i="51"/>
  <c r="Y69" i="54"/>
  <c r="Y70" i="54" s="1"/>
  <c r="Y71" i="54"/>
  <c r="Y72" i="54" s="1"/>
  <c r="Y75" i="54"/>
  <c r="Y76" i="54" s="1"/>
  <c r="Y44" i="54"/>
  <c r="Y77" i="54"/>
  <c r="T259" i="19"/>
  <c r="T268" i="19" s="1"/>
  <c r="U156" i="14" s="1"/>
  <c r="AB38" i="20"/>
  <c r="AC44" i="12"/>
  <c r="AC122" i="12"/>
  <c r="AC49" i="12"/>
  <c r="AC48" i="12"/>
  <c r="AB48" i="51"/>
  <c r="AA33" i="53"/>
  <c r="AA39" i="53" s="1"/>
  <c r="T241" i="53"/>
  <c r="T242" i="53" s="1"/>
  <c r="T258" i="53"/>
  <c r="Y91" i="20"/>
  <c r="Y92" i="20"/>
  <c r="Y94" i="20"/>
  <c r="Y95" i="20"/>
  <c r="Y87" i="19" s="1"/>
  <c r="Y93" i="20"/>
  <c r="Y82" i="19"/>
  <c r="Z124" i="14" s="1"/>
  <c r="V239" i="19"/>
  <c r="V242" i="19"/>
  <c r="V244" i="19"/>
  <c r="V240" i="19"/>
  <c r="V243" i="19"/>
  <c r="V241" i="19"/>
  <c r="BI24" i="51"/>
  <c r="AC33" i="12"/>
  <c r="BJ36" i="51"/>
  <c r="BJ12" i="51"/>
  <c r="U215" i="19"/>
  <c r="U220" i="19"/>
  <c r="U219" i="19"/>
  <c r="U217" i="19"/>
  <c r="U216" i="19"/>
  <c r="U218" i="19"/>
  <c r="W88" i="14"/>
  <c r="W109" i="14"/>
  <c r="AC17" i="14"/>
  <c r="BH25" i="51"/>
  <c r="BE67" i="51"/>
  <c r="Y70" i="51"/>
  <c r="Z20" i="14"/>
  <c r="Y37" i="19"/>
  <c r="Z24" i="14"/>
  <c r="Z102" i="14"/>
  <c r="Z25" i="14"/>
  <c r="AD83" i="14"/>
  <c r="X89" i="19"/>
  <c r="Y140" i="14" s="1"/>
  <c r="Y140" i="12"/>
  <c r="X117" i="14"/>
  <c r="BG43" i="51"/>
  <c r="BG17" i="51"/>
  <c r="S158" i="12"/>
  <c r="S162" i="12"/>
  <c r="S163" i="14"/>
  <c r="S157" i="14"/>
  <c r="AE215" i="20"/>
  <c r="AE173" i="19" s="1"/>
  <c r="AE214" i="20"/>
  <c r="AE172" i="19" s="1"/>
  <c r="AE212" i="20"/>
  <c r="AE170" i="19" s="1"/>
  <c r="AE213" i="20"/>
  <c r="AE171" i="19" s="1"/>
  <c r="AE216" i="20"/>
  <c r="AE174" i="19" s="1"/>
  <c r="AE169" i="19"/>
  <c r="AF135" i="12"/>
  <c r="X85" i="14"/>
  <c r="X106" i="14"/>
  <c r="X98" i="14"/>
  <c r="AA68" i="14"/>
  <c r="W220" i="53"/>
  <c r="W219" i="53"/>
  <c r="W231" i="53" s="1"/>
  <c r="W232" i="53" s="1"/>
  <c r="AC44" i="51"/>
  <c r="AE28" i="51"/>
  <c r="AE27" i="51"/>
  <c r="BK26" i="51"/>
  <c r="AF26" i="51"/>
  <c r="S301" i="20"/>
  <c r="S308" i="20" s="1"/>
  <c r="AB134" i="12"/>
  <c r="AB66" i="12"/>
  <c r="AB71" i="12"/>
  <c r="AB70" i="12"/>
  <c r="AA40" i="20"/>
  <c r="AF46" i="20" s="1"/>
  <c r="Y115" i="14"/>
  <c r="Y146" i="14"/>
  <c r="Y105" i="12"/>
  <c r="X154" i="12"/>
  <c r="X97" i="12"/>
  <c r="BD70" i="51"/>
  <c r="R242" i="54"/>
  <c r="R249" i="54" s="1"/>
  <c r="V77" i="51" l="1"/>
  <c r="BI59" i="51"/>
  <c r="Y204" i="54"/>
  <c r="Z9" i="55"/>
  <c r="Z204" i="53"/>
  <c r="X153" i="14"/>
  <c r="AA95" i="12"/>
  <c r="Z72" i="51"/>
  <c r="AD16" i="12"/>
  <c r="Z127" i="14"/>
  <c r="BF51" i="51"/>
  <c r="AE14" i="12"/>
  <c r="Z176" i="19"/>
  <c r="Z218" i="20"/>
  <c r="AE14" i="14"/>
  <c r="AA51" i="51"/>
  <c r="AA127" i="12"/>
  <c r="AD44" i="12"/>
  <c r="AE43" i="14"/>
  <c r="V233" i="54"/>
  <c r="V234" i="54" s="1"/>
  <c r="V235" i="54" s="1"/>
  <c r="AD82" i="14"/>
  <c r="X284" i="20"/>
  <c r="X286" i="20"/>
  <c r="X283" i="20"/>
  <c r="X281" i="20"/>
  <c r="AD122" i="12"/>
  <c r="AE29" i="51"/>
  <c r="AD48" i="12"/>
  <c r="AC38" i="20"/>
  <c r="AE34" i="14"/>
  <c r="AD65" i="12"/>
  <c r="U158" i="14"/>
  <c r="U162" i="14"/>
  <c r="AE15" i="14"/>
  <c r="AY74" i="51"/>
  <c r="T74" i="51"/>
  <c r="T155" i="12"/>
  <c r="AB67" i="12"/>
  <c r="BK27" i="51"/>
  <c r="BK28" i="51"/>
  <c r="BG52" i="51"/>
  <c r="Z34" i="54"/>
  <c r="Z85" i="14"/>
  <c r="Z106" i="14"/>
  <c r="AC81" i="14"/>
  <c r="AC19" i="14"/>
  <c r="Y84" i="19"/>
  <c r="Z131" i="14" s="1"/>
  <c r="Z131" i="12"/>
  <c r="R251" i="54"/>
  <c r="AY75" i="51" s="1"/>
  <c r="AX74" i="51"/>
  <c r="Q253" i="54"/>
  <c r="AX10" i="55"/>
  <c r="U300" i="20"/>
  <c r="U301" i="20" s="1"/>
  <c r="S164" i="12"/>
  <c r="R318" i="20"/>
  <c r="S165" i="12" s="1"/>
  <c r="W213" i="19"/>
  <c r="W214" i="19" s="1"/>
  <c r="X180" i="19"/>
  <c r="AA84" i="14"/>
  <c r="Y139" i="14"/>
  <c r="T258" i="54"/>
  <c r="T241" i="54"/>
  <c r="T242" i="54" s="1"/>
  <c r="AE157" i="54"/>
  <c r="Z78" i="53"/>
  <c r="AA61" i="51" s="1"/>
  <c r="Z162" i="53"/>
  <c r="AB17" i="12"/>
  <c r="AB68" i="14"/>
  <c r="Y154" i="14"/>
  <c r="Y97" i="14"/>
  <c r="Z115" i="14"/>
  <c r="R159" i="12"/>
  <c r="AA147" i="12"/>
  <c r="AA9" i="55"/>
  <c r="Z265" i="20"/>
  <c r="Z288" i="20"/>
  <c r="Z289" i="20" s="1"/>
  <c r="Y86" i="14"/>
  <c r="Y107" i="14"/>
  <c r="Y23" i="14"/>
  <c r="AC47" i="14"/>
  <c r="W250" i="19"/>
  <c r="W253" i="19" s="1"/>
  <c r="W249" i="19"/>
  <c r="V295" i="20"/>
  <c r="R14" i="55"/>
  <c r="R15" i="55"/>
  <c r="R12" i="55"/>
  <c r="R11" i="55"/>
  <c r="R13" i="55"/>
  <c r="R16" i="55"/>
  <c r="BM66" i="51"/>
  <c r="Y206" i="53"/>
  <c r="Y207" i="53" s="1"/>
  <c r="Y229" i="53"/>
  <c r="Y230" i="53" s="1"/>
  <c r="AA84" i="12"/>
  <c r="AF27" i="14"/>
  <c r="AF30" i="14"/>
  <c r="AF28" i="14"/>
  <c r="AF31" i="14"/>
  <c r="AG26" i="14"/>
  <c r="Y87" i="14"/>
  <c r="Y108" i="14"/>
  <c r="AA37" i="14"/>
  <c r="BG46" i="51"/>
  <c r="Y83" i="19"/>
  <c r="Z128" i="14" s="1"/>
  <c r="Z128" i="12"/>
  <c r="AE29" i="12"/>
  <c r="X87" i="14"/>
  <c r="X108" i="14"/>
  <c r="BD73" i="51"/>
  <c r="W219" i="54"/>
  <c r="W231" i="54" s="1"/>
  <c r="W232" i="54" s="1"/>
  <c r="W220" i="54"/>
  <c r="Z205" i="53"/>
  <c r="Z208" i="53"/>
  <c r="AD33" i="14"/>
  <c r="Z120" i="12"/>
  <c r="Y73" i="19"/>
  <c r="Z120" i="14" s="1"/>
  <c r="Z74" i="20"/>
  <c r="Z66" i="19" s="1"/>
  <c r="Z73" i="20"/>
  <c r="Z76" i="20"/>
  <c r="Z77" i="20"/>
  <c r="Z69" i="19" s="1"/>
  <c r="Z75" i="20"/>
  <c r="Z64" i="19"/>
  <c r="AA93" i="14" s="1"/>
  <c r="V218" i="53"/>
  <c r="V217" i="53"/>
  <c r="V221" i="53" s="1"/>
  <c r="W239" i="19"/>
  <c r="W244" i="19"/>
  <c r="W242" i="19"/>
  <c r="W243" i="19"/>
  <c r="W240" i="19"/>
  <c r="W241" i="19"/>
  <c r="U236" i="54"/>
  <c r="BF61" i="51"/>
  <c r="Z71" i="51"/>
  <c r="Z64" i="51"/>
  <c r="AE38" i="14"/>
  <c r="P161" i="12"/>
  <c r="S310" i="20"/>
  <c r="T156" i="12" s="1"/>
  <c r="BF67" i="51"/>
  <c r="Z70" i="51"/>
  <c r="U259" i="19"/>
  <c r="U266" i="19" s="1"/>
  <c r="S275" i="19"/>
  <c r="Z90" i="14"/>
  <c r="Z21" i="14"/>
  <c r="Z111" i="14"/>
  <c r="W152" i="14"/>
  <c r="BI44" i="51"/>
  <c r="U77" i="51"/>
  <c r="T259" i="53"/>
  <c r="U78" i="51" s="1"/>
  <c r="AA44" i="53"/>
  <c r="AA159" i="53" s="1"/>
  <c r="AA71" i="53"/>
  <c r="AA72" i="53" s="1"/>
  <c r="AB57" i="51" s="1"/>
  <c r="AA75" i="53"/>
  <c r="AA69" i="53"/>
  <c r="AA70" i="53" s="1"/>
  <c r="AB49" i="51" s="1"/>
  <c r="AA77" i="53"/>
  <c r="Y78" i="54"/>
  <c r="Y162" i="54"/>
  <c r="AE32" i="12"/>
  <c r="AA69" i="14"/>
  <c r="S16" i="55"/>
  <c r="S12" i="55"/>
  <c r="S15" i="55"/>
  <c r="S14" i="55"/>
  <c r="S11" i="55"/>
  <c r="S13" i="55"/>
  <c r="AG167" i="19"/>
  <c r="AG166" i="19" s="1"/>
  <c r="AG211" i="20"/>
  <c r="X213" i="53"/>
  <c r="X214" i="53"/>
  <c r="AE14" i="51"/>
  <c r="AE13" i="51"/>
  <c r="V258" i="19"/>
  <c r="V259" i="19" s="1"/>
  <c r="Y67" i="19"/>
  <c r="Z100" i="14" s="1"/>
  <c r="Z100" i="12"/>
  <c r="AE122" i="14"/>
  <c r="AE49" i="14"/>
  <c r="AE48" i="14"/>
  <c r="AE44" i="14"/>
  <c r="AD38" i="19"/>
  <c r="AE135" i="14"/>
  <c r="Y196" i="53"/>
  <c r="Y197" i="53" s="1"/>
  <c r="Z163" i="53"/>
  <c r="Y153" i="12"/>
  <c r="Y98" i="12"/>
  <c r="Z159" i="53"/>
  <c r="X86" i="14"/>
  <c r="X107" i="14"/>
  <c r="X23" i="14"/>
  <c r="Y73" i="51"/>
  <c r="Y72" i="19"/>
  <c r="Z119" i="14" s="1"/>
  <c r="Z119" i="12"/>
  <c r="Z136" i="14"/>
  <c r="Y179" i="19"/>
  <c r="Z92" i="20"/>
  <c r="Z94" i="20"/>
  <c r="Z91" i="20"/>
  <c r="Z93" i="20"/>
  <c r="Z95" i="20"/>
  <c r="Z87" i="19" s="1"/>
  <c r="Z82" i="19"/>
  <c r="AA124" i="14" s="1"/>
  <c r="V237" i="53"/>
  <c r="V258" i="53" s="1"/>
  <c r="X210" i="54"/>
  <c r="X211" i="54"/>
  <c r="X209" i="54"/>
  <c r="X212" i="54"/>
  <c r="X148" i="14"/>
  <c r="BJ21" i="51"/>
  <c r="Y141" i="12"/>
  <c r="X272" i="20"/>
  <c r="X273" i="20"/>
  <c r="CH7" i="55"/>
  <c r="W290" i="20"/>
  <c r="W291" i="20" s="1"/>
  <c r="W292" i="20"/>
  <c r="W293" i="20" s="1"/>
  <c r="U217" i="54"/>
  <c r="U221" i="54" s="1"/>
  <c r="U218" i="54"/>
  <c r="AF22" i="51"/>
  <c r="AF23" i="51"/>
  <c r="AF20" i="51"/>
  <c r="BL18" i="51"/>
  <c r="AF19" i="51"/>
  <c r="AG18" i="51"/>
  <c r="AC16" i="12"/>
  <c r="Y271" i="20"/>
  <c r="Y268" i="20"/>
  <c r="Y269" i="20"/>
  <c r="Y270" i="20"/>
  <c r="S270" i="19"/>
  <c r="AF167" i="19"/>
  <c r="AF166" i="19" s="1"/>
  <c r="AF211" i="20"/>
  <c r="AB68" i="12"/>
  <c r="S160" i="12"/>
  <c r="Z105" i="14"/>
  <c r="BE70" i="51"/>
  <c r="T251" i="53"/>
  <c r="U75" i="51" s="1"/>
  <c r="T249" i="53"/>
  <c r="Y159" i="54"/>
  <c r="Z143" i="14"/>
  <c r="AF28" i="12"/>
  <c r="AF30" i="12"/>
  <c r="AF27" i="12"/>
  <c r="AF31" i="12"/>
  <c r="AG26" i="12"/>
  <c r="S163" i="12"/>
  <c r="S157" i="12"/>
  <c r="AC68" i="12"/>
  <c r="X219" i="53"/>
  <c r="X231" i="53" s="1"/>
  <c r="X232" i="53" s="1"/>
  <c r="X220" i="53"/>
  <c r="AD65" i="14"/>
  <c r="AE38" i="51"/>
  <c r="AE37" i="51"/>
  <c r="Y65" i="19"/>
  <c r="Z96" i="14" s="1"/>
  <c r="Z96" i="12"/>
  <c r="X149" i="14"/>
  <c r="BI15" i="51"/>
  <c r="AF41" i="14"/>
  <c r="AF42" i="14"/>
  <c r="AG40" i="14"/>
  <c r="AD44" i="51"/>
  <c r="AD16" i="14"/>
  <c r="X201" i="53"/>
  <c r="X199" i="53"/>
  <c r="X203" i="53"/>
  <c r="X202" i="53"/>
  <c r="X198" i="53"/>
  <c r="X200" i="53"/>
  <c r="Y153" i="14"/>
  <c r="Y98" i="14"/>
  <c r="T266" i="19"/>
  <c r="T310" i="20"/>
  <c r="U156" i="12" s="1"/>
  <c r="T308" i="20"/>
  <c r="AD33" i="12"/>
  <c r="BF54" i="51"/>
  <c r="Y74" i="19"/>
  <c r="Z121" i="14" s="1"/>
  <c r="Z121" i="12"/>
  <c r="Z139" i="12"/>
  <c r="Z263" i="20"/>
  <c r="Z266" i="20" s="1"/>
  <c r="Z264" i="20"/>
  <c r="Z315" i="20"/>
  <c r="Z314" i="20"/>
  <c r="AA4" i="55"/>
  <c r="Z267" i="20"/>
  <c r="V293" i="20"/>
  <c r="V294" i="20" s="1"/>
  <c r="V296" i="20" s="1"/>
  <c r="BL66" i="51"/>
  <c r="Z99" i="12"/>
  <c r="Y141" i="14"/>
  <c r="X279" i="20"/>
  <c r="X278" i="20"/>
  <c r="Y149" i="12"/>
  <c r="W222" i="54"/>
  <c r="W227" i="54"/>
  <c r="W225" i="54"/>
  <c r="W224" i="54"/>
  <c r="W226" i="54"/>
  <c r="W223" i="54"/>
  <c r="Y118" i="12"/>
  <c r="AC35" i="53"/>
  <c r="AD59" i="51"/>
  <c r="BK22" i="51"/>
  <c r="BK20" i="51"/>
  <c r="BK23" i="51"/>
  <c r="BK19" i="51"/>
  <c r="X150" i="12"/>
  <c r="Z89" i="14"/>
  <c r="Z22" i="14"/>
  <c r="Z110" i="14"/>
  <c r="BJ13" i="51"/>
  <c r="BJ14" i="51"/>
  <c r="Y208" i="54"/>
  <c r="Y205" i="54"/>
  <c r="AD44" i="14"/>
  <c r="AC38" i="19"/>
  <c r="AD49" i="14"/>
  <c r="AD122" i="14"/>
  <c r="AD48" i="14"/>
  <c r="AF36" i="51"/>
  <c r="BL10" i="51"/>
  <c r="AG10" i="51"/>
  <c r="AF12" i="51"/>
  <c r="W213" i="54"/>
  <c r="W214" i="54"/>
  <c r="R160" i="12"/>
  <c r="AA47" i="19"/>
  <c r="X206" i="54"/>
  <c r="X207" i="54" s="1"/>
  <c r="X229" i="54"/>
  <c r="X230" i="54" s="1"/>
  <c r="S76" i="51"/>
  <c r="AC68" i="14"/>
  <c r="AB36" i="19"/>
  <c r="AB42" i="19" s="1"/>
  <c r="AC39" i="14"/>
  <c r="AC92" i="14"/>
  <c r="Z69" i="54"/>
  <c r="Z70" i="54" s="1"/>
  <c r="Z75" i="54"/>
  <c r="Z76" i="54" s="1"/>
  <c r="Z44" i="54"/>
  <c r="Z71" i="54"/>
  <c r="Z72" i="54" s="1"/>
  <c r="Z77" i="54"/>
  <c r="BE71" i="51"/>
  <c r="BE64" i="51"/>
  <c r="AD15" i="51"/>
  <c r="Z115" i="12"/>
  <c r="Z146" i="12"/>
  <c r="Y91" i="19"/>
  <c r="Z144" i="14" s="1"/>
  <c r="Z144" i="12"/>
  <c r="Z83" i="20"/>
  <c r="Z75" i="19" s="1"/>
  <c r="Z79" i="20"/>
  <c r="Z80" i="20"/>
  <c r="Z70" i="19"/>
  <c r="AA114" i="14" s="1"/>
  <c r="Z82" i="20"/>
  <c r="Z81" i="20"/>
  <c r="AA114" i="12"/>
  <c r="AC48" i="51"/>
  <c r="AB33" i="53"/>
  <c r="AB39" i="53" s="1"/>
  <c r="CI13" i="55"/>
  <c r="CI15" i="55"/>
  <c r="CI14" i="55"/>
  <c r="CI16" i="55"/>
  <c r="CI11" i="55"/>
  <c r="CI19" i="55" s="1"/>
  <c r="CI12" i="55"/>
  <c r="BJ24" i="51"/>
  <c r="AB81" i="14"/>
  <c r="AB19" i="14"/>
  <c r="AE15" i="12"/>
  <c r="Y149" i="14"/>
  <c r="X230" i="19"/>
  <c r="X231" i="19"/>
  <c r="R164" i="12"/>
  <c r="Q318" i="20"/>
  <c r="R165" i="12" s="1"/>
  <c r="AC43" i="51"/>
  <c r="AC17" i="51"/>
  <c r="X150" i="14"/>
  <c r="Y118" i="14"/>
  <c r="AD36" i="12"/>
  <c r="AD36" i="14"/>
  <c r="AD45" i="12"/>
  <c r="T157" i="14"/>
  <c r="T163" i="14"/>
  <c r="AA33" i="54"/>
  <c r="AA39" i="54" s="1"/>
  <c r="BH48" i="51"/>
  <c r="BJ37" i="51"/>
  <c r="BJ38" i="51"/>
  <c r="Y85" i="19"/>
  <c r="Z132" i="14" s="1"/>
  <c r="Z132" i="12"/>
  <c r="Y117" i="12"/>
  <c r="AE38" i="12"/>
  <c r="X151" i="12"/>
  <c r="V215" i="54"/>
  <c r="V216" i="54"/>
  <c r="AC67" i="12"/>
  <c r="BK36" i="51"/>
  <c r="BK12" i="51"/>
  <c r="AA34" i="53"/>
  <c r="AB52" i="51"/>
  <c r="S251" i="53"/>
  <c r="T75" i="51" s="1"/>
  <c r="BG49" i="51"/>
  <c r="AF13" i="14"/>
  <c r="AG12" i="14"/>
  <c r="AF62" i="14"/>
  <c r="Y71" i="19"/>
  <c r="Z116" i="14" s="1"/>
  <c r="Z116" i="12"/>
  <c r="Y89" i="19"/>
  <c r="Z140" i="14" s="1"/>
  <c r="Z140" i="12"/>
  <c r="W233" i="53"/>
  <c r="W234" i="53" s="1"/>
  <c r="Z87" i="20"/>
  <c r="Z79" i="19" s="1"/>
  <c r="Z86" i="20"/>
  <c r="Z78" i="19" s="1"/>
  <c r="Z88" i="20"/>
  <c r="Z80" i="19" s="1"/>
  <c r="Z85" i="20"/>
  <c r="Z77" i="19" s="1"/>
  <c r="Z89" i="20"/>
  <c r="Z81" i="19" s="1"/>
  <c r="AA104" i="12"/>
  <c r="Z76" i="19"/>
  <c r="AA104" i="14" s="1"/>
  <c r="V74" i="51"/>
  <c r="U253" i="53"/>
  <c r="Y129" i="12"/>
  <c r="V236" i="54"/>
  <c r="Z221" i="19"/>
  <c r="Z273" i="19"/>
  <c r="Z222" i="19"/>
  <c r="Z272" i="19"/>
  <c r="Z225" i="19"/>
  <c r="X163" i="54"/>
  <c r="W196" i="54"/>
  <c r="W197" i="54" s="1"/>
  <c r="CJ9" i="55"/>
  <c r="W215" i="53"/>
  <c r="W216" i="53"/>
  <c r="BE72" i="51"/>
  <c r="AA47" i="20"/>
  <c r="AA52" i="19"/>
  <c r="AA49" i="19" s="1"/>
  <c r="AA177" i="19" s="1"/>
  <c r="AA90" i="20"/>
  <c r="AA61" i="19"/>
  <c r="AA59" i="19"/>
  <c r="AA176" i="19" s="1"/>
  <c r="AA51" i="19"/>
  <c r="AA53" i="19"/>
  <c r="AA57" i="19"/>
  <c r="AA62" i="19"/>
  <c r="AA50" i="19"/>
  <c r="AA60" i="19"/>
  <c r="AA54" i="19"/>
  <c r="AB124" i="12"/>
  <c r="AA58" i="19"/>
  <c r="AA55" i="19"/>
  <c r="AA72" i="20"/>
  <c r="AA221" i="20"/>
  <c r="AA84" i="20"/>
  <c r="AA96" i="20"/>
  <c r="AA78" i="20"/>
  <c r="AB93" i="12"/>
  <c r="Y130" i="12"/>
  <c r="V277" i="20"/>
  <c r="V276" i="20"/>
  <c r="V280" i="20" s="1"/>
  <c r="AF13" i="12"/>
  <c r="AF62" i="12"/>
  <c r="AG12" i="12"/>
  <c r="BH65" i="51"/>
  <c r="AA37" i="54"/>
  <c r="AF43" i="54" s="1"/>
  <c r="AF156" i="54" s="1"/>
  <c r="AE32" i="14"/>
  <c r="Y142" i="12"/>
  <c r="Y255" i="20"/>
  <c r="Y256" i="20" s="1"/>
  <c r="Z222" i="20"/>
  <c r="X154" i="14"/>
  <c r="BI25" i="51"/>
  <c r="AD46" i="12"/>
  <c r="S159" i="14"/>
  <c r="AC46" i="12"/>
  <c r="Y87" i="12"/>
  <c r="Y108" i="12"/>
  <c r="Y117" i="14"/>
  <c r="AE34" i="12"/>
  <c r="Z147" i="14"/>
  <c r="Z95" i="14"/>
  <c r="BF9" i="55"/>
  <c r="Y226" i="19"/>
  <c r="Y227" i="19"/>
  <c r="Y229" i="19"/>
  <c r="Y228" i="19"/>
  <c r="AB46" i="51"/>
  <c r="AF41" i="12"/>
  <c r="AF42" i="12"/>
  <c r="AG40" i="12"/>
  <c r="AC67" i="14"/>
  <c r="BG57" i="51"/>
  <c r="AA58" i="51"/>
  <c r="Y37" i="20"/>
  <c r="Z102" i="12"/>
  <c r="Z25" i="12"/>
  <c r="Z20" i="12"/>
  <c r="Z24" i="12"/>
  <c r="AE63" i="14"/>
  <c r="AE64" i="14"/>
  <c r="V242" i="53"/>
  <c r="V251" i="53" s="1"/>
  <c r="W75" i="51" s="1"/>
  <c r="Y86" i="12"/>
  <c r="Y107" i="12"/>
  <c r="Y23" i="12"/>
  <c r="V235" i="19"/>
  <c r="V234" i="19"/>
  <c r="V238" i="19" s="1"/>
  <c r="Y129" i="14"/>
  <c r="V202" i="54"/>
  <c r="V200" i="54"/>
  <c r="V198" i="54"/>
  <c r="V203" i="54"/>
  <c r="V199" i="54"/>
  <c r="V201" i="54"/>
  <c r="AB35" i="12"/>
  <c r="Y130" i="14"/>
  <c r="AE64" i="12"/>
  <c r="AE63" i="12"/>
  <c r="AC65" i="51"/>
  <c r="AB37" i="53"/>
  <c r="AG43" i="53" s="1"/>
  <c r="AG156" i="53" s="1"/>
  <c r="BJ29" i="51"/>
  <c r="U234" i="54"/>
  <c r="U235" i="54" s="1"/>
  <c r="U237" i="54" s="1"/>
  <c r="AE29" i="14"/>
  <c r="BF58" i="51"/>
  <c r="Y142" i="14"/>
  <c r="AE21" i="51"/>
  <c r="W274" i="20"/>
  <c r="W275" i="20"/>
  <c r="S249" i="54"/>
  <c r="S251" i="54"/>
  <c r="AZ75" i="51" s="1"/>
  <c r="AD17" i="12"/>
  <c r="BL26" i="51"/>
  <c r="AF28" i="51"/>
  <c r="AG26" i="51"/>
  <c r="AF27" i="51"/>
  <c r="AF135" i="14"/>
  <c r="AC92" i="12"/>
  <c r="AC39" i="12"/>
  <c r="AB36" i="20"/>
  <c r="AB42" i="20" s="1"/>
  <c r="Y86" i="19"/>
  <c r="Z133" i="14" s="1"/>
  <c r="Z133" i="12"/>
  <c r="AC45" i="12"/>
  <c r="BH43" i="51"/>
  <c r="BH17" i="51"/>
  <c r="V216" i="19"/>
  <c r="V218" i="19"/>
  <c r="V220" i="19"/>
  <c r="V219" i="19"/>
  <c r="V215" i="19"/>
  <c r="V217" i="19"/>
  <c r="Z37" i="19"/>
  <c r="AA25" i="14"/>
  <c r="AA20" i="14"/>
  <c r="AA102" i="14"/>
  <c r="AA24" i="14"/>
  <c r="Y68" i="19"/>
  <c r="Z101" i="14" s="1"/>
  <c r="Z101" i="12"/>
  <c r="AA37" i="12"/>
  <c r="AB47" i="14"/>
  <c r="BF4" i="55"/>
  <c r="AB35" i="14"/>
  <c r="X223" i="19"/>
  <c r="X224" i="19" s="1"/>
  <c r="X246" i="19"/>
  <c r="X247" i="19" s="1"/>
  <c r="AD39" i="51"/>
  <c r="AE43" i="12"/>
  <c r="Z99" i="14"/>
  <c r="BI39" i="51"/>
  <c r="Z76" i="53"/>
  <c r="AA67" i="51"/>
  <c r="V251" i="19"/>
  <c r="V252" i="19" s="1"/>
  <c r="V254" i="19" s="1"/>
  <c r="Z84" i="12"/>
  <c r="Y211" i="53"/>
  <c r="Y210" i="53"/>
  <c r="Y212" i="53"/>
  <c r="Y209" i="53"/>
  <c r="T162" i="14"/>
  <c r="T158" i="14"/>
  <c r="AE83" i="14"/>
  <c r="AB67" i="14"/>
  <c r="Y154" i="12"/>
  <c r="Y97" i="12"/>
  <c r="Y92" i="19"/>
  <c r="Z145" i="14" s="1"/>
  <c r="Z145" i="12"/>
  <c r="Z98" i="20"/>
  <c r="Z90" i="19" s="1"/>
  <c r="Z97" i="20"/>
  <c r="Z100" i="20"/>
  <c r="Z101" i="20"/>
  <c r="Z93" i="19" s="1"/>
  <c r="Z99" i="20"/>
  <c r="AA136" i="12"/>
  <c r="Z88" i="19"/>
  <c r="Z220" i="20"/>
  <c r="X224" i="53"/>
  <c r="X227" i="53"/>
  <c r="X222" i="53"/>
  <c r="X226" i="53"/>
  <c r="X225" i="53"/>
  <c r="X223" i="53"/>
  <c r="AD25" i="51"/>
  <c r="W232" i="19"/>
  <c r="W233" i="19"/>
  <c r="X88" i="12"/>
  <c r="X109" i="12"/>
  <c r="W152" i="12"/>
  <c r="Z37" i="20"/>
  <c r="AA20" i="12"/>
  <c r="AA24" i="12"/>
  <c r="AA102" i="12"/>
  <c r="AA25" i="12"/>
  <c r="AE83" i="12"/>
  <c r="CH6" i="55"/>
  <c r="AA54" i="51"/>
  <c r="X237" i="19"/>
  <c r="X236" i="19"/>
  <c r="X248" i="19" s="1"/>
  <c r="X261" i="20"/>
  <c r="X257" i="20"/>
  <c r="X259" i="20"/>
  <c r="X262" i="20"/>
  <c r="X260" i="20"/>
  <c r="X258" i="20"/>
  <c r="Z143" i="12"/>
  <c r="AE24" i="51"/>
  <c r="S259" i="54"/>
  <c r="AZ78" i="51" s="1"/>
  <c r="AZ77" i="51"/>
  <c r="Y266" i="20"/>
  <c r="AA204" i="53" l="1"/>
  <c r="AA205" i="53" s="1"/>
  <c r="Z204" i="54"/>
  <c r="AB127" i="12"/>
  <c r="AF34" i="14"/>
  <c r="AD35" i="53"/>
  <c r="AF14" i="14"/>
  <c r="X151" i="14"/>
  <c r="BG51" i="51"/>
  <c r="AA127" i="14"/>
  <c r="AB51" i="51"/>
  <c r="AF14" i="12"/>
  <c r="AA218" i="20"/>
  <c r="AE16" i="12"/>
  <c r="Y148" i="14"/>
  <c r="AD71" i="12"/>
  <c r="BG4" i="55"/>
  <c r="AC40" i="20"/>
  <c r="AF34" i="12"/>
  <c r="AE65" i="14"/>
  <c r="AE59" i="51"/>
  <c r="AE39" i="51"/>
  <c r="AD66" i="12"/>
  <c r="AF38" i="12"/>
  <c r="AF38" i="14"/>
  <c r="AD134" i="12"/>
  <c r="AD70" i="12"/>
  <c r="S6" i="55"/>
  <c r="X233" i="53"/>
  <c r="X236" i="53" s="1"/>
  <c r="X241" i="53" s="1"/>
  <c r="X242" i="53" s="1"/>
  <c r="W233" i="54"/>
  <c r="W234" i="54" s="1"/>
  <c r="W235" i="54" s="1"/>
  <c r="R7" i="55"/>
  <c r="W251" i="19"/>
  <c r="R161" i="12"/>
  <c r="AF15" i="12"/>
  <c r="V155" i="14"/>
  <c r="AF15" i="14"/>
  <c r="AA136" i="14"/>
  <c r="Z179" i="19"/>
  <c r="AA143" i="12"/>
  <c r="Z97" i="12"/>
  <c r="AZ74" i="51"/>
  <c r="S253" i="54"/>
  <c r="AG41" i="12"/>
  <c r="AG42" i="12"/>
  <c r="AH40" i="12"/>
  <c r="V76" i="51"/>
  <c r="AB54" i="51"/>
  <c r="AC46" i="51"/>
  <c r="AB44" i="53"/>
  <c r="AB77" i="53"/>
  <c r="AB71" i="53"/>
  <c r="AB72" i="53" s="1"/>
  <c r="AC57" i="51" s="1"/>
  <c r="AB75" i="53"/>
  <c r="AB69" i="53"/>
  <c r="AB70" i="53" s="1"/>
  <c r="AC49" i="51" s="1"/>
  <c r="AA115" i="12"/>
  <c r="AA146" i="12"/>
  <c r="Z142" i="14"/>
  <c r="Z108" i="14"/>
  <c r="Z87" i="14"/>
  <c r="Z117" i="14"/>
  <c r="Y151" i="14"/>
  <c r="AG42" i="14"/>
  <c r="AG41" i="14"/>
  <c r="AH40" i="14"/>
  <c r="AF24" i="51"/>
  <c r="Z85" i="19"/>
  <c r="AA132" i="14" s="1"/>
  <c r="AA132" i="12"/>
  <c r="AD17" i="14"/>
  <c r="X215" i="53"/>
  <c r="X216" i="53"/>
  <c r="U258" i="54"/>
  <c r="U241" i="54"/>
  <c r="U268" i="19"/>
  <c r="V156" i="14" s="1"/>
  <c r="AC17" i="12"/>
  <c r="R20" i="55"/>
  <c r="R19" i="55"/>
  <c r="W258" i="19"/>
  <c r="W259" i="19" s="1"/>
  <c r="Y150" i="14"/>
  <c r="AC102" i="14"/>
  <c r="AC25" i="14"/>
  <c r="AC20" i="14"/>
  <c r="AC24" i="14"/>
  <c r="AB37" i="19"/>
  <c r="S312" i="20"/>
  <c r="AY76" i="51"/>
  <c r="AA90" i="12"/>
  <c r="AA21" i="12"/>
  <c r="AA111" i="12"/>
  <c r="AA139" i="12"/>
  <c r="Z141" i="12"/>
  <c r="Z154" i="14"/>
  <c r="Z97" i="14"/>
  <c r="AF43" i="12"/>
  <c r="AF63" i="12"/>
  <c r="AF64" i="12"/>
  <c r="AB147" i="12"/>
  <c r="W217" i="53"/>
  <c r="W221" i="53" s="1"/>
  <c r="W218" i="53"/>
  <c r="W235" i="53"/>
  <c r="W237" i="53" s="1"/>
  <c r="W236" i="53"/>
  <c r="AG62" i="14"/>
  <c r="AG13" i="14"/>
  <c r="AH12" i="14"/>
  <c r="AE36" i="12"/>
  <c r="BJ39" i="51"/>
  <c r="S161" i="14"/>
  <c r="AB102" i="14"/>
  <c r="AA37" i="19"/>
  <c r="AB20" i="14"/>
  <c r="AB24" i="14"/>
  <c r="AB25" i="14"/>
  <c r="Z73" i="19"/>
  <c r="AA120" i="14" s="1"/>
  <c r="AA120" i="12"/>
  <c r="Z205" i="54"/>
  <c r="Z208" i="54"/>
  <c r="AD92" i="12"/>
  <c r="AD39" i="12"/>
  <c r="AC36" i="20"/>
  <c r="AC42" i="20" s="1"/>
  <c r="Y272" i="20"/>
  <c r="Y273" i="20"/>
  <c r="AD68" i="12"/>
  <c r="W294" i="20"/>
  <c r="W296" i="20" s="1"/>
  <c r="W295" i="20"/>
  <c r="Z83" i="19"/>
  <c r="AA128" i="14" s="1"/>
  <c r="AA128" i="12"/>
  <c r="T164" i="14"/>
  <c r="S276" i="19"/>
  <c r="T165" i="14" s="1"/>
  <c r="Z73" i="51"/>
  <c r="Z68" i="19"/>
  <c r="AA101" i="14" s="1"/>
  <c r="AA101" i="12"/>
  <c r="AE33" i="12"/>
  <c r="AG28" i="14"/>
  <c r="AG27" i="14"/>
  <c r="AG31" i="14"/>
  <c r="AG30" i="14"/>
  <c r="AH26" i="14"/>
  <c r="Y88" i="14"/>
  <c r="Y109" i="14"/>
  <c r="AX76" i="51"/>
  <c r="AC84" i="14"/>
  <c r="T10" i="55"/>
  <c r="Y281" i="20"/>
  <c r="Y283" i="20"/>
  <c r="Y284" i="20"/>
  <c r="Y286" i="20"/>
  <c r="Y282" i="20"/>
  <c r="Y285" i="20"/>
  <c r="AA105" i="12"/>
  <c r="Z91" i="19"/>
  <c r="AA144" i="14" s="1"/>
  <c r="AA144" i="12"/>
  <c r="Z141" i="14"/>
  <c r="AB69" i="14"/>
  <c r="Y219" i="53"/>
  <c r="Y231" i="53" s="1"/>
  <c r="Y220" i="53"/>
  <c r="AA89" i="14"/>
  <c r="AA110" i="14"/>
  <c r="AA22" i="14"/>
  <c r="AF29" i="51"/>
  <c r="W276" i="20"/>
  <c r="W280" i="20" s="1"/>
  <c r="W277" i="20"/>
  <c r="AE65" i="12"/>
  <c r="AB37" i="12"/>
  <c r="AF83" i="12"/>
  <c r="AA83" i="20"/>
  <c r="AA75" i="19" s="1"/>
  <c r="AA80" i="20"/>
  <c r="AA79" i="20"/>
  <c r="AA70" i="19"/>
  <c r="AB114" i="14" s="1"/>
  <c r="AA81" i="20"/>
  <c r="AB114" i="12"/>
  <c r="AA82" i="20"/>
  <c r="AF83" i="14"/>
  <c r="AE82" i="12"/>
  <c r="AC69" i="12"/>
  <c r="AB84" i="14"/>
  <c r="Z74" i="19"/>
  <c r="AA121" i="14" s="1"/>
  <c r="AA121" i="12"/>
  <c r="AC35" i="14"/>
  <c r="BK21" i="51"/>
  <c r="X290" i="20"/>
  <c r="X291" i="20" s="1"/>
  <c r="X292" i="20"/>
  <c r="X293" i="20" s="1"/>
  <c r="Z149" i="14"/>
  <c r="AG27" i="12"/>
  <c r="AG30" i="12"/>
  <c r="AG31" i="12"/>
  <c r="AG28" i="12"/>
  <c r="AH26" i="12"/>
  <c r="AD67" i="12"/>
  <c r="Z86" i="19"/>
  <c r="AA133" i="14" s="1"/>
  <c r="AA133" i="12"/>
  <c r="AE46" i="14"/>
  <c r="AG216" i="20"/>
  <c r="AG174" i="19" s="1"/>
  <c r="AG214" i="20"/>
  <c r="AG172" i="19" s="1"/>
  <c r="AG212" i="20"/>
  <c r="AG170" i="19" s="1"/>
  <c r="AG215" i="20"/>
  <c r="AG173" i="19" s="1"/>
  <c r="AG213" i="20"/>
  <c r="AG171" i="19" s="1"/>
  <c r="AG169" i="19"/>
  <c r="AH135" i="12"/>
  <c r="Y206" i="54"/>
  <c r="Y207" i="54" s="1"/>
  <c r="Y229" i="54"/>
  <c r="Y230" i="54" s="1"/>
  <c r="Z86" i="14"/>
  <c r="Z107" i="14"/>
  <c r="Z23" i="14"/>
  <c r="BF71" i="51"/>
  <c r="BF64" i="51"/>
  <c r="Z65" i="19"/>
  <c r="AA96" i="14" s="1"/>
  <c r="AA96" i="12"/>
  <c r="AA99" i="14"/>
  <c r="W252" i="19"/>
  <c r="W254" i="19" s="1"/>
  <c r="Z206" i="53"/>
  <c r="Z207" i="53" s="1"/>
  <c r="Z229" i="53"/>
  <c r="Z230" i="53" s="1"/>
  <c r="X213" i="19"/>
  <c r="X214" i="19" s="1"/>
  <c r="Y180" i="19"/>
  <c r="BK29" i="51"/>
  <c r="T157" i="12"/>
  <c r="T163" i="12"/>
  <c r="AA89" i="12"/>
  <c r="AA22" i="12"/>
  <c r="AA110" i="12"/>
  <c r="AE49" i="12"/>
  <c r="AE122" i="12"/>
  <c r="AE48" i="12"/>
  <c r="AE44" i="12"/>
  <c r="AD38" i="20"/>
  <c r="AB37" i="14"/>
  <c r="AA105" i="14"/>
  <c r="AA34" i="54"/>
  <c r="BH52" i="51"/>
  <c r="Z129" i="12"/>
  <c r="AG27" i="51"/>
  <c r="AG28" i="51"/>
  <c r="BM26" i="51"/>
  <c r="AH26" i="51"/>
  <c r="Z89" i="12"/>
  <c r="Z22" i="12"/>
  <c r="Z110" i="12"/>
  <c r="AA99" i="20"/>
  <c r="AA97" i="20"/>
  <c r="AA100" i="20"/>
  <c r="AA101" i="20"/>
  <c r="AA93" i="19" s="1"/>
  <c r="AA98" i="20"/>
  <c r="AA90" i="19" s="1"/>
  <c r="AA88" i="19"/>
  <c r="AB136" i="12"/>
  <c r="AA220" i="20"/>
  <c r="CJ13" i="55"/>
  <c r="CJ14" i="55"/>
  <c r="CJ15" i="55"/>
  <c r="CJ12" i="55"/>
  <c r="CJ16" i="55"/>
  <c r="CJ11" i="55"/>
  <c r="CJ19" i="55" s="1"/>
  <c r="T159" i="14"/>
  <c r="AA115" i="14"/>
  <c r="AB47" i="19"/>
  <c r="W215" i="54"/>
  <c r="W216" i="54"/>
  <c r="AD46" i="14"/>
  <c r="BJ15" i="51"/>
  <c r="U10" i="55"/>
  <c r="U155" i="12"/>
  <c r="T312" i="20"/>
  <c r="T317" i="20"/>
  <c r="AG22" i="51"/>
  <c r="AG20" i="51"/>
  <c r="AG19" i="51"/>
  <c r="AG23" i="51"/>
  <c r="BM18" i="51"/>
  <c r="AH18" i="51"/>
  <c r="Z84" i="19"/>
  <c r="AA131" i="14" s="1"/>
  <c r="AA131" i="12"/>
  <c r="Y151" i="12"/>
  <c r="AE45" i="14"/>
  <c r="AE15" i="51"/>
  <c r="AE36" i="14"/>
  <c r="AC36" i="19"/>
  <c r="AC42" i="19" s="1"/>
  <c r="AD39" i="14"/>
  <c r="AD92" i="14"/>
  <c r="R6" i="55"/>
  <c r="BG61" i="51"/>
  <c r="AA71" i="51"/>
  <c r="AA64" i="51"/>
  <c r="W217" i="19"/>
  <c r="W218" i="19"/>
  <c r="W220" i="19"/>
  <c r="W216" i="19"/>
  <c r="W219" i="19"/>
  <c r="W215" i="19"/>
  <c r="BG54" i="51"/>
  <c r="S253" i="53"/>
  <c r="AE16" i="14"/>
  <c r="AA85" i="12"/>
  <c r="AA106" i="12"/>
  <c r="W234" i="19"/>
  <c r="W238" i="19" s="1"/>
  <c r="W235" i="19"/>
  <c r="Z92" i="19"/>
  <c r="AA145" i="14" s="1"/>
  <c r="AA145" i="12"/>
  <c r="Y150" i="12"/>
  <c r="Y213" i="53"/>
  <c r="Y214" i="53"/>
  <c r="BG67" i="51"/>
  <c r="AA70" i="51"/>
  <c r="AA85" i="14"/>
  <c r="AA106" i="14"/>
  <c r="BH46" i="51"/>
  <c r="Z129" i="14"/>
  <c r="AD81" i="12"/>
  <c r="AD19" i="12"/>
  <c r="AC35" i="54"/>
  <c r="BJ59" i="51"/>
  <c r="Z85" i="12"/>
  <c r="Z106" i="12"/>
  <c r="Y230" i="19"/>
  <c r="Y231" i="19"/>
  <c r="Z255" i="20"/>
  <c r="Z256" i="20" s="1"/>
  <c r="AA222" i="20"/>
  <c r="AA89" i="20"/>
  <c r="AA81" i="19" s="1"/>
  <c r="AA88" i="20"/>
  <c r="AA80" i="19" s="1"/>
  <c r="AA86" i="20"/>
  <c r="AA78" i="19" s="1"/>
  <c r="AA87" i="20"/>
  <c r="AA79" i="19" s="1"/>
  <c r="AA85" i="20"/>
  <c r="AA77" i="19" s="1"/>
  <c r="AA76" i="19"/>
  <c r="AB104" i="14" s="1"/>
  <c r="AB104" i="12"/>
  <c r="AA91" i="20"/>
  <c r="AA94" i="20"/>
  <c r="AA92" i="20"/>
  <c r="AA93" i="20"/>
  <c r="AA95" i="20"/>
  <c r="AA87" i="19" s="1"/>
  <c r="AA82" i="19"/>
  <c r="AB124" i="14" s="1"/>
  <c r="W199" i="54"/>
  <c r="W201" i="54"/>
  <c r="W202" i="54"/>
  <c r="W200" i="54"/>
  <c r="W203" i="54"/>
  <c r="W198" i="54"/>
  <c r="V241" i="54"/>
  <c r="V242" i="54" s="1"/>
  <c r="AA72" i="51"/>
  <c r="AA69" i="54"/>
  <c r="AA70" i="54" s="1"/>
  <c r="AA75" i="54"/>
  <c r="AA76" i="54" s="1"/>
  <c r="AA77" i="54"/>
  <c r="AA71" i="54"/>
  <c r="AA72" i="54" s="1"/>
  <c r="AA44" i="54"/>
  <c r="BH4" i="55" s="1"/>
  <c r="Y148" i="12"/>
  <c r="X232" i="19"/>
  <c r="X233" i="19"/>
  <c r="BJ44" i="51"/>
  <c r="Z72" i="19"/>
  <c r="AA119" i="14" s="1"/>
  <c r="AA119" i="12"/>
  <c r="V249" i="53"/>
  <c r="BE73" i="51"/>
  <c r="X227" i="54"/>
  <c r="X224" i="54"/>
  <c r="X226" i="54"/>
  <c r="X225" i="54"/>
  <c r="X223" i="54"/>
  <c r="X222" i="54"/>
  <c r="AF14" i="51"/>
  <c r="AF13" i="51"/>
  <c r="Z286" i="20"/>
  <c r="Z281" i="20"/>
  <c r="Z284" i="20"/>
  <c r="Z282" i="20"/>
  <c r="Z285" i="20"/>
  <c r="Z283" i="20"/>
  <c r="U162" i="12"/>
  <c r="U158" i="12"/>
  <c r="BI43" i="51"/>
  <c r="BI17" i="51"/>
  <c r="Y278" i="20"/>
  <c r="Y279" i="20"/>
  <c r="AF21" i="51"/>
  <c r="BJ25" i="51"/>
  <c r="X219" i="54"/>
  <c r="X231" i="54" s="1"/>
  <c r="X232" i="54" s="1"/>
  <c r="X220" i="54"/>
  <c r="Y223" i="19"/>
  <c r="Y224" i="19" s="1"/>
  <c r="Y246" i="19"/>
  <c r="Y247" i="19" s="1"/>
  <c r="AA78" i="53"/>
  <c r="AB61" i="51" s="1"/>
  <c r="AA162" i="53"/>
  <c r="BF70" i="51"/>
  <c r="BF72" i="51"/>
  <c r="U310" i="20"/>
  <c r="V156" i="12" s="1"/>
  <c r="U308" i="20"/>
  <c r="T76" i="51"/>
  <c r="AD48" i="51"/>
  <c r="AC33" i="53"/>
  <c r="AC39" i="53" s="1"/>
  <c r="Z89" i="19"/>
  <c r="AA140" i="14" s="1"/>
  <c r="AA140" i="12"/>
  <c r="AC37" i="53"/>
  <c r="AD65" i="51"/>
  <c r="AA99" i="12"/>
  <c r="AA111" i="14"/>
  <c r="AA90" i="14"/>
  <c r="AA21" i="14"/>
  <c r="AB52" i="19"/>
  <c r="AB49" i="19" s="1"/>
  <c r="AB177" i="19" s="1"/>
  <c r="AB90" i="20"/>
  <c r="AC124" i="12"/>
  <c r="AB47" i="20"/>
  <c r="AB57" i="19"/>
  <c r="AB50" i="19"/>
  <c r="AB78" i="20"/>
  <c r="AB84" i="20"/>
  <c r="AB62" i="19"/>
  <c r="AB58" i="19"/>
  <c r="AB72" i="20"/>
  <c r="AB61" i="19"/>
  <c r="AB221" i="20"/>
  <c r="AB55" i="19"/>
  <c r="AB59" i="19"/>
  <c r="AB176" i="19" s="1"/>
  <c r="AB53" i="19"/>
  <c r="AB60" i="19"/>
  <c r="AB96" i="20"/>
  <c r="AB51" i="19"/>
  <c r="AB54" i="19"/>
  <c r="AC93" i="12"/>
  <c r="BL28" i="51"/>
  <c r="BL27" i="51"/>
  <c r="AE25" i="51"/>
  <c r="Y88" i="12"/>
  <c r="Y109" i="12"/>
  <c r="Z90" i="12"/>
  <c r="Z21" i="12"/>
  <c r="Z111" i="12"/>
  <c r="Y236" i="19"/>
  <c r="Y248" i="19" s="1"/>
  <c r="Y237" i="19"/>
  <c r="AF157" i="54"/>
  <c r="AA265" i="20"/>
  <c r="AA288" i="20"/>
  <c r="AA289" i="20" s="1"/>
  <c r="X196" i="54"/>
  <c r="X197" i="54" s="1"/>
  <c r="Y163" i="54"/>
  <c r="CK9" i="55"/>
  <c r="BK14" i="51"/>
  <c r="BK13" i="51"/>
  <c r="V237" i="54"/>
  <c r="V258" i="54" s="1"/>
  <c r="Z130" i="12"/>
  <c r="AE17" i="12"/>
  <c r="CI6" i="55"/>
  <c r="Z71" i="19"/>
  <c r="AA116" i="14" s="1"/>
  <c r="AA116" i="12"/>
  <c r="AE82" i="14"/>
  <c r="AG12" i="51"/>
  <c r="AG36" i="51"/>
  <c r="BM10" i="51"/>
  <c r="AH10" i="51"/>
  <c r="Y212" i="54"/>
  <c r="Y210" i="54"/>
  <c r="Y209" i="54"/>
  <c r="Y211" i="54"/>
  <c r="AZ10" i="55"/>
  <c r="BK24" i="51"/>
  <c r="U155" i="14"/>
  <c r="T275" i="19"/>
  <c r="T270" i="19"/>
  <c r="BL22" i="51"/>
  <c r="BL23" i="51"/>
  <c r="BL20" i="51"/>
  <c r="BL19" i="51"/>
  <c r="W77" i="51"/>
  <c r="V259" i="53"/>
  <c r="W78" i="51" s="1"/>
  <c r="Z139" i="14"/>
  <c r="Z98" i="12"/>
  <c r="AA143" i="14"/>
  <c r="BH49" i="51"/>
  <c r="Z118" i="14"/>
  <c r="AF32" i="14"/>
  <c r="V300" i="20"/>
  <c r="V301" i="20" s="1"/>
  <c r="Z146" i="14"/>
  <c r="T249" i="54"/>
  <c r="T251" i="54"/>
  <c r="BA75" i="51" s="1"/>
  <c r="U160" i="14"/>
  <c r="X152" i="12"/>
  <c r="AE44" i="51"/>
  <c r="BI65" i="51"/>
  <c r="AB37" i="54"/>
  <c r="AG43" i="54" s="1"/>
  <c r="AG156" i="54" s="1"/>
  <c r="X250" i="19"/>
  <c r="X249" i="19"/>
  <c r="AC35" i="12"/>
  <c r="AE33" i="14"/>
  <c r="Z105" i="12"/>
  <c r="AC69" i="14"/>
  <c r="BI48" i="51"/>
  <c r="AB33" i="54"/>
  <c r="AB39" i="54" s="1"/>
  <c r="Y260" i="20"/>
  <c r="Y257" i="20"/>
  <c r="Y258" i="20"/>
  <c r="Y259" i="20"/>
  <c r="Y261" i="20"/>
  <c r="Y262" i="20"/>
  <c r="AA74" i="20"/>
  <c r="AA66" i="19" s="1"/>
  <c r="AA76" i="20"/>
  <c r="AA75" i="20"/>
  <c r="AA77" i="20"/>
  <c r="AA69" i="19" s="1"/>
  <c r="AA73" i="20"/>
  <c r="AA64" i="19"/>
  <c r="AB93" i="14" s="1"/>
  <c r="AA314" i="20"/>
  <c r="AA315" i="20"/>
  <c r="AA263" i="20"/>
  <c r="AB4" i="55"/>
  <c r="AA264" i="20"/>
  <c r="AA267" i="20"/>
  <c r="Z226" i="19"/>
  <c r="Z227" i="19"/>
  <c r="Z229" i="19"/>
  <c r="Z228" i="19"/>
  <c r="BK37" i="51"/>
  <c r="BK38" i="51"/>
  <c r="V218" i="54"/>
  <c r="V217" i="54"/>
  <c r="V221" i="54" s="1"/>
  <c r="Z130" i="14"/>
  <c r="AB95" i="12"/>
  <c r="CI7" i="55"/>
  <c r="AD43" i="51"/>
  <c r="AD17" i="51"/>
  <c r="Z159" i="54"/>
  <c r="BL12" i="51"/>
  <c r="BL36" i="51"/>
  <c r="S159" i="12"/>
  <c r="AF29" i="12"/>
  <c r="U74" i="51"/>
  <c r="T253" i="53"/>
  <c r="AG135" i="12"/>
  <c r="AF215" i="20"/>
  <c r="AF173" i="19" s="1"/>
  <c r="AF213" i="20"/>
  <c r="AF171" i="19" s="1"/>
  <c r="AF212" i="20"/>
  <c r="AF170" i="19" s="1"/>
  <c r="AF216" i="20"/>
  <c r="AF174" i="19" s="1"/>
  <c r="AF214" i="20"/>
  <c r="AF172" i="19" s="1"/>
  <c r="AF169" i="19"/>
  <c r="W236" i="54"/>
  <c r="X213" i="54"/>
  <c r="X214" i="54"/>
  <c r="Z196" i="53"/>
  <c r="Z197" i="53" s="1"/>
  <c r="AA163" i="53"/>
  <c r="Z153" i="14"/>
  <c r="Z98" i="14"/>
  <c r="S7" i="55"/>
  <c r="AA76" i="53"/>
  <c r="AB67" i="51"/>
  <c r="AA147" i="14"/>
  <c r="AA95" i="14"/>
  <c r="Z118" i="12"/>
  <c r="Z209" i="53"/>
  <c r="Z212" i="53"/>
  <c r="Z210" i="53"/>
  <c r="Z211" i="53"/>
  <c r="Y233" i="53"/>
  <c r="Y232" i="53"/>
  <c r="AB81" i="12"/>
  <c r="AB19" i="12"/>
  <c r="AY10" i="55"/>
  <c r="T160" i="14"/>
  <c r="X244" i="19"/>
  <c r="X239" i="19"/>
  <c r="X240" i="19"/>
  <c r="X243" i="19"/>
  <c r="X242" i="19"/>
  <c r="X241" i="19"/>
  <c r="AC47" i="12"/>
  <c r="AC95" i="12"/>
  <c r="AG157" i="53"/>
  <c r="AH66" i="51" s="1"/>
  <c r="AD40" i="19"/>
  <c r="AE134" i="14"/>
  <c r="AE70" i="14"/>
  <c r="AE66" i="14"/>
  <c r="AE71" i="14"/>
  <c r="BG58" i="51"/>
  <c r="AG13" i="12"/>
  <c r="AG62" i="12"/>
  <c r="AH12" i="12"/>
  <c r="AF63" i="14"/>
  <c r="AF64" i="14"/>
  <c r="AD47" i="12"/>
  <c r="AC52" i="51"/>
  <c r="AB34" i="53"/>
  <c r="Z142" i="12"/>
  <c r="Z78" i="54"/>
  <c r="Z162" i="54"/>
  <c r="AA221" i="19"/>
  <c r="AA273" i="19"/>
  <c r="AA222" i="19"/>
  <c r="AA272" i="19"/>
  <c r="AA225" i="19"/>
  <c r="AF38" i="51"/>
  <c r="AF37" i="51"/>
  <c r="AD45" i="14"/>
  <c r="Z271" i="20"/>
  <c r="Z269" i="20"/>
  <c r="Z268" i="20"/>
  <c r="Z270" i="20"/>
  <c r="Z117" i="12"/>
  <c r="AF43" i="14"/>
  <c r="AC40" i="19"/>
  <c r="AD71" i="14"/>
  <c r="AD134" i="14"/>
  <c r="AD70" i="14"/>
  <c r="AD66" i="14"/>
  <c r="AF32" i="12"/>
  <c r="X274" i="20"/>
  <c r="X275" i="20"/>
  <c r="X88" i="14"/>
  <c r="X109" i="14"/>
  <c r="Y198" i="53"/>
  <c r="Y203" i="53"/>
  <c r="Y199" i="53"/>
  <c r="Y200" i="53"/>
  <c r="Y202" i="53"/>
  <c r="Y201" i="53"/>
  <c r="V266" i="19"/>
  <c r="V268" i="19"/>
  <c r="W156" i="14" s="1"/>
  <c r="S19" i="55"/>
  <c r="S20" i="55"/>
  <c r="BH57" i="51"/>
  <c r="AB58" i="51"/>
  <c r="T162" i="12"/>
  <c r="T158" i="12"/>
  <c r="Z67" i="19"/>
  <c r="AA100" i="14" s="1"/>
  <c r="AA100" i="12"/>
  <c r="AF29" i="14"/>
  <c r="Y222" i="53"/>
  <c r="Y225" i="53"/>
  <c r="Y226" i="53"/>
  <c r="Y223" i="53"/>
  <c r="Y224" i="53"/>
  <c r="Y227" i="53"/>
  <c r="BG9" i="55"/>
  <c r="BA77" i="51"/>
  <c r="T259" i="54"/>
  <c r="BA78" i="51" s="1"/>
  <c r="AX16" i="55"/>
  <c r="AX15" i="55"/>
  <c r="AX13" i="55"/>
  <c r="AX11" i="55"/>
  <c r="AX14" i="55"/>
  <c r="AX12" i="55"/>
  <c r="AB69" i="12"/>
  <c r="S317" i="20"/>
  <c r="R253" i="54"/>
  <c r="AA208" i="53" l="1"/>
  <c r="AA204" i="54"/>
  <c r="AB204" i="53"/>
  <c r="AB9" i="55"/>
  <c r="AB127" i="14"/>
  <c r="AG14" i="14"/>
  <c r="AF36" i="14"/>
  <c r="AG14" i="12"/>
  <c r="Z153" i="12"/>
  <c r="AF36" i="12"/>
  <c r="AB218" i="20"/>
  <c r="AC127" i="12"/>
  <c r="AC51" i="51"/>
  <c r="AA146" i="14"/>
  <c r="AD37" i="53"/>
  <c r="BH51" i="51"/>
  <c r="AF16" i="12"/>
  <c r="X234" i="53"/>
  <c r="X235" i="53" s="1"/>
  <c r="Y236" i="53"/>
  <c r="Y241" i="53" s="1"/>
  <c r="AE65" i="51"/>
  <c r="AA159" i="54"/>
  <c r="BK39" i="51"/>
  <c r="AF39" i="51"/>
  <c r="AG34" i="12"/>
  <c r="AG43" i="12"/>
  <c r="W237" i="54"/>
  <c r="AA266" i="20"/>
  <c r="AA284" i="20" s="1"/>
  <c r="AG38" i="12"/>
  <c r="AB159" i="53"/>
  <c r="AG38" i="14"/>
  <c r="AG15" i="14"/>
  <c r="BC77" i="51"/>
  <c r="V259" i="54"/>
  <c r="BC78" i="51" s="1"/>
  <c r="T164" i="12"/>
  <c r="S318" i="20"/>
  <c r="T165" i="12" s="1"/>
  <c r="AX19" i="55"/>
  <c r="AX20" i="55"/>
  <c r="AE38" i="19"/>
  <c r="AF122" i="14"/>
  <c r="AF44" i="14"/>
  <c r="AF49" i="14"/>
  <c r="AF48" i="14"/>
  <c r="AE68" i="14"/>
  <c r="AD46" i="51"/>
  <c r="AA68" i="19"/>
  <c r="AB101" i="14" s="1"/>
  <c r="AB101" i="12"/>
  <c r="AD36" i="19"/>
  <c r="AD42" i="19" s="1"/>
  <c r="AE39" i="14"/>
  <c r="AE92" i="14"/>
  <c r="V310" i="20"/>
  <c r="W156" i="12" s="1"/>
  <c r="V308" i="20"/>
  <c r="Y213" i="54"/>
  <c r="Y214" i="54"/>
  <c r="CK11" i="55"/>
  <c r="CK19" i="55" s="1"/>
  <c r="CK13" i="55"/>
  <c r="CK16" i="55"/>
  <c r="CK12" i="55"/>
  <c r="CK14" i="55"/>
  <c r="CK15" i="55"/>
  <c r="Y152" i="12"/>
  <c r="AB95" i="20"/>
  <c r="AB87" i="19" s="1"/>
  <c r="AB94" i="20"/>
  <c r="AB91" i="20"/>
  <c r="AB93" i="20"/>
  <c r="AB92" i="20"/>
  <c r="AB84" i="19" s="1"/>
  <c r="AB82" i="19"/>
  <c r="AC124" i="14" s="1"/>
  <c r="AA206" i="53"/>
  <c r="AA207" i="53" s="1"/>
  <c r="AA229" i="53"/>
  <c r="AA230" i="53" s="1"/>
  <c r="Z258" i="20"/>
  <c r="Z262" i="20"/>
  <c r="Z260" i="20"/>
  <c r="Z259" i="20"/>
  <c r="Z261" i="20"/>
  <c r="Z257" i="20"/>
  <c r="AE47" i="14"/>
  <c r="CJ7" i="55"/>
  <c r="AA91" i="19"/>
  <c r="AB144" i="14" s="1"/>
  <c r="AB144" i="12"/>
  <c r="BM28" i="51"/>
  <c r="BM27" i="51"/>
  <c r="AA87" i="12"/>
  <c r="AA108" i="12"/>
  <c r="Y213" i="19"/>
  <c r="Y214" i="19" s="1"/>
  <c r="Z180" i="19"/>
  <c r="BF73" i="51"/>
  <c r="AA129" i="12"/>
  <c r="AB116" i="12"/>
  <c r="AA71" i="19"/>
  <c r="AB116" i="14" s="1"/>
  <c r="AH31" i="14"/>
  <c r="AH27" i="14"/>
  <c r="AH30" i="14"/>
  <c r="AH28" i="14"/>
  <c r="AA154" i="14"/>
  <c r="AA97" i="14"/>
  <c r="AA210" i="53"/>
  <c r="AA212" i="53"/>
  <c r="AA209" i="53"/>
  <c r="AA211" i="53"/>
  <c r="AD35" i="12"/>
  <c r="AA118" i="12"/>
  <c r="Z150" i="14"/>
  <c r="AD81" i="14"/>
  <c r="AD19" i="14"/>
  <c r="BI49" i="51"/>
  <c r="Z154" i="12"/>
  <c r="X152" i="14"/>
  <c r="AD68" i="14"/>
  <c r="AH13" i="12"/>
  <c r="AH62" i="12"/>
  <c r="Z219" i="53"/>
  <c r="Z231" i="53" s="1"/>
  <c r="Z232" i="53" s="1"/>
  <c r="Z220" i="53"/>
  <c r="X215" i="54"/>
  <c r="X216" i="54"/>
  <c r="U76" i="51"/>
  <c r="AA281" i="20"/>
  <c r="AA285" i="20"/>
  <c r="AA283" i="20"/>
  <c r="AA282" i="20"/>
  <c r="AA286" i="20"/>
  <c r="BK15" i="51"/>
  <c r="Y196" i="54"/>
  <c r="Y197" i="54" s="1"/>
  <c r="Z163" i="54"/>
  <c r="CL9" i="55"/>
  <c r="AB88" i="20"/>
  <c r="AB80" i="19" s="1"/>
  <c r="AB89" i="20"/>
  <c r="AB81" i="19" s="1"/>
  <c r="AB86" i="20"/>
  <c r="AB78" i="19" s="1"/>
  <c r="AB85" i="20"/>
  <c r="AB77" i="19" s="1"/>
  <c r="AC106" i="14" s="1"/>
  <c r="AC104" i="12"/>
  <c r="AB87" i="20"/>
  <c r="AB79" i="19" s="1"/>
  <c r="AC110" i="14" s="1"/>
  <c r="AB76" i="19"/>
  <c r="AC104" i="14" s="1"/>
  <c r="BH61" i="51"/>
  <c r="AB71" i="51"/>
  <c r="AB64" i="51"/>
  <c r="Y290" i="20"/>
  <c r="Y291" i="20" s="1"/>
  <c r="Y292" i="20"/>
  <c r="Y293" i="20" s="1"/>
  <c r="U160" i="12"/>
  <c r="V251" i="54"/>
  <c r="BC75" i="51" s="1"/>
  <c r="V249" i="54"/>
  <c r="AA141" i="12"/>
  <c r="AH23" i="51"/>
  <c r="AH19" i="51"/>
  <c r="AH20" i="51"/>
  <c r="BN18" i="51"/>
  <c r="AH22" i="51"/>
  <c r="X215" i="19"/>
  <c r="X219" i="19"/>
  <c r="X220" i="19"/>
  <c r="X217" i="19"/>
  <c r="X216" i="19"/>
  <c r="X218" i="19"/>
  <c r="AA129" i="14"/>
  <c r="AG32" i="12"/>
  <c r="BK25" i="51"/>
  <c r="AA72" i="19"/>
  <c r="AB119" i="14" s="1"/>
  <c r="AB119" i="12"/>
  <c r="AE35" i="53"/>
  <c r="AF59" i="51"/>
  <c r="AA142" i="12"/>
  <c r="AG34" i="14"/>
  <c r="W300" i="20"/>
  <c r="W301" i="20" s="1"/>
  <c r="Z149" i="12"/>
  <c r="AA118" i="14"/>
  <c r="AH13" i="14"/>
  <c r="AH62" i="14"/>
  <c r="U242" i="54"/>
  <c r="U251" i="54" s="1"/>
  <c r="BB75" i="51" s="1"/>
  <c r="AB76" i="53"/>
  <c r="AC67" i="51"/>
  <c r="W155" i="14"/>
  <c r="V270" i="19"/>
  <c r="V275" i="19"/>
  <c r="AG15" i="12"/>
  <c r="BN66" i="51"/>
  <c r="AF33" i="12"/>
  <c r="Z230" i="19"/>
  <c r="Z231" i="19"/>
  <c r="AB75" i="54"/>
  <c r="AB76" i="54" s="1"/>
  <c r="AB69" i="54"/>
  <c r="AB70" i="54" s="1"/>
  <c r="AB77" i="54"/>
  <c r="AB44" i="54"/>
  <c r="AB71" i="54"/>
  <c r="AB72" i="54" s="1"/>
  <c r="AG157" i="54"/>
  <c r="BL21" i="51"/>
  <c r="X199" i="54"/>
  <c r="X200" i="54"/>
  <c r="X203" i="54"/>
  <c r="X198" i="54"/>
  <c r="X202" i="54"/>
  <c r="X201" i="54"/>
  <c r="AA86" i="14"/>
  <c r="AA107" i="14"/>
  <c r="AA23" i="14"/>
  <c r="BJ48" i="51"/>
  <c r="AC33" i="54"/>
  <c r="AC39" i="54" s="1"/>
  <c r="X235" i="19"/>
  <c r="X234" i="19"/>
  <c r="X238" i="19" s="1"/>
  <c r="AA78" i="54"/>
  <c r="AA162" i="54"/>
  <c r="BG70" i="51"/>
  <c r="AA141" i="14"/>
  <c r="AD35" i="14"/>
  <c r="W217" i="54"/>
  <c r="W221" i="54" s="1"/>
  <c r="W218" i="54"/>
  <c r="AB139" i="12"/>
  <c r="Z87" i="12"/>
  <c r="Z108" i="12"/>
  <c r="Y225" i="54"/>
  <c r="Y224" i="54"/>
  <c r="Y227" i="54"/>
  <c r="Y222" i="54"/>
  <c r="Y223" i="54"/>
  <c r="Y226" i="54"/>
  <c r="AG29" i="12"/>
  <c r="AA117" i="12"/>
  <c r="Z148" i="14"/>
  <c r="AB99" i="12"/>
  <c r="AA142" i="14"/>
  <c r="AA107" i="12"/>
  <c r="AA86" i="12"/>
  <c r="AA23" i="12"/>
  <c r="W266" i="19"/>
  <c r="W268" i="19"/>
  <c r="X156" i="14" s="1"/>
  <c r="BB77" i="51"/>
  <c r="U259" i="54"/>
  <c r="BB78" i="51" s="1"/>
  <c r="AA130" i="12"/>
  <c r="BI57" i="51"/>
  <c r="AC58" i="51"/>
  <c r="U270" i="19"/>
  <c r="W158" i="14"/>
  <c r="W162" i="14"/>
  <c r="AA153" i="12"/>
  <c r="AA98" i="12"/>
  <c r="AD67" i="14"/>
  <c r="Z272" i="20"/>
  <c r="Z273" i="20"/>
  <c r="AG64" i="12"/>
  <c r="AG63" i="12"/>
  <c r="BH67" i="51"/>
  <c r="AB70" i="51"/>
  <c r="AA196" i="53"/>
  <c r="AA197" i="53" s="1"/>
  <c r="AB163" i="53"/>
  <c r="BL37" i="51"/>
  <c r="BL38" i="51"/>
  <c r="Z236" i="19"/>
  <c r="Z248" i="19" s="1"/>
  <c r="Z237" i="19"/>
  <c r="AC37" i="12"/>
  <c r="BA74" i="51"/>
  <c r="T253" i="54"/>
  <c r="AB72" i="51"/>
  <c r="S161" i="12"/>
  <c r="Y219" i="54"/>
  <c r="Y231" i="54" s="1"/>
  <c r="Y232" i="54" s="1"/>
  <c r="Y220" i="54"/>
  <c r="BL29" i="51"/>
  <c r="AB83" i="20"/>
  <c r="AB75" i="19" s="1"/>
  <c r="AC114" i="12"/>
  <c r="AB79" i="20"/>
  <c r="AB80" i="20"/>
  <c r="AB81" i="20"/>
  <c r="AB82" i="20"/>
  <c r="AB70" i="19"/>
  <c r="AC114" i="14" s="1"/>
  <c r="V155" i="12"/>
  <c r="V10" i="55"/>
  <c r="U312" i="20"/>
  <c r="U317" i="20"/>
  <c r="Y216" i="53"/>
  <c r="Y215" i="53"/>
  <c r="AA73" i="51"/>
  <c r="BM23" i="51"/>
  <c r="BM19" i="51"/>
  <c r="BM22" i="51"/>
  <c r="BM20" i="51"/>
  <c r="U164" i="12"/>
  <c r="T318" i="20"/>
  <c r="U165" i="12" s="1"/>
  <c r="AB136" i="14"/>
  <c r="AA179" i="19"/>
  <c r="AB99" i="14"/>
  <c r="AE46" i="12"/>
  <c r="AD69" i="12"/>
  <c r="AA117" i="14"/>
  <c r="AF82" i="14"/>
  <c r="AB105" i="14"/>
  <c r="AG83" i="14"/>
  <c r="AF122" i="12"/>
  <c r="AF44" i="12"/>
  <c r="AE38" i="20"/>
  <c r="AF49" i="12"/>
  <c r="AF48" i="12"/>
  <c r="AC81" i="12"/>
  <c r="AC19" i="12"/>
  <c r="AA130" i="14"/>
  <c r="AH41" i="14"/>
  <c r="AH42" i="14"/>
  <c r="U275" i="19"/>
  <c r="AB143" i="12"/>
  <c r="T160" i="12"/>
  <c r="AA153" i="14"/>
  <c r="AA98" i="14"/>
  <c r="AC54" i="51"/>
  <c r="AA37" i="20"/>
  <c r="AB20" i="12"/>
  <c r="AB25" i="12"/>
  <c r="AB102" i="12"/>
  <c r="AB24" i="12"/>
  <c r="Z203" i="53"/>
  <c r="Z202" i="53"/>
  <c r="Z198" i="53"/>
  <c r="Z199" i="53"/>
  <c r="Z200" i="53"/>
  <c r="Z201" i="53"/>
  <c r="W258" i="54"/>
  <c r="W241" i="54"/>
  <c r="W242" i="54" s="1"/>
  <c r="BL14" i="51"/>
  <c r="BL13" i="51"/>
  <c r="AB147" i="14"/>
  <c r="AB95" i="14"/>
  <c r="Z148" i="12"/>
  <c r="BN10" i="51"/>
  <c r="AH36" i="51"/>
  <c r="AH12" i="51"/>
  <c r="BH9" i="55"/>
  <c r="AC147" i="12"/>
  <c r="AB265" i="20"/>
  <c r="AB288" i="20"/>
  <c r="AB289" i="20" s="1"/>
  <c r="AC75" i="53"/>
  <c r="AC77" i="53"/>
  <c r="AC44" i="53"/>
  <c r="AC69" i="53"/>
  <c r="AC70" i="53" s="1"/>
  <c r="AD49" i="51" s="1"/>
  <c r="AC71" i="53"/>
  <c r="AC72" i="53" s="1"/>
  <c r="AD57" i="51" s="1"/>
  <c r="V162" i="12"/>
  <c r="V158" i="12"/>
  <c r="AF25" i="51"/>
  <c r="AB34" i="54"/>
  <c r="BI52" i="51"/>
  <c r="W74" i="51"/>
  <c r="V253" i="53"/>
  <c r="T161" i="14"/>
  <c r="AA85" i="19"/>
  <c r="AB132" i="14" s="1"/>
  <c r="AB132" i="12"/>
  <c r="Y234" i="53"/>
  <c r="Y235" i="53" s="1"/>
  <c r="T159" i="12"/>
  <c r="Z222" i="53"/>
  <c r="Z226" i="53"/>
  <c r="Z227" i="53"/>
  <c r="Z225" i="53"/>
  <c r="Z224" i="53"/>
  <c r="Z223" i="53"/>
  <c r="Z109" i="14"/>
  <c r="Z88" i="14"/>
  <c r="AH135" i="14"/>
  <c r="AH28" i="12"/>
  <c r="AH31" i="12"/>
  <c r="AH30" i="12"/>
  <c r="AH27" i="12"/>
  <c r="AB121" i="12"/>
  <c r="AA74" i="19"/>
  <c r="AB121" i="14" s="1"/>
  <c r="AA87" i="14"/>
  <c r="AA108" i="14"/>
  <c r="AB143" i="14"/>
  <c r="Y152" i="14"/>
  <c r="AE92" i="12"/>
  <c r="AD36" i="20"/>
  <c r="AD42" i="20" s="1"/>
  <c r="AE39" i="12"/>
  <c r="Z210" i="54"/>
  <c r="Z209" i="54"/>
  <c r="Z212" i="54"/>
  <c r="Z211" i="54"/>
  <c r="AB90" i="14"/>
  <c r="AB21" i="14"/>
  <c r="AB111" i="14"/>
  <c r="AF65" i="12"/>
  <c r="AC22" i="14"/>
  <c r="AC89" i="14"/>
  <c r="V162" i="14"/>
  <c r="V158" i="14"/>
  <c r="AG43" i="14"/>
  <c r="AB78" i="53"/>
  <c r="AC61" i="51" s="1"/>
  <c r="AB162" i="53"/>
  <c r="AG122" i="12"/>
  <c r="V163" i="14"/>
  <c r="V157" i="14"/>
  <c r="AX7" i="55"/>
  <c r="AF33" i="14"/>
  <c r="BH58" i="51"/>
  <c r="AA229" i="19"/>
  <c r="AA227" i="19"/>
  <c r="AA226" i="19"/>
  <c r="AA228" i="19"/>
  <c r="Z206" i="54"/>
  <c r="Z207" i="54" s="1"/>
  <c r="Z229" i="54"/>
  <c r="Z230" i="54" s="1"/>
  <c r="AF65" i="14"/>
  <c r="AG83" i="12"/>
  <c r="AE67" i="14"/>
  <c r="AB84" i="12"/>
  <c r="AA65" i="19"/>
  <c r="AB96" i="14" s="1"/>
  <c r="AB96" i="12"/>
  <c r="U164" i="14"/>
  <c r="T276" i="19"/>
  <c r="U165" i="14" s="1"/>
  <c r="BM36" i="51"/>
  <c r="BM12" i="51"/>
  <c r="AE81" i="12"/>
  <c r="AE19" i="12"/>
  <c r="Z86" i="12"/>
  <c r="Z107" i="12"/>
  <c r="Z23" i="12"/>
  <c r="BI46" i="51"/>
  <c r="AA84" i="19"/>
  <c r="AB131" i="14" s="1"/>
  <c r="AB131" i="12"/>
  <c r="Y233" i="19"/>
  <c r="Y232" i="19"/>
  <c r="BG71" i="51"/>
  <c r="BG64" i="51"/>
  <c r="AE43" i="51"/>
  <c r="AE17" i="51"/>
  <c r="AG21" i="51"/>
  <c r="U163" i="12"/>
  <c r="U157" i="12"/>
  <c r="BJ43" i="51"/>
  <c r="BJ17" i="51"/>
  <c r="X233" i="54"/>
  <c r="CJ6" i="55"/>
  <c r="AE45" i="12"/>
  <c r="T161" i="12"/>
  <c r="AA149" i="12"/>
  <c r="AB115" i="12"/>
  <c r="AB146" i="12"/>
  <c r="AE134" i="12"/>
  <c r="AD40" i="20"/>
  <c r="AE66" i="12"/>
  <c r="AE71" i="12"/>
  <c r="AE70" i="12"/>
  <c r="AE17" i="14"/>
  <c r="AG32" i="14"/>
  <c r="AB89" i="14"/>
  <c r="AB110" i="14"/>
  <c r="AB22" i="14"/>
  <c r="BJ65" i="51"/>
  <c r="AC37" i="54"/>
  <c r="AG63" i="14"/>
  <c r="AG64" i="14"/>
  <c r="AC85" i="14"/>
  <c r="AB205" i="53"/>
  <c r="AB208" i="53"/>
  <c r="AH41" i="12"/>
  <c r="AH42" i="12"/>
  <c r="AZ76" i="51"/>
  <c r="AF16" i="14"/>
  <c r="Z279" i="20"/>
  <c r="Z278" i="20"/>
  <c r="AD47" i="14"/>
  <c r="AY14" i="55"/>
  <c r="AY12" i="55"/>
  <c r="AY16" i="55"/>
  <c r="AY11" i="55"/>
  <c r="AY15" i="55"/>
  <c r="AY13" i="55"/>
  <c r="Z151" i="14"/>
  <c r="BG72" i="51"/>
  <c r="AA269" i="20"/>
  <c r="AA268" i="20"/>
  <c r="AA270" i="20"/>
  <c r="AA271" i="20"/>
  <c r="U163" i="14"/>
  <c r="U157" i="14"/>
  <c r="BK44" i="51"/>
  <c r="AG38" i="51"/>
  <c r="AG37" i="51"/>
  <c r="AE48" i="51"/>
  <c r="AD33" i="53"/>
  <c r="AD39" i="53" s="1"/>
  <c r="AB73" i="20"/>
  <c r="AB76" i="20"/>
  <c r="AB74" i="20"/>
  <c r="AB66" i="19" s="1"/>
  <c r="AB75" i="20"/>
  <c r="AB77" i="20"/>
  <c r="AB69" i="19" s="1"/>
  <c r="AB64" i="19"/>
  <c r="AC93" i="14" s="1"/>
  <c r="AB263" i="20"/>
  <c r="AB315" i="20"/>
  <c r="AB314" i="20"/>
  <c r="AB264" i="20"/>
  <c r="AC4" i="55"/>
  <c r="AB267" i="20"/>
  <c r="Y250" i="19"/>
  <c r="Y253" i="19" s="1"/>
  <c r="Y249" i="19"/>
  <c r="AF15" i="51"/>
  <c r="AA86" i="19"/>
  <c r="AB133" i="14" s="1"/>
  <c r="AB133" i="12"/>
  <c r="AD102" i="12"/>
  <c r="AD20" i="12"/>
  <c r="AD25" i="12"/>
  <c r="AC37" i="20"/>
  <c r="AD24" i="12"/>
  <c r="AC47" i="19"/>
  <c r="U14" i="55"/>
  <c r="U13" i="55"/>
  <c r="U16" i="55"/>
  <c r="U12" i="55"/>
  <c r="U15" i="55"/>
  <c r="U11" i="55"/>
  <c r="AB273" i="19"/>
  <c r="AB222" i="19"/>
  <c r="AB272" i="19"/>
  <c r="BI4" i="55"/>
  <c r="AB221" i="19"/>
  <c r="AB225" i="19"/>
  <c r="AA92" i="19"/>
  <c r="AB145" i="14" s="1"/>
  <c r="AB145" i="12"/>
  <c r="AH27" i="51"/>
  <c r="BN26" i="51"/>
  <c r="AH28" i="51"/>
  <c r="BH54" i="51"/>
  <c r="AA149" i="14"/>
  <c r="X294" i="20"/>
  <c r="X296" i="20" s="1"/>
  <c r="X295" i="20"/>
  <c r="AA73" i="19"/>
  <c r="AB120" i="14" s="1"/>
  <c r="AB120" i="12"/>
  <c r="Y274" i="20"/>
  <c r="Y275" i="20"/>
  <c r="W241" i="53"/>
  <c r="W258" i="53"/>
  <c r="AC111" i="14"/>
  <c r="AC90" i="14"/>
  <c r="AC21" i="14"/>
  <c r="X237" i="53"/>
  <c r="X258" i="53" s="1"/>
  <c r="AF44" i="51"/>
  <c r="Z223" i="19"/>
  <c r="Z224" i="19" s="1"/>
  <c r="Z246" i="19"/>
  <c r="Z247" i="19" s="1"/>
  <c r="AF17" i="12"/>
  <c r="AX6" i="55"/>
  <c r="X277" i="20"/>
  <c r="X276" i="20"/>
  <c r="X280" i="20" s="1"/>
  <c r="X249" i="53"/>
  <c r="X251" i="53"/>
  <c r="Y75" i="51" s="1"/>
  <c r="Z213" i="53"/>
  <c r="Z214" i="53"/>
  <c r="AG135" i="14"/>
  <c r="AD52" i="51"/>
  <c r="AC34" i="53"/>
  <c r="AA67" i="19"/>
  <c r="AB100" i="14" s="1"/>
  <c r="AB100" i="12"/>
  <c r="X253" i="19"/>
  <c r="BL24" i="51"/>
  <c r="BA10" i="55"/>
  <c r="AZ13" i="55"/>
  <c r="AZ15" i="55"/>
  <c r="AZ16" i="55"/>
  <c r="AZ11" i="55"/>
  <c r="AZ14" i="55"/>
  <c r="AZ12" i="55"/>
  <c r="AG14" i="51"/>
  <c r="AG13" i="51"/>
  <c r="X251" i="19"/>
  <c r="X252" i="19" s="1"/>
  <c r="X254" i="19" s="1"/>
  <c r="AB98" i="20"/>
  <c r="AB90" i="19" s="1"/>
  <c r="AB97" i="20"/>
  <c r="AB101" i="20"/>
  <c r="AB93" i="19" s="1"/>
  <c r="AB100" i="20"/>
  <c r="AB99" i="20"/>
  <c r="AB88" i="19"/>
  <c r="AC136" i="12"/>
  <c r="AB220" i="20"/>
  <c r="Y239" i="19"/>
  <c r="Y241" i="19"/>
  <c r="Y244" i="19"/>
  <c r="Y242" i="19"/>
  <c r="Y240" i="19"/>
  <c r="Y243" i="19"/>
  <c r="AA208" i="54"/>
  <c r="AA205" i="54"/>
  <c r="AA83" i="19"/>
  <c r="AB128" i="14" s="1"/>
  <c r="AB128" i="12"/>
  <c r="AA255" i="20"/>
  <c r="AA256" i="20" s="1"/>
  <c r="AB222" i="20"/>
  <c r="AD84" i="12"/>
  <c r="AG24" i="51"/>
  <c r="AA89" i="19"/>
  <c r="AB140" i="14" s="1"/>
  <c r="AB140" i="12"/>
  <c r="AG29" i="51"/>
  <c r="AD35" i="54"/>
  <c r="BK59" i="51"/>
  <c r="AC37" i="14"/>
  <c r="AB115" i="14"/>
  <c r="AB146" i="14"/>
  <c r="AF82" i="12"/>
  <c r="T14" i="55"/>
  <c r="T12" i="55"/>
  <c r="T13" i="55"/>
  <c r="T11" i="55"/>
  <c r="T16" i="55"/>
  <c r="T15" i="55"/>
  <c r="AG29" i="14"/>
  <c r="AA154" i="12"/>
  <c r="AA97" i="12"/>
  <c r="AC52" i="19"/>
  <c r="AC49" i="19" s="1"/>
  <c r="AC177" i="19" s="1"/>
  <c r="AC90" i="20"/>
  <c r="AD124" i="12"/>
  <c r="AC50" i="19"/>
  <c r="AC54" i="19"/>
  <c r="AC51" i="19"/>
  <c r="AC61" i="19"/>
  <c r="AC53" i="19"/>
  <c r="AC55" i="19"/>
  <c r="AC62" i="19"/>
  <c r="AC59" i="19"/>
  <c r="AC57" i="19"/>
  <c r="AC60" i="19"/>
  <c r="AC58" i="19"/>
  <c r="AC47" i="20"/>
  <c r="AD93" i="12"/>
  <c r="AC72" i="20"/>
  <c r="AC96" i="20"/>
  <c r="AC84" i="20"/>
  <c r="AC221" i="20"/>
  <c r="AC78" i="20"/>
  <c r="AB85" i="14"/>
  <c r="AB106" i="14"/>
  <c r="X217" i="53"/>
  <c r="X221" i="53" s="1"/>
  <c r="X218" i="53"/>
  <c r="AA139" i="14"/>
  <c r="BK65" i="51" l="1"/>
  <c r="AD37" i="54"/>
  <c r="AE37" i="53"/>
  <c r="AF65" i="51"/>
  <c r="AC204" i="53"/>
  <c r="AC205" i="53" s="1"/>
  <c r="AC9" i="55"/>
  <c r="AB204" i="54"/>
  <c r="AB205" i="54" s="1"/>
  <c r="AH43" i="12"/>
  <c r="AH14" i="12"/>
  <c r="AC127" i="14"/>
  <c r="AG36" i="14"/>
  <c r="AD127" i="12"/>
  <c r="BI51" i="51"/>
  <c r="AG36" i="12"/>
  <c r="AD95" i="12"/>
  <c r="AC218" i="20"/>
  <c r="Z150" i="12"/>
  <c r="AG16" i="12"/>
  <c r="AH14" i="14"/>
  <c r="AG44" i="12"/>
  <c r="AD51" i="51"/>
  <c r="AC105" i="14"/>
  <c r="AG48" i="12"/>
  <c r="AG49" i="12"/>
  <c r="AF38" i="20"/>
  <c r="Z233" i="53"/>
  <c r="Z234" i="53" s="1"/>
  <c r="Z235" i="53" s="1"/>
  <c r="AG65" i="14"/>
  <c r="AC176" i="19"/>
  <c r="AC131" i="14"/>
  <c r="AG82" i="14"/>
  <c r="AH29" i="51"/>
  <c r="AC131" i="12"/>
  <c r="AZ6" i="55"/>
  <c r="BL39" i="51"/>
  <c r="T6" i="55"/>
  <c r="AG82" i="12"/>
  <c r="AH38" i="14"/>
  <c r="AH38" i="12"/>
  <c r="AC143" i="14"/>
  <c r="AH43" i="14"/>
  <c r="BC10" i="55"/>
  <c r="BC16" i="55" s="1"/>
  <c r="AY6" i="55"/>
  <c r="Y251" i="19"/>
  <c r="Y252" i="19" s="1"/>
  <c r="Y254" i="19" s="1"/>
  <c r="AA148" i="12"/>
  <c r="AB266" i="20"/>
  <c r="Y258" i="19"/>
  <c r="Y259" i="19" s="1"/>
  <c r="BI9" i="55"/>
  <c r="AH15" i="12"/>
  <c r="AA211" i="54"/>
  <c r="AA212" i="54"/>
  <c r="AA209" i="54"/>
  <c r="AA210" i="54"/>
  <c r="AG44" i="51"/>
  <c r="AA262" i="20"/>
  <c r="AA260" i="20"/>
  <c r="AA258" i="20"/>
  <c r="AA257" i="20"/>
  <c r="AA259" i="20"/>
  <c r="AA261" i="20"/>
  <c r="AB89" i="19"/>
  <c r="AC140" i="14" s="1"/>
  <c r="AC140" i="12"/>
  <c r="W259" i="53"/>
  <c r="X78" i="51" s="1"/>
  <c r="X77" i="51"/>
  <c r="Y276" i="20"/>
  <c r="Y280" i="20" s="1"/>
  <c r="Y277" i="20"/>
  <c r="AD90" i="12"/>
  <c r="AD21" i="12"/>
  <c r="AB269" i="20"/>
  <c r="AB271" i="20"/>
  <c r="AB268" i="20"/>
  <c r="AB270" i="20"/>
  <c r="AB67" i="19"/>
  <c r="AC100" i="14" s="1"/>
  <c r="AC100" i="12"/>
  <c r="AG39" i="51"/>
  <c r="AA272" i="20"/>
  <c r="AA273" i="20"/>
  <c r="AE47" i="12"/>
  <c r="BJ46" i="51"/>
  <c r="AG25" i="51"/>
  <c r="AG45" i="12"/>
  <c r="BI61" i="51"/>
  <c r="AC71" i="51"/>
  <c r="AC64" i="51"/>
  <c r="AH34" i="12"/>
  <c r="AB130" i="14"/>
  <c r="AC159" i="53"/>
  <c r="BD77" i="51"/>
  <c r="W259" i="54"/>
  <c r="BD78" i="51" s="1"/>
  <c r="V164" i="14"/>
  <c r="U276" i="19"/>
  <c r="V165" i="14" s="1"/>
  <c r="AF45" i="12"/>
  <c r="Y217" i="53"/>
  <c r="Y221" i="53" s="1"/>
  <c r="Y218" i="53"/>
  <c r="V15" i="55"/>
  <c r="V13" i="55"/>
  <c r="V11" i="55"/>
  <c r="V14" i="55"/>
  <c r="V12" i="55"/>
  <c r="V16" i="55"/>
  <c r="AC115" i="12"/>
  <c r="AC146" i="12"/>
  <c r="AC99" i="12"/>
  <c r="AB196" i="53"/>
  <c r="AB197" i="53" s="1"/>
  <c r="AC163" i="53"/>
  <c r="AA109" i="12"/>
  <c r="AA88" i="12"/>
  <c r="AG33" i="12"/>
  <c r="AB78" i="54"/>
  <c r="AB162" i="54"/>
  <c r="AH83" i="14"/>
  <c r="BN19" i="51"/>
  <c r="BN20" i="51"/>
  <c r="BN22" i="51"/>
  <c r="BN23" i="51"/>
  <c r="BH71" i="51"/>
  <c r="BH64" i="51"/>
  <c r="AD20" i="14"/>
  <c r="AD25" i="14"/>
  <c r="AC37" i="19"/>
  <c r="AD24" i="14"/>
  <c r="AD102" i="14"/>
  <c r="AB142" i="14"/>
  <c r="AB83" i="19"/>
  <c r="AC128" i="14" s="1"/>
  <c r="AC128" i="12"/>
  <c r="Z151" i="12"/>
  <c r="AC93" i="20"/>
  <c r="AC95" i="20"/>
  <c r="AC87" i="19" s="1"/>
  <c r="AC94" i="20"/>
  <c r="AC92" i="20"/>
  <c r="AC82" i="19"/>
  <c r="AD124" i="14" s="1"/>
  <c r="AC91" i="20"/>
  <c r="AC83" i="20"/>
  <c r="AC75" i="19" s="1"/>
  <c r="AC82" i="20"/>
  <c r="AD114" i="12"/>
  <c r="AC81" i="20"/>
  <c r="AC70" i="19"/>
  <c r="AD114" i="14" s="1"/>
  <c r="AC79" i="20"/>
  <c r="AC80" i="20"/>
  <c r="T20" i="55"/>
  <c r="T19" i="55"/>
  <c r="Y77" i="51"/>
  <c r="X259" i="53"/>
  <c r="Y78" i="51" s="1"/>
  <c r="AB141" i="12"/>
  <c r="U20" i="55"/>
  <c r="U19" i="55"/>
  <c r="AC221" i="19"/>
  <c r="AC272" i="19"/>
  <c r="AC222" i="19"/>
  <c r="AC273" i="19"/>
  <c r="AC225" i="19"/>
  <c r="AD85" i="12"/>
  <c r="AF43" i="51"/>
  <c r="AF17" i="51"/>
  <c r="AY7" i="55"/>
  <c r="BG73" i="51"/>
  <c r="AE102" i="12"/>
  <c r="AD37" i="20"/>
  <c r="AE20" i="12"/>
  <c r="AE25" i="12"/>
  <c r="AE24" i="12"/>
  <c r="AF70" i="14"/>
  <c r="AF134" i="14"/>
  <c r="AE40" i="19"/>
  <c r="AF71" i="14"/>
  <c r="AF66" i="14"/>
  <c r="AA236" i="19"/>
  <c r="AA248" i="19" s="1"/>
  <c r="AA237" i="19"/>
  <c r="AC76" i="53"/>
  <c r="AD67" i="51"/>
  <c r="AA151" i="14"/>
  <c r="AF17" i="14"/>
  <c r="Y237" i="53"/>
  <c r="Y258" i="53" s="1"/>
  <c r="V163" i="12"/>
  <c r="V157" i="12"/>
  <c r="AA202" i="53"/>
  <c r="AA199" i="53"/>
  <c r="AA200" i="53"/>
  <c r="AA198" i="53"/>
  <c r="AA201" i="53"/>
  <c r="AA203" i="53"/>
  <c r="Z274" i="20"/>
  <c r="Z275" i="20"/>
  <c r="BL25" i="51"/>
  <c r="W157" i="14"/>
  <c r="W163" i="14"/>
  <c r="AD33" i="54"/>
  <c r="AD39" i="54" s="1"/>
  <c r="BK48" i="51"/>
  <c r="AH64" i="12"/>
  <c r="AH63" i="12"/>
  <c r="AD84" i="14"/>
  <c r="AA213" i="53"/>
  <c r="AA214" i="53"/>
  <c r="AH34" i="14"/>
  <c r="AB86" i="19"/>
  <c r="AC133" i="14" s="1"/>
  <c r="AC133" i="12"/>
  <c r="AD47" i="19"/>
  <c r="AF46" i="14"/>
  <c r="AA150" i="12"/>
  <c r="AC265" i="20"/>
  <c r="AC288" i="20"/>
  <c r="AC289" i="20" s="1"/>
  <c r="T7" i="55"/>
  <c r="AF35" i="53"/>
  <c r="AG59" i="51"/>
  <c r="AZ19" i="55"/>
  <c r="AZ20" i="55"/>
  <c r="AD54" i="51"/>
  <c r="Z216" i="53"/>
  <c r="Z215" i="53"/>
  <c r="AC86" i="14"/>
  <c r="AC107" i="14"/>
  <c r="AC23" i="14"/>
  <c r="W242" i="53"/>
  <c r="W249" i="53" s="1"/>
  <c r="X300" i="20"/>
  <c r="AB141" i="14"/>
  <c r="AB68" i="19"/>
  <c r="AC101" i="14" s="1"/>
  <c r="AC101" i="12"/>
  <c r="AE84" i="12"/>
  <c r="AA148" i="14"/>
  <c r="AF38" i="19"/>
  <c r="AG44" i="14"/>
  <c r="AG48" i="14"/>
  <c r="AG122" i="14"/>
  <c r="AG49" i="14"/>
  <c r="AB117" i="14"/>
  <c r="V160" i="12"/>
  <c r="AH14" i="51"/>
  <c r="AH13" i="51"/>
  <c r="BL15" i="51"/>
  <c r="AE35" i="54"/>
  <c r="BL59" i="51"/>
  <c r="BI58" i="51"/>
  <c r="AD37" i="14"/>
  <c r="CK7" i="55"/>
  <c r="W155" i="12"/>
  <c r="W10" i="55"/>
  <c r="V312" i="20"/>
  <c r="V317" i="20"/>
  <c r="AC99" i="14"/>
  <c r="AC139" i="12"/>
  <c r="AG15" i="51"/>
  <c r="AF81" i="12"/>
  <c r="AF19" i="12"/>
  <c r="AB229" i="19"/>
  <c r="AB227" i="19"/>
  <c r="AB226" i="19"/>
  <c r="AB228" i="19"/>
  <c r="AD89" i="12"/>
  <c r="AD22" i="12"/>
  <c r="AB65" i="19"/>
  <c r="AC96" i="14" s="1"/>
  <c r="AC96" i="12"/>
  <c r="U159" i="12"/>
  <c r="AD34" i="53"/>
  <c r="AE52" i="51"/>
  <c r="AE69" i="14"/>
  <c r="AC87" i="14"/>
  <c r="AC108" i="14"/>
  <c r="AB86" i="14"/>
  <c r="AB107" i="14"/>
  <c r="AB23" i="14"/>
  <c r="AE35" i="12"/>
  <c r="AB117" i="12"/>
  <c r="W76" i="51"/>
  <c r="AH37" i="51"/>
  <c r="AH38" i="51"/>
  <c r="AB89" i="12"/>
  <c r="AB22" i="12"/>
  <c r="AB110" i="12"/>
  <c r="AC115" i="14"/>
  <c r="AC143" i="12"/>
  <c r="Z232" i="19"/>
  <c r="Z233" i="19"/>
  <c r="Y233" i="54"/>
  <c r="Y234" i="54" s="1"/>
  <c r="AH21" i="51"/>
  <c r="Y294" i="20"/>
  <c r="Y295" i="20"/>
  <c r="CL14" i="55"/>
  <c r="CL16" i="55"/>
  <c r="CL12" i="55"/>
  <c r="CL15" i="55"/>
  <c r="CL13" i="55"/>
  <c r="CL11" i="55"/>
  <c r="CL19" i="55" s="1"/>
  <c r="X217" i="54"/>
  <c r="X221" i="54" s="1"/>
  <c r="X218" i="54"/>
  <c r="AH83" i="12"/>
  <c r="U249" i="54"/>
  <c r="AA220" i="53"/>
  <c r="AA219" i="53"/>
  <c r="AA231" i="53" s="1"/>
  <c r="AA232" i="53" s="1"/>
  <c r="AA180" i="19"/>
  <c r="Z213" i="19"/>
  <c r="Z214" i="19" s="1"/>
  <c r="AA222" i="53"/>
  <c r="AA224" i="53"/>
  <c r="AA227" i="53"/>
  <c r="AA225" i="53"/>
  <c r="AA223" i="53"/>
  <c r="AA226" i="53"/>
  <c r="W162" i="12"/>
  <c r="W158" i="12"/>
  <c r="AF45" i="14"/>
  <c r="AG33" i="14"/>
  <c r="AC136" i="14"/>
  <c r="AB179" i="19"/>
  <c r="X258" i="19"/>
  <c r="AB118" i="12"/>
  <c r="AG35" i="53"/>
  <c r="AH59" i="51"/>
  <c r="AB129" i="12"/>
  <c r="AD44" i="53"/>
  <c r="AD75" i="53"/>
  <c r="AD77" i="53"/>
  <c r="AD69" i="53"/>
  <c r="AD70" i="53" s="1"/>
  <c r="AE49" i="51" s="1"/>
  <c r="AD71" i="53"/>
  <c r="AD72" i="53" s="1"/>
  <c r="AE57" i="51" s="1"/>
  <c r="AY20" i="55"/>
  <c r="AY19" i="55"/>
  <c r="AE68" i="12"/>
  <c r="AE46" i="51"/>
  <c r="Z88" i="12"/>
  <c r="Z109" i="12"/>
  <c r="BM14" i="51"/>
  <c r="BM13" i="51"/>
  <c r="AE36" i="19"/>
  <c r="AE42" i="19" s="1"/>
  <c r="AF92" i="14"/>
  <c r="AF39" i="14"/>
  <c r="V159" i="14"/>
  <c r="BI54" i="51"/>
  <c r="BJ57" i="51"/>
  <c r="AD58" i="51"/>
  <c r="BN36" i="51"/>
  <c r="BN12" i="51"/>
  <c r="AB105" i="12"/>
  <c r="AC25" i="12"/>
  <c r="AC20" i="12"/>
  <c r="AB37" i="20"/>
  <c r="AC24" i="12"/>
  <c r="AC102" i="12"/>
  <c r="AB74" i="19"/>
  <c r="AC121" i="14" s="1"/>
  <c r="AC121" i="12"/>
  <c r="BH70" i="51"/>
  <c r="AG65" i="12"/>
  <c r="AD69" i="14"/>
  <c r="W160" i="14"/>
  <c r="X162" i="14"/>
  <c r="X158" i="14"/>
  <c r="AA206" i="54"/>
  <c r="AA207" i="54" s="1"/>
  <c r="AA229" i="54"/>
  <c r="AA230" i="54" s="1"/>
  <c r="AC75" i="54"/>
  <c r="AC76" i="54" s="1"/>
  <c r="AC77" i="54"/>
  <c r="AC71" i="54"/>
  <c r="AC72" i="54" s="1"/>
  <c r="AC69" i="54"/>
  <c r="AC70" i="54" s="1"/>
  <c r="AC44" i="54"/>
  <c r="AA88" i="14"/>
  <c r="AA109" i="14"/>
  <c r="BI67" i="51"/>
  <c r="AC70" i="51"/>
  <c r="AA163" i="54"/>
  <c r="Z196" i="54"/>
  <c r="Z197" i="54" s="1"/>
  <c r="CM9" i="55"/>
  <c r="AC72" i="51"/>
  <c r="AH32" i="14"/>
  <c r="Y216" i="19"/>
  <c r="Y218" i="19"/>
  <c r="Y215" i="19"/>
  <c r="Y219" i="19"/>
  <c r="Y220" i="19"/>
  <c r="Y217" i="19"/>
  <c r="Y215" i="54"/>
  <c r="Y216" i="54"/>
  <c r="Y242" i="53"/>
  <c r="Y251" i="53" s="1"/>
  <c r="Z75" i="51" s="1"/>
  <c r="AC76" i="20"/>
  <c r="AC75" i="20"/>
  <c r="AC74" i="20"/>
  <c r="AC66" i="19" s="1"/>
  <c r="AC77" i="20"/>
  <c r="AC69" i="19" s="1"/>
  <c r="AC73" i="20"/>
  <c r="AC64" i="19"/>
  <c r="AD93" i="14" s="1"/>
  <c r="AB91" i="19"/>
  <c r="AC144" i="14" s="1"/>
  <c r="AC144" i="12"/>
  <c r="AZ7" i="55"/>
  <c r="AB98" i="12"/>
  <c r="Z250" i="19"/>
  <c r="Z249" i="19"/>
  <c r="AB118" i="14"/>
  <c r="U6" i="55"/>
  <c r="AB129" i="14"/>
  <c r="AB281" i="20"/>
  <c r="AB285" i="20"/>
  <c r="AB282" i="20"/>
  <c r="AB283" i="20"/>
  <c r="AB286" i="20"/>
  <c r="AB284" i="20"/>
  <c r="Z290" i="20"/>
  <c r="Z291" i="20" s="1"/>
  <c r="Z292" i="20"/>
  <c r="Z293" i="20" s="1"/>
  <c r="AE81" i="14"/>
  <c r="AE19" i="14"/>
  <c r="AE67" i="12"/>
  <c r="Y234" i="19"/>
  <c r="Y238" i="19" s="1"/>
  <c r="Y235" i="19"/>
  <c r="BM37" i="51"/>
  <c r="BM38" i="51"/>
  <c r="Z222" i="54"/>
  <c r="Z225" i="54"/>
  <c r="Z227" i="54"/>
  <c r="Z224" i="54"/>
  <c r="Z226" i="54"/>
  <c r="Z223" i="54"/>
  <c r="V160" i="14"/>
  <c r="AD52" i="19"/>
  <c r="AD49" i="19" s="1"/>
  <c r="AD177" i="19" s="1"/>
  <c r="AD47" i="20"/>
  <c r="AD96" i="20"/>
  <c r="AD72" i="20"/>
  <c r="AD60" i="19"/>
  <c r="AD61" i="19"/>
  <c r="AE93" i="12"/>
  <c r="AD51" i="19"/>
  <c r="AE124" i="12"/>
  <c r="AD62" i="19"/>
  <c r="AD221" i="20"/>
  <c r="AD53" i="19"/>
  <c r="AD90" i="20"/>
  <c r="AD50" i="19"/>
  <c r="AD59" i="19"/>
  <c r="AD176" i="19" s="1"/>
  <c r="AD84" i="20"/>
  <c r="AD58" i="19"/>
  <c r="AD55" i="19"/>
  <c r="AD57" i="19"/>
  <c r="AD54" i="19"/>
  <c r="AD78" i="20"/>
  <c r="BJ49" i="51"/>
  <c r="AB111" i="12"/>
  <c r="AB90" i="12"/>
  <c r="AB21" i="12"/>
  <c r="AC84" i="12"/>
  <c r="BM24" i="51"/>
  <c r="AB73" i="19"/>
  <c r="AC120" i="14" s="1"/>
  <c r="AC120" i="12"/>
  <c r="BA76" i="51"/>
  <c r="AE37" i="54"/>
  <c r="X155" i="14"/>
  <c r="W275" i="19"/>
  <c r="W270" i="19"/>
  <c r="AB159" i="54"/>
  <c r="AF92" i="12"/>
  <c r="AF39" i="12"/>
  <c r="AE36" i="20"/>
  <c r="AE42" i="20" s="1"/>
  <c r="AG17" i="12"/>
  <c r="AH64" i="14"/>
  <c r="AH63" i="14"/>
  <c r="Y199" i="54"/>
  <c r="Y201" i="54"/>
  <c r="Y198" i="54"/>
  <c r="Y202" i="54"/>
  <c r="Y203" i="54"/>
  <c r="Y200" i="54"/>
  <c r="AA150" i="14"/>
  <c r="AH29" i="14"/>
  <c r="BM29" i="51"/>
  <c r="AB97" i="12"/>
  <c r="AB92" i="19"/>
  <c r="AC145" i="14" s="1"/>
  <c r="AC145" i="12"/>
  <c r="BA11" i="55"/>
  <c r="BA14" i="55"/>
  <c r="BA16" i="55"/>
  <c r="BA15" i="55"/>
  <c r="BA13" i="55"/>
  <c r="BA12" i="55"/>
  <c r="AB153" i="14"/>
  <c r="AB98" i="14"/>
  <c r="Y74" i="51"/>
  <c r="X253" i="53"/>
  <c r="Z239" i="19"/>
  <c r="Z244" i="19"/>
  <c r="Z241" i="19"/>
  <c r="Z242" i="19"/>
  <c r="Z240" i="19"/>
  <c r="Z243" i="19"/>
  <c r="BN27" i="51"/>
  <c r="BN28" i="51"/>
  <c r="U7" i="55"/>
  <c r="AC147" i="14"/>
  <c r="AC95" i="14"/>
  <c r="AB87" i="14"/>
  <c r="AB108" i="14"/>
  <c r="X236" i="54"/>
  <c r="AA230" i="19"/>
  <c r="AA231" i="19"/>
  <c r="AG46" i="12"/>
  <c r="AE40" i="20"/>
  <c r="AF66" i="12"/>
  <c r="AF70" i="12"/>
  <c r="AF134" i="12"/>
  <c r="AF71" i="12"/>
  <c r="Z213" i="54"/>
  <c r="Z214" i="54"/>
  <c r="AE95" i="12"/>
  <c r="AH29" i="12"/>
  <c r="Z152" i="14"/>
  <c r="BH72" i="51"/>
  <c r="AB85" i="12"/>
  <c r="AB106" i="12"/>
  <c r="Z236" i="53"/>
  <c r="AA223" i="19"/>
  <c r="AA224" i="19" s="1"/>
  <c r="AA246" i="19"/>
  <c r="AA247" i="19" s="1"/>
  <c r="BM21" i="51"/>
  <c r="V164" i="12"/>
  <c r="U318" i="20"/>
  <c r="V165" i="12" s="1"/>
  <c r="AB72" i="19"/>
  <c r="AC119" i="14" s="1"/>
  <c r="AC119" i="12"/>
  <c r="AA151" i="12"/>
  <c r="W164" i="14"/>
  <c r="V276" i="19"/>
  <c r="W165" i="14" s="1"/>
  <c r="W308" i="20"/>
  <c r="W310" i="20"/>
  <c r="X156" i="12" s="1"/>
  <c r="BC74" i="51"/>
  <c r="V253" i="54"/>
  <c r="AB73" i="51"/>
  <c r="BK43" i="51"/>
  <c r="BK17" i="51"/>
  <c r="AD37" i="12"/>
  <c r="AB154" i="14"/>
  <c r="AB97" i="14"/>
  <c r="AC89" i="20"/>
  <c r="AC81" i="19" s="1"/>
  <c r="AC86" i="20"/>
  <c r="AC78" i="19" s="1"/>
  <c r="AC88" i="20"/>
  <c r="AC80" i="19" s="1"/>
  <c r="AC87" i="20"/>
  <c r="AC79" i="19" s="1"/>
  <c r="AC85" i="20"/>
  <c r="AC77" i="19" s="1"/>
  <c r="AD104" i="12"/>
  <c r="AC76" i="19"/>
  <c r="AD104" i="14" s="1"/>
  <c r="AC101" i="20"/>
  <c r="AC93" i="19" s="1"/>
  <c r="AC100" i="20"/>
  <c r="AC99" i="20"/>
  <c r="AC98" i="20"/>
  <c r="AC90" i="19" s="1"/>
  <c r="AC97" i="20"/>
  <c r="AC88" i="19"/>
  <c r="AD136" i="12"/>
  <c r="AC220" i="20"/>
  <c r="AD147" i="12"/>
  <c r="AC263" i="20"/>
  <c r="AC266" i="20" s="1"/>
  <c r="AC315" i="20"/>
  <c r="AC314" i="20"/>
  <c r="AC264" i="20"/>
  <c r="AD4" i="55"/>
  <c r="AC267" i="20"/>
  <c r="AB255" i="20"/>
  <c r="AB256" i="20" s="1"/>
  <c r="AC222" i="20"/>
  <c r="BL44" i="51"/>
  <c r="Y296" i="20"/>
  <c r="U159" i="14"/>
  <c r="AA278" i="20"/>
  <c r="AA279" i="20"/>
  <c r="AH49" i="12"/>
  <c r="AH44" i="12"/>
  <c r="AG38" i="20"/>
  <c r="AH122" i="12"/>
  <c r="AH48" i="12"/>
  <c r="AB209" i="53"/>
  <c r="AB210" i="53"/>
  <c r="AB212" i="53"/>
  <c r="AB211" i="53"/>
  <c r="AG71" i="14"/>
  <c r="AC34" i="54"/>
  <c r="BJ52" i="51"/>
  <c r="AB149" i="14"/>
  <c r="AB206" i="53"/>
  <c r="AB207" i="53" s="1"/>
  <c r="AB229" i="53"/>
  <c r="AB230" i="53" s="1"/>
  <c r="Z219" i="54"/>
  <c r="Z231" i="54" s="1"/>
  <c r="Z232" i="54" s="1"/>
  <c r="Z220" i="54"/>
  <c r="AH32" i="12"/>
  <c r="AB130" i="12"/>
  <c r="AF48" i="51"/>
  <c r="AE33" i="53"/>
  <c r="AE39" i="53" s="1"/>
  <c r="AC78" i="53"/>
  <c r="AD61" i="51" s="1"/>
  <c r="AC162" i="53"/>
  <c r="W251" i="54"/>
  <c r="BD75" i="51" s="1"/>
  <c r="W249" i="54"/>
  <c r="AH82" i="14"/>
  <c r="AF46" i="12"/>
  <c r="AB139" i="14"/>
  <c r="AC116" i="12"/>
  <c r="AB71" i="19"/>
  <c r="AC116" i="14" s="1"/>
  <c r="X234" i="54"/>
  <c r="X235" i="54" s="1"/>
  <c r="X237" i="54" s="1"/>
  <c r="AH15" i="14"/>
  <c r="AH24" i="51"/>
  <c r="AB142" i="12"/>
  <c r="AB85" i="19"/>
  <c r="AC132" i="14" s="1"/>
  <c r="AC132" i="12"/>
  <c r="CK6" i="55"/>
  <c r="AE35" i="14"/>
  <c r="AG16" i="14"/>
  <c r="AB153" i="12" l="1"/>
  <c r="AB208" i="54"/>
  <c r="AB209" i="54" s="1"/>
  <c r="AC208" i="53"/>
  <c r="AC210" i="53" s="1"/>
  <c r="AD204" i="53"/>
  <c r="AC204" i="54"/>
  <c r="AD127" i="14"/>
  <c r="AH36" i="14"/>
  <c r="AB154" i="12"/>
  <c r="AC146" i="14"/>
  <c r="BJ51" i="51"/>
  <c r="AH48" i="14"/>
  <c r="AG70" i="14"/>
  <c r="BI72" i="51"/>
  <c r="BL65" i="51"/>
  <c r="AH122" i="14"/>
  <c r="AD218" i="20"/>
  <c r="AD72" i="51"/>
  <c r="AH16" i="14"/>
  <c r="AE127" i="12"/>
  <c r="AE51" i="51"/>
  <c r="AH36" i="12"/>
  <c r="BC15" i="55"/>
  <c r="AG66" i="14"/>
  <c r="AF40" i="19"/>
  <c r="AG134" i="14"/>
  <c r="BC12" i="55"/>
  <c r="BC13" i="55"/>
  <c r="BC11" i="55"/>
  <c r="BC19" i="55" s="1"/>
  <c r="BC14" i="55"/>
  <c r="AH49" i="14"/>
  <c r="AH44" i="14"/>
  <c r="AG38" i="19"/>
  <c r="AD159" i="53"/>
  <c r="V7" i="55"/>
  <c r="AH39" i="51"/>
  <c r="BA7" i="55"/>
  <c r="X74" i="51"/>
  <c r="AG67" i="14"/>
  <c r="AH45" i="12"/>
  <c r="AD136" i="14"/>
  <c r="AC179" i="19"/>
  <c r="AD34" i="54"/>
  <c r="BK52" i="51"/>
  <c r="AA239" i="19"/>
  <c r="AA242" i="19"/>
  <c r="AA243" i="19"/>
  <c r="AA241" i="19"/>
  <c r="AA244" i="19"/>
  <c r="AA240" i="19"/>
  <c r="BM44" i="51"/>
  <c r="AD265" i="20"/>
  <c r="AD288" i="20"/>
  <c r="AD289" i="20" s="1"/>
  <c r="AD99" i="20"/>
  <c r="AD98" i="20"/>
  <c r="AD90" i="19" s="1"/>
  <c r="AD100" i="20"/>
  <c r="AD101" i="20"/>
  <c r="AD93" i="19" s="1"/>
  <c r="AD97" i="20"/>
  <c r="AE136" i="12"/>
  <c r="AD88" i="19"/>
  <c r="AD220" i="20"/>
  <c r="CM13" i="55"/>
  <c r="CM11" i="55"/>
  <c r="CM19" i="55" s="1"/>
  <c r="CM12" i="55"/>
  <c r="CM15" i="55"/>
  <c r="CM14" i="55"/>
  <c r="CM16" i="55"/>
  <c r="BI70" i="51"/>
  <c r="AG134" i="12"/>
  <c r="AG70" i="12"/>
  <c r="AF40" i="20"/>
  <c r="AG66" i="12"/>
  <c r="AG71" i="12"/>
  <c r="AC90" i="12"/>
  <c r="AC21" i="12"/>
  <c r="AC111" i="12"/>
  <c r="BJ58" i="51"/>
  <c r="BM15" i="51"/>
  <c r="AB230" i="19"/>
  <c r="AB231" i="19"/>
  <c r="Y249" i="53"/>
  <c r="U161" i="12"/>
  <c r="AC154" i="12"/>
  <c r="AC97" i="12"/>
  <c r="AC129" i="14"/>
  <c r="AD75" i="54"/>
  <c r="AD76" i="54" s="1"/>
  <c r="AD44" i="54"/>
  <c r="BK4" i="55" s="1"/>
  <c r="AD77" i="54"/>
  <c r="AD71" i="54"/>
  <c r="AD72" i="54" s="1"/>
  <c r="AD69" i="54"/>
  <c r="AD70" i="54" s="1"/>
  <c r="BJ67" i="51"/>
  <c r="AD70" i="51"/>
  <c r="AE21" i="12"/>
  <c r="AE90" i="12"/>
  <c r="AE34" i="53"/>
  <c r="AF52" i="51"/>
  <c r="AC71" i="19"/>
  <c r="AD116" i="14" s="1"/>
  <c r="AD116" i="12"/>
  <c r="AC84" i="19"/>
  <c r="AD131" i="14" s="1"/>
  <c r="AD131" i="12"/>
  <c r="V20" i="55"/>
  <c r="V19" i="55"/>
  <c r="AC98" i="12"/>
  <c r="AC206" i="53"/>
  <c r="AC207" i="53" s="1"/>
  <c r="AC229" i="53"/>
  <c r="AC230" i="53" s="1"/>
  <c r="AC255" i="20"/>
  <c r="AC256" i="20" s="1"/>
  <c r="AD222" i="20"/>
  <c r="AC89" i="19"/>
  <c r="AD140" i="14" s="1"/>
  <c r="AD140" i="12"/>
  <c r="AD99" i="12"/>
  <c r="BK46" i="51"/>
  <c r="Z241" i="53"/>
  <c r="AC211" i="53"/>
  <c r="AF68" i="12"/>
  <c r="Y76" i="51"/>
  <c r="AH33" i="14"/>
  <c r="AD263" i="20"/>
  <c r="AD315" i="20"/>
  <c r="AE4" i="55"/>
  <c r="AD314" i="20"/>
  <c r="AD264" i="20"/>
  <c r="AD267" i="20"/>
  <c r="AE69" i="12"/>
  <c r="AC142" i="12"/>
  <c r="AC67" i="19"/>
  <c r="AD100" i="14" s="1"/>
  <c r="AD100" i="12"/>
  <c r="Z198" i="54"/>
  <c r="Z199" i="54"/>
  <c r="Z201" i="54"/>
  <c r="Z202" i="54"/>
  <c r="Z203" i="54"/>
  <c r="Z200" i="54"/>
  <c r="Z251" i="19"/>
  <c r="Z252" i="19" s="1"/>
  <c r="Z254" i="19" s="1"/>
  <c r="AC78" i="54"/>
  <c r="AC162" i="54"/>
  <c r="X160" i="14"/>
  <c r="AC105" i="12"/>
  <c r="Y300" i="20"/>
  <c r="AA233" i="53"/>
  <c r="AD99" i="14"/>
  <c r="AG45" i="14"/>
  <c r="AC154" i="14"/>
  <c r="AC97" i="14"/>
  <c r="V159" i="12"/>
  <c r="AF81" i="14"/>
  <c r="AF19" i="14"/>
  <c r="AE85" i="12"/>
  <c r="AF46" i="51"/>
  <c r="W251" i="53"/>
  <c r="X75" i="51" s="1"/>
  <c r="AD115" i="14"/>
  <c r="AC86" i="19"/>
  <c r="AD133" i="14" s="1"/>
  <c r="AD133" i="12"/>
  <c r="AD85" i="14"/>
  <c r="AD106" i="14"/>
  <c r="AG92" i="12"/>
  <c r="AF36" i="20"/>
  <c r="AF42" i="20" s="1"/>
  <c r="AG39" i="12"/>
  <c r="AC153" i="14"/>
  <c r="AC98" i="14"/>
  <c r="AD111" i="12"/>
  <c r="AC130" i="14"/>
  <c r="BJ61" i="51"/>
  <c r="AD71" i="51"/>
  <c r="AD64" i="51"/>
  <c r="AB225" i="53"/>
  <c r="AB222" i="53"/>
  <c r="AB223" i="53"/>
  <c r="AB227" i="53"/>
  <c r="AB226" i="53"/>
  <c r="AB224" i="53"/>
  <c r="BJ54" i="51"/>
  <c r="X158" i="12"/>
  <c r="X162" i="12"/>
  <c r="AB149" i="12"/>
  <c r="BN29" i="51"/>
  <c r="AB151" i="14"/>
  <c r="BA20" i="55"/>
  <c r="BA19" i="55"/>
  <c r="AB86" i="12"/>
  <c r="AB107" i="12"/>
  <c r="AB23" i="12"/>
  <c r="AD86" i="20"/>
  <c r="AD78" i="19" s="1"/>
  <c r="AD87" i="20"/>
  <c r="AD79" i="19" s="1"/>
  <c r="AD89" i="20"/>
  <c r="AD81" i="19" s="1"/>
  <c r="AD85" i="20"/>
  <c r="AD77" i="19" s="1"/>
  <c r="AD88" i="20"/>
  <c r="AD80" i="19" s="1"/>
  <c r="AE104" i="12"/>
  <c r="AD76" i="19"/>
  <c r="AE104" i="14" s="1"/>
  <c r="AC142" i="14"/>
  <c r="AC68" i="19"/>
  <c r="AD101" i="14" s="1"/>
  <c r="AD101" i="12"/>
  <c r="AA196" i="54"/>
  <c r="AA197" i="54" s="1"/>
  <c r="AB163" i="54"/>
  <c r="CN9" i="55"/>
  <c r="AA152" i="14"/>
  <c r="AB148" i="12"/>
  <c r="AF35" i="14"/>
  <c r="Z233" i="54"/>
  <c r="Z234" i="54" s="1"/>
  <c r="BK57" i="51"/>
  <c r="AE58" i="51"/>
  <c r="AF36" i="19"/>
  <c r="AF42" i="19" s="1"/>
  <c r="AG39" i="14"/>
  <c r="AG92" i="14"/>
  <c r="W160" i="12"/>
  <c r="BB74" i="51"/>
  <c r="U253" i="54"/>
  <c r="BB10" i="55"/>
  <c r="W164" i="12"/>
  <c r="V318" i="20"/>
  <c r="W165" i="12" s="1"/>
  <c r="AC88" i="14"/>
  <c r="AC109" i="14"/>
  <c r="BJ4" i="55"/>
  <c r="AC73" i="19"/>
  <c r="AD120" i="14" s="1"/>
  <c r="AD120" i="12"/>
  <c r="AD105" i="14"/>
  <c r="AD163" i="53"/>
  <c r="AC196" i="53"/>
  <c r="AC197" i="53" s="1"/>
  <c r="AF47" i="12"/>
  <c r="AB272" i="20"/>
  <c r="AB273" i="20"/>
  <c r="AA219" i="54"/>
  <c r="AA231" i="54" s="1"/>
  <c r="AA232" i="54" s="1"/>
  <c r="AA220" i="54"/>
  <c r="AH16" i="12"/>
  <c r="AH44" i="51"/>
  <c r="BD74" i="51"/>
  <c r="W253" i="54"/>
  <c r="AE44" i="53"/>
  <c r="AE75" i="53"/>
  <c r="AE69" i="53"/>
  <c r="AE70" i="53" s="1"/>
  <c r="AF49" i="51" s="1"/>
  <c r="AE71" i="53"/>
  <c r="AE72" i="53" s="1"/>
  <c r="AF57" i="51" s="1"/>
  <c r="AE77" i="53"/>
  <c r="AB213" i="53"/>
  <c r="AB214" i="53"/>
  <c r="AB257" i="20"/>
  <c r="AB260" i="20"/>
  <c r="AB262" i="20"/>
  <c r="AB261" i="20"/>
  <c r="AB258" i="20"/>
  <c r="AB259" i="20"/>
  <c r="AC283" i="20"/>
  <c r="AC282" i="20"/>
  <c r="AC284" i="20"/>
  <c r="AC285" i="20"/>
  <c r="AC286" i="20"/>
  <c r="AC281" i="20"/>
  <c r="AC91" i="19"/>
  <c r="AD144" i="14" s="1"/>
  <c r="AD144" i="12"/>
  <c r="AB150" i="14"/>
  <c r="X155" i="12"/>
  <c r="W312" i="20"/>
  <c r="W317" i="20"/>
  <c r="AA232" i="19"/>
  <c r="AA233" i="19"/>
  <c r="U161" i="14"/>
  <c r="BA6" i="55"/>
  <c r="AG81" i="12"/>
  <c r="AG19" i="12"/>
  <c r="BM39" i="51"/>
  <c r="AC117" i="12"/>
  <c r="AC110" i="12"/>
  <c r="AC89" i="12"/>
  <c r="AC22" i="12"/>
  <c r="BK49" i="51"/>
  <c r="X259" i="19"/>
  <c r="X268" i="19" s="1"/>
  <c r="Y156" i="14" s="1"/>
  <c r="Z218" i="19"/>
  <c r="Z216" i="19"/>
  <c r="Z220" i="19"/>
  <c r="Z215" i="19"/>
  <c r="Z217" i="19"/>
  <c r="Z219" i="19"/>
  <c r="CL6" i="55"/>
  <c r="AH25" i="51"/>
  <c r="Z235" i="19"/>
  <c r="Z234" i="19"/>
  <c r="Z238" i="19" s="1"/>
  <c r="AE37" i="12"/>
  <c r="AC149" i="14"/>
  <c r="AB236" i="19"/>
  <c r="AB248" i="19" s="1"/>
  <c r="AB237" i="19"/>
  <c r="AG46" i="14"/>
  <c r="AD105" i="12"/>
  <c r="AH65" i="12"/>
  <c r="W159" i="14"/>
  <c r="Z77" i="51"/>
  <c r="Y259" i="53"/>
  <c r="Z78" i="51" s="1"/>
  <c r="AD106" i="12"/>
  <c r="AD115" i="12"/>
  <c r="AD146" i="12"/>
  <c r="AC85" i="19"/>
  <c r="AD132" i="14" s="1"/>
  <c r="AD132" i="12"/>
  <c r="AD89" i="14"/>
  <c r="AD22" i="14"/>
  <c r="AD110" i="14"/>
  <c r="BN24" i="51"/>
  <c r="AB201" i="53"/>
  <c r="AB200" i="53"/>
  <c r="AB202" i="53"/>
  <c r="AB199" i="53"/>
  <c r="AB198" i="53"/>
  <c r="AB203" i="53"/>
  <c r="AA213" i="54"/>
  <c r="AA214" i="54"/>
  <c r="AH46" i="14"/>
  <c r="AE37" i="14"/>
  <c r="AB219" i="53"/>
  <c r="AB231" i="53" s="1"/>
  <c r="AB232" i="53" s="1"/>
  <c r="AB220" i="53"/>
  <c r="AA290" i="20"/>
  <c r="AA291" i="20" s="1"/>
  <c r="AA292" i="20"/>
  <c r="AA293" i="20" s="1"/>
  <c r="AC92" i="19"/>
  <c r="AD145" i="14" s="1"/>
  <c r="AD145" i="12"/>
  <c r="AC141" i="12"/>
  <c r="AE147" i="12"/>
  <c r="AD37" i="19"/>
  <c r="AE25" i="14"/>
  <c r="AE20" i="14"/>
  <c r="AE102" i="14"/>
  <c r="AE24" i="14"/>
  <c r="AA222" i="54"/>
  <c r="AA226" i="54"/>
  <c r="AA224" i="54"/>
  <c r="AA223" i="54"/>
  <c r="AA227" i="54"/>
  <c r="AA225" i="54"/>
  <c r="AC117" i="14"/>
  <c r="BN13" i="51"/>
  <c r="BN14" i="51"/>
  <c r="AE47" i="19"/>
  <c r="Z152" i="12"/>
  <c r="AD78" i="53"/>
  <c r="AE61" i="51" s="1"/>
  <c r="AD162" i="53"/>
  <c r="AB223" i="19"/>
  <c r="AB224" i="19" s="1"/>
  <c r="AB246" i="19"/>
  <c r="AB247" i="19" s="1"/>
  <c r="AF47" i="14"/>
  <c r="AA213" i="19"/>
  <c r="AA214" i="19" s="1"/>
  <c r="AB180" i="19"/>
  <c r="CL7" i="55"/>
  <c r="V161" i="14"/>
  <c r="AE54" i="51"/>
  <c r="AD87" i="12"/>
  <c r="AE37" i="20"/>
  <c r="AF20" i="12"/>
  <c r="AF25" i="12"/>
  <c r="AF24" i="12"/>
  <c r="AF102" i="12"/>
  <c r="W12" i="55"/>
  <c r="W14" i="55"/>
  <c r="W13" i="55"/>
  <c r="W11" i="55"/>
  <c r="W16" i="55"/>
  <c r="W15" i="55"/>
  <c r="AH15" i="51"/>
  <c r="AA215" i="53"/>
  <c r="AA216" i="53"/>
  <c r="AF68" i="14"/>
  <c r="AD121" i="12"/>
  <c r="AC74" i="19"/>
  <c r="AD121" i="14" s="1"/>
  <c r="AC73" i="51"/>
  <c r="AA274" i="20"/>
  <c r="AA275" i="20"/>
  <c r="AB278" i="20"/>
  <c r="AB279" i="20"/>
  <c r="AH17" i="14"/>
  <c r="AB212" i="54"/>
  <c r="AB148" i="14"/>
  <c r="AG17" i="14"/>
  <c r="BM25" i="51"/>
  <c r="Z216" i="54"/>
  <c r="Z215" i="54"/>
  <c r="AC141" i="14"/>
  <c r="AE52" i="19"/>
  <c r="AE49" i="19" s="1"/>
  <c r="AE177" i="19" s="1"/>
  <c r="AE50" i="19"/>
  <c r="AE51" i="19"/>
  <c r="AE54" i="19"/>
  <c r="AE55" i="19"/>
  <c r="AE72" i="20"/>
  <c r="AF124" i="12"/>
  <c r="AE62" i="19"/>
  <c r="AE58" i="19"/>
  <c r="AE57" i="19"/>
  <c r="AE60" i="19"/>
  <c r="AE84" i="20"/>
  <c r="AE59" i="19"/>
  <c r="AE96" i="20"/>
  <c r="AE53" i="19"/>
  <c r="AE90" i="20"/>
  <c r="AE61" i="19"/>
  <c r="AE47" i="20"/>
  <c r="AF93" i="12"/>
  <c r="AE78" i="20"/>
  <c r="AE221" i="20"/>
  <c r="X164" i="14"/>
  <c r="W276" i="19"/>
  <c r="X165" i="14" s="1"/>
  <c r="AD83" i="20"/>
  <c r="AD75" i="19" s="1"/>
  <c r="AD82" i="20"/>
  <c r="AD70" i="19"/>
  <c r="AE114" i="14" s="1"/>
  <c r="AD79" i="20"/>
  <c r="AE114" i="12"/>
  <c r="AD80" i="20"/>
  <c r="AD81" i="20"/>
  <c r="AD93" i="20"/>
  <c r="AD92" i="20"/>
  <c r="AD84" i="19" s="1"/>
  <c r="AD95" i="20"/>
  <c r="AD87" i="19" s="1"/>
  <c r="AD91" i="20"/>
  <c r="AD94" i="20"/>
  <c r="AD82" i="19"/>
  <c r="AE124" i="14" s="1"/>
  <c r="AE84" i="14"/>
  <c r="Z294" i="20"/>
  <c r="Z296" i="20" s="1"/>
  <c r="Z295" i="20"/>
  <c r="AD147" i="14"/>
  <c r="AD95" i="14"/>
  <c r="AC159" i="54"/>
  <c r="AD143" i="14"/>
  <c r="BN37" i="51"/>
  <c r="BN38" i="51"/>
  <c r="AD76" i="53"/>
  <c r="AE67" i="51"/>
  <c r="AC139" i="14"/>
  <c r="Y235" i="54"/>
  <c r="Y237" i="54" s="1"/>
  <c r="Y236" i="54"/>
  <c r="AB87" i="12"/>
  <c r="AB108" i="12"/>
  <c r="AB88" i="14"/>
  <c r="AB109" i="14"/>
  <c r="AD110" i="12"/>
  <c r="AF84" i="12"/>
  <c r="AC152" i="14"/>
  <c r="W163" i="12"/>
  <c r="W157" i="12"/>
  <c r="AD221" i="19"/>
  <c r="AD222" i="19"/>
  <c r="AD273" i="19"/>
  <c r="AD272" i="19"/>
  <c r="AD225" i="19"/>
  <c r="AA234" i="53"/>
  <c r="Z276" i="20"/>
  <c r="Z280" i="20" s="1"/>
  <c r="Z277" i="20"/>
  <c r="AE105" i="12"/>
  <c r="V6" i="55"/>
  <c r="BI71" i="51"/>
  <c r="BI64" i="51"/>
  <c r="AG68" i="14"/>
  <c r="AC269" i="20"/>
  <c r="AC268" i="20"/>
  <c r="AC271" i="20"/>
  <c r="AC270" i="20"/>
  <c r="X241" i="54"/>
  <c r="X242" i="54" s="1"/>
  <c r="X258" i="54"/>
  <c r="AB150" i="12"/>
  <c r="BM59" i="51"/>
  <c r="AF35" i="54"/>
  <c r="AF35" i="12"/>
  <c r="BD10" i="55"/>
  <c r="AC118" i="12"/>
  <c r="AC65" i="19"/>
  <c r="AD96" i="14" s="1"/>
  <c r="AD96" i="12"/>
  <c r="AC205" i="54"/>
  <c r="AC208" i="54"/>
  <c r="AC85" i="12"/>
  <c r="AC106" i="12"/>
  <c r="Z217" i="53"/>
  <c r="Z221" i="53" s="1"/>
  <c r="Z218" i="53"/>
  <c r="AD9" i="55"/>
  <c r="AF67" i="14"/>
  <c r="AE89" i="12"/>
  <c r="AE22" i="12"/>
  <c r="AC229" i="19"/>
  <c r="AC226" i="19"/>
  <c r="AC227" i="19"/>
  <c r="AC228" i="19"/>
  <c r="AC83" i="19"/>
  <c r="AD128" i="14" s="1"/>
  <c r="AD128" i="12"/>
  <c r="BN21" i="51"/>
  <c r="AB206" i="54"/>
  <c r="AB207" i="54" s="1"/>
  <c r="AB229" i="54"/>
  <c r="AB230" i="54" s="1"/>
  <c r="AA152" i="12"/>
  <c r="AG48" i="51"/>
  <c r="AF33" i="53"/>
  <c r="AF39" i="53" s="1"/>
  <c r="AD86" i="12"/>
  <c r="AD107" i="12"/>
  <c r="AD23" i="12"/>
  <c r="AC130" i="12"/>
  <c r="AH46" i="12"/>
  <c r="AD139" i="12"/>
  <c r="BC76" i="51"/>
  <c r="AA250" i="19"/>
  <c r="AA249" i="19"/>
  <c r="AH33" i="12"/>
  <c r="AF67" i="12"/>
  <c r="AH65" i="14"/>
  <c r="X163" i="14"/>
  <c r="X157" i="14"/>
  <c r="AC118" i="14"/>
  <c r="AD75" i="20"/>
  <c r="AD73" i="20"/>
  <c r="AD77" i="20"/>
  <c r="AD69" i="19" s="1"/>
  <c r="AD76" i="20"/>
  <c r="AD74" i="20"/>
  <c r="AD66" i="19" s="1"/>
  <c r="AD64" i="19"/>
  <c r="AE93" i="14" s="1"/>
  <c r="Z253" i="19"/>
  <c r="Y218" i="54"/>
  <c r="Y217" i="54"/>
  <c r="Y221" i="54" s="1"/>
  <c r="AD143" i="12"/>
  <c r="AD208" i="53"/>
  <c r="AD205" i="53"/>
  <c r="AG43" i="51"/>
  <c r="AG17" i="51"/>
  <c r="BL43" i="51"/>
  <c r="BL17" i="51"/>
  <c r="X301" i="20"/>
  <c r="X308" i="20" s="1"/>
  <c r="Z237" i="53"/>
  <c r="Z258" i="53" s="1"/>
  <c r="AC129" i="12"/>
  <c r="AE33" i="54"/>
  <c r="AE39" i="54" s="1"/>
  <c r="BL48" i="51"/>
  <c r="AC72" i="19"/>
  <c r="AD119" i="14" s="1"/>
  <c r="AD119" i="12"/>
  <c r="AD111" i="14"/>
  <c r="AD90" i="14"/>
  <c r="AD21" i="14"/>
  <c r="BH73" i="51"/>
  <c r="AG47" i="12"/>
  <c r="AH82" i="12"/>
  <c r="AF37" i="53"/>
  <c r="AG65" i="51"/>
  <c r="Y268" i="19"/>
  <c r="Z156" i="14" s="1"/>
  <c r="Y266" i="19"/>
  <c r="BC20" i="55" l="1"/>
  <c r="AB211" i="54"/>
  <c r="AB210" i="54"/>
  <c r="BK51" i="51"/>
  <c r="AC212" i="53"/>
  <c r="AC209" i="53"/>
  <c r="AA233" i="54"/>
  <c r="AE204" i="53"/>
  <c r="AD204" i="54"/>
  <c r="AB151" i="12"/>
  <c r="AF127" i="12"/>
  <c r="AE72" i="51"/>
  <c r="AH65" i="51"/>
  <c r="AE127" i="14"/>
  <c r="AF51" i="51"/>
  <c r="AC148" i="14"/>
  <c r="AD146" i="14"/>
  <c r="AH45" i="14"/>
  <c r="BC6" i="55"/>
  <c r="BC7" i="55"/>
  <c r="X10" i="55"/>
  <c r="X15" i="55" s="1"/>
  <c r="AE143" i="14"/>
  <c r="AG37" i="53"/>
  <c r="AD159" i="54"/>
  <c r="AE159" i="53"/>
  <c r="AE176" i="19"/>
  <c r="AA234" i="54"/>
  <c r="AA235" i="54" s="1"/>
  <c r="AE110" i="12"/>
  <c r="AD266" i="20"/>
  <c r="W6" i="55"/>
  <c r="CM7" i="55"/>
  <c r="W161" i="14"/>
  <c r="Y155" i="12"/>
  <c r="AA77" i="51"/>
  <c r="Z259" i="53"/>
  <c r="AA78" i="51" s="1"/>
  <c r="Y158" i="14"/>
  <c r="Y162" i="14"/>
  <c r="Z155" i="14"/>
  <c r="Y270" i="19"/>
  <c r="Y275" i="19"/>
  <c r="AD86" i="14"/>
  <c r="AD107" i="14"/>
  <c r="AD23" i="14"/>
  <c r="AD67" i="19"/>
  <c r="AE100" i="14" s="1"/>
  <c r="AE100" i="12"/>
  <c r="AF69" i="12"/>
  <c r="AF77" i="53"/>
  <c r="AF44" i="53"/>
  <c r="AF159" i="53"/>
  <c r="AF71" i="53"/>
  <c r="AF72" i="53" s="1"/>
  <c r="AG57" i="51" s="1"/>
  <c r="AF75" i="53"/>
  <c r="AF69" i="53"/>
  <c r="AF70" i="53" s="1"/>
  <c r="AG49" i="51" s="1"/>
  <c r="AB222" i="54"/>
  <c r="AB226" i="54"/>
  <c r="AB227" i="54"/>
  <c r="AB225" i="54"/>
  <c r="AB224" i="54"/>
  <c r="AB223" i="54"/>
  <c r="BE77" i="51"/>
  <c r="X259" i="54"/>
  <c r="BE78" i="51" s="1"/>
  <c r="AC272" i="20"/>
  <c r="AC273" i="20"/>
  <c r="AB152" i="14"/>
  <c r="Y258" i="54"/>
  <c r="Y241" i="54"/>
  <c r="AE120" i="12"/>
  <c r="AD73" i="19"/>
  <c r="AE120" i="14" s="1"/>
  <c r="AE93" i="20"/>
  <c r="AE94" i="20"/>
  <c r="AE95" i="20"/>
  <c r="AE87" i="19" s="1"/>
  <c r="AE92" i="20"/>
  <c r="AE84" i="19" s="1"/>
  <c r="AE91" i="20"/>
  <c r="AE82" i="19"/>
  <c r="AF124" i="14" s="1"/>
  <c r="AH81" i="14"/>
  <c r="AH19" i="14"/>
  <c r="AF89" i="12"/>
  <c r="AF22" i="12"/>
  <c r="AB239" i="19"/>
  <c r="AB244" i="19"/>
  <c r="AB241" i="19"/>
  <c r="AB240" i="19"/>
  <c r="AB243" i="19"/>
  <c r="AB242" i="19"/>
  <c r="AE110" i="14"/>
  <c r="AE89" i="14"/>
  <c r="AE22" i="14"/>
  <c r="AD87" i="14"/>
  <c r="AD108" i="14"/>
  <c r="AC87" i="12"/>
  <c r="AC108" i="12"/>
  <c r="BM65" i="51"/>
  <c r="AF37" i="54"/>
  <c r="X163" i="12"/>
  <c r="X157" i="12"/>
  <c r="BL57" i="51"/>
  <c r="AF58" i="51"/>
  <c r="AD118" i="12"/>
  <c r="AG35" i="14"/>
  <c r="Z235" i="54"/>
  <c r="Z237" i="54" s="1"/>
  <c r="Z236" i="54"/>
  <c r="AA200" i="54"/>
  <c r="AA202" i="54"/>
  <c r="AA201" i="54"/>
  <c r="AA199" i="54"/>
  <c r="AA198" i="54"/>
  <c r="AA203" i="54"/>
  <c r="X160" i="12"/>
  <c r="AC151" i="14"/>
  <c r="AG35" i="12"/>
  <c r="AA235" i="53"/>
  <c r="AA237" i="53" s="1"/>
  <c r="AA236" i="53"/>
  <c r="AC148" i="12"/>
  <c r="BJ70" i="51"/>
  <c r="AD205" i="54"/>
  <c r="AD208" i="54"/>
  <c r="X310" i="20"/>
  <c r="Y156" i="12" s="1"/>
  <c r="AG67" i="12"/>
  <c r="AD92" i="19"/>
  <c r="AE145" i="14" s="1"/>
  <c r="AE145" i="12"/>
  <c r="AC223" i="19"/>
  <c r="AC224" i="19" s="1"/>
  <c r="AC246" i="19"/>
  <c r="AC247" i="19" s="1"/>
  <c r="X76" i="51"/>
  <c r="AG40" i="19"/>
  <c r="AH66" i="14"/>
  <c r="AH134" i="14"/>
  <c r="AH70" i="14"/>
  <c r="AH71" i="14"/>
  <c r="BN25" i="51"/>
  <c r="AF69" i="14"/>
  <c r="AC279" i="20"/>
  <c r="AC278" i="20"/>
  <c r="BK67" i="51"/>
  <c r="AE70" i="51"/>
  <c r="AD72" i="19"/>
  <c r="AE119" i="14" s="1"/>
  <c r="AE119" i="12"/>
  <c r="Z217" i="54"/>
  <c r="Z221" i="54" s="1"/>
  <c r="Z218" i="54"/>
  <c r="AG81" i="14"/>
  <c r="AG19" i="14"/>
  <c r="AB290" i="20"/>
  <c r="AB291" i="20" s="1"/>
  <c r="AB292" i="20"/>
  <c r="AF90" i="12"/>
  <c r="AF21" i="12"/>
  <c r="AB213" i="19"/>
  <c r="AB214" i="19" s="1"/>
  <c r="AC180" i="19"/>
  <c r="AD206" i="53"/>
  <c r="AD207" i="53" s="1"/>
  <c r="AD229" i="53"/>
  <c r="AD230" i="53" s="1"/>
  <c r="BN15" i="51"/>
  <c r="AE105" i="14"/>
  <c r="BL49" i="51"/>
  <c r="AB274" i="20"/>
  <c r="AB275" i="20"/>
  <c r="AD118" i="14"/>
  <c r="BB13" i="55"/>
  <c r="BB14" i="55"/>
  <c r="BB15" i="55"/>
  <c r="BB12" i="55"/>
  <c r="BB11" i="55"/>
  <c r="BB16" i="55"/>
  <c r="AF47" i="19"/>
  <c r="AD154" i="12"/>
  <c r="AD97" i="12"/>
  <c r="AG35" i="54"/>
  <c r="BN59" i="51"/>
  <c r="AD73" i="51"/>
  <c r="AD129" i="12"/>
  <c r="AE106" i="12"/>
  <c r="AC214" i="53"/>
  <c r="AC213" i="53"/>
  <c r="Z74" i="51"/>
  <c r="Y253" i="53"/>
  <c r="AD139" i="14"/>
  <c r="Z258" i="19"/>
  <c r="AC236" i="19"/>
  <c r="AC248" i="19" s="1"/>
  <c r="AC237" i="19"/>
  <c r="BJ9" i="55"/>
  <c r="X249" i="54"/>
  <c r="X251" i="54"/>
  <c r="BE75" i="51" s="1"/>
  <c r="AE115" i="12"/>
  <c r="AE146" i="12"/>
  <c r="AE265" i="20"/>
  <c r="AE288" i="20"/>
  <c r="AE289" i="20" s="1"/>
  <c r="AE101" i="20"/>
  <c r="AE93" i="19" s="1"/>
  <c r="AE100" i="20"/>
  <c r="AE97" i="20"/>
  <c r="AE99" i="20"/>
  <c r="AE88" i="19"/>
  <c r="AE98" i="20"/>
  <c r="AE90" i="19" s="1"/>
  <c r="AF136" i="12"/>
  <c r="AE220" i="20"/>
  <c r="AE77" i="20"/>
  <c r="AE69" i="19" s="1"/>
  <c r="AE75" i="20"/>
  <c r="AE74" i="20"/>
  <c r="AE66" i="19" s="1"/>
  <c r="AE76" i="20"/>
  <c r="AE73" i="20"/>
  <c r="AE64" i="19"/>
  <c r="AF93" i="14" s="1"/>
  <c r="AD117" i="14"/>
  <c r="W19" i="55"/>
  <c r="W20" i="55"/>
  <c r="AA215" i="19"/>
  <c r="AA216" i="19"/>
  <c r="AA218" i="19"/>
  <c r="AA217" i="19"/>
  <c r="AA220" i="19"/>
  <c r="AA219" i="19"/>
  <c r="BK61" i="51"/>
  <c r="AE71" i="51"/>
  <c r="AE64" i="51"/>
  <c r="AE85" i="14"/>
  <c r="AE106" i="14"/>
  <c r="AA294" i="20"/>
  <c r="AA296" i="20" s="1"/>
  <c r="AA295" i="20"/>
  <c r="AF37" i="20"/>
  <c r="AG102" i="12"/>
  <c r="AG24" i="12"/>
  <c r="AG25" i="12"/>
  <c r="AG20" i="12"/>
  <c r="AE76" i="53"/>
  <c r="AF67" i="51"/>
  <c r="AF37" i="14"/>
  <c r="AD154" i="14"/>
  <c r="AD97" i="14"/>
  <c r="BJ71" i="51"/>
  <c r="BJ64" i="51"/>
  <c r="AF52" i="19"/>
  <c r="AF49" i="19" s="1"/>
  <c r="AF177" i="19" s="1"/>
  <c r="AF47" i="20"/>
  <c r="AF90" i="20"/>
  <c r="AF72" i="20"/>
  <c r="AF57" i="19"/>
  <c r="AF55" i="19"/>
  <c r="AG124" i="12"/>
  <c r="AF50" i="19"/>
  <c r="AF59" i="19"/>
  <c r="AF176" i="19" s="1"/>
  <c r="AF58" i="19"/>
  <c r="AF221" i="20"/>
  <c r="AF96" i="20"/>
  <c r="AF53" i="19"/>
  <c r="AF60" i="19"/>
  <c r="AF54" i="19"/>
  <c r="AF61" i="19"/>
  <c r="AF51" i="19"/>
  <c r="AF62" i="19"/>
  <c r="AG93" i="12"/>
  <c r="AF84" i="20"/>
  <c r="AF78" i="20"/>
  <c r="AD129" i="14"/>
  <c r="AG36" i="19"/>
  <c r="AG42" i="19" s="1"/>
  <c r="AH92" i="14"/>
  <c r="AH39" i="14"/>
  <c r="AB232" i="19"/>
  <c r="AB233" i="19"/>
  <c r="AD91" i="19"/>
  <c r="AE144" i="14" s="1"/>
  <c r="AE144" i="12"/>
  <c r="AH47" i="12"/>
  <c r="AE34" i="54"/>
  <c r="BL52" i="51"/>
  <c r="AE147" i="14"/>
  <c r="AE95" i="14"/>
  <c r="AH92" i="12"/>
  <c r="AH39" i="12"/>
  <c r="AG36" i="20"/>
  <c r="AG42" i="20" s="1"/>
  <c r="AD86" i="19"/>
  <c r="AE133" i="14" s="1"/>
  <c r="AE133" i="12"/>
  <c r="AD71" i="19"/>
  <c r="AE116" i="14" s="1"/>
  <c r="AE116" i="12"/>
  <c r="AE83" i="20"/>
  <c r="AE75" i="19" s="1"/>
  <c r="AF114" i="12"/>
  <c r="AE79" i="20"/>
  <c r="AE70" i="19"/>
  <c r="AF114" i="14" s="1"/>
  <c r="AE81" i="20"/>
  <c r="AE80" i="20"/>
  <c r="AE82" i="20"/>
  <c r="AA277" i="20"/>
  <c r="AA276" i="20"/>
  <c r="AA280" i="20" s="1"/>
  <c r="AD117" i="12"/>
  <c r="AE111" i="14"/>
  <c r="AE21" i="14"/>
  <c r="AE90" i="14"/>
  <c r="AH48" i="51"/>
  <c r="AG33" i="53"/>
  <c r="AG39" i="53" s="1"/>
  <c r="AG84" i="12"/>
  <c r="AD142" i="12"/>
  <c r="AB215" i="53"/>
  <c r="AB216" i="53"/>
  <c r="AE205" i="53"/>
  <c r="AE208" i="53"/>
  <c r="AE131" i="12"/>
  <c r="AC201" i="53"/>
  <c r="AC200" i="53"/>
  <c r="AC198" i="53"/>
  <c r="AC199" i="53"/>
  <c r="AC203" i="53"/>
  <c r="AC202" i="53"/>
  <c r="BB76" i="51"/>
  <c r="X266" i="19"/>
  <c r="AE143" i="12"/>
  <c r="AD281" i="20"/>
  <c r="AD286" i="20"/>
  <c r="AD285" i="20"/>
  <c r="AD284" i="20"/>
  <c r="AD283" i="20"/>
  <c r="AD282" i="20"/>
  <c r="AC224" i="53"/>
  <c r="AC226" i="53"/>
  <c r="AC223" i="53"/>
  <c r="AC227" i="53"/>
  <c r="AC222" i="53"/>
  <c r="AC225" i="53"/>
  <c r="AC151" i="12"/>
  <c r="AD148" i="12"/>
  <c r="AE111" i="12"/>
  <c r="V161" i="12"/>
  <c r="BL46" i="51"/>
  <c r="AD88" i="12"/>
  <c r="AD109" i="12"/>
  <c r="AD228" i="19"/>
  <c r="AD226" i="19"/>
  <c r="AD227" i="19"/>
  <c r="AD229" i="19"/>
  <c r="Z300" i="20"/>
  <c r="Z301" i="20" s="1"/>
  <c r="AD83" i="19"/>
  <c r="AE128" i="14" s="1"/>
  <c r="AE128" i="12"/>
  <c r="AE115" i="14"/>
  <c r="AF147" i="12"/>
  <c r="AE87" i="20"/>
  <c r="AE79" i="19" s="1"/>
  <c r="AE86" i="20"/>
  <c r="AE78" i="19" s="1"/>
  <c r="AE85" i="20"/>
  <c r="AE77" i="19" s="1"/>
  <c r="AE89" i="20"/>
  <c r="AE81" i="19" s="1"/>
  <c r="AE88" i="20"/>
  <c r="AE80" i="19" s="1"/>
  <c r="AE76" i="19"/>
  <c r="AF104" i="14" s="1"/>
  <c r="AF104" i="12"/>
  <c r="AF33" i="54"/>
  <c r="AF39" i="54" s="1"/>
  <c r="BM48" i="51"/>
  <c r="AB220" i="54"/>
  <c r="AB219" i="54"/>
  <c r="AB231" i="54" s="1"/>
  <c r="AB232" i="54" s="1"/>
  <c r="W7" i="55"/>
  <c r="AF85" i="12"/>
  <c r="AF131" i="14"/>
  <c r="AE99" i="14"/>
  <c r="AD130" i="12"/>
  <c r="AG40" i="20"/>
  <c r="AH71" i="12"/>
  <c r="AH134" i="12"/>
  <c r="AH70" i="12"/>
  <c r="AH66" i="12"/>
  <c r="AD142" i="14"/>
  <c r="AD196" i="53"/>
  <c r="AD197" i="53" s="1"/>
  <c r="AE163" i="53"/>
  <c r="AG47" i="14"/>
  <c r="AC206" i="54"/>
  <c r="AC207" i="54" s="1"/>
  <c r="AC229" i="54"/>
  <c r="AC230" i="54" s="1"/>
  <c r="AC153" i="12"/>
  <c r="CM6" i="55"/>
  <c r="AE136" i="14"/>
  <c r="AD179" i="19"/>
  <c r="AF95" i="12"/>
  <c r="AE87" i="12"/>
  <c r="AD149" i="12"/>
  <c r="BD16" i="55"/>
  <c r="BD14" i="55"/>
  <c r="BD13" i="55"/>
  <c r="BD15" i="55"/>
  <c r="BD12" i="55"/>
  <c r="BD11" i="55"/>
  <c r="AE121" i="12"/>
  <c r="AD74" i="19"/>
  <c r="AE121" i="14" s="1"/>
  <c r="AE263" i="20"/>
  <c r="AE264" i="20"/>
  <c r="AE314" i="20"/>
  <c r="AF4" i="55"/>
  <c r="AE315" i="20"/>
  <c r="AE267" i="20"/>
  <c r="AB213" i="54"/>
  <c r="AB214" i="54"/>
  <c r="AE272" i="19"/>
  <c r="AE222" i="19"/>
  <c r="AE273" i="19"/>
  <c r="AE221" i="19"/>
  <c r="AE225" i="19"/>
  <c r="AD141" i="12"/>
  <c r="AA216" i="54"/>
  <c r="AA215" i="54"/>
  <c r="BN44" i="51"/>
  <c r="AD130" i="14"/>
  <c r="AA234" i="19"/>
  <c r="AA238" i="19" s="1"/>
  <c r="AA235" i="19"/>
  <c r="X164" i="12"/>
  <c r="W318" i="20"/>
  <c r="X165" i="12" s="1"/>
  <c r="AC149" i="12"/>
  <c r="AC150" i="14"/>
  <c r="AD153" i="12"/>
  <c r="AD98" i="12"/>
  <c r="Z242" i="53"/>
  <c r="Z251" i="53" s="1"/>
  <c r="AA75" i="51" s="1"/>
  <c r="AD255" i="20"/>
  <c r="AD256" i="20" s="1"/>
  <c r="AE222" i="20"/>
  <c r="AE86" i="12"/>
  <c r="AE23" i="12"/>
  <c r="AC86" i="12"/>
  <c r="AC107" i="12"/>
  <c r="AC23" i="12"/>
  <c r="AE139" i="12"/>
  <c r="AE9" i="55"/>
  <c r="BK54" i="51"/>
  <c r="AG69" i="14"/>
  <c r="Z162" i="14"/>
  <c r="Z158" i="14"/>
  <c r="AD211" i="53"/>
  <c r="AD210" i="53"/>
  <c r="AD209" i="53"/>
  <c r="AD212" i="53"/>
  <c r="AF34" i="53"/>
  <c r="AG52" i="51"/>
  <c r="AD149" i="14"/>
  <c r="AF37" i="12"/>
  <c r="BI73" i="51"/>
  <c r="BN39" i="51"/>
  <c r="AD148" i="14"/>
  <c r="AE131" i="14"/>
  <c r="AH47" i="14"/>
  <c r="AH43" i="51"/>
  <c r="AH17" i="51"/>
  <c r="AD141" i="14"/>
  <c r="AE99" i="12"/>
  <c r="BD76" i="51"/>
  <c r="AF131" i="12"/>
  <c r="BK58" i="51"/>
  <c r="CN13" i="55"/>
  <c r="CN11" i="55"/>
  <c r="CN19" i="55" s="1"/>
  <c r="CN16" i="55"/>
  <c r="CN14" i="55"/>
  <c r="CN12" i="55"/>
  <c r="CN15" i="55"/>
  <c r="AE37" i="19"/>
  <c r="AF20" i="14"/>
  <c r="AF102" i="14"/>
  <c r="AF25" i="14"/>
  <c r="AF24" i="14"/>
  <c r="AD153" i="14"/>
  <c r="AD98" i="14"/>
  <c r="AD271" i="20"/>
  <c r="AD268" i="20"/>
  <c r="AD269" i="20"/>
  <c r="AD270" i="20"/>
  <c r="AC219" i="53"/>
  <c r="AC231" i="53" s="1"/>
  <c r="AC232" i="53" s="1"/>
  <c r="AC220" i="53"/>
  <c r="AC259" i="20"/>
  <c r="AC262" i="20"/>
  <c r="AC260" i="20"/>
  <c r="AC257" i="20"/>
  <c r="AC258" i="20"/>
  <c r="AC261" i="20"/>
  <c r="AB233" i="53"/>
  <c r="AB234" i="53" s="1"/>
  <c r="AG68" i="12"/>
  <c r="AD89" i="19"/>
  <c r="AE140" i="14" s="1"/>
  <c r="AE140" i="12"/>
  <c r="AD68" i="19"/>
  <c r="AE101" i="14" s="1"/>
  <c r="AE101" i="12"/>
  <c r="AE71" i="54"/>
  <c r="AE72" i="54" s="1"/>
  <c r="AE69" i="54"/>
  <c r="AE70" i="54" s="1"/>
  <c r="AE77" i="54"/>
  <c r="AE75" i="54"/>
  <c r="AE76" i="54" s="1"/>
  <c r="AE44" i="54"/>
  <c r="AG46" i="51"/>
  <c r="AD65" i="19"/>
  <c r="AE96" i="14" s="1"/>
  <c r="AE96" i="12"/>
  <c r="X159" i="14"/>
  <c r="AA253" i="19"/>
  <c r="AC230" i="19"/>
  <c r="AC231" i="19"/>
  <c r="AC211" i="54"/>
  <c r="AC209" i="54"/>
  <c r="AC210" i="54"/>
  <c r="AC212" i="54"/>
  <c r="W159" i="12"/>
  <c r="AD85" i="19"/>
  <c r="AE132" i="14" s="1"/>
  <c r="AE132" i="12"/>
  <c r="AE218" i="20"/>
  <c r="AA217" i="53"/>
  <c r="AA221" i="53" s="1"/>
  <c r="AA218" i="53"/>
  <c r="AF105" i="12"/>
  <c r="AD108" i="12"/>
  <c r="AB250" i="19"/>
  <c r="AB251" i="19" s="1"/>
  <c r="AB249" i="19"/>
  <c r="AA251" i="19"/>
  <c r="AA252" i="19" s="1"/>
  <c r="AA254" i="19" s="1"/>
  <c r="AA236" i="54"/>
  <c r="X16" i="55"/>
  <c r="AE78" i="53"/>
  <c r="AF61" i="51" s="1"/>
  <c r="AE162" i="53"/>
  <c r="AB196" i="54"/>
  <c r="AB197" i="54" s="1"/>
  <c r="AC163" i="54"/>
  <c r="CO9" i="55"/>
  <c r="AB109" i="12"/>
  <c r="AB88" i="12"/>
  <c r="AF84" i="14"/>
  <c r="Y301" i="20"/>
  <c r="Y308" i="20" s="1"/>
  <c r="AH17" i="12"/>
  <c r="AF54" i="51"/>
  <c r="AD78" i="54"/>
  <c r="AD162" i="54"/>
  <c r="BM43" i="51"/>
  <c r="BM17" i="51"/>
  <c r="BJ72" i="51"/>
  <c r="W253" i="53"/>
  <c r="X14" i="55" l="1"/>
  <c r="X12" i="55"/>
  <c r="X11" i="55"/>
  <c r="X13" i="55"/>
  <c r="AE204" i="54"/>
  <c r="AF72" i="51"/>
  <c r="AF204" i="53"/>
  <c r="AF9" i="55"/>
  <c r="BL9" i="55" s="1"/>
  <c r="AG127" i="12"/>
  <c r="AG51" i="51"/>
  <c r="AE108" i="12"/>
  <c r="AG95" i="12"/>
  <c r="AF127" i="14"/>
  <c r="AE107" i="12"/>
  <c r="BL51" i="51"/>
  <c r="AB233" i="54"/>
  <c r="BB6" i="55"/>
  <c r="AF110" i="12"/>
  <c r="AB253" i="19"/>
  <c r="AE159" i="54"/>
  <c r="BL4" i="55"/>
  <c r="CN7" i="55"/>
  <c r="CN6" i="55"/>
  <c r="AE266" i="20"/>
  <c r="Z155" i="12"/>
  <c r="AF115" i="12"/>
  <c r="AF146" i="12"/>
  <c r="AD150" i="14"/>
  <c r="AE88" i="12"/>
  <c r="AE109" i="12"/>
  <c r="AE196" i="53"/>
  <c r="AE197" i="53" s="1"/>
  <c r="AF163" i="53"/>
  <c r="AC216" i="53"/>
  <c r="AC215" i="53"/>
  <c r="AD224" i="53"/>
  <c r="AD227" i="53"/>
  <c r="AD226" i="53"/>
  <c r="AD222" i="53"/>
  <c r="AD225" i="53"/>
  <c r="AD223" i="53"/>
  <c r="AD210" i="54"/>
  <c r="AD209" i="54"/>
  <c r="AD212" i="54"/>
  <c r="AD211" i="54"/>
  <c r="AG37" i="12"/>
  <c r="AB152" i="12"/>
  <c r="AD272" i="20"/>
  <c r="AD273" i="20"/>
  <c r="AH46" i="51"/>
  <c r="AG37" i="54"/>
  <c r="BN65" i="51"/>
  <c r="AF99" i="12"/>
  <c r="Z160" i="14"/>
  <c r="BD19" i="55"/>
  <c r="BD20" i="55"/>
  <c r="AD223" i="19"/>
  <c r="AD224" i="19" s="1"/>
  <c r="AD246" i="19"/>
  <c r="AD247" i="19" s="1"/>
  <c r="AD202" i="53"/>
  <c r="AD199" i="53"/>
  <c r="AD198" i="53"/>
  <c r="AD200" i="53"/>
  <c r="AD203" i="53"/>
  <c r="AD201" i="53"/>
  <c r="BK72" i="51"/>
  <c r="AF69" i="54"/>
  <c r="AF70" i="54" s="1"/>
  <c r="AF75" i="54"/>
  <c r="AF76" i="54" s="1"/>
  <c r="AF71" i="54"/>
  <c r="AF72" i="54" s="1"/>
  <c r="AF77" i="54"/>
  <c r="AF44" i="54"/>
  <c r="Z249" i="53"/>
  <c r="AE142" i="14"/>
  <c r="AF221" i="19"/>
  <c r="AF222" i="19"/>
  <c r="AF272" i="19"/>
  <c r="AF273" i="19"/>
  <c r="AF225" i="19"/>
  <c r="BB7" i="55"/>
  <c r="AC213" i="19"/>
  <c r="AC214" i="19" s="1"/>
  <c r="AD180" i="19"/>
  <c r="AE141" i="14"/>
  <c r="AE83" i="19"/>
  <c r="AF128" i="14" s="1"/>
  <c r="AF128" i="12"/>
  <c r="AF76" i="53"/>
  <c r="AG67" i="51"/>
  <c r="AD236" i="19"/>
  <c r="AD248" i="19" s="1"/>
  <c r="AD237" i="19"/>
  <c r="AE86" i="14"/>
  <c r="AE107" i="14"/>
  <c r="AE23" i="14"/>
  <c r="AH35" i="14"/>
  <c r="AF92" i="20"/>
  <c r="AF94" i="20"/>
  <c r="AF95" i="20"/>
  <c r="AF87" i="19" s="1"/>
  <c r="AF91" i="20"/>
  <c r="AF93" i="20"/>
  <c r="AF82" i="19"/>
  <c r="AG124" i="14" s="1"/>
  <c r="AG89" i="12"/>
  <c r="AG22" i="12"/>
  <c r="AE67" i="19"/>
  <c r="AF100" i="14" s="1"/>
  <c r="AF100" i="12"/>
  <c r="AB277" i="20"/>
  <c r="AB276" i="20"/>
  <c r="AB280" i="20" s="1"/>
  <c r="Z163" i="14"/>
  <c r="Z157" i="14"/>
  <c r="AF105" i="14"/>
  <c r="AH52" i="51"/>
  <c r="AG34" i="53"/>
  <c r="AD257" i="20"/>
  <c r="AD260" i="20"/>
  <c r="AD259" i="20"/>
  <c r="AD261" i="20"/>
  <c r="AD262" i="20"/>
  <c r="AD258" i="20"/>
  <c r="AE142" i="12"/>
  <c r="AF263" i="20"/>
  <c r="AF315" i="20"/>
  <c r="AF264" i="20"/>
  <c r="AF314" i="20"/>
  <c r="AG4" i="55"/>
  <c r="AF267" i="20"/>
  <c r="AB295" i="20"/>
  <c r="AG33" i="54"/>
  <c r="AG39" i="54" s="1"/>
  <c r="BN48" i="51"/>
  <c r="AE141" i="12"/>
  <c r="BL58" i="51"/>
  <c r="AE118" i="12"/>
  <c r="X20" i="55"/>
  <c r="X19" i="55"/>
  <c r="AF85" i="14"/>
  <c r="AF106" i="14"/>
  <c r="AE139" i="14"/>
  <c r="AH67" i="12"/>
  <c r="AD230" i="19"/>
  <c r="AD231" i="19"/>
  <c r="AE211" i="53"/>
  <c r="AE209" i="53"/>
  <c r="AE210" i="53"/>
  <c r="AE212" i="53"/>
  <c r="AE74" i="19"/>
  <c r="AF121" i="14" s="1"/>
  <c r="AF121" i="12"/>
  <c r="AF218" i="20"/>
  <c r="AF99" i="14"/>
  <c r="BK71" i="51"/>
  <c r="BK64" i="51"/>
  <c r="AF139" i="12"/>
  <c r="Z259" i="19"/>
  <c r="Z268" i="19" s="1"/>
  <c r="AA156" i="14" s="1"/>
  <c r="Z76" i="51"/>
  <c r="AB215" i="19"/>
  <c r="AB216" i="19"/>
  <c r="AB220" i="19"/>
  <c r="AB219" i="19"/>
  <c r="AB217" i="19"/>
  <c r="AB218" i="19"/>
  <c r="AG102" i="14"/>
  <c r="AF37" i="19"/>
  <c r="AG20" i="14"/>
  <c r="AG24" i="14"/>
  <c r="AG25" i="14"/>
  <c r="AC290" i="20"/>
  <c r="AC291" i="20" s="1"/>
  <c r="AC292" i="20"/>
  <c r="AC293" i="20" s="1"/>
  <c r="X159" i="12"/>
  <c r="AE87" i="14"/>
  <c r="AE108" i="14"/>
  <c r="AH25" i="14"/>
  <c r="AH20" i="14"/>
  <c r="AH102" i="14"/>
  <c r="AG37" i="19"/>
  <c r="AH24" i="14"/>
  <c r="BM57" i="51"/>
  <c r="AG58" i="51"/>
  <c r="Y160" i="14"/>
  <c r="AE78" i="54"/>
  <c r="AE162" i="54"/>
  <c r="BL67" i="51"/>
  <c r="AF70" i="51"/>
  <c r="BM52" i="51"/>
  <c r="AF34" i="54"/>
  <c r="BK9" i="55"/>
  <c r="AE73" i="51"/>
  <c r="BM49" i="51"/>
  <c r="BM46" i="51"/>
  <c r="AE149" i="14"/>
  <c r="AD206" i="54"/>
  <c r="AD207" i="54" s="1"/>
  <c r="AD229" i="54"/>
  <c r="AD230" i="54" s="1"/>
  <c r="BL61" i="51"/>
  <c r="AF71" i="51"/>
  <c r="AF64" i="51"/>
  <c r="AC213" i="54"/>
  <c r="AC214" i="54"/>
  <c r="X161" i="14"/>
  <c r="AC88" i="12"/>
  <c r="AC109" i="12"/>
  <c r="AD151" i="12"/>
  <c r="AE229" i="19"/>
  <c r="AE226" i="19"/>
  <c r="AE227" i="19"/>
  <c r="AE228" i="19"/>
  <c r="AE285" i="20"/>
  <c r="AE282" i="20"/>
  <c r="AE284" i="20"/>
  <c r="AE286" i="20"/>
  <c r="AE281" i="20"/>
  <c r="AE283" i="20"/>
  <c r="AC222" i="54"/>
  <c r="AC225" i="54"/>
  <c r="AC223" i="54"/>
  <c r="AC224" i="54"/>
  <c r="AC227" i="54"/>
  <c r="AC226" i="54"/>
  <c r="Z310" i="20"/>
  <c r="AA156" i="12" s="1"/>
  <c r="Z308" i="20"/>
  <c r="AF119" i="12"/>
  <c r="AE72" i="19"/>
  <c r="AF119" i="14" s="1"/>
  <c r="AE129" i="12"/>
  <c r="BL54" i="51"/>
  <c r="AG47" i="19"/>
  <c r="AF147" i="14"/>
  <c r="AF95" i="14"/>
  <c r="AG84" i="14"/>
  <c r="AG69" i="12"/>
  <c r="Y310" i="20"/>
  <c r="Z156" i="12" s="1"/>
  <c r="AH84" i="14"/>
  <c r="AC274" i="20"/>
  <c r="AC275" i="20"/>
  <c r="AE153" i="12"/>
  <c r="AE98" i="12"/>
  <c r="X317" i="20"/>
  <c r="AC219" i="54"/>
  <c r="AC231" i="54" s="1"/>
  <c r="AC232" i="54" s="1"/>
  <c r="AC220" i="54"/>
  <c r="AE206" i="53"/>
  <c r="AE207" i="53" s="1"/>
  <c r="AE229" i="53"/>
  <c r="AE230" i="53" s="1"/>
  <c r="CO13" i="55"/>
  <c r="CO14" i="55"/>
  <c r="CO15" i="55"/>
  <c r="CO16" i="55"/>
  <c r="CO11" i="55"/>
  <c r="CO19" i="55" s="1"/>
  <c r="CO12" i="55"/>
  <c r="X6" i="55"/>
  <c r="AA241" i="54"/>
  <c r="AA242" i="54" s="1"/>
  <c r="AB252" i="19"/>
  <c r="AB254" i="19" s="1"/>
  <c r="AD279" i="20"/>
  <c r="AD278" i="20"/>
  <c r="AD219" i="53"/>
  <c r="AD231" i="53" s="1"/>
  <c r="AD232" i="53" s="1"/>
  <c r="AD220" i="53"/>
  <c r="AB215" i="54"/>
  <c r="AB216" i="54"/>
  <c r="AE117" i="14"/>
  <c r="BD6" i="55"/>
  <c r="AE146" i="14"/>
  <c r="AF120" i="12"/>
  <c r="AE73" i="19"/>
  <c r="AF120" i="14" s="1"/>
  <c r="AE129" i="14"/>
  <c r="AC233" i="53"/>
  <c r="AF83" i="20"/>
  <c r="AF75" i="19" s="1"/>
  <c r="AG114" i="12"/>
  <c r="AF70" i="19"/>
  <c r="AG114" i="14" s="1"/>
  <c r="AF82" i="20"/>
  <c r="AF79" i="20"/>
  <c r="AF81" i="20"/>
  <c r="AF80" i="20"/>
  <c r="BJ73" i="51"/>
  <c r="AB293" i="20"/>
  <c r="AB294" i="20" s="1"/>
  <c r="AB296" i="20" s="1"/>
  <c r="AG85" i="12"/>
  <c r="AA300" i="20"/>
  <c r="AE65" i="19"/>
  <c r="AF96" i="14" s="1"/>
  <c r="AF96" i="12"/>
  <c r="AF136" i="14"/>
  <c r="AE179" i="19"/>
  <c r="AC150" i="12"/>
  <c r="AF111" i="12"/>
  <c r="Z241" i="54"/>
  <c r="Z242" i="54" s="1"/>
  <c r="Z258" i="54"/>
  <c r="AF87" i="12"/>
  <c r="AF108" i="12"/>
  <c r="AE86" i="19"/>
  <c r="AF133" i="14" s="1"/>
  <c r="AF133" i="12"/>
  <c r="AF208" i="53"/>
  <c r="AF205" i="53"/>
  <c r="AE153" i="14"/>
  <c r="AE98" i="14"/>
  <c r="Z164" i="14"/>
  <c r="Y276" i="19"/>
  <c r="Z165" i="14" s="1"/>
  <c r="X312" i="20"/>
  <c r="AF111" i="14"/>
  <c r="AF90" i="14"/>
  <c r="AF21" i="14"/>
  <c r="AD213" i="53"/>
  <c r="AD214" i="53"/>
  <c r="AE92" i="19"/>
  <c r="AF145" i="14" s="1"/>
  <c r="AF145" i="12"/>
  <c r="AE118" i="14"/>
  <c r="AF143" i="12"/>
  <c r="AH81" i="12"/>
  <c r="AH19" i="12"/>
  <c r="AD88" i="14"/>
  <c r="AD109" i="14"/>
  <c r="AC196" i="54"/>
  <c r="AC197" i="54" s="1"/>
  <c r="AD163" i="54"/>
  <c r="CP9" i="55"/>
  <c r="X7" i="55"/>
  <c r="AE130" i="12"/>
  <c r="AA258" i="19"/>
  <c r="AA259" i="19" s="1"/>
  <c r="AE208" i="54"/>
  <c r="AE205" i="54"/>
  <c r="AE154" i="12"/>
  <c r="AE97" i="12"/>
  <c r="AD151" i="14"/>
  <c r="W161" i="12"/>
  <c r="AG54" i="51"/>
  <c r="AA218" i="54"/>
  <c r="AA217" i="54"/>
  <c r="AA221" i="54" s="1"/>
  <c r="AB234" i="54"/>
  <c r="AB235" i="54" s="1"/>
  <c r="AE117" i="12"/>
  <c r="BD7" i="55"/>
  <c r="AF115" i="14"/>
  <c r="AG52" i="19"/>
  <c r="AG49" i="19" s="1"/>
  <c r="AH124" i="12"/>
  <c r="AG57" i="19"/>
  <c r="AG58" i="19"/>
  <c r="AG50" i="19"/>
  <c r="AG84" i="20"/>
  <c r="AG53" i="19"/>
  <c r="AG51" i="19"/>
  <c r="AG54" i="19"/>
  <c r="AG62" i="19"/>
  <c r="AG59" i="19"/>
  <c r="AG61" i="19"/>
  <c r="AG55" i="19"/>
  <c r="AG60" i="19"/>
  <c r="AG47" i="20"/>
  <c r="AG221" i="20"/>
  <c r="AG90" i="20"/>
  <c r="AH93" i="12"/>
  <c r="AG72" i="20"/>
  <c r="AG78" i="20"/>
  <c r="AG96" i="20"/>
  <c r="AB235" i="19"/>
  <c r="AB234" i="19"/>
  <c r="AB238" i="19" s="1"/>
  <c r="AD152" i="12"/>
  <c r="AF85" i="20"/>
  <c r="AF77" i="19" s="1"/>
  <c r="AF86" i="20"/>
  <c r="AF78" i="19" s="1"/>
  <c r="AF89" i="20"/>
  <c r="AF81" i="19" s="1"/>
  <c r="AF87" i="20"/>
  <c r="AF79" i="19" s="1"/>
  <c r="AF88" i="20"/>
  <c r="AF80" i="19" s="1"/>
  <c r="AG104" i="12"/>
  <c r="AF76" i="19"/>
  <c r="AG104" i="14" s="1"/>
  <c r="AF98" i="20"/>
  <c r="AF90" i="19" s="1"/>
  <c r="AF101" i="20"/>
  <c r="AF93" i="19" s="1"/>
  <c r="AF99" i="20"/>
  <c r="AF97" i="20"/>
  <c r="AF100" i="20"/>
  <c r="AG136" i="12"/>
  <c r="AF88" i="19"/>
  <c r="AF220" i="20"/>
  <c r="AG90" i="12"/>
  <c r="AG21" i="12"/>
  <c r="AE68" i="19"/>
  <c r="AF101" i="14" s="1"/>
  <c r="AF101" i="12"/>
  <c r="AE91" i="19"/>
  <c r="AF144" i="14" s="1"/>
  <c r="AF144" i="12"/>
  <c r="BE74" i="51"/>
  <c r="X253" i="54"/>
  <c r="BB20" i="55"/>
  <c r="BB19" i="55"/>
  <c r="AF86" i="12"/>
  <c r="AF23" i="12"/>
  <c r="AF143" i="14"/>
  <c r="AH67" i="14"/>
  <c r="AC250" i="19"/>
  <c r="AC253" i="19" s="1"/>
  <c r="AC249" i="19"/>
  <c r="AA258" i="53"/>
  <c r="AA241" i="53"/>
  <c r="AA242" i="53" s="1"/>
  <c r="AE85" i="19"/>
  <c r="AF132" i="14" s="1"/>
  <c r="AF132" i="12"/>
  <c r="AF78" i="53"/>
  <c r="AG61" i="51" s="1"/>
  <c r="AF162" i="53"/>
  <c r="Y10" i="55"/>
  <c r="AB235" i="53"/>
  <c r="AB237" i="53" s="1"/>
  <c r="AB236" i="53"/>
  <c r="Y158" i="12"/>
  <c r="Y162" i="12"/>
  <c r="AG37" i="14"/>
  <c r="Y259" i="54"/>
  <c r="BF78" i="51" s="1"/>
  <c r="BF77" i="51"/>
  <c r="AE149" i="12"/>
  <c r="AH68" i="12"/>
  <c r="AB258" i="19"/>
  <c r="AB259" i="19" s="1"/>
  <c r="AB236" i="54"/>
  <c r="AB199" i="54"/>
  <c r="AB200" i="54"/>
  <c r="AB202" i="54"/>
  <c r="AB198" i="54"/>
  <c r="AB201" i="54"/>
  <c r="AB203" i="54"/>
  <c r="AE130" i="14"/>
  <c r="AC232" i="19"/>
  <c r="AC233" i="19"/>
  <c r="AE154" i="14"/>
  <c r="AE97" i="14"/>
  <c r="AF22" i="14"/>
  <c r="AF89" i="14"/>
  <c r="AF110" i="14"/>
  <c r="AE152" i="12"/>
  <c r="AE255" i="20"/>
  <c r="AE256" i="20" s="1"/>
  <c r="AF222" i="20"/>
  <c r="AA237" i="54"/>
  <c r="AA258" i="54" s="1"/>
  <c r="AE271" i="20"/>
  <c r="AE269" i="20"/>
  <c r="AE268" i="20"/>
  <c r="AE270" i="20"/>
  <c r="AF106" i="12"/>
  <c r="BE10" i="55"/>
  <c r="Y155" i="14"/>
  <c r="X270" i="19"/>
  <c r="X275" i="19"/>
  <c r="AB217" i="53"/>
  <c r="AB221" i="53" s="1"/>
  <c r="AB218" i="53"/>
  <c r="AG75" i="53"/>
  <c r="AG44" i="53"/>
  <c r="AG77" i="53"/>
  <c r="AG71" i="53"/>
  <c r="AG72" i="53" s="1"/>
  <c r="AH57" i="51" s="1"/>
  <c r="AG69" i="53"/>
  <c r="AG70" i="53" s="1"/>
  <c r="AH49" i="51" s="1"/>
  <c r="AE71" i="19"/>
  <c r="AF116" i="14" s="1"/>
  <c r="AF116" i="12"/>
  <c r="AH35" i="12"/>
  <c r="AG147" i="12"/>
  <c r="AF265" i="20"/>
  <c r="AF288" i="20"/>
  <c r="AF289" i="20" s="1"/>
  <c r="AF73" i="20"/>
  <c r="AF74" i="20"/>
  <c r="AF66" i="19" s="1"/>
  <c r="AF76" i="20"/>
  <c r="AF75" i="20"/>
  <c r="AF77" i="20"/>
  <c r="AF69" i="19" s="1"/>
  <c r="AF64" i="19"/>
  <c r="AG93" i="14" s="1"/>
  <c r="AE89" i="19"/>
  <c r="AF140" i="14" s="1"/>
  <c r="AF140" i="12"/>
  <c r="AD150" i="12"/>
  <c r="BN43" i="51"/>
  <c r="BN17" i="51"/>
  <c r="BK70" i="51"/>
  <c r="AH68" i="14"/>
  <c r="AC239" i="19"/>
  <c r="AC242" i="19"/>
  <c r="AC240" i="19"/>
  <c r="AC241" i="19"/>
  <c r="AC244" i="19"/>
  <c r="AC243" i="19"/>
  <c r="Y242" i="54"/>
  <c r="Y251" i="54" s="1"/>
  <c r="BF75" i="51" s="1"/>
  <c r="Y163" i="12"/>
  <c r="Y157" i="12"/>
  <c r="AG204" i="53" l="1"/>
  <c r="AG9" i="55"/>
  <c r="BM9" i="55" s="1"/>
  <c r="AF204" i="54"/>
  <c r="BM4" i="55"/>
  <c r="AH51" i="51"/>
  <c r="AF146" i="14"/>
  <c r="BM51" i="51"/>
  <c r="AG127" i="14"/>
  <c r="AH127" i="12"/>
  <c r="AF159" i="54"/>
  <c r="AG176" i="19"/>
  <c r="AG143" i="14"/>
  <c r="CO6" i="55"/>
  <c r="AF148" i="12"/>
  <c r="Z266" i="19"/>
  <c r="AA155" i="14" s="1"/>
  <c r="BH77" i="51"/>
  <c r="AA259" i="54"/>
  <c r="BH78" i="51" s="1"/>
  <c r="AA162" i="14"/>
  <c r="AA158" i="14"/>
  <c r="AG265" i="20"/>
  <c r="AI221" i="20"/>
  <c r="AG288" i="20"/>
  <c r="AF141" i="14"/>
  <c r="AE220" i="53"/>
  <c r="AE219" i="53"/>
  <c r="AE231" i="53" s="1"/>
  <c r="AE232" i="53" s="1"/>
  <c r="Z159" i="14"/>
  <c r="Y159" i="12"/>
  <c r="AF67" i="19"/>
  <c r="AG100" i="14" s="1"/>
  <c r="AG100" i="12"/>
  <c r="AE150" i="14"/>
  <c r="Y249" i="54"/>
  <c r="AA259" i="53"/>
  <c r="AB78" i="51" s="1"/>
  <c r="AB77" i="51"/>
  <c r="AF154" i="14"/>
  <c r="AF97" i="14"/>
  <c r="AF92" i="19"/>
  <c r="AG145" i="14" s="1"/>
  <c r="AG145" i="12"/>
  <c r="AH4" i="55"/>
  <c r="AG315" i="20"/>
  <c r="AG314" i="20"/>
  <c r="AG264" i="20"/>
  <c r="AG263" i="20"/>
  <c r="AG267" i="20"/>
  <c r="AG218" i="20"/>
  <c r="AG177" i="19"/>
  <c r="CP13" i="55"/>
  <c r="CP16" i="55"/>
  <c r="CP15" i="55"/>
  <c r="CP12" i="55"/>
  <c r="CP14" i="55"/>
  <c r="CP11" i="55"/>
  <c r="CP19" i="55" s="1"/>
  <c r="AF149" i="14"/>
  <c r="AG115" i="12"/>
  <c r="AG146" i="12"/>
  <c r="AD290" i="20"/>
  <c r="AD291" i="20" s="1"/>
  <c r="AD292" i="20"/>
  <c r="AA251" i="54"/>
  <c r="BH75" i="51" s="1"/>
  <c r="AA249" i="54"/>
  <c r="CO7" i="55"/>
  <c r="AD233" i="53"/>
  <c r="AD234" i="53" s="1"/>
  <c r="AE151" i="12"/>
  <c r="AE230" i="19"/>
  <c r="AE231" i="19"/>
  <c r="AF73" i="51"/>
  <c r="BM54" i="51"/>
  <c r="BM58" i="51"/>
  <c r="AH85" i="14"/>
  <c r="AG111" i="14"/>
  <c r="AG90" i="14"/>
  <c r="AG21" i="14"/>
  <c r="BK73" i="51"/>
  <c r="AG77" i="54"/>
  <c r="AG71" i="54"/>
  <c r="AG72" i="54" s="1"/>
  <c r="AG75" i="54"/>
  <c r="AG76" i="54" s="1"/>
  <c r="AG44" i="54"/>
  <c r="AG69" i="54"/>
  <c r="AG70" i="54" s="1"/>
  <c r="AA74" i="51"/>
  <c r="Z253" i="53"/>
  <c r="AB241" i="54"/>
  <c r="AB242" i="54" s="1"/>
  <c r="AF154" i="12"/>
  <c r="AF97" i="12"/>
  <c r="AF129" i="14"/>
  <c r="AF68" i="19"/>
  <c r="AG101" i="14" s="1"/>
  <c r="AG101" i="12"/>
  <c r="AB268" i="19"/>
  <c r="AC156" i="14" s="1"/>
  <c r="AB266" i="19"/>
  <c r="AC258" i="19"/>
  <c r="AC259" i="19" s="1"/>
  <c r="AG86" i="12"/>
  <c r="AG23" i="12"/>
  <c r="AF89" i="19"/>
  <c r="AG140" i="14" s="1"/>
  <c r="AG140" i="12"/>
  <c r="AD196" i="54"/>
  <c r="AD197" i="54" s="1"/>
  <c r="AE163" i="54"/>
  <c r="CQ9" i="55"/>
  <c r="AH90" i="14"/>
  <c r="AH21" i="14"/>
  <c r="AG89" i="14"/>
  <c r="AG110" i="14"/>
  <c r="AG22" i="14"/>
  <c r="AD232" i="19"/>
  <c r="AD233" i="19"/>
  <c r="AG110" i="12"/>
  <c r="AH37" i="14"/>
  <c r="AE148" i="12"/>
  <c r="AG99" i="12"/>
  <c r="AG163" i="53"/>
  <c r="AF196" i="53"/>
  <c r="AF197" i="53" s="1"/>
  <c r="AF149" i="12"/>
  <c r="Y164" i="14"/>
  <c r="X276" i="19"/>
  <c r="Y165" i="14" s="1"/>
  <c r="AB241" i="53"/>
  <c r="AB242" i="53" s="1"/>
  <c r="AB258" i="53"/>
  <c r="AF130" i="12"/>
  <c r="AF109" i="12"/>
  <c r="AF88" i="12"/>
  <c r="BE76" i="51"/>
  <c r="AF91" i="19"/>
  <c r="AG144" i="14" s="1"/>
  <c r="AG144" i="12"/>
  <c r="AG99" i="20"/>
  <c r="AG101" i="20"/>
  <c r="AG93" i="19" s="1"/>
  <c r="AG97" i="20"/>
  <c r="AG100" i="20"/>
  <c r="AG98" i="20"/>
  <c r="AG90" i="19" s="1"/>
  <c r="AG88" i="19"/>
  <c r="AH136" i="12"/>
  <c r="AG220" i="20"/>
  <c r="AE150" i="12"/>
  <c r="AA266" i="19"/>
  <c r="AA268" i="19"/>
  <c r="AB156" i="14" s="1"/>
  <c r="AC198" i="54"/>
  <c r="AC200" i="54"/>
  <c r="AC203" i="54"/>
  <c r="AC202" i="54"/>
  <c r="AC201" i="54"/>
  <c r="AC199" i="54"/>
  <c r="AD216" i="53"/>
  <c r="AD215" i="53"/>
  <c r="AC236" i="53"/>
  <c r="AE222" i="53"/>
  <c r="AE224" i="53"/>
  <c r="AE226" i="53"/>
  <c r="AE227" i="53"/>
  <c r="AE225" i="53"/>
  <c r="AE223" i="53"/>
  <c r="BL71" i="51"/>
  <c r="BL64" i="51"/>
  <c r="AE206" i="54"/>
  <c r="AE207" i="54" s="1"/>
  <c r="AE229" i="54"/>
  <c r="AE230" i="54" s="1"/>
  <c r="AE213" i="53"/>
  <c r="AE214" i="53"/>
  <c r="AC233" i="54"/>
  <c r="AC234" i="54" s="1"/>
  <c r="AB300" i="20"/>
  <c r="BM67" i="51"/>
  <c r="AG70" i="51"/>
  <c r="AD213" i="19"/>
  <c r="AD214" i="19" s="1"/>
  <c r="AE180" i="19"/>
  <c r="AD274" i="20"/>
  <c r="AD275" i="20"/>
  <c r="AE199" i="53"/>
  <c r="AE198" i="53"/>
  <c r="AE200" i="53"/>
  <c r="AE203" i="53"/>
  <c r="AE202" i="53"/>
  <c r="AE201" i="53"/>
  <c r="AG139" i="12"/>
  <c r="AE212" i="54"/>
  <c r="AE209" i="54"/>
  <c r="AE211" i="54"/>
  <c r="AE210" i="54"/>
  <c r="AG105" i="14"/>
  <c r="AE109" i="14"/>
  <c r="AE88" i="14"/>
  <c r="AF65" i="19"/>
  <c r="AG96" i="14" s="1"/>
  <c r="AG96" i="12"/>
  <c r="AH58" i="51"/>
  <c r="BN57" i="51"/>
  <c r="AE272" i="20"/>
  <c r="AE273" i="20"/>
  <c r="AF255" i="20"/>
  <c r="AF256" i="20" s="1"/>
  <c r="AG222" i="20"/>
  <c r="AG99" i="14"/>
  <c r="AF130" i="14"/>
  <c r="AF107" i="12"/>
  <c r="AG83" i="20"/>
  <c r="AG79" i="20"/>
  <c r="AH78" i="20"/>
  <c r="AG70" i="19"/>
  <c r="AH114" i="14" s="1"/>
  <c r="AH114" i="12"/>
  <c r="AG80" i="20"/>
  <c r="AG81" i="20"/>
  <c r="AG82" i="20"/>
  <c r="AD152" i="14"/>
  <c r="Z259" i="54"/>
  <c r="BG78" i="51" s="1"/>
  <c r="BG77" i="51"/>
  <c r="AA301" i="20"/>
  <c r="AA310" i="20" s="1"/>
  <c r="AB156" i="12" s="1"/>
  <c r="AG119" i="12"/>
  <c r="AF72" i="19"/>
  <c r="AG119" i="14" s="1"/>
  <c r="AB237" i="54"/>
  <c r="AB258" i="54" s="1"/>
  <c r="AE236" i="19"/>
  <c r="AE248" i="19" s="1"/>
  <c r="AE237" i="19"/>
  <c r="AC216" i="54"/>
  <c r="AC215" i="54"/>
  <c r="AG72" i="51"/>
  <c r="AG85" i="14"/>
  <c r="AG106" i="14"/>
  <c r="AF117" i="12"/>
  <c r="AH54" i="51"/>
  <c r="AC234" i="53"/>
  <c r="AC235" i="53" s="1"/>
  <c r="AC237" i="53" s="1"/>
  <c r="AF85" i="19"/>
  <c r="AG132" i="14" s="1"/>
  <c r="AG132" i="12"/>
  <c r="X161" i="12"/>
  <c r="AC217" i="19"/>
  <c r="AC216" i="19"/>
  <c r="AC218" i="19"/>
  <c r="AC220" i="19"/>
  <c r="AC219" i="19"/>
  <c r="AC215" i="19"/>
  <c r="AF205" i="54"/>
  <c r="AF208" i="54"/>
  <c r="AD250" i="19"/>
  <c r="AD249" i="19"/>
  <c r="AD293" i="20"/>
  <c r="Y317" i="20"/>
  <c r="AE151" i="14"/>
  <c r="AG143" i="12"/>
  <c r="AF226" i="19"/>
  <c r="AF227" i="19"/>
  <c r="AF229" i="19"/>
  <c r="AF228" i="19"/>
  <c r="BN49" i="51"/>
  <c r="BN52" i="51"/>
  <c r="AG34" i="54"/>
  <c r="AG159" i="53"/>
  <c r="Y157" i="14"/>
  <c r="Y163" i="14"/>
  <c r="AE259" i="20"/>
  <c r="AE260" i="20"/>
  <c r="AE257" i="20"/>
  <c r="AE261" i="20"/>
  <c r="AE262" i="20"/>
  <c r="AE258" i="20"/>
  <c r="AG111" i="12"/>
  <c r="AG76" i="20"/>
  <c r="AG75" i="20"/>
  <c r="AG73" i="20"/>
  <c r="AG77" i="20"/>
  <c r="AG74" i="20"/>
  <c r="AH72" i="20"/>
  <c r="AG64" i="19"/>
  <c r="AH93" i="14" s="1"/>
  <c r="AG37" i="20"/>
  <c r="AH24" i="12"/>
  <c r="AH102" i="12"/>
  <c r="AH25" i="12"/>
  <c r="AH20" i="12"/>
  <c r="AF86" i="14"/>
  <c r="AF107" i="14"/>
  <c r="AF23" i="14"/>
  <c r="AF210" i="53"/>
  <c r="AF209" i="53"/>
  <c r="AF212" i="53"/>
  <c r="AF211" i="53"/>
  <c r="AG120" i="12"/>
  <c r="AF73" i="19"/>
  <c r="AG120" i="14" s="1"/>
  <c r="AB217" i="54"/>
  <c r="AB221" i="54" s="1"/>
  <c r="AB218" i="54"/>
  <c r="AC277" i="20"/>
  <c r="AC276" i="20"/>
  <c r="AC280" i="20" s="1"/>
  <c r="AA155" i="12"/>
  <c r="AA10" i="55"/>
  <c r="Z312" i="20"/>
  <c r="Z317" i="20"/>
  <c r="AD227" i="54"/>
  <c r="AD225" i="54"/>
  <c r="AD223" i="54"/>
  <c r="AD226" i="54"/>
  <c r="AD224" i="54"/>
  <c r="AD222" i="54"/>
  <c r="AF117" i="14"/>
  <c r="AF266" i="20"/>
  <c r="AF153" i="12"/>
  <c r="AF98" i="12"/>
  <c r="AF83" i="19"/>
  <c r="AG128" i="14" s="1"/>
  <c r="AG128" i="12"/>
  <c r="AE148" i="14"/>
  <c r="AD243" i="19"/>
  <c r="AD242" i="19"/>
  <c r="AD239" i="19"/>
  <c r="AD241" i="19"/>
  <c r="AD244" i="19"/>
  <c r="AD240" i="19"/>
  <c r="AD214" i="54"/>
  <c r="AD213" i="54"/>
  <c r="Y312" i="20"/>
  <c r="AG115" i="14"/>
  <c r="AH37" i="12"/>
  <c r="AG78" i="53"/>
  <c r="AH61" i="51" s="1"/>
  <c r="AG162" i="53"/>
  <c r="AF87" i="14"/>
  <c r="AF108" i="14"/>
  <c r="AC235" i="19"/>
  <c r="AC234" i="19"/>
  <c r="AC238" i="19" s="1"/>
  <c r="Y13" i="55"/>
  <c r="Y11" i="55"/>
  <c r="Y16" i="55"/>
  <c r="Y14" i="55"/>
  <c r="Y15" i="55"/>
  <c r="Y12" i="55"/>
  <c r="AH69" i="14"/>
  <c r="AF142" i="12"/>
  <c r="AH147" i="12"/>
  <c r="AH84" i="12"/>
  <c r="Z249" i="54"/>
  <c r="Z251" i="54"/>
  <c r="BG75" i="51" s="1"/>
  <c r="AE223" i="19"/>
  <c r="AE224" i="19" s="1"/>
  <c r="AE246" i="19"/>
  <c r="AE247" i="19" s="1"/>
  <c r="AG106" i="12"/>
  <c r="AF71" i="19"/>
  <c r="AG116" i="14" s="1"/>
  <c r="AG116" i="12"/>
  <c r="AF118" i="14"/>
  <c r="AH95" i="12"/>
  <c r="AG222" i="19"/>
  <c r="AG273" i="19"/>
  <c r="AG221" i="19"/>
  <c r="AG272" i="19"/>
  <c r="AG225" i="19"/>
  <c r="AA162" i="12"/>
  <c r="AA158" i="12"/>
  <c r="BL70" i="51"/>
  <c r="AH89" i="14"/>
  <c r="AH22" i="14"/>
  <c r="AC294" i="20"/>
  <c r="AC296" i="20" s="1"/>
  <c r="AC295" i="20"/>
  <c r="AH69" i="12"/>
  <c r="AF153" i="14"/>
  <c r="AF98" i="14"/>
  <c r="BL72" i="51"/>
  <c r="AF78" i="54"/>
  <c r="AF162" i="54"/>
  <c r="AD219" i="54"/>
  <c r="AD231" i="54" s="1"/>
  <c r="AD232" i="54" s="1"/>
  <c r="AD220" i="54"/>
  <c r="AC251" i="19"/>
  <c r="AC252" i="19" s="1"/>
  <c r="AC254" i="19" s="1"/>
  <c r="Z163" i="12"/>
  <c r="Z157" i="12"/>
  <c r="AH67" i="51"/>
  <c r="AG76" i="53"/>
  <c r="BM61" i="51"/>
  <c r="AG71" i="51"/>
  <c r="AG64" i="51"/>
  <c r="AF269" i="20"/>
  <c r="AF271" i="20"/>
  <c r="AF268" i="20"/>
  <c r="AF270" i="20"/>
  <c r="AF84" i="19"/>
  <c r="AG131" i="14" s="1"/>
  <c r="AG131" i="12"/>
  <c r="AC217" i="53"/>
  <c r="AC221" i="53" s="1"/>
  <c r="AC218" i="53"/>
  <c r="BE13" i="55"/>
  <c r="BE11" i="55"/>
  <c r="BE12" i="55"/>
  <c r="BE14" i="55"/>
  <c r="BE16" i="55"/>
  <c r="BE15" i="55"/>
  <c r="BN46" i="51"/>
  <c r="AG147" i="14"/>
  <c r="AG95" i="14"/>
  <c r="AG205" i="53"/>
  <c r="AG208" i="53"/>
  <c r="AE279" i="20"/>
  <c r="AE278" i="20"/>
  <c r="Y160" i="12"/>
  <c r="AF206" i="53"/>
  <c r="AF207" i="53" s="1"/>
  <c r="AF229" i="53"/>
  <c r="AF230" i="53" s="1"/>
  <c r="AA251" i="53"/>
  <c r="AB75" i="51" s="1"/>
  <c r="AA249" i="53"/>
  <c r="AF142" i="14"/>
  <c r="AG136" i="14"/>
  <c r="AF179" i="19"/>
  <c r="AG92" i="20"/>
  <c r="AG91" i="20"/>
  <c r="AG95" i="20"/>
  <c r="AG87" i="19" s="1"/>
  <c r="AG93" i="20"/>
  <c r="AG94" i="20"/>
  <c r="AG82" i="19"/>
  <c r="AH124" i="14" s="1"/>
  <c r="AG87" i="20"/>
  <c r="AG85" i="20"/>
  <c r="AG86" i="20"/>
  <c r="AH104" i="12"/>
  <c r="AG88" i="20"/>
  <c r="AH84" i="20"/>
  <c r="AG89" i="20"/>
  <c r="AG76" i="19"/>
  <c r="AH104" i="14" s="1"/>
  <c r="AF141" i="12"/>
  <c r="AF129" i="12"/>
  <c r="AF139" i="14"/>
  <c r="AG121" i="12"/>
  <c r="AF74" i="19"/>
  <c r="AG121" i="14" s="1"/>
  <c r="AF118" i="12"/>
  <c r="Y164" i="12"/>
  <c r="X318" i="20"/>
  <c r="Y165" i="12" s="1"/>
  <c r="Z162" i="12"/>
  <c r="Z158" i="12"/>
  <c r="AC152" i="12"/>
  <c r="Z161" i="14"/>
  <c r="AG87" i="12"/>
  <c r="AG108" i="12"/>
  <c r="AF86" i="19"/>
  <c r="AG133" i="14" s="1"/>
  <c r="AG133" i="12"/>
  <c r="AG105" i="12"/>
  <c r="Z10" i="55"/>
  <c r="AG266" i="20" l="1"/>
  <c r="AE233" i="53"/>
  <c r="AG204" i="54"/>
  <c r="AG196" i="53"/>
  <c r="AG197" i="53" s="1"/>
  <c r="BM72" i="51"/>
  <c r="AF148" i="14"/>
  <c r="BN51" i="51"/>
  <c r="AH72" i="51"/>
  <c r="AH127" i="14"/>
  <c r="AE234" i="53"/>
  <c r="AE235" i="53" s="1"/>
  <c r="Z275" i="19"/>
  <c r="Z270" i="19"/>
  <c r="BN4" i="55"/>
  <c r="BG10" i="55"/>
  <c r="BG13" i="55" s="1"/>
  <c r="AG159" i="54"/>
  <c r="AA308" i="20"/>
  <c r="AA312" i="20" s="1"/>
  <c r="CP6" i="55"/>
  <c r="Y161" i="12"/>
  <c r="AB259" i="54"/>
  <c r="BI78" i="51" s="1"/>
  <c r="BI77" i="51"/>
  <c r="AB162" i="12"/>
  <c r="AB158" i="12"/>
  <c r="AG129" i="12"/>
  <c r="AG117" i="12"/>
  <c r="AF223" i="19"/>
  <c r="AF224" i="19" s="1"/>
  <c r="AF246" i="19"/>
  <c r="AF247" i="19" s="1"/>
  <c r="AG118" i="12"/>
  <c r="AH74" i="20"/>
  <c r="AG66" i="19"/>
  <c r="AH116" i="12"/>
  <c r="AH79" i="20"/>
  <c r="AG71" i="19"/>
  <c r="AH116" i="14" s="1"/>
  <c r="AE274" i="20"/>
  <c r="AE275" i="20"/>
  <c r="AC235" i="54"/>
  <c r="AC237" i="54" s="1"/>
  <c r="AC236" i="54"/>
  <c r="AG142" i="12"/>
  <c r="AD235" i="53"/>
  <c r="AD237" i="53" s="1"/>
  <c r="AD236" i="53"/>
  <c r="AG141" i="12"/>
  <c r="AG289" i="20"/>
  <c r="AA160" i="14"/>
  <c r="AA163" i="12"/>
  <c r="AA157" i="12"/>
  <c r="Z160" i="12"/>
  <c r="AG81" i="19"/>
  <c r="AH89" i="20"/>
  <c r="AG139" i="14"/>
  <c r="AG211" i="53"/>
  <c r="AG210" i="53"/>
  <c r="AG209" i="53"/>
  <c r="AG212" i="53"/>
  <c r="BN67" i="51"/>
  <c r="AH70" i="51"/>
  <c r="AC300" i="20"/>
  <c r="AG229" i="19"/>
  <c r="AG226" i="19"/>
  <c r="AG227" i="19"/>
  <c r="AG228" i="19"/>
  <c r="AD215" i="54"/>
  <c r="AD216" i="54"/>
  <c r="AF281" i="20"/>
  <c r="AF286" i="20"/>
  <c r="AF282" i="20"/>
  <c r="AF285" i="20"/>
  <c r="AF283" i="20"/>
  <c r="AF284" i="20"/>
  <c r="AF214" i="53"/>
  <c r="AF213" i="53"/>
  <c r="AG69" i="19"/>
  <c r="AH77" i="20"/>
  <c r="Y159" i="14"/>
  <c r="Z164" i="12"/>
  <c r="Y318" i="20"/>
  <c r="Z165" i="12" s="1"/>
  <c r="AF211" i="54"/>
  <c r="AF212" i="54"/>
  <c r="AF210" i="54"/>
  <c r="AF209" i="54"/>
  <c r="AG75" i="19"/>
  <c r="AH83" i="20"/>
  <c r="AE152" i="14"/>
  <c r="AE214" i="54"/>
  <c r="AE213" i="54"/>
  <c r="BM70" i="51"/>
  <c r="AD251" i="19"/>
  <c r="AD252" i="19" s="1"/>
  <c r="AD254" i="19" s="1"/>
  <c r="BL73" i="51"/>
  <c r="AD218" i="53"/>
  <c r="AD217" i="53"/>
  <c r="AD221" i="53" s="1"/>
  <c r="AB158" i="14"/>
  <c r="AB162" i="14"/>
  <c r="AH139" i="12"/>
  <c r="AG142" i="14"/>
  <c r="AB259" i="53"/>
  <c r="AC78" i="51" s="1"/>
  <c r="AC77" i="51"/>
  <c r="CP7" i="55"/>
  <c r="AG271" i="20"/>
  <c r="AG269" i="20"/>
  <c r="AG268" i="20"/>
  <c r="AG270" i="20"/>
  <c r="AG141" i="14"/>
  <c r="AG153" i="12"/>
  <c r="AG98" i="12"/>
  <c r="Z11" i="55"/>
  <c r="Z16" i="55"/>
  <c r="Z14" i="55"/>
  <c r="Z13" i="55"/>
  <c r="Z15" i="55"/>
  <c r="Z12" i="55"/>
  <c r="AG79" i="19"/>
  <c r="AH110" i="14" s="1"/>
  <c r="AH87" i="20"/>
  <c r="AG118" i="14"/>
  <c r="AF237" i="19"/>
  <c r="AF236" i="19"/>
  <c r="AF248" i="19" s="1"/>
  <c r="AG91" i="19"/>
  <c r="AH144" i="14" s="1"/>
  <c r="AH144" i="12"/>
  <c r="AG129" i="14"/>
  <c r="AG86" i="19"/>
  <c r="AH133" i="14" s="1"/>
  <c r="AH133" i="12"/>
  <c r="AG85" i="19"/>
  <c r="AH132" i="14" s="1"/>
  <c r="AH132" i="12"/>
  <c r="AF273" i="20"/>
  <c r="AF272" i="20"/>
  <c r="AH143" i="12"/>
  <c r="AH143" i="14"/>
  <c r="Y20" i="55"/>
  <c r="Y19" i="55"/>
  <c r="AF219" i="53"/>
  <c r="AF231" i="53" s="1"/>
  <c r="AF220" i="53"/>
  <c r="AG65" i="19"/>
  <c r="AH96" i="14" s="1"/>
  <c r="AH73" i="20"/>
  <c r="AH96" i="12"/>
  <c r="Y161" i="14"/>
  <c r="BN54" i="51"/>
  <c r="AH82" i="20"/>
  <c r="AG74" i="19"/>
  <c r="AH121" i="14" s="1"/>
  <c r="AH121" i="12"/>
  <c r="BN58" i="51"/>
  <c r="AE215" i="53"/>
  <c r="AE216" i="53"/>
  <c r="AB155" i="14"/>
  <c r="BH10" i="55"/>
  <c r="AA270" i="19"/>
  <c r="AA275" i="19"/>
  <c r="AH136" i="14"/>
  <c r="AG179" i="19"/>
  <c r="AH86" i="14"/>
  <c r="AH23" i="14"/>
  <c r="AC268" i="19"/>
  <c r="AD156" i="14" s="1"/>
  <c r="AC266" i="19"/>
  <c r="AA164" i="14"/>
  <c r="Z276" i="19"/>
  <c r="AA165" i="14" s="1"/>
  <c r="AB251" i="54"/>
  <c r="BI75" i="51" s="1"/>
  <c r="AB249" i="54"/>
  <c r="AF152" i="12"/>
  <c r="AG205" i="54"/>
  <c r="AG208" i="54"/>
  <c r="AG86" i="14"/>
  <c r="AG107" i="14"/>
  <c r="AG23" i="14"/>
  <c r="AE232" i="19"/>
  <c r="AE233" i="19"/>
  <c r="BH74" i="51"/>
  <c r="AA253" i="54"/>
  <c r="AG282" i="20"/>
  <c r="AG281" i="20"/>
  <c r="AG283" i="20"/>
  <c r="AG286" i="20"/>
  <c r="AG285" i="20"/>
  <c r="AG284" i="20"/>
  <c r="AF150" i="14"/>
  <c r="AG153" i="14"/>
  <c r="AG98" i="14"/>
  <c r="AF224" i="53"/>
  <c r="AF223" i="53"/>
  <c r="AF222" i="53"/>
  <c r="AF227" i="53"/>
  <c r="AF225" i="53"/>
  <c r="AF226" i="53"/>
  <c r="AH110" i="12"/>
  <c r="AH89" i="12"/>
  <c r="AH22" i="12"/>
  <c r="AH99" i="14"/>
  <c r="BF74" i="51"/>
  <c r="Y253" i="54"/>
  <c r="BF10" i="55"/>
  <c r="AH88" i="20"/>
  <c r="AG80" i="19"/>
  <c r="AH111" i="14" s="1"/>
  <c r="BE19" i="55"/>
  <c r="BE20" i="55"/>
  <c r="Z159" i="12"/>
  <c r="AH87" i="14"/>
  <c r="AH108" i="14"/>
  <c r="AE250" i="19"/>
  <c r="AE253" i="19" s="1"/>
  <c r="AE249" i="19"/>
  <c r="Y7" i="55"/>
  <c r="AH85" i="12"/>
  <c r="AH106" i="12"/>
  <c r="AG67" i="19"/>
  <c r="AH100" i="14" s="1"/>
  <c r="AH75" i="20"/>
  <c r="AH100" i="12"/>
  <c r="AH81" i="20"/>
  <c r="AH120" i="12"/>
  <c r="AG73" i="19"/>
  <c r="AH120" i="14" s="1"/>
  <c r="AE219" i="54"/>
  <c r="AE231" i="54" s="1"/>
  <c r="AE232" i="54" s="1"/>
  <c r="AE220" i="54"/>
  <c r="AE213" i="19"/>
  <c r="AE214" i="19" s="1"/>
  <c r="AF180" i="19"/>
  <c r="AB251" i="53"/>
  <c r="AC75" i="51" s="1"/>
  <c r="AB249" i="53"/>
  <c r="CQ11" i="55"/>
  <c r="CQ19" i="55" s="1"/>
  <c r="CQ14" i="55"/>
  <c r="CQ13" i="55"/>
  <c r="CQ12" i="55"/>
  <c r="CQ15" i="55"/>
  <c r="CQ16" i="55"/>
  <c r="AG154" i="12"/>
  <c r="AG97" i="12"/>
  <c r="AG117" i="14"/>
  <c r="AF206" i="54"/>
  <c r="AF207" i="54" s="1"/>
  <c r="AF229" i="54"/>
  <c r="AF230" i="54" s="1"/>
  <c r="AG83" i="19"/>
  <c r="AH128" i="14" s="1"/>
  <c r="AH128" i="12"/>
  <c r="AB74" i="51"/>
  <c r="AA253" i="53"/>
  <c r="BE7" i="55"/>
  <c r="AF278" i="20"/>
  <c r="AF279" i="20"/>
  <c r="AG73" i="51"/>
  <c r="AF151" i="14"/>
  <c r="AE242" i="19"/>
  <c r="AE244" i="19"/>
  <c r="AE241" i="19"/>
  <c r="AE239" i="19"/>
  <c r="AE243" i="19"/>
  <c r="AE240" i="19"/>
  <c r="AG206" i="53"/>
  <c r="AG207" i="53" s="1"/>
  <c r="AG229" i="53"/>
  <c r="AG230" i="53" s="1"/>
  <c r="AF151" i="12"/>
  <c r="AA164" i="12"/>
  <c r="Z318" i="20"/>
  <c r="AA165" i="12" s="1"/>
  <c r="AH90" i="12"/>
  <c r="AH21" i="12"/>
  <c r="AH111" i="12"/>
  <c r="AG68" i="19"/>
  <c r="AH101" i="14" s="1"/>
  <c r="AH76" i="20"/>
  <c r="AH101" i="12"/>
  <c r="AD233" i="54"/>
  <c r="AG72" i="19"/>
  <c r="AH119" i="14" s="1"/>
  <c r="AH80" i="20"/>
  <c r="AH119" i="12"/>
  <c r="AG92" i="19"/>
  <c r="AH145" i="14" s="1"/>
  <c r="AH145" i="12"/>
  <c r="AD234" i="19"/>
  <c r="AD238" i="19" s="1"/>
  <c r="AD235" i="19"/>
  <c r="AE196" i="54"/>
  <c r="AE197" i="54" s="1"/>
  <c r="AF163" i="54"/>
  <c r="CR9" i="55"/>
  <c r="AG88" i="12"/>
  <c r="AG109" i="12"/>
  <c r="AG154" i="14"/>
  <c r="AG97" i="14"/>
  <c r="AA76" i="51"/>
  <c r="AD294" i="20"/>
  <c r="AD296" i="20" s="1"/>
  <c r="AD295" i="20"/>
  <c r="AH9" i="55"/>
  <c r="AE290" i="20"/>
  <c r="AE291" i="20" s="1"/>
  <c r="AE292" i="20"/>
  <c r="AE293" i="20" s="1"/>
  <c r="AA317" i="20"/>
  <c r="AG148" i="12"/>
  <c r="AH86" i="20"/>
  <c r="AG78" i="19"/>
  <c r="AG84" i="19"/>
  <c r="AH131" i="14" s="1"/>
  <c r="AH131" i="12"/>
  <c r="BM71" i="51"/>
  <c r="BM64" i="51"/>
  <c r="Y6" i="55"/>
  <c r="BN61" i="51"/>
  <c r="AH71" i="51"/>
  <c r="AH64" i="51"/>
  <c r="AG146" i="14"/>
  <c r="AF88" i="14"/>
  <c r="AF109" i="14"/>
  <c r="AH105" i="12"/>
  <c r="AG130" i="12"/>
  <c r="AC217" i="54"/>
  <c r="AC221" i="54" s="1"/>
  <c r="AC218" i="54"/>
  <c r="AH115" i="12"/>
  <c r="AH146" i="12"/>
  <c r="AG255" i="20"/>
  <c r="AG256" i="20" s="1"/>
  <c r="AG149" i="12"/>
  <c r="AD215" i="19"/>
  <c r="AD219" i="19"/>
  <c r="AD220" i="19"/>
  <c r="AD217" i="19"/>
  <c r="AD218" i="19"/>
  <c r="AD216" i="19"/>
  <c r="AC258" i="53"/>
  <c r="AC241" i="53"/>
  <c r="AG89" i="19"/>
  <c r="AH140" i="14" s="1"/>
  <c r="AH140" i="12"/>
  <c r="AF202" i="53"/>
  <c r="AF199" i="53"/>
  <c r="AF203" i="53"/>
  <c r="AF200" i="53"/>
  <c r="AF198" i="53"/>
  <c r="AF201" i="53"/>
  <c r="AD203" i="54"/>
  <c r="AD198" i="54"/>
  <c r="AD199" i="54"/>
  <c r="AD201" i="54"/>
  <c r="AD200" i="54"/>
  <c r="AD202" i="54"/>
  <c r="AG107" i="12"/>
  <c r="AC155" i="14"/>
  <c r="AB270" i="19"/>
  <c r="AB275" i="19"/>
  <c r="AA163" i="14"/>
  <c r="AA157" i="14"/>
  <c r="AG78" i="54"/>
  <c r="AG162" i="54"/>
  <c r="AG152" i="12"/>
  <c r="AF150" i="12"/>
  <c r="AG77" i="19"/>
  <c r="AH106" i="14" s="1"/>
  <c r="AH85" i="20"/>
  <c r="AF232" i="53"/>
  <c r="BE6" i="55"/>
  <c r="AH105" i="14"/>
  <c r="AA160" i="12"/>
  <c r="BG74" i="51"/>
  <c r="Z253" i="54"/>
  <c r="AH99" i="12"/>
  <c r="AA14" i="55"/>
  <c r="AA15" i="55"/>
  <c r="AA12" i="55"/>
  <c r="AA11" i="55"/>
  <c r="AA13" i="55"/>
  <c r="AA16" i="55"/>
  <c r="AH147" i="14"/>
  <c r="AH95" i="14"/>
  <c r="AF230" i="19"/>
  <c r="AF231" i="19"/>
  <c r="AD253" i="19"/>
  <c r="AG130" i="14"/>
  <c r="AH115" i="14"/>
  <c r="AF261" i="20"/>
  <c r="AF258" i="20"/>
  <c r="AF259" i="20"/>
  <c r="AF260" i="20"/>
  <c r="AF262" i="20"/>
  <c r="AF257" i="20"/>
  <c r="AG149" i="14"/>
  <c r="AD276" i="20"/>
  <c r="AD280" i="20" s="1"/>
  <c r="AD277" i="20"/>
  <c r="AB301" i="20"/>
  <c r="AB308" i="20" s="1"/>
  <c r="AE226" i="54"/>
  <c r="AE227" i="54"/>
  <c r="AE225" i="54"/>
  <c r="AE222" i="54"/>
  <c r="AE223" i="54"/>
  <c r="AE224" i="54"/>
  <c r="AG198" i="53"/>
  <c r="AG201" i="53"/>
  <c r="AG203" i="53"/>
  <c r="AG202" i="53"/>
  <c r="AG200" i="53"/>
  <c r="AG199" i="53"/>
  <c r="AG87" i="14"/>
  <c r="AG108" i="14"/>
  <c r="AE236" i="53"/>
  <c r="AC162" i="14"/>
  <c r="AC158" i="14"/>
  <c r="AF233" i="53" l="1"/>
  <c r="BN72" i="51"/>
  <c r="BG11" i="55"/>
  <c r="BG20" i="55" s="1"/>
  <c r="AE237" i="53"/>
  <c r="AE258" i="53" s="1"/>
  <c r="BG12" i="55"/>
  <c r="AA6" i="55"/>
  <c r="BI10" i="55"/>
  <c r="BI14" i="55" s="1"/>
  <c r="BG16" i="55"/>
  <c r="AB10" i="55"/>
  <c r="AB16" i="55" s="1"/>
  <c r="AG148" i="14"/>
  <c r="AB155" i="12"/>
  <c r="BG14" i="55"/>
  <c r="BG15" i="55"/>
  <c r="AF236" i="53"/>
  <c r="CQ6" i="55"/>
  <c r="AB310" i="20"/>
  <c r="AC156" i="12" s="1"/>
  <c r="AE251" i="19"/>
  <c r="AE258" i="19"/>
  <c r="AH141" i="14"/>
  <c r="AE217" i="53"/>
  <c r="AE221" i="53" s="1"/>
  <c r="AE218" i="53"/>
  <c r="AH129" i="14"/>
  <c r="BG76" i="51"/>
  <c r="AH73" i="51"/>
  <c r="BN9" i="55"/>
  <c r="CR13" i="55"/>
  <c r="CR12" i="55"/>
  <c r="CR11" i="55"/>
  <c r="CR19" i="55" s="1"/>
  <c r="CR14" i="55"/>
  <c r="CR16" i="55"/>
  <c r="CR15" i="55"/>
  <c r="AG222" i="53"/>
  <c r="AG224" i="53"/>
  <c r="AG226" i="53"/>
  <c r="AG225" i="53"/>
  <c r="AG227" i="53"/>
  <c r="AG223" i="53"/>
  <c r="AF290" i="20"/>
  <c r="AF291" i="20" s="1"/>
  <c r="AF292" i="20"/>
  <c r="AD158" i="14"/>
  <c r="AD162" i="14"/>
  <c r="AH107" i="14"/>
  <c r="AB164" i="14"/>
  <c r="AA276" i="19"/>
  <c r="AB165" i="14" s="1"/>
  <c r="AH149" i="14"/>
  <c r="AF274" i="20"/>
  <c r="AF275" i="20"/>
  <c r="Z7" i="55"/>
  <c r="AG278" i="20"/>
  <c r="AG290" i="20" s="1"/>
  <c r="AG291" i="20" s="1"/>
  <c r="AG279" i="20"/>
  <c r="AF219" i="54"/>
  <c r="AF231" i="54" s="1"/>
  <c r="AF232" i="54" s="1"/>
  <c r="AF220" i="54"/>
  <c r="AG236" i="19"/>
  <c r="AG248" i="19" s="1"/>
  <c r="AG237" i="19"/>
  <c r="AG220" i="53"/>
  <c r="AG219" i="53"/>
  <c r="AG231" i="53" s="1"/>
  <c r="AF243" i="19"/>
  <c r="AF240" i="19"/>
  <c r="AF244" i="19"/>
  <c r="AF242" i="19"/>
  <c r="AF241" i="19"/>
  <c r="AF239" i="19"/>
  <c r="AH153" i="14"/>
  <c r="AH98" i="14"/>
  <c r="AF250" i="19"/>
  <c r="AF253" i="19" s="1"/>
  <c r="AF249" i="19"/>
  <c r="AD258" i="19"/>
  <c r="AD259" i="19" s="1"/>
  <c r="AC10" i="55"/>
  <c r="AC155" i="12"/>
  <c r="AB312" i="20"/>
  <c r="AB317" i="20"/>
  <c r="BN71" i="51"/>
  <c r="BN64" i="51"/>
  <c r="AG150" i="14"/>
  <c r="AG163" i="54"/>
  <c r="AF196" i="54"/>
  <c r="AF197" i="54" s="1"/>
  <c r="CS9" i="55"/>
  <c r="AH154" i="12"/>
  <c r="AH97" i="12"/>
  <c r="BF76" i="51"/>
  <c r="AG151" i="14"/>
  <c r="AE235" i="19"/>
  <c r="AE234" i="19"/>
  <c r="AE238" i="19" s="1"/>
  <c r="AB160" i="14"/>
  <c r="AF213" i="54"/>
  <c r="AF214" i="54"/>
  <c r="AF234" i="53"/>
  <c r="AF235" i="53" s="1"/>
  <c r="AA159" i="12"/>
  <c r="AF241" i="53"/>
  <c r="AF242" i="53" s="1"/>
  <c r="AH139" i="14"/>
  <c r="AA7" i="55"/>
  <c r="AA159" i="14"/>
  <c r="AC242" i="53"/>
  <c r="AC251" i="53" s="1"/>
  <c r="AD75" i="51" s="1"/>
  <c r="BM73" i="51"/>
  <c r="AE198" i="54"/>
  <c r="AE200" i="54"/>
  <c r="AE202" i="54"/>
  <c r="AE201" i="54"/>
  <c r="AE199" i="54"/>
  <c r="AE203" i="54"/>
  <c r="AG88" i="14"/>
  <c r="AG109" i="14"/>
  <c r="BI74" i="51"/>
  <c r="AB253" i="54"/>
  <c r="BH12" i="55"/>
  <c r="BH15" i="55"/>
  <c r="BH13" i="55"/>
  <c r="BH14" i="55"/>
  <c r="BH11" i="55"/>
  <c r="BH16" i="55"/>
  <c r="AF216" i="53"/>
  <c r="AF215" i="53"/>
  <c r="AE276" i="20"/>
  <c r="AE280" i="20" s="1"/>
  <c r="AE277" i="20"/>
  <c r="AB160" i="12"/>
  <c r="AF293" i="20"/>
  <c r="AC160" i="14"/>
  <c r="AH146" i="14"/>
  <c r="AD77" i="51"/>
  <c r="AC259" i="53"/>
  <c r="AD78" i="51" s="1"/>
  <c r="AG259" i="20"/>
  <c r="AG260" i="20"/>
  <c r="AG258" i="20"/>
  <c r="AG257" i="20"/>
  <c r="AG262" i="20"/>
  <c r="AG261" i="20"/>
  <c r="AH154" i="14"/>
  <c r="AH97" i="14"/>
  <c r="AB76" i="51"/>
  <c r="AF222" i="54"/>
  <c r="AF226" i="54"/>
  <c r="AF227" i="54"/>
  <c r="AF225" i="54"/>
  <c r="AF223" i="54"/>
  <c r="AF224" i="54"/>
  <c r="AF213" i="19"/>
  <c r="AF214" i="19" s="1"/>
  <c r="AG180" i="19"/>
  <c r="AB163" i="14"/>
  <c r="AB157" i="14"/>
  <c r="AH130" i="12"/>
  <c r="Z20" i="55"/>
  <c r="Z19" i="55"/>
  <c r="AC301" i="20"/>
  <c r="AC308" i="20" s="1"/>
  <c r="AG213" i="53"/>
  <c r="AG214" i="53"/>
  <c r="BH76" i="51"/>
  <c r="AF251" i="19"/>
  <c r="AA19" i="55"/>
  <c r="AA20" i="55"/>
  <c r="AC164" i="14"/>
  <c r="AB276" i="19"/>
  <c r="AC165" i="14" s="1"/>
  <c r="AE294" i="20"/>
  <c r="AE296" i="20" s="1"/>
  <c r="AE295" i="20"/>
  <c r="AD300" i="20"/>
  <c r="AD301" i="20" s="1"/>
  <c r="AH148" i="12"/>
  <c r="AG150" i="12"/>
  <c r="CQ7" i="55"/>
  <c r="AH118" i="14"/>
  <c r="AH117" i="12"/>
  <c r="AH130" i="14"/>
  <c r="AG272" i="20"/>
  <c r="AG273" i="20"/>
  <c r="AD218" i="54"/>
  <c r="AD217" i="54"/>
  <c r="AD221" i="54" s="1"/>
  <c r="AC241" i="54"/>
  <c r="AC242" i="54" s="1"/>
  <c r="AC258" i="54"/>
  <c r="AD155" i="14"/>
  <c r="AC270" i="19"/>
  <c r="AC275" i="19"/>
  <c r="AE241" i="53"/>
  <c r="AE242" i="53" s="1"/>
  <c r="AF232" i="19"/>
  <c r="AF233" i="19"/>
  <c r="AD236" i="54"/>
  <c r="AH86" i="12"/>
  <c r="AH107" i="12"/>
  <c r="AH23" i="12"/>
  <c r="AC74" i="51"/>
  <c r="AB253" i="53"/>
  <c r="AE219" i="19"/>
  <c r="AE218" i="19"/>
  <c r="AE217" i="19"/>
  <c r="AE215" i="19"/>
  <c r="AE216" i="19"/>
  <c r="AE220" i="19"/>
  <c r="AH118" i="12"/>
  <c r="AH153" i="12"/>
  <c r="AH98" i="12"/>
  <c r="AH87" i="12"/>
  <c r="AH108" i="12"/>
  <c r="AH117" i="14"/>
  <c r="Z161" i="12"/>
  <c r="AH142" i="12"/>
  <c r="Z6" i="55"/>
  <c r="AE216" i="54"/>
  <c r="AE215" i="54"/>
  <c r="AG230" i="19"/>
  <c r="AG231" i="19"/>
  <c r="BN70" i="51"/>
  <c r="AD258" i="53"/>
  <c r="AD241" i="53"/>
  <c r="AD242" i="53" s="1"/>
  <c r="BF11" i="55"/>
  <c r="BF13" i="55"/>
  <c r="BF12" i="55"/>
  <c r="BF16" i="55"/>
  <c r="BF14" i="55"/>
  <c r="BF15" i="55"/>
  <c r="AI162" i="54"/>
  <c r="AJ162" i="54"/>
  <c r="AG206" i="54"/>
  <c r="AG207" i="54" s="1"/>
  <c r="AG229" i="54"/>
  <c r="AG230" i="54" s="1"/>
  <c r="AC163" i="14"/>
  <c r="AC157" i="14"/>
  <c r="AE233" i="54"/>
  <c r="AE234" i="54" s="1"/>
  <c r="AF152" i="14"/>
  <c r="AB164" i="12"/>
  <c r="AA318" i="20"/>
  <c r="AB165" i="12" s="1"/>
  <c r="AH141" i="12"/>
  <c r="AG232" i="53"/>
  <c r="AE252" i="19"/>
  <c r="AE254" i="19" s="1"/>
  <c r="AG211" i="54"/>
  <c r="AG210" i="54"/>
  <c r="AG209" i="54"/>
  <c r="AG212" i="54"/>
  <c r="AH88" i="14"/>
  <c r="AH109" i="14"/>
  <c r="AG223" i="19"/>
  <c r="AG224" i="19" s="1"/>
  <c r="AG246" i="19"/>
  <c r="AG247" i="19" s="1"/>
  <c r="AH149" i="12"/>
  <c r="AH129" i="12"/>
  <c r="AH142" i="14"/>
  <c r="AG151" i="12"/>
  <c r="AD234" i="54"/>
  <c r="AD235" i="54" s="1"/>
  <c r="AD237" i="54" s="1"/>
  <c r="BG6" i="55" l="1"/>
  <c r="BG19" i="55"/>
  <c r="AC158" i="12"/>
  <c r="AH152" i="14"/>
  <c r="AB157" i="12"/>
  <c r="AB163" i="12"/>
  <c r="AB14" i="55"/>
  <c r="BI16" i="55"/>
  <c r="BI11" i="55"/>
  <c r="BI19" i="55" s="1"/>
  <c r="AB12" i="55"/>
  <c r="AB15" i="55"/>
  <c r="BI12" i="55"/>
  <c r="AB13" i="55"/>
  <c r="AB11" i="55"/>
  <c r="BI13" i="55"/>
  <c r="BI15" i="55"/>
  <c r="BG7" i="55"/>
  <c r="AF233" i="54"/>
  <c r="AF236" i="54" s="1"/>
  <c r="AF241" i="54" s="1"/>
  <c r="CR6" i="55"/>
  <c r="AG233" i="53"/>
  <c r="AG236" i="53" s="1"/>
  <c r="AG241" i="53" s="1"/>
  <c r="AG242" i="53" s="1"/>
  <c r="AC249" i="53"/>
  <c r="AD74" i="51" s="1"/>
  <c r="BH6" i="55"/>
  <c r="AC162" i="12"/>
  <c r="AC310" i="20"/>
  <c r="AD156" i="12" s="1"/>
  <c r="AA161" i="14"/>
  <c r="AA161" i="12"/>
  <c r="AF258" i="19"/>
  <c r="AC259" i="54"/>
  <c r="BJ78" i="51" s="1"/>
  <c r="BJ77" i="51"/>
  <c r="AG215" i="53"/>
  <c r="AG216" i="53"/>
  <c r="AG213" i="19"/>
  <c r="AG214" i="19" s="1"/>
  <c r="AF237" i="53"/>
  <c r="AF258" i="53" s="1"/>
  <c r="BI76" i="51"/>
  <c r="AD160" i="14"/>
  <c r="AD164" i="14"/>
  <c r="AC276" i="19"/>
  <c r="AD165" i="14" s="1"/>
  <c r="AD155" i="12"/>
  <c r="AE300" i="20"/>
  <c r="AH151" i="12"/>
  <c r="AG274" i="20"/>
  <c r="AG275" i="20"/>
  <c r="AF219" i="19"/>
  <c r="AF218" i="19"/>
  <c r="AF220" i="19"/>
  <c r="AF215" i="19"/>
  <c r="AF217" i="19"/>
  <c r="AF216" i="19"/>
  <c r="AH150" i="14"/>
  <c r="BH19" i="55"/>
  <c r="BH20" i="55"/>
  <c r="AH150" i="12"/>
  <c r="AC164" i="12"/>
  <c r="AB318" i="20"/>
  <c r="AC165" i="12" s="1"/>
  <c r="AD266" i="19"/>
  <c r="AD268" i="19"/>
  <c r="AE156" i="14" s="1"/>
  <c r="AF294" i="20"/>
  <c r="AF295" i="20"/>
  <c r="BF20" i="55"/>
  <c r="BF19" i="55"/>
  <c r="AG244" i="19"/>
  <c r="AG239" i="19"/>
  <c r="AG241" i="19"/>
  <c r="AG243" i="19"/>
  <c r="AG240" i="19"/>
  <c r="AG242" i="19"/>
  <c r="AD258" i="54"/>
  <c r="AD241" i="54"/>
  <c r="AD163" i="14"/>
  <c r="AD157" i="14"/>
  <c r="AE259" i="19"/>
  <c r="AE266" i="19" s="1"/>
  <c r="AF77" i="51"/>
  <c r="AE259" i="53"/>
  <c r="AF78" i="51" s="1"/>
  <c r="AF216" i="54"/>
  <c r="AF215" i="54"/>
  <c r="AB159" i="12"/>
  <c r="AF217" i="53"/>
  <c r="AF221" i="53" s="1"/>
  <c r="AF218" i="53"/>
  <c r="AG227" i="54"/>
  <c r="AG226" i="54"/>
  <c r="AG224" i="54"/>
  <c r="AG225" i="54"/>
  <c r="AG223" i="54"/>
  <c r="AG222" i="54"/>
  <c r="AE218" i="54"/>
  <c r="AE217" i="54"/>
  <c r="AE221" i="54" s="1"/>
  <c r="AC249" i="54"/>
  <c r="AC251" i="54"/>
  <c r="BJ75" i="51" s="1"/>
  <c r="AG152" i="14"/>
  <c r="AE235" i="54"/>
  <c r="AE237" i="54" s="1"/>
  <c r="AE236" i="54"/>
  <c r="BF6" i="55"/>
  <c r="AH88" i="12"/>
  <c r="AH109" i="12"/>
  <c r="AF234" i="19"/>
  <c r="AF238" i="19" s="1"/>
  <c r="AF235" i="19"/>
  <c r="AD310" i="20"/>
  <c r="AE156" i="12" s="1"/>
  <c r="AD308" i="20"/>
  <c r="BH7" i="55"/>
  <c r="AC163" i="12"/>
  <c r="AC157" i="12"/>
  <c r="AH151" i="14"/>
  <c r="CR7" i="55"/>
  <c r="AG196" i="54"/>
  <c r="AG197" i="54" s="1"/>
  <c r="CT9" i="55"/>
  <c r="AG213" i="54"/>
  <c r="AG214" i="54"/>
  <c r="AC159" i="14"/>
  <c r="AC76" i="51"/>
  <c r="AF249" i="53"/>
  <c r="AF251" i="53"/>
  <c r="AG75" i="51" s="1"/>
  <c r="CS13" i="55"/>
  <c r="CS14" i="55"/>
  <c r="CS11" i="55"/>
  <c r="CS19" i="55" s="1"/>
  <c r="CS15" i="55"/>
  <c r="CS12" i="55"/>
  <c r="CS16" i="55"/>
  <c r="AC13" i="55"/>
  <c r="AC11" i="55"/>
  <c r="AC14" i="55"/>
  <c r="AC15" i="55"/>
  <c r="AC12" i="55"/>
  <c r="AC16" i="55"/>
  <c r="AF252" i="19"/>
  <c r="AF254" i="19" s="1"/>
  <c r="AG292" i="20"/>
  <c r="AF296" i="20"/>
  <c r="AD259" i="53"/>
  <c r="AE78" i="51" s="1"/>
  <c r="AE77" i="51"/>
  <c r="AE251" i="53"/>
  <c r="AF75" i="51" s="1"/>
  <c r="AE249" i="53"/>
  <c r="AB159" i="14"/>
  <c r="AG219" i="54"/>
  <c r="AG231" i="54" s="1"/>
  <c r="AG232" i="54" s="1"/>
  <c r="AG220" i="54"/>
  <c r="AG250" i="19"/>
  <c r="AG253" i="19" s="1"/>
  <c r="AG249" i="19"/>
  <c r="BF7" i="55"/>
  <c r="AD249" i="53"/>
  <c r="AD251" i="53"/>
  <c r="AE75" i="51" s="1"/>
  <c r="AG232" i="19"/>
  <c r="AG233" i="19"/>
  <c r="AH148" i="14"/>
  <c r="AF203" i="54"/>
  <c r="AF198" i="54"/>
  <c r="AF199" i="54"/>
  <c r="AF201" i="54"/>
  <c r="AF202" i="54"/>
  <c r="AF200" i="54"/>
  <c r="BN73" i="51"/>
  <c r="AF277" i="20"/>
  <c r="AF276" i="20"/>
  <c r="AF280" i="20" s="1"/>
  <c r="BI6" i="55" l="1"/>
  <c r="AB7" i="55"/>
  <c r="BI20" i="55"/>
  <c r="AD162" i="12"/>
  <c r="AC160" i="12"/>
  <c r="BI7" i="55"/>
  <c r="AB6" i="55"/>
  <c r="AF234" i="54"/>
  <c r="AF235" i="54" s="1"/>
  <c r="AF237" i="54" s="1"/>
  <c r="AF258" i="54" s="1"/>
  <c r="AB19" i="55"/>
  <c r="AB20" i="55"/>
  <c r="AC253" i="53"/>
  <c r="AG234" i="53"/>
  <c r="AG235" i="53" s="1"/>
  <c r="AG237" i="53" s="1"/>
  <c r="AG258" i="53" s="1"/>
  <c r="CS6" i="55"/>
  <c r="AC312" i="20"/>
  <c r="AD10" i="55"/>
  <c r="AD15" i="55" s="1"/>
  <c r="AD158" i="12"/>
  <c r="AC317" i="20"/>
  <c r="AD164" i="12" s="1"/>
  <c r="AF155" i="14"/>
  <c r="AG258" i="19"/>
  <c r="AE258" i="54"/>
  <c r="AE241" i="54"/>
  <c r="AB161" i="12"/>
  <c r="AE268" i="19"/>
  <c r="AF156" i="14" s="1"/>
  <c r="AG251" i="19"/>
  <c r="AG252" i="19" s="1"/>
  <c r="AG254" i="19" s="1"/>
  <c r="AG77" i="51"/>
  <c r="AF259" i="53"/>
  <c r="AG78" i="51" s="1"/>
  <c r="AD76" i="51"/>
  <c r="AB161" i="14"/>
  <c r="AH152" i="12"/>
  <c r="BJ74" i="51"/>
  <c r="AC253" i="54"/>
  <c r="BJ10" i="55"/>
  <c r="AF242" i="54"/>
  <c r="AF251" i="54" s="1"/>
  <c r="BM75" i="51" s="1"/>
  <c r="AG233" i="54"/>
  <c r="AG234" i="54" s="1"/>
  <c r="AG249" i="53"/>
  <c r="AG251" i="53"/>
  <c r="AH75" i="51" s="1"/>
  <c r="AG295" i="20"/>
  <c r="AC20" i="55"/>
  <c r="AC19" i="55"/>
  <c r="CS7" i="55"/>
  <c r="AF217" i="54"/>
  <c r="AF221" i="54" s="1"/>
  <c r="AF218" i="54"/>
  <c r="AG234" i="19"/>
  <c r="AG238" i="19" s="1"/>
  <c r="AG235" i="19"/>
  <c r="AG216" i="54"/>
  <c r="AG215" i="54"/>
  <c r="AE10" i="55"/>
  <c r="AE155" i="12"/>
  <c r="AD312" i="20"/>
  <c r="AD317" i="20"/>
  <c r="AE158" i="14"/>
  <c r="AE162" i="14"/>
  <c r="AG217" i="19"/>
  <c r="AG216" i="19"/>
  <c r="AG220" i="19"/>
  <c r="AG218" i="19"/>
  <c r="AG219" i="19"/>
  <c r="AG215" i="19"/>
  <c r="AC7" i="55"/>
  <c r="AE162" i="12"/>
  <c r="AE158" i="12"/>
  <c r="AC161" i="14"/>
  <c r="AG293" i="20"/>
  <c r="AG294" i="20" s="1"/>
  <c r="AG296" i="20" s="1"/>
  <c r="AE155" i="14"/>
  <c r="AD270" i="19"/>
  <c r="AD275" i="19"/>
  <c r="AC318" i="20"/>
  <c r="AD165" i="12" s="1"/>
  <c r="AE74" i="51"/>
  <c r="AD253" i="53"/>
  <c r="AF74" i="51"/>
  <c r="AE253" i="53"/>
  <c r="AC6" i="55"/>
  <c r="CT13" i="55"/>
  <c r="CT11" i="55"/>
  <c r="CT19" i="55" s="1"/>
  <c r="CT14" i="55"/>
  <c r="CT15" i="55"/>
  <c r="CT12" i="55"/>
  <c r="CT16" i="55"/>
  <c r="AC159" i="12"/>
  <c r="AE301" i="20"/>
  <c r="AE310" i="20" s="1"/>
  <c r="AF156" i="12" s="1"/>
  <c r="AF259" i="19"/>
  <c r="AF268" i="19" s="1"/>
  <c r="AG156" i="14" s="1"/>
  <c r="AG200" i="54"/>
  <c r="AG201" i="54"/>
  <c r="AG199" i="54"/>
  <c r="AG203" i="54"/>
  <c r="AG202" i="54"/>
  <c r="AG198" i="54"/>
  <c r="BK77" i="51"/>
  <c r="AD259" i="54"/>
  <c r="BK78" i="51" s="1"/>
  <c r="AF300" i="20"/>
  <c r="AF301" i="20" s="1"/>
  <c r="AG276" i="20"/>
  <c r="AG280" i="20" s="1"/>
  <c r="AG277" i="20"/>
  <c r="AD157" i="12"/>
  <c r="AD163" i="12"/>
  <c r="AD160" i="12"/>
  <c r="AG217" i="53"/>
  <c r="AG221" i="53" s="1"/>
  <c r="AG218" i="53"/>
  <c r="AG74" i="51"/>
  <c r="AF253" i="53"/>
  <c r="AD159" i="14"/>
  <c r="AD242" i="54"/>
  <c r="AD249" i="54" s="1"/>
  <c r="AD13" i="55" l="1"/>
  <c r="AD11" i="55"/>
  <c r="AD12" i="55"/>
  <c r="AD14" i="55"/>
  <c r="AD16" i="55"/>
  <c r="CT6" i="55"/>
  <c r="AG158" i="14"/>
  <c r="AG162" i="14"/>
  <c r="BK74" i="51"/>
  <c r="AF162" i="12"/>
  <c r="AF158" i="12"/>
  <c r="AD161" i="14"/>
  <c r="AG259" i="53"/>
  <c r="AH78" i="51" s="1"/>
  <c r="AH77" i="51"/>
  <c r="AE164" i="14"/>
  <c r="AD276" i="19"/>
  <c r="AE165" i="14" s="1"/>
  <c r="AF259" i="54"/>
  <c r="BM78" i="51" s="1"/>
  <c r="BM77" i="51"/>
  <c r="BJ16" i="55"/>
  <c r="BJ15" i="55"/>
  <c r="BJ12" i="55"/>
  <c r="BJ11" i="55"/>
  <c r="BJ13" i="55"/>
  <c r="BJ14" i="55"/>
  <c r="AF162" i="14"/>
  <c r="AF158" i="14"/>
  <c r="AF76" i="51"/>
  <c r="AE160" i="12"/>
  <c r="AH74" i="51"/>
  <c r="AG253" i="53"/>
  <c r="AF249" i="54"/>
  <c r="BL77" i="51"/>
  <c r="AE259" i="54"/>
  <c r="BL78" i="51" s="1"/>
  <c r="AE164" i="12"/>
  <c r="AD318" i="20"/>
  <c r="AE165" i="12" s="1"/>
  <c r="AG235" i="54"/>
  <c r="AG237" i="54" s="1"/>
  <c r="AG236" i="54"/>
  <c r="BJ76" i="51"/>
  <c r="AE242" i="54"/>
  <c r="AE249" i="54" s="1"/>
  <c r="AG259" i="19"/>
  <c r="AG266" i="19" s="1"/>
  <c r="AE76" i="51"/>
  <c r="AE163" i="14"/>
  <c r="AE157" i="14"/>
  <c r="AG300" i="20"/>
  <c r="AG301" i="20" s="1"/>
  <c r="AE275" i="19"/>
  <c r="AG76" i="51"/>
  <c r="AD159" i="12"/>
  <c r="AF308" i="20"/>
  <c r="AF310" i="20"/>
  <c r="AG156" i="12" s="1"/>
  <c r="AC161" i="12"/>
  <c r="AE163" i="12"/>
  <c r="AE157" i="12"/>
  <c r="AE270" i="19"/>
  <c r="AF266" i="19"/>
  <c r="AE308" i="20"/>
  <c r="AE160" i="14"/>
  <c r="AE14" i="55"/>
  <c r="AE12" i="55"/>
  <c r="AE13" i="55"/>
  <c r="AE11" i="55"/>
  <c r="AE16" i="55"/>
  <c r="AE15" i="55"/>
  <c r="AF157" i="14"/>
  <c r="AF163" i="14"/>
  <c r="AD251" i="54"/>
  <c r="BK75" i="51" s="1"/>
  <c r="CT7" i="55"/>
  <c r="AG218" i="54"/>
  <c r="AG217" i="54"/>
  <c r="AG221" i="54" s="1"/>
  <c r="AD19" i="55"/>
  <c r="AD20" i="55"/>
  <c r="AD6" i="55" l="1"/>
  <c r="AD7" i="55"/>
  <c r="AD161" i="12"/>
  <c r="BJ6" i="55"/>
  <c r="AE6" i="55"/>
  <c r="BJ7" i="55"/>
  <c r="AE7" i="55"/>
  <c r="AG268" i="19"/>
  <c r="AH156" i="14" s="1"/>
  <c r="AH155" i="14"/>
  <c r="BL74" i="51"/>
  <c r="AD253" i="54"/>
  <c r="AG241" i="54"/>
  <c r="AG242" i="54" s="1"/>
  <c r="AG258" i="54"/>
  <c r="BK76" i="51"/>
  <c r="AE159" i="12"/>
  <c r="AG160" i="14"/>
  <c r="AG308" i="20"/>
  <c r="AG310" i="20"/>
  <c r="AH156" i="12" s="1"/>
  <c r="BM74" i="51"/>
  <c r="AF253" i="54"/>
  <c r="AE251" i="54"/>
  <c r="BL75" i="51" s="1"/>
  <c r="AF159" i="14"/>
  <c r="AF155" i="12"/>
  <c r="AF10" i="55"/>
  <c r="AE312" i="20"/>
  <c r="AE317" i="20"/>
  <c r="AF164" i="14"/>
  <c r="AE276" i="19"/>
  <c r="AF165" i="14" s="1"/>
  <c r="BJ20" i="55"/>
  <c r="BJ19" i="55"/>
  <c r="AF160" i="12"/>
  <c r="AG155" i="14"/>
  <c r="BM10" i="55"/>
  <c r="AF275" i="19"/>
  <c r="AF270" i="19"/>
  <c r="AG162" i="12"/>
  <c r="AG158" i="12"/>
  <c r="AE159" i="14"/>
  <c r="AE20" i="55"/>
  <c r="AE19" i="55"/>
  <c r="AG10" i="55"/>
  <c r="AG155" i="12"/>
  <c r="AF312" i="20"/>
  <c r="AF317" i="20"/>
  <c r="AH76" i="51"/>
  <c r="AF160" i="14"/>
  <c r="BK10" i="55"/>
  <c r="AH158" i="14" l="1"/>
  <c r="AH162" i="14"/>
  <c r="AG275" i="19"/>
  <c r="AG270" i="19"/>
  <c r="AE161" i="12"/>
  <c r="AF161" i="14"/>
  <c r="AH160" i="14"/>
  <c r="AE253" i="54"/>
  <c r="BM76" i="51"/>
  <c r="AG251" i="54"/>
  <c r="BN75" i="51" s="1"/>
  <c r="AG249" i="54"/>
  <c r="BL76" i="51"/>
  <c r="AH164" i="14"/>
  <c r="AG276" i="19"/>
  <c r="AH165" i="14" s="1"/>
  <c r="BK11" i="55"/>
  <c r="BK15" i="55"/>
  <c r="BK16" i="55"/>
  <c r="BK14" i="55"/>
  <c r="BK13" i="55"/>
  <c r="BK12" i="55"/>
  <c r="AG164" i="12"/>
  <c r="AF318" i="20"/>
  <c r="AG165" i="12" s="1"/>
  <c r="AF164" i="12"/>
  <c r="AE318" i="20"/>
  <c r="AF165" i="12" s="1"/>
  <c r="AH158" i="12"/>
  <c r="AH162" i="12"/>
  <c r="AH163" i="14"/>
  <c r="AH157" i="14"/>
  <c r="AG160" i="12"/>
  <c r="AG164" i="14"/>
  <c r="AF276" i="19"/>
  <c r="AG165" i="14" s="1"/>
  <c r="AH10" i="55"/>
  <c r="AH155" i="12"/>
  <c r="AG312" i="20"/>
  <c r="AG317" i="20"/>
  <c r="BM14" i="55"/>
  <c r="BM16" i="55"/>
  <c r="BM11" i="55"/>
  <c r="BM13" i="55"/>
  <c r="BM12" i="55"/>
  <c r="BM15" i="55"/>
  <c r="AF12" i="55"/>
  <c r="AF13" i="55"/>
  <c r="AF16" i="55"/>
  <c r="AF14" i="55"/>
  <c r="AF11" i="55"/>
  <c r="AF15" i="55"/>
  <c r="AG163" i="12"/>
  <c r="AG157" i="12"/>
  <c r="AG16" i="55"/>
  <c r="AG15" i="55"/>
  <c r="AG14" i="55"/>
  <c r="AG12" i="55"/>
  <c r="AG13" i="55"/>
  <c r="AG11" i="55"/>
  <c r="AG163" i="14"/>
  <c r="AG157" i="14"/>
  <c r="AE161" i="14"/>
  <c r="AF157" i="12"/>
  <c r="AF163" i="12"/>
  <c r="AG259" i="54"/>
  <c r="BN78" i="51" s="1"/>
  <c r="BN77" i="51"/>
  <c r="BL10" i="55"/>
  <c r="BM6" i="55" l="1"/>
  <c r="BM7" i="55"/>
  <c r="AG7" i="55"/>
  <c r="AH164" i="12"/>
  <c r="AG318" i="20"/>
  <c r="AH165" i="12" s="1"/>
  <c r="AF159" i="12"/>
  <c r="BN74" i="51"/>
  <c r="AG253" i="54"/>
  <c r="BN10" i="55"/>
  <c r="AF20" i="55"/>
  <c r="AF19" i="55"/>
  <c r="AH157" i="12"/>
  <c r="AH163" i="12"/>
  <c r="AH11" i="55"/>
  <c r="AH15" i="55"/>
  <c r="AH12" i="55"/>
  <c r="AH14" i="55"/>
  <c r="AH13" i="55"/>
  <c r="AH16" i="55"/>
  <c r="AH159" i="14"/>
  <c r="BK20" i="55"/>
  <c r="BK19" i="55"/>
  <c r="AG19" i="55"/>
  <c r="AG20" i="55"/>
  <c r="AG6" i="55"/>
  <c r="BM20" i="55"/>
  <c r="BM19" i="55"/>
  <c r="BK6" i="55"/>
  <c r="AF7" i="55"/>
  <c r="AG159" i="12"/>
  <c r="AG159" i="14"/>
  <c r="AF6" i="55"/>
  <c r="AH160" i="12"/>
  <c r="BL13" i="55"/>
  <c r="BL16" i="55"/>
  <c r="BL11" i="55"/>
  <c r="BL12" i="55"/>
  <c r="BL14" i="55"/>
  <c r="BL15" i="55"/>
  <c r="BK7" i="55"/>
  <c r="BL6" i="55" l="1"/>
  <c r="AH6" i="55"/>
  <c r="AH7" i="55"/>
  <c r="AG161" i="14"/>
  <c r="AH161" i="14"/>
  <c r="AF161" i="12"/>
  <c r="AG161" i="12"/>
  <c r="AH159" i="12"/>
  <c r="BN15" i="55"/>
  <c r="BN14" i="55"/>
  <c r="BN16" i="55"/>
  <c r="BN12" i="55"/>
  <c r="BN13" i="55"/>
  <c r="BN11" i="55"/>
  <c r="BL20" i="55"/>
  <c r="BL19" i="55"/>
  <c r="BN76" i="51"/>
  <c r="BL7" i="55"/>
  <c r="AH19" i="55"/>
  <c r="AH20" i="55"/>
  <c r="AH161" i="12" l="1"/>
  <c r="BN20" i="55"/>
  <c r="BN19" i="55"/>
  <c r="BN6" i="55"/>
  <c r="BN7" i="5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tc={6ABB56AA-F2C7-4804-8D1E-BDF5F359084E}</author>
  </authors>
  <commentList>
    <comment ref="A8" authorId="0" shapeId="0" xr:uid="{6ABB56AA-F2C7-4804-8D1E-BDF5F359084E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 is NBM?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<sst xmlns="http://schemas.openxmlformats.org/spreadsheetml/2006/main" count="10504" uniqueCount="1474">
  <si>
    <t>World</t>
  </si>
  <si>
    <t>Agriculture</t>
  </si>
  <si>
    <t>Notes</t>
  </si>
  <si>
    <t>Ethylene</t>
  </si>
  <si>
    <t>Propylene</t>
  </si>
  <si>
    <t>Ethylene deivatives</t>
  </si>
  <si>
    <t>Sources</t>
  </si>
  <si>
    <t>Plastics Europe Chart</t>
  </si>
  <si>
    <t>LDPE/LLDPE</t>
  </si>
  <si>
    <t>HDPE</t>
  </si>
  <si>
    <t>Polypropylene</t>
  </si>
  <si>
    <t>Polystyrene</t>
  </si>
  <si>
    <t>Expanded Polystyrene</t>
  </si>
  <si>
    <t>Polyvinyl-chloride</t>
  </si>
  <si>
    <t>Polyethylene Terephthalate</t>
  </si>
  <si>
    <t>SAN &amp; ABS</t>
  </si>
  <si>
    <t>Polyethylene</t>
  </si>
  <si>
    <t>Packaging</t>
  </si>
  <si>
    <t>Ethylene Oxide</t>
  </si>
  <si>
    <t>Building &amp; Construction</t>
  </si>
  <si>
    <t>Ethylene Dichloride</t>
  </si>
  <si>
    <t>Automotive</t>
  </si>
  <si>
    <t>Ethyl Benzene</t>
  </si>
  <si>
    <t>Electrical &amp; Electronics</t>
  </si>
  <si>
    <t>Other</t>
  </si>
  <si>
    <t>Atzo Plastics &amp; Merchant Consulting Limited, 2021</t>
  </si>
  <si>
    <t>Household, leisure &amp; sports</t>
  </si>
  <si>
    <t>Others</t>
  </si>
  <si>
    <t xml:space="preserve">Uses of Polyethylene </t>
  </si>
  <si>
    <t>LDPE</t>
  </si>
  <si>
    <t>LLDPE</t>
  </si>
  <si>
    <t>Nexant and ChemVision, 2014</t>
  </si>
  <si>
    <t>Volumes</t>
  </si>
  <si>
    <t>PS/EPS</t>
  </si>
  <si>
    <t>PVC</t>
  </si>
  <si>
    <t>PET</t>
  </si>
  <si>
    <t>US</t>
  </si>
  <si>
    <t>2015 Guide to the Business of Chemistry, American Chemistry Council</t>
  </si>
  <si>
    <t>Europe</t>
  </si>
  <si>
    <t>Plastics- the Facts 2016, PlasticsEurope, 2016</t>
  </si>
  <si>
    <t>Share</t>
  </si>
  <si>
    <t>Electricl &amp; Electronics</t>
  </si>
  <si>
    <t>LDPE &amp; LLDPE</t>
  </si>
  <si>
    <t>TOTAL</t>
  </si>
  <si>
    <t>Uses of Ethylene Oxide</t>
  </si>
  <si>
    <t>Polyester</t>
  </si>
  <si>
    <t xml:space="preserve"> Of total global PET production, 30% goes into bottles and 60% into fibres</t>
  </si>
  <si>
    <t xml:space="preserve"> Ji, Li Na (June 2013). "Study on Preparation Process and Properties of Polyethylene Terephthalate (PET)". Applied Mechanics and Materials. 312: 406–410. Bibcode:2013AMM...312..406J. </t>
  </si>
  <si>
    <t>Derivative Shares</t>
  </si>
  <si>
    <t>Antifreeze</t>
  </si>
  <si>
    <t>IHS Markit</t>
  </si>
  <si>
    <t>Uses of Ethylene Dichloride</t>
  </si>
  <si>
    <t>https://www.marketresearchfuture.com/reports/ethylene-dichloride-market-2509</t>
  </si>
  <si>
    <t>Textiles</t>
  </si>
  <si>
    <t>Ethylene Shares</t>
  </si>
  <si>
    <t>Ethylene Second Derivatives</t>
  </si>
  <si>
    <t>Ethylene Demand by Sector</t>
  </si>
  <si>
    <t>WATERFALL</t>
  </si>
  <si>
    <t>Share of Propylene Demand</t>
  </si>
  <si>
    <t>Potential +/- in demand</t>
  </si>
  <si>
    <t>Source</t>
  </si>
  <si>
    <t>Packaging: Reduce and Reuse</t>
  </si>
  <si>
    <t>BPW</t>
  </si>
  <si>
    <t>Packaging: Substitution</t>
  </si>
  <si>
    <t>?</t>
  </si>
  <si>
    <t xml:space="preserve">UNFCC Fashion Industry Charter for Climate Action targets  </t>
  </si>
  <si>
    <t>Note this is textiles, not fibres (so apparel, not carpets)</t>
  </si>
  <si>
    <t>CAGR</t>
  </si>
  <si>
    <t>https://www.iea.org/reports/the-future-of-petrochemicals</t>
  </si>
  <si>
    <t>Ethylene breakdown by tiers 1 chemicals</t>
  </si>
  <si>
    <t>Polyethylene breakdown</t>
  </si>
  <si>
    <t>Ethylene Oxide Breakdown</t>
  </si>
  <si>
    <t>Ethylene dichloride Breakdown</t>
  </si>
  <si>
    <t>Styrene breakdown</t>
  </si>
  <si>
    <t>PS</t>
  </si>
  <si>
    <t>Ethylene breakdown by end products</t>
  </si>
  <si>
    <t>% ethylene by end products</t>
  </si>
  <si>
    <t>PET fibres</t>
  </si>
  <si>
    <t>Total</t>
  </si>
  <si>
    <t>Volumes -2020</t>
  </si>
  <si>
    <t>Volumes -2050</t>
  </si>
  <si>
    <t>Propylene Derivatives</t>
  </si>
  <si>
    <t>(applications)</t>
  </si>
  <si>
    <t>J. S. Plotkin, The Propylene Quandary, American Chemical Society, 2016</t>
  </si>
  <si>
    <t>SAN/ABS %</t>
  </si>
  <si>
    <t>Propenic Acid</t>
  </si>
  <si>
    <t>Fortune business Insights</t>
  </si>
  <si>
    <t>Propenonitrile</t>
  </si>
  <si>
    <t>Benzene</t>
  </si>
  <si>
    <t>(50% to ethylbenzene of which 100% to polystyrene)</t>
  </si>
  <si>
    <t>Epoxypropane</t>
  </si>
  <si>
    <t>Polyurethane, into furnishings</t>
  </si>
  <si>
    <t>https://polyurethane.americanchemistry.com/Applications/#:~:text=Polyurethane%2C%20mostly%20in%20the%20form,more%20durable%2C%20comfortable%20and%20supportive.</t>
  </si>
  <si>
    <t xml:space="preserve"> </t>
  </si>
  <si>
    <t>Butanol</t>
  </si>
  <si>
    <t>Paint</t>
  </si>
  <si>
    <t>Uses of Polypropylene</t>
  </si>
  <si>
    <t>Plastics Europe</t>
  </si>
  <si>
    <t>Propylene Shares</t>
  </si>
  <si>
    <t>Uses of Propenic Acid</t>
  </si>
  <si>
    <t>Animal feed additives</t>
  </si>
  <si>
    <t>https://ihsmarkit.com/products/propionic-acid-chemical-economics-handbook.html</t>
  </si>
  <si>
    <t>Food preservative</t>
  </si>
  <si>
    <t>Herbicides</t>
  </si>
  <si>
    <t>Uses of Propenonitrile</t>
  </si>
  <si>
    <t>https://www.essentialchemicalindustry.org/polymers/polypropenonitrile.html</t>
  </si>
  <si>
    <t>Acrylic fibres</t>
  </si>
  <si>
    <t>Nylon</t>
  </si>
  <si>
    <t>SAN/ABS</t>
  </si>
  <si>
    <t>Carbon fibre</t>
  </si>
  <si>
    <t>Propenamide</t>
  </si>
  <si>
    <t>Water treatment</t>
  </si>
  <si>
    <t>Propylene Demand by Sector</t>
  </si>
  <si>
    <t>Impact on Propylene Demand</t>
  </si>
  <si>
    <t>Auto: Electrification &amp; Lightweighting?</t>
  </si>
  <si>
    <t>https://auto.howstuffworks.com/fuel-efficiency/fuel-economy/carbon-fiber-oil-crisis2.htm</t>
  </si>
  <si>
    <t xml:space="preserve">There's been expectation for years that carbon fibre will become cheap enough to use in lightweighting cars but still not in sight.  Ten years ago, carbon fiber cost $150 a pound. Now, the price is around $10 a pound [source: Zoltek]. Steel, on the other hand, costs less than a dollar per pound. Many analysts say that for carbon fiber to make it into widespread use in cars, the price will have to drop to about $5 per pound [source: Oak Ridge National Laboratory]. </t>
  </si>
  <si>
    <t>XaaS Impact on Car Parc</t>
  </si>
  <si>
    <t>Auto: MaaS</t>
  </si>
  <si>
    <t xml:space="preserve">SYSTEMIQ, XaaS Report. (Contact Achim.Teuber@systemiq.earth) </t>
  </si>
  <si>
    <t>Savings from Higher Utilization</t>
  </si>
  <si>
    <t>Savings from Life Extension</t>
  </si>
  <si>
    <t>Building &amp; Consruction</t>
  </si>
  <si>
    <t>Total Savings</t>
  </si>
  <si>
    <t>FINAL NUMBERS</t>
  </si>
  <si>
    <t>% change</t>
  </si>
  <si>
    <t>%</t>
  </si>
  <si>
    <t>mT</t>
  </si>
  <si>
    <t>Demand 2020</t>
  </si>
  <si>
    <t>Economic &amp; Population Growth</t>
  </si>
  <si>
    <t>https://cdn.odi.org/media/documents/odi-et-cp-automotive-report-sep20-proof02_final2.pdf</t>
  </si>
  <si>
    <t>BAU 2050</t>
  </si>
  <si>
    <t>WEF (http://www3.weforum.org/docs/WEF_Forging_Ahead_2020.pdf)</t>
  </si>
  <si>
    <t>Blue</t>
  </si>
  <si>
    <t>MaaS</t>
  </si>
  <si>
    <t>XaaS</t>
  </si>
  <si>
    <t>Life Extension</t>
  </si>
  <si>
    <t>Substitution in cars</t>
  </si>
  <si>
    <t>NZ/CE 2050</t>
  </si>
  <si>
    <t>propylene</t>
  </si>
  <si>
    <t>PP</t>
  </si>
  <si>
    <t>PE</t>
  </si>
  <si>
    <t>Polyurethane</t>
  </si>
  <si>
    <t>% change Prop</t>
  </si>
  <si>
    <t>% change Eth</t>
  </si>
  <si>
    <t>BPW extrapolated to 2050 - separate model</t>
  </si>
  <si>
    <t>Elimination</t>
  </si>
  <si>
    <t>NBM and reuse</t>
  </si>
  <si>
    <t>Switch to paper</t>
  </si>
  <si>
    <t>Switch to compostables</t>
  </si>
  <si>
    <t>https://cdn.odi.org/media/documents/odi-et-cp-construction-report-sep20-proof04_final2.pdf</t>
  </si>
  <si>
    <t>Reduction</t>
  </si>
  <si>
    <t>Substitution</t>
  </si>
  <si>
    <t>Source: Sam Pickard and Samuel Sharp, Phasing out plastics, The construction sector, (2020)</t>
  </si>
  <si>
    <t>Mt</t>
  </si>
  <si>
    <t>Profiles</t>
  </si>
  <si>
    <t>Pipes, tubes, fittings</t>
  </si>
  <si>
    <t>Flooring Insulation</t>
  </si>
  <si>
    <t>Cabling</t>
  </si>
  <si>
    <t>Liners</t>
  </si>
  <si>
    <t>PUR</t>
  </si>
  <si>
    <t>Plastics use in buildings</t>
  </si>
  <si>
    <t>Pipes &amp; Ducts</t>
  </si>
  <si>
    <t>Insulation</t>
  </si>
  <si>
    <t>Roofing</t>
  </si>
  <si>
    <t>Windows</t>
  </si>
  <si>
    <t>Wall Coverings</t>
  </si>
  <si>
    <t>Ehtylene</t>
  </si>
  <si>
    <t>Scenario used for BAU</t>
  </si>
  <si>
    <t>Reduce</t>
  </si>
  <si>
    <t>Automotive industry</t>
  </si>
  <si>
    <t>m Tons</t>
  </si>
  <si>
    <t>Substitute</t>
  </si>
  <si>
    <t>High scenario</t>
  </si>
  <si>
    <t>Low scenario</t>
  </si>
  <si>
    <t>2020-2030 growth</t>
  </si>
  <si>
    <t>2030-2040 growth</t>
  </si>
  <si>
    <t>2040-2050 growth</t>
  </si>
  <si>
    <t>R&amp;S</t>
  </si>
  <si>
    <t>Sector demand BAU</t>
  </si>
  <si>
    <t>ICE to EV switch</t>
  </si>
  <si>
    <t>Ad. Sector demand BAU</t>
  </si>
  <si>
    <t>Life extension</t>
  </si>
  <si>
    <t>Eliminate</t>
  </si>
  <si>
    <t>Paper</t>
  </si>
  <si>
    <t>Compostables</t>
  </si>
  <si>
    <t>Limiting factors G: 40/70/80, Y 10/35/50, O: 1/7/10, R: 0</t>
  </si>
  <si>
    <t>Limiting factors G: 50/80/90, Y 20/50/70, O: 1/10/15, R: 0</t>
  </si>
  <si>
    <t>Ethylene - R</t>
  </si>
  <si>
    <t>Ehtylene - S</t>
  </si>
  <si>
    <t>Propylene - R</t>
  </si>
  <si>
    <t>Propylene - S</t>
  </si>
  <si>
    <t>S-curve - separate model</t>
  </si>
  <si>
    <t>Reuse and NBM</t>
  </si>
  <si>
    <t>Paper and coatings</t>
  </si>
  <si>
    <t>Construction industry</t>
  </si>
  <si>
    <t>Textile industry</t>
  </si>
  <si>
    <t>Solar and Wind</t>
  </si>
  <si>
    <t>Wind increase</t>
  </si>
  <si>
    <t>Solar increase</t>
  </si>
  <si>
    <t>Sector demand Post R&amp;S</t>
  </si>
  <si>
    <t>Waste reduction</t>
  </si>
  <si>
    <t>Waste red.</t>
  </si>
  <si>
    <t>NBM</t>
  </si>
  <si>
    <t>S</t>
  </si>
  <si>
    <t>New Business Models</t>
  </si>
  <si>
    <t>Source:</t>
  </si>
  <si>
    <t>https://eitrawmaterials.eu/wp-content/uploads/2020/04/rms_for_wind_and_solar_published_v2.pdf</t>
  </si>
  <si>
    <t>Average</t>
  </si>
  <si>
    <t>Turbine Power</t>
  </si>
  <si>
    <t>MW</t>
  </si>
  <si>
    <t>Weight</t>
  </si>
  <si>
    <t>tons</t>
  </si>
  <si>
    <t>% polymer composite</t>
  </si>
  <si>
    <t>Same numbers reported by CEFIC</t>
  </si>
  <si>
    <t>% carbon fibre glass</t>
  </si>
  <si>
    <t>https://windeurope.org/wp-content/uploads/files/about-wind/reports/WindEurope-Accelerating-wind-turbine-blade-circularity.pdf</t>
  </si>
  <si>
    <t>% steel and Aluminum</t>
  </si>
  <si>
    <t>% Other</t>
  </si>
  <si>
    <t>Source :ETC - SYSTEMIQ</t>
  </si>
  <si>
    <t>Δ</t>
  </si>
  <si>
    <t>Wind Turbine capacity</t>
  </si>
  <si>
    <t>Total reosurce needed</t>
  </si>
  <si>
    <t>Total polymer composite needed</t>
  </si>
  <si>
    <t>Assumptions</t>
  </si>
  <si>
    <t>% ethylene in polymer composite</t>
  </si>
  <si>
    <t>Assuming all turbines have the same ratio of polymer composite (~35%) regardless the core material of the blade (fibres, wood, etc …)</t>
  </si>
  <si>
    <t>Composite includes: epoxy, PET, PVC, PUR, etc …</t>
  </si>
  <si>
    <t>Assuming overall ethylene content is 30% (PET is 12.6%, PVC is 43.2%, epoxy &gt;30%, PUR &lt; 20%)</t>
  </si>
  <si>
    <t>Additional ethylene demand</t>
  </si>
  <si>
    <t>Add. Energy Sector demand</t>
  </si>
  <si>
    <t>From Data tab</t>
  </si>
  <si>
    <t>PV Panel Power</t>
  </si>
  <si>
    <t>% Ethyl Vinyl Acetate</t>
  </si>
  <si>
    <t>%Poly Vinyl Fluoride</t>
  </si>
  <si>
    <t>% Aluminimum and other metals</t>
  </si>
  <si>
    <t>% Other (mostly glass)</t>
  </si>
  <si>
    <t>Check</t>
  </si>
  <si>
    <t>Annual Delta</t>
  </si>
  <si>
    <t>PV Capacity</t>
  </si>
  <si>
    <t>Total polymer composites needed</t>
  </si>
  <si>
    <t>% ethylene in Ethyl Vinyl Acetate</t>
  </si>
  <si>
    <t>% ethylene in Poly Vinyl Fluoride</t>
  </si>
  <si>
    <t>Total resource needed</t>
  </si>
  <si>
    <t>Add. wind turbine capacity installed</t>
  </si>
  <si>
    <t>Add. polymer composite needed</t>
  </si>
  <si>
    <t>Add. resource needed</t>
  </si>
  <si>
    <t>PV capacity</t>
  </si>
  <si>
    <t>Add. PV capacity installed</t>
  </si>
  <si>
    <t>Additional demand</t>
  </si>
  <si>
    <t>Propylene - High circularity</t>
  </si>
  <si>
    <t>Baseline Propylene Production</t>
  </si>
  <si>
    <t>Post R&amp;S Propylene Production</t>
  </si>
  <si>
    <t>Ethylene - High circularity</t>
  </si>
  <si>
    <t>Post R&amp;S Ethylene Production</t>
  </si>
  <si>
    <t>Baseline Ethylene Production</t>
  </si>
  <si>
    <t>Ethylene - Low circularity</t>
  </si>
  <si>
    <t>Propylene - Low circularity</t>
  </si>
  <si>
    <t>Fashion on Climate (separate excel)</t>
  </si>
  <si>
    <t>R&amp;S Automotive industry</t>
  </si>
  <si>
    <t>R&amp;S Construction industry</t>
  </si>
  <si>
    <t>R&amp;S Textile industry</t>
  </si>
  <si>
    <t>Recycling Automotive</t>
  </si>
  <si>
    <t>Recycling  Construction</t>
  </si>
  <si>
    <t>Open Loop</t>
  </si>
  <si>
    <t>Closed Loop</t>
  </si>
  <si>
    <t>Closed Loop Recycling</t>
  </si>
  <si>
    <t>Sector Demand Post R&amp;S and Recycling</t>
  </si>
  <si>
    <t>Open Loop Recycling from Packaging</t>
  </si>
  <si>
    <t>Open Loop Recycling from Automotive</t>
  </si>
  <si>
    <t>Open Loop Recycling from Textile</t>
  </si>
  <si>
    <t>Plastic waste generation</t>
  </si>
  <si>
    <t>Assumed constant overtime</t>
  </si>
  <si>
    <t>Automotive plastic waste generation</t>
  </si>
  <si>
    <t>Construction plastic waste generation</t>
  </si>
  <si>
    <t>Other plastic waste generation</t>
  </si>
  <si>
    <t>% ethylene in automotive plastic waste</t>
  </si>
  <si>
    <t>% ethylene in construction plastic waste</t>
  </si>
  <si>
    <t>Ethylene-derived packaging waste generation post R&amp;S</t>
  </si>
  <si>
    <t>Ethylene-derived Automotive waste generation  post R&amp;S</t>
  </si>
  <si>
    <t>Ethylene-derived Construction waste generation post R&amp;S</t>
  </si>
  <si>
    <t>Ethylene-derived Textile waste generation post R&amp;S</t>
  </si>
  <si>
    <t>Ethylene R&amp;S reduction ratio for packaging production</t>
  </si>
  <si>
    <t>Ethylene R&amp;S reduction ratio for automotive production</t>
  </si>
  <si>
    <t>Ethylene R&amp;S reduction ratio for construction production</t>
  </si>
  <si>
    <t>Assuming no delay between production and waste</t>
  </si>
  <si>
    <t>Assuming 12 year delay between production and waste</t>
  </si>
  <si>
    <t>Assuming 30 year delay between production and waste</t>
  </si>
  <si>
    <t>Assuming 5 year delay between production and waste</t>
  </si>
  <si>
    <t>Assumptions per decade then extrapolated for individual years</t>
  </si>
  <si>
    <t>% share of automotive in plastic waste generation</t>
  </si>
  <si>
    <t>% share of building in plastic waste generation</t>
  </si>
  <si>
    <t>Consumer</t>
  </si>
  <si>
    <t>Transport</t>
  </si>
  <si>
    <t>Electrical</t>
  </si>
  <si>
    <t>Construction</t>
  </si>
  <si>
    <t>Industrial Machinary</t>
  </si>
  <si>
    <t>LDPE, LLDPE</t>
  </si>
  <si>
    <t>NOTE: these recycling rates are based on total polymers, not pure ethylene</t>
  </si>
  <si>
    <t>% ethylene in other plastic waste</t>
  </si>
  <si>
    <t>mT plastic waste</t>
  </si>
  <si>
    <t>mT ethylene</t>
  </si>
  <si>
    <t>Max Ethylene-derived from Automotive waste generation</t>
  </si>
  <si>
    <t>Max Ethylene-derived from Construction waste generation</t>
  </si>
  <si>
    <t>Max Ethylene-derived from other waste generation</t>
  </si>
  <si>
    <t>Ethylene R&amp;S reduction ratio for other production</t>
  </si>
  <si>
    <t>Ethylene-derived other waste generation post R&amp;S</t>
  </si>
  <si>
    <t>R&amp;S Other industry</t>
  </si>
  <si>
    <t>Recycling Other</t>
  </si>
  <si>
    <t>% propylene in automotive plastic waste</t>
  </si>
  <si>
    <t>% propylene in construction plastic waste</t>
  </si>
  <si>
    <t>% propylene in other plastic waste</t>
  </si>
  <si>
    <t>mT propylene</t>
  </si>
  <si>
    <t>Max propylene-derived from Automotive waste generation</t>
  </si>
  <si>
    <t>Max propylene-derived from Construction waste generation</t>
  </si>
  <si>
    <t>Max propylene-derived from other waste generation</t>
  </si>
  <si>
    <t>propylene R&amp;S reduction ratio for packaging production</t>
  </si>
  <si>
    <t>propylene R&amp;S reduction ratio for automotive production</t>
  </si>
  <si>
    <t>propylene R&amp;S reduction ratio for construction production</t>
  </si>
  <si>
    <t>propylene R&amp;S reduction ratio for other production</t>
  </si>
  <si>
    <t>propylene-derived packaging waste generation post R&amp;S</t>
  </si>
  <si>
    <t>propylene-derived Automotive waste generation  post R&amp;S</t>
  </si>
  <si>
    <t>propylene-derived Construction waste generation post R&amp;S</t>
  </si>
  <si>
    <t>propylene-derived Textile waste generation post R&amp;S</t>
  </si>
  <si>
    <t>propylene-derived other waste generation post R&amp;S</t>
  </si>
  <si>
    <t>PRODUCTION</t>
  </si>
  <si>
    <t>Yearly projection using 5-year CAGR from IEA scenarios</t>
  </si>
  <si>
    <t>https://advances.sciencemag.org/content/advances/suppl/2017/07/17/3.7.e1700782.DC1/1700782_SM.pdf</t>
  </si>
  <si>
    <t>Data excluding fibers</t>
  </si>
  <si>
    <t>Market Sector</t>
  </si>
  <si>
    <t>Transportation</t>
  </si>
  <si>
    <r>
      <rPr>
        <sz val="11"/>
        <rFont val="Calibri"/>
        <family val="2"/>
        <scheme val="minor"/>
      </rPr>
      <t>Building and
Construction</t>
    </r>
  </si>
  <si>
    <r>
      <rPr>
        <sz val="11"/>
        <rFont val="Calibri"/>
        <family val="2"/>
        <scheme val="minor"/>
      </rPr>
      <t>Electrical
/Electronic</t>
    </r>
  </si>
  <si>
    <r>
      <rPr>
        <sz val="11"/>
        <rFont val="Calibri"/>
        <family val="2"/>
        <scheme val="minor"/>
      </rPr>
      <t>Consumer &amp;
Institutional Products</t>
    </r>
  </si>
  <si>
    <r>
      <rPr>
        <sz val="11"/>
        <rFont val="Calibri"/>
        <family val="2"/>
        <scheme val="minor"/>
      </rPr>
      <t>Industrial
Machinery</t>
    </r>
  </si>
  <si>
    <t>Same data re-organized</t>
  </si>
  <si>
    <t>Consumer goods and institutional Products</t>
  </si>
  <si>
    <t>Market share</t>
  </si>
  <si>
    <t>calculated based on molar mass assuming 100% ethylene</t>
  </si>
  <si>
    <t xml:space="preserve">estimated </t>
  </si>
  <si>
    <t>CAGR methodology</t>
  </si>
  <si>
    <t>CAGR from BPW divided by 2</t>
  </si>
  <si>
    <t>CAGR from ODI divided by 2</t>
  </si>
  <si>
    <t>CAGR calculated from IEA demand projection</t>
  </si>
  <si>
    <t>CAGR from Fashion on Climate divided by 2</t>
  </si>
  <si>
    <t>propylene breakdown by tiers 1 chemicals</t>
  </si>
  <si>
    <t>Polypropylene breakdown</t>
  </si>
  <si>
    <t>propylene breakdown by end products</t>
  </si>
  <si>
    <t>% propylene by end products</t>
  </si>
  <si>
    <t>calculated based on molar mass assuming 100% propylene</t>
  </si>
  <si>
    <t>propylene Shares</t>
  </si>
  <si>
    <t>Cumene</t>
  </si>
  <si>
    <t>Propenic Acid Breakdown</t>
  </si>
  <si>
    <t>Cumene breakdown</t>
  </si>
  <si>
    <t>Phenol + Acetone</t>
  </si>
  <si>
    <t>https://www.chemicalsafetyfacts.org/cumene/</t>
  </si>
  <si>
    <t>https://www.researchgate.net/figure/Common-propylene-oxide-uses_fig1_269517484</t>
  </si>
  <si>
    <t>Propylene oxide</t>
  </si>
  <si>
    <t>Propylene glycol</t>
  </si>
  <si>
    <t>Glycol ether</t>
  </si>
  <si>
    <t>PP (ex-fibre)</t>
  </si>
  <si>
    <t>PP fibres</t>
  </si>
  <si>
    <t>Apparel</t>
  </si>
  <si>
    <t>assuming 0% goes to apparel</t>
  </si>
  <si>
    <t>Analysis of additional demand driven by solar energy growth</t>
  </si>
  <si>
    <t>IRENA for 2019, ETC for Projections</t>
  </si>
  <si>
    <t>https://www.plasticsinsight.com/resin-intelligence/resin-prices/ethylene-vinyl-acetate/</t>
  </si>
  <si>
    <t>calculated based on molar mass of poly(vinyl fluoride) assuming 1 ethylene per unit</t>
  </si>
  <si>
    <t>Analysis of additional demand driven by wind energy growth</t>
  </si>
  <si>
    <t>Source: Production, use, and fate of all plastics ever made, Roland Geyer, Jenna R. Jambeck, Kara Lavender Law, 2017</t>
  </si>
  <si>
    <t>assumption</t>
  </si>
  <si>
    <t>separate model from ETC</t>
  </si>
  <si>
    <t>Estimated in conjuction with XaaS team - SYSTEMIQ</t>
  </si>
  <si>
    <t>ICE to EV - LC</t>
  </si>
  <si>
    <t>ICE to EV - HC</t>
  </si>
  <si>
    <t>Source: BPW extrapolated to 2050 - separate model</t>
  </si>
  <si>
    <t>Source: BPW extrapolated to 2050 - separate model - calculated based on averages of low and high scenarios - separate model</t>
  </si>
  <si>
    <t>PET fibre breakdown</t>
  </si>
  <si>
    <t>Assuming 25% of textile is used by the construction industry: https://www.marketresearchfuture.com/reports/polyester-fiber-market-7295</t>
  </si>
  <si>
    <t>Assuming 25% of textile is used by others: https://www.marketresearchfuture.com/reports/polyester-fiber-market-7295</t>
  </si>
  <si>
    <t>R</t>
  </si>
  <si>
    <t>estimated</t>
  </si>
  <si>
    <t>Blanket R&amp;S: Estimated based on most conservative asusmptions from other sectors</t>
  </si>
  <si>
    <t>Apparel industry</t>
  </si>
  <si>
    <t>Weighted average CAGR from Eth and Prop from IEA</t>
  </si>
  <si>
    <t>R&amp;S Packaging &amp; consumer goods industry</t>
  </si>
  <si>
    <t>Recycling Packaging and Consumer goods</t>
  </si>
  <si>
    <t>% share of packaging and consumer goods in plastic waste generation</t>
  </si>
  <si>
    <t>% share of others waste generation</t>
  </si>
  <si>
    <t>% ethylene per polymer</t>
  </si>
  <si>
    <t>Normalized</t>
  </si>
  <si>
    <t>% ethylene per industry</t>
  </si>
  <si>
    <t>Assuming 100% fibres are PET</t>
  </si>
  <si>
    <t>Packaging + hh goods</t>
  </si>
  <si>
    <t>% ethylene in apparel plastic waste</t>
  </si>
  <si>
    <t>% share of apparel in plastic waste generation</t>
  </si>
  <si>
    <t>Apparel plastic waste generation</t>
  </si>
  <si>
    <t>Max Ethylene-derived from apparel waste generation</t>
  </si>
  <si>
    <t>Packaging and consumer goods plastic waste generation</t>
  </si>
  <si>
    <t>% ethylene in packaging and consumer goods plastic waste</t>
  </si>
  <si>
    <t>Max Ethylene-derived from packaging and consumer goods waste generation</t>
  </si>
  <si>
    <t>Total Ethylene production</t>
  </si>
  <si>
    <t>Total Ethylene remains in stock</t>
  </si>
  <si>
    <t>Ratio waste/production</t>
  </si>
  <si>
    <t>--&gt; means that the ratio is in average 80% - TRIANGULATION: Geyer et Al. estimated it at (4900 + 600 + 800)/8300 = 76% - So good !</t>
  </si>
  <si>
    <t>Ethylene R&amp;S reduction ratio for apparel production</t>
  </si>
  <si>
    <t>Manual calculation - each row and each cell is different C42:AG46</t>
  </si>
  <si>
    <t>Geyer et al (2017)</t>
  </si>
  <si>
    <t>Closed Loop recycling rates from packaging and consummer goods</t>
  </si>
  <si>
    <t>Overall recycling rates from packaging and consummer goods</t>
  </si>
  <si>
    <t>Open Loop recycling rates from packaging and consummer goods</t>
  </si>
  <si>
    <t>Assuming left over</t>
  </si>
  <si>
    <t>Recycling rate from OECD report: Improving Markets for Recycled Plastics, 2018. 2.5% for Australia, and xx% from EU (BPWE team). Target of 44% from EMF (via ODI report). Assuming growth rate is similar as packaging</t>
  </si>
  <si>
    <t>Overall recycling rates from automotive</t>
  </si>
  <si>
    <t>% recycling which is closed Loop from automotive</t>
  </si>
  <si>
    <t>% recycling which is open Loop from automotive</t>
  </si>
  <si>
    <t>PACKAGING AND CONSUMMER GOODS RECYCLING RATES</t>
  </si>
  <si>
    <t>Plastic waste generation (check)</t>
  </si>
  <si>
    <t>Total (check)</t>
  </si>
  <si>
    <t>Total ethylene-derived plastic waste generated</t>
  </si>
  <si>
    <t>Total Ethylene-derived waste geenration post R&amp;S</t>
  </si>
  <si>
    <t>AUTOMOTIVE RECYCLING RATES</t>
  </si>
  <si>
    <t>% Open Loop to construction</t>
  </si>
  <si>
    <t>% recycling rate of Packaging and consummer goods to textile (via Open loop)</t>
  </si>
  <si>
    <t>% recycling rate of Packaging and consummer goods to other (via Open Loop)</t>
  </si>
  <si>
    <t>% recycling rate of Packaging and consummer goods to construction (via Open Loop)</t>
  </si>
  <si>
    <t>% recycling rate of Automotive to construction (via Open loop)</t>
  </si>
  <si>
    <t>% recycling rate of Automotive to packaging and consummer goods (via Open Loop)</t>
  </si>
  <si>
    <t>% recycling rate of Automotive to others</t>
  </si>
  <si>
    <t>% open Loop to packaging and consummer goods (via Open Loop)</t>
  </si>
  <si>
    <t>% open loop to others</t>
  </si>
  <si>
    <t>Assuming constant overtime</t>
  </si>
  <si>
    <t>APPAREL RECYCLING RATES</t>
  </si>
  <si>
    <t>Apparel overall recycling rates</t>
  </si>
  <si>
    <t>% recycling which is closed Loop from apparel</t>
  </si>
  <si>
    <t>% recycling which is open Loop from apparel</t>
  </si>
  <si>
    <t>Closed Loop recycling rates from apparel</t>
  </si>
  <si>
    <t>Open Loop recycling rates from apparel</t>
  </si>
  <si>
    <t>EMF - A New Textile industry - 2018 // 2050 estimation from internal systemiq team</t>
  </si>
  <si>
    <t>EMF - A New Textile industry - 2018 (&lt;10% - estimated at 5%) // 2050 assuming ratio is the same as packaging for OL and CL (40/60)</t>
  </si>
  <si>
    <t>% recycling rate of apparel to construction (via Open loop)</t>
  </si>
  <si>
    <t>https://www.mckinsey.com/~/media/mckinsey/industries/retail/our%20insights/fashion%20on%20climate/fashion-on-climate-full-report.pdf</t>
  </si>
  <si>
    <t>calculation in a seaparate excel</t>
  </si>
  <si>
    <t>https://wrap.org.uk/sites/default/files/2020-10/WRAP_Plastics_market_situation_report.pdf</t>
  </si>
  <si>
    <t>Share of CL/OL for 2020 from WRAP - Plastic Market report for 2019 - share by 2050 from BPWE team. Assuming linear ramp up</t>
  </si>
  <si>
    <t>Estimated - based on EMF, WRAP and other reports saying that textiles are being recycled for insulation, matresses, industrial and cars textile/fillers.</t>
  </si>
  <si>
    <t>CONSTRUCTION RECYCLING RATES</t>
  </si>
  <si>
    <t>Recycling rate from OECD report: Improving Markets for Recycled Plastics, 2018. 2.5% for Australia, and xx% from EU (BPWE team). Confirmed by ODI paper (recycling rate &lt;2%). For 2050, assumed an average recycling from packaging and cars.</t>
  </si>
  <si>
    <t>OTHER RECYCLING RATES</t>
  </si>
  <si>
    <t>Other recycling rates</t>
  </si>
  <si>
    <t>Recycling rate from OECD report: Improving Markets for Recycled Plastics, 2018. ~5% for Australia used for 2020. Assuming 20% by 2050 as default value.</t>
  </si>
  <si>
    <t>OVERALL ETHYLENE-DERIVED RECYCLING RATES</t>
  </si>
  <si>
    <t>OVERALL PLASTIC RECYCLING RATES</t>
  </si>
  <si>
    <t>Adjusting factor for ethylene recycling rates</t>
  </si>
  <si>
    <t>Construction Closed Loop recycling rate</t>
  </si>
  <si>
    <t>Ethylene adjusted construction recycling rate</t>
  </si>
  <si>
    <t>No adjusting factor necessary given 100% of fibres are assumed to be PET</t>
  </si>
  <si>
    <t>No adjusting factor necessary given no data available for that sector</t>
  </si>
  <si>
    <t>Recycling rate adjusted for ethylene</t>
  </si>
  <si>
    <t>Volume to construction</t>
  </si>
  <si>
    <t>Volume to packaging</t>
  </si>
  <si>
    <t>Volume to other</t>
  </si>
  <si>
    <t>Volume to apparel</t>
  </si>
  <si>
    <t>Volumes to car</t>
  </si>
  <si>
    <t>Total volumes</t>
  </si>
  <si>
    <t>TRIANGULATION</t>
  </si>
  <si>
    <t>Seems about correct assuming textile downcycling does not happen in EU and car recycling is bigger in EU than globally</t>
  </si>
  <si>
    <t>total check</t>
  </si>
  <si>
    <t>From Plastics Europe facts 2020 (EU data for 2019)</t>
  </si>
  <si>
    <t>BPW extrapolated to 2050 (same growth rate used for 2040-2050 than 2030-2040) - data obtained for each decade and extrapolated (Scenario X master)</t>
  </si>
  <si>
    <t>Ethylene-adjusted Closed Loop recycling rates from packaging and consummer goods</t>
  </si>
  <si>
    <t>Ethylene-adjusted Open Loop recycling rates from packaging and consummer goods</t>
  </si>
  <si>
    <t>Ethylene-adjusted Overall recycling rates from packaging and consummer goods</t>
  </si>
  <si>
    <t>% Ethylene-adjusted recycling rate of Packaging and consummer goods to textile (via Open loop)</t>
  </si>
  <si>
    <t>% Ethylene-adjusted recycling rate of Packaging and consummer goods to other (via Open Loop)</t>
  </si>
  <si>
    <t>% Ethylene-adjusted recycling rate of Packaging and consummer goods to construction (via Open Loop)</t>
  </si>
  <si>
    <t>--&gt; triangulation - OECD report through Geyer et Al. estimate a global plastic recycling rate of of 18% globally which is assumed to be a high estimate and not account for losses (~20% for sorting and 20% for recycling) which leads to ~11.5% ! So we are in good ranges</t>
  </si>
  <si>
    <t>51% of recycled construction plastic is PE while only 18% of construction lastic is PE according to Plastic Europe (2018). So Adjusting factor is based on the ratio of those two numbers assuming to flatten overtime but remain higher than average: https://www.plasticseurope.org/application/files/6315/5730/5565/BC_Table.pdf</t>
  </si>
  <si>
    <t>Ethyelene derived recyclin is higher than average --&gt; realistic</t>
  </si>
  <si>
    <t xml:space="preserve">assuming absolute volumes are the same as HC </t>
  </si>
  <si>
    <t>Closed Loop recycling rates from automotive</t>
  </si>
  <si>
    <t>Open Loop recycling rates from automotive</t>
  </si>
  <si>
    <t>% propylene in packaging and consumer goods plastic waste</t>
  </si>
  <si>
    <t>% propylene in apparel plastic waste</t>
  </si>
  <si>
    <t>Max propylene-derived from packaging and consumer goods waste generation</t>
  </si>
  <si>
    <t>Max propylene-derived from apparel waste generation</t>
  </si>
  <si>
    <t>Total propylene-derived plastic waste generated</t>
  </si>
  <si>
    <t>Total propylene production</t>
  </si>
  <si>
    <t>Total propylene remains in stock</t>
  </si>
  <si>
    <t>propylene R&amp;S reduction ratio for apparel production</t>
  </si>
  <si>
    <t>Total propylene-derived waste geenration post R&amp;S</t>
  </si>
  <si>
    <t>Recycling rate adjusted for propylene</t>
  </si>
  <si>
    <t>Adjusting factor for propylene recycling rates</t>
  </si>
  <si>
    <t>propylene-adjusted Closed Loop recycling rates from packaging and consummer goods</t>
  </si>
  <si>
    <t>propylene-adjusted Open Loop recycling rates from packaging and consummer goods</t>
  </si>
  <si>
    <t>propylene-adjusted Overall recycling rates from packaging and consummer goods</t>
  </si>
  <si>
    <t>% propylene-adjusted recycling rate of Packaging and consummer goods to other (via Open Loop)</t>
  </si>
  <si>
    <t>% propylene-adjusted recycling rate of Packaging and consummer goods to construction (via Open Loop)</t>
  </si>
  <si>
    <t>NOTE: these recycling rates are based on total polymers, not pure propylene</t>
  </si>
  <si>
    <t>propylene adjusted construction recycling rate</t>
  </si>
  <si>
    <t>OVERALL propylene-DERIVED RECYCLING RATES</t>
  </si>
  <si>
    <t>% propylene per polymer</t>
  </si>
  <si>
    <t>Assuming 0% of apparel fibres are PP</t>
  </si>
  <si>
    <t>Assuming 100% of apparel fibres are PET</t>
  </si>
  <si>
    <t>Total propylene-derived waste generation</t>
  </si>
  <si>
    <t>Total Ethylene-derived waste generation</t>
  </si>
  <si>
    <t>n/a</t>
  </si>
  <si>
    <t>estimated and assumed constant</t>
  </si>
  <si>
    <t>23% of recycled construction plastic is PP while only 8% of construction plastic is PP according to Plastic Europe (2018). So Adjusting factor is based on the ratio of those two numbers assuming to flatten overtime but remain higher than average: https://www.plasticseurope.org/application/files/6315/5730/5565/BC_Table.pdf</t>
  </si>
  <si>
    <t>propylene-adjusted overall recycling rates from automotive</t>
  </si>
  <si>
    <t>propylene-adjusted Closed Loop recycling rates from automotive</t>
  </si>
  <si>
    <t>propylene-adjusted Open-Loop recycling rates from automotive</t>
  </si>
  <si>
    <t>% propylene-adjusted recycling rate of automotive to other (via Open Loop)</t>
  </si>
  <si>
    <t>% propylene-adjusted recycling rate of automotive to construction (via Open Loop)</t>
  </si>
  <si>
    <t>% propylene-adjusted recycling rate of automotive to packaging and consummer goods (via Open Loop)</t>
  </si>
  <si>
    <t>Propylene-adjusted overall recycling rates from automotive</t>
  </si>
  <si>
    <t>Propylene-adjusted closed-loop recycling rates from automotive</t>
  </si>
  <si>
    <t>Propylene-adjusted open-loop recycling rates from automotive</t>
  </si>
  <si>
    <t>% recycling rate of apparel to others</t>
  </si>
  <si>
    <t>Recycling Apparel</t>
  </si>
  <si>
    <t>Post R&amp;S Ethylene Demand</t>
  </si>
  <si>
    <t>Baseline Ethylene Demand</t>
  </si>
  <si>
    <t>Post R&amp;S and Recycling Ethylene Demand</t>
  </si>
  <si>
    <t>check 1</t>
  </si>
  <si>
    <t>check 2</t>
  </si>
  <si>
    <t>check 3</t>
  </si>
  <si>
    <t>check 4</t>
  </si>
  <si>
    <t>Total exclude negative from construction</t>
  </si>
  <si>
    <t>2020 Volumes</t>
  </si>
  <si>
    <t>Styrene</t>
  </si>
  <si>
    <t>Out of total</t>
  </si>
  <si>
    <t>Packaging and hh goods</t>
  </si>
  <si>
    <t>Ethylbenzene</t>
  </si>
  <si>
    <t>Ethylene glycol</t>
  </si>
  <si>
    <t>Ethoxylates</t>
  </si>
  <si>
    <t>Ethanolamines</t>
  </si>
  <si>
    <t>Polyethylene Glycol (PEG)</t>
  </si>
  <si>
    <t>Polyether Polyols</t>
  </si>
  <si>
    <t>Glycol: Pie chart for 2019 (analyzed usng plotdigitizer) https://pmrpressrelease.com/mono-ethylene-glycol-market-2019-industry-sales-supply-and-consumption-analysis-and-forecasts-to-2023/</t>
  </si>
  <si>
    <t>Ethylene Glycol Breakdown</t>
  </si>
  <si>
    <t>Triangulation</t>
  </si>
  <si>
    <t>in 2015</t>
  </si>
  <si>
    <t>Assuming a 3% CAGR</t>
  </si>
  <si>
    <t>from Supplementary information</t>
  </si>
  <si>
    <t>mT from Geyer et Al</t>
  </si>
  <si>
    <t>ok</t>
  </si>
  <si>
    <t>99% ethylbenzen is used to make styrene https://mcgroup.co.uk/researches/ethylbenzene-eb (pie chart analyzed using plotdigitizer)</t>
  </si>
  <si>
    <t>Ethylbenzen breakdown</t>
  </si>
  <si>
    <t>Delta</t>
  </si>
  <si>
    <t>https://www.expertmarketresearch.com/reports/styrenics-market (pie chart analyzed using plotdigitizer)</t>
  </si>
  <si>
    <t>mT from market research</t>
  </si>
  <si>
    <t>Wood MacKensie, https://www.woodmac.com/news/opinion/why-polyolefins-are-the-polymers-to-watch/</t>
  </si>
  <si>
    <t xml:space="preserve">other </t>
  </si>
  <si>
    <t>reycled</t>
  </si>
  <si>
    <t>bio</t>
  </si>
  <si>
    <t>Glycol Ethers</t>
  </si>
  <si>
    <t>calculated based on molar mass assuming 1 ethylene per unit (28) divided by average PVC unit (62.5)</t>
  </si>
  <si>
    <t>calculated based on molar mass assuming 1 ethylene per unit (28) divided by average PET unit (192)</t>
  </si>
  <si>
    <t>calculated based on molar mass assuming 1 ethylene per unit (28) divided by average PS unit (104.2)</t>
  </si>
  <si>
    <t>number ranges from 71 (https://www.businesswire.com/news/home/20170914005775/en/Global-Polyethylene-Terephtalate-Market-Report-2017---By-End-Use-Industries-Products-Regions---Research-and-Markets, 2020 projected using CAGR and 2016 value) to 80mT (https://www.mordorintelligence.com/industry-reports/polyethylene-terephtalate-market)</t>
  </si>
  <si>
    <t>https://www.statista.com/statistics/720296/global-polyvinyl-chloride-market-size-in-tons/ //  https://www.businesswire.com/news/home/20181024005331/en/Global-Polyvinyl-Chloride-PVC-Market-Size-Demand-Forecasts-Industry-Trends-and-Updates-2018-2025---ResearchAndMarkets.com</t>
  </si>
  <si>
    <t>Triangulation: HDPE: 42mT (2020): https://www.globenewswire.com/news-release/2020/07/08/2059505/0/en/Global-High-Density-Polyethylene-Industry.html</t>
  </si>
  <si>
    <t>Total ethylene needed</t>
  </si>
  <si>
    <t>Mechanical Recycling</t>
  </si>
  <si>
    <t>Post R&amp;S and Recycling Propylene Demand</t>
  </si>
  <si>
    <t>Triangulation 64% of PET production is fibres - ok - https://www.woodmac.com/news/opinion/ppe-is-giving-the-fibres-industry-some-protection-from-coronavirus/</t>
  </si>
  <si>
    <t>check</t>
  </si>
  <si>
    <t>Ethylene oxide: Pie chart for 2016: https://www.essentialchemicalindustry.org/chemicals/epoxyethane.html 
DO NOT USE: (analyzed usng plotdigitizer) https://www.marketresearchfuture.com/reports/ethylene-oxide-market-6989 --&gt; lead to a PET market size of 35mT which is too low (actual market is closer to 80mT) !!!</t>
  </si>
  <si>
    <t>EMF - A New Textile industry - 2018 (&lt;10% - estimated at 5% - EuraTex In EU has estimated at 10%: https://euratex.eu/wp-content/uploads/Recycling-Hubs-FIN-LQ.pdf // 2050: in EU the industry is targetting a 30% recycling rates for textiles</t>
  </si>
  <si>
    <t xml:space="preserve">Man made cellulosic fibres (including lyocel, viscose, etc … to substitute polyester): CAGR expected 5% from 6.5mT - assumed growth over 30 years and will substitute current fibres equally. So total market by 2050: 28mT. </t>
  </si>
  <si>
    <t>47mt of textile (53-6) growing at 2.1CAGR =  (source EMF)</t>
  </si>
  <si>
    <t>--&gt; 20% used</t>
  </si>
  <si>
    <t>Assuming 50% of textile is used by the apparel industry: https://www.marketresearchfuture.com/reports/polyester-fiber-market-7295: Clothing+hh textiles: match with EMF estimation of pET fibres.</t>
  </si>
  <si>
    <t>--&gt; reduction of building material is assumed to be only 22% in a circular scenario compare to BAU in the IRP scenario (based on minerals analysis) - assuming all material are equally impacted by this lever given it's densification. Consider low scenario as IRP does not reach net zero by 2050.</t>
  </si>
  <si>
    <t>Adjusted to account for the fact we are not considering substitution with metals (see below): https://cdn.odi.org/media/documents/odi-et-cp-construction-report-sep20-proof04_final2.pdf</t>
  </si>
  <si>
    <t>Reduction potential</t>
  </si>
  <si>
    <t>Substitution potential</t>
  </si>
  <si>
    <t>R&amp;S analysis</t>
  </si>
  <si>
    <t>Adjusted based on ODI paper to remove metal substitution (from 100% to 50%)</t>
  </si>
  <si>
    <t>Adjusted based on ODI paper to remove metal substitution (from 100% to 0%)</t>
  </si>
  <si>
    <t>Adjusted based on ODI paper toassume only 90% penetration (more conservative - based on Breaking the plastic wave penetration technology rates) (from 100% to 0%)</t>
  </si>
  <si>
    <t>Substituted volumes</t>
  </si>
  <si>
    <t>Volumes post reduce</t>
  </si>
  <si>
    <t>Ethylene [99.2] Polyethylene</t>
  </si>
  <si>
    <t>Ethylene [22.8] Ethylene Oxide</t>
  </si>
  <si>
    <t>Ethylene [19.5] Ethylene Dichloride</t>
  </si>
  <si>
    <t>Ethylene [9.8] Ethylbenzene</t>
  </si>
  <si>
    <t>Ethylene [11.4] Others</t>
  </si>
  <si>
    <t>Polyethylene [44.6] HDPE</t>
  </si>
  <si>
    <t>Polyethylene [54.6] LDPE</t>
  </si>
  <si>
    <t>Ethylene Oxide [3.8] PET</t>
  </si>
  <si>
    <t>Ethylene Oxide [6.9] PET fibres</t>
  </si>
  <si>
    <t>Ethylene Oxide [12.1] Others</t>
  </si>
  <si>
    <t>Ethylene Dichloride [18.7] PVC</t>
  </si>
  <si>
    <t>Ethylene Dichloride [0.8] Others</t>
  </si>
  <si>
    <t>Ethylbenzene [4.5] PS</t>
  </si>
  <si>
    <t>Ethylbenzene [5.3] Others</t>
  </si>
  <si>
    <t>Ethyelene recycling volumes</t>
  </si>
  <si>
    <t>Ethyelene recycling rates volumes (BAU)</t>
  </si>
  <si>
    <t>CAGR from BPW</t>
  </si>
  <si>
    <t>Buildings</t>
  </si>
  <si>
    <t>Propylene recycling volumes</t>
  </si>
  <si>
    <t>check sources: 87% PET according to https://www.essentialchemicalindustry.org/chemicals/ethane-1-2-diol.html</t>
  </si>
  <si>
    <t>include Acrylic Acid, Acrylates, Isopropanol; page 228 in https://publications.jrc.ec.europa.eu/repository/handle/JRC105767</t>
  </si>
  <si>
    <t>more niche: allyl chloride, allyl alcohol (via allyl chloride or propylene oxide), Epichlorohydrin, Propylene chlorohydrin, propylene carbonate (via propylene oxide), propylene glycol dinitrate (via propylene glycol), ethylene proplyene rubber</t>
  </si>
  <si>
    <t>Etylene Glycol</t>
  </si>
  <si>
    <t>Vinyl Chloride</t>
  </si>
  <si>
    <t>Ethyelene Dichloride</t>
  </si>
  <si>
    <t>Tiers 1</t>
  </si>
  <si>
    <t>Tiers 2</t>
  </si>
  <si>
    <t>Packaging &amp; consumer goods industry</t>
  </si>
  <si>
    <t>% change PET</t>
  </si>
  <si>
    <t>% change PE</t>
  </si>
  <si>
    <t>% change PVC</t>
  </si>
  <si>
    <t>% change Others</t>
  </si>
  <si>
    <t>Packaging &amp; HH goods</t>
  </si>
  <si>
    <t>Eth Ox</t>
  </si>
  <si>
    <t>Eth Cl2</t>
  </si>
  <si>
    <t>Polyether Polyol (--&gt; PUR)</t>
  </si>
  <si>
    <t>Recycling</t>
  </si>
  <si>
    <t>Landfill</t>
  </si>
  <si>
    <t>Incineration</t>
  </si>
  <si>
    <t>Dumpsite</t>
  </si>
  <si>
    <t>Open Burning</t>
  </si>
  <si>
    <t>Environmental leakage</t>
  </si>
  <si>
    <t>Ocean Leakage</t>
  </si>
  <si>
    <t>BAU - Plastic waste breakdown</t>
  </si>
  <si>
    <t>HC - Plastic waste breakdown</t>
  </si>
  <si>
    <t>Total Disposal + Leakage</t>
  </si>
  <si>
    <t>from BPW - assuming assuming goal achieved by 2040 are achieved by 2050.</t>
  </si>
  <si>
    <t>Collection rate</t>
  </si>
  <si>
    <t>Depolymerization technologies</t>
  </si>
  <si>
    <t>Dissolutions technologies</t>
  </si>
  <si>
    <t>x</t>
  </si>
  <si>
    <t>Available waste from high income</t>
  </si>
  <si>
    <t>Waste available for other technologies</t>
  </si>
  <si>
    <t>% PET from packaging and textile out of total recycling volumes</t>
  </si>
  <si>
    <t>% high value grades out of total</t>
  </si>
  <si>
    <t>To be calculated by the matrix</t>
  </si>
  <si>
    <t>Available waste from low income</t>
  </si>
  <si>
    <t>S curve formular from supply model</t>
  </si>
  <si>
    <t>a</t>
  </si>
  <si>
    <t>b</t>
  </si>
  <si>
    <t>c</t>
  </si>
  <si>
    <t>M</t>
  </si>
  <si>
    <t>Tons of waste collected as mixed</t>
  </si>
  <si>
    <t>Tons of waste collected as sorted</t>
  </si>
  <si>
    <t>Waste available for pyrolysis</t>
  </si>
  <si>
    <t>Waste available for gasification (incl. pyrolysis)</t>
  </si>
  <si>
    <t>Formal Collection (B1)</t>
  </si>
  <si>
    <t>Collected for recycling  (C1)</t>
  </si>
  <si>
    <t>Collected as mixed (C2)</t>
  </si>
  <si>
    <t>Sent to recycling (F1+F2)</t>
  </si>
  <si>
    <t>Losses from MRF (F3)</t>
  </si>
  <si>
    <t>Mixed sent to MRF (E3)</t>
  </si>
  <si>
    <t>Unformal Collection (B2+V1)</t>
  </si>
  <si>
    <t>Collection rate (A1+V1)</t>
  </si>
  <si>
    <t>Incineration (O)</t>
  </si>
  <si>
    <t>Landfill (N)</t>
  </si>
  <si>
    <t>Dumpsite (V0)</t>
  </si>
  <si>
    <t>Open Burning (S)</t>
  </si>
  <si>
    <t>Environmental leakage (T0)</t>
  </si>
  <si>
    <t>Ocean Leakage (W)</t>
  </si>
  <si>
    <t>Unformal to recycling (D1+D2)</t>
  </si>
  <si>
    <t>Unformal  to unsorted (D4)</t>
  </si>
  <si>
    <t>Mixed un-sorted (E1+E2)</t>
  </si>
  <si>
    <t>Losses from Recycling  (J1+I2)</t>
  </si>
  <si>
    <t xml:space="preserve">% waste collected from high income </t>
  </si>
  <si>
    <t>% waste collected from others</t>
  </si>
  <si>
    <t>Ethylene adjusted sent to recycling from MRF</t>
  </si>
  <si>
    <t>Ethylene adjusted sent to recycling from unformal</t>
  </si>
  <si>
    <t>Ethylene adjusted sent to recycling TOTAL</t>
  </si>
  <si>
    <t>Ethylene adjusted sent to MRF TOTAL</t>
  </si>
  <si>
    <t>Ethylene adjusted sent to MRF from mixed waste</t>
  </si>
  <si>
    <t>Ethylene adjusted sent to MRF from sorted at source</t>
  </si>
  <si>
    <t>Ethylene adjusted losses from MRF, unformal and recycling</t>
  </si>
  <si>
    <t>Etylene adjusted actual recycling TOTAL</t>
  </si>
  <si>
    <t>Waste assumed available for chemical recycling</t>
  </si>
  <si>
    <t>Assumption from BPWE: 80% of losses from recycling, MRF etc. would fit depol. and diss. Technologies given high quality required</t>
  </si>
  <si>
    <t>Assuming only 'sorted waste' can be applicable to pyrolysis</t>
  </si>
  <si>
    <t>Assuming sorted AND unsorted waste can be applicable for pyrolysis</t>
  </si>
  <si>
    <t>Estimated - assuming only high value grades are applicable for such technologies</t>
  </si>
  <si>
    <t>BPW assumes that unsorted waste at source cannot be recycled. Here we are taking the reverse approach to say that if we want to meet the above recycling rates, x mT of waste would need to come from unsorted waste. And recalculate the amont of unsorted waste sent to disposal without going through sorting facilities.</t>
  </si>
  <si>
    <t>Mixed sent disposal (E1+E2)</t>
  </si>
  <si>
    <t>Unformal  to disposal (D4)</t>
  </si>
  <si>
    <t>Ethylene-adjusted mixed waste to disposal</t>
  </si>
  <si>
    <t>S-Curve for technology ramp-up applied to diss. and depol.</t>
  </si>
  <si>
    <t>assuming non-hig oncome country S-Curve only start in 2035</t>
  </si>
  <si>
    <t>Waste generation</t>
  </si>
  <si>
    <t>Packaging &amp; consumer goods</t>
  </si>
  <si>
    <t>Source: PlasticEurope facts (2020) = 368mT in 2019</t>
  </si>
  <si>
    <t>Source for 2019: Textile exchange: https://www.google.com/url?sa=i&amp;url=https%3A%2F%2Fwww.eionet.europa.eu%2Fetcs%2Fetc-wmge%2Fproducts%2Fplastic-in-textiles-potentials-for-circularity-and-reduced-environmental-and-climate-impacts%2F%40%40download%2Ffile%2FETC_2.1.2.2._plastic%2520in%2520textiles_final_edited%2520for%2520website.pdf&amp;psig=AOvVaw2fSZcfQfIfe-D9DOy0aBnZ&amp;ust=1634650809630000&amp;source=images&amp;cd=vfe&amp;ved=2ahUKEwi7u_73itTzAhUH_IUKHcxmCIkQr4kDegQIARBo</t>
  </si>
  <si>
    <t>Fibre breakdown</t>
  </si>
  <si>
    <t>in 2019</t>
  </si>
  <si>
    <t>Normalized to include fibres</t>
  </si>
  <si>
    <t>from PE model</t>
  </si>
  <si>
    <t>From P model</t>
  </si>
  <si>
    <t>From Textile excange 2019</t>
  </si>
  <si>
    <t>Assuming CAGR is same as production</t>
  </si>
  <si>
    <t>Recyclate production</t>
  </si>
  <si>
    <t>Recycling rates</t>
  </si>
  <si>
    <t>Recyclate breakdown</t>
  </si>
  <si>
    <t>Fibres</t>
  </si>
  <si>
    <t>Same data as above reorganized to include apparel</t>
  </si>
  <si>
    <t>PP fibre breakdown could not be found - adjusted to be 40% auto, 40% building, 10% hh, and 10% others</t>
  </si>
  <si>
    <t>Data from closed LooP Partners</t>
  </si>
  <si>
    <t>Films</t>
  </si>
  <si>
    <t>Strapping</t>
  </si>
  <si>
    <t>Food Bottles</t>
  </si>
  <si>
    <t>Non-food bottles</t>
  </si>
  <si>
    <t>Lumber/decking</t>
  </si>
  <si>
    <t>B2B packaging (crates etc.)</t>
  </si>
  <si>
    <t>hh goods</t>
  </si>
  <si>
    <t>Exported</t>
  </si>
  <si>
    <t>2020 - Adjusting factors</t>
  </si>
  <si>
    <t>2020 - Adjusting factors by chemical</t>
  </si>
  <si>
    <t>Methanol</t>
  </si>
  <si>
    <t>Toluene</t>
  </si>
  <si>
    <t>Xylene</t>
  </si>
  <si>
    <t>Butadiene</t>
  </si>
  <si>
    <t>%E</t>
  </si>
  <si>
    <t>Adjusted total</t>
  </si>
  <si>
    <t>Adjusted recyclates</t>
  </si>
  <si>
    <t>Adjusted recycling rates</t>
  </si>
  <si>
    <t>Recyclates</t>
  </si>
  <si>
    <t>2050 - Adjusting factors by chemical</t>
  </si>
  <si>
    <t>If 0</t>
  </si>
  <si>
    <t>0-0.5</t>
  </si>
  <si>
    <t>0.5-0.9</t>
  </si>
  <si>
    <t>0.9-1.1</t>
  </si>
  <si>
    <t>&gt;1.1</t>
  </si>
  <si>
    <t>2050 - Recycling rates</t>
  </si>
  <si>
    <t>Molar mass ratios</t>
  </si>
  <si>
    <t>Share of chemical pr waste generated</t>
  </si>
  <si>
    <t>Open Loop to apparel</t>
  </si>
  <si>
    <t>CL</t>
  </si>
  <si>
    <t>OL to textiles</t>
  </si>
  <si>
    <t>OL to constrution</t>
  </si>
  <si>
    <t>OL to others</t>
  </si>
  <si>
    <t>same data reorganized</t>
  </si>
  <si>
    <t>Textile</t>
  </si>
  <si>
    <t>OL automotive</t>
  </si>
  <si>
    <t>Molar mass</t>
  </si>
  <si>
    <t>OL to construction</t>
  </si>
  <si>
    <t>OL packaging</t>
  </si>
  <si>
    <t>From CLP</t>
  </si>
  <si>
    <t>Unknown so assumed it is the same as recyclate production</t>
  </si>
  <si>
    <t>Assuming it's will be same as production</t>
  </si>
  <si>
    <t>Open Loop to automotive</t>
  </si>
  <si>
    <t>Open Loop to construction</t>
  </si>
  <si>
    <t>Open Loop to others</t>
  </si>
  <si>
    <t>% recycling rate of Packaging and consummer goods to automotive (via Open Loop)</t>
  </si>
  <si>
    <t>From CLP - assuming constant</t>
  </si>
  <si>
    <t>% Ethylene-adjusted recycling rate of Packaging and consummer goods to automotive (via Open Loop)</t>
  </si>
  <si>
    <t>Open Loop to packaging</t>
  </si>
  <si>
    <t>Adjusting factor</t>
  </si>
  <si>
    <t>Ethylene-adjusted CL</t>
  </si>
  <si>
    <t>Ethylene-adjusted OL</t>
  </si>
  <si>
    <t>Ethylene adjusted overall</t>
  </si>
  <si>
    <t>Ethylene adjusted OL to construction</t>
  </si>
  <si>
    <t>Ethylene adjusted OL to packaging</t>
  </si>
  <si>
    <t>Ethylene adjusted OL to others</t>
  </si>
  <si>
    <t>% PET from packaging and textile out of total waste volumes</t>
  </si>
  <si>
    <t>Depolymerization</t>
  </si>
  <si>
    <t>Dissolution</t>
  </si>
  <si>
    <t>Post R&amp;S and Recycling and chem. Recycling Ethylene Demand</t>
  </si>
  <si>
    <t>Technology not relevant for PP</t>
  </si>
  <si>
    <t>Assuming half of HC</t>
  </si>
  <si>
    <t>Propylene adjusted sent to recycling TOTAL</t>
  </si>
  <si>
    <t>Propylene adjusted sent to recycling from unformal</t>
  </si>
  <si>
    <t>Propylene adjusted sent to recycling from MRF</t>
  </si>
  <si>
    <t>Propylene adjusted sent to MRF TOTAL</t>
  </si>
  <si>
    <t>Propylene adjusted sent to MRF from sorted at source</t>
  </si>
  <si>
    <t>Propylene adjusted sent to MRF from mixed waste</t>
  </si>
  <si>
    <t>Propylene adjusted losses from MRF, unformal and recycling</t>
  </si>
  <si>
    <t>Propylene-adjusted mixed waste to disposal</t>
  </si>
  <si>
    <t>Propylene adjusted actual recycling TOTAL</t>
  </si>
  <si>
    <t>2020 unformal sector value adjusted to match recycling rate</t>
  </si>
  <si>
    <t>corrected to adjust for negative flow</t>
  </si>
  <si>
    <t>PUR &amp; Additives &amp; Other</t>
  </si>
  <si>
    <t>Additives</t>
  </si>
  <si>
    <t>Methanol - Plastics (excl ethylene propylene)</t>
  </si>
  <si>
    <t>Methanol - Fuel</t>
  </si>
  <si>
    <t>Assumption that all fuel in ICE, some fuel actually in home heating/cooking but assume same rate of decline towards 0 by 2050</t>
  </si>
  <si>
    <t>Fuel demand growth</t>
  </si>
  <si>
    <t>Switch from ICE to EV (Fuel demand reduction)</t>
  </si>
  <si>
    <t>ODI Check based on car numbers</t>
  </si>
  <si>
    <t>Switch from ICE to EV (Plastics increase)</t>
  </si>
  <si>
    <t>Share of methanol fuel in ICE</t>
  </si>
  <si>
    <t>Assumption</t>
  </si>
  <si>
    <t>Share of methanol fuel in heating combustion</t>
  </si>
  <si>
    <t>Substitution in cars due to BEV</t>
  </si>
  <si>
    <t>Substitution in heating due to electrification &amp; development</t>
  </si>
  <si>
    <t>NZ/CE 2050 demand for fuel application</t>
  </si>
  <si>
    <t>Demand reduction for methanol for fuel applications</t>
  </si>
  <si>
    <t>Electrification of cooking appliances</t>
  </si>
  <si>
    <t>% change Meth</t>
  </si>
  <si>
    <t>Methanol (excl MTO)</t>
  </si>
  <si>
    <t>% change for all chemicals</t>
  </si>
  <si>
    <t>% methanol in Ethyl Vinyl Acetate</t>
  </si>
  <si>
    <t>t methanol / t acetic acid</t>
  </si>
  <si>
    <t>Vinyl Acetate</t>
  </si>
  <si>
    <t>t acetic acid / t vinylacetate</t>
  </si>
  <si>
    <t>t vinyl acetate / t PVA</t>
  </si>
  <si>
    <t>Acetic Acid</t>
  </si>
  <si>
    <t xml:space="preserve">t ethylene / t PVA </t>
  </si>
  <si>
    <t>Oxygen</t>
  </si>
  <si>
    <t>t methanol / t PVA</t>
  </si>
  <si>
    <t>t ethylene / t vinyl acetate</t>
  </si>
  <si>
    <t>t oxygen / t vinyl acetate</t>
  </si>
  <si>
    <t>t oxygen / t PVA</t>
  </si>
  <si>
    <t>check O2+methanol+ethylene</t>
  </si>
  <si>
    <t>Additional methanol demand</t>
  </si>
  <si>
    <t>% methanol in polymer compostive</t>
  </si>
  <si>
    <t>Assuming only methanol contribution is in resins (as very little in PET and none in PVC)</t>
  </si>
  <si>
    <t>Baseline Methanol Production (total)</t>
  </si>
  <si>
    <t>Baseline Methanol demand for BAU minus MTO - input for supply model</t>
  </si>
  <si>
    <t>Assuming the supply model will be calculating the MTO demand</t>
  </si>
  <si>
    <t>R&amp;S Automotive fuel</t>
  </si>
  <si>
    <t>Sector demand BAU (fuel)</t>
  </si>
  <si>
    <t>R&amp;S automotive fuel (BEV penetration)</t>
  </si>
  <si>
    <t>Fuel demand after R&amp;S</t>
  </si>
  <si>
    <t>Methanol demand minus MTO minus fuel</t>
  </si>
  <si>
    <t>MTO</t>
  </si>
  <si>
    <t>R&amp;S Automotive PU &amp; other polymers</t>
  </si>
  <si>
    <t>Sector demand BAU (PU &amp; other polymers)</t>
  </si>
  <si>
    <t>Fuel</t>
  </si>
  <si>
    <t>ICE to EV switch new polymer demand</t>
  </si>
  <si>
    <t>Sector demand BAU for other in niche polymers</t>
  </si>
  <si>
    <t>Post R&amp;S Methanol Production</t>
  </si>
  <si>
    <t>Post R&amp;S and Recycling Methanol Demand for PU &amp; other polymers &amp; other category</t>
  </si>
  <si>
    <t>Volumes -2020 (Mt methanol)</t>
  </si>
  <si>
    <t>% methanol per polymer</t>
  </si>
  <si>
    <t>% methanol per industry (EXCL MTO/MTX)</t>
  </si>
  <si>
    <t>based on share that does not stem from ethylene glycol assuming half of fibres goes to apparal</t>
  </si>
  <si>
    <t>Apparal</t>
  </si>
  <si>
    <t>Molar Masses</t>
  </si>
  <si>
    <t>Check polyurethane</t>
  </si>
  <si>
    <t>Formaldehyde</t>
  </si>
  <si>
    <t>Demand Polyurethane 2019 (Mt)</t>
  </si>
  <si>
    <t>https://en.wikipedia.org/wiki/Polyurethane</t>
  </si>
  <si>
    <t>If all from ethylene glycol, ethylene glycol demand (Mt)</t>
  </si>
  <si>
    <t>Aniline</t>
  </si>
  <si>
    <t>Other category ethylene glycol</t>
  </si>
  <si>
    <t>&gt; how much of it is antifreeze?</t>
  </si>
  <si>
    <t>MDI</t>
  </si>
  <si>
    <t>Ethylene Glycol</t>
  </si>
  <si>
    <t>Water</t>
  </si>
  <si>
    <t>Ethylene glycol for PU missing in olefin demand?</t>
  </si>
  <si>
    <t>Terephthalic Acid</t>
  </si>
  <si>
    <t>Dimethylterephthalate</t>
  </si>
  <si>
    <t>MMA</t>
  </si>
  <si>
    <t>Phenol</t>
  </si>
  <si>
    <t>Urea</t>
  </si>
  <si>
    <t>Route - methylene-diphenyl-diisocyanate  (2020 Volume Mt methanol)</t>
  </si>
  <si>
    <t>t Methanol/ t Formaldehyde</t>
  </si>
  <si>
    <r>
      <t>2 CH</t>
    </r>
    <r>
      <rPr>
        <vertAlign val="subscript"/>
        <sz val="11"/>
        <color rgb="FF202122"/>
        <rFont val="Arial"/>
        <family val="2"/>
      </rPr>
      <t>3</t>
    </r>
    <r>
      <rPr>
        <sz val="11"/>
        <color rgb="FF202122"/>
        <rFont val="Arial"/>
        <family val="2"/>
      </rPr>
      <t>OH + O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 → 2 CH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O + 2 H</t>
    </r>
    <r>
      <rPr>
        <vertAlign val="subscript"/>
        <sz val="11"/>
        <color rgb="FF202122"/>
        <rFont val="Arial"/>
        <family val="2"/>
      </rPr>
      <t>2</t>
    </r>
    <r>
      <rPr>
        <sz val="11"/>
        <color rgb="FF202122"/>
        <rFont val="Arial"/>
        <family val="2"/>
      </rPr>
      <t>O</t>
    </r>
  </si>
  <si>
    <t>t Formaldehyde / t methylene-diphenyl-diisocyanate</t>
  </si>
  <si>
    <t>Over-stochiometry for MDI vs. Ethylene glycol</t>
  </si>
  <si>
    <t>t methylene-diphenyl-diisocyanate / t Polyurethane</t>
  </si>
  <si>
    <t>t methanol / t Polyurethane</t>
  </si>
  <si>
    <t>Other Polymers</t>
  </si>
  <si>
    <t>PVA  (2020 Volume Mt methanol)</t>
  </si>
  <si>
    <t>2 Ethylene + 2 acetic acid + 1 O2 --&gt; 2 Vinyl Acetate + 2 H2O</t>
  </si>
  <si>
    <t>free radical polymerisation</t>
  </si>
  <si>
    <t>PMMA  (2020 Volume Mt methanol)</t>
  </si>
  <si>
    <t>t methanol / t MMA</t>
  </si>
  <si>
    <t>(CH3)2C(OSO3H)C(O)NH2 + CH3OH → CH2 =C(CH3)C(O)OCH3 + NH4HSO4</t>
  </si>
  <si>
    <t>MMA / PMMA</t>
  </si>
  <si>
    <t>radical polymerisation</t>
  </si>
  <si>
    <t>t methanol / t PPMA</t>
  </si>
  <si>
    <t>Phenolic Resins  (2020 Volume Mt methanol)</t>
  </si>
  <si>
    <t>t Formaldehyde / t resin</t>
  </si>
  <si>
    <t>t methanol / t phenolic resin</t>
  </si>
  <si>
    <t>Carbamide - Methanal Resins (2020 Volume Mt methanol)</t>
  </si>
  <si>
    <t>t Methanol / t mixed methylol carbamide</t>
  </si>
  <si>
    <t>t mixed methylol carbamide / t resin</t>
  </si>
  <si>
    <t>t Methanol / t resin</t>
  </si>
  <si>
    <t>Melamine Resins  (2020 Volume Mt methanol)</t>
  </si>
  <si>
    <t>t Methanol / t resin same as for carbamide-methanal resins</t>
  </si>
  <si>
    <t>https://www.essentialchemicalindustry.org/polymers/methanal-plastics.html</t>
  </si>
  <si>
    <t>Polyacetal resins  (2020 Volume Mt methanol)</t>
  </si>
  <si>
    <t>t formaldeyhde / t polyacetal</t>
  </si>
  <si>
    <t>weighed average t methanol / t other polymers</t>
  </si>
  <si>
    <t>PET from non-ethylene routes</t>
  </si>
  <si>
    <t>Acid Acid Route</t>
  </si>
  <si>
    <t>t methanol to acetic acid</t>
  </si>
  <si>
    <t>acetic acid to terephthalic acd (solvent use)</t>
  </si>
  <si>
    <t>"Approximately 5% of the acetic acid solvent is lost by decomposition or "burning"."</t>
  </si>
  <si>
    <t>https://en.wikipedia.org/wiki/Terephthalic_acid</t>
  </si>
  <si>
    <t>terephthalic acid to PET</t>
  </si>
  <si>
    <t>t methanol / t PET</t>
  </si>
  <si>
    <t>Dimethylterephthalate route</t>
  </si>
  <si>
    <t>t methanol to DMT</t>
  </si>
  <si>
    <t>Xylol, 2 O2, 2 MeOH --&gt; DMT + 4H2O</t>
  </si>
  <si>
    <t>DMT to PET</t>
  </si>
  <si>
    <t>weighed average t methanol / t PET</t>
  </si>
  <si>
    <t>Simplied?</t>
  </si>
  <si>
    <t>From</t>
  </si>
  <si>
    <t>To</t>
  </si>
  <si>
    <t>Alternative description (if other)</t>
  </si>
  <si>
    <t>Classification</t>
  </si>
  <si>
    <t>Percentage</t>
  </si>
  <si>
    <t>Amount (Mt Methanol)</t>
  </si>
  <si>
    <t>Stochiometry</t>
  </si>
  <si>
    <t>Mt starting material</t>
  </si>
  <si>
    <t>t starting material / t product</t>
  </si>
  <si>
    <t>Mt end product</t>
  </si>
  <si>
    <t>Colour</t>
  </si>
  <si>
    <t>Sankey Code</t>
  </si>
  <si>
    <t>Flows</t>
  </si>
  <si>
    <t>Major polymers</t>
  </si>
  <si>
    <t>#0000FF</t>
  </si>
  <si>
    <t>Minor polymers</t>
  </si>
  <si>
    <t>Yellow</t>
  </si>
  <si>
    <t>#FFFF00</t>
  </si>
  <si>
    <t>Methyl tert-Butyl Ether (MTBE)</t>
  </si>
  <si>
    <t>Default Flow</t>
  </si>
  <si>
    <t>Dark Grey</t>
  </si>
  <si>
    <t>#A9A9A9</t>
  </si>
  <si>
    <t>Brown</t>
  </si>
  <si>
    <t>#964B00</t>
  </si>
  <si>
    <t>Methyl Methacrylate (MMA)</t>
  </si>
  <si>
    <t>Purple</t>
  </si>
  <si>
    <t>#CC66FF</t>
  </si>
  <si>
    <t>Biodiesel</t>
  </si>
  <si>
    <t>Dimethylether (DME)</t>
  </si>
  <si>
    <t>Gasoline Blending &amp; Combustion</t>
  </si>
  <si>
    <t>Fuel Cells</t>
  </si>
  <si>
    <t>Row Labels</t>
  </si>
  <si>
    <t>Sum of Amount (Mt Methanol)</t>
  </si>
  <si>
    <t>Fuel blend</t>
  </si>
  <si>
    <t>Solvent</t>
  </si>
  <si>
    <t>(blank)</t>
  </si>
  <si>
    <t>Grand Total</t>
  </si>
  <si>
    <t>Carbamide-methanal resins (UF)</t>
  </si>
  <si>
    <t>Phenolic Resins (PF)</t>
  </si>
  <si>
    <t>Corrected</t>
  </si>
  <si>
    <t>Melamine Resins</t>
  </si>
  <si>
    <t>Major Polymers</t>
  </si>
  <si>
    <t>Polyacetal resins (polyoxymethylene)</t>
  </si>
  <si>
    <t>Minor Polymers</t>
  </si>
  <si>
    <t>Methylene diphenyl diisocyanate</t>
  </si>
  <si>
    <t>1,4-butanediol</t>
  </si>
  <si>
    <t>Polyethylene (PE)</t>
  </si>
  <si>
    <t>High-density Polyethylene (HDPE)</t>
  </si>
  <si>
    <t>Low-density Polyethylene (LDPE)</t>
  </si>
  <si>
    <t>Polyurethane (PU)</t>
  </si>
  <si>
    <t>Polyvinylchloride (PVC)</t>
  </si>
  <si>
    <t>Polystyrene (PS)</t>
  </si>
  <si>
    <t>Polypropylene (PP)</t>
  </si>
  <si>
    <t>Vinyl acetate monomer (VAM)</t>
  </si>
  <si>
    <t>Terephthalic acid</t>
  </si>
  <si>
    <t>Acetate esters</t>
  </si>
  <si>
    <t>Acetic anhydride</t>
  </si>
  <si>
    <t>Methyl Chlorides</t>
  </si>
  <si>
    <t>Methylamines</t>
  </si>
  <si>
    <t>Dimethyl terephthalate (DMT)</t>
  </si>
  <si>
    <t>Methanethiol</t>
  </si>
  <si>
    <t>Polymethyl methacrylate (PMMA)</t>
  </si>
  <si>
    <t>Polyvinyl acetate (PVA)</t>
  </si>
  <si>
    <t>Polyethylene terephthalate (PET)</t>
  </si>
  <si>
    <t>THF</t>
  </si>
  <si>
    <t>Polypropylene PP (ex-fibre)</t>
  </si>
  <si>
    <t>Polypropylene fibres</t>
  </si>
  <si>
    <t>Polyethylene terephthalate fibres (PET)</t>
  </si>
  <si>
    <t>Polyethylene terephthalate other (PET)</t>
  </si>
  <si>
    <t>Check methanol in all uses on right hand side</t>
  </si>
  <si>
    <t>% methanol in packaging and consumer goods plastic waste</t>
  </si>
  <si>
    <t>% methanol in automotive plastic waste</t>
  </si>
  <si>
    <t>% methanol in construction plastic waste</t>
  </si>
  <si>
    <t>% methanol in apparel plastic waste</t>
  </si>
  <si>
    <t>% methanol in other plastic waste</t>
  </si>
  <si>
    <t>Max methanol-derived from packaging and consumer goods waste generation</t>
  </si>
  <si>
    <t>mT methanol</t>
  </si>
  <si>
    <t>Max methanol-derived from Automotive waste generation</t>
  </si>
  <si>
    <t>Max methanol-derived from Construction waste generation</t>
  </si>
  <si>
    <t>Max methanol-derived from apparel waste generation</t>
  </si>
  <si>
    <t>Max methanol-derived from other waste generation</t>
  </si>
  <si>
    <t>Total methanol-derived plastic waste generated</t>
  </si>
  <si>
    <t>Total methanol-derived waste generation</t>
  </si>
  <si>
    <t>methanol R&amp;S reduction ratio for packaging production</t>
  </si>
  <si>
    <t>methanol R&amp;S reduction ratio for automotive production</t>
  </si>
  <si>
    <t>methanol R&amp;S reduction ratio for construction production</t>
  </si>
  <si>
    <t>methanol R&amp;S reduction ratio for apparel production</t>
  </si>
  <si>
    <t>methanol R&amp;S reduction ratio for other production</t>
  </si>
  <si>
    <t>methanol-derived packaging waste generation post R&amp;S</t>
  </si>
  <si>
    <t>methanol-derived Automotive waste generation  post R&amp;S</t>
  </si>
  <si>
    <t>methanol-derived Construction waste generation post R&amp;S</t>
  </si>
  <si>
    <t>methanol-derived Textile waste generation post R&amp;S</t>
  </si>
  <si>
    <t>methanol-derived other waste generation post R&amp;S</t>
  </si>
  <si>
    <t>Total methanol-derived waste geenration post R&amp;S</t>
  </si>
  <si>
    <t>Adjusting factor for methanol recycling rates</t>
  </si>
  <si>
    <t>used construction as proxy with optimistic assumption that recycling rates of all polymers will be around the same average by 2050</t>
  </si>
  <si>
    <t>methanol-adjusted Closed Loop recycling rates from packaging and consummer goods</t>
  </si>
  <si>
    <t>methanol-adjusted Open Loop recycling rates from packaging and consummer goods</t>
  </si>
  <si>
    <t>methanol-adjusted Overall recycling rates from packaging and consummer goods</t>
  </si>
  <si>
    <t>% methanol-adjusted recycling rate of Packaging and consummer goods to textile (via Open loop)</t>
  </si>
  <si>
    <t>% methanol-adjusted recycling rate of Packaging and consummer goods to other (via Open Loop)</t>
  </si>
  <si>
    <t>% methanol-adjusted recycling rate of Packaging and consummer goods to construction (via Open Loop)</t>
  </si>
  <si>
    <t>7.5% of PU and other plastics are mechanically recycled (compared to the average of 26%), ODI &amp; Plastics Europe https://www.plasticseurope.org/application/files/6315/5730/5565/BC_Table.pdf assumed increasing to 70% linearly by 2050</t>
  </si>
  <si>
    <t>methanol adjusted construction recycling rate</t>
  </si>
  <si>
    <t>OVERALL methanol-DERIVED RECYCLING RATES</t>
  </si>
  <si>
    <t>Methanol recycling volumes</t>
  </si>
  <si>
    <t>Methanol recycling rates volumes (BAU)</t>
  </si>
  <si>
    <t>Source/note</t>
  </si>
  <si>
    <t>Web-Digitizer</t>
  </si>
  <si>
    <t>Year</t>
  </si>
  <si>
    <t>Methanol Demand</t>
  </si>
  <si>
    <t>RTS Core</t>
  </si>
  <si>
    <t>RTS High</t>
  </si>
  <si>
    <t>Methanol Demand 2020</t>
  </si>
  <si>
    <t>PU</t>
  </si>
  <si>
    <t>Other polymers</t>
  </si>
  <si>
    <t>Sum of polymers</t>
  </si>
  <si>
    <t>Total Methanol Demand (2020) Mt</t>
  </si>
  <si>
    <t>Methanol Share</t>
  </si>
  <si>
    <t>Total plus others and fuel</t>
  </si>
  <si>
    <t>Automotive (Plastic)</t>
  </si>
  <si>
    <t>Other polymer use sector</t>
  </si>
  <si>
    <t>Automotive (Fuel)</t>
  </si>
  <si>
    <t>Other non-polymer use sector</t>
  </si>
  <si>
    <t>Interior</t>
  </si>
  <si>
    <t>Exterior</t>
  </si>
  <si>
    <t>Under the hood</t>
  </si>
  <si>
    <t>Electric/light</t>
  </si>
  <si>
    <t>Ethylene in Transportation</t>
  </si>
  <si>
    <t>Methanol Demand IEA for files</t>
  </si>
  <si>
    <t>Fuel Demand WEO 2017</t>
  </si>
  <si>
    <t>LCV</t>
  </si>
  <si>
    <t>MFT</t>
  </si>
  <si>
    <t>HFT</t>
  </si>
  <si>
    <t>methanol-adjusted Closed Loop recycling rates from tranportation</t>
  </si>
  <si>
    <t>methanol-adjusted Open Loop recycling rates from transportation</t>
  </si>
  <si>
    <t>methanol-adjusted Overall recycling rates from transportation</t>
  </si>
  <si>
    <t>methanol-adjusted % recycling rate of Automotive to construction (via Open loop)</t>
  </si>
  <si>
    <t>methanol adjusted % recycling rate of Automotive to packaging and consummer goods (via Open Loop)</t>
  </si>
  <si>
    <t>methanol adjusted % recycling rate of Automotive to others</t>
  </si>
  <si>
    <t>methanol-adjusted % recycling rate of Apparel to construction (via Open loop)</t>
  </si>
  <si>
    <t>methanol adjusted % recycling rate of Apparel to others</t>
  </si>
  <si>
    <t>OTHERs</t>
  </si>
  <si>
    <t>Add. Closed Loop</t>
  </si>
  <si>
    <t>OL - to textiles</t>
  </si>
  <si>
    <t>OL - to others</t>
  </si>
  <si>
    <t>OL - to construction</t>
  </si>
  <si>
    <t>Add. OL - to textiles</t>
  </si>
  <si>
    <t>Add. OL - to others</t>
  </si>
  <si>
    <t>Add. OL - to construction</t>
  </si>
  <si>
    <t>OL - to packaging</t>
  </si>
  <si>
    <t>Add. OL - to packaging</t>
  </si>
  <si>
    <t>OL - to automotive</t>
  </si>
  <si>
    <t>Add. OL - to automotive</t>
  </si>
  <si>
    <t>% methanol-adjusted recycling rate of Packaging and consummer goods to automotive (via Open Loop)</t>
  </si>
  <si>
    <t>CAGRs from Olefin work; assumption for others and fuel to tweak to get to 182 in cell AN 25 in the Yearly HC Methanol sheet</t>
  </si>
  <si>
    <t>methanol adjusted actual recycling TOTAL</t>
  </si>
  <si>
    <t>methanol adjusted sent to recycling TOTAL</t>
  </si>
  <si>
    <t>methanol adjusted sent to recycling from unformal</t>
  </si>
  <si>
    <t>methanol adjusted sent to recycling from MRF</t>
  </si>
  <si>
    <t>methanol adjusted sent to MRF TOTAL</t>
  </si>
  <si>
    <t>methanol adjusted sent to MRF from sorted at source</t>
  </si>
  <si>
    <t>methanol adjusted sent to MRF from mixed waste</t>
  </si>
  <si>
    <t>methanol adjusted losses from MRF, unformal and recycling</t>
  </si>
  <si>
    <t>methanol-adjusted mixed waste to disposal</t>
  </si>
  <si>
    <t>Methanol (fuel)</t>
  </si>
  <si>
    <t>Methanol - R</t>
  </si>
  <si>
    <t>Methanol - S</t>
  </si>
  <si>
    <t>% change others</t>
  </si>
  <si>
    <t>%change methanol</t>
  </si>
  <si>
    <t>Open Loop Recycling from Apparel</t>
  </si>
  <si>
    <t>HIGH CIRCULARITY</t>
  </si>
  <si>
    <t>LOW CIRCULARITY</t>
  </si>
  <si>
    <t>% methanol in PET</t>
  </si>
  <si>
    <t>Classification 2.0</t>
  </si>
  <si>
    <t>Major pol</t>
  </si>
  <si>
    <t>other</t>
  </si>
  <si>
    <t>Final or intermediate</t>
  </si>
  <si>
    <t>F</t>
  </si>
  <si>
    <t>I</t>
  </si>
  <si>
    <t>Post R&amp;S and Recycling and chem. Recycling Propylene Demand</t>
  </si>
  <si>
    <t>p-Xylene</t>
  </si>
  <si>
    <t>o-Xylene</t>
  </si>
  <si>
    <t>m-Xylene</t>
  </si>
  <si>
    <t>From Peter Levi / J. Cullen paper: https://pubs.acs.org/doi/suppl/10.1021/acs.est.7b04573/suppl_file/es7b04573_si_001.pdf</t>
  </si>
  <si>
    <t>Benzene Tiers 1 chemicals</t>
  </si>
  <si>
    <t>Source : for 2021 https://mcgroup.co.uk/researches/benzene</t>
  </si>
  <si>
    <t>Ehtyl benzene</t>
  </si>
  <si>
    <t>Cyclohexane</t>
  </si>
  <si>
    <t>Total volumes 2020</t>
  </si>
  <si>
    <t>% ethylene in ehtyl-benzene</t>
  </si>
  <si>
    <t>% benzene in ethyl-benzene</t>
  </si>
  <si>
    <t>Calculated based on ethylene - from source number is 52.1% which is ok</t>
  </si>
  <si>
    <t>% propylene in cumene</t>
  </si>
  <si>
    <t>% benzene in cumene</t>
  </si>
  <si>
    <t>Calculated based on propylene - from source number is 18.9% which is not great but not use for the model</t>
  </si>
  <si>
    <t>Mass balance assumptions</t>
  </si>
  <si>
    <t>https://marketersmedia.com/toluene-market-global-price-trend-2019-demand-overview-report-size-estimation-industry-share-business-opportunity-and-growth-forecast-2023/467668</t>
  </si>
  <si>
    <t>https://icrowdnewswire.com/2020/07/07/paraxylene-market-top-companies-business-application-growth-driver-price-trends-covid-19-outbreak-and-forecast-2025/</t>
  </si>
  <si>
    <t>Toluene - Tiers 1 chemicals</t>
  </si>
  <si>
    <t>Toluene diisocyanate</t>
  </si>
  <si>
    <t>Conversion to B and X</t>
  </si>
  <si>
    <t>Toluene as solvent</t>
  </si>
  <si>
    <t>Toluene for gasoline blend</t>
  </si>
  <si>
    <t>https://www.mordorintelligence.com/industry-reports/toluene-diisocyanate-market</t>
  </si>
  <si>
    <t>p-Xylene - Tiers 1 chemicals</t>
  </si>
  <si>
    <t>% ethylene in PET</t>
  </si>
  <si>
    <t>% Methanol in PET</t>
  </si>
  <si>
    <t>% xylene in PET</t>
  </si>
  <si>
    <t>% others in PET</t>
  </si>
  <si>
    <t>1 unit of PET C10H8O4</t>
  </si>
  <si>
    <t>--&gt; come from oxygene</t>
  </si>
  <si>
    <t>--&gt; calculated from ethylene (external source says 80/20 split which is ok)</t>
  </si>
  <si>
    <t>o-Xylene - Tiers 1 chemicals</t>
  </si>
  <si>
    <t>Phtalic Anhydride</t>
  </si>
  <si>
    <t>Bactericides</t>
  </si>
  <si>
    <t>Oil Additives</t>
  </si>
  <si>
    <t>Xylidine</t>
  </si>
  <si>
    <t>Solvents</t>
  </si>
  <si>
    <t>https://www.mordorintelligence.com/industry-reports/ortho-xylene-market</t>
  </si>
  <si>
    <t>Plasticizer</t>
  </si>
  <si>
    <t>Flame retardant</t>
  </si>
  <si>
    <t>Dyes/pigments</t>
  </si>
  <si>
    <t>Isophthalic acid</t>
  </si>
  <si>
    <t>Isophthalic Acid</t>
  </si>
  <si>
    <t>Polyester resins</t>
  </si>
  <si>
    <t>Alkyd resin</t>
  </si>
  <si>
    <t>m-Xylene - Tiers 1 chemicals</t>
  </si>
  <si>
    <t>PET copolymers</t>
  </si>
  <si>
    <t>Polyamide</t>
  </si>
  <si>
    <t>Adhesives</t>
  </si>
  <si>
    <t>https://marketersmedia.com/phthalic-anhydride-market-size-industry-survey-competitive-trends-outlook-and-forecasts-2019-to-2023/88920301</t>
  </si>
  <si>
    <t xml:space="preserve">  </t>
  </si>
  <si>
    <t>https://www.mordorintelligence.com/industry-reports/meta-xylene-market</t>
  </si>
  <si>
    <t>https://www.marketintellica.com/report/MI19276-purifed-isophthalic-acid-market-research-global</t>
  </si>
  <si>
    <t>DMI</t>
  </si>
  <si>
    <t>https://mcgroup.co.uk/researches/aniline</t>
  </si>
  <si>
    <t>% benzene in PUR</t>
  </si>
  <si>
    <t>PUR - MDI</t>
  </si>
  <si>
    <t>PUR - TDI</t>
  </si>
  <si>
    <t>90% of PUR is made from polyether alcohol</t>
  </si>
  <si>
    <t>from propylene</t>
  </si>
  <si>
    <t>from ethylene</t>
  </si>
  <si>
    <t>% benzene in MDI</t>
  </si>
  <si>
    <t>% methanol in MDI</t>
  </si>
  <si>
    <t>% others in MDI</t>
  </si>
  <si>
    <t>t aniline / t MDI</t>
  </si>
  <si>
    <t>t benzene / t nitrobenzene</t>
  </si>
  <si>
    <t>t nitrobenzene / t aniline</t>
  </si>
  <si>
    <t>MDI mass</t>
  </si>
  <si>
    <t>TDI mass</t>
  </si>
  <si>
    <t>% toluene in TDI</t>
  </si>
  <si>
    <t>% others</t>
  </si>
  <si>
    <t>Global polyurethane production</t>
  </si>
  <si>
    <t>Calculated based on methanol MDI production - from source number is 9.3% which is not great but ok</t>
  </si>
  <si>
    <t>to account for other alcohol used (i.e. 1,4-butanediol)</t>
  </si>
  <si>
    <t>to account for other isocyante used</t>
  </si>
  <si>
    <t>Global polyurethane production from model</t>
  </si>
  <si>
    <t>TRIANGULATION PUR</t>
  </si>
  <si>
    <t>Demand by polymer type</t>
  </si>
  <si>
    <t>Toulene</t>
  </si>
  <si>
    <t>DMT to others</t>
  </si>
  <si>
    <t>DMT to PBT</t>
  </si>
  <si>
    <t>Source DMT: https://www.marketintellica.com/report/MI44945-dimethyl-terephthalate-dmt-market-research-global</t>
  </si>
  <si>
    <t>% benzene per polymer</t>
  </si>
  <si>
    <t>% toluene in PUR</t>
  </si>
  <si>
    <t>% x in minor polymers</t>
  </si>
  <si>
    <t>Sum of minor polymers</t>
  </si>
  <si>
    <t>Post R&amp;S and Recycling and chem. Recycling Methanol Demand</t>
  </si>
  <si>
    <t>Post R&amp;S and Recycling and chem. Recycling Methanol Demand (plus MTO in 2020, excl after)</t>
  </si>
  <si>
    <t>BTX</t>
  </si>
  <si>
    <t>Baseline BTX Production (total)</t>
  </si>
  <si>
    <t>Xylenes</t>
  </si>
  <si>
    <t>Post Toluene Conversion</t>
  </si>
  <si>
    <t>Pre Toluene Conversion</t>
  </si>
  <si>
    <t>Pre Toluene Conversion --&gt; to be used for Supply model</t>
  </si>
  <si>
    <t>Post Toluene Conversion --&gt; to be used for Demand model</t>
  </si>
  <si>
    <t>Differenc eof 1.2mT between Pre and post due to the formation of by-products</t>
  </si>
  <si>
    <t>Table S11 and S12</t>
  </si>
  <si>
    <t>m-Xylene adjusted so it is only produced from Cracker so difference rise to 3mT</t>
  </si>
  <si>
    <t>% Benzene</t>
  </si>
  <si>
    <t>% Toluene</t>
  </si>
  <si>
    <t>% Xylenes</t>
  </si>
  <si>
    <t>% Butadiene</t>
  </si>
  <si>
    <t>None</t>
  </si>
  <si>
    <t>Assuming only benzene contribution is PUR (so 25% of polymer composite is PUR and 50% of PUR is benzene)</t>
  </si>
  <si>
    <t>Assuming only xylene contribution is PET (so 25% of polymer composite is PET and 52% of PET is Xylene)</t>
  </si>
  <si>
    <t>Additional Benzene demand</t>
  </si>
  <si>
    <t>Additional xylene demand</t>
  </si>
  <si>
    <t>% Toluene per polymer</t>
  </si>
  <si>
    <t>% Xylenes per polymer</t>
  </si>
  <si>
    <t>DMT split is 50:50</t>
  </si>
  <si>
    <t>Toluene conversion</t>
  </si>
  <si>
    <t xml:space="preserve">converted </t>
  </si>
  <si>
    <t>Conversion product</t>
  </si>
  <si>
    <t>assuming no PUR or PS fibres</t>
  </si>
  <si>
    <t>based on fibre production and 50% going to apparel</t>
  </si>
  <si>
    <t>Volumes -2020 (Mt xylenel)</t>
  </si>
  <si>
    <t>Volumes -2020 (Mt toluene)</t>
  </si>
  <si>
    <t>Volumes -2020 (Mt benzene)</t>
  </si>
  <si>
    <t>Benzene Shares</t>
  </si>
  <si>
    <t>Toluene Shares</t>
  </si>
  <si>
    <t>CAGR from BPW divided by 3</t>
  </si>
  <si>
    <t>CAGR from ODI divided by 3</t>
  </si>
  <si>
    <t>CAGR from Fashion on Climate divided by 3</t>
  </si>
  <si>
    <t>Xylene Shares</t>
  </si>
  <si>
    <t>% change Benzene</t>
  </si>
  <si>
    <t>% change Toluene</t>
  </si>
  <si>
    <t>% change Xylene</t>
  </si>
  <si>
    <t>Benzene - R</t>
  </si>
  <si>
    <t>Benzene - S</t>
  </si>
  <si>
    <t>Toluene - R</t>
  </si>
  <si>
    <t>Toluene - S</t>
  </si>
  <si>
    <t>Xylenes - R</t>
  </si>
  <si>
    <t>Xylenes - S</t>
  </si>
  <si>
    <t>BTX demand minus fuel</t>
  </si>
  <si>
    <t>R&amp;S Automotive</t>
  </si>
  <si>
    <t>Post R&amp;S BTX Production</t>
  </si>
  <si>
    <t>% BTX in packaging and consumer goods plastic waste</t>
  </si>
  <si>
    <t>% BTX in automotive plastic waste</t>
  </si>
  <si>
    <t>% BTX in construction plastic waste</t>
  </si>
  <si>
    <t>% BTX in apparel plastic waste</t>
  </si>
  <si>
    <t>% BTX in other plastic waste</t>
  </si>
  <si>
    <t>Max BTX-derived from packaging and consumer goods waste generation</t>
  </si>
  <si>
    <t>Max BTX-derived from Automotive waste generation</t>
  </si>
  <si>
    <t>Max BTX-derived from Construction waste generation</t>
  </si>
  <si>
    <t>Max BTX-derived from apparel waste generation</t>
  </si>
  <si>
    <t>Max BTX-derived from other waste generation</t>
  </si>
  <si>
    <t>Total BTX-derived plastic waste generated</t>
  </si>
  <si>
    <t>Total BTX-derived waste generation</t>
  </si>
  <si>
    <t>BTX R&amp;S reduction ratio for packaging production</t>
  </si>
  <si>
    <t>BTX R&amp;S reduction ratio for automotive production</t>
  </si>
  <si>
    <t>BTX R&amp;S reduction ratio for construction production</t>
  </si>
  <si>
    <t>BTX R&amp;S reduction ratio for apparel production</t>
  </si>
  <si>
    <t>BTX R&amp;S reduction ratio for other production</t>
  </si>
  <si>
    <t>BTX-derived packaging waste generation post R&amp;S</t>
  </si>
  <si>
    <t>BTX-derived Automotive waste generation  post R&amp;S</t>
  </si>
  <si>
    <t>BTX-derived Construction waste generation post R&amp;S</t>
  </si>
  <si>
    <t>BTX-derived Textile waste generation post R&amp;S</t>
  </si>
  <si>
    <t>BTX-derived other waste generation post R&amp;S</t>
  </si>
  <si>
    <t>Total BTX-derived waste geenration post R&amp;S</t>
  </si>
  <si>
    <t>Adjusting factor for BTX recycling rates</t>
  </si>
  <si>
    <t>BTX-adjusted Closed Loop recycling rates from packaging and consummer goods</t>
  </si>
  <si>
    <t>BTX-adjusted Open Loop recycling rates from packaging and consummer goods</t>
  </si>
  <si>
    <t>BTX-adjusted Overall recycling rates from packaging and consummer goods</t>
  </si>
  <si>
    <t>% BTX-adjusted recycling rate of Packaging and consummer goods to textile (via Open loop)</t>
  </si>
  <si>
    <t>% BTX-adjusted recycling rate of Packaging and consummer goods to other (via Open Loop)</t>
  </si>
  <si>
    <t>% BTX-adjusted recycling rate of Packaging and consummer goods to automotive (via Open Loop)</t>
  </si>
  <si>
    <t>% BTX-adjusted recycling rate of Packaging and consummer goods to construction (via Open Loop)</t>
  </si>
  <si>
    <t>BTX-adjusted Closed Loop recycling rates from tranportation</t>
  </si>
  <si>
    <t>BTX-adjusted Open Loop recycling rates from transportation</t>
  </si>
  <si>
    <t>BTX-adjusted Overall recycling rates from transportation</t>
  </si>
  <si>
    <t>BTX-adjusted % recycling rate of Automotive to construction (via Open loop)</t>
  </si>
  <si>
    <t>BTX adjusted % recycling rate of Automotive to packaging and consummer goods (via Open Loop)</t>
  </si>
  <si>
    <t>BTX adjusted % recycling rate of Automotive to others</t>
  </si>
  <si>
    <t>BTX-adjusted % recycling rate of Apparel to construction (via Open loop)</t>
  </si>
  <si>
    <t>BTX adjusted % recycling rate of Apparel to others</t>
  </si>
  <si>
    <t>BTX adjusted construction recycling rate</t>
  </si>
  <si>
    <t>OVERALL BTX-DERIVED RECYCLING RATES</t>
  </si>
  <si>
    <t>BTX recycling volumes</t>
  </si>
  <si>
    <t>BTX recycling rates volumes (BAU)</t>
  </si>
  <si>
    <t>BTX adjusted actual recycling TOTAL</t>
  </si>
  <si>
    <t>BTX adjusted sent to recycling TOTAL</t>
  </si>
  <si>
    <t>BTX adjusted sent to recycling from unformal</t>
  </si>
  <si>
    <t>BTX adjusted sent to recycling from MRF</t>
  </si>
  <si>
    <t>BTX adjusted sent to MRF TOTAL</t>
  </si>
  <si>
    <t>BTX adjusted sent to MRF from sorted at source</t>
  </si>
  <si>
    <t>BTX adjusted sent to MRF from mixed waste</t>
  </si>
  <si>
    <t>BTX adjusted losses from MRF, unformal and recycling</t>
  </si>
  <si>
    <t>BTX-adjusted mixed waste to disposal</t>
  </si>
  <si>
    <t>mT BTX</t>
  </si>
  <si>
    <t>OL - to Others</t>
  </si>
  <si>
    <t>Add. OL - to Others</t>
  </si>
  <si>
    <t>Butadiene Tiers 1 chemicals</t>
  </si>
  <si>
    <t>1_butene Tiers 1 chemicals</t>
  </si>
  <si>
    <t>2_butene Tiers 1 chemicals</t>
  </si>
  <si>
    <t>Butane Tiers 1 chemicals</t>
  </si>
  <si>
    <t>Source : for 2020 https://www.mordorintelligence.com/industry-reports/butadiene-market</t>
  </si>
  <si>
    <t>Polybutadiene (PBR)</t>
  </si>
  <si>
    <t>Acrylonitrile Butadiene Styrene (ABS)</t>
  </si>
  <si>
    <t>Styrene-Butadiene (SBR)</t>
  </si>
  <si>
    <t>Styrene Butadiene Latex</t>
  </si>
  <si>
    <t>Adiponitrile</t>
  </si>
  <si>
    <t>Nitirle Rubber (AB NRB)</t>
  </si>
  <si>
    <t>Sulfolane</t>
  </si>
  <si>
    <t>Chloroprene</t>
  </si>
  <si>
    <t>Ethylidene Norbornene</t>
  </si>
  <si>
    <t>Polyethylene co-monomer</t>
  </si>
  <si>
    <t>Valeradehyde</t>
  </si>
  <si>
    <t>Polybutene-1</t>
  </si>
  <si>
    <t>1,2-butylene Oxide</t>
  </si>
  <si>
    <t>Isobutene Tiers 1 chemicals</t>
  </si>
  <si>
    <t>Source: https://www.factmr.com/report/3786/isobutylene-market</t>
  </si>
  <si>
    <t>Fuel additives</t>
  </si>
  <si>
    <t>Butyl rubber</t>
  </si>
  <si>
    <t>Chemical &amp; cosmetics</t>
  </si>
  <si>
    <t>Lubricant</t>
  </si>
  <si>
    <t>No data found given butane market is mostly driven by energy demand</t>
  </si>
  <si>
    <t>Source: for fuel addtivies levi/Cullen paper, for the rest 2014 https://prismaneconsulting.com/report_details/8/Global-Butene-1-Market-Study-Report,-2014---2030</t>
  </si>
  <si>
    <t xml:space="preserve">Fuel additives </t>
  </si>
  <si>
    <t>Source: for fuel addtivies levi/Cullen paper,</t>
  </si>
  <si>
    <t>No other data found</t>
  </si>
  <si>
    <t>C4</t>
  </si>
  <si>
    <t>CAGR ethylene</t>
  </si>
  <si>
    <t>CAGR BTX</t>
  </si>
  <si>
    <t>C4 demand split</t>
  </si>
  <si>
    <t>Rubbers</t>
  </si>
  <si>
    <t>Others polymers</t>
  </si>
  <si>
    <t>According to global production numbers this should be ~15mT total (this is just the C4 portion!)</t>
  </si>
  <si>
    <t>Fuel additives (MTBE and ETBE)</t>
  </si>
  <si>
    <t>Volumes are ok according to other sources</t>
  </si>
  <si>
    <t>Rubber</t>
  </si>
  <si>
    <t>Source: https://marketersmedia.com/synthetic-rubber-market-production-demand-by-2023-lanxess-the-dow-chemical-company-versalis-spa-kumho-petrochemical-jsr-corporation/88922283</t>
  </si>
  <si>
    <t>C4 (fuel)</t>
  </si>
  <si>
    <t>% change C4 (=PE)</t>
  </si>
  <si>
    <t>C4 demand minus fuel</t>
  </si>
  <si>
    <t>% C4 in packaging and consumer goods plastic waste</t>
  </si>
  <si>
    <t>% C4 in automotive plastic waste</t>
  </si>
  <si>
    <t>% C4 in construction plastic waste</t>
  </si>
  <si>
    <t>% C4 in apparel plastic waste</t>
  </si>
  <si>
    <t>% C4 in other plastic waste</t>
  </si>
  <si>
    <t>Max C4-derived from packaging and consumer goods waste generation</t>
  </si>
  <si>
    <t>Max C4-derived from Automotive waste generation</t>
  </si>
  <si>
    <t>Max C4-derived from Construction waste generation</t>
  </si>
  <si>
    <t>Max C4-derived from apparel waste generation</t>
  </si>
  <si>
    <t>Max C4-derived from other waste generation</t>
  </si>
  <si>
    <t>Total C4-derived plastic waste generated</t>
  </si>
  <si>
    <t>Total C4-derived waste generation</t>
  </si>
  <si>
    <t>C4 R&amp;S reduction ratio for packaging production</t>
  </si>
  <si>
    <t>C4 R&amp;S reduction ratio for automotive production</t>
  </si>
  <si>
    <t>C4 R&amp;S reduction ratio for construction production</t>
  </si>
  <si>
    <t>C4 R&amp;S reduction ratio for apparel production</t>
  </si>
  <si>
    <t>C4 R&amp;S reduction ratio for other production</t>
  </si>
  <si>
    <t>C4-derived packaging waste generation post R&amp;S</t>
  </si>
  <si>
    <t>C4-derived Automotive waste generation  post R&amp;S</t>
  </si>
  <si>
    <t>C4-derived Construction waste generation post R&amp;S</t>
  </si>
  <si>
    <t>C4-derived Textile waste generation post R&amp;S</t>
  </si>
  <si>
    <t>C4-derived other waste generation post R&amp;S</t>
  </si>
  <si>
    <t>Total C4-derived waste geenration post R&amp;S</t>
  </si>
  <si>
    <t>Adjusting factor for C4 recycling rates</t>
  </si>
  <si>
    <t>C4-adjusted Closed Loop recycling rates from packaging and consummer goods</t>
  </si>
  <si>
    <t>C4-adjusted Open Loop recycling rates from packaging and consummer goods</t>
  </si>
  <si>
    <t>C4-adjusted Overall recycling rates from packaging and consummer goods</t>
  </si>
  <si>
    <t>% C4-adjusted recycling rate of Packaging and consummer goods to textile (via Open loop)</t>
  </si>
  <si>
    <t>% C4-adjusted recycling rate of Packaging and consummer goods to other (via Open Loop)</t>
  </si>
  <si>
    <t>% C4-adjusted recycling rate of Packaging and consummer goods to automotive (via Open Loop)</t>
  </si>
  <si>
    <t>% C4-adjusted recycling rate of Packaging and consummer goods to construction (via Open Loop)</t>
  </si>
  <si>
    <t>C4-adjusted Closed Loop recycling rates from tranportation</t>
  </si>
  <si>
    <t>C4-adjusted Open Loop recycling rates from transportation</t>
  </si>
  <si>
    <t>C4-adjusted Overall recycling rates from transportation</t>
  </si>
  <si>
    <t>C4-adjusted % recycling rate of Automotive to construction (via Open loop)</t>
  </si>
  <si>
    <t>C4 adjusted % recycling rate of Automotive to packaging and consummer goods (via Open Loop)</t>
  </si>
  <si>
    <t>C4 adjusted % recycling rate of Automotive to others</t>
  </si>
  <si>
    <t>C4-adjusted % recycling rate of Apparel to construction (via Open loop)</t>
  </si>
  <si>
    <t>C4 adjusted % recycling rate of Apparel to others</t>
  </si>
  <si>
    <t>C4 adjusted construction recycling rate</t>
  </si>
  <si>
    <t>OVERALL C4-DERIVED RECYCLING RATES</t>
  </si>
  <si>
    <t>C4 recycling volumes</t>
  </si>
  <si>
    <t>C4 recycling rates volumes (BAU)</t>
  </si>
  <si>
    <t>C4 adjusted actual recycling TOTAL</t>
  </si>
  <si>
    <t>C4 adjusted sent to recycling TOTAL</t>
  </si>
  <si>
    <t>C4 adjusted sent to recycling from unformal</t>
  </si>
  <si>
    <t>C4 adjusted sent to recycling from MRF</t>
  </si>
  <si>
    <t>C4 adjusted sent to MRF TOTAL</t>
  </si>
  <si>
    <t>C4 adjusted sent to MRF from sorted at source</t>
  </si>
  <si>
    <t>C4 adjusted sent to MRF from mixed waste</t>
  </si>
  <si>
    <t>C4 adjusted losses from MRF, unformal and recycling</t>
  </si>
  <si>
    <t>C4-adjusted mixed waste to disposal</t>
  </si>
  <si>
    <t>mT C4</t>
  </si>
  <si>
    <t>Transportation numbers adjusted based on CPA numbers to account for low rubber content in this paper</t>
  </si>
  <si>
    <t>Assumption waste growth 2015-2020 from BPW</t>
  </si>
  <si>
    <t>Other (transportation)</t>
  </si>
  <si>
    <t>A category can be higher than 100% when atoms are lost i.e. Methanol the OH is typically not present in the end molecule</t>
  </si>
  <si>
    <t>Other (apparel)</t>
  </si>
  <si>
    <t>Butadienne</t>
  </si>
  <si>
    <t>Baseline Butadiene Production (total)</t>
  </si>
  <si>
    <t>Demand for C4</t>
  </si>
  <si>
    <t>Demand for Butadiene</t>
  </si>
  <si>
    <t>Butadiene demand split</t>
  </si>
  <si>
    <t xml:space="preserve">https://www.goldsteinresearch.com/report/global-tire-recycling-industry-market-trends-analysis </t>
  </si>
  <si>
    <t>Assuming this is already only rubber</t>
  </si>
  <si>
    <t>Apparel adjusted to match waste gen</t>
  </si>
  <si>
    <r>
      <rPr>
        <b/>
        <u/>
        <sz val="11"/>
        <color theme="1"/>
        <rFont val="Calibri"/>
        <family val="2"/>
        <scheme val="minor"/>
      </rPr>
      <t>Plastic</t>
    </r>
    <r>
      <rPr>
        <b/>
        <sz val="11"/>
        <color theme="1"/>
        <rFont val="Calibri"/>
        <family val="2"/>
        <scheme val="minor"/>
      </rPr>
      <t xml:space="preserve"> Waste Generation Summary</t>
    </r>
  </si>
  <si>
    <t>Baseline plastic waste generation</t>
  </si>
  <si>
    <t>Total Managed</t>
  </si>
  <si>
    <t>BAU</t>
  </si>
  <si>
    <t>Total Mismanaged</t>
  </si>
  <si>
    <t>Energy Recovery</t>
  </si>
  <si>
    <t>Leakage Environment</t>
  </si>
  <si>
    <t>Leakage Ocean</t>
  </si>
  <si>
    <t>Chemical Recycling</t>
  </si>
  <si>
    <t>Energy Recovery breakdown</t>
  </si>
  <si>
    <t>S-Curve for technology ramp-up applied to deplzment of CCS</t>
  </si>
  <si>
    <t>Without CCS</t>
  </si>
  <si>
    <t>With CCS</t>
  </si>
  <si>
    <t>Post R&amp;S Butadiene Production</t>
  </si>
  <si>
    <t>Post R&amp;S and Recycling Butadiene Demand for PU &amp; other polymers &amp; other category</t>
  </si>
  <si>
    <t>Post R&amp;S and Recycling and chem. Recycling Butadiene Demand</t>
  </si>
  <si>
    <t>Post R&amp;S and Recycling BTX Demand for PU &amp; other polymers &amp; other category</t>
  </si>
  <si>
    <t>Post R&amp;S and Recycling and chem. Recycling BTX Demand</t>
  </si>
  <si>
    <t>Ethylene</t>
    <phoneticPr fontId="6"/>
  </si>
  <si>
    <t>Propylene</t>
    <phoneticPr fontId="6"/>
  </si>
  <si>
    <t>Basic Chemicals Total</t>
    <phoneticPr fontId="6"/>
  </si>
  <si>
    <t>Population</t>
    <phoneticPr fontId="3"/>
  </si>
  <si>
    <t>2019 consumption / ton</t>
  </si>
  <si>
    <t>Net Japan consumption</t>
  </si>
  <si>
    <t>Exports</t>
  </si>
  <si>
    <t>Produced domestically</t>
  </si>
  <si>
    <t>Imported</t>
  </si>
  <si>
    <t>Total Japan Demand</t>
  </si>
  <si>
    <t>Japan net demand</t>
  </si>
  <si>
    <t>Downstream exports share</t>
  </si>
  <si>
    <t>Downstream exports</t>
  </si>
  <si>
    <t>Japan net domestic consumption</t>
  </si>
  <si>
    <t>Total export</t>
  </si>
  <si>
    <t>IEA Global CAGR for ethylene/propylene</t>
  </si>
  <si>
    <t>Adjusted based on global %</t>
  </si>
  <si>
    <t>69% of PUR is from DMI based on global analysis</t>
  </si>
  <si>
    <t>31% of PUR is from TDI based on global analysis</t>
  </si>
  <si>
    <t>Total demand</t>
  </si>
  <si>
    <t>Imports</t>
  </si>
  <si>
    <t xml:space="preserve">Baseline </t>
  </si>
  <si>
    <t>Tons</t>
  </si>
  <si>
    <t>for BTX assuming import and exports are equally distributed according to production</t>
  </si>
  <si>
    <t>For Global only</t>
  </si>
  <si>
    <t>For Japan</t>
  </si>
  <si>
    <t>Post</t>
  </si>
  <si>
    <t>Pre</t>
  </si>
  <si>
    <t>Sheet name</t>
  </si>
  <si>
    <t>Discription</t>
  </si>
  <si>
    <t xml:space="preserve">Yearly XX </t>
  </si>
  <si>
    <t>Yearly mass flow breakdown and demand evolution by chemical</t>
  </si>
  <si>
    <t>Yearly Demand XX</t>
  </si>
  <si>
    <t>Demand baseline assumptions per chemical</t>
  </si>
  <si>
    <t>Demand Breakdown</t>
  </si>
  <si>
    <t>Demand breakdown by sub chemicals &amp; applications</t>
  </si>
  <si>
    <t>Demand Solar/Wind</t>
  </si>
  <si>
    <t>Increased demand due to new use cases</t>
  </si>
  <si>
    <t>Demand Industry Shares</t>
  </si>
  <si>
    <t>Demand by sectors</t>
  </si>
  <si>
    <t>R&amp;S - XX</t>
  </si>
  <si>
    <t>Reduction and Substitution levers across different sectors</t>
  </si>
  <si>
    <t>XX - Recycling</t>
  </si>
  <si>
    <t>Recycling levers across different sectors</t>
  </si>
  <si>
    <t>XX - Recycling rates</t>
  </si>
  <si>
    <t>Recycling rates across different sectors</t>
  </si>
  <si>
    <t>Waste gen. - Industry shares</t>
  </si>
  <si>
    <t>Waste by different sectors</t>
  </si>
  <si>
    <t>Sankey XX</t>
  </si>
  <si>
    <t>Sankey of demand breakdown by chemical</t>
  </si>
  <si>
    <t>Numbers in Blue are Global assumptions/inputs which were used where no data for Japan could be used</t>
  </si>
  <si>
    <t>Numbers in Green are Japan specific assumptions/inputs</t>
  </si>
  <si>
    <t>Numbers in black are calculations/outputs</t>
  </si>
  <si>
    <t>This workbook calculates the demand side output data for chemicals produced in Japan and consumed in Japan.</t>
  </si>
  <si>
    <t>In an effort to create this model with as much open-source data as possible, numerous simplifications and assumption had to be taken. These are tracked as far as possible, but a few sub-models that feed into this input workbook could not directly be included herein. This excel feeds the 'demand Map - Japan Total' which includes both data for chemicals produced in Japan and consumed in Japan (this excel) and chemicals produced in Japan and exported (separate excel).</t>
  </si>
  <si>
    <t>-&gt; average across all exports-imports of polymers and other chemicals</t>
  </si>
  <si>
    <t xml:space="preserve">Source: </t>
  </si>
  <si>
    <t>Sources:</t>
    <phoneticPr fontId="5"/>
  </si>
  <si>
    <t>Production Data</t>
    <phoneticPr fontId="5"/>
  </si>
  <si>
    <t>https://www.meti.go.jp/statistics/tyo/seidou/result/ichiran/08_seidou.html</t>
    <phoneticPr fontId="8"/>
  </si>
  <si>
    <t>https://www.meti.go.jp/statistics/tyo/seidou/result/ichiran/resourceData/02_kagaku/nenpo/h2dbb2019k.xls</t>
    <phoneticPr fontId="5"/>
  </si>
  <si>
    <t>経済産業省生産動態統計年報　化学工業統計編</t>
  </si>
  <si>
    <t>Chemical Industry Statistics</t>
  </si>
  <si>
    <t>Import/Export Data</t>
    <phoneticPr fontId="5"/>
  </si>
  <si>
    <t>https://www.customs.go.jp/toukei/search/futsu1.htm</t>
    <phoneticPr fontId="5"/>
  </si>
  <si>
    <t>https://www.customs.go.jp/toukei/sankou/code/GH201904i.html</t>
    <phoneticPr fontId="5"/>
  </si>
  <si>
    <t>https://www.customs.go.jp/tariff/2019_4/index.htm</t>
    <phoneticPr fontId="5"/>
  </si>
  <si>
    <t>https://www.customs.go.jp/toukei/srch/index.htm?M=35&amp;P=0</t>
    <phoneticPr fontId="5"/>
  </si>
  <si>
    <t>https://www.customs.go.jp/toukei/srch/index.htm?M=29&amp;P=0</t>
    <phoneticPr fontId="5"/>
  </si>
  <si>
    <t>https://www.pwmi.or.jp/pdf/panf2.pdf</t>
  </si>
  <si>
    <t>https://www-cycle.nies.go.jp/precycle/pra/3-jyushi.html</t>
  </si>
  <si>
    <t>https://www.pwmi.or.jp/pdf/panf2.pdf and https://www-cycle.nies.go.jp/precycle/pra/3-jyushi.html</t>
  </si>
  <si>
    <t>Breaking the Plastic Wave, The Pew Charitable Trusts, 2020</t>
  </si>
  <si>
    <t>Assumed none</t>
  </si>
  <si>
    <t>Share of CL/OL for 2020 from WRAP - Plastic Market report for 2019 - share by 2050 from BPWE team. Assuming linear ramp up,</t>
  </si>
  <si>
    <t>https://www.pwmi.or.jp/pdf/panf2.pdf and https://www-cycle.nies.go.jp/precycle/pra/3-jyushi.html. Assuming 60% by 2050 as default value.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</si>
</sst>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0.0"/>
    <numFmt numFmtId="167" formatCode="_-* #,##0_-;\-* #,##0_-;_-* &quot;-&quot;??_-;_-@_-"/>
    <numFmt numFmtId="168" formatCode="_-* #,##0.0_-;\-* #,##0.0_-;_-* &quot;-&quot;??_-;_-@_-"/>
    <numFmt numFmtId="169" formatCode="0.0000"/>
    <numFmt numFmtId="170" formatCode="0.000000"/>
    <numFmt numFmtId="171" formatCode="0.0000000000000000%"/>
    <numFmt numFmtId="172" formatCode="0.000000000000000%"/>
    <numFmt numFmtId="173" formatCode="_-* #,##0.0_-;\-* #,##0.0_-;_-* &quot;-&quot;?_-;_-@_-"/>
    <numFmt numFmtId="174" formatCode="#,##0.0"/>
    <numFmt numFmtId="175" formatCode="0.000%"/>
    <numFmt numFmtId="176" formatCode="#,##0_ "/>
    <numFmt numFmtId="177" formatCode="_(* #,##0_);_(* \(#,##0\);_(* &quot;-&quot;??_);_(@_)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7"/>
      <color rgb="FF000000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1"/>
      <color rgb="FF4472C4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sz val="11"/>
      <color theme="4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02122"/>
      <name val="Arial"/>
      <family val="2"/>
    </font>
    <font>
      <vertAlign val="subscript"/>
      <sz val="11"/>
      <color rgb="FF202122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11"/>
      <color rgb="FF4472C4"/>
      <name val="Calibri"/>
      <family val="2"/>
    </font>
    <font>
      <sz val="11"/>
      <color rgb="FF000000"/>
      <name val="Calibri"/>
      <family val="2"/>
    </font>
    <font>
      <sz val="11"/>
      <color rgb="FF3C383A"/>
      <name val="Calibri"/>
      <family val="2"/>
      <scheme val="minor"/>
    </font>
    <font>
      <b/>
      <sz val="10"/>
      <name val="Arial"/>
      <family val="2"/>
    </font>
    <font>
      <b/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rgb="FF0000FF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1"/>
      <color rgb="FF0000FF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4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4" fillId="0" borderId="0" applyNumberFormat="0" applyFill="0" applyBorder="0" applyAlignment="0" applyProtection="0"/>
    <xf numFmtId="0" fontId="8" fillId="0" borderId="0"/>
    <xf numFmtId="0" fontId="1" fillId="0" borderId="0"/>
    <xf numFmtId="9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3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48" fillId="0" borderId="0">
      <alignment vertical="center"/>
    </xf>
  </cellStyleXfs>
  <cellXfs count="795">
    <xf numFmtId="0" fontId="0" fillId="0" borderId="0" xfId="0"/>
    <xf numFmtId="0" fontId="3" fillId="0" borderId="0" xfId="0" applyFont="1"/>
    <xf numFmtId="9" fontId="0" fillId="0" borderId="0" xfId="1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4" fillId="0" borderId="0" xfId="3"/>
    <xf numFmtId="9" fontId="0" fillId="0" borderId="0" xfId="0" applyNumberFormat="1"/>
    <xf numFmtId="0" fontId="5" fillId="0" borderId="0" xfId="0" applyFont="1"/>
    <xf numFmtId="9" fontId="3" fillId="0" borderId="0" xfId="0" applyNumberFormat="1" applyFont="1"/>
    <xf numFmtId="0" fontId="0" fillId="3" borderId="0" xfId="0" applyFill="1"/>
    <xf numFmtId="0" fontId="0" fillId="4" borderId="0" xfId="0" applyFill="1"/>
    <xf numFmtId="0" fontId="0" fillId="0" borderId="2" xfId="0" applyBorder="1"/>
    <xf numFmtId="0" fontId="3" fillId="0" borderId="3" xfId="0" applyFont="1" applyBorder="1"/>
    <xf numFmtId="0" fontId="0" fillId="0" borderId="4" xfId="0" applyBorder="1" applyAlignment="1">
      <alignment horizontal="left"/>
    </xf>
    <xf numFmtId="9" fontId="0" fillId="0" borderId="5" xfId="0" applyNumberFormat="1" applyBorder="1"/>
    <xf numFmtId="0" fontId="0" fillId="0" borderId="4" xfId="0" applyBorder="1"/>
    <xf numFmtId="0" fontId="0" fillId="0" borderId="6" xfId="0" applyBorder="1" applyAlignment="1">
      <alignment horizontal="left"/>
    </xf>
    <xf numFmtId="9" fontId="0" fillId="0" borderId="7" xfId="0" applyNumberFormat="1" applyBorder="1"/>
    <xf numFmtId="0" fontId="0" fillId="0" borderId="6" xfId="0" applyBorder="1"/>
    <xf numFmtId="0" fontId="6" fillId="4" borderId="0" xfId="0" applyFont="1" applyFill="1" applyAlignment="1">
      <alignment vertical="center"/>
    </xf>
    <xf numFmtId="9" fontId="4" fillId="0" borderId="0" xfId="3" applyNumberFormat="1"/>
    <xf numFmtId="9" fontId="2" fillId="2" borderId="1" xfId="2" applyNumberFormat="1"/>
    <xf numFmtId="165" fontId="0" fillId="0" borderId="0" xfId="1" applyNumberFormat="1" applyFont="1"/>
    <xf numFmtId="10" fontId="0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8" fillId="0" borderId="0" xfId="7" applyAlignment="1">
      <alignment horizontal="left"/>
    </xf>
    <xf numFmtId="0" fontId="3" fillId="0" borderId="8" xfId="0" applyFont="1" applyBorder="1"/>
    <xf numFmtId="0" fontId="3" fillId="0" borderId="9" xfId="0" applyFont="1" applyBorder="1"/>
    <xf numFmtId="9" fontId="3" fillId="0" borderId="9" xfId="1" applyFont="1" applyBorder="1"/>
    <xf numFmtId="0" fontId="3" fillId="0" borderId="13" xfId="0" applyFont="1" applyBorder="1"/>
    <xf numFmtId="9" fontId="3" fillId="0" borderId="14" xfId="0" applyNumberFormat="1" applyFont="1" applyBorder="1"/>
    <xf numFmtId="9" fontId="3" fillId="0" borderId="15" xfId="0" applyNumberFormat="1" applyFont="1" applyBorder="1"/>
    <xf numFmtId="0" fontId="3" fillId="0" borderId="10" xfId="0" applyFont="1" applyBorder="1" applyAlignment="1">
      <alignment horizontal="left"/>
    </xf>
    <xf numFmtId="1" fontId="0" fillId="0" borderId="11" xfId="0" applyNumberFormat="1" applyBorder="1" applyAlignment="1">
      <alignment horizontal="right"/>
    </xf>
    <xf numFmtId="1" fontId="3" fillId="0" borderId="12" xfId="0" applyNumberFormat="1" applyFont="1" applyBorder="1" applyAlignment="1">
      <alignment horizontal="right"/>
    </xf>
    <xf numFmtId="165" fontId="0" fillId="0" borderId="11" xfId="0" applyNumberFormat="1" applyBorder="1" applyAlignment="1">
      <alignment horizontal="right"/>
    </xf>
    <xf numFmtId="165" fontId="0" fillId="0" borderId="0" xfId="0" applyNumberFormat="1"/>
    <xf numFmtId="165" fontId="3" fillId="0" borderId="12" xfId="0" applyNumberFormat="1" applyFont="1" applyBorder="1" applyAlignment="1">
      <alignment horizontal="right"/>
    </xf>
    <xf numFmtId="2" fontId="0" fillId="0" borderId="0" xfId="0" applyNumberFormat="1"/>
    <xf numFmtId="166" fontId="0" fillId="0" borderId="0" xfId="0" applyNumberFormat="1"/>
    <xf numFmtId="0" fontId="0" fillId="0" borderId="16" xfId="0" applyBorder="1"/>
    <xf numFmtId="0" fontId="3" fillId="0" borderId="17" xfId="0" applyFont="1" applyBorder="1"/>
    <xf numFmtId="165" fontId="11" fillId="0" borderId="0" xfId="0" applyNumberFormat="1" applyFont="1"/>
    <xf numFmtId="9" fontId="10" fillId="0" borderId="0" xfId="0" applyNumberFormat="1" applyFont="1"/>
    <xf numFmtId="166" fontId="0" fillId="0" borderId="0" xfId="0" applyNumberFormat="1" applyAlignment="1">
      <alignment horizontal="right"/>
    </xf>
    <xf numFmtId="0" fontId="12" fillId="0" borderId="0" xfId="0" applyFont="1"/>
    <xf numFmtId="0" fontId="13" fillId="0" borderId="0" xfId="0" applyFont="1"/>
    <xf numFmtId="0" fontId="3" fillId="6" borderId="0" xfId="0" applyFont="1" applyFill="1"/>
    <xf numFmtId="0" fontId="0" fillId="6" borderId="0" xfId="0" applyFill="1"/>
    <xf numFmtId="0" fontId="14" fillId="0" borderId="0" xfId="0" applyFont="1"/>
    <xf numFmtId="9" fontId="13" fillId="0" borderId="0" xfId="0" applyNumberFormat="1" applyFont="1"/>
    <xf numFmtId="9" fontId="13" fillId="0" borderId="0" xfId="1" applyFont="1"/>
    <xf numFmtId="165" fontId="10" fillId="0" borderId="0" xfId="0" applyNumberFormat="1" applyFont="1"/>
    <xf numFmtId="0" fontId="3" fillId="0" borderId="18" xfId="0" applyFont="1" applyBorder="1"/>
    <xf numFmtId="0" fontId="14" fillId="0" borderId="18" xfId="0" applyFont="1" applyBorder="1"/>
    <xf numFmtId="166" fontId="0" fillId="0" borderId="18" xfId="0" applyNumberFormat="1" applyBorder="1"/>
    <xf numFmtId="0" fontId="0" fillId="0" borderId="0" xfId="0" applyAlignment="1">
      <alignment horizontal="left" indent="1"/>
    </xf>
    <xf numFmtId="0" fontId="3" fillId="0" borderId="19" xfId="0" applyFont="1" applyBorder="1"/>
    <xf numFmtId="0" fontId="15" fillId="0" borderId="19" xfId="0" applyFont="1" applyBorder="1"/>
    <xf numFmtId="0" fontId="15" fillId="0" borderId="0" xfId="0" applyFont="1"/>
    <xf numFmtId="0" fontId="0" fillId="0" borderId="18" xfId="0" applyBorder="1"/>
    <xf numFmtId="0" fontId="0" fillId="0" borderId="19" xfId="0" applyBorder="1"/>
    <xf numFmtId="0" fontId="3" fillId="7" borderId="0" xfId="0" applyFont="1" applyFill="1"/>
    <xf numFmtId="0" fontId="15" fillId="7" borderId="0" xfId="0" applyFont="1" applyFill="1"/>
    <xf numFmtId="166" fontId="3" fillId="7" borderId="0" xfId="0" applyNumberFormat="1" applyFont="1" applyFill="1"/>
    <xf numFmtId="0" fontId="8" fillId="0" borderId="0" xfId="3" applyFont="1"/>
    <xf numFmtId="0" fontId="3" fillId="0" borderId="20" xfId="0" applyFont="1" applyBorder="1"/>
    <xf numFmtId="1" fontId="0" fillId="0" borderId="21" xfId="0" applyNumberFormat="1" applyBorder="1"/>
    <xf numFmtId="1" fontId="0" fillId="0" borderId="20" xfId="0" applyNumberFormat="1" applyBorder="1"/>
    <xf numFmtId="10" fontId="13" fillId="0" borderId="0" xfId="0" applyNumberFormat="1" applyFont="1"/>
    <xf numFmtId="9" fontId="3" fillId="0" borderId="21" xfId="1" applyFont="1" applyBorder="1"/>
    <xf numFmtId="166" fontId="3" fillId="0" borderId="21" xfId="0" applyNumberFormat="1" applyFont="1" applyBorder="1"/>
    <xf numFmtId="9" fontId="3" fillId="0" borderId="22" xfId="1" applyFont="1" applyBorder="1"/>
    <xf numFmtId="166" fontId="3" fillId="0" borderId="22" xfId="0" applyNumberFormat="1" applyFont="1" applyBorder="1"/>
    <xf numFmtId="0" fontId="3" fillId="0" borderId="23" xfId="0" applyFont="1" applyBorder="1"/>
    <xf numFmtId="0" fontId="0" fillId="0" borderId="23" xfId="0" applyBorder="1"/>
    <xf numFmtId="0" fontId="16" fillId="0" borderId="23" xfId="0" applyFont="1" applyBorder="1" applyAlignment="1">
      <alignment horizontal="center"/>
    </xf>
    <xf numFmtId="167" fontId="13" fillId="0" borderId="0" xfId="8" applyNumberFormat="1" applyFont="1"/>
    <xf numFmtId="167" fontId="0" fillId="0" borderId="0" xfId="0" applyNumberFormat="1"/>
    <xf numFmtId="0" fontId="3" fillId="7" borderId="23" xfId="0" applyFont="1" applyFill="1" applyBorder="1"/>
    <xf numFmtId="0" fontId="15" fillId="7" borderId="23" xfId="0" applyFont="1" applyFill="1" applyBorder="1"/>
    <xf numFmtId="167" fontId="3" fillId="7" borderId="23" xfId="0" applyNumberFormat="1" applyFont="1" applyFill="1" applyBorder="1"/>
    <xf numFmtId="0" fontId="3" fillId="7" borderId="24" xfId="0" applyFont="1" applyFill="1" applyBorder="1"/>
    <xf numFmtId="0" fontId="15" fillId="7" borderId="24" xfId="0" applyFont="1" applyFill="1" applyBorder="1"/>
    <xf numFmtId="167" fontId="3" fillId="7" borderId="24" xfId="0" applyNumberFormat="1" applyFont="1" applyFill="1" applyBorder="1"/>
    <xf numFmtId="0" fontId="3" fillId="0" borderId="13" xfId="0" applyFont="1" applyBorder="1" applyAlignment="1">
      <alignment horizontal="left"/>
    </xf>
    <xf numFmtId="1" fontId="0" fillId="0" borderId="14" xfId="0" applyNumberFormat="1" applyBorder="1" applyAlignment="1">
      <alignment horizontal="right"/>
    </xf>
    <xf numFmtId="1" fontId="3" fillId="0" borderId="15" xfId="0" applyNumberFormat="1" applyFont="1" applyBorder="1" applyAlignment="1">
      <alignment horizontal="right"/>
    </xf>
    <xf numFmtId="0" fontId="3" fillId="0" borderId="25" xfId="0" applyFont="1" applyBorder="1"/>
    <xf numFmtId="9" fontId="3" fillId="0" borderId="21" xfId="0" applyNumberFormat="1" applyFont="1" applyBorder="1"/>
    <xf numFmtId="9" fontId="3" fillId="0" borderId="26" xfId="0" applyNumberFormat="1" applyFont="1" applyBorder="1"/>
    <xf numFmtId="1" fontId="8" fillId="0" borderId="0" xfId="0" applyNumberFormat="1" applyFont="1"/>
    <xf numFmtId="0" fontId="15" fillId="0" borderId="18" xfId="0" applyFont="1" applyBorder="1"/>
    <xf numFmtId="166" fontId="3" fillId="0" borderId="18" xfId="0" applyNumberFormat="1" applyFont="1" applyBorder="1"/>
    <xf numFmtId="0" fontId="3" fillId="7" borderId="27" xfId="0" applyFont="1" applyFill="1" applyBorder="1"/>
    <xf numFmtId="0" fontId="15" fillId="7" borderId="27" xfId="0" applyFont="1" applyFill="1" applyBorder="1"/>
    <xf numFmtId="0" fontId="0" fillId="7" borderId="27" xfId="0" applyFill="1" applyBorder="1"/>
    <xf numFmtId="165" fontId="9" fillId="0" borderId="0" xfId="1" applyNumberFormat="1" applyFont="1"/>
    <xf numFmtId="167" fontId="0" fillId="0" borderId="0" xfId="8" applyNumberFormat="1" applyFont="1"/>
    <xf numFmtId="0" fontId="1" fillId="0" borderId="0" xfId="10"/>
    <xf numFmtId="0" fontId="17" fillId="0" borderId="0" xfId="0" applyFont="1"/>
    <xf numFmtId="165" fontId="8" fillId="0" borderId="0" xfId="1" applyNumberFormat="1" applyFont="1"/>
    <xf numFmtId="167" fontId="9" fillId="0" borderId="0" xfId="8" applyNumberFormat="1" applyFont="1"/>
    <xf numFmtId="0" fontId="14" fillId="0" borderId="0" xfId="0" applyFont="1" applyAlignment="1">
      <alignment horizontal="right"/>
    </xf>
    <xf numFmtId="165" fontId="18" fillId="0" borderId="0" xfId="1" applyNumberFormat="1" applyFont="1"/>
    <xf numFmtId="0" fontId="19" fillId="0" borderId="0" xfId="3" applyFont="1"/>
    <xf numFmtId="0" fontId="1" fillId="0" borderId="0" xfId="0" applyFont="1"/>
    <xf numFmtId="9" fontId="1" fillId="0" borderId="0" xfId="1" applyFont="1"/>
    <xf numFmtId="167" fontId="1" fillId="0" borderId="0" xfId="8" applyNumberFormat="1" applyFont="1"/>
    <xf numFmtId="165" fontId="3" fillId="0" borderId="0" xfId="0" applyNumberFormat="1" applyFont="1"/>
    <xf numFmtId="0" fontId="3" fillId="0" borderId="0" xfId="8" applyNumberFormat="1" applyFont="1"/>
    <xf numFmtId="9" fontId="1" fillId="0" borderId="0" xfId="0" applyNumberFormat="1" applyFont="1"/>
    <xf numFmtId="165" fontId="1" fillId="0" borderId="0" xfId="1" applyNumberFormat="1" applyFont="1"/>
    <xf numFmtId="9" fontId="18" fillId="0" borderId="0" xfId="1" applyFont="1"/>
    <xf numFmtId="9" fontId="18" fillId="0" borderId="0" xfId="0" applyNumberFormat="1" applyFont="1"/>
    <xf numFmtId="9" fontId="3" fillId="0" borderId="0" xfId="1" applyFont="1"/>
    <xf numFmtId="9" fontId="21" fillId="0" borderId="0" xfId="1" applyFont="1"/>
    <xf numFmtId="165" fontId="21" fillId="0" borderId="0" xfId="1" applyNumberFormat="1" applyFont="1"/>
    <xf numFmtId="9" fontId="8" fillId="0" borderId="0" xfId="1" applyFont="1"/>
    <xf numFmtId="167" fontId="8" fillId="0" borderId="0" xfId="8" applyNumberFormat="1" applyFont="1"/>
    <xf numFmtId="0" fontId="22" fillId="0" borderId="0" xfId="0" applyFont="1"/>
    <xf numFmtId="0" fontId="9" fillId="0" borderId="0" xfId="0" applyFont="1"/>
    <xf numFmtId="9" fontId="9" fillId="0" borderId="0" xfId="1" applyFont="1"/>
    <xf numFmtId="0" fontId="14" fillId="0" borderId="0" xfId="0" applyFont="1" applyAlignment="1">
      <alignment horizontal="right" wrapText="1"/>
    </xf>
    <xf numFmtId="0" fontId="0" fillId="0" borderId="0" xfId="0" applyAlignment="1">
      <alignment wrapText="1"/>
    </xf>
    <xf numFmtId="0" fontId="14" fillId="0" borderId="0" xfId="0" applyFont="1" applyAlignment="1">
      <alignment wrapText="1"/>
    </xf>
    <xf numFmtId="0" fontId="8" fillId="0" borderId="0" xfId="7"/>
    <xf numFmtId="0" fontId="26" fillId="0" borderId="29" xfId="11" applyFont="1" applyBorder="1" applyAlignment="1">
      <alignment horizontal="left" vertical="top" wrapText="1"/>
    </xf>
    <xf numFmtId="0" fontId="24" fillId="0" borderId="28" xfId="11" applyFont="1" applyBorder="1" applyAlignment="1">
      <alignment horizontal="left" vertical="top" wrapText="1"/>
    </xf>
    <xf numFmtId="0" fontId="24" fillId="0" borderId="28" xfId="11" applyFont="1" applyBorder="1" applyAlignment="1">
      <alignment horizontal="left" vertical="top" wrapText="1" indent="1"/>
    </xf>
    <xf numFmtId="0" fontId="24" fillId="0" borderId="28" xfId="11" applyFont="1" applyBorder="1" applyAlignment="1">
      <alignment horizontal="center" vertical="top" wrapText="1"/>
    </xf>
    <xf numFmtId="0" fontId="24" fillId="0" borderId="28" xfId="11" applyFont="1" applyBorder="1" applyAlignment="1">
      <alignment horizontal="left" vertical="top" wrapText="1" indent="2"/>
    </xf>
    <xf numFmtId="0" fontId="24" fillId="0" borderId="28" xfId="11" applyFont="1" applyBorder="1" applyAlignment="1">
      <alignment horizontal="right" vertical="top" wrapText="1" indent="1"/>
    </xf>
    <xf numFmtId="0" fontId="8" fillId="0" borderId="28" xfId="11" applyFont="1" applyBorder="1" applyAlignment="1">
      <alignment horizontal="left" vertical="top" wrapText="1"/>
    </xf>
    <xf numFmtId="165" fontId="12" fillId="0" borderId="28" xfId="11" applyNumberFormat="1" applyFont="1" applyBorder="1" applyAlignment="1">
      <alignment horizontal="center" vertical="top" shrinkToFit="1"/>
    </xf>
    <xf numFmtId="0" fontId="27" fillId="0" borderId="28" xfId="11" applyFont="1" applyBorder="1" applyAlignment="1">
      <alignment horizontal="left" vertical="top" wrapText="1"/>
    </xf>
    <xf numFmtId="0" fontId="26" fillId="0" borderId="0" xfId="11" applyFont="1" applyAlignment="1">
      <alignment horizontal="left" vertical="top" wrapText="1"/>
    </xf>
    <xf numFmtId="0" fontId="28" fillId="0" borderId="0" xfId="3" applyFont="1"/>
    <xf numFmtId="165" fontId="8" fillId="0" borderId="0" xfId="1" applyNumberFormat="1" applyFont="1" applyFill="1"/>
    <xf numFmtId="9" fontId="13" fillId="0" borderId="0" xfId="0" applyNumberFormat="1" applyFont="1" applyAlignment="1">
      <alignment horizontal="right"/>
    </xf>
    <xf numFmtId="165" fontId="13" fillId="0" borderId="1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8" fillId="0" borderId="0" xfId="1" applyNumberFormat="1" applyFont="1" applyFill="1" applyBorder="1"/>
    <xf numFmtId="165" fontId="0" fillId="0" borderId="0" xfId="1" applyNumberFormat="1" applyFont="1" applyBorder="1"/>
    <xf numFmtId="9" fontId="0" fillId="0" borderId="0" xfId="1" applyFont="1" applyBorder="1"/>
    <xf numFmtId="0" fontId="14" fillId="0" borderId="23" xfId="0" applyFont="1" applyBorder="1"/>
    <xf numFmtId="0" fontId="3" fillId="8" borderId="30" xfId="0" applyFont="1" applyFill="1" applyBorder="1"/>
    <xf numFmtId="9" fontId="29" fillId="8" borderId="31" xfId="0" applyNumberFormat="1" applyFont="1" applyFill="1" applyBorder="1"/>
    <xf numFmtId="0" fontId="3" fillId="8" borderId="31" xfId="0" applyFont="1" applyFill="1" applyBorder="1"/>
    <xf numFmtId="0" fontId="0" fillId="0" borderId="24" xfId="0" applyBorder="1"/>
    <xf numFmtId="9" fontId="14" fillId="0" borderId="0" xfId="0" applyNumberFormat="1" applyFont="1"/>
    <xf numFmtId="0" fontId="30" fillId="0" borderId="0" xfId="0" applyFont="1"/>
    <xf numFmtId="0" fontId="30" fillId="0" borderId="0" xfId="3" applyFont="1"/>
    <xf numFmtId="0" fontId="24" fillId="0" borderId="0" xfId="0" applyFont="1"/>
    <xf numFmtId="0" fontId="31" fillId="0" borderId="0" xfId="0" applyFont="1"/>
    <xf numFmtId="0" fontId="8" fillId="0" borderId="0" xfId="0" applyFont="1"/>
    <xf numFmtId="167" fontId="14" fillId="0" borderId="0" xfId="8" applyNumberFormat="1" applyFont="1"/>
    <xf numFmtId="9" fontId="1" fillId="0" borderId="0" xfId="1" applyFont="1" applyBorder="1"/>
    <xf numFmtId="0" fontId="3" fillId="0" borderId="30" xfId="0" applyFont="1" applyBorder="1"/>
    <xf numFmtId="0" fontId="0" fillId="0" borderId="31" xfId="0" applyBorder="1"/>
    <xf numFmtId="0" fontId="3" fillId="0" borderId="32" xfId="0" applyFont="1" applyBorder="1"/>
    <xf numFmtId="0" fontId="3" fillId="0" borderId="27" xfId="0" applyFont="1" applyBorder="1"/>
    <xf numFmtId="0" fontId="15" fillId="0" borderId="27" xfId="0" applyFont="1" applyBorder="1"/>
    <xf numFmtId="0" fontId="0" fillId="0" borderId="27" xfId="0" applyBorder="1"/>
    <xf numFmtId="0" fontId="0" fillId="0" borderId="33" xfId="0" applyBorder="1"/>
    <xf numFmtId="0" fontId="14" fillId="0" borderId="33" xfId="0" applyFont="1" applyBorder="1"/>
    <xf numFmtId="9" fontId="8" fillId="0" borderId="33" xfId="1" applyFont="1" applyBorder="1"/>
    <xf numFmtId="167" fontId="14" fillId="0" borderId="33" xfId="8" applyNumberFormat="1" applyFont="1" applyBorder="1"/>
    <xf numFmtId="167" fontId="8" fillId="0" borderId="33" xfId="8" applyNumberFormat="1" applyFont="1" applyBorder="1"/>
    <xf numFmtId="0" fontId="3" fillId="0" borderId="33" xfId="0" applyFont="1" applyBorder="1"/>
    <xf numFmtId="165" fontId="0" fillId="0" borderId="18" xfId="1" applyNumberFormat="1" applyFont="1" applyBorder="1"/>
    <xf numFmtId="165" fontId="3" fillId="0" borderId="33" xfId="0" applyNumberFormat="1" applyFont="1" applyBorder="1"/>
    <xf numFmtId="0" fontId="0" fillId="0" borderId="0" xfId="0" applyAlignment="1">
      <alignment horizontal="center"/>
    </xf>
    <xf numFmtId="167" fontId="0" fillId="0" borderId="0" xfId="8" applyNumberFormat="1" applyFont="1" applyFill="1"/>
    <xf numFmtId="165" fontId="0" fillId="0" borderId="0" xfId="1" applyNumberFormat="1" applyFont="1" applyFill="1"/>
    <xf numFmtId="9" fontId="4" fillId="0" borderId="0" xfId="3" applyNumberFormat="1" applyFill="1"/>
    <xf numFmtId="9" fontId="0" fillId="0" borderId="0" xfId="1" applyFont="1" applyFill="1"/>
    <xf numFmtId="0" fontId="0" fillId="0" borderId="0" xfId="0" quotePrefix="1"/>
    <xf numFmtId="167" fontId="0" fillId="0" borderId="0" xfId="8" applyNumberFormat="1" applyFont="1" applyBorder="1"/>
    <xf numFmtId="0" fontId="32" fillId="0" borderId="0" xfId="0" applyFont="1"/>
    <xf numFmtId="0" fontId="14" fillId="0" borderId="0" xfId="0" applyFont="1" applyAlignment="1">
      <alignment horizontal="left"/>
    </xf>
    <xf numFmtId="165" fontId="30" fillId="0" borderId="0" xfId="3" applyNumberFormat="1" applyFont="1" applyAlignment="1">
      <alignment horizontal="left"/>
    </xf>
    <xf numFmtId="9" fontId="13" fillId="0" borderId="0" xfId="0" applyNumberFormat="1" applyFont="1" applyAlignment="1">
      <alignment horizontal="left"/>
    </xf>
    <xf numFmtId="165" fontId="13" fillId="0" borderId="0" xfId="1" applyNumberFormat="1" applyFont="1"/>
    <xf numFmtId="0" fontId="31" fillId="0" borderId="33" xfId="0" applyFont="1" applyBorder="1"/>
    <xf numFmtId="167" fontId="3" fillId="0" borderId="33" xfId="8" applyNumberFormat="1" applyFont="1" applyBorder="1"/>
    <xf numFmtId="0" fontId="3" fillId="0" borderId="33" xfId="10" applyFont="1" applyBorder="1"/>
    <xf numFmtId="9" fontId="3" fillId="0" borderId="33" xfId="1" applyFont="1" applyBorder="1"/>
    <xf numFmtId="0" fontId="15" fillId="0" borderId="33" xfId="0" applyFont="1" applyBorder="1"/>
    <xf numFmtId="0" fontId="3" fillId="0" borderId="0" xfId="10" applyFont="1"/>
    <xf numFmtId="165" fontId="3" fillId="0" borderId="33" xfId="1" applyNumberFormat="1" applyFont="1" applyBorder="1"/>
    <xf numFmtId="0" fontId="22" fillId="0" borderId="0" xfId="0" applyFont="1" applyAlignment="1">
      <alignment horizontal="left"/>
    </xf>
    <xf numFmtId="165" fontId="3" fillId="0" borderId="33" xfId="1" applyNumberFormat="1" applyFont="1" applyFill="1" applyBorder="1"/>
    <xf numFmtId="9" fontId="3" fillId="0" borderId="33" xfId="1" applyFont="1" applyFill="1" applyBorder="1"/>
    <xf numFmtId="0" fontId="3" fillId="0" borderId="33" xfId="0" quotePrefix="1" applyFont="1" applyBorder="1" applyAlignment="1">
      <alignment horizontal="left"/>
    </xf>
    <xf numFmtId="0" fontId="3" fillId="7" borderId="33" xfId="0" applyFont="1" applyFill="1" applyBorder="1"/>
    <xf numFmtId="0" fontId="31" fillId="7" borderId="33" xfId="0" applyFont="1" applyFill="1" applyBorder="1"/>
    <xf numFmtId="165" fontId="3" fillId="7" borderId="33" xfId="1" applyNumberFormat="1" applyFont="1" applyFill="1" applyBorder="1"/>
    <xf numFmtId="168" fontId="8" fillId="0" borderId="0" xfId="8" applyNumberFormat="1" applyFont="1"/>
    <xf numFmtId="0" fontId="14" fillId="0" borderId="33" xfId="0" applyFont="1" applyBorder="1" applyAlignment="1">
      <alignment horizontal="left"/>
    </xf>
    <xf numFmtId="0" fontId="28" fillId="0" borderId="0" xfId="3" applyFont="1" applyAlignment="1">
      <alignment horizontal="left"/>
    </xf>
    <xf numFmtId="164" fontId="8" fillId="0" borderId="0" xfId="1" applyNumberFormat="1" applyFont="1"/>
    <xf numFmtId="164" fontId="8" fillId="0" borderId="0" xfId="8" applyFont="1"/>
    <xf numFmtId="0" fontId="23" fillId="0" borderId="33" xfId="0" applyFont="1" applyBorder="1"/>
    <xf numFmtId="165" fontId="33" fillId="0" borderId="33" xfId="1" applyNumberFormat="1" applyFont="1" applyBorder="1"/>
    <xf numFmtId="165" fontId="34" fillId="0" borderId="33" xfId="1" applyNumberFormat="1" applyFont="1" applyBorder="1"/>
    <xf numFmtId="0" fontId="24" fillId="0" borderId="19" xfId="0" applyFont="1" applyBorder="1"/>
    <xf numFmtId="0" fontId="31" fillId="0" borderId="19" xfId="0" applyFont="1" applyBorder="1"/>
    <xf numFmtId="0" fontId="24" fillId="0" borderId="18" xfId="0" applyFont="1" applyBorder="1"/>
    <xf numFmtId="0" fontId="31" fillId="0" borderId="18" xfId="0" applyFont="1" applyBorder="1"/>
    <xf numFmtId="166" fontId="3" fillId="0" borderId="0" xfId="0" applyNumberFormat="1" applyFont="1"/>
    <xf numFmtId="169" fontId="0" fillId="0" borderId="0" xfId="0" applyNumberFormat="1"/>
    <xf numFmtId="164" fontId="0" fillId="0" borderId="0" xfId="0" applyNumberFormat="1"/>
    <xf numFmtId="168" fontId="8" fillId="0" borderId="0" xfId="8" applyNumberFormat="1" applyFont="1" applyBorder="1"/>
    <xf numFmtId="164" fontId="0" fillId="0" borderId="0" xfId="8" applyFont="1"/>
    <xf numFmtId="9" fontId="8" fillId="0" borderId="0" xfId="0" applyNumberFormat="1" applyFont="1" applyAlignment="1">
      <alignment horizontal="right"/>
    </xf>
    <xf numFmtId="9" fontId="8" fillId="0" borderId="0" xfId="0" applyNumberFormat="1" applyFont="1"/>
    <xf numFmtId="168" fontId="0" fillId="0" borderId="0" xfId="8" applyNumberFormat="1" applyFont="1"/>
    <xf numFmtId="171" fontId="0" fillId="0" borderId="0" xfId="0" applyNumberFormat="1"/>
    <xf numFmtId="172" fontId="0" fillId="0" borderId="0" xfId="0" applyNumberFormat="1"/>
    <xf numFmtId="166" fontId="0" fillId="0" borderId="0" xfId="0" quotePrefix="1" applyNumberFormat="1"/>
    <xf numFmtId="0" fontId="3" fillId="0" borderId="24" xfId="0" applyFont="1" applyBorder="1"/>
    <xf numFmtId="9" fontId="3" fillId="0" borderId="24" xfId="1" applyFont="1" applyBorder="1"/>
    <xf numFmtId="9" fontId="3" fillId="0" borderId="0" xfId="1" applyFont="1" applyBorder="1"/>
    <xf numFmtId="0" fontId="0" fillId="0" borderId="34" xfId="0" applyBorder="1" applyAlignment="1">
      <alignment horizontal="center"/>
    </xf>
    <xf numFmtId="0" fontId="0" fillId="8" borderId="0" xfId="0" applyFill="1"/>
    <xf numFmtId="164" fontId="0" fillId="8" borderId="0" xfId="8" applyFont="1" applyFill="1"/>
    <xf numFmtId="0" fontId="13" fillId="4" borderId="0" xfId="0" applyFont="1" applyFill="1"/>
    <xf numFmtId="0" fontId="14" fillId="0" borderId="19" xfId="0" applyFont="1" applyBorder="1"/>
    <xf numFmtId="166" fontId="0" fillId="0" borderId="19" xfId="0" applyNumberFormat="1" applyBorder="1"/>
    <xf numFmtId="10" fontId="3" fillId="0" borderId="15" xfId="0" applyNumberFormat="1" applyFont="1" applyBorder="1"/>
    <xf numFmtId="165" fontId="13" fillId="0" borderId="0" xfId="0" applyNumberFormat="1" applyFont="1"/>
    <xf numFmtId="165" fontId="3" fillId="0" borderId="9" xfId="1" applyNumberFormat="1" applyFont="1" applyBorder="1"/>
    <xf numFmtId="0" fontId="24" fillId="0" borderId="0" xfId="11" applyFont="1" applyAlignment="1">
      <alignment horizontal="left" vertical="top" wrapText="1"/>
    </xf>
    <xf numFmtId="0" fontId="24" fillId="0" borderId="0" xfId="11" applyFont="1" applyAlignment="1">
      <alignment horizontal="left" vertical="top" wrapText="1" indent="1"/>
    </xf>
    <xf numFmtId="0" fontId="24" fillId="0" borderId="0" xfId="11" applyFont="1" applyAlignment="1">
      <alignment horizontal="center" vertical="top" wrapText="1"/>
    </xf>
    <xf numFmtId="0" fontId="24" fillId="0" borderId="0" xfId="11" applyFont="1" applyAlignment="1">
      <alignment horizontal="left" vertical="top" wrapText="1" indent="2"/>
    </xf>
    <xf numFmtId="0" fontId="24" fillId="0" borderId="0" xfId="11" applyFont="1" applyAlignment="1">
      <alignment horizontal="right" vertical="top" wrapText="1" indent="1"/>
    </xf>
    <xf numFmtId="10" fontId="0" fillId="0" borderId="0" xfId="1" applyNumberFormat="1" applyFont="1" applyBorder="1"/>
    <xf numFmtId="165" fontId="13" fillId="0" borderId="0" xfId="0" applyNumberFormat="1" applyFont="1" applyAlignment="1">
      <alignment horizontal="right"/>
    </xf>
    <xf numFmtId="10" fontId="3" fillId="0" borderId="0" xfId="0" applyNumberFormat="1" applyFont="1"/>
    <xf numFmtId="165" fontId="13" fillId="0" borderId="0" xfId="1" applyNumberFormat="1" applyFont="1" applyBorder="1"/>
    <xf numFmtId="165" fontId="3" fillId="0" borderId="0" xfId="1" applyNumberFormat="1" applyFont="1" applyBorder="1"/>
    <xf numFmtId="0" fontId="3" fillId="0" borderId="0" xfId="0" applyFont="1" applyAlignment="1">
      <alignment horizontal="center" vertical="center"/>
    </xf>
    <xf numFmtId="168" fontId="0" fillId="0" borderId="0" xfId="8" applyNumberFormat="1" applyFont="1" applyBorder="1"/>
    <xf numFmtId="168" fontId="24" fillId="0" borderId="0" xfId="8" applyNumberFormat="1" applyFont="1"/>
    <xf numFmtId="168" fontId="24" fillId="0" borderId="24" xfId="8" applyNumberFormat="1" applyFont="1" applyBorder="1"/>
    <xf numFmtId="0" fontId="14" fillId="0" borderId="0" xfId="0" applyFont="1" applyAlignment="1">
      <alignment horizontal="center"/>
    </xf>
    <xf numFmtId="0" fontId="23" fillId="0" borderId="18" xfId="0" applyFont="1" applyBorder="1"/>
    <xf numFmtId="168" fontId="24" fillId="0" borderId="18" xfId="8" applyNumberFormat="1" applyFont="1" applyBorder="1"/>
    <xf numFmtId="165" fontId="29" fillId="0" borderId="18" xfId="1" applyNumberFormat="1" applyFont="1" applyBorder="1"/>
    <xf numFmtId="0" fontId="3" fillId="0" borderId="18" xfId="0" applyFont="1" applyBorder="1" applyAlignment="1">
      <alignment horizontal="left"/>
    </xf>
    <xf numFmtId="0" fontId="0" fillId="0" borderId="36" xfId="0" applyBorder="1"/>
    <xf numFmtId="0" fontId="14" fillId="0" borderId="18" xfId="0" applyFont="1" applyBorder="1" applyAlignment="1">
      <alignment horizontal="center"/>
    </xf>
    <xf numFmtId="168" fontId="8" fillId="0" borderId="18" xfId="8" applyNumberFormat="1" applyFont="1" applyBorder="1"/>
    <xf numFmtId="0" fontId="0" fillId="0" borderId="37" xfId="0" applyBorder="1"/>
    <xf numFmtId="0" fontId="0" fillId="0" borderId="38" xfId="0" applyBorder="1"/>
    <xf numFmtId="0" fontId="14" fillId="0" borderId="19" xfId="0" applyFont="1" applyBorder="1" applyAlignment="1">
      <alignment horizontal="center"/>
    </xf>
    <xf numFmtId="168" fontId="8" fillId="0" borderId="19" xfId="8" applyNumberFormat="1" applyFont="1" applyBorder="1"/>
    <xf numFmtId="165" fontId="13" fillId="0" borderId="19" xfId="1" applyNumberFormat="1" applyFont="1" applyBorder="1"/>
    <xf numFmtId="0" fontId="0" fillId="0" borderId="19" xfId="0" applyBorder="1" applyAlignment="1">
      <alignment horizontal="left"/>
    </xf>
    <xf numFmtId="165" fontId="29" fillId="0" borderId="0" xfId="1" applyNumberFormat="1" applyFont="1" applyBorder="1"/>
    <xf numFmtId="165" fontId="8" fillId="0" borderId="0" xfId="1" applyNumberFormat="1" applyFont="1" applyBorder="1"/>
    <xf numFmtId="0" fontId="14" fillId="0" borderId="27" xfId="0" applyFont="1" applyBorder="1" applyAlignment="1">
      <alignment horizontal="center"/>
    </xf>
    <xf numFmtId="165" fontId="8" fillId="0" borderId="27" xfId="1" applyNumberFormat="1" applyFont="1" applyBorder="1"/>
    <xf numFmtId="165" fontId="29" fillId="0" borderId="27" xfId="1" applyNumberFormat="1" applyFont="1" applyBorder="1"/>
    <xf numFmtId="0" fontId="14" fillId="0" borderId="27" xfId="0" applyFont="1" applyBorder="1" applyAlignment="1">
      <alignment horizontal="left"/>
    </xf>
    <xf numFmtId="0" fontId="8" fillId="0" borderId="0" xfId="0" applyFont="1" applyAlignment="1">
      <alignment horizontal="left"/>
    </xf>
    <xf numFmtId="168" fontId="30" fillId="0" borderId="0" xfId="8" applyNumberFormat="1" applyFont="1"/>
    <xf numFmtId="168" fontId="8" fillId="0" borderId="0" xfId="8" applyNumberFormat="1" applyFont="1" applyAlignment="1">
      <alignment horizontal="left"/>
    </xf>
    <xf numFmtId="168" fontId="24" fillId="0" borderId="0" xfId="8" applyNumberFormat="1" applyFont="1" applyAlignment="1">
      <alignment horizontal="left"/>
    </xf>
    <xf numFmtId="164" fontId="8" fillId="0" borderId="0" xfId="8" applyFont="1" applyBorder="1"/>
    <xf numFmtId="9" fontId="8" fillId="0" borderId="0" xfId="8" applyNumberFormat="1" applyFont="1" applyBorder="1"/>
    <xf numFmtId="9" fontId="8" fillId="0" borderId="0" xfId="1" applyFont="1" applyBorder="1"/>
    <xf numFmtId="9" fontId="13" fillId="0" borderId="0" xfId="8" applyNumberFormat="1" applyFont="1"/>
    <xf numFmtId="1" fontId="13" fillId="0" borderId="0" xfId="8" applyNumberFormat="1" applyFont="1" applyFill="1" applyBorder="1"/>
    <xf numFmtId="9" fontId="13" fillId="0" borderId="0" xfId="1" applyFont="1" applyBorder="1"/>
    <xf numFmtId="165" fontId="1" fillId="0" borderId="0" xfId="1" applyNumberFormat="1" applyFont="1" applyBorder="1"/>
    <xf numFmtId="168" fontId="24" fillId="0" borderId="24" xfId="8" applyNumberFormat="1" applyFont="1" applyBorder="1" applyAlignment="1">
      <alignment horizontal="left"/>
    </xf>
    <xf numFmtId="168" fontId="31" fillId="0" borderId="24" xfId="8" applyNumberFormat="1" applyFont="1" applyBorder="1"/>
    <xf numFmtId="164" fontId="24" fillId="0" borderId="24" xfId="8" applyFont="1" applyBorder="1"/>
    <xf numFmtId="165" fontId="13" fillId="0" borderId="18" xfId="1" applyNumberFormat="1" applyFont="1" applyBorder="1"/>
    <xf numFmtId="165" fontId="8" fillId="0" borderId="18" xfId="1" applyNumberFormat="1" applyFont="1" applyBorder="1"/>
    <xf numFmtId="0" fontId="14" fillId="0" borderId="18" xfId="0" applyFont="1" applyBorder="1" applyAlignment="1">
      <alignment horizontal="left"/>
    </xf>
    <xf numFmtId="165" fontId="8" fillId="0" borderId="19" xfId="1" applyNumberFormat="1" applyFont="1" applyBorder="1"/>
    <xf numFmtId="0" fontId="14" fillId="0" borderId="19" xfId="0" applyFont="1" applyBorder="1" applyAlignment="1">
      <alignment horizontal="left"/>
    </xf>
    <xf numFmtId="165" fontId="29" fillId="0" borderId="19" xfId="1" applyNumberFormat="1" applyFont="1" applyBorder="1"/>
    <xf numFmtId="9" fontId="13" fillId="0" borderId="18" xfId="1" applyFont="1" applyBorder="1"/>
    <xf numFmtId="0" fontId="0" fillId="0" borderId="32" xfId="0" applyBorder="1"/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18" xfId="0" applyBorder="1" applyAlignment="1">
      <alignment horizontal="left"/>
    </xf>
    <xf numFmtId="168" fontId="30" fillId="0" borderId="0" xfId="8" applyNumberFormat="1" applyFont="1" applyAlignment="1">
      <alignment horizontal="center"/>
    </xf>
    <xf numFmtId="0" fontId="30" fillId="0" borderId="0" xfId="0" applyFont="1" applyAlignment="1">
      <alignment horizontal="center"/>
    </xf>
    <xf numFmtId="168" fontId="24" fillId="0" borderId="36" xfId="8" applyNumberFormat="1" applyFont="1" applyBorder="1"/>
    <xf numFmtId="168" fontId="31" fillId="0" borderId="18" xfId="8" applyNumberFormat="1" applyFont="1" applyBorder="1"/>
    <xf numFmtId="164" fontId="24" fillId="0" borderId="18" xfId="8" applyFont="1" applyBorder="1"/>
    <xf numFmtId="164" fontId="24" fillId="0" borderId="39" xfId="8" applyFont="1" applyBorder="1"/>
    <xf numFmtId="168" fontId="24" fillId="0" borderId="38" xfId="8" applyNumberFormat="1" applyFont="1" applyBorder="1"/>
    <xf numFmtId="168" fontId="31" fillId="0" borderId="19" xfId="8" applyNumberFormat="1" applyFont="1" applyBorder="1"/>
    <xf numFmtId="168" fontId="24" fillId="0" borderId="19" xfId="8" applyNumberFormat="1" applyFont="1" applyBorder="1"/>
    <xf numFmtId="168" fontId="24" fillId="0" borderId="40" xfId="8" applyNumberFormat="1" applyFont="1" applyBorder="1"/>
    <xf numFmtId="2" fontId="0" fillId="0" borderId="0" xfId="8" applyNumberFormat="1" applyFont="1" applyBorder="1"/>
    <xf numFmtId="168" fontId="0" fillId="0" borderId="0" xfId="0" applyNumberFormat="1"/>
    <xf numFmtId="0" fontId="24" fillId="0" borderId="41" xfId="11" applyFont="1" applyBorder="1" applyAlignment="1">
      <alignment horizontal="center" vertical="top" wrapText="1"/>
    </xf>
    <xf numFmtId="0" fontId="24" fillId="0" borderId="41" xfId="11" applyFont="1" applyBorder="1" applyAlignment="1">
      <alignment horizontal="left" vertical="top" wrapText="1" indent="2"/>
    </xf>
    <xf numFmtId="0" fontId="24" fillId="0" borderId="42" xfId="11" applyFont="1" applyBorder="1" applyAlignment="1">
      <alignment horizontal="left" vertical="top" wrapText="1" indent="1"/>
    </xf>
    <xf numFmtId="0" fontId="3" fillId="0" borderId="35" xfId="0" applyFont="1" applyBorder="1"/>
    <xf numFmtId="0" fontId="3" fillId="0" borderId="43" xfId="0" applyFont="1" applyBorder="1"/>
    <xf numFmtId="0" fontId="3" fillId="0" borderId="44" xfId="0" applyFont="1" applyBorder="1"/>
    <xf numFmtId="0" fontId="24" fillId="0" borderId="46" xfId="11" applyFont="1" applyBorder="1" applyAlignment="1">
      <alignment horizontal="right" vertical="top" wrapText="1" indent="1"/>
    </xf>
    <xf numFmtId="0" fontId="24" fillId="0" borderId="35" xfId="11" applyFont="1" applyBorder="1" applyAlignment="1">
      <alignment horizontal="center" vertical="top" wrapText="1"/>
    </xf>
    <xf numFmtId="168" fontId="3" fillId="0" borderId="27" xfId="8" applyNumberFormat="1" applyFont="1" applyBorder="1"/>
    <xf numFmtId="168" fontId="3" fillId="0" borderId="35" xfId="8" applyNumberFormat="1" applyFont="1" applyBorder="1"/>
    <xf numFmtId="168" fontId="3" fillId="0" borderId="43" xfId="8" applyNumberFormat="1" applyFont="1" applyBorder="1"/>
    <xf numFmtId="10" fontId="8" fillId="0" borderId="0" xfId="0" applyNumberFormat="1" applyFont="1" applyAlignment="1">
      <alignment horizontal="left"/>
    </xf>
    <xf numFmtId="165" fontId="3" fillId="0" borderId="0" xfId="1" applyNumberFormat="1" applyFont="1"/>
    <xf numFmtId="165" fontId="3" fillId="0" borderId="0" xfId="1" applyNumberFormat="1" applyFont="1" applyFill="1" applyBorder="1"/>
    <xf numFmtId="165" fontId="3" fillId="0" borderId="43" xfId="1" applyNumberFormat="1" applyFont="1" applyBorder="1"/>
    <xf numFmtId="165" fontId="3" fillId="0" borderId="35" xfId="1" applyNumberFormat="1" applyFont="1" applyBorder="1"/>
    <xf numFmtId="165" fontId="3" fillId="0" borderId="27" xfId="1" applyNumberFormat="1" applyFont="1" applyBorder="1"/>
    <xf numFmtId="165" fontId="29" fillId="0" borderId="43" xfId="1" applyNumberFormat="1" applyFont="1" applyBorder="1"/>
    <xf numFmtId="164" fontId="1" fillId="0" borderId="0" xfId="8" applyFont="1"/>
    <xf numFmtId="168" fontId="1" fillId="0" borderId="0" xfId="8" applyNumberFormat="1" applyFont="1"/>
    <xf numFmtId="165" fontId="24" fillId="0" borderId="43" xfId="1" applyNumberFormat="1" applyFont="1" applyBorder="1"/>
    <xf numFmtId="10" fontId="0" fillId="0" borderId="0" xfId="0" applyNumberFormat="1"/>
    <xf numFmtId="0" fontId="24" fillId="0" borderId="41" xfId="11" applyFont="1" applyBorder="1" applyAlignment="1">
      <alignment horizontal="left" vertical="top" wrapText="1"/>
    </xf>
    <xf numFmtId="0" fontId="24" fillId="0" borderId="46" xfId="11" applyFont="1" applyBorder="1" applyAlignment="1">
      <alignment horizontal="center" vertical="center" wrapText="1"/>
    </xf>
    <xf numFmtId="0" fontId="24" fillId="0" borderId="0" xfId="11" applyFont="1" applyAlignment="1">
      <alignment horizontal="center" vertical="center" wrapText="1"/>
    </xf>
    <xf numFmtId="0" fontId="24" fillId="0" borderId="46" xfId="11" applyFont="1" applyBorder="1" applyAlignment="1">
      <alignment vertical="center" wrapText="1"/>
    </xf>
    <xf numFmtId="0" fontId="24" fillId="0" borderId="27" xfId="11" applyFont="1" applyBorder="1" applyAlignment="1">
      <alignment vertical="top" wrapText="1"/>
    </xf>
    <xf numFmtId="0" fontId="24" fillId="0" borderId="46" xfId="11" applyFont="1" applyBorder="1" applyAlignment="1">
      <alignment vertical="top" wrapText="1"/>
    </xf>
    <xf numFmtId="9" fontId="0" fillId="0" borderId="37" xfId="1" applyFont="1" applyFill="1" applyBorder="1"/>
    <xf numFmtId="9" fontId="13" fillId="0" borderId="36" xfId="1" applyFont="1" applyBorder="1"/>
    <xf numFmtId="9" fontId="13" fillId="0" borderId="39" xfId="1" applyFont="1" applyBorder="1"/>
    <xf numFmtId="9" fontId="13" fillId="0" borderId="37" xfId="1" applyFont="1" applyBorder="1"/>
    <xf numFmtId="9" fontId="13" fillId="0" borderId="47" xfId="1" applyFont="1" applyBorder="1"/>
    <xf numFmtId="0" fontId="24" fillId="0" borderId="0" xfId="11" applyFont="1" applyAlignment="1">
      <alignment vertical="center" wrapText="1"/>
    </xf>
    <xf numFmtId="168" fontId="3" fillId="0" borderId="32" xfId="8" applyNumberFormat="1" applyFont="1" applyBorder="1"/>
    <xf numFmtId="0" fontId="0" fillId="0" borderId="45" xfId="0" applyBorder="1"/>
    <xf numFmtId="0" fontId="3" fillId="0" borderId="48" xfId="0" applyFont="1" applyBorder="1"/>
    <xf numFmtId="168" fontId="1" fillId="0" borderId="36" xfId="8" applyNumberFormat="1" applyFont="1" applyBorder="1"/>
    <xf numFmtId="168" fontId="1" fillId="0" borderId="18" xfId="8" applyNumberFormat="1" applyFont="1" applyBorder="1"/>
    <xf numFmtId="168" fontId="1" fillId="0" borderId="39" xfId="8" applyNumberFormat="1" applyFont="1" applyBorder="1"/>
    <xf numFmtId="168" fontId="1" fillId="0" borderId="37" xfId="8" applyNumberFormat="1" applyFont="1" applyBorder="1"/>
    <xf numFmtId="168" fontId="1" fillId="0" borderId="0" xfId="8" applyNumberFormat="1" applyFont="1" applyBorder="1"/>
    <xf numFmtId="168" fontId="1" fillId="0" borderId="47" xfId="8" applyNumberFormat="1" applyFont="1" applyBorder="1"/>
    <xf numFmtId="168" fontId="1" fillId="0" borderId="38" xfId="8" applyNumberFormat="1" applyFont="1" applyBorder="1"/>
    <xf numFmtId="168" fontId="1" fillId="0" borderId="19" xfId="8" applyNumberFormat="1" applyFont="1" applyBorder="1"/>
    <xf numFmtId="173" fontId="0" fillId="0" borderId="0" xfId="0" applyNumberFormat="1"/>
    <xf numFmtId="165" fontId="1" fillId="0" borderId="36" xfId="1" applyNumberFormat="1" applyFont="1" applyBorder="1"/>
    <xf numFmtId="165" fontId="1" fillId="0" borderId="18" xfId="1" applyNumberFormat="1" applyFont="1" applyBorder="1"/>
    <xf numFmtId="165" fontId="1" fillId="0" borderId="39" xfId="1" applyNumberFormat="1" applyFont="1" applyBorder="1"/>
    <xf numFmtId="165" fontId="1" fillId="0" borderId="37" xfId="1" applyNumberFormat="1" applyFont="1" applyBorder="1"/>
    <xf numFmtId="165" fontId="1" fillId="0" borderId="47" xfId="1" applyNumberFormat="1" applyFont="1" applyBorder="1"/>
    <xf numFmtId="165" fontId="1" fillId="0" borderId="38" xfId="1" applyNumberFormat="1" applyFont="1" applyBorder="1"/>
    <xf numFmtId="165" fontId="1" fillId="0" borderId="19" xfId="1" applyNumberFormat="1" applyFont="1" applyBorder="1"/>
    <xf numFmtId="168" fontId="1" fillId="0" borderId="40" xfId="8" applyNumberFormat="1" applyFont="1" applyBorder="1"/>
    <xf numFmtId="165" fontId="1" fillId="0" borderId="40" xfId="1" applyNumberFormat="1" applyFont="1" applyBorder="1"/>
    <xf numFmtId="10" fontId="13" fillId="0" borderId="0" xfId="1" applyNumberFormat="1" applyFont="1"/>
    <xf numFmtId="165" fontId="0" fillId="0" borderId="19" xfId="1" applyNumberFormat="1" applyFont="1" applyBorder="1"/>
    <xf numFmtId="164" fontId="3" fillId="0" borderId="0" xfId="0" applyNumberFormat="1" applyFont="1"/>
    <xf numFmtId="0" fontId="15" fillId="0" borderId="0" xfId="0" applyFont="1" applyAlignment="1">
      <alignment horizontal="right" wrapText="1"/>
    </xf>
    <xf numFmtId="0" fontId="15" fillId="0" borderId="0" xfId="0" applyFont="1" applyAlignment="1">
      <alignment horizontal="left"/>
    </xf>
    <xf numFmtId="0" fontId="3" fillId="9" borderId="36" xfId="0" applyFont="1" applyFill="1" applyBorder="1" applyAlignment="1">
      <alignment horizontal="left" vertical="center"/>
    </xf>
    <xf numFmtId="0" fontId="3" fillId="9" borderId="18" xfId="0" applyFont="1" applyFill="1" applyBorder="1"/>
    <xf numFmtId="0" fontId="3" fillId="9" borderId="38" xfId="0" applyFont="1" applyFill="1" applyBorder="1" applyAlignment="1">
      <alignment horizontal="left" vertical="center"/>
    </xf>
    <xf numFmtId="0" fontId="3" fillId="9" borderId="19" xfId="0" applyFont="1" applyFill="1" applyBorder="1"/>
    <xf numFmtId="0" fontId="15" fillId="9" borderId="18" xfId="0" applyFont="1" applyFill="1" applyBorder="1"/>
    <xf numFmtId="166" fontId="3" fillId="9" borderId="18" xfId="0" applyNumberFormat="1" applyFont="1" applyFill="1" applyBorder="1"/>
    <xf numFmtId="0" fontId="15" fillId="9" borderId="19" xfId="0" applyFont="1" applyFill="1" applyBorder="1"/>
    <xf numFmtId="166" fontId="3" fillId="9" borderId="19" xfId="0" applyNumberFormat="1" applyFont="1" applyFill="1" applyBorder="1"/>
    <xf numFmtId="168" fontId="24" fillId="0" borderId="0" xfId="8" applyNumberFormat="1" applyFont="1" applyBorder="1"/>
    <xf numFmtId="168" fontId="31" fillId="0" borderId="0" xfId="8" applyNumberFormat="1" applyFont="1" applyBorder="1"/>
    <xf numFmtId="165" fontId="31" fillId="0" borderId="0" xfId="1" applyNumberFormat="1" applyFont="1" applyBorder="1"/>
    <xf numFmtId="2" fontId="0" fillId="0" borderId="19" xfId="0" applyNumberFormat="1" applyBorder="1"/>
    <xf numFmtId="166" fontId="24" fillId="0" borderId="0" xfId="0" applyNumberFormat="1" applyFont="1"/>
    <xf numFmtId="165" fontId="11" fillId="8" borderId="0" xfId="0" applyNumberFormat="1" applyFont="1" applyFill="1"/>
    <xf numFmtId="2" fontId="0" fillId="0" borderId="0" xfId="0" applyNumberFormat="1" applyAlignment="1">
      <alignment horizontal="right"/>
    </xf>
    <xf numFmtId="2" fontId="0" fillId="8" borderId="0" xfId="0" applyNumberFormat="1" applyFill="1"/>
    <xf numFmtId="0" fontId="3" fillId="3" borderId="10" xfId="0" applyFont="1" applyFill="1" applyBorder="1" applyAlignment="1">
      <alignment horizontal="left"/>
    </xf>
    <xf numFmtId="9" fontId="0" fillId="8" borderId="0" xfId="0" applyNumberFormat="1" applyFill="1"/>
    <xf numFmtId="9" fontId="0" fillId="8" borderId="0" xfId="1" applyFont="1" applyFill="1"/>
    <xf numFmtId="2" fontId="3" fillId="0" borderId="33" xfId="0" applyNumberFormat="1" applyFont="1" applyBorder="1"/>
    <xf numFmtId="10" fontId="3" fillId="0" borderId="0" xfId="1" applyNumberFormat="1" applyFont="1"/>
    <xf numFmtId="9" fontId="0" fillId="0" borderId="18" xfId="1" applyFont="1" applyBorder="1"/>
    <xf numFmtId="166" fontId="0" fillId="8" borderId="0" xfId="0" applyNumberFormat="1" applyFill="1"/>
    <xf numFmtId="2" fontId="0" fillId="10" borderId="0" xfId="0" applyNumberFormat="1" applyFill="1"/>
    <xf numFmtId="0" fontId="0" fillId="7" borderId="0" xfId="0" applyFill="1"/>
    <xf numFmtId="2" fontId="0" fillId="7" borderId="0" xfId="0" applyNumberFormat="1" applyFill="1"/>
    <xf numFmtId="2" fontId="0" fillId="6" borderId="0" xfId="0" applyNumberFormat="1" applyFill="1"/>
    <xf numFmtId="2" fontId="0" fillId="7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0" fontId="38" fillId="0" borderId="0" xfId="14" applyAlignment="1">
      <alignment horizontal="left" vertical="top"/>
    </xf>
    <xf numFmtId="174" fontId="0" fillId="0" borderId="0" xfId="0" applyNumberFormat="1"/>
    <xf numFmtId="174" fontId="0" fillId="8" borderId="0" xfId="0" applyNumberFormat="1" applyFill="1"/>
    <xf numFmtId="0" fontId="38" fillId="0" borderId="0" xfId="14" applyAlignment="1">
      <alignment horizontal="left"/>
    </xf>
    <xf numFmtId="0" fontId="39" fillId="0" borderId="0" xfId="0" applyFont="1"/>
    <xf numFmtId="166" fontId="39" fillId="0" borderId="0" xfId="0" applyNumberFormat="1" applyFont="1"/>
    <xf numFmtId="9" fontId="40" fillId="0" borderId="0" xfId="0" applyNumberFormat="1" applyFont="1"/>
    <xf numFmtId="9" fontId="39" fillId="0" borderId="0" xfId="0" applyNumberFormat="1" applyFont="1"/>
    <xf numFmtId="168" fontId="39" fillId="0" borderId="0" xfId="8" applyNumberFormat="1" applyFont="1" applyFill="1" applyBorder="1"/>
    <xf numFmtId="0" fontId="41" fillId="0" borderId="0" xfId="0" applyFont="1"/>
    <xf numFmtId="9" fontId="42" fillId="0" borderId="0" xfId="0" applyNumberFormat="1" applyFont="1"/>
    <xf numFmtId="0" fontId="43" fillId="0" borderId="0" xfId="0" applyFont="1"/>
    <xf numFmtId="0" fontId="44" fillId="0" borderId="0" xfId="0" applyFont="1"/>
    <xf numFmtId="0" fontId="0" fillId="11" borderId="0" xfId="0" applyFill="1"/>
    <xf numFmtId="0" fontId="39" fillId="11" borderId="0" xfId="0" applyFont="1" applyFill="1"/>
    <xf numFmtId="9" fontId="39" fillId="11" borderId="0" xfId="0" applyNumberFormat="1" applyFont="1" applyFill="1"/>
    <xf numFmtId="168" fontId="39" fillId="11" borderId="0" xfId="8" applyNumberFormat="1" applyFont="1" applyFill="1" applyBorder="1"/>
    <xf numFmtId="174" fontId="0" fillId="11" borderId="0" xfId="0" applyNumberFormat="1" applyFill="1"/>
    <xf numFmtId="166" fontId="0" fillId="12" borderId="0" xfId="0" applyNumberFormat="1" applyFill="1"/>
    <xf numFmtId="2" fontId="3" fillId="4" borderId="0" xfId="0" applyNumberFormat="1" applyFont="1" applyFill="1"/>
    <xf numFmtId="9" fontId="1" fillId="0" borderId="0" xfId="1" applyFont="1" applyFill="1"/>
    <xf numFmtId="167" fontId="1" fillId="0" borderId="0" xfId="8" applyNumberFormat="1" applyFont="1" applyFill="1"/>
    <xf numFmtId="0" fontId="14" fillId="7" borderId="33" xfId="0" applyFont="1" applyFill="1" applyBorder="1" applyAlignment="1">
      <alignment horizontal="left"/>
    </xf>
    <xf numFmtId="3" fontId="0" fillId="0" borderId="0" xfId="0" applyNumberFormat="1"/>
    <xf numFmtId="1" fontId="24" fillId="0" borderId="31" xfId="0" applyNumberFormat="1" applyFont="1" applyBorder="1"/>
    <xf numFmtId="3" fontId="45" fillId="0" borderId="31" xfId="14" applyNumberFormat="1" applyFont="1" applyBorder="1"/>
    <xf numFmtId="165" fontId="3" fillId="0" borderId="31" xfId="0" applyNumberFormat="1" applyFont="1" applyBorder="1"/>
    <xf numFmtId="0" fontId="3" fillId="0" borderId="31" xfId="0" applyFont="1" applyBorder="1"/>
    <xf numFmtId="0" fontId="46" fillId="0" borderId="31" xfId="3" applyFont="1" applyBorder="1"/>
    <xf numFmtId="1" fontId="3" fillId="0" borderId="31" xfId="0" applyNumberFormat="1" applyFont="1" applyBorder="1"/>
    <xf numFmtId="1" fontId="14" fillId="0" borderId="0" xfId="0" applyNumberFormat="1" applyFont="1"/>
    <xf numFmtId="1" fontId="38" fillId="0" borderId="0" xfId="14" applyNumberFormat="1" applyAlignment="1">
      <alignment horizontal="right"/>
    </xf>
    <xf numFmtId="3" fontId="38" fillId="0" borderId="0" xfId="14" applyNumberFormat="1"/>
    <xf numFmtId="9" fontId="0" fillId="0" borderId="0" xfId="1" applyFont="1" applyFill="1" applyBorder="1"/>
    <xf numFmtId="9" fontId="3" fillId="0" borderId="0" xfId="1" applyFont="1" applyFill="1" applyBorder="1"/>
    <xf numFmtId="0" fontId="1" fillId="0" borderId="0" xfId="9"/>
    <xf numFmtId="9" fontId="1" fillId="0" borderId="0" xfId="15" applyFont="1"/>
    <xf numFmtId="0" fontId="0" fillId="0" borderId="0" xfId="0" applyAlignment="1">
      <alignment horizontal="center" vertical="center"/>
    </xf>
    <xf numFmtId="168" fontId="8" fillId="0" borderId="0" xfId="8" applyNumberFormat="1" applyFont="1" applyFill="1"/>
    <xf numFmtId="166" fontId="0" fillId="0" borderId="11" xfId="0" applyNumberFormat="1" applyBorder="1" applyAlignment="1">
      <alignment horizontal="right"/>
    </xf>
    <xf numFmtId="10" fontId="3" fillId="5" borderId="15" xfId="0" applyNumberFormat="1" applyFont="1" applyFill="1" applyBorder="1"/>
    <xf numFmtId="166" fontId="3" fillId="0" borderId="15" xfId="0" applyNumberFormat="1" applyFont="1" applyBorder="1" applyAlignment="1">
      <alignment horizontal="right"/>
    </xf>
    <xf numFmtId="10" fontId="3" fillId="0" borderId="26" xfId="0" applyNumberFormat="1" applyFont="1" applyBorder="1"/>
    <xf numFmtId="165" fontId="3" fillId="0" borderId="14" xfId="0" applyNumberFormat="1" applyFont="1" applyBorder="1"/>
    <xf numFmtId="0" fontId="3" fillId="0" borderId="0" xfId="0" applyFont="1" applyAlignment="1">
      <alignment horizontal="left" vertical="center"/>
    </xf>
    <xf numFmtId="166" fontId="0" fillId="0" borderId="14" xfId="0" applyNumberFormat="1" applyBorder="1" applyAlignment="1">
      <alignment horizontal="right"/>
    </xf>
    <xf numFmtId="165" fontId="24" fillId="0" borderId="0" xfId="0" applyNumberFormat="1" applyFont="1"/>
    <xf numFmtId="169" fontId="0" fillId="0" borderId="0" xfId="0" applyNumberFormat="1" applyAlignment="1">
      <alignment horizontal="right"/>
    </xf>
    <xf numFmtId="9" fontId="3" fillId="7" borderId="0" xfId="1" applyFont="1" applyFill="1"/>
    <xf numFmtId="164" fontId="0" fillId="0" borderId="0" xfId="0" applyNumberFormat="1" applyAlignment="1">
      <alignment horizontal="left"/>
    </xf>
    <xf numFmtId="0" fontId="3" fillId="0" borderId="36" xfId="0" applyFont="1" applyBorder="1"/>
    <xf numFmtId="0" fontId="3" fillId="0" borderId="38" xfId="0" applyFont="1" applyBorder="1"/>
    <xf numFmtId="4" fontId="0" fillId="0" borderId="0" xfId="0" applyNumberFormat="1"/>
    <xf numFmtId="0" fontId="0" fillId="0" borderId="0" xfId="0" applyAlignment="1">
      <alignment vertical="center"/>
    </xf>
    <xf numFmtId="0" fontId="36" fillId="0" borderId="0" xfId="0" applyFont="1" applyAlignment="1">
      <alignment horizontal="left" vertical="center"/>
    </xf>
    <xf numFmtId="0" fontId="0" fillId="10" borderId="0" xfId="0" applyFill="1"/>
    <xf numFmtId="9" fontId="0" fillId="10" borderId="0" xfId="1" applyFont="1" applyFill="1"/>
    <xf numFmtId="0" fontId="3" fillId="8" borderId="33" xfId="0" applyFont="1" applyFill="1" applyBorder="1"/>
    <xf numFmtId="0" fontId="3" fillId="8" borderId="18" xfId="0" applyFont="1" applyFill="1" applyBorder="1"/>
    <xf numFmtId="9" fontId="13" fillId="8" borderId="0" xfId="0" applyNumberFormat="1" applyFont="1" applyFill="1"/>
    <xf numFmtId="165" fontId="0" fillId="8" borderId="18" xfId="1" applyNumberFormat="1" applyFont="1" applyFill="1" applyBorder="1"/>
    <xf numFmtId="165" fontId="0" fillId="8" borderId="0" xfId="1" applyNumberFormat="1" applyFont="1" applyFill="1" applyBorder="1"/>
    <xf numFmtId="165" fontId="3" fillId="8" borderId="33" xfId="0" applyNumberFormat="1" applyFont="1" applyFill="1" applyBorder="1"/>
    <xf numFmtId="0" fontId="3" fillId="0" borderId="2" xfId="0" applyFont="1" applyBorder="1"/>
    <xf numFmtId="0" fontId="3" fillId="0" borderId="34" xfId="0" applyFont="1" applyBorder="1"/>
    <xf numFmtId="0" fontId="14" fillId="0" borderId="34" xfId="0" applyFont="1" applyBorder="1"/>
    <xf numFmtId="166" fontId="0" fillId="0" borderId="34" xfId="0" applyNumberFormat="1" applyBorder="1"/>
    <xf numFmtId="0" fontId="0" fillId="0" borderId="34" xfId="0" applyBorder="1"/>
    <xf numFmtId="9" fontId="13" fillId="8" borderId="0" xfId="1" applyFont="1" applyFill="1"/>
    <xf numFmtId="9" fontId="8" fillId="8" borderId="0" xfId="0" applyNumberFormat="1" applyFont="1" applyFill="1"/>
    <xf numFmtId="2" fontId="3" fillId="0" borderId="12" xfId="0" applyNumberFormat="1" applyFont="1" applyBorder="1" applyAlignment="1">
      <alignment horizontal="right"/>
    </xf>
    <xf numFmtId="165" fontId="8" fillId="0" borderId="11" xfId="0" applyNumberFormat="1" applyFont="1" applyBorder="1" applyAlignment="1">
      <alignment horizontal="right"/>
    </xf>
    <xf numFmtId="165" fontId="0" fillId="8" borderId="0" xfId="0" applyNumberFormat="1" applyFill="1"/>
    <xf numFmtId="10" fontId="0" fillId="0" borderId="18" xfId="1" applyNumberFormat="1" applyFont="1" applyBorder="1"/>
    <xf numFmtId="10" fontId="0" fillId="8" borderId="0" xfId="0" applyNumberFormat="1" applyFill="1"/>
    <xf numFmtId="2" fontId="0" fillId="0" borderId="14" xfId="0" applyNumberFormat="1" applyBorder="1" applyAlignment="1">
      <alignment horizontal="right"/>
    </xf>
    <xf numFmtId="2" fontId="3" fillId="0" borderId="15" xfId="0" applyNumberFormat="1" applyFont="1" applyBorder="1" applyAlignment="1">
      <alignment horizontal="right"/>
    </xf>
    <xf numFmtId="9" fontId="8" fillId="0" borderId="37" xfId="1" applyFont="1" applyBorder="1"/>
    <xf numFmtId="9" fontId="18" fillId="0" borderId="0" xfId="1" applyFont="1" applyFill="1"/>
    <xf numFmtId="10" fontId="8" fillId="0" borderId="0" xfId="0" applyNumberFormat="1" applyFont="1"/>
    <xf numFmtId="175" fontId="0" fillId="0" borderId="0" xfId="0" applyNumberFormat="1"/>
    <xf numFmtId="166" fontId="13" fillId="0" borderId="0" xfId="0" applyNumberFormat="1" applyFont="1"/>
    <xf numFmtId="166" fontId="13" fillId="0" borderId="19" xfId="0" applyNumberFormat="1" applyFont="1" applyBorder="1"/>
    <xf numFmtId="0" fontId="4" fillId="0" borderId="0" xfId="3" applyBorder="1"/>
    <xf numFmtId="0" fontId="4" fillId="0" borderId="19" xfId="3" applyBorder="1"/>
    <xf numFmtId="2" fontId="24" fillId="0" borderId="0" xfId="0" applyNumberFormat="1" applyFont="1"/>
    <xf numFmtId="165" fontId="3" fillId="0" borderId="15" xfId="0" applyNumberFormat="1" applyFont="1" applyBorder="1"/>
    <xf numFmtId="43" fontId="1" fillId="0" borderId="37" xfId="8" applyNumberFormat="1" applyFont="1" applyBorder="1"/>
    <xf numFmtId="0" fontId="3" fillId="10" borderId="0" xfId="0" applyFont="1" applyFill="1"/>
    <xf numFmtId="0" fontId="4" fillId="0" borderId="0" xfId="3" applyAlignment="1">
      <alignment horizontal="left"/>
    </xf>
    <xf numFmtId="168" fontId="0" fillId="0" borderId="0" xfId="8" applyNumberFormat="1" applyFont="1" applyFill="1"/>
    <xf numFmtId="164" fontId="0" fillId="0" borderId="0" xfId="8" applyFont="1" applyFill="1"/>
    <xf numFmtId="0" fontId="3" fillId="0" borderId="6" xfId="0" applyFont="1" applyBorder="1"/>
    <xf numFmtId="0" fontId="3" fillId="0" borderId="4" xfId="0" applyFont="1" applyBorder="1"/>
    <xf numFmtId="168" fontId="0" fillId="0" borderId="34" xfId="8" applyNumberFormat="1" applyFont="1" applyBorder="1"/>
    <xf numFmtId="168" fontId="0" fillId="0" borderId="34" xfId="0" applyNumberFormat="1" applyBorder="1"/>
    <xf numFmtId="166" fontId="0" fillId="0" borderId="23" xfId="0" applyNumberFormat="1" applyBorder="1"/>
    <xf numFmtId="0" fontId="3" fillId="0" borderId="0" xfId="0" applyFont="1" applyAlignment="1">
      <alignment horizontal="right"/>
    </xf>
    <xf numFmtId="0" fontId="14" fillId="0" borderId="4" xfId="0" applyFont="1" applyBorder="1" applyAlignment="1">
      <alignment horizontal="right"/>
    </xf>
    <xf numFmtId="0" fontId="14" fillId="0" borderId="6" xfId="0" applyFont="1" applyBorder="1" applyAlignment="1">
      <alignment horizontal="right"/>
    </xf>
    <xf numFmtId="0" fontId="14" fillId="0" borderId="31" xfId="0" applyFont="1" applyBorder="1"/>
    <xf numFmtId="0" fontId="48" fillId="0" borderId="0" xfId="20">
      <alignment vertical="center"/>
    </xf>
    <xf numFmtId="0" fontId="0" fillId="0" borderId="27" xfId="0" applyBorder="1" applyAlignment="1">
      <alignment horizontal="right"/>
    </xf>
    <xf numFmtId="165" fontId="49" fillId="0" borderId="45" xfId="0" applyNumberFormat="1" applyFont="1" applyBorder="1"/>
    <xf numFmtId="0" fontId="48" fillId="0" borderId="19" xfId="20" applyBorder="1">
      <alignment vertical="center"/>
    </xf>
    <xf numFmtId="0" fontId="50" fillId="0" borderId="19" xfId="20" applyFont="1" applyBorder="1" applyAlignment="1">
      <alignment horizontal="center" vertical="center"/>
    </xf>
    <xf numFmtId="0" fontId="51" fillId="0" borderId="19" xfId="20" applyFont="1" applyBorder="1" applyAlignment="1">
      <alignment horizontal="center" vertical="center"/>
    </xf>
    <xf numFmtId="38" fontId="51" fillId="0" borderId="0" xfId="20" applyNumberFormat="1" applyFont="1" applyAlignment="1">
      <alignment horizontal="right" vertical="center"/>
    </xf>
    <xf numFmtId="38" fontId="1" fillId="0" borderId="0" xfId="20" applyNumberFormat="1" applyFont="1" applyAlignment="1">
      <alignment horizontal="center" vertical="center"/>
    </xf>
    <xf numFmtId="38" fontId="50" fillId="0" borderId="0" xfId="20" applyNumberFormat="1" applyFont="1" applyAlignment="1">
      <alignment horizontal="center" vertical="center"/>
    </xf>
    <xf numFmtId="38" fontId="51" fillId="0" borderId="0" xfId="20" applyNumberFormat="1" applyFont="1" applyAlignment="1">
      <alignment horizontal="center" vertical="center"/>
    </xf>
    <xf numFmtId="176" fontId="52" fillId="0" borderId="0" xfId="0" applyNumberFormat="1" applyFont="1" applyAlignment="1">
      <alignment horizontal="center"/>
    </xf>
    <xf numFmtId="167" fontId="34" fillId="0" borderId="0" xfId="8" applyNumberFormat="1" applyFont="1" applyAlignment="1">
      <alignment horizontal="right" vertical="center"/>
    </xf>
    <xf numFmtId="167" fontId="34" fillId="0" borderId="0" xfId="8" applyNumberFormat="1" applyFont="1" applyAlignment="1">
      <alignment vertical="center"/>
    </xf>
    <xf numFmtId="167" fontId="48" fillId="0" borderId="0" xfId="8" applyNumberFormat="1" applyFont="1" applyAlignment="1">
      <alignment vertical="center"/>
    </xf>
    <xf numFmtId="167" fontId="34" fillId="0" borderId="0" xfId="8" applyNumberFormat="1" applyFont="1"/>
    <xf numFmtId="167" fontId="3" fillId="0" borderId="24" xfId="0" applyNumberFormat="1" applyFont="1" applyBorder="1"/>
    <xf numFmtId="9" fontId="34" fillId="0" borderId="0" xfId="0" applyNumberFormat="1" applyFont="1"/>
    <xf numFmtId="167" fontId="3" fillId="0" borderId="24" xfId="8" applyNumberFormat="1" applyFont="1" applyBorder="1"/>
    <xf numFmtId="167" fontId="0" fillId="6" borderId="0" xfId="8" applyNumberFormat="1" applyFont="1" applyFill="1"/>
    <xf numFmtId="166" fontId="34" fillId="0" borderId="0" xfId="0" applyNumberFormat="1" applyFont="1"/>
    <xf numFmtId="167" fontId="3" fillId="0" borderId="0" xfId="8" applyNumberFormat="1" applyFont="1"/>
    <xf numFmtId="167" fontId="0" fillId="0" borderId="11" xfId="8" applyNumberFormat="1" applyFont="1" applyBorder="1" applyAlignment="1">
      <alignment horizontal="right"/>
    </xf>
    <xf numFmtId="167" fontId="3" fillId="0" borderId="12" xfId="8" applyNumberFormat="1" applyFont="1" applyBorder="1" applyAlignment="1">
      <alignment horizontal="right"/>
    </xf>
    <xf numFmtId="167" fontId="0" fillId="0" borderId="14" xfId="8" applyNumberFormat="1" applyFont="1" applyBorder="1" applyAlignment="1">
      <alignment horizontal="right"/>
    </xf>
    <xf numFmtId="167" fontId="3" fillId="0" borderId="15" xfId="8" applyNumberFormat="1" applyFont="1" applyBorder="1" applyAlignment="1">
      <alignment horizontal="right"/>
    </xf>
    <xf numFmtId="167" fontId="3" fillId="10" borderId="0" xfId="8" applyNumberFormat="1" applyFont="1" applyFill="1" applyBorder="1"/>
    <xf numFmtId="167" fontId="3" fillId="10" borderId="0" xfId="8" applyNumberFormat="1" applyFont="1" applyFill="1"/>
    <xf numFmtId="38" fontId="8" fillId="0" borderId="0" xfId="0" applyNumberFormat="1" applyFont="1"/>
    <xf numFmtId="167" fontId="0" fillId="0" borderId="19" xfId="8" applyNumberFormat="1" applyFont="1" applyBorder="1"/>
    <xf numFmtId="177" fontId="34" fillId="0" borderId="0" xfId="0" applyNumberFormat="1" applyFont="1"/>
    <xf numFmtId="177" fontId="0" fillId="0" borderId="0" xfId="0" applyNumberFormat="1"/>
    <xf numFmtId="177" fontId="0" fillId="0" borderId="0" xfId="8" applyNumberFormat="1" applyFont="1"/>
    <xf numFmtId="165" fontId="34" fillId="0" borderId="28" xfId="11" applyNumberFormat="1" applyFont="1" applyBorder="1" applyAlignment="1">
      <alignment horizontal="right" vertical="top" indent="1" shrinkToFit="1"/>
    </xf>
    <xf numFmtId="165" fontId="13" fillId="0" borderId="28" xfId="11" applyNumberFormat="1" applyFont="1" applyBorder="1" applyAlignment="1">
      <alignment horizontal="center" vertical="top" shrinkToFit="1"/>
    </xf>
    <xf numFmtId="165" fontId="34" fillId="0" borderId="0" xfId="0" applyNumberFormat="1" applyFont="1"/>
    <xf numFmtId="9" fontId="34" fillId="0" borderId="0" xfId="1" applyFont="1"/>
    <xf numFmtId="165" fontId="8" fillId="0" borderId="0" xfId="0" applyNumberFormat="1" applyFont="1"/>
    <xf numFmtId="167" fontId="0" fillId="0" borderId="0" xfId="8" applyNumberFormat="1" applyFont="1" applyAlignment="1">
      <alignment horizontal="right"/>
    </xf>
    <xf numFmtId="165" fontId="35" fillId="0" borderId="0" xfId="0" applyNumberFormat="1" applyFont="1"/>
    <xf numFmtId="165" fontId="9" fillId="0" borderId="0" xfId="0" applyNumberFormat="1" applyFont="1"/>
    <xf numFmtId="10" fontId="34" fillId="0" borderId="0" xfId="0" applyNumberFormat="1" applyFont="1" applyAlignment="1">
      <alignment horizontal="left"/>
    </xf>
    <xf numFmtId="167" fontId="24" fillId="0" borderId="0" xfId="8" applyNumberFormat="1" applyFont="1"/>
    <xf numFmtId="167" fontId="3" fillId="0" borderId="33" xfId="8" applyNumberFormat="1" applyFont="1" applyFill="1" applyBorder="1"/>
    <xf numFmtId="167" fontId="18" fillId="0" borderId="0" xfId="8" applyNumberFormat="1" applyFont="1"/>
    <xf numFmtId="167" fontId="21" fillId="0" borderId="0" xfId="8" applyNumberFormat="1" applyFont="1"/>
    <xf numFmtId="167" fontId="24" fillId="0" borderId="18" xfId="8" applyNumberFormat="1" applyFont="1" applyBorder="1"/>
    <xf numFmtId="167" fontId="13" fillId="0" borderId="0" xfId="8" applyNumberFormat="1" applyFont="1" applyBorder="1"/>
    <xf numFmtId="167" fontId="8" fillId="0" borderId="0" xfId="8" applyNumberFormat="1" applyFont="1" applyBorder="1"/>
    <xf numFmtId="167" fontId="8" fillId="0" borderId="18" xfId="8" applyNumberFormat="1" applyFont="1" applyBorder="1"/>
    <xf numFmtId="167" fontId="8" fillId="0" borderId="19" xfId="8" applyNumberFormat="1" applyFont="1" applyBorder="1"/>
    <xf numFmtId="167" fontId="13" fillId="0" borderId="0" xfId="8" applyNumberFormat="1" applyFont="1" applyFill="1" applyBorder="1"/>
    <xf numFmtId="167" fontId="1" fillId="0" borderId="0" xfId="8" applyNumberFormat="1" applyFont="1" applyBorder="1"/>
    <xf numFmtId="167" fontId="24" fillId="0" borderId="24" xfId="8" applyNumberFormat="1" applyFont="1" applyBorder="1"/>
    <xf numFmtId="167" fontId="24" fillId="0" borderId="39" xfId="8" applyNumberFormat="1" applyFont="1" applyBorder="1"/>
    <xf numFmtId="167" fontId="24" fillId="0" borderId="19" xfId="8" applyNumberFormat="1" applyFont="1" applyBorder="1"/>
    <xf numFmtId="167" fontId="24" fillId="0" borderId="40" xfId="8" applyNumberFormat="1" applyFont="1" applyBorder="1"/>
    <xf numFmtId="167" fontId="34" fillId="0" borderId="33" xfId="8" applyNumberFormat="1" applyFont="1" applyBorder="1"/>
    <xf numFmtId="10" fontId="8" fillId="0" borderId="33" xfId="1" applyNumberFormat="1" applyFont="1" applyBorder="1"/>
    <xf numFmtId="165" fontId="34" fillId="0" borderId="0" xfId="1" applyNumberFormat="1" applyFont="1"/>
    <xf numFmtId="165" fontId="34" fillId="0" borderId="0" xfId="1" applyNumberFormat="1" applyFont="1" applyFill="1"/>
    <xf numFmtId="0" fontId="8" fillId="0" borderId="0" xfId="8" applyNumberFormat="1" applyFont="1"/>
    <xf numFmtId="165" fontId="34" fillId="0" borderId="27" xfId="1" applyNumberFormat="1" applyFont="1" applyBorder="1"/>
    <xf numFmtId="165" fontId="34" fillId="0" borderId="0" xfId="1" applyNumberFormat="1" applyFont="1" applyBorder="1"/>
    <xf numFmtId="165" fontId="34" fillId="0" borderId="18" xfId="1" applyNumberFormat="1" applyFont="1" applyBorder="1"/>
    <xf numFmtId="165" fontId="34" fillId="0" borderId="19" xfId="1" applyNumberFormat="1" applyFont="1" applyBorder="1"/>
    <xf numFmtId="167" fontId="8" fillId="0" borderId="0" xfId="1" applyNumberFormat="1" applyFont="1"/>
    <xf numFmtId="167" fontId="8" fillId="0" borderId="0" xfId="1" applyNumberFormat="1" applyFont="1" applyBorder="1"/>
    <xf numFmtId="167" fontId="1" fillId="0" borderId="0" xfId="1" applyNumberFormat="1" applyFont="1" applyBorder="1"/>
    <xf numFmtId="167" fontId="24" fillId="0" borderId="0" xfId="8" applyNumberFormat="1" applyFont="1" applyBorder="1"/>
    <xf numFmtId="167" fontId="0" fillId="0" borderId="34" xfId="8" applyNumberFormat="1" applyFont="1" applyBorder="1"/>
    <xf numFmtId="167" fontId="0" fillId="0" borderId="34" xfId="8" applyNumberFormat="1" applyFont="1" applyFill="1" applyBorder="1"/>
    <xf numFmtId="167" fontId="0" fillId="0" borderId="18" xfId="8" applyNumberFormat="1" applyFont="1" applyBorder="1"/>
    <xf numFmtId="167" fontId="3" fillId="0" borderId="18" xfId="8" applyNumberFormat="1" applyFont="1" applyBorder="1"/>
    <xf numFmtId="167" fontId="3" fillId="0" borderId="0" xfId="8" applyNumberFormat="1" applyFont="1" applyFill="1"/>
    <xf numFmtId="167" fontId="3" fillId="0" borderId="0" xfId="8" applyNumberFormat="1" applyFont="1" applyBorder="1"/>
    <xf numFmtId="167" fontId="3" fillId="0" borderId="18" xfId="8" applyNumberFormat="1" applyFont="1" applyFill="1" applyBorder="1"/>
    <xf numFmtId="167" fontId="0" fillId="0" borderId="0" xfId="8" applyNumberFormat="1" applyFont="1" applyFill="1" applyBorder="1"/>
    <xf numFmtId="167" fontId="3" fillId="0" borderId="19" xfId="8" applyNumberFormat="1" applyFont="1" applyBorder="1"/>
    <xf numFmtId="167" fontId="24" fillId="0" borderId="19" xfId="8" applyNumberFormat="1" applyFont="1" applyFill="1" applyBorder="1"/>
    <xf numFmtId="167" fontId="0" fillId="0" borderId="19" xfId="8" applyNumberFormat="1" applyFont="1" applyFill="1" applyBorder="1"/>
    <xf numFmtId="167" fontId="0" fillId="0" borderId="18" xfId="8" applyNumberFormat="1" applyFont="1" applyFill="1" applyBorder="1"/>
    <xf numFmtId="167" fontId="3" fillId="0" borderId="27" xfId="8" applyNumberFormat="1" applyFont="1" applyBorder="1"/>
    <xf numFmtId="167" fontId="0" fillId="0" borderId="27" xfId="8" applyNumberFormat="1" applyFont="1" applyFill="1" applyBorder="1"/>
    <xf numFmtId="167" fontId="3" fillId="7" borderId="27" xfId="8" applyNumberFormat="1" applyFont="1" applyFill="1" applyBorder="1"/>
    <xf numFmtId="167" fontId="24" fillId="0" borderId="0" xfId="8" applyNumberFormat="1" applyFont="1" applyFill="1"/>
    <xf numFmtId="167" fontId="3" fillId="9" borderId="18" xfId="8" applyNumberFormat="1" applyFont="1" applyFill="1" applyBorder="1"/>
    <xf numFmtId="167" fontId="3" fillId="9" borderId="19" xfId="8" applyNumberFormat="1" applyFont="1" applyFill="1" applyBorder="1"/>
    <xf numFmtId="167" fontId="3" fillId="0" borderId="19" xfId="8" applyNumberFormat="1" applyFont="1" applyFill="1" applyBorder="1"/>
    <xf numFmtId="167" fontId="8" fillId="0" borderId="0" xfId="8" applyNumberFormat="1" applyFont="1" applyFill="1"/>
    <xf numFmtId="167" fontId="3" fillId="7" borderId="0" xfId="8" applyNumberFormat="1" applyFont="1" applyFill="1"/>
    <xf numFmtId="167" fontId="3" fillId="0" borderId="0" xfId="8" applyNumberFormat="1" applyFont="1" applyFill="1" applyBorder="1"/>
    <xf numFmtId="167" fontId="35" fillId="0" borderId="0" xfId="8" applyNumberFormat="1" applyFont="1" applyFill="1" applyBorder="1"/>
    <xf numFmtId="43" fontId="14" fillId="0" borderId="0" xfId="0" applyNumberFormat="1" applyFont="1" applyAlignment="1">
      <alignment horizontal="right" wrapText="1"/>
    </xf>
    <xf numFmtId="168" fontId="0" fillId="0" borderId="11" xfId="8" applyNumberFormat="1" applyFont="1" applyBorder="1" applyAlignment="1">
      <alignment horizontal="right"/>
    </xf>
    <xf numFmtId="168" fontId="3" fillId="0" borderId="12" xfId="8" applyNumberFormat="1" applyFont="1" applyBorder="1" applyAlignment="1">
      <alignment horizontal="right"/>
    </xf>
    <xf numFmtId="167" fontId="0" fillId="0" borderId="27" xfId="8" applyNumberFormat="1" applyFont="1" applyBorder="1"/>
    <xf numFmtId="167" fontId="0" fillId="7" borderId="27" xfId="8" applyNumberFormat="1" applyFont="1" applyFill="1" applyBorder="1"/>
    <xf numFmtId="0" fontId="50" fillId="0" borderId="27" xfId="20" applyFont="1" applyBorder="1" applyAlignment="1">
      <alignment horizontal="center" vertical="center"/>
    </xf>
    <xf numFmtId="176" fontId="0" fillId="0" borderId="0" xfId="0" applyNumberFormat="1"/>
    <xf numFmtId="9" fontId="3" fillId="7" borderId="33" xfId="1" applyFont="1" applyFill="1" applyBorder="1"/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38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3" fillId="10" borderId="0" xfId="0" applyFont="1" applyFill="1" applyAlignment="1">
      <alignment wrapText="1"/>
    </xf>
    <xf numFmtId="0" fontId="0" fillId="13" borderId="0" xfId="0" applyFill="1" applyAlignment="1">
      <alignment wrapText="1"/>
    </xf>
    <xf numFmtId="0" fontId="3" fillId="13" borderId="0" xfId="0" applyFont="1" applyFill="1" applyAlignment="1">
      <alignment wrapText="1"/>
    </xf>
    <xf numFmtId="0" fontId="0" fillId="13" borderId="0" xfId="0" applyFill="1"/>
    <xf numFmtId="0" fontId="3" fillId="0" borderId="19" xfId="0" applyFont="1" applyFill="1" applyBorder="1"/>
    <xf numFmtId="0" fontId="0" fillId="0" borderId="19" xfId="0" applyFill="1" applyBorder="1"/>
    <xf numFmtId="0" fontId="0" fillId="0" borderId="0" xfId="0" applyFill="1"/>
    <xf numFmtId="0" fontId="3" fillId="0" borderId="0" xfId="0" applyFont="1" applyFill="1"/>
    <xf numFmtId="166" fontId="0" fillId="0" borderId="0" xfId="0" applyNumberFormat="1" applyFill="1"/>
    <xf numFmtId="165" fontId="0" fillId="0" borderId="0" xfId="1" applyNumberFormat="1" applyFont="1" applyFill="1" applyBorder="1"/>
    <xf numFmtId="0" fontId="21" fillId="0" borderId="0" xfId="0" applyFont="1"/>
    <xf numFmtId="0" fontId="0" fillId="0" borderId="34" xfId="0" applyFill="1" applyBorder="1"/>
    <xf numFmtId="0" fontId="8" fillId="0" borderId="0" xfId="7" applyFill="1" applyAlignment="1">
      <alignment horizontal="left"/>
    </xf>
    <xf numFmtId="0" fontId="8" fillId="0" borderId="0" xfId="7" applyFill="1" applyAlignment="1">
      <alignment vertical="center"/>
    </xf>
    <xf numFmtId="9" fontId="8" fillId="0" borderId="0" xfId="7" applyNumberFormat="1" applyFill="1" applyAlignment="1">
      <alignment vertical="center"/>
    </xf>
    <xf numFmtId="1" fontId="1" fillId="0" borderId="0" xfId="19" applyNumberFormat="1" applyFont="1" applyFill="1" applyAlignment="1">
      <alignment vertical="center"/>
    </xf>
    <xf numFmtId="166" fontId="1" fillId="0" borderId="0" xfId="16" applyNumberFormat="1" applyFill="1" applyAlignment="1">
      <alignment vertical="center"/>
    </xf>
    <xf numFmtId="2" fontId="8" fillId="0" borderId="0" xfId="7" applyNumberFormat="1" applyFill="1" applyAlignment="1">
      <alignment vertical="center"/>
    </xf>
    <xf numFmtId="2" fontId="1" fillId="0" borderId="0" xfId="16" applyNumberFormat="1" applyFill="1"/>
    <xf numFmtId="2" fontId="0" fillId="0" borderId="0" xfId="0" applyNumberFormat="1" applyFill="1"/>
    <xf numFmtId="1" fontId="1" fillId="0" borderId="0" xfId="16" applyNumberFormat="1" applyFill="1"/>
    <xf numFmtId="0" fontId="1" fillId="0" borderId="0" xfId="16" applyFill="1"/>
    <xf numFmtId="166" fontId="3" fillId="0" borderId="0" xfId="0" applyNumberFormat="1" applyFont="1" applyFill="1"/>
    <xf numFmtId="166" fontId="8" fillId="0" borderId="0" xfId="7" applyNumberFormat="1" applyFill="1" applyAlignment="1">
      <alignment wrapText="1"/>
    </xf>
    <xf numFmtId="0" fontId="8" fillId="0" borderId="0" xfId="7" applyFill="1"/>
    <xf numFmtId="0" fontId="1" fillId="0" borderId="0" xfId="18" applyFill="1"/>
    <xf numFmtId="166" fontId="8" fillId="0" borderId="0" xfId="7" applyNumberFormat="1" applyFill="1"/>
    <xf numFmtId="166" fontId="1" fillId="0" borderId="0" xfId="18" applyNumberFormat="1" applyFill="1"/>
    <xf numFmtId="0" fontId="3" fillId="0" borderId="18" xfId="0" applyFont="1" applyFill="1" applyBorder="1"/>
    <xf numFmtId="166" fontId="3" fillId="0" borderId="18" xfId="0" applyNumberFormat="1" applyFont="1" applyFill="1" applyBorder="1"/>
    <xf numFmtId="166" fontId="0" fillId="0" borderId="19" xfId="0" applyNumberFormat="1" applyFill="1" applyBorder="1"/>
    <xf numFmtId="0" fontId="0" fillId="0" borderId="18" xfId="0" applyFill="1" applyBorder="1"/>
    <xf numFmtId="0" fontId="0" fillId="0" borderId="27" xfId="0" applyFill="1" applyBorder="1"/>
    <xf numFmtId="0" fontId="8" fillId="0" borderId="0" xfId="7" applyFill="1" applyAlignment="1">
      <alignment horizontal="center" vertical="center" wrapText="1"/>
    </xf>
    <xf numFmtId="0" fontId="1" fillId="0" borderId="0" xfId="17" applyFill="1"/>
    <xf numFmtId="0" fontId="1" fillId="0" borderId="0" xfId="18" applyFill="1" applyAlignment="1">
      <alignment wrapText="1"/>
    </xf>
    <xf numFmtId="0" fontId="1" fillId="0" borderId="0" xfId="18" applyFill="1" applyAlignment="1">
      <alignment vertical="center" wrapText="1"/>
    </xf>
    <xf numFmtId="166" fontId="1" fillId="0" borderId="0" xfId="16" applyNumberFormat="1" applyFill="1"/>
    <xf numFmtId="1" fontId="8" fillId="0" borderId="0" xfId="7" applyNumberFormat="1" applyFill="1" applyAlignment="1">
      <alignment vertical="center"/>
    </xf>
    <xf numFmtId="166" fontId="8" fillId="0" borderId="0" xfId="7" applyNumberFormat="1" applyFill="1" applyAlignment="1">
      <alignment vertical="center"/>
    </xf>
    <xf numFmtId="0" fontId="3" fillId="0" borderId="0" xfId="12" applyFont="1" applyFill="1" applyAlignment="1">
      <alignment horizontal="center" vertical="center" wrapText="1"/>
    </xf>
    <xf numFmtId="0" fontId="24" fillId="0" borderId="0" xfId="7" applyFont="1" applyFill="1" applyAlignment="1">
      <alignment horizontal="left" vertical="center" wrapText="1"/>
    </xf>
    <xf numFmtId="0" fontId="8" fillId="0" borderId="18" xfId="7" applyFill="1" applyBorder="1" applyAlignment="1">
      <alignment horizontal="left"/>
    </xf>
    <xf numFmtId="0" fontId="8" fillId="0" borderId="18" xfId="7" applyFill="1" applyBorder="1" applyAlignment="1">
      <alignment horizontal="center" vertical="center" wrapText="1"/>
    </xf>
    <xf numFmtId="0" fontId="1" fillId="0" borderId="18" xfId="17" applyFill="1" applyBorder="1"/>
    <xf numFmtId="0" fontId="1" fillId="0" borderId="18" xfId="18" applyFill="1" applyBorder="1" applyAlignment="1">
      <alignment wrapText="1"/>
    </xf>
    <xf numFmtId="0" fontId="1" fillId="0" borderId="18" xfId="18" applyFill="1" applyBorder="1" applyAlignment="1">
      <alignment vertical="center" wrapText="1"/>
    </xf>
    <xf numFmtId="0" fontId="8" fillId="0" borderId="19" xfId="7" applyFill="1" applyBorder="1" applyAlignment="1">
      <alignment horizontal="left"/>
    </xf>
    <xf numFmtId="166" fontId="1" fillId="0" borderId="19" xfId="16" applyNumberFormat="1" applyFill="1" applyBorder="1"/>
    <xf numFmtId="1" fontId="1" fillId="0" borderId="19" xfId="19" applyNumberFormat="1" applyFont="1" applyFill="1" applyBorder="1" applyAlignment="1">
      <alignment vertical="center"/>
    </xf>
    <xf numFmtId="0" fontId="1" fillId="0" borderId="19" xfId="16" applyFill="1" applyBorder="1"/>
    <xf numFmtId="1" fontId="8" fillId="0" borderId="19" xfId="7" applyNumberFormat="1" applyFill="1" applyBorder="1" applyAlignment="1">
      <alignment vertical="center"/>
    </xf>
    <xf numFmtId="0" fontId="8" fillId="0" borderId="19" xfId="7" applyFill="1" applyBorder="1" applyAlignment="1">
      <alignment vertical="center"/>
    </xf>
    <xf numFmtId="166" fontId="8" fillId="0" borderId="19" xfId="7" applyNumberFormat="1" applyFill="1" applyBorder="1" applyAlignment="1">
      <alignment vertical="center"/>
    </xf>
    <xf numFmtId="0" fontId="3" fillId="9" borderId="37" xfId="0" applyFont="1" applyFill="1" applyBorder="1" applyAlignment="1">
      <alignment horizontal="left" vertical="center"/>
    </xf>
    <xf numFmtId="0" fontId="3" fillId="9" borderId="0" xfId="0" applyFont="1" applyFill="1" applyBorder="1"/>
    <xf numFmtId="0" fontId="15" fillId="9" borderId="0" xfId="0" applyFont="1" applyFill="1" applyBorder="1"/>
    <xf numFmtId="167" fontId="3" fillId="9" borderId="0" xfId="8" applyNumberFormat="1" applyFont="1" applyFill="1" applyBorder="1"/>
    <xf numFmtId="166" fontId="3" fillId="9" borderId="0" xfId="0" applyNumberFormat="1" applyFont="1" applyFill="1" applyBorder="1"/>
    <xf numFmtId="0" fontId="0" fillId="0" borderId="0" xfId="0" applyBorder="1"/>
    <xf numFmtId="0" fontId="14" fillId="0" borderId="0" xfId="0" applyFont="1" applyBorder="1"/>
    <xf numFmtId="0" fontId="3" fillId="0" borderId="0" xfId="0" applyFont="1" applyBorder="1"/>
    <xf numFmtId="0" fontId="15" fillId="0" borderId="0" xfId="0" applyFont="1" applyBorder="1"/>
    <xf numFmtId="0" fontId="3" fillId="0" borderId="0" xfId="0" applyFont="1" applyBorder="1" applyAlignment="1">
      <alignment wrapText="1"/>
    </xf>
    <xf numFmtId="167" fontId="3" fillId="0" borderId="0" xfId="8" applyNumberFormat="1" applyFont="1" applyBorder="1" applyAlignment="1">
      <alignment wrapText="1"/>
    </xf>
    <xf numFmtId="0" fontId="24" fillId="0" borderId="0" xfId="7" applyFont="1" applyBorder="1" applyAlignment="1">
      <alignment horizontal="left" vertical="center" wrapText="1"/>
    </xf>
    <xf numFmtId="0" fontId="8" fillId="0" borderId="0" xfId="7" applyBorder="1" applyAlignment="1">
      <alignment horizontal="center" vertical="center" wrapText="1"/>
    </xf>
    <xf numFmtId="9" fontId="0" fillId="0" borderId="0" xfId="0" applyNumberFormat="1" applyBorder="1"/>
    <xf numFmtId="0" fontId="8" fillId="0" borderId="0" xfId="7" applyBorder="1" applyAlignment="1">
      <alignment horizontal="left"/>
    </xf>
    <xf numFmtId="166" fontId="8" fillId="0" borderId="0" xfId="7" applyNumberFormat="1" applyBorder="1"/>
    <xf numFmtId="0" fontId="8" fillId="0" borderId="0" xfId="7" applyBorder="1"/>
    <xf numFmtId="166" fontId="0" fillId="0" borderId="0" xfId="0" applyNumberFormat="1" applyBorder="1"/>
    <xf numFmtId="2" fontId="0" fillId="0" borderId="0" xfId="0" applyNumberFormat="1" applyBorder="1"/>
    <xf numFmtId="0" fontId="3" fillId="0" borderId="0" xfId="0" applyFont="1" applyBorder="1" applyAlignment="1">
      <alignment vertical="center" wrapText="1"/>
    </xf>
    <xf numFmtId="0" fontId="8" fillId="0" borderId="0" xfId="7" applyBorder="1" applyAlignment="1">
      <alignment horizontal="center" vertical="top" wrapText="1"/>
    </xf>
    <xf numFmtId="0" fontId="3" fillId="0" borderId="0" xfId="12" applyFont="1" applyBorder="1" applyAlignment="1">
      <alignment horizontal="center" vertical="center" wrapText="1"/>
    </xf>
    <xf numFmtId="0" fontId="9" fillId="0" borderId="0" xfId="0" applyFont="1" applyBorder="1"/>
    <xf numFmtId="166" fontId="8" fillId="0" borderId="0" xfId="7" applyNumberFormat="1" applyBorder="1" applyAlignment="1">
      <alignment wrapText="1"/>
    </xf>
    <xf numFmtId="165" fontId="3" fillId="0" borderId="0" xfId="0" applyNumberFormat="1" applyFont="1" applyBorder="1"/>
    <xf numFmtId="0" fontId="3" fillId="0" borderId="0" xfId="0" applyFont="1" applyBorder="1" applyAlignment="1">
      <alignment vertical="center"/>
    </xf>
    <xf numFmtId="165" fontId="0" fillId="0" borderId="0" xfId="0" applyNumberFormat="1" applyBorder="1"/>
    <xf numFmtId="2" fontId="8" fillId="0" borderId="0" xfId="7" applyNumberFormat="1" applyBorder="1" applyAlignment="1">
      <alignment wrapText="1"/>
    </xf>
    <xf numFmtId="164" fontId="0" fillId="0" borderId="0" xfId="8" applyFont="1" applyBorder="1"/>
    <xf numFmtId="170" fontId="8" fillId="0" borderId="0" xfId="7" applyNumberFormat="1" applyBorder="1" applyAlignment="1">
      <alignment wrapText="1"/>
    </xf>
    <xf numFmtId="0" fontId="0" fillId="0" borderId="0" xfId="0" quotePrefix="1" applyBorder="1"/>
    <xf numFmtId="0" fontId="1" fillId="0" borderId="0" xfId="5" applyBorder="1"/>
    <xf numFmtId="166" fontId="1" fillId="0" borderId="0" xfId="5" applyNumberFormat="1" applyBorder="1"/>
    <xf numFmtId="0" fontId="0" fillId="0" borderId="0" xfId="0" applyBorder="1" applyAlignment="1">
      <alignment horizontal="center"/>
    </xf>
    <xf numFmtId="0" fontId="3" fillId="0" borderId="0" xfId="0" applyFont="1" applyFill="1" applyBorder="1" applyAlignment="1">
      <alignment wrapText="1"/>
    </xf>
    <xf numFmtId="0" fontId="3" fillId="0" borderId="0" xfId="0" applyFont="1" applyFill="1" applyBorder="1"/>
    <xf numFmtId="0" fontId="0" fillId="0" borderId="0" xfId="0" applyFill="1" applyBorder="1"/>
    <xf numFmtId="0" fontId="24" fillId="0" borderId="0" xfId="7" applyFont="1" applyFill="1" applyBorder="1" applyAlignment="1">
      <alignment horizontal="left" vertical="center" wrapText="1"/>
    </xf>
    <xf numFmtId="0" fontId="8" fillId="0" borderId="0" xfId="7" applyFill="1" applyBorder="1" applyAlignment="1">
      <alignment horizontal="center" vertical="center" wrapText="1"/>
    </xf>
    <xf numFmtId="9" fontId="0" fillId="0" borderId="0" xfId="0" applyNumberFormat="1" applyFill="1" applyBorder="1"/>
    <xf numFmtId="9" fontId="1" fillId="0" borderId="0" xfId="1" applyFont="1" applyFill="1" applyBorder="1"/>
    <xf numFmtId="168" fontId="8" fillId="0" borderId="0" xfId="8" applyNumberFormat="1" applyFont="1" applyFill="1" applyBorder="1"/>
    <xf numFmtId="166" fontId="0" fillId="0" borderId="0" xfId="0" applyNumberFormat="1" applyFill="1" applyBorder="1"/>
    <xf numFmtId="0" fontId="8" fillId="0" borderId="0" xfId="7" applyFill="1" applyBorder="1" applyAlignment="1">
      <alignment horizontal="left"/>
    </xf>
    <xf numFmtId="166" fontId="8" fillId="0" borderId="0" xfId="7" applyNumberFormat="1" applyFill="1" applyBorder="1"/>
    <xf numFmtId="0" fontId="8" fillId="0" borderId="0" xfId="7" applyFill="1" applyBorder="1"/>
    <xf numFmtId="2" fontId="0" fillId="0" borderId="0" xfId="0" applyNumberFormat="1" applyFill="1" applyBorder="1"/>
    <xf numFmtId="0" fontId="3" fillId="0" borderId="0" xfId="0" applyFont="1" applyFill="1" applyBorder="1" applyAlignment="1">
      <alignment vertical="center"/>
    </xf>
    <xf numFmtId="0" fontId="9" fillId="0" borderId="0" xfId="0" applyFont="1" applyFill="1" applyBorder="1"/>
    <xf numFmtId="0" fontId="8" fillId="0" borderId="0" xfId="7" applyFill="1" applyBorder="1" applyAlignment="1">
      <alignment wrapText="1"/>
    </xf>
    <xf numFmtId="166" fontId="8" fillId="0" borderId="0" xfId="7" applyNumberFormat="1" applyFill="1" applyBorder="1" applyAlignment="1">
      <alignment wrapText="1"/>
    </xf>
    <xf numFmtId="165" fontId="3" fillId="0" borderId="0" xfId="0" applyNumberFormat="1" applyFont="1" applyFill="1" applyBorder="1"/>
    <xf numFmtId="168" fontId="3" fillId="0" borderId="0" xfId="8" applyNumberFormat="1" applyFont="1" applyFill="1" applyBorder="1"/>
    <xf numFmtId="0" fontId="8" fillId="0" borderId="0" xfId="7" applyFill="1" applyBorder="1" applyAlignment="1">
      <alignment horizontal="center" vertical="top" wrapText="1"/>
    </xf>
    <xf numFmtId="165" fontId="0" fillId="0" borderId="0" xfId="0" applyNumberFormat="1" applyFill="1" applyBorder="1"/>
    <xf numFmtId="165" fontId="1" fillId="0" borderId="0" xfId="1" applyNumberFormat="1" applyFont="1" applyFill="1" applyBorder="1"/>
    <xf numFmtId="0" fontId="3" fillId="0" borderId="0" xfId="12" applyFont="1" applyFill="1" applyBorder="1" applyAlignment="1">
      <alignment horizontal="center" vertical="center" wrapText="1"/>
    </xf>
    <xf numFmtId="0" fontId="0" fillId="0" borderId="0" xfId="0" quotePrefix="1" applyFill="1" applyBorder="1"/>
    <xf numFmtId="0" fontId="1" fillId="0" borderId="0" xfId="5" applyFill="1" applyBorder="1"/>
    <xf numFmtId="166" fontId="1" fillId="0" borderId="0" xfId="5" applyNumberForma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/>
    <xf numFmtId="0" fontId="8" fillId="0" borderId="0" xfId="7" applyFont="1" applyFill="1" applyBorder="1" applyAlignment="1">
      <alignment horizontal="left" vertical="center" wrapText="1"/>
    </xf>
    <xf numFmtId="0" fontId="8" fillId="0" borderId="0" xfId="7" applyFont="1" applyFill="1" applyBorder="1" applyAlignment="1">
      <alignment horizontal="center" vertical="center" wrapText="1"/>
    </xf>
    <xf numFmtId="9" fontId="0" fillId="0" borderId="0" xfId="0" applyNumberFormat="1" applyFont="1" applyFill="1" applyBorder="1"/>
    <xf numFmtId="166" fontId="0" fillId="0" borderId="0" xfId="0" applyNumberFormat="1" applyFont="1" applyFill="1" applyBorder="1"/>
    <xf numFmtId="0" fontId="8" fillId="0" borderId="0" xfId="7" applyFont="1" applyFill="1" applyBorder="1" applyAlignment="1">
      <alignment horizontal="left"/>
    </xf>
    <xf numFmtId="166" fontId="8" fillId="0" borderId="0" xfId="7" applyNumberFormat="1" applyFont="1" applyFill="1" applyBorder="1"/>
    <xf numFmtId="0" fontId="8" fillId="0" borderId="0" xfId="7" applyFont="1" applyFill="1" applyBorder="1"/>
    <xf numFmtId="2" fontId="0" fillId="0" borderId="0" xfId="0" applyNumberFormat="1" applyFont="1" applyFill="1" applyBorder="1"/>
    <xf numFmtId="0" fontId="0" fillId="0" borderId="0" xfId="0" applyFont="1" applyFill="1" applyBorder="1" applyAlignment="1">
      <alignment vertical="center" wrapText="1"/>
    </xf>
    <xf numFmtId="0" fontId="8" fillId="0" borderId="0" xfId="7" applyFont="1" applyFill="1" applyBorder="1" applyAlignment="1">
      <alignment horizontal="center" vertical="top" wrapText="1"/>
    </xf>
    <xf numFmtId="0" fontId="1" fillId="0" borderId="0" xfId="12" applyFont="1" applyFill="1" applyBorder="1" applyAlignment="1">
      <alignment horizontal="center" vertical="center" wrapText="1"/>
    </xf>
    <xf numFmtId="166" fontId="8" fillId="0" borderId="0" xfId="7" applyNumberFormat="1" applyFont="1" applyFill="1" applyBorder="1" applyAlignment="1">
      <alignment wrapText="1"/>
    </xf>
    <xf numFmtId="168" fontId="1" fillId="0" borderId="0" xfId="8" applyNumberFormat="1" applyFont="1" applyFill="1" applyBorder="1"/>
    <xf numFmtId="165" fontId="0" fillId="0" borderId="0" xfId="0" applyNumberFormat="1" applyFont="1" applyFill="1" applyBorder="1"/>
    <xf numFmtId="0" fontId="0" fillId="0" borderId="0" xfId="0" applyFont="1" applyFill="1" applyBorder="1" applyAlignment="1">
      <alignment vertical="center"/>
    </xf>
    <xf numFmtId="164" fontId="1" fillId="0" borderId="0" xfId="8" applyFont="1" applyFill="1" applyBorder="1"/>
    <xf numFmtId="0" fontId="0" fillId="0" borderId="0" xfId="0" quotePrefix="1" applyFont="1" applyFill="1" applyBorder="1"/>
    <xf numFmtId="164" fontId="0" fillId="0" borderId="0" xfId="8" applyFont="1" applyFill="1" applyBorder="1"/>
    <xf numFmtId="0" fontId="4" fillId="0" borderId="0" xfId="3" applyAlignment="1">
      <alignment vertical="center"/>
    </xf>
    <xf numFmtId="38" fontId="4" fillId="0" borderId="0" xfId="3" applyNumberFormat="1" applyAlignment="1">
      <alignment horizontal="left" vertical="center"/>
    </xf>
    <xf numFmtId="38" fontId="48" fillId="0" borderId="0" xfId="20" applyNumberFormat="1" applyAlignment="1">
      <alignment horizontal="left" vertical="center"/>
    </xf>
    <xf numFmtId="38" fontId="48" fillId="0" borderId="0" xfId="20" applyNumberFormat="1" applyAlignment="1">
      <alignment horizontal="right" vertical="center"/>
    </xf>
    <xf numFmtId="165" fontId="0" fillId="0" borderId="0" xfId="0" applyNumberFormat="1" applyFill="1"/>
    <xf numFmtId="9" fontId="21" fillId="0" borderId="0" xfId="0" applyNumberFormat="1" applyFont="1"/>
    <xf numFmtId="9" fontId="29" fillId="0" borderId="0" xfId="0" applyNumberFormat="1" applyFont="1" applyFill="1" applyBorder="1"/>
    <xf numFmtId="1" fontId="0" fillId="0" borderId="0" xfId="0" applyNumberFormat="1" applyFill="1" applyBorder="1"/>
    <xf numFmtId="1" fontId="3" fillId="0" borderId="0" xfId="0" applyNumberFormat="1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4" fillId="0" borderId="0" xfId="3" applyFill="1" applyBorder="1"/>
    <xf numFmtId="0" fontId="7" fillId="0" borderId="0" xfId="0" applyFont="1" applyFill="1" applyBorder="1" applyAlignment="1">
      <alignment horizontal="left" vertical="center" readingOrder="1"/>
    </xf>
    <xf numFmtId="10" fontId="0" fillId="0" borderId="0" xfId="1" applyNumberFormat="1" applyFont="1" applyFill="1" applyBorder="1"/>
    <xf numFmtId="0" fontId="3" fillId="0" borderId="33" xfId="0" applyFont="1" applyFill="1" applyBorder="1"/>
    <xf numFmtId="0" fontId="23" fillId="0" borderId="33" xfId="0" applyFont="1" applyFill="1" applyBorder="1"/>
    <xf numFmtId="167" fontId="33" fillId="0" borderId="33" xfId="8" applyNumberFormat="1" applyFont="1" applyFill="1" applyBorder="1"/>
    <xf numFmtId="167" fontId="34" fillId="0" borderId="33" xfId="8" applyNumberFormat="1" applyFont="1" applyFill="1" applyBorder="1"/>
    <xf numFmtId="167" fontId="21" fillId="0" borderId="0" xfId="8" applyNumberFormat="1" applyFont="1" applyFill="1"/>
    <xf numFmtId="0" fontId="0" fillId="0" borderId="0" xfId="0" applyFill="1" applyAlignment="1">
      <alignment horizontal="left"/>
    </xf>
    <xf numFmtId="0" fontId="8" fillId="0" borderId="0" xfId="0" applyFont="1" applyFill="1"/>
    <xf numFmtId="0" fontId="22" fillId="0" borderId="0" xfId="0" applyFont="1" applyFill="1"/>
    <xf numFmtId="167" fontId="9" fillId="0" borderId="0" xfId="8" applyNumberFormat="1" applyFont="1" applyFill="1"/>
    <xf numFmtId="167" fontId="13" fillId="0" borderId="0" xfId="8" applyNumberFormat="1" applyFont="1" applyFill="1"/>
    <xf numFmtId="0" fontId="14" fillId="0" borderId="0" xfId="0" applyFont="1" applyFill="1"/>
    <xf numFmtId="0" fontId="13" fillId="0" borderId="0" xfId="0" applyFont="1" applyFill="1"/>
    <xf numFmtId="0" fontId="24" fillId="0" borderId="0" xfId="0" applyFont="1" applyFill="1"/>
    <xf numFmtId="0" fontId="23" fillId="0" borderId="0" xfId="0" applyFont="1" applyBorder="1"/>
    <xf numFmtId="165" fontId="33" fillId="0" borderId="0" xfId="1" applyNumberFormat="1" applyFont="1" applyBorder="1"/>
    <xf numFmtId="165" fontId="21" fillId="0" borderId="0" xfId="1" applyNumberFormat="1" applyFont="1" applyBorder="1"/>
    <xf numFmtId="0" fontId="0" fillId="0" borderId="0" xfId="0" applyBorder="1" applyAlignment="1">
      <alignment horizontal="left"/>
    </xf>
    <xf numFmtId="0" fontId="8" fillId="0" borderId="0" xfId="0" applyFont="1" applyBorder="1"/>
    <xf numFmtId="0" fontId="22" fillId="0" borderId="0" xfId="0" applyFont="1" applyBorder="1"/>
    <xf numFmtId="164" fontId="8" fillId="0" borderId="0" xfId="1" applyNumberFormat="1" applyFont="1" applyBorder="1"/>
    <xf numFmtId="165" fontId="9" fillId="0" borderId="0" xfId="1" applyNumberFormat="1" applyFont="1" applyBorder="1"/>
    <xf numFmtId="0" fontId="13" fillId="0" borderId="0" xfId="0" applyFont="1" applyBorder="1"/>
    <xf numFmtId="164" fontId="0" fillId="0" borderId="0" xfId="0" applyNumberFormat="1" applyBorder="1"/>
    <xf numFmtId="164" fontId="13" fillId="0" borderId="0" xfId="0" applyNumberFormat="1" applyFont="1" applyBorder="1"/>
    <xf numFmtId="0" fontId="14" fillId="0" borderId="0" xfId="0" applyFont="1" applyBorder="1" applyAlignment="1">
      <alignment horizontal="right"/>
    </xf>
    <xf numFmtId="0" fontId="34" fillId="0" borderId="0" xfId="0" applyFont="1"/>
    <xf numFmtId="9" fontId="13" fillId="0" borderId="38" xfId="1" applyFont="1" applyBorder="1"/>
    <xf numFmtId="9" fontId="13" fillId="0" borderId="19" xfId="1" applyFont="1" applyBorder="1"/>
    <xf numFmtId="165" fontId="24" fillId="0" borderId="18" xfId="1" applyNumberFormat="1" applyFont="1" applyBorder="1"/>
  </cellXfs>
  <cellStyles count="21">
    <cellStyle name="Calculation" xfId="2" builtinId="22"/>
    <cellStyle name="Comma" xfId="8" builtinId="3"/>
    <cellStyle name="Hyperlink" xfId="3" builtinId="8"/>
    <cellStyle name="Normal" xfId="0" builtinId="0"/>
    <cellStyle name="Normal 11" xfId="17" xr:uid="{35DE4019-F2E6-47F3-8BAE-E4A827DD37C7}"/>
    <cellStyle name="Normal 2" xfId="5" xr:uid="{00000000-0005-0000-0000-000003000000}"/>
    <cellStyle name="Normal 2 2" xfId="7" xr:uid="{00000000-0005-0000-0000-000004000000}"/>
    <cellStyle name="Normal 2 2 2" xfId="12" xr:uid="{78A7D675-D46A-47B9-8084-A003B11B69AC}"/>
    <cellStyle name="Normal 2 3" xfId="18" xr:uid="{C1236883-BDC6-4CCD-88A3-774D4689F538}"/>
    <cellStyle name="Normal 3" xfId="4" xr:uid="{00000000-0005-0000-0000-000005000000}"/>
    <cellStyle name="Normal 4" xfId="9" xr:uid="{972DDD5A-B401-41B0-8F36-F4AEC615C465}"/>
    <cellStyle name="Normal 4 2" xfId="13" xr:uid="{D55E0F10-91F7-4A1B-9CBF-71F6BD597F51}"/>
    <cellStyle name="Normal 5" xfId="10" xr:uid="{B674FEEB-7DCC-4688-9741-F488D1E81596}"/>
    <cellStyle name="Normal 6" xfId="11" xr:uid="{89C5C829-24F0-4188-B8CF-3C5D3008848B}"/>
    <cellStyle name="Normal 7" xfId="14" xr:uid="{EA1BF793-0323-4EB2-8877-3118440C98B8}"/>
    <cellStyle name="Normal 8" xfId="16" xr:uid="{AC8564A9-BDF9-4EE5-A270-05F39EEED5E7}"/>
    <cellStyle name="Percent" xfId="1" builtinId="5"/>
    <cellStyle name="Percent 2" xfId="6" xr:uid="{00000000-0005-0000-0000-000007000000}"/>
    <cellStyle name="Percent 2 3" xfId="19" xr:uid="{7DC0F0D0-242B-4685-8412-B691EBD59D8D}"/>
    <cellStyle name="Percent 3 2" xfId="15" xr:uid="{B69910E9-9159-4DAA-BCE8-3CF2868D2182}"/>
    <cellStyle name="標準 2" xfId="20" xr:uid="{500AC679-B76E-4662-8D23-30431F83D9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2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'R&amp;S - Transportation'!$V$28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'R&amp;S - Transportation'!$A$4:$A$13</c:f>
              <c:strCache>
                <c:ptCount val="10"/>
                <c:pt idx="0">
                  <c:v>Demand 2020</c:v>
                </c:pt>
                <c:pt idx="1">
                  <c:v>Economic &amp; Population Growth</c:v>
                </c:pt>
                <c:pt idx="2">
                  <c:v>Fuel demand growth</c:v>
                </c:pt>
                <c:pt idx="3">
                  <c:v>BAU 2050</c:v>
                </c:pt>
                <c:pt idx="4">
                  <c:v>Switch from ICE to EV (Plastics increase)</c:v>
                </c:pt>
                <c:pt idx="5">
                  <c:v>Switch from ICE to EV (Fuel demand reduction)</c:v>
                </c:pt>
                <c:pt idx="6">
                  <c:v>MaaS</c:v>
                </c:pt>
                <c:pt idx="7">
                  <c:v>Life Extension</c:v>
                </c:pt>
                <c:pt idx="8">
                  <c:v>Substitution in cars</c:v>
                </c:pt>
                <c:pt idx="9">
                  <c:v>NZ/CE 2050</c:v>
                </c:pt>
              </c:strCache>
            </c:strRef>
          </c:cat>
          <c:val>
            <c:numRef>
              <c:f>'R&amp;S - Transportation'!$V$29:$V$36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C3DE-4828-9CD4-25E778DE3D89}"/>
            </c:ext>
          </c:extLst>
        </c:ser>
        <c:ser>
          <c:idx val="1"/>
          <c:order val="1"/>
          <c:tx>
            <c:strRef>
              <c:f>'R&amp;S - Transportation'!$W$28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'R&amp;S - Transportation'!$A$4:$A$13</c:f>
              <c:strCache>
                <c:ptCount val="10"/>
                <c:pt idx="0">
                  <c:v>Demand 2020</c:v>
                </c:pt>
                <c:pt idx="1">
                  <c:v>Economic &amp; Population Growth</c:v>
                </c:pt>
                <c:pt idx="2">
                  <c:v>Fuel demand growth</c:v>
                </c:pt>
                <c:pt idx="3">
                  <c:v>BAU 2050</c:v>
                </c:pt>
                <c:pt idx="4">
                  <c:v>Switch from ICE to EV (Plastics increase)</c:v>
                </c:pt>
                <c:pt idx="5">
                  <c:v>Switch from ICE to EV (Fuel demand reduction)</c:v>
                </c:pt>
                <c:pt idx="6">
                  <c:v>MaaS</c:v>
                </c:pt>
                <c:pt idx="7">
                  <c:v>Life Extension</c:v>
                </c:pt>
                <c:pt idx="8">
                  <c:v>Substitution in cars</c:v>
                </c:pt>
                <c:pt idx="9">
                  <c:v>NZ/CE 2050</c:v>
                </c:pt>
              </c:strCache>
            </c:strRef>
          </c:cat>
          <c:val>
            <c:numRef>
              <c:f>'R&amp;S - Transportation'!$W$29:$W$36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C3DE-4828-9CD4-25E778DE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60976"/>
        <c:axId val="108961392"/>
      </c:barChart>
      <c:catAx>
        <c:axId val="1089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1392"/>
        <c:crosses val="autoZero"/>
        <c:auto val="1"/>
        <c:lblAlgn val="ctr"/>
        <c:lblOffset val="100"/>
        <c:noMultiLvlLbl val="0"/>
      </c:catAx>
      <c:valAx>
        <c:axId val="10896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gif"/><Relationship Id="rId2" Type="http://schemas.openxmlformats.org/officeDocument/2006/relationships/image" Target="../media/image7.jpeg"/><Relationship Id="rId1" Type="http://schemas.openxmlformats.org/officeDocument/2006/relationships/image" Target="../media/image5.jpeg"/><Relationship Id="rId4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png"/><Relationship Id="rId7" Type="http://schemas.openxmlformats.org/officeDocument/2006/relationships/image" Target="../media/image18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jpeg"/><Relationship Id="rId5" Type="http://schemas.openxmlformats.org/officeDocument/2006/relationships/image" Target="../media/image16.png"/><Relationship Id="rId10" Type="http://schemas.openxmlformats.org/officeDocument/2006/relationships/image" Target="../media/image21.jpeg"/><Relationship Id="rId4" Type="http://schemas.openxmlformats.org/officeDocument/2006/relationships/image" Target="../media/image15.png"/><Relationship Id="rId9" Type="http://schemas.openxmlformats.org/officeDocument/2006/relationships/image" Target="../media/image2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313978</xdr:colOff>
      <xdr:row>7</xdr:row>
      <xdr:rowOff>154346</xdr:rowOff>
    </xdr:from>
    <xdr:to>
      <xdr:col>32</xdr:col>
      <xdr:colOff>403630</xdr:colOff>
      <xdr:row>25</xdr:row>
      <xdr:rowOff>1435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300903-E68D-47F4-ACA9-56F42638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67403" y="6136046"/>
          <a:ext cx="6795252" cy="31617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700434</xdr:colOff>
      <xdr:row>31</xdr:row>
      <xdr:rowOff>0</xdr:rowOff>
    </xdr:from>
    <xdr:to>
      <xdr:col>42</xdr:col>
      <xdr:colOff>451456</xdr:colOff>
      <xdr:row>43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C3F359-AED2-484F-9E7C-442D0E79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934" y="5852160"/>
          <a:ext cx="3140046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46</xdr:row>
      <xdr:rowOff>138422</xdr:rowOff>
    </xdr:from>
    <xdr:to>
      <xdr:col>48</xdr:col>
      <xdr:colOff>14605</xdr:colOff>
      <xdr:row>63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D7F1B1-4389-4E46-8C08-0D857B89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8733782"/>
          <a:ext cx="6309360" cy="2993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1107292</xdr:colOff>
      <xdr:row>5</xdr:row>
      <xdr:rowOff>44450</xdr:rowOff>
    </xdr:from>
    <xdr:to>
      <xdr:col>8</xdr:col>
      <xdr:colOff>695325</xdr:colOff>
      <xdr:row>26</xdr:row>
      <xdr:rowOff>6350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B0E7B293-D2EC-4D01-BF30-97D94F457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5092" y="965200"/>
          <a:ext cx="4071133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203005</xdr:colOff>
      <xdr:row>0</xdr:row>
      <xdr:rowOff>0</xdr:rowOff>
    </xdr:from>
    <xdr:to>
      <xdr:col>33</xdr:col>
      <xdr:colOff>190807</xdr:colOff>
      <xdr:row>17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1D3D0-9024-4A92-805C-5BABD8B0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1185" y="0"/>
          <a:ext cx="4255002" cy="3154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246964</xdr:colOff>
      <xdr:row>5</xdr:row>
      <xdr:rowOff>6350</xdr:rowOff>
    </xdr:from>
    <xdr:to>
      <xdr:col>11</xdr:col>
      <xdr:colOff>9526</xdr:colOff>
      <xdr:row>14</xdr:row>
      <xdr:rowOff>44450</xdr:rowOff>
    </xdr:to>
    <xdr:pic>
      <xdr:nvPicPr>
        <xdr:cNvPr id="7" name="Picture 3" descr="Benzene and methylbenzenes">
          <a:extLst>
            <a:ext uri="{FF2B5EF4-FFF2-40B4-BE49-F238E27FC236}">
              <a16:creationId xmlns:a16="http://schemas.microsoft.com/office/drawing/2014/main" id="{4CB23C9F-CBE8-4168-900A-23CF98D16A15}"/>
            </a:ext>
            <a:ext uri="{147F2762-F138-4A5C-976F-8EAC2B608ADB}">
              <a16:predDERef xmlns:a16="http://schemas.microsoft.com/office/drawing/2014/main" pred="{4281D3D0-9024-4A92-805C-5BABD8B0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8439" y="911225"/>
          <a:ext cx="1826312" cy="167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601673</xdr:colOff>
      <xdr:row>2</xdr:row>
      <xdr:rowOff>83820</xdr:rowOff>
    </xdr:from>
    <xdr:to>
      <xdr:col>35</xdr:col>
      <xdr:colOff>350520</xdr:colOff>
      <xdr:row>28</xdr:row>
      <xdr:rowOff>114300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1A68F39-13E5-4E32-A4BD-F6AA8FE0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4473" y="449580"/>
          <a:ext cx="6454447" cy="478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1809750</xdr:colOff>
      <xdr:row>1</xdr:row>
      <xdr:rowOff>25401</xdr:rowOff>
    </xdr:from>
    <xdr:to>
      <xdr:col>9</xdr:col>
      <xdr:colOff>476250</xdr:colOff>
      <xdr:row>12</xdr:row>
      <xdr:rowOff>66676</xdr:rowOff>
    </xdr:to>
    <xdr:pic>
      <xdr:nvPicPr>
        <xdr:cNvPr id="6" name="Picture 5" descr="Ethylene (ET) Global Demand by Application">
          <a:extLst>
            <a:ext uri="{FF2B5EF4-FFF2-40B4-BE49-F238E27FC236}">
              <a16:creationId xmlns:a16="http://schemas.microsoft.com/office/drawing/2014/main" id="{1639F8D8-E790-446A-95AF-D094B9B5AD10}"/>
            </a:ext>
            <a:ext uri="{147F2762-F138-4A5C-976F-8EAC2B608ADB}">
              <a16:predDERef xmlns:a16="http://schemas.microsoft.com/office/drawing/2014/main" pred="{81A68F39-13E5-4E32-A4BD-F6AA8FE07296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06376"/>
          <a:ext cx="3981450" cy="203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341971</xdr:colOff>
      <xdr:row>0</xdr:row>
      <xdr:rowOff>124943</xdr:rowOff>
    </xdr:from>
    <xdr:to>
      <xdr:col>13</xdr:col>
      <xdr:colOff>19050</xdr:colOff>
      <xdr:row>14</xdr:row>
      <xdr:rowOff>87946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4471C-F58E-4A8D-B18C-7D2A5BA96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021" y="124943"/>
          <a:ext cx="3944279" cy="249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155352</xdr:colOff>
      <xdr:row>13</xdr:row>
      <xdr:rowOff>91439</xdr:rowOff>
    </xdr:from>
    <xdr:to>
      <xdr:col>7</xdr:col>
      <xdr:colOff>389889</xdr:colOff>
      <xdr:row>21</xdr:row>
      <xdr:rowOff>47204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7B9DD7-18A5-426D-886D-58D319B9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0352" y="2468879"/>
          <a:ext cx="1460087" cy="1425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773206</xdr:colOff>
      <xdr:row>67</xdr:row>
      <xdr:rowOff>100852</xdr:rowOff>
    </xdr:from>
    <xdr:to>
      <xdr:col>10</xdr:col>
      <xdr:colOff>726899</xdr:colOff>
      <xdr:row>91</xdr:row>
      <xdr:rowOff>84654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54459-1D40-4E2A-9D38-C9508CE1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4506" y="12257927"/>
          <a:ext cx="6773593" cy="44034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34</xdr:row>
      <xdr:rowOff>73025</xdr:rowOff>
    </xdr:from>
    <xdr:to>
      <xdr:col>4</xdr:col>
      <xdr:colOff>596900</xdr:colOff>
      <xdr:row>40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FB2A94-4BEF-4533-AD58-0D665C042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9350" y="6502400"/>
          <a:ext cx="14287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304800</xdr:colOff>
      <xdr:row>38</xdr:row>
      <xdr:rowOff>123825</xdr:rowOff>
    </xdr:to>
    <xdr:sp macro="" textlink="">
      <xdr:nvSpPr>
        <xdr:cNvPr id="3" name="AutoShape 36" descr="{\displaystyle {\ce {2 C2H4 + 2 CH3CO2H + O2 -&gt; 2 CH3CO2CHCH2 + 2 H2O}}}">
          <a:extLst>
            <a:ext uri="{FF2B5EF4-FFF2-40B4-BE49-F238E27FC236}">
              <a16:creationId xmlns:a16="http://schemas.microsoft.com/office/drawing/2014/main" id="{08D62BE7-950E-4090-8E98-F3BBC71E6833}"/>
            </a:ext>
          </a:extLst>
        </xdr:cNvPr>
        <xdr:cNvSpPr>
          <a:spLocks noChangeAspect="1" noChangeArrowheads="1"/>
        </xdr:cNvSpPr>
      </xdr:nvSpPr>
      <xdr:spPr bwMode="auto">
        <a:xfrm>
          <a:off x="6781800" y="69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467473</xdr:colOff>
      <xdr:row>92</xdr:row>
      <xdr:rowOff>30444</xdr:rowOff>
    </xdr:from>
    <xdr:to>
      <xdr:col>29</xdr:col>
      <xdr:colOff>190954</xdr:colOff>
      <xdr:row>94</xdr:row>
      <xdr:rowOff>163094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82A602-69E9-405E-B5A1-547C2FA4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1548" y="8209244"/>
          <a:ext cx="2155983" cy="506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436064</xdr:colOff>
      <xdr:row>91</xdr:row>
      <xdr:rowOff>85273</xdr:rowOff>
    </xdr:from>
    <xdr:to>
      <xdr:col>38</xdr:col>
      <xdr:colOff>247649</xdr:colOff>
      <xdr:row>93</xdr:row>
      <xdr:rowOff>178254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7A43E-2611-4D57-BDBB-3498DCEE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0493" y="17865273"/>
          <a:ext cx="4066085" cy="540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530677</xdr:colOff>
      <xdr:row>95</xdr:row>
      <xdr:rowOff>6252</xdr:rowOff>
    </xdr:from>
    <xdr:to>
      <xdr:col>32</xdr:col>
      <xdr:colOff>331563</xdr:colOff>
      <xdr:row>97</xdr:row>
      <xdr:rowOff>86052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FAD244-D57C-4979-A1D4-D6B453BB6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57927" y="8753377"/>
          <a:ext cx="4062188" cy="460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201706</xdr:colOff>
      <xdr:row>98</xdr:row>
      <xdr:rowOff>116541</xdr:rowOff>
    </xdr:from>
    <xdr:to>
      <xdr:col>29</xdr:col>
      <xdr:colOff>431348</xdr:colOff>
      <xdr:row>100</xdr:row>
      <xdr:rowOff>133668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95DCE4-71E4-4BEE-9850-D5C8781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5381" y="9403416"/>
          <a:ext cx="2055719" cy="38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187592</xdr:colOff>
      <xdr:row>136</xdr:row>
      <xdr:rowOff>121962</xdr:rowOff>
    </xdr:from>
    <xdr:to>
      <xdr:col>32</xdr:col>
      <xdr:colOff>476250</xdr:colOff>
      <xdr:row>140</xdr:row>
      <xdr:rowOff>85580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34C45A-DB42-40F9-AA69-1091D0122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6342" y="25608141"/>
          <a:ext cx="1513302" cy="677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578678</xdr:colOff>
      <xdr:row>136</xdr:row>
      <xdr:rowOff>15204</xdr:rowOff>
    </xdr:from>
    <xdr:to>
      <xdr:col>28</xdr:col>
      <xdr:colOff>755254</xdr:colOff>
      <xdr:row>140</xdr:row>
      <xdr:rowOff>16781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F1090A-A201-4EBF-ADB0-3D7BBD80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8142" y="25501383"/>
          <a:ext cx="1408930" cy="70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109</xdr:row>
      <xdr:rowOff>1</xdr:rowOff>
    </xdr:from>
    <xdr:to>
      <xdr:col>29</xdr:col>
      <xdr:colOff>278062</xdr:colOff>
      <xdr:row>111</xdr:row>
      <xdr:rowOff>173587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6752CA-38DB-4E50-8CAB-5E1A9AAE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6850" y="11325226"/>
          <a:ext cx="2094614" cy="55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563470</xdr:colOff>
      <xdr:row>108</xdr:row>
      <xdr:rowOff>114281</xdr:rowOff>
    </xdr:from>
    <xdr:to>
      <xdr:col>33</xdr:col>
      <xdr:colOff>448846</xdr:colOff>
      <xdr:row>112</xdr:row>
      <xdr:rowOff>36390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45221F-5CE6-41EA-AAF1-D9182041E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64270" y="11258531"/>
          <a:ext cx="2317427" cy="676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2173940</xdr:colOff>
      <xdr:row>108</xdr:row>
      <xdr:rowOff>129258</xdr:rowOff>
    </xdr:from>
    <xdr:to>
      <xdr:col>32</xdr:col>
      <xdr:colOff>50427</xdr:colOff>
      <xdr:row>111</xdr:row>
      <xdr:rowOff>172250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B792CC-6E10-4100-8B95-2575EC30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10790" y="11270333"/>
          <a:ext cx="1876987" cy="616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2270826</xdr:colOff>
      <xdr:row>114</xdr:row>
      <xdr:rowOff>41649</xdr:rowOff>
    </xdr:from>
    <xdr:to>
      <xdr:col>32</xdr:col>
      <xdr:colOff>10086</xdr:colOff>
      <xdr:row>122</xdr:row>
      <xdr:rowOff>69344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21BF71-B1C6-43AE-BEF1-74A3B33C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10851" y="12274924"/>
          <a:ext cx="1841360" cy="1528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259667</xdr:colOff>
      <xdr:row>124</xdr:row>
      <xdr:rowOff>8032</xdr:rowOff>
    </xdr:from>
    <xdr:to>
      <xdr:col>28</xdr:col>
      <xdr:colOff>1463781</xdr:colOff>
      <xdr:row>126</xdr:row>
      <xdr:rowOff>174438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56A7C1-E109-4680-AD15-3CFED06A5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83742" y="14070107"/>
          <a:ext cx="1817341" cy="534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27</xdr:col>
      <xdr:colOff>530677</xdr:colOff>
      <xdr:row>109</xdr:row>
      <xdr:rowOff>6252</xdr:rowOff>
    </xdr:from>
    <xdr:ext cx="4046313" cy="451729"/>
    <xdr:pic>
      <xdr:nvPicPr>
        <xdr:cNvPr id="13" name="Picture 12">
          <a:extLst>
            <a:ext uri="{FF2B5EF4-FFF2-40B4-BE49-F238E27FC236}">
              <a16:creationId xmlns:a16="http://schemas.microsoft.com/office/drawing/2014/main" id="{20F08072-C20E-4A7C-8110-158D6505B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3963" y="18620823"/>
          <a:ext cx="4046313" cy="4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201706</xdr:colOff>
      <xdr:row>112</xdr:row>
      <xdr:rowOff>116541</xdr:rowOff>
    </xdr:from>
    <xdr:ext cx="2043927" cy="379984"/>
    <xdr:pic>
      <xdr:nvPicPr>
        <xdr:cNvPr id="14" name="Picture 13">
          <a:extLst>
            <a:ext uri="{FF2B5EF4-FFF2-40B4-BE49-F238E27FC236}">
              <a16:creationId xmlns:a16="http://schemas.microsoft.com/office/drawing/2014/main" id="{04D2BF18-B679-41C9-8580-CB9A37858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32777" y="19284470"/>
          <a:ext cx="2043927" cy="37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530677</xdr:colOff>
      <xdr:row>123</xdr:row>
      <xdr:rowOff>6252</xdr:rowOff>
    </xdr:from>
    <xdr:ext cx="4046313" cy="451729"/>
    <xdr:pic>
      <xdr:nvPicPr>
        <xdr:cNvPr id="15" name="Picture 14">
          <a:extLst>
            <a:ext uri="{FF2B5EF4-FFF2-40B4-BE49-F238E27FC236}">
              <a16:creationId xmlns:a16="http://schemas.microsoft.com/office/drawing/2014/main" id="{1EDC946E-E092-4AF7-AC4D-BFD6071E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3963" y="18620823"/>
          <a:ext cx="4046313" cy="4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201706</xdr:colOff>
      <xdr:row>126</xdr:row>
      <xdr:rowOff>116541</xdr:rowOff>
    </xdr:from>
    <xdr:ext cx="2043927" cy="379984"/>
    <xdr:pic>
      <xdr:nvPicPr>
        <xdr:cNvPr id="16" name="Picture 15">
          <a:extLst>
            <a:ext uri="{FF2B5EF4-FFF2-40B4-BE49-F238E27FC236}">
              <a16:creationId xmlns:a16="http://schemas.microsoft.com/office/drawing/2014/main" id="{96242843-FA52-477B-A873-8FC8A5A2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32777" y="19284470"/>
          <a:ext cx="2043927" cy="379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30480</xdr:colOff>
      <xdr:row>88</xdr:row>
      <xdr:rowOff>137160</xdr:rowOff>
    </xdr:from>
    <xdr:to>
      <xdr:col>19</xdr:col>
      <xdr:colOff>446405</xdr:colOff>
      <xdr:row>104</xdr:row>
      <xdr:rowOff>65405</xdr:rowOff>
    </xdr:to>
    <xdr:pic>
      <xdr:nvPicPr>
        <xdr:cNvPr id="2" name="Picture 1" descr="Global building &amp; construction plastics market">
          <a:extLst>
            <a:ext uri="{FF2B5EF4-FFF2-40B4-BE49-F238E27FC236}">
              <a16:creationId xmlns:a16="http://schemas.microsoft.com/office/drawing/2014/main" id="{60A96542-970E-42CD-82F7-2E22CC753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5920" y="11658600"/>
          <a:ext cx="5715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349885</xdr:colOff>
      <xdr:row>19</xdr:row>
      <xdr:rowOff>113030</xdr:rowOff>
    </xdr:from>
    <xdr:to>
      <xdr:col>39</xdr:col>
      <xdr:colOff>408940</xdr:colOff>
      <xdr:row>39</xdr:row>
      <xdr:rowOff>125095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AC20CF-DB7A-4554-9C47-583CB9A4A65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7210" y="3570605"/>
          <a:ext cx="6158230" cy="36696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492760</xdr:colOff>
      <xdr:row>27</xdr:row>
      <xdr:rowOff>78740</xdr:rowOff>
    </xdr:from>
    <xdr:to>
      <xdr:col>33</xdr:col>
      <xdr:colOff>187960</xdr:colOff>
      <xdr:row>43</xdr:row>
      <xdr:rowOff>78740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B8EE8-4573-4ED1-8D1D-A9F1486FE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1</xdr:row>
      <xdr:rowOff>190047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2C20687A-4929-4BDE-B4AF-51F0745AC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35099" y="152968"/>
          <a:ext cx="4559499" cy="2986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78</xdr:col>
      <xdr:colOff>144193</xdr:colOff>
      <xdr:row>31</xdr:row>
      <xdr:rowOff>86312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86F70B-2781-4E07-BF0E-D2040D412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242" t="42803" r="31336" b="23338"/>
        <a:stretch/>
      </xdr:blipFill>
      <xdr:spPr>
        <a:xfrm>
          <a:off x="34236212" y="5199529"/>
          <a:ext cx="6843442" cy="3471583"/>
        </a:xfrm>
        <a:prstGeom prst="rect">
          <a:avLst/>
        </a:prstGeom>
      </xdr:spPr>
    </xdr:pic>
    <xdr:clientData/>
  </xdr:twoCellAnchor>
  <xdr:twoCellAnchor editAs="oneCell">
    <xdr:from>
      <xdr:col>67</xdr:col>
      <xdr:colOff>502024</xdr:colOff>
      <xdr:row>52</xdr:row>
      <xdr:rowOff>0</xdr:rowOff>
    </xdr:from>
    <xdr:to>
      <xdr:col>77</xdr:col>
      <xdr:colOff>124200</xdr:colOff>
      <xdr:row>53</xdr:row>
      <xdr:rowOff>18143</xdr:rowOff>
    </xdr:to>
    <xdr:pic>
      <xdr:nvPicPr>
        <xdr:cNvPr id="13" name="Picture 12" descr="Global post-consumer recycled plastics market share">
          <a:extLst>
            <a:ext uri="{FF2B5EF4-FFF2-40B4-BE49-F238E27FC236}">
              <a16:creationId xmlns:a16="http://schemas.microsoft.com/office/drawing/2014/main" id="{5D242DE5-EB10-4718-B985-2984BEEF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90400" y="9843246"/>
          <a:ext cx="5715000" cy="2803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D2C41F-26B3-440C-B26D-BD4C7C71D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80817" cy="216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B31864-D3F5-4C3F-9133-7FFA62AEB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20" y="152968"/>
          <a:ext cx="4583992" cy="219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FD2549-5A7D-4BB8-A91D-1FE10455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1292" cy="221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78</xdr:col>
      <xdr:colOff>144194</xdr:colOff>
      <xdr:row>31</xdr:row>
      <xdr:rowOff>86311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D4BB1A-7DA1-4A7E-891C-8591DF793A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242" t="42803" r="31336" b="23338"/>
        <a:stretch/>
      </xdr:blipFill>
      <xdr:spPr>
        <a:xfrm>
          <a:off x="39382700" y="5384800"/>
          <a:ext cx="6846618" cy="460962"/>
        </a:xfrm>
        <a:prstGeom prst="rect">
          <a:avLst/>
        </a:prstGeom>
      </xdr:spPr>
    </xdr:pic>
    <xdr:clientData/>
  </xdr:twoCellAnchor>
  <xdr:twoCellAnchor editAs="oneCell">
    <xdr:from>
      <xdr:col>67</xdr:col>
      <xdr:colOff>502024</xdr:colOff>
      <xdr:row>52</xdr:row>
      <xdr:rowOff>0</xdr:rowOff>
    </xdr:from>
    <xdr:to>
      <xdr:col>77</xdr:col>
      <xdr:colOff>124201</xdr:colOff>
      <xdr:row>53</xdr:row>
      <xdr:rowOff>18143</xdr:rowOff>
    </xdr:to>
    <xdr:pic>
      <xdr:nvPicPr>
        <xdr:cNvPr id="5" name="Picture 4" descr="Global post-consumer recycled plastics market share">
          <a:extLst>
            <a:ext uri="{FF2B5EF4-FFF2-40B4-BE49-F238E27FC236}">
              <a16:creationId xmlns:a16="http://schemas.microsoft.com/office/drawing/2014/main" id="{5862E913-23A9-4FCF-811C-B3267960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84724" y="9652000"/>
          <a:ext cx="5718177" cy="202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1361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94EF29-1CE5-4C65-A106-1C58919DC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48B9D6-E3D8-4532-A272-8D632F8A4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FA74-B33D-4B84-9F8F-6FF9115C5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6695" y="152968"/>
          <a:ext cx="4583992" cy="221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1361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ED768A-3CBE-43A3-9D01-626FBD39F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6695" y="152968"/>
          <a:ext cx="4583992" cy="219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79193F-2C97-450A-9F34-B4B7D4F3B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190047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9BF67E-B674-4BC8-97B8-B5E5AA278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58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681F7C-BF19-494D-8B1F-47B63F7B8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65986</xdr:colOff>
      <xdr:row>1</xdr:row>
      <xdr:rowOff>190047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2D5B44-1A4E-43DC-8538-C3CE7E0A2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14C33C-91FC-4F7C-849B-8D9F28CF6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4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190047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F864DB-13CA-4136-8577-0ECE04062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6220" y="152968"/>
          <a:ext cx="4574467" cy="222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77D49E-C3BD-4F1E-8253-53B8B5E18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30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190047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318F4C-12A4-4450-964E-65EF3BDCC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28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17EDCD-6627-478E-8D3F-38EDAB1D6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30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374670</xdr:colOff>
      <xdr:row>0</xdr:row>
      <xdr:rowOff>152968</xdr:rowOff>
    </xdr:from>
    <xdr:to>
      <xdr:col>63</xdr:col>
      <xdr:colOff>65987</xdr:colOff>
      <xdr:row>1</xdr:row>
      <xdr:rowOff>190047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F59A2D-A6D2-4954-A8E9-DFD64A99F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40820" y="152968"/>
          <a:ext cx="4577642" cy="228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96943</xdr:colOff>
      <xdr:row>3</xdr:row>
      <xdr:rowOff>88446</xdr:rowOff>
    </xdr:from>
    <xdr:to>
      <xdr:col>33</xdr:col>
      <xdr:colOff>7129</xdr:colOff>
      <xdr:row>35</xdr:row>
      <xdr:rowOff>149869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B5340-127E-4C26-8F68-94D34322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87368" y="628196"/>
          <a:ext cx="7990561" cy="5954223"/>
        </a:xfrm>
        <a:prstGeom prst="rect">
          <a:avLst/>
        </a:prstGeom>
      </xdr:spPr>
    </xdr:pic>
    <xdr:clientData/>
  </xdr:twoCellAnchor>
  <xdr:twoCellAnchor editAs="oneCell">
    <xdr:from>
      <xdr:col>25</xdr:col>
      <xdr:colOff>299810</xdr:colOff>
      <xdr:row>39</xdr:row>
      <xdr:rowOff>13835</xdr:rowOff>
    </xdr:from>
    <xdr:to>
      <xdr:col>36</xdr:col>
      <xdr:colOff>445416</xdr:colOff>
      <xdr:row>83</xdr:row>
      <xdr:rowOff>56670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C471BC-B27C-4408-8E33-3F40A3366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87060" y="7068685"/>
          <a:ext cx="10448482" cy="814543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in Guan" id="{A0EE1085-424D-4793-96CE-2B3CC27F8D15}" userId="S::Min.Guan@systemiq.earth::e1e1ee1a-b686-405a-8b6d-b6b27952a0bc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rojects/UOT0002/Shared%20Documents/8_Demand%20Analysis/Methanol/Methanol%20Demand%20v6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rojects/UOT0002/Shared%20Documents/8_Demand%20Analysis/Methanol/Methanol%20Demand%20v6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Wagner" refreshedDate="44484.834958333333" createdVersion="7" refreshedVersion="7" minRefreshableVersion="3" recordCount="84" xr:uid="{BD76A976-4548-4EF3-85AC-3460D5979673}">
  <cacheSource type="worksheet">
    <worksheetSource ref="A4:J88" sheet="Sankey Methanol_detailed" r:id="rId2"/>
  </cacheSource>
  <cacheFields count="10">
    <cacheField name="From" numFmtId="0">
      <sharedItems/>
    </cacheField>
    <cacheField name="To" numFmtId="0">
      <sharedItems count="61">
        <s v="Ethylene"/>
        <s v="Propylene"/>
        <s v="Formaldehyde"/>
        <s v="Methyl tert-Butyl Ether (MTBE)"/>
        <s v="Acetic Acid"/>
        <s v="Methyl Methacrylate (MMA)"/>
        <s v="Biodiesel"/>
        <s v="Dimethylether (DME)"/>
        <s v="Gasoline Blending &amp; Combustion"/>
        <s v="Fuel Cells"/>
        <s v="Other"/>
        <s v="Fuel blend"/>
        <s v="Solvent"/>
        <s v="Fuel"/>
        <s v="Carbamide-methanal resins (UF)"/>
        <s v="Phenolic Resins (PF)"/>
        <s v="Melamine Resins"/>
        <s v="Polyacetal resins (polyoxymethylene)"/>
        <s v="Methylene diphenyl diisocyanate"/>
        <s v="1,4-butanediol"/>
        <s v="Polyethylene (PE)"/>
        <s v="Ethylene Oxide"/>
        <s v="Ethylene Dichloride"/>
        <s v="Ethylbenzene"/>
        <s v="High-density Polyethylene (HDPE)"/>
        <s v="Low-density Polyethylene (LDPE)"/>
        <s v="Ethylene glycol"/>
        <s v="Ethoxylates"/>
        <s v="Ethanolamines"/>
        <s v="Glycol Ethers"/>
        <s v="Polyethylene Glycol (PEG)"/>
        <s v="Polyurethane (PU)"/>
        <s v="Polyvinylchloride (PVC)"/>
        <s v="Polystyrene (PS)"/>
        <s v="Polypropylene (PP)"/>
        <s v="Propenic Acid"/>
        <s v="Propenonitrile"/>
        <s v="Cumene"/>
        <s v="Propylene oxide"/>
        <s v="Butanol"/>
        <s v="Animal feed additives"/>
        <s v="Food preservative"/>
        <s v="Herbicides"/>
        <s v="Acrylic fibres"/>
        <s v="SAN/ABS"/>
        <s v="Propenamide"/>
        <s v="Phenol + Acetone"/>
        <s v="Propylene glycol"/>
        <s v="Glycol ether"/>
        <s v="Vinyl acetate monomer (VAM)"/>
        <s v="Terephthalic acid"/>
        <s v="Acetate esters"/>
        <s v="Acetic anhydride"/>
        <s v="Methyl Chlorides"/>
        <s v="Methylamines"/>
        <s v="Dimethyl terephthalate (DMT)"/>
        <s v="Methanethiol"/>
        <s v="Polymethyl methacrylate (PMMA)"/>
        <s v="Polyvinyl acetate (PVA)"/>
        <s v="Polyethylene terephthalate (PET)"/>
        <s v="THF"/>
      </sharedItems>
    </cacheField>
    <cacheField name="Alternative description (if other)" numFmtId="0">
      <sharedItems containsBlank="1"/>
    </cacheField>
    <cacheField name="Classification" numFmtId="0">
      <sharedItems containsBlank="1"/>
    </cacheField>
    <cacheField name="Percentage" numFmtId="0">
      <sharedItems containsString="0" containsBlank="1" containsNumber="1" minValue="1.2248167496215287E-4" maxValue="1"/>
    </cacheField>
    <cacheField name="Amount (Mt Methanol)" numFmtId="0">
      <sharedItems containsSemiMixedTypes="0" containsString="0" containsNumber="1" minValue="1.2480788894372841E-2" maxValue="23.787217209972287"/>
    </cacheField>
    <cacheField name="Stochiometry" numFmtId="174">
      <sharedItems containsSemiMixedTypes="0" containsString="0" containsNumber="1" containsInteger="1" minValue="1" maxValue="3"/>
    </cacheField>
    <cacheField name="Mt starting material" numFmtId="174">
      <sharedItems containsSemiMixedTypes="0" containsString="0" containsNumber="1" minValue="1.2480788894372841E-2" maxValue="23.787217209972287"/>
    </cacheField>
    <cacheField name="t starting material / t product" numFmtId="174">
      <sharedItems containsMixedTypes="1" containsNumber="1" minValue="0.93714107365792754" maxValue="6.0608614232209739"/>
    </cacheField>
    <cacheField name="Mt end product" numFmtId="174">
      <sharedItems containsMixedTypes="1" containsNumber="1" minValue="0.42004014480204049" maxValue="27.3163333713450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Wagner" refreshedDate="44487.367749884259" createdVersion="7" refreshedVersion="7" minRefreshableVersion="3" recordCount="84" xr:uid="{BF3D9EF9-A1BB-4485-9F6F-D3BDD4F60AE6}">
  <cacheSource type="worksheet">
    <worksheetSource ref="A4:L88" sheet="Sankey Methanol_detailed" r:id="rId2"/>
  </cacheSource>
  <cacheFields count="12">
    <cacheField name="From" numFmtId="0">
      <sharedItems/>
    </cacheField>
    <cacheField name="To" numFmtId="0">
      <sharedItems/>
    </cacheField>
    <cacheField name="Alternative description (if other)" numFmtId="0">
      <sharedItems containsBlank="1"/>
    </cacheField>
    <cacheField name="Classification" numFmtId="0">
      <sharedItems containsBlank="1" count="4">
        <m/>
        <s v="Fuel"/>
        <s v="Minor polymers"/>
        <s v="Major polymers"/>
      </sharedItems>
    </cacheField>
    <cacheField name="Percentage" numFmtId="0">
      <sharedItems containsString="0" containsBlank="1" containsNumber="1" minValue="1.2248167496215287E-4" maxValue="1"/>
    </cacheField>
    <cacheField name="Amount (Mt Methanol)" numFmtId="0">
      <sharedItems containsSemiMixedTypes="0" containsString="0" containsNumber="1" minValue="1.2480788894372841E-2" maxValue="23.787217209972287"/>
    </cacheField>
    <cacheField name="Stochiometry" numFmtId="174">
      <sharedItems containsSemiMixedTypes="0" containsString="0" containsNumber="1" containsInteger="1" minValue="1" maxValue="3"/>
    </cacheField>
    <cacheField name="Mt starting material" numFmtId="174">
      <sharedItems containsSemiMixedTypes="0" containsString="0" containsNumber="1" minValue="1.2480788894372841E-2" maxValue="23.787217209972287"/>
    </cacheField>
    <cacheField name="t starting material / t product" numFmtId="174">
      <sharedItems containsMixedTypes="1" containsNumber="1" minValue="0.93714107365792754" maxValue="6.0608614232209739"/>
    </cacheField>
    <cacheField name="Mt end product" numFmtId="174">
      <sharedItems containsMixedTypes="1" containsNumber="1" minValue="0.42004014480204049" maxValue="27.316333371345049"/>
    </cacheField>
    <cacheField name="Colour" numFmtId="174">
      <sharedItems/>
    </cacheField>
    <cacheField name="Sankey C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s v="Methanol"/>
    <x v="0"/>
    <m/>
    <m/>
    <n v="0.15257253124401302"/>
    <n v="15.60098611796605"/>
    <n v="2"/>
    <n v="15.60098611796605"/>
    <n v="1.7509363295880149"/>
    <n v="27.316333371345049"/>
  </r>
  <r>
    <s v="Methanol"/>
    <x v="1"/>
    <m/>
    <m/>
    <n v="0.15257253124401302"/>
    <n v="15.60098611796605"/>
    <n v="3"/>
    <n v="15.60098611796605"/>
    <e v="#N/A"/>
    <e v="#N/A"/>
  </r>
  <r>
    <s v="Methanol"/>
    <x v="2"/>
    <m/>
    <m/>
    <n v="0.23263118840911975"/>
    <n v="23.787217209972287"/>
    <n v="1"/>
    <n v="23.787217209972287"/>
    <n v="0.93714107365792754"/>
    <n v="22.291978275487761"/>
  </r>
  <r>
    <s v="Methanol"/>
    <x v="3"/>
    <m/>
    <m/>
    <n v="0.1021547725875792"/>
    <n v="10.445623311275693"/>
    <n v="1"/>
    <n v="10.445623311275693"/>
    <e v="#N/A"/>
    <e v="#N/A"/>
  </r>
  <r>
    <s v="Methanol"/>
    <x v="4"/>
    <m/>
    <m/>
    <n v="7.0342979835361516E-2"/>
    <n v="7.192774760698633"/>
    <n v="1"/>
    <n v="7.192774760698633"/>
    <n v="1.8742821473158551"/>
    <n v="13.481289323641519"/>
  </r>
  <r>
    <s v="Methanol"/>
    <x v="5"/>
    <m/>
    <m/>
    <n v="1.733781708100687E-2"/>
    <n v="1.772842341876246"/>
    <n v="1"/>
    <n v="1.772842341876246"/>
    <e v="#N/A"/>
    <e v="#N/A"/>
  </r>
  <r>
    <s v="Methanol"/>
    <x v="6"/>
    <m/>
    <s v="Fuel"/>
    <n v="2.9805719753632672E-2"/>
    <n v="3.0477217381202508"/>
    <n v="1"/>
    <n v="3.0477217381202508"/>
    <e v="#N/A"/>
    <e v="#N/A"/>
  </r>
  <r>
    <s v="Methanol"/>
    <x v="7"/>
    <m/>
    <m/>
    <n v="2.8522886298573059E-2"/>
    <n v="2.9165482774660565"/>
    <n v="1"/>
    <n v="2.9165482774660565"/>
    <e v="#N/A"/>
    <e v="#N/A"/>
  </r>
  <r>
    <s v="Methanol"/>
    <x v="8"/>
    <m/>
    <s v="Fuel"/>
    <n v="0.12836023848013775"/>
    <n v="13.125208596196902"/>
    <n v="1"/>
    <n v="13.125208596196902"/>
    <e v="#N/A"/>
    <e v="#N/A"/>
  </r>
  <r>
    <s v="Methanol"/>
    <x v="9"/>
    <s v="Other"/>
    <s v="Fuel"/>
    <n v="1.2248167496215287E-4"/>
    <n v="1.2524108338569352E-2"/>
    <n v="1"/>
    <n v="1.2524108338569352E-2"/>
    <e v="#N/A"/>
    <e v="#N/A"/>
  </r>
  <r>
    <s v="Methanol"/>
    <x v="10"/>
    <m/>
    <m/>
    <n v="3.7085809133041631E-2"/>
    <n v="3.7921321009795088"/>
    <n v="1"/>
    <n v="3.7921321009795088"/>
    <e v="#N/A"/>
    <e v="#N/A"/>
  </r>
  <r>
    <s v="Methyl tert-Butyl Ether (MTBE)"/>
    <x v="11"/>
    <m/>
    <s v="Fuel"/>
    <n v="0.95"/>
    <n v="9.9233421457119082"/>
    <n v="1"/>
    <n v="9.9233421457119082"/>
    <e v="#N/A"/>
    <e v="#N/A"/>
  </r>
  <r>
    <s v="Methyl tert-Butyl Ether (MTBE)"/>
    <x v="12"/>
    <s v="Other"/>
    <m/>
    <n v="0.05"/>
    <n v="0.52228116556378501"/>
    <n v="1"/>
    <n v="0.52228116556378501"/>
    <e v="#N/A"/>
    <e v="#N/A"/>
  </r>
  <r>
    <s v="Dimethylether (DME)"/>
    <x v="13"/>
    <m/>
    <s v="Fuel"/>
    <n v="0.85"/>
    <n v="2.4790660358461478"/>
    <n v="1"/>
    <n v="2.4790660358461478"/>
    <e v="#N/A"/>
    <e v="#N/A"/>
  </r>
  <r>
    <s v="Dimethylether (DME)"/>
    <x v="10"/>
    <m/>
    <m/>
    <n v="0.15"/>
    <n v="0.43748224161990845"/>
    <n v="1"/>
    <n v="0.43748224161990845"/>
    <e v="#N/A"/>
    <e v="#N/A"/>
  </r>
  <r>
    <s v="Formaldehyde"/>
    <x v="14"/>
    <m/>
    <s v="Minor polymers"/>
    <n v="0.38"/>
    <n v="9.0391425397894682"/>
    <n v="1"/>
    <n v="9.0391425397894682"/>
    <e v="#N/A"/>
    <e v="#N/A"/>
  </r>
  <r>
    <s v="Formaldehyde"/>
    <x v="15"/>
    <m/>
    <s v="Minor polymers"/>
    <n v="0.16"/>
    <n v="3.8059547535955658"/>
    <n v="1"/>
    <n v="3.8059547535955658"/>
    <e v="#N/A"/>
    <e v="#N/A"/>
  </r>
  <r>
    <s v="Formaldehyde"/>
    <x v="16"/>
    <m/>
    <s v="Minor polymers"/>
    <n v="0.21"/>
    <n v="4.9953156140941797"/>
    <n v="1"/>
    <n v="4.9953156140941797"/>
    <e v="#N/A"/>
    <e v="#N/A"/>
  </r>
  <r>
    <s v="Formaldehyde"/>
    <x v="17"/>
    <m/>
    <s v="Minor polymers"/>
    <n v="0.08"/>
    <n v="1.9029773767977829"/>
    <n v="1"/>
    <n v="1.9029773767977829"/>
    <e v="#N/A"/>
    <e v="#N/A"/>
  </r>
  <r>
    <s v="Formaldehyde"/>
    <x v="18"/>
    <m/>
    <m/>
    <n v="0.05"/>
    <n v="1.1893608604986143"/>
    <n v="1"/>
    <n v="1.1893608604986143"/>
    <e v="#N/A"/>
    <e v="#N/A"/>
  </r>
  <r>
    <s v="Formaldehyde"/>
    <x v="19"/>
    <m/>
    <m/>
    <n v="0.05"/>
    <n v="1.1893608604986143"/>
    <n v="1"/>
    <n v="1.1893608604986143"/>
    <e v="#N/A"/>
    <e v="#N/A"/>
  </r>
  <r>
    <s v="Formaldehyde"/>
    <x v="10"/>
    <m/>
    <m/>
    <n v="7.0000000000000007E-2"/>
    <n v="1.6651052046980603"/>
    <n v="1"/>
    <n v="1.6651052046980603"/>
    <e v="#N/A"/>
    <e v="#N/A"/>
  </r>
  <r>
    <s v="Ethylene"/>
    <x v="20"/>
    <m/>
    <s v="Major polymers"/>
    <n v="0.61"/>
    <n v="9.5166015319592905"/>
    <n v="1"/>
    <n v="9.5166015319592905"/>
    <e v="#N/A"/>
    <e v="#N/A"/>
  </r>
  <r>
    <s v="Ethylene"/>
    <x v="21"/>
    <m/>
    <m/>
    <n v="0.14000000000000001"/>
    <n v="2.1841380565152471"/>
    <n v="1"/>
    <n v="2.1841380565152471"/>
    <n v="1.572192513368984"/>
    <n v="3.4338855006175542"/>
  </r>
  <r>
    <s v="Ethylene"/>
    <x v="22"/>
    <m/>
    <m/>
    <n v="0.12"/>
    <n v="1.872118334155926"/>
    <n v="1"/>
    <n v="1.872118334155926"/>
    <e v="#N/A"/>
    <e v="#N/A"/>
  </r>
  <r>
    <s v="Ethylene"/>
    <x v="23"/>
    <m/>
    <m/>
    <n v="0.06"/>
    <n v="0.93605916707796299"/>
    <n v="1"/>
    <n v="0.93605916707796299"/>
    <e v="#N/A"/>
    <e v="#N/A"/>
  </r>
  <r>
    <s v="Ethylene"/>
    <x v="10"/>
    <m/>
    <m/>
    <n v="7.0000000000000007E-2"/>
    <n v="1.0920690282576235"/>
    <n v="1"/>
    <n v="1.0920690282576235"/>
    <e v="#N/A"/>
    <e v="#N/A"/>
  </r>
  <r>
    <s v="Polyethylene (PE)"/>
    <x v="24"/>
    <m/>
    <s v="Major polymers"/>
    <n v="0.44903581267217635"/>
    <n v="4.2732949027806182"/>
    <n v="1"/>
    <n v="4.2732949027806182"/>
    <e v="#N/A"/>
    <e v="#N/A"/>
  </r>
  <r>
    <s v="Polyethylene (PE)"/>
    <x v="25"/>
    <m/>
    <s v="Major polymers"/>
    <n v="0.55096418732782371"/>
    <n v="5.2433066291786723"/>
    <n v="1"/>
    <n v="5.2433066291786723"/>
    <e v="#N/A"/>
    <e v="#N/A"/>
  </r>
  <r>
    <s v="Ethylene Oxide"/>
    <x v="26"/>
    <m/>
    <m/>
    <n v="0.67"/>
    <n v="1.4633724978652156"/>
    <n v="1"/>
    <n v="1.4633724978652156"/>
    <n v="1.407482993197279"/>
    <n v="2.0596719034579123"/>
  </r>
  <r>
    <s v="Ethylene Oxide"/>
    <x v="27"/>
    <s v="Other"/>
    <m/>
    <n v="0.13"/>
    <n v="0.28393794734698213"/>
    <n v="1"/>
    <n v="0.28393794734698213"/>
    <e v="#N/A"/>
    <e v="#N/A"/>
  </r>
  <r>
    <s v="Ethylene Oxide"/>
    <x v="28"/>
    <s v="Other"/>
    <m/>
    <n v="0.06"/>
    <n v="0.13104828339091482"/>
    <n v="1"/>
    <n v="0.13104828339091482"/>
    <e v="#N/A"/>
    <e v="#N/A"/>
  </r>
  <r>
    <s v="Ethylene Oxide"/>
    <x v="29"/>
    <s v="Other"/>
    <m/>
    <n v="0.03"/>
    <n v="6.5524141695457408E-2"/>
    <n v="1"/>
    <n v="6.5524141695457408E-2"/>
    <e v="#N/A"/>
    <e v="#N/A"/>
  </r>
  <r>
    <s v="Ethylene Oxide"/>
    <x v="30"/>
    <s v="Other"/>
    <m/>
    <n v="0.02"/>
    <n v="4.3682761130304941E-2"/>
    <n v="1"/>
    <n v="4.3682761130304941E-2"/>
    <e v="#N/A"/>
    <e v="#N/A"/>
  </r>
  <r>
    <s v="Ethylene Oxide"/>
    <x v="31"/>
    <m/>
    <s v="Major polymers"/>
    <n v="0.03"/>
    <n v="6.5524141695457408E-2"/>
    <n v="1"/>
    <n v="6.5524141695457408E-2"/>
    <e v="#N/A"/>
    <e v="#N/A"/>
  </r>
  <r>
    <s v="Ethylene Oxide"/>
    <x v="10"/>
    <m/>
    <m/>
    <n v="0.06"/>
    <n v="0.13104828339091482"/>
    <n v="1"/>
    <n v="0.13104828339091482"/>
    <e v="#N/A"/>
    <e v="#N/A"/>
  </r>
  <r>
    <s v="Ethylene Dichloride"/>
    <x v="32"/>
    <m/>
    <s v="Major polymers"/>
    <n v="0.96"/>
    <n v="1.797233600789689"/>
    <n v="1"/>
    <n v="1.797233600789689"/>
    <e v="#N/A"/>
    <e v="#N/A"/>
  </r>
  <r>
    <s v="Ethylene Dichloride"/>
    <x v="10"/>
    <m/>
    <m/>
    <n v="0.04"/>
    <n v="7.4884733366237036E-2"/>
    <n v="1"/>
    <n v="7.4884733366237036E-2"/>
    <e v="#N/A"/>
    <e v="#N/A"/>
  </r>
  <r>
    <s v="Ethylbenzene"/>
    <x v="33"/>
    <m/>
    <s v="Major polymers"/>
    <n v="0.46529999999999999"/>
    <n v="0.4355483304413762"/>
    <n v="1"/>
    <n v="0.4355483304413762"/>
    <e v="#N/A"/>
    <e v="#N/A"/>
  </r>
  <r>
    <s v="Ethylbenzene"/>
    <x v="10"/>
    <m/>
    <m/>
    <n v="0.53469999999999995"/>
    <n v="0.5005108366365868"/>
    <n v="1"/>
    <n v="0.5005108366365868"/>
    <e v="#N/A"/>
    <e v="#N/A"/>
  </r>
  <r>
    <s v="Propylene"/>
    <x v="34"/>
    <m/>
    <s v="Major polymers"/>
    <n v="0.67"/>
    <n v="10.452660699037255"/>
    <n v="1"/>
    <n v="10.452660699037255"/>
    <e v="#N/A"/>
    <e v="#N/A"/>
  </r>
  <r>
    <s v="Propylene"/>
    <x v="35"/>
    <m/>
    <m/>
    <n v="0.05"/>
    <n v="0.78004930589830257"/>
    <n v="1"/>
    <n v="0.78004930589830257"/>
    <e v="#N/A"/>
    <e v="#N/A"/>
  </r>
  <r>
    <s v="Propylene"/>
    <x v="36"/>
    <m/>
    <m/>
    <n v="0.06"/>
    <n v="0.93605916707796299"/>
    <n v="1"/>
    <n v="0.93605916707796299"/>
    <e v="#N/A"/>
    <e v="#N/A"/>
  </r>
  <r>
    <s v="Propylene"/>
    <x v="37"/>
    <m/>
    <m/>
    <n v="0.04"/>
    <n v="0.62403944471864203"/>
    <n v="1"/>
    <n v="0.62403944471864203"/>
    <e v="#N/A"/>
    <e v="#N/A"/>
  </r>
  <r>
    <s v="Propylene"/>
    <x v="38"/>
    <m/>
    <m/>
    <n v="7.0000000000000007E-2"/>
    <n v="1.0920690282576235"/>
    <n v="1"/>
    <n v="1.0920690282576235"/>
    <e v="#N/A"/>
    <e v="#N/A"/>
  </r>
  <r>
    <s v="Propylene"/>
    <x v="39"/>
    <m/>
    <m/>
    <n v="0.03"/>
    <n v="0.4680295835389815"/>
    <n v="1"/>
    <n v="0.4680295835389815"/>
    <e v="#N/A"/>
    <e v="#N/A"/>
  </r>
  <r>
    <s v="Propylene"/>
    <x v="10"/>
    <m/>
    <m/>
    <n v="0.08"/>
    <n v="1.2480788894372841"/>
    <n v="1"/>
    <n v="1.2480788894372841"/>
    <e v="#N/A"/>
    <e v="#N/A"/>
  </r>
  <r>
    <s v="Propenic Acid"/>
    <x v="40"/>
    <s v="Other"/>
    <m/>
    <n v="0.5"/>
    <n v="0.39002465294915128"/>
    <n v="1"/>
    <n v="0.39002465294915128"/>
    <e v="#N/A"/>
    <e v="#N/A"/>
  </r>
  <r>
    <s v="Propenic Acid"/>
    <x v="41"/>
    <s v="Other"/>
    <m/>
    <n v="0.35"/>
    <n v="0.27301725706440588"/>
    <n v="1"/>
    <n v="0.27301725706440588"/>
    <e v="#N/A"/>
    <e v="#N/A"/>
  </r>
  <r>
    <s v="Propenic Acid"/>
    <x v="42"/>
    <s v="Other"/>
    <m/>
    <n v="0.1"/>
    <n v="7.8004930589830268E-2"/>
    <n v="1"/>
    <n v="7.8004930589830268E-2"/>
    <e v="#N/A"/>
    <e v="#N/A"/>
  </r>
  <r>
    <s v="Propenic Acid"/>
    <x v="10"/>
    <m/>
    <m/>
    <n v="0.05"/>
    <n v="3.9002465294915134E-2"/>
    <n v="1"/>
    <n v="3.9002465294915134E-2"/>
    <e v="#N/A"/>
    <e v="#N/A"/>
  </r>
  <r>
    <s v="Propenonitrile"/>
    <x v="43"/>
    <s v="Other"/>
    <m/>
    <n v="0.3"/>
    <n v="0.28081775012338889"/>
    <n v="1"/>
    <n v="0.28081775012338889"/>
    <e v="#N/A"/>
    <e v="#N/A"/>
  </r>
  <r>
    <s v="Propenonitrile"/>
    <x v="44"/>
    <s v="Other"/>
    <m/>
    <n v="0.35"/>
    <n v="0.32762070847728703"/>
    <n v="1"/>
    <n v="0.32762070847728703"/>
    <e v="#N/A"/>
    <e v="#N/A"/>
  </r>
  <r>
    <s v="Propenonitrile"/>
    <x v="45"/>
    <s v="Other"/>
    <m/>
    <n v="0.15"/>
    <n v="0.14040887506169444"/>
    <n v="1"/>
    <n v="0.14040887506169444"/>
    <e v="#N/A"/>
    <e v="#N/A"/>
  </r>
  <r>
    <s v="Propenonitrile"/>
    <x v="10"/>
    <m/>
    <m/>
    <n v="0.2"/>
    <n v="0.18721183341559261"/>
    <n v="1"/>
    <n v="0.18721183341559261"/>
    <e v="#N/A"/>
    <e v="#N/A"/>
  </r>
  <r>
    <s v="Cumene"/>
    <x v="46"/>
    <s v="Other"/>
    <m/>
    <n v="0.98"/>
    <n v="0.61155865582426916"/>
    <n v="1"/>
    <n v="0.61155865582426916"/>
    <e v="#N/A"/>
    <e v="#N/A"/>
  </r>
  <r>
    <s v="Cumene"/>
    <x v="10"/>
    <m/>
    <m/>
    <n v="0.02"/>
    <n v="1.2480788894372841E-2"/>
    <n v="1"/>
    <n v="1.2480788894372841E-2"/>
    <e v="#N/A"/>
    <e v="#N/A"/>
  </r>
  <r>
    <s v="Propylene oxide"/>
    <x v="31"/>
    <m/>
    <s v="Major polymers"/>
    <n v="0.68"/>
    <n v="0.74260693921518406"/>
    <n v="1"/>
    <n v="0.74260693921518406"/>
    <e v="#N/A"/>
    <e v="#N/A"/>
  </r>
  <r>
    <s v="Propylene oxide"/>
    <x v="47"/>
    <s v="Other"/>
    <m/>
    <n v="0.22"/>
    <n v="0.24025518621667719"/>
    <n v="1"/>
    <n v="0.24025518621667719"/>
    <e v="#N/A"/>
    <e v="#N/A"/>
  </r>
  <r>
    <s v="Propylene oxide"/>
    <x v="48"/>
    <s v="Other"/>
    <m/>
    <n v="0.04"/>
    <n v="4.3682761130304941E-2"/>
    <n v="1"/>
    <n v="4.3682761130304941E-2"/>
    <e v="#N/A"/>
    <e v="#N/A"/>
  </r>
  <r>
    <s v="Propylene oxide"/>
    <x v="10"/>
    <m/>
    <m/>
    <n v="0.06"/>
    <n v="6.5524141695457408E-2"/>
    <n v="1"/>
    <n v="6.5524141695457408E-2"/>
    <e v="#N/A"/>
    <e v="#N/A"/>
  </r>
  <r>
    <s v="Butanol"/>
    <x v="10"/>
    <m/>
    <m/>
    <n v="1"/>
    <n v="0.4680295835389815"/>
    <n v="1"/>
    <n v="0.4680295835389815"/>
    <e v="#N/A"/>
    <e v="#N/A"/>
  </r>
  <r>
    <s v="Acetic Acid"/>
    <x v="49"/>
    <m/>
    <m/>
    <m/>
    <n v="2.8771099042794535"/>
    <n v="1"/>
    <n v="2.8771099042794535"/>
    <e v="#N/A"/>
    <e v="#N/A"/>
  </r>
  <r>
    <s v="Acetic Acid"/>
    <x v="50"/>
    <m/>
    <m/>
    <m/>
    <n v="1.5104826997467129"/>
    <n v="1"/>
    <n v="1.5104826997467129"/>
    <n v="2.7664690601478719"/>
    <n v="4.1787036547379088"/>
  </r>
  <r>
    <s v="Acetic Acid"/>
    <x v="51"/>
    <s v="Other"/>
    <m/>
    <m/>
    <n v="0.71927747606986336"/>
    <n v="1"/>
    <n v="0.71927747606986336"/>
    <e v="#N/A"/>
    <e v="#N/A"/>
  </r>
  <r>
    <s v="Acetic Acid"/>
    <x v="52"/>
    <s v="Other"/>
    <m/>
    <m/>
    <n v="0.79120522367684964"/>
    <n v="1"/>
    <n v="0.79120522367684964"/>
    <e v="#N/A"/>
    <e v="#N/A"/>
  </r>
  <r>
    <s v="Acetic Acid"/>
    <x v="10"/>
    <m/>
    <m/>
    <m/>
    <n v="1.2946994569257539"/>
    <n v="1"/>
    <n v="1.2946994569257539"/>
    <e v="#N/A"/>
    <e v="#N/A"/>
  </r>
  <r>
    <s v="Methanol"/>
    <x v="53"/>
    <s v="Other"/>
    <m/>
    <n v="2.2216780422383169E-2"/>
    <n v="2.2717305672878156"/>
    <n v="1"/>
    <n v="2.2717305672878156"/>
    <e v="#N/A"/>
    <e v="#N/A"/>
  </r>
  <r>
    <s v="Methanol"/>
    <x v="54"/>
    <s v="Other"/>
    <m/>
    <n v="1.5781321174464437E-2"/>
    <n v="1.6136860977433933"/>
    <n v="1"/>
    <n v="1.6136860977433933"/>
    <e v="#N/A"/>
    <e v="#N/A"/>
  </r>
  <r>
    <s v="Methanol"/>
    <x v="55"/>
    <m/>
    <m/>
    <n v="4.662655189360548E-3"/>
    <n v="0.47677008625974848"/>
    <n v="1"/>
    <n v="0.47677008625974848"/>
    <n v="6.0608614232209739"/>
    <n v="2.8896374235574456"/>
  </r>
  <r>
    <s v="Methanol"/>
    <x v="56"/>
    <s v="Other"/>
    <m/>
    <n v="4.9435021407774277E-3"/>
    <n v="0.50548750580180479"/>
    <n v="1"/>
    <n v="0.50548750580180479"/>
    <e v="#N/A"/>
    <e v="#N/A"/>
  </r>
  <r>
    <s v="Methyl Methacrylate (MMA)"/>
    <x v="57"/>
    <m/>
    <s v="Minor polymers"/>
    <m/>
    <n v="1.772842341876246"/>
    <n v="1"/>
    <n v="1.772842341876246"/>
    <e v="#N/A"/>
    <e v="#N/A"/>
  </r>
  <r>
    <s v="Vinyl acetate monomer (VAM)"/>
    <x v="58"/>
    <m/>
    <s v="Minor polymers"/>
    <n v="0.37"/>
    <n v="1.0645306645833978"/>
    <n v="1"/>
    <n v="1.0645306645833978"/>
    <e v="#N/A"/>
    <e v="#N/A"/>
  </r>
  <r>
    <s v="Vinyl acetate monomer (VAM)"/>
    <x v="10"/>
    <m/>
    <m/>
    <n v="0.63"/>
    <n v="1.8125792396960556"/>
    <n v="1"/>
    <n v="1.8125792396960556"/>
    <e v="#N/A"/>
    <e v="#N/A"/>
  </r>
  <r>
    <s v="Terephthalic acid"/>
    <x v="59"/>
    <m/>
    <s v="Major polymers"/>
    <n v="0.9"/>
    <n v="1.3594344297720415"/>
    <n v="1"/>
    <n v="1.3594344297720415"/>
    <n v="1.1569113716803505"/>
    <n v="1.5727451508570678"/>
  </r>
  <r>
    <s v="Terephthalic acid"/>
    <x v="10"/>
    <m/>
    <m/>
    <n v="9.9999999999999978E-2"/>
    <n v="0.15104826997467125"/>
    <n v="1"/>
    <n v="0.15104826997467125"/>
    <e v="#N/A"/>
    <e v="#N/A"/>
  </r>
  <r>
    <s v="Dimethyl terephthalate (DMT)"/>
    <x v="59"/>
    <m/>
    <s v="Major polymers"/>
    <m/>
    <n v="0.42438915566653618"/>
    <n v="1"/>
    <n v="0.42438915566653618"/>
    <n v="0.98975230444410101"/>
    <n v="0.42004014480204049"/>
  </r>
  <r>
    <s v="Dimethyl terephthalate (DMT)"/>
    <x v="10"/>
    <m/>
    <m/>
    <m/>
    <n v="5.2380930593212353E-2"/>
    <n v="1"/>
    <n v="5.2380930593212353E-2"/>
    <e v="#N/A"/>
    <e v="#N/A"/>
  </r>
  <r>
    <s v="Methylene diphenyl diisocyanate"/>
    <x v="31"/>
    <m/>
    <s v="Major polymers"/>
    <n v="0.95"/>
    <n v="1.1298928174736835"/>
    <n v="1"/>
    <n v="1.1298928174736835"/>
    <e v="#N/A"/>
    <e v="#N/A"/>
  </r>
  <r>
    <s v="Methylene diphenyl diisocyanate"/>
    <x v="10"/>
    <m/>
    <m/>
    <n v="0.05"/>
    <n v="5.9468043024930722E-2"/>
    <n v="1"/>
    <n v="5.9468043024930722E-2"/>
    <e v="#N/A"/>
    <e v="#N/A"/>
  </r>
  <r>
    <s v="1,4-butanediol"/>
    <x v="60"/>
    <s v="Other"/>
    <m/>
    <n v="0.5"/>
    <n v="0.59468043024930717"/>
    <n v="1"/>
    <n v="0.59468043024930717"/>
    <e v="#N/A"/>
    <e v="#N/A"/>
  </r>
  <r>
    <s v="1,4-butanediol"/>
    <x v="10"/>
    <m/>
    <m/>
    <n v="0.5"/>
    <n v="0.59468043024930717"/>
    <n v="1"/>
    <n v="0.59468043024930717"/>
    <e v="#N/A"/>
    <e v="#N/A"/>
  </r>
  <r>
    <s v="Ethylene glycol"/>
    <x v="59"/>
    <m/>
    <s v="Major polymers"/>
    <n v="0.7"/>
    <n v="1.024360748505651"/>
    <n v="1"/>
    <n v="1.024360748505651"/>
    <n v="3.0965039471564362"/>
    <n v="3.1719371010598696"/>
  </r>
  <r>
    <s v="Ethylene glycol"/>
    <x v="10"/>
    <m/>
    <m/>
    <n v="0.30000000000000004"/>
    <n v="0.43901174935956477"/>
    <n v="1"/>
    <n v="0.43901174935956477"/>
    <e v="#N/A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s v="Methanol"/>
    <s v="Ethylene"/>
    <m/>
    <x v="0"/>
    <n v="0.15257253124401302"/>
    <n v="15.60098611796605"/>
    <n v="2"/>
    <n v="15.60098611796605"/>
    <n v="1.7509363295880149"/>
    <n v="27.316333371345049"/>
    <s v="#A9A9A9"/>
    <s v="Methanol [15.6] Ethylene #A9A9A9"/>
  </r>
  <r>
    <s v="Methanol"/>
    <s v="Propylene"/>
    <m/>
    <x v="0"/>
    <n v="0.15257253124401302"/>
    <n v="15.60098611796605"/>
    <n v="3"/>
    <n v="15.60098611796605"/>
    <e v="#N/A"/>
    <e v="#N/A"/>
    <s v="#A9A9A9"/>
    <s v="Methanol [15.6] Propylene #A9A9A9"/>
  </r>
  <r>
    <s v="Methanol"/>
    <s v="Formaldehyde"/>
    <m/>
    <x v="0"/>
    <n v="0.23263118840911975"/>
    <n v="23.787217209972287"/>
    <n v="1"/>
    <n v="23.787217209972287"/>
    <n v="0.93714107365792754"/>
    <n v="22.291978275487761"/>
    <s v="#A9A9A9"/>
    <s v="Methanol [23.8] Formaldehyde #A9A9A9"/>
  </r>
  <r>
    <s v="Methanol"/>
    <s v="Methyl tert-Butyl Ether (MTBE)"/>
    <m/>
    <x v="0"/>
    <n v="0.1021547725875792"/>
    <n v="10.445623311275693"/>
    <n v="1"/>
    <n v="10.445623311275693"/>
    <e v="#N/A"/>
    <e v="#N/A"/>
    <s v="#A9A9A9"/>
    <s v="Methanol [10.4] Methyl tert-Butyl Ether (MTBE) #A9A9A9"/>
  </r>
  <r>
    <s v="Methanol"/>
    <s v="Acetic Acid"/>
    <m/>
    <x v="0"/>
    <n v="7.0342979835361516E-2"/>
    <n v="7.192774760698633"/>
    <n v="1"/>
    <n v="7.192774760698633"/>
    <n v="1.8742821473158551"/>
    <n v="13.481289323641519"/>
    <s v="#A9A9A9"/>
    <s v="Methanol [7.2] Acetic Acid #A9A9A9"/>
  </r>
  <r>
    <s v="Methanol"/>
    <s v="Methyl Methacrylate (MMA)"/>
    <m/>
    <x v="0"/>
    <n v="1.733781708100687E-2"/>
    <n v="1.772842341876246"/>
    <n v="1"/>
    <n v="1.772842341876246"/>
    <e v="#N/A"/>
    <e v="#N/A"/>
    <s v="#A9A9A9"/>
    <s v="Methanol [1.8] Methyl Methacrylate (MMA) #A9A9A9"/>
  </r>
  <r>
    <s v="Methanol"/>
    <s v="Biodiesel"/>
    <m/>
    <x v="1"/>
    <n v="2.9805719753632672E-2"/>
    <n v="3.0477217381202508"/>
    <n v="1"/>
    <n v="3.0477217381202508"/>
    <e v="#N/A"/>
    <e v="#N/A"/>
    <s v="#CC66FF"/>
    <s v="Methanol [3] Biodiesel #CC66FF"/>
  </r>
  <r>
    <s v="Methanol"/>
    <s v="Dimethylether (DME)"/>
    <m/>
    <x v="0"/>
    <n v="2.8522886298573059E-2"/>
    <n v="2.9165482774660565"/>
    <n v="1"/>
    <n v="2.9165482774660565"/>
    <e v="#N/A"/>
    <e v="#N/A"/>
    <s v="#A9A9A9"/>
    <s v="Methanol [2.9] Dimethylether (DME) #A9A9A9"/>
  </r>
  <r>
    <s v="Methanol"/>
    <s v="Gasoline Blending &amp; Combustion"/>
    <m/>
    <x v="1"/>
    <n v="0.12836023848013775"/>
    <n v="13.125208596196902"/>
    <n v="1"/>
    <n v="13.125208596196902"/>
    <e v="#N/A"/>
    <e v="#N/A"/>
    <s v="#CC66FF"/>
    <s v="Methanol [13.1] Gasoline Blending &amp; Combustion #CC66FF"/>
  </r>
  <r>
    <s v="Methanol"/>
    <s v="Fuel Cells"/>
    <s v="Other"/>
    <x v="1"/>
    <n v="1.2248167496215287E-4"/>
    <n v="1.2524108338569352E-2"/>
    <n v="1"/>
    <n v="1.2524108338569352E-2"/>
    <e v="#N/A"/>
    <e v="#N/A"/>
    <s v="#964B00"/>
    <s v="Methanol [0.01] Other #964B00"/>
  </r>
  <r>
    <s v="Methanol"/>
    <s v="Other"/>
    <m/>
    <x v="0"/>
    <n v="3.7085809133041631E-2"/>
    <n v="3.7921321009795088"/>
    <n v="1"/>
    <n v="3.7921321009795088"/>
    <e v="#N/A"/>
    <e v="#N/A"/>
    <s v="#964B00"/>
    <s v="Methanol [3.8] Other #964B00"/>
  </r>
  <r>
    <s v="Methyl tert-Butyl Ether (MTBE)"/>
    <s v="Fuel blend"/>
    <m/>
    <x v="1"/>
    <n v="0.95"/>
    <n v="9.9233421457119082"/>
    <n v="1"/>
    <n v="9.9233421457119082"/>
    <e v="#N/A"/>
    <e v="#N/A"/>
    <s v="#CC66FF"/>
    <s v="Methyl tert-Butyl Ether (MTBE) [9.9] Fuel blend #CC66FF"/>
  </r>
  <r>
    <s v="Methyl tert-Butyl Ether (MTBE)"/>
    <s v="Solvent"/>
    <s v="Other"/>
    <x v="0"/>
    <n v="0.05"/>
    <n v="0.52228116556378501"/>
    <n v="1"/>
    <n v="0.52228116556378501"/>
    <e v="#N/A"/>
    <e v="#N/A"/>
    <s v="#964B00"/>
    <s v="Methyl tert-Butyl Ether (MTBE) [0.52] Other #964B00"/>
  </r>
  <r>
    <s v="Dimethylether (DME)"/>
    <s v="Fuel"/>
    <m/>
    <x v="1"/>
    <n v="0.85"/>
    <n v="2.4790660358461478"/>
    <n v="1"/>
    <n v="2.4790660358461478"/>
    <e v="#N/A"/>
    <e v="#N/A"/>
    <s v="#CC66FF"/>
    <s v="Dimethylether (DME) [2.5] Fuel #CC66FF"/>
  </r>
  <r>
    <s v="Dimethylether (DME)"/>
    <s v="Other"/>
    <m/>
    <x v="0"/>
    <n v="0.15"/>
    <n v="0.43748224161990845"/>
    <n v="1"/>
    <n v="0.43748224161990845"/>
    <e v="#N/A"/>
    <e v="#N/A"/>
    <s v="#964B00"/>
    <s v="Dimethylether (DME) [0.44] Other #964B00"/>
  </r>
  <r>
    <s v="Formaldehyde"/>
    <s v="Carbamide-methanal resins (UF)"/>
    <m/>
    <x v="2"/>
    <n v="0.38"/>
    <n v="9.0391425397894682"/>
    <n v="1"/>
    <n v="9.0391425397894682"/>
    <e v="#N/A"/>
    <e v="#N/A"/>
    <s v="#FFFF00"/>
    <s v="Formaldehyde [9] Carbamide-methanal resins (UF) #FFFF00"/>
  </r>
  <r>
    <s v="Formaldehyde"/>
    <s v="Phenolic Resins (PF)"/>
    <m/>
    <x v="2"/>
    <n v="0.16"/>
    <n v="3.8059547535955658"/>
    <n v="1"/>
    <n v="3.8059547535955658"/>
    <e v="#N/A"/>
    <e v="#N/A"/>
    <s v="#FFFF00"/>
    <s v="Formaldehyde [3.8] Phenolic Resins (PF) #FFFF00"/>
  </r>
  <r>
    <s v="Formaldehyde"/>
    <s v="Melamine Resins"/>
    <m/>
    <x v="2"/>
    <n v="0.21"/>
    <n v="4.9953156140941797"/>
    <n v="1"/>
    <n v="4.9953156140941797"/>
    <e v="#N/A"/>
    <e v="#N/A"/>
    <s v="#FFFF00"/>
    <s v="Formaldehyde [5] Melamine Resins #FFFF00"/>
  </r>
  <r>
    <s v="Formaldehyde"/>
    <s v="Polyacetal resins (polyoxymethylene)"/>
    <m/>
    <x v="2"/>
    <n v="0.08"/>
    <n v="1.9029773767977829"/>
    <n v="1"/>
    <n v="1.9029773767977829"/>
    <e v="#N/A"/>
    <e v="#N/A"/>
    <s v="#FFFF00"/>
    <s v="Formaldehyde [1.9] Polyacetal resins (polyoxymethylene) #FFFF00"/>
  </r>
  <r>
    <s v="Formaldehyde"/>
    <s v="Methylene diphenyl diisocyanate"/>
    <m/>
    <x v="0"/>
    <n v="0.05"/>
    <n v="1.1893608604986143"/>
    <n v="1"/>
    <n v="1.1893608604986143"/>
    <e v="#N/A"/>
    <e v="#N/A"/>
    <s v="#A9A9A9"/>
    <s v="Formaldehyde [1.2] Methylene diphenyl diisocyanate #A9A9A9"/>
  </r>
  <r>
    <s v="Formaldehyde"/>
    <s v="1,4-butanediol"/>
    <m/>
    <x v="0"/>
    <n v="0.05"/>
    <n v="1.1893608604986143"/>
    <n v="1"/>
    <n v="1.1893608604986143"/>
    <e v="#N/A"/>
    <e v="#N/A"/>
    <s v="#A9A9A9"/>
    <s v="Formaldehyde [1.2] 1,4-butanediol #A9A9A9"/>
  </r>
  <r>
    <s v="Formaldehyde"/>
    <s v="Other"/>
    <m/>
    <x v="0"/>
    <n v="7.0000000000000007E-2"/>
    <n v="1.6651052046980603"/>
    <n v="1"/>
    <n v="1.6651052046980603"/>
    <e v="#N/A"/>
    <e v="#N/A"/>
    <s v="#964B00"/>
    <s v="Formaldehyde [1.7] Other #964B00"/>
  </r>
  <r>
    <s v="Ethylene"/>
    <s v="Polyethylene (PE)"/>
    <m/>
    <x v="3"/>
    <n v="0.61"/>
    <n v="9.5166015319592905"/>
    <n v="1"/>
    <n v="9.5166015319592905"/>
    <e v="#N/A"/>
    <e v="#N/A"/>
    <s v="#0000FF"/>
    <s v="Ethylene [9.5] Polyethylene (PE) #0000FF"/>
  </r>
  <r>
    <s v="Ethylene"/>
    <s v="Ethylene Oxide"/>
    <m/>
    <x v="0"/>
    <n v="0.14000000000000001"/>
    <n v="2.1841380565152471"/>
    <n v="1"/>
    <n v="2.1841380565152471"/>
    <n v="1.572192513368984"/>
    <n v="3.4338855006175542"/>
    <s v="#A9A9A9"/>
    <s v="Ethylene [2.2] Ethylene Oxide #A9A9A9"/>
  </r>
  <r>
    <s v="Ethylene"/>
    <s v="Ethylene Dichloride"/>
    <m/>
    <x v="0"/>
    <n v="0.12"/>
    <n v="1.872118334155926"/>
    <n v="1"/>
    <n v="1.872118334155926"/>
    <e v="#N/A"/>
    <e v="#N/A"/>
    <s v="#A9A9A9"/>
    <s v="Ethylene [1.9] Ethylene Dichloride #A9A9A9"/>
  </r>
  <r>
    <s v="Ethylene"/>
    <s v="Ethylbenzene"/>
    <m/>
    <x v="0"/>
    <n v="0.06"/>
    <n v="0.93605916707796299"/>
    <n v="1"/>
    <n v="0.93605916707796299"/>
    <e v="#N/A"/>
    <e v="#N/A"/>
    <s v="#A9A9A9"/>
    <s v="Ethylene [0.94] Ethylbenzene #A9A9A9"/>
  </r>
  <r>
    <s v="Ethylene"/>
    <s v="Other"/>
    <m/>
    <x v="0"/>
    <n v="7.0000000000000007E-2"/>
    <n v="1.0920690282576235"/>
    <n v="1"/>
    <n v="1.0920690282576235"/>
    <e v="#N/A"/>
    <e v="#N/A"/>
    <s v="#964B00"/>
    <s v="Ethylene [1.1] Other #964B00"/>
  </r>
  <r>
    <s v="Polyethylene (PE)"/>
    <s v="High-density Polyethylene (HDPE)"/>
    <m/>
    <x v="3"/>
    <n v="0.44903581267217635"/>
    <n v="4.2732949027806182"/>
    <n v="1"/>
    <n v="4.2732949027806182"/>
    <e v="#N/A"/>
    <e v="#N/A"/>
    <s v="#0000FF"/>
    <s v="Polyethylene (PE) [4.3] High-density Polyethylene (HDPE) #0000FF"/>
  </r>
  <r>
    <s v="Polyethylene (PE)"/>
    <s v="Low-density Polyethylene (LDPE)"/>
    <m/>
    <x v="3"/>
    <n v="0.55096418732782371"/>
    <n v="5.2433066291786723"/>
    <n v="1"/>
    <n v="5.2433066291786723"/>
    <e v="#N/A"/>
    <e v="#N/A"/>
    <s v="#0000FF"/>
    <s v="Polyethylene (PE) [5.2] Low-density Polyethylene (LDPE) #0000FF"/>
  </r>
  <r>
    <s v="Ethylene Oxide"/>
    <s v="Ethylene glycol"/>
    <m/>
    <x v="0"/>
    <n v="0.67"/>
    <n v="1.4633724978652156"/>
    <n v="1"/>
    <n v="1.4633724978652156"/>
    <n v="1.407482993197279"/>
    <n v="2.0596719034579123"/>
    <s v="#A9A9A9"/>
    <s v="Ethylene Oxide [1.5] Ethylene glycol #A9A9A9"/>
  </r>
  <r>
    <s v="Ethylene Oxide"/>
    <s v="Ethoxylates"/>
    <s v="Other"/>
    <x v="0"/>
    <n v="0.13"/>
    <n v="0.28393794734698213"/>
    <n v="1"/>
    <n v="0.28393794734698213"/>
    <e v="#N/A"/>
    <e v="#N/A"/>
    <s v="#964B00"/>
    <s v="Ethylene Oxide [0.28] Other #964B00"/>
  </r>
  <r>
    <s v="Ethylene Oxide"/>
    <s v="Ethanolamines"/>
    <s v="Other"/>
    <x v="0"/>
    <n v="0.06"/>
    <n v="0.13104828339091482"/>
    <n v="1"/>
    <n v="0.13104828339091482"/>
    <e v="#N/A"/>
    <e v="#N/A"/>
    <s v="#964B00"/>
    <s v="Ethylene Oxide [0.13] Other #964B00"/>
  </r>
  <r>
    <s v="Ethylene Oxide"/>
    <s v="Glycol Ethers"/>
    <s v="Other"/>
    <x v="0"/>
    <n v="0.03"/>
    <n v="6.5524141695457408E-2"/>
    <n v="1"/>
    <n v="6.5524141695457408E-2"/>
    <e v="#N/A"/>
    <e v="#N/A"/>
    <s v="#964B00"/>
    <s v="Ethylene Oxide [0.07] Other #964B00"/>
  </r>
  <r>
    <s v="Ethylene Oxide"/>
    <s v="Polyethylene Glycol (PEG)"/>
    <s v="Other"/>
    <x v="0"/>
    <n v="0.02"/>
    <n v="4.3682761130304941E-2"/>
    <n v="1"/>
    <n v="4.3682761130304941E-2"/>
    <e v="#N/A"/>
    <e v="#N/A"/>
    <s v="#964B00"/>
    <s v="Ethylene Oxide [0.04] Other #964B00"/>
  </r>
  <r>
    <s v="Ethylene Oxide"/>
    <s v="Polyurethane (PU)"/>
    <m/>
    <x v="3"/>
    <n v="0.03"/>
    <n v="6.5524141695457408E-2"/>
    <n v="1"/>
    <n v="6.5524141695457408E-2"/>
    <e v="#N/A"/>
    <e v="#N/A"/>
    <s v="#0000FF"/>
    <s v="Ethylene Oxide [0.07] Polyurethane (PU) #0000FF"/>
  </r>
  <r>
    <s v="Ethylene Oxide"/>
    <s v="Other"/>
    <m/>
    <x v="0"/>
    <n v="0.06"/>
    <n v="0.13104828339091482"/>
    <n v="1"/>
    <n v="0.13104828339091482"/>
    <e v="#N/A"/>
    <e v="#N/A"/>
    <s v="#964B00"/>
    <s v="Ethylene Oxide [0.13] Other #964B00"/>
  </r>
  <r>
    <s v="Ethylene Dichloride"/>
    <s v="Polyvinylchloride (PVC)"/>
    <m/>
    <x v="3"/>
    <n v="0.96"/>
    <n v="1.797233600789689"/>
    <n v="1"/>
    <n v="1.797233600789689"/>
    <e v="#N/A"/>
    <e v="#N/A"/>
    <s v="#0000FF"/>
    <s v="Ethylene Dichloride [1.8] Polyvinylchloride (PVC) #0000FF"/>
  </r>
  <r>
    <s v="Ethylene Dichloride"/>
    <s v="Other"/>
    <m/>
    <x v="0"/>
    <n v="0.04"/>
    <n v="7.4884733366237036E-2"/>
    <n v="1"/>
    <n v="7.4884733366237036E-2"/>
    <e v="#N/A"/>
    <e v="#N/A"/>
    <s v="#964B00"/>
    <s v="Ethylene Dichloride [0.07] Other #964B00"/>
  </r>
  <r>
    <s v="Ethylbenzene"/>
    <s v="Polystyrene (PS)"/>
    <m/>
    <x v="3"/>
    <n v="0.46529999999999999"/>
    <n v="0.4355483304413762"/>
    <n v="1"/>
    <n v="0.4355483304413762"/>
    <e v="#N/A"/>
    <e v="#N/A"/>
    <s v="#0000FF"/>
    <s v="Ethylbenzene [0.44] Polystyrene (PS) #0000FF"/>
  </r>
  <r>
    <s v="Ethylbenzene"/>
    <s v="Other"/>
    <m/>
    <x v="0"/>
    <n v="0.53469999999999995"/>
    <n v="0.5005108366365868"/>
    <n v="1"/>
    <n v="0.5005108366365868"/>
    <e v="#N/A"/>
    <e v="#N/A"/>
    <s v="#964B00"/>
    <s v="Ethylbenzene [0.5] Other #964B00"/>
  </r>
  <r>
    <s v="Propylene"/>
    <s v="Polypropylene (PP)"/>
    <m/>
    <x v="3"/>
    <n v="0.67"/>
    <n v="10.452660699037255"/>
    <n v="1"/>
    <n v="10.452660699037255"/>
    <e v="#N/A"/>
    <e v="#N/A"/>
    <s v="#0000FF"/>
    <s v="Propylene [10.5] Polypropylene (PP) #0000FF"/>
  </r>
  <r>
    <s v="Propylene"/>
    <s v="Propenic Acid"/>
    <m/>
    <x v="0"/>
    <n v="0.05"/>
    <n v="0.78004930589830257"/>
    <n v="1"/>
    <n v="0.78004930589830257"/>
    <e v="#N/A"/>
    <e v="#N/A"/>
    <s v="#A9A9A9"/>
    <s v="Propylene [0.78] Propenic Acid #A9A9A9"/>
  </r>
  <r>
    <s v="Propylene"/>
    <s v="Propenonitrile"/>
    <m/>
    <x v="0"/>
    <n v="0.06"/>
    <n v="0.93605916707796299"/>
    <n v="1"/>
    <n v="0.93605916707796299"/>
    <e v="#N/A"/>
    <e v="#N/A"/>
    <s v="#A9A9A9"/>
    <s v="Propylene [0.94] Propenonitrile #A9A9A9"/>
  </r>
  <r>
    <s v="Propylene"/>
    <s v="Cumene"/>
    <m/>
    <x v="0"/>
    <n v="0.04"/>
    <n v="0.62403944471864203"/>
    <n v="1"/>
    <n v="0.62403944471864203"/>
    <e v="#N/A"/>
    <e v="#N/A"/>
    <s v="#A9A9A9"/>
    <s v="Propylene [0.62] Cumene #A9A9A9"/>
  </r>
  <r>
    <s v="Propylene"/>
    <s v="Propylene oxide"/>
    <m/>
    <x v="0"/>
    <n v="7.0000000000000007E-2"/>
    <n v="1.0920690282576235"/>
    <n v="1"/>
    <n v="1.0920690282576235"/>
    <e v="#N/A"/>
    <e v="#N/A"/>
    <s v="#A9A9A9"/>
    <s v="Propylene [1.1] Propylene oxide #A9A9A9"/>
  </r>
  <r>
    <s v="Propylene"/>
    <s v="Butanol"/>
    <m/>
    <x v="0"/>
    <n v="0.03"/>
    <n v="0.4680295835389815"/>
    <n v="1"/>
    <n v="0.4680295835389815"/>
    <e v="#N/A"/>
    <e v="#N/A"/>
    <s v="#A9A9A9"/>
    <s v="Propylene [0.47] Butanol #A9A9A9"/>
  </r>
  <r>
    <s v="Propylene"/>
    <s v="Other"/>
    <m/>
    <x v="0"/>
    <n v="0.08"/>
    <n v="1.2480788894372841"/>
    <n v="1"/>
    <n v="1.2480788894372841"/>
    <e v="#N/A"/>
    <e v="#N/A"/>
    <s v="#964B00"/>
    <s v="Propylene [1.2] Other #964B00"/>
  </r>
  <r>
    <s v="Propenic Acid"/>
    <s v="Animal feed additives"/>
    <s v="Other"/>
    <x v="0"/>
    <n v="0.5"/>
    <n v="0.39002465294915128"/>
    <n v="1"/>
    <n v="0.39002465294915128"/>
    <e v="#N/A"/>
    <e v="#N/A"/>
    <s v="#964B00"/>
    <s v="Propenic Acid [0.39] Other #964B00"/>
  </r>
  <r>
    <s v="Propenic Acid"/>
    <s v="Food preservative"/>
    <s v="Other"/>
    <x v="0"/>
    <n v="0.35"/>
    <n v="0.27301725706440588"/>
    <n v="1"/>
    <n v="0.27301725706440588"/>
    <e v="#N/A"/>
    <e v="#N/A"/>
    <s v="#964B00"/>
    <s v="Propenic Acid [0.27] Other #964B00"/>
  </r>
  <r>
    <s v="Propenic Acid"/>
    <s v="Herbicides"/>
    <s v="Other"/>
    <x v="0"/>
    <n v="0.1"/>
    <n v="7.8004930589830268E-2"/>
    <n v="1"/>
    <n v="7.8004930589830268E-2"/>
    <e v="#N/A"/>
    <e v="#N/A"/>
    <s v="#964B00"/>
    <s v="Propenic Acid [0.08] Other #964B00"/>
  </r>
  <r>
    <s v="Propenic Acid"/>
    <s v="Other"/>
    <m/>
    <x v="0"/>
    <n v="0.05"/>
    <n v="3.9002465294915134E-2"/>
    <n v="1"/>
    <n v="3.9002465294915134E-2"/>
    <e v="#N/A"/>
    <e v="#N/A"/>
    <s v="#964B00"/>
    <s v="Propenic Acid [0.04] Other #964B00"/>
  </r>
  <r>
    <s v="Propenonitrile"/>
    <s v="Acrylic fibres"/>
    <s v="Other"/>
    <x v="0"/>
    <n v="0.3"/>
    <n v="0.28081775012338889"/>
    <n v="1"/>
    <n v="0.28081775012338889"/>
    <e v="#N/A"/>
    <e v="#N/A"/>
    <s v="#964B00"/>
    <s v="Propenonitrile [0.28] Other #964B00"/>
  </r>
  <r>
    <s v="Propenonitrile"/>
    <s v="SAN/ABS"/>
    <s v="Other"/>
    <x v="0"/>
    <n v="0.35"/>
    <n v="0.32762070847728703"/>
    <n v="1"/>
    <n v="0.32762070847728703"/>
    <e v="#N/A"/>
    <e v="#N/A"/>
    <s v="#964B00"/>
    <s v="Propenonitrile [0.33] Other #964B00"/>
  </r>
  <r>
    <s v="Propenonitrile"/>
    <s v="Propenamide"/>
    <s v="Other"/>
    <x v="0"/>
    <n v="0.15"/>
    <n v="0.14040887506169444"/>
    <n v="1"/>
    <n v="0.14040887506169444"/>
    <e v="#N/A"/>
    <e v="#N/A"/>
    <s v="#964B00"/>
    <s v="Propenonitrile [0.14] Other #964B00"/>
  </r>
  <r>
    <s v="Propenonitrile"/>
    <s v="Other"/>
    <m/>
    <x v="0"/>
    <n v="0.2"/>
    <n v="0.18721183341559261"/>
    <n v="1"/>
    <n v="0.18721183341559261"/>
    <e v="#N/A"/>
    <e v="#N/A"/>
    <s v="#964B00"/>
    <s v="Propenonitrile [0.19] Other #964B00"/>
  </r>
  <r>
    <s v="Cumene"/>
    <s v="Phenol + Acetone"/>
    <s v="Other"/>
    <x v="0"/>
    <n v="0.98"/>
    <n v="0.61155865582426916"/>
    <n v="1"/>
    <n v="0.61155865582426916"/>
    <e v="#N/A"/>
    <e v="#N/A"/>
    <s v="#964B00"/>
    <s v="Cumene [0.61] Other #964B00"/>
  </r>
  <r>
    <s v="Cumene"/>
    <s v="Other"/>
    <m/>
    <x v="0"/>
    <n v="0.02"/>
    <n v="1.2480788894372841E-2"/>
    <n v="1"/>
    <n v="1.2480788894372841E-2"/>
    <e v="#N/A"/>
    <e v="#N/A"/>
    <s v="#964B00"/>
    <s v="Cumene [0.01] Other #964B00"/>
  </r>
  <r>
    <s v="Propylene oxide"/>
    <s v="Polyurethane (PU)"/>
    <m/>
    <x v="3"/>
    <n v="0.68"/>
    <n v="0.74260693921518406"/>
    <n v="1"/>
    <n v="0.74260693921518406"/>
    <e v="#N/A"/>
    <e v="#N/A"/>
    <s v="#0000FF"/>
    <s v="Propylene oxide [0.74] Polyurethane (PU) #0000FF"/>
  </r>
  <r>
    <s v="Propylene oxide"/>
    <s v="Propylene glycol"/>
    <s v="Other"/>
    <x v="0"/>
    <n v="0.22"/>
    <n v="0.24025518621667719"/>
    <n v="1"/>
    <n v="0.24025518621667719"/>
    <e v="#N/A"/>
    <e v="#N/A"/>
    <s v="#964B00"/>
    <s v="Propylene oxide [0.24] Other #964B00"/>
  </r>
  <r>
    <s v="Propylene oxide"/>
    <s v="Glycol ether"/>
    <s v="Other"/>
    <x v="0"/>
    <n v="0.04"/>
    <n v="4.3682761130304941E-2"/>
    <n v="1"/>
    <n v="4.3682761130304941E-2"/>
    <e v="#N/A"/>
    <e v="#N/A"/>
    <s v="#964B00"/>
    <s v="Propylene oxide [0.04] Other #964B00"/>
  </r>
  <r>
    <s v="Propylene oxide"/>
    <s v="Other"/>
    <m/>
    <x v="0"/>
    <n v="0.06"/>
    <n v="6.5524141695457408E-2"/>
    <n v="1"/>
    <n v="6.5524141695457408E-2"/>
    <e v="#N/A"/>
    <e v="#N/A"/>
    <s v="#964B00"/>
    <s v="Propylene oxide [0.07] Other #964B00"/>
  </r>
  <r>
    <s v="Butanol"/>
    <s v="Other"/>
    <m/>
    <x v="0"/>
    <n v="1"/>
    <n v="0.4680295835389815"/>
    <n v="1"/>
    <n v="0.4680295835389815"/>
    <e v="#N/A"/>
    <e v="#N/A"/>
    <s v="#964B00"/>
    <s v="Butanol [0.47] Other #964B00"/>
  </r>
  <r>
    <s v="Acetic Acid"/>
    <s v="Vinyl acetate monomer (VAM)"/>
    <m/>
    <x v="0"/>
    <m/>
    <n v="2.8771099042794535"/>
    <n v="1"/>
    <n v="2.8771099042794535"/>
    <e v="#N/A"/>
    <e v="#N/A"/>
    <s v="#A9A9A9"/>
    <s v="Acetic Acid [2.9] Vinyl acetate monomer (VAM) #A9A9A9"/>
  </r>
  <r>
    <s v="Acetic Acid"/>
    <s v="Terephthalic acid"/>
    <m/>
    <x v="0"/>
    <m/>
    <n v="1.5104826997467129"/>
    <n v="1"/>
    <n v="1.5104826997467129"/>
    <n v="2.7664690601478719"/>
    <n v="4.1787036547379088"/>
    <s v="#A9A9A9"/>
    <s v="Acetic Acid [1.5] Terephthalic acid #A9A9A9"/>
  </r>
  <r>
    <s v="Acetic Acid"/>
    <s v="Acetate esters"/>
    <s v="Other"/>
    <x v="0"/>
    <m/>
    <n v="0.71927747606986336"/>
    <n v="1"/>
    <n v="0.71927747606986336"/>
    <e v="#N/A"/>
    <e v="#N/A"/>
    <s v="#964B00"/>
    <s v="Acetic Acid [0.72] Other #964B00"/>
  </r>
  <r>
    <s v="Acetic Acid"/>
    <s v="Acetic anhydride"/>
    <s v="Other"/>
    <x v="0"/>
    <m/>
    <n v="0.79120522367684964"/>
    <n v="1"/>
    <n v="0.79120522367684964"/>
    <e v="#N/A"/>
    <e v="#N/A"/>
    <s v="#964B00"/>
    <s v="Acetic Acid [0.79] Other #964B00"/>
  </r>
  <r>
    <s v="Acetic Acid"/>
    <s v="Other"/>
    <m/>
    <x v="0"/>
    <m/>
    <n v="1.2946994569257539"/>
    <n v="1"/>
    <n v="1.2946994569257539"/>
    <e v="#N/A"/>
    <e v="#N/A"/>
    <s v="#964B00"/>
    <s v="Acetic Acid [1.3] Other #964B00"/>
  </r>
  <r>
    <s v="Methanol"/>
    <s v="Methyl Chlorides"/>
    <s v="Other"/>
    <x v="0"/>
    <n v="2.2216780422383169E-2"/>
    <n v="2.2717305672878156"/>
    <n v="1"/>
    <n v="2.2717305672878156"/>
    <e v="#N/A"/>
    <e v="#N/A"/>
    <s v="#964B00"/>
    <s v="Methanol [2.3] Other #964B00"/>
  </r>
  <r>
    <s v="Methanol"/>
    <s v="Methylamines"/>
    <s v="Other"/>
    <x v="0"/>
    <n v="1.5781321174464437E-2"/>
    <n v="1.6136860977433933"/>
    <n v="1"/>
    <n v="1.6136860977433933"/>
    <e v="#N/A"/>
    <e v="#N/A"/>
    <s v="#964B00"/>
    <s v="Methanol [1.6] Other #964B00"/>
  </r>
  <r>
    <s v="Methanol"/>
    <s v="Dimethyl terephthalate (DMT)"/>
    <m/>
    <x v="0"/>
    <n v="4.662655189360548E-3"/>
    <n v="0.47677008625974848"/>
    <n v="1"/>
    <n v="0.47677008625974848"/>
    <n v="6.0608614232209739"/>
    <n v="2.8896374235574456"/>
    <s v="#A9A9A9"/>
    <s v="Methanol [0.48] Dimethyl terephthalate (DMT) #A9A9A9"/>
  </r>
  <r>
    <s v="Methanol"/>
    <s v="Methanethiol"/>
    <s v="Other"/>
    <x v="0"/>
    <n v="4.9435021407774277E-3"/>
    <n v="0.50548750580180479"/>
    <n v="1"/>
    <n v="0.50548750580180479"/>
    <e v="#N/A"/>
    <e v="#N/A"/>
    <s v="#964B00"/>
    <s v="Methanol [0.51] Other #964B00"/>
  </r>
  <r>
    <s v="Methyl Methacrylate (MMA)"/>
    <s v="Polymethyl methacrylate (PMMA)"/>
    <m/>
    <x v="2"/>
    <m/>
    <n v="1.772842341876246"/>
    <n v="1"/>
    <n v="1.772842341876246"/>
    <e v="#N/A"/>
    <e v="#N/A"/>
    <s v="#FFFF00"/>
    <s v="Methyl Methacrylate (MMA) [1.8] Polymethyl methacrylate (PMMA) #FFFF00"/>
  </r>
  <r>
    <s v="Vinyl acetate monomer (VAM)"/>
    <s v="Polyvinyl acetate (PVA)"/>
    <m/>
    <x v="2"/>
    <n v="0.37"/>
    <n v="1.0645306645833978"/>
    <n v="1"/>
    <n v="1.0645306645833978"/>
    <e v="#N/A"/>
    <e v="#N/A"/>
    <s v="#FFFF00"/>
    <s v="Vinyl acetate monomer (VAM) [1.1] Polyvinyl acetate (PVA) #FFFF00"/>
  </r>
  <r>
    <s v="Vinyl acetate monomer (VAM)"/>
    <s v="Other"/>
    <m/>
    <x v="0"/>
    <n v="0.63"/>
    <n v="1.8125792396960556"/>
    <n v="1"/>
    <n v="1.8125792396960556"/>
    <e v="#N/A"/>
    <e v="#N/A"/>
    <s v="#964B00"/>
    <s v="Vinyl acetate monomer (VAM) [1.8] Other #964B00"/>
  </r>
  <r>
    <s v="Terephthalic acid"/>
    <s v="Polyethylene terephthalate (PET)"/>
    <m/>
    <x v="3"/>
    <n v="0.9"/>
    <n v="1.3594344297720415"/>
    <n v="1"/>
    <n v="1.3594344297720415"/>
    <n v="1.1569113716803505"/>
    <n v="1.5727451508570678"/>
    <s v="#0000FF"/>
    <s v="Terephthalic acid [1.4] Polyethylene terephthalate (PET) #0000FF"/>
  </r>
  <r>
    <s v="Terephthalic acid"/>
    <s v="Other"/>
    <m/>
    <x v="0"/>
    <n v="9.9999999999999978E-2"/>
    <n v="0.15104826997467125"/>
    <n v="1"/>
    <n v="0.15104826997467125"/>
    <e v="#N/A"/>
    <e v="#N/A"/>
    <s v="#964B00"/>
    <s v="Terephthalic acid [0.15] Other #964B00"/>
  </r>
  <r>
    <s v="Dimethyl terephthalate (DMT)"/>
    <s v="Polyethylene terephthalate (PET)"/>
    <m/>
    <x v="3"/>
    <m/>
    <n v="0.42438915566653618"/>
    <n v="1"/>
    <n v="0.42438915566653618"/>
    <n v="0.98975230444410101"/>
    <n v="0.42004014480204049"/>
    <s v="#0000FF"/>
    <s v="Dimethyl terephthalate (DMT) [0.42] Polyethylene terephthalate (PET) #0000FF"/>
  </r>
  <r>
    <s v="Dimethyl terephthalate (DMT)"/>
    <s v="Other"/>
    <m/>
    <x v="0"/>
    <m/>
    <n v="5.2380930593212353E-2"/>
    <n v="1"/>
    <n v="5.2380930593212353E-2"/>
    <e v="#N/A"/>
    <e v="#N/A"/>
    <s v="#964B00"/>
    <s v="Dimethyl terephthalate (DMT) [0.05] Other #964B00"/>
  </r>
  <r>
    <s v="Methylene diphenyl diisocyanate"/>
    <s v="Polyurethane (PU)"/>
    <m/>
    <x v="3"/>
    <n v="0.95"/>
    <n v="1.1298928174736835"/>
    <n v="1"/>
    <n v="1.1298928174736835"/>
    <e v="#N/A"/>
    <e v="#N/A"/>
    <s v="#0000FF"/>
    <s v="Methylene diphenyl diisocyanate [1.1] Polyurethane (PU) #0000FF"/>
  </r>
  <r>
    <s v="Methylene diphenyl diisocyanate"/>
    <s v="Other"/>
    <m/>
    <x v="0"/>
    <n v="0.05"/>
    <n v="5.9468043024930722E-2"/>
    <n v="1"/>
    <n v="5.9468043024930722E-2"/>
    <e v="#N/A"/>
    <e v="#N/A"/>
    <s v="#964B00"/>
    <s v="Methylene diphenyl diisocyanate [0.06] Other #964B00"/>
  </r>
  <r>
    <s v="1,4-butanediol"/>
    <s v="THF"/>
    <s v="Other"/>
    <x v="0"/>
    <n v="0.5"/>
    <n v="0.59468043024930717"/>
    <n v="1"/>
    <n v="0.59468043024930717"/>
    <e v="#N/A"/>
    <e v="#N/A"/>
    <s v="#964B00"/>
    <s v="1,4-butanediol [0.59] Other #964B00"/>
  </r>
  <r>
    <s v="1,4-butanediol"/>
    <s v="Other"/>
    <m/>
    <x v="0"/>
    <n v="0.5"/>
    <n v="0.59468043024930717"/>
    <n v="1"/>
    <n v="0.59468043024930717"/>
    <e v="#N/A"/>
    <e v="#N/A"/>
    <s v="#964B00"/>
    <s v="1,4-butanediol [0.59] Other #964B00"/>
  </r>
  <r>
    <s v="Ethylene glycol"/>
    <s v="Polyethylene terephthalate (PET)"/>
    <m/>
    <x v="3"/>
    <n v="0.7"/>
    <n v="1.024360748505651"/>
    <n v="1"/>
    <n v="1.024360748505651"/>
    <n v="3.0965039471564362"/>
    <n v="3.1719371010598696"/>
    <s v="#0000FF"/>
    <s v="Ethylene glycol [1] Polyethylene terephthalate (PET) #0000FF"/>
  </r>
  <r>
    <s v="Ethylene glycol"/>
    <s v="Other"/>
    <m/>
    <x v="0"/>
    <n v="0.30000000000000004"/>
    <n v="0.43901174935956477"/>
    <n v="1"/>
    <n v="0.43901174935956477"/>
    <e v="#N/A"/>
    <e v="#N/A"/>
    <s v="#964B00"/>
    <s v="Ethylene glycol [0.44] Other #964B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2FB62-8BA0-4631-8994-1D7EACB6C0E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14:R19" firstHeaderRow="1" firstDataRow="1" firstDataCol="1"/>
  <pivotFields count="12"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dataField="1" showAll="0"/>
    <pivotField numFmtId="174" showAll="0"/>
    <pivotField numFmtId="174"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mount (Mt Methano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9CA6D-AD38-49CA-86D7-ED3C4D4F1BE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31:R93" firstHeaderRow="1" firstDataRow="1" firstDataCol="1"/>
  <pivotFields count="10">
    <pivotField showAll="0"/>
    <pivotField axis="axisRow" showAll="0">
      <items count="62">
        <item x="0"/>
        <item x="2"/>
        <item x="3"/>
        <item x="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showAll="0"/>
    <pivotField showAll="0"/>
    <pivotField showAll="0"/>
    <pivotField dataField="1" showAll="0"/>
    <pivotField numFmtId="174" showAll="0"/>
    <pivotField numFmtId="174" showAll="0"/>
    <pivotField showAll="0"/>
    <pivotField showAll="0"/>
  </pivotFields>
  <rowFields count="1">
    <field x="1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Amount (Mt Methano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1-08-23T15:21:28.51" personId="{A0EE1085-424D-4793-96CE-2B3CC27F8D15}" id="{6ABB56AA-F2C7-4804-8D1E-BDF5F359084E}">
    <text>What is NBM?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www.customs.go.jp/toukei/search/futsu1.htm" TargetMode="External"/><Relationship Id="rId7" Type="http://schemas.openxmlformats.org/officeDocument/2006/relationships/hyperlink" Target="https://www.customs.go.jp/toukei/srch/index.htm?M=29&amp;P=0" TargetMode="External"/><Relationship Id="rId2" Type="http://schemas.openxmlformats.org/officeDocument/2006/relationships/hyperlink" Target="https://www.meti.go.jp/statistics/tyo/seidou/result/ichiran/resourceData/02_kagaku/nenpo/h2dbb2019k.xls" TargetMode="External"/><Relationship Id="rId1" Type="http://schemas.openxmlformats.org/officeDocument/2006/relationships/hyperlink" Target="https://www.meti.go.jp/statistics/tyo/seidou/result/ichiran/08_seidou.html" TargetMode="External"/><Relationship Id="rId6" Type="http://schemas.openxmlformats.org/officeDocument/2006/relationships/hyperlink" Target="https://www.customs.go.jp/toukei/srch/index.htm?M=35&amp;P=0" TargetMode="External"/><Relationship Id="rId5" Type="http://schemas.openxmlformats.org/officeDocument/2006/relationships/hyperlink" Target="https://www.customs.go.jp/tariff/2019_4/index.htm" TargetMode="External"/><Relationship Id="rId4" Type="http://schemas.openxmlformats.org/officeDocument/2006/relationships/hyperlink" Target="https://www.customs.go.jp/toukei/sankou/code/GH201904i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marketresearchfuture.com/reports/ethylene-dichloride-market-2509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tatista.com/statistics/720296/global-polyvinyl-chloride-market-size-in-tons/" TargetMode="External"/><Relationship Id="rId2" Type="http://schemas.openxmlformats.org/officeDocument/2006/relationships/hyperlink" Target="https://www.marketresearchfuture.com/reports/ethylene-dichloride-market-2509" TargetMode="External"/><Relationship Id="rId1" Type="http://schemas.openxmlformats.org/officeDocument/2006/relationships/hyperlink" Target="https://www.iea.org/reports/the-future-of-petrochemicals" TargetMode="External"/><Relationship Id="rId4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micalsafetyfacts.org/cumene/" TargetMode="External"/><Relationship Id="rId2" Type="http://schemas.openxmlformats.org/officeDocument/2006/relationships/hyperlink" Target="https://www.essentialchemicalindustry.org/polymers/polypropenonitrile.html" TargetMode="External"/><Relationship Id="rId1" Type="http://schemas.openxmlformats.org/officeDocument/2006/relationships/hyperlink" Target="https://ihsmarkit.com/products/propionic-acid-chemical-economics-handbook.html" TargetMode="Externa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www.researchgate.net/figure/Common-propylene-oxide-uses_fig1_269517484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marketersmedia.com/phthalic-anhydride-market-size-industry-survey-competitive-trends-outlook-and-forecasts-2019-to-2023/88920301" TargetMode="External"/><Relationship Id="rId2" Type="http://schemas.openxmlformats.org/officeDocument/2006/relationships/hyperlink" Target="https://www.mordorintelligence.com/industry-reports/ortho-xylene-market" TargetMode="External"/><Relationship Id="rId1" Type="http://schemas.openxmlformats.org/officeDocument/2006/relationships/hyperlink" Target="https://marketersmedia.com/toluene-market-global-price-trend-2019-demand-overview-report-size-estimation-industry-share-business-opportunity-and-growth-forecast-2023/467668" TargetMode="External"/><Relationship Id="rId4" Type="http://schemas.openxmlformats.org/officeDocument/2006/relationships/hyperlink" Target="https://www.mordorintelligence.com/industry-reports/meta-xylene-market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europe.org/wp-content/uploads/files/about-wind/reports/WindEurope-Accelerating-wind-turbine-blade-circularity.pdf" TargetMode="External"/><Relationship Id="rId2" Type="http://schemas.openxmlformats.org/officeDocument/2006/relationships/hyperlink" Target="https://www.plasticsinsight.com/resin-intelligence/resin-prices/ethylene-vinyl-acetate/" TargetMode="External"/><Relationship Id="rId1" Type="http://schemas.openxmlformats.org/officeDocument/2006/relationships/hyperlink" Target="https://eitrawmaterials.eu/wp-content/uploads/2020/04/rms_for_wind_and_solar_published_v2.pdf" TargetMode="External"/><Relationship Id="rId4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eitrawmaterials.eu/wp-content/uploads/2020/04/rms_for_wind_and_solar_published_v2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advances.sciencemag.org/content/advances/suppl/2017/07/17/3.7.e1700782.DC1/1700782_SM.pdf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cdn.odi.org/media/documents/odi-et-cp-construction-report-sep20-proof04_final2.pdf" TargetMode="External"/><Relationship Id="rId2" Type="http://schemas.openxmlformats.org/officeDocument/2006/relationships/hyperlink" Target="https://cdn.odi.org/media/documents/odi-et-cp-construction-report-sep20-proof04_final2.pdf" TargetMode="External"/><Relationship Id="rId1" Type="http://schemas.openxmlformats.org/officeDocument/2006/relationships/hyperlink" Target="https://cdn.odi.org/media/documents/odi-et-cp-construction-report-sep20-proof04_final2.pdf" TargetMode="External"/><Relationship Id="rId4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cdn.odi.org/media/documents/odi-et-cp-automotive-report-sep20-proof02_final2.pdf" TargetMode="External"/><Relationship Id="rId2" Type="http://schemas.openxmlformats.org/officeDocument/2006/relationships/hyperlink" Target="https://cdn.odi.org/media/documents/odi-et-cp-automotive-report-sep20-proof02_final2.pdf" TargetMode="External"/><Relationship Id="rId1" Type="http://schemas.openxmlformats.org/officeDocument/2006/relationships/hyperlink" Target="https://cdn.odi.org/media/documents/odi-et-cp-automotive-report-sep20-proof02_final2.pdf" TargetMode="External"/><Relationship Id="rId5" Type="http://schemas.openxmlformats.org/officeDocument/2006/relationships/drawing" Target="../drawings/drawing9.xml"/><Relationship Id="rId4" Type="http://schemas.openxmlformats.org/officeDocument/2006/relationships/hyperlink" Target="https://cdn.odi.org/media/documents/odi-et-cp-automotive-report-sep20-proof02_final2.pdf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kinsey.com/~/media/mckinsey/industries/retail/our%20insights/fashion%20on%20climate/fashion-on-climate-full-report.pdf" TargetMode="External"/><Relationship Id="rId2" Type="http://schemas.openxmlformats.org/officeDocument/2006/relationships/hyperlink" Target="https://www.mckinsey.com/~/media/mckinsey/industries/retail/our%20insights/fashion%20on%20climate/fashion-on-climate-full-report.pdf" TargetMode="External"/><Relationship Id="rId1" Type="http://schemas.openxmlformats.org/officeDocument/2006/relationships/hyperlink" Target="https://www.mckinsey.com/~/media/mckinsey/industries/retail/our%20insights/fashion%20on%20climate/fashion-on-climate-full-report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Relationship Id="rId4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Relationship Id="rId4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Relationship Id="rId4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wrap.org.uk/sites/default/files/2020-10/WRAP_Plastics_market_situation_report.pdf" TargetMode="External"/><Relationship Id="rId1" Type="http://schemas.openxmlformats.org/officeDocument/2006/relationships/hyperlink" Target="https://wrap.org.uk/sites/default/files/2020-10/WRAP_Plastics_market_situation_report.pdf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www.goldsteinresearch.com/report/global-tire-recycling-industry-market-trends-analysis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www.goldsteinresearch.com/report/global-tire-recycling-industry-market-trends-analysis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2FF7-159F-4A54-9D94-7048CCF0514D}">
  <sheetPr>
    <tabColor rgb="FFFF0000"/>
  </sheetPr>
  <dimension ref="A1:B19"/>
  <sheetViews>
    <sheetView topLeftCell="A3" workbookViewId="0">
      <selection sqref="A1:B19"/>
    </sheetView>
  </sheetViews>
  <sheetFormatPr defaultRowHeight="14.75"/>
  <cols>
    <col min="1" max="1" width="87" customWidth="1"/>
    <col min="2" max="2" width="66.26953125" bestFit="1" customWidth="1"/>
  </cols>
  <sheetData>
    <row r="1" spans="1:2" ht="30" customHeight="1">
      <c r="A1" s="618" t="s">
        <v>1451</v>
      </c>
    </row>
    <row r="2" spans="1:2" ht="73.75">
      <c r="A2" s="619" t="s">
        <v>1452</v>
      </c>
    </row>
    <row r="4" spans="1:2">
      <c r="A4" s="620"/>
      <c r="B4" s="621"/>
    </row>
    <row r="5" spans="1:2">
      <c r="A5" s="1" t="s">
        <v>1426</v>
      </c>
      <c r="B5" s="1" t="s">
        <v>1427</v>
      </c>
    </row>
    <row r="6" spans="1:2">
      <c r="A6" t="s">
        <v>1428</v>
      </c>
      <c r="B6" t="s">
        <v>1429</v>
      </c>
    </row>
    <row r="7" spans="1:2">
      <c r="A7" t="s">
        <v>1430</v>
      </c>
      <c r="B7" t="s">
        <v>1431</v>
      </c>
    </row>
    <row r="8" spans="1:2">
      <c r="A8" t="s">
        <v>1432</v>
      </c>
      <c r="B8" t="s">
        <v>1433</v>
      </c>
    </row>
    <row r="9" spans="1:2">
      <c r="A9" t="s">
        <v>1434</v>
      </c>
      <c r="B9" t="s">
        <v>1435</v>
      </c>
    </row>
    <row r="10" spans="1:2">
      <c r="A10" t="s">
        <v>1436</v>
      </c>
      <c r="B10" t="s">
        <v>1437</v>
      </c>
    </row>
    <row r="11" spans="1:2">
      <c r="A11" t="s">
        <v>1438</v>
      </c>
      <c r="B11" t="s">
        <v>1439</v>
      </c>
    </row>
    <row r="12" spans="1:2">
      <c r="A12" t="s">
        <v>1440</v>
      </c>
      <c r="B12" t="s">
        <v>1441</v>
      </c>
    </row>
    <row r="13" spans="1:2">
      <c r="A13" t="s">
        <v>1442</v>
      </c>
      <c r="B13" t="s">
        <v>1443</v>
      </c>
    </row>
    <row r="14" spans="1:2">
      <c r="A14" t="s">
        <v>1444</v>
      </c>
      <c r="B14" t="s">
        <v>1445</v>
      </c>
    </row>
    <row r="15" spans="1:2">
      <c r="A15" t="s">
        <v>1446</v>
      </c>
      <c r="B15" t="s">
        <v>1447</v>
      </c>
    </row>
    <row r="17" spans="1:1">
      <c r="A17" s="628" t="s">
        <v>1449</v>
      </c>
    </row>
    <row r="18" spans="1:1">
      <c r="A18" s="47" t="s">
        <v>1448</v>
      </c>
    </row>
    <row r="19" spans="1:1">
      <c r="A19" t="s">
        <v>1450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9D7C-3889-4C62-A2DB-7F16243DA2AF}">
  <sheetPr>
    <tabColor theme="9"/>
  </sheetPr>
  <dimension ref="A1:CT30"/>
  <sheetViews>
    <sheetView workbookViewId="0">
      <selection activeCell="AI22" sqref="AI22"/>
    </sheetView>
  </sheetViews>
  <sheetFormatPr defaultRowHeight="14.75" outlineLevelCol="1"/>
  <cols>
    <col min="1" max="1" width="25.453125" customWidth="1"/>
    <col min="5" max="13" width="8.7265625" hidden="1" customWidth="1" outlineLevel="1"/>
    <col min="14" max="14" width="8.7265625" collapsed="1"/>
    <col min="15" max="23" width="8.7265625" hidden="1" customWidth="1" outlineLevel="1"/>
    <col min="24" max="24" width="8.7265625" collapsed="1"/>
    <col min="25" max="33" width="8.7265625" hidden="1" customWidth="1" outlineLevel="1"/>
    <col min="34" max="34" width="8.7265625" collapsed="1"/>
    <col min="36" max="36" width="11.54296875" bestFit="1" customWidth="1"/>
    <col min="37" max="45" width="0" hidden="1" customWidth="1" outlineLevel="1"/>
    <col min="46" max="46" width="8.7265625" collapsed="1"/>
    <col min="47" max="55" width="0" hidden="1" customWidth="1" outlineLevel="1"/>
    <col min="56" max="56" width="8.7265625" collapsed="1"/>
    <col min="57" max="65" width="0" hidden="1" customWidth="1" outlineLevel="1"/>
    <col min="66" max="66" width="8.7265625" collapsed="1"/>
    <col min="67" max="67" width="8.7265625" customWidth="1"/>
    <col min="69" max="77" width="0" hidden="1" customWidth="1" outlineLevel="1"/>
    <col min="78" max="78" width="8.7265625" collapsed="1"/>
    <col min="79" max="87" width="0" hidden="1" customWidth="1" outlineLevel="1"/>
    <col min="88" max="88" width="8.7265625" collapsed="1"/>
    <col min="89" max="97" width="0" hidden="1" customWidth="1" outlineLevel="1"/>
    <col min="98" max="98" width="8.7265625" collapsed="1"/>
  </cols>
  <sheetData>
    <row r="1" spans="1:98">
      <c r="A1" s="1"/>
      <c r="B1" s="1"/>
      <c r="D1" s="601" t="s">
        <v>1069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J1" s="601" t="s">
        <v>1070</v>
      </c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1"/>
      <c r="AY1" s="601"/>
      <c r="AZ1" s="601"/>
      <c r="BA1" s="601"/>
      <c r="BB1" s="601"/>
      <c r="BC1" s="601"/>
      <c r="BD1" s="601"/>
      <c r="BE1" s="601"/>
      <c r="BF1" s="601"/>
      <c r="BG1" s="601"/>
      <c r="BH1" s="601"/>
      <c r="BI1" s="601"/>
      <c r="BJ1" s="601"/>
      <c r="BK1" s="601"/>
      <c r="BL1" s="601"/>
      <c r="BM1" s="601"/>
      <c r="BN1" s="601"/>
      <c r="BP1" s="601" t="s">
        <v>1383</v>
      </c>
      <c r="BQ1" s="601"/>
      <c r="BR1" s="601"/>
      <c r="BS1" s="601"/>
      <c r="BT1" s="601"/>
      <c r="BU1" s="601"/>
      <c r="BV1" s="601"/>
      <c r="BW1" s="601"/>
      <c r="BX1" s="601"/>
      <c r="BY1" s="601"/>
      <c r="BZ1" s="601"/>
      <c r="CA1" s="601"/>
      <c r="CB1" s="601"/>
      <c r="CC1" s="601"/>
      <c r="CD1" s="601"/>
      <c r="CE1" s="601"/>
      <c r="CF1" s="601"/>
      <c r="CG1" s="601"/>
      <c r="CH1" s="601"/>
      <c r="CI1" s="601"/>
      <c r="CJ1" s="601"/>
      <c r="CK1" s="601"/>
      <c r="CL1" s="601"/>
      <c r="CM1" s="601"/>
      <c r="CN1" s="601"/>
      <c r="CO1" s="601"/>
      <c r="CP1" s="601"/>
      <c r="CQ1" s="601"/>
      <c r="CR1" s="601"/>
      <c r="CS1" s="601"/>
      <c r="CT1" s="601"/>
    </row>
    <row r="2" spans="1:98" s="49" customFormat="1">
      <c r="A2" s="48" t="s">
        <v>1380</v>
      </c>
      <c r="B2" s="48"/>
      <c r="C2" s="48"/>
    </row>
    <row r="3" spans="1:98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  <c r="BP3" s="1">
        <v>2020</v>
      </c>
      <c r="BQ3" s="1">
        <f>BP3+1</f>
        <v>2021</v>
      </c>
      <c r="BR3" s="1">
        <f t="shared" ref="BR3" si="5">BQ3+1</f>
        <v>2022</v>
      </c>
      <c r="BS3" s="1">
        <f t="shared" ref="BS3" si="6">BR3+1</f>
        <v>2023</v>
      </c>
      <c r="BT3" s="1">
        <f t="shared" ref="BT3" si="7">BS3+1</f>
        <v>2024</v>
      </c>
      <c r="BU3" s="1">
        <f t="shared" ref="BU3" si="8">BT3+1</f>
        <v>2025</v>
      </c>
      <c r="BV3" s="1">
        <f t="shared" ref="BV3" si="9">BU3+1</f>
        <v>2026</v>
      </c>
      <c r="BW3" s="1">
        <f t="shared" ref="BW3" si="10">BV3+1</f>
        <v>2027</v>
      </c>
      <c r="BX3" s="1">
        <f t="shared" ref="BX3" si="11">BW3+1</f>
        <v>2028</v>
      </c>
      <c r="BY3" s="1">
        <f t="shared" ref="BY3" si="12">BX3+1</f>
        <v>2029</v>
      </c>
      <c r="BZ3" s="1">
        <f t="shared" ref="BZ3" si="13">BY3+1</f>
        <v>2030</v>
      </c>
      <c r="CA3" s="1">
        <f t="shared" ref="CA3" si="14">BZ3+1</f>
        <v>2031</v>
      </c>
      <c r="CB3" s="1">
        <f t="shared" ref="CB3" si="15">CA3+1</f>
        <v>2032</v>
      </c>
      <c r="CC3" s="1">
        <f t="shared" ref="CC3" si="16">CB3+1</f>
        <v>2033</v>
      </c>
      <c r="CD3" s="1">
        <f>CC3+1</f>
        <v>2034</v>
      </c>
      <c r="CE3" s="1">
        <f t="shared" ref="CE3" si="17">CD3+1</f>
        <v>2035</v>
      </c>
      <c r="CF3" s="1">
        <f t="shared" ref="CF3" si="18">CE3+1</f>
        <v>2036</v>
      </c>
      <c r="CG3" s="1">
        <f t="shared" ref="CG3" si="19">CF3+1</f>
        <v>2037</v>
      </c>
      <c r="CH3" s="1">
        <f t="shared" ref="CH3" si="20">CG3+1</f>
        <v>2038</v>
      </c>
      <c r="CI3" s="1">
        <f t="shared" ref="CI3" si="21">CH3+1</f>
        <v>2039</v>
      </c>
      <c r="CJ3" s="1">
        <f t="shared" ref="CJ3" si="22">CI3+1</f>
        <v>2040</v>
      </c>
      <c r="CK3" s="1">
        <f t="shared" ref="CK3" si="23">CJ3+1</f>
        <v>2041</v>
      </c>
      <c r="CL3" s="1">
        <f t="shared" ref="CL3" si="24">CK3+1</f>
        <v>2042</v>
      </c>
      <c r="CM3" s="1">
        <f t="shared" ref="CM3" si="25">CL3+1</f>
        <v>2043</v>
      </c>
      <c r="CN3" s="1">
        <f t="shared" ref="CN3" si="26">CM3+1</f>
        <v>2044</v>
      </c>
      <c r="CO3" s="1">
        <f>CN3+1</f>
        <v>2045</v>
      </c>
      <c r="CP3" s="1">
        <f t="shared" ref="CP3" si="27">CO3+1</f>
        <v>2046</v>
      </c>
      <c r="CQ3" s="1">
        <f t="shared" ref="CQ3" si="28">CP3+1</f>
        <v>2047</v>
      </c>
      <c r="CR3" s="1">
        <f t="shared" ref="CR3" si="29">CQ3+1</f>
        <v>2048</v>
      </c>
      <c r="CS3" s="1">
        <f>CR3+1</f>
        <v>2049</v>
      </c>
      <c r="CT3" s="1">
        <f t="shared" ref="CT3" si="30">CS3+1</f>
        <v>2050</v>
      </c>
    </row>
    <row r="4" spans="1:98" s="466" customFormat="1">
      <c r="A4" s="462" t="s">
        <v>1381</v>
      </c>
      <c r="B4" s="463"/>
      <c r="C4" s="464" t="s">
        <v>171</v>
      </c>
      <c r="D4" s="465">
        <f>'Ethylene Recycling HC'!C47+'Propylene Recycling HC'!C47+'Methanol Recycling HC'!C44+'BTX Recycling HC'!C44+'Butadiene Recycling HC'!C44</f>
        <v>7698686.9500343818</v>
      </c>
      <c r="E4" s="465">
        <f>'Ethylene Recycling HC'!D47+'Propylene Recycling HC'!D47+'Methanol Recycling HC'!D44+'BTX Recycling HC'!D44+'Butadiene Recycling HC'!D44</f>
        <v>7624987.1235640366</v>
      </c>
      <c r="F4" s="465">
        <f>'Ethylene Recycling HC'!E47+'Propylene Recycling HC'!E47+'Methanol Recycling HC'!E44+'BTX Recycling HC'!E44+'Butadiene Recycling HC'!E44</f>
        <v>7549367.717973195</v>
      </c>
      <c r="G4" s="465">
        <f>'Ethylene Recycling HC'!F47+'Propylene Recycling HC'!F47+'Methanol Recycling HC'!F44+'BTX Recycling HC'!F44+'Butadiene Recycling HC'!F44</f>
        <v>7475146.315402667</v>
      </c>
      <c r="H4" s="465">
        <f>'Ethylene Recycling HC'!G47+'Propylene Recycling HC'!G47+'Methanol Recycling HC'!G44+'BTX Recycling HC'!G44+'Butadiene Recycling HC'!G44</f>
        <v>7401215.8204427538</v>
      </c>
      <c r="I4" s="465">
        <f>'Ethylene Recycling HC'!H47+'Propylene Recycling HC'!H47+'Methanol Recycling HC'!H44+'BTX Recycling HC'!H44+'Butadiene Recycling HC'!H44</f>
        <v>7327575.3104024259</v>
      </c>
      <c r="J4" s="465">
        <f>'Ethylene Recycling HC'!I47+'Propylene Recycling HC'!I47+'Methanol Recycling HC'!I44+'BTX Recycling HC'!I44+'Butadiene Recycling HC'!I44</f>
        <v>7227737.606316179</v>
      </c>
      <c r="K4" s="465">
        <f>'Ethylene Recycling HC'!J47+'Propylene Recycling HC'!J47+'Methanol Recycling HC'!J44+'BTX Recycling HC'!J44+'Butadiene Recycling HC'!J44</f>
        <v>7128304.9905247288</v>
      </c>
      <c r="L4" s="465">
        <f>'Ethylene Recycling HC'!K47+'Propylene Recycling HC'!K47+'Methanol Recycling HC'!K44+'BTX Recycling HC'!K44+'Butadiene Recycling HC'!K44</f>
        <v>7029276.1610503644</v>
      </c>
      <c r="M4" s="465">
        <f>'Ethylene Recycling HC'!L47+'Propylene Recycling HC'!L47+'Methanol Recycling HC'!L44+'BTX Recycling HC'!L44+'Butadiene Recycling HC'!L44</f>
        <v>6930649.819689652</v>
      </c>
      <c r="N4" s="465">
        <f>'Ethylene Recycling HC'!M47+'Propylene Recycling HC'!M47+'Methanol Recycling HC'!M44+'BTX Recycling HC'!M44+'Butadiene Recycling HC'!M44</f>
        <v>6832424.6720031202</v>
      </c>
      <c r="O4" s="465">
        <f>'Ethylene Recycling HC'!N47+'Propylene Recycling HC'!N47+'Methanol Recycling HC'!N44+'BTX Recycling HC'!N44+'Butadiene Recycling HC'!N44</f>
        <v>6707924.7832786338</v>
      </c>
      <c r="P4" s="465">
        <f>'Ethylene Recycling HC'!O47+'Propylene Recycling HC'!O47+'Methanol Recycling HC'!O44+'BTX Recycling HC'!O44+'Butadiene Recycling HC'!O44</f>
        <v>6594480.3412818201</v>
      </c>
      <c r="Q4" s="465">
        <f>'Ethylene Recycling HC'!P47+'Propylene Recycling HC'!P47+'Methanol Recycling HC'!P44+'BTX Recycling HC'!P44+'Butadiene Recycling HC'!P44</f>
        <v>6471702.470757544</v>
      </c>
      <c r="R4" s="465">
        <f>'Ethylene Recycling HC'!Q47+'Propylene Recycling HC'!Q47+'Methanol Recycling HC'!Q44+'BTX Recycling HC'!Q44+'Butadiene Recycling HC'!Q44</f>
        <v>6349432.6473541139</v>
      </c>
      <c r="S4" s="465">
        <f>'Ethylene Recycling HC'!R47+'Propylene Recycling HC'!R47+'Methanol Recycling HC'!R44+'BTX Recycling HC'!R44+'Butadiene Recycling HC'!R44</f>
        <v>6227669.2396311872</v>
      </c>
      <c r="T4" s="465">
        <f>'Ethylene Recycling HC'!S47+'Propylene Recycling HC'!S47+'Methanol Recycling HC'!S44+'BTX Recycling HC'!S44+'Butadiene Recycling HC'!S44</f>
        <v>6109352.680349702</v>
      </c>
      <c r="U4" s="465">
        <f>'Ethylene Recycling HC'!T47+'Propylene Recycling HC'!T47+'Methanol Recycling HC'!T44+'BTX Recycling HC'!T44+'Butadiene Recycling HC'!T44</f>
        <v>5991526.2982552424</v>
      </c>
      <c r="V4" s="465">
        <f>'Ethylene Recycling HC'!U47+'Propylene Recycling HC'!U47+'Methanol Recycling HC'!U44+'BTX Recycling HC'!U44+'Butadiene Recycling HC'!U44</f>
        <v>5874188.5189159848</v>
      </c>
      <c r="W4" s="465">
        <f>'Ethylene Recycling HC'!V47+'Propylene Recycling HC'!V47+'Methanol Recycling HC'!V44+'BTX Recycling HC'!V44+'Butadiene Recycling HC'!V44</f>
        <v>5757337.7724135453</v>
      </c>
      <c r="X4" s="465">
        <f>'Ethylene Recycling HC'!W47+'Propylene Recycling HC'!W47+'Methanol Recycling HC'!W44+'BTX Recycling HC'!W44+'Butadiene Recycling HC'!W44</f>
        <v>5640972.4933308642</v>
      </c>
      <c r="Y4" s="465">
        <f>'Ethylene Recycling HC'!X47+'Propylene Recycling HC'!X47+'Methanol Recycling HC'!X44+'BTX Recycling HC'!X44+'Butadiene Recycling HC'!X44</f>
        <v>5548923.509952005</v>
      </c>
      <c r="Z4" s="465">
        <f>'Ethylene Recycling HC'!Y47+'Propylene Recycling HC'!Y47+'Methanol Recycling HC'!Y44+'BTX Recycling HC'!Y44+'Butadiene Recycling HC'!Y44</f>
        <v>5456088.4934231304</v>
      </c>
      <c r="AA4" s="465">
        <f>'Ethylene Recycling HC'!Z47+'Propylene Recycling HC'!Z47+'Methanol Recycling HC'!Z44+'BTX Recycling HC'!Z44+'Butadiene Recycling HC'!Z44</f>
        <v>5361145.3859234825</v>
      </c>
      <c r="AB4" s="465">
        <f>'Ethylene Recycling HC'!AA47+'Propylene Recycling HC'!AA47+'Methanol Recycling HC'!AA44+'BTX Recycling HC'!AA44+'Butadiene Recycling HC'!AA44</f>
        <v>5266584.0399079034</v>
      </c>
      <c r="AC4" s="465">
        <f>'Ethylene Recycling HC'!AB47+'Propylene Recycling HC'!AB47+'Methanol Recycling HC'!AB44+'BTX Recycling HC'!AB44+'Butadiene Recycling HC'!AB44</f>
        <v>5172403.4573839614</v>
      </c>
      <c r="AD4" s="465">
        <f>'Ethylene Recycling HC'!AC47+'Propylene Recycling HC'!AC47+'Methanol Recycling HC'!AC44+'BTX Recycling HC'!AC44+'Butadiene Recycling HC'!AC44</f>
        <v>5076707.7791039487</v>
      </c>
      <c r="AE4" s="465">
        <f>'Ethylene Recycling HC'!AD47+'Propylene Recycling HC'!AD47+'Methanol Recycling HC'!AD44+'BTX Recycling HC'!AD44+'Butadiene Recycling HC'!AD44</f>
        <v>4981399.2392522637</v>
      </c>
      <c r="AF4" s="465">
        <f>'Ethylene Recycling HC'!AE47+'Propylene Recycling HC'!AE47+'Methanol Recycling HC'!AE44+'BTX Recycling HC'!AE44+'Butadiene Recycling HC'!AE44</f>
        <v>4886476.8169534113</v>
      </c>
      <c r="AG4" s="465">
        <f>'Ethylene Recycling HC'!AF47+'Propylene Recycling HC'!AF47+'Methanol Recycling HC'!AF44+'BTX Recycling HC'!AF44+'Butadiene Recycling HC'!AF44</f>
        <v>4791939.4930217601</v>
      </c>
      <c r="AH4" s="465">
        <f>'Ethylene Recycling HC'!AG47+'Propylene Recycling HC'!AG47+'Methanol Recycling HC'!AG44+'BTX Recycling HC'!AG44+'Butadiene Recycling HC'!AG44</f>
        <v>4697786.2499620765</v>
      </c>
      <c r="AJ4" s="465">
        <f>'Ethylene Recycling LC'!C47+'Propylene Recycling LC'!C47+'Methanol Recycling LC'!C44+'BTX Recycling LC'!C44+'Butadiene Recycling LC'!C44</f>
        <v>7698686.9500343818</v>
      </c>
      <c r="AK4" s="465">
        <f>'Ethylene Recycling LC'!D47+'Propylene Recycling LC'!D47+'Methanol Recycling LC'!D44+'BTX Recycling LC'!D44+'Butadiene Recycling LC'!D44</f>
        <v>7636268.7098850515</v>
      </c>
      <c r="AL4" s="465">
        <f>'Ethylene Recycling LC'!E47+'Propylene Recycling LC'!E47+'Methanol Recycling LC'!E44+'BTX Recycling LC'!E44+'Butadiene Recycling LC'!E44</f>
        <v>7572287.9095226023</v>
      </c>
      <c r="AM4" s="465">
        <f>'Ethylene Recycling LC'!F47+'Propylene Recycling LC'!F47+'Methanol Recycling LC'!F44+'BTX Recycling LC'!F44+'Butadiene Recycling LC'!F44</f>
        <v>7509450.7056704275</v>
      </c>
      <c r="AN4" s="465">
        <f>'Ethylene Recycling LC'!G47+'Propylene Recycling LC'!G47+'Methanol Recycling LC'!G44+'BTX Recycling LC'!G44+'Butadiene Recycling LC'!G44</f>
        <v>7446854.0347892139</v>
      </c>
      <c r="AO4" s="465">
        <f>'Ethylene Recycling LC'!H47+'Propylene Recycling LC'!H47+'Methanol Recycling LC'!H44+'BTX Recycling LC'!H44+'Butadiene Recycling LC'!H44</f>
        <v>7384497.1411198936</v>
      </c>
      <c r="AP4" s="465">
        <f>'Ethylene Recycling LC'!I47+'Propylene Recycling LC'!I47+'Methanol Recycling LC'!I44+'BTX Recycling LC'!I44+'Butadiene Recycling LC'!I44</f>
        <v>7309136.1416026857</v>
      </c>
      <c r="AQ4" s="465">
        <f>'Ethylene Recycling LC'!J47+'Propylene Recycling LC'!J47+'Methanol Recycling LC'!J44+'BTX Recycling LC'!J44+'Butadiene Recycling LC'!J44</f>
        <v>7234071.8846651856</v>
      </c>
      <c r="AR4" s="465">
        <f>'Ethylene Recycling LC'!K47+'Propylene Recycling LC'!K47+'Methanol Recycling LC'!K44+'BTX Recycling LC'!K44+'Butadiene Recycling LC'!K44</f>
        <v>7159303.4274077825</v>
      </c>
      <c r="AS4" s="465">
        <f>'Ethylene Recycling LC'!L47+'Propylene Recycling LC'!L47+'Methanol Recycling LC'!L44+'BTX Recycling LC'!L44+'Butadiene Recycling LC'!L44</f>
        <v>7084829.829647772</v>
      </c>
      <c r="AT4" s="465">
        <f>'Ethylene Recycling LC'!M47+'Propylene Recycling LC'!M47+'Methanol Recycling LC'!M44+'BTX Recycling LC'!M44+'Butadiene Recycling LC'!M44</f>
        <v>7010650.1539119473</v>
      </c>
      <c r="AU4" s="465">
        <f>'Ethylene Recycling LC'!N47+'Propylene Recycling LC'!N47+'Methanol Recycling LC'!N44+'BTX Recycling LC'!N44+'Butadiene Recycling LC'!N44</f>
        <v>6916685.0839532511</v>
      </c>
      <c r="AV4" s="465">
        <f>'Ethylene Recycling LC'!O47+'Propylene Recycling LC'!O47+'Methanol Recycling LC'!O44+'BTX Recycling LC'!O44+'Butadiene Recycling LC'!O44</f>
        <v>6832181.4895414338</v>
      </c>
      <c r="AW4" s="465">
        <f>'Ethylene Recycling LC'!P47+'Propylene Recycling LC'!P47+'Methanol Recycling LC'!P44+'BTX Recycling LC'!P44+'Butadiene Recycling LC'!P44</f>
        <v>6740048.3768550223</v>
      </c>
      <c r="AX4" s="465">
        <f>'Ethylene Recycling LC'!Q47+'Propylene Recycling LC'!Q47+'Methanol Recycling LC'!Q44+'BTX Recycling LC'!Q44+'Butadiene Recycling LC'!Q44</f>
        <v>6648288.0102046765</v>
      </c>
      <c r="AY4" s="465">
        <f>'Ethylene Recycling LC'!R47+'Propylene Recycling LC'!R47+'Methanol Recycling LC'!R44+'BTX Recycling LC'!R44+'Butadiene Recycling LC'!R44</f>
        <v>6556899.1956350189</v>
      </c>
      <c r="AZ4" s="465">
        <f>'Ethylene Recycling LC'!S47+'Propylene Recycling LC'!S47+'Methanol Recycling LC'!S44+'BTX Recycling LC'!S44+'Butadiene Recycling LC'!S44</f>
        <v>6467351.7723988257</v>
      </c>
      <c r="BA4" s="465">
        <f>'Ethylene Recycling LC'!T47+'Propylene Recycling LC'!T47+'Methanol Recycling LC'!T44+'BTX Recycling LC'!T44+'Butadiene Recycling LC'!T44</f>
        <v>6378167.0288456222</v>
      </c>
      <c r="BB4" s="465">
        <f>'Ethylene Recycling LC'!U47+'Propylene Recycling LC'!U47+'Methanol Recycling LC'!U44+'BTX Recycling LC'!U44+'Butadiene Recycling LC'!U44</f>
        <v>6289343.8028375572</v>
      </c>
      <c r="BC4" s="465">
        <f>'Ethylene Recycling LC'!V47+'Propylene Recycling LC'!V47+'Methanol Recycling LC'!V44+'BTX Recycling LC'!V44+'Butadiene Recycling LC'!V44</f>
        <v>6200880.9355917536</v>
      </c>
      <c r="BD4" s="465">
        <f>'Ethylene Recycling LC'!W47+'Propylene Recycling LC'!W47+'Methanol Recycling LC'!W44+'BTX Recycling LC'!W44+'Butadiene Recycling LC'!W44</f>
        <v>6112777.2716711694</v>
      </c>
      <c r="BE4" s="465">
        <f>'Ethylene Recycling LC'!X47+'Propylene Recycling LC'!X47+'Methanol Recycling LC'!X44+'BTX Recycling LC'!X44+'Butadiene Recycling LC'!X44</f>
        <v>6044031.618375767</v>
      </c>
      <c r="BF4" s="465">
        <f>'Ethylene Recycling LC'!Y47+'Propylene Recycling LC'!Y47+'Methanol Recycling LC'!Y44+'BTX Recycling LC'!Y44+'Butadiene Recycling LC'!Y44</f>
        <v>5974540.7522160113</v>
      </c>
      <c r="BG4" s="465">
        <f>'Ethylene Recycling LC'!Z47+'Propylene Recycling LC'!Z47+'Methanol Recycling LC'!Z44+'BTX Recycling LC'!Z44+'Butadiene Recycling LC'!Z44</f>
        <v>5904312.6536605712</v>
      </c>
      <c r="BH4" s="465">
        <f>'Ethylene Recycling LC'!AA47+'Propylene Recycling LC'!AA47+'Methanol Recycling LC'!AA44+'BTX Recycling LC'!AA44+'Butadiene Recycling LC'!AA44</f>
        <v>5834358.1799339158</v>
      </c>
      <c r="BI4" s="465">
        <f>'Ethylene Recycling LC'!AB47+'Propylene Recycling LC'!AB47+'Methanol Recycling LC'!AB44+'BTX Recycling LC'!AB44+'Butadiene Recycling LC'!AB44</f>
        <v>5764676.5215486996</v>
      </c>
      <c r="BJ4" s="465">
        <f>'Ethylene Recycling LC'!AC47+'Propylene Recycling LC'!AC47+'Methanol Recycling LC'!AC44+'BTX Recycling LC'!AC44+'Butadiene Recycling LC'!AC44</f>
        <v>5694319.4396143975</v>
      </c>
      <c r="BK4" s="465">
        <f>'Ethylene Recycling LC'!AD47+'Propylene Recycling LC'!AD47+'Methanol Recycling LC'!AD44+'BTX Recycling LC'!AD44+'Butadiene Recycling LC'!AD44</f>
        <v>5624237.7431762377</v>
      </c>
      <c r="BL4" s="465">
        <f>'Ethylene Recycling LC'!AE47+'Propylene Recycling LC'!AE47+'Methanol Recycling LC'!AE44+'BTX Recycling LC'!AE44+'Butadiene Recycling LC'!AE44</f>
        <v>5554430.6149644693</v>
      </c>
      <c r="BM4" s="465">
        <f>'Ethylene Recycling LC'!AF47+'Propylene Recycling LC'!AF47+'Methanol Recycling LC'!AF44+'BTX Recycling LC'!AF44+'Butadiene Recycling LC'!AF44</f>
        <v>5484897.2397645162</v>
      </c>
      <c r="BN4" s="465">
        <f>'Ethylene Recycling LC'!AG47+'Propylene Recycling LC'!AG47+'Methanol Recycling LC'!AG44+'BTX Recycling LC'!AG44+'Butadiene Recycling LC'!AG44</f>
        <v>5415636.8044125503</v>
      </c>
      <c r="BP4" s="465">
        <f>'Ethylene Recycling HC'!C29+'Propylene Recycling HC'!C29+'Methanol Recycling HC'!C29+'BTX Recycling HC'!C29+'Butadiene Recycling HC'!C29</f>
        <v>7698686.9500343818</v>
      </c>
      <c r="BQ4" s="465">
        <f>'Ethylene Recycling HC'!D29+'Propylene Recycling HC'!D29+'Methanol Recycling HC'!D29+'BTX Recycling HC'!D29+'Butadiene Recycling HC'!D29</f>
        <v>7681691.5226332108</v>
      </c>
      <c r="BR4" s="465">
        <f>'Ethylene Recycling HC'!E29+'Propylene Recycling HC'!E29+'Methanol Recycling HC'!E29+'BTX Recycling HC'!E29+'Butadiene Recycling HC'!E29</f>
        <v>7664733.6139095016</v>
      </c>
      <c r="BS4" s="465">
        <f>'Ethylene Recycling HC'!F29+'Propylene Recycling HC'!F29+'Methanol Recycling HC'!F29+'BTX Recycling HC'!F29+'Butadiene Recycling HC'!F29</f>
        <v>7647813.1410379671</v>
      </c>
      <c r="BT4" s="465">
        <f>'Ethylene Recycling HC'!G29+'Propylene Recycling HC'!G29+'Methanol Recycling HC'!G29+'BTX Recycling HC'!G29+'Butadiene Recycling HC'!G29</f>
        <v>7630930.02137616</v>
      </c>
      <c r="BU4" s="465">
        <f>'Ethylene Recycling HC'!H29+'Propylene Recycling HC'!H29+'Methanol Recycling HC'!H29+'BTX Recycling HC'!H29+'Butadiene Recycling HC'!H29</f>
        <v>7614084.1724640764</v>
      </c>
      <c r="BV4" s="465">
        <f>'Ethylene Recycling HC'!I29+'Propylene Recycling HC'!I29+'Methanol Recycling HC'!I29+'BTX Recycling HC'!I29+'Butadiene Recycling HC'!I29</f>
        <v>7597275.5120237488</v>
      </c>
      <c r="BW4" s="465">
        <f>'Ethylene Recycling HC'!J29+'Propylene Recycling HC'!J29+'Methanol Recycling HC'!J29+'BTX Recycling HC'!J29+'Butadiene Recycling HC'!J29</f>
        <v>7580503.9579588436</v>
      </c>
      <c r="BX4" s="465">
        <f>'Ethylene Recycling HC'!K29+'Propylene Recycling HC'!K29+'Methanol Recycling HC'!K29+'BTX Recycling HC'!K29+'Butadiene Recycling HC'!K29</f>
        <v>7563769.4283542596</v>
      </c>
      <c r="BY4" s="465">
        <f>'Ethylene Recycling HC'!L29+'Propylene Recycling HC'!L29+'Methanol Recycling HC'!L29+'BTX Recycling HC'!L29+'Butadiene Recycling HC'!L29</f>
        <v>7547071.8414757317</v>
      </c>
      <c r="BZ4" s="465">
        <f>'Ethylene Recycling HC'!M29+'Propylene Recycling HC'!M29+'Methanol Recycling HC'!M29+'BTX Recycling HC'!M29+'Butadiene Recycling HC'!M29</f>
        <v>7530411.1157694291</v>
      </c>
      <c r="CA4" s="465">
        <f>'Ethylene Recycling HC'!N29+'Propylene Recycling HC'!N29+'Methanol Recycling HC'!N29+'BTX Recycling HC'!N29+'Butadiene Recycling HC'!N29</f>
        <v>7513787.169861557</v>
      </c>
      <c r="CB4" s="465">
        <f>'Ethylene Recycling HC'!O29+'Propylene Recycling HC'!O29+'Methanol Recycling HC'!O29+'BTX Recycling HC'!O29+'Butadiene Recycling HC'!O29</f>
        <v>7497199.9225579565</v>
      </c>
      <c r="CC4" s="465">
        <f>'Ethylene Recycling HC'!P29+'Propylene Recycling HC'!P29+'Methanol Recycling HC'!P29+'BTX Recycling HC'!P29+'Butadiene Recycling HC'!P29</f>
        <v>7480649.2928437125</v>
      </c>
      <c r="CD4" s="465">
        <f>'Ethylene Recycling HC'!Q29+'Propylene Recycling HC'!Q29+'Methanol Recycling HC'!Q29+'BTX Recycling HC'!Q29+'Butadiene Recycling HC'!Q29</f>
        <v>7464135.1998827616</v>
      </c>
      <c r="CE4" s="465">
        <f>'Ethylene Recycling HC'!R29+'Propylene Recycling HC'!R29+'Methanol Recycling HC'!R29+'BTX Recycling HC'!R29+'Butadiene Recycling HC'!R29</f>
        <v>7447657.5630174829</v>
      </c>
      <c r="CF4" s="465">
        <f>'Ethylene Recycling HC'!S29+'Propylene Recycling HC'!S29+'Methanol Recycling HC'!S29+'BTX Recycling HC'!S29+'Butadiene Recycling HC'!S29</f>
        <v>7431216.3017683197</v>
      </c>
      <c r="CG4" s="465">
        <f>'Ethylene Recycling HC'!T29+'Propylene Recycling HC'!T29+'Methanol Recycling HC'!T29+'BTX Recycling HC'!T29+'Butadiene Recycling HC'!T29</f>
        <v>7414811.33583338</v>
      </c>
      <c r="CH4" s="465">
        <f>'Ethylene Recycling HC'!U29+'Propylene Recycling HC'!U29+'Methanol Recycling HC'!U29+'BTX Recycling HC'!U29+'Butadiene Recycling HC'!U29</f>
        <v>7398442.5850880379</v>
      </c>
      <c r="CI4" s="465">
        <f>'Ethylene Recycling HC'!V29+'Propylene Recycling HC'!V29+'Methanol Recycling HC'!V29+'BTX Recycling HC'!V29+'Butadiene Recycling HC'!V29</f>
        <v>7382109.9695845554</v>
      </c>
      <c r="CJ4" s="465">
        <f>'Ethylene Recycling HC'!W29+'Propylene Recycling HC'!W29+'Methanol Recycling HC'!W29+'BTX Recycling HC'!W29+'Butadiene Recycling HC'!W29</f>
        <v>7365813.4095516829</v>
      </c>
      <c r="CK4" s="465">
        <f>'Ethylene Recycling HC'!X29+'Propylene Recycling HC'!X29+'Methanol Recycling HC'!X29+'BTX Recycling HC'!X29+'Butadiene Recycling HC'!X29</f>
        <v>7349552.8253942719</v>
      </c>
      <c r="CL4" s="465">
        <f>'Ethylene Recycling HC'!Y29+'Propylene Recycling HC'!Y29+'Methanol Recycling HC'!Y29+'BTX Recycling HC'!Y29+'Butadiene Recycling HC'!Y29</f>
        <v>7333328.1376928855</v>
      </c>
      <c r="CM4" s="465">
        <f>'Ethylene Recycling HC'!Z29+'Propylene Recycling HC'!Z29+'Methanol Recycling HC'!Z29+'BTX Recycling HC'!Z29+'Butadiene Recycling HC'!Z29</f>
        <v>7317139.2672034102</v>
      </c>
      <c r="CN4" s="465">
        <f>'Ethylene Recycling HC'!AA29+'Propylene Recycling HC'!AA29+'Methanol Recycling HC'!AA29+'BTX Recycling HC'!AA29+'Butadiene Recycling HC'!AA29</f>
        <v>7300986.134856672</v>
      </c>
      <c r="CO4" s="465">
        <f>'Ethylene Recycling HC'!AB29+'Propylene Recycling HC'!AB29+'Methanol Recycling HC'!AB29+'BTX Recycling HC'!AB29+'Butadiene Recycling HC'!AB29</f>
        <v>7284868.6617580485</v>
      </c>
      <c r="CP4" s="465">
        <f>'Ethylene Recycling HC'!AC29+'Propylene Recycling HC'!AC29+'Methanol Recycling HC'!AC29+'BTX Recycling HC'!AC29+'Butadiene Recycling HC'!AC29</f>
        <v>7268786.7691870825</v>
      </c>
      <c r="CQ4" s="465">
        <f>'Ethylene Recycling HC'!AD29+'Propylene Recycling HC'!AD29+'Methanol Recycling HC'!AD29+'BTX Recycling HC'!AD29+'Butadiene Recycling HC'!AD29</f>
        <v>7252740.3785970928</v>
      </c>
      <c r="CR4" s="465">
        <f>'Ethylene Recycling HC'!AE29+'Propylene Recycling HC'!AE29+'Methanol Recycling HC'!AE29+'BTX Recycling HC'!AE29+'Butadiene Recycling HC'!AE29</f>
        <v>7236729.4116148045</v>
      </c>
      <c r="CS4" s="465">
        <f>'Ethylene Recycling HC'!AF29+'Propylene Recycling HC'!AF29+'Methanol Recycling HC'!AF29+'BTX Recycling HC'!AF29+'Butadiene Recycling HC'!AF29</f>
        <v>7220753.790039951</v>
      </c>
      <c r="CT4" s="465">
        <f>'Ethylene Recycling HC'!AG29+'Propylene Recycling HC'!AG29+'Methanol Recycling HC'!AG29+'BTX Recycling HC'!AG29+'Butadiene Recycling HC'!AG29</f>
        <v>7204813.4358449038</v>
      </c>
    </row>
    <row r="5" spans="1:98" ht="15.5" thickBot="1">
      <c r="A5" s="1"/>
      <c r="B5" s="1"/>
      <c r="C5" s="50"/>
    </row>
    <row r="6" spans="1:98" s="466" customFormat="1">
      <c r="A6" s="462" t="s">
        <v>1382</v>
      </c>
      <c r="B6" s="463"/>
      <c r="C6" s="464" t="s">
        <v>171</v>
      </c>
      <c r="D6" s="465">
        <f>SUM(D9:D12)</f>
        <v>7573060.6284193089</v>
      </c>
      <c r="E6" s="465">
        <f t="shared" ref="E6:AH6" si="31">SUM(E9:E12)</f>
        <v>7504660.7578517077</v>
      </c>
      <c r="F6" s="465">
        <f t="shared" si="31"/>
        <v>7434183.9434626615</v>
      </c>
      <c r="G6" s="465">
        <f t="shared" si="31"/>
        <v>7364950.0557265338</v>
      </c>
      <c r="H6" s="465">
        <f t="shared" si="31"/>
        <v>7295857.0071532186</v>
      </c>
      <c r="I6" s="465">
        <f t="shared" si="31"/>
        <v>7226908.7280606572</v>
      </c>
      <c r="J6" s="465">
        <f t="shared" si="31"/>
        <v>7132029.1840017792</v>
      </c>
      <c r="K6" s="465">
        <f t="shared" si="31"/>
        <v>7037393.5688184639</v>
      </c>
      <c r="L6" s="465">
        <f t="shared" si="31"/>
        <v>6943011.108727457</v>
      </c>
      <c r="M6" s="465">
        <f t="shared" si="31"/>
        <v>6848895.0960599668</v>
      </c>
      <c r="N6" s="465">
        <f t="shared" si="31"/>
        <v>6755053.9429208059</v>
      </c>
      <c r="O6" s="465">
        <f t="shared" si="31"/>
        <v>6634590.6505252551</v>
      </c>
      <c r="P6" s="465">
        <f t="shared" si="31"/>
        <v>6525008.3016307661</v>
      </c>
      <c r="Q6" s="465">
        <f t="shared" si="31"/>
        <v>6406173.2928088037</v>
      </c>
      <c r="R6" s="465">
        <f t="shared" si="31"/>
        <v>6287825.9848181894</v>
      </c>
      <c r="S6" s="465">
        <f t="shared" si="31"/>
        <v>6169949.3326843912</v>
      </c>
      <c r="T6" s="465">
        <f t="shared" si="31"/>
        <v>6055407.7308311993</v>
      </c>
      <c r="U6" s="465">
        <f t="shared" si="31"/>
        <v>5941227.3757963944</v>
      </c>
      <c r="V6" s="465">
        <f t="shared" si="31"/>
        <v>5827352.5905044703</v>
      </c>
      <c r="W6" s="465">
        <f t="shared" si="31"/>
        <v>5713744.9822161347</v>
      </c>
      <c r="X6" s="465">
        <f t="shared" si="31"/>
        <v>5600139.0187074859</v>
      </c>
      <c r="Y6" s="465">
        <f t="shared" si="31"/>
        <v>5511409.189255327</v>
      </c>
      <c r="Z6" s="465">
        <f t="shared" si="31"/>
        <v>5421427.5724948328</v>
      </c>
      <c r="AA6" s="465">
        <f t="shared" si="31"/>
        <v>5329147.7129279226</v>
      </c>
      <c r="AB6" s="465">
        <f t="shared" si="31"/>
        <v>5237064.8273670422</v>
      </c>
      <c r="AC6" s="465">
        <f t="shared" si="31"/>
        <v>5145198.3602883881</v>
      </c>
      <c r="AD6" s="465">
        <f t="shared" si="31"/>
        <v>5051681.2469477355</v>
      </c>
      <c r="AE6" s="465">
        <f t="shared" si="31"/>
        <v>4958416.4118046341</v>
      </c>
      <c r="AF6" s="465">
        <f t="shared" si="31"/>
        <v>4865414.18186625</v>
      </c>
      <c r="AG6" s="465">
        <f t="shared" si="31"/>
        <v>4772682.5941663468</v>
      </c>
      <c r="AH6" s="465">
        <f t="shared" si="31"/>
        <v>4679957.3404641077</v>
      </c>
      <c r="AJ6" s="465">
        <f>SUM(AJ9:AJ12)</f>
        <v>7573060.4449911965</v>
      </c>
      <c r="AK6" s="465">
        <f t="shared" ref="AK6:BN6" si="32">SUM(AK9:AK12)</f>
        <v>7515720.1102829007</v>
      </c>
      <c r="AL6" s="465">
        <f t="shared" si="32"/>
        <v>7456660.3002741728</v>
      </c>
      <c r="AM6" s="465">
        <f t="shared" si="32"/>
        <v>7398601.2776559368</v>
      </c>
      <c r="AN6" s="465">
        <f t="shared" si="32"/>
        <v>7340640.6313615413</v>
      </c>
      <c r="AO6" s="465">
        <f t="shared" si="32"/>
        <v>7282781.8627260029</v>
      </c>
      <c r="AP6" s="465">
        <f t="shared" si="32"/>
        <v>7211952.8429860892</v>
      </c>
      <c r="AQ6" s="465">
        <f t="shared" si="32"/>
        <v>7141273.7919684136</v>
      </c>
      <c r="AR6" s="465">
        <f t="shared" si="32"/>
        <v>7070751.2534921244</v>
      </c>
      <c r="AS6" s="465">
        <f t="shared" si="32"/>
        <v>7000394.0206925133</v>
      </c>
      <c r="AT6" s="465">
        <f t="shared" si="32"/>
        <v>6930203.3589227144</v>
      </c>
      <c r="AU6" s="465">
        <f t="shared" si="32"/>
        <v>6839765.4514513426</v>
      </c>
      <c r="AV6" s="465">
        <f t="shared" si="32"/>
        <v>6758623.9030070249</v>
      </c>
      <c r="AW6" s="465">
        <f t="shared" si="32"/>
        <v>6669882.6811267091</v>
      </c>
      <c r="AX6" s="465">
        <f t="shared" si="32"/>
        <v>6581470.8293476142</v>
      </c>
      <c r="AY6" s="465">
        <f t="shared" si="32"/>
        <v>6493379.9292208962</v>
      </c>
      <c r="AZ6" s="465">
        <f t="shared" si="32"/>
        <v>6407044.1448921924</v>
      </c>
      <c r="BA6" s="465">
        <f t="shared" si="32"/>
        <v>6320970.6524940878</v>
      </c>
      <c r="BB6" s="465">
        <f t="shared" si="32"/>
        <v>6235128.7105554687</v>
      </c>
      <c r="BC6" s="465">
        <f t="shared" si="32"/>
        <v>6149497.1351050725</v>
      </c>
      <c r="BD6" s="465">
        <f t="shared" si="32"/>
        <v>6063799.9988493249</v>
      </c>
      <c r="BE6" s="465">
        <f t="shared" si="32"/>
        <v>5998157.6328932596</v>
      </c>
      <c r="BF6" s="465">
        <f t="shared" si="32"/>
        <v>5931348.2143671969</v>
      </c>
      <c r="BG6" s="465">
        <f t="shared" si="32"/>
        <v>5863648.3046084149</v>
      </c>
      <c r="BH6" s="465">
        <f t="shared" si="32"/>
        <v>5796084.5357976397</v>
      </c>
      <c r="BI6" s="465">
        <f t="shared" si="32"/>
        <v>5728668.8103221217</v>
      </c>
      <c r="BJ6" s="465">
        <f t="shared" si="32"/>
        <v>5660465.1933090417</v>
      </c>
      <c r="BK6" s="465">
        <f t="shared" si="32"/>
        <v>5592430.9449045463</v>
      </c>
      <c r="BL6" s="465">
        <f t="shared" si="32"/>
        <v>5524572.7622864312</v>
      </c>
      <c r="BM6" s="465">
        <f t="shared" si="32"/>
        <v>5456896.0217649266</v>
      </c>
      <c r="BN6" s="465">
        <f t="shared" si="32"/>
        <v>5389104.5859988453</v>
      </c>
      <c r="BP6" s="465">
        <f>SUM(BP9:BP12)</f>
        <v>7573060.2265568813</v>
      </c>
      <c r="BQ6" s="465">
        <f t="shared" ref="BQ6:CT6" si="33">SUM(BQ9:BQ12)</f>
        <v>7558958.3265258074</v>
      </c>
      <c r="BR6" s="465">
        <f t="shared" si="33"/>
        <v>7544873.7518633772</v>
      </c>
      <c r="BS6" s="465">
        <f t="shared" si="33"/>
        <v>7530806.1889756201</v>
      </c>
      <c r="BT6" s="465">
        <f t="shared" si="33"/>
        <v>7516755.3175937114</v>
      </c>
      <c r="BU6" s="465">
        <f t="shared" si="33"/>
        <v>7502720.8106239112</v>
      </c>
      <c r="BV6" s="465">
        <f t="shared" si="33"/>
        <v>7488702.3339943467</v>
      </c>
      <c r="BW6" s="465">
        <f t="shared" si="33"/>
        <v>7474699.5464986246</v>
      </c>
      <c r="BX6" s="465">
        <f t="shared" si="33"/>
        <v>7460712.0996361831</v>
      </c>
      <c r="BY6" s="465">
        <f t="shared" si="33"/>
        <v>7446739.6374493167</v>
      </c>
      <c r="BZ6" s="465">
        <f t="shared" si="33"/>
        <v>7432781.796356827</v>
      </c>
      <c r="CA6" s="465">
        <f t="shared" si="33"/>
        <v>7418838.2049842067</v>
      </c>
      <c r="CB6" s="465">
        <f t="shared" si="33"/>
        <v>7404908.4839903051</v>
      </c>
      <c r="CC6" s="465">
        <f t="shared" si="33"/>
        <v>7390992.2458904041</v>
      </c>
      <c r="CD6" s="465">
        <f t="shared" si="33"/>
        <v>7377089.0948756272</v>
      </c>
      <c r="CE6" s="465">
        <f t="shared" si="33"/>
        <v>7363198.626628601</v>
      </c>
      <c r="CF6" s="465">
        <f t="shared" si="33"/>
        <v>7349320.4281353122</v>
      </c>
      <c r="CG6" s="465">
        <f t="shared" si="33"/>
        <v>7335454.0774930809</v>
      </c>
      <c r="CH6" s="465">
        <f t="shared" si="33"/>
        <v>7321599.1437145472</v>
      </c>
      <c r="CI6" s="465">
        <f t="shared" si="33"/>
        <v>7307755.1865276406</v>
      </c>
      <c r="CJ6" s="465">
        <f t="shared" si="33"/>
        <v>7293921.7561713979</v>
      </c>
      <c r="CK6" s="465">
        <f t="shared" si="33"/>
        <v>7280098.3931875899</v>
      </c>
      <c r="CL6" s="465">
        <f t="shared" si="33"/>
        <v>7266284.6282080431</v>
      </c>
      <c r="CM6" s="465">
        <f t="shared" si="33"/>
        <v>7252479.9817375969</v>
      </c>
      <c r="CN6" s="465">
        <f t="shared" si="33"/>
        <v>7238683.9639325924</v>
      </c>
      <c r="CO6" s="465">
        <f t="shared" si="33"/>
        <v>7224896.0743748089</v>
      </c>
      <c r="CP6" s="465">
        <f t="shared" si="33"/>
        <v>7211115.8018407552</v>
      </c>
      <c r="CQ6" s="465">
        <f t="shared" si="33"/>
        <v>7197342.6240662187</v>
      </c>
      <c r="CR6" s="465">
        <f t="shared" si="33"/>
        <v>7183576.0075060166</v>
      </c>
      <c r="CS6" s="465">
        <f t="shared" si="33"/>
        <v>7169815.4070887873</v>
      </c>
      <c r="CT6" s="465">
        <f t="shared" si="33"/>
        <v>7156060.2659667814</v>
      </c>
    </row>
    <row r="7" spans="1:98" s="76" customFormat="1" ht="15.5" thickBot="1">
      <c r="A7" s="491" t="s">
        <v>1384</v>
      </c>
      <c r="C7" s="150" t="s">
        <v>171</v>
      </c>
      <c r="D7" s="495">
        <f>SUM(D13:D16)</f>
        <v>125626.32161507176</v>
      </c>
      <c r="E7" s="495">
        <f t="shared" ref="E7:AH7" si="34">SUM(E13:E16)</f>
        <v>120326.36571232855</v>
      </c>
      <c r="F7" s="495">
        <f t="shared" si="34"/>
        <v>115183.77451053329</v>
      </c>
      <c r="G7" s="495">
        <f t="shared" si="34"/>
        <v>110196.25967613239</v>
      </c>
      <c r="H7" s="495">
        <f t="shared" si="34"/>
        <v>105358.81328953506</v>
      </c>
      <c r="I7" s="495">
        <f t="shared" si="34"/>
        <v>100666.58234176764</v>
      </c>
      <c r="J7" s="495">
        <f t="shared" si="34"/>
        <v>95708.422314398413</v>
      </c>
      <c r="K7" s="495">
        <f t="shared" si="34"/>
        <v>90911.421706264082</v>
      </c>
      <c r="L7" s="495">
        <f t="shared" si="34"/>
        <v>86265.052322905496</v>
      </c>
      <c r="M7" s="495">
        <f t="shared" si="34"/>
        <v>81754.723629683911</v>
      </c>
      <c r="N7" s="495">
        <f t="shared" si="34"/>
        <v>77370.72908231293</v>
      </c>
      <c r="O7" s="495">
        <f t="shared" si="34"/>
        <v>73334.132753376733</v>
      </c>
      <c r="P7" s="495">
        <f t="shared" si="34"/>
        <v>69472.039651052197</v>
      </c>
      <c r="Q7" s="495">
        <f t="shared" si="34"/>
        <v>65529.177948738208</v>
      </c>
      <c r="R7" s="495">
        <f t="shared" si="34"/>
        <v>61606.662535922107</v>
      </c>
      <c r="S7" s="495">
        <f t="shared" si="34"/>
        <v>57719.906946794377</v>
      </c>
      <c r="T7" s="495">
        <f t="shared" si="34"/>
        <v>53944.949518500078</v>
      </c>
      <c r="U7" s="495">
        <f t="shared" si="34"/>
        <v>50298.922458845584</v>
      </c>
      <c r="V7" s="495">
        <f t="shared" si="34"/>
        <v>46835.928411512374</v>
      </c>
      <c r="W7" s="495">
        <f t="shared" si="34"/>
        <v>43592.790197408365</v>
      </c>
      <c r="X7" s="495">
        <f t="shared" si="34"/>
        <v>40833.474623376649</v>
      </c>
      <c r="Y7" s="495">
        <f t="shared" si="34"/>
        <v>37514.320696675481</v>
      </c>
      <c r="Z7" s="495">
        <f t="shared" si="34"/>
        <v>34660.920928295389</v>
      </c>
      <c r="AA7" s="495">
        <f t="shared" si="34"/>
        <v>31997.672995557557</v>
      </c>
      <c r="AB7" s="495">
        <f t="shared" si="34"/>
        <v>29519.212540858982</v>
      </c>
      <c r="AC7" s="495">
        <f t="shared" si="34"/>
        <v>27205.097095571426</v>
      </c>
      <c r="AD7" s="495">
        <f t="shared" si="34"/>
        <v>25026.532156211273</v>
      </c>
      <c r="AE7" s="495">
        <f t="shared" si="34"/>
        <v>22982.827447626951</v>
      </c>
      <c r="AF7" s="495">
        <f t="shared" si="34"/>
        <v>21062.635087159892</v>
      </c>
      <c r="AG7" s="495">
        <f t="shared" si="34"/>
        <v>19256.898855411073</v>
      </c>
      <c r="AH7" s="495">
        <f t="shared" si="34"/>
        <v>17828.909497968882</v>
      </c>
      <c r="AJ7" s="495">
        <f>SUM(AJ13:AJ16)</f>
        <v>125626.5050431845</v>
      </c>
      <c r="AK7" s="495">
        <f t="shared" ref="AK7:BN7" si="35">SUM(AK13:AK16)</f>
        <v>120548.59960214907</v>
      </c>
      <c r="AL7" s="495">
        <f t="shared" si="35"/>
        <v>115627.60924842855</v>
      </c>
      <c r="AM7" s="495">
        <f t="shared" si="35"/>
        <v>110849.42801449032</v>
      </c>
      <c r="AN7" s="495">
        <f t="shared" si="35"/>
        <v>106213.40342767219</v>
      </c>
      <c r="AO7" s="495">
        <f t="shared" si="35"/>
        <v>101715.27839388893</v>
      </c>
      <c r="AP7" s="495">
        <f t="shared" si="35"/>
        <v>97183.298616595217</v>
      </c>
      <c r="AQ7" s="495">
        <f t="shared" si="35"/>
        <v>92798.092696770531</v>
      </c>
      <c r="AR7" s="495">
        <f t="shared" si="35"/>
        <v>88552.173915656836</v>
      </c>
      <c r="AS7" s="495">
        <f t="shared" si="35"/>
        <v>84435.808955256973</v>
      </c>
      <c r="AT7" s="495">
        <f t="shared" si="35"/>
        <v>80446.794989230752</v>
      </c>
      <c r="AU7" s="495">
        <f t="shared" si="35"/>
        <v>76919.632501905813</v>
      </c>
      <c r="AV7" s="495">
        <f t="shared" si="35"/>
        <v>73557.586534407135</v>
      </c>
      <c r="AW7" s="495">
        <f t="shared" si="35"/>
        <v>70165.695728311155</v>
      </c>
      <c r="AX7" s="495">
        <f t="shared" si="35"/>
        <v>66817.180857060812</v>
      </c>
      <c r="AY7" s="495">
        <f t="shared" si="35"/>
        <v>63519.26641412024</v>
      </c>
      <c r="AZ7" s="495">
        <f t="shared" si="35"/>
        <v>60307.627506630757</v>
      </c>
      <c r="BA7" s="495">
        <f t="shared" si="35"/>
        <v>57196.376351532133</v>
      </c>
      <c r="BB7" s="495">
        <f t="shared" si="35"/>
        <v>54215.092282086451</v>
      </c>
      <c r="BC7" s="495">
        <f t="shared" si="35"/>
        <v>51383.800486677494</v>
      </c>
      <c r="BD7" s="495">
        <f t="shared" si="35"/>
        <v>48977.272821841296</v>
      </c>
      <c r="BE7" s="495">
        <f t="shared" si="35"/>
        <v>45873.985482504439</v>
      </c>
      <c r="BF7" s="495">
        <f t="shared" si="35"/>
        <v>43192.537848811669</v>
      </c>
      <c r="BG7" s="495">
        <f t="shared" si="35"/>
        <v>40664.349052152662</v>
      </c>
      <c r="BH7" s="495">
        <f t="shared" si="35"/>
        <v>38273.64413627304</v>
      </c>
      <c r="BI7" s="495">
        <f t="shared" si="35"/>
        <v>36007.711226574611</v>
      </c>
      <c r="BJ7" s="495">
        <f t="shared" si="35"/>
        <v>33854.246305353874</v>
      </c>
      <c r="BK7" s="495">
        <f t="shared" si="35"/>
        <v>31806.798271688727</v>
      </c>
      <c r="BL7" s="495">
        <f t="shared" si="35"/>
        <v>29857.852678035437</v>
      </c>
      <c r="BM7" s="495">
        <f t="shared" si="35"/>
        <v>28001.21799958701</v>
      </c>
      <c r="BN7" s="495">
        <f t="shared" si="35"/>
        <v>26532.218413704872</v>
      </c>
      <c r="BP7" s="495">
        <f>SUM(BP13:BP16)</f>
        <v>125626.72347750081</v>
      </c>
      <c r="BQ7" s="495">
        <f t="shared" ref="BQ7:CT7" si="36">SUM(BQ13:BQ16)</f>
        <v>122733.19610740282</v>
      </c>
      <c r="BR7" s="495">
        <f t="shared" si="36"/>
        <v>119859.86204612386</v>
      </c>
      <c r="BS7" s="495">
        <f t="shared" si="36"/>
        <v>117006.95206234675</v>
      </c>
      <c r="BT7" s="495">
        <f t="shared" si="36"/>
        <v>114174.70378244715</v>
      </c>
      <c r="BU7" s="495">
        <f t="shared" si="36"/>
        <v>111363.36184016425</v>
      </c>
      <c r="BV7" s="495">
        <f t="shared" si="36"/>
        <v>108573.17802940102</v>
      </c>
      <c r="BW7" s="495">
        <f t="shared" si="36"/>
        <v>105804.41146021662</v>
      </c>
      <c r="BX7" s="495">
        <f t="shared" si="36"/>
        <v>103057.32871807463</v>
      </c>
      <c r="BY7" s="495">
        <f t="shared" si="36"/>
        <v>100332.20402641277</v>
      </c>
      <c r="BZ7" s="495">
        <f t="shared" si="36"/>
        <v>97629.319412599769</v>
      </c>
      <c r="CA7" s="495">
        <f t="shared" si="36"/>
        <v>94948.964877347767</v>
      </c>
      <c r="CB7" s="495">
        <f t="shared" si="36"/>
        <v>92291.438567648758</v>
      </c>
      <c r="CC7" s="495">
        <f t="shared" si="36"/>
        <v>89657.046953305748</v>
      </c>
      <c r="CD7" s="495">
        <f t="shared" si="36"/>
        <v>87046.105007130245</v>
      </c>
      <c r="CE7" s="495">
        <f t="shared" si="36"/>
        <v>84458.936388878879</v>
      </c>
      <c r="CF7" s="495">
        <f t="shared" si="36"/>
        <v>81895.873633004288</v>
      </c>
      <c r="CG7" s="495">
        <f t="shared" si="36"/>
        <v>79357.258340295724</v>
      </c>
      <c r="CH7" s="495">
        <f t="shared" si="36"/>
        <v>76843.441373486989</v>
      </c>
      <c r="CI7" s="495">
        <f t="shared" si="36"/>
        <v>74354.783056910877</v>
      </c>
      <c r="CJ7" s="495">
        <f t="shared" si="36"/>
        <v>71891.653380280201</v>
      </c>
      <c r="CK7" s="495">
        <f t="shared" si="36"/>
        <v>69454.432206677593</v>
      </c>
      <c r="CL7" s="495">
        <f t="shared" si="36"/>
        <v>67043.509484838025</v>
      </c>
      <c r="CM7" s="495">
        <f t="shared" si="36"/>
        <v>64659.28546580884</v>
      </c>
      <c r="CN7" s="495">
        <f t="shared" si="36"/>
        <v>62302.170924074351</v>
      </c>
      <c r="CO7" s="495">
        <f t="shared" si="36"/>
        <v>59972.587383233804</v>
      </c>
      <c r="CP7" s="495">
        <f t="shared" si="36"/>
        <v>57670.967346322694</v>
      </c>
      <c r="CQ7" s="495">
        <f t="shared" si="36"/>
        <v>55397.754530869475</v>
      </c>
      <c r="CR7" s="495">
        <f t="shared" si="36"/>
        <v>53153.404108782095</v>
      </c>
      <c r="CS7" s="495">
        <f t="shared" si="36"/>
        <v>50938.382951158899</v>
      </c>
      <c r="CT7" s="495">
        <f t="shared" si="36"/>
        <v>48753.169878122448</v>
      </c>
    </row>
    <row r="8" spans="1:98" ht="15.5" thickBot="1"/>
    <row r="9" spans="1:98" s="466" customFormat="1">
      <c r="A9" s="462" t="s">
        <v>563</v>
      </c>
      <c r="C9" s="464" t="s">
        <v>171</v>
      </c>
      <c r="D9" s="493">
        <f>'Ethylene Recycling HC'!C221+'Propylene Recycling HC'!C213+'Methanol Recycling HC'!C246+'BTX Recycling HC'!C274+'Butadiene Recycling HC'!C162</f>
        <v>1417350.7761593414</v>
      </c>
      <c r="E9" s="493">
        <f>'Ethylene Recycling HC'!D221+'Propylene Recycling HC'!D213+'Methanol Recycling HC'!D246+'BTX Recycling HC'!D274+'Butadiene Recycling HC'!D162</f>
        <v>1506655.1962799334</v>
      </c>
      <c r="F9" s="493">
        <f>'Ethylene Recycling HC'!E221+'Propylene Recycling HC'!E213+'Methanol Recycling HC'!E246+'BTX Recycling HC'!E274+'Butadiene Recycling HC'!E162</f>
        <v>1591502.3166122017</v>
      </c>
      <c r="G9" s="493">
        <f>'Ethylene Recycling HC'!F221+'Propylene Recycling HC'!F213+'Methanol Recycling HC'!F246+'BTX Recycling HC'!F274+'Butadiene Recycling HC'!F162</f>
        <v>1675176.9134449037</v>
      </c>
      <c r="H9" s="493">
        <f>'Ethylene Recycling HC'!G221+'Propylene Recycling HC'!G213+'Methanol Recycling HC'!G246+'BTX Recycling HC'!G274+'Butadiene Recycling HC'!G162</f>
        <v>1756666.8203008645</v>
      </c>
      <c r="I9" s="493">
        <f>'Ethylene Recycling HC'!H221+'Propylene Recycling HC'!H213+'Methanol Recycling HC'!H246+'BTX Recycling HC'!H274+'Butadiene Recycling HC'!H162</f>
        <v>1836033.4816696811</v>
      </c>
      <c r="J9" s="493">
        <f>'Ethylene Recycling HC'!I221+'Propylene Recycling HC'!I213+'Methanol Recycling HC'!I246+'BTX Recycling HC'!I274+'Butadiene Recycling HC'!I162</f>
        <v>1909375.1481009924</v>
      </c>
      <c r="K9" s="493">
        <f>'Ethylene Recycling HC'!J221+'Propylene Recycling HC'!J213+'Methanol Recycling HC'!J246+'BTX Recycling HC'!J274+'Butadiene Recycling HC'!J162</f>
        <v>1980038.5809343094</v>
      </c>
      <c r="L9" s="493">
        <f>'Ethylene Recycling HC'!K221+'Propylene Recycling HC'!K213+'Methanol Recycling HC'!K246+'BTX Recycling HC'!K274+'Butadiene Recycling HC'!K162</f>
        <v>2048066.7047344923</v>
      </c>
      <c r="M9" s="493">
        <f>'Ethylene Recycling HC'!L221+'Propylene Recycling HC'!L213+'Methanol Recycling HC'!L246+'BTX Recycling HC'!L274+'Butadiene Recycling HC'!L162</f>
        <v>2113500.5027213637</v>
      </c>
      <c r="N9" s="493">
        <f>'Ethylene Recycling HC'!M221+'Propylene Recycling HC'!M213+'Methanol Recycling HC'!M246+'BTX Recycling HC'!M274+'Butadiene Recycling HC'!M162</f>
        <v>2176379.0363854789</v>
      </c>
      <c r="O9" s="493">
        <f>'Ethylene Recycling HC'!N221+'Propylene Recycling HC'!N213+'Methanol Recycling HC'!N246+'BTX Recycling HC'!N274+'Butadiene Recycling HC'!N162</f>
        <v>2193510.1605232344</v>
      </c>
      <c r="P9" s="493">
        <f>'Ethylene Recycling HC'!O221+'Propylene Recycling HC'!O213+'Methanol Recycling HC'!O246+'BTX Recycling HC'!O274+'Butadiene Recycling HC'!O162</f>
        <v>2212127.4399484931</v>
      </c>
      <c r="Q9" s="493">
        <f>'Ethylene Recycling HC'!P221+'Propylene Recycling HC'!P213+'Methanol Recycling HC'!P246+'BTX Recycling HC'!P274+'Butadiene Recycling HC'!P162</f>
        <v>2225769.2060616431</v>
      </c>
      <c r="R9" s="493">
        <f>'Ethylene Recycling HC'!Q221+'Propylene Recycling HC'!Q213+'Methanol Recycling HC'!Q246+'BTX Recycling HC'!Q274+'Butadiene Recycling HC'!Q162</f>
        <v>2237626.349147175</v>
      </c>
      <c r="S9" s="493">
        <f>'Ethylene Recycling HC'!R221+'Propylene Recycling HC'!R213+'Methanol Recycling HC'!R246+'BTX Recycling HC'!R274+'Butadiene Recycling HC'!R162</f>
        <v>2247744.1637046477</v>
      </c>
      <c r="T9" s="493">
        <f>'Ethylene Recycling HC'!S221+'Propylene Recycling HC'!S213+'Methanol Recycling HC'!S246+'BTX Recycling HC'!S274+'Butadiene Recycling HC'!S162</f>
        <v>2256649.6794268345</v>
      </c>
      <c r="U9" s="493">
        <f>'Ethylene Recycling HC'!T221+'Propylene Recycling HC'!T213+'Methanol Recycling HC'!T246+'BTX Recycling HC'!T274+'Butadiene Recycling HC'!T162</f>
        <v>2263983.7637643954</v>
      </c>
      <c r="V9" s="493">
        <f>'Ethylene Recycling HC'!U221+'Propylene Recycling HC'!U213+'Methanol Recycling HC'!U246+'BTX Recycling HC'!U274+'Butadiene Recycling HC'!U162</f>
        <v>2269793.8650987316</v>
      </c>
      <c r="W9" s="493">
        <f>'Ethylene Recycling HC'!V221+'Propylene Recycling HC'!V213+'Methanol Recycling HC'!V246+'BTX Recycling HC'!V274+'Butadiene Recycling HC'!V162</f>
        <v>2274126.2995554996</v>
      </c>
      <c r="X9" s="493">
        <f>'Ethylene Recycling HC'!W221+'Propylene Recycling HC'!W213+'Methanol Recycling HC'!W246+'BTX Recycling HC'!W274+'Butadiene Recycling HC'!W162</f>
        <v>2277026.2613131888</v>
      </c>
      <c r="Y9" s="493">
        <f>'Ethylene Recycling HC'!X221+'Propylene Recycling HC'!X213+'Methanol Recycling HC'!X246+'BTX Recycling HC'!X274+'Butadiene Recycling HC'!X162</f>
        <v>2318518.7469903664</v>
      </c>
      <c r="Z9" s="493">
        <f>'Ethylene Recycling HC'!Y221+'Propylene Recycling HC'!Y213+'Methanol Recycling HC'!Y246+'BTX Recycling HC'!Y274+'Butadiene Recycling HC'!Y162</f>
        <v>2357645.8945728457</v>
      </c>
      <c r="AA9" s="493">
        <f>'Ethylene Recycling HC'!Z221+'Propylene Recycling HC'!Z213+'Methanol Recycling HC'!Z246+'BTX Recycling HC'!Z274+'Butadiene Recycling HC'!Z162</f>
        <v>2393524.6545495396</v>
      </c>
      <c r="AB9" s="493">
        <f>'Ethylene Recycling HC'!AA221+'Propylene Recycling HC'!AA213+'Methanol Recycling HC'!AA246+'BTX Recycling HC'!AA274+'Butadiene Recycling HC'!AA162</f>
        <v>2427347.2411254407</v>
      </c>
      <c r="AC9" s="493">
        <f>'Ethylene Recycling HC'!AB221+'Propylene Recycling HC'!AB213+'Methanol Recycling HC'!AB246+'BTX Recycling HC'!AB274+'Butadiene Recycling HC'!AB162</f>
        <v>2459160.2819629819</v>
      </c>
      <c r="AD9" s="493">
        <f>'Ethylene Recycling HC'!AC221+'Propylene Recycling HC'!AC213+'Methanol Recycling HC'!AC246+'BTX Recycling HC'!AC274+'Butadiene Recycling HC'!AC162</f>
        <v>2488245.5923375026</v>
      </c>
      <c r="AE9" s="493">
        <f>'Ethylene Recycling HC'!AD221+'Propylene Recycling HC'!AD213+'Methanol Recycling HC'!AD246+'BTX Recycling HC'!AD274+'Butadiene Recycling HC'!AD162</f>
        <v>2515311.2961284397</v>
      </c>
      <c r="AF9" s="493">
        <f>'Ethylene Recycling HC'!AE221+'Propylene Recycling HC'!AE213+'Methanol Recycling HC'!AE246+'BTX Recycling HC'!AE274+'Butadiene Recycling HC'!AE162</f>
        <v>2540393.7705651606</v>
      </c>
      <c r="AG9" s="493">
        <f>'Ethylene Recycling HC'!AF221+'Propylene Recycling HC'!AF213+'Methanol Recycling HC'!AF246+'BTX Recycling HC'!AF274+'Butadiene Recycling HC'!AF162</f>
        <v>2563527.7415673141</v>
      </c>
      <c r="AH9" s="493">
        <f>'Ethylene Recycling HC'!AG221+'Propylene Recycling HC'!AG213+'Methanol Recycling HC'!AG246+'BTX Recycling HC'!AG274+'Butadiene Recycling HC'!AG162</f>
        <v>2584746.2989013861</v>
      </c>
      <c r="AJ9" s="494">
        <f>D9</f>
        <v>1417350.7761593414</v>
      </c>
      <c r="AK9" s="494">
        <f t="shared" ref="AK9:BN9" si="37">E9</f>
        <v>1506655.1962799334</v>
      </c>
      <c r="AL9" s="494">
        <f t="shared" si="37"/>
        <v>1591502.3166122017</v>
      </c>
      <c r="AM9" s="494">
        <f t="shared" si="37"/>
        <v>1675176.9134449037</v>
      </c>
      <c r="AN9" s="494">
        <f t="shared" si="37"/>
        <v>1756666.8203008645</v>
      </c>
      <c r="AO9" s="494">
        <f t="shared" si="37"/>
        <v>1836033.4816696811</v>
      </c>
      <c r="AP9" s="494">
        <f t="shared" si="37"/>
        <v>1909375.1481009924</v>
      </c>
      <c r="AQ9" s="494">
        <f t="shared" si="37"/>
        <v>1980038.5809343094</v>
      </c>
      <c r="AR9" s="494">
        <f t="shared" si="37"/>
        <v>2048066.7047344923</v>
      </c>
      <c r="AS9" s="494">
        <f t="shared" si="37"/>
        <v>2113500.5027213637</v>
      </c>
      <c r="AT9" s="494">
        <f t="shared" si="37"/>
        <v>2176379.0363854789</v>
      </c>
      <c r="AU9" s="494">
        <f t="shared" si="37"/>
        <v>2193510.1605232344</v>
      </c>
      <c r="AV9" s="494">
        <f t="shared" si="37"/>
        <v>2212127.4399484931</v>
      </c>
      <c r="AW9" s="494">
        <f t="shared" si="37"/>
        <v>2225769.2060616431</v>
      </c>
      <c r="AX9" s="494">
        <f t="shared" si="37"/>
        <v>2237626.349147175</v>
      </c>
      <c r="AY9" s="494">
        <f t="shared" si="37"/>
        <v>2247744.1637046477</v>
      </c>
      <c r="AZ9" s="494">
        <f t="shared" si="37"/>
        <v>2256649.6794268345</v>
      </c>
      <c r="BA9" s="494">
        <f t="shared" si="37"/>
        <v>2263983.7637643954</v>
      </c>
      <c r="BB9" s="494">
        <f t="shared" si="37"/>
        <v>2269793.8650987316</v>
      </c>
      <c r="BC9" s="494">
        <f t="shared" si="37"/>
        <v>2274126.2995554996</v>
      </c>
      <c r="BD9" s="494">
        <f t="shared" si="37"/>
        <v>2277026.2613131888</v>
      </c>
      <c r="BE9" s="494">
        <f t="shared" si="37"/>
        <v>2318518.7469903664</v>
      </c>
      <c r="BF9" s="494">
        <f t="shared" si="37"/>
        <v>2357645.8945728457</v>
      </c>
      <c r="BG9" s="494">
        <f t="shared" si="37"/>
        <v>2393524.6545495396</v>
      </c>
      <c r="BH9" s="494">
        <f t="shared" si="37"/>
        <v>2427347.2411254407</v>
      </c>
      <c r="BI9" s="494">
        <f t="shared" si="37"/>
        <v>2459160.2819629819</v>
      </c>
      <c r="BJ9" s="494">
        <f t="shared" si="37"/>
        <v>2488245.5923375026</v>
      </c>
      <c r="BK9" s="494">
        <f t="shared" si="37"/>
        <v>2515311.2961284397</v>
      </c>
      <c r="BL9" s="494">
        <f t="shared" si="37"/>
        <v>2540393.7705651606</v>
      </c>
      <c r="BM9" s="494">
        <f t="shared" si="37"/>
        <v>2563527.7415673141</v>
      </c>
      <c r="BN9" s="494">
        <f t="shared" si="37"/>
        <v>2584746.2989013861</v>
      </c>
      <c r="BP9" s="465">
        <f>'Ethylene Recycling HC'!C222+'Propylene Recycling HC'!C214+'Methanol Recycling HC'!C247+'BTX Recycling LC'!C275+'Butadiene Recycling LC'!C163</f>
        <v>1417350.7761593414</v>
      </c>
      <c r="BQ9" s="465">
        <f>'Ethylene Recycling HC'!D222+'Propylene Recycling HC'!D214+'Methanol Recycling HC'!D247+'BTX Recycling LC'!D275+'Butadiene Recycling LC'!D163</f>
        <v>1441020.5341212021</v>
      </c>
      <c r="BR9" s="465">
        <f>'Ethylene Recycling HC'!E222+'Propylene Recycling HC'!E214+'Methanol Recycling HC'!E247+'BTX Recycling LC'!E275+'Butadiene Recycling LC'!E163</f>
        <v>1465085.5770410264</v>
      </c>
      <c r="BS9" s="465">
        <f>'Ethylene Recycling HC'!F222+'Propylene Recycling HC'!F214+'Methanol Recycling HC'!F247+'BTX Recycling LC'!F275+'Butadiene Recycling LC'!F163</f>
        <v>1489552.5061776114</v>
      </c>
      <c r="BT9" s="465">
        <f>'Ethylene Recycling HC'!G222+'Propylene Recycling HC'!G214+'Methanol Recycling HC'!G247+'BTX Recycling LC'!G275+'Butadiene Recycling LC'!G163</f>
        <v>1514428.0330307775</v>
      </c>
      <c r="BU9" s="465">
        <f>'Ethylene Recycling HC'!H222+'Propylene Recycling HC'!H214+'Methanol Recycling HC'!H247+'BTX Recycling LC'!H275+'Butadiene Recycling LC'!H163</f>
        <v>1539718.9811823913</v>
      </c>
      <c r="BV9" s="465">
        <f>'Ethylene Recycling HC'!I222+'Propylene Recycling HC'!I214+'Methanol Recycling HC'!I247+'BTX Recycling LC'!I275+'Butadiene Recycling LC'!I163</f>
        <v>1565432.2881681372</v>
      </c>
      <c r="BW9" s="465">
        <f>'Ethylene Recycling HC'!J222+'Propylene Recycling HC'!J214+'Methanol Recycling HC'!J247+'BTX Recycling LC'!J275+'Butadiene Recycling LC'!J163</f>
        <v>1591575.0073805451</v>
      </c>
      <c r="BX9" s="465">
        <f>'Ethylene Recycling HC'!K222+'Propylene Recycling HC'!K214+'Methanol Recycling HC'!K247+'BTX Recycling LC'!K275+'Butadiene Recycling LC'!K163</f>
        <v>1618154.3100038001</v>
      </c>
      <c r="BY9" s="465">
        <f>'Ethylene Recycling HC'!L222+'Propylene Recycling HC'!L214+'Methanol Recycling HC'!L247+'BTX Recycling LC'!L275+'Butadiene Recycling LC'!L163</f>
        <v>1645177.4869808634</v>
      </c>
      <c r="BZ9" s="465">
        <f>'Ethylene Recycling HC'!M222+'Propylene Recycling HC'!M214+'Methanol Recycling HC'!M247+'BTX Recycling LC'!M275+'Butadiene Recycling LC'!M163</f>
        <v>1672651.9510134438</v>
      </c>
      <c r="CA9" s="465">
        <f>'Ethylene Recycling HC'!N222+'Propylene Recycling HC'!N214+'Methanol Recycling HC'!N247+'BTX Recycling LC'!N275+'Butadiene Recycling LC'!N163</f>
        <v>1700585.2385953681</v>
      </c>
      <c r="CB9" s="465">
        <f>'Ethylene Recycling HC'!O222+'Propylene Recycling HC'!O214+'Methanol Recycling HC'!O247+'BTX Recycling LC'!O275+'Butadiene Recycling LC'!O163</f>
        <v>1728985.0120799104</v>
      </c>
      <c r="CC9" s="465">
        <f>'Ethylene Recycling HC'!P222+'Propylene Recycling HC'!P214+'Methanol Recycling HC'!P247+'BTX Recycling LC'!P275+'Butadiene Recycling LC'!P163</f>
        <v>1757859.0617816451</v>
      </c>
      <c r="CD9" s="465">
        <f>'Ethylene Recycling HC'!Q222+'Propylene Recycling HC'!Q214+'Methanol Recycling HC'!Q247+'BTX Recycling LC'!Q275+'Butadiene Recycling LC'!Q163</f>
        <v>1787215.3081133985</v>
      </c>
      <c r="CE9" s="465">
        <f>'Ethylene Recycling HC'!R222+'Propylene Recycling HC'!R214+'Methanol Recycling HC'!R247+'BTX Recycling LC'!R275+'Butadiene Recycling LC'!R163</f>
        <v>1817061.8037588922</v>
      </c>
      <c r="CF9" s="465">
        <f>'Ethylene Recycling HC'!S222+'Propylene Recycling HC'!S214+'Methanol Recycling HC'!S247+'BTX Recycling LC'!S275+'Butadiene Recycling LC'!S163</f>
        <v>1847406.7358816657</v>
      </c>
      <c r="CG9" s="465">
        <f>'Ethylene Recycling HC'!T222+'Propylene Recycling HC'!T214+'Methanol Recycling HC'!T247+'BTX Recycling LC'!T275+'Butadiene Recycling LC'!T163</f>
        <v>1878258.428370889</v>
      </c>
      <c r="CH9" s="465">
        <f>'Ethylene Recycling HC'!U222+'Propylene Recycling HC'!U214+'Methanol Recycling HC'!U247+'BTX Recycling LC'!U275+'Butadiene Recycling LC'!U163</f>
        <v>1909625.3441246832</v>
      </c>
      <c r="CI9" s="465">
        <f>'Ethylene Recycling HC'!V222+'Propylene Recycling HC'!V214+'Methanol Recycling HC'!V247+'BTX Recycling LC'!V275+'Butadiene Recycling LC'!V163</f>
        <v>1941516.0873715652</v>
      </c>
      <c r="CJ9" s="465">
        <f>'Ethylene Recycling HC'!W222+'Propylene Recycling HC'!W214+'Methanol Recycling HC'!W247+'BTX Recycling LC'!W275+'Butadiene Recycling LC'!W163</f>
        <v>1973939.40603067</v>
      </c>
      <c r="CK9" s="465">
        <f>'Ethylene Recycling HC'!X222+'Propylene Recycling HC'!X214+'Methanol Recycling HC'!X247+'BTX Recycling LC'!X275+'Butadiene Recycling LC'!X163</f>
        <v>2006904.1941113821</v>
      </c>
      <c r="CL9" s="465">
        <f>'Ethylene Recycling HC'!Y222+'Propylene Recycling HC'!Y214+'Methanol Recycling HC'!Y247+'BTX Recycling LC'!Y275+'Butadiene Recycling LC'!Y163</f>
        <v>2040419.4941530423</v>
      </c>
      <c r="CM9" s="465">
        <f>'Ethylene Recycling HC'!Z222+'Propylene Recycling HC'!Z214+'Methanol Recycling HC'!Z247+'BTX Recycling LC'!Z275+'Butadiene Recycling LC'!Z163</f>
        <v>2074494.4997053978</v>
      </c>
      <c r="CN9" s="465">
        <f>'Ethylene Recycling HC'!AA222+'Propylene Recycling HC'!AA214+'Methanol Recycling HC'!AA247+'BTX Recycling LC'!AA275+'Butadiene Recycling LC'!AA163</f>
        <v>2109138.5578504778</v>
      </c>
      <c r="CO9" s="465">
        <f>'Ethylene Recycling HC'!AB222+'Propylene Recycling HC'!AB214+'Methanol Recycling HC'!AB247+'BTX Recycling LC'!AB275+'Butadiene Recycling LC'!AB163</f>
        <v>2144361.1717665805</v>
      </c>
      <c r="CP9" s="465">
        <f>'Ethylene Recycling HC'!AC222+'Propylene Recycling HC'!AC214+'Methanol Recycling HC'!AC247+'BTX Recycling LC'!AC275+'Butadiene Recycling LC'!AC163</f>
        <v>2180172.0033350824</v>
      </c>
      <c r="CQ9" s="465">
        <f>'Ethylene Recycling HC'!AD222+'Propylene Recycling HC'!AD214+'Methanol Recycling HC'!AD247+'BTX Recycling LC'!AD275+'Butadiene Recycling LC'!AD163</f>
        <v>2216580.8757907781</v>
      </c>
      <c r="CR9" s="465">
        <f>'Ethylene Recycling HC'!AE222+'Propylene Recycling HC'!AE214+'Methanol Recycling HC'!AE247+'BTX Recycling LC'!AE275+'Butadiene Recycling LC'!AE163</f>
        <v>2253597.7764164843</v>
      </c>
      <c r="CS9" s="465">
        <f>'Ethylene Recycling HC'!AF222+'Propylene Recycling HC'!AF214+'Methanol Recycling HC'!AF247+'BTX Recycling LC'!AF275+'Butadiene Recycling LC'!AF163</f>
        <v>2291232.8592826393</v>
      </c>
      <c r="CT9" s="465">
        <f>'Ethylene Recycling HC'!AG222+'Propylene Recycling HC'!AG214+'Methanol Recycling HC'!AG247+'BTX Recycling LC'!AG275+'Butadiene Recycling LC'!AG163</f>
        <v>2329496.4480326595</v>
      </c>
    </row>
    <row r="10" spans="1:98">
      <c r="A10" s="492" t="s">
        <v>1388</v>
      </c>
      <c r="C10" s="50" t="s">
        <v>171</v>
      </c>
      <c r="D10" s="249">
        <f>'Ethylene Recycling HC'!C308+'Ethylene Recycling HC'!C310+'Propylene Recycling HC'!C201+'Propylene Recycling HC'!C203+'Methanol Recycling HC'!C333+'Methanol Recycling HC'!C335+'BTX Recycling HC'!C361+'BTX Recycling HC'!C363+'Butadiene Recycling HC'!C249+'Butadiene Recycling HC'!C251</f>
        <v>20.093121451858639</v>
      </c>
      <c r="E10" s="249">
        <f>'Ethylene Recycling HC'!D308+'Ethylene Recycling HC'!D310+'Propylene Recycling HC'!D201+'Propylene Recycling HC'!D203+'Methanol Recycling HC'!D333+'Methanol Recycling HC'!D335+'BTX Recycling HC'!D361+'BTX Recycling HC'!D363+'Butadiene Recycling HC'!D249+'Butadiene Recycling HC'!D251</f>
        <v>42.145301294631693</v>
      </c>
      <c r="F10" s="249">
        <f>'Ethylene Recycling HC'!E308+'Ethylene Recycling HC'!E310+'Propylene Recycling HC'!E201+'Propylene Recycling HC'!E203+'Methanol Recycling HC'!E333+'Methanol Recycling HC'!E335+'BTX Recycling HC'!E361+'BTX Recycling HC'!E363+'Butadiene Recycling HC'!E249+'Butadiene Recycling HC'!E251</f>
        <v>83.961160995539444</v>
      </c>
      <c r="G10" s="249">
        <f>'Ethylene Recycling HC'!F308+'Ethylene Recycling HC'!F310+'Propylene Recycling HC'!F201+'Propylene Recycling HC'!F203+'Methanol Recycling HC'!F333+'Methanol Recycling HC'!F335+'BTX Recycling HC'!F361+'BTX Recycling HC'!F363+'Butadiene Recycling HC'!F249+'Butadiene Recycling HC'!F251</f>
        <v>166.26110869001477</v>
      </c>
      <c r="H10" s="249">
        <f>'Ethylene Recycling HC'!G308+'Ethylene Recycling HC'!G310+'Propylene Recycling HC'!G201+'Propylene Recycling HC'!G203+'Methanol Recycling HC'!G333+'Methanol Recycling HC'!G335+'BTX Recycling HC'!G361+'BTX Recycling HC'!G363+'Butadiene Recycling HC'!G249+'Butadiene Recycling HC'!G251</f>
        <v>326.85963108217459</v>
      </c>
      <c r="I10" s="249">
        <f>'Ethylene Recycling HC'!H308+'Ethylene Recycling HC'!H310+'Propylene Recycling HC'!H201+'Propylene Recycling HC'!H203+'Methanol Recycling HC'!H333+'Methanol Recycling HC'!H335+'BTX Recycling HC'!H361+'BTX Recycling HC'!H363+'Butadiene Recycling HC'!H249+'Butadiene Recycling HC'!H251</f>
        <v>637.33736360040268</v>
      </c>
      <c r="J10" s="249">
        <f>'Ethylene Recycling HC'!I308+'Ethylene Recycling HC'!I310+'Propylene Recycling HC'!I201+'Propylene Recycling HC'!I203+'Methanol Recycling HC'!I333+'Methanol Recycling HC'!I335+'BTX Recycling HC'!I361+'BTX Recycling HC'!I363+'Butadiene Recycling HC'!I249+'Butadiene Recycling HC'!I251</f>
        <v>1227.8851930529279</v>
      </c>
      <c r="K10" s="249">
        <f>'Ethylene Recycling HC'!J308+'Ethylene Recycling HC'!J310+'Propylene Recycling HC'!J201+'Propylene Recycling HC'!J203+'Methanol Recycling HC'!J333+'Methanol Recycling HC'!J335+'BTX Recycling HC'!J361+'BTX Recycling HC'!J363+'Butadiene Recycling HC'!J249+'Butadiene Recycling HC'!J251</f>
        <v>2336.8790471692332</v>
      </c>
      <c r="L10" s="249">
        <f>'Ethylene Recycling HC'!K308+'Ethylene Recycling HC'!K310+'Propylene Recycling HC'!K201+'Propylene Recycling HC'!K203+'Methanol Recycling HC'!K333+'Methanol Recycling HC'!K335+'BTX Recycling HC'!K361+'BTX Recycling HC'!K363+'Butadiene Recycling HC'!K249+'Butadiene Recycling HC'!K251</f>
        <v>4379.5146097864481</v>
      </c>
      <c r="M10" s="249">
        <f>'Ethylene Recycling HC'!L308+'Ethylene Recycling HC'!L310+'Propylene Recycling HC'!L201+'Propylene Recycling HC'!L203+'Methanol Recycling HC'!L333+'Methanol Recycling HC'!L335+'BTX Recycling HC'!L361+'BTX Recycling HC'!L363+'Butadiene Recycling HC'!L249+'Butadiene Recycling HC'!L251</f>
        <v>8047.9269868828524</v>
      </c>
      <c r="N10" s="249">
        <f>'Ethylene Recycling HC'!M308+'Ethylene Recycling HC'!M310+'Propylene Recycling HC'!M201+'Propylene Recycling HC'!M203+'Methanol Recycling HC'!M333+'Methanol Recycling HC'!M335+'BTX Recycling HC'!M361+'BTX Recycling HC'!M363+'Butadiene Recycling HC'!M249+'Butadiene Recycling HC'!M251</f>
        <v>13801.890678866557</v>
      </c>
      <c r="O10" s="249">
        <f>'Ethylene Recycling HC'!N308+'Ethylene Recycling HC'!N310+'Propylene Recycling HC'!N201+'Propylene Recycling HC'!N203+'Methanol Recycling HC'!N333+'Methanol Recycling HC'!N335+'BTX Recycling HC'!N361+'BTX Recycling HC'!N363+'Butadiene Recycling HC'!N249+'Butadiene Recycling HC'!N251</f>
        <v>24569.76030376364</v>
      </c>
      <c r="P10" s="249">
        <f>'Ethylene Recycling HC'!O308+'Ethylene Recycling HC'!O310+'Propylene Recycling HC'!O201+'Propylene Recycling HC'!O203+'Methanol Recycling HC'!O333+'Methanol Recycling HC'!O335+'BTX Recycling HC'!O361+'BTX Recycling HC'!O363+'Butadiene Recycling HC'!O249+'Butadiene Recycling HC'!O251</f>
        <v>40350.42314256548</v>
      </c>
      <c r="Q10" s="249">
        <f>'Ethylene Recycling HC'!P308+'Ethylene Recycling HC'!P310+'Propylene Recycling HC'!P201+'Propylene Recycling HC'!P203+'Methanol Recycling HC'!P333+'Methanol Recycling HC'!P335+'BTX Recycling HC'!P361+'BTX Recycling HC'!P363+'Butadiene Recycling HC'!P249+'Butadiene Recycling HC'!P251</f>
        <v>63219.77860622936</v>
      </c>
      <c r="R10" s="249">
        <f>'Ethylene Recycling HC'!Q308+'Ethylene Recycling HC'!Q310+'Propylene Recycling HC'!Q201+'Propylene Recycling HC'!Q203+'Methanol Recycling HC'!Q333+'Methanol Recycling HC'!Q335+'BTX Recycling HC'!Q361+'BTX Recycling HC'!Q363+'Butadiene Recycling HC'!Q249+'Butadiene Recycling HC'!Q251</f>
        <v>93980.480646802418</v>
      </c>
      <c r="S10" s="249">
        <f>'Ethylene Recycling HC'!R308+'Ethylene Recycling HC'!R310+'Propylene Recycling HC'!R201+'Propylene Recycling HC'!R203+'Methanol Recycling HC'!R333+'Methanol Recycling HC'!R335+'BTX Recycling HC'!R361+'BTX Recycling HC'!R363+'Butadiene Recycling HC'!R249+'Butadiene Recycling HC'!R251</f>
        <v>131931.27947358234</v>
      </c>
      <c r="T10" s="249">
        <f>'Ethylene Recycling HC'!S308+'Ethylene Recycling HC'!S310+'Propylene Recycling HC'!S201+'Propylene Recycling HC'!S203+'Methanol Recycling HC'!S333+'Methanol Recycling HC'!S335+'BTX Recycling HC'!S361+'BTX Recycling HC'!S363+'Butadiene Recycling HC'!S249+'Butadiene Recycling HC'!S251</f>
        <v>174638.26102513564</v>
      </c>
      <c r="U10" s="249">
        <f>'Ethylene Recycling HC'!T308+'Ethylene Recycling HC'!T310+'Propylene Recycling HC'!T201+'Propylene Recycling HC'!T203+'Methanol Recycling HC'!T333+'Methanol Recycling HC'!T335+'BTX Recycling HC'!T361+'BTX Recycling HC'!T363+'Butadiene Recycling HC'!T249+'Butadiene Recycling HC'!T251</f>
        <v>218315.38619929552</v>
      </c>
      <c r="V10" s="249">
        <f>'Ethylene Recycling HC'!U308+'Ethylene Recycling HC'!U310+'Propylene Recycling HC'!U201+'Propylene Recycling HC'!U203+'Methanol Recycling HC'!U333+'Methanol Recycling HC'!U335+'BTX Recycling HC'!U361+'BTX Recycling HC'!U363+'Butadiene Recycling HC'!U249+'Butadiene Recycling HC'!U251</f>
        <v>258971.1958520847</v>
      </c>
      <c r="W10" s="249">
        <f>'Ethylene Recycling HC'!V308+'Ethylene Recycling HC'!V310+'Propylene Recycling HC'!V201+'Propylene Recycling HC'!V203+'Methanol Recycling HC'!V333+'Methanol Recycling HC'!V335+'BTX Recycling HC'!V361+'BTX Recycling HC'!V363+'Butadiene Recycling HC'!V249+'Butadiene Recycling HC'!V251</f>
        <v>293495.11695011752</v>
      </c>
      <c r="X10" s="249">
        <f>'Ethylene Recycling HC'!W308+'Ethylene Recycling HC'!W310+'Propylene Recycling HC'!W201+'Propylene Recycling HC'!W203+'Methanol Recycling HC'!W333+'Methanol Recycling HC'!W335+'BTX Recycling HC'!W361+'BTX Recycling HC'!W363+'Butadiene Recycling HC'!W249+'Butadiene Recycling HC'!W251</f>
        <v>301435.63526442752</v>
      </c>
      <c r="Y10" s="249">
        <f>'Ethylene Recycling HC'!X308+'Ethylene Recycling HC'!X310+'Propylene Recycling HC'!X201+'Propylene Recycling HC'!X203+'Methanol Recycling HC'!X333+'Methanol Recycling HC'!X335+'BTX Recycling HC'!X361+'BTX Recycling HC'!X363+'Butadiene Recycling HC'!X249+'Butadiene Recycling HC'!X251</f>
        <v>344687.78629429464</v>
      </c>
      <c r="Z10" s="249">
        <f>'Ethylene Recycling HC'!Y308+'Ethylene Recycling HC'!Y310+'Propylene Recycling HC'!Y201+'Propylene Recycling HC'!Y203+'Methanol Recycling HC'!Y333+'Methanol Recycling HC'!Y335+'BTX Recycling HC'!Y361+'BTX Recycling HC'!Y363+'Butadiene Recycling HC'!Y249+'Butadiene Recycling HC'!Y251</f>
        <v>362054.10451117583</v>
      </c>
      <c r="AA10" s="249">
        <f>'Ethylene Recycling HC'!Z308+'Ethylene Recycling HC'!Z310+'Propylene Recycling HC'!Z201+'Propylene Recycling HC'!Z203+'Methanol Recycling HC'!Z333+'Methanol Recycling HC'!Z335+'BTX Recycling HC'!Z361+'BTX Recycling HC'!Z363+'Butadiene Recycling HC'!Z249+'Butadiene Recycling HC'!Z251</f>
        <v>373214.81281522219</v>
      </c>
      <c r="AB10" s="249">
        <f>'Ethylene Recycling HC'!AA308+'Ethylene Recycling HC'!AA310+'Propylene Recycling HC'!AA201+'Propylene Recycling HC'!AA203+'Methanol Recycling HC'!AA333+'Methanol Recycling HC'!AA335+'BTX Recycling HC'!AA361+'BTX Recycling HC'!AA363+'Butadiene Recycling HC'!AA249+'Butadiene Recycling HC'!AA251</f>
        <v>379302.42037754855</v>
      </c>
      <c r="AC10" s="249">
        <f>'Ethylene Recycling HC'!AB308+'Ethylene Recycling HC'!AB310+'Propylene Recycling HC'!AB201+'Propylene Recycling HC'!AB203+'Methanol Recycling HC'!AB333+'Methanol Recycling HC'!AB335+'BTX Recycling HC'!AB361+'BTX Recycling HC'!AB363+'Butadiene Recycling HC'!AB249+'Butadiene Recycling HC'!AB251</f>
        <v>381377.71008628653</v>
      </c>
      <c r="AD10" s="249">
        <f>'Ethylene Recycling HC'!AC308+'Ethylene Recycling HC'!AC310+'Propylene Recycling HC'!AC201+'Propylene Recycling HC'!AC203+'Methanol Recycling HC'!AC333+'Methanol Recycling HC'!AC335+'BTX Recycling HC'!AC361+'BTX Recycling HC'!AC363+'Butadiene Recycling HC'!AC249+'Butadiene Recycling HC'!AC251</f>
        <v>380238.76121839293</v>
      </c>
      <c r="AE10" s="249">
        <f>'Ethylene Recycling HC'!AD308+'Ethylene Recycling HC'!AD310+'Propylene Recycling HC'!AD201+'Propylene Recycling HC'!AD203+'Methanol Recycling HC'!AD333+'Methanol Recycling HC'!AD335+'BTX Recycling HC'!AD361+'BTX Recycling HC'!AD363+'Butadiene Recycling HC'!AD249+'Butadiene Recycling HC'!AD251</f>
        <v>376739.99333955627</v>
      </c>
      <c r="AF10" s="249">
        <f>'Ethylene Recycling HC'!AE308+'Ethylene Recycling HC'!AE310+'Propylene Recycling HC'!AE201+'Propylene Recycling HC'!AE203+'Methanol Recycling HC'!AE333+'Methanol Recycling HC'!AE335+'BTX Recycling HC'!AE361+'BTX Recycling HC'!AE363+'Butadiene Recycling HC'!AE249+'Butadiene Recycling HC'!AE251</f>
        <v>371461.00696701137</v>
      </c>
      <c r="AG10" s="249">
        <f>'Ethylene Recycling HC'!AF308+'Ethylene Recycling HC'!AF310+'Propylene Recycling HC'!AF201+'Propylene Recycling HC'!AF203+'Methanol Recycling HC'!AF333+'Methanol Recycling HC'!AF335+'BTX Recycling HC'!AF361+'BTX Recycling HC'!AF363+'Butadiene Recycling HC'!AF249+'Butadiene Recycling HC'!AF251</f>
        <v>364840.89447918127</v>
      </c>
      <c r="AH10" s="249">
        <f>'Ethylene Recycling HC'!AG308+'Ethylene Recycling HC'!AG310+'Propylene Recycling HC'!AG201+'Propylene Recycling HC'!AG203+'Methanol Recycling HC'!AG333+'Methanol Recycling HC'!AG335+'BTX Recycling HC'!AG361+'BTX Recycling HC'!AG363+'Butadiene Recycling HC'!AG249+'Butadiene Recycling HC'!AG251</f>
        <v>330149.00126380211</v>
      </c>
      <c r="AJ10" s="249">
        <f>'Ethylene Recycling LC'!C266+'Ethylene Recycling LC'!C268+'Propylene Recycling LC'!C187+'Propylene Recycling LC'!C189+'Methanol Recycling LC'!C333+'Methanol Recycling LC'!C335+'BTX Recycling LC'!C361+'BTX Recycling LC'!C363+'Butadiene Recycling LC'!C249+'Butadiene Recycling LC'!C251</f>
        <v>10.921715815112451</v>
      </c>
      <c r="AK10" s="249">
        <f>'Ethylene Recycling LC'!D266+'Ethylene Recycling LC'!D268+'Propylene Recycling LC'!D187+'Propylene Recycling LC'!D189+'Methanol Recycling LC'!D333+'Methanol Recycling LC'!D335+'BTX Recycling LC'!D361+'BTX Recycling LC'!D363+'Butadiene Recycling LC'!D249+'Butadiene Recycling LC'!D251</f>
        <v>23.703326350825559</v>
      </c>
      <c r="AL10" s="249">
        <f>'Ethylene Recycling LC'!E266+'Ethylene Recycling LC'!E268+'Propylene Recycling LC'!E187+'Propylene Recycling LC'!E189+'Methanol Recycling LC'!E333+'Methanol Recycling LC'!E335+'BTX Recycling LC'!E361+'BTX Recycling LC'!E363+'Butadiene Recycling LC'!E249+'Butadiene Recycling LC'!E251</f>
        <v>47.18350892451172</v>
      </c>
      <c r="AM10" s="249">
        <f>'Ethylene Recycling LC'!F266+'Ethylene Recycling LC'!F268+'Propylene Recycling LC'!F187+'Propylene Recycling LC'!F189+'Methanol Recycling LC'!F333+'Methanol Recycling LC'!F335+'BTX Recycling LC'!F361+'BTX Recycling LC'!F363+'Butadiene Recycling LC'!F249+'Butadiene Recycling LC'!F251</f>
        <v>93.370410244419659</v>
      </c>
      <c r="AN10" s="249">
        <f>'Ethylene Recycling LC'!G266+'Ethylene Recycling LC'!G268+'Propylene Recycling LC'!G187+'Propylene Recycling LC'!G189+'Methanol Recycling LC'!G333+'Methanol Recycling LC'!G335+'BTX Recycling LC'!G361+'BTX Recycling LC'!G363+'Butadiene Recycling LC'!G249+'Butadiene Recycling LC'!G251</f>
        <v>183.45943448268414</v>
      </c>
      <c r="AO10" s="249">
        <f>'Ethylene Recycling LC'!H266+'Ethylene Recycling LC'!H268+'Propylene Recycling LC'!H187+'Propylene Recycling LC'!H189+'Methanol Recycling LC'!H333+'Methanol Recycling LC'!H335+'BTX Recycling LC'!H361+'BTX Recycling LC'!H363+'Butadiene Recycling LC'!H249+'Butadiene Recycling LC'!H251</f>
        <v>357.56523808872964</v>
      </c>
      <c r="AP10" s="249">
        <f>'Ethylene Recycling LC'!I266+'Ethylene Recycling LC'!I268+'Propylene Recycling LC'!I187+'Propylene Recycling LC'!I189+'Methanol Recycling LC'!I333+'Methanol Recycling LC'!I335+'BTX Recycling LC'!I361+'BTX Recycling LC'!I363+'Butadiene Recycling LC'!I249+'Butadiene Recycling LC'!I251</f>
        <v>688.84813529220617</v>
      </c>
      <c r="AQ10" s="249">
        <f>'Ethylene Recycling LC'!J266+'Ethylene Recycling LC'!J268+'Propylene Recycling LC'!J187+'Propylene Recycling LC'!J189+'Methanol Recycling LC'!J333+'Methanol Recycling LC'!J335+'BTX Recycling LC'!J361+'BTX Recycling LC'!J363+'Butadiene Recycling LC'!J249+'Butadiene Recycling LC'!J251</f>
        <v>1311.0756117898638</v>
      </c>
      <c r="AR10" s="249">
        <f>'Ethylene Recycling LC'!K266+'Ethylene Recycling LC'!K268+'Propylene Recycling LC'!K187+'Propylene Recycling LC'!K189+'Methanol Recycling LC'!K333+'Methanol Recycling LC'!K335+'BTX Recycling LC'!K361+'BTX Recycling LC'!K363+'Butadiene Recycling LC'!K249+'Butadiene Recycling LC'!K251</f>
        <v>2457.4583084729588</v>
      </c>
      <c r="AS10" s="249">
        <f>'Ethylene Recycling LC'!L266+'Ethylene Recycling LC'!L268+'Propylene Recycling LC'!L187+'Propylene Recycling LC'!L189+'Methanol Recycling LC'!L333+'Methanol Recycling LC'!L335+'BTX Recycling LC'!L361+'BTX Recycling LC'!L363+'Butadiene Recycling LC'!L249+'Butadiene Recycling LC'!L251</f>
        <v>4517.0354407051054</v>
      </c>
      <c r="AT10" s="249">
        <f>'Ethylene Recycling LC'!M266+'Ethylene Recycling LC'!M268+'Propylene Recycling LC'!M187+'Propylene Recycling LC'!M189+'Methanol Recycling LC'!M333+'Methanol Recycling LC'!M335+'BTX Recycling LC'!M361+'BTX Recycling LC'!M363+'Butadiene Recycling LC'!M249+'Butadiene Recycling LC'!M251</f>
        <v>7463.4181726230918</v>
      </c>
      <c r="AU10" s="249">
        <f>'Ethylene Recycling LC'!N266+'Ethylene Recycling LC'!N268+'Propylene Recycling LC'!N187+'Propylene Recycling LC'!N189+'Methanol Recycling LC'!N333+'Methanol Recycling LC'!N335+'BTX Recycling LC'!N361+'BTX Recycling LC'!N363+'Butadiene Recycling LC'!N249+'Butadiene Recycling LC'!N251</f>
        <v>13809.668211293014</v>
      </c>
      <c r="AV10" s="249">
        <f>'Ethylene Recycling LC'!O266+'Ethylene Recycling LC'!O268+'Propylene Recycling LC'!O187+'Propylene Recycling LC'!O189+'Methanol Recycling LC'!O333+'Methanol Recycling LC'!O335+'BTX Recycling LC'!O361+'BTX Recycling LC'!O363+'Butadiene Recycling LC'!O249+'Butadiene Recycling LC'!O251</f>
        <v>22704.891192495175</v>
      </c>
      <c r="AW10" s="249">
        <f>'Ethylene Recycling LC'!P266+'Ethylene Recycling LC'!P268+'Propylene Recycling LC'!P187+'Propylene Recycling LC'!P189+'Methanol Recycling LC'!P333+'Methanol Recycling LC'!P335+'BTX Recycling LC'!P361+'BTX Recycling LC'!P363+'Butadiene Recycling LC'!P249+'Butadiene Recycling LC'!P251</f>
        <v>35617.741326710668</v>
      </c>
      <c r="AX10" s="249">
        <f>'Ethylene Recycling LC'!Q266+'Ethylene Recycling LC'!Q268+'Propylene Recycling LC'!Q187+'Propylene Recycling LC'!Q189+'Methanol Recycling LC'!Q333+'Methanol Recycling LC'!Q335+'BTX Recycling LC'!Q361+'BTX Recycling LC'!Q363+'Butadiene Recycling LC'!Q249+'Butadiene Recycling LC'!Q251</f>
        <v>53019.43124918898</v>
      </c>
      <c r="AY10" s="249">
        <f>'Ethylene Recycling LC'!R266+'Ethylene Recycling LC'!R268+'Propylene Recycling LC'!R187+'Propylene Recycling LC'!R189+'Methanol Recycling LC'!R333+'Methanol Recycling LC'!R335+'BTX Recycling LC'!R361+'BTX Recycling LC'!R363+'Butadiene Recycling LC'!R249+'Butadiene Recycling LC'!R251</f>
        <v>74537.270989022858</v>
      </c>
      <c r="AZ10" s="249">
        <f>'Ethylene Recycling LC'!S266+'Ethylene Recycling LC'!S268+'Propylene Recycling LC'!S187+'Propylene Recycling LC'!S189+'Methanol Recycling LC'!S333+'Methanol Recycling LC'!S335+'BTX Recycling LC'!S361+'BTX Recycling LC'!S363+'Butadiene Recycling LC'!S249+'Butadiene Recycling LC'!S251</f>
        <v>98818.399338077958</v>
      </c>
      <c r="BA10" s="249">
        <f>'Ethylene Recycling LC'!T266+'Ethylene Recycling LC'!T268+'Propylene Recycling LC'!T187+'Propylene Recycling LC'!T189+'Methanol Recycling LC'!T333+'Methanol Recycling LC'!T335+'BTX Recycling LC'!T361+'BTX Recycling LC'!T363+'Butadiene Recycling LC'!T249+'Butadiene Recycling LC'!T251</f>
        <v>123738.40334642764</v>
      </c>
      <c r="BB10" s="249">
        <f>'Ethylene Recycling LC'!U266+'Ethylene Recycling LC'!U268+'Propylene Recycling LC'!U187+'Propylene Recycling LC'!U189+'Methanol Recycling LC'!U333+'Methanol Recycling LC'!U335+'BTX Recycling LC'!U361+'BTX Recycling LC'!U363+'Butadiene Recycling LC'!U249+'Butadiene Recycling LC'!U251</f>
        <v>147043.34616122334</v>
      </c>
      <c r="BC10" s="249">
        <f>'Ethylene Recycling LC'!V266+'Ethylene Recycling LC'!V268+'Propylene Recycling LC'!V187+'Propylene Recycling LC'!V189+'Methanol Recycling LC'!V333+'Methanol Recycling LC'!V335+'BTX Recycling LC'!V361+'BTX Recycling LC'!V363+'Butadiene Recycling LC'!V249+'Butadiene Recycling LC'!V251</f>
        <v>166964.35652326746</v>
      </c>
      <c r="BD10" s="249">
        <f>'Ethylene Recycling LC'!W266+'Ethylene Recycling LC'!W268+'Propylene Recycling LC'!W187+'Propylene Recycling LC'!W189+'Methanol Recycling LC'!W333+'Methanol Recycling LC'!W335+'BTX Recycling LC'!W361+'BTX Recycling LC'!W363+'Butadiene Recycling LC'!W249+'Butadiene Recycling LC'!W251</f>
        <v>162455.54871988422</v>
      </c>
      <c r="BE10" s="249">
        <f>'Ethylene Recycling LC'!X266+'Ethylene Recycling LC'!X268+'Propylene Recycling LC'!X187+'Propylene Recycling LC'!X189+'Methanol Recycling LC'!X333+'Methanol Recycling LC'!X335+'BTX Recycling LC'!X361+'BTX Recycling LC'!X363+'Butadiene Recycling LC'!X249+'Butadiene Recycling LC'!X251</f>
        <v>196744.75734659832</v>
      </c>
      <c r="BF10" s="249">
        <f>'Ethylene Recycling LC'!Y266+'Ethylene Recycling LC'!Y268+'Propylene Recycling LC'!Y187+'Propylene Recycling LC'!Y189+'Methanol Recycling LC'!Y333+'Methanol Recycling LC'!Y335+'BTX Recycling LC'!Y361+'BTX Recycling LC'!Y363+'Butadiene Recycling LC'!Y249+'Butadiene Recycling LC'!Y251</f>
        <v>206957.65905277131</v>
      </c>
      <c r="BG10" s="249">
        <f>'Ethylene Recycling LC'!Z266+'Ethylene Recycling LC'!Z268+'Propylene Recycling LC'!Z187+'Propylene Recycling LC'!Z189+'Methanol Recycling LC'!Z333+'Methanol Recycling LC'!Z335+'BTX Recycling LC'!Z361+'BTX Recycling LC'!Z363+'Butadiene Recycling LC'!Z249+'Butadiene Recycling LC'!Z251</f>
        <v>213678.61650406013</v>
      </c>
      <c r="BH10" s="249">
        <f>'Ethylene Recycling LC'!AA266+'Ethylene Recycling LC'!AA268+'Propylene Recycling LC'!AA187+'Propylene Recycling LC'!AA189+'Methanol Recycling LC'!AA333+'Methanol Recycling LC'!AA335+'BTX Recycling LC'!AA361+'BTX Recycling LC'!AA363+'Butadiene Recycling LC'!AA249+'Butadiene Recycling LC'!AA251</f>
        <v>217540.59411905566</v>
      </c>
      <c r="BI10" s="249">
        <f>'Ethylene Recycling LC'!AB266+'Ethylene Recycling LC'!AB268+'Propylene Recycling LC'!AB187+'Propylene Recycling LC'!AB189+'Methanol Recycling LC'!AB333+'Methanol Recycling LC'!AB335+'BTX Recycling LC'!AB361+'BTX Recycling LC'!AB363+'Butadiene Recycling LC'!AB249+'Butadiene Recycling LC'!AB251</f>
        <v>219140.99159360881</v>
      </c>
      <c r="BJ10" s="249">
        <f>'Ethylene Recycling LC'!AC266+'Ethylene Recycling LC'!AC268+'Propylene Recycling LC'!AC187+'Propylene Recycling LC'!AC189+'Methanol Recycling LC'!AC333+'Methanol Recycling LC'!AC335+'BTX Recycling LC'!AC361+'BTX Recycling LC'!AC363+'Butadiene Recycling LC'!AC249+'Butadiene Recycling LC'!AC251</f>
        <v>218934.46739272992</v>
      </c>
      <c r="BK10" s="249">
        <f>'Ethylene Recycling LC'!AD266+'Ethylene Recycling LC'!AD268+'Propylene Recycling LC'!AD187+'Propylene Recycling LC'!AD189+'Methanol Recycling LC'!AD333+'Methanol Recycling LC'!AD335+'BTX Recycling LC'!AD361+'BTX Recycling LC'!AD363+'Butadiene Recycling LC'!AD249+'Butadiene Recycling LC'!AD251</f>
        <v>217399.33143973252</v>
      </c>
      <c r="BL10" s="249">
        <f>'Ethylene Recycling LC'!AE266+'Ethylene Recycling LC'!AE268+'Propylene Recycling LC'!AE187+'Propylene Recycling LC'!AE189+'Methanol Recycling LC'!AE333+'Methanol Recycling LC'!AE335+'BTX Recycling LC'!AE361+'BTX Recycling LC'!AE363+'Butadiene Recycling LC'!AE249+'Butadiene Recycling LC'!AE251</f>
        <v>214863.15583348737</v>
      </c>
      <c r="BM10" s="249">
        <f>'Ethylene Recycling LC'!AF266+'Ethylene Recycling LC'!AF268+'Propylene Recycling LC'!AF187+'Propylene Recycling LC'!AF189+'Methanol Recycling LC'!AF333+'Methanol Recycling LC'!AF335+'BTX Recycling LC'!AF361+'BTX Recycling LC'!AF363+'Butadiene Recycling LC'!AF249+'Butadiene Recycling LC'!AF251</f>
        <v>211574.20791458865</v>
      </c>
      <c r="BN10" s="249">
        <f>'Ethylene Recycling LC'!AG266+'Ethylene Recycling LC'!AG268+'Propylene Recycling LC'!AG187+'Propylene Recycling LC'!AG189+'Methanol Recycling LC'!AG333+'Methanol Recycling LC'!AG335+'BTX Recycling LC'!AG361+'BTX Recycling LC'!AG363+'Butadiene Recycling LC'!AG249+'Butadiene Recycling LC'!AG251</f>
        <v>177668.66414067693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s="492" t="s">
        <v>1385</v>
      </c>
      <c r="C11" s="50" t="s">
        <v>171</v>
      </c>
      <c r="D11" s="40">
        <f>(D$4-D$9-D$10)*'Ethylene Recycling HC'!C247</f>
        <v>6092876.5983309802</v>
      </c>
      <c r="E11" s="40">
        <f>(E$4-E$9-E$10)*'Ethylene Recycling HC'!D247</f>
        <v>5936780.5184506513</v>
      </c>
      <c r="F11" s="40">
        <f>(F$4-F$9-F$10)*'Ethylene Recycling HC'!E247</f>
        <v>5783019.8512874637</v>
      </c>
      <c r="G11" s="40">
        <f>(G$4-G$9-G$10)*'Ethylene Recycling HC'!F247</f>
        <v>5631608.8497644495</v>
      </c>
      <c r="H11" s="40">
        <f>(H$4-H$9-H$10)*'Ethylene Recycling HC'!G247</f>
        <v>5482421.1058161631</v>
      </c>
      <c r="I11" s="40">
        <f>(I$4-I$9-I$10)*'Ethylene Recycling HC'!H247</f>
        <v>5335328.8641136838</v>
      </c>
      <c r="J11" s="40">
        <f>(J$4-J$9-J$10)*'Ethylene Recycling HC'!I247</f>
        <v>5168254.8049775129</v>
      </c>
      <c r="K11" s="40">
        <f>(K$4-K$9-K$10)*'Ethylene Recycling HC'!J247</f>
        <v>5003558.8135315524</v>
      </c>
      <c r="L11" s="40">
        <f>(L$4-L$9-L$10)*'Ethylene Recycling HC'!K247</f>
        <v>4840796.5899661174</v>
      </c>
      <c r="M11" s="40">
        <f>(M$4-M$9-M$10)*'Ethylene Recycling HC'!L247</f>
        <v>4679255.6524519064</v>
      </c>
      <c r="N11" s="40">
        <f>(N$4-N$9-N$10)*'Ethylene Recycling HC'!M247</f>
        <v>4518450.5784070725</v>
      </c>
      <c r="O11" s="40">
        <f>(O$4-O$9-O$10)*'Ethylene Recycling HC'!N247</f>
        <v>4371612.2810737407</v>
      </c>
      <c r="P11" s="40">
        <f>(P$4-P$9-P$10)*'Ethylene Recycling HC'!O247</f>
        <v>4229110.4137577992</v>
      </c>
      <c r="Q11" s="40">
        <f>(Q$4-Q$9-Q$10)*'Ethylene Recycling HC'!P247</f>
        <v>4075357.1732800351</v>
      </c>
      <c r="R11" s="40">
        <f>(R$4-R$9-R$10)*'Ethylene Recycling HC'!Q247</f>
        <v>3916040.8968486106</v>
      </c>
      <c r="S11" s="40">
        <f>(S$4-S$9-S$10)*'Ethylene Recycling HC'!R247</f>
        <v>3751793.951541631</v>
      </c>
      <c r="T11" s="40">
        <f>(T$4-T$9-T$10)*'Ethylene Recycling HC'!S247</f>
        <v>3587339.1429802519</v>
      </c>
      <c r="U11" s="40">
        <f>(U$4-U$9-U$10)*'Ethylene Recycling HC'!T247</f>
        <v>3423835.9543497879</v>
      </c>
      <c r="V11" s="40">
        <f>(V$4-V$9-V$10)*'Ethylene Recycling HC'!U247</f>
        <v>3265133.2949740025</v>
      </c>
      <c r="W11" s="40">
        <f>(W$4-W$9-W$10)*'Ethylene Recycling HC'!V247</f>
        <v>3114226.4021514384</v>
      </c>
      <c r="X11" s="40">
        <f>(X$4-X$9-X$10)*'Ethylene Recycling HC'!W247</f>
        <v>2991052.0161623363</v>
      </c>
      <c r="Y11" s="40">
        <f>(Y$4-Y$9-Y$10)*'Ethylene Recycling HC'!X247</f>
        <v>2819345.4862039927</v>
      </c>
      <c r="Z11" s="40">
        <f>(Z$4-Z$9-Z$10)*'Ethylene Recycling HC'!Y247</f>
        <v>2674363.6884674202</v>
      </c>
      <c r="AA11" s="40">
        <f>(AA$4-AA$9-AA$10)*'Ethylene Recycling HC'!Z247</f>
        <v>2536464.1863775733</v>
      </c>
      <c r="AB11" s="40">
        <f>(AB$4-AB$9-AB$10)*'Ethylene Recycling HC'!AA247</f>
        <v>2405815.822080004</v>
      </c>
      <c r="AC11" s="40">
        <f>(AC$4-AC$9-AC$10)*'Ethylene Recycling HC'!AB247</f>
        <v>2281341.7135857726</v>
      </c>
      <c r="AD11" s="40">
        <f>(AD$4-AD$9-AD$10)*'Ethylene Recycling HC'!AC247</f>
        <v>2161114.6591363596</v>
      </c>
      <c r="AE11" s="40">
        <f>(AE$4-AE$9-AE$10)*'Ethylene Recycling HC'!AD247</f>
        <v>2045471.6428387959</v>
      </c>
      <c r="AF11" s="40">
        <f>(AF$4-AF$9-AF$10)*'Ethylene Recycling HC'!AE247</f>
        <v>1933813.1839398651</v>
      </c>
      <c r="AG11" s="40">
        <f>(AG$4-AG$9-AG$10)*'Ethylene Recycling HC'!AF247</f>
        <v>1825678.249550099</v>
      </c>
      <c r="AH11" s="40">
        <f>(AH$4-AH$9-AH$10)*'Ethylene Recycling HC'!AG247</f>
        <v>1747233.1308009506</v>
      </c>
      <c r="AJ11" s="40">
        <f>(AJ$4-AJ$9-AJ$10)*'Ethylene Recycling LC'!C205</f>
        <v>6092885.4945944482</v>
      </c>
      <c r="AK11" s="40">
        <f>(AK$4-AK$9-AK$10)*'Ethylene Recycling LC'!D205</f>
        <v>5947745.3125738297</v>
      </c>
      <c r="AL11" s="40">
        <f>(AL$4-AL$9-AL$10)*'Ethylene Recycling LC'!E205</f>
        <v>5805303.4160590321</v>
      </c>
      <c r="AM11" s="40">
        <f>(AM$4-AM$9-AM$10)*'Ethylene Recycling LC'!F205</f>
        <v>5664989.1895826356</v>
      </c>
      <c r="AN11" s="40">
        <f>(AN$4-AN$9-AN$10)*'Ethylene Recycling LC'!G205</f>
        <v>5526890.3140756553</v>
      </c>
      <c r="AO11" s="40">
        <f>(AO$4-AO$9-AO$10)*'Ethylene Recycling LC'!H205</f>
        <v>5390909.7548761126</v>
      </c>
      <c r="AP11" s="40">
        <f>(AP$4-AP$9-AP$10)*'Ethylene Recycling LC'!I205</f>
        <v>5247898.1252961401</v>
      </c>
      <c r="AQ11" s="40">
        <f>(AQ$4-AQ$9-AQ$10)*'Ethylene Recycling LC'!J205</f>
        <v>5107396.913141124</v>
      </c>
      <c r="AR11" s="40">
        <f>(AR$4-AR$9-AR$10)*'Ethylene Recycling LC'!K205</f>
        <v>4969139.2978055105</v>
      </c>
      <c r="AS11" s="40">
        <f>(AS$4-AS$9-AS$10)*'Ethylene Recycling LC'!L205</f>
        <v>4832708.3596155876</v>
      </c>
      <c r="AT11" s="40">
        <f>(AT$4-AT$9-AT$10)*'Ethylene Recycling LC'!M205</f>
        <v>4698092.8273710739</v>
      </c>
      <c r="AU11" s="40">
        <f>(AU$4-AU$9-AU$10)*'Ethylene Recycling LC'!N205</f>
        <v>4585351.9701646278</v>
      </c>
      <c r="AV11" s="40">
        <f>(AV$4-AV$9-AV$10)*'Ethylene Recycling LC'!O205</f>
        <v>4477818.0802820316</v>
      </c>
      <c r="AW11" s="40">
        <f>(AW$4-AW$9-AW$10)*'Ethylene Recycling LC'!P205</f>
        <v>4363709.1194436885</v>
      </c>
      <c r="AX11" s="40">
        <f>(AX$4-AX$9-AX$10)*'Ethylene Recycling LC'!Q205</f>
        <v>4247248.6266531665</v>
      </c>
      <c r="AY11" s="40">
        <f>(AY$4-AY$9-AY$10)*'Ethylene Recycling LC'!R205</f>
        <v>4128752.316917812</v>
      </c>
      <c r="AZ11" s="40">
        <f>(AZ$4-AZ$9-AZ$10)*'Ethylene Recycling LC'!S205</f>
        <v>4010457.2291909414</v>
      </c>
      <c r="BA11" s="40">
        <f>(BA$4-BA$9-BA$10)*'Ethylene Recycling LC'!T205</f>
        <v>3893344.0367659163</v>
      </c>
      <c r="BB11" s="40">
        <f>(BB$4-BB$9-BB$10)*'Ethylene Recycling LC'!U205</f>
        <v>3779566.4333797372</v>
      </c>
      <c r="BC11" s="40">
        <f>(BC$4-BC$9-BC$10)*'Ethylene Recycling LC'!V205</f>
        <v>3670808.5762311765</v>
      </c>
      <c r="BD11" s="40">
        <f>(BD$4-BD$9-BD$10)*'Ethylene Recycling LC'!W205</f>
        <v>3587585.2341998713</v>
      </c>
      <c r="BE11" s="40">
        <f>(BE$4-BE$9-BE$10)*'Ethylene Recycling LC'!X205</f>
        <v>3447606.4474159069</v>
      </c>
      <c r="BF11" s="40">
        <f>(BF$4-BF$9-BF$10)*'Ethylene Recycling LC'!Y205</f>
        <v>3332645.2887556758</v>
      </c>
      <c r="BG11" s="40">
        <f>(BG$4-BG$9-BG$10)*'Ethylene Recycling LC'!Z205</f>
        <v>3223473.9397287462</v>
      </c>
      <c r="BH11" s="40">
        <f>(BH$4-BH$9-BH$10)*'Ethylene Recycling LC'!AA205</f>
        <v>3119301.9971062494</v>
      </c>
      <c r="BI11" s="40">
        <f>(BI$4-BI$9-BI$10)*'Ethylene Recycling LC'!AB205</f>
        <v>3019503.7842856105</v>
      </c>
      <c r="BJ11" s="40">
        <f>(BJ$4-BJ$9-BJ$10)*'Ethylene Recycling LC'!AC205</f>
        <v>2923413.7397799664</v>
      </c>
      <c r="BK11" s="40">
        <f>(BK$4-BK$9-BK$10)*'Ethylene Recycling LC'!AD205</f>
        <v>2830805.046180293</v>
      </c>
      <c r="BL11" s="40">
        <f>(BL$4-BL$9-BL$10)*'Ethylene Recycling LC'!AE205</f>
        <v>2741324.0990021247</v>
      </c>
      <c r="BM11" s="40">
        <f>(BM$4-BM$9-BM$10)*'Ethylene Recycling LC'!AF205</f>
        <v>2654696.1193801975</v>
      </c>
      <c r="BN11" s="40">
        <f>(BN$4-BN$9-BN$10)*'Ethylene Recycling LC'!AG205</f>
        <v>2600157.4045430771</v>
      </c>
      <c r="BP11" s="40">
        <f>(BP$4-BP$9-BP$10)*'Ethylene Recycling HC'!C226</f>
        <v>6092896.0886587892</v>
      </c>
      <c r="BQ11" s="40">
        <f>(BQ$4-BQ$9-BQ$10)*'Ethylene Recycling HC'!D226</f>
        <v>6055531.0825194847</v>
      </c>
      <c r="BR11" s="40">
        <f>(BR$4-BR$9-BR$10)*'Ethylene Recycling HC'!E226</f>
        <v>6017791.694453666</v>
      </c>
      <c r="BS11" s="40">
        <f>(BS$4-BS$9-BS$10)*'Ethylene Recycling HC'!F226</f>
        <v>5979671.0764494045</v>
      </c>
      <c r="BT11" s="40">
        <f>(BT$4-BT$9-BT$10)*'Ethylene Recycling HC'!G226</f>
        <v>5941162.2646794803</v>
      </c>
      <c r="BU11" s="40">
        <f>(BU$4-BU$9-BU$10)*'Ethylene Recycling HC'!H226</f>
        <v>5902258.1775287036</v>
      </c>
      <c r="BV11" s="40">
        <f>(BV$4-BV$9-BV$10)*'Ethylene Recycling HC'!I226</f>
        <v>5862951.6135876533</v>
      </c>
      <c r="BW11" s="40">
        <f>(BW$4-BW$9-BW$10)*'Ethylene Recycling HC'!J226</f>
        <v>5823235.2496122969</v>
      </c>
      <c r="BX11" s="40">
        <f>(BX$4-BX$9-BX$10)*'Ethylene Recycling HC'!K226</f>
        <v>5783101.6384488782</v>
      </c>
      <c r="BY11" s="40">
        <f>(BY$4-BY$9-BY$10)*'Ethylene Recycling HC'!L226</f>
        <v>5742543.2069235044</v>
      </c>
      <c r="BZ11" s="40">
        <f>(BZ$4-BZ$9-BZ$10)*'Ethylene Recycling HC'!M226</f>
        <v>5701552.2536958233</v>
      </c>
      <c r="CA11" s="40">
        <f>(CA$4-CA$9-CA$10)*'Ethylene Recycling HC'!N226</f>
        <v>5660120.9470761763</v>
      </c>
      <c r="CB11" s="40">
        <f>(CB$4-CB$9-CB$10)*'Ethylene Recycling HC'!O226</f>
        <v>5618241.3228056142</v>
      </c>
      <c r="CC11" s="40">
        <f>(CC$4-CC$9-CC$10)*'Ethylene Recycling HC'!P226</f>
        <v>5575905.2817981383</v>
      </c>
      <c r="CD11" s="40">
        <f>(CD$4-CD$9-CD$10)*'Ethylene Recycling HC'!Q226</f>
        <v>5533104.5878445357</v>
      </c>
      <c r="CE11" s="40">
        <f>(CE$4-CE$9-CE$10)*'Ethylene Recycling HC'!R226</f>
        <v>5489830.8652771227</v>
      </c>
      <c r="CF11" s="40">
        <f>(CF$4-CF$9-CF$10)*'Ethylene Recycling HC'!S226</f>
        <v>5446075.5965947798</v>
      </c>
      <c r="CG11" s="40">
        <f>(CG$4-CG$9-CG$10)*'Ethylene Recycling HC'!T226</f>
        <v>5401830.1200475665</v>
      </c>
      <c r="CH11" s="40">
        <f>(CH$4-CH$9-CH$10)*'Ethylene Recycling HC'!U226</f>
        <v>5357085.6271802308</v>
      </c>
      <c r="CI11" s="40">
        <f>(CI$4-CI$9-CI$10)*'Ethylene Recycling HC'!V226</f>
        <v>5311833.1603339454</v>
      </c>
      <c r="CJ11" s="40">
        <f>(CJ$4-CJ$9-CJ$10)*'Ethylene Recycling HC'!W226</f>
        <v>5266063.6101055183</v>
      </c>
      <c r="CK11" s="40">
        <f>(CK$4-CK$9-CK$10)*'Ethylene Recycling HC'!X226</f>
        <v>5219767.7127633793</v>
      </c>
      <c r="CL11" s="40">
        <f>(CL$4-CL$9-CL$10)*'Ethylene Recycling HC'!Y226</f>
        <v>5172936.0476196026</v>
      </c>
      <c r="CM11" s="40">
        <f>(CM$4-CM$9-CM$10)*'Ethylene Recycling HC'!Z226</f>
        <v>5125559.034357219</v>
      </c>
      <c r="CN11" s="40">
        <f>(CN$4-CN$9-CN$10)*'Ethylene Recycling HC'!AA226</f>
        <v>5077626.9303120533</v>
      </c>
      <c r="CO11" s="40">
        <f>(CO$4-CO$9-CO$10)*'Ethylene Recycling HC'!AB226</f>
        <v>5029129.8277083142</v>
      </c>
      <c r="CP11" s="40">
        <f>(CP$4-CP$9-CP$10)*'Ethylene Recycling HC'!AC226</f>
        <v>4980057.6508471528</v>
      </c>
      <c r="CQ11" s="40">
        <f>(CQ$4-CQ$9-CQ$10)*'Ethylene Recycling HC'!AD226</f>
        <v>4930400.1532473778</v>
      </c>
      <c r="CR11" s="40">
        <f>(CR$4-CR$9-CR$10)*'Ethylene Recycling HC'!AE226</f>
        <v>4880146.9147375496</v>
      </c>
      <c r="CS11" s="40">
        <f>(CS$4-CS$9-CS$10)*'Ethylene Recycling HC'!AF226</f>
        <v>4829287.3384985747</v>
      </c>
      <c r="CT11" s="40">
        <f>(CT$4-CT$9-CT$10)*'Ethylene Recycling HC'!AG226</f>
        <v>4777810.6480559995</v>
      </c>
    </row>
    <row r="12" spans="1:98">
      <c r="A12" s="492" t="s">
        <v>620</v>
      </c>
      <c r="C12" s="50" t="s">
        <v>171</v>
      </c>
      <c r="D12" s="40">
        <f>(D$4-D$9-D$10)*'Ethylene Recycling HC'!C248</f>
        <v>62813.160807535882</v>
      </c>
      <c r="E12" s="40">
        <f>(E$4-E$9-E$10)*'Ethylene Recycling HC'!D248</f>
        <v>61182.897819828082</v>
      </c>
      <c r="F12" s="40">
        <f>(F$4-F$9-F$10)*'Ethylene Recycling HC'!E248</f>
        <v>59577.814401999975</v>
      </c>
      <c r="G12" s="40">
        <f>(G$4-G$9-G$10)*'Ethylene Recycling HC'!F248</f>
        <v>57998.031408490737</v>
      </c>
      <c r="H12" s="40">
        <f>(H$4-H$9-H$10)*'Ethylene Recycling HC'!G248</f>
        <v>56442.221405108066</v>
      </c>
      <c r="I12" s="40">
        <f>(I$4-I$9-I$10)*'Ethylene Recycling HC'!H248</f>
        <v>54909.044913691439</v>
      </c>
      <c r="J12" s="40">
        <f>(J$4-J$9-J$10)*'Ethylene Recycling HC'!I248</f>
        <v>53171.345730221336</v>
      </c>
      <c r="K12" s="40">
        <f>(K$4-K$9-K$10)*'Ethylene Recycling HC'!J248</f>
        <v>51459.295305432504</v>
      </c>
      <c r="L12" s="40">
        <f>(L$4-L$9-L$10)*'Ethylene Recycling HC'!K248</f>
        <v>49768.299417060858</v>
      </c>
      <c r="M12" s="40">
        <f>(M$4-M$9-M$10)*'Ethylene Recycling HC'!L248</f>
        <v>48091.013899814061</v>
      </c>
      <c r="N12" s="40">
        <f>(N$4-N$9-N$10)*'Ethylene Recycling HC'!M248</f>
        <v>46422.437449387748</v>
      </c>
      <c r="O12" s="40">
        <f>(O$4-O$9-O$10)*'Ethylene Recycling HC'!N248</f>
        <v>44898.448624516357</v>
      </c>
      <c r="P12" s="40">
        <f>(P$4-P$9-P$10)*'Ethylene Recycling HC'!O248</f>
        <v>43420.02478190761</v>
      </c>
      <c r="Q12" s="40">
        <f>(Q$4-Q$9-Q$10)*'Ethylene Recycling HC'!P248</f>
        <v>41827.134860896724</v>
      </c>
      <c r="R12" s="40">
        <f>(R$4-R$9-R$10)*'Ethylene Recycling HC'!Q248</f>
        <v>40178.258175601361</v>
      </c>
      <c r="S12" s="40">
        <f>(S$4-S$9-S$10)*'Ethylene Recycling HC'!R248</f>
        <v>38479.93796452957</v>
      </c>
      <c r="T12" s="40">
        <f>(T$4-T$9-T$10)*'Ethylene Recycling HC'!S248</f>
        <v>36780.647398977315</v>
      </c>
      <c r="U12" s="40">
        <f>(U$4-U$9-U$10)*'Ethylene Recycling HC'!T248</f>
        <v>35092.271482915516</v>
      </c>
      <c r="V12" s="40">
        <f>(V$4-V$9-V$10)*'Ethylene Recycling HC'!U248</f>
        <v>33454.234579651689</v>
      </c>
      <c r="W12" s="40">
        <f>(W$4-W$9-W$10)*'Ethylene Recycling HC'!V248</f>
        <v>31897.163559079283</v>
      </c>
      <c r="X12" s="40">
        <f>(X$4-X$9-X$10)*'Ethylene Recycling HC'!W248</f>
        <v>30625.10596753248</v>
      </c>
      <c r="Y12" s="40">
        <f>(Y$4-Y$9-Y$10)*'Ethylene Recycling HC'!X248</f>
        <v>28857.16976667344</v>
      </c>
      <c r="Z12" s="40">
        <f>(Z$4-Z$9-Z$10)*'Ethylene Recycling HC'!Y248</f>
        <v>27363.884943391091</v>
      </c>
      <c r="AA12" s="40">
        <f>(AA$4-AA$9-AA$10)*'Ethylene Recycling HC'!Z248</f>
        <v>25944.059185587204</v>
      </c>
      <c r="AB12" s="40">
        <f>(AB$4-AB$9-AB$10)*'Ethylene Recycling HC'!AA248</f>
        <v>24599.343784049146</v>
      </c>
      <c r="AC12" s="40">
        <f>(AC$4-AC$9-AC$10)*'Ethylene Recycling HC'!AB248</f>
        <v>23318.65465334693</v>
      </c>
      <c r="AD12" s="40">
        <f>(AD$4-AD$9-AD$10)*'Ethylene Recycling HC'!AC248</f>
        <v>22082.234255480533</v>
      </c>
      <c r="AE12" s="40">
        <f>(AE$4-AE$9-AE$10)*'Ethylene Recycling HC'!AD248</f>
        <v>20893.479497842676</v>
      </c>
      <c r="AF12" s="40">
        <f>(AF$4-AF$9-AF$10)*'Ethylene Recycling HC'!AE248</f>
        <v>19746.220394212396</v>
      </c>
      <c r="AG12" s="40">
        <f>(AG$4-AG$9-AG$10)*'Ethylene Recycling HC'!AF248</f>
        <v>18635.708569752649</v>
      </c>
      <c r="AH12" s="40">
        <f>(AH$4-AH$9-AH$10)*'Ethylene Recycling HC'!AG248</f>
        <v>17828.909497968882</v>
      </c>
      <c r="AJ12" s="40">
        <f>(AJ$4-AJ$9-AJ$10)*'Ethylene Recycling LC'!C206</f>
        <v>62813.252521592251</v>
      </c>
      <c r="AK12" s="40">
        <f>(AK$4-AK$9-AK$10)*'Ethylene Recycling LC'!D206</f>
        <v>61295.898102787673</v>
      </c>
      <c r="AL12" s="40">
        <f>(AL$4-AL$9-AL$10)*'Ethylene Recycling LC'!E206</f>
        <v>59807.384094014764</v>
      </c>
      <c r="AM12" s="40">
        <f>(AM$4-AM$9-AM$10)*'Ethylene Recycling LC'!F206</f>
        <v>58341.8042181528</v>
      </c>
      <c r="AN12" s="40">
        <f>(AN$4-AN$9-AN$10)*'Ethylene Recycling LC'!G206</f>
        <v>56900.037550538676</v>
      </c>
      <c r="AO12" s="40">
        <f>(AO$4-AO$9-AO$10)*'Ethylene Recycling LC'!H206</f>
        <v>55481.060942121243</v>
      </c>
      <c r="AP12" s="40">
        <f>(AP$4-AP$9-AP$10)*'Ethylene Recycling LC'!I206</f>
        <v>53990.721453664009</v>
      </c>
      <c r="AQ12" s="40">
        <f>(AQ$4-AQ$9-AQ$10)*'Ethylene Recycling LC'!J206</f>
        <v>52527.222281190865</v>
      </c>
      <c r="AR12" s="40">
        <f>(AR$4-AR$9-AR$10)*'Ethylene Recycling LC'!K206</f>
        <v>51087.792643648172</v>
      </c>
      <c r="AS12" s="40">
        <f>(AS$4-AS$9-AS$10)*'Ethylene Recycling LC'!L206</f>
        <v>49668.122914857035</v>
      </c>
      <c r="AT12" s="40">
        <f>(AT$4-AT$9-AT$10)*'Ethylene Recycling LC'!M206</f>
        <v>48268.076993538452</v>
      </c>
      <c r="AU12" s="40">
        <f>(AU$4-AU$9-AU$10)*'Ethylene Recycling LC'!N206</f>
        <v>47093.652552187232</v>
      </c>
      <c r="AV12" s="40">
        <f>(AV$4-AV$9-AV$10)*'Ethylene Recycling LC'!O206</f>
        <v>45973.491584004456</v>
      </c>
      <c r="AW12" s="40">
        <f>(AW$4-AW$9-AW$10)*'Ethylene Recycling LC'!P206</f>
        <v>44786.614294666688</v>
      </c>
      <c r="AX12" s="40">
        <f>(AX$4-AX$9-AX$10)*'Ethylene Recycling LC'!Q206</f>
        <v>43576.422298083133</v>
      </c>
      <c r="AY12" s="40">
        <f>(AY$4-AY$9-AY$10)*'Ethylene Recycling LC'!R206</f>
        <v>42346.177609413484</v>
      </c>
      <c r="AZ12" s="40">
        <f>(AZ$4-AZ$9-AZ$10)*'Ethylene Recycling LC'!S206</f>
        <v>41118.836936339139</v>
      </c>
      <c r="BA12" s="40">
        <f>(BA$4-BA$9-BA$10)*'Ethylene Recycling LC'!T206</f>
        <v>39904.448617347989</v>
      </c>
      <c r="BB12" s="40">
        <f>(BB$4-BB$9-BB$10)*'Ethylene Recycling LC'!U206</f>
        <v>38725.065915776024</v>
      </c>
      <c r="BC12" s="40">
        <f>(BC$4-BC$9-BC$10)*'Ethylene Recycling LC'!V206</f>
        <v>37597.902795129863</v>
      </c>
      <c r="BD12" s="40">
        <f>(BD$4-BD$9-BD$10)*'Ethylene Recycling LC'!W206</f>
        <v>36732.954616380965</v>
      </c>
      <c r="BE12" s="40">
        <f>(BE$4-BE$9-BE$10)*'Ethylene Recycling LC'!X206</f>
        <v>35287.68114038802</v>
      </c>
      <c r="BF12" s="40">
        <f>(BF$4-BF$9-BF$10)*'Ethylene Recycling LC'!Y206</f>
        <v>34099.371985903941</v>
      </c>
      <c r="BG12" s="40">
        <f>(BG$4-BG$9-BG$10)*'Ethylene Recycling LC'!Z206</f>
        <v>32971.093826069715</v>
      </c>
      <c r="BH12" s="40">
        <f>(BH$4-BH$9-BH$10)*'Ethylene Recycling LC'!AA206</f>
        <v>31894.703446894197</v>
      </c>
      <c r="BI12" s="40">
        <f>(BI$4-BI$9-BI$10)*'Ethylene Recycling LC'!AB206</f>
        <v>30863.752479921091</v>
      </c>
      <c r="BJ12" s="40">
        <f>(BJ$4-BJ$9-BJ$10)*'Ethylene Recycling LC'!AC206</f>
        <v>29871.393798841647</v>
      </c>
      <c r="BK12" s="40">
        <f>(BK$4-BK$9-BK$10)*'Ethylene Recycling LC'!AD206</f>
        <v>28915.271156080653</v>
      </c>
      <c r="BL12" s="40">
        <f>(BL$4-BL$9-BL$10)*'Ethylene Recycling LC'!AE206</f>
        <v>27991.736885658214</v>
      </c>
      <c r="BM12" s="40">
        <f>(BM$4-BM$9-BM$10)*'Ethylene Recycling LC'!AF206</f>
        <v>27097.952902826135</v>
      </c>
      <c r="BN12" s="40">
        <f>(BN$4-BN$9-BN$10)*'Ethylene Recycling LC'!AG206</f>
        <v>26532.218413704872</v>
      </c>
      <c r="BP12" s="40">
        <f>(BP$4-BP$9-BP$10)*'Ethylene Recycling HC'!C227</f>
        <v>62813.361738750405</v>
      </c>
      <c r="BQ12" s="40">
        <f>(BQ$4-BQ$9-BQ$10)*'Ethylene Recycling HC'!D227</f>
        <v>62406.709885120086</v>
      </c>
      <c r="BR12" s="40">
        <f>(BR$4-BR$9-BR$10)*'Ethylene Recycling HC'!E227</f>
        <v>61996.480368684752</v>
      </c>
      <c r="BS12" s="40">
        <f>(BS$4-BS$9-BS$10)*'Ethylene Recycling HC'!F227</f>
        <v>61582.606348603556</v>
      </c>
      <c r="BT12" s="40">
        <f>(BT$4-BT$9-BT$10)*'Ethylene Recycling HC'!G227</f>
        <v>61165.019883453831</v>
      </c>
      <c r="BU12" s="40">
        <f>(BU$4-BU$9-BU$10)*'Ethylene Recycling HC'!H227</f>
        <v>60743.651912816858</v>
      </c>
      <c r="BV12" s="40">
        <f>(BV$4-BV$9-BV$10)*'Ethylene Recycling HC'!I227</f>
        <v>60318.432238556117</v>
      </c>
      <c r="BW12" s="40">
        <f>(BW$4-BW$9-BW$10)*'Ethylene Recycling HC'!J227</f>
        <v>59889.289505782988</v>
      </c>
      <c r="BX12" s="40">
        <f>(BX$4-BX$9-BX$10)*'Ethylene Recycling HC'!K227</f>
        <v>59456.151183504597</v>
      </c>
      <c r="BY12" s="40">
        <f>(BY$4-BY$9-BY$10)*'Ethylene Recycling HC'!L227</f>
        <v>59018.943544948677</v>
      </c>
      <c r="BZ12" s="40">
        <f>(BZ$4-BZ$9-BZ$10)*'Ethylene Recycling HC'!M227</f>
        <v>58577.59164755985</v>
      </c>
      <c r="CA12" s="40">
        <f>(CA$4-CA$9-CA$10)*'Ethylene Recycling HC'!N227</f>
        <v>58132.019312661891</v>
      </c>
      <c r="CB12" s="40">
        <f>(CB$4-CB$9-CB$10)*'Ethylene Recycling HC'!O227</f>
        <v>57682.149104780459</v>
      </c>
      <c r="CC12" s="40">
        <f>(CC$4-CC$9-CC$10)*'Ethylene Recycling HC'!P227</f>
        <v>57227.902310620681</v>
      </c>
      <c r="CD12" s="40">
        <f>(CD$4-CD$9-CD$10)*'Ethylene Recycling HC'!Q227</f>
        <v>56769.198917693626</v>
      </c>
      <c r="CE12" s="40">
        <f>(CE$4-CE$9-CE$10)*'Ethylene Recycling HC'!R227</f>
        <v>56305.95759258591</v>
      </c>
      <c r="CF12" s="40">
        <f>(CF$4-CF$9-CF$10)*'Ethylene Recycling HC'!S227</f>
        <v>55838.095658866543</v>
      </c>
      <c r="CG12" s="40">
        <f>(CG$4-CG$9-CG$10)*'Ethylene Recycling HC'!T227</f>
        <v>55365.529074624908</v>
      </c>
      <c r="CH12" s="40">
        <f>(CH$4-CH$9-CH$10)*'Ethylene Recycling HC'!U227</f>
        <v>54888.172409633546</v>
      </c>
      <c r="CI12" s="40">
        <f>(CI$4-CI$9-CI$10)*'Ethylene Recycling HC'!V227</f>
        <v>54405.938822129901</v>
      </c>
      <c r="CJ12" s="40">
        <f>(CJ$4-CJ$9-CJ$10)*'Ethylene Recycling HC'!W227</f>
        <v>53918.740035210132</v>
      </c>
      <c r="CK12" s="40">
        <f>(CK$4-CK$9-CK$10)*'Ethylene Recycling HC'!X227</f>
        <v>53426.4863128289</v>
      </c>
      <c r="CL12" s="40">
        <f>(CL$4-CL$9-CL$10)*'Ethylene Recycling HC'!Y227</f>
        <v>52929.086435398436</v>
      </c>
      <c r="CM12" s="40">
        <f>(CM$4-CM$9-CM$10)*'Ethylene Recycling HC'!Z227</f>
        <v>52426.447674980125</v>
      </c>
      <c r="CN12" s="40">
        <f>(CN$4-CN$9-CN$10)*'Ethylene Recycling HC'!AA227</f>
        <v>51918.475770061952</v>
      </c>
      <c r="CO12" s="40">
        <f>(CO$4-CO$9-CO$10)*'Ethylene Recycling HC'!AB227</f>
        <v>51405.074899914674</v>
      </c>
      <c r="CP12" s="40">
        <f>(CP$4-CP$9-CP$10)*'Ethylene Recycling HC'!AC227</f>
        <v>50886.147658520007</v>
      </c>
      <c r="CQ12" s="40">
        <f>(CQ$4-CQ$9-CQ$10)*'Ethylene Recycling HC'!AD227</f>
        <v>50361.595028063151</v>
      </c>
      <c r="CR12" s="40">
        <f>(CR$4-CR$9-CR$10)*'Ethylene Recycling HC'!AE227</f>
        <v>49831.316351983201</v>
      </c>
      <c r="CS12" s="40">
        <f>(CS$4-CS$9-CS$10)*'Ethylene Recycling HC'!AF227</f>
        <v>49295.209307573125</v>
      </c>
      <c r="CT12" s="40">
        <f>(CT$4-CT$9-CT$10)*'Ethylene Recycling HC'!AG227</f>
        <v>48753.169878122448</v>
      </c>
    </row>
    <row r="13" spans="1:98">
      <c r="A13" s="492" t="s">
        <v>622</v>
      </c>
      <c r="C13" s="50" t="s">
        <v>171</v>
      </c>
      <c r="D13" s="40">
        <f>(D$4-D$9-D$10)*'Ethylene Recycling HC'!C249</f>
        <v>0</v>
      </c>
      <c r="E13" s="40">
        <f>(E$4-E$9-E$10)*'Ethylene Recycling HC'!D249</f>
        <v>0</v>
      </c>
      <c r="F13" s="40">
        <f>(F$4-F$9-F$10)*'Ethylene Recycling HC'!E249</f>
        <v>0</v>
      </c>
      <c r="G13" s="40">
        <f>(G$4-G$9-G$10)*'Ethylene Recycling HC'!F249</f>
        <v>0</v>
      </c>
      <c r="H13" s="40">
        <f>(H$4-H$9-H$10)*'Ethylene Recycling HC'!G249</f>
        <v>0</v>
      </c>
      <c r="I13" s="40">
        <f>(I$4-I$9-I$10)*'Ethylene Recycling HC'!H249</f>
        <v>0</v>
      </c>
      <c r="J13" s="40">
        <f>(J$4-J$9-J$10)*'Ethylene Recycling HC'!I249</f>
        <v>0</v>
      </c>
      <c r="K13" s="40">
        <f>(K$4-K$9-K$10)*'Ethylene Recycling HC'!J249</f>
        <v>0</v>
      </c>
      <c r="L13" s="40">
        <f>(L$4-L$9-L$10)*'Ethylene Recycling HC'!K249</f>
        <v>0</v>
      </c>
      <c r="M13" s="40">
        <f>(M$4-M$9-M$10)*'Ethylene Recycling HC'!L249</f>
        <v>0</v>
      </c>
      <c r="N13" s="40">
        <f>(N$4-N$9-N$10)*'Ethylene Recycling HC'!M249</f>
        <v>0</v>
      </c>
      <c r="O13" s="40">
        <f>(O$4-O$9-O$10)*'Ethylene Recycling HC'!N249</f>
        <v>0</v>
      </c>
      <c r="P13" s="40">
        <f>(P$4-P$9-P$10)*'Ethylene Recycling HC'!O249</f>
        <v>0</v>
      </c>
      <c r="Q13" s="40">
        <f>(Q$4-Q$9-Q$10)*'Ethylene Recycling HC'!P249</f>
        <v>0</v>
      </c>
      <c r="R13" s="40">
        <f>(R$4-R$9-R$10)*'Ethylene Recycling HC'!Q249</f>
        <v>0</v>
      </c>
      <c r="S13" s="40">
        <f>(S$4-S$9-S$10)*'Ethylene Recycling HC'!R249</f>
        <v>0</v>
      </c>
      <c r="T13" s="40">
        <f>(T$4-T$9-T$10)*'Ethylene Recycling HC'!S249</f>
        <v>0</v>
      </c>
      <c r="U13" s="40">
        <f>(U$4-U$9-U$10)*'Ethylene Recycling HC'!T249</f>
        <v>0</v>
      </c>
      <c r="V13" s="40">
        <f>(V$4-V$9-V$10)*'Ethylene Recycling HC'!U249</f>
        <v>0</v>
      </c>
      <c r="W13" s="40">
        <f>(W$4-W$9-W$10)*'Ethylene Recycling HC'!V249</f>
        <v>0</v>
      </c>
      <c r="X13" s="40">
        <f>(X$4-X$9-X$10)*'Ethylene Recycling HC'!W249</f>
        <v>0</v>
      </c>
      <c r="Y13" s="40">
        <f>(Y$4-Y$9-Y$10)*'Ethylene Recycling HC'!X249</f>
        <v>0</v>
      </c>
      <c r="Z13" s="40">
        <f>(Z$4-Z$9-Z$10)*'Ethylene Recycling HC'!Y249</f>
        <v>0</v>
      </c>
      <c r="AA13" s="40">
        <f>(AA$4-AA$9-AA$10)*'Ethylene Recycling HC'!Z249</f>
        <v>0</v>
      </c>
      <c r="AB13" s="40">
        <f>(AB$4-AB$9-AB$10)*'Ethylene Recycling HC'!AA249</f>
        <v>0</v>
      </c>
      <c r="AC13" s="40">
        <f>(AC$4-AC$9-AC$10)*'Ethylene Recycling HC'!AB249</f>
        <v>0</v>
      </c>
      <c r="AD13" s="40">
        <f>(AD$4-AD$9-AD$10)*'Ethylene Recycling HC'!AC249</f>
        <v>0</v>
      </c>
      <c r="AE13" s="40">
        <f>(AE$4-AE$9-AE$10)*'Ethylene Recycling HC'!AD249</f>
        <v>0</v>
      </c>
      <c r="AF13" s="40">
        <f>(AF$4-AF$9-AF$10)*'Ethylene Recycling HC'!AE249</f>
        <v>0</v>
      </c>
      <c r="AG13" s="40">
        <f>(AG$4-AG$9-AG$10)*'Ethylene Recycling HC'!AF249</f>
        <v>0</v>
      </c>
      <c r="AH13" s="40">
        <f>(AH$4-AH$9-AH$10)*'Ethylene Recycling HC'!AG249</f>
        <v>0</v>
      </c>
      <c r="AJ13" s="40">
        <f>(AJ$4-AJ$9-AJ$10)*'Ethylene Recycling LC'!C207</f>
        <v>0</v>
      </c>
      <c r="AK13" s="40">
        <f>(AK$4-AK$9-AK$10)*'Ethylene Recycling LC'!D207</f>
        <v>0</v>
      </c>
      <c r="AL13" s="40">
        <f>(AL$4-AL$9-AL$10)*'Ethylene Recycling LC'!E207</f>
        <v>0</v>
      </c>
      <c r="AM13" s="40">
        <f>(AM$4-AM$9-AM$10)*'Ethylene Recycling LC'!F207</f>
        <v>0</v>
      </c>
      <c r="AN13" s="40">
        <f>(AN$4-AN$9-AN$10)*'Ethylene Recycling LC'!G207</f>
        <v>0</v>
      </c>
      <c r="AO13" s="40">
        <f>(AO$4-AO$9-AO$10)*'Ethylene Recycling LC'!H207</f>
        <v>0</v>
      </c>
      <c r="AP13" s="40">
        <f>(AP$4-AP$9-AP$10)*'Ethylene Recycling LC'!I207</f>
        <v>0</v>
      </c>
      <c r="AQ13" s="40">
        <f>(AQ$4-AQ$9-AQ$10)*'Ethylene Recycling LC'!J207</f>
        <v>0</v>
      </c>
      <c r="AR13" s="40">
        <f>(AR$4-AR$9-AR$10)*'Ethylene Recycling LC'!K207</f>
        <v>0</v>
      </c>
      <c r="AS13" s="40">
        <f>(AS$4-AS$9-AS$10)*'Ethylene Recycling LC'!L207</f>
        <v>0</v>
      </c>
      <c r="AT13" s="40">
        <f>(AT$4-AT$9-AT$10)*'Ethylene Recycling LC'!M207</f>
        <v>0</v>
      </c>
      <c r="AU13" s="40">
        <f>(AU$4-AU$9-AU$10)*'Ethylene Recycling LC'!N207</f>
        <v>0</v>
      </c>
      <c r="AV13" s="40">
        <f>(AV$4-AV$9-AV$10)*'Ethylene Recycling LC'!O207</f>
        <v>0</v>
      </c>
      <c r="AW13" s="40">
        <f>(AW$4-AW$9-AW$10)*'Ethylene Recycling LC'!P207</f>
        <v>0</v>
      </c>
      <c r="AX13" s="40">
        <f>(AX$4-AX$9-AX$10)*'Ethylene Recycling LC'!Q207</f>
        <v>0</v>
      </c>
      <c r="AY13" s="40">
        <f>(AY$4-AY$9-AY$10)*'Ethylene Recycling LC'!R207</f>
        <v>0</v>
      </c>
      <c r="AZ13" s="40">
        <f>(AZ$4-AZ$9-AZ$10)*'Ethylene Recycling LC'!S207</f>
        <v>0</v>
      </c>
      <c r="BA13" s="40">
        <f>(BA$4-BA$9-BA$10)*'Ethylene Recycling LC'!T207</f>
        <v>0</v>
      </c>
      <c r="BB13" s="40">
        <f>(BB$4-BB$9-BB$10)*'Ethylene Recycling LC'!U207</f>
        <v>0</v>
      </c>
      <c r="BC13" s="40">
        <f>(BC$4-BC$9-BC$10)*'Ethylene Recycling LC'!V207</f>
        <v>0</v>
      </c>
      <c r="BD13" s="40">
        <f>(BD$4-BD$9-BD$10)*'Ethylene Recycling LC'!W207</f>
        <v>0</v>
      </c>
      <c r="BE13" s="40">
        <f>(BE$4-BE$9-BE$10)*'Ethylene Recycling LC'!X207</f>
        <v>0</v>
      </c>
      <c r="BF13" s="40">
        <f>(BF$4-BF$9-BF$10)*'Ethylene Recycling LC'!Y207</f>
        <v>0</v>
      </c>
      <c r="BG13" s="40">
        <f>(BG$4-BG$9-BG$10)*'Ethylene Recycling LC'!Z207</f>
        <v>0</v>
      </c>
      <c r="BH13" s="40">
        <f>(BH$4-BH$9-BH$10)*'Ethylene Recycling LC'!AA207</f>
        <v>0</v>
      </c>
      <c r="BI13" s="40">
        <f>(BI$4-BI$9-BI$10)*'Ethylene Recycling LC'!AB207</f>
        <v>0</v>
      </c>
      <c r="BJ13" s="40">
        <f>(BJ$4-BJ$9-BJ$10)*'Ethylene Recycling LC'!AC207</f>
        <v>0</v>
      </c>
      <c r="BK13" s="40">
        <f>(BK$4-BK$9-BK$10)*'Ethylene Recycling LC'!AD207</f>
        <v>0</v>
      </c>
      <c r="BL13" s="40">
        <f>(BL$4-BL$9-BL$10)*'Ethylene Recycling LC'!AE207</f>
        <v>0</v>
      </c>
      <c r="BM13" s="40">
        <f>(BM$4-BM$9-BM$10)*'Ethylene Recycling LC'!AF207</f>
        <v>0</v>
      </c>
      <c r="BN13" s="40">
        <f>(BN$4-BN$9-BN$10)*'Ethylene Recycling LC'!AG207</f>
        <v>0</v>
      </c>
      <c r="BP13" s="40">
        <f>(BP$4-BP$9-BP$10)*'Ethylene Recycling HC'!C228</f>
        <v>0</v>
      </c>
      <c r="BQ13" s="40">
        <f>(BQ$4-BQ$9-BQ$10)*'Ethylene Recycling HC'!D228</f>
        <v>0</v>
      </c>
      <c r="BR13" s="40">
        <f>(BR$4-BR$9-BR$10)*'Ethylene Recycling HC'!E228</f>
        <v>0</v>
      </c>
      <c r="BS13" s="40">
        <f>(BS$4-BS$9-BS$10)*'Ethylene Recycling HC'!F228</f>
        <v>0</v>
      </c>
      <c r="BT13" s="40">
        <f>(BT$4-BT$9-BT$10)*'Ethylene Recycling HC'!G228</f>
        <v>0</v>
      </c>
      <c r="BU13" s="40">
        <f>(BU$4-BU$9-BU$10)*'Ethylene Recycling HC'!H228</f>
        <v>0</v>
      </c>
      <c r="BV13" s="40">
        <f>(BV$4-BV$9-BV$10)*'Ethylene Recycling HC'!I228</f>
        <v>0</v>
      </c>
      <c r="BW13" s="40">
        <f>(BW$4-BW$9-BW$10)*'Ethylene Recycling HC'!J228</f>
        <v>0</v>
      </c>
      <c r="BX13" s="40">
        <f>(BX$4-BX$9-BX$10)*'Ethylene Recycling HC'!K228</f>
        <v>0</v>
      </c>
      <c r="BY13" s="40">
        <f>(BY$4-BY$9-BY$10)*'Ethylene Recycling HC'!L228</f>
        <v>0</v>
      </c>
      <c r="BZ13" s="40">
        <f>(BZ$4-BZ$9-BZ$10)*'Ethylene Recycling HC'!M228</f>
        <v>0</v>
      </c>
      <c r="CA13" s="40">
        <f>(CA$4-CA$9-CA$10)*'Ethylene Recycling HC'!N228</f>
        <v>0</v>
      </c>
      <c r="CB13" s="40">
        <f>(CB$4-CB$9-CB$10)*'Ethylene Recycling HC'!O228</f>
        <v>0</v>
      </c>
      <c r="CC13" s="40">
        <f>(CC$4-CC$9-CC$10)*'Ethylene Recycling HC'!P228</f>
        <v>0</v>
      </c>
      <c r="CD13" s="40">
        <f>(CD$4-CD$9-CD$10)*'Ethylene Recycling HC'!Q228</f>
        <v>0</v>
      </c>
      <c r="CE13" s="40">
        <f>(CE$4-CE$9-CE$10)*'Ethylene Recycling HC'!R228</f>
        <v>0</v>
      </c>
      <c r="CF13" s="40">
        <f>(CF$4-CF$9-CF$10)*'Ethylene Recycling HC'!S228</f>
        <v>0</v>
      </c>
      <c r="CG13" s="40">
        <f>(CG$4-CG$9-CG$10)*'Ethylene Recycling HC'!T228</f>
        <v>0</v>
      </c>
      <c r="CH13" s="40">
        <f>(CH$4-CH$9-CH$10)*'Ethylene Recycling HC'!U228</f>
        <v>0</v>
      </c>
      <c r="CI13" s="40">
        <f>(CI$4-CI$9-CI$10)*'Ethylene Recycling HC'!V228</f>
        <v>0</v>
      </c>
      <c r="CJ13" s="40">
        <f>(CJ$4-CJ$9-CJ$10)*'Ethylene Recycling HC'!W228</f>
        <v>0</v>
      </c>
      <c r="CK13" s="40">
        <f>(CK$4-CK$9-CK$10)*'Ethylene Recycling HC'!X228</f>
        <v>0</v>
      </c>
      <c r="CL13" s="40">
        <f>(CL$4-CL$9-CL$10)*'Ethylene Recycling HC'!Y228</f>
        <v>0</v>
      </c>
      <c r="CM13" s="40">
        <f>(CM$4-CM$9-CM$10)*'Ethylene Recycling HC'!Z228</f>
        <v>0</v>
      </c>
      <c r="CN13" s="40">
        <f>(CN$4-CN$9-CN$10)*'Ethylene Recycling HC'!AA228</f>
        <v>0</v>
      </c>
      <c r="CO13" s="40">
        <f>(CO$4-CO$9-CO$10)*'Ethylene Recycling HC'!AB228</f>
        <v>0</v>
      </c>
      <c r="CP13" s="40">
        <f>(CP$4-CP$9-CP$10)*'Ethylene Recycling HC'!AC228</f>
        <v>0</v>
      </c>
      <c r="CQ13" s="40">
        <f>(CQ$4-CQ$9-CQ$10)*'Ethylene Recycling HC'!AD228</f>
        <v>0</v>
      </c>
      <c r="CR13" s="40">
        <f>(CR$4-CR$9-CR$10)*'Ethylene Recycling HC'!AE228</f>
        <v>0</v>
      </c>
      <c r="CS13" s="40">
        <f>(CS$4-CS$9-CS$10)*'Ethylene Recycling HC'!AF228</f>
        <v>0</v>
      </c>
      <c r="CT13" s="40">
        <f>(CT$4-CT$9-CT$10)*'Ethylene Recycling HC'!AG228</f>
        <v>0</v>
      </c>
    </row>
    <row r="14" spans="1:98">
      <c r="A14" s="492" t="s">
        <v>623</v>
      </c>
      <c r="C14" s="50" t="s">
        <v>171</v>
      </c>
      <c r="D14" s="40">
        <f>(D$4-D$9-D$10)*'Ethylene Recycling HC'!C250</f>
        <v>0</v>
      </c>
      <c r="E14" s="40">
        <f>(E$4-E$9-E$10)*'Ethylene Recycling HC'!D250</f>
        <v>0</v>
      </c>
      <c r="F14" s="40">
        <f>(F$4-F$9-F$10)*'Ethylene Recycling HC'!E250</f>
        <v>0</v>
      </c>
      <c r="G14" s="40">
        <f>(G$4-G$9-G$10)*'Ethylene Recycling HC'!F250</f>
        <v>0</v>
      </c>
      <c r="H14" s="40">
        <f>(H$4-H$9-H$10)*'Ethylene Recycling HC'!G250</f>
        <v>0</v>
      </c>
      <c r="I14" s="40">
        <f>(I$4-I$9-I$10)*'Ethylene Recycling HC'!H250</f>
        <v>0</v>
      </c>
      <c r="J14" s="40">
        <f>(J$4-J$9-J$10)*'Ethylene Recycling HC'!I250</f>
        <v>0</v>
      </c>
      <c r="K14" s="40">
        <f>(K$4-K$9-K$10)*'Ethylene Recycling HC'!J250</f>
        <v>0</v>
      </c>
      <c r="L14" s="40">
        <f>(L$4-L$9-L$10)*'Ethylene Recycling HC'!K250</f>
        <v>0</v>
      </c>
      <c r="M14" s="40">
        <f>(M$4-M$9-M$10)*'Ethylene Recycling HC'!L250</f>
        <v>0</v>
      </c>
      <c r="N14" s="40">
        <f>(N$4-N$9-N$10)*'Ethylene Recycling HC'!M250</f>
        <v>0</v>
      </c>
      <c r="O14" s="40">
        <f>(O$4-O$9-O$10)*'Ethylene Recycling HC'!N250</f>
        <v>0</v>
      </c>
      <c r="P14" s="40">
        <f>(P$4-P$9-P$10)*'Ethylene Recycling HC'!O250</f>
        <v>0</v>
      </c>
      <c r="Q14" s="40">
        <f>(Q$4-Q$9-Q$10)*'Ethylene Recycling HC'!P250</f>
        <v>0</v>
      </c>
      <c r="R14" s="40">
        <f>(R$4-R$9-R$10)*'Ethylene Recycling HC'!Q250</f>
        <v>0</v>
      </c>
      <c r="S14" s="40">
        <f>(S$4-S$9-S$10)*'Ethylene Recycling HC'!R250</f>
        <v>0</v>
      </c>
      <c r="T14" s="40">
        <f>(T$4-T$9-T$10)*'Ethylene Recycling HC'!S250</f>
        <v>0</v>
      </c>
      <c r="U14" s="40">
        <f>(U$4-U$9-U$10)*'Ethylene Recycling HC'!T250</f>
        <v>0</v>
      </c>
      <c r="V14" s="40">
        <f>(V$4-V$9-V$10)*'Ethylene Recycling HC'!U250</f>
        <v>0</v>
      </c>
      <c r="W14" s="40">
        <f>(W$4-W$9-W$10)*'Ethylene Recycling HC'!V250</f>
        <v>0</v>
      </c>
      <c r="X14" s="40">
        <f>(X$4-X$9-X$10)*'Ethylene Recycling HC'!W250</f>
        <v>0</v>
      </c>
      <c r="Y14" s="40">
        <f>(Y$4-Y$9-Y$10)*'Ethylene Recycling HC'!X250</f>
        <v>0</v>
      </c>
      <c r="Z14" s="40">
        <f>(Z$4-Z$9-Z$10)*'Ethylene Recycling HC'!Y250</f>
        <v>0</v>
      </c>
      <c r="AA14" s="40">
        <f>(AA$4-AA$9-AA$10)*'Ethylene Recycling HC'!Z250</f>
        <v>0</v>
      </c>
      <c r="AB14" s="40">
        <f>(AB$4-AB$9-AB$10)*'Ethylene Recycling HC'!AA250</f>
        <v>0</v>
      </c>
      <c r="AC14" s="40">
        <f>(AC$4-AC$9-AC$10)*'Ethylene Recycling HC'!AB250</f>
        <v>0</v>
      </c>
      <c r="AD14" s="40">
        <f>(AD$4-AD$9-AD$10)*'Ethylene Recycling HC'!AC250</f>
        <v>0</v>
      </c>
      <c r="AE14" s="40">
        <f>(AE$4-AE$9-AE$10)*'Ethylene Recycling HC'!AD250</f>
        <v>0</v>
      </c>
      <c r="AF14" s="40">
        <f>(AF$4-AF$9-AF$10)*'Ethylene Recycling HC'!AE250</f>
        <v>0</v>
      </c>
      <c r="AG14" s="40">
        <f>(AG$4-AG$9-AG$10)*'Ethylene Recycling HC'!AF250</f>
        <v>0</v>
      </c>
      <c r="AH14" s="40">
        <f>(AH$4-AH$9-AH$10)*'Ethylene Recycling HC'!AG250</f>
        <v>0</v>
      </c>
      <c r="AJ14" s="40">
        <f>(AJ$4-AJ$9-AJ$10)*'Ethylene Recycling LC'!C208</f>
        <v>0</v>
      </c>
      <c r="AK14" s="40">
        <f>(AK$4-AK$9-AK$10)*'Ethylene Recycling LC'!D208</f>
        <v>0</v>
      </c>
      <c r="AL14" s="40">
        <f>(AL$4-AL$9-AL$10)*'Ethylene Recycling LC'!E208</f>
        <v>0</v>
      </c>
      <c r="AM14" s="40">
        <f>(AM$4-AM$9-AM$10)*'Ethylene Recycling LC'!F208</f>
        <v>0</v>
      </c>
      <c r="AN14" s="40">
        <f>(AN$4-AN$9-AN$10)*'Ethylene Recycling LC'!G208</f>
        <v>0</v>
      </c>
      <c r="AO14" s="40">
        <f>(AO$4-AO$9-AO$10)*'Ethylene Recycling LC'!H208</f>
        <v>0</v>
      </c>
      <c r="AP14" s="40">
        <f>(AP$4-AP$9-AP$10)*'Ethylene Recycling LC'!I208</f>
        <v>0</v>
      </c>
      <c r="AQ14" s="40">
        <f>(AQ$4-AQ$9-AQ$10)*'Ethylene Recycling LC'!J208</f>
        <v>0</v>
      </c>
      <c r="AR14" s="40">
        <f>(AR$4-AR$9-AR$10)*'Ethylene Recycling LC'!K208</f>
        <v>0</v>
      </c>
      <c r="AS14" s="40">
        <f>(AS$4-AS$9-AS$10)*'Ethylene Recycling LC'!L208</f>
        <v>0</v>
      </c>
      <c r="AT14" s="40">
        <f>(AT$4-AT$9-AT$10)*'Ethylene Recycling LC'!M208</f>
        <v>0</v>
      </c>
      <c r="AU14" s="40">
        <f>(AU$4-AU$9-AU$10)*'Ethylene Recycling LC'!N208</f>
        <v>0</v>
      </c>
      <c r="AV14" s="40">
        <f>(AV$4-AV$9-AV$10)*'Ethylene Recycling LC'!O208</f>
        <v>0</v>
      </c>
      <c r="AW14" s="40">
        <f>(AW$4-AW$9-AW$10)*'Ethylene Recycling LC'!P208</f>
        <v>0</v>
      </c>
      <c r="AX14" s="40">
        <f>(AX$4-AX$9-AX$10)*'Ethylene Recycling LC'!Q208</f>
        <v>0</v>
      </c>
      <c r="AY14" s="40">
        <f>(AY$4-AY$9-AY$10)*'Ethylene Recycling LC'!R208</f>
        <v>0</v>
      </c>
      <c r="AZ14" s="40">
        <f>(AZ$4-AZ$9-AZ$10)*'Ethylene Recycling LC'!S208</f>
        <v>0</v>
      </c>
      <c r="BA14" s="40">
        <f>(BA$4-BA$9-BA$10)*'Ethylene Recycling LC'!T208</f>
        <v>0</v>
      </c>
      <c r="BB14" s="40">
        <f>(BB$4-BB$9-BB$10)*'Ethylene Recycling LC'!U208</f>
        <v>0</v>
      </c>
      <c r="BC14" s="40">
        <f>(BC$4-BC$9-BC$10)*'Ethylene Recycling LC'!V208</f>
        <v>0</v>
      </c>
      <c r="BD14" s="40">
        <f>(BD$4-BD$9-BD$10)*'Ethylene Recycling LC'!W208</f>
        <v>0</v>
      </c>
      <c r="BE14" s="40">
        <f>(BE$4-BE$9-BE$10)*'Ethylene Recycling LC'!X208</f>
        <v>0</v>
      </c>
      <c r="BF14" s="40">
        <f>(BF$4-BF$9-BF$10)*'Ethylene Recycling LC'!Y208</f>
        <v>0</v>
      </c>
      <c r="BG14" s="40">
        <f>(BG$4-BG$9-BG$10)*'Ethylene Recycling LC'!Z208</f>
        <v>0</v>
      </c>
      <c r="BH14" s="40">
        <f>(BH$4-BH$9-BH$10)*'Ethylene Recycling LC'!AA208</f>
        <v>0</v>
      </c>
      <c r="BI14" s="40">
        <f>(BI$4-BI$9-BI$10)*'Ethylene Recycling LC'!AB208</f>
        <v>0</v>
      </c>
      <c r="BJ14" s="40">
        <f>(BJ$4-BJ$9-BJ$10)*'Ethylene Recycling LC'!AC208</f>
        <v>0</v>
      </c>
      <c r="BK14" s="40">
        <f>(BK$4-BK$9-BK$10)*'Ethylene Recycling LC'!AD208</f>
        <v>0</v>
      </c>
      <c r="BL14" s="40">
        <f>(BL$4-BL$9-BL$10)*'Ethylene Recycling LC'!AE208</f>
        <v>0</v>
      </c>
      <c r="BM14" s="40">
        <f>(BM$4-BM$9-BM$10)*'Ethylene Recycling LC'!AF208</f>
        <v>0</v>
      </c>
      <c r="BN14" s="40">
        <f>(BN$4-BN$9-BN$10)*'Ethylene Recycling LC'!AG208</f>
        <v>0</v>
      </c>
      <c r="BP14" s="40">
        <f>(BP$4-BP$9-BP$10)*'Ethylene Recycling HC'!C229</f>
        <v>0</v>
      </c>
      <c r="BQ14" s="40">
        <f>(BQ$4-BQ$9-BQ$10)*'Ethylene Recycling HC'!D229</f>
        <v>0</v>
      </c>
      <c r="BR14" s="40">
        <f>(BR$4-BR$9-BR$10)*'Ethylene Recycling HC'!E229</f>
        <v>0</v>
      </c>
      <c r="BS14" s="40">
        <f>(BS$4-BS$9-BS$10)*'Ethylene Recycling HC'!F229</f>
        <v>0</v>
      </c>
      <c r="BT14" s="40">
        <f>(BT$4-BT$9-BT$10)*'Ethylene Recycling HC'!G229</f>
        <v>0</v>
      </c>
      <c r="BU14" s="40">
        <f>(BU$4-BU$9-BU$10)*'Ethylene Recycling HC'!H229</f>
        <v>0</v>
      </c>
      <c r="BV14" s="40">
        <f>(BV$4-BV$9-BV$10)*'Ethylene Recycling HC'!I229</f>
        <v>0</v>
      </c>
      <c r="BW14" s="40">
        <f>(BW$4-BW$9-BW$10)*'Ethylene Recycling HC'!J229</f>
        <v>0</v>
      </c>
      <c r="BX14" s="40">
        <f>(BX$4-BX$9-BX$10)*'Ethylene Recycling HC'!K229</f>
        <v>0</v>
      </c>
      <c r="BY14" s="40">
        <f>(BY$4-BY$9-BY$10)*'Ethylene Recycling HC'!L229</f>
        <v>0</v>
      </c>
      <c r="BZ14" s="40">
        <f>(BZ$4-BZ$9-BZ$10)*'Ethylene Recycling HC'!M229</f>
        <v>0</v>
      </c>
      <c r="CA14" s="40">
        <f>(CA$4-CA$9-CA$10)*'Ethylene Recycling HC'!N229</f>
        <v>0</v>
      </c>
      <c r="CB14" s="40">
        <f>(CB$4-CB$9-CB$10)*'Ethylene Recycling HC'!O229</f>
        <v>0</v>
      </c>
      <c r="CC14" s="40">
        <f>(CC$4-CC$9-CC$10)*'Ethylene Recycling HC'!P229</f>
        <v>0</v>
      </c>
      <c r="CD14" s="40">
        <f>(CD$4-CD$9-CD$10)*'Ethylene Recycling HC'!Q229</f>
        <v>0</v>
      </c>
      <c r="CE14" s="40">
        <f>(CE$4-CE$9-CE$10)*'Ethylene Recycling HC'!R229</f>
        <v>0</v>
      </c>
      <c r="CF14" s="40">
        <f>(CF$4-CF$9-CF$10)*'Ethylene Recycling HC'!S229</f>
        <v>0</v>
      </c>
      <c r="CG14" s="40">
        <f>(CG$4-CG$9-CG$10)*'Ethylene Recycling HC'!T229</f>
        <v>0</v>
      </c>
      <c r="CH14" s="40">
        <f>(CH$4-CH$9-CH$10)*'Ethylene Recycling HC'!U229</f>
        <v>0</v>
      </c>
      <c r="CI14" s="40">
        <f>(CI$4-CI$9-CI$10)*'Ethylene Recycling HC'!V229</f>
        <v>0</v>
      </c>
      <c r="CJ14" s="40">
        <f>(CJ$4-CJ$9-CJ$10)*'Ethylene Recycling HC'!W229</f>
        <v>0</v>
      </c>
      <c r="CK14" s="40">
        <f>(CK$4-CK$9-CK$10)*'Ethylene Recycling HC'!X229</f>
        <v>0</v>
      </c>
      <c r="CL14" s="40">
        <f>(CL$4-CL$9-CL$10)*'Ethylene Recycling HC'!Y229</f>
        <v>0</v>
      </c>
      <c r="CM14" s="40">
        <f>(CM$4-CM$9-CM$10)*'Ethylene Recycling HC'!Z229</f>
        <v>0</v>
      </c>
      <c r="CN14" s="40">
        <f>(CN$4-CN$9-CN$10)*'Ethylene Recycling HC'!AA229</f>
        <v>0</v>
      </c>
      <c r="CO14" s="40">
        <f>(CO$4-CO$9-CO$10)*'Ethylene Recycling HC'!AB229</f>
        <v>0</v>
      </c>
      <c r="CP14" s="40">
        <f>(CP$4-CP$9-CP$10)*'Ethylene Recycling HC'!AC229</f>
        <v>0</v>
      </c>
      <c r="CQ14" s="40">
        <f>(CQ$4-CQ$9-CQ$10)*'Ethylene Recycling HC'!AD229</f>
        <v>0</v>
      </c>
      <c r="CR14" s="40">
        <f>(CR$4-CR$9-CR$10)*'Ethylene Recycling HC'!AE229</f>
        <v>0</v>
      </c>
      <c r="CS14" s="40">
        <f>(CS$4-CS$9-CS$10)*'Ethylene Recycling HC'!AF229</f>
        <v>0</v>
      </c>
      <c r="CT14" s="40">
        <f>(CT$4-CT$9-CT$10)*'Ethylene Recycling HC'!AG229</f>
        <v>0</v>
      </c>
    </row>
    <row r="15" spans="1:98">
      <c r="A15" s="492" t="s">
        <v>1386</v>
      </c>
      <c r="C15" s="50" t="s">
        <v>171</v>
      </c>
      <c r="D15" s="40">
        <f>(D$4-D$9-D$10)*'Ethylene Recycling HC'!C251</f>
        <v>94219.741211303815</v>
      </c>
      <c r="E15" s="40">
        <f>(E$4-E$9-E$10)*'Ethylene Recycling HC'!D251</f>
        <v>90142.802787880035</v>
      </c>
      <c r="F15" s="40">
        <f>(F$4-F$9-F$10)*'Ethylene Recycling HC'!E251</f>
        <v>86189.238168226628</v>
      </c>
      <c r="G15" s="40">
        <f>(G$4-G$9-G$10)*'Ethylene Recycling HC'!F251</f>
        <v>82357.204600056837</v>
      </c>
      <c r="H15" s="40">
        <f>(H$4-H$9-H$10)*'Ethylene Recycling HC'!G251</f>
        <v>78642.828491117238</v>
      </c>
      <c r="I15" s="40">
        <f>(I$4-I$9-I$10)*'Ethylene Recycling HC'!H251</f>
        <v>75042.361382044968</v>
      </c>
      <c r="J15" s="40">
        <f>(J$4-J$9-J$10)*'Ethylene Recycling HC'!I251</f>
        <v>71249.603278496579</v>
      </c>
      <c r="K15" s="40">
        <f>(K$4-K$9-K$10)*'Ethylene Recycling HC'!J251</f>
        <v>67583.207834468005</v>
      </c>
      <c r="L15" s="40">
        <f>(L$4-L$9-L$10)*'Ethylene Recycling HC'!K251</f>
        <v>64035.211916618297</v>
      </c>
      <c r="M15" s="40">
        <f>(M$4-M$9-M$10)*'Ethylene Recycling HC'!L251</f>
        <v>60594.677513765702</v>
      </c>
      <c r="N15" s="40">
        <f>(N$4-N$9-N$10)*'Ethylene Recycling HC'!M251</f>
        <v>57254.339520911548</v>
      </c>
      <c r="O15" s="40">
        <f>(O$4-O$9-O$10)*'Ethylene Recycling HC'!N251</f>
        <v>54177.461340249727</v>
      </c>
      <c r="P15" s="40">
        <f>(P$4-P$9-P$10)*'Ethylene Recycling HC'!O251</f>
        <v>51235.629242650975</v>
      </c>
      <c r="Q15" s="40">
        <f>(Q$4-Q$9-Q$10)*'Ethylene Recycling HC'!P251</f>
        <v>48240.628872900874</v>
      </c>
      <c r="R15" s="40">
        <f>(R$4-R$9-R$10)*'Ethylene Recycling HC'!Q251</f>
        <v>45267.504211177526</v>
      </c>
      <c r="S15" s="40">
        <f>(S$4-S$9-S$10)*'Ethylene Recycling HC'!R251</f>
        <v>42327.931760982523</v>
      </c>
      <c r="T15" s="40">
        <f>(T$4-T$9-T$10)*'Ethylene Recycling HC'!S251</f>
        <v>39477.894874902311</v>
      </c>
      <c r="U15" s="40">
        <f>(U$4-U$9-U$10)*'Ethylene Recycling HC'!T251</f>
        <v>36729.910818784898</v>
      </c>
      <c r="V15" s="40">
        <f>(V$4-V$9-V$10)*'Ethylene Recycling HC'!U251</f>
        <v>34123.319271244713</v>
      </c>
      <c r="W15" s="40">
        <f>(W$4-W$9-W$10)*'Ethylene Recycling HC'!V251</f>
        <v>31684.515802018745</v>
      </c>
      <c r="X15" s="40">
        <f>(X$4-X$9-X$10)*'Ethylene Recycling HC'!W251</f>
        <v>29604.269101948055</v>
      </c>
      <c r="Y15" s="40">
        <f>(Y$4-Y$9-Y$10)*'Ethylene Recycling HC'!X251</f>
        <v>27125.739580673027</v>
      </c>
      <c r="Z15" s="40">
        <f>(Z$4-Z$9-Z$10)*'Ethylene Recycling HC'!Y251</f>
        <v>24992.348248297185</v>
      </c>
      <c r="AA15" s="40">
        <f>(AA$4-AA$9-AA$10)*'Ethylene Recycling HC'!Z251</f>
        <v>23003.732477887312</v>
      </c>
      <c r="AB15" s="40">
        <f>(AB$4-AB$9-AB$10)*'Ethylene Recycling HC'!AA251</f>
        <v>21155.435654282257</v>
      </c>
      <c r="AC15" s="40">
        <f>(AC$4-AC$9-AC$10)*'Ethylene Recycling HC'!AB251</f>
        <v>19432.212211122434</v>
      </c>
      <c r="AD15" s="40">
        <f>(AD$4-AD$9-AD$10)*'Ethylene Recycling HC'!AC251</f>
        <v>17813.002299420954</v>
      </c>
      <c r="AE15" s="40">
        <f>(AE$4-AE$9-AE$10)*'Ethylene Recycling HC'!AD251</f>
        <v>16296.914008317281</v>
      </c>
      <c r="AF15" s="40">
        <f>(AF$4-AF$9-AF$10)*'Ethylene Recycling HC'!AE251</f>
        <v>14875.486030306662</v>
      </c>
      <c r="AG15" s="40">
        <f>(AG$4-AG$9-AG$10)*'Ethylene Recycling HC'!AF251</f>
        <v>13541.948227353583</v>
      </c>
      <c r="AH15" s="40">
        <f>(AH$4-AH$9-AH$10)*'Ethylene Recycling HC'!AG251</f>
        <v>12480.236648578219</v>
      </c>
      <c r="AJ15" s="40">
        <f>(AJ$4-AJ$9-AJ$10)*'Ethylene Recycling LC'!C209</f>
        <v>94219.878782388376</v>
      </c>
      <c r="AK15" s="40">
        <f>(AK$4-AK$9-AK$10)*'Ethylene Recycling LC'!D209</f>
        <v>90309.289871440487</v>
      </c>
      <c r="AL15" s="40">
        <f>(AL$4-AL$9-AL$10)*'Ethylene Recycling LC'!E209</f>
        <v>86521.34898934135</v>
      </c>
      <c r="AM15" s="40">
        <f>(AM$4-AM$9-AM$10)*'Ethylene Recycling LC'!F209</f>
        <v>82845.361989776968</v>
      </c>
      <c r="AN15" s="40">
        <f>(AN$4-AN$9-AN$10)*'Ethylene Recycling LC'!G209</f>
        <v>79280.718987083877</v>
      </c>
      <c r="AO15" s="40">
        <f>(AO$4-AO$9-AO$10)*'Ethylene Recycling LC'!H209</f>
        <v>75824.116620899018</v>
      </c>
      <c r="AP15" s="40">
        <f>(AP$4-AP$9-AP$10)*'Ethylene Recycling LC'!I209</f>
        <v>72347.566747909761</v>
      </c>
      <c r="AQ15" s="40">
        <f>(AQ$4-AQ$9-AQ$10)*'Ethylene Recycling LC'!J209</f>
        <v>68985.75192929733</v>
      </c>
      <c r="AR15" s="40">
        <f>(AR$4-AR$9-AR$10)*'Ethylene Recycling LC'!K209</f>
        <v>65732.959868160644</v>
      </c>
      <c r="AS15" s="40">
        <f>(AS$4-AS$9-AS$10)*'Ethylene Recycling LC'!L209</f>
        <v>62581.834872719854</v>
      </c>
      <c r="AT15" s="40">
        <f>(AT$4-AT$9-AT$10)*'Ethylene Recycling LC'!M209</f>
        <v>59530.628292030742</v>
      </c>
      <c r="AU15" s="40">
        <f>(AU$4-AU$9-AU$10)*'Ethylene Recycling LC'!N209</f>
        <v>56826.340746305912</v>
      </c>
      <c r="AV15" s="40">
        <f>(AV$4-AV$9-AV$10)*'Ethylene Recycling LC'!O209</f>
        <v>54248.720069125244</v>
      </c>
      <c r="AW15" s="40">
        <f>(AW$4-AW$9-AW$10)*'Ethylene Recycling LC'!P209</f>
        <v>51653.895153182231</v>
      </c>
      <c r="AX15" s="40">
        <f>(AX$4-AX$9-AX$10)*'Ethylene Recycling LC'!Q209</f>
        <v>49096.102455840315</v>
      </c>
      <c r="AY15" s="40">
        <f>(AY$4-AY$9-AY$10)*'Ethylene Recycling LC'!R209</f>
        <v>46580.795370354819</v>
      </c>
      <c r="AZ15" s="40">
        <f>(AZ$4-AZ$9-AZ$10)*'Ethylene Recycling LC'!S209</f>
        <v>44134.218311670666</v>
      </c>
      <c r="BA15" s="40">
        <f>(BA$4-BA$9-BA$10)*'Ethylene Recycling LC'!T209</f>
        <v>41766.656219490884</v>
      </c>
      <c r="BB15" s="40">
        <f>(BB$4-BB$9-BB$10)*'Ethylene Recycling LC'!U209</f>
        <v>39499.567234091533</v>
      </c>
      <c r="BC15" s="40">
        <f>(BC$4-BC$9-BC$10)*'Ethylene Recycling LC'!V209</f>
        <v>37347.250109828987</v>
      </c>
      <c r="BD15" s="40">
        <f>(BD$4-BD$9-BD$10)*'Ethylene Recycling LC'!W209</f>
        <v>35508.522795834921</v>
      </c>
      <c r="BE15" s="40">
        <f>(BE$4-BE$9-BE$10)*'Ethylene Recycling LC'!X209</f>
        <v>33170.420271964729</v>
      </c>
      <c r="BF15" s="40">
        <f>(BF$4-BF$9-BF$10)*'Ethylene Recycling LC'!Y209</f>
        <v>31144.093080458922</v>
      </c>
      <c r="BG15" s="40">
        <f>(BG$4-BG$9-BG$10)*'Ethylene Recycling LC'!Z209</f>
        <v>29234.369859115137</v>
      </c>
      <c r="BH15" s="40">
        <f>(BH$4-BH$9-BH$10)*'Ethylene Recycling LC'!AA209</f>
        <v>27429.444964328995</v>
      </c>
      <c r="BI15" s="40">
        <f>(BI$4-BI$9-BI$10)*'Ethylene Recycling LC'!AB209</f>
        <v>25719.793733267565</v>
      </c>
      <c r="BJ15" s="40">
        <f>(BJ$4-BJ$9-BJ$10)*'Ethylene Recycling LC'!AC209</f>
        <v>24096.25766439892</v>
      </c>
      <c r="BK15" s="40">
        <f>(BK$4-BK$9-BK$10)*'Ethylene Recycling LC'!AD209</f>
        <v>22553.911501742899</v>
      </c>
      <c r="BL15" s="40">
        <f>(BL$4-BL$9-BL$10)*'Ethylene Recycling LC'!AE209</f>
        <v>21087.108453862511</v>
      </c>
      <c r="BM15" s="40">
        <f>(BM$4-BM$9-BM$10)*'Ethylene Recycling LC'!AF209</f>
        <v>19691.17910938698</v>
      </c>
      <c r="BN15" s="40">
        <f>(BN$4-BN$9-BN$10)*'Ethylene Recycling LC'!AG209</f>
        <v>18572.552889593411</v>
      </c>
      <c r="BP15" s="40">
        <f>(BP$4-BP$9-BP$10)*'Ethylene Recycling HC'!C230</f>
        <v>94220.042608125601</v>
      </c>
      <c r="BQ15" s="40">
        <f>(BQ$4-BQ$9-BQ$10)*'Ethylene Recycling HC'!D230</f>
        <v>91945.885897410248</v>
      </c>
      <c r="BR15" s="40">
        <f>(BR$4-BR$9-BR$10)*'Ethylene Recycling HC'!E230</f>
        <v>89688.241600030611</v>
      </c>
      <c r="BS15" s="40">
        <f>(BS$4-BS$9-BS$10)*'Ethylene Recycling HC'!F230</f>
        <v>87447.301015017045</v>
      </c>
      <c r="BT15" s="40">
        <f>(BT$4-BT$9-BT$10)*'Ethylene Recycling HC'!G230</f>
        <v>85223.261037612319</v>
      </c>
      <c r="BU15" s="40">
        <f>(BU$4-BU$9-BU$10)*'Ethylene Recycling HC'!H230</f>
        <v>83016.324280849702</v>
      </c>
      <c r="BV15" s="40">
        <f>(BV$4-BV$9-BV$10)*'Ethylene Recycling HC'!I230</f>
        <v>80826.699199665192</v>
      </c>
      <c r="BW15" s="40">
        <f>(BW$4-BW$9-BW$10)*'Ethylene Recycling HC'!J230</f>
        <v>78654.600217594983</v>
      </c>
      <c r="BX15" s="40">
        <f>(BX$4-BX$9-BX$10)*'Ethylene Recycling HC'!K230</f>
        <v>76500.247856109228</v>
      </c>
      <c r="BY15" s="40">
        <f>(BY$4-BY$9-BY$10)*'Ethylene Recycling HC'!L230</f>
        <v>74363.868866635326</v>
      </c>
      <c r="BZ15" s="40">
        <f>(BZ$4-BZ$9-BZ$10)*'Ethylene Recycling HC'!M230</f>
        <v>72245.696365323805</v>
      </c>
      <c r="CA15" s="40">
        <f>(CA$4-CA$9-CA$10)*'Ethylene Recycling HC'!N230</f>
        <v>70145.969970612001</v>
      </c>
      <c r="CB15" s="40">
        <f>(CB$4-CB$9-CB$10)*'Ethylene Recycling HC'!O230</f>
        <v>68064.935943640929</v>
      </c>
      <c r="CC15" s="40">
        <f>(CC$4-CC$9-CC$10)*'Ethylene Recycling HC'!P230</f>
        <v>66002.847331582496</v>
      </c>
      <c r="CD15" s="40">
        <f>(CD$4-CD$9-CD$10)*'Ethylene Recycling HC'!Q230</f>
        <v>63959.96411393481</v>
      </c>
      <c r="CE15" s="40">
        <f>(CE$4-CE$9-CE$10)*'Ethylene Recycling HC'!R230</f>
        <v>61936.553351844486</v>
      </c>
      <c r="CF15" s="40">
        <f>(CF$4-CF$9-CF$10)*'Ethylene Recycling HC'!S230</f>
        <v>59932.88934051674</v>
      </c>
      <c r="CG15" s="40">
        <f>(CG$4-CG$9-CG$10)*'Ethylene Recycling HC'!T230</f>
        <v>57949.253764774054</v>
      </c>
      <c r="CH15" s="40">
        <f>(CH$4-CH$9-CH$10)*'Ethylene Recycling HC'!U230</f>
        <v>55985.935857826204</v>
      </c>
      <c r="CI15" s="40">
        <f>(CI$4-CI$9-CI$10)*'Ethylene Recycling HC'!V230</f>
        <v>54043.232563315687</v>
      </c>
      <c r="CJ15" s="40">
        <f>(CJ$4-CJ$9-CJ$10)*'Ethylene Recycling HC'!W230</f>
        <v>52121.448700703113</v>
      </c>
      <c r="CK15" s="40">
        <f>(CK$4-CK$9-CK$10)*'Ethylene Recycling HC'!X230</f>
        <v>50220.897134059152</v>
      </c>
      <c r="CL15" s="40">
        <f>(CL$4-CL$9-CL$10)*'Ethylene Recycling HC'!Y230</f>
        <v>48341.898944330547</v>
      </c>
      <c r="CM15" s="40">
        <f>(CM$4-CM$9-CM$10)*'Ethylene Recycling HC'!Z230</f>
        <v>46484.78360514903</v>
      </c>
      <c r="CN15" s="40">
        <f>(CN$4-CN$9-CN$10)*'Ethylene Recycling HC'!AA230</f>
        <v>44649.889162253254</v>
      </c>
      <c r="CO15" s="40">
        <f>(CO$4-CO$9-CO$10)*'Ethylene Recycling HC'!AB230</f>
        <v>42837.562416595545</v>
      </c>
      <c r="CP15" s="40">
        <f>(CP$4-CP$9-CP$10)*'Ethylene Recycling HC'!AC230</f>
        <v>41048.159111206121</v>
      </c>
      <c r="CQ15" s="40">
        <f>(CQ$4-CQ$9-CQ$10)*'Ethylene Recycling HC'!AD230</f>
        <v>39282.044121889237</v>
      </c>
      <c r="CR15" s="40">
        <f>(CR$4-CR$9-CR$10)*'Ethylene Recycling HC'!AE230</f>
        <v>37539.59165182733</v>
      </c>
      <c r="CS15" s="40">
        <f>(CS$4-CS$9-CS$10)*'Ethylene Recycling HC'!AF230</f>
        <v>35821.185430169782</v>
      </c>
      <c r="CT15" s="40">
        <f>(CT$4-CT$9-CT$10)*'Ethylene Recycling HC'!AG230</f>
        <v>34127.218914685713</v>
      </c>
    </row>
    <row r="16" spans="1:98" s="76" customFormat="1" ht="15.5" thickBot="1">
      <c r="A16" s="491" t="s">
        <v>1387</v>
      </c>
      <c r="C16" s="150" t="s">
        <v>171</v>
      </c>
      <c r="D16" s="495">
        <f>(D$4-D$9-D$10)*'Ethylene Recycling HC'!C252</f>
        <v>31406.580403767941</v>
      </c>
      <c r="E16" s="495">
        <f>(E$4-E$9-E$10)*'Ethylene Recycling HC'!D252</f>
        <v>30183.562924448524</v>
      </c>
      <c r="F16" s="495">
        <f>(F$4-F$9-F$10)*'Ethylene Recycling HC'!E252</f>
        <v>28994.536342306659</v>
      </c>
      <c r="G16" s="495">
        <f>(G$4-G$9-G$10)*'Ethylene Recycling HC'!F252</f>
        <v>27839.055076075561</v>
      </c>
      <c r="H16" s="495">
        <f>(H$4-H$9-H$10)*'Ethylene Recycling HC'!G252</f>
        <v>26715.984798417827</v>
      </c>
      <c r="I16" s="495">
        <f>(I$4-I$9-I$10)*'Ethylene Recycling HC'!H252</f>
        <v>25624.220959722683</v>
      </c>
      <c r="J16" s="495">
        <f>(J$4-J$9-J$10)*'Ethylene Recycling HC'!I252</f>
        <v>24458.81903590183</v>
      </c>
      <c r="K16" s="495">
        <f>(K$4-K$9-K$10)*'Ethylene Recycling HC'!J252</f>
        <v>23328.213871796081</v>
      </c>
      <c r="L16" s="495">
        <f>(L$4-L$9-L$10)*'Ethylene Recycling HC'!K252</f>
        <v>22229.8404062872</v>
      </c>
      <c r="M16" s="495">
        <f>(M$4-M$9-M$10)*'Ethylene Recycling HC'!L252</f>
        <v>21160.046115918205</v>
      </c>
      <c r="N16" s="495">
        <f>(N$4-N$9-N$10)*'Ethylene Recycling HC'!M252</f>
        <v>20116.389561401378</v>
      </c>
      <c r="O16" s="495">
        <f>(O$4-O$9-O$10)*'Ethylene Recycling HC'!N252</f>
        <v>19156.671413126998</v>
      </c>
      <c r="P16" s="495">
        <f>(P$4-P$9-P$10)*'Ethylene Recycling HC'!O252</f>
        <v>18236.410408401218</v>
      </c>
      <c r="Q16" s="495">
        <f>(Q$4-Q$9-Q$10)*'Ethylene Recycling HC'!P252</f>
        <v>17288.549075837334</v>
      </c>
      <c r="R16" s="495">
        <f>(R$4-R$9-R$10)*'Ethylene Recycling HC'!Q252</f>
        <v>16339.158324744578</v>
      </c>
      <c r="S16" s="495">
        <f>(S$4-S$9-S$10)*'Ethylene Recycling HC'!R252</f>
        <v>15391.975185811852</v>
      </c>
      <c r="T16" s="495">
        <f>(T$4-T$9-T$10)*'Ethylene Recycling HC'!S252</f>
        <v>14467.054643597769</v>
      </c>
      <c r="U16" s="495">
        <f>(U$4-U$9-U$10)*'Ethylene Recycling HC'!T252</f>
        <v>13569.011640060689</v>
      </c>
      <c r="V16" s="495">
        <f>(V$4-V$9-V$10)*'Ethylene Recycling HC'!U252</f>
        <v>12712.609140267663</v>
      </c>
      <c r="W16" s="495">
        <f>(W$4-W$9-W$10)*'Ethylene Recycling HC'!V252</f>
        <v>11908.274395389619</v>
      </c>
      <c r="X16" s="495">
        <f>(X$4-X$9-X$10)*'Ethylene Recycling HC'!W252</f>
        <v>11229.205521428596</v>
      </c>
      <c r="Y16" s="495">
        <f>(Y$4-Y$9-Y$10)*'Ethylene Recycling HC'!X252</f>
        <v>10388.581116002457</v>
      </c>
      <c r="Z16" s="495">
        <f>(Z$4-Z$9-Z$10)*'Ethylene Recycling HC'!Y252</f>
        <v>9668.5726799982021</v>
      </c>
      <c r="AA16" s="495">
        <f>(AA$4-AA$9-AA$10)*'Ethylene Recycling HC'!Z252</f>
        <v>8993.9405176702476</v>
      </c>
      <c r="AB16" s="495">
        <f>(AB$4-AB$9-AB$10)*'Ethylene Recycling HC'!AA252</f>
        <v>8363.7768865767248</v>
      </c>
      <c r="AC16" s="495">
        <f>(AC$4-AC$9-AC$10)*'Ethylene Recycling HC'!AB252</f>
        <v>7772.8848844489912</v>
      </c>
      <c r="AD16" s="495">
        <f>(AD$4-AD$9-AD$10)*'Ethylene Recycling HC'!AC252</f>
        <v>7213.529856790321</v>
      </c>
      <c r="AE16" s="495">
        <f>(AE$4-AE$9-AE$10)*'Ethylene Recycling HC'!AD252</f>
        <v>6685.9134393096692</v>
      </c>
      <c r="AF16" s="495">
        <f>(AF$4-AF$9-AF$10)*'Ethylene Recycling HC'!AE252</f>
        <v>6187.149056853229</v>
      </c>
      <c r="AG16" s="495">
        <f>(AG$4-AG$9-AG$10)*'Ethylene Recycling HC'!AF252</f>
        <v>5714.9506280574906</v>
      </c>
      <c r="AH16" s="495">
        <f>(AH$4-AH$9-AH$10)*'Ethylene Recycling HC'!AG252</f>
        <v>5348.6728493906649</v>
      </c>
      <c r="AJ16" s="495">
        <f>(AJ$4-AJ$9-AJ$10)*'Ethylene Recycling LC'!C210</f>
        <v>31406.626260796125</v>
      </c>
      <c r="AK16" s="495">
        <f>(AK$4-AK$9-AK$10)*'Ethylene Recycling LC'!D210</f>
        <v>30239.309730708585</v>
      </c>
      <c r="AL16" s="495">
        <f>(AL$4-AL$9-AL$10)*'Ethylene Recycling LC'!E210</f>
        <v>29106.26025908719</v>
      </c>
      <c r="AM16" s="495">
        <f>(AM$4-AM$9-AM$10)*'Ethylene Recycling LC'!F210</f>
        <v>28004.066024713353</v>
      </c>
      <c r="AN16" s="495">
        <f>(AN$4-AN$9-AN$10)*'Ethylene Recycling LC'!G210</f>
        <v>26932.684440588317</v>
      </c>
      <c r="AO16" s="495">
        <f>(AO$4-AO$9-AO$10)*'Ethylene Recycling LC'!H210</f>
        <v>25891.161772989923</v>
      </c>
      <c r="AP16" s="495">
        <f>(AP$4-AP$9-AP$10)*'Ethylene Recycling LC'!I210</f>
        <v>24835.731868685456</v>
      </c>
      <c r="AQ16" s="495">
        <f>(AQ$4-AQ$9-AQ$10)*'Ethylene Recycling LC'!J210</f>
        <v>23812.340767473208</v>
      </c>
      <c r="AR16" s="495">
        <f>(AR$4-AR$9-AR$10)*'Ethylene Recycling LC'!K210</f>
        <v>22819.2140474962</v>
      </c>
      <c r="AS16" s="495">
        <f>(AS$4-AS$9-AS$10)*'Ethylene Recycling LC'!L210</f>
        <v>21853.974082537115</v>
      </c>
      <c r="AT16" s="495">
        <f>(AT$4-AT$9-AT$10)*'Ethylene Recycling LC'!M210</f>
        <v>20916.166697200013</v>
      </c>
      <c r="AU16" s="495">
        <f>(AU$4-AU$9-AU$10)*'Ethylene Recycling LC'!N210</f>
        <v>20093.291755599905</v>
      </c>
      <c r="AV16" s="495">
        <f>(AV$4-AV$9-AV$10)*'Ethylene Recycling LC'!O210</f>
        <v>19308.866465281892</v>
      </c>
      <c r="AW16" s="495">
        <f>(AW$4-AW$9-AW$10)*'Ethylene Recycling LC'!P210</f>
        <v>18511.80057512892</v>
      </c>
      <c r="AX16" s="495">
        <f>(AX$4-AX$9-AX$10)*'Ethylene Recycling LC'!Q210</f>
        <v>17721.078401220497</v>
      </c>
      <c r="AY16" s="495">
        <f>(AY$4-AY$9-AY$10)*'Ethylene Recycling LC'!R210</f>
        <v>16938.471043765418</v>
      </c>
      <c r="AZ16" s="495">
        <f>(AZ$4-AZ$9-AZ$10)*'Ethylene Recycling LC'!S210</f>
        <v>16173.409194960088</v>
      </c>
      <c r="BA16" s="495">
        <f>(BA$4-BA$9-BA$10)*'Ethylene Recycling LC'!T210</f>
        <v>15429.72013204125</v>
      </c>
      <c r="BB16" s="495">
        <f>(BB$4-BB$9-BB$10)*'Ethylene Recycling LC'!U210</f>
        <v>14715.525047994914</v>
      </c>
      <c r="BC16" s="495">
        <f>(BC$4-BC$9-BC$10)*'Ethylene Recycling LC'!V210</f>
        <v>14036.550376848507</v>
      </c>
      <c r="BD16" s="495">
        <f>(BD$4-BD$9-BD$10)*'Ethylene Recycling LC'!W210</f>
        <v>13468.750026006377</v>
      </c>
      <c r="BE16" s="495">
        <f>(BE$4-BE$9-BE$10)*'Ethylene Recycling LC'!X210</f>
        <v>12703.565210539711</v>
      </c>
      <c r="BF16" s="495">
        <f>(BF$4-BF$9-BF$10)*'Ethylene Recycling LC'!Y210</f>
        <v>12048.444768352747</v>
      </c>
      <c r="BG16" s="495">
        <f>(BG$4-BG$9-BG$10)*'Ethylene Recycling LC'!Z210</f>
        <v>11429.979193037523</v>
      </c>
      <c r="BH16" s="495">
        <f>(BH$4-BH$9-BH$10)*'Ethylene Recycling LC'!AA210</f>
        <v>10844.199171944047</v>
      </c>
      <c r="BI16" s="495">
        <f>(BI$4-BI$9-BI$10)*'Ethylene Recycling LC'!AB210</f>
        <v>10287.91749330705</v>
      </c>
      <c r="BJ16" s="495">
        <f>(BJ$4-BJ$9-BJ$10)*'Ethylene Recycling LC'!AC210</f>
        <v>9757.9886409549563</v>
      </c>
      <c r="BK16" s="495">
        <f>(BK$4-BK$9-BK$10)*'Ethylene Recycling LC'!AD210</f>
        <v>9252.8867699458278</v>
      </c>
      <c r="BL16" s="495">
        <f>(BL$4-BL$9-BL$10)*'Ethylene Recycling LC'!AE210</f>
        <v>8770.7442241729241</v>
      </c>
      <c r="BM16" s="495">
        <f>(BM$4-BM$9-BM$10)*'Ethylene Recycling LC'!AF210</f>
        <v>8310.0388902000323</v>
      </c>
      <c r="BN16" s="495">
        <f>(BN$4-BN$9-BN$10)*'Ethylene Recycling LC'!AG210</f>
        <v>7959.6655241114613</v>
      </c>
      <c r="BP16" s="495">
        <f>(BP$4-BP$9-BP$10)*'Ethylene Recycling HC'!C231</f>
        <v>31406.680869375203</v>
      </c>
      <c r="BQ16" s="495">
        <f>(BQ$4-BQ$9-BQ$10)*'Ethylene Recycling HC'!D231</f>
        <v>30787.310209992578</v>
      </c>
      <c r="BR16" s="495">
        <f>(BR$4-BR$9-BR$10)*'Ethylene Recycling HC'!E231</f>
        <v>30171.620446093253</v>
      </c>
      <c r="BS16" s="495">
        <f>(BS$4-BS$9-BS$10)*'Ethylene Recycling HC'!F231</f>
        <v>29559.651047329713</v>
      </c>
      <c r="BT16" s="495">
        <f>(BT$4-BT$9-BT$10)*'Ethylene Recycling HC'!G231</f>
        <v>28951.442744834821</v>
      </c>
      <c r="BU16" s="495">
        <f>(BU$4-BU$9-BU$10)*'Ethylene Recycling HC'!H231</f>
        <v>28347.037559314547</v>
      </c>
      <c r="BV16" s="495">
        <f>(BV$4-BV$9-BV$10)*'Ethylene Recycling HC'!I231</f>
        <v>27746.478829735828</v>
      </c>
      <c r="BW16" s="495">
        <f>(BW$4-BW$9-BW$10)*'Ethylene Recycling HC'!J231</f>
        <v>27149.811242621636</v>
      </c>
      <c r="BX16" s="495">
        <f>(BX$4-BX$9-BX$10)*'Ethylene Recycling HC'!K231</f>
        <v>26557.080861965405</v>
      </c>
      <c r="BY16" s="495">
        <f>(BY$4-BY$9-BY$10)*'Ethylene Recycling HC'!L231</f>
        <v>25968.335159777442</v>
      </c>
      <c r="BZ16" s="495">
        <f>(BZ$4-BZ$9-BZ$10)*'Ethylene Recycling HC'!M231</f>
        <v>25383.62304727596</v>
      </c>
      <c r="CA16" s="495">
        <f>(CA$4-CA$9-CA$10)*'Ethylene Recycling HC'!N231</f>
        <v>24802.994906735763</v>
      </c>
      <c r="CB16" s="495">
        <f>(CB$4-CB$9-CB$10)*'Ethylene Recycling HC'!O231</f>
        <v>24226.502624007822</v>
      </c>
      <c r="CC16" s="495">
        <f>(CC$4-CC$9-CC$10)*'Ethylene Recycling HC'!P231</f>
        <v>23654.199621723244</v>
      </c>
      <c r="CD16" s="495">
        <f>(CD$4-CD$9-CD$10)*'Ethylene Recycling HC'!Q231</f>
        <v>23086.140893195439</v>
      </c>
      <c r="CE16" s="495">
        <f>(CE$4-CE$9-CE$10)*'Ethylene Recycling HC'!R231</f>
        <v>22522.383037034397</v>
      </c>
      <c r="CF16" s="495">
        <f>(CF$4-CF$9-CF$10)*'Ethylene Recycling HC'!S231</f>
        <v>21962.984292487541</v>
      </c>
      <c r="CG16" s="495">
        <f>(CG$4-CG$9-CG$10)*'Ethylene Recycling HC'!T231</f>
        <v>21408.004575521667</v>
      </c>
      <c r="CH16" s="495">
        <f>(CH$4-CH$9-CH$10)*'Ethylene Recycling HC'!U231</f>
        <v>20857.505515660785</v>
      </c>
      <c r="CI16" s="495">
        <f>(CI$4-CI$9-CI$10)*'Ethylene Recycling HC'!V231</f>
        <v>20311.550493595198</v>
      </c>
      <c r="CJ16" s="495">
        <f>(CJ$4-CJ$9-CJ$10)*'Ethylene Recycling HC'!W231</f>
        <v>19770.204679577084</v>
      </c>
      <c r="CK16" s="495">
        <f>(CK$4-CK$9-CK$10)*'Ethylene Recycling HC'!X231</f>
        <v>19233.535072618441</v>
      </c>
      <c r="CL16" s="495">
        <f>(CL$4-CL$9-CL$10)*'Ethylene Recycling HC'!Y231</f>
        <v>18701.610540507481</v>
      </c>
      <c r="CM16" s="495">
        <f>(CM$4-CM$9-CM$10)*'Ethylene Recycling HC'!Z231</f>
        <v>18174.50186065981</v>
      </c>
      <c r="CN16" s="495">
        <f>(CN$4-CN$9-CN$10)*'Ethylene Recycling HC'!AA231</f>
        <v>17652.281761821094</v>
      </c>
      <c r="CO16" s="495">
        <f>(CO$4-CO$9-CO$10)*'Ethylene Recycling HC'!AB231</f>
        <v>17135.024966638259</v>
      </c>
      <c r="CP16" s="495">
        <f>(CP$4-CP$9-CP$10)*'Ethylene Recycling HC'!AC231</f>
        <v>16622.808235116569</v>
      </c>
      <c r="CQ16" s="495">
        <f>(CQ$4-CQ$9-CQ$10)*'Ethylene Recycling HC'!AD231</f>
        <v>16115.71040898024</v>
      </c>
      <c r="CR16" s="495">
        <f>(CR$4-CR$9-CR$10)*'Ethylene Recycling HC'!AE231</f>
        <v>15613.812456954767</v>
      </c>
      <c r="CS16" s="495">
        <f>(CS$4-CS$9-CS$10)*'Ethylene Recycling HC'!AF231</f>
        <v>15117.197520989121</v>
      </c>
      <c r="CT16" s="495">
        <f>(CT$4-CT$9-CT$10)*'Ethylene Recycling HC'!AG231</f>
        <v>14625.950963436733</v>
      </c>
    </row>
    <row r="17" spans="1:98" ht="15.5" thickBot="1"/>
    <row r="18" spans="1:98" s="164" customFormat="1" ht="15.5" thickBot="1">
      <c r="A18" s="163" t="s">
        <v>1389</v>
      </c>
      <c r="C18" s="499"/>
    </row>
    <row r="19" spans="1:98">
      <c r="A19" s="497" t="s">
        <v>1391</v>
      </c>
      <c r="C19" s="50" t="s">
        <v>171</v>
      </c>
      <c r="D19" s="40">
        <f>D11*(1-D24)</f>
        <v>6092595.7859790577</v>
      </c>
      <c r="E19" s="40">
        <f t="shared" ref="E19:AH19" si="38">E11*(1-E24)</f>
        <v>5936250.6750696879</v>
      </c>
      <c r="F19" s="40">
        <f t="shared" si="38"/>
        <v>5782022.1397214159</v>
      </c>
      <c r="G19" s="40">
        <f t="shared" si="38"/>
        <v>5629735.2335646776</v>
      </c>
      <c r="H19" s="40">
        <f t="shared" si="38"/>
        <v>5478915.7404041886</v>
      </c>
      <c r="I19" s="40">
        <f t="shared" si="38"/>
        <v>5328804.2617568132</v>
      </c>
      <c r="J19" s="40">
        <f t="shared" si="38"/>
        <v>5156246.8720451267</v>
      </c>
      <c r="K19" s="40">
        <f t="shared" si="38"/>
        <v>4981675.1077645309</v>
      </c>
      <c r="L19" s="40">
        <f t="shared" si="38"/>
        <v>4801443.7289854251</v>
      </c>
      <c r="M19" s="40">
        <f t="shared" si="38"/>
        <v>4609750.0587953404</v>
      </c>
      <c r="N19" s="40">
        <f t="shared" si="38"/>
        <v>4398569.7040721839</v>
      </c>
      <c r="O19" s="40">
        <f t="shared" si="38"/>
        <v>4170453.5940537429</v>
      </c>
      <c r="P19" s="40">
        <f t="shared" si="38"/>
        <v>3903846.8449616507</v>
      </c>
      <c r="Q19" s="40">
        <f t="shared" si="38"/>
        <v>3574330.0795940212</v>
      </c>
      <c r="R19" s="40">
        <f t="shared" si="38"/>
        <v>3185043.1687370739</v>
      </c>
      <c r="S19" s="40">
        <f t="shared" si="38"/>
        <v>2746525.6530000074</v>
      </c>
      <c r="T19" s="40">
        <f t="shared" si="38"/>
        <v>2285230.9386324664</v>
      </c>
      <c r="U19" s="40">
        <f t="shared" si="38"/>
        <v>1832286.480242555</v>
      </c>
      <c r="V19" s="40">
        <f t="shared" si="38"/>
        <v>1418822.5132610747</v>
      </c>
      <c r="W19" s="40">
        <f t="shared" si="38"/>
        <v>1065562.7644517743</v>
      </c>
      <c r="X19" s="40">
        <f t="shared" si="38"/>
        <v>785011.5054099923</v>
      </c>
      <c r="Y19" s="40">
        <f t="shared" si="38"/>
        <v>555606.94830292906</v>
      </c>
      <c r="Z19" s="40">
        <f t="shared" si="38"/>
        <v>389181.88303959736</v>
      </c>
      <c r="AA19" s="40">
        <f t="shared" si="38"/>
        <v>269121.12445424718</v>
      </c>
      <c r="AB19" s="40">
        <f t="shared" si="38"/>
        <v>184352.29379516887</v>
      </c>
      <c r="AC19" s="40">
        <f t="shared" si="38"/>
        <v>125377.73359523005</v>
      </c>
      <c r="AD19" s="40">
        <f t="shared" si="38"/>
        <v>84753.717825756423</v>
      </c>
      <c r="AE19" s="40">
        <f t="shared" si="38"/>
        <v>57035.819535037837</v>
      </c>
      <c r="AF19" s="40">
        <f t="shared" si="38"/>
        <v>38239.649557513651</v>
      </c>
      <c r="AG19" s="40">
        <f t="shared" si="38"/>
        <v>25554.391255143375</v>
      </c>
      <c r="AH19" s="40">
        <f t="shared" si="38"/>
        <v>17288.760449998146</v>
      </c>
      <c r="AI19" s="40"/>
      <c r="AJ19" s="40">
        <f>AJ11*(1-D24)</f>
        <v>6092604.6818325091</v>
      </c>
      <c r="AK19" s="40">
        <f t="shared" ref="AK19:BN19" si="39">AK11*(1-E24)</f>
        <v>5947214.4906113651</v>
      </c>
      <c r="AL19" s="40">
        <f t="shared" si="39"/>
        <v>5804301.8600361301</v>
      </c>
      <c r="AM19" s="40">
        <f t="shared" si="39"/>
        <v>5663104.4678627355</v>
      </c>
      <c r="AN19" s="40">
        <f t="shared" si="39"/>
        <v>5523356.5158195924</v>
      </c>
      <c r="AO19" s="40">
        <f t="shared" si="39"/>
        <v>5384317.1823490607</v>
      </c>
      <c r="AP19" s="40">
        <f t="shared" si="39"/>
        <v>5235705.1489235628</v>
      </c>
      <c r="AQ19" s="40">
        <f t="shared" si="39"/>
        <v>5085059.0581367407</v>
      </c>
      <c r="AR19" s="40">
        <f t="shared" si="39"/>
        <v>4928743.0852512447</v>
      </c>
      <c r="AS19" s="40">
        <f t="shared" si="39"/>
        <v>4760923.381736014</v>
      </c>
      <c r="AT19" s="40">
        <f t="shared" si="39"/>
        <v>4573445.7904989198</v>
      </c>
      <c r="AU19" s="40">
        <f t="shared" si="39"/>
        <v>4374358.1027907524</v>
      </c>
      <c r="AV19" s="40">
        <f t="shared" si="39"/>
        <v>4133426.2468424556</v>
      </c>
      <c r="AW19" s="40">
        <f t="shared" si="39"/>
        <v>3827231.8476745584</v>
      </c>
      <c r="AX19" s="40">
        <f t="shared" si="39"/>
        <v>3454425.1657677596</v>
      </c>
      <c r="AY19" s="40">
        <f t="shared" si="39"/>
        <v>3022480.5252533755</v>
      </c>
      <c r="AZ19" s="40">
        <f t="shared" si="39"/>
        <v>2554768.4712618282</v>
      </c>
      <c r="BA19" s="40">
        <f t="shared" si="39"/>
        <v>2083546.5649095061</v>
      </c>
      <c r="BB19" s="40">
        <f t="shared" si="39"/>
        <v>1642362.9486427237</v>
      </c>
      <c r="BC19" s="40">
        <f t="shared" si="39"/>
        <v>1256002.7529019604</v>
      </c>
      <c r="BD19" s="40">
        <f t="shared" si="39"/>
        <v>941573.62368419918</v>
      </c>
      <c r="BE19" s="40">
        <f t="shared" si="39"/>
        <v>679418.0090987467</v>
      </c>
      <c r="BF19" s="40">
        <f t="shared" si="39"/>
        <v>484977.10860120255</v>
      </c>
      <c r="BG19" s="40">
        <f t="shared" si="39"/>
        <v>342013.47528098995</v>
      </c>
      <c r="BH19" s="40">
        <f t="shared" si="39"/>
        <v>239025.14603516701</v>
      </c>
      <c r="BI19" s="40">
        <f t="shared" si="39"/>
        <v>165945.56562984473</v>
      </c>
      <c r="BJ19" s="40">
        <f t="shared" si="39"/>
        <v>114649.25386618142</v>
      </c>
      <c r="BK19" s="40">
        <f t="shared" si="39"/>
        <v>78934.013247299808</v>
      </c>
      <c r="BL19" s="40">
        <f t="shared" si="39"/>
        <v>54207.548971115029</v>
      </c>
      <c r="BM19" s="40">
        <f t="shared" si="39"/>
        <v>37158.323661285845</v>
      </c>
      <c r="BN19" s="40">
        <f t="shared" si="39"/>
        <v>25728.391768090507</v>
      </c>
      <c r="BP19" s="40">
        <f>BP11</f>
        <v>6092896.0886587892</v>
      </c>
      <c r="BQ19" s="40">
        <f t="shared" ref="BQ19:CT19" si="40">BQ11</f>
        <v>6055531.0825194847</v>
      </c>
      <c r="BR19" s="40">
        <f t="shared" si="40"/>
        <v>6017791.694453666</v>
      </c>
      <c r="BS19" s="40">
        <f t="shared" si="40"/>
        <v>5979671.0764494045</v>
      </c>
      <c r="BT19" s="40">
        <f t="shared" si="40"/>
        <v>5941162.2646794803</v>
      </c>
      <c r="BU19" s="40">
        <f t="shared" si="40"/>
        <v>5902258.1775287036</v>
      </c>
      <c r="BV19" s="40">
        <f t="shared" si="40"/>
        <v>5862951.6135876533</v>
      </c>
      <c r="BW19" s="40">
        <f t="shared" si="40"/>
        <v>5823235.2496122969</v>
      </c>
      <c r="BX19" s="40">
        <f t="shared" si="40"/>
        <v>5783101.6384488782</v>
      </c>
      <c r="BY19" s="40">
        <f t="shared" si="40"/>
        <v>5742543.2069235044</v>
      </c>
      <c r="BZ19" s="40">
        <f t="shared" si="40"/>
        <v>5701552.2536958233</v>
      </c>
      <c r="CA19" s="40">
        <f t="shared" si="40"/>
        <v>5660120.9470761763</v>
      </c>
      <c r="CB19" s="40">
        <f t="shared" si="40"/>
        <v>5618241.3228056142</v>
      </c>
      <c r="CC19" s="40">
        <f t="shared" si="40"/>
        <v>5575905.2817981383</v>
      </c>
      <c r="CD19" s="40">
        <f t="shared" si="40"/>
        <v>5533104.5878445357</v>
      </c>
      <c r="CE19" s="40">
        <f t="shared" si="40"/>
        <v>5489830.8652771227</v>
      </c>
      <c r="CF19" s="40">
        <f t="shared" si="40"/>
        <v>5446075.5965947798</v>
      </c>
      <c r="CG19" s="40">
        <f t="shared" si="40"/>
        <v>5401830.1200475665</v>
      </c>
      <c r="CH19" s="40">
        <f t="shared" si="40"/>
        <v>5357085.6271802308</v>
      </c>
      <c r="CI19" s="40">
        <f t="shared" si="40"/>
        <v>5311833.1603339454</v>
      </c>
      <c r="CJ19" s="40">
        <f t="shared" si="40"/>
        <v>5266063.6101055183</v>
      </c>
      <c r="CK19" s="40">
        <f t="shared" si="40"/>
        <v>5219767.7127633793</v>
      </c>
      <c r="CL19" s="40">
        <f t="shared" si="40"/>
        <v>5172936.0476196026</v>
      </c>
      <c r="CM19" s="40">
        <f t="shared" si="40"/>
        <v>5125559.034357219</v>
      </c>
      <c r="CN19" s="40">
        <f t="shared" si="40"/>
        <v>5077626.9303120533</v>
      </c>
      <c r="CO19" s="40">
        <f t="shared" si="40"/>
        <v>5029129.8277083142</v>
      </c>
      <c r="CP19" s="40">
        <f t="shared" si="40"/>
        <v>4980057.6508471528</v>
      </c>
      <c r="CQ19" s="40">
        <f t="shared" si="40"/>
        <v>4930400.1532473778</v>
      </c>
      <c r="CR19" s="40">
        <f t="shared" si="40"/>
        <v>4880146.9147375496</v>
      </c>
      <c r="CS19" s="40">
        <f t="shared" si="40"/>
        <v>4829287.3384985747</v>
      </c>
      <c r="CT19" s="40">
        <f t="shared" si="40"/>
        <v>4777810.6480559995</v>
      </c>
    </row>
    <row r="20" spans="1:98" s="76" customFormat="1" ht="15.5" thickBot="1">
      <c r="A20" s="498" t="s">
        <v>1392</v>
      </c>
      <c r="C20" s="150" t="s">
        <v>171</v>
      </c>
      <c r="D20" s="495">
        <f>D11*D24</f>
        <v>280.81235192307685</v>
      </c>
      <c r="E20" s="495">
        <f t="shared" ref="E20:AH20" si="41">E11*E24</f>
        <v>529.84338096408567</v>
      </c>
      <c r="F20" s="495">
        <f t="shared" si="41"/>
        <v>997.71156604765918</v>
      </c>
      <c r="G20" s="495">
        <f t="shared" si="41"/>
        <v>1873.6161997717261</v>
      </c>
      <c r="H20" s="495">
        <f t="shared" si="41"/>
        <v>3505.365411974366</v>
      </c>
      <c r="I20" s="495">
        <f t="shared" si="41"/>
        <v>6524.6023568706814</v>
      </c>
      <c r="J20" s="495">
        <f t="shared" si="41"/>
        <v>12007.932932386195</v>
      </c>
      <c r="K20" s="495">
        <f t="shared" si="41"/>
        <v>21883.705767021591</v>
      </c>
      <c r="L20" s="495">
        <f t="shared" si="41"/>
        <v>39352.860980692152</v>
      </c>
      <c r="M20" s="495">
        <f t="shared" si="41"/>
        <v>69505.59365656595</v>
      </c>
      <c r="N20" s="495">
        <f t="shared" si="41"/>
        <v>119880.87433488859</v>
      </c>
      <c r="O20" s="495">
        <f t="shared" si="41"/>
        <v>201158.68701999763</v>
      </c>
      <c r="P20" s="495">
        <f t="shared" si="41"/>
        <v>325263.56879614864</v>
      </c>
      <c r="Q20" s="495">
        <f t="shared" si="41"/>
        <v>501027.09368601401</v>
      </c>
      <c r="R20" s="495">
        <f t="shared" si="41"/>
        <v>730997.72811153659</v>
      </c>
      <c r="S20" s="495">
        <f t="shared" si="41"/>
        <v>1005268.2985416239</v>
      </c>
      <c r="T20" s="495">
        <f t="shared" si="41"/>
        <v>1302108.2043477856</v>
      </c>
      <c r="U20" s="495">
        <f t="shared" si="41"/>
        <v>1591549.4741072329</v>
      </c>
      <c r="V20" s="495">
        <f t="shared" si="41"/>
        <v>1846310.7817129279</v>
      </c>
      <c r="W20" s="495">
        <f t="shared" si="41"/>
        <v>2048663.6376996641</v>
      </c>
      <c r="X20" s="495">
        <f t="shared" si="41"/>
        <v>2206040.510752344</v>
      </c>
      <c r="Y20" s="495">
        <f t="shared" si="41"/>
        <v>2263738.5379010634</v>
      </c>
      <c r="Z20" s="495">
        <f t="shared" si="41"/>
        <v>2285181.8054278228</v>
      </c>
      <c r="AA20" s="495">
        <f t="shared" si="41"/>
        <v>2267343.061923326</v>
      </c>
      <c r="AB20" s="495">
        <f t="shared" si="41"/>
        <v>2221463.5282848352</v>
      </c>
      <c r="AC20" s="495">
        <f t="shared" si="41"/>
        <v>2155963.9799905424</v>
      </c>
      <c r="AD20" s="495">
        <f t="shared" si="41"/>
        <v>2076360.9413106032</v>
      </c>
      <c r="AE20" s="495">
        <f t="shared" si="41"/>
        <v>1988435.8233037582</v>
      </c>
      <c r="AF20" s="495">
        <f t="shared" si="41"/>
        <v>1895573.5343823514</v>
      </c>
      <c r="AG20" s="495">
        <f t="shared" si="41"/>
        <v>1800123.8582949557</v>
      </c>
      <c r="AH20" s="495">
        <f t="shared" si="41"/>
        <v>1729944.3703509525</v>
      </c>
      <c r="AI20" s="495"/>
      <c r="AJ20" s="495">
        <f>AJ11*D24</f>
        <v>280.81276193969666</v>
      </c>
      <c r="AK20" s="495">
        <f t="shared" ref="AK20:BN20" si="42">AK11*E24</f>
        <v>530.82196246490832</v>
      </c>
      <c r="AL20" s="495">
        <f t="shared" si="42"/>
        <v>1001.556022901878</v>
      </c>
      <c r="AM20" s="495">
        <f t="shared" si="42"/>
        <v>1884.7217199002866</v>
      </c>
      <c r="AN20" s="495">
        <f t="shared" si="42"/>
        <v>3533.7982560631463</v>
      </c>
      <c r="AO20" s="495">
        <f t="shared" si="42"/>
        <v>6592.5725270517014</v>
      </c>
      <c r="AP20" s="495">
        <f t="shared" si="42"/>
        <v>12192.976372577567</v>
      </c>
      <c r="AQ20" s="495">
        <f t="shared" si="42"/>
        <v>22337.855004383848</v>
      </c>
      <c r="AR20" s="495">
        <f t="shared" si="42"/>
        <v>40396.21255426541</v>
      </c>
      <c r="AS20" s="495">
        <f t="shared" si="42"/>
        <v>71784.977879573737</v>
      </c>
      <c r="AT20" s="495">
        <f t="shared" si="42"/>
        <v>124647.03687215426</v>
      </c>
      <c r="AU20" s="495">
        <f t="shared" si="42"/>
        <v>210993.86737387499</v>
      </c>
      <c r="AV20" s="495">
        <f t="shared" si="42"/>
        <v>344391.83343957615</v>
      </c>
      <c r="AW20" s="495">
        <f t="shared" si="42"/>
        <v>536477.27176913002</v>
      </c>
      <c r="AX20" s="495">
        <f t="shared" si="42"/>
        <v>792823.46088540705</v>
      </c>
      <c r="AY20" s="495">
        <f t="shared" si="42"/>
        <v>1106271.7916644365</v>
      </c>
      <c r="AZ20" s="495">
        <f t="shared" si="42"/>
        <v>1455688.757929113</v>
      </c>
      <c r="BA20" s="495">
        <f t="shared" si="42"/>
        <v>1809797.4718564101</v>
      </c>
      <c r="BB20" s="495">
        <f t="shared" si="42"/>
        <v>2137203.4847370135</v>
      </c>
      <c r="BC20" s="495">
        <f t="shared" si="42"/>
        <v>2414805.8233292163</v>
      </c>
      <c r="BD20" s="495">
        <f t="shared" si="42"/>
        <v>2646011.6105156722</v>
      </c>
      <c r="BE20" s="495">
        <f t="shared" si="42"/>
        <v>2768188.4383171601</v>
      </c>
      <c r="BF20" s="495">
        <f t="shared" si="42"/>
        <v>2847668.1801544731</v>
      </c>
      <c r="BG20" s="495">
        <f t="shared" si="42"/>
        <v>2881460.4644477563</v>
      </c>
      <c r="BH20" s="495">
        <f t="shared" si="42"/>
        <v>2880276.8510710825</v>
      </c>
      <c r="BI20" s="495">
        <f t="shared" si="42"/>
        <v>2853558.218655766</v>
      </c>
      <c r="BJ20" s="495">
        <f t="shared" si="42"/>
        <v>2808764.4859137852</v>
      </c>
      <c r="BK20" s="495">
        <f t="shared" si="42"/>
        <v>2751871.032932993</v>
      </c>
      <c r="BL20" s="495">
        <f t="shared" si="42"/>
        <v>2687116.5500310096</v>
      </c>
      <c r="BM20" s="495">
        <f t="shared" si="42"/>
        <v>2617537.7957189116</v>
      </c>
      <c r="BN20" s="495">
        <f t="shared" si="42"/>
        <v>2574429.0127749867</v>
      </c>
      <c r="BP20" s="76">
        <v>0</v>
      </c>
      <c r="BQ20" s="76">
        <v>0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0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  <c r="CO20" s="76">
        <v>0</v>
      </c>
      <c r="CP20" s="76">
        <v>0</v>
      </c>
      <c r="CQ20" s="76">
        <v>0</v>
      </c>
      <c r="CR20" s="76">
        <v>0</v>
      </c>
      <c r="CS20" s="76">
        <v>0</v>
      </c>
      <c r="CT20" s="76">
        <v>0</v>
      </c>
    </row>
    <row r="21" spans="1:98">
      <c r="A21" s="496"/>
      <c r="C21" s="50"/>
    </row>
    <row r="22" spans="1:98">
      <c r="B22" s="160" t="s">
        <v>1390</v>
      </c>
    </row>
    <row r="23" spans="1:98">
      <c r="A23" s="160"/>
      <c r="B23" s="184" t="s">
        <v>633</v>
      </c>
      <c r="D23" s="280">
        <v>0</v>
      </c>
      <c r="E23" s="280">
        <f t="shared" ref="E23:Y23" si="43">D23+1</f>
        <v>1</v>
      </c>
      <c r="F23" s="280">
        <f t="shared" si="43"/>
        <v>2</v>
      </c>
      <c r="G23" s="280">
        <f t="shared" si="43"/>
        <v>3</v>
      </c>
      <c r="H23" s="280">
        <f t="shared" si="43"/>
        <v>4</v>
      </c>
      <c r="I23" s="280">
        <f t="shared" si="43"/>
        <v>5</v>
      </c>
      <c r="J23" s="280">
        <f t="shared" si="43"/>
        <v>6</v>
      </c>
      <c r="K23" s="280">
        <f t="shared" si="43"/>
        <v>7</v>
      </c>
      <c r="L23" s="280">
        <f t="shared" si="43"/>
        <v>8</v>
      </c>
      <c r="M23" s="280">
        <f t="shared" si="43"/>
        <v>9</v>
      </c>
      <c r="N23" s="280">
        <f t="shared" si="43"/>
        <v>10</v>
      </c>
      <c r="O23" s="280">
        <f t="shared" si="43"/>
        <v>11</v>
      </c>
      <c r="P23" s="280">
        <f t="shared" si="43"/>
        <v>12</v>
      </c>
      <c r="Q23" s="280">
        <f t="shared" si="43"/>
        <v>13</v>
      </c>
      <c r="R23" s="280">
        <f t="shared" si="43"/>
        <v>14</v>
      </c>
      <c r="S23" s="280">
        <f t="shared" si="43"/>
        <v>15</v>
      </c>
      <c r="T23" s="280">
        <f t="shared" si="43"/>
        <v>16</v>
      </c>
      <c r="U23" s="280">
        <f t="shared" si="43"/>
        <v>17</v>
      </c>
      <c r="V23" s="280">
        <f t="shared" si="43"/>
        <v>18</v>
      </c>
      <c r="W23" s="280">
        <f t="shared" si="43"/>
        <v>19</v>
      </c>
      <c r="X23" s="280">
        <f t="shared" si="43"/>
        <v>20</v>
      </c>
      <c r="Y23" s="280">
        <f t="shared" si="43"/>
        <v>21</v>
      </c>
      <c r="Z23" s="280">
        <f t="shared" ref="Z23:AH23" si="44">Y23+1</f>
        <v>22</v>
      </c>
      <c r="AA23" s="280">
        <f t="shared" si="44"/>
        <v>23</v>
      </c>
      <c r="AB23" s="280">
        <f t="shared" si="44"/>
        <v>24</v>
      </c>
      <c r="AC23" s="280">
        <f t="shared" si="44"/>
        <v>25</v>
      </c>
      <c r="AD23" s="280">
        <f t="shared" si="44"/>
        <v>26</v>
      </c>
      <c r="AE23" s="280">
        <f t="shared" si="44"/>
        <v>27</v>
      </c>
      <c r="AF23" s="280">
        <f t="shared" si="44"/>
        <v>28</v>
      </c>
      <c r="AG23" s="280">
        <f t="shared" si="44"/>
        <v>29</v>
      </c>
      <c r="AH23" s="280">
        <f t="shared" si="44"/>
        <v>30</v>
      </c>
    </row>
    <row r="24" spans="1:98">
      <c r="B24" s="156"/>
      <c r="D24" s="282">
        <f>$D$29/((1+EXP(-$D$28*(D23-$D$30)))^$D$27)</f>
        <v>4.6088632748610021E-5</v>
      </c>
      <c r="E24" s="282">
        <f t="shared" ref="E24:AH24" si="45">$D$29/((1+EXP(-$D$28*(E23-$D$30)))^$D$27)</f>
        <v>8.924759460408035E-5</v>
      </c>
      <c r="F24" s="282">
        <f t="shared" si="45"/>
        <v>1.7252431976790472E-4</v>
      </c>
      <c r="G24" s="282">
        <f t="shared" si="45"/>
        <v>3.3269643715580369E-4</v>
      </c>
      <c r="H24" s="282">
        <f t="shared" si="45"/>
        <v>6.393827369910735E-4</v>
      </c>
      <c r="I24" s="282">
        <f t="shared" si="45"/>
        <v>1.2229053771654547E-3</v>
      </c>
      <c r="J24" s="282">
        <f t="shared" si="45"/>
        <v>2.3234018804222717E-3</v>
      </c>
      <c r="K24" s="282">
        <f t="shared" si="45"/>
        <v>4.3736281679830789E-3</v>
      </c>
      <c r="L24" s="282">
        <f t="shared" si="45"/>
        <v>8.1294184230466908E-3</v>
      </c>
      <c r="M24" s="282">
        <f t="shared" si="45"/>
        <v>1.4853985082038716E-2</v>
      </c>
      <c r="N24" s="282">
        <f t="shared" si="45"/>
        <v>2.6531412096832362E-2</v>
      </c>
      <c r="O24" s="282">
        <f t="shared" si="45"/>
        <v>4.6014759335105015E-2</v>
      </c>
      <c r="P24" s="282">
        <f t="shared" si="45"/>
        <v>7.6910635328419796E-2</v>
      </c>
      <c r="Q24" s="282">
        <f t="shared" si="45"/>
        <v>0.12294065829885638</v>
      </c>
      <c r="R24" s="282">
        <f t="shared" si="45"/>
        <v>0.18666754187878853</v>
      </c>
      <c r="S24" s="282">
        <f t="shared" si="45"/>
        <v>0.26794336563407328</v>
      </c>
      <c r="T24" s="282">
        <f t="shared" si="45"/>
        <v>0.36297326582455031</v>
      </c>
      <c r="U24" s="282">
        <f t="shared" si="45"/>
        <v>0.46484396312424381</v>
      </c>
      <c r="V24" s="282">
        <f t="shared" si="45"/>
        <v>0.56546260593861253</v>
      </c>
      <c r="W24" s="282">
        <f t="shared" si="45"/>
        <v>0.6578403022607352</v>
      </c>
      <c r="X24" s="282">
        <f t="shared" si="45"/>
        <v>0.73754668886795227</v>
      </c>
      <c r="Y24" s="282">
        <f t="shared" si="45"/>
        <v>0.80293052021410605</v>
      </c>
      <c r="Z24" s="282">
        <f t="shared" si="45"/>
        <v>0.85447682949112158</v>
      </c>
      <c r="AA24" s="282">
        <f t="shared" si="45"/>
        <v>0.89389910336617451</v>
      </c>
      <c r="AB24" s="282">
        <f t="shared" si="45"/>
        <v>0.92337223319290385</v>
      </c>
      <c r="AC24" s="282">
        <f t="shared" si="45"/>
        <v>0.94504210708611314</v>
      </c>
      <c r="AD24" s="282">
        <f t="shared" si="45"/>
        <v>0.96078240575184182</v>
      </c>
      <c r="AE24" s="282">
        <f t="shared" si="45"/>
        <v>0.97211605463477313</v>
      </c>
      <c r="AF24" s="282">
        <f t="shared" si="45"/>
        <v>0.98022577885232642</v>
      </c>
      <c r="AG24" s="282">
        <f t="shared" si="45"/>
        <v>0.98600279580400285</v>
      </c>
      <c r="AH24" s="282">
        <f t="shared" si="45"/>
        <v>0.9901050637460882</v>
      </c>
    </row>
    <row r="25" spans="1:98">
      <c r="A25" s="160"/>
      <c r="B25" s="156"/>
      <c r="D25" s="278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  <c r="W25" s="278"/>
      <c r="X25" s="278"/>
      <c r="Y25" s="278"/>
      <c r="Z25" s="278"/>
      <c r="AA25" s="278"/>
      <c r="AB25" s="278"/>
      <c r="AC25" s="278"/>
      <c r="AD25" s="278"/>
      <c r="AE25" s="278"/>
      <c r="AF25" s="278"/>
      <c r="AG25" s="278"/>
      <c r="AH25" s="278"/>
    </row>
    <row r="26" spans="1:98">
      <c r="A26" s="160"/>
      <c r="B26" s="156"/>
      <c r="C26" s="276"/>
      <c r="D26" s="276"/>
      <c r="E26" s="276"/>
      <c r="F26" s="276"/>
      <c r="G26" s="276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  <c r="AE26" s="276"/>
      <c r="AF26" s="276"/>
      <c r="AG26" s="276"/>
      <c r="AH26" s="160"/>
    </row>
    <row r="27" spans="1:98">
      <c r="B27" s="160"/>
      <c r="C27" s="272" t="s">
        <v>641</v>
      </c>
      <c r="D27" s="47">
        <v>1.9</v>
      </c>
    </row>
    <row r="28" spans="1:98">
      <c r="B28" s="156" t="s">
        <v>640</v>
      </c>
      <c r="C28" s="272" t="s">
        <v>642</v>
      </c>
      <c r="D28" s="47">
        <v>0.35</v>
      </c>
    </row>
    <row r="29" spans="1:98">
      <c r="B29" s="156" t="s">
        <v>687</v>
      </c>
      <c r="C29" s="272" t="s">
        <v>643</v>
      </c>
      <c r="D29" s="47">
        <v>1</v>
      </c>
    </row>
    <row r="30" spans="1:98">
      <c r="B30" s="160"/>
      <c r="C30" s="272" t="s">
        <v>644</v>
      </c>
      <c r="D30" s="47">
        <v>15</v>
      </c>
    </row>
  </sheetData>
  <mergeCells count="3">
    <mergeCell ref="D1:AH1"/>
    <mergeCell ref="AJ1:BN1"/>
    <mergeCell ref="BP1:C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146A8-9693-4D43-80E3-538E00E2E060}">
  <sheetPr>
    <tabColor theme="9"/>
  </sheetPr>
  <dimension ref="A1:CJ78"/>
  <sheetViews>
    <sheetView zoomScale="50" zoomScaleNormal="50" workbookViewId="0">
      <pane xSplit="3" ySplit="3" topLeftCell="D16" activePane="bottomRight" state="frozen"/>
      <selection pane="topRight" activeCell="D1" sqref="D1"/>
      <selection pane="bottomLeft" activeCell="A4" sqref="A4"/>
      <selection pane="bottomRight" activeCell="BQ16" sqref="BQ16"/>
    </sheetView>
  </sheetViews>
  <sheetFormatPr defaultRowHeight="14.75" outlineLevelRow="2" outlineLevelCol="1"/>
  <cols>
    <col min="1" max="1" width="42.54296875" style="1" customWidth="1"/>
    <col min="2" max="2" width="26.453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17968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8.81640625" customWidth="1" collapsed="1"/>
    <col min="15" max="15" width="11.453125" hidden="1" customWidth="1" outlineLevel="1"/>
    <col min="16" max="23" width="8.81640625" hidden="1" customWidth="1" outlineLevel="1"/>
    <col min="24" max="24" width="11" bestFit="1" customWidth="1" collapsed="1"/>
    <col min="25" max="25" width="7.1796875" hidden="1" customWidth="1" outlineLevel="1"/>
    <col min="26" max="33" width="8.81640625" hidden="1" customWidth="1" outlineLevel="1"/>
    <col min="34" max="34" width="11" bestFit="1" customWidth="1" collapsed="1"/>
    <col min="35" max="35" width="16.453125" bestFit="1" customWidth="1"/>
    <col min="36" max="36" width="18.81640625" customWidth="1"/>
    <col min="37" max="38" width="8.81640625" hidden="1" customWidth="1" outlineLevel="1"/>
    <col min="39" max="39" width="11.17968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8.81640625" customWidth="1" collapsed="1"/>
    <col min="47" max="47" width="11.453125" hidden="1" customWidth="1" outlineLevel="1"/>
    <col min="48" max="55" width="8.81640625" hidden="1" customWidth="1" outlineLevel="1"/>
    <col min="56" max="56" width="11.453125" bestFit="1" customWidth="1" collapsed="1"/>
    <col min="57" max="57" width="7.1796875" hidden="1" customWidth="1" outlineLevel="1"/>
    <col min="58" max="65" width="8.81640625" hidden="1" customWidth="1" outlineLevel="1"/>
    <col min="66" max="66" width="11.453125" bestFit="1" customWidth="1" collapsed="1"/>
    <col min="67" max="68" width="8.81640625" bestFit="1" customWidth="1"/>
    <col min="69" max="69" width="27" style="624" customWidth="1"/>
    <col min="70" max="70" width="37.453125" style="624" bestFit="1" customWidth="1"/>
    <col min="71" max="88" width="8.81640625" style="624" bestFit="1" customWidth="1"/>
    <col min="89" max="97" width="8.81640625" bestFit="1" customWidth="1"/>
  </cols>
  <sheetData>
    <row r="1" spans="1:88">
      <c r="D1" s="601" t="s">
        <v>1069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J1" s="601" t="s">
        <v>1070</v>
      </c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1"/>
      <c r="AY1" s="601"/>
      <c r="AZ1" s="601"/>
      <c r="BA1" s="601"/>
      <c r="BB1" s="601"/>
      <c r="BC1" s="601"/>
      <c r="BD1" s="601"/>
      <c r="BE1" s="601"/>
      <c r="BF1" s="601"/>
      <c r="BG1" s="601"/>
      <c r="BH1" s="601"/>
      <c r="BI1" s="601"/>
      <c r="BJ1" s="601"/>
      <c r="BK1" s="601"/>
      <c r="BL1" s="601"/>
      <c r="BM1" s="601"/>
      <c r="BN1" s="601"/>
    </row>
    <row r="2" spans="1:88" s="49" customFormat="1">
      <c r="A2" s="48" t="s">
        <v>1372</v>
      </c>
      <c r="B2" s="48"/>
      <c r="C2" s="48"/>
      <c r="AI2"/>
      <c r="BQ2" s="624"/>
      <c r="BR2" s="624"/>
      <c r="BS2" s="624"/>
      <c r="BT2" s="624"/>
      <c r="BU2" s="624"/>
      <c r="BV2" s="624"/>
      <c r="BW2" s="624"/>
      <c r="BX2" s="624"/>
      <c r="BY2" s="624"/>
      <c r="BZ2" s="624"/>
      <c r="CA2" s="624"/>
      <c r="CB2" s="624"/>
      <c r="CC2" s="624"/>
      <c r="CD2" s="624"/>
      <c r="CE2" s="624"/>
      <c r="CF2" s="624"/>
      <c r="CG2" s="624"/>
      <c r="CH2" s="624"/>
      <c r="CI2" s="624"/>
      <c r="CJ2" s="624"/>
    </row>
    <row r="3" spans="1:88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</row>
    <row r="4" spans="1:88" s="466" customFormat="1">
      <c r="A4" s="462" t="s">
        <v>1373</v>
      </c>
      <c r="B4" s="463"/>
      <c r="C4" s="464" t="s">
        <v>1420</v>
      </c>
      <c r="D4" s="569">
        <f>'Yearly Demand - C4'!O5</f>
        <v>846505.72103598283</v>
      </c>
      <c r="E4" s="569">
        <f>'Yearly Demand - C4'!P5</f>
        <v>842195.4473386422</v>
      </c>
      <c r="F4" s="569">
        <f>'Yearly Demand - C4'!Q5</f>
        <v>837907.12087554263</v>
      </c>
      <c r="G4" s="569">
        <f>'Yearly Demand - C4'!R5</f>
        <v>833640.62989482691</v>
      </c>
      <c r="H4" s="569">
        <f>'Yearly Demand - C4'!S5</f>
        <v>829395.86321366066</v>
      </c>
      <c r="I4" s="569">
        <f>'Yearly Demand - C4'!T5</f>
        <v>825172.71021533501</v>
      </c>
      <c r="J4" s="569">
        <f>'Yearly Demand - C4'!U5</f>
        <v>820528.19689567841</v>
      </c>
      <c r="K4" s="569">
        <f>'Yearly Demand - C4'!V5</f>
        <v>815909.82538089424</v>
      </c>
      <c r="L4" s="569">
        <f>'Yearly Demand - C4'!W5</f>
        <v>811317.44853092381</v>
      </c>
      <c r="M4" s="569">
        <f>'Yearly Demand - C4'!X5</f>
        <v>806750.92003389157</v>
      </c>
      <c r="N4" s="569">
        <f>'Yearly Demand - C4'!Y5</f>
        <v>802210.09440144326</v>
      </c>
      <c r="O4" s="569">
        <f>'Yearly Demand - C4'!Z5</f>
        <v>796873.65360595519</v>
      </c>
      <c r="P4" s="569">
        <f>'Yearly Demand - C4'!AA5</f>
        <v>791572.71174093743</v>
      </c>
      <c r="Q4" s="569">
        <f>'Yearly Demand - C4'!AB5</f>
        <v>786307.03266134264</v>
      </c>
      <c r="R4" s="569">
        <f>'Yearly Demand - C4'!AC5</f>
        <v>781076.3817930012</v>
      </c>
      <c r="S4" s="569">
        <f>'Yearly Demand - C4'!AD5</f>
        <v>775880.52612217166</v>
      </c>
      <c r="T4" s="569">
        <f>'Yearly Demand - C4'!AE5</f>
        <v>770000.92984343634</v>
      </c>
      <c r="U4" s="569">
        <f>'Yearly Demand - C4'!AF5</f>
        <v>764165.88894563541</v>
      </c>
      <c r="V4" s="569">
        <f>'Yearly Demand - C4'!AG5</f>
        <v>758375.06578960514</v>
      </c>
      <c r="W4" s="569">
        <f>'Yearly Demand - C4'!AH5</f>
        <v>752628.12529480003</v>
      </c>
      <c r="X4" s="569">
        <f>'Yearly Demand - C4'!AI5</f>
        <v>746924.73491990357</v>
      </c>
      <c r="Y4" s="569">
        <f>'Yearly Demand - C4'!AJ5</f>
        <v>740763.40682298341</v>
      </c>
      <c r="Z4" s="569">
        <f>'Yearly Demand - C4'!AK5</f>
        <v>734652.90307575092</v>
      </c>
      <c r="AA4" s="569">
        <f>'Yearly Demand - C4'!AL5</f>
        <v>728592.80443182273</v>
      </c>
      <c r="AB4" s="569">
        <f>'Yearly Demand - C4'!AM5</f>
        <v>722582.69510314846</v>
      </c>
      <c r="AC4" s="569">
        <f>'Yearly Demand - C4'!AN5</f>
        <v>716622.16273148358</v>
      </c>
      <c r="AD4" s="569">
        <f>'Yearly Demand - C4'!AO5</f>
        <v>710456.45976632333</v>
      </c>
      <c r="AE4" s="569">
        <f>'Yearly Demand - C4'!AP5</f>
        <v>704343.80552757939</v>
      </c>
      <c r="AF4" s="569">
        <f>'Yearly Demand - C4'!AQ5</f>
        <v>698283.74359245773</v>
      </c>
      <c r="AG4" s="569">
        <f>'Yearly Demand - C4'!AR5</f>
        <v>692275.82146515336</v>
      </c>
      <c r="AH4" s="569">
        <f>'Yearly Demand - C4'!AS5</f>
        <v>686319.59054306312</v>
      </c>
      <c r="AI4" s="570"/>
      <c r="AJ4" s="569">
        <f>D4</f>
        <v>846505.72103598283</v>
      </c>
      <c r="AK4" s="569">
        <f t="shared" ref="AK4:AZ4" si="5">E4</f>
        <v>842195.4473386422</v>
      </c>
      <c r="AL4" s="569">
        <f t="shared" si="5"/>
        <v>837907.12087554263</v>
      </c>
      <c r="AM4" s="569">
        <f t="shared" si="5"/>
        <v>833640.62989482691</v>
      </c>
      <c r="AN4" s="569">
        <f t="shared" si="5"/>
        <v>829395.86321366066</v>
      </c>
      <c r="AO4" s="569">
        <f t="shared" si="5"/>
        <v>825172.71021533501</v>
      </c>
      <c r="AP4" s="569">
        <f t="shared" si="5"/>
        <v>820528.19689567841</v>
      </c>
      <c r="AQ4" s="569">
        <f t="shared" si="5"/>
        <v>815909.82538089424</v>
      </c>
      <c r="AR4" s="569">
        <f t="shared" si="5"/>
        <v>811317.44853092381</v>
      </c>
      <c r="AS4" s="569">
        <f t="shared" si="5"/>
        <v>806750.92003389157</v>
      </c>
      <c r="AT4" s="569">
        <f t="shared" si="5"/>
        <v>802210.09440144326</v>
      </c>
      <c r="AU4" s="569">
        <f t="shared" si="5"/>
        <v>796873.65360595519</v>
      </c>
      <c r="AV4" s="569">
        <f t="shared" si="5"/>
        <v>791572.71174093743</v>
      </c>
      <c r="AW4" s="569">
        <f t="shared" si="5"/>
        <v>786307.03266134264</v>
      </c>
      <c r="AX4" s="569">
        <f t="shared" si="5"/>
        <v>781076.3817930012</v>
      </c>
      <c r="AY4" s="569">
        <f t="shared" si="5"/>
        <v>775880.52612217166</v>
      </c>
      <c r="AZ4" s="569">
        <f t="shared" si="5"/>
        <v>770000.92984343634</v>
      </c>
      <c r="BA4" s="569">
        <f t="shared" ref="BA4:BN4" si="6">U4</f>
        <v>764165.88894563541</v>
      </c>
      <c r="BB4" s="569">
        <f t="shared" si="6"/>
        <v>758375.06578960514</v>
      </c>
      <c r="BC4" s="569">
        <f t="shared" si="6"/>
        <v>752628.12529480003</v>
      </c>
      <c r="BD4" s="569">
        <f t="shared" si="6"/>
        <v>746924.73491990357</v>
      </c>
      <c r="BE4" s="569">
        <f t="shared" si="6"/>
        <v>740763.40682298341</v>
      </c>
      <c r="BF4" s="569">
        <f t="shared" si="6"/>
        <v>734652.90307575092</v>
      </c>
      <c r="BG4" s="569">
        <f t="shared" si="6"/>
        <v>728592.80443182273</v>
      </c>
      <c r="BH4" s="569">
        <f t="shared" si="6"/>
        <v>722582.69510314846</v>
      </c>
      <c r="BI4" s="569">
        <f t="shared" si="6"/>
        <v>716622.16273148358</v>
      </c>
      <c r="BJ4" s="569">
        <f t="shared" si="6"/>
        <v>710456.45976632333</v>
      </c>
      <c r="BK4" s="569">
        <f t="shared" si="6"/>
        <v>704343.80552757939</v>
      </c>
      <c r="BL4" s="569">
        <f t="shared" si="6"/>
        <v>698283.74359245773</v>
      </c>
      <c r="BM4" s="569">
        <f t="shared" si="6"/>
        <v>692275.82146515336</v>
      </c>
      <c r="BN4" s="569">
        <f t="shared" si="6"/>
        <v>686319.59054306312</v>
      </c>
      <c r="BQ4" s="629"/>
      <c r="BR4" s="629"/>
      <c r="BS4" s="629"/>
      <c r="BT4" s="629"/>
      <c r="BU4" s="629"/>
      <c r="BV4" s="629"/>
      <c r="BW4" s="629"/>
      <c r="BX4" s="629"/>
      <c r="BY4" s="629"/>
      <c r="BZ4" s="629"/>
      <c r="CA4" s="629"/>
      <c r="CB4" s="629"/>
      <c r="CC4" s="629"/>
      <c r="CD4" s="629"/>
      <c r="CE4" s="629"/>
      <c r="CF4" s="629"/>
      <c r="CG4" s="629"/>
      <c r="CH4" s="629"/>
      <c r="CI4" s="629"/>
      <c r="CJ4" s="629"/>
    </row>
    <row r="5" spans="1:88">
      <c r="C5" s="50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178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Y5" s="630"/>
      <c r="BZ5" s="631"/>
      <c r="CA5" s="632"/>
      <c r="CB5" s="633"/>
      <c r="CD5" s="631"/>
      <c r="CE5" s="634"/>
      <c r="CF5" s="635"/>
      <c r="CG5" s="636"/>
      <c r="CH5" s="635"/>
      <c r="CJ5" s="631"/>
    </row>
    <row r="6" spans="1:88" outlineLevel="1">
      <c r="A6" s="54" t="s">
        <v>818</v>
      </c>
      <c r="B6" s="54" t="s">
        <v>819</v>
      </c>
      <c r="C6" s="61"/>
      <c r="D6" s="571">
        <v>0</v>
      </c>
      <c r="E6" s="571">
        <f>$D$6*(1+'Demand - C4'!$K$28)^(E3-$D$3)</f>
        <v>0</v>
      </c>
      <c r="F6" s="571">
        <f>$D$6*(1+'Demand - C4'!$K$28)^(F3-$D$3)</f>
        <v>0</v>
      </c>
      <c r="G6" s="571">
        <f>$D$6*(1+'Demand - C4'!$K$28)^(G3-$D$3)</f>
        <v>0</v>
      </c>
      <c r="H6" s="571">
        <f>$D$6*(1+'Demand - C4'!$K$28)^(H3-$D$3)</f>
        <v>0</v>
      </c>
      <c r="I6" s="571">
        <f>$D$6*(1+'Demand - C4'!$K$28)^(I3-$D$3)</f>
        <v>0</v>
      </c>
      <c r="J6" s="571">
        <f>$D$6*(1+'Demand - C4'!$K$28)^(J3-$D$3)</f>
        <v>0</v>
      </c>
      <c r="K6" s="571">
        <f>$D$6*(1+'Demand - C4'!$K$28)^(K3-$D$3)</f>
        <v>0</v>
      </c>
      <c r="L6" s="571">
        <f>$D$6*(1+'Demand - C4'!$K$28)^(L3-$D$3)</f>
        <v>0</v>
      </c>
      <c r="M6" s="571">
        <f>$D$6*(1+'Demand - C4'!$K$28)^(M3-$D$3)</f>
        <v>0</v>
      </c>
      <c r="N6" s="571">
        <f>$D$6*(1+'Demand - C4'!$K$28)^(N3-$D$3)</f>
        <v>0</v>
      </c>
      <c r="O6" s="571">
        <f>$D$6*(1+'Demand - C4'!$K$28)^(O3-$D$3)</f>
        <v>0</v>
      </c>
      <c r="P6" s="571">
        <f>$D$6*(1+'Demand - C4'!$K$28)^(P3-$D$3)</f>
        <v>0</v>
      </c>
      <c r="Q6" s="571">
        <f>$D$6*(1+'Demand - C4'!$K$28)^(Q3-$D$3)</f>
        <v>0</v>
      </c>
      <c r="R6" s="571">
        <f>$D$6*(1+'Demand - C4'!$K$28)^(R3-$D$3)</f>
        <v>0</v>
      </c>
      <c r="S6" s="571">
        <f>$D$6*(1+'Demand - C4'!$K$28)^(S3-$D$3)</f>
        <v>0</v>
      </c>
      <c r="T6" s="571">
        <f>$D$6*(1+'Demand - C4'!$K$28)^(T3-$D$3)</f>
        <v>0</v>
      </c>
      <c r="U6" s="571">
        <f>$D$6*(1+'Demand - C4'!$K$28)^(U3-$D$3)</f>
        <v>0</v>
      </c>
      <c r="V6" s="571">
        <f>$D$6*(1+'Demand - C4'!$K$28)^(V3-$D$3)</f>
        <v>0</v>
      </c>
      <c r="W6" s="571">
        <f>$D$6*(1+'Demand - C4'!$K$28)^(W3-$D$3)</f>
        <v>0</v>
      </c>
      <c r="X6" s="571">
        <f>$D$6*(1+'Demand - C4'!$K$28)^(X3-$D$3)</f>
        <v>0</v>
      </c>
      <c r="Y6" s="571">
        <f>$D$6*(1+'Demand - C4'!$K$28)^(Y3-$D$3)</f>
        <v>0</v>
      </c>
      <c r="Z6" s="571">
        <f>$D$6*(1+'Demand - C4'!$K$28)^(Z3-$D$3)</f>
        <v>0</v>
      </c>
      <c r="AA6" s="571">
        <f>$D$6*(1+'Demand - C4'!$K$28)^(AA3-$D$3)</f>
        <v>0</v>
      </c>
      <c r="AB6" s="571">
        <f>$D$6*(1+'Demand - C4'!$K$28)^(AB3-$D$3)</f>
        <v>0</v>
      </c>
      <c r="AC6" s="571">
        <f>$D$6*(1+'Demand - C4'!$K$28)^(AC3-$D$3)</f>
        <v>0</v>
      </c>
      <c r="AD6" s="571">
        <f>$D$6*(1+'Demand - C4'!$K$28)^(AD3-$D$3)</f>
        <v>0</v>
      </c>
      <c r="AE6" s="571">
        <f>$D$6*(1+'Demand - C4'!$K$28)^(AE3-$D$3)</f>
        <v>0</v>
      </c>
      <c r="AF6" s="571">
        <f>$D$6*(1+'Demand - C4'!$K$28)^(AF3-$D$3)</f>
        <v>0</v>
      </c>
      <c r="AG6" s="571">
        <f>$D$6*(1+'Demand - C4'!$K$28)^(AG3-$D$3)</f>
        <v>0</v>
      </c>
      <c r="AH6" s="571">
        <f>$D$6*(1+'Demand - C4'!$K$28)^(AH3-$D$3)</f>
        <v>0</v>
      </c>
      <c r="AI6" s="178"/>
      <c r="AJ6" s="571">
        <f t="shared" ref="AJ6:AY10" si="7">D6</f>
        <v>0</v>
      </c>
      <c r="AK6" s="571">
        <f t="shared" si="7"/>
        <v>0</v>
      </c>
      <c r="AL6" s="571">
        <f t="shared" si="7"/>
        <v>0</v>
      </c>
      <c r="AM6" s="571">
        <f t="shared" si="7"/>
        <v>0</v>
      </c>
      <c r="AN6" s="571">
        <f t="shared" si="7"/>
        <v>0</v>
      </c>
      <c r="AO6" s="571">
        <f t="shared" si="7"/>
        <v>0</v>
      </c>
      <c r="AP6" s="571">
        <f t="shared" si="7"/>
        <v>0</v>
      </c>
      <c r="AQ6" s="571">
        <f t="shared" si="7"/>
        <v>0</v>
      </c>
      <c r="AR6" s="571">
        <f t="shared" si="7"/>
        <v>0</v>
      </c>
      <c r="AS6" s="571">
        <f t="shared" si="7"/>
        <v>0</v>
      </c>
      <c r="AT6" s="571">
        <f t="shared" si="7"/>
        <v>0</v>
      </c>
      <c r="AU6" s="571">
        <f t="shared" si="7"/>
        <v>0</v>
      </c>
      <c r="AV6" s="571">
        <f t="shared" si="7"/>
        <v>0</v>
      </c>
      <c r="AW6" s="571">
        <f t="shared" si="7"/>
        <v>0</v>
      </c>
      <c r="AX6" s="571">
        <f t="shared" si="7"/>
        <v>0</v>
      </c>
      <c r="AY6" s="571">
        <f t="shared" si="7"/>
        <v>0</v>
      </c>
      <c r="AZ6" s="571">
        <f t="shared" ref="AZ6:BN10" si="8">T6</f>
        <v>0</v>
      </c>
      <c r="BA6" s="571">
        <f t="shared" si="8"/>
        <v>0</v>
      </c>
      <c r="BB6" s="571">
        <f t="shared" si="8"/>
        <v>0</v>
      </c>
      <c r="BC6" s="571">
        <f t="shared" si="8"/>
        <v>0</v>
      </c>
      <c r="BD6" s="571">
        <f t="shared" si="8"/>
        <v>0</v>
      </c>
      <c r="BE6" s="571">
        <f t="shared" si="8"/>
        <v>0</v>
      </c>
      <c r="BF6" s="571">
        <f t="shared" si="8"/>
        <v>0</v>
      </c>
      <c r="BG6" s="571">
        <f t="shared" si="8"/>
        <v>0</v>
      </c>
      <c r="BH6" s="571">
        <f t="shared" si="8"/>
        <v>0</v>
      </c>
      <c r="BI6" s="571">
        <f t="shared" si="8"/>
        <v>0</v>
      </c>
      <c r="BJ6" s="571">
        <f t="shared" si="8"/>
        <v>0</v>
      </c>
      <c r="BK6" s="571">
        <f t="shared" si="8"/>
        <v>0</v>
      </c>
      <c r="BL6" s="571">
        <f t="shared" si="8"/>
        <v>0</v>
      </c>
      <c r="BM6" s="571">
        <f t="shared" si="8"/>
        <v>0</v>
      </c>
      <c r="BN6" s="571">
        <f t="shared" si="8"/>
        <v>0</v>
      </c>
      <c r="BY6" s="630"/>
      <c r="CF6" s="637"/>
      <c r="CG6" s="637"/>
      <c r="CH6" s="637"/>
    </row>
    <row r="7" spans="1:88" outlineLevel="1">
      <c r="B7" s="1" t="s">
        <v>820</v>
      </c>
      <c r="D7" s="99">
        <f>D6*('R&amp;S - Transportation'!$D$19*(D3-$D$3)/10)</f>
        <v>0</v>
      </c>
      <c r="E7" s="99">
        <f>E6*'R&amp;S - Transportation'!$B$9*'R&amp;S - Transportation'!$D$19*(E3-$D$3)/10</f>
        <v>0</v>
      </c>
      <c r="F7" s="99">
        <f>F6*'R&amp;S - Transportation'!$B$9*'R&amp;S - Transportation'!$D$19*(F3-$D$3)/10</f>
        <v>0</v>
      </c>
      <c r="G7" s="99">
        <f>G6*'R&amp;S - Transportation'!$B$9*'R&amp;S - Transportation'!$D$19*(G3-$D$3)/10</f>
        <v>0</v>
      </c>
      <c r="H7" s="99">
        <f>H6*'R&amp;S - Transportation'!$B$9*'R&amp;S - Transportation'!$D$19*(H3-$D$3)/10</f>
        <v>0</v>
      </c>
      <c r="I7" s="99">
        <f>I6*'R&amp;S - Transportation'!$B$9*'R&amp;S - Transportation'!$D$19*(I3-$D$3)/10</f>
        <v>0</v>
      </c>
      <c r="J7" s="99">
        <f>J6*'R&amp;S - Transportation'!$B$9*'R&amp;S - Transportation'!$D$19*(J3-$D$3)/10</f>
        <v>0</v>
      </c>
      <c r="K7" s="99">
        <f>K6*'R&amp;S - Transportation'!$B$9*'R&amp;S - Transportation'!$D$19*(K3-$D$3)/10</f>
        <v>0</v>
      </c>
      <c r="L7" s="99">
        <f>L6*'R&amp;S - Transportation'!$B$9*'R&amp;S - Transportation'!$D$19*(L3-$D$3)/10</f>
        <v>0</v>
      </c>
      <c r="M7" s="99">
        <f>M6*'R&amp;S - Transportation'!$B$9*'R&amp;S - Transportation'!$D$19*(M3-$D$3)/10</f>
        <v>0</v>
      </c>
      <c r="N7" s="99">
        <f>N6*'R&amp;S - Transportation'!$B$9*'R&amp;S - Transportation'!$D$19*(N3-$D$3)/10</f>
        <v>0</v>
      </c>
      <c r="O7" s="99">
        <f>O6*'R&amp;S - Transportation'!$B$9*('R&amp;S - Transportation'!$D$19+('R&amp;S - Transportation'!$D$20-'R&amp;S - Transportation'!$D$19)*(O3-$N$3)/10)</f>
        <v>0</v>
      </c>
      <c r="P7" s="99">
        <f>P6*'R&amp;S - Transportation'!$B$9*('R&amp;S - Transportation'!$D$19+('R&amp;S - Transportation'!$D$20-'R&amp;S - Transportation'!$D$19)*(P3-$N$3)/10)</f>
        <v>0</v>
      </c>
      <c r="Q7" s="99">
        <f>Q6*'R&amp;S - Transportation'!$B$9*('R&amp;S - Transportation'!$D$19+('R&amp;S - Transportation'!$D$20-'R&amp;S - Transportation'!$D$19)*(Q3-$N$3)/10)</f>
        <v>0</v>
      </c>
      <c r="R7" s="99">
        <f>R6*'R&amp;S - Transportation'!$B$9*('R&amp;S - Transportation'!$D$19+('R&amp;S - Transportation'!$D$20-'R&amp;S - Transportation'!$D$19)*(R3-$N$3)/10)</f>
        <v>0</v>
      </c>
      <c r="S7" s="99">
        <f>S6*'R&amp;S - Transportation'!$B$9*('R&amp;S - Transportation'!$D$19+('R&amp;S - Transportation'!$D$20-'R&amp;S - Transportation'!$D$19)*(S3-$N$3)/10)</f>
        <v>0</v>
      </c>
      <c r="T7" s="99">
        <f>T6*'R&amp;S - Transportation'!$B$9*('R&amp;S - Transportation'!$D$19+('R&amp;S - Transportation'!$D$20-'R&amp;S - Transportation'!$D$19)*(T3-$N$3)/10)</f>
        <v>0</v>
      </c>
      <c r="U7" s="99">
        <f>U6*'R&amp;S - Transportation'!$B$9*('R&amp;S - Transportation'!$D$19+('R&amp;S - Transportation'!$D$20-'R&amp;S - Transportation'!$D$19)*(U3-$N$3)/10)</f>
        <v>0</v>
      </c>
      <c r="V7" s="99">
        <f>V6*'R&amp;S - Transportation'!$B$9*('R&amp;S - Transportation'!$D$19+('R&amp;S - Transportation'!$D$20-'R&amp;S - Transportation'!$D$19)*(V3-$N$3)/10)</f>
        <v>0</v>
      </c>
      <c r="W7" s="99">
        <f>W6*'R&amp;S - Transportation'!$B$9*('R&amp;S - Transportation'!$D$19+('R&amp;S - Transportation'!$D$20-'R&amp;S - Transportation'!$D$19)*(W3-$N$3)/10)</f>
        <v>0</v>
      </c>
      <c r="X7" s="99">
        <f>X6*'R&amp;S - Transportation'!$B$9*('R&amp;S - Transportation'!$D$19+('R&amp;S - Transportation'!$D$20-'R&amp;S - Transportation'!$D$19)*(X3-$N$3)/10)</f>
        <v>0</v>
      </c>
      <c r="Y7" s="99">
        <f>Y6*'R&amp;S - Transportation'!$B$9*('R&amp;S - Transportation'!$D$20+('R&amp;S - Transportation'!$D$21-'R&amp;S - Transportation'!$D$20)*(Y3-$X$3)/10)</f>
        <v>0</v>
      </c>
      <c r="Z7" s="99">
        <f>Z6*'R&amp;S - Transportation'!$B$9*('R&amp;S - Transportation'!$D$20+('R&amp;S - Transportation'!$D$21-'R&amp;S - Transportation'!$D$20)*(Z3-$X$3)/10)</f>
        <v>0</v>
      </c>
      <c r="AA7" s="99">
        <f>AA6*'R&amp;S - Transportation'!$B$9*('R&amp;S - Transportation'!$D$20+('R&amp;S - Transportation'!$D$21-'R&amp;S - Transportation'!$D$20)*(AA3-$X$3)/10)</f>
        <v>0</v>
      </c>
      <c r="AB7" s="99">
        <f>AB6*'R&amp;S - Transportation'!$B$9*('R&amp;S - Transportation'!$D$20+('R&amp;S - Transportation'!$D$21-'R&amp;S - Transportation'!$D$20)*(AB3-$X$3)/10)</f>
        <v>0</v>
      </c>
      <c r="AC7" s="99">
        <f>AC6*'R&amp;S - Transportation'!$B$9*('R&amp;S - Transportation'!$D$20+('R&amp;S - Transportation'!$D$21-'R&amp;S - Transportation'!$D$20)*(AC3-$X$3)/10)</f>
        <v>0</v>
      </c>
      <c r="AD7" s="99">
        <f>AD6*'R&amp;S - Transportation'!$B$9*('R&amp;S - Transportation'!$D$20+('R&amp;S - Transportation'!$D$21-'R&amp;S - Transportation'!$D$20)*(AD3-$X$3)/10)</f>
        <v>0</v>
      </c>
      <c r="AE7" s="99">
        <f>AE6*'R&amp;S - Transportation'!$B$9*('R&amp;S - Transportation'!$D$20+('R&amp;S - Transportation'!$D$21-'R&amp;S - Transportation'!$D$20)*(AE3-$X$3)/10)</f>
        <v>0</v>
      </c>
      <c r="AF7" s="99">
        <f>AF6*'R&amp;S - Transportation'!$B$9*('R&amp;S - Transportation'!$D$20+('R&amp;S - Transportation'!$D$21-'R&amp;S - Transportation'!$D$20)*(AF3-$X$3)/10)</f>
        <v>0</v>
      </c>
      <c r="AG7" s="99">
        <f>AG6*'R&amp;S - Transportation'!$B$9*('R&amp;S - Transportation'!$D$20+('R&amp;S - Transportation'!$D$21-'R&amp;S - Transportation'!$D$20)*(AG3-$X$3)/10)</f>
        <v>0</v>
      </c>
      <c r="AH7" s="99">
        <f>AH6*'R&amp;S - Transportation'!$B$9*('R&amp;S - Transportation'!$D$20+('R&amp;S - Transportation'!$D$21-'R&amp;S - Transportation'!$D$20)*(AH3-$X$3)/10)</f>
        <v>0</v>
      </c>
      <c r="AI7" s="178"/>
      <c r="AJ7" s="99">
        <f t="shared" si="7"/>
        <v>0</v>
      </c>
      <c r="AK7" s="99">
        <f t="shared" si="7"/>
        <v>0</v>
      </c>
      <c r="AL7" s="99">
        <f t="shared" si="7"/>
        <v>0</v>
      </c>
      <c r="AM7" s="99">
        <f t="shared" si="7"/>
        <v>0</v>
      </c>
      <c r="AN7" s="99">
        <f t="shared" si="7"/>
        <v>0</v>
      </c>
      <c r="AO7" s="99">
        <f t="shared" si="7"/>
        <v>0</v>
      </c>
      <c r="AP7" s="99">
        <f t="shared" si="7"/>
        <v>0</v>
      </c>
      <c r="AQ7" s="99">
        <f t="shared" si="7"/>
        <v>0</v>
      </c>
      <c r="AR7" s="99">
        <f t="shared" si="7"/>
        <v>0</v>
      </c>
      <c r="AS7" s="99">
        <f t="shared" si="7"/>
        <v>0</v>
      </c>
      <c r="AT7" s="99">
        <f t="shared" si="7"/>
        <v>0</v>
      </c>
      <c r="AU7" s="99">
        <f t="shared" si="7"/>
        <v>0</v>
      </c>
      <c r="AV7" s="99">
        <f t="shared" si="7"/>
        <v>0</v>
      </c>
      <c r="AW7" s="99">
        <f t="shared" si="7"/>
        <v>0</v>
      </c>
      <c r="AX7" s="99">
        <f t="shared" si="7"/>
        <v>0</v>
      </c>
      <c r="AY7" s="99">
        <f t="shared" si="7"/>
        <v>0</v>
      </c>
      <c r="AZ7" s="99">
        <f t="shared" si="8"/>
        <v>0</v>
      </c>
      <c r="BA7" s="99">
        <f t="shared" si="8"/>
        <v>0</v>
      </c>
      <c r="BB7" s="99">
        <f t="shared" si="8"/>
        <v>0</v>
      </c>
      <c r="BC7" s="99">
        <f t="shared" si="8"/>
        <v>0</v>
      </c>
      <c r="BD7" s="99">
        <f t="shared" si="8"/>
        <v>0</v>
      </c>
      <c r="BE7" s="99">
        <f t="shared" si="8"/>
        <v>0</v>
      </c>
      <c r="BF7" s="99">
        <f t="shared" si="8"/>
        <v>0</v>
      </c>
      <c r="BG7" s="99">
        <f t="shared" si="8"/>
        <v>0</v>
      </c>
      <c r="BH7" s="99">
        <f t="shared" si="8"/>
        <v>0</v>
      </c>
      <c r="BI7" s="99">
        <f t="shared" si="8"/>
        <v>0</v>
      </c>
      <c r="BJ7" s="99">
        <f t="shared" si="8"/>
        <v>0</v>
      </c>
      <c r="BK7" s="99">
        <f t="shared" si="8"/>
        <v>0</v>
      </c>
      <c r="BL7" s="99">
        <f t="shared" si="8"/>
        <v>0</v>
      </c>
      <c r="BM7" s="99">
        <f t="shared" si="8"/>
        <v>0</v>
      </c>
      <c r="BN7" s="99">
        <f t="shared" si="8"/>
        <v>0</v>
      </c>
      <c r="BR7" s="626"/>
      <c r="BY7" s="630"/>
      <c r="CA7" s="638"/>
      <c r="CC7" s="639"/>
      <c r="CI7" s="626"/>
    </row>
    <row r="8" spans="1:88" outlineLevel="1">
      <c r="B8" s="1" t="s">
        <v>821</v>
      </c>
      <c r="D8" s="99">
        <f>D6-D7</f>
        <v>0</v>
      </c>
      <c r="E8" s="99">
        <f t="shared" ref="E8:AH8" si="9">E6-E7</f>
        <v>0</v>
      </c>
      <c r="F8" s="99">
        <f t="shared" si="9"/>
        <v>0</v>
      </c>
      <c r="G8" s="99">
        <f t="shared" si="9"/>
        <v>0</v>
      </c>
      <c r="H8" s="99">
        <f t="shared" si="9"/>
        <v>0</v>
      </c>
      <c r="I8" s="99">
        <f t="shared" si="9"/>
        <v>0</v>
      </c>
      <c r="J8" s="99">
        <f t="shared" si="9"/>
        <v>0</v>
      </c>
      <c r="K8" s="99">
        <f t="shared" si="9"/>
        <v>0</v>
      </c>
      <c r="L8" s="99">
        <f t="shared" si="9"/>
        <v>0</v>
      </c>
      <c r="M8" s="99">
        <f t="shared" si="9"/>
        <v>0</v>
      </c>
      <c r="N8" s="99">
        <f t="shared" si="9"/>
        <v>0</v>
      </c>
      <c r="O8" s="99">
        <f t="shared" si="9"/>
        <v>0</v>
      </c>
      <c r="P8" s="99">
        <f t="shared" si="9"/>
        <v>0</v>
      </c>
      <c r="Q8" s="99">
        <f t="shared" si="9"/>
        <v>0</v>
      </c>
      <c r="R8" s="99">
        <f t="shared" si="9"/>
        <v>0</v>
      </c>
      <c r="S8" s="99">
        <f t="shared" si="9"/>
        <v>0</v>
      </c>
      <c r="T8" s="99">
        <f t="shared" si="9"/>
        <v>0</v>
      </c>
      <c r="U8" s="99">
        <f t="shared" si="9"/>
        <v>0</v>
      </c>
      <c r="V8" s="99">
        <f t="shared" si="9"/>
        <v>0</v>
      </c>
      <c r="W8" s="99">
        <f t="shared" si="9"/>
        <v>0</v>
      </c>
      <c r="X8" s="99">
        <f t="shared" si="9"/>
        <v>0</v>
      </c>
      <c r="Y8" s="99">
        <f t="shared" si="9"/>
        <v>0</v>
      </c>
      <c r="Z8" s="99">
        <f t="shared" si="9"/>
        <v>0</v>
      </c>
      <c r="AA8" s="99">
        <f t="shared" si="9"/>
        <v>0</v>
      </c>
      <c r="AB8" s="99">
        <f t="shared" si="9"/>
        <v>0</v>
      </c>
      <c r="AC8" s="99">
        <f t="shared" si="9"/>
        <v>0</v>
      </c>
      <c r="AD8" s="99">
        <f t="shared" si="9"/>
        <v>0</v>
      </c>
      <c r="AE8" s="99">
        <f t="shared" si="9"/>
        <v>0</v>
      </c>
      <c r="AF8" s="99">
        <f t="shared" si="9"/>
        <v>0</v>
      </c>
      <c r="AG8" s="99">
        <f t="shared" si="9"/>
        <v>0</v>
      </c>
      <c r="AH8" s="99">
        <f t="shared" si="9"/>
        <v>0</v>
      </c>
      <c r="AI8" s="178"/>
      <c r="AJ8" s="99">
        <f t="shared" si="7"/>
        <v>0</v>
      </c>
      <c r="AK8" s="99">
        <f t="shared" si="7"/>
        <v>0</v>
      </c>
      <c r="AL8" s="99">
        <f t="shared" si="7"/>
        <v>0</v>
      </c>
      <c r="AM8" s="99">
        <f t="shared" si="7"/>
        <v>0</v>
      </c>
      <c r="AN8" s="99">
        <f t="shared" si="7"/>
        <v>0</v>
      </c>
      <c r="AO8" s="99">
        <f t="shared" si="7"/>
        <v>0</v>
      </c>
      <c r="AP8" s="99">
        <f t="shared" si="7"/>
        <v>0</v>
      </c>
      <c r="AQ8" s="99">
        <f t="shared" si="7"/>
        <v>0</v>
      </c>
      <c r="AR8" s="99">
        <f t="shared" si="7"/>
        <v>0</v>
      </c>
      <c r="AS8" s="99">
        <f t="shared" si="7"/>
        <v>0</v>
      </c>
      <c r="AT8" s="99">
        <f t="shared" si="7"/>
        <v>0</v>
      </c>
      <c r="AU8" s="99">
        <f t="shared" si="7"/>
        <v>0</v>
      </c>
      <c r="AV8" s="99">
        <f t="shared" si="7"/>
        <v>0</v>
      </c>
      <c r="AW8" s="99">
        <f t="shared" si="7"/>
        <v>0</v>
      </c>
      <c r="AX8" s="99">
        <f t="shared" si="7"/>
        <v>0</v>
      </c>
      <c r="AY8" s="99">
        <f t="shared" si="7"/>
        <v>0</v>
      </c>
      <c r="AZ8" s="99">
        <f t="shared" si="8"/>
        <v>0</v>
      </c>
      <c r="BA8" s="99">
        <f t="shared" si="8"/>
        <v>0</v>
      </c>
      <c r="BB8" s="99">
        <f t="shared" si="8"/>
        <v>0</v>
      </c>
      <c r="BC8" s="99">
        <f t="shared" si="8"/>
        <v>0</v>
      </c>
      <c r="BD8" s="99">
        <f t="shared" si="8"/>
        <v>0</v>
      </c>
      <c r="BE8" s="99">
        <f t="shared" si="8"/>
        <v>0</v>
      </c>
      <c r="BF8" s="99">
        <f t="shared" si="8"/>
        <v>0</v>
      </c>
      <c r="BG8" s="99">
        <f t="shared" si="8"/>
        <v>0</v>
      </c>
      <c r="BH8" s="99">
        <f t="shared" si="8"/>
        <v>0</v>
      </c>
      <c r="BI8" s="99">
        <f t="shared" si="8"/>
        <v>0</v>
      </c>
      <c r="BJ8" s="99">
        <f t="shared" si="8"/>
        <v>0</v>
      </c>
      <c r="BK8" s="99">
        <f t="shared" si="8"/>
        <v>0</v>
      </c>
      <c r="BL8" s="99">
        <f t="shared" si="8"/>
        <v>0</v>
      </c>
      <c r="BM8" s="99">
        <f t="shared" si="8"/>
        <v>0</v>
      </c>
      <c r="BN8" s="99">
        <f t="shared" si="8"/>
        <v>0</v>
      </c>
    </row>
    <row r="9" spans="1:88" outlineLevel="1">
      <c r="A9" s="1" t="s">
        <v>1313</v>
      </c>
      <c r="C9" s="1"/>
      <c r="D9" s="520">
        <f t="shared" ref="D9:AH9" si="10">D4-D7</f>
        <v>846505.72103598283</v>
      </c>
      <c r="E9" s="520">
        <f t="shared" si="10"/>
        <v>842195.4473386422</v>
      </c>
      <c r="F9" s="520">
        <f t="shared" si="10"/>
        <v>837907.12087554263</v>
      </c>
      <c r="G9" s="520">
        <f t="shared" si="10"/>
        <v>833640.62989482691</v>
      </c>
      <c r="H9" s="520">
        <f t="shared" si="10"/>
        <v>829395.86321366066</v>
      </c>
      <c r="I9" s="520">
        <f t="shared" si="10"/>
        <v>825172.71021533501</v>
      </c>
      <c r="J9" s="520">
        <f t="shared" si="10"/>
        <v>820528.19689567841</v>
      </c>
      <c r="K9" s="520">
        <f t="shared" si="10"/>
        <v>815909.82538089424</v>
      </c>
      <c r="L9" s="520">
        <f t="shared" si="10"/>
        <v>811317.44853092381</v>
      </c>
      <c r="M9" s="520">
        <f t="shared" si="10"/>
        <v>806750.92003389157</v>
      </c>
      <c r="N9" s="520">
        <f t="shared" si="10"/>
        <v>802210.09440144326</v>
      </c>
      <c r="O9" s="520">
        <f t="shared" si="10"/>
        <v>796873.65360595519</v>
      </c>
      <c r="P9" s="520">
        <f t="shared" si="10"/>
        <v>791572.71174093743</v>
      </c>
      <c r="Q9" s="520">
        <f t="shared" si="10"/>
        <v>786307.03266134264</v>
      </c>
      <c r="R9" s="520">
        <f t="shared" si="10"/>
        <v>781076.3817930012</v>
      </c>
      <c r="S9" s="520">
        <f t="shared" si="10"/>
        <v>775880.52612217166</v>
      </c>
      <c r="T9" s="520">
        <f t="shared" si="10"/>
        <v>770000.92984343634</v>
      </c>
      <c r="U9" s="520">
        <f t="shared" si="10"/>
        <v>764165.88894563541</v>
      </c>
      <c r="V9" s="520">
        <f t="shared" si="10"/>
        <v>758375.06578960514</v>
      </c>
      <c r="W9" s="520">
        <f t="shared" si="10"/>
        <v>752628.12529480003</v>
      </c>
      <c r="X9" s="520">
        <f t="shared" si="10"/>
        <v>746924.73491990357</v>
      </c>
      <c r="Y9" s="520">
        <f t="shared" si="10"/>
        <v>740763.40682298341</v>
      </c>
      <c r="Z9" s="520">
        <f t="shared" si="10"/>
        <v>734652.90307575092</v>
      </c>
      <c r="AA9" s="520">
        <f t="shared" si="10"/>
        <v>728592.80443182273</v>
      </c>
      <c r="AB9" s="520">
        <f t="shared" si="10"/>
        <v>722582.69510314846</v>
      </c>
      <c r="AC9" s="520">
        <f t="shared" si="10"/>
        <v>716622.16273148358</v>
      </c>
      <c r="AD9" s="520">
        <f t="shared" si="10"/>
        <v>710456.45976632333</v>
      </c>
      <c r="AE9" s="520">
        <f t="shared" si="10"/>
        <v>704343.80552757939</v>
      </c>
      <c r="AF9" s="520">
        <f t="shared" si="10"/>
        <v>698283.74359245773</v>
      </c>
      <c r="AG9" s="520">
        <f t="shared" si="10"/>
        <v>692275.82146515336</v>
      </c>
      <c r="AH9" s="520">
        <f t="shared" si="10"/>
        <v>686319.59054306312</v>
      </c>
      <c r="AI9" s="178"/>
      <c r="AJ9" s="520">
        <f t="shared" si="7"/>
        <v>846505.72103598283</v>
      </c>
      <c r="AK9" s="520">
        <f t="shared" si="7"/>
        <v>842195.4473386422</v>
      </c>
      <c r="AL9" s="520">
        <f t="shared" si="7"/>
        <v>837907.12087554263</v>
      </c>
      <c r="AM9" s="520">
        <f t="shared" si="7"/>
        <v>833640.62989482691</v>
      </c>
      <c r="AN9" s="520">
        <f t="shared" si="7"/>
        <v>829395.86321366066</v>
      </c>
      <c r="AO9" s="520">
        <f t="shared" si="7"/>
        <v>825172.71021533501</v>
      </c>
      <c r="AP9" s="520">
        <f t="shared" si="7"/>
        <v>820528.19689567841</v>
      </c>
      <c r="AQ9" s="520">
        <f t="shared" si="7"/>
        <v>815909.82538089424</v>
      </c>
      <c r="AR9" s="520">
        <f t="shared" si="7"/>
        <v>811317.44853092381</v>
      </c>
      <c r="AS9" s="520">
        <f t="shared" si="7"/>
        <v>806750.92003389157</v>
      </c>
      <c r="AT9" s="520">
        <f t="shared" si="7"/>
        <v>802210.09440144326</v>
      </c>
      <c r="AU9" s="520">
        <f t="shared" si="7"/>
        <v>796873.65360595519</v>
      </c>
      <c r="AV9" s="520">
        <f t="shared" si="7"/>
        <v>791572.71174093743</v>
      </c>
      <c r="AW9" s="520">
        <f t="shared" si="7"/>
        <v>786307.03266134264</v>
      </c>
      <c r="AX9" s="520">
        <f t="shared" si="7"/>
        <v>781076.3817930012</v>
      </c>
      <c r="AY9" s="520">
        <f t="shared" si="7"/>
        <v>775880.52612217166</v>
      </c>
      <c r="AZ9" s="520">
        <f t="shared" si="8"/>
        <v>770000.92984343634</v>
      </c>
      <c r="BA9" s="520">
        <f t="shared" si="8"/>
        <v>764165.88894563541</v>
      </c>
      <c r="BB9" s="520">
        <f t="shared" si="8"/>
        <v>758375.06578960514</v>
      </c>
      <c r="BC9" s="520">
        <f t="shared" si="8"/>
        <v>752628.12529480003</v>
      </c>
      <c r="BD9" s="520">
        <f t="shared" si="8"/>
        <v>746924.73491990357</v>
      </c>
      <c r="BE9" s="520">
        <f t="shared" si="8"/>
        <v>740763.40682298341</v>
      </c>
      <c r="BF9" s="520">
        <f t="shared" si="8"/>
        <v>734652.90307575092</v>
      </c>
      <c r="BG9" s="520">
        <f t="shared" si="8"/>
        <v>728592.80443182273</v>
      </c>
      <c r="BH9" s="520">
        <f t="shared" si="8"/>
        <v>722582.69510314846</v>
      </c>
      <c r="BI9" s="520">
        <f t="shared" si="8"/>
        <v>716622.16273148358</v>
      </c>
      <c r="BJ9" s="520">
        <f t="shared" si="8"/>
        <v>710456.45976632333</v>
      </c>
      <c r="BK9" s="520">
        <f t="shared" si="8"/>
        <v>704343.80552757939</v>
      </c>
      <c r="BL9" s="520">
        <f t="shared" si="8"/>
        <v>698283.74359245773</v>
      </c>
      <c r="BM9" s="520">
        <f t="shared" si="8"/>
        <v>692275.82146515336</v>
      </c>
      <c r="BN9" s="520">
        <f t="shared" si="8"/>
        <v>686319.59054306312</v>
      </c>
      <c r="BQ9" s="625"/>
      <c r="BS9" s="626"/>
    </row>
    <row r="10" spans="1:88" s="1" customFormat="1" outlineLevel="1">
      <c r="A10" s="54" t="s">
        <v>1214</v>
      </c>
      <c r="B10" s="54" t="s">
        <v>825</v>
      </c>
      <c r="C10" s="93" t="s">
        <v>1420</v>
      </c>
      <c r="D10" s="572">
        <f>'Demand - C4'!O28</f>
        <v>443858.22061087564</v>
      </c>
      <c r="E10" s="572">
        <f>D10*(1+'Demand - C4'!$K$28)</f>
        <v>440765.38906955242</v>
      </c>
      <c r="F10" s="572">
        <f>E10*(1+'Demand - C4'!$K$28)</f>
        <v>437694.10856975289</v>
      </c>
      <c r="G10" s="572">
        <f>F10*(1+'Demand - C4'!$K$28)</f>
        <v>434644.22894248634</v>
      </c>
      <c r="H10" s="572">
        <f>G10*(1+'Demand - C4'!$K$28)</f>
        <v>431615.60106514901</v>
      </c>
      <c r="I10" s="572">
        <f>H10*(1+'Demand - C4'!$K$28)</f>
        <v>428608.07685423264</v>
      </c>
      <c r="J10" s="572">
        <f>I10*(1+'Demand - C4'!$K$28)</f>
        <v>425621.50925808394</v>
      </c>
      <c r="K10" s="572">
        <f>J10*(1+'Demand - C4'!$K$28)</f>
        <v>422655.75224971474</v>
      </c>
      <c r="L10" s="572">
        <f>K10*(1+'Demand - C4'!$K$28)</f>
        <v>419710.66081966186</v>
      </c>
      <c r="M10" s="572">
        <f>L10*(1+'Demand - C4'!$K$28)</f>
        <v>416786.0909688971</v>
      </c>
      <c r="N10" s="572">
        <f>M10*(1+'Demand - C4'!$K$28)</f>
        <v>413881.8997017864</v>
      </c>
      <c r="O10" s="572">
        <f>N10*(1+'Demand - C4'!$K$28)</f>
        <v>410997.94501909806</v>
      </c>
      <c r="P10" s="572">
        <f>O10*(1+'Demand - C4'!$K$28)</f>
        <v>408134.08591105987</v>
      </c>
      <c r="Q10" s="572">
        <f>P10*(1+'Demand - C4'!$K$28)</f>
        <v>405290.1823504644</v>
      </c>
      <c r="R10" s="572">
        <f>Q10*(1+'Demand - C4'!$K$28)</f>
        <v>402466.09528582246</v>
      </c>
      <c r="S10" s="572">
        <f>R10*(1+'Demand - C4'!$K$28)</f>
        <v>399661.68663456431</v>
      </c>
      <c r="T10" s="572">
        <f>S10*(1+'Demand - C4'!$K$28)</f>
        <v>396876.81927628804</v>
      </c>
      <c r="U10" s="572">
        <f>T10*(1+'Demand - C4'!$K$28)</f>
        <v>394111.3570460552</v>
      </c>
      <c r="V10" s="572">
        <f>U10*(1+'Demand - C4'!$K$28)</f>
        <v>391365.164727733</v>
      </c>
      <c r="W10" s="572">
        <f>V10*(1+'Demand - C4'!$K$28)</f>
        <v>388638.10804738314</v>
      </c>
      <c r="X10" s="572">
        <f>W10*(1+'Demand - C4'!$K$28)</f>
        <v>385930.05366669636</v>
      </c>
      <c r="Y10" s="572">
        <f>X10*(1+'Demand - C4'!$K$28)</f>
        <v>383240.86917647294</v>
      </c>
      <c r="Z10" s="572">
        <f>Y10*(1+'Demand - C4'!$K$28)</f>
        <v>380570.42309014878</v>
      </c>
      <c r="AA10" s="572">
        <f>Z10*(1+'Demand - C4'!$K$28)</f>
        <v>377918.58483736619</v>
      </c>
      <c r="AB10" s="572">
        <f>AA10*(1+'Demand - C4'!$K$28)</f>
        <v>375285.22475758987</v>
      </c>
      <c r="AC10" s="572">
        <f>AB10*(1+'Demand - C4'!$K$28)</f>
        <v>372670.21409376711</v>
      </c>
      <c r="AD10" s="572">
        <f>AC10*(1+'Demand - C4'!$K$28)</f>
        <v>370073.4249860323</v>
      </c>
      <c r="AE10" s="572">
        <f>AD10*(1+'Demand - C4'!$K$28)</f>
        <v>367494.73046545533</v>
      </c>
      <c r="AF10" s="572">
        <f>AE10*(1+'Demand - C4'!$K$28)</f>
        <v>364934.0044478334</v>
      </c>
      <c r="AG10" s="572">
        <f>AF10*(1+'Demand - C4'!$K$28)</f>
        <v>362391.1217275263</v>
      </c>
      <c r="AH10" s="572">
        <f>AG10*(1+'Demand - C4'!$K$28)</f>
        <v>359865.95797133446</v>
      </c>
      <c r="AI10" s="573"/>
      <c r="AJ10" s="572">
        <f>D10</f>
        <v>443858.22061087564</v>
      </c>
      <c r="AK10" s="572">
        <f t="shared" si="7"/>
        <v>440765.38906955242</v>
      </c>
      <c r="AL10" s="572">
        <f t="shared" si="7"/>
        <v>437694.10856975289</v>
      </c>
      <c r="AM10" s="572">
        <f t="shared" si="7"/>
        <v>434644.22894248634</v>
      </c>
      <c r="AN10" s="572">
        <f t="shared" si="7"/>
        <v>431615.60106514901</v>
      </c>
      <c r="AO10" s="572">
        <f t="shared" si="7"/>
        <v>428608.07685423264</v>
      </c>
      <c r="AP10" s="572">
        <f t="shared" si="7"/>
        <v>425621.50925808394</v>
      </c>
      <c r="AQ10" s="572">
        <f t="shared" si="7"/>
        <v>422655.75224971474</v>
      </c>
      <c r="AR10" s="572">
        <f t="shared" si="7"/>
        <v>419710.66081966186</v>
      </c>
      <c r="AS10" s="572">
        <f t="shared" si="7"/>
        <v>416786.0909688971</v>
      </c>
      <c r="AT10" s="572">
        <f t="shared" si="7"/>
        <v>413881.8997017864</v>
      </c>
      <c r="AU10" s="572">
        <f t="shared" si="7"/>
        <v>410997.94501909806</v>
      </c>
      <c r="AV10" s="572">
        <f t="shared" si="7"/>
        <v>408134.08591105987</v>
      </c>
      <c r="AW10" s="572">
        <f t="shared" si="7"/>
        <v>405290.1823504644</v>
      </c>
      <c r="AX10" s="572">
        <f t="shared" si="7"/>
        <v>402466.09528582246</v>
      </c>
      <c r="AY10" s="572">
        <f t="shared" si="7"/>
        <v>399661.68663456431</v>
      </c>
      <c r="AZ10" s="572">
        <f t="shared" si="8"/>
        <v>396876.81927628804</v>
      </c>
      <c r="BA10" s="572">
        <f t="shared" si="8"/>
        <v>394111.3570460552</v>
      </c>
      <c r="BB10" s="572">
        <f t="shared" si="8"/>
        <v>391365.164727733</v>
      </c>
      <c r="BC10" s="572">
        <f t="shared" si="8"/>
        <v>388638.10804738314</v>
      </c>
      <c r="BD10" s="572">
        <f t="shared" si="8"/>
        <v>385930.05366669636</v>
      </c>
      <c r="BE10" s="572">
        <f t="shared" si="8"/>
        <v>383240.86917647294</v>
      </c>
      <c r="BF10" s="572">
        <f t="shared" si="8"/>
        <v>380570.42309014878</v>
      </c>
      <c r="BG10" s="572">
        <f t="shared" si="8"/>
        <v>377918.58483736619</v>
      </c>
      <c r="BH10" s="572">
        <f t="shared" si="8"/>
        <v>375285.22475758987</v>
      </c>
      <c r="BI10" s="572">
        <f t="shared" si="8"/>
        <v>372670.21409376711</v>
      </c>
      <c r="BJ10" s="572">
        <f t="shared" si="8"/>
        <v>370073.4249860323</v>
      </c>
      <c r="BK10" s="572">
        <f t="shared" si="8"/>
        <v>367494.73046545533</v>
      </c>
      <c r="BL10" s="572">
        <f t="shared" si="8"/>
        <v>364934.0044478334</v>
      </c>
      <c r="BM10" s="572">
        <f t="shared" si="8"/>
        <v>362391.1217275263</v>
      </c>
      <c r="BN10" s="572">
        <f t="shared" si="8"/>
        <v>359865.95797133446</v>
      </c>
      <c r="BQ10" s="625"/>
      <c r="BR10" s="625"/>
      <c r="BS10" s="640"/>
      <c r="BT10" s="625"/>
      <c r="BU10" s="625"/>
      <c r="BV10" s="625"/>
      <c r="BW10" s="625"/>
      <c r="BX10" s="625"/>
      <c r="BY10" s="630"/>
      <c r="BZ10" s="641"/>
      <c r="CA10" s="642"/>
      <c r="CB10" s="641"/>
      <c r="CC10" s="642"/>
      <c r="CD10" s="642"/>
      <c r="CE10" s="642"/>
      <c r="CF10" s="642"/>
      <c r="CG10" s="643"/>
      <c r="CH10" s="625"/>
      <c r="CI10" s="644"/>
      <c r="CJ10" s="625"/>
    </row>
    <row r="11" spans="1:88" outlineLevel="1">
      <c r="B11" s="1" t="s">
        <v>827</v>
      </c>
      <c r="C11" s="50" t="s">
        <v>1420</v>
      </c>
      <c r="D11" s="99">
        <v>0</v>
      </c>
      <c r="E11" s="99">
        <v>0</v>
      </c>
      <c r="F11" s="99">
        <v>0</v>
      </c>
      <c r="G11" s="99">
        <v>0</v>
      </c>
      <c r="H11" s="99">
        <v>0</v>
      </c>
      <c r="I11" s="99">
        <v>0</v>
      </c>
      <c r="J11" s="99">
        <v>0</v>
      </c>
      <c r="K11" s="99">
        <v>0</v>
      </c>
      <c r="L11" s="99">
        <v>0</v>
      </c>
      <c r="M11" s="99">
        <v>0</v>
      </c>
      <c r="N11" s="99">
        <v>0</v>
      </c>
      <c r="O11" s="99">
        <v>0</v>
      </c>
      <c r="P11" s="99">
        <v>0</v>
      </c>
      <c r="Q11" s="99">
        <v>0</v>
      </c>
      <c r="R11" s="99">
        <v>0</v>
      </c>
      <c r="S11" s="99">
        <v>0</v>
      </c>
      <c r="T11" s="99">
        <v>0</v>
      </c>
      <c r="U11" s="99">
        <v>0</v>
      </c>
      <c r="V11" s="99">
        <v>0</v>
      </c>
      <c r="W11" s="99">
        <v>0</v>
      </c>
      <c r="X11" s="99">
        <v>0</v>
      </c>
      <c r="Y11" s="99">
        <v>0</v>
      </c>
      <c r="Z11" s="99">
        <v>0</v>
      </c>
      <c r="AA11" s="99">
        <v>0</v>
      </c>
      <c r="AB11" s="99">
        <v>0</v>
      </c>
      <c r="AC11" s="99">
        <v>0</v>
      </c>
      <c r="AD11" s="99">
        <v>0</v>
      </c>
      <c r="AE11" s="99">
        <v>0</v>
      </c>
      <c r="AF11" s="99">
        <v>0</v>
      </c>
      <c r="AG11" s="99">
        <v>0</v>
      </c>
      <c r="AH11" s="99">
        <v>0</v>
      </c>
      <c r="AI11" s="178"/>
      <c r="AJ11" s="99">
        <v>0</v>
      </c>
      <c r="AK11" s="99">
        <v>0</v>
      </c>
      <c r="AL11" s="99">
        <v>0</v>
      </c>
      <c r="AM11" s="99">
        <v>0</v>
      </c>
      <c r="AN11" s="99">
        <v>0</v>
      </c>
      <c r="AO11" s="99">
        <v>0</v>
      </c>
      <c r="AP11" s="99">
        <v>0</v>
      </c>
      <c r="AQ11" s="99">
        <v>0</v>
      </c>
      <c r="AR11" s="99">
        <v>0</v>
      </c>
      <c r="AS11" s="99">
        <v>0</v>
      </c>
      <c r="AT11" s="99">
        <v>0</v>
      </c>
      <c r="AU11" s="99">
        <v>0</v>
      </c>
      <c r="AV11" s="99">
        <v>0</v>
      </c>
      <c r="AW11" s="99">
        <v>0</v>
      </c>
      <c r="AX11" s="99">
        <v>0</v>
      </c>
      <c r="AY11" s="99">
        <v>0</v>
      </c>
      <c r="AZ11" s="99">
        <v>0</v>
      </c>
      <c r="BA11" s="99">
        <v>0</v>
      </c>
      <c r="BB11" s="99">
        <v>0</v>
      </c>
      <c r="BC11" s="99">
        <v>0</v>
      </c>
      <c r="BD11" s="99">
        <v>0</v>
      </c>
      <c r="BE11" s="99">
        <v>0</v>
      </c>
      <c r="BF11" s="99">
        <v>0</v>
      </c>
      <c r="BG11" s="99">
        <v>0</v>
      </c>
      <c r="BH11" s="99">
        <v>0</v>
      </c>
      <c r="BI11" s="99">
        <v>0</v>
      </c>
      <c r="BJ11" s="99">
        <v>0</v>
      </c>
      <c r="BK11" s="99">
        <v>0</v>
      </c>
      <c r="BL11" s="99">
        <v>0</v>
      </c>
      <c r="BM11" s="99">
        <v>0</v>
      </c>
      <c r="BN11" s="99">
        <v>0</v>
      </c>
      <c r="BS11" s="626"/>
      <c r="BY11" s="630"/>
      <c r="BZ11" s="642"/>
      <c r="CA11" s="642"/>
      <c r="CB11" s="642"/>
      <c r="CC11" s="642"/>
      <c r="CD11" s="641"/>
      <c r="CE11" s="642"/>
      <c r="CF11" s="642"/>
      <c r="CG11" s="642"/>
    </row>
    <row r="12" spans="1:88" outlineLevel="1">
      <c r="B12" s="1" t="s">
        <v>181</v>
      </c>
      <c r="C12" s="50" t="s">
        <v>1420</v>
      </c>
      <c r="D12" s="99">
        <f>SUM(D10:D11)</f>
        <v>443858.22061087564</v>
      </c>
      <c r="E12" s="99">
        <f t="shared" ref="E12:AH12" si="11">SUM(E10:E11)</f>
        <v>440765.38906955242</v>
      </c>
      <c r="F12" s="99">
        <f t="shared" si="11"/>
        <v>437694.10856975289</v>
      </c>
      <c r="G12" s="99">
        <f t="shared" si="11"/>
        <v>434644.22894248634</v>
      </c>
      <c r="H12" s="99">
        <f t="shared" si="11"/>
        <v>431615.60106514901</v>
      </c>
      <c r="I12" s="99">
        <f t="shared" si="11"/>
        <v>428608.07685423264</v>
      </c>
      <c r="J12" s="99">
        <f t="shared" si="11"/>
        <v>425621.50925808394</v>
      </c>
      <c r="K12" s="99">
        <f t="shared" si="11"/>
        <v>422655.75224971474</v>
      </c>
      <c r="L12" s="99">
        <f t="shared" si="11"/>
        <v>419710.66081966186</v>
      </c>
      <c r="M12" s="99">
        <f t="shared" si="11"/>
        <v>416786.0909688971</v>
      </c>
      <c r="N12" s="99">
        <f t="shared" si="11"/>
        <v>413881.8997017864</v>
      </c>
      <c r="O12" s="99">
        <f>SUM(O10:O11)</f>
        <v>410997.94501909806</v>
      </c>
      <c r="P12" s="99">
        <f t="shared" si="11"/>
        <v>408134.08591105987</v>
      </c>
      <c r="Q12" s="99">
        <f t="shared" si="11"/>
        <v>405290.1823504644</v>
      </c>
      <c r="R12" s="99">
        <f t="shared" si="11"/>
        <v>402466.09528582246</v>
      </c>
      <c r="S12" s="99">
        <f t="shared" si="11"/>
        <v>399661.68663456431</v>
      </c>
      <c r="T12" s="99">
        <f t="shared" si="11"/>
        <v>396876.81927628804</v>
      </c>
      <c r="U12" s="99">
        <f t="shared" si="11"/>
        <v>394111.3570460552</v>
      </c>
      <c r="V12" s="99">
        <f t="shared" si="11"/>
        <v>391365.164727733</v>
      </c>
      <c r="W12" s="99">
        <f t="shared" si="11"/>
        <v>388638.10804738314</v>
      </c>
      <c r="X12" s="99">
        <f t="shared" si="11"/>
        <v>385930.05366669636</v>
      </c>
      <c r="Y12" s="99">
        <f t="shared" si="11"/>
        <v>383240.86917647294</v>
      </c>
      <c r="Z12" s="99">
        <f t="shared" si="11"/>
        <v>380570.42309014878</v>
      </c>
      <c r="AA12" s="99">
        <f t="shared" si="11"/>
        <v>377918.58483736619</v>
      </c>
      <c r="AB12" s="99">
        <f t="shared" si="11"/>
        <v>375285.22475758987</v>
      </c>
      <c r="AC12" s="99">
        <f t="shared" si="11"/>
        <v>372670.21409376711</v>
      </c>
      <c r="AD12" s="99">
        <f t="shared" si="11"/>
        <v>370073.4249860323</v>
      </c>
      <c r="AE12" s="99">
        <f t="shared" si="11"/>
        <v>367494.73046545533</v>
      </c>
      <c r="AF12" s="99">
        <f t="shared" si="11"/>
        <v>364934.0044478334</v>
      </c>
      <c r="AG12" s="99">
        <f t="shared" si="11"/>
        <v>362391.1217275263</v>
      </c>
      <c r="AH12" s="99">
        <f t="shared" si="11"/>
        <v>359865.95797133446</v>
      </c>
      <c r="AI12" s="178"/>
      <c r="AJ12" s="99">
        <f>SUM(AJ10:AJ11)</f>
        <v>443858.22061087564</v>
      </c>
      <c r="AK12" s="99">
        <f t="shared" ref="AK12:AT12" si="12">SUM(AK10:AK11)</f>
        <v>440765.38906955242</v>
      </c>
      <c r="AL12" s="99">
        <f t="shared" si="12"/>
        <v>437694.10856975289</v>
      </c>
      <c r="AM12" s="99">
        <f t="shared" si="12"/>
        <v>434644.22894248634</v>
      </c>
      <c r="AN12" s="99">
        <f t="shared" si="12"/>
        <v>431615.60106514901</v>
      </c>
      <c r="AO12" s="99">
        <f t="shared" si="12"/>
        <v>428608.07685423264</v>
      </c>
      <c r="AP12" s="99">
        <f t="shared" si="12"/>
        <v>425621.50925808394</v>
      </c>
      <c r="AQ12" s="99">
        <f t="shared" si="12"/>
        <v>422655.75224971474</v>
      </c>
      <c r="AR12" s="99">
        <f t="shared" si="12"/>
        <v>419710.66081966186</v>
      </c>
      <c r="AS12" s="99">
        <f t="shared" si="12"/>
        <v>416786.0909688971</v>
      </c>
      <c r="AT12" s="99">
        <f t="shared" si="12"/>
        <v>413881.8997017864</v>
      </c>
      <c r="AU12" s="99">
        <f>SUM(AU10:AU11)</f>
        <v>410997.94501909806</v>
      </c>
      <c r="AV12" s="99">
        <f t="shared" ref="AV12:BN12" si="13">SUM(AV10:AV11)</f>
        <v>408134.08591105987</v>
      </c>
      <c r="AW12" s="99">
        <f t="shared" si="13"/>
        <v>405290.1823504644</v>
      </c>
      <c r="AX12" s="99">
        <f t="shared" si="13"/>
        <v>402466.09528582246</v>
      </c>
      <c r="AY12" s="99">
        <f t="shared" si="13"/>
        <v>399661.68663456431</v>
      </c>
      <c r="AZ12" s="99">
        <f t="shared" si="13"/>
        <v>396876.81927628804</v>
      </c>
      <c r="BA12" s="99">
        <f t="shared" si="13"/>
        <v>394111.3570460552</v>
      </c>
      <c r="BB12" s="99">
        <f t="shared" si="13"/>
        <v>391365.164727733</v>
      </c>
      <c r="BC12" s="99">
        <f t="shared" si="13"/>
        <v>388638.10804738314</v>
      </c>
      <c r="BD12" s="99">
        <f t="shared" si="13"/>
        <v>385930.05366669636</v>
      </c>
      <c r="BE12" s="99">
        <f t="shared" si="13"/>
        <v>383240.86917647294</v>
      </c>
      <c r="BF12" s="99">
        <f t="shared" si="13"/>
        <v>380570.42309014878</v>
      </c>
      <c r="BG12" s="99">
        <f t="shared" si="13"/>
        <v>377918.58483736619</v>
      </c>
      <c r="BH12" s="99">
        <f t="shared" si="13"/>
        <v>375285.22475758987</v>
      </c>
      <c r="BI12" s="99">
        <f t="shared" si="13"/>
        <v>372670.21409376711</v>
      </c>
      <c r="BJ12" s="99">
        <f t="shared" si="13"/>
        <v>370073.4249860323</v>
      </c>
      <c r="BK12" s="99">
        <f t="shared" si="13"/>
        <v>367494.73046545533</v>
      </c>
      <c r="BL12" s="99">
        <f t="shared" si="13"/>
        <v>364934.0044478334</v>
      </c>
      <c r="BM12" s="99">
        <f t="shared" si="13"/>
        <v>362391.1217275263</v>
      </c>
      <c r="BN12" s="99">
        <f t="shared" si="13"/>
        <v>359865.95797133446</v>
      </c>
      <c r="BS12" s="626"/>
      <c r="BY12" s="630"/>
      <c r="BZ12" s="642"/>
      <c r="CA12" s="642"/>
      <c r="CB12" s="642"/>
      <c r="CC12" s="642"/>
      <c r="CD12" s="642"/>
      <c r="CE12" s="641"/>
      <c r="CF12" s="642"/>
      <c r="CG12" s="642"/>
    </row>
    <row r="13" spans="1:88" outlineLevel="1">
      <c r="B13" s="57" t="s">
        <v>134</v>
      </c>
      <c r="C13" s="50" t="s">
        <v>1420</v>
      </c>
      <c r="D13" s="99">
        <v>0</v>
      </c>
      <c r="E13" s="99">
        <f>E12*'R&amp;S - Transportation'!$B$15*('R&amp;S - Transportation'!$B$10*'R&amp;S - Transportation'!$B$19*(E$3-$D$3)/10)</f>
        <v>1454.525783929523</v>
      </c>
      <c r="F13" s="99">
        <f>F12*'R&amp;S - Transportation'!$B$15*('R&amp;S - Transportation'!$B$10*'R&amp;S - Transportation'!$B$19*(F$3-$D$3)/10)</f>
        <v>2888.7811165603689</v>
      </c>
      <c r="G13" s="99">
        <f>G12*'R&amp;S - Transportation'!$B$15*('R&amp;S - Transportation'!$B$10*'R&amp;S - Transportation'!$B$19*(G$3-$D$3)/10)</f>
        <v>4302.9778665306148</v>
      </c>
      <c r="H13" s="99">
        <f>H12*'R&amp;S - Transportation'!$B$15*('R&amp;S - Transportation'!$B$10*'R&amp;S - Transportation'!$B$19*(H$3-$D$3)/10)</f>
        <v>5697.325934059967</v>
      </c>
      <c r="I13" s="99">
        <f>I12*'R&amp;S - Transportation'!$B$15*('R&amp;S - Transportation'!$B$10*'R&amp;S - Transportation'!$B$19*(I$3-$D$3)/10)</f>
        <v>7072.0332680948386</v>
      </c>
      <c r="J13" s="99">
        <f>J12*'R&amp;S - Transportation'!$B$15*('R&amp;S - Transportation'!$B$10*'R&amp;S - Transportation'!$B$19*(J$3-$D$3)/10)</f>
        <v>8427.3058833100622</v>
      </c>
      <c r="K13" s="99">
        <f>K12*'R&amp;S - Transportation'!$B$15*('R&amp;S - Transportation'!$B$10*'R&amp;S - Transportation'!$B$19*(K$3-$D$3)/10)</f>
        <v>9763.3478769684116</v>
      </c>
      <c r="L13" s="99">
        <f>L12*'R&amp;S - Transportation'!$B$15*('R&amp;S - Transportation'!$B$10*'R&amp;S - Transportation'!$B$19*(L$3-$D$3)/10)</f>
        <v>11080.361445639073</v>
      </c>
      <c r="M13" s="99">
        <f>M12*'R&amp;S - Transportation'!$B$15*('R&amp;S - Transportation'!$B$10*'R&amp;S - Transportation'!$B$19*(M$3-$D$3)/10)</f>
        <v>12378.546901776246</v>
      </c>
      <c r="N13" s="99">
        <f>N12*'R&amp;S - Transportation'!$B$15*('R&amp;S - Transportation'!$B$10*'R&amp;S - Transportation'!$B$19*(N$3-$D$3)/10)</f>
        <v>13658.102690158952</v>
      </c>
      <c r="O13" s="99">
        <f>O12*('R&amp;S - Transportation'!$B$15*('R&amp;S - Transportation'!$B$10*('R&amp;S - Transportation'!$B$19+('R&amp;S - Transportation'!$B$20-'R&amp;S - Transportation'!$B$19)*(O3-$N$3)/10)))</f>
        <v>17631.811841319308</v>
      </c>
      <c r="P13" s="99">
        <f>P12*('R&amp;S - Transportation'!$B$15*('R&amp;S - Transportation'!$B$10*('R&amp;S - Transportation'!$B$19+('R&amp;S - Transportation'!$B$20-'R&amp;S - Transportation'!$B$19)*(P3-$N$3)/10)))</f>
        <v>21549.479736103967</v>
      </c>
      <c r="Q13" s="99">
        <f>Q12*('R&amp;S - Transportation'!$B$15*('R&amp;S - Transportation'!$B$10*('R&amp;S - Transportation'!$B$19+('R&amp;S - Transportation'!$B$20-'R&amp;S - Transportation'!$B$19)*(Q3-$N$3)/10)))</f>
        <v>25411.694433374119</v>
      </c>
      <c r="R13" s="99">
        <f>R12*('R&amp;S - Transportation'!$B$15*('R&amp;S - Transportation'!$B$10*('R&amp;S - Transportation'!$B$19+('R&amp;S - Transportation'!$B$20-'R&amp;S - Transportation'!$B$19)*(R3-$N$3)/10)))</f>
        <v>29219.038517750716</v>
      </c>
      <c r="S13" s="99">
        <f>S12*('R&amp;S - Transportation'!$B$15*('R&amp;S - Transportation'!$B$10*('R&amp;S - Transportation'!$B$19+('R&amp;S - Transportation'!$B$20-'R&amp;S - Transportation'!$B$19)*(S3-$N$3)/10)))</f>
        <v>32972.089147351558</v>
      </c>
      <c r="T13" s="99">
        <f>T12*('R&amp;S - Transportation'!$B$15*('R&amp;S - Transportation'!$B$10*('R&amp;S - Transportation'!$B$19+('R&amp;S - Transportation'!$B$20-'R&amp;S - Transportation'!$B$19)*(T3-$N$3)/10)))</f>
        <v>36671.41810112902</v>
      </c>
      <c r="U13" s="99">
        <f>U12*('R&amp;S - Transportation'!$B$15*('R&amp;S - Transportation'!$B$10*('R&amp;S - Transportation'!$B$19+('R&amp;S - Transportation'!$B$20-'R&amp;S - Transportation'!$B$19)*(U3-$N$3)/10)))</f>
        <v>40317.591825811454</v>
      </c>
      <c r="V13" s="99">
        <f>V12*('R&amp;S - Transportation'!$B$15*('R&amp;S - Transportation'!$B$10*('R&amp;S - Transportation'!$B$19+('R&amp;S - Transportation'!$B$20-'R&amp;S - Transportation'!$B$19)*(V3-$N$3)/10)))</f>
        <v>43911.17148245166</v>
      </c>
      <c r="W13" s="99">
        <f>W12*('R&amp;S - Transportation'!$B$15*('R&amp;S - Transportation'!$B$10*('R&amp;S - Transportation'!$B$19+('R&amp;S - Transportation'!$B$20-'R&amp;S - Transportation'!$B$19)*(W3-$N$3)/10)))</f>
        <v>47452.712992585482</v>
      </c>
      <c r="X13" s="99">
        <f>X12*('R&amp;S - Transportation'!$B$15*('R&amp;S - Transportation'!$B$10*('R&amp;S - Transportation'!$B$19+('R&amp;S - Transportation'!$B$20-'R&amp;S - Transportation'!$B$19)*(X3-$N$3)/10)))</f>
        <v>50942.767084003921</v>
      </c>
      <c r="Y13" s="99">
        <f>Y12*('R&amp;S - Transportation'!$B$15*('R&amp;S - Transportation'!$B$10*('R&amp;S - Transportation'!$B$20+('R&amp;S - Transportation'!$B$21-'R&amp;S - Transportation'!$B$20)*(Y3-$X$3)/10)))</f>
        <v>58175.9639409886</v>
      </c>
      <c r="Z13" s="99">
        <f>Z12*('R&amp;S - Transportation'!$B$15*('R&amp;S - Transportation'!$B$10*('R&amp;S - Transportation'!$B$20+('R&amp;S - Transportation'!$B$21-'R&amp;S - Transportation'!$B$20)*(Z3-$X$3)/10)))</f>
        <v>65305.884602269529</v>
      </c>
      <c r="AA13" s="99">
        <f>AA12*('R&amp;S - Transportation'!$B$15*('R&amp;S - Transportation'!$B$10*('R&amp;S - Transportation'!$B$20+('R&amp;S - Transportation'!$B$21-'R&amp;S - Transportation'!$B$20)*(AA3-$X$3)/10)))</f>
        <v>72333.617137871901</v>
      </c>
      <c r="AB13" s="99">
        <f>AB12*('R&amp;S - Transportation'!$B$15*('R&amp;S - Transportation'!$B$10*('R&amp;S - Transportation'!$B$20+('R&amp;S - Transportation'!$B$21-'R&amp;S - Transportation'!$B$20)*(AB3-$X$3)/10)))</f>
        <v>79260.239468802989</v>
      </c>
      <c r="AC13" s="99">
        <f>AC12*('R&amp;S - Transportation'!$B$15*('R&amp;S - Transportation'!$B$10*('R&amp;S - Transportation'!$B$20+('R&amp;S - Transportation'!$B$21-'R&amp;S - Transportation'!$B$20)*(AC3-$X$3)/10)))</f>
        <v>86086.819455660196</v>
      </c>
      <c r="AD13" s="99">
        <f>AD12*('R&amp;S - Transportation'!$B$15*('R&amp;S - Transportation'!$B$10*('R&amp;S - Transportation'!$B$20+('R&amp;S - Transportation'!$B$21-'R&amp;S - Transportation'!$B$20)*(AD3-$X$3)/10)))</f>
        <v>92814.414986496908</v>
      </c>
      <c r="AE13" s="99">
        <f>AE12*('R&amp;S - Transportation'!$B$15*('R&amp;S - Transportation'!$B$10*('R&amp;S - Transportation'!$B$20+('R&amp;S - Transportation'!$B$21-'R&amp;S - Transportation'!$B$20)*(AE3-$X$3)/10)))</f>
        <v>99444.074063952212</v>
      </c>
      <c r="AF13" s="99">
        <f>AF12*('R&amp;S - Transportation'!$B$15*('R&amp;S - Transportation'!$B$10*('R&amp;S - Transportation'!$B$20+('R&amp;S - Transportation'!$B$21-'R&amp;S - Transportation'!$B$20)*(AF3-$X$3)/10)))</f>
        <v>105976.83489165081</v>
      </c>
      <c r="AG13" s="99">
        <f>AG12*('R&amp;S - Transportation'!$B$15*('R&amp;S - Transportation'!$B$10*('R&amp;S - Transportation'!$B$20+('R&amp;S - Transportation'!$B$21-'R&amp;S - Transportation'!$B$20)*(AG3-$X$3)/10)))</f>
        <v>112413.72595987865</v>
      </c>
      <c r="AH13" s="99">
        <f>AH12*('R&amp;S - Transportation'!$B$15*('R&amp;S - Transportation'!$B$10*('R&amp;S - Transportation'!$B$20+('R&amp;S - Transportation'!$B$21-'R&amp;S - Transportation'!$B$20)*(AH3-$X$3)/10)))</f>
        <v>118755.76613054037</v>
      </c>
      <c r="AI13" s="178"/>
      <c r="AJ13" s="99">
        <v>0</v>
      </c>
      <c r="AK13" s="99">
        <f>AK12*'R&amp;S - Transportation'!$B$16*('R&amp;S - Transportation'!$B$10*'R&amp;S - Transportation'!$B$19*(AK$3-$D$3)/10)</f>
        <v>727.26289196476148</v>
      </c>
      <c r="AL13" s="99">
        <f>AL12*'R&amp;S - Transportation'!$B$16*('R&amp;S - Transportation'!$B$10*'R&amp;S - Transportation'!$B$19*(AL$3-$D$3)/10)</f>
        <v>1444.3905582801845</v>
      </c>
      <c r="AM13" s="99">
        <f>AM12*'R&amp;S - Transportation'!$B$16*('R&amp;S - Transportation'!$B$10*'R&amp;S - Transportation'!$B$19*(AM$3-$D$3)/10)</f>
        <v>2151.4889332653074</v>
      </c>
      <c r="AN13" s="99">
        <f>AN12*'R&amp;S - Transportation'!$B$16*('R&amp;S - Transportation'!$B$10*'R&amp;S - Transportation'!$B$19*(AN$3-$D$3)/10)</f>
        <v>2848.6629670299835</v>
      </c>
      <c r="AO13" s="99">
        <f>AO12*'R&amp;S - Transportation'!$B$16*('R&amp;S - Transportation'!$B$10*'R&amp;S - Transportation'!$B$19*(AO$3-$D$3)/10)</f>
        <v>3536.0166340474193</v>
      </c>
      <c r="AP13" s="99">
        <f>AP12*'R&amp;S - Transportation'!$B$16*('R&amp;S - Transportation'!$B$10*'R&amp;S - Transportation'!$B$19*(AP$3-$D$3)/10)</f>
        <v>4213.6529416550311</v>
      </c>
      <c r="AQ13" s="99">
        <f>AQ12*'R&amp;S - Transportation'!$B$16*('R&amp;S - Transportation'!$B$10*'R&amp;S - Transportation'!$B$19*(AQ$3-$D$3)/10)</f>
        <v>4881.6739384842058</v>
      </c>
      <c r="AR13" s="99">
        <f>AR12*'R&amp;S - Transportation'!$B$16*('R&amp;S - Transportation'!$B$10*'R&amp;S - Transportation'!$B$19*(AR$3-$D$3)/10)</f>
        <v>5540.1807228195366</v>
      </c>
      <c r="AS13" s="99">
        <f>AS12*'R&amp;S - Transportation'!$B$16*('R&amp;S - Transportation'!$B$10*'R&amp;S - Transportation'!$B$19*(AS$3-$D$3)/10)</f>
        <v>6189.2734508881231</v>
      </c>
      <c r="AT13" s="99">
        <f>AT12*'R&amp;S - Transportation'!$B$16*('R&amp;S - Transportation'!$B$10*'R&amp;S - Transportation'!$B$19*(AT$3-$D$3)/10)</f>
        <v>6829.0513450794761</v>
      </c>
      <c r="AU13" s="99">
        <f>AU12*('R&amp;S - Transportation'!$B$16*('R&amp;S - Transportation'!$B$10*('R&amp;S - Transportation'!$B$19+('R&amp;S - Transportation'!$B$20-'R&amp;S - Transportation'!$B$19)*(AU3-$N$3)/10)))</f>
        <v>8815.9059206596539</v>
      </c>
      <c r="AV13" s="99">
        <f>AV12*('R&amp;S - Transportation'!$B$16*('R&amp;S - Transportation'!$B$10*('R&amp;S - Transportation'!$B$19+('R&amp;S - Transportation'!$B$20-'R&amp;S - Transportation'!$B$19)*(AV3-$N$3)/10)))</f>
        <v>10774.739868051984</v>
      </c>
      <c r="AW13" s="99">
        <f>AW12*('R&amp;S - Transportation'!$B$16*('R&amp;S - Transportation'!$B$10*('R&amp;S - Transportation'!$B$19+('R&amp;S - Transportation'!$B$20-'R&amp;S - Transportation'!$B$19)*(AW3-$N$3)/10)))</f>
        <v>12705.84721668706</v>
      </c>
      <c r="AX13" s="99">
        <f>AX12*('R&amp;S - Transportation'!$B$16*('R&amp;S - Transportation'!$B$10*('R&amp;S - Transportation'!$B$19+('R&amp;S - Transportation'!$B$20-'R&amp;S - Transportation'!$B$19)*(AX3-$N$3)/10)))</f>
        <v>14609.519258875358</v>
      </c>
      <c r="AY13" s="99">
        <f>AY12*('R&amp;S - Transportation'!$B$16*('R&amp;S - Transportation'!$B$10*('R&amp;S - Transportation'!$B$19+('R&amp;S - Transportation'!$B$20-'R&amp;S - Transportation'!$B$19)*(AY3-$N$3)/10)))</f>
        <v>16486.044573675779</v>
      </c>
      <c r="AZ13" s="99">
        <f>AZ12*('R&amp;S - Transportation'!$B$16*('R&amp;S - Transportation'!$B$10*('R&amp;S - Transportation'!$B$19+('R&amp;S - Transportation'!$B$20-'R&amp;S - Transportation'!$B$19)*(AZ3-$N$3)/10)))</f>
        <v>18335.70905056451</v>
      </c>
      <c r="BA13" s="99">
        <f>BA12*('R&amp;S - Transportation'!$B$16*('R&amp;S - Transportation'!$B$10*('R&amp;S - Transportation'!$B$19+('R&amp;S - Transportation'!$B$20-'R&amp;S - Transportation'!$B$19)*(BA3-$N$3)/10)))</f>
        <v>20158.795912905727</v>
      </c>
      <c r="BB13" s="99">
        <f>BB12*('R&amp;S - Transportation'!$B$16*('R&amp;S - Transportation'!$B$10*('R&amp;S - Transportation'!$B$19+('R&amp;S - Transportation'!$B$20-'R&amp;S - Transportation'!$B$19)*(BB3-$N$3)/10)))</f>
        <v>21955.58574122583</v>
      </c>
      <c r="BC13" s="99">
        <f>BC12*('R&amp;S - Transportation'!$B$16*('R&amp;S - Transportation'!$B$10*('R&amp;S - Transportation'!$B$19+('R&amp;S - Transportation'!$B$20-'R&amp;S - Transportation'!$B$19)*(BC3-$N$3)/10)))</f>
        <v>23726.356496292741</v>
      </c>
      <c r="BD13" s="99">
        <f>BD12*('R&amp;S - Transportation'!$B$16*('R&amp;S - Transportation'!$B$10*('R&amp;S - Transportation'!$B$19+('R&amp;S - Transportation'!$B$20-'R&amp;S - Transportation'!$B$19)*(BD3-$N$3)/10)))</f>
        <v>25471.38354200196</v>
      </c>
      <c r="BE13" s="99">
        <f>BE12*('R&amp;S - Transportation'!$B$16*('R&amp;S - Transportation'!$B$10*('R&amp;S - Transportation'!$B$20+('R&amp;S - Transportation'!$B$21-'R&amp;S - Transportation'!$B$20)*(BE3-$X$3)/10)))</f>
        <v>29087.9819704943</v>
      </c>
      <c r="BF13" s="99">
        <f>BF12*('R&amp;S - Transportation'!$B$16*('R&amp;S - Transportation'!$B$10*('R&amp;S - Transportation'!$B$20+('R&amp;S - Transportation'!$B$21-'R&amp;S - Transportation'!$B$20)*(BF3-$X$3)/10)))</f>
        <v>32652.942301134764</v>
      </c>
      <c r="BG13" s="99">
        <f>BG12*('R&amp;S - Transportation'!$B$16*('R&amp;S - Transportation'!$B$10*('R&amp;S - Transportation'!$B$20+('R&amp;S - Transportation'!$B$21-'R&amp;S - Transportation'!$B$20)*(BG3-$X$3)/10)))</f>
        <v>36166.80856893595</v>
      </c>
      <c r="BH13" s="99">
        <f>BH12*('R&amp;S - Transportation'!$B$16*('R&amp;S - Transportation'!$B$10*('R&amp;S - Transportation'!$B$20+('R&amp;S - Transportation'!$B$21-'R&amp;S - Transportation'!$B$20)*(BH3-$X$3)/10)))</f>
        <v>39630.119734401494</v>
      </c>
      <c r="BI13" s="99">
        <f>BI12*('R&amp;S - Transportation'!$B$16*('R&amp;S - Transportation'!$B$10*('R&amp;S - Transportation'!$B$20+('R&amp;S - Transportation'!$B$21-'R&amp;S - Transportation'!$B$20)*(BI3-$X$3)/10)))</f>
        <v>43043.409727830098</v>
      </c>
      <c r="BJ13" s="99">
        <f>BJ12*('R&amp;S - Transportation'!$B$16*('R&amp;S - Transportation'!$B$10*('R&amp;S - Transportation'!$B$20+('R&amp;S - Transportation'!$B$21-'R&amp;S - Transportation'!$B$20)*(BJ3-$X$3)/10)))</f>
        <v>46407.207493248454</v>
      </c>
      <c r="BK13" s="99">
        <f>BK12*('R&amp;S - Transportation'!$B$16*('R&amp;S - Transportation'!$B$10*('R&amp;S - Transportation'!$B$20+('R&amp;S - Transportation'!$B$21-'R&amp;S - Transportation'!$B$20)*(BK3-$X$3)/10)))</f>
        <v>49722.037031976106</v>
      </c>
      <c r="BL13" s="99">
        <f>BL12*('R&amp;S - Transportation'!$B$16*('R&amp;S - Transportation'!$B$10*('R&amp;S - Transportation'!$B$20+('R&amp;S - Transportation'!$B$21-'R&amp;S - Transportation'!$B$20)*(BL3-$X$3)/10)))</f>
        <v>52988.417445825406</v>
      </c>
      <c r="BM13" s="99">
        <f>BM12*('R&amp;S - Transportation'!$B$16*('R&amp;S - Transportation'!$B$10*('R&amp;S - Transportation'!$B$20+('R&amp;S - Transportation'!$B$21-'R&amp;S - Transportation'!$B$20)*(BM3-$X$3)/10)))</f>
        <v>56206.862979939324</v>
      </c>
      <c r="BN13" s="99">
        <f>BN12*('R&amp;S - Transportation'!$B$16*('R&amp;S - Transportation'!$B$10*('R&amp;S - Transportation'!$B$20+('R&amp;S - Transportation'!$B$21-'R&amp;S - Transportation'!$B$20)*(BN3-$X$3)/10)))</f>
        <v>59377.883065270187</v>
      </c>
      <c r="BS13" s="640"/>
      <c r="BY13" s="630"/>
      <c r="BZ13" s="642"/>
      <c r="CA13" s="642"/>
      <c r="CB13" s="642"/>
      <c r="CC13" s="642"/>
      <c r="CD13" s="642"/>
      <c r="CE13" s="642"/>
      <c r="CF13" s="641"/>
      <c r="CG13" s="642"/>
    </row>
    <row r="14" spans="1:88" outlineLevel="1">
      <c r="B14" s="57" t="s">
        <v>182</v>
      </c>
      <c r="C14" s="50" t="s">
        <v>1420</v>
      </c>
      <c r="D14" s="99">
        <v>0</v>
      </c>
      <c r="E14" s="99">
        <f>E12*'R&amp;S - Transportation'!$B$15*('R&amp;S - Transportation'!$B$11*'R&amp;S - Transportation'!$B$19*(E$3-$D$3)/10)</f>
        <v>925.60731704606019</v>
      </c>
      <c r="F14" s="99">
        <f>F12*'R&amp;S - Transportation'!$B$15*('R&amp;S - Transportation'!$B$11*'R&amp;S - Transportation'!$B$19*(F$3-$D$3)/10)</f>
        <v>1838.3152559929624</v>
      </c>
      <c r="G14" s="99">
        <f>G12*'R&amp;S - Transportation'!$B$15*('R&amp;S - Transportation'!$B$11*'R&amp;S - Transportation'!$B$19*(G$3-$D$3)/10)</f>
        <v>2738.2586423376638</v>
      </c>
      <c r="H14" s="99">
        <f>H12*'R&amp;S - Transportation'!$B$15*('R&amp;S - Transportation'!$B$11*'R&amp;S - Transportation'!$B$19*(H$3-$D$3)/10)</f>
        <v>3625.5710489472522</v>
      </c>
      <c r="I14" s="99">
        <f>I12*'R&amp;S - Transportation'!$B$15*('R&amp;S - Transportation'!$B$11*'R&amp;S - Transportation'!$B$19*(I$3-$D$3)/10)</f>
        <v>4500.3848069694432</v>
      </c>
      <c r="J14" s="99">
        <f>J12*'R&amp;S - Transportation'!$B$15*('R&amp;S - Transportation'!$B$11*'R&amp;S - Transportation'!$B$19*(J$3-$D$3)/10)</f>
        <v>5362.8310166518577</v>
      </c>
      <c r="K14" s="99">
        <f>K12*'R&amp;S - Transportation'!$B$15*('R&amp;S - Transportation'!$B$11*'R&amp;S - Transportation'!$B$19*(K$3-$D$3)/10)</f>
        <v>6213.0395580708073</v>
      </c>
      <c r="L14" s="99">
        <f>L12*'R&amp;S - Transportation'!$B$15*('R&amp;S - Transportation'!$B$11*'R&amp;S - Transportation'!$B$19*(L$3-$D$3)/10)</f>
        <v>7051.1391017703199</v>
      </c>
      <c r="M14" s="99">
        <f>M12*'R&amp;S - Transportation'!$B$15*('R&amp;S - Transportation'!$B$11*'R&amp;S - Transportation'!$B$19*(M$3-$D$3)/10)</f>
        <v>7877.2571193121548</v>
      </c>
      <c r="N14" s="99">
        <f>N12*'R&amp;S - Transportation'!$B$15*('R&amp;S - Transportation'!$B$11*'R&amp;S - Transportation'!$B$19*(N$3-$D$3)/10)</f>
        <v>8691.5198937375153</v>
      </c>
      <c r="O14" s="99">
        <f>O12*('R&amp;S - Transportation'!$B$15*('R&amp;S - Transportation'!$B$11*('R&amp;S - Transportation'!$B$19+('R&amp;S - Transportation'!$B$20-'R&amp;S - Transportation'!$B$19)*(O3-$N$3)/10)))</f>
        <v>11220.243899021378</v>
      </c>
      <c r="P14" s="99">
        <f>P12*('R&amp;S - Transportation'!$B$15*('R&amp;S - Transportation'!$B$11*('R&amp;S - Transportation'!$B$19+('R&amp;S - Transportation'!$B$20-'R&amp;S - Transportation'!$B$19)*(P3-$N$3)/10)))</f>
        <v>13713.305286611614</v>
      </c>
      <c r="Q14" s="99">
        <f>Q12*('R&amp;S - Transportation'!$B$15*('R&amp;S - Transportation'!$B$11*('R&amp;S - Transportation'!$B$19+('R&amp;S - Transportation'!$B$20-'R&amp;S - Transportation'!$B$19)*(Q3-$N$3)/10)))</f>
        <v>16171.07827578353</v>
      </c>
      <c r="R14" s="99">
        <f>R12*('R&amp;S - Transportation'!$B$15*('R&amp;S - Transportation'!$B$11*('R&amp;S - Transportation'!$B$19+('R&amp;S - Transportation'!$B$20-'R&amp;S - Transportation'!$B$19)*(R3-$N$3)/10)))</f>
        <v>18593.933602205001</v>
      </c>
      <c r="S14" s="99">
        <f>S12*('R&amp;S - Transportation'!$B$15*('R&amp;S - Transportation'!$B$11*('R&amp;S - Transportation'!$B$19+('R&amp;S - Transportation'!$B$20-'R&amp;S - Transportation'!$B$19)*(S3-$N$3)/10)))</f>
        <v>20982.238548314624</v>
      </c>
      <c r="T14" s="99">
        <f>T12*('R&amp;S - Transportation'!$B$15*('R&amp;S - Transportation'!$B$11*('R&amp;S - Transportation'!$B$19+('R&amp;S - Transportation'!$B$20-'R&amp;S - Transportation'!$B$19)*(T3-$N$3)/10)))</f>
        <v>23336.356973445738</v>
      </c>
      <c r="U14" s="99">
        <f>U12*('R&amp;S - Transportation'!$B$15*('R&amp;S - Transportation'!$B$11*('R&amp;S - Transportation'!$B$19+('R&amp;S - Transportation'!$B$20-'R&amp;S - Transportation'!$B$19)*(U3-$N$3)/10)))</f>
        <v>25656.649343698195</v>
      </c>
      <c r="V14" s="99">
        <f>V12*('R&amp;S - Transportation'!$B$15*('R&amp;S - Transportation'!$B$11*('R&amp;S - Transportation'!$B$19+('R&amp;S - Transportation'!$B$20-'R&amp;S - Transportation'!$B$19)*(V3-$N$3)/10)))</f>
        <v>27943.472761560144</v>
      </c>
      <c r="W14" s="99">
        <f>W12*('R&amp;S - Transportation'!$B$15*('R&amp;S - Transportation'!$B$11*('R&amp;S - Transportation'!$B$19+('R&amp;S - Transportation'!$B$20-'R&amp;S - Transportation'!$B$19)*(W3-$N$3)/10)))</f>
        <v>30197.180995281666</v>
      </c>
      <c r="X14" s="99">
        <f>X12*('R&amp;S - Transportation'!$B$15*('R&amp;S - Transportation'!$B$11*('R&amp;S - Transportation'!$B$19+('R&amp;S - Transportation'!$B$20-'R&amp;S - Transportation'!$B$19)*(X3-$N$3)/10)))</f>
        <v>32418.124508002496</v>
      </c>
      <c r="Y14" s="99">
        <f>Y12*('R&amp;S - Transportation'!$B$15*('R&amp;S - Transportation'!$B$11*('R&amp;S - Transportation'!$B$20+('R&amp;S - Transportation'!$B$21-'R&amp;S - Transportation'!$B$20)*(Y3-$X$3)/10)))</f>
        <v>37021.06796244729</v>
      </c>
      <c r="Z14" s="99">
        <f>Z12*('R&amp;S - Transportation'!$B$15*('R&amp;S - Transportation'!$B$11*('R&amp;S - Transportation'!$B$20+('R&amp;S - Transportation'!$B$21-'R&amp;S - Transportation'!$B$20)*(Z3-$X$3)/10)))</f>
        <v>41558.290201444252</v>
      </c>
      <c r="AA14" s="99">
        <f>AA12*('R&amp;S - Transportation'!$B$15*('R&amp;S - Transportation'!$B$11*('R&amp;S - Transportation'!$B$20+('R&amp;S - Transportation'!$B$21-'R&amp;S - Transportation'!$B$20)*(AA3-$X$3)/10)))</f>
        <v>46030.483633191201</v>
      </c>
      <c r="AB14" s="99">
        <f>AB12*('R&amp;S - Transportation'!$B$15*('R&amp;S - Transportation'!$B$11*('R&amp;S - Transportation'!$B$20+('R&amp;S - Transportation'!$B$21-'R&amp;S - Transportation'!$B$20)*(AB3-$X$3)/10)))</f>
        <v>50438.334207420077</v>
      </c>
      <c r="AC14" s="99">
        <f>AC12*('R&amp;S - Transportation'!$B$15*('R&amp;S - Transportation'!$B$11*('R&amp;S - Transportation'!$B$20+('R&amp;S - Transportation'!$B$21-'R&amp;S - Transportation'!$B$20)*(AC3-$X$3)/10)))</f>
        <v>54782.521471783759</v>
      </c>
      <c r="AD14" s="99">
        <f>AD12*('R&amp;S - Transportation'!$B$15*('R&amp;S - Transportation'!$B$11*('R&amp;S - Transportation'!$B$20+('R&amp;S - Transportation'!$B$21-'R&amp;S - Transportation'!$B$20)*(AD3-$X$3)/10)))</f>
        <v>59063.718627770751</v>
      </c>
      <c r="AE14" s="99">
        <f>AE12*('R&amp;S - Transportation'!$B$15*('R&amp;S - Transportation'!$B$11*('R&amp;S - Transportation'!$B$20+('R&amp;S - Transportation'!$B$21-'R&amp;S - Transportation'!$B$20)*(AE3-$X$3)/10)))</f>
        <v>63282.592586151412</v>
      </c>
      <c r="AF14" s="99">
        <f>AF12*('R&amp;S - Transportation'!$B$15*('R&amp;S - Transportation'!$B$11*('R&amp;S - Transportation'!$B$20+('R&amp;S - Transportation'!$B$21-'R&amp;S - Transportation'!$B$20)*(AF3-$X$3)/10)))</f>
        <v>67439.804021959615</v>
      </c>
      <c r="AG14" s="99">
        <f>AG12*('R&amp;S - Transportation'!$B$15*('R&amp;S - Transportation'!$B$11*('R&amp;S - Transportation'!$B$20+('R&amp;S - Transportation'!$B$21-'R&amp;S - Transportation'!$B$20)*(AG3-$X$3)/10)))</f>
        <v>71536.007429013684</v>
      </c>
      <c r="AH14" s="99">
        <f>AH12*('R&amp;S - Transportation'!$B$15*('R&amp;S - Transportation'!$B$11*('R&amp;S - Transportation'!$B$20+('R&amp;S - Transportation'!$B$21-'R&amp;S - Transportation'!$B$20)*(AH3-$X$3)/10)))</f>
        <v>75571.851173980234</v>
      </c>
      <c r="AI14" s="178"/>
      <c r="AJ14" s="99">
        <v>0</v>
      </c>
      <c r="AK14" s="99">
        <f>AK12*'R&amp;S - Transportation'!$B$16*('R&amp;S - Transportation'!$B$11*'R&amp;S - Transportation'!$B$19*(AK$3-$D$3)/10)</f>
        <v>462.80365852303009</v>
      </c>
      <c r="AL14" s="99">
        <f>AL12*'R&amp;S - Transportation'!$B$16*('R&amp;S - Transportation'!$B$11*'R&amp;S - Transportation'!$B$19*(AL$3-$D$3)/10)</f>
        <v>919.15762799648121</v>
      </c>
      <c r="AM14" s="99">
        <f>AM12*'R&amp;S - Transportation'!$B$16*('R&amp;S - Transportation'!$B$11*'R&amp;S - Transportation'!$B$19*(AM$3-$D$3)/10)</f>
        <v>1369.1293211688319</v>
      </c>
      <c r="AN14" s="99">
        <f>AN12*'R&amp;S - Transportation'!$B$16*('R&amp;S - Transportation'!$B$11*'R&amp;S - Transportation'!$B$19*(AN$3-$D$3)/10)</f>
        <v>1812.7855244736261</v>
      </c>
      <c r="AO14" s="99">
        <f>AO12*'R&amp;S - Transportation'!$B$16*('R&amp;S - Transportation'!$B$11*'R&amp;S - Transportation'!$B$19*(AO$3-$D$3)/10)</f>
        <v>2250.1924034847216</v>
      </c>
      <c r="AP14" s="99">
        <f>AP12*'R&amp;S - Transportation'!$B$16*('R&amp;S - Transportation'!$B$11*'R&amp;S - Transportation'!$B$19*(AP$3-$D$3)/10)</f>
        <v>2681.4155083259288</v>
      </c>
      <c r="AQ14" s="99">
        <f>AQ12*'R&amp;S - Transportation'!$B$16*('R&amp;S - Transportation'!$B$11*'R&amp;S - Transportation'!$B$19*(AQ$3-$D$3)/10)</f>
        <v>3106.5197790354036</v>
      </c>
      <c r="AR14" s="99">
        <f>AR12*'R&amp;S - Transportation'!$B$16*('R&amp;S - Transportation'!$B$11*'R&amp;S - Transportation'!$B$19*(AR$3-$D$3)/10)</f>
        <v>3525.56955088516</v>
      </c>
      <c r="AS14" s="99">
        <f>AS12*'R&amp;S - Transportation'!$B$16*('R&amp;S - Transportation'!$B$11*'R&amp;S - Transportation'!$B$19*(AS$3-$D$3)/10)</f>
        <v>3938.6285596560774</v>
      </c>
      <c r="AT14" s="99">
        <f>AT12*'R&amp;S - Transportation'!$B$16*('R&amp;S - Transportation'!$B$11*'R&amp;S - Transportation'!$B$19*(AT$3-$D$3)/10)</f>
        <v>4345.7599468687577</v>
      </c>
      <c r="AU14" s="99">
        <f>AU12*('R&amp;S - Transportation'!$B$16*('R&amp;S - Transportation'!$B$11*('R&amp;S - Transportation'!$B$19+('R&amp;S - Transportation'!$B$20-'R&amp;S - Transportation'!$B$19)*(AU3-$N$3)/10)))</f>
        <v>5610.1219495106889</v>
      </c>
      <c r="AV14" s="99">
        <f>AV12*('R&amp;S - Transportation'!$B$16*('R&amp;S - Transportation'!$B$11*('R&amp;S - Transportation'!$B$19+('R&amp;S - Transportation'!$B$20-'R&amp;S - Transportation'!$B$19)*(AV3-$N$3)/10)))</f>
        <v>6856.652643305807</v>
      </c>
      <c r="AW14" s="99">
        <f>AW12*('R&amp;S - Transportation'!$B$16*('R&amp;S - Transportation'!$B$11*('R&amp;S - Transportation'!$B$19+('R&amp;S - Transportation'!$B$20-'R&amp;S - Transportation'!$B$19)*(AW3-$N$3)/10)))</f>
        <v>8085.5391378917648</v>
      </c>
      <c r="AX14" s="99">
        <f>AX12*('R&amp;S - Transportation'!$B$16*('R&amp;S - Transportation'!$B$11*('R&amp;S - Transportation'!$B$19+('R&amp;S - Transportation'!$B$20-'R&amp;S - Transportation'!$B$19)*(AX3-$N$3)/10)))</f>
        <v>9296.9668011025005</v>
      </c>
      <c r="AY14" s="99">
        <f>AY12*('R&amp;S - Transportation'!$B$16*('R&amp;S - Transportation'!$B$11*('R&amp;S - Transportation'!$B$19+('R&amp;S - Transportation'!$B$20-'R&amp;S - Transportation'!$B$19)*(AY3-$N$3)/10)))</f>
        <v>10491.119274157312</v>
      </c>
      <c r="AZ14" s="99">
        <f>AZ12*('R&amp;S - Transportation'!$B$16*('R&amp;S - Transportation'!$B$11*('R&amp;S - Transportation'!$B$19+('R&amp;S - Transportation'!$B$20-'R&amp;S - Transportation'!$B$19)*(AZ3-$N$3)/10)))</f>
        <v>11668.178486722869</v>
      </c>
      <c r="BA14" s="99">
        <f>BA12*('R&amp;S - Transportation'!$B$16*('R&amp;S - Transportation'!$B$11*('R&amp;S - Transportation'!$B$19+('R&amp;S - Transportation'!$B$20-'R&amp;S - Transportation'!$B$19)*(BA3-$N$3)/10)))</f>
        <v>12828.324671849097</v>
      </c>
      <c r="BB14" s="99">
        <f>BB12*('R&amp;S - Transportation'!$B$16*('R&amp;S - Transportation'!$B$11*('R&amp;S - Transportation'!$B$19+('R&amp;S - Transportation'!$B$20-'R&amp;S - Transportation'!$B$19)*(BB3-$N$3)/10)))</f>
        <v>13971.736380780072</v>
      </c>
      <c r="BC14" s="99">
        <f>BC12*('R&amp;S - Transportation'!$B$16*('R&amp;S - Transportation'!$B$11*('R&amp;S - Transportation'!$B$19+('R&amp;S - Transportation'!$B$20-'R&amp;S - Transportation'!$B$19)*(BC3-$N$3)/10)))</f>
        <v>15098.590497640833</v>
      </c>
      <c r="BD14" s="99">
        <f>BD12*('R&amp;S - Transportation'!$B$16*('R&amp;S - Transportation'!$B$11*('R&amp;S - Transportation'!$B$19+('R&amp;S - Transportation'!$B$20-'R&amp;S - Transportation'!$B$19)*(BD3-$N$3)/10)))</f>
        <v>16209.062254001248</v>
      </c>
      <c r="BE14" s="99">
        <f>BE12*('R&amp;S - Transportation'!$B$16*('R&amp;S - Transportation'!$B$11*('R&amp;S - Transportation'!$B$20+('R&amp;S - Transportation'!$B$21-'R&amp;S - Transportation'!$B$20)*(BE3-$X$3)/10)))</f>
        <v>18510.533981223645</v>
      </c>
      <c r="BF14" s="99">
        <f>BF12*('R&amp;S - Transportation'!$B$16*('R&amp;S - Transportation'!$B$11*('R&amp;S - Transportation'!$B$20+('R&amp;S - Transportation'!$B$21-'R&amp;S - Transportation'!$B$20)*(BF3-$X$3)/10)))</f>
        <v>20779.145100722126</v>
      </c>
      <c r="BG14" s="99">
        <f>BG12*('R&amp;S - Transportation'!$B$16*('R&amp;S - Transportation'!$B$11*('R&amp;S - Transportation'!$B$20+('R&amp;S - Transportation'!$B$21-'R&amp;S - Transportation'!$B$20)*(BG3-$X$3)/10)))</f>
        <v>23015.241816595601</v>
      </c>
      <c r="BH14" s="99">
        <f>BH12*('R&amp;S - Transportation'!$B$16*('R&amp;S - Transportation'!$B$11*('R&amp;S - Transportation'!$B$20+('R&amp;S - Transportation'!$B$21-'R&amp;S - Transportation'!$B$20)*(BH3-$X$3)/10)))</f>
        <v>25219.167103710039</v>
      </c>
      <c r="BI14" s="99">
        <f>BI12*('R&amp;S - Transportation'!$B$16*('R&amp;S - Transportation'!$B$11*('R&amp;S - Transportation'!$B$20+('R&amp;S - Transportation'!$B$21-'R&amp;S - Transportation'!$B$20)*(BI3-$X$3)/10)))</f>
        <v>27391.260735891879</v>
      </c>
      <c r="BJ14" s="99">
        <f>BJ12*('R&amp;S - Transportation'!$B$16*('R&amp;S - Transportation'!$B$11*('R&amp;S - Transportation'!$B$20+('R&amp;S - Transportation'!$B$21-'R&amp;S - Transportation'!$B$20)*(BJ3-$X$3)/10)))</f>
        <v>29531.859313885376</v>
      </c>
      <c r="BK14" s="99">
        <f>BK12*('R&amp;S - Transportation'!$B$16*('R&amp;S - Transportation'!$B$11*('R&amp;S - Transportation'!$B$20+('R&amp;S - Transportation'!$B$21-'R&amp;S - Transportation'!$B$20)*(BK3-$X$3)/10)))</f>
        <v>31641.296293075706</v>
      </c>
      <c r="BL14" s="99">
        <f>BL12*('R&amp;S - Transportation'!$B$16*('R&amp;S - Transportation'!$B$11*('R&amp;S - Transportation'!$B$20+('R&amp;S - Transportation'!$B$21-'R&amp;S - Transportation'!$B$20)*(BL3-$X$3)/10)))</f>
        <v>33719.902010979808</v>
      </c>
      <c r="BM14" s="99">
        <f>BM12*('R&amp;S - Transportation'!$B$16*('R&amp;S - Transportation'!$B$11*('R&amp;S - Transportation'!$B$20+('R&amp;S - Transportation'!$B$21-'R&amp;S - Transportation'!$B$20)*(BM3-$X$3)/10)))</f>
        <v>35768.003714506842</v>
      </c>
      <c r="BN14" s="99">
        <f>BN12*('R&amp;S - Transportation'!$B$16*('R&amp;S - Transportation'!$B$11*('R&amp;S - Transportation'!$B$20+('R&amp;S - Transportation'!$B$21-'R&amp;S - Transportation'!$B$20)*(BN3-$X$3)/10)))</f>
        <v>37785.925586990117</v>
      </c>
      <c r="BS14" s="626"/>
      <c r="BY14" s="630"/>
      <c r="BZ14" s="642"/>
      <c r="CA14" s="642"/>
      <c r="CB14" s="642"/>
      <c r="CC14" s="642"/>
      <c r="CD14" s="642"/>
      <c r="CE14" s="642"/>
      <c r="CF14" s="641"/>
      <c r="CG14" s="642"/>
    </row>
    <row r="15" spans="1:88" outlineLevel="1">
      <c r="B15" s="1" t="s">
        <v>169</v>
      </c>
      <c r="C15" s="50" t="s">
        <v>1420</v>
      </c>
      <c r="D15" s="99">
        <f>SUM(D13:D14)</f>
        <v>0</v>
      </c>
      <c r="E15" s="99">
        <f t="shared" ref="E15:AG15" si="14">SUM(E13:E14)</f>
        <v>2380.1331009755831</v>
      </c>
      <c r="F15" s="99">
        <f t="shared" si="14"/>
        <v>4727.0963725533311</v>
      </c>
      <c r="G15" s="99">
        <f t="shared" si="14"/>
        <v>7041.2365088682782</v>
      </c>
      <c r="H15" s="99">
        <f t="shared" si="14"/>
        <v>9322.8969830072201</v>
      </c>
      <c r="I15" s="99">
        <f t="shared" si="14"/>
        <v>11572.418075064281</v>
      </c>
      <c r="J15" s="99">
        <f t="shared" si="14"/>
        <v>13790.136899961919</v>
      </c>
      <c r="K15" s="99">
        <f t="shared" si="14"/>
        <v>15976.387435039218</v>
      </c>
      <c r="L15" s="99">
        <f t="shared" si="14"/>
        <v>18131.500547409392</v>
      </c>
      <c r="M15" s="99">
        <f t="shared" si="14"/>
        <v>20255.804021088399</v>
      </c>
      <c r="N15" s="99">
        <f t="shared" si="14"/>
        <v>22349.622583896467</v>
      </c>
      <c r="O15" s="99">
        <f t="shared" si="14"/>
        <v>28852.055740340686</v>
      </c>
      <c r="P15" s="99">
        <f t="shared" si="14"/>
        <v>35262.78502271558</v>
      </c>
      <c r="Q15" s="99">
        <f t="shared" si="14"/>
        <v>41582.772709157653</v>
      </c>
      <c r="R15" s="99">
        <f t="shared" si="14"/>
        <v>47812.972119955717</v>
      </c>
      <c r="S15" s="99">
        <f t="shared" si="14"/>
        <v>53954.327695666187</v>
      </c>
      <c r="T15" s="99">
        <f t="shared" si="14"/>
        <v>60007.775074574762</v>
      </c>
      <c r="U15" s="99">
        <f t="shared" si="14"/>
        <v>65974.241169509653</v>
      </c>
      <c r="V15" s="99">
        <f t="shared" si="14"/>
        <v>71854.644244011812</v>
      </c>
      <c r="W15" s="99">
        <f t="shared" si="14"/>
        <v>77649.893987867152</v>
      </c>
      <c r="X15" s="99">
        <f t="shared" si="14"/>
        <v>83360.891592006417</v>
      </c>
      <c r="Y15" s="99">
        <f t="shared" si="14"/>
        <v>95197.031903435884</v>
      </c>
      <c r="Z15" s="99">
        <f t="shared" si="14"/>
        <v>106864.17480371377</v>
      </c>
      <c r="AA15" s="99">
        <f t="shared" si="14"/>
        <v>118364.10077106309</v>
      </c>
      <c r="AB15" s="99">
        <f t="shared" si="14"/>
        <v>129698.57367622307</v>
      </c>
      <c r="AC15" s="99">
        <f t="shared" si="14"/>
        <v>140869.34092744396</v>
      </c>
      <c r="AD15" s="99">
        <f t="shared" si="14"/>
        <v>151878.13361426766</v>
      </c>
      <c r="AE15" s="99">
        <f t="shared" si="14"/>
        <v>162726.66665010364</v>
      </c>
      <c r="AF15" s="99">
        <f t="shared" si="14"/>
        <v>173416.63891361043</v>
      </c>
      <c r="AG15" s="99">
        <f t="shared" si="14"/>
        <v>183949.73338889232</v>
      </c>
      <c r="AH15" s="99">
        <f>SUM(AH13:AH14)</f>
        <v>194327.61730452062</v>
      </c>
      <c r="AI15" s="178"/>
      <c r="AJ15" s="99">
        <f>SUM(AJ13:AJ14)</f>
        <v>0</v>
      </c>
      <c r="AK15" s="99">
        <f t="shared" ref="AK15:BM15" si="15">SUM(AK13:AK14)</f>
        <v>1190.0665504877916</v>
      </c>
      <c r="AL15" s="99">
        <f t="shared" si="15"/>
        <v>2363.5481862766655</v>
      </c>
      <c r="AM15" s="99">
        <f t="shared" si="15"/>
        <v>3520.6182544341391</v>
      </c>
      <c r="AN15" s="99">
        <f t="shared" si="15"/>
        <v>4661.4484915036101</v>
      </c>
      <c r="AO15" s="99">
        <f t="shared" si="15"/>
        <v>5786.2090375321404</v>
      </c>
      <c r="AP15" s="99">
        <f t="shared" si="15"/>
        <v>6895.0684499809595</v>
      </c>
      <c r="AQ15" s="99">
        <f t="shared" si="15"/>
        <v>7988.193717519609</v>
      </c>
      <c r="AR15" s="99">
        <f t="shared" si="15"/>
        <v>9065.7502737046962</v>
      </c>
      <c r="AS15" s="99">
        <f t="shared" si="15"/>
        <v>10127.9020105442</v>
      </c>
      <c r="AT15" s="99">
        <f t="shared" si="15"/>
        <v>11174.811291948234</v>
      </c>
      <c r="AU15" s="99">
        <f t="shared" si="15"/>
        <v>14426.027870170343</v>
      </c>
      <c r="AV15" s="99">
        <f t="shared" si="15"/>
        <v>17631.39251135779</v>
      </c>
      <c r="AW15" s="99">
        <f t="shared" si="15"/>
        <v>20791.386354578826</v>
      </c>
      <c r="AX15" s="99">
        <f t="shared" si="15"/>
        <v>23906.486059977859</v>
      </c>
      <c r="AY15" s="99">
        <f t="shared" si="15"/>
        <v>26977.163847833093</v>
      </c>
      <c r="AZ15" s="99">
        <f t="shared" si="15"/>
        <v>30003.887537287381</v>
      </c>
      <c r="BA15" s="99">
        <f t="shared" si="15"/>
        <v>32987.120584754826</v>
      </c>
      <c r="BB15" s="99">
        <f t="shared" si="15"/>
        <v>35927.322122005906</v>
      </c>
      <c r="BC15" s="99">
        <f t="shared" si="15"/>
        <v>38824.946993933576</v>
      </c>
      <c r="BD15" s="99">
        <f t="shared" si="15"/>
        <v>41680.445796003209</v>
      </c>
      <c r="BE15" s="99">
        <f t="shared" si="15"/>
        <v>47598.515951717942</v>
      </c>
      <c r="BF15" s="99">
        <f t="shared" si="15"/>
        <v>53432.087401856887</v>
      </c>
      <c r="BG15" s="99">
        <f t="shared" si="15"/>
        <v>59182.050385531547</v>
      </c>
      <c r="BH15" s="99">
        <f t="shared" si="15"/>
        <v>64849.286838111533</v>
      </c>
      <c r="BI15" s="99">
        <f t="shared" si="15"/>
        <v>70434.670463721981</v>
      </c>
      <c r="BJ15" s="99">
        <f t="shared" si="15"/>
        <v>75939.06680713383</v>
      </c>
      <c r="BK15" s="99">
        <f t="shared" si="15"/>
        <v>81363.333325051819</v>
      </c>
      <c r="BL15" s="99">
        <f t="shared" si="15"/>
        <v>86708.319456805213</v>
      </c>
      <c r="BM15" s="99">
        <f t="shared" si="15"/>
        <v>91974.866694446158</v>
      </c>
      <c r="BN15" s="99">
        <f>SUM(BN13:BN14)</f>
        <v>97163.808652260312</v>
      </c>
      <c r="BY15" s="630"/>
      <c r="BZ15" s="642"/>
      <c r="CA15" s="641"/>
      <c r="CB15" s="642"/>
      <c r="CC15" s="645"/>
      <c r="CD15" s="642"/>
      <c r="CE15" s="642"/>
      <c r="CF15" s="642"/>
      <c r="CG15" s="642"/>
    </row>
    <row r="16" spans="1:88" outlineLevel="1">
      <c r="B16" s="1" t="s">
        <v>172</v>
      </c>
      <c r="C16" s="50" t="s">
        <v>1420</v>
      </c>
      <c r="D16" s="99">
        <v>0</v>
      </c>
      <c r="E16" s="99">
        <v>0</v>
      </c>
      <c r="F16" s="99">
        <v>0</v>
      </c>
      <c r="G16" s="99">
        <v>0</v>
      </c>
      <c r="H16" s="99">
        <v>0</v>
      </c>
      <c r="I16" s="99">
        <v>0</v>
      </c>
      <c r="J16" s="99">
        <v>0</v>
      </c>
      <c r="K16" s="99">
        <v>0</v>
      </c>
      <c r="L16" s="99">
        <v>0</v>
      </c>
      <c r="M16" s="99">
        <v>0</v>
      </c>
      <c r="N16" s="99">
        <v>0</v>
      </c>
      <c r="O16" s="99">
        <v>0</v>
      </c>
      <c r="P16" s="99">
        <v>0</v>
      </c>
      <c r="Q16" s="99">
        <v>0</v>
      </c>
      <c r="R16" s="99">
        <v>0</v>
      </c>
      <c r="S16" s="99">
        <v>0</v>
      </c>
      <c r="T16" s="99">
        <v>0</v>
      </c>
      <c r="U16" s="99">
        <v>0</v>
      </c>
      <c r="V16" s="99">
        <v>0</v>
      </c>
      <c r="W16" s="99">
        <v>0</v>
      </c>
      <c r="X16" s="99">
        <v>0</v>
      </c>
      <c r="Y16" s="99">
        <v>0</v>
      </c>
      <c r="Z16" s="99">
        <v>0</v>
      </c>
      <c r="AA16" s="99">
        <v>0</v>
      </c>
      <c r="AB16" s="99">
        <v>0</v>
      </c>
      <c r="AC16" s="99">
        <v>0</v>
      </c>
      <c r="AD16" s="99">
        <v>0</v>
      </c>
      <c r="AE16" s="99">
        <v>0</v>
      </c>
      <c r="AF16" s="99">
        <v>0</v>
      </c>
      <c r="AG16" s="99">
        <v>0</v>
      </c>
      <c r="AH16" s="99">
        <v>0</v>
      </c>
      <c r="AI16" s="178"/>
      <c r="AJ16" s="99">
        <v>0</v>
      </c>
      <c r="AK16" s="99">
        <v>0</v>
      </c>
      <c r="AL16" s="99">
        <v>0</v>
      </c>
      <c r="AM16" s="99">
        <v>0</v>
      </c>
      <c r="AN16" s="99">
        <v>0</v>
      </c>
      <c r="AO16" s="99">
        <v>0</v>
      </c>
      <c r="AP16" s="99">
        <v>0</v>
      </c>
      <c r="AQ16" s="99">
        <v>0</v>
      </c>
      <c r="AR16" s="99">
        <v>0</v>
      </c>
      <c r="AS16" s="99">
        <v>0</v>
      </c>
      <c r="AT16" s="99">
        <v>0</v>
      </c>
      <c r="AU16" s="99">
        <v>0</v>
      </c>
      <c r="AV16" s="99">
        <v>0</v>
      </c>
      <c r="AW16" s="99">
        <v>0</v>
      </c>
      <c r="AX16" s="99">
        <v>0</v>
      </c>
      <c r="AY16" s="99">
        <v>0</v>
      </c>
      <c r="AZ16" s="99">
        <v>0</v>
      </c>
      <c r="BA16" s="99">
        <v>0</v>
      </c>
      <c r="BB16" s="99">
        <v>0</v>
      </c>
      <c r="BC16" s="99">
        <v>0</v>
      </c>
      <c r="BD16" s="99">
        <v>0</v>
      </c>
      <c r="BE16" s="99">
        <v>0</v>
      </c>
      <c r="BF16" s="99">
        <v>0</v>
      </c>
      <c r="BG16" s="99">
        <v>0</v>
      </c>
      <c r="BH16" s="99">
        <v>0</v>
      </c>
      <c r="BI16" s="99">
        <v>0</v>
      </c>
      <c r="BJ16" s="99">
        <v>0</v>
      </c>
      <c r="BK16" s="99">
        <v>0</v>
      </c>
      <c r="BL16" s="99">
        <v>0</v>
      </c>
      <c r="BM16" s="99">
        <v>0</v>
      </c>
      <c r="BN16" s="99">
        <v>0</v>
      </c>
    </row>
    <row r="17" spans="1:88" outlineLevel="1">
      <c r="B17" s="1" t="s">
        <v>200</v>
      </c>
      <c r="C17" s="60" t="s">
        <v>1420</v>
      </c>
      <c r="D17" s="574">
        <f>D12-D15-D16</f>
        <v>443858.22061087564</v>
      </c>
      <c r="E17" s="574">
        <f t="shared" ref="E17:AH17" si="16">E12-E15-E16</f>
        <v>438385.25596857682</v>
      </c>
      <c r="F17" s="574">
        <f t="shared" si="16"/>
        <v>432967.01219719957</v>
      </c>
      <c r="G17" s="574">
        <f t="shared" si="16"/>
        <v>427602.99243361806</v>
      </c>
      <c r="H17" s="574">
        <f t="shared" si="16"/>
        <v>422292.7040821418</v>
      </c>
      <c r="I17" s="574">
        <f t="shared" si="16"/>
        <v>417035.65877916839</v>
      </c>
      <c r="J17" s="574">
        <f t="shared" si="16"/>
        <v>411831.37235812203</v>
      </c>
      <c r="K17" s="574">
        <f t="shared" si="16"/>
        <v>406679.36481467553</v>
      </c>
      <c r="L17" s="574">
        <f t="shared" si="16"/>
        <v>401579.16027225245</v>
      </c>
      <c r="M17" s="574">
        <f t="shared" si="16"/>
        <v>396530.28694780869</v>
      </c>
      <c r="N17" s="574">
        <f t="shared" si="16"/>
        <v>391532.27711788996</v>
      </c>
      <c r="O17" s="574">
        <f t="shared" si="16"/>
        <v>382145.88927875739</v>
      </c>
      <c r="P17" s="574">
        <f t="shared" si="16"/>
        <v>372871.3008883443</v>
      </c>
      <c r="Q17" s="574">
        <f t="shared" si="16"/>
        <v>363707.40964130673</v>
      </c>
      <c r="R17" s="574">
        <f t="shared" si="16"/>
        <v>354653.12316586677</v>
      </c>
      <c r="S17" s="574">
        <f t="shared" si="16"/>
        <v>345707.35893889813</v>
      </c>
      <c r="T17" s="574">
        <f t="shared" si="16"/>
        <v>336869.04420171329</v>
      </c>
      <c r="U17" s="574">
        <f t="shared" si="16"/>
        <v>328137.11587654555</v>
      </c>
      <c r="V17" s="574">
        <f t="shared" si="16"/>
        <v>319510.52048372116</v>
      </c>
      <c r="W17" s="574">
        <f t="shared" si="16"/>
        <v>310988.21405951597</v>
      </c>
      <c r="X17" s="574">
        <f t="shared" si="16"/>
        <v>302569.16207468993</v>
      </c>
      <c r="Y17" s="574">
        <f t="shared" si="16"/>
        <v>288043.83727303706</v>
      </c>
      <c r="Z17" s="574">
        <f t="shared" si="16"/>
        <v>273706.24828643503</v>
      </c>
      <c r="AA17" s="574">
        <f t="shared" si="16"/>
        <v>259554.48406630309</v>
      </c>
      <c r="AB17" s="574">
        <f t="shared" si="16"/>
        <v>245586.65108136681</v>
      </c>
      <c r="AC17" s="574">
        <f t="shared" si="16"/>
        <v>231800.87316632314</v>
      </c>
      <c r="AD17" s="574">
        <f t="shared" si="16"/>
        <v>218195.29137176464</v>
      </c>
      <c r="AE17" s="574">
        <f t="shared" si="16"/>
        <v>204768.06381535169</v>
      </c>
      <c r="AF17" s="574">
        <f t="shared" si="16"/>
        <v>191517.36553422298</v>
      </c>
      <c r="AG17" s="574">
        <f t="shared" si="16"/>
        <v>178441.38833863399</v>
      </c>
      <c r="AH17" s="574">
        <f t="shared" si="16"/>
        <v>165538.34066681383</v>
      </c>
      <c r="AI17" s="178"/>
      <c r="AJ17" s="574">
        <f>AJ12-AJ15-AJ16</f>
        <v>443858.22061087564</v>
      </c>
      <c r="AK17" s="574">
        <f t="shared" ref="AK17:BN17" si="17">AK12-AK15-AK16</f>
        <v>439575.32251906465</v>
      </c>
      <c r="AL17" s="574">
        <f t="shared" si="17"/>
        <v>435330.5603834762</v>
      </c>
      <c r="AM17" s="574">
        <f t="shared" si="17"/>
        <v>431123.6106880522</v>
      </c>
      <c r="AN17" s="574">
        <f t="shared" si="17"/>
        <v>426954.15257364541</v>
      </c>
      <c r="AO17" s="574">
        <f t="shared" si="17"/>
        <v>422821.86781670048</v>
      </c>
      <c r="AP17" s="574">
        <f t="shared" si="17"/>
        <v>418726.44080810295</v>
      </c>
      <c r="AQ17" s="574">
        <f t="shared" si="17"/>
        <v>414667.55853219511</v>
      </c>
      <c r="AR17" s="574">
        <f t="shared" si="17"/>
        <v>410644.91054595716</v>
      </c>
      <c r="AS17" s="574">
        <f t="shared" si="17"/>
        <v>406658.1889583529</v>
      </c>
      <c r="AT17" s="574">
        <f t="shared" si="17"/>
        <v>402707.08840983815</v>
      </c>
      <c r="AU17" s="574">
        <f t="shared" si="17"/>
        <v>396571.91714892769</v>
      </c>
      <c r="AV17" s="574">
        <f t="shared" si="17"/>
        <v>390502.69339970208</v>
      </c>
      <c r="AW17" s="574">
        <f t="shared" si="17"/>
        <v>384498.79599588556</v>
      </c>
      <c r="AX17" s="574">
        <f t="shared" si="17"/>
        <v>378559.60922584462</v>
      </c>
      <c r="AY17" s="574">
        <f t="shared" si="17"/>
        <v>372684.52278673119</v>
      </c>
      <c r="AZ17" s="574">
        <f t="shared" si="17"/>
        <v>366872.93173900066</v>
      </c>
      <c r="BA17" s="574">
        <f t="shared" si="17"/>
        <v>361124.2364613004</v>
      </c>
      <c r="BB17" s="574">
        <f t="shared" si="17"/>
        <v>355437.84260572708</v>
      </c>
      <c r="BC17" s="574">
        <f t="shared" si="17"/>
        <v>349813.16105344956</v>
      </c>
      <c r="BD17" s="574">
        <f t="shared" si="17"/>
        <v>344249.60787069314</v>
      </c>
      <c r="BE17" s="574">
        <f t="shared" si="17"/>
        <v>335642.35322475503</v>
      </c>
      <c r="BF17" s="574">
        <f t="shared" si="17"/>
        <v>327138.33568829187</v>
      </c>
      <c r="BG17" s="574">
        <f t="shared" si="17"/>
        <v>318736.53445183462</v>
      </c>
      <c r="BH17" s="574">
        <f t="shared" si="17"/>
        <v>310435.93791947834</v>
      </c>
      <c r="BI17" s="574">
        <f t="shared" si="17"/>
        <v>302235.54363004514</v>
      </c>
      <c r="BJ17" s="574">
        <f t="shared" si="17"/>
        <v>294134.35817889846</v>
      </c>
      <c r="BK17" s="574">
        <f t="shared" si="17"/>
        <v>286131.39714040351</v>
      </c>
      <c r="BL17" s="574">
        <f t="shared" si="17"/>
        <v>278225.68499102816</v>
      </c>
      <c r="BM17" s="574">
        <f t="shared" si="17"/>
        <v>270416.25503308012</v>
      </c>
      <c r="BN17" s="574">
        <f t="shared" si="17"/>
        <v>262702.14931907412</v>
      </c>
      <c r="BR17" s="626"/>
      <c r="BS17" s="626"/>
    </row>
    <row r="18" spans="1:88" s="54" customFormat="1" outlineLevel="1">
      <c r="A18" s="54" t="s">
        <v>385</v>
      </c>
      <c r="B18" s="54" t="s">
        <v>179</v>
      </c>
      <c r="C18" s="93" t="s">
        <v>1420</v>
      </c>
      <c r="D18" s="572">
        <f>'Demand - C4'!O26</f>
        <v>3721.0980653873412</v>
      </c>
      <c r="E18" s="572">
        <f>D18*(1+'Demand - C4'!$K$26)</f>
        <v>3695.1692238551341</v>
      </c>
      <c r="F18" s="572">
        <f>E18*(1+'Demand - C4'!$K$26)</f>
        <v>3669.4210560948591</v>
      </c>
      <c r="G18" s="572">
        <f>F18*(1+'Demand - C4'!$K$26)</f>
        <v>3643.8523031604955</v>
      </c>
      <c r="H18" s="572">
        <f>G18*(1+'Demand - C4'!$K$26)</f>
        <v>3618.4617148784364</v>
      </c>
      <c r="I18" s="572">
        <f>H18*(1+'Demand - C4'!$K$26)</f>
        <v>3593.2480497863626</v>
      </c>
      <c r="J18" s="572">
        <f>I18*(1+'Demand - C4'!$K$26)</f>
        <v>3568.2100750725399</v>
      </c>
      <c r="K18" s="572">
        <f>J18*(1+'Demand - C4'!$K$26)</f>
        <v>3543.3465665155436</v>
      </c>
      <c r="L18" s="572">
        <f>K18*(1+'Demand - C4'!$K$26)</f>
        <v>3518.6563084243994</v>
      </c>
      <c r="M18" s="572">
        <f>L18*(1+'Demand - C4'!$K$26)</f>
        <v>3494.1380935791426</v>
      </c>
      <c r="N18" s="572">
        <f>M18*(1+'Demand - C4'!$K$26)</f>
        <v>3469.7907231717918</v>
      </c>
      <c r="O18" s="572">
        <f>N18*(1+'Demand - C4'!$K$26)</f>
        <v>3445.6130067477347</v>
      </c>
      <c r="P18" s="572">
        <f>O18*(1+'Demand - C4'!$K$26)</f>
        <v>3421.6037621475193</v>
      </c>
      <c r="Q18" s="572">
        <f>P18*(1+'Demand - C4'!$K$26)</f>
        <v>3397.7618154490542</v>
      </c>
      <c r="R18" s="572">
        <f>Q18*(1+'Demand - C4'!$K$26)</f>
        <v>3374.0860009102103</v>
      </c>
      <c r="S18" s="572">
        <f>R18*(1+'Demand - C4'!$K$26)</f>
        <v>3350.5751609118206</v>
      </c>
      <c r="T18" s="572">
        <f>S18*(1+'Demand - C4'!$K$26)</f>
        <v>3327.228145901081</v>
      </c>
      <c r="U18" s="572">
        <f>T18*(1+'Demand - C4'!$K$26)</f>
        <v>3304.0438143353426</v>
      </c>
      <c r="V18" s="572">
        <f>U18*(1+'Demand - C4'!$K$26)</f>
        <v>3281.0210326262954</v>
      </c>
      <c r="W18" s="572">
        <f>V18*(1+'Demand - C4'!$K$26)</f>
        <v>3258.158675084544</v>
      </c>
      <c r="X18" s="572">
        <f>W18*(1+'Demand - C4'!$K$26)</f>
        <v>3235.4556238645655</v>
      </c>
      <c r="Y18" s="572">
        <f>X18*(1+'Demand - C4'!$K$26)</f>
        <v>3212.9107689100538</v>
      </c>
      <c r="Z18" s="572">
        <f>Y18*(1+'Demand - C4'!$K$26)</f>
        <v>3190.5230078996442</v>
      </c>
      <c r="AA18" s="572">
        <f>Z18*(1+'Demand - C4'!$K$26)</f>
        <v>3168.291246193015</v>
      </c>
      <c r="AB18" s="572">
        <f>AA18*(1+'Demand - C4'!$K$26)</f>
        <v>3146.2143967773663</v>
      </c>
      <c r="AC18" s="572">
        <f>AB18*(1+'Demand - C4'!$K$26)</f>
        <v>3124.2913802142712</v>
      </c>
      <c r="AD18" s="572">
        <f>AC18*(1+'Demand - C4'!$K$26)</f>
        <v>3102.5211245868954</v>
      </c>
      <c r="AE18" s="572">
        <f>AD18*(1+'Demand - C4'!$K$26)</f>
        <v>3080.9025654475881</v>
      </c>
      <c r="AF18" s="572">
        <f>AE18*(1+'Demand - C4'!$K$26)</f>
        <v>3059.4346457658357</v>
      </c>
      <c r="AG18" s="572">
        <f>AF18*(1+'Demand - C4'!$K$26)</f>
        <v>3038.116315876578</v>
      </c>
      <c r="AH18" s="572">
        <f>AG18*(1+'Demand - C4'!$K$26)</f>
        <v>3016.9465334288866</v>
      </c>
      <c r="AI18" s="575"/>
      <c r="AJ18" s="572">
        <f>D18</f>
        <v>3721.0980653873412</v>
      </c>
      <c r="AK18" s="572">
        <f t="shared" ref="AK18:BN18" si="18">E18</f>
        <v>3695.1692238551341</v>
      </c>
      <c r="AL18" s="572">
        <f t="shared" si="18"/>
        <v>3669.4210560948591</v>
      </c>
      <c r="AM18" s="572">
        <f t="shared" si="18"/>
        <v>3643.8523031604955</v>
      </c>
      <c r="AN18" s="572">
        <f t="shared" si="18"/>
        <v>3618.4617148784364</v>
      </c>
      <c r="AO18" s="572">
        <f t="shared" si="18"/>
        <v>3593.2480497863626</v>
      </c>
      <c r="AP18" s="572">
        <f t="shared" si="18"/>
        <v>3568.2100750725399</v>
      </c>
      <c r="AQ18" s="572">
        <f t="shared" si="18"/>
        <v>3543.3465665155436</v>
      </c>
      <c r="AR18" s="572">
        <f t="shared" si="18"/>
        <v>3518.6563084243994</v>
      </c>
      <c r="AS18" s="572">
        <f t="shared" si="18"/>
        <v>3494.1380935791426</v>
      </c>
      <c r="AT18" s="572">
        <f t="shared" si="18"/>
        <v>3469.7907231717918</v>
      </c>
      <c r="AU18" s="572">
        <f t="shared" si="18"/>
        <v>3445.6130067477347</v>
      </c>
      <c r="AV18" s="572">
        <f t="shared" si="18"/>
        <v>3421.6037621475193</v>
      </c>
      <c r="AW18" s="572">
        <f t="shared" si="18"/>
        <v>3397.7618154490542</v>
      </c>
      <c r="AX18" s="572">
        <f t="shared" si="18"/>
        <v>3374.0860009102103</v>
      </c>
      <c r="AY18" s="572">
        <f t="shared" si="18"/>
        <v>3350.5751609118206</v>
      </c>
      <c r="AZ18" s="572">
        <f t="shared" si="18"/>
        <v>3327.228145901081</v>
      </c>
      <c r="BA18" s="572">
        <f t="shared" si="18"/>
        <v>3304.0438143353426</v>
      </c>
      <c r="BB18" s="572">
        <f t="shared" si="18"/>
        <v>3281.0210326262954</v>
      </c>
      <c r="BC18" s="572">
        <f t="shared" si="18"/>
        <v>3258.158675084544</v>
      </c>
      <c r="BD18" s="572">
        <f t="shared" si="18"/>
        <v>3235.4556238645655</v>
      </c>
      <c r="BE18" s="572">
        <f t="shared" si="18"/>
        <v>3212.9107689100538</v>
      </c>
      <c r="BF18" s="572">
        <f t="shared" si="18"/>
        <v>3190.5230078996442</v>
      </c>
      <c r="BG18" s="572">
        <f t="shared" si="18"/>
        <v>3168.291246193015</v>
      </c>
      <c r="BH18" s="572">
        <f t="shared" si="18"/>
        <v>3146.2143967773663</v>
      </c>
      <c r="BI18" s="572">
        <f t="shared" si="18"/>
        <v>3124.2913802142712</v>
      </c>
      <c r="BJ18" s="572">
        <f t="shared" si="18"/>
        <v>3102.5211245868954</v>
      </c>
      <c r="BK18" s="572">
        <f t="shared" si="18"/>
        <v>3080.9025654475881</v>
      </c>
      <c r="BL18" s="572">
        <f t="shared" si="18"/>
        <v>3059.4346457658357</v>
      </c>
      <c r="BM18" s="572">
        <f t="shared" si="18"/>
        <v>3038.116315876578</v>
      </c>
      <c r="BN18" s="572">
        <f t="shared" si="18"/>
        <v>3016.9465334288866</v>
      </c>
      <c r="BQ18" s="646"/>
      <c r="BR18" s="647"/>
      <c r="BS18" s="647"/>
      <c r="BT18" s="646"/>
      <c r="BU18" s="646"/>
      <c r="BV18" s="646"/>
      <c r="BW18" s="646"/>
      <c r="BX18" s="646"/>
      <c r="BY18" s="646"/>
      <c r="BZ18" s="646"/>
      <c r="CA18" s="646"/>
      <c r="CB18" s="646"/>
      <c r="CC18" s="646"/>
      <c r="CD18" s="646"/>
      <c r="CE18" s="646"/>
      <c r="CF18" s="646"/>
      <c r="CG18" s="646"/>
      <c r="CH18" s="646"/>
      <c r="CI18" s="646"/>
      <c r="CJ18" s="646"/>
    </row>
    <row r="19" spans="1:88" outlineLevel="1">
      <c r="B19" s="57" t="s">
        <v>146</v>
      </c>
      <c r="C19" s="50" t="s">
        <v>1420</v>
      </c>
      <c r="D19" s="183">
        <v>0</v>
      </c>
      <c r="E19" s="183">
        <f>E18*'R&amp;S - Packaging and hh goods'!$C$7*('R&amp;S - Packaging and hh goods'!$B$14*'R&amp;S - Packaging and hh goods'!$B$19*('Yearly HC Ethylene'!E$3-'Yearly HC Ethylene'!$D$3)/10)</f>
        <v>9.976956904408862</v>
      </c>
      <c r="F19" s="183">
        <f>F18*'R&amp;S - Packaging and hh goods'!$C$7*('R&amp;S - Packaging and hh goods'!$B$14*'R&amp;S - Packaging and hh goods'!$B$19*('Yearly HC Ethylene'!F$3-'Yearly HC Ethylene'!$D$3)/10)</f>
        <v>19.814873702912237</v>
      </c>
      <c r="G19" s="183">
        <f>G18*'R&amp;S - Packaging and hh goods'!$C$7*('R&amp;S - Packaging and hh goods'!$B$14*'R&amp;S - Packaging and hh goods'!$B$19*('Yearly HC Ethylene'!G$3-'Yearly HC Ethylene'!$D$3)/10)</f>
        <v>29.515203655600011</v>
      </c>
      <c r="H19" s="183">
        <f>H18*'R&amp;S - Packaging and hh goods'!$C$7*('R&amp;S - Packaging and hh goods'!$B$14*'R&amp;S - Packaging and hh goods'!$B$19*('Yearly HC Ethylene'!H$3-'Yearly HC Ethylene'!$D$3)/10)</f>
        <v>39.079386520687109</v>
      </c>
      <c r="I19" s="183">
        <f>I18*'R&amp;S - Packaging and hh goods'!$C$7*('R&amp;S - Packaging and hh goods'!$B$14*'R&amp;S - Packaging and hh goods'!$B$19*('Yearly HC Ethylene'!I$3-'Yearly HC Ethylene'!$D$3)/10)</f>
        <v>48.508848672115896</v>
      </c>
      <c r="J19" s="183">
        <f>J18*'R&amp;S - Packaging and hh goods'!$C$7*('R&amp;S - Packaging and hh goods'!$B$14*'R&amp;S - Packaging and hh goods'!$B$19*('Yearly HC Ethylene'!J$3-'Yearly HC Ethylene'!$D$3)/10)</f>
        <v>57.805003216175137</v>
      </c>
      <c r="K19" s="183">
        <f>K18*'R&amp;S - Packaging and hh goods'!$C$7*('R&amp;S - Packaging and hh goods'!$B$14*'R&amp;S - Packaging and hh goods'!$B$19*('Yearly HC Ethylene'!K$3-'Yearly HC Ethylene'!$D$3)/10)</f>
        <v>66.969250107143779</v>
      </c>
      <c r="L19" s="183">
        <f>L18*'R&amp;S - Packaging and hh goods'!$C$7*('R&amp;S - Packaging and hh goods'!$B$14*'R&amp;S - Packaging and hh goods'!$B$19*('Yearly HC Ethylene'!L$3-'Yearly HC Ethylene'!$D$3)/10)</f>
        <v>76.002976261967021</v>
      </c>
      <c r="M19" s="183">
        <f>M18*'R&amp;S - Packaging and hh goods'!$C$7*('R&amp;S - Packaging and hh goods'!$B$14*'R&amp;S - Packaging and hh goods'!$B$19*('Yearly HC Ethylene'!M$3-'Yearly HC Ethylene'!$D$3)/10)</f>
        <v>84.90755567397315</v>
      </c>
      <c r="N19" s="183">
        <f>N18*'R&amp;S - Packaging and hh goods'!$C$7*('R&amp;S - Packaging and hh goods'!$B$14*'R&amp;S - Packaging and hh goods'!$B$19*('Yearly HC Ethylene'!N$3-'Yearly HC Ethylene'!$D$3)/10)</f>
        <v>93.684349525638368</v>
      </c>
      <c r="O19" s="183">
        <f>O18*'R&amp;S - Packaging and hh goods'!$C$7*('R&amp;S - Packaging and hh goods'!$B$14*('R&amp;S - Packaging and hh goods'!$B$19+('R&amp;S - Packaging and hh goods'!$B$20-'R&amp;S - Packaging and hh goods'!$B$19)*('Yearly HC Ethylene'!O$3-'Yearly HC Ethylene'!$N$3)/10))</f>
        <v>121.56122687806007</v>
      </c>
      <c r="P19" s="183">
        <f>P18*'R&amp;S - Packaging and hh goods'!$C$7*('R&amp;S - Packaging and hh goods'!$B$14*('R&amp;S - Packaging and hh goods'!$B$19+('R&amp;S - Packaging and hh goods'!$B$20-'R&amp;S - Packaging and hh goods'!$B$19)*('Yearly HC Ethylene'!P$3-'Yearly HC Ethylene'!$N$3)/10))</f>
        <v>149.04505987914592</v>
      </c>
      <c r="Q19" s="183">
        <f>Q18*'R&amp;S - Packaging and hh goods'!$C$7*('R&amp;S - Packaging and hh goods'!$B$14*('R&amp;S - Packaging and hh goods'!$B$19+('R&amp;S - Packaging and hh goods'!$B$20-'R&amp;S - Packaging and hh goods'!$B$19)*('Yearly HC Ethylene'!Q$3-'Yearly HC Ethylene'!$N$3)/10))</f>
        <v>176.13997251287896</v>
      </c>
      <c r="R19" s="183">
        <f>R18*'R&amp;S - Packaging and hh goods'!$C$7*('R&amp;S - Packaging and hh goods'!$B$14*('R&amp;S - Packaging and hh goods'!$B$19+('R&amp;S - Packaging and hh goods'!$B$20-'R&amp;S - Packaging and hh goods'!$B$19)*('Yearly HC Ethylene'!R$3-'Yearly HC Ethylene'!$N$3)/10))</f>
        <v>202.8500503747218</v>
      </c>
      <c r="S19" s="183">
        <f>S18*'R&amp;S - Packaging and hh goods'!$C$7*('R&amp;S - Packaging and hh goods'!$B$14*('R&amp;S - Packaging and hh goods'!$B$19+('R&amp;S - Packaging and hh goods'!$B$20-'R&amp;S - Packaging and hh goods'!$B$19)*('Yearly HC Ethylene'!S$3-'Yearly HC Ethylene'!$N$3)/10))</f>
        <v>229.17934100636853</v>
      </c>
      <c r="T19" s="183">
        <f>T18*'R&amp;S - Packaging and hh goods'!$C$7*('R&amp;S - Packaging and hh goods'!$B$14*('R&amp;S - Packaging and hh goods'!$B$19+('R&amp;S - Packaging and hh goods'!$B$20-'R&amp;S - Packaging and hh goods'!$B$19)*('Yearly HC Ethylene'!T$3-'Yearly HC Ethylene'!$N$3)/10))</f>
        <v>255.13185422769487</v>
      </c>
      <c r="U19" s="183">
        <f>U18*'R&amp;S - Packaging and hh goods'!$C$7*('R&amp;S - Packaging and hh goods'!$B$14*('R&amp;S - Packaging and hh goods'!$B$19+('R&amp;S - Packaging and hh goods'!$B$20-'R&amp;S - Packaging and hh goods'!$B$19)*('Yearly HC Ethylene'!U$3-'Yearly HC Ethylene'!$N$3)/10))</f>
        <v>280.71156246593068</v>
      </c>
      <c r="V19" s="183">
        <f>V18*'R&amp;S - Packaging and hh goods'!$C$7*('R&amp;S - Packaging and hh goods'!$B$14*('R&amp;S - Packaging and hh goods'!$B$19+('R&amp;S - Packaging and hh goods'!$B$20-'R&amp;S - Packaging and hh goods'!$B$19)*('Yearly HC Ethylene'!V$3-'Yearly HC Ethylene'!$N$3)/10))</f>
        <v>305.92240108207579</v>
      </c>
      <c r="W19" s="183">
        <f>W18*'R&amp;S - Packaging and hh goods'!$C$7*('R&amp;S - Packaging and hh goods'!$B$14*('R&amp;S - Packaging and hh goods'!$B$19+('R&amp;S - Packaging and hh goods'!$B$20-'R&amp;S - Packaging and hh goods'!$B$19)*('Yearly HC Ethylene'!W$3-'Yearly HC Ethylene'!$N$3)/10))</f>
        <v>330.76826869458284</v>
      </c>
      <c r="X19" s="183">
        <f>X18*'R&amp;S - Packaging and hh goods'!$C$7*('R&amp;S - Packaging and hh goods'!$B$14*('R&amp;S - Packaging and hh goods'!$B$19+('R&amp;S - Packaging and hh goods'!$B$20-'R&amp;S - Packaging and hh goods'!$B$19)*('Yearly HC Ethylene'!X$3-'Yearly HC Ethylene'!$N$3)/10))</f>
        <v>355.25302750032927</v>
      </c>
      <c r="Y19" s="183">
        <f>Y18*'R&amp;S - Packaging and hh goods'!$C$7*('R&amp;S - Packaging and hh goods'!$B$14*('R&amp;S - Packaging and hh goods'!$B$20+('R&amp;S - Packaging and hh goods'!$B$21-'R&amp;S - Packaging and hh goods'!$B$20)*('Yearly HC Ethylene'!Y$3-'Yearly HC Ethylene'!$X$3)/10))</f>
        <v>375.33223602407247</v>
      </c>
      <c r="Z19" s="183">
        <f>Z18*'R&amp;S - Packaging and hh goods'!$C$7*('R&amp;S - Packaging and hh goods'!$B$14*('R&amp;S - Packaging and hh goods'!$B$20+('R&amp;S - Packaging and hh goods'!$B$21-'R&amp;S - Packaging and hh goods'!$B$20)*('Yearly HC Ethylene'!Z$3-'Yearly HC Ethylene'!$X$3)/10))</f>
        <v>395.11436929829188</v>
      </c>
      <c r="AA19" s="183">
        <f>AA18*'R&amp;S - Packaging and hh goods'!$C$7*('R&amp;S - Packaging and hh goods'!$B$14*('R&amp;S - Packaging and hh goods'!$B$20+('R&amp;S - Packaging and hh goods'!$B$21-'R&amp;S - Packaging and hh goods'!$B$20)*('Yearly HC Ethylene'!AA$3-'Yearly HC Ethylene'!$X$3)/10))</f>
        <v>414.6025924768179</v>
      </c>
      <c r="AB19" s="183">
        <f>AB18*'R&amp;S - Packaging and hh goods'!$C$7*('R&amp;S - Packaging and hh goods'!$B$14*('R&amp;S - Packaging and hh goods'!$B$20+('R&amp;S - Packaging and hh goods'!$B$21-'R&amp;S - Packaging and hh goods'!$B$20)*('Yearly HC Ethylene'!AB$3-'Yearly HC Ethylene'!$X$3)/10))</f>
        <v>433.80004102766327</v>
      </c>
      <c r="AC19" s="183">
        <f>AC18*'R&amp;S - Packaging and hh goods'!$C$7*('R&amp;S - Packaging and hh goods'!$B$14*('R&amp;S - Packaging and hh goods'!$B$20+('R&amp;S - Packaging and hh goods'!$B$21-'R&amp;S - Packaging and hh goods'!$B$20)*('Yearly HC Ethylene'!AC$3-'Yearly HC Ethylene'!$X$3)/10))</f>
        <v>452.7098209930478</v>
      </c>
      <c r="AD19" s="183">
        <f>AD18*'R&amp;S - Packaging and hh goods'!$C$7*('R&amp;S - Packaging and hh goods'!$B$14*('R&amp;S - Packaging and hh goods'!$B$20+('R&amp;S - Packaging and hh goods'!$B$21-'R&amp;S - Packaging and hh goods'!$B$20)*('Yearly HC Ethylene'!AD$3-'Yearly HC Ethylene'!$X$3)/10))</f>
        <v>471.33500924724109</v>
      </c>
      <c r="AE19" s="183">
        <f>AE18*'R&amp;S - Packaging and hh goods'!$C$7*('R&amp;S - Packaging and hh goods'!$B$14*('R&amp;S - Packaging and hh goods'!$B$20+('R&amp;S - Packaging and hh goods'!$B$21-'R&amp;S - Packaging and hh goods'!$B$20)*('Yearly HC Ethylene'!AE$3-'Yearly HC Ethylene'!$X$3)/10))</f>
        <v>489.67865375223965</v>
      </c>
      <c r="AF19" s="183">
        <f>AF18*'R&amp;S - Packaging and hh goods'!$C$7*('R&amp;S - Packaging and hh goods'!$B$14*('R&amp;S - Packaging and hh goods'!$B$20+('R&amp;S - Packaging and hh goods'!$B$21-'R&amp;S - Packaging and hh goods'!$B$20)*('Yearly HC Ethylene'!AF$3-'Yearly HC Ethylene'!$X$3)/10))</f>
        <v>507.74377381129807</v>
      </c>
      <c r="AG19" s="183">
        <f>AG18*'R&amp;S - Packaging and hh goods'!$C$7*('R&amp;S - Packaging and hh goods'!$B$14*('R&amp;S - Packaging and hh goods'!$B$20+('R&amp;S - Packaging and hh goods'!$B$21-'R&amp;S - Packaging and hh goods'!$B$20)*('Yearly HC Ethylene'!AG$3-'Yearly HC Ethylene'!$X$3)/10))</f>
        <v>525.53336032033053</v>
      </c>
      <c r="AH19" s="183">
        <f>AH18*'R&amp;S - Packaging and hh goods'!$C$7*('R&amp;S - Packaging and hh goods'!$B$14*('R&amp;S - Packaging and hh goods'!$B$20+('R&amp;S - Packaging and hh goods'!$B$21-'R&amp;S - Packaging and hh goods'!$B$20)*('Yearly HC Ethylene'!AH$3-'Yearly HC Ethylene'!$X$3)/10))</f>
        <v>543.0503760171996</v>
      </c>
      <c r="AI19" s="576"/>
      <c r="AJ19" s="183">
        <v>0</v>
      </c>
      <c r="AK19" s="183">
        <f>AK18*'R&amp;S - Packaging and hh goods'!$C$7*('R&amp;S - Packaging and hh goods'!$B$15*'R&amp;S - Packaging and hh goods'!$B$19*(AK$3-$D$3)/10)</f>
        <v>7.4827176783066456</v>
      </c>
      <c r="AL19" s="183">
        <f>AL18*'R&amp;S - Packaging and hh goods'!$C$7*('R&amp;S - Packaging and hh goods'!$B$15*'R&amp;S - Packaging and hh goods'!$B$19*(AL$3-$D$3)/10)</f>
        <v>14.861155277184178</v>
      </c>
      <c r="AM19" s="183">
        <f>AM18*'R&amp;S - Packaging and hh goods'!$C$7*('R&amp;S - Packaging and hh goods'!$B$15*'R&amp;S - Packaging and hh goods'!$B$19*(AM$3-$D$3)/10)</f>
        <v>22.136402741700007</v>
      </c>
      <c r="AN19" s="183">
        <f>AN18*'R&amp;S - Packaging and hh goods'!$C$7*('R&amp;S - Packaging and hh goods'!$B$15*'R&amp;S - Packaging and hh goods'!$B$19*(AN$3-$D$3)/10)</f>
        <v>29.309539890515332</v>
      </c>
      <c r="AO19" s="183">
        <f>AO18*'R&amp;S - Packaging and hh goods'!$C$7*('R&amp;S - Packaging and hh goods'!$B$15*'R&amp;S - Packaging and hh goods'!$B$19*(AO$3-$D$3)/10)</f>
        <v>36.38163650408692</v>
      </c>
      <c r="AP19" s="183">
        <f>AP18*'R&amp;S - Packaging and hh goods'!$C$7*('R&amp;S - Packaging and hh goods'!$B$15*'R&amp;S - Packaging and hh goods'!$B$19*(AP$3-$D$3)/10)</f>
        <v>43.35375241213135</v>
      </c>
      <c r="AQ19" s="183">
        <f>AQ18*'R&amp;S - Packaging and hh goods'!$C$7*('R&amp;S - Packaging and hh goods'!$B$15*'R&amp;S - Packaging and hh goods'!$B$19*(AQ$3-$D$3)/10)</f>
        <v>50.226937580357813</v>
      </c>
      <c r="AR19" s="183">
        <f>AR18*'R&amp;S - Packaging and hh goods'!$C$7*('R&amp;S - Packaging and hh goods'!$B$15*'R&amp;S - Packaging and hh goods'!$B$19*(AR$3-$D$3)/10)</f>
        <v>57.002232196475262</v>
      </c>
      <c r="AS19" s="183">
        <f>AS18*'R&amp;S - Packaging and hh goods'!$C$7*('R&amp;S - Packaging and hh goods'!$B$15*'R&amp;S - Packaging and hh goods'!$B$19*(AS$3-$D$3)/10)</f>
        <v>63.680666755479869</v>
      </c>
      <c r="AT19" s="183">
        <f>AT18*'R&amp;S - Packaging and hh goods'!$C$7*('R&amp;S - Packaging and hh goods'!$B$15*'R&amp;S - Packaging and hh goods'!$B$19*(AT$3-$D$3)/10)</f>
        <v>70.263262144228776</v>
      </c>
      <c r="AU19" s="183">
        <f>AU18*'R&amp;S - Packaging and hh goods'!$C$7*('R&amp;S - Packaging and hh goods'!$B$15*('R&amp;S - Packaging and hh goods'!$B$19+('R&amp;S - Packaging and hh goods'!$B$20-'R&amp;S - Packaging and hh goods'!$B$19)*(AU$3-$N$3)/10))</f>
        <v>91.170920158545059</v>
      </c>
      <c r="AV19" s="183">
        <f>AV18*'R&amp;S - Packaging and hh goods'!$C$7*('R&amp;S - Packaging and hh goods'!$B$15*('R&amp;S - Packaging and hh goods'!$B$19+('R&amp;S - Packaging and hh goods'!$B$20-'R&amp;S - Packaging and hh goods'!$B$19)*(AV$3-$N$3)/10))</f>
        <v>111.78379490935944</v>
      </c>
      <c r="AW19" s="183">
        <f>AW18*'R&amp;S - Packaging and hh goods'!$C$7*('R&amp;S - Packaging and hh goods'!$B$15*('R&amp;S - Packaging and hh goods'!$B$19+('R&amp;S - Packaging and hh goods'!$B$20-'R&amp;S - Packaging and hh goods'!$B$19)*(AW$3-$N$3)/10))</f>
        <v>132.1049793846592</v>
      </c>
      <c r="AX19" s="183">
        <f>AX18*'R&amp;S - Packaging and hh goods'!$C$7*('R&amp;S - Packaging and hh goods'!$B$15*('R&amp;S - Packaging and hh goods'!$B$19+('R&amp;S - Packaging and hh goods'!$B$20-'R&amp;S - Packaging and hh goods'!$B$19)*(AX$3-$N$3)/10))</f>
        <v>152.13753778104135</v>
      </c>
      <c r="AY19" s="183">
        <f>AY18*'R&amp;S - Packaging and hh goods'!$C$7*('R&amp;S - Packaging and hh goods'!$B$15*('R&amp;S - Packaging and hh goods'!$B$19+('R&amp;S - Packaging and hh goods'!$B$20-'R&amp;S - Packaging and hh goods'!$B$19)*(AY$3-$N$3)/10))</f>
        <v>171.8845057547764</v>
      </c>
      <c r="AZ19" s="183">
        <f>AZ18*'R&amp;S - Packaging and hh goods'!$C$7*('R&amp;S - Packaging and hh goods'!$B$15*('R&amp;S - Packaging and hh goods'!$B$19+('R&amp;S - Packaging and hh goods'!$B$20-'R&amp;S - Packaging and hh goods'!$B$19)*(AZ$3-$N$3)/10))</f>
        <v>191.34889067077114</v>
      </c>
      <c r="BA19" s="183">
        <f>BA18*'R&amp;S - Packaging and hh goods'!$C$7*('R&amp;S - Packaging and hh goods'!$B$15*('R&amp;S - Packaging and hh goods'!$B$19+('R&amp;S - Packaging and hh goods'!$B$20-'R&amp;S - Packaging and hh goods'!$B$19)*(BA$3-$N$3)/10))</f>
        <v>210.53367184944801</v>
      </c>
      <c r="BB19" s="183">
        <f>BB18*'R&amp;S - Packaging and hh goods'!$C$7*('R&amp;S - Packaging and hh goods'!$B$15*('R&amp;S - Packaging and hh goods'!$B$19+('R&amp;S - Packaging and hh goods'!$B$20-'R&amp;S - Packaging and hh goods'!$B$19)*(BB$3-$N$3)/10))</f>
        <v>229.44180081155685</v>
      </c>
      <c r="BC19" s="183">
        <f>BC18*'R&amp;S - Packaging and hh goods'!$C$7*('R&amp;S - Packaging and hh goods'!$B$15*('R&amp;S - Packaging and hh goods'!$B$19+('R&amp;S - Packaging and hh goods'!$B$20-'R&amp;S - Packaging and hh goods'!$B$19)*(BC$3-$N$3)/10))</f>
        <v>248.0762015209371</v>
      </c>
      <c r="BD19" s="183">
        <f>BD18*'R&amp;S - Packaging and hh goods'!$C$7*('R&amp;S - Packaging and hh goods'!$B$15*('R&amp;S - Packaging and hh goods'!$B$19+('R&amp;S - Packaging and hh goods'!$B$20-'R&amp;S - Packaging and hh goods'!$B$19)*(BD$3-$N$3)/10))</f>
        <v>266.43977062524698</v>
      </c>
      <c r="BE19" s="183">
        <f>BE18*'R&amp;S - Packaging and hh goods'!$C$7*('R&amp;S - Packaging and hh goods'!$B$15*('R&amp;S - Packaging and hh goods'!$B$20+('R&amp;S - Packaging and hh goods'!$B$21-'R&amp;S - Packaging and hh goods'!$B$20)*(BE$3-$X$3)/10))</f>
        <v>281.49917701805435</v>
      </c>
      <c r="BF19" s="183">
        <f>BF18*'R&amp;S - Packaging and hh goods'!$C$7*('R&amp;S - Packaging and hh goods'!$B$15*('R&amp;S - Packaging and hh goods'!$B$20+('R&amp;S - Packaging and hh goods'!$B$21-'R&amp;S - Packaging and hh goods'!$B$20)*(BF$3-$X$3)/10))</f>
        <v>296.33577697371896</v>
      </c>
      <c r="BG19" s="183">
        <f>BG18*'R&amp;S - Packaging and hh goods'!$C$7*('R&amp;S - Packaging and hh goods'!$B$15*('R&amp;S - Packaging and hh goods'!$B$20+('R&amp;S - Packaging and hh goods'!$B$21-'R&amp;S - Packaging and hh goods'!$B$20)*(BG$3-$X$3)/10))</f>
        <v>310.95194435761346</v>
      </c>
      <c r="BH19" s="183">
        <f>BH18*'R&amp;S - Packaging and hh goods'!$C$7*('R&amp;S - Packaging and hh goods'!$B$15*('R&amp;S - Packaging and hh goods'!$B$20+('R&amp;S - Packaging and hh goods'!$B$21-'R&amp;S - Packaging and hh goods'!$B$20)*(BH$3-$X$3)/10))</f>
        <v>325.35003077074748</v>
      </c>
      <c r="BI19" s="183">
        <f>BI18*'R&amp;S - Packaging and hh goods'!$C$7*('R&amp;S - Packaging and hh goods'!$B$15*('R&amp;S - Packaging and hh goods'!$B$20+('R&amp;S - Packaging and hh goods'!$B$21-'R&amp;S - Packaging and hh goods'!$B$20)*(BI$3-$X$3)/10))</f>
        <v>339.53236574478592</v>
      </c>
      <c r="BJ19" s="183">
        <f>BJ18*'R&amp;S - Packaging and hh goods'!$C$7*('R&amp;S - Packaging and hh goods'!$B$15*('R&amp;S - Packaging and hh goods'!$B$20+('R&amp;S - Packaging and hh goods'!$B$21-'R&amp;S - Packaging and hh goods'!$B$20)*(BJ$3-$X$3)/10))</f>
        <v>353.50125693543083</v>
      </c>
      <c r="BK19" s="183">
        <f>BK18*'R&amp;S - Packaging and hh goods'!$C$7*('R&amp;S - Packaging and hh goods'!$B$15*('R&amp;S - Packaging and hh goods'!$B$20+('R&amp;S - Packaging and hh goods'!$B$21-'R&amp;S - Packaging and hh goods'!$B$20)*(BK$3-$X$3)/10))</f>
        <v>367.25899031417975</v>
      </c>
      <c r="BL19" s="183">
        <f>BL18*'R&amp;S - Packaging and hh goods'!$C$7*('R&amp;S - Packaging and hh goods'!$B$15*('R&amp;S - Packaging and hh goods'!$B$20+('R&amp;S - Packaging and hh goods'!$B$21-'R&amp;S - Packaging and hh goods'!$B$20)*(BL$3-$X$3)/10))</f>
        <v>380.80783035847355</v>
      </c>
      <c r="BM19" s="183">
        <f>BM18*'R&amp;S - Packaging and hh goods'!$C$7*('R&amp;S - Packaging and hh goods'!$B$15*('R&amp;S - Packaging and hh goods'!$B$20+('R&amp;S - Packaging and hh goods'!$B$21-'R&amp;S - Packaging and hh goods'!$B$20)*(BM$3-$X$3)/10))</f>
        <v>394.15002024024784</v>
      </c>
      <c r="BN19" s="183">
        <f>BN18*'R&amp;S - Packaging and hh goods'!$C$7*('R&amp;S - Packaging and hh goods'!$B$15*('R&amp;S - Packaging and hh goods'!$B$20+('R&amp;S - Packaging and hh goods'!$B$21-'R&amp;S - Packaging and hh goods'!$B$20)*(BN$3-$X$3)/10))</f>
        <v>407.2877820128997</v>
      </c>
    </row>
    <row r="20" spans="1:88" outlineLevel="1">
      <c r="B20" s="57" t="s">
        <v>193</v>
      </c>
      <c r="C20" s="50" t="s">
        <v>1420</v>
      </c>
      <c r="D20" s="183">
        <v>0</v>
      </c>
      <c r="E20" s="183">
        <f>E18*'R&amp;S - Packaging and hh goods'!$C$8*('R&amp;S - Packaging and hh goods'!$B$14*'R&amp;S - Packaging and hh goods'!$C$19*('Yearly HC Ethylene'!E$3-'Yearly HC Ethylene'!$D$3)/10)</f>
        <v>23.682339555687555</v>
      </c>
      <c r="F20" s="183">
        <f>F18*'R&amp;S - Packaging and hh goods'!$C$8*('R&amp;S - Packaging and hh goods'!$B$14*'R&amp;S - Packaging and hh goods'!$C$19*('Yearly HC Ethylene'!F$3-'Yearly HC Ethylene'!$D$3)/10)</f>
        <v>47.034639097023906</v>
      </c>
      <c r="G20" s="183">
        <f>G18*'R&amp;S - Packaging and hh goods'!$C$8*('R&amp;S - Packaging and hh goods'!$B$14*'R&amp;S - Packaging and hh goods'!$C$19*('Yearly HC Ethylene'!G$3-'Yearly HC Ethylene'!$D$3)/10)</f>
        <v>70.060348232866858</v>
      </c>
      <c r="H20" s="183">
        <f>H18*'R&amp;S - Packaging and hh goods'!$C$8*('R&amp;S - Packaging and hh goods'!$B$14*'R&amp;S - Packaging and hh goods'!$C$19*('Yearly HC Ethylene'!H$3-'Yearly HC Ethylene'!$D$3)/10)</f>
        <v>92.762884522623608</v>
      </c>
      <c r="I20" s="183">
        <f>I18*'R&amp;S - Packaging and hh goods'!$C$8*('R&amp;S - Packaging and hh goods'!$B$14*'R&amp;S - Packaging and hh goods'!$C$19*('Yearly HC Ethylene'!I$3-'Yearly HC Ethylene'!$D$3)/10)</f>
        <v>115.14563375540399</v>
      </c>
      <c r="J20" s="183">
        <f>J18*'R&amp;S - Packaging and hh goods'!$C$8*('R&amp;S - Packaging and hh goods'!$B$14*'R&amp;S - Packaging and hh goods'!$C$19*('Yearly HC Ethylene'!J$3-'Yearly HC Ethylene'!$D$3)/10)</f>
        <v>137.21195022683946</v>
      </c>
      <c r="K20" s="183">
        <f>K18*'R&amp;S - Packaging and hh goods'!$C$8*('R&amp;S - Packaging and hh goods'!$B$14*'R&amp;S - Packaging and hh goods'!$C$19*('Yearly HC Ethylene'!K$3-'Yearly HC Ethylene'!$D$3)/10)</f>
        <v>158.96515701358686</v>
      </c>
      <c r="L20" s="183">
        <f>L18*'R&amp;S - Packaging and hh goods'!$C$8*('R&amp;S - Packaging and hh goods'!$B$14*'R&amp;S - Packaging and hh goods'!$C$19*('Yearly HC Ethylene'!L$3-'Yearly HC Ethylene'!$D$3)/10)</f>
        <v>180.4085462455358</v>
      </c>
      <c r="M20" s="183">
        <f>M18*'R&amp;S - Packaging and hh goods'!$C$8*('R&amp;S - Packaging and hh goods'!$B$14*'R&amp;S - Packaging and hh goods'!$C$19*('Yearly HC Ethylene'!M$3-'Yearly HC Ethylene'!$D$3)/10)</f>
        <v>201.54537937573858</v>
      </c>
      <c r="N20" s="183">
        <f>N18*'R&amp;S - Packaging and hh goods'!$C$8*('R&amp;S - Packaging and hh goods'!$B$14*'R&amp;S - Packaging and hh goods'!$C$19*('Yearly HC Ethylene'!N$3-'Yearly HC Ethylene'!$D$3)/10)</f>
        <v>222.37888744808015</v>
      </c>
      <c r="O20" s="183">
        <f>O18*'R&amp;S - Packaging and hh goods'!$C$8*('R&amp;S - Packaging and hh goods'!$B$14*('R&amp;S - Packaging and hh goods'!$C$19+('R&amp;S - Packaging and hh goods'!$C$20-'R&amp;S - Packaging and hh goods'!$C$19)*('Yearly HC Ethylene'!O$3-'Yearly HC Ethylene'!$N$3)/10))</f>
        <v>252.81151753109478</v>
      </c>
      <c r="P20" s="183">
        <f>P18*'R&amp;S - Packaging and hh goods'!$C$8*('R&amp;S - Packaging and hh goods'!$B$14*('R&amp;S - Packaging and hh goods'!$C$19+('R&amp;S - Packaging and hh goods'!$C$20-'R&amp;S - Packaging and hh goods'!$C$19)*('Yearly HC Ethylene'!P$3-'Yearly HC Ethylene'!$N$3)/10))</f>
        <v>282.80923735654108</v>
      </c>
      <c r="Q20" s="183">
        <f>Q18*'R&amp;S - Packaging and hh goods'!$C$8*('R&amp;S - Packaging and hh goods'!$B$14*('R&amp;S - Packaging and hh goods'!$C$19+('R&amp;S - Packaging and hh goods'!$C$20-'R&amp;S - Packaging and hh goods'!$C$19)*('Yearly HC Ethylene'!Q$3-'Yearly HC Ethylene'!$N$3)/10))</f>
        <v>312.37663026512428</v>
      </c>
      <c r="R20" s="183">
        <f>R18*'R&amp;S - Packaging and hh goods'!$C$8*('R&amp;S - Packaging and hh goods'!$B$14*('R&amp;S - Packaging and hh goods'!$C$19+('R&amp;S - Packaging and hh goods'!$C$20-'R&amp;S - Packaging and hh goods'!$C$19)*('Yearly HC Ethylene'!R$3-'Yearly HC Ethylene'!$N$3)/10))</f>
        <v>341.5182368401297</v>
      </c>
      <c r="S20" s="183">
        <f>S18*'R&amp;S - Packaging and hh goods'!$C$8*('R&amp;S - Packaging and hh goods'!$B$14*('R&amp;S - Packaging and hh goods'!$C$19+('R&amp;S - Packaging and hh goods'!$C$20-'R&amp;S - Packaging and hh goods'!$C$19)*('Yearly HC Ethylene'!S$3-'Yearly HC Ethylene'!$N$3)/10))</f>
        <v>370.2385552807562</v>
      </c>
      <c r="T20" s="183">
        <f>T18*'R&amp;S - Packaging and hh goods'!$C$8*('R&amp;S - Packaging and hh goods'!$B$14*('R&amp;S - Packaging and hh goods'!$C$19+('R&amp;S - Packaging and hh goods'!$C$20-'R&amp;S - Packaging and hh goods'!$C$19)*('Yearly HC Ethylene'!T$3-'Yearly HC Ethylene'!$N$3)/10))</f>
        <v>398.54204177232339</v>
      </c>
      <c r="U20" s="183">
        <f>U18*'R&amp;S - Packaging and hh goods'!$C$8*('R&amp;S - Packaging and hh goods'!$B$14*('R&amp;S - Packaging and hh goods'!$C$19+('R&amp;S - Packaging and hh goods'!$C$20-'R&amp;S - Packaging and hh goods'!$C$19)*('Yearly HC Ethylene'!U$3-'Yearly HC Ethylene'!$N$3)/10))</f>
        <v>426.43311085337666</v>
      </c>
      <c r="V20" s="183">
        <f>V18*'R&amp;S - Packaging and hh goods'!$C$8*('R&amp;S - Packaging and hh goods'!$B$14*('R&amp;S - Packaging and hh goods'!$C$19+('R&amp;S - Packaging and hh goods'!$C$20-'R&amp;S - Packaging and hh goods'!$C$19)*('Yearly HC Ethylene'!V$3-'Yearly HC Ethylene'!$N$3)/10))</f>
        <v>453.91613577971742</v>
      </c>
      <c r="W20" s="183">
        <f>W18*'R&amp;S - Packaging and hh goods'!$C$8*('R&amp;S - Packaging and hh goods'!$B$14*('R&amp;S - Packaging and hh goods'!$C$19+('R&amp;S - Packaging and hh goods'!$C$20-'R&amp;S - Packaging and hh goods'!$C$19)*('Yearly HC Ethylene'!W$3-'Yearly HC Ethylene'!$N$3)/10))</f>
        <v>480.99544888538111</v>
      </c>
      <c r="X20" s="183">
        <f>X18*'R&amp;S - Packaging and hh goods'!$C$8*('R&amp;S - Packaging and hh goods'!$B$14*('R&amp;S - Packaging and hh goods'!$C$19+('R&amp;S - Packaging and hh goods'!$C$20-'R&amp;S - Packaging and hh goods'!$C$19)*('Yearly HC Ethylene'!X$3-'Yearly HC Ethylene'!$N$3)/10))</f>
        <v>507.67534194058908</v>
      </c>
      <c r="Y20" s="183">
        <f>Y18*'R&amp;S - Packaging and hh goods'!$C$8*('R&amp;S - Packaging and hh goods'!$B$14*('R&amp;S - Packaging and hh goods'!$C$20+('R&amp;S - Packaging and hh goods'!$C$21-'R&amp;S - Packaging and hh goods'!$C$20)*('Yearly HC Ethylene'!Y$3-'Yearly HC Ethylene'!$X$3)/10))</f>
        <v>524.72937386762112</v>
      </c>
      <c r="Z20" s="183">
        <f>Z18*'R&amp;S - Packaging and hh goods'!$C$8*('R&amp;S - Packaging and hh goods'!$B$14*('R&amp;S - Packaging and hh goods'!$C$20+('R&amp;S - Packaging and hh goods'!$C$21-'R&amp;S - Packaging and hh goods'!$C$20)*('Yearly HC Ethylene'!Z$3-'Yearly HC Ethylene'!$X$3)/10))</f>
        <v>541.5210890847909</v>
      </c>
      <c r="AA20" s="183">
        <f>AA18*'R&amp;S - Packaging and hh goods'!$C$8*('R&amp;S - Packaging and hh goods'!$B$14*('R&amp;S - Packaging and hh goods'!$C$20+('R&amp;S - Packaging and hh goods'!$C$21-'R&amp;S - Packaging and hh goods'!$C$20)*('Yearly HC Ethylene'!AA$3-'Yearly HC Ethylene'!$X$3)/10))</f>
        <v>558.05331523069913</v>
      </c>
      <c r="AB20" s="183">
        <f>AB18*'R&amp;S - Packaging and hh goods'!$C$8*('R&amp;S - Packaging and hh goods'!$B$14*('R&amp;S - Packaging and hh goods'!$C$20+('R&amp;S - Packaging and hh goods'!$C$21-'R&amp;S - Packaging and hh goods'!$C$20)*('Yearly HC Ethylene'!AB$3-'Yearly HC Ethylene'!$X$3)/10))</f>
        <v>574.32885327412112</v>
      </c>
      <c r="AC20" s="183">
        <f>AC18*'R&amp;S - Packaging and hh goods'!$C$8*('R&amp;S - Packaging and hh goods'!$B$14*('R&amp;S - Packaging and hh goods'!$C$20+('R&amp;S - Packaging and hh goods'!$C$21-'R&amp;S - Packaging and hh goods'!$C$20)*('Yearly HC Ethylene'!AC$3-'Yearly HC Ethylene'!$X$3)/10))</f>
        <v>590.35047774838768</v>
      </c>
      <c r="AD20" s="183">
        <f>AD18*'R&amp;S - Packaging and hh goods'!$C$8*('R&amp;S - Packaging and hh goods'!$B$14*('R&amp;S - Packaging and hh goods'!$C$20+('R&amp;S - Packaging and hh goods'!$C$21-'R&amp;S - Packaging and hh goods'!$C$20)*('Yearly HC Ethylene'!AD$3-'Yearly HC Ethylene'!$X$3)/10))</f>
        <v>606.12093698379431</v>
      </c>
      <c r="AE20" s="183">
        <f>AE18*'R&amp;S - Packaging and hh goods'!$C$8*('R&amp;S - Packaging and hh goods'!$B$14*('R&amp;S - Packaging and hh goods'!$C$20+('R&amp;S - Packaging and hh goods'!$C$21-'R&amp;S - Packaging and hh goods'!$C$20)*('Yearly HC Ethylene'!AE$3-'Yearly HC Ethylene'!$X$3)/10))</f>
        <v>621.64295333805626</v>
      </c>
      <c r="AF20" s="183">
        <f>AF18*'R&amp;S - Packaging and hh goods'!$C$8*('R&amp;S - Packaging and hh goods'!$B$14*('R&amp;S - Packaging and hh goods'!$C$20+('R&amp;S - Packaging and hh goods'!$C$21-'R&amp;S - Packaging and hh goods'!$C$20)*('Yearly HC Ethylene'!AF$3-'Yearly HC Ethylene'!$X$3)/10))</f>
        <v>636.91922342482326</v>
      </c>
      <c r="AG20" s="183">
        <f>AG18*'R&amp;S - Packaging and hh goods'!$C$8*('R&amp;S - Packaging and hh goods'!$B$14*('R&amp;S - Packaging and hh goods'!$C$20+('R&amp;S - Packaging and hh goods'!$C$21-'R&amp;S - Packaging and hh goods'!$C$20)*('Yearly HC Ethylene'!AG$3-'Yearly HC Ethylene'!$X$3)/10))</f>
        <v>651.95241834027081</v>
      </c>
      <c r="AH20" s="183">
        <f>AH18*'R&amp;S - Packaging and hh goods'!$C$8*('R&amp;S - Packaging and hh goods'!$B$14*('R&amp;S - Packaging and hh goods'!$C$20+('R&amp;S - Packaging and hh goods'!$C$21-'R&amp;S - Packaging and hh goods'!$C$20)*('Yearly HC Ethylene'!AH$3-'Yearly HC Ethylene'!$X$3)/10))</f>
        <v>666.74518388778404</v>
      </c>
      <c r="AI20" s="576"/>
      <c r="AJ20" s="183">
        <v>0</v>
      </c>
      <c r="AK20" s="183">
        <f>AK18*'R&amp;S - Packaging and hh goods'!$C$8*('R&amp;S - Packaging and hh goods'!$B$15*'R&amp;S - Packaging and hh goods'!$C$19*(AK$3-$D$3)/10)</f>
        <v>17.761754666765668</v>
      </c>
      <c r="AL20" s="183">
        <f>AL18*'R&amp;S - Packaging and hh goods'!$C$8*('R&amp;S - Packaging and hh goods'!$B$15*'R&amp;S - Packaging and hh goods'!$C$19*(AL$3-$D$3)/10)</f>
        <v>35.275979322767931</v>
      </c>
      <c r="AM20" s="183">
        <f>AM18*'R&amp;S - Packaging and hh goods'!$C$8*('R&amp;S - Packaging and hh goods'!$B$15*'R&amp;S - Packaging and hh goods'!$C$19*(AM$3-$D$3)/10)</f>
        <v>52.545261174650129</v>
      </c>
      <c r="AN20" s="183">
        <f>AN18*'R&amp;S - Packaging and hh goods'!$C$8*('R&amp;S - Packaging and hh goods'!$B$15*'R&amp;S - Packaging and hh goods'!$C$19*(AN$3-$D$3)/10)</f>
        <v>69.572163391967706</v>
      </c>
      <c r="AO20" s="183">
        <f>AO18*'R&amp;S - Packaging and hh goods'!$C$8*('R&amp;S - Packaging and hh goods'!$B$15*'R&amp;S - Packaging and hh goods'!$C$19*(AO$3-$D$3)/10)</f>
        <v>86.35922531655298</v>
      </c>
      <c r="AP20" s="183">
        <f>AP18*'R&amp;S - Packaging and hh goods'!$C$8*('R&amp;S - Packaging and hh goods'!$B$15*'R&amp;S - Packaging and hh goods'!$C$19*(AP$3-$D$3)/10)</f>
        <v>102.90896267012958</v>
      </c>
      <c r="AQ20" s="183">
        <f>AQ18*'R&amp;S - Packaging and hh goods'!$C$8*('R&amp;S - Packaging and hh goods'!$B$15*'R&amp;S - Packaging and hh goods'!$C$19*(AQ$3-$D$3)/10)</f>
        <v>119.22386776019012</v>
      </c>
      <c r="AR20" s="183">
        <f>AR18*'R&amp;S - Packaging and hh goods'!$C$8*('R&amp;S - Packaging and hh goods'!$B$15*'R&amp;S - Packaging and hh goods'!$C$19*(AR$3-$D$3)/10)</f>
        <v>135.30640968415184</v>
      </c>
      <c r="AS20" s="183">
        <f>AS18*'R&amp;S - Packaging and hh goods'!$C$8*('R&amp;S - Packaging and hh goods'!$B$15*'R&amp;S - Packaging and hh goods'!$C$19*(AS$3-$D$3)/10)</f>
        <v>151.15903453180391</v>
      </c>
      <c r="AT20" s="183">
        <f>AT18*'R&amp;S - Packaging and hh goods'!$C$8*('R&amp;S - Packaging and hh goods'!$B$15*'R&amp;S - Packaging and hh goods'!$C$19*(AT$3-$D$3)/10)</f>
        <v>166.78416558606011</v>
      </c>
      <c r="AU20" s="183">
        <f>AU18*'R&amp;S - Packaging and hh goods'!$C$8*('R&amp;S - Packaging and hh goods'!$B$15*('R&amp;S - Packaging and hh goods'!$C$19+('R&amp;S - Packaging and hh goods'!$C$20-'R&amp;S - Packaging and hh goods'!$C$19)*(AU$3-$N$3)/10))</f>
        <v>189.60863814832109</v>
      </c>
      <c r="AV20" s="183">
        <f>AV18*'R&amp;S - Packaging and hh goods'!$C$8*('R&amp;S - Packaging and hh goods'!$B$15*('R&amp;S - Packaging and hh goods'!$C$19+('R&amp;S - Packaging and hh goods'!$C$20-'R&amp;S - Packaging and hh goods'!$C$19)*(AV$3-$N$3)/10))</f>
        <v>212.10692801740581</v>
      </c>
      <c r="AW20" s="183">
        <f>AW18*'R&amp;S - Packaging and hh goods'!$C$8*('R&amp;S - Packaging and hh goods'!$B$15*('R&amp;S - Packaging and hh goods'!$C$19+('R&amp;S - Packaging and hh goods'!$C$20-'R&amp;S - Packaging and hh goods'!$C$19)*(AW$3-$N$3)/10))</f>
        <v>234.28247269884324</v>
      </c>
      <c r="AX20" s="183">
        <f>AX18*'R&amp;S - Packaging and hh goods'!$C$8*('R&amp;S - Packaging and hh goods'!$B$15*('R&amp;S - Packaging and hh goods'!$C$19+('R&amp;S - Packaging and hh goods'!$C$20-'R&amp;S - Packaging and hh goods'!$C$19)*(AX$3-$N$3)/10))</f>
        <v>256.13867763009728</v>
      </c>
      <c r="AY20" s="183">
        <f>AY18*'R&amp;S - Packaging and hh goods'!$C$8*('R&amp;S - Packaging and hh goods'!$B$15*('R&amp;S - Packaging and hh goods'!$C$19+('R&amp;S - Packaging and hh goods'!$C$20-'R&amp;S - Packaging and hh goods'!$C$19)*(AY$3-$N$3)/10))</f>
        <v>277.67891646056717</v>
      </c>
      <c r="AZ20" s="183">
        <f>AZ18*'R&amp;S - Packaging and hh goods'!$C$8*('R&amp;S - Packaging and hh goods'!$B$15*('R&amp;S - Packaging and hh goods'!$C$19+('R&amp;S - Packaging and hh goods'!$C$20-'R&amp;S - Packaging and hh goods'!$C$19)*(AZ$3-$N$3)/10))</f>
        <v>298.90653132924257</v>
      </c>
      <c r="BA20" s="183">
        <f>BA18*'R&amp;S - Packaging and hh goods'!$C$8*('R&amp;S - Packaging and hh goods'!$B$15*('R&amp;S - Packaging and hh goods'!$C$19+('R&amp;S - Packaging and hh goods'!$C$20-'R&amp;S - Packaging and hh goods'!$C$19)*(BA$3-$N$3)/10))</f>
        <v>319.82483314003247</v>
      </c>
      <c r="BB20" s="183">
        <f>BB18*'R&amp;S - Packaging and hh goods'!$C$8*('R&amp;S - Packaging and hh goods'!$B$15*('R&amp;S - Packaging and hh goods'!$C$19+('R&amp;S - Packaging and hh goods'!$C$20-'R&amp;S - Packaging and hh goods'!$C$19)*(BB$3-$N$3)/10))</f>
        <v>340.43710183478805</v>
      </c>
      <c r="BC20" s="183">
        <f>BC18*'R&amp;S - Packaging and hh goods'!$C$8*('R&amp;S - Packaging and hh goods'!$B$15*('R&amp;S - Packaging and hh goods'!$C$19+('R&amp;S - Packaging and hh goods'!$C$20-'R&amp;S - Packaging and hh goods'!$C$19)*(BC$3-$N$3)/10))</f>
        <v>360.74658666403576</v>
      </c>
      <c r="BD20" s="183">
        <f>BD18*'R&amp;S - Packaging and hh goods'!$C$8*('R&amp;S - Packaging and hh goods'!$B$15*('R&amp;S - Packaging and hh goods'!$C$19+('R&amp;S - Packaging and hh goods'!$C$20-'R&amp;S - Packaging and hh goods'!$C$19)*(BD$3-$N$3)/10))</f>
        <v>380.75650645544181</v>
      </c>
      <c r="BE20" s="183">
        <f>BE18*'R&amp;S - Packaging and hh goods'!$C$8*('R&amp;S - Packaging and hh goods'!$B$15*('R&amp;S - Packaging and hh goods'!$C$20+('R&amp;S - Packaging and hh goods'!$C$21-'R&amp;S - Packaging and hh goods'!$C$20)*(BE$3-$X$3)/10))</f>
        <v>393.54703040071593</v>
      </c>
      <c r="BF20" s="183">
        <f>BF18*'R&amp;S - Packaging and hh goods'!$C$8*('R&amp;S - Packaging and hh goods'!$B$15*('R&amp;S - Packaging and hh goods'!$C$20+('R&amp;S - Packaging and hh goods'!$C$21-'R&amp;S - Packaging and hh goods'!$C$20)*(BF$3-$X$3)/10))</f>
        <v>406.14081681359323</v>
      </c>
      <c r="BG20" s="183">
        <f>BG18*'R&amp;S - Packaging and hh goods'!$C$8*('R&amp;S - Packaging and hh goods'!$B$15*('R&amp;S - Packaging and hh goods'!$C$20+('R&amp;S - Packaging and hh goods'!$C$21-'R&amp;S - Packaging and hh goods'!$C$20)*(BG$3-$X$3)/10))</f>
        <v>418.5399864230244</v>
      </c>
      <c r="BH20" s="183">
        <f>BH18*'R&amp;S - Packaging and hh goods'!$C$8*('R&amp;S - Packaging and hh goods'!$B$15*('R&amp;S - Packaging and hh goods'!$C$20+('R&amp;S - Packaging and hh goods'!$C$21-'R&amp;S - Packaging and hh goods'!$C$20)*(BH$3-$X$3)/10))</f>
        <v>430.74663995559081</v>
      </c>
      <c r="BI20" s="183">
        <f>BI18*'R&amp;S - Packaging and hh goods'!$C$8*('R&amp;S - Packaging and hh goods'!$B$15*('R&amp;S - Packaging and hh goods'!$C$20+('R&amp;S - Packaging and hh goods'!$C$21-'R&amp;S - Packaging and hh goods'!$C$20)*(BI$3-$X$3)/10))</f>
        <v>442.76285831129076</v>
      </c>
      <c r="BJ20" s="183">
        <f>BJ18*'R&amp;S - Packaging and hh goods'!$C$8*('R&amp;S - Packaging and hh goods'!$B$15*('R&amp;S - Packaging and hh goods'!$C$20+('R&amp;S - Packaging and hh goods'!$C$21-'R&amp;S - Packaging and hh goods'!$C$20)*(BJ$3-$X$3)/10))</f>
        <v>454.59070273784573</v>
      </c>
      <c r="BK20" s="183">
        <f>BK18*'R&amp;S - Packaging and hh goods'!$C$8*('R&amp;S - Packaging and hh goods'!$B$15*('R&amp;S - Packaging and hh goods'!$C$20+('R&amp;S - Packaging and hh goods'!$C$21-'R&amp;S - Packaging and hh goods'!$C$20)*(BK$3-$X$3)/10))</f>
        <v>466.23221500354214</v>
      </c>
      <c r="BL20" s="183">
        <f>BL18*'R&amp;S - Packaging and hh goods'!$C$8*('R&amp;S - Packaging and hh goods'!$B$15*('R&amp;S - Packaging and hh goods'!$C$20+('R&amp;S - Packaging and hh goods'!$C$21-'R&amp;S - Packaging and hh goods'!$C$20)*(BL$3-$X$3)/10))</f>
        <v>477.68941756861744</v>
      </c>
      <c r="BM20" s="183">
        <f>BM18*'R&amp;S - Packaging and hh goods'!$C$8*('R&amp;S - Packaging and hh goods'!$B$15*('R&amp;S - Packaging and hh goods'!$C$20+('R&amp;S - Packaging and hh goods'!$C$21-'R&amp;S - Packaging and hh goods'!$C$20)*(BM$3-$X$3)/10))</f>
        <v>488.96431375520314</v>
      </c>
      <c r="BN20" s="183">
        <f>BN18*'R&amp;S - Packaging and hh goods'!$C$8*('R&amp;S - Packaging and hh goods'!$B$15*('R&amp;S - Packaging and hh goods'!$C$20+('R&amp;S - Packaging and hh goods'!$C$21-'R&amp;S - Packaging and hh goods'!$C$20)*(BN$3-$X$3)/10))</f>
        <v>500.058887915838</v>
      </c>
      <c r="BQ20" s="625"/>
      <c r="BS20" s="626"/>
      <c r="BV20" s="626"/>
      <c r="BW20" s="432"/>
    </row>
    <row r="21" spans="1:88" outlineLevel="1">
      <c r="B21" s="1" t="s">
        <v>169</v>
      </c>
      <c r="C21" s="50" t="s">
        <v>1420</v>
      </c>
      <c r="D21" s="99">
        <f>SUM(D19:D20)</f>
        <v>0</v>
      </c>
      <c r="E21" s="99">
        <f t="shared" ref="E21:AH21" si="19">SUM(E19:E20)</f>
        <v>33.659296460096414</v>
      </c>
      <c r="F21" s="99">
        <f t="shared" si="19"/>
        <v>66.84951279993615</v>
      </c>
      <c r="G21" s="99">
        <f t="shared" si="19"/>
        <v>99.575551888466862</v>
      </c>
      <c r="H21" s="99">
        <f t="shared" si="19"/>
        <v>131.84227104331072</v>
      </c>
      <c r="I21" s="99">
        <f t="shared" si="19"/>
        <v>163.65448242751989</v>
      </c>
      <c r="J21" s="99">
        <f t="shared" si="19"/>
        <v>195.01695344301459</v>
      </c>
      <c r="K21" s="99">
        <f t="shared" si="19"/>
        <v>225.93440712073064</v>
      </c>
      <c r="L21" s="99">
        <f t="shared" si="19"/>
        <v>256.41152250750281</v>
      </c>
      <c r="M21" s="99">
        <f t="shared" si="19"/>
        <v>286.45293504971175</v>
      </c>
      <c r="N21" s="99">
        <f t="shared" si="19"/>
        <v>316.06323697371852</v>
      </c>
      <c r="O21" s="99">
        <f t="shared" si="19"/>
        <v>374.37274440915485</v>
      </c>
      <c r="P21" s="99">
        <f t="shared" si="19"/>
        <v>431.854297235687</v>
      </c>
      <c r="Q21" s="99">
        <f t="shared" si="19"/>
        <v>488.51660277800323</v>
      </c>
      <c r="R21" s="99">
        <f t="shared" si="19"/>
        <v>544.36828721485153</v>
      </c>
      <c r="S21" s="99">
        <f t="shared" si="19"/>
        <v>599.41789628712468</v>
      </c>
      <c r="T21" s="99">
        <f t="shared" si="19"/>
        <v>653.6738960000182</v>
      </c>
      <c r="U21" s="99">
        <f t="shared" si="19"/>
        <v>707.14467331930734</v>
      </c>
      <c r="V21" s="99">
        <f t="shared" si="19"/>
        <v>759.83853686179327</v>
      </c>
      <c r="W21" s="99">
        <f t="shared" si="19"/>
        <v>811.7637175799639</v>
      </c>
      <c r="X21" s="99">
        <f t="shared" si="19"/>
        <v>862.92836944091835</v>
      </c>
      <c r="Y21" s="99">
        <f t="shared" si="19"/>
        <v>900.06160989169359</v>
      </c>
      <c r="Z21" s="99">
        <f t="shared" si="19"/>
        <v>936.63545838308278</v>
      </c>
      <c r="AA21" s="99">
        <f t="shared" si="19"/>
        <v>972.65590770751703</v>
      </c>
      <c r="AB21" s="99">
        <f t="shared" si="19"/>
        <v>1008.1288943017844</v>
      </c>
      <c r="AC21" s="99">
        <f t="shared" si="19"/>
        <v>1043.0602987414354</v>
      </c>
      <c r="AD21" s="99">
        <f t="shared" si="19"/>
        <v>1077.4559462310353</v>
      </c>
      <c r="AE21" s="99">
        <f t="shared" si="19"/>
        <v>1111.3216070902959</v>
      </c>
      <c r="AF21" s="99">
        <f t="shared" si="19"/>
        <v>1144.6629972361213</v>
      </c>
      <c r="AG21" s="99">
        <f t="shared" si="19"/>
        <v>1177.4857786606012</v>
      </c>
      <c r="AH21" s="99">
        <f t="shared" si="19"/>
        <v>1209.7955599049837</v>
      </c>
      <c r="AI21" s="576"/>
      <c r="AJ21" s="99">
        <f>SUM(AJ19:AJ20)</f>
        <v>0</v>
      </c>
      <c r="AK21" s="99">
        <f t="shared" ref="AK21:BM21" si="20">SUM(AK19:AK20)</f>
        <v>25.244472345072314</v>
      </c>
      <c r="AL21" s="99">
        <f t="shared" si="20"/>
        <v>50.137134599952105</v>
      </c>
      <c r="AM21" s="99">
        <f t="shared" si="20"/>
        <v>74.681663916350132</v>
      </c>
      <c r="AN21" s="99">
        <f t="shared" si="20"/>
        <v>98.881703282483045</v>
      </c>
      <c r="AO21" s="99">
        <f t="shared" si="20"/>
        <v>122.74086182063991</v>
      </c>
      <c r="AP21" s="99">
        <f t="shared" si="20"/>
        <v>146.26271508226094</v>
      </c>
      <c r="AQ21" s="99">
        <f t="shared" si="20"/>
        <v>169.45080534054793</v>
      </c>
      <c r="AR21" s="99">
        <f t="shared" si="20"/>
        <v>192.30864188062711</v>
      </c>
      <c r="AS21" s="99">
        <f t="shared" si="20"/>
        <v>214.83970128728379</v>
      </c>
      <c r="AT21" s="99">
        <f t="shared" si="20"/>
        <v>237.04742773028889</v>
      </c>
      <c r="AU21" s="99">
        <f t="shared" si="20"/>
        <v>280.77955830686614</v>
      </c>
      <c r="AV21" s="99">
        <f t="shared" si="20"/>
        <v>323.89072292676525</v>
      </c>
      <c r="AW21" s="99">
        <f t="shared" si="20"/>
        <v>366.38745208350247</v>
      </c>
      <c r="AX21" s="99">
        <f t="shared" si="20"/>
        <v>408.27621541113865</v>
      </c>
      <c r="AY21" s="99">
        <f t="shared" si="20"/>
        <v>449.56342221534356</v>
      </c>
      <c r="AZ21" s="99">
        <f t="shared" si="20"/>
        <v>490.25542200001371</v>
      </c>
      <c r="BA21" s="99">
        <f t="shared" si="20"/>
        <v>530.35850498948048</v>
      </c>
      <c r="BB21" s="99">
        <f t="shared" si="20"/>
        <v>569.87890264634484</v>
      </c>
      <c r="BC21" s="99">
        <f t="shared" si="20"/>
        <v>608.82278818497286</v>
      </c>
      <c r="BD21" s="99">
        <f t="shared" si="20"/>
        <v>647.19627708068879</v>
      </c>
      <c r="BE21" s="99">
        <f t="shared" si="20"/>
        <v>675.04620741877034</v>
      </c>
      <c r="BF21" s="99">
        <f t="shared" si="20"/>
        <v>702.47659378731214</v>
      </c>
      <c r="BG21" s="99">
        <f t="shared" si="20"/>
        <v>729.49193078063786</v>
      </c>
      <c r="BH21" s="99">
        <f t="shared" si="20"/>
        <v>756.09667072633829</v>
      </c>
      <c r="BI21" s="99">
        <f t="shared" si="20"/>
        <v>782.29522405607668</v>
      </c>
      <c r="BJ21" s="99">
        <f t="shared" si="20"/>
        <v>808.09195967327651</v>
      </c>
      <c r="BK21" s="99">
        <f t="shared" si="20"/>
        <v>833.49120531772189</v>
      </c>
      <c r="BL21" s="99">
        <f t="shared" si="20"/>
        <v>858.49724792709094</v>
      </c>
      <c r="BM21" s="99">
        <f t="shared" si="20"/>
        <v>883.11433399545103</v>
      </c>
      <c r="BN21" s="99">
        <f>SUM(BN19:BN20)</f>
        <v>907.3466699287377</v>
      </c>
      <c r="BS21" s="626"/>
      <c r="BV21" s="626"/>
      <c r="BW21" s="432"/>
    </row>
    <row r="22" spans="1:88" outlineLevel="1">
      <c r="B22" s="57" t="s">
        <v>194</v>
      </c>
      <c r="C22" s="50" t="s">
        <v>1420</v>
      </c>
      <c r="D22" s="183">
        <v>0</v>
      </c>
      <c r="E22" s="183">
        <f>E18*'R&amp;S - Packaging and hh goods'!$C$9*('R&amp;S - Packaging and hh goods'!$C$14*'R&amp;S - Packaging and hh goods'!$D$19*('Yearly HC Ethylene'!E$3-'Yearly HC Ethylene'!$D$3)/10)</f>
        <v>18.158061566024131</v>
      </c>
      <c r="F22" s="183">
        <f>F18*'R&amp;S - Packaging and hh goods'!$C$9*('R&amp;S - Packaging and hh goods'!$C$14*'R&amp;S - Packaging and hh goods'!$D$19*('Yearly HC Ethylene'!F$3-'Yearly HC Ethylene'!$D$3)/10)</f>
        <v>36.063070139300272</v>
      </c>
      <c r="G22" s="183">
        <f>G18*'R&amp;S - Packaging and hh goods'!$C$9*('R&amp;S - Packaging and hh goods'!$C$14*'R&amp;S - Packaging and hh goods'!$D$19*('Yearly HC Ethylene'!G$3-'Yearly HC Ethylene'!$D$3)/10)</f>
        <v>53.717670653192023</v>
      </c>
      <c r="H22" s="183">
        <f>H18*'R&amp;S - Packaging and hh goods'!$C$9*('R&amp;S - Packaging and hh goods'!$C$14*'R&amp;S - Packaging and hh goods'!$D$19*('Yearly HC Ethylene'!H$3-'Yearly HC Ethylene'!$D$3)/10)</f>
        <v>71.124483467650549</v>
      </c>
      <c r="I22" s="183">
        <f>I18*'R&amp;S - Packaging and hh goods'!$C$9*('R&amp;S - Packaging and hh goods'!$C$14*'R&amp;S - Packaging and hh goods'!$D$19*('Yearly HC Ethylene'!I$3-'Yearly HC Ethylene'!$D$3)/10)</f>
        <v>88.286104583250932</v>
      </c>
      <c r="J22" s="183">
        <f>J18*'R&amp;S - Packaging and hh goods'!$C$9*('R&amp;S - Packaging and hh goods'!$C$14*'R&amp;S - Packaging and hh goods'!$D$19*('Yearly HC Ethylene'!J$3-'Yearly HC Ethylene'!$D$3)/10)</f>
        <v>105.20510585343877</v>
      </c>
      <c r="K22" s="183">
        <f>K18*'R&amp;S - Packaging and hh goods'!$C$9*('R&amp;S - Packaging and hh goods'!$C$14*'R&amp;S - Packaging and hh goods'!$D$19*('Yearly HC Ethylene'!K$3-'Yearly HC Ethylene'!$D$3)/10)</f>
        <v>121.88403519500167</v>
      </c>
      <c r="L22" s="183">
        <f>L18*'R&amp;S - Packaging and hh goods'!$C$9*('R&amp;S - Packaging and hh goods'!$C$14*'R&amp;S - Packaging and hh goods'!$D$19*('Yearly HC Ethylene'!L$3-'Yearly HC Ethylene'!$D$3)/10)</f>
        <v>138.32541679677999</v>
      </c>
      <c r="M22" s="183">
        <f>M18*'R&amp;S - Packaging and hh goods'!$C$9*('R&amp;S - Packaging and hh goods'!$C$14*'R&amp;S - Packaging and hh goods'!$D$19*('Yearly HC Ethylene'!M$3-'Yearly HC Ethylene'!$D$3)/10)</f>
        <v>154.53175132663117</v>
      </c>
      <c r="N22" s="183">
        <f>N18*'R&amp;S - Packaging and hh goods'!$C$9*('R&amp;S - Packaging and hh goods'!$C$14*'R&amp;S - Packaging and hh goods'!$D$19*('Yearly HC Ethylene'!N$3-'Yearly HC Ethylene'!$D$3)/10)</f>
        <v>170.50551613666187</v>
      </c>
      <c r="O22" s="183">
        <f>O18*'R&amp;S - Packaging and hh goods'!$C$9*('R&amp;S - Packaging and hh goods'!$C$14*'R&amp;S - Packaging and hh goods'!$D$19*('Yearly HC Ethylene'!O$3-'Yearly HC Ethylene'!$D$3)/10)</f>
        <v>186.24916546674206</v>
      </c>
      <c r="P22" s="183">
        <f>P18*'R&amp;S - Packaging and hh goods'!$C$9*('R&amp;S - Packaging and hh goods'!$C$14*'R&amp;S - Packaging and hh goods'!$D$19*('Yearly HC Ethylene'!P$3-'Yearly HC Ethylene'!$D$3)/10)</f>
        <v>201.7651306463149</v>
      </c>
      <c r="Q22" s="183">
        <f>Q18*'R&amp;S - Packaging and hh goods'!$C$9*('R&amp;S - Packaging and hh goods'!$C$14*'R&amp;S - Packaging and hh goods'!$D$19*('Yearly HC Ethylene'!Q$3-'Yearly HC Ethylene'!$D$3)/10)</f>
        <v>217.05582029451648</v>
      </c>
      <c r="R22" s="183">
        <f>R18*'R&amp;S - Packaging and hh goods'!$C$9*('R&amp;S - Packaging and hh goods'!$C$14*'R&amp;S - Packaging and hh goods'!$D$19*('Yearly HC Ethylene'!R$3-'Yearly HC Ethylene'!$D$3)/10)</f>
        <v>232.12362051861885</v>
      </c>
      <c r="S22" s="183">
        <f>S18*'R&amp;S - Packaging and hh goods'!$C$9*('R&amp;S - Packaging and hh goods'!$C$14*'R&amp;S - Packaging and hh goods'!$D$19*('Yearly HC Ethylene'!S$3-'Yearly HC Ethylene'!$D$3)/10)</f>
        <v>246.97089511081035</v>
      </c>
      <c r="T22" s="183">
        <f>T18*'R&amp;S - Packaging and hh goods'!$C$9*('R&amp;S - Packaging and hh goods'!$C$14*'R&amp;S - Packaging and hh goods'!$D$19*('Yearly HC Ethylene'!T$3-'Yearly HC Ethylene'!$D$3)/10)</f>
        <v>261.59998574332661</v>
      </c>
      <c r="U22" s="183">
        <f>U18*'R&amp;S - Packaging and hh goods'!$C$9*('R&amp;S - Packaging and hh goods'!$C$14*'R&amp;S - Packaging and hh goods'!$D$19*('Yearly HC Ethylene'!U$3-'Yearly HC Ethylene'!$D$3)/10)</f>
        <v>276.01321216194583</v>
      </c>
      <c r="V22" s="183">
        <f>V18*'R&amp;S - Packaging and hh goods'!$C$9*('R&amp;S - Packaging and hh goods'!$C$14*'R&amp;S - Packaging and hh goods'!$D$19*('Yearly HC Ethylene'!V$3-'Yearly HC Ethylene'!$D$3)/10)</f>
        <v>290.21287237786112</v>
      </c>
      <c r="W22" s="183">
        <f>W18*'R&amp;S - Packaging and hh goods'!$C$9*('R&amp;S - Packaging and hh goods'!$C$14*'R&amp;S - Packaging and hh goods'!$D$19*('Yearly HC Ethylene'!W$3-'Yearly HC Ethylene'!$D$3)/10)</f>
        <v>304.2012428579435</v>
      </c>
      <c r="X22" s="183">
        <f>X18*'R&amp;S - Packaging and hh goods'!$C$9*('R&amp;S - Packaging and hh goods'!$C$14*'R&amp;S - Packaging and hh goods'!$D$19*('Yearly HC Ethylene'!X$3-'Yearly HC Ethylene'!$D$3)/10)</f>
        <v>317.98057871340956</v>
      </c>
      <c r="Y22" s="183">
        <f>Y18*'R&amp;S - Packaging and hh goods'!$C$9*('R&amp;S - Packaging and hh goods'!$C$14*('R&amp;S - Packaging and hh goods'!$D$20+('R&amp;S - Packaging and hh goods'!$D$21-'R&amp;S - Packaging and hh goods'!$D$20)*('Yearly HC Ethylene'!Y$3-'Yearly HC Ethylene'!$X$3)/10))</f>
        <v>317.38417739601073</v>
      </c>
      <c r="Z22" s="183">
        <f>Z18*'R&amp;S - Packaging and hh goods'!$C$9*('R&amp;S - Packaging and hh goods'!$C$14*('R&amp;S - Packaging and hh goods'!$D$20+('R&amp;S - Packaging and hh goods'!$D$21-'R&amp;S - Packaging and hh goods'!$D$20)*('Yearly HC Ethylene'!Z$3-'Yearly HC Ethylene'!$X$3)/10))</f>
        <v>324.82076638824697</v>
      </c>
      <c r="AA22" s="183">
        <f>AA18*'R&amp;S - Packaging and hh goods'!$C$9*('R&amp;S - Packaging and hh goods'!$C$14*('R&amp;S - Packaging and hh goods'!$D$20+('R&amp;S - Packaging and hh goods'!$D$21-'R&amp;S - Packaging and hh goods'!$D$20)*('Yearly HC Ethylene'!AA$3-'Yearly HC Ethylene'!$X$3)/10))</f>
        <v>332.13830792090613</v>
      </c>
      <c r="AB22" s="183">
        <f>AB18*'R&amp;S - Packaging and hh goods'!$C$9*('R&amp;S - Packaging and hh goods'!$C$14*('R&amp;S - Packaging and hh goods'!$D$20+('R&amp;S - Packaging and hh goods'!$D$21-'R&amp;S - Packaging and hh goods'!$D$20)*('Yearly HC Ethylene'!AB$3-'Yearly HC Ethylene'!$X$3)/10))</f>
        <v>339.33809997881963</v>
      </c>
      <c r="AC22" s="183">
        <f>AC18*'R&amp;S - Packaging and hh goods'!$C$9*('R&amp;S - Packaging and hh goods'!$C$14*('R&amp;S - Packaging and hh goods'!$D$20+('R&amp;S - Packaging and hh goods'!$D$21-'R&amp;S - Packaging and hh goods'!$D$20)*('Yearly HC Ethylene'!AC$3-'Yearly HC Ethylene'!$X$3)/10))</f>
        <v>346.4214282381584</v>
      </c>
      <c r="AD22" s="183">
        <f>AD18*'R&amp;S - Packaging and hh goods'!$C$9*('R&amp;S - Packaging and hh goods'!$C$14*('R&amp;S - Packaging and hh goods'!$D$20+('R&amp;S - Packaging and hh goods'!$D$21-'R&amp;S - Packaging and hh goods'!$D$20)*('Yearly HC Ethylene'!AD$3-'Yearly HC Ethylene'!$X$3)/10))</f>
        <v>353.38956617494574</v>
      </c>
      <c r="AE22" s="183">
        <f>AE18*'R&amp;S - Packaging and hh goods'!$C$9*('R&amp;S - Packaging and hh goods'!$C$14*('R&amp;S - Packaging and hh goods'!$D$20+('R&amp;S - Packaging and hh goods'!$D$21-'R&amp;S - Packaging and hh goods'!$D$20)*('Yearly HC Ethylene'!AE$3-'Yearly HC Ethylene'!$X$3)/10))</f>
        <v>360.2437751726556</v>
      </c>
      <c r="AF22" s="183">
        <f>AF18*'R&amp;S - Packaging and hh goods'!$C$9*('R&amp;S - Packaging and hh goods'!$C$14*('R&amp;S - Packaging and hh goods'!$D$20+('R&amp;S - Packaging and hh goods'!$D$21-'R&amp;S - Packaging and hh goods'!$D$20)*('Yearly HC Ethylene'!AF$3-'Yearly HC Ethylene'!$X$3)/10))</f>
        <v>366.98530462890352</v>
      </c>
      <c r="AG22" s="183">
        <f>AG18*'R&amp;S - Packaging and hh goods'!$C$9*('R&amp;S - Packaging and hh goods'!$C$14*('R&amp;S - Packaging and hh goods'!$D$20+('R&amp;S - Packaging and hh goods'!$D$21-'R&amp;S - Packaging and hh goods'!$D$20)*('Yearly HC Ethylene'!AG$3-'Yearly HC Ethylene'!$X$3)/10))</f>
        <v>373.61539206123808</v>
      </c>
      <c r="AH22" s="183">
        <f>AH18*'R&amp;S - Packaging and hh goods'!$C$9*('R&amp;S - Packaging and hh goods'!$C$14*('R&amp;S - Packaging and hh goods'!$D$20+('R&amp;S - Packaging and hh goods'!$D$21-'R&amp;S - Packaging and hh goods'!$D$20)*('Yearly HC Ethylene'!AH$3-'Yearly HC Ethylene'!$X$3)/10))</f>
        <v>380.13526321203972</v>
      </c>
      <c r="AI22" s="576"/>
      <c r="AJ22" s="183">
        <v>0</v>
      </c>
      <c r="AK22" s="183">
        <f>AK18*'R&amp;S - Packaging and hh goods'!$C$9*('R&amp;S - Packaging and hh goods'!$C$15*'R&amp;S - Packaging and hh goods'!$D$19*(AK$3-$D$3)/10)</f>
        <v>15.615932946780751</v>
      </c>
      <c r="AL22" s="183">
        <f>AL18*'R&amp;S - Packaging and hh goods'!$C$9*('R&amp;S - Packaging and hh goods'!$C$15*'R&amp;S - Packaging and hh goods'!$D$19*(AL$3-$D$3)/10)</f>
        <v>31.014240319798237</v>
      </c>
      <c r="AM22" s="183">
        <f>AM18*'R&amp;S - Packaging and hh goods'!$C$9*('R&amp;S - Packaging and hh goods'!$C$15*'R&amp;S - Packaging and hh goods'!$D$19*(AM$3-$D$3)/10)</f>
        <v>46.197196761745147</v>
      </c>
      <c r="AN22" s="183">
        <f>AN18*'R&amp;S - Packaging and hh goods'!$C$9*('R&amp;S - Packaging and hh goods'!$C$15*'R&amp;S - Packaging and hh goods'!$D$19*(AN$3-$D$3)/10)</f>
        <v>61.167055782179467</v>
      </c>
      <c r="AO22" s="183">
        <f>AO18*'R&amp;S - Packaging and hh goods'!$C$9*('R&amp;S - Packaging and hh goods'!$C$15*'R&amp;S - Packaging and hh goods'!$D$19*(AO$3-$D$3)/10)</f>
        <v>75.926049941595807</v>
      </c>
      <c r="AP22" s="183">
        <f>AP18*'R&amp;S - Packaging and hh goods'!$C$9*('R&amp;S - Packaging and hh goods'!$C$15*'R&amp;S - Packaging and hh goods'!$D$19*(AP$3-$D$3)/10)</f>
        <v>90.476391033957356</v>
      </c>
      <c r="AQ22" s="183">
        <f>AQ18*'R&amp;S - Packaging and hh goods'!$C$9*('R&amp;S - Packaging and hh goods'!$C$15*'R&amp;S - Packaging and hh goods'!$D$19*(AQ$3-$D$3)/10)</f>
        <v>104.82027026770146</v>
      </c>
      <c r="AR22" s="183">
        <f>AR18*'R&amp;S - Packaging and hh goods'!$C$9*('R&amp;S - Packaging and hh goods'!$C$15*'R&amp;S - Packaging and hh goods'!$D$19*(AR$3-$D$3)/10)</f>
        <v>118.95985844523079</v>
      </c>
      <c r="AS22" s="183">
        <f>AS18*'R&amp;S - Packaging and hh goods'!$C$9*('R&amp;S - Packaging and hh goods'!$C$15*'R&amp;S - Packaging and hh goods'!$D$19*(AS$3-$D$3)/10)</f>
        <v>132.8973061409028</v>
      </c>
      <c r="AT22" s="183">
        <f>AT18*'R&amp;S - Packaging and hh goods'!$C$9*('R&amp;S - Packaging and hh goods'!$C$15*'R&amp;S - Packaging and hh goods'!$D$19*(AT$3-$D$3)/10)</f>
        <v>146.63474387752922</v>
      </c>
      <c r="AU22" s="183">
        <f>AU18*'R&amp;S - Packaging and hh goods'!$C$9*('R&amp;S - Packaging and hh goods'!$C$15*'R&amp;S - Packaging and hh goods'!$D$19*(AU$3-$D$3)/10)</f>
        <v>160.17428230139819</v>
      </c>
      <c r="AV22" s="183">
        <f>AV18*'R&amp;S - Packaging and hh goods'!$C$9*('R&amp;S - Packaging and hh goods'!$C$15*'R&amp;S - Packaging and hh goods'!$D$19*(AV$3-$D$3)/10)</f>
        <v>173.51801235583085</v>
      </c>
      <c r="AW22" s="183">
        <f>AW18*'R&amp;S - Packaging and hh goods'!$C$9*('R&amp;S - Packaging and hh goods'!$C$15*'R&amp;S - Packaging and hh goods'!$D$19*(AW$3-$D$3)/10)</f>
        <v>186.6680054532842</v>
      </c>
      <c r="AX22" s="183">
        <f>AX18*'R&amp;S - Packaging and hh goods'!$C$9*('R&amp;S - Packaging and hh goods'!$C$15*'R&amp;S - Packaging and hh goods'!$D$19*(AX$3-$D$3)/10)</f>
        <v>199.62631364601222</v>
      </c>
      <c r="AY22" s="183">
        <f>AY18*'R&amp;S - Packaging and hh goods'!$C$9*('R&amp;S - Packaging and hh goods'!$C$15*'R&amp;S - Packaging and hh goods'!$D$19*(AY$3-$D$3)/10)</f>
        <v>212.3949697952969</v>
      </c>
      <c r="AZ22" s="183">
        <f>AZ18*'R&amp;S - Packaging and hh goods'!$C$9*('R&amp;S - Packaging and hh goods'!$C$15*'R&amp;S - Packaging and hh goods'!$D$19*(AZ$3-$D$3)/10)</f>
        <v>224.97598773926086</v>
      </c>
      <c r="BA22" s="183">
        <f>BA18*'R&amp;S - Packaging and hh goods'!$C$9*('R&amp;S - Packaging and hh goods'!$C$15*'R&amp;S - Packaging and hh goods'!$D$19*(BA$3-$D$3)/10)</f>
        <v>237.37136245927343</v>
      </c>
      <c r="BB22" s="183">
        <f>BB18*'R&amp;S - Packaging and hh goods'!$C$9*('R&amp;S - Packaging and hh goods'!$C$15*'R&amp;S - Packaging and hh goods'!$D$19*(BB$3-$D$3)/10)</f>
        <v>249.58307024496057</v>
      </c>
      <c r="BC22" s="183">
        <f>BC18*'R&amp;S - Packaging and hh goods'!$C$9*('R&amp;S - Packaging and hh goods'!$C$15*'R&amp;S - Packaging and hh goods'!$D$19*(BC$3-$D$3)/10)</f>
        <v>261.61306885783148</v>
      </c>
      <c r="BD22" s="183">
        <f>BD18*'R&amp;S - Packaging and hh goods'!$C$9*('R&amp;S - Packaging and hh goods'!$C$15*'R&amp;S - Packaging and hh goods'!$D$19*(BD$3-$D$3)/10)</f>
        <v>273.46329769353224</v>
      </c>
      <c r="BE22" s="183">
        <f>BE18*'R&amp;S - Packaging and hh goods'!$C$9*('R&amp;S - Packaging and hh goods'!$C$15*('R&amp;S - Packaging and hh goods'!$D$20+('R&amp;S - Packaging and hh goods'!$D$21-'R&amp;S - Packaging and hh goods'!$D$20)*(BE$3-$X$3)/10))</f>
        <v>272.95039256056924</v>
      </c>
      <c r="BF22" s="183">
        <f>BF18*'R&amp;S - Packaging and hh goods'!$C$9*('R&amp;S - Packaging and hh goods'!$C$15*('R&amp;S - Packaging and hh goods'!$D$20+('R&amp;S - Packaging and hh goods'!$D$21-'R&amp;S - Packaging and hh goods'!$D$20)*(BF$3-$X$3)/10))</f>
        <v>279.34585909389239</v>
      </c>
      <c r="BG22" s="183">
        <f>BG18*'R&amp;S - Packaging and hh goods'!$C$9*('R&amp;S - Packaging and hh goods'!$C$15*('R&amp;S - Packaging and hh goods'!$D$20+('R&amp;S - Packaging and hh goods'!$D$21-'R&amp;S - Packaging and hh goods'!$D$20)*(BG$3-$X$3)/10))</f>
        <v>285.63894481197923</v>
      </c>
      <c r="BH22" s="183">
        <f>BH18*'R&amp;S - Packaging and hh goods'!$C$9*('R&amp;S - Packaging and hh goods'!$C$15*('R&amp;S - Packaging and hh goods'!$D$20+('R&amp;S - Packaging and hh goods'!$D$21-'R&amp;S - Packaging and hh goods'!$D$20)*(BH$3-$X$3)/10))</f>
        <v>291.83076598178485</v>
      </c>
      <c r="BI22" s="183">
        <f>BI18*'R&amp;S - Packaging and hh goods'!$C$9*('R&amp;S - Packaging and hh goods'!$C$15*('R&amp;S - Packaging and hh goods'!$D$20+('R&amp;S - Packaging and hh goods'!$D$21-'R&amp;S - Packaging and hh goods'!$D$20)*(BI$3-$X$3)/10))</f>
        <v>297.92242828481625</v>
      </c>
      <c r="BJ22" s="183">
        <f>BJ18*'R&amp;S - Packaging and hh goods'!$C$9*('R&amp;S - Packaging and hh goods'!$C$15*('R&amp;S - Packaging and hh goods'!$D$20+('R&amp;S - Packaging and hh goods'!$D$21-'R&amp;S - Packaging and hh goods'!$D$20)*(BJ$3-$X$3)/10))</f>
        <v>303.91502691045332</v>
      </c>
      <c r="BK22" s="183">
        <f>BK18*'R&amp;S - Packaging and hh goods'!$C$9*('R&amp;S - Packaging and hh goods'!$C$15*('R&amp;S - Packaging and hh goods'!$D$20+('R&amp;S - Packaging and hh goods'!$D$21-'R&amp;S - Packaging and hh goods'!$D$20)*(BK$3-$X$3)/10))</f>
        <v>309.80964664848381</v>
      </c>
      <c r="BL22" s="183">
        <f>BL18*'R&amp;S - Packaging and hh goods'!$C$9*('R&amp;S - Packaging and hh goods'!$C$15*('R&amp;S - Packaging and hh goods'!$D$20+('R&amp;S - Packaging and hh goods'!$D$21-'R&amp;S - Packaging and hh goods'!$D$20)*(BL$3-$X$3)/10))</f>
        <v>315.60736198085704</v>
      </c>
      <c r="BM22" s="183">
        <f>BM18*'R&amp;S - Packaging and hh goods'!$C$9*('R&amp;S - Packaging and hh goods'!$C$15*('R&amp;S - Packaging and hh goods'!$D$20+('R&amp;S - Packaging and hh goods'!$D$21-'R&amp;S - Packaging and hh goods'!$D$20)*(BM$3-$X$3)/10))</f>
        <v>321.30923717266478</v>
      </c>
      <c r="BN22" s="183">
        <f>BN18*'R&amp;S - Packaging and hh goods'!$C$9*('R&amp;S - Packaging and hh goods'!$C$15*('R&amp;S - Packaging and hh goods'!$D$20+('R&amp;S - Packaging and hh goods'!$D$21-'R&amp;S - Packaging and hh goods'!$D$20)*(BN$3-$X$3)/10))</f>
        <v>326.91632636235414</v>
      </c>
      <c r="BS22" s="626"/>
      <c r="BV22" s="626"/>
      <c r="BW22" s="432"/>
    </row>
    <row r="23" spans="1:88" outlineLevel="1">
      <c r="B23" s="57" t="s">
        <v>185</v>
      </c>
      <c r="C23" s="50" t="s">
        <v>1420</v>
      </c>
      <c r="D23" s="183">
        <v>0</v>
      </c>
      <c r="E23" s="183">
        <f>E18*'R&amp;S - Packaging and hh goods'!$C$10*('R&amp;S - Packaging and hh goods'!$C$14*'R&amp;S - Packaging and hh goods'!$E$19*('Yearly HC Ethylene'!E$3-'Yearly HC Ethylene'!$D$3)/10)</f>
        <v>12.881359914358997</v>
      </c>
      <c r="F23" s="183">
        <f>F18*'R&amp;S - Packaging and hh goods'!$C$10*('R&amp;S - Packaging and hh goods'!$C$14*'R&amp;S - Packaging and hh goods'!$E$19*('Yearly HC Ethylene'!F$3-'Yearly HC Ethylene'!$D$3)/10)</f>
        <v>25.583203603093356</v>
      </c>
      <c r="G23" s="183">
        <f>G18*'R&amp;S - Packaging and hh goods'!$C$10*('R&amp;S - Packaging and hh goods'!$C$14*'R&amp;S - Packaging and hh goods'!$E$19*('Yearly HC Ethylene'!G$3-'Yearly HC Ethylene'!$D$3)/10)</f>
        <v>38.107407386452465</v>
      </c>
      <c r="H23" s="183">
        <f>H18*'R&amp;S - Packaging and hh goods'!$C$10*('R&amp;S - Packaging and hh goods'!$C$14*'R&amp;S - Packaging and hh goods'!$E$19*('Yearly HC Ethylene'!H$3-'Yearly HC Ethylene'!$D$3)/10)</f>
        <v>50.455830152264916</v>
      </c>
      <c r="I23" s="183">
        <f>I18*'R&amp;S - Packaging and hh goods'!$C$10*('R&amp;S - Packaging and hh goods'!$C$14*'R&amp;S - Packaging and hh goods'!$E$19*('Yearly HC Ethylene'!I$3-'Yearly HC Ethylene'!$D$3)/10)</f>
        <v>62.630313507776314</v>
      </c>
      <c r="J23" s="183">
        <f>J18*'R&amp;S - Packaging and hh goods'!$C$10*('R&amp;S - Packaging and hh goods'!$C$14*'R&amp;S - Packaging and hh goods'!$E$19*('Yearly HC Ethylene'!J$3-'Yearly HC Ethylene'!$D$3)/10)</f>
        <v>74.632681930217259</v>
      </c>
      <c r="K23" s="183">
        <f>K18*'R&amp;S - Packaging and hh goods'!$C$10*('R&amp;S - Packaging and hh goods'!$C$14*'R&amp;S - Packaging and hh goods'!$E$19*('Yearly HC Ethylene'!K$3-'Yearly HC Ethylene'!$D$3)/10)</f>
        <v>86.464742916112286</v>
      </c>
      <c r="L23" s="183">
        <f>L18*'R&amp;S - Packaging and hh goods'!$C$10*('R&amp;S - Packaging and hh goods'!$C$14*'R&amp;S - Packaging and hh goods'!$E$19*('Yearly HC Ethylene'!L$3-'Yearly HC Ethylene'!$D$3)/10)</f>
        <v>98.128287129339654</v>
      </c>
      <c r="M23" s="183">
        <f>M18*'R&amp;S - Packaging and hh goods'!$C$10*('R&amp;S - Packaging and hh goods'!$C$14*'R&amp;S - Packaging and hh goods'!$E$19*('Yearly HC Ethylene'!M$3-'Yearly HC Ethylene'!$D$3)/10)</f>
        <v>109.62508854795203</v>
      </c>
      <c r="N23" s="183">
        <f>N18*'R&amp;S - Packaging and hh goods'!$C$10*('R&amp;S - Packaging and hh goods'!$C$14*'R&amp;S - Packaging and hh goods'!$E$19*('Yearly HC Ethylene'!N$3-'Yearly HC Ethylene'!$D$3)/10)</f>
        <v>120.95690460976869</v>
      </c>
      <c r="O23" s="183">
        <f>O18*'R&amp;S - Packaging and hh goods'!$C$10*('R&amp;S - Packaging and hh goods'!$C$14*'R&amp;S - Packaging and hh goods'!$E$19*('Yearly HC Ethylene'!O$3-'Yearly HC Ethylene'!$D$3)/10)</f>
        <v>132.12547635674866</v>
      </c>
      <c r="P23" s="183">
        <f>P18*'R&amp;S - Packaging and hh goods'!$C$10*('R&amp;S - Packaging and hh goods'!$C$14*('R&amp;S - Packaging and hh goods'!$E$19+('R&amp;S - Packaging and hh goods'!$E$20-'R&amp;S - Packaging and hh goods'!$E$19)*('Yearly HC Ethylene'!P$3-'Yearly HC Ethylene'!$O$3)/10))</f>
        <v>128.93287296524284</v>
      </c>
      <c r="Q23" s="183">
        <f>Q18*'R&amp;S - Packaging and hh goods'!$C$10*('R&amp;S - Packaging and hh goods'!$C$14*('R&amp;S - Packaging and hh goods'!$E$19+('R&amp;S - Packaging and hh goods'!$E$20-'R&amp;S - Packaging and hh goods'!$E$19)*('Yearly HC Ethylene'!Q$3-'Yearly HC Ethylene'!$O$3)/10))</f>
        <v>137.62294457294848</v>
      </c>
      <c r="R23" s="183">
        <f>R18*'R&amp;S - Packaging and hh goods'!$C$10*('R&amp;S - Packaging and hh goods'!$C$14*('R&amp;S - Packaging and hh goods'!$E$19+('R&amp;S - Packaging and hh goods'!$E$20-'R&amp;S - Packaging and hh goods'!$E$19)*('Yearly HC Ethylene'!R$3-'Yearly HC Ethylene'!$O$3)/10))</f>
        <v>146.1856500754358</v>
      </c>
      <c r="S23" s="183">
        <f>S18*'R&amp;S - Packaging and hh goods'!$C$10*('R&amp;S - Packaging and hh goods'!$C$14*('R&amp;S - Packaging and hh goods'!$E$19+('R&amp;S - Packaging and hh goods'!$E$20-'R&amp;S - Packaging and hh goods'!$E$19)*('Yearly HC Ethylene'!S$3-'Yearly HC Ethylene'!$O$3)/10))</f>
        <v>154.62234252575874</v>
      </c>
      <c r="T23" s="183">
        <f>T18*'R&amp;S - Packaging and hh goods'!$C$10*('R&amp;S - Packaging and hh goods'!$C$14*('R&amp;S - Packaging and hh goods'!$E$19+('R&amp;S - Packaging and hh goods'!$E$20-'R&amp;S - Packaging and hh goods'!$E$19)*('Yearly HC Ethylene'!T$3-'Yearly HC Ethylene'!$O$3)/10))</f>
        <v>162.93436230477593</v>
      </c>
      <c r="U23" s="183">
        <f>U18*'R&amp;S - Packaging and hh goods'!$C$10*('R&amp;S - Packaging and hh goods'!$C$14*('R&amp;S - Packaging and hh goods'!$E$19+('R&amp;S - Packaging and hh goods'!$E$20-'R&amp;S - Packaging and hh goods'!$E$19)*('Yearly HC Ethylene'!U$3-'Yearly HC Ethylene'!$O$3)/10))</f>
        <v>171.12303723205608</v>
      </c>
      <c r="V23" s="183">
        <f>V18*'R&amp;S - Packaging and hh goods'!$C$10*('R&amp;S - Packaging and hh goods'!$C$14*('R&amp;S - Packaging and hh goods'!$E$19+('R&amp;S - Packaging and hh goods'!$E$20-'R&amp;S - Packaging and hh goods'!$E$19)*('Yearly HC Ethylene'!V$3-'Yearly HC Ethylene'!$O$3)/10))</f>
        <v>179.18968267585251</v>
      </c>
      <c r="W23" s="183">
        <f>W18*'R&amp;S - Packaging and hh goods'!$C$10*('R&amp;S - Packaging and hh goods'!$C$14*('R&amp;S - Packaging and hh goods'!$E$19+('R&amp;S - Packaging and hh goods'!$E$20-'R&amp;S - Packaging and hh goods'!$E$19)*('Yearly HC Ethylene'!W$3-'Yearly HC Ethylene'!$O$3)/10))</f>
        <v>187.13560166215586</v>
      </c>
      <c r="X23" s="183">
        <f>X18*'R&amp;S - Packaging and hh goods'!$C$10*('R&amp;S - Packaging and hh goods'!$C$14*('R&amp;S - Packaging and hh goods'!$E$19+('R&amp;S - Packaging and hh goods'!$E$20-'R&amp;S - Packaging and hh goods'!$E$19)*('Yearly HC Ethylene'!X$3-'Yearly HC Ethylene'!$O$3)/10))</f>
        <v>194.96208498283099</v>
      </c>
      <c r="Y23" s="183">
        <f>Y18*'R&amp;S - Packaging and hh goods'!$C$10*('R&amp;S - Packaging and hh goods'!$C$14*('R&amp;S - Packaging and hh goods'!$E$20+('R&amp;S - Packaging and hh goods'!$E$21-'R&amp;S - Packaging and hh goods'!$E$20)*('Yearly HC Ethylene'!Y$3-'Yearly HC Ethylene'!$X$3)/10))</f>
        <v>209.07052955451502</v>
      </c>
      <c r="Z23" s="183">
        <f>Z18*'R&amp;S - Packaging and hh goods'!$C$10*('R&amp;S - Packaging and hh goods'!$C$14*('R&amp;S - Packaging and hh goods'!$E$20+('R&amp;S - Packaging and hh goods'!$E$21-'R&amp;S - Packaging and hh goods'!$E$20)*('Yearly HC Ethylene'!Z$3-'Yearly HC Ethylene'!$X$3)/10))</f>
        <v>213.96923500178175</v>
      </c>
      <c r="AA23" s="183">
        <f>AA18*'R&amp;S - Packaging and hh goods'!$C$10*('R&amp;S - Packaging and hh goods'!$C$14*('R&amp;S - Packaging and hh goods'!$E$20+('R&amp;S - Packaging and hh goods'!$E$21-'R&amp;S - Packaging and hh goods'!$E$20)*('Yearly HC Ethylene'!AA$3-'Yearly HC Ethylene'!$X$3)/10))</f>
        <v>218.78952029710487</v>
      </c>
      <c r="AB23" s="183">
        <f>AB18*'R&amp;S - Packaging and hh goods'!$C$10*('R&amp;S - Packaging and hh goods'!$C$14*('R&amp;S - Packaging and hh goods'!$E$20+('R&amp;S - Packaging and hh goods'!$E$21-'R&amp;S - Packaging and hh goods'!$E$20)*('Yearly HC Ethylene'!AB$3-'Yearly HC Ethylene'!$X$3)/10))</f>
        <v>223.53224046223835</v>
      </c>
      <c r="AC23" s="183">
        <f>AC18*'R&amp;S - Packaging and hh goods'!$C$10*('R&amp;S - Packaging and hh goods'!$C$14*('R&amp;S - Packaging and hh goods'!$E$20+('R&amp;S - Packaging and hh goods'!$E$21-'R&amp;S - Packaging and hh goods'!$E$20)*('Yearly HC Ethylene'!AC$3-'Yearly HC Ethylene'!$X$3)/10))</f>
        <v>228.19824241085038</v>
      </c>
      <c r="AD23" s="183">
        <f>AD18*'R&amp;S - Packaging and hh goods'!$C$10*('R&amp;S - Packaging and hh goods'!$C$14*('R&amp;S - Packaging and hh goods'!$E$20+('R&amp;S - Packaging and hh goods'!$E$21-'R&amp;S - Packaging and hh goods'!$E$20)*('Yearly HC Ethylene'!AD$3-'Yearly HC Ethylene'!$X$3)/10))</f>
        <v>232.78836502000397</v>
      </c>
      <c r="AE23" s="183">
        <f>AE18*'R&amp;S - Packaging and hh goods'!$C$10*('R&amp;S - Packaging and hh goods'!$C$14*('R&amp;S - Packaging and hh goods'!$E$20+('R&amp;S - Packaging and hh goods'!$E$21-'R&amp;S - Packaging and hh goods'!$E$20)*('Yearly HC Ethylene'!AE$3-'Yearly HC Ethylene'!$X$3)/10))</f>
        <v>237.30343920103502</v>
      </c>
      <c r="AF23" s="183">
        <f>AF18*'R&amp;S - Packaging and hh goods'!$C$10*('R&amp;S - Packaging and hh goods'!$C$14*('R&amp;S - Packaging and hh goods'!$E$20+('R&amp;S - Packaging and hh goods'!$E$21-'R&amp;S - Packaging and hh goods'!$E$20)*('Yearly HC Ethylene'!AF$3-'Yearly HC Ethylene'!$X$3)/10))</f>
        <v>241.74428796983329</v>
      </c>
      <c r="AG23" s="183">
        <f>AG18*'R&amp;S - Packaging and hh goods'!$C$10*('R&amp;S - Packaging and hh goods'!$C$14*('R&amp;S - Packaging and hh goods'!$E$20+('R&amp;S - Packaging and hh goods'!$E$21-'R&amp;S - Packaging and hh goods'!$E$20)*('Yearly HC Ethylene'!AG$3-'Yearly HC Ethylene'!$X$3)/10))</f>
        <v>246.11172651652981</v>
      </c>
      <c r="AH23" s="183">
        <f>AH18*'R&amp;S - Packaging and hh goods'!$C$10*('R&amp;S - Packaging and hh goods'!$C$14*('R&amp;S - Packaging and hh goods'!$E$20+('R&amp;S - Packaging and hh goods'!$E$21-'R&amp;S - Packaging and hh goods'!$E$20)*('Yearly HC Ethylene'!AH$3-'Yearly HC Ethylene'!$X$3)/10))</f>
        <v>250.4065622745976</v>
      </c>
      <c r="AI23" s="576"/>
      <c r="AJ23" s="183">
        <v>0</v>
      </c>
      <c r="AK23" s="183">
        <f>AK18*'R&amp;S - Packaging and hh goods'!$C$10*('R&amp;S - Packaging and hh goods'!$C$15*'R&amp;S - Packaging and hh goods'!$E$19*(AK$3-$D$3)/10)</f>
        <v>11.077969526348738</v>
      </c>
      <c r="AL23" s="183">
        <f>AL18*'R&amp;S - Packaging and hh goods'!$C$10*('R&amp;S - Packaging and hh goods'!$C$15*'R&amp;S - Packaging and hh goods'!$E$19*(AL$3-$D$3)/10)</f>
        <v>22.00155509866029</v>
      </c>
      <c r="AM23" s="183">
        <f>AM18*'R&amp;S - Packaging and hh goods'!$C$10*('R&amp;S - Packaging and hh goods'!$C$15*'R&amp;S - Packaging and hh goods'!$E$19*(AM$3-$D$3)/10)</f>
        <v>32.772370352349114</v>
      </c>
      <c r="AN23" s="183">
        <f>AN18*'R&amp;S - Packaging and hh goods'!$C$10*('R&amp;S - Packaging and hh goods'!$C$15*'R&amp;S - Packaging and hh goods'!$E$19*(AN$3-$D$3)/10)</f>
        <v>43.392013930947833</v>
      </c>
      <c r="AO23" s="183">
        <f>AO18*'R&amp;S - Packaging and hh goods'!$C$10*('R&amp;S - Packaging and hh goods'!$C$15*'R&amp;S - Packaging and hh goods'!$E$19*(AO$3-$D$3)/10)</f>
        <v>53.86206961668762</v>
      </c>
      <c r="AP23" s="183">
        <f>AP18*'R&amp;S - Packaging and hh goods'!$C$10*('R&amp;S - Packaging and hh goods'!$C$15*'R&amp;S - Packaging and hh goods'!$E$19*(AP$3-$D$3)/10)</f>
        <v>64.184106459986822</v>
      </c>
      <c r="AQ23" s="183">
        <f>AQ18*'R&amp;S - Packaging and hh goods'!$C$10*('R&amp;S - Packaging and hh goods'!$C$15*'R&amp;S - Packaging and hh goods'!$E$19*(AQ$3-$D$3)/10)</f>
        <v>74.359678907856562</v>
      </c>
      <c r="AR23" s="183">
        <f>AR18*'R&amp;S - Packaging and hh goods'!$C$10*('R&amp;S - Packaging and hh goods'!$C$15*'R&amp;S - Packaging and hh goods'!$E$19*(AR$3-$D$3)/10)</f>
        <v>84.39032693123211</v>
      </c>
      <c r="AS23" s="183">
        <f>AS18*'R&amp;S - Packaging and hh goods'!$C$10*('R&amp;S - Packaging and hh goods'!$C$15*'R&amp;S - Packaging and hh goods'!$E$19*(AS$3-$D$3)/10)</f>
        <v>94.277576151238733</v>
      </c>
      <c r="AT23" s="183">
        <f>AT18*'R&amp;S - Packaging and hh goods'!$C$10*('R&amp;S - Packaging and hh goods'!$C$15*'R&amp;S - Packaging and hh goods'!$E$19*(AT$3-$D$3)/10)</f>
        <v>104.02293796440105</v>
      </c>
      <c r="AU23" s="183">
        <f>AU18*'R&amp;S - Packaging and hh goods'!$C$10*('R&amp;S - Packaging and hh goods'!$C$15*'R&amp;S - Packaging and hh goods'!$E$19*(AU$3-$D$3)/10)</f>
        <v>113.62790966680383</v>
      </c>
      <c r="AV23" s="183">
        <f>AV18*'R&amp;S - Packaging and hh goods'!$C$10*('R&amp;S - Packaging and hh goods'!$C$15*('R&amp;S - Packaging and hh goods'!$E$19+('R&amp;S - Packaging and hh goods'!$E$20-'R&amp;S - Packaging and hh goods'!$E$19)*(AV$3-$O$3)/10))</f>
        <v>110.88227075010883</v>
      </c>
      <c r="AW23" s="183">
        <f>AW18*'R&amp;S - Packaging and hh goods'!$C$10*('R&amp;S - Packaging and hh goods'!$C$15*('R&amp;S - Packaging and hh goods'!$E$19+('R&amp;S - Packaging and hh goods'!$E$20-'R&amp;S - Packaging and hh goods'!$E$19)*(AW$3-$O$3)/10))</f>
        <v>118.3557323327357</v>
      </c>
      <c r="AX23" s="183">
        <f>AX18*'R&amp;S - Packaging and hh goods'!$C$10*('R&amp;S - Packaging and hh goods'!$C$15*('R&amp;S - Packaging and hh goods'!$E$19+('R&amp;S - Packaging and hh goods'!$E$20-'R&amp;S - Packaging and hh goods'!$E$19)*(AX$3-$O$3)/10))</f>
        <v>125.71965906487478</v>
      </c>
      <c r="AY23" s="183">
        <f>AY18*'R&amp;S - Packaging and hh goods'!$C$10*('R&amp;S - Packaging and hh goods'!$C$15*('R&amp;S - Packaging and hh goods'!$E$19+('R&amp;S - Packaging and hh goods'!$E$20-'R&amp;S - Packaging and hh goods'!$E$19)*(AY$3-$O$3)/10))</f>
        <v>132.97521457215251</v>
      </c>
      <c r="AZ23" s="183">
        <f>AZ18*'R&amp;S - Packaging and hh goods'!$C$10*('R&amp;S - Packaging and hh goods'!$C$15*('R&amp;S - Packaging and hh goods'!$E$19+('R&amp;S - Packaging and hh goods'!$E$20-'R&amp;S - Packaging and hh goods'!$E$19)*(AZ$3-$O$3)/10))</f>
        <v>140.1235515821073</v>
      </c>
      <c r="BA23" s="183">
        <f>BA18*'R&amp;S - Packaging and hh goods'!$C$10*('R&amp;S - Packaging and hh goods'!$C$15*('R&amp;S - Packaging and hh goods'!$E$19+('R&amp;S - Packaging and hh goods'!$E$20-'R&amp;S - Packaging and hh goods'!$E$19)*(BA$3-$O$3)/10))</f>
        <v>147.16581201956822</v>
      </c>
      <c r="BB23" s="183">
        <f>BB18*'R&amp;S - Packaging and hh goods'!$C$10*('R&amp;S - Packaging and hh goods'!$C$15*('R&amp;S - Packaging and hh goods'!$E$19+('R&amp;S - Packaging and hh goods'!$E$20-'R&amp;S - Packaging and hh goods'!$E$19)*(BB$3-$O$3)/10))</f>
        <v>154.10312710123316</v>
      </c>
      <c r="BC23" s="183">
        <f>BC18*'R&amp;S - Packaging and hh goods'!$C$10*('R&amp;S - Packaging and hh goods'!$C$15*('R&amp;S - Packaging and hh goods'!$E$19+('R&amp;S - Packaging and hh goods'!$E$20-'R&amp;S - Packaging and hh goods'!$E$19)*(BC$3-$O$3)/10))</f>
        <v>160.93661742945406</v>
      </c>
      <c r="BD23" s="183">
        <f>BD18*'R&amp;S - Packaging and hh goods'!$C$10*('R&amp;S - Packaging and hh goods'!$C$15*('R&amp;S - Packaging and hh goods'!$E$19+('R&amp;S - Packaging and hh goods'!$E$20-'R&amp;S - Packaging and hh goods'!$E$19)*(BD$3-$O$3)/10))</f>
        <v>167.66739308523466</v>
      </c>
      <c r="BE23" s="183">
        <f>BE18*'R&amp;S - Packaging and hh goods'!$C$10*('R&amp;S - Packaging and hh goods'!$C$15*('R&amp;S - Packaging and hh goods'!$E$20+('R&amp;S - Packaging and hh goods'!$E$21-'R&amp;S - Packaging and hh goods'!$E$20)*(BE$3-$X$3)/10))</f>
        <v>179.80065541688293</v>
      </c>
      <c r="BF23" s="183">
        <f>BF18*'R&amp;S - Packaging and hh goods'!$C$10*('R&amp;S - Packaging and hh goods'!$C$15*('R&amp;S - Packaging and hh goods'!$E$20+('R&amp;S - Packaging and hh goods'!$E$21-'R&amp;S - Packaging and hh goods'!$E$20)*(BF$3-$X$3)/10))</f>
        <v>184.01354210153229</v>
      </c>
      <c r="BG23" s="183">
        <f>BG18*'R&amp;S - Packaging and hh goods'!$C$10*('R&amp;S - Packaging and hh goods'!$C$15*('R&amp;S - Packaging and hh goods'!$E$20+('R&amp;S - Packaging and hh goods'!$E$21-'R&amp;S - Packaging and hh goods'!$E$20)*(BG$3-$X$3)/10))</f>
        <v>188.15898745551019</v>
      </c>
      <c r="BH23" s="183">
        <f>BH18*'R&amp;S - Packaging and hh goods'!$C$10*('R&amp;S - Packaging and hh goods'!$C$15*('R&amp;S - Packaging and hh goods'!$E$20+('R&amp;S - Packaging and hh goods'!$E$21-'R&amp;S - Packaging and hh goods'!$E$20)*(BH$3-$X$3)/10))</f>
        <v>192.23772679752497</v>
      </c>
      <c r="BI23" s="183">
        <f>BI18*'R&amp;S - Packaging and hh goods'!$C$10*('R&amp;S - Packaging and hh goods'!$C$15*('R&amp;S - Packaging and hh goods'!$E$20+('R&amp;S - Packaging and hh goods'!$E$21-'R&amp;S - Packaging and hh goods'!$E$20)*(BI$3-$X$3)/10))</f>
        <v>196.25048847333136</v>
      </c>
      <c r="BJ23" s="183">
        <f>BJ18*'R&amp;S - Packaging and hh goods'!$C$10*('R&amp;S - Packaging and hh goods'!$C$15*('R&amp;S - Packaging and hh goods'!$E$20+('R&amp;S - Packaging and hh goods'!$E$21-'R&amp;S - Packaging and hh goods'!$E$20)*(BJ$3-$X$3)/10))</f>
        <v>200.19799391720341</v>
      </c>
      <c r="BK23" s="183">
        <f>BK18*'R&amp;S - Packaging and hh goods'!$C$10*('R&amp;S - Packaging and hh goods'!$C$15*('R&amp;S - Packaging and hh goods'!$E$20+('R&amp;S - Packaging and hh goods'!$E$21-'R&amp;S - Packaging and hh goods'!$E$20)*(BK$3-$X$3)/10))</f>
        <v>204.0809577128901</v>
      </c>
      <c r="BL23" s="183">
        <f>BL18*'R&amp;S - Packaging and hh goods'!$C$10*('R&amp;S - Packaging and hh goods'!$C$15*('R&amp;S - Packaging and hh goods'!$E$20+('R&amp;S - Packaging and hh goods'!$E$21-'R&amp;S - Packaging and hh goods'!$E$20)*(BL$3-$X$3)/10))</f>
        <v>207.90008765405665</v>
      </c>
      <c r="BM23" s="183">
        <f>BM18*'R&amp;S - Packaging and hh goods'!$C$10*('R&amp;S - Packaging and hh goods'!$C$15*('R&amp;S - Packaging and hh goods'!$E$20+('R&amp;S - Packaging and hh goods'!$E$21-'R&amp;S - Packaging and hh goods'!$E$20)*(BM$3-$X$3)/10))</f>
        <v>211.65608480421565</v>
      </c>
      <c r="BN23" s="183">
        <f>BN18*'R&amp;S - Packaging and hh goods'!$C$10*('R&amp;S - Packaging and hh goods'!$C$15*('R&amp;S - Packaging and hh goods'!$E$20+('R&amp;S - Packaging and hh goods'!$E$21-'R&amp;S - Packaging and hh goods'!$E$20)*(BN$3-$X$3)/10))</f>
        <v>215.34964355615395</v>
      </c>
      <c r="BS23" s="626"/>
      <c r="BV23" s="626"/>
      <c r="BW23" s="432"/>
    </row>
    <row r="24" spans="1:88" outlineLevel="1">
      <c r="B24" s="1" t="s">
        <v>172</v>
      </c>
      <c r="C24" s="50" t="s">
        <v>1420</v>
      </c>
      <c r="D24" s="99">
        <f>SUM(D22:D23)</f>
        <v>0</v>
      </c>
      <c r="E24" s="99">
        <f t="shared" ref="E24:AH24" si="21">SUM(E22:E23)</f>
        <v>31.039421480383126</v>
      </c>
      <c r="F24" s="99">
        <f t="shared" si="21"/>
        <v>61.646273742393632</v>
      </c>
      <c r="G24" s="99">
        <f t="shared" si="21"/>
        <v>91.825078039644495</v>
      </c>
      <c r="H24" s="99">
        <f t="shared" si="21"/>
        <v>121.58031361991547</v>
      </c>
      <c r="I24" s="99">
        <f t="shared" si="21"/>
        <v>150.91641809102725</v>
      </c>
      <c r="J24" s="99">
        <f t="shared" si="21"/>
        <v>179.83778778365604</v>
      </c>
      <c r="K24" s="99">
        <f t="shared" si="21"/>
        <v>208.34877811111397</v>
      </c>
      <c r="L24" s="99">
        <f t="shared" si="21"/>
        <v>236.45370392611966</v>
      </c>
      <c r="M24" s="99">
        <f t="shared" si="21"/>
        <v>264.15683987458317</v>
      </c>
      <c r="N24" s="99">
        <f t="shared" si="21"/>
        <v>291.46242074643055</v>
      </c>
      <c r="O24" s="99">
        <f t="shared" si="21"/>
        <v>318.37464182349072</v>
      </c>
      <c r="P24" s="99">
        <f t="shared" si="21"/>
        <v>330.69800361155774</v>
      </c>
      <c r="Q24" s="99">
        <f t="shared" si="21"/>
        <v>354.67876486746496</v>
      </c>
      <c r="R24" s="99">
        <f t="shared" si="21"/>
        <v>378.30927059405462</v>
      </c>
      <c r="S24" s="99">
        <f t="shared" si="21"/>
        <v>401.59323763656909</v>
      </c>
      <c r="T24" s="99">
        <f t="shared" si="21"/>
        <v>424.53434804810252</v>
      </c>
      <c r="U24" s="99">
        <f t="shared" si="21"/>
        <v>447.13624939400188</v>
      </c>
      <c r="V24" s="99">
        <f t="shared" si="21"/>
        <v>469.40255505371363</v>
      </c>
      <c r="W24" s="99">
        <f t="shared" si="21"/>
        <v>491.33684452009936</v>
      </c>
      <c r="X24" s="99">
        <f t="shared" si="21"/>
        <v>512.94266369624052</v>
      </c>
      <c r="Y24" s="99">
        <f t="shared" si="21"/>
        <v>526.45470695052575</v>
      </c>
      <c r="Z24" s="99">
        <f t="shared" si="21"/>
        <v>538.79000139002869</v>
      </c>
      <c r="AA24" s="99">
        <f t="shared" si="21"/>
        <v>550.92782821801097</v>
      </c>
      <c r="AB24" s="99">
        <f t="shared" si="21"/>
        <v>562.87034044105803</v>
      </c>
      <c r="AC24" s="99">
        <f t="shared" si="21"/>
        <v>574.61967064900875</v>
      </c>
      <c r="AD24" s="99">
        <f t="shared" si="21"/>
        <v>586.17793119494968</v>
      </c>
      <c r="AE24" s="99">
        <f t="shared" si="21"/>
        <v>597.54721437369062</v>
      </c>
      <c r="AF24" s="99">
        <f t="shared" si="21"/>
        <v>608.72959259873687</v>
      </c>
      <c r="AG24" s="99">
        <f t="shared" si="21"/>
        <v>619.7271185777679</v>
      </c>
      <c r="AH24" s="99">
        <f t="shared" si="21"/>
        <v>630.54182548663732</v>
      </c>
      <c r="AI24" s="576"/>
      <c r="AJ24" s="99">
        <f>SUM(AJ22:AJ23)</f>
        <v>0</v>
      </c>
      <c r="AK24" s="99">
        <f t="shared" ref="AK24:BN24" si="22">SUM(AK22:AK23)</f>
        <v>26.693902473129491</v>
      </c>
      <c r="AL24" s="99">
        <f t="shared" si="22"/>
        <v>53.015795418458524</v>
      </c>
      <c r="AM24" s="99">
        <f t="shared" si="22"/>
        <v>78.969567114094261</v>
      </c>
      <c r="AN24" s="99">
        <f t="shared" si="22"/>
        <v>104.5590697131273</v>
      </c>
      <c r="AO24" s="99">
        <f t="shared" si="22"/>
        <v>129.78811955828343</v>
      </c>
      <c r="AP24" s="99">
        <f t="shared" si="22"/>
        <v>154.66049749394418</v>
      </c>
      <c r="AQ24" s="99">
        <f t="shared" si="22"/>
        <v>179.17994917555802</v>
      </c>
      <c r="AR24" s="99">
        <f t="shared" si="22"/>
        <v>203.35018537646289</v>
      </c>
      <c r="AS24" s="99">
        <f t="shared" si="22"/>
        <v>227.17488229214155</v>
      </c>
      <c r="AT24" s="99">
        <f t="shared" si="22"/>
        <v>250.65768184193027</v>
      </c>
      <c r="AU24" s="99">
        <f t="shared" si="22"/>
        <v>273.80219196820201</v>
      </c>
      <c r="AV24" s="99">
        <f t="shared" si="22"/>
        <v>284.40028310593971</v>
      </c>
      <c r="AW24" s="99">
        <f t="shared" si="22"/>
        <v>305.02373778601986</v>
      </c>
      <c r="AX24" s="99">
        <f t="shared" si="22"/>
        <v>325.345972710887</v>
      </c>
      <c r="AY24" s="99">
        <f t="shared" si="22"/>
        <v>345.37018436744938</v>
      </c>
      <c r="AZ24" s="99">
        <f t="shared" si="22"/>
        <v>365.09953932136818</v>
      </c>
      <c r="BA24" s="99">
        <f t="shared" si="22"/>
        <v>384.53717447884162</v>
      </c>
      <c r="BB24" s="99">
        <f t="shared" si="22"/>
        <v>403.68619734619369</v>
      </c>
      <c r="BC24" s="99">
        <f t="shared" si="22"/>
        <v>422.54968628728557</v>
      </c>
      <c r="BD24" s="99">
        <f t="shared" si="22"/>
        <v>441.1306907787669</v>
      </c>
      <c r="BE24" s="99">
        <f t="shared" si="22"/>
        <v>452.75104797745217</v>
      </c>
      <c r="BF24" s="99">
        <f t="shared" si="22"/>
        <v>463.35940119542465</v>
      </c>
      <c r="BG24" s="99">
        <f t="shared" si="22"/>
        <v>473.79793226748939</v>
      </c>
      <c r="BH24" s="99">
        <f t="shared" si="22"/>
        <v>484.06849277930985</v>
      </c>
      <c r="BI24" s="99">
        <f t="shared" si="22"/>
        <v>494.17291675814761</v>
      </c>
      <c r="BJ24" s="99">
        <f t="shared" si="22"/>
        <v>504.11302082765673</v>
      </c>
      <c r="BK24" s="99">
        <f t="shared" si="22"/>
        <v>513.8906043613739</v>
      </c>
      <c r="BL24" s="99">
        <f t="shared" si="22"/>
        <v>523.50744963491366</v>
      </c>
      <c r="BM24" s="99">
        <f t="shared" si="22"/>
        <v>532.96532197688043</v>
      </c>
      <c r="BN24" s="99">
        <f t="shared" si="22"/>
        <v>542.26596991850806</v>
      </c>
      <c r="BS24" s="640"/>
      <c r="BV24" s="626"/>
      <c r="BW24" s="432"/>
    </row>
    <row r="25" spans="1:88" s="62" customFormat="1" outlineLevel="1">
      <c r="A25" s="58"/>
      <c r="B25" s="58" t="s">
        <v>200</v>
      </c>
      <c r="C25" s="59" t="s">
        <v>1420</v>
      </c>
      <c r="D25" s="577">
        <f>D18-D21-D24</f>
        <v>3721.0980653873412</v>
      </c>
      <c r="E25" s="577">
        <f t="shared" ref="E25:AG25" si="23">E18-E21-E24</f>
        <v>3630.4705059146545</v>
      </c>
      <c r="F25" s="577">
        <f t="shared" si="23"/>
        <v>3540.9252695525292</v>
      </c>
      <c r="G25" s="577">
        <f t="shared" si="23"/>
        <v>3452.4516732323837</v>
      </c>
      <c r="H25" s="577">
        <f t="shared" si="23"/>
        <v>3365.0391302152102</v>
      </c>
      <c r="I25" s="577">
        <f t="shared" si="23"/>
        <v>3278.6771492678154</v>
      </c>
      <c r="J25" s="577">
        <f t="shared" si="23"/>
        <v>3193.3553338458692</v>
      </c>
      <c r="K25" s="577">
        <f t="shared" si="23"/>
        <v>3109.0633812836991</v>
      </c>
      <c r="L25" s="577">
        <f t="shared" si="23"/>
        <v>3025.791081990777</v>
      </c>
      <c r="M25" s="577">
        <f t="shared" si="23"/>
        <v>2943.5283186548477</v>
      </c>
      <c r="N25" s="577">
        <f t="shared" si="23"/>
        <v>2862.2650654516428</v>
      </c>
      <c r="O25" s="578">
        <f t="shared" si="23"/>
        <v>2752.8656205150892</v>
      </c>
      <c r="P25" s="577">
        <f t="shared" si="23"/>
        <v>2659.0514613002747</v>
      </c>
      <c r="Q25" s="577">
        <f t="shared" si="23"/>
        <v>2554.566447803586</v>
      </c>
      <c r="R25" s="577">
        <f t="shared" si="23"/>
        <v>2451.4084431013043</v>
      </c>
      <c r="S25" s="577">
        <f t="shared" si="23"/>
        <v>2349.5640269881269</v>
      </c>
      <c r="T25" s="577">
        <f t="shared" si="23"/>
        <v>2249.0199018529602</v>
      </c>
      <c r="U25" s="577">
        <f t="shared" si="23"/>
        <v>2149.7628916220333</v>
      </c>
      <c r="V25" s="577">
        <f t="shared" si="23"/>
        <v>2051.7799407107887</v>
      </c>
      <c r="W25" s="577">
        <f t="shared" si="23"/>
        <v>1955.0581129844804</v>
      </c>
      <c r="X25" s="577">
        <f>X18-X21-X24</f>
        <v>1859.5845907274067</v>
      </c>
      <c r="Y25" s="578">
        <f t="shared" si="23"/>
        <v>1786.3944520678347</v>
      </c>
      <c r="Z25" s="577">
        <f t="shared" si="23"/>
        <v>1715.0975481265325</v>
      </c>
      <c r="AA25" s="577">
        <f t="shared" si="23"/>
        <v>1644.7075102674869</v>
      </c>
      <c r="AB25" s="577">
        <f t="shared" si="23"/>
        <v>1575.2151620345239</v>
      </c>
      <c r="AC25" s="577">
        <f t="shared" si="23"/>
        <v>1506.6114108238271</v>
      </c>
      <c r="AD25" s="577">
        <f t="shared" si="23"/>
        <v>1438.8872471609104</v>
      </c>
      <c r="AE25" s="577">
        <f t="shared" si="23"/>
        <v>1372.0337439836017</v>
      </c>
      <c r="AF25" s="577">
        <f t="shared" si="23"/>
        <v>1306.0420559309775</v>
      </c>
      <c r="AG25" s="577">
        <f t="shared" si="23"/>
        <v>1240.9034186382089</v>
      </c>
      <c r="AH25" s="577">
        <f>AH18-AH21-AH24</f>
        <v>1176.6091480372656</v>
      </c>
      <c r="AI25" s="579"/>
      <c r="AJ25" s="577">
        <f>AJ18-AJ21-AJ24</f>
        <v>3721.0980653873412</v>
      </c>
      <c r="AK25" s="577">
        <f t="shared" ref="AK25:BC25" si="24">AK18-AK21-AK24</f>
        <v>3643.2308490369323</v>
      </c>
      <c r="AL25" s="577">
        <f t="shared" si="24"/>
        <v>3566.2681260764489</v>
      </c>
      <c r="AM25" s="577">
        <f t="shared" si="24"/>
        <v>3490.2010721300508</v>
      </c>
      <c r="AN25" s="577">
        <f t="shared" si="24"/>
        <v>3415.0209418828258</v>
      </c>
      <c r="AO25" s="577">
        <f t="shared" si="24"/>
        <v>3340.719068407439</v>
      </c>
      <c r="AP25" s="577">
        <f t="shared" si="24"/>
        <v>3267.2868624963348</v>
      </c>
      <c r="AQ25" s="577">
        <f t="shared" si="24"/>
        <v>3194.7158119994374</v>
      </c>
      <c r="AR25" s="577">
        <f t="shared" si="24"/>
        <v>3122.9974811673096</v>
      </c>
      <c r="AS25" s="577">
        <f t="shared" si="24"/>
        <v>3052.1235099997175</v>
      </c>
      <c r="AT25" s="577">
        <f t="shared" si="24"/>
        <v>2982.0856135995728</v>
      </c>
      <c r="AU25" s="578">
        <f t="shared" si="24"/>
        <v>2891.0312564726669</v>
      </c>
      <c r="AV25" s="577">
        <f t="shared" si="24"/>
        <v>2813.3127561148144</v>
      </c>
      <c r="AW25" s="577">
        <f t="shared" si="24"/>
        <v>2726.3506255795319</v>
      </c>
      <c r="AX25" s="577">
        <f t="shared" si="24"/>
        <v>2640.4638127881844</v>
      </c>
      <c r="AY25" s="577">
        <f t="shared" si="24"/>
        <v>2555.6415543290277</v>
      </c>
      <c r="AZ25" s="577">
        <f t="shared" si="24"/>
        <v>2471.8731845796992</v>
      </c>
      <c r="BA25" s="577">
        <f t="shared" si="24"/>
        <v>2389.1481348670204</v>
      </c>
      <c r="BB25" s="577">
        <f t="shared" si="24"/>
        <v>2307.4559326337567</v>
      </c>
      <c r="BC25" s="577">
        <f t="shared" si="24"/>
        <v>2226.7862006122855</v>
      </c>
      <c r="BD25" s="577">
        <f>BD18-BD21-BD24</f>
        <v>2147.1286560051099</v>
      </c>
      <c r="BE25" s="578">
        <f t="shared" ref="BE25:BM25" si="25">BE18-BE21-BE24</f>
        <v>2085.1135135138311</v>
      </c>
      <c r="BF25" s="577">
        <f t="shared" si="25"/>
        <v>2024.6870129169074</v>
      </c>
      <c r="BG25" s="577">
        <f t="shared" si="25"/>
        <v>1965.0013831448875</v>
      </c>
      <c r="BH25" s="577">
        <f t="shared" si="25"/>
        <v>1906.0492332717181</v>
      </c>
      <c r="BI25" s="577">
        <f t="shared" si="25"/>
        <v>1847.823239400047</v>
      </c>
      <c r="BJ25" s="577">
        <f t="shared" si="25"/>
        <v>1790.3161440859622</v>
      </c>
      <c r="BK25" s="577">
        <f t="shared" si="25"/>
        <v>1733.5207557684926</v>
      </c>
      <c r="BL25" s="577">
        <f t="shared" si="25"/>
        <v>1677.4299482038311</v>
      </c>
      <c r="BM25" s="577">
        <f t="shared" si="25"/>
        <v>1622.0366599042466</v>
      </c>
      <c r="BN25" s="577">
        <f>BN18-BN21-BN24</f>
        <v>1567.3338935816407</v>
      </c>
      <c r="BQ25" s="623"/>
      <c r="BR25" s="623"/>
      <c r="BS25" s="648"/>
      <c r="BT25" s="623"/>
      <c r="BU25" s="623"/>
      <c r="BV25" s="623"/>
      <c r="BW25" s="623"/>
      <c r="BX25" s="623"/>
      <c r="BY25" s="623"/>
      <c r="BZ25" s="623"/>
      <c r="CA25" s="623"/>
      <c r="CB25" s="623"/>
      <c r="CC25" s="623"/>
      <c r="CD25" s="623"/>
      <c r="CE25" s="623"/>
      <c r="CF25" s="623"/>
      <c r="CG25" s="623"/>
      <c r="CH25" s="623"/>
      <c r="CI25" s="623"/>
      <c r="CJ25" s="623"/>
    </row>
    <row r="26" spans="1:88" s="1" customFormat="1" outlineLevel="1">
      <c r="A26" s="1" t="s">
        <v>260</v>
      </c>
      <c r="B26" s="1" t="s">
        <v>179</v>
      </c>
      <c r="C26" s="60" t="s">
        <v>1420</v>
      </c>
      <c r="D26" s="574">
        <f>'Demand - C4'!O27</f>
        <v>109012.30133357966</v>
      </c>
      <c r="E26" s="574">
        <f>D26*(1+'Demand - C4'!$K$27)</f>
        <v>108252.69687364039</v>
      </c>
      <c r="F26" s="574">
        <f>E26*(1+'Demand - C4'!$K$27)</f>
        <v>107498.38538457232</v>
      </c>
      <c r="G26" s="574">
        <f>F26*(1+'Demand - C4'!$K$27)</f>
        <v>106749.32998462694</v>
      </c>
      <c r="H26" s="574">
        <f>G26*(1+'Demand - C4'!$K$27)</f>
        <v>106005.49404905007</v>
      </c>
      <c r="I26" s="574">
        <f>H26*(1+'Demand - C4'!$K$27)</f>
        <v>105266.84120829109</v>
      </c>
      <c r="J26" s="574">
        <f>I26*(1+'Demand - C4'!$K$27)</f>
        <v>104533.33534622463</v>
      </c>
      <c r="K26" s="574">
        <f>J26*(1+'Demand - C4'!$K$27)</f>
        <v>103804.94059838474</v>
      </c>
      <c r="L26" s="574">
        <f>K26*(1+'Demand - C4'!$K$27)</f>
        <v>103081.62135021128</v>
      </c>
      <c r="M26" s="574">
        <f>L26*(1+'Demand - C4'!$K$27)</f>
        <v>102363.34223530858</v>
      </c>
      <c r="N26" s="574">
        <f>M26*(1+'Demand - C4'!$K$27)</f>
        <v>101650.06813371618</v>
      </c>
      <c r="O26" s="574">
        <f>N26*(1+'Demand - C4'!$K$27)</f>
        <v>100941.76417019169</v>
      </c>
      <c r="P26" s="574">
        <f>O26*(1+'Demand - C4'!$K$27)</f>
        <v>100238.39571250556</v>
      </c>
      <c r="Q26" s="574">
        <f>P26*(1+'Demand - C4'!$K$27)</f>
        <v>99539.92836974778</v>
      </c>
      <c r="R26" s="574">
        <f>Q26*(1+'Demand - C4'!$K$27)</f>
        <v>98846.327990646299</v>
      </c>
      <c r="S26" s="574">
        <f>R26*(1+'Demand - C4'!$K$27)</f>
        <v>98157.560661897267</v>
      </c>
      <c r="T26" s="574">
        <f>S26*(1+'Demand - C4'!$K$27)</f>
        <v>97473.592706506824</v>
      </c>
      <c r="U26" s="574">
        <f>T26*(1+'Demand - C4'!$K$27)</f>
        <v>96794.390682144469</v>
      </c>
      <c r="V26" s="574">
        <f>U26*(1+'Demand - C4'!$K$27)</f>
        <v>96119.921379507956</v>
      </c>
      <c r="W26" s="574">
        <f>V26*(1+'Demand - C4'!$K$27)</f>
        <v>95450.15182069951</v>
      </c>
      <c r="X26" s="574">
        <f>W26*(1+'Demand - C4'!$K$27)</f>
        <v>94785.049257613369</v>
      </c>
      <c r="Y26" s="574">
        <f>X26*(1+'Demand - C4'!$K$27)</f>
        <v>94124.581170334597</v>
      </c>
      <c r="Z26" s="574">
        <f>Y26*(1+'Demand - C4'!$K$27)</f>
        <v>93468.715265549064</v>
      </c>
      <c r="AA26" s="574">
        <f>Z26*(1+'Demand - C4'!$K$27)</f>
        <v>92817.419474964438</v>
      </c>
      <c r="AB26" s="574">
        <f>AA26*(1+'Demand - C4'!$K$27)</f>
        <v>92170.661953742208</v>
      </c>
      <c r="AC26" s="574">
        <f>AB26*(1+'Demand - C4'!$K$27)</f>
        <v>91528.411078940699</v>
      </c>
      <c r="AD26" s="574">
        <f>AC26*(1+'Demand - C4'!$K$27)</f>
        <v>90890.635447968845</v>
      </c>
      <c r="AE26" s="574">
        <f>AD26*(1+'Demand - C4'!$K$27)</f>
        <v>90257.30387705077</v>
      </c>
      <c r="AF26" s="574">
        <f>AE26*(1+'Demand - C4'!$K$27)</f>
        <v>89628.385399701074</v>
      </c>
      <c r="AG26" s="574">
        <f>AF26*(1+'Demand - C4'!$K$27)</f>
        <v>89003.849265210752</v>
      </c>
      <c r="AH26" s="574">
        <f>AG26*(1+'Demand - C4'!$K$27)</f>
        <v>88383.664937143636</v>
      </c>
      <c r="AI26" s="573"/>
      <c r="AJ26" s="574">
        <f>D26</f>
        <v>109012.30133357966</v>
      </c>
      <c r="AK26" s="574">
        <f t="shared" ref="AK26:BN26" si="26">E26</f>
        <v>108252.69687364039</v>
      </c>
      <c r="AL26" s="574">
        <f t="shared" si="26"/>
        <v>107498.38538457232</v>
      </c>
      <c r="AM26" s="574">
        <f t="shared" si="26"/>
        <v>106749.32998462694</v>
      </c>
      <c r="AN26" s="574">
        <f t="shared" si="26"/>
        <v>106005.49404905007</v>
      </c>
      <c r="AO26" s="574">
        <f t="shared" si="26"/>
        <v>105266.84120829109</v>
      </c>
      <c r="AP26" s="574">
        <f t="shared" si="26"/>
        <v>104533.33534622463</v>
      </c>
      <c r="AQ26" s="574">
        <f t="shared" si="26"/>
        <v>103804.94059838474</v>
      </c>
      <c r="AR26" s="574">
        <f t="shared" si="26"/>
        <v>103081.62135021128</v>
      </c>
      <c r="AS26" s="574">
        <f t="shared" si="26"/>
        <v>102363.34223530858</v>
      </c>
      <c r="AT26" s="574">
        <f t="shared" si="26"/>
        <v>101650.06813371618</v>
      </c>
      <c r="AU26" s="574">
        <f t="shared" si="26"/>
        <v>100941.76417019169</v>
      </c>
      <c r="AV26" s="574">
        <f t="shared" si="26"/>
        <v>100238.39571250556</v>
      </c>
      <c r="AW26" s="574">
        <f t="shared" si="26"/>
        <v>99539.92836974778</v>
      </c>
      <c r="AX26" s="574">
        <f t="shared" si="26"/>
        <v>98846.327990646299</v>
      </c>
      <c r="AY26" s="574">
        <f t="shared" si="26"/>
        <v>98157.560661897267</v>
      </c>
      <c r="AZ26" s="574">
        <f t="shared" si="26"/>
        <v>97473.592706506824</v>
      </c>
      <c r="BA26" s="574">
        <f t="shared" si="26"/>
        <v>96794.390682144469</v>
      </c>
      <c r="BB26" s="574">
        <f t="shared" si="26"/>
        <v>96119.921379507956</v>
      </c>
      <c r="BC26" s="574">
        <f t="shared" si="26"/>
        <v>95450.15182069951</v>
      </c>
      <c r="BD26" s="574">
        <f t="shared" si="26"/>
        <v>94785.049257613369</v>
      </c>
      <c r="BE26" s="574">
        <f t="shared" si="26"/>
        <v>94124.581170334597</v>
      </c>
      <c r="BF26" s="574">
        <f t="shared" si="26"/>
        <v>93468.715265549064</v>
      </c>
      <c r="BG26" s="574">
        <f t="shared" si="26"/>
        <v>92817.419474964438</v>
      </c>
      <c r="BH26" s="574">
        <f t="shared" si="26"/>
        <v>92170.661953742208</v>
      </c>
      <c r="BI26" s="574">
        <f t="shared" si="26"/>
        <v>91528.411078940699</v>
      </c>
      <c r="BJ26" s="574">
        <f t="shared" si="26"/>
        <v>90890.635447968845</v>
      </c>
      <c r="BK26" s="574">
        <f t="shared" si="26"/>
        <v>90257.30387705077</v>
      </c>
      <c r="BL26" s="574">
        <f t="shared" si="26"/>
        <v>89628.385399701074</v>
      </c>
      <c r="BM26" s="574">
        <f t="shared" si="26"/>
        <v>89003.849265210752</v>
      </c>
      <c r="BN26" s="574">
        <f t="shared" si="26"/>
        <v>88383.664937143636</v>
      </c>
      <c r="BQ26" s="625"/>
      <c r="BR26" s="625"/>
      <c r="BS26" s="625"/>
      <c r="BT26" s="625"/>
      <c r="BU26" s="625"/>
      <c r="BV26" s="625"/>
      <c r="BW26" s="625"/>
      <c r="BX26" s="625"/>
      <c r="BY26" s="625"/>
      <c r="BZ26" s="625"/>
      <c r="CA26" s="625"/>
      <c r="CB26" s="625"/>
      <c r="CC26" s="625"/>
      <c r="CD26" s="625"/>
      <c r="CE26" s="625"/>
      <c r="CF26" s="625"/>
      <c r="CG26" s="625"/>
      <c r="CH26" s="625"/>
      <c r="CI26" s="625"/>
      <c r="CJ26" s="625"/>
    </row>
    <row r="27" spans="1:88" outlineLevel="1">
      <c r="B27" s="1" t="s">
        <v>169</v>
      </c>
      <c r="C27" s="50" t="s">
        <v>1420</v>
      </c>
      <c r="D27" s="99">
        <v>0</v>
      </c>
      <c r="E27" s="99">
        <f>E26*'R&amp;S - Buildings'!$H$7*'R&amp;S - Buildings'!$B$11*'R&amp;S - Buildings'!$B$15*('Yearly Butadiene'!E$3-'Yearly Butadiene'!$D$3)/10</f>
        <v>1964.7864482565735</v>
      </c>
      <c r="F27" s="99">
        <f>F26*'R&amp;S - Buildings'!$H$7*'R&amp;S - Buildings'!$B$11*'R&amp;S - Buildings'!$B$15*('Yearly Butadiene'!F$3-'Yearly Butadiene'!$D$3)/10</f>
        <v>3902.1913894599761</v>
      </c>
      <c r="G27" s="99">
        <f>G26*'R&amp;S - Buildings'!$H$7*'R&amp;S - Buildings'!$B$11*'R&amp;S - Buildings'!$B$15*('Yearly Butadiene'!G$3-'Yearly Butadiene'!$D$3)/10</f>
        <v>5812.5010176629366</v>
      </c>
      <c r="H27" s="99">
        <f>H26*'R&amp;S - Buildings'!$H$7*'R&amp;S - Buildings'!$B$11*'R&amp;S - Buildings'!$B$15*('Yearly Butadiene'!H$3-'Yearly Butadiene'!$D$3)/10</f>
        <v>7695.9988679610369</v>
      </c>
      <c r="I27" s="99">
        <f>I26*'R&amp;S - Buildings'!$H$7*'R&amp;S - Buildings'!$B$11*'R&amp;S - Buildings'!$B$15*('Yearly Butadiene'!I$3-'Yearly Butadiene'!$D$3)/10</f>
        <v>9552.9658396524173</v>
      </c>
      <c r="J27" s="99">
        <f>J26*'R&amp;S - Buildings'!$H$7*'R&amp;S - Buildings'!$B$11*'R&amp;S - Buildings'!$B$15*('Yearly Butadiene'!J$3-'Yearly Butadiene'!$D$3)/10</f>
        <v>11383.680219203865</v>
      </c>
      <c r="K27" s="99">
        <f>K26*'R&amp;S - Buildings'!$H$7*'R&amp;S - Buildings'!$B$11*'R&amp;S - Buildings'!$B$15*('Yearly Butadiene'!K$3-'Yearly Butadiene'!$D$3)/10</f>
        <v>13188.417703024785</v>
      </c>
      <c r="L27" s="99">
        <f>L26*'R&amp;S - Buildings'!$H$7*'R&amp;S - Buildings'!$B$11*'R&amp;S - Buildings'!$B$15*('Yearly Butadiene'!L$3-'Yearly Butadiene'!$D$3)/10</f>
        <v>14967.451420050678</v>
      </c>
      <c r="M27" s="99">
        <f>M26*'R&amp;S - Buildings'!$H$7*'R&amp;S - Buildings'!$B$11*'R&amp;S - Buildings'!$B$15*('Yearly Butadiene'!M$3-'Yearly Butadiene'!$D$3)/10</f>
        <v>16721.051954137656</v>
      </c>
      <c r="N27" s="99">
        <f>N26*'R&amp;S - Buildings'!$H$7*'R&amp;S - Buildings'!$B$11*'R&amp;S - Buildings'!$B$15*('Yearly Butadiene'!N$3-'Yearly Butadiene'!$D$3)/10</f>
        <v>18449.487366269488</v>
      </c>
      <c r="O27" s="99">
        <f>O26*'R&amp;S - Buildings'!$H$7*('R&amp;S - Buildings'!$B$11*('R&amp;S - Buildings'!$B$15+('R&amp;S - Buildings'!$B$16-'R&amp;S - Buildings'!$B$15)*('Yearly Butadiene'!O$3-'Yearly Butadiene'!$N$3)/10))</f>
        <v>20153.023216578771</v>
      </c>
      <c r="P27" s="99">
        <f>P26*'R&amp;S - Buildings'!$H$7*('R&amp;S - Buildings'!$B$11*('R&amp;S - Buildings'!$B$15+('R&amp;S - Buildings'!$B$16-'R&amp;S - Buildings'!$B$15)*('Yearly Butadiene'!P$3-'Yearly Butadiene'!$N$3)/10))</f>
        <v>21831.922586183711</v>
      </c>
      <c r="Q27" s="99">
        <f>Q26*'R&amp;S - Buildings'!$H$7*('R&amp;S - Buildings'!$B$11*('R&amp;S - Buildings'!$B$15+('R&amp;S - Buildings'!$B$16-'R&amp;S - Buildings'!$B$15)*('Yearly Butadiene'!Q$3-'Yearly Butadiene'!$N$3)/10))</f>
        <v>23486.446098841996</v>
      </c>
      <c r="R27" s="99">
        <f>R26*'R&amp;S - Buildings'!$H$7*('R&amp;S - Buildings'!$B$11*('R&amp;S - Buildings'!$B$15+('R&amp;S - Buildings'!$B$16-'R&amp;S - Buildings'!$B$15)*('Yearly Butadiene'!R$3-'Yearly Butadiene'!$N$3)/10))</f>
        <v>25116.851942423229</v>
      </c>
      <c r="S27" s="99">
        <f>S26*'R&amp;S - Buildings'!$H$7*('R&amp;S - Buildings'!$B$11*('R&amp;S - Buildings'!$B$15+('R&amp;S - Buildings'!$B$16-'R&amp;S - Buildings'!$B$15)*('Yearly Butadiene'!S$3-'Yearly Butadiene'!$N$3)/10))</f>
        <v>26723.395890201533</v>
      </c>
      <c r="T27" s="99">
        <f>T26*'R&amp;S - Buildings'!$H$7*('R&amp;S - Buildings'!$B$11*('R&amp;S - Buildings'!$B$15+('R&amp;S - Buildings'!$B$16-'R&amp;S - Buildings'!$B$15)*('Yearly Butadiene'!T$3-'Yearly Butadiene'!$N$3)/10))</f>
        <v>28306.331321969585</v>
      </c>
      <c r="U27" s="99">
        <f>U26*'R&amp;S - Buildings'!$H$7*('R&amp;S - Buildings'!$B$11*('R&amp;S - Buildings'!$B$15+('R&amp;S - Buildings'!$B$16-'R&amp;S - Buildings'!$B$15)*('Yearly Butadiene'!U$3-'Yearly Butadiene'!$N$3)/10))</f>
        <v>29865.909244975683</v>
      </c>
      <c r="V27" s="99">
        <f>V26*'R&amp;S - Buildings'!$H$7*('R&amp;S - Buildings'!$B$11*('R&amp;S - Buildings'!$B$15+('R&amp;S - Buildings'!$B$16-'R&amp;S - Buildings'!$B$15)*('Yearly Butadiene'!V$3-'Yearly Butadiene'!$N$3)/10))</f>
        <v>31402.378314685255</v>
      </c>
      <c r="W27" s="99">
        <f>W26*'R&amp;S - Buildings'!$H$7*('R&amp;S - Buildings'!$B$11*('R&amp;S - Buildings'!$B$15+('R&amp;S - Buildings'!$B$16-'R&amp;S - Buildings'!$B$15)*('Yearly Butadiene'!W$3-'Yearly Butadiene'!$N$3)/10))</f>
        <v>32915.984855368224</v>
      </c>
      <c r="X27" s="99">
        <f>X26*'R&amp;S - Buildings'!$H$7*('R&amp;S - Buildings'!$B$11*('R&amp;S - Buildings'!$B$15+('R&amp;S - Buildings'!$B$16-'R&amp;S - Buildings'!$B$15)*('Yearly Butadiene'!X$3-'Yearly Butadiene'!$N$3)/10))</f>
        <v>34406.972880513655</v>
      </c>
      <c r="Y27" s="99">
        <f>Y26*'R&amp;S - Buildings'!$H$7*('R&amp;S - Buildings'!$B$11*('R&amp;S - Buildings'!$B$16+('R&amp;S - Buildings'!$B$17-'R&amp;S - Buildings'!$B$16)*('Yearly Butadiene'!Y$3-'Yearly Butadiene'!$X$3)/10))</f>
        <v>35927.35263271672</v>
      </c>
      <c r="Z27" s="99">
        <f>Z26*'R&amp;S - Buildings'!$H$7*('R&amp;S - Buildings'!$B$11*('R&amp;S - Buildings'!$B$16+('R&amp;S - Buildings'!$B$17-'R&amp;S - Buildings'!$B$16)*('Yearly Butadiene'!Z$3-'Yearly Butadiene'!$X$3)/10))</f>
        <v>37424.873592325843</v>
      </c>
      <c r="AA27" s="99">
        <f>AA26*'R&amp;S - Buildings'!$H$7*('R&amp;S - Buildings'!$B$11*('R&amp;S - Buildings'!$B$16+('R&amp;S - Buildings'!$B$17-'R&amp;S - Buildings'!$B$16)*('Yearly Butadiene'!AA$3-'Yearly Butadiene'!$X$3)/10))</f>
        <v>38899.780501957597</v>
      </c>
      <c r="AB27" s="99">
        <f>AB26*'R&amp;S - Buildings'!$H$7*('R&amp;S - Buildings'!$B$11*('R&amp;S - Buildings'!$B$16+('R&amp;S - Buildings'!$B$17-'R&amp;S - Buildings'!$B$16)*('Yearly Butadiene'!AB$3-'Yearly Butadiene'!$X$3)/10))</f>
        <v>40352.315803348341</v>
      </c>
      <c r="AC27" s="99">
        <f>AC26*'R&amp;S - Buildings'!$H$7*('R&amp;S - Buildings'!$B$11*('R&amp;S - Buildings'!$B$16+('R&amp;S - Buildings'!$B$17-'R&amp;S - Buildings'!$B$16)*('Yearly Butadiene'!AC$3-'Yearly Butadiene'!$X$3)/10))</f>
        <v>41782.719657536436</v>
      </c>
      <c r="AD27" s="99">
        <f>AD26*'R&amp;S - Buildings'!$H$7*('R&amp;S - Buildings'!$B$11*('R&amp;S - Buildings'!$B$16+('R&amp;S - Buildings'!$B$17-'R&amp;S - Buildings'!$B$16)*('Yearly Butadiene'!AD$3-'Yearly Butadiene'!$X$3)/10))</f>
        <v>43191.229964874809</v>
      </c>
      <c r="AE27" s="99">
        <f>AE26*'R&amp;S - Buildings'!$H$7*('R&amp;S - Buildings'!$B$11*('R&amp;S - Buildings'!$B$16+('R&amp;S - Buildings'!$B$17-'R&amp;S - Buildings'!$B$16)*('Yearly Butadiene'!AE$3-'Yearly Butadiene'!$X$3)/10))</f>
        <v>44578.082384875379</v>
      </c>
      <c r="AF27" s="99">
        <f>AF26*'R&amp;S - Buildings'!$H$7*('R&amp;S - Buildings'!$B$11*('R&amp;S - Buildings'!$B$16+('R&amp;S - Buildings'!$B$17-'R&amp;S - Buildings'!$B$16)*('Yearly Butadiene'!AF$3-'Yearly Butadiene'!$X$3)/10))</f>
        <v>45943.510355886778</v>
      </c>
      <c r="AG27" s="99">
        <f>AG26*'R&amp;S - Buildings'!$H$7*('R&amp;S - Buildings'!$B$11*('R&amp;S - Buildings'!$B$16+('R&amp;S - Buildings'!$B$17-'R&amp;S - Buildings'!$B$16)*('Yearly Butadiene'!AG$3-'Yearly Butadiene'!$X$3)/10))</f>
        <v>47287.745114606478</v>
      </c>
      <c r="AH27" s="99">
        <f>AH26*'R&amp;S - Buildings'!$H$7*('R&amp;S - Buildings'!$B$11*('R&amp;S - Buildings'!$B$16+('R&amp;S - Buildings'!$B$17-'R&amp;S - Buildings'!$B$16)*('Yearly Butadiene'!AH$3-'Yearly Butadiene'!$X$3)/10))</f>
        <v>48611.015715429006</v>
      </c>
      <c r="AI27" s="178"/>
      <c r="AJ27" s="99">
        <v>0</v>
      </c>
      <c r="AK27" s="99">
        <f>AK26*'R&amp;S - Buildings'!$H$7*'R&amp;S - Buildings'!$B$12*'R&amp;S - Buildings'!$B$15*('Yearly Butadiene'!AK$3-'Yearly Butadiene'!$D$3)/10</f>
        <v>785.91457930262936</v>
      </c>
      <c r="AL27" s="99">
        <f>AL26*'R&amp;S - Buildings'!$H$7*'R&amp;S - Buildings'!$B$12*'R&amp;S - Buildings'!$B$15*('Yearly Butadiene'!AL$3-'Yearly Butadiene'!$D$3)/10</f>
        <v>1560.8765557839902</v>
      </c>
      <c r="AM27" s="99">
        <f>AM26*'R&amp;S - Buildings'!$H$7*'R&amp;S - Buildings'!$B$12*'R&amp;S - Buildings'!$B$15*('Yearly Butadiene'!AM$3-'Yearly Butadiene'!$D$3)/10</f>
        <v>2325.0004070651748</v>
      </c>
      <c r="AN27" s="99">
        <f>AN26*'R&amp;S - Buildings'!$H$7*'R&amp;S - Buildings'!$B$12*'R&amp;S - Buildings'!$B$15*('Yearly Butadiene'!AN$3-'Yearly Butadiene'!$D$3)/10</f>
        <v>3078.3995471844146</v>
      </c>
      <c r="AO27" s="99">
        <f>AO26*'R&amp;S - Buildings'!$H$7*'R&amp;S - Buildings'!$B$12*'R&amp;S - Buildings'!$B$15*('Yearly Butadiene'!AO$3-'Yearly Butadiene'!$D$3)/10</f>
        <v>3821.1863358609671</v>
      </c>
      <c r="AP27" s="99">
        <f>AP26*'R&amp;S - Buildings'!$H$7*'R&amp;S - Buildings'!$B$12*'R&amp;S - Buildings'!$B$15*('Yearly Butadiene'!AP$3-'Yearly Butadiene'!$D$3)/10</f>
        <v>4553.4720876815454</v>
      </c>
      <c r="AQ27" s="99">
        <f>AQ26*'R&amp;S - Buildings'!$H$7*'R&amp;S - Buildings'!$B$12*'R&amp;S - Buildings'!$B$15*('Yearly Butadiene'!AQ$3-'Yearly Butadiene'!$D$3)/10</f>
        <v>5275.3670812099135</v>
      </c>
      <c r="AR27" s="99">
        <f>AR26*'R&amp;S - Buildings'!$H$7*'R&amp;S - Buildings'!$B$12*'R&amp;S - Buildings'!$B$15*('Yearly Butadiene'!AR$3-'Yearly Butadiene'!$D$3)/10</f>
        <v>5986.9805680202717</v>
      </c>
      <c r="AS27" s="99">
        <f>AS26*'R&amp;S - Buildings'!$H$7*'R&amp;S - Buildings'!$B$12*'R&amp;S - Buildings'!$B$15*('Yearly Butadiene'!AS$3-'Yearly Butadiene'!$D$3)/10</f>
        <v>6688.4207816550625</v>
      </c>
      <c r="AT27" s="99">
        <f>AT26*'R&amp;S - Buildings'!$H$7*'R&amp;S - Buildings'!$B$12*'R&amp;S - Buildings'!$B$15*('Yearly Butadiene'!AT$3-'Yearly Butadiene'!$D$3)/10</f>
        <v>7379.7949465077954</v>
      </c>
      <c r="AU27" s="99">
        <f>AU26*'R&amp;S - Buildings'!$H$7*('R&amp;S - Buildings'!$B$12*('R&amp;S - Buildings'!$B$15+('R&amp;S - Buildings'!$B$16-'R&amp;S - Buildings'!$B$15)*('Yearly Butadiene'!AU$3-'Yearly Butadiene'!$N$3)/10))</f>
        <v>8061.2092866315079</v>
      </c>
      <c r="AV27" s="99">
        <f>AV26*'R&amp;S - Buildings'!$H$7*('R&amp;S - Buildings'!$B$12*('R&amp;S - Buildings'!$B$15+('R&amp;S - Buildings'!$B$16-'R&amp;S - Buildings'!$B$15)*('Yearly Butadiene'!AV$3-'Yearly Butadiene'!$N$3)/10))</f>
        <v>8732.7690344734838</v>
      </c>
      <c r="AW27" s="99">
        <f>AW26*'R&amp;S - Buildings'!$H$7*('R&amp;S - Buildings'!$B$12*('R&amp;S - Buildings'!$B$15+('R&amp;S - Buildings'!$B$16-'R&amp;S - Buildings'!$B$15)*('Yearly Butadiene'!AW$3-'Yearly Butadiene'!$N$3)/10))</f>
        <v>9394.5784395367973</v>
      </c>
      <c r="AX27" s="99">
        <f>AX26*'R&amp;S - Buildings'!$H$7*('R&amp;S - Buildings'!$B$12*('R&amp;S - Buildings'!$B$15+('R&amp;S - Buildings'!$B$16-'R&amp;S - Buildings'!$B$15)*('Yearly Butadiene'!AX$3-'Yearly Butadiene'!$N$3)/10))</f>
        <v>10046.740776969291</v>
      </c>
      <c r="AY27" s="99">
        <f>AY26*'R&amp;S - Buildings'!$H$7*('R&amp;S - Buildings'!$B$12*('R&amp;S - Buildings'!$B$15+('R&amp;S - Buildings'!$B$16-'R&amp;S - Buildings'!$B$15)*('Yearly Butadiene'!AY$3-'Yearly Butadiene'!$N$3)/10))</f>
        <v>10689.358356080611</v>
      </c>
      <c r="AZ27" s="99">
        <f>AZ26*'R&amp;S - Buildings'!$H$7*('R&amp;S - Buildings'!$B$12*('R&amp;S - Buildings'!$B$15+('R&amp;S - Buildings'!$B$16-'R&amp;S - Buildings'!$B$15)*('Yearly Butadiene'!AZ$3-'Yearly Butadiene'!$N$3)/10))</f>
        <v>11322.532528787833</v>
      </c>
      <c r="BA27" s="99">
        <f>BA26*'R&amp;S - Buildings'!$H$7*('R&amp;S - Buildings'!$B$12*('R&amp;S - Buildings'!$B$15+('R&amp;S - Buildings'!$B$16-'R&amp;S - Buildings'!$B$15)*('Yearly Butadiene'!BA$3-'Yearly Butadiene'!$N$3)/10))</f>
        <v>11946.363697990273</v>
      </c>
      <c r="BB27" s="99">
        <f>BB26*'R&amp;S - Buildings'!$H$7*('R&amp;S - Buildings'!$B$12*('R&amp;S - Buildings'!$B$15+('R&amp;S - Buildings'!$B$16-'R&amp;S - Buildings'!$B$15)*('Yearly Butadiene'!BB$3-'Yearly Butadiene'!$N$3)/10))</f>
        <v>12560.951325874101</v>
      </c>
      <c r="BC27" s="99">
        <f>BC26*'R&amp;S - Buildings'!$H$7*('R&amp;S - Buildings'!$B$12*('R&amp;S - Buildings'!$B$15+('R&amp;S - Buildings'!$B$16-'R&amp;S - Buildings'!$B$15)*('Yearly Butadiene'!BC$3-'Yearly Butadiene'!$N$3)/10))</f>
        <v>13166.39394214729</v>
      </c>
      <c r="BD27" s="99">
        <f>BD26*'R&amp;S - Buildings'!$H$7*('R&amp;S - Buildings'!$B$12*('R&amp;S - Buildings'!$B$15+('R&amp;S - Buildings'!$B$16-'R&amp;S - Buildings'!$B$15)*('Yearly Butadiene'!BD$3-'Yearly Butadiene'!$N$3)/10))</f>
        <v>13762.789152205463</v>
      </c>
      <c r="BE27" s="99">
        <f>BE26*'R&amp;S - Buildings'!$H$7*('R&amp;S - Buildings'!$B$12*('R&amp;S - Buildings'!$B$16+('R&amp;S - Buildings'!$B$17-'R&amp;S - Buildings'!$B$16)*('Yearly Butadiene'!BE$3-'Yearly Butadiene'!$X$3)/10))</f>
        <v>14370.941053086688</v>
      </c>
      <c r="BF27" s="99">
        <f>BF26*'R&amp;S - Buildings'!$H$7*('R&amp;S - Buildings'!$B$12*('R&amp;S - Buildings'!$B$16+('R&amp;S - Buildings'!$B$17-'R&amp;S - Buildings'!$B$16)*('Yearly Butadiene'!BF$3-'Yearly Butadiene'!$X$3)/10))</f>
        <v>14969.949436930337</v>
      </c>
      <c r="BG27" s="99">
        <f>BG26*'R&amp;S - Buildings'!$H$7*('R&amp;S - Buildings'!$B$12*('R&amp;S - Buildings'!$B$16+('R&amp;S - Buildings'!$B$17-'R&amp;S - Buildings'!$B$16)*('Yearly Butadiene'!BG$3-'Yearly Butadiene'!$X$3)/10))</f>
        <v>15559.912200783037</v>
      </c>
      <c r="BH27" s="99">
        <f>BH26*'R&amp;S - Buildings'!$H$7*('R&amp;S - Buildings'!$B$12*('R&amp;S - Buildings'!$B$16+('R&amp;S - Buildings'!$B$17-'R&amp;S - Buildings'!$B$16)*('Yearly Butadiene'!BH$3-'Yearly Butadiene'!$X$3)/10))</f>
        <v>16140.926321339337</v>
      </c>
      <c r="BI27" s="99">
        <f>BI26*'R&amp;S - Buildings'!$H$7*('R&amp;S - Buildings'!$B$12*('R&amp;S - Buildings'!$B$16+('R&amp;S - Buildings'!$B$17-'R&amp;S - Buildings'!$B$16)*('Yearly Butadiene'!BI$3-'Yearly Butadiene'!$X$3)/10))</f>
        <v>16713.087863014574</v>
      </c>
      <c r="BJ27" s="99">
        <f>BJ26*'R&amp;S - Buildings'!$H$7*('R&amp;S - Buildings'!$B$12*('R&amp;S - Buildings'!$B$16+('R&amp;S - Buildings'!$B$17-'R&amp;S - Buildings'!$B$16)*('Yearly Butadiene'!BJ$3-'Yearly Butadiene'!$X$3)/10))</f>
        <v>17276.49198594992</v>
      </c>
      <c r="BK27" s="99">
        <f>BK26*'R&amp;S - Buildings'!$H$7*('R&amp;S - Buildings'!$B$12*('R&amp;S - Buildings'!$B$16+('R&amp;S - Buildings'!$B$17-'R&amp;S - Buildings'!$B$16)*('Yearly Butadiene'!BK$3-'Yearly Butadiene'!$X$3)/10))</f>
        <v>17831.232953950152</v>
      </c>
      <c r="BL27" s="99">
        <f>BL26*'R&amp;S - Buildings'!$H$7*('R&amp;S - Buildings'!$B$12*('R&amp;S - Buildings'!$B$16+('R&amp;S - Buildings'!$B$17-'R&amp;S - Buildings'!$B$16)*('Yearly Butadiene'!BL$3-'Yearly Butadiene'!$X$3)/10))</f>
        <v>18377.40414235471</v>
      </c>
      <c r="BM27" s="99">
        <f>BM26*'R&amp;S - Buildings'!$H$7*('R&amp;S - Buildings'!$B$12*('R&amp;S - Buildings'!$B$16+('R&amp;S - Buildings'!$B$17-'R&amp;S - Buildings'!$B$16)*('Yearly Butadiene'!BM$3-'Yearly Butadiene'!$X$3)/10))</f>
        <v>18915.098045842591</v>
      </c>
      <c r="BN27" s="99">
        <f>BN26*'R&amp;S - Buildings'!$H$7*('R&amp;S - Buildings'!$B$12*('R&amp;S - Buildings'!$B$16+('R&amp;S - Buildings'!$B$17-'R&amp;S - Buildings'!$B$16)*('Yearly Butadiene'!BN$3-'Yearly Butadiene'!$X$3)/10))</f>
        <v>19444.406286171601</v>
      </c>
    </row>
    <row r="28" spans="1:88" outlineLevel="1">
      <c r="B28" s="1" t="s">
        <v>172</v>
      </c>
      <c r="C28" s="50" t="s">
        <v>1420</v>
      </c>
      <c r="D28" s="99">
        <v>0</v>
      </c>
      <c r="E28" s="99">
        <f>E26*'R&amp;S - Buildings'!$H$8*'R&amp;S - Buildings'!$C$11*'R&amp;S - Buildings'!$B$15*('Yearly Butadiene'!E$3-'Yearly Butadiene'!$D$3)/10</f>
        <v>0</v>
      </c>
      <c r="F28" s="99">
        <f>F26*'R&amp;S - Buildings'!$H$8*'R&amp;S - Buildings'!$C$11*'R&amp;S - Buildings'!$B$15*('Yearly Butadiene'!F$3-'Yearly Butadiene'!$D$3)/10</f>
        <v>0</v>
      </c>
      <c r="G28" s="99">
        <f>G26*'R&amp;S - Buildings'!$H$8*'R&amp;S - Buildings'!$C$11*'R&amp;S - Buildings'!$B$15*('Yearly Butadiene'!G$3-'Yearly Butadiene'!$D$3)/10</f>
        <v>0</v>
      </c>
      <c r="H28" s="99">
        <f>H26*'R&amp;S - Buildings'!$H$8*'R&amp;S - Buildings'!$C$11*'R&amp;S - Buildings'!$B$15*('Yearly Butadiene'!H$3-'Yearly Butadiene'!$D$3)/10</f>
        <v>0</v>
      </c>
      <c r="I28" s="99">
        <f>I26*'R&amp;S - Buildings'!$H$8*'R&amp;S - Buildings'!$C$11*'R&amp;S - Buildings'!$B$15*('Yearly Butadiene'!I$3-'Yearly Butadiene'!$D$3)/10</f>
        <v>0</v>
      </c>
      <c r="J28" s="99">
        <f>J26*'R&amp;S - Buildings'!$H$8*'R&amp;S - Buildings'!$C$11*'R&amp;S - Buildings'!$B$15*('Yearly Butadiene'!J$3-'Yearly Butadiene'!$D$3)/10</f>
        <v>0</v>
      </c>
      <c r="K28" s="99">
        <f>K26*'R&amp;S - Buildings'!$H$8*'R&amp;S - Buildings'!$C$11*'R&amp;S - Buildings'!$B$15*('Yearly Butadiene'!K$3-'Yearly Butadiene'!$D$3)/10</f>
        <v>0</v>
      </c>
      <c r="L28" s="99">
        <f>L26*'R&amp;S - Buildings'!$H$8*'R&amp;S - Buildings'!$C$11*'R&amp;S - Buildings'!$B$15*('Yearly Butadiene'!L$3-'Yearly Butadiene'!$D$3)/10</f>
        <v>0</v>
      </c>
      <c r="M28" s="99">
        <f>M26*'R&amp;S - Buildings'!$H$8*'R&amp;S - Buildings'!$C$11*'R&amp;S - Buildings'!$B$15*('Yearly Butadiene'!M$3-'Yearly Butadiene'!$D$3)/10</f>
        <v>0</v>
      </c>
      <c r="N28" s="99">
        <f>N26*'R&amp;S - Buildings'!$H$8*'R&amp;S - Buildings'!$C$11*'R&amp;S - Buildings'!$B$15*('Yearly Butadiene'!N$3-'Yearly Butadiene'!$D$3)/10</f>
        <v>0</v>
      </c>
      <c r="O28" s="99">
        <f>O26*'R&amp;S - Buildings'!$H$8*'R&amp;S - Buildings'!$C$11*('R&amp;S - Buildings'!$B$15+('R&amp;S - Buildings'!$B$16-'R&amp;S - Buildings'!$B$15)*('Yearly Butadiene'!O$3-'Yearly Butadiene'!$N$3)/10)</f>
        <v>0</v>
      </c>
      <c r="P28" s="99">
        <f>P26*'R&amp;S - Buildings'!$H$8*'R&amp;S - Buildings'!$C$11*('R&amp;S - Buildings'!$B$15+('R&amp;S - Buildings'!$B$16-'R&amp;S - Buildings'!$B$15)*('Yearly Butadiene'!P$3-'Yearly Butadiene'!$N$3)/10)</f>
        <v>0</v>
      </c>
      <c r="Q28" s="99">
        <f>Q26*'R&amp;S - Buildings'!$H$8*'R&amp;S - Buildings'!$C$11*('R&amp;S - Buildings'!$B$15+('R&amp;S - Buildings'!$B$16-'R&amp;S - Buildings'!$B$15)*('Yearly Butadiene'!Q$3-'Yearly Butadiene'!$N$3)/10)</f>
        <v>0</v>
      </c>
      <c r="R28" s="99">
        <f>R26*'R&amp;S - Buildings'!$H$8*'R&amp;S - Buildings'!$C$11*('R&amp;S - Buildings'!$B$15+('R&amp;S - Buildings'!$B$16-'R&amp;S - Buildings'!$B$15)*('Yearly Butadiene'!R$3-'Yearly Butadiene'!$N$3)/10)</f>
        <v>0</v>
      </c>
      <c r="S28" s="99">
        <f>S26*'R&amp;S - Buildings'!$H$8*'R&amp;S - Buildings'!$C$11*('R&amp;S - Buildings'!$B$15+('R&amp;S - Buildings'!$B$16-'R&amp;S - Buildings'!$B$15)*('Yearly Butadiene'!S$3-'Yearly Butadiene'!$N$3)/10)</f>
        <v>0</v>
      </c>
      <c r="T28" s="99">
        <f>T26*'R&amp;S - Buildings'!$H$8*'R&amp;S - Buildings'!$C$11*('R&amp;S - Buildings'!$B$15+('R&amp;S - Buildings'!$B$16-'R&amp;S - Buildings'!$B$15)*('Yearly Butadiene'!T$3-'Yearly Butadiene'!$N$3)/10)</f>
        <v>0</v>
      </c>
      <c r="U28" s="99">
        <f>U26*'R&amp;S - Buildings'!$H$8*'R&amp;S - Buildings'!$C$11*('R&amp;S - Buildings'!$B$15+('R&amp;S - Buildings'!$B$16-'R&amp;S - Buildings'!$B$15)*('Yearly Butadiene'!U$3-'Yearly Butadiene'!$N$3)/10)</f>
        <v>0</v>
      </c>
      <c r="V28" s="99">
        <f>V26*'R&amp;S - Buildings'!$H$8*'R&amp;S - Buildings'!$C$11*('R&amp;S - Buildings'!$B$15+('R&amp;S - Buildings'!$B$16-'R&amp;S - Buildings'!$B$15)*('Yearly Butadiene'!V$3-'Yearly Butadiene'!$N$3)/10)</f>
        <v>0</v>
      </c>
      <c r="W28" s="99">
        <f>W26*'R&amp;S - Buildings'!$H$8*'R&amp;S - Buildings'!$C$11*('R&amp;S - Buildings'!$B$15+('R&amp;S - Buildings'!$B$16-'R&amp;S - Buildings'!$B$15)*('Yearly Butadiene'!W$3-'Yearly Butadiene'!$N$3)/10)</f>
        <v>0</v>
      </c>
      <c r="X28" s="99">
        <f>X26*'R&amp;S - Buildings'!$H$8*'R&amp;S - Buildings'!$C$11*('R&amp;S - Buildings'!$B$15+('R&amp;S - Buildings'!$B$16-'R&amp;S - Buildings'!$B$15)*('Yearly Butadiene'!X$3-'Yearly Butadiene'!$N$3)/10)</f>
        <v>0</v>
      </c>
      <c r="Y28" s="99">
        <f>Y26*'R&amp;S - Buildings'!$H$8*'R&amp;S - Buildings'!$C$11*('R&amp;S - Buildings'!$B$16+('R&amp;S - Buildings'!$B$17-'R&amp;S - Buildings'!$B$16)*('Yearly Butadiene'!Y$3-'Yearly Butadiene'!$X$3)/10)</f>
        <v>0</v>
      </c>
      <c r="Z28" s="99">
        <f>Z26*'R&amp;S - Buildings'!$H$8*'R&amp;S - Buildings'!$C$11*('R&amp;S - Buildings'!$B$16+('R&amp;S - Buildings'!$B$17-'R&amp;S - Buildings'!$B$16)*('Yearly Butadiene'!Z$3-'Yearly Butadiene'!$X$3)/10)</f>
        <v>0</v>
      </c>
      <c r="AA28" s="99">
        <f>AA26*'R&amp;S - Buildings'!$H$8*'R&amp;S - Buildings'!$C$11*('R&amp;S - Buildings'!$B$16+('R&amp;S - Buildings'!$B$17-'R&amp;S - Buildings'!$B$16)*('Yearly Butadiene'!AA$3-'Yearly Butadiene'!$X$3)/10)</f>
        <v>0</v>
      </c>
      <c r="AB28" s="99">
        <f>AB26*'R&amp;S - Buildings'!$H$8*'R&amp;S - Buildings'!$C$11*('R&amp;S - Buildings'!$B$16+('R&amp;S - Buildings'!$B$17-'R&amp;S - Buildings'!$B$16)*('Yearly Butadiene'!AB$3-'Yearly Butadiene'!$X$3)/10)</f>
        <v>0</v>
      </c>
      <c r="AC28" s="99">
        <f>AC26*'R&amp;S - Buildings'!$H$8*'R&amp;S - Buildings'!$C$11*('R&amp;S - Buildings'!$B$16+('R&amp;S - Buildings'!$B$17-'R&amp;S - Buildings'!$B$16)*('Yearly Butadiene'!AC$3-'Yearly Butadiene'!$X$3)/10)</f>
        <v>0</v>
      </c>
      <c r="AD28" s="99">
        <f>AD26*'R&amp;S - Buildings'!$H$8*'R&amp;S - Buildings'!$C$11*('R&amp;S - Buildings'!$B$16+('R&amp;S - Buildings'!$B$17-'R&amp;S - Buildings'!$B$16)*('Yearly Butadiene'!AD$3-'Yearly Butadiene'!$X$3)/10)</f>
        <v>0</v>
      </c>
      <c r="AE28" s="99">
        <f>AE26*'R&amp;S - Buildings'!$H$8*'R&amp;S - Buildings'!$C$11*('R&amp;S - Buildings'!$B$16+('R&amp;S - Buildings'!$B$17-'R&amp;S - Buildings'!$B$16)*('Yearly Butadiene'!AE$3-'Yearly Butadiene'!$X$3)/10)</f>
        <v>0</v>
      </c>
      <c r="AF28" s="99">
        <f>AF26*'R&amp;S - Buildings'!$H$8*'R&amp;S - Buildings'!$C$11*('R&amp;S - Buildings'!$B$16+('R&amp;S - Buildings'!$B$17-'R&amp;S - Buildings'!$B$16)*('Yearly Butadiene'!AF$3-'Yearly Butadiene'!$X$3)/10)</f>
        <v>0</v>
      </c>
      <c r="AG28" s="99">
        <f>AG26*'R&amp;S - Buildings'!$H$8*'R&amp;S - Buildings'!$C$11*('R&amp;S - Buildings'!$B$16+('R&amp;S - Buildings'!$B$17-'R&amp;S - Buildings'!$B$16)*('Yearly Butadiene'!AG$3-'Yearly Butadiene'!$X$3)/10)</f>
        <v>0</v>
      </c>
      <c r="AH28" s="99">
        <f>AH26*'R&amp;S - Buildings'!$H$8*'R&amp;S - Buildings'!$C$11*('R&amp;S - Buildings'!$B$16+('R&amp;S - Buildings'!$B$17-'R&amp;S - Buildings'!$B$16)*('Yearly Butadiene'!AH$3-'Yearly Butadiene'!$X$3)/10)</f>
        <v>0</v>
      </c>
      <c r="AI28" s="178"/>
      <c r="AJ28" s="99">
        <v>0</v>
      </c>
      <c r="AK28" s="99">
        <f>AK26*'R&amp;S - Buildings'!$H$8*'R&amp;S - Buildings'!$C$12*'R&amp;S - Buildings'!$B$15*('Yearly Butadiene'!AK$3-'Yearly Butadiene'!$D$3)/10</f>
        <v>0</v>
      </c>
      <c r="AL28" s="99">
        <f>AL26*'R&amp;S - Buildings'!$H$8*'R&amp;S - Buildings'!$C$12*'R&amp;S - Buildings'!$B$15*('Yearly Butadiene'!AL$3-'Yearly Butadiene'!$D$3)/10</f>
        <v>0</v>
      </c>
      <c r="AM28" s="99">
        <f>AM26*'R&amp;S - Buildings'!$H$8*'R&amp;S - Buildings'!$C$12*'R&amp;S - Buildings'!$B$15*('Yearly Butadiene'!AM$3-'Yearly Butadiene'!$D$3)/10</f>
        <v>0</v>
      </c>
      <c r="AN28" s="99">
        <f>AN26*'R&amp;S - Buildings'!$H$8*'R&amp;S - Buildings'!$C$12*'R&amp;S - Buildings'!$B$15*('Yearly Butadiene'!AN$3-'Yearly Butadiene'!$D$3)/10</f>
        <v>0</v>
      </c>
      <c r="AO28" s="99">
        <f>AO26*'R&amp;S - Buildings'!$H$8*'R&amp;S - Buildings'!$C$12*'R&amp;S - Buildings'!$B$15*('Yearly Butadiene'!AO$3-'Yearly Butadiene'!$D$3)/10</f>
        <v>0</v>
      </c>
      <c r="AP28" s="99">
        <f>AP26*'R&amp;S - Buildings'!$H$8*'R&amp;S - Buildings'!$C$12*'R&amp;S - Buildings'!$B$15*('Yearly Butadiene'!AP$3-'Yearly Butadiene'!$D$3)/10</f>
        <v>0</v>
      </c>
      <c r="AQ28" s="99">
        <f>AQ26*'R&amp;S - Buildings'!$H$8*'R&amp;S - Buildings'!$C$12*'R&amp;S - Buildings'!$B$15*('Yearly Butadiene'!AQ$3-'Yearly Butadiene'!$D$3)/10</f>
        <v>0</v>
      </c>
      <c r="AR28" s="99">
        <f>AR26*'R&amp;S - Buildings'!$H$8*'R&amp;S - Buildings'!$C$12*'R&amp;S - Buildings'!$B$15*('Yearly Butadiene'!AR$3-'Yearly Butadiene'!$D$3)/10</f>
        <v>0</v>
      </c>
      <c r="AS28" s="99">
        <f>AS26*'R&amp;S - Buildings'!$H$8*'R&amp;S - Buildings'!$C$12*'R&amp;S - Buildings'!$B$15*('Yearly Butadiene'!AS$3-'Yearly Butadiene'!$D$3)/10</f>
        <v>0</v>
      </c>
      <c r="AT28" s="99">
        <f>AT26*'R&amp;S - Buildings'!$H$8*'R&amp;S - Buildings'!$C$12*'R&amp;S - Buildings'!$B$15*('Yearly Butadiene'!AT$3-'Yearly Butadiene'!$D$3)/10</f>
        <v>0</v>
      </c>
      <c r="AU28" s="99">
        <f>AU26*'R&amp;S - Buildings'!$H$8*'R&amp;S - Buildings'!$C$12*('R&amp;S - Buildings'!$B$15+('R&amp;S - Buildings'!$B$16-'R&amp;S - Buildings'!$B$15)*('Yearly Butadiene'!AU$3-'Yearly Butadiene'!$N$3)/10)</f>
        <v>0</v>
      </c>
      <c r="AV28" s="99">
        <f>AV26*'R&amp;S - Buildings'!$H$8*'R&amp;S - Buildings'!$C$12*('R&amp;S - Buildings'!$B$15+('R&amp;S - Buildings'!$B$16-'R&amp;S - Buildings'!$B$15)*('Yearly Butadiene'!AV$3-'Yearly Butadiene'!$N$3)/10)</f>
        <v>0</v>
      </c>
      <c r="AW28" s="99">
        <f>AW26*'R&amp;S - Buildings'!$H$8*'R&amp;S - Buildings'!$C$12*('R&amp;S - Buildings'!$B$15+('R&amp;S - Buildings'!$B$16-'R&amp;S - Buildings'!$B$15)*('Yearly Butadiene'!AW$3-'Yearly Butadiene'!$N$3)/10)</f>
        <v>0</v>
      </c>
      <c r="AX28" s="99">
        <f>AX26*'R&amp;S - Buildings'!$H$8*'R&amp;S - Buildings'!$C$12*('R&amp;S - Buildings'!$B$15+('R&amp;S - Buildings'!$B$16-'R&amp;S - Buildings'!$B$15)*('Yearly Butadiene'!AX$3-'Yearly Butadiene'!$N$3)/10)</f>
        <v>0</v>
      </c>
      <c r="AY28" s="99">
        <f>AY26*'R&amp;S - Buildings'!$H$8*'R&amp;S - Buildings'!$C$12*('R&amp;S - Buildings'!$B$15+('R&amp;S - Buildings'!$B$16-'R&amp;S - Buildings'!$B$15)*('Yearly Butadiene'!AY$3-'Yearly Butadiene'!$N$3)/10)</f>
        <v>0</v>
      </c>
      <c r="AZ28" s="99">
        <f>AZ26*'R&amp;S - Buildings'!$H$8*'R&amp;S - Buildings'!$C$12*('R&amp;S - Buildings'!$B$15+('R&amp;S - Buildings'!$B$16-'R&amp;S - Buildings'!$B$15)*('Yearly Butadiene'!AZ$3-'Yearly Butadiene'!$N$3)/10)</f>
        <v>0</v>
      </c>
      <c r="BA28" s="99">
        <f>BA26*'R&amp;S - Buildings'!$H$8*'R&amp;S - Buildings'!$C$12*('R&amp;S - Buildings'!$B$15+('R&amp;S - Buildings'!$B$16-'R&amp;S - Buildings'!$B$15)*('Yearly Butadiene'!BA$3-'Yearly Butadiene'!$N$3)/10)</f>
        <v>0</v>
      </c>
      <c r="BB28" s="99">
        <f>BB26*'R&amp;S - Buildings'!$H$8*'R&amp;S - Buildings'!$C$12*('R&amp;S - Buildings'!$B$15+('R&amp;S - Buildings'!$B$16-'R&amp;S - Buildings'!$B$15)*('Yearly Butadiene'!BB$3-'Yearly Butadiene'!$N$3)/10)</f>
        <v>0</v>
      </c>
      <c r="BC28" s="99">
        <f>BC26*'R&amp;S - Buildings'!$H$8*'R&amp;S - Buildings'!$C$12*('R&amp;S - Buildings'!$B$15+('R&amp;S - Buildings'!$B$16-'R&amp;S - Buildings'!$B$15)*('Yearly Butadiene'!BC$3-'Yearly Butadiene'!$N$3)/10)</f>
        <v>0</v>
      </c>
      <c r="BD28" s="99">
        <f>BD26*'R&amp;S - Buildings'!$H$8*'R&amp;S - Buildings'!$C$12*('R&amp;S - Buildings'!$B$15+('R&amp;S - Buildings'!$B$16-'R&amp;S - Buildings'!$B$15)*('Yearly Butadiene'!BD$3-'Yearly Butadiene'!$N$3)/10)</f>
        <v>0</v>
      </c>
      <c r="BE28" s="99">
        <f>BE26*'R&amp;S - Buildings'!$H$8*'R&amp;S - Buildings'!$C$12*('R&amp;S - Buildings'!$B$16+('R&amp;S - Buildings'!$B$17-'R&amp;S - Buildings'!$B$16)*('Yearly Butadiene'!BE$3-'Yearly Butadiene'!$X$3)/10)</f>
        <v>0</v>
      </c>
      <c r="BF28" s="99">
        <f>BF26*'R&amp;S - Buildings'!$H$8*'R&amp;S - Buildings'!$C$12*('R&amp;S - Buildings'!$B$16+('R&amp;S - Buildings'!$B$17-'R&amp;S - Buildings'!$B$16)*('Yearly Butadiene'!BF$3-'Yearly Butadiene'!$X$3)/10)</f>
        <v>0</v>
      </c>
      <c r="BG28" s="99">
        <f>BG26*'R&amp;S - Buildings'!$H$8*'R&amp;S - Buildings'!$C$12*('R&amp;S - Buildings'!$B$16+('R&amp;S - Buildings'!$B$17-'R&amp;S - Buildings'!$B$16)*('Yearly Butadiene'!BG$3-'Yearly Butadiene'!$X$3)/10)</f>
        <v>0</v>
      </c>
      <c r="BH28" s="99">
        <f>BH26*'R&amp;S - Buildings'!$H$8*'R&amp;S - Buildings'!$C$12*('R&amp;S - Buildings'!$B$16+('R&amp;S - Buildings'!$B$17-'R&amp;S - Buildings'!$B$16)*('Yearly Butadiene'!BH$3-'Yearly Butadiene'!$X$3)/10)</f>
        <v>0</v>
      </c>
      <c r="BI28" s="99">
        <f>BI26*'R&amp;S - Buildings'!$H$8*'R&amp;S - Buildings'!$C$12*('R&amp;S - Buildings'!$B$16+('R&amp;S - Buildings'!$B$17-'R&amp;S - Buildings'!$B$16)*('Yearly Butadiene'!BI$3-'Yearly Butadiene'!$X$3)/10)</f>
        <v>0</v>
      </c>
      <c r="BJ28" s="99">
        <f>BJ26*'R&amp;S - Buildings'!$H$8*'R&amp;S - Buildings'!$C$12*('R&amp;S - Buildings'!$B$16+('R&amp;S - Buildings'!$B$17-'R&amp;S - Buildings'!$B$16)*('Yearly Butadiene'!BJ$3-'Yearly Butadiene'!$X$3)/10)</f>
        <v>0</v>
      </c>
      <c r="BK28" s="99">
        <f>BK26*'R&amp;S - Buildings'!$H$8*'R&amp;S - Buildings'!$C$12*('R&amp;S - Buildings'!$B$16+('R&amp;S - Buildings'!$B$17-'R&amp;S - Buildings'!$B$16)*('Yearly Butadiene'!BK$3-'Yearly Butadiene'!$X$3)/10)</f>
        <v>0</v>
      </c>
      <c r="BL28" s="99">
        <f>BL26*'R&amp;S - Buildings'!$H$8*'R&amp;S - Buildings'!$C$12*('R&amp;S - Buildings'!$B$16+('R&amp;S - Buildings'!$B$17-'R&amp;S - Buildings'!$B$16)*('Yearly Butadiene'!BL$3-'Yearly Butadiene'!$X$3)/10)</f>
        <v>0</v>
      </c>
      <c r="BM28" s="99">
        <f>BM26*'R&amp;S - Buildings'!$H$8*'R&amp;S - Buildings'!$C$12*('R&amp;S - Buildings'!$B$16+('R&amp;S - Buildings'!$B$17-'R&amp;S - Buildings'!$B$16)*('Yearly Butadiene'!BM$3-'Yearly Butadiene'!$X$3)/10)</f>
        <v>0</v>
      </c>
      <c r="BN28" s="99">
        <f>BN26*'R&amp;S - Buildings'!$H$8*'R&amp;S - Buildings'!$C$12*('R&amp;S - Buildings'!$B$16+('R&amp;S - Buildings'!$B$17-'R&amp;S - Buildings'!$B$16)*('Yearly Butadiene'!BN$3-'Yearly Butadiene'!$X$3)/10)</f>
        <v>0</v>
      </c>
    </row>
    <row r="29" spans="1:88" outlineLevel="1">
      <c r="B29" s="1" t="s">
        <v>200</v>
      </c>
      <c r="C29" s="60" t="s">
        <v>1420</v>
      </c>
      <c r="D29" s="574">
        <f>D26-D27-D28</f>
        <v>109012.30133357966</v>
      </c>
      <c r="E29" s="574">
        <f t="shared" ref="E29:AG29" si="27">E26-E27-E28</f>
        <v>106287.91042538382</v>
      </c>
      <c r="F29" s="574">
        <f t="shared" si="27"/>
        <v>103596.19399511235</v>
      </c>
      <c r="G29" s="574">
        <f t="shared" si="27"/>
        <v>100936.82896696401</v>
      </c>
      <c r="H29" s="574">
        <f t="shared" si="27"/>
        <v>98309.495181089034</v>
      </c>
      <c r="I29" s="574">
        <f t="shared" si="27"/>
        <v>95713.875368638677</v>
      </c>
      <c r="J29" s="574">
        <f t="shared" si="27"/>
        <v>93149.655127020771</v>
      </c>
      <c r="K29" s="574">
        <f t="shared" si="27"/>
        <v>90616.522895359958</v>
      </c>
      <c r="L29" s="574">
        <f t="shared" si="27"/>
        <v>88114.169930160599</v>
      </c>
      <c r="M29" s="574">
        <f t="shared" si="27"/>
        <v>85642.290281170921</v>
      </c>
      <c r="N29" s="574">
        <f t="shared" si="27"/>
        <v>83200.580767446692</v>
      </c>
      <c r="O29" s="574">
        <f t="shared" si="27"/>
        <v>80788.740953612913</v>
      </c>
      <c r="P29" s="574">
        <f t="shared" si="27"/>
        <v>78406.473126321856</v>
      </c>
      <c r="Q29" s="574">
        <f t="shared" si="27"/>
        <v>76053.482270905777</v>
      </c>
      <c r="R29" s="574">
        <f t="shared" si="27"/>
        <v>73729.476048223063</v>
      </c>
      <c r="S29" s="574">
        <f t="shared" si="27"/>
        <v>71434.164771695738</v>
      </c>
      <c r="T29" s="574">
        <f t="shared" si="27"/>
        <v>69167.26138453724</v>
      </c>
      <c r="U29" s="574">
        <f t="shared" si="27"/>
        <v>66928.481437168783</v>
      </c>
      <c r="V29" s="574">
        <f t="shared" si="27"/>
        <v>64717.543064822705</v>
      </c>
      <c r="W29" s="574">
        <f t="shared" si="27"/>
        <v>62534.166965331286</v>
      </c>
      <c r="X29" s="574">
        <f t="shared" si="27"/>
        <v>60378.076377099715</v>
      </c>
      <c r="Y29" s="574">
        <f t="shared" si="27"/>
        <v>58197.228537617877</v>
      </c>
      <c r="Z29" s="574">
        <f t="shared" si="27"/>
        <v>56043.841673223222</v>
      </c>
      <c r="AA29" s="574">
        <f t="shared" si="27"/>
        <v>53917.63897300684</v>
      </c>
      <c r="AB29" s="574">
        <f t="shared" si="27"/>
        <v>51818.346150393867</v>
      </c>
      <c r="AC29" s="574">
        <f t="shared" si="27"/>
        <v>49745.691421404263</v>
      </c>
      <c r="AD29" s="574">
        <f t="shared" si="27"/>
        <v>47699.405483094037</v>
      </c>
      <c r="AE29" s="574">
        <f t="shared" si="27"/>
        <v>45679.221492175391</v>
      </c>
      <c r="AF29" s="574">
        <f t="shared" si="27"/>
        <v>43684.875043814296</v>
      </c>
      <c r="AG29" s="574">
        <f t="shared" si="27"/>
        <v>41716.104150604275</v>
      </c>
      <c r="AH29" s="574">
        <f>AH26-AH27-AH28</f>
        <v>39772.64922171463</v>
      </c>
      <c r="AI29" s="178"/>
      <c r="AJ29" s="574">
        <f>AJ26-AJ27-AJ28</f>
        <v>109012.30133357966</v>
      </c>
      <c r="AK29" s="574">
        <f t="shared" ref="AK29:BM29" si="28">AK26-AK27-AK28</f>
        <v>107466.78229433777</v>
      </c>
      <c r="AL29" s="574">
        <f t="shared" si="28"/>
        <v>105937.50882878833</v>
      </c>
      <c r="AM29" s="574">
        <f t="shared" si="28"/>
        <v>104424.32957756176</v>
      </c>
      <c r="AN29" s="574">
        <f t="shared" si="28"/>
        <v>102927.09450186566</v>
      </c>
      <c r="AO29" s="574">
        <f t="shared" si="28"/>
        <v>101445.65487243012</v>
      </c>
      <c r="AP29" s="574">
        <f t="shared" si="28"/>
        <v>99979.86325854309</v>
      </c>
      <c r="AQ29" s="574">
        <f t="shared" si="28"/>
        <v>98529.573517174824</v>
      </c>
      <c r="AR29" s="574">
        <f t="shared" si="28"/>
        <v>97094.640782191011</v>
      </c>
      <c r="AS29" s="574">
        <f t="shared" si="28"/>
        <v>95674.921453653515</v>
      </c>
      <c r="AT29" s="574">
        <f t="shared" si="28"/>
        <v>94270.273187208382</v>
      </c>
      <c r="AU29" s="574">
        <f t="shared" si="28"/>
        <v>92880.55488356018</v>
      </c>
      <c r="AV29" s="574">
        <f t="shared" si="28"/>
        <v>91505.626678032073</v>
      </c>
      <c r="AW29" s="574">
        <f t="shared" si="28"/>
        <v>90145.349930210985</v>
      </c>
      <c r="AX29" s="574">
        <f t="shared" si="28"/>
        <v>88799.587213677005</v>
      </c>
      <c r="AY29" s="574">
        <f t="shared" si="28"/>
        <v>87468.202305816652</v>
      </c>
      <c r="AZ29" s="574">
        <f t="shared" si="28"/>
        <v>86151.060177718988</v>
      </c>
      <c r="BA29" s="574">
        <f t="shared" si="28"/>
        <v>84848.026984154189</v>
      </c>
      <c r="BB29" s="574">
        <f t="shared" si="28"/>
        <v>83558.97005363385</v>
      </c>
      <c r="BC29" s="574">
        <f t="shared" si="28"/>
        <v>82283.75787855222</v>
      </c>
      <c r="BD29" s="574">
        <f t="shared" si="28"/>
        <v>81022.260105407913</v>
      </c>
      <c r="BE29" s="574">
        <f t="shared" si="28"/>
        <v>79753.640117247909</v>
      </c>
      <c r="BF29" s="574">
        <f t="shared" si="28"/>
        <v>78498.765828618722</v>
      </c>
      <c r="BG29" s="574">
        <f t="shared" si="28"/>
        <v>77257.507274181407</v>
      </c>
      <c r="BH29" s="574">
        <f t="shared" si="28"/>
        <v>76029.735632402866</v>
      </c>
      <c r="BI29" s="574">
        <f t="shared" si="28"/>
        <v>74815.323215926124</v>
      </c>
      <c r="BJ29" s="574">
        <f t="shared" si="28"/>
        <v>73614.143462018925</v>
      </c>
      <c r="BK29" s="574">
        <f t="shared" si="28"/>
        <v>72426.070923100619</v>
      </c>
      <c r="BL29" s="574">
        <f t="shared" si="28"/>
        <v>71250.981257346371</v>
      </c>
      <c r="BM29" s="574">
        <f t="shared" si="28"/>
        <v>70088.751219368161</v>
      </c>
      <c r="BN29" s="574">
        <f>BN26-BN27-BN28</f>
        <v>68939.258650972042</v>
      </c>
    </row>
    <row r="30" spans="1:88" s="61" customFormat="1" outlineLevel="1">
      <c r="A30" s="54" t="s">
        <v>261</v>
      </c>
      <c r="B30" s="54" t="s">
        <v>179</v>
      </c>
      <c r="C30" s="55" t="s">
        <v>1420</v>
      </c>
      <c r="D30" s="572">
        <f>'Demand - C4'!O29</f>
        <v>9040.6811006642947</v>
      </c>
      <c r="E30" s="572">
        <f>D30*(1+'Demand - C4'!$K$29)</f>
        <v>8977.6850754364714</v>
      </c>
      <c r="F30" s="572">
        <f>E30*(1+'Demand - C4'!$K$29)</f>
        <v>8915.1280104098005</v>
      </c>
      <c r="G30" s="572">
        <f>F30*(1+'Demand - C4'!$K$29)</f>
        <v>8853.0068468824447</v>
      </c>
      <c r="H30" s="572">
        <f>G30*(1+'Demand - C4'!$K$29)</f>
        <v>8791.3185474657876</v>
      </c>
      <c r="I30" s="572">
        <f>H30*(1+'Demand - C4'!$K$29)</f>
        <v>8730.0600959359253</v>
      </c>
      <c r="J30" s="572">
        <f>I30*(1+'Demand - C4'!$K$29)</f>
        <v>8669.2284970861911</v>
      </c>
      <c r="K30" s="572">
        <f>J30*(1+'Demand - C4'!$K$29)</f>
        <v>8608.8207765807001</v>
      </c>
      <c r="L30" s="572">
        <f>K30*(1+'Demand - C4'!$K$29)</f>
        <v>8548.8339808089258</v>
      </c>
      <c r="M30" s="572">
        <f>L30*(1+'Demand - C4'!$K$29)</f>
        <v>8489.2651767412844</v>
      </c>
      <c r="N30" s="572">
        <f>M30*(1+'Demand - C4'!$K$29)</f>
        <v>8430.1114517857186</v>
      </c>
      <c r="O30" s="572">
        <f>N30*(1+'Demand - C4'!$K$29)</f>
        <v>8371.3699136452979</v>
      </c>
      <c r="P30" s="572">
        <f>O30*(1+'Demand - C4'!$K$29)</f>
        <v>8313.0376901767941</v>
      </c>
      <c r="Q30" s="572">
        <f>P30*(1+'Demand - C4'!$K$29)</f>
        <v>8255.1119292502481</v>
      </c>
      <c r="R30" s="572">
        <f>Q30*(1+'Demand - C4'!$K$29)</f>
        <v>8197.5897986095224</v>
      </c>
      <c r="S30" s="572">
        <f>R30*(1+'Demand - C4'!$K$29)</f>
        <v>8140.4684857338143</v>
      </c>
      <c r="T30" s="572">
        <f>S30*(1+'Demand - C4'!$K$29)</f>
        <v>8083.7451977001392</v>
      </c>
      <c r="U30" s="572">
        <f>T30*(1+'Demand - C4'!$K$29)</f>
        <v>8027.4171610467738</v>
      </c>
      <c r="V30" s="572">
        <f>U30*(1+'Demand - C4'!$K$29)</f>
        <v>7971.4816216376466</v>
      </c>
      <c r="W30" s="572">
        <f>V30*(1+'Demand - C4'!$K$29)</f>
        <v>7915.9358445276775</v>
      </c>
      <c r="X30" s="572">
        <f>W30*(1+'Demand - C4'!$K$29)</f>
        <v>7860.7771138290527</v>
      </c>
      <c r="Y30" s="572">
        <f>X30*(1+'Demand - C4'!$K$29)</f>
        <v>7806.0027325784322</v>
      </c>
      <c r="Z30" s="572">
        <f>Y30*(1+'Demand - C4'!$K$29)</f>
        <v>7751.6100226050839</v>
      </c>
      <c r="AA30" s="572">
        <f>Z30*(1+'Demand - C4'!$K$29)</f>
        <v>7697.5963243999349</v>
      </c>
      <c r="AB30" s="572">
        <f>AA30*(1+'Demand - C4'!$K$29)</f>
        <v>7643.9589969855369</v>
      </c>
      <c r="AC30" s="572">
        <f>AB30*(1+'Demand - C4'!$K$29)</f>
        <v>7590.6954177869338</v>
      </c>
      <c r="AD30" s="572">
        <f>AC30*(1+'Demand - C4'!$K$29)</f>
        <v>7537.8029825034364</v>
      </c>
      <c r="AE30" s="572">
        <f>AD30*(1+'Demand - C4'!$K$29)</f>
        <v>7485.2791049812822</v>
      </c>
      <c r="AF30" s="572">
        <f>AE30*(1+'Demand - C4'!$K$29)</f>
        <v>7433.1212170871895</v>
      </c>
      <c r="AG30" s="572">
        <f>AF30*(1+'Demand - C4'!$K$29)</f>
        <v>7381.3267685827859</v>
      </c>
      <c r="AH30" s="572">
        <f>AG30*(1+'Demand - C4'!$K$29)</f>
        <v>7329.8932269999204</v>
      </c>
      <c r="AI30" s="580"/>
      <c r="AJ30" s="572">
        <f>D30</f>
        <v>9040.6811006642947</v>
      </c>
      <c r="AK30" s="572">
        <f t="shared" ref="AK30:BN30" si="29">E30</f>
        <v>8977.6850754364714</v>
      </c>
      <c r="AL30" s="572">
        <f t="shared" si="29"/>
        <v>8915.1280104098005</v>
      </c>
      <c r="AM30" s="572">
        <f t="shared" si="29"/>
        <v>8853.0068468824447</v>
      </c>
      <c r="AN30" s="572">
        <f t="shared" si="29"/>
        <v>8791.3185474657876</v>
      </c>
      <c r="AO30" s="572">
        <f t="shared" si="29"/>
        <v>8730.0600959359253</v>
      </c>
      <c r="AP30" s="572">
        <f t="shared" si="29"/>
        <v>8669.2284970861911</v>
      </c>
      <c r="AQ30" s="572">
        <f t="shared" si="29"/>
        <v>8608.8207765807001</v>
      </c>
      <c r="AR30" s="572">
        <f t="shared" si="29"/>
        <v>8548.8339808089258</v>
      </c>
      <c r="AS30" s="572">
        <f t="shared" si="29"/>
        <v>8489.2651767412844</v>
      </c>
      <c r="AT30" s="572">
        <f t="shared" si="29"/>
        <v>8430.1114517857186</v>
      </c>
      <c r="AU30" s="572">
        <f t="shared" si="29"/>
        <v>8371.3699136452979</v>
      </c>
      <c r="AV30" s="572">
        <f t="shared" si="29"/>
        <v>8313.0376901767941</v>
      </c>
      <c r="AW30" s="572">
        <f t="shared" si="29"/>
        <v>8255.1119292502481</v>
      </c>
      <c r="AX30" s="572">
        <f t="shared" si="29"/>
        <v>8197.5897986095224</v>
      </c>
      <c r="AY30" s="572">
        <f t="shared" si="29"/>
        <v>8140.4684857338143</v>
      </c>
      <c r="AZ30" s="572">
        <f t="shared" si="29"/>
        <v>8083.7451977001392</v>
      </c>
      <c r="BA30" s="572">
        <f t="shared" si="29"/>
        <v>8027.4171610467738</v>
      </c>
      <c r="BB30" s="572">
        <f t="shared" si="29"/>
        <v>7971.4816216376466</v>
      </c>
      <c r="BC30" s="572">
        <f t="shared" si="29"/>
        <v>7915.9358445276775</v>
      </c>
      <c r="BD30" s="572">
        <f t="shared" si="29"/>
        <v>7860.7771138290527</v>
      </c>
      <c r="BE30" s="572">
        <f t="shared" si="29"/>
        <v>7806.0027325784322</v>
      </c>
      <c r="BF30" s="572">
        <f t="shared" si="29"/>
        <v>7751.6100226050839</v>
      </c>
      <c r="BG30" s="572">
        <f t="shared" si="29"/>
        <v>7697.5963243999349</v>
      </c>
      <c r="BH30" s="572">
        <f t="shared" si="29"/>
        <v>7643.9589969855369</v>
      </c>
      <c r="BI30" s="572">
        <f t="shared" si="29"/>
        <v>7590.6954177869338</v>
      </c>
      <c r="BJ30" s="572">
        <f t="shared" si="29"/>
        <v>7537.8029825034364</v>
      </c>
      <c r="BK30" s="572">
        <f t="shared" si="29"/>
        <v>7485.2791049812822</v>
      </c>
      <c r="BL30" s="572">
        <f t="shared" si="29"/>
        <v>7433.1212170871895</v>
      </c>
      <c r="BM30" s="572">
        <f t="shared" si="29"/>
        <v>7381.3267685827859</v>
      </c>
      <c r="BN30" s="572">
        <f t="shared" si="29"/>
        <v>7329.8932269999204</v>
      </c>
      <c r="BQ30" s="649"/>
      <c r="BR30" s="649"/>
      <c r="BS30" s="649"/>
      <c r="BT30" s="649"/>
      <c r="BU30" s="649"/>
      <c r="BV30" s="649"/>
      <c r="BW30" s="649"/>
      <c r="BX30" s="649"/>
      <c r="BY30" s="649"/>
      <c r="BZ30" s="649"/>
      <c r="CA30" s="649"/>
      <c r="CB30" s="649"/>
      <c r="CC30" s="649"/>
      <c r="CD30" s="649"/>
      <c r="CE30" s="649"/>
      <c r="CF30" s="649"/>
      <c r="CG30" s="649"/>
      <c r="CH30" s="649"/>
      <c r="CI30" s="649"/>
      <c r="CJ30" s="649"/>
    </row>
    <row r="31" spans="1:88" outlineLevel="1">
      <c r="B31" s="57" t="s">
        <v>201</v>
      </c>
      <c r="C31" s="50" t="s">
        <v>1420</v>
      </c>
      <c r="D31" s="183">
        <f>D30*'R&amp;S - Apparel'!$C$7*'R&amp;S - Apparel'!$B$13*'R&amp;S - Apparel'!$B$17*(D$3-$D$3)/10</f>
        <v>0</v>
      </c>
      <c r="E31" s="183">
        <f>E30*'R&amp;S - Apparel'!$C$7*'R&amp;S - Apparel'!$B$13*'R&amp;S - Apparel'!$B$17*(E$3-$D$3)/10</f>
        <v>157.10948882013824</v>
      </c>
      <c r="F31" s="183">
        <f>F30*'R&amp;S - Apparel'!$C$7*'R&amp;S - Apparel'!$B$13*'R&amp;S - Apparel'!$B$17*(F$3-$D$3)/10</f>
        <v>312.02948036434299</v>
      </c>
      <c r="G31" s="183">
        <f>G30*'R&amp;S - Apparel'!$C$7*'R&amp;S - Apparel'!$B$13*'R&amp;S - Apparel'!$B$17*(G$3-$D$3)/10</f>
        <v>464.78285946132837</v>
      </c>
      <c r="H31" s="183">
        <f>H30*'R&amp;S - Apparel'!$C$7*'R&amp;S - Apparel'!$B$13*'R&amp;S - Apparel'!$B$17*(H$3-$D$3)/10</f>
        <v>615.39229832260503</v>
      </c>
      <c r="I31" s="183">
        <f>I30*'R&amp;S - Apparel'!$C$7*'R&amp;S - Apparel'!$B$13*'R&amp;S - Apparel'!$B$17*(I$3-$D$3)/10</f>
        <v>763.88025839439342</v>
      </c>
      <c r="J31" s="183">
        <f>J30*'R&amp;S - Apparel'!$C$7*'R&amp;S - Apparel'!$B$13*'R&amp;S - Apparel'!$B$17*(J$3-$D$3)/10</f>
        <v>910.26899219404982</v>
      </c>
      <c r="K31" s="183">
        <f>K30*'R&amp;S - Apparel'!$C$7*'R&amp;S - Apparel'!$B$13*'R&amp;S - Apparel'!$B$17*(K$3-$D$3)/10</f>
        <v>1054.5805451311358</v>
      </c>
      <c r="L31" s="183">
        <f>L30*'R&amp;S - Apparel'!$C$7*'R&amp;S - Apparel'!$B$13*'R&amp;S - Apparel'!$B$17*(L$3-$D$3)/10</f>
        <v>1196.8367573132496</v>
      </c>
      <c r="M31" s="183">
        <f>M30*'R&amp;S - Apparel'!$C$7*'R&amp;S - Apparel'!$B$13*'R&amp;S - Apparel'!$B$17*(M$3-$D$3)/10</f>
        <v>1337.0592653367523</v>
      </c>
      <c r="N31" s="183">
        <f>N30*'R&amp;S - Apparel'!$C$7*'R&amp;S - Apparel'!$B$13*'R&amp;S - Apparel'!$B$17*(N$3-$D$3)/10</f>
        <v>1475.2695040625006</v>
      </c>
      <c r="O31" s="183">
        <f>O30*'R&amp;S - Apparel'!$C$7*'R&amp;S - Apparel'!$B$13*('R&amp;S - Apparel'!$B$17+('R&amp;S - Apparel'!$B$18-'R&amp;S - Apparel'!$B$17)*(O$3-$N$3)/10)</f>
        <v>1506.8465844561536</v>
      </c>
      <c r="P31" s="183">
        <f>P30*'R&amp;S - Apparel'!$C$7*'R&amp;S - Apparel'!$B$13*('R&amp;S - Apparel'!$B$17+('R&amp;S - Apparel'!$B$18-'R&amp;S - Apparel'!$B$17)*(P$3-$N$3)/10)</f>
        <v>1537.9119726827068</v>
      </c>
      <c r="Q31" s="183">
        <f>Q30*'R&amp;S - Apparel'!$C$7*'R&amp;S - Apparel'!$B$13*('R&amp;S - Apparel'!$B$17+('R&amp;S - Apparel'!$B$18-'R&amp;S - Apparel'!$B$17)*(Q$3-$N$3)/10)</f>
        <v>1568.4712665575471</v>
      </c>
      <c r="R31" s="183">
        <f>R30*'R&amp;S - Apparel'!$C$7*'R&amp;S - Apparel'!$B$13*('R&amp;S - Apparel'!$B$17+('R&amp;S - Apparel'!$B$18-'R&amp;S - Apparel'!$B$17)*(R$3-$N$3)/10)</f>
        <v>1598.530010728857</v>
      </c>
      <c r="S31" s="183">
        <f>S30*'R&amp;S - Apparel'!$C$7*'R&amp;S - Apparel'!$B$13*('R&amp;S - Apparel'!$B$17+('R&amp;S - Apparel'!$B$18-'R&amp;S - Apparel'!$B$17)*(S$3-$N$3)/10)</f>
        <v>1628.0936971467629</v>
      </c>
      <c r="T31" s="183">
        <f>T30*'R&amp;S - Apparel'!$C$7*'R&amp;S - Apparel'!$B$13*('R&amp;S - Apparel'!$B$17+('R&amp;S - Apparel'!$B$18-'R&amp;S - Apparel'!$B$17)*(T$3-$N$3)/10)</f>
        <v>1657.1677655285284</v>
      </c>
      <c r="U31" s="183">
        <f>U30*'R&amp;S - Apparel'!$C$7*'R&amp;S - Apparel'!$B$13*('R&amp;S - Apparel'!$B$17+('R&amp;S - Apparel'!$B$18-'R&amp;S - Apparel'!$B$17)*(U$3-$N$3)/10)</f>
        <v>1685.7576038198224</v>
      </c>
      <c r="V31" s="183">
        <f>V30*'R&amp;S - Apparel'!$C$7*'R&amp;S - Apparel'!$B$13*('R&amp;S - Apparel'!$B$17+('R&amp;S - Apparel'!$B$18-'R&amp;S - Apparel'!$B$17)*(V$3-$N$3)/10)</f>
        <v>1713.868548652094</v>
      </c>
      <c r="W31" s="183">
        <f>W30*'R&amp;S - Apparel'!$C$7*'R&amp;S - Apparel'!$B$13*('R&amp;S - Apparel'!$B$17+('R&amp;S - Apparel'!$B$18-'R&amp;S - Apparel'!$B$17)*(W$3-$N$3)/10)</f>
        <v>1741.5058857960892</v>
      </c>
      <c r="X31" s="183">
        <f>X30*'R&amp;S - Apparel'!$C$7*'R&amp;S - Apparel'!$B$13*('R&amp;S - Apparel'!$B$17+('R&amp;S - Apparel'!$B$18-'R&amp;S - Apparel'!$B$17)*(X$3-$N$3)/10)</f>
        <v>1768.6748506115368</v>
      </c>
      <c r="Y31" s="183">
        <f>Y30*'R&amp;S - Apparel'!$C$7*'R&amp;S - Apparel'!$B$13*('R&amp;S - Apparel'!$B$18+('R&amp;S - Apparel'!$B$19-'R&amp;S - Apparel'!$B$18)*(Y$3-$X$3)/10)</f>
        <v>1775.8656216615934</v>
      </c>
      <c r="Z31" s="183">
        <f>Z30*'R&amp;S - Apparel'!$C$7*'R&amp;S - Apparel'!$B$13*('R&amp;S - Apparel'!$B$18+('R&amp;S - Apparel'!$B$19-'R&amp;S - Apparel'!$B$18)*(Z$3-$X$3)/10)</f>
        <v>1782.8703051991695</v>
      </c>
      <c r="AA31" s="183">
        <f>AA30*'R&amp;S - Apparel'!$C$7*'R&amp;S - Apparel'!$B$13*('R&amp;S - Apparel'!$B$18+('R&amp;S - Apparel'!$B$19-'R&amp;S - Apparel'!$B$18)*(AA$3-$X$3)/10)</f>
        <v>1789.6911454229851</v>
      </c>
      <c r="AB31" s="183">
        <f>AB30*'R&amp;S - Apparel'!$C$7*'R&amp;S - Apparel'!$B$13*('R&amp;S - Apparel'!$B$18+('R&amp;S - Apparel'!$B$19-'R&amp;S - Apparel'!$B$18)*(AB$3-$X$3)/10)</f>
        <v>1796.3303642916012</v>
      </c>
      <c r="AC31" s="183">
        <f>AC30*'R&amp;S - Apparel'!$C$7*'R&amp;S - Apparel'!$B$13*('R&amp;S - Apparel'!$B$18+('R&amp;S - Apparel'!$B$19-'R&amp;S - Apparel'!$B$18)*(AC$3-$X$3)/10)</f>
        <v>1802.7901617243967</v>
      </c>
      <c r="AD31" s="183">
        <f>AD30*'R&amp;S - Apparel'!$C$7*'R&amp;S - Apparel'!$B$13*('R&amp;S - Apparel'!$B$18+('R&amp;S - Apparel'!$B$19-'R&amp;S - Apparel'!$B$18)*(AD$3-$X$3)/10)</f>
        <v>1809.0727158008247</v>
      </c>
      <c r="AE31" s="183">
        <f>AE30*'R&amp;S - Apparel'!$C$7*'R&amp;S - Apparel'!$B$13*('R&amp;S - Apparel'!$B$18+('R&amp;S - Apparel'!$B$19-'R&amp;S - Apparel'!$B$18)*(AE$3-$X$3)/10)</f>
        <v>1815.1801829579608</v>
      </c>
      <c r="AF31" s="183">
        <f>AF30*'R&amp;S - Apparel'!$C$7*'R&amp;S - Apparel'!$B$13*('R&amp;S - Apparel'!$B$18+('R&amp;S - Apparel'!$B$19-'R&amp;S - Apparel'!$B$18)*(AF$3-$X$3)/10)</f>
        <v>1821.1146981863615</v>
      </c>
      <c r="AG31" s="183">
        <f>AG30*'R&amp;S - Apparel'!$C$7*'R&amp;S - Apparel'!$B$13*('R&amp;S - Apparel'!$B$18+('R&amp;S - Apparel'!$B$19-'R&amp;S - Apparel'!$B$18)*(AG$3-$X$3)/10)</f>
        <v>1826.8783752242396</v>
      </c>
      <c r="AH31" s="183">
        <f>AH30*'R&amp;S - Apparel'!$C$7*'R&amp;S - Apparel'!$B$13*('R&amp;S - Apparel'!$B$18+('R&amp;S - Apparel'!$B$19-'R&amp;S - Apparel'!$B$18)*(AH$3-$X$3)/10)</f>
        <v>1832.4733067499801</v>
      </c>
      <c r="AI31" s="576"/>
      <c r="AJ31" s="183">
        <f>AJ30*'R&amp;S - Apparel'!$C$7*'R&amp;S - Apparel'!$B$14*'R&amp;S - Apparel'!$B$17*(AJ$3-$D$3)/10</f>
        <v>0</v>
      </c>
      <c r="AK31" s="183">
        <f>AK30*'R&amp;S - Apparel'!$C$7*'R&amp;S - Apparel'!$B$14*'R&amp;S - Apparel'!$B$17*(AK$3-$D$3)/10</f>
        <v>78.554744410069119</v>
      </c>
      <c r="AL31" s="183">
        <f>AL30*'R&amp;S - Apparel'!$C$7*'R&amp;S - Apparel'!$B$14*'R&amp;S - Apparel'!$B$17*(AL$3-$D$3)/10</f>
        <v>156.01474018217149</v>
      </c>
      <c r="AM31" s="183">
        <f>AM30*'R&amp;S - Apparel'!$C$7*'R&amp;S - Apparel'!$B$14*'R&amp;S - Apparel'!$B$17*(AM$3-$D$3)/10</f>
        <v>232.39142973066419</v>
      </c>
      <c r="AN31" s="183">
        <f>AN30*'R&amp;S - Apparel'!$C$7*'R&amp;S - Apparel'!$B$14*'R&amp;S - Apparel'!$B$17*(AN$3-$D$3)/10</f>
        <v>307.69614916130251</v>
      </c>
      <c r="AO31" s="183">
        <f>AO30*'R&amp;S - Apparel'!$C$7*'R&amp;S - Apparel'!$B$14*'R&amp;S - Apparel'!$B$17*(AO$3-$D$3)/10</f>
        <v>381.94012919719671</v>
      </c>
      <c r="AP31" s="183">
        <f>AP30*'R&amp;S - Apparel'!$C$7*'R&amp;S - Apparel'!$B$14*'R&amp;S - Apparel'!$B$17*(AP$3-$D$3)/10</f>
        <v>455.13449609702491</v>
      </c>
      <c r="AQ31" s="183">
        <f>AQ30*'R&amp;S - Apparel'!$C$7*'R&amp;S - Apparel'!$B$14*'R&amp;S - Apparel'!$B$17*(AQ$3-$D$3)/10</f>
        <v>527.29027256556788</v>
      </c>
      <c r="AR31" s="183">
        <f>AR30*'R&amp;S - Apparel'!$C$7*'R&amp;S - Apparel'!$B$14*'R&amp;S - Apparel'!$B$17*(AR$3-$D$3)/10</f>
        <v>598.41837865662478</v>
      </c>
      <c r="AS31" s="183">
        <f>AS30*'R&amp;S - Apparel'!$C$7*'R&amp;S - Apparel'!$B$14*'R&amp;S - Apparel'!$B$17*(AS$3-$D$3)/10</f>
        <v>668.52963266837617</v>
      </c>
      <c r="AT31" s="183">
        <f>AT30*'R&amp;S - Apparel'!$C$7*'R&amp;S - Apparel'!$B$14*'R&amp;S - Apparel'!$B$17*(AT$3-$D$3)/10</f>
        <v>737.63475203125029</v>
      </c>
      <c r="AU31" s="183">
        <f>AU30*'R&amp;S - Apparel'!$C$7*'R&amp;S - Apparel'!$B$14*('R&amp;S - Apparel'!$B$17+('R&amp;S - Apparel'!$B$18-'R&amp;S - Apparel'!$B$17)*(AU$3-$N$3)/10)</f>
        <v>753.42329222807678</v>
      </c>
      <c r="AV31" s="183">
        <f>AV30*'R&amp;S - Apparel'!$C$7*'R&amp;S - Apparel'!$B$14*('R&amp;S - Apparel'!$B$17+('R&amp;S - Apparel'!$B$18-'R&amp;S - Apparel'!$B$17)*(AV$3-$N$3)/10)</f>
        <v>768.95598634135342</v>
      </c>
      <c r="AW31" s="183">
        <f>AW30*'R&amp;S - Apparel'!$C$7*'R&amp;S - Apparel'!$B$14*('R&amp;S - Apparel'!$B$17+('R&amp;S - Apparel'!$B$18-'R&amp;S - Apparel'!$B$17)*(AW$3-$N$3)/10)</f>
        <v>784.23563327877355</v>
      </c>
      <c r="AX31" s="183">
        <f>AX30*'R&amp;S - Apparel'!$C$7*'R&amp;S - Apparel'!$B$14*('R&amp;S - Apparel'!$B$17+('R&amp;S - Apparel'!$B$18-'R&amp;S - Apparel'!$B$17)*(AX$3-$N$3)/10)</f>
        <v>799.26500536442848</v>
      </c>
      <c r="AY31" s="183">
        <f>AY30*'R&amp;S - Apparel'!$C$7*'R&amp;S - Apparel'!$B$14*('R&amp;S - Apparel'!$B$17+('R&amp;S - Apparel'!$B$18-'R&amp;S - Apparel'!$B$17)*(AY$3-$N$3)/10)</f>
        <v>814.04684857338145</v>
      </c>
      <c r="AZ31" s="183">
        <f>AZ30*'R&amp;S - Apparel'!$C$7*'R&amp;S - Apparel'!$B$14*('R&amp;S - Apparel'!$B$17+('R&amp;S - Apparel'!$B$18-'R&amp;S - Apparel'!$B$17)*(AZ$3-$N$3)/10)</f>
        <v>828.58388276426422</v>
      </c>
      <c r="BA31" s="183">
        <f>BA30*'R&amp;S - Apparel'!$C$7*'R&amp;S - Apparel'!$B$14*('R&amp;S - Apparel'!$B$17+('R&amp;S - Apparel'!$B$18-'R&amp;S - Apparel'!$B$17)*(BA$3-$N$3)/10)</f>
        <v>842.8788019099112</v>
      </c>
      <c r="BB31" s="183">
        <f>BB30*'R&amp;S - Apparel'!$C$7*'R&amp;S - Apparel'!$B$14*('R&amp;S - Apparel'!$B$17+('R&amp;S - Apparel'!$B$18-'R&amp;S - Apparel'!$B$17)*(BB$3-$N$3)/10)</f>
        <v>856.93427432604699</v>
      </c>
      <c r="BC31" s="183">
        <f>BC30*'R&amp;S - Apparel'!$C$7*'R&amp;S - Apparel'!$B$14*('R&amp;S - Apparel'!$B$17+('R&amp;S - Apparel'!$B$18-'R&amp;S - Apparel'!$B$17)*(BC$3-$N$3)/10)</f>
        <v>870.75294289804458</v>
      </c>
      <c r="BD31" s="183">
        <f>BD30*'R&amp;S - Apparel'!$C$7*'R&amp;S - Apparel'!$B$14*('R&amp;S - Apparel'!$B$17+('R&amp;S - Apparel'!$B$18-'R&amp;S - Apparel'!$B$17)*(BD$3-$N$3)/10)</f>
        <v>884.33742530576842</v>
      </c>
      <c r="BE31" s="183">
        <f>BE30*'R&amp;S - Apparel'!$C$7*'R&amp;S - Apparel'!$B$14*('R&amp;S - Apparel'!$B$18+('R&amp;S - Apparel'!$B$19-'R&amp;S - Apparel'!$B$18)*(BE$3-$X$3)/10)</f>
        <v>887.93281083079671</v>
      </c>
      <c r="BF31" s="183">
        <f>BF30*'R&amp;S - Apparel'!$C$7*'R&amp;S - Apparel'!$B$14*('R&amp;S - Apparel'!$B$18+('R&amp;S - Apparel'!$B$19-'R&amp;S - Apparel'!$B$18)*(BF$3-$X$3)/10)</f>
        <v>891.43515259958474</v>
      </c>
      <c r="BG31" s="183">
        <f>BG30*'R&amp;S - Apparel'!$C$7*'R&amp;S - Apparel'!$B$14*('R&amp;S - Apparel'!$B$18+('R&amp;S - Apparel'!$B$19-'R&amp;S - Apparel'!$B$18)*(BG$3-$X$3)/10)</f>
        <v>894.84557271149254</v>
      </c>
      <c r="BH31" s="183">
        <f>BH30*'R&amp;S - Apparel'!$C$7*'R&amp;S - Apparel'!$B$14*('R&amp;S - Apparel'!$B$18+('R&amp;S - Apparel'!$B$19-'R&amp;S - Apparel'!$B$18)*(BH$3-$X$3)/10)</f>
        <v>898.1651821458006</v>
      </c>
      <c r="BI31" s="183">
        <f>BI30*'R&amp;S - Apparel'!$C$7*'R&amp;S - Apparel'!$B$14*('R&amp;S - Apparel'!$B$18+('R&amp;S - Apparel'!$B$19-'R&amp;S - Apparel'!$B$18)*(BI$3-$X$3)/10)</f>
        <v>901.39508086219837</v>
      </c>
      <c r="BJ31" s="183">
        <f>BJ30*'R&amp;S - Apparel'!$C$7*'R&amp;S - Apparel'!$B$14*('R&amp;S - Apparel'!$B$18+('R&amp;S - Apparel'!$B$19-'R&amp;S - Apparel'!$B$18)*(BJ$3-$X$3)/10)</f>
        <v>904.53635790041233</v>
      </c>
      <c r="BK31" s="183">
        <f>BK30*'R&amp;S - Apparel'!$C$7*'R&amp;S - Apparel'!$B$14*('R&amp;S - Apparel'!$B$18+('R&amp;S - Apparel'!$B$19-'R&amp;S - Apparel'!$B$18)*(BK$3-$X$3)/10)</f>
        <v>907.59009147898041</v>
      </c>
      <c r="BL31" s="183">
        <f>BL30*'R&amp;S - Apparel'!$C$7*'R&amp;S - Apparel'!$B$14*('R&amp;S - Apparel'!$B$18+('R&amp;S - Apparel'!$B$19-'R&amp;S - Apparel'!$B$18)*(BL$3-$X$3)/10)</f>
        <v>910.55734909318073</v>
      </c>
      <c r="BM31" s="183">
        <f>BM30*'R&amp;S - Apparel'!$C$7*'R&amp;S - Apparel'!$B$14*('R&amp;S - Apparel'!$B$18+('R&amp;S - Apparel'!$B$19-'R&amp;S - Apparel'!$B$18)*(BM$3-$X$3)/10)</f>
        <v>913.43918761211978</v>
      </c>
      <c r="BN31" s="183">
        <f>BN30*'R&amp;S - Apparel'!$C$7*'R&amp;S - Apparel'!$B$14*('R&amp;S - Apparel'!$B$18+('R&amp;S - Apparel'!$B$19-'R&amp;S - Apparel'!$B$18)*(BN$3-$X$3)/10)</f>
        <v>916.23665337499006</v>
      </c>
    </row>
    <row r="32" spans="1:88" outlineLevel="1">
      <c r="B32" s="57" t="s">
        <v>205</v>
      </c>
      <c r="C32" s="50" t="s">
        <v>1420</v>
      </c>
      <c r="D32" s="183">
        <f>D30*'R&amp;S - Apparel'!$C$8*'R&amp;S - Apparel'!$B$13*'R&amp;S - Apparel'!$C$17*(D$3-$D$3)/10</f>
        <v>0</v>
      </c>
      <c r="E32" s="183">
        <f>E30*'R&amp;S - Apparel'!$C$8*'R&amp;S - Apparel'!$B$13*'R&amp;S - Apparel'!$C$17*(E$3-$D$3)/10</f>
        <v>61.048258512968019</v>
      </c>
      <c r="F32" s="183">
        <f>F30*'R&amp;S - Apparel'!$C$8*'R&amp;S - Apparel'!$B$13*'R&amp;S - Apparel'!$C$17*(F$3-$D$3)/10</f>
        <v>121.2457409415733</v>
      </c>
      <c r="G32" s="183">
        <f>G30*'R&amp;S - Apparel'!$C$8*'R&amp;S - Apparel'!$B$13*'R&amp;S - Apparel'!$C$17*(G$3-$D$3)/10</f>
        <v>180.60133967640189</v>
      </c>
      <c r="H32" s="183">
        <f>H30*'R&amp;S - Apparel'!$C$8*'R&amp;S - Apparel'!$B$13*'R&amp;S - Apparel'!$C$17*(H$3-$D$3)/10</f>
        <v>239.12386449106944</v>
      </c>
      <c r="I32" s="183">
        <f>I30*'R&amp;S - Apparel'!$C$8*'R&amp;S - Apparel'!$B$13*'R&amp;S - Apparel'!$C$17*(I$3-$D$3)/10</f>
        <v>296.82204326182153</v>
      </c>
      <c r="J32" s="183">
        <f>J30*'R&amp;S - Apparel'!$C$8*'R&amp;S - Apparel'!$B$13*'R&amp;S - Apparel'!$C$17*(J$3-$D$3)/10</f>
        <v>353.70452268111666</v>
      </c>
      <c r="K32" s="183">
        <f>K30*'R&amp;S - Apparel'!$C$8*'R&amp;S - Apparel'!$B$13*'R&amp;S - Apparel'!$C$17*(K$3-$D$3)/10</f>
        <v>409.77986896524135</v>
      </c>
      <c r="L32" s="183">
        <f>L30*'R&amp;S - Apparel'!$C$8*'R&amp;S - Apparel'!$B$13*'R&amp;S - Apparel'!$C$17*(L$3-$D$3)/10</f>
        <v>465.05656855600563</v>
      </c>
      <c r="M32" s="183">
        <f>M30*'R&amp;S - Apparel'!$C$8*'R&amp;S - Apparel'!$B$13*'R&amp;S - Apparel'!$C$17*(M$3-$D$3)/10</f>
        <v>519.54302881656668</v>
      </c>
      <c r="N32" s="183">
        <f>N30*'R&amp;S - Apparel'!$C$8*'R&amp;S - Apparel'!$B$13*'R&amp;S - Apparel'!$C$17*(N$3-$D$3)/10</f>
        <v>573.24757872142891</v>
      </c>
      <c r="O32" s="183">
        <f>O30*'R&amp;S - Apparel'!$C$8*'R&amp;S - Apparel'!$B$13*('R&amp;S - Apparel'!$C$17+('R&amp;S - Apparel'!$C$18-'R&amp;S - Apparel'!$C$17)*(O$3-$N$3)/10)</f>
        <v>654.6411272470624</v>
      </c>
      <c r="P32" s="183">
        <f>P30*'R&amp;S - Apparel'!$C$8*'R&amp;S - Apparel'!$B$13*('R&amp;S - Apparel'!$C$17+('R&amp;S - Apparel'!$C$18-'R&amp;S - Apparel'!$C$17)*(P$3-$N$3)/10)</f>
        <v>734.87253181162862</v>
      </c>
      <c r="Q32" s="183">
        <f>Q30*'R&amp;S - Apparel'!$C$8*'R&amp;S - Apparel'!$B$13*('R&amp;S - Apparel'!$C$17+('R&amp;S - Apparel'!$C$18-'R&amp;S - Apparel'!$C$17)*(Q$3-$N$3)/10)</f>
        <v>813.95403622407457</v>
      </c>
      <c r="R32" s="183">
        <f>R30*'R&amp;S - Apparel'!$C$8*'R&amp;S - Apparel'!$B$13*('R&amp;S - Apparel'!$C$17+('R&amp;S - Apparel'!$C$18-'R&amp;S - Apparel'!$C$17)*(R$3-$N$3)/10)</f>
        <v>891.89777008871613</v>
      </c>
      <c r="S32" s="183">
        <f>S30*'R&amp;S - Apparel'!$C$8*'R&amp;S - Apparel'!$B$13*('R&amp;S - Apparel'!$C$17+('R&amp;S - Apparel'!$C$18-'R&amp;S - Apparel'!$C$17)*(S$3-$N$3)/10)</f>
        <v>968.7157498023239</v>
      </c>
      <c r="T32" s="183">
        <f>T30*'R&amp;S - Apparel'!$C$8*'R&amp;S - Apparel'!$B$13*('R&amp;S - Apparel'!$C$17+('R&amp;S - Apparel'!$C$18-'R&amp;S - Apparel'!$C$17)*(T$3-$N$3)/10)</f>
        <v>1044.4198795428581</v>
      </c>
      <c r="U32" s="183">
        <f>U30*'R&amp;S - Apparel'!$C$8*'R&amp;S - Apparel'!$B$13*('R&amp;S - Apparel'!$C$17+('R&amp;S - Apparel'!$C$18-'R&amp;S - Apparel'!$C$17)*(U$3-$N$3)/10)</f>
        <v>1119.0219522499203</v>
      </c>
      <c r="V32" s="183">
        <f>V30*'R&amp;S - Apparel'!$C$8*'R&amp;S - Apparel'!$B$13*('R&amp;S - Apparel'!$C$17+('R&amp;S - Apparel'!$C$18-'R&amp;S - Apparel'!$C$17)*(V$3-$N$3)/10)</f>
        <v>1192.5336505969922</v>
      </c>
      <c r="W32" s="183">
        <f>W30*'R&amp;S - Apparel'!$C$8*'R&amp;S - Apparel'!$B$13*('R&amp;S - Apparel'!$C$17+('R&amp;S - Apparel'!$C$18-'R&amp;S - Apparel'!$C$17)*(W$3-$N$3)/10)</f>
        <v>1264.9665479555231</v>
      </c>
      <c r="X32" s="183">
        <f>X30*'R&amp;S - Apparel'!$C$8*'R&amp;S - Apparel'!$B$13*('R&amp;S - Apparel'!$C$17+('R&amp;S - Apparel'!$C$18-'R&amp;S - Apparel'!$C$17)*(X$3-$N$3)/10)</f>
        <v>1336.3321093509392</v>
      </c>
      <c r="Y32" s="183">
        <f>Y30*'R&amp;S - Apparel'!$C$8*'R&amp;S - Apparel'!$B$13*('R&amp;S - Apparel'!$C$18+('R&amp;S - Apparel'!$C$19-'R&amp;S - Apparel'!$C$18)*(Y$3-$X$3)/10)</f>
        <v>1459.7225109921669</v>
      </c>
      <c r="Z32" s="183">
        <f>Z30*'R&amp;S - Apparel'!$C$8*'R&amp;S - Apparel'!$B$13*('R&amp;S - Apparel'!$C$18+('R&amp;S - Apparel'!$C$19-'R&amp;S - Apparel'!$C$18)*(Z$3-$X$3)/10)</f>
        <v>1581.3284446114371</v>
      </c>
      <c r="AA32" s="183">
        <f>AA30*'R&amp;S - Apparel'!$C$8*'R&amp;S - Apparel'!$B$13*('R&amp;S - Apparel'!$C$18+('R&amp;S - Apparel'!$C$19-'R&amp;S - Apparel'!$C$18)*(AA$3-$X$3)/10)</f>
        <v>1701.1687876923859</v>
      </c>
      <c r="AB32" s="183">
        <f>AB30*'R&amp;S - Apparel'!$C$8*'R&amp;S - Apparel'!$B$13*('R&amp;S - Apparel'!$C$18+('R&amp;S - Apparel'!$C$19-'R&amp;S - Apparel'!$C$18)*(AB$3-$X$3)/10)</f>
        <v>1819.2622412825579</v>
      </c>
      <c r="AC32" s="183">
        <f>AC30*'R&amp;S - Apparel'!$C$8*'R&amp;S - Apparel'!$B$13*('R&amp;S - Apparel'!$C$18+('R&amp;S - Apparel'!$C$19-'R&amp;S - Apparel'!$C$18)*(AC$3-$X$3)/10)</f>
        <v>1935.6273315356684</v>
      </c>
      <c r="AD32" s="183">
        <f>AD30*'R&amp;S - Apparel'!$C$8*'R&amp;S - Apparel'!$B$13*('R&amp;S - Apparel'!$C$18+('R&amp;S - Apparel'!$C$19-'R&amp;S - Apparel'!$C$18)*(AD$3-$X$3)/10)</f>
        <v>2050.2824112409348</v>
      </c>
      <c r="AE32" s="183">
        <f>AE30*'R&amp;S - Apparel'!$C$8*'R&amp;S - Apparel'!$B$13*('R&amp;S - Apparel'!$C$18+('R&amp;S - Apparel'!$C$19-'R&amp;S - Apparel'!$C$18)*(AE$3-$X$3)/10)</f>
        <v>2163.2456613395907</v>
      </c>
      <c r="AF32" s="183">
        <f>AF30*'R&amp;S - Apparel'!$C$8*'R&amp;S - Apparel'!$B$13*('R&amp;S - Apparel'!$C$18+('R&amp;S - Apparel'!$C$19-'R&amp;S - Apparel'!$C$18)*(AF$3-$X$3)/10)</f>
        <v>2274.5350924286804</v>
      </c>
      <c r="AG32" s="183">
        <f>AG30*'R&amp;S - Apparel'!$C$8*'R&amp;S - Apparel'!$B$13*('R&amp;S - Apparel'!$C$18+('R&amp;S - Apparel'!$C$19-'R&amp;S - Apparel'!$C$18)*(AG$3-$X$3)/10)</f>
        <v>2384.16854625224</v>
      </c>
      <c r="AH32" s="183">
        <f>AH30*'R&amp;S - Apparel'!$C$8*'R&amp;S - Apparel'!$B$13*('R&amp;S - Apparel'!$C$18+('R&amp;S - Apparel'!$C$19-'R&amp;S - Apparel'!$C$18)*(AH$3-$X$3)/10)</f>
        <v>2492.163697179973</v>
      </c>
      <c r="AI32" s="576"/>
      <c r="AJ32" s="183">
        <f>AJ30*'R&amp;S - Apparel'!$C$8*'R&amp;S - Apparel'!$B$14*'R&amp;S - Apparel'!$C$17*(AJ$3-$D$3)/10</f>
        <v>0</v>
      </c>
      <c r="AK32" s="183">
        <f>AK30*'R&amp;S - Apparel'!$C$8*'R&amp;S - Apparel'!$B$14*'R&amp;S - Apparel'!$C$17*(AK$3-$D$3)/10</f>
        <v>30.524129256484009</v>
      </c>
      <c r="AL32" s="183">
        <f>AL30*'R&amp;S - Apparel'!$C$8*'R&amp;S - Apparel'!$B$14*'R&amp;S - Apparel'!$C$17*(AL$3-$D$3)/10</f>
        <v>60.622870470786651</v>
      </c>
      <c r="AM32" s="183">
        <f>AM30*'R&amp;S - Apparel'!$C$8*'R&amp;S - Apparel'!$B$14*'R&amp;S - Apparel'!$C$17*(AM$3-$D$3)/10</f>
        <v>90.300669838200946</v>
      </c>
      <c r="AN32" s="183">
        <f>AN30*'R&amp;S - Apparel'!$C$8*'R&amp;S - Apparel'!$B$14*'R&amp;S - Apparel'!$C$17*(AN$3-$D$3)/10</f>
        <v>119.56193224553472</v>
      </c>
      <c r="AO32" s="183">
        <f>AO30*'R&amp;S - Apparel'!$C$8*'R&amp;S - Apparel'!$B$14*'R&amp;S - Apparel'!$C$17*(AO$3-$D$3)/10</f>
        <v>148.41102163091077</v>
      </c>
      <c r="AP32" s="183">
        <f>AP30*'R&amp;S - Apparel'!$C$8*'R&amp;S - Apparel'!$B$14*'R&amp;S - Apparel'!$C$17*(AP$3-$D$3)/10</f>
        <v>176.85226134055833</v>
      </c>
      <c r="AQ32" s="183">
        <f>AQ30*'R&amp;S - Apparel'!$C$8*'R&amp;S - Apparel'!$B$14*'R&amp;S - Apparel'!$C$17*(AQ$3-$D$3)/10</f>
        <v>204.88993448262067</v>
      </c>
      <c r="AR32" s="183">
        <f>AR30*'R&amp;S - Apparel'!$C$8*'R&amp;S - Apparel'!$B$14*'R&amp;S - Apparel'!$C$17*(AR$3-$D$3)/10</f>
        <v>232.52828427800281</v>
      </c>
      <c r="AS32" s="183">
        <f>AS30*'R&amp;S - Apparel'!$C$8*'R&amp;S - Apparel'!$B$14*'R&amp;S - Apparel'!$C$17*(AS$3-$D$3)/10</f>
        <v>259.77151440828334</v>
      </c>
      <c r="AT32" s="183">
        <f>AT30*'R&amp;S - Apparel'!$C$8*'R&amp;S - Apparel'!$B$14*'R&amp;S - Apparel'!$C$17*(AT$3-$D$3)/10</f>
        <v>286.62378936071445</v>
      </c>
      <c r="AU32" s="183">
        <f>AU30*'R&amp;S - Apparel'!$C$8*'R&amp;S - Apparel'!$B$14*('R&amp;S - Apparel'!$C$17+('R&amp;S - Apparel'!$C$18-'R&amp;S - Apparel'!$C$17)*(AU$3-$N$3)/10)</f>
        <v>327.3205636235312</v>
      </c>
      <c r="AV32" s="183">
        <f>AV30*'R&amp;S - Apparel'!$C$8*'R&amp;S - Apparel'!$B$14*('R&amp;S - Apparel'!$C$17+('R&amp;S - Apparel'!$C$18-'R&amp;S - Apparel'!$C$17)*(AV$3-$N$3)/10)</f>
        <v>367.43626590581431</v>
      </c>
      <c r="AW32" s="183">
        <f>AW30*'R&amp;S - Apparel'!$C$8*'R&amp;S - Apparel'!$B$14*('R&amp;S - Apparel'!$C$17+('R&amp;S - Apparel'!$C$18-'R&amp;S - Apparel'!$C$17)*(AW$3-$N$3)/10)</f>
        <v>406.97701811203729</v>
      </c>
      <c r="AX32" s="183">
        <f>AX30*'R&amp;S - Apparel'!$C$8*'R&amp;S - Apparel'!$B$14*('R&amp;S - Apparel'!$C$17+('R&amp;S - Apparel'!$C$18-'R&amp;S - Apparel'!$C$17)*(AX$3-$N$3)/10)</f>
        <v>445.94888504435806</v>
      </c>
      <c r="AY32" s="183">
        <f>AY30*'R&amp;S - Apparel'!$C$8*'R&amp;S - Apparel'!$B$14*('R&amp;S - Apparel'!$C$17+('R&amp;S - Apparel'!$C$18-'R&amp;S - Apparel'!$C$17)*(AY$3-$N$3)/10)</f>
        <v>484.35787490116195</v>
      </c>
      <c r="AZ32" s="183">
        <f>AZ30*'R&amp;S - Apparel'!$C$8*'R&amp;S - Apparel'!$B$14*('R&amp;S - Apparel'!$C$17+('R&amp;S - Apparel'!$C$18-'R&amp;S - Apparel'!$C$17)*(AZ$3-$N$3)/10)</f>
        <v>522.20993977142905</v>
      </c>
      <c r="BA32" s="183">
        <f>BA30*'R&amp;S - Apparel'!$C$8*'R&amp;S - Apparel'!$B$14*('R&amp;S - Apparel'!$C$17+('R&amp;S - Apparel'!$C$18-'R&amp;S - Apparel'!$C$17)*(BA$3-$N$3)/10)</f>
        <v>559.51097612496017</v>
      </c>
      <c r="BB32" s="183">
        <f>BB30*'R&amp;S - Apparel'!$C$8*'R&amp;S - Apparel'!$B$14*('R&amp;S - Apparel'!$C$17+('R&amp;S - Apparel'!$C$18-'R&amp;S - Apparel'!$C$17)*(BB$3-$N$3)/10)</f>
        <v>596.26682529849609</v>
      </c>
      <c r="BC32" s="183">
        <f>BC30*'R&amp;S - Apparel'!$C$8*'R&amp;S - Apparel'!$B$14*('R&amp;S - Apparel'!$C$17+('R&amp;S - Apparel'!$C$18-'R&amp;S - Apparel'!$C$17)*(BC$3-$N$3)/10)</f>
        <v>632.48327397776154</v>
      </c>
      <c r="BD32" s="183">
        <f>BD30*'R&amp;S - Apparel'!$C$8*'R&amp;S - Apparel'!$B$14*('R&amp;S - Apparel'!$C$17+('R&amp;S - Apparel'!$C$18-'R&amp;S - Apparel'!$C$17)*(BD$3-$N$3)/10)</f>
        <v>668.16605467546958</v>
      </c>
      <c r="BE32" s="183">
        <f>BE30*'R&amp;S - Apparel'!$C$8*'R&amp;S - Apparel'!$B$14*('R&amp;S - Apparel'!$C$18+('R&amp;S - Apparel'!$C$19-'R&amp;S - Apparel'!$C$18)*(BE$3-$X$3)/10)</f>
        <v>729.86125549608346</v>
      </c>
      <c r="BF32" s="183">
        <f>BF30*'R&amp;S - Apparel'!$C$8*'R&amp;S - Apparel'!$B$14*('R&amp;S - Apparel'!$C$18+('R&amp;S - Apparel'!$C$19-'R&amp;S - Apparel'!$C$18)*(BF$3-$X$3)/10)</f>
        <v>790.66422230571857</v>
      </c>
      <c r="BG32" s="183">
        <f>BG30*'R&amp;S - Apparel'!$C$8*'R&amp;S - Apparel'!$B$14*('R&amp;S - Apparel'!$C$18+('R&amp;S - Apparel'!$C$19-'R&amp;S - Apparel'!$C$18)*(BG$3-$X$3)/10)</f>
        <v>850.58439384619294</v>
      </c>
      <c r="BH32" s="183">
        <f>BH30*'R&amp;S - Apparel'!$C$8*'R&amp;S - Apparel'!$B$14*('R&amp;S - Apparel'!$C$18+('R&amp;S - Apparel'!$C$19-'R&amp;S - Apparel'!$C$18)*(BH$3-$X$3)/10)</f>
        <v>909.63112064127893</v>
      </c>
      <c r="BI32" s="183">
        <f>BI30*'R&amp;S - Apparel'!$C$8*'R&amp;S - Apparel'!$B$14*('R&amp;S - Apparel'!$C$18+('R&amp;S - Apparel'!$C$19-'R&amp;S - Apparel'!$C$18)*(BI$3-$X$3)/10)</f>
        <v>967.81366576783421</v>
      </c>
      <c r="BJ32" s="183">
        <f>BJ30*'R&amp;S - Apparel'!$C$8*'R&amp;S - Apparel'!$B$14*('R&amp;S - Apparel'!$C$18+('R&amp;S - Apparel'!$C$19-'R&amp;S - Apparel'!$C$18)*(BJ$3-$X$3)/10)</f>
        <v>1025.1412056204674</v>
      </c>
      <c r="BK32" s="183">
        <f>BK30*'R&amp;S - Apparel'!$C$8*'R&amp;S - Apparel'!$B$14*('R&amp;S - Apparel'!$C$18+('R&amp;S - Apparel'!$C$19-'R&amp;S - Apparel'!$C$18)*(BK$3-$X$3)/10)</f>
        <v>1081.6228306697953</v>
      </c>
      <c r="BL32" s="183">
        <f>BL30*'R&amp;S - Apparel'!$C$8*'R&amp;S - Apparel'!$B$14*('R&amp;S - Apparel'!$C$18+('R&amp;S - Apparel'!$C$19-'R&amp;S - Apparel'!$C$18)*(BL$3-$X$3)/10)</f>
        <v>1137.2675462143402</v>
      </c>
      <c r="BM32" s="183">
        <f>BM30*'R&amp;S - Apparel'!$C$8*'R&amp;S - Apparel'!$B$14*('R&amp;S - Apparel'!$C$18+('R&amp;S - Apparel'!$C$19-'R&amp;S - Apparel'!$C$18)*(BM$3-$X$3)/10)</f>
        <v>1192.08427312612</v>
      </c>
      <c r="BN32" s="183">
        <f>BN30*'R&amp;S - Apparel'!$C$8*'R&amp;S - Apparel'!$B$14*('R&amp;S - Apparel'!$C$18+('R&amp;S - Apparel'!$C$19-'R&amp;S - Apparel'!$C$18)*(BN$3-$X$3)/10)</f>
        <v>1246.0818485899865</v>
      </c>
    </row>
    <row r="33" spans="1:88" outlineLevel="1">
      <c r="B33" s="1" t="s">
        <v>169</v>
      </c>
      <c r="C33" s="50" t="s">
        <v>1420</v>
      </c>
      <c r="D33" s="183">
        <f>SUM(D31:D32)</f>
        <v>0</v>
      </c>
      <c r="E33" s="183">
        <f>SUM(E31:E32)</f>
        <v>218.15774733310627</v>
      </c>
      <c r="F33" s="183">
        <f t="shared" ref="F33:AH33" si="30">SUM(F31:F32)</f>
        <v>433.27522130591626</v>
      </c>
      <c r="G33" s="183">
        <f t="shared" si="30"/>
        <v>645.38419913773032</v>
      </c>
      <c r="H33" s="183">
        <f t="shared" si="30"/>
        <v>854.51616281367444</v>
      </c>
      <c r="I33" s="183">
        <f t="shared" si="30"/>
        <v>1060.702301656215</v>
      </c>
      <c r="J33" s="183">
        <f t="shared" si="30"/>
        <v>1263.9735148751665</v>
      </c>
      <c r="K33" s="183">
        <f t="shared" si="30"/>
        <v>1464.3604140963771</v>
      </c>
      <c r="L33" s="183">
        <f t="shared" si="30"/>
        <v>1661.8933258692552</v>
      </c>
      <c r="M33" s="183">
        <f t="shared" si="30"/>
        <v>1856.602294153319</v>
      </c>
      <c r="N33" s="183">
        <f t="shared" si="30"/>
        <v>2048.5170827839293</v>
      </c>
      <c r="O33" s="183">
        <f>SUM(O31:O32)</f>
        <v>2161.4877117032161</v>
      </c>
      <c r="P33" s="183">
        <f t="shared" si="30"/>
        <v>2272.7845044943356</v>
      </c>
      <c r="Q33" s="183">
        <f t="shared" si="30"/>
        <v>2382.4253027816217</v>
      </c>
      <c r="R33" s="183">
        <f t="shared" si="30"/>
        <v>2490.427780817573</v>
      </c>
      <c r="S33" s="183">
        <f t="shared" si="30"/>
        <v>2596.809446949087</v>
      </c>
      <c r="T33" s="183">
        <f t="shared" si="30"/>
        <v>2701.5876450713868</v>
      </c>
      <c r="U33" s="183">
        <f t="shared" si="30"/>
        <v>2804.7795560697427</v>
      </c>
      <c r="V33" s="183">
        <f t="shared" si="30"/>
        <v>2906.4021992490862</v>
      </c>
      <c r="W33" s="183">
        <f t="shared" si="30"/>
        <v>3006.4724337516122</v>
      </c>
      <c r="X33" s="183">
        <f t="shared" si="30"/>
        <v>3105.0069599624758</v>
      </c>
      <c r="Y33" s="183">
        <f t="shared" si="30"/>
        <v>3235.5881326537601</v>
      </c>
      <c r="Z33" s="183">
        <f t="shared" si="30"/>
        <v>3364.1987498106064</v>
      </c>
      <c r="AA33" s="183">
        <f t="shared" si="30"/>
        <v>3490.8599331153709</v>
      </c>
      <c r="AB33" s="183">
        <f t="shared" si="30"/>
        <v>3615.5926055741593</v>
      </c>
      <c r="AC33" s="183">
        <f t="shared" si="30"/>
        <v>3738.4174932600654</v>
      </c>
      <c r="AD33" s="183">
        <f t="shared" si="30"/>
        <v>3859.3551270417593</v>
      </c>
      <c r="AE33" s="183">
        <f t="shared" si="30"/>
        <v>3978.4258442975515</v>
      </c>
      <c r="AF33" s="183">
        <f t="shared" si="30"/>
        <v>4095.6497906150416</v>
      </c>
      <c r="AG33" s="183">
        <f t="shared" si="30"/>
        <v>4211.0469214764798</v>
      </c>
      <c r="AH33" s="183">
        <f t="shared" si="30"/>
        <v>4324.6370039299527</v>
      </c>
      <c r="AI33" s="576"/>
      <c r="AJ33" s="183">
        <f>SUM(AJ31:AJ32)</f>
        <v>0</v>
      </c>
      <c r="AK33" s="183">
        <f>SUM(AK31:AK32)</f>
        <v>109.07887366655314</v>
      </c>
      <c r="AL33" s="183">
        <f t="shared" ref="AL33:AT33" si="31">SUM(AL31:AL32)</f>
        <v>216.63761065295813</v>
      </c>
      <c r="AM33" s="183">
        <f t="shared" si="31"/>
        <v>322.69209956886516</v>
      </c>
      <c r="AN33" s="183">
        <f t="shared" si="31"/>
        <v>427.25808140683722</v>
      </c>
      <c r="AO33" s="183">
        <f t="shared" si="31"/>
        <v>530.35115082810751</v>
      </c>
      <c r="AP33" s="183">
        <f t="shared" si="31"/>
        <v>631.98675743758326</v>
      </c>
      <c r="AQ33" s="183">
        <f t="shared" si="31"/>
        <v>732.18020704818855</v>
      </c>
      <c r="AR33" s="183">
        <f t="shared" si="31"/>
        <v>830.94666293462762</v>
      </c>
      <c r="AS33" s="183">
        <f t="shared" si="31"/>
        <v>928.3011470766595</v>
      </c>
      <c r="AT33" s="183">
        <f t="shared" si="31"/>
        <v>1024.2585413919646</v>
      </c>
      <c r="AU33" s="183">
        <f>SUM(AU31:AU32)</f>
        <v>1080.743855851608</v>
      </c>
      <c r="AV33" s="183">
        <f t="shared" ref="AV33:BN33" si="32">SUM(AV31:AV32)</f>
        <v>1136.3922522471678</v>
      </c>
      <c r="AW33" s="183">
        <f t="shared" si="32"/>
        <v>1191.2126513908108</v>
      </c>
      <c r="AX33" s="183">
        <f t="shared" si="32"/>
        <v>1245.2138904087865</v>
      </c>
      <c r="AY33" s="183">
        <f t="shared" si="32"/>
        <v>1298.4047234745435</v>
      </c>
      <c r="AZ33" s="183">
        <f t="shared" si="32"/>
        <v>1350.7938225356934</v>
      </c>
      <c r="BA33" s="183">
        <f t="shared" si="32"/>
        <v>1402.3897780348714</v>
      </c>
      <c r="BB33" s="183">
        <f t="shared" si="32"/>
        <v>1453.2010996245431</v>
      </c>
      <c r="BC33" s="183">
        <f t="shared" si="32"/>
        <v>1503.2362168758061</v>
      </c>
      <c r="BD33" s="183">
        <f t="shared" si="32"/>
        <v>1552.5034799812379</v>
      </c>
      <c r="BE33" s="183">
        <f t="shared" si="32"/>
        <v>1617.7940663268801</v>
      </c>
      <c r="BF33" s="183">
        <f t="shared" si="32"/>
        <v>1682.0993749053032</v>
      </c>
      <c r="BG33" s="183">
        <f t="shared" si="32"/>
        <v>1745.4299665576855</v>
      </c>
      <c r="BH33" s="183">
        <f t="shared" si="32"/>
        <v>1807.7963027870796</v>
      </c>
      <c r="BI33" s="183">
        <f t="shared" si="32"/>
        <v>1869.2087466300327</v>
      </c>
      <c r="BJ33" s="183">
        <f t="shared" si="32"/>
        <v>1929.6775635208796</v>
      </c>
      <c r="BK33" s="183">
        <f t="shared" si="32"/>
        <v>1989.2129221487758</v>
      </c>
      <c r="BL33" s="183">
        <f t="shared" si="32"/>
        <v>2047.8248953075208</v>
      </c>
      <c r="BM33" s="183">
        <f t="shared" si="32"/>
        <v>2105.5234607382399</v>
      </c>
      <c r="BN33" s="183">
        <f t="shared" si="32"/>
        <v>2162.3185019649763</v>
      </c>
    </row>
    <row r="34" spans="1:88" outlineLevel="1">
      <c r="B34" s="1" t="s">
        <v>172</v>
      </c>
      <c r="C34" s="50" t="s">
        <v>1420</v>
      </c>
      <c r="D34" s="183">
        <f>D30*'R&amp;S - Apparel'!$C$10*'R&amp;S - Apparel'!$B$13*'R&amp;S - Apparel'!$D$17*(D$3-$D$3)/10</f>
        <v>0</v>
      </c>
      <c r="E34" s="183">
        <f>E30*'R&amp;S - Apparel'!$C$10*'R&amp;S - Apparel'!$B$13*'R&amp;S - Apparel'!$D$17*(E$3-$D$3)/10</f>
        <v>59.252721497880714</v>
      </c>
      <c r="F34" s="183">
        <f>F30*'R&amp;S - Apparel'!$C$10*'R&amp;S - Apparel'!$B$13*'R&amp;S - Apparel'!$D$17*(F$3-$D$3)/10</f>
        <v>117.67968973740938</v>
      </c>
      <c r="G34" s="183">
        <f>G30*'R&amp;S - Apparel'!$C$10*'R&amp;S - Apparel'!$B$13*'R&amp;S - Apparel'!$D$17*(G$3-$D$3)/10</f>
        <v>175.28953556827241</v>
      </c>
      <c r="H34" s="183">
        <f>H30*'R&amp;S - Apparel'!$C$10*'R&amp;S - Apparel'!$B$13*'R&amp;S - Apparel'!$D$17*(H$3-$D$3)/10</f>
        <v>232.09080965309681</v>
      </c>
      <c r="I34" s="183">
        <f>I30*'R&amp;S - Apparel'!$C$10*'R&amp;S - Apparel'!$B$13*'R&amp;S - Apparel'!$D$17*(I$3-$D$3)/10</f>
        <v>288.09198316588555</v>
      </c>
      <c r="J34" s="183">
        <f>J30*'R&amp;S - Apparel'!$C$10*'R&amp;S - Apparel'!$B$13*'R&amp;S - Apparel'!$D$17*(J$3-$D$3)/10</f>
        <v>343.30144848461322</v>
      </c>
      <c r="K34" s="183">
        <f>K30*'R&amp;S - Apparel'!$C$10*'R&amp;S - Apparel'!$B$13*'R&amp;S - Apparel'!$D$17*(K$3-$D$3)/10</f>
        <v>397.72751987802837</v>
      </c>
      <c r="L34" s="183">
        <f>L30*'R&amp;S - Apparel'!$C$10*'R&amp;S - Apparel'!$B$13*'R&amp;S - Apparel'!$D$17*(L$3-$D$3)/10</f>
        <v>451.37843418671139</v>
      </c>
      <c r="M34" s="183">
        <f>M30*'R&amp;S - Apparel'!$C$10*'R&amp;S - Apparel'!$B$13*'R&amp;S - Apparel'!$D$17*(M$3-$D$3)/10</f>
        <v>504.26235149843234</v>
      </c>
      <c r="N34" s="183">
        <f>N30*'R&amp;S - Apparel'!$C$10*'R&amp;S - Apparel'!$B$13*'R&amp;S - Apparel'!$D$17*(N$3-$D$3)/10</f>
        <v>556.3873558178575</v>
      </c>
      <c r="O34" s="183">
        <f>O30*'R&amp;S - Apparel'!$C$10*'R&amp;S - Apparel'!$B$13*('R&amp;S - Apparel'!$D$17+('R&amp;S - Apparel'!$D$18-'R&amp;S - Apparel'!$D$17)*(O$3-$N$3)/10)</f>
        <v>607.76145573064866</v>
      </c>
      <c r="P34" s="183">
        <f>P30*'R&amp;S - Apparel'!$C$10*'R&amp;S - Apparel'!$B$13*('R&amp;S - Apparel'!$D$17+('R&amp;S - Apparel'!$D$18-'R&amp;S - Apparel'!$D$17)*(P$3-$N$3)/10)</f>
        <v>658.39258506200213</v>
      </c>
      <c r="Q34" s="183">
        <f>Q30*'R&amp;S - Apparel'!$C$10*'R&amp;S - Apparel'!$B$13*('R&amp;S - Apparel'!$D$17+('R&amp;S - Apparel'!$D$18-'R&amp;S - Apparel'!$D$17)*(Q$3-$N$3)/10)</f>
        <v>708.28860352967138</v>
      </c>
      <c r="R34" s="183">
        <f>R30*'R&amp;S - Apparel'!$C$10*'R&amp;S - Apparel'!$B$13*('R&amp;S - Apparel'!$D$17+('R&amp;S - Apparel'!$D$18-'R&amp;S - Apparel'!$D$17)*(R$3-$N$3)/10)</f>
        <v>757.45729739152</v>
      </c>
      <c r="S34" s="183">
        <f>S30*'R&amp;S - Apparel'!$C$10*'R&amp;S - Apparel'!$B$13*('R&amp;S - Apparel'!$D$17+('R&amp;S - Apparel'!$D$18-'R&amp;S - Apparel'!$D$17)*(S$3-$N$3)/10)</f>
        <v>805.90638008764768</v>
      </c>
      <c r="T34" s="183">
        <f>T30*'R&amp;S - Apparel'!$C$10*'R&amp;S - Apparel'!$B$13*('R&amp;S - Apparel'!$D$17+('R&amp;S - Apparel'!$D$18-'R&amp;S - Apparel'!$D$17)*(T$3-$N$3)/10)</f>
        <v>853.6434928771348</v>
      </c>
      <c r="U34" s="183">
        <f>U30*'R&amp;S - Apparel'!$C$10*'R&amp;S - Apparel'!$B$13*('R&amp;S - Apparel'!$D$17+('R&amp;S - Apparel'!$D$18-'R&amp;S - Apparel'!$D$17)*(U$3-$N$3)/10)</f>
        <v>900.67620546944806</v>
      </c>
      <c r="V34" s="183">
        <f>V30*'R&amp;S - Apparel'!$C$10*'R&amp;S - Apparel'!$B$13*('R&amp;S - Apparel'!$D$17+('R&amp;S - Apparel'!$D$18-'R&amp;S - Apparel'!$D$17)*(V$3-$N$3)/10)</f>
        <v>947.0120166505526</v>
      </c>
      <c r="W34" s="183">
        <f>W30*'R&amp;S - Apparel'!$C$10*'R&amp;S - Apparel'!$B$13*('R&amp;S - Apparel'!$D$17+('R&amp;S - Apparel'!$D$18-'R&amp;S - Apparel'!$D$17)*(W$3-$N$3)/10)</f>
        <v>992.65835490377083</v>
      </c>
      <c r="X34" s="183">
        <f>X30*'R&amp;S - Apparel'!$C$10*'R&amp;S - Apparel'!$B$13*('R&amp;S - Apparel'!$D$17+('R&amp;S - Apparel'!$D$18-'R&amp;S - Apparel'!$D$17)*(X$3-$N$3)/10)</f>
        <v>1037.622579025435</v>
      </c>
      <c r="Y34" s="183">
        <f>Y30*'R&amp;S - Apparel'!$C$10*'R&amp;S - Apparel'!$B$13*('R&amp;S - Apparel'!$D$18+('R&amp;S - Apparel'!$D$19-'R&amp;S - Apparel'!$D$18)*(Y$3-$X$3)/10)</f>
        <v>1083.4731792818866</v>
      </c>
      <c r="Z34" s="183">
        <f>Z30*'R&amp;S - Apparel'!$C$10*'R&amp;S - Apparel'!$B$13*('R&amp;S - Apparel'!$D$18+('R&amp;S - Apparel'!$D$19-'R&amp;S - Apparel'!$D$18)*(Z$3-$X$3)/10)</f>
        <v>1128.6344192913002</v>
      </c>
      <c r="AA34" s="183">
        <f>AA30*'R&amp;S - Apparel'!$C$10*'R&amp;S - Apparel'!$B$13*('R&amp;S - Apparel'!$D$18+('R&amp;S - Apparel'!$D$19-'R&amp;S - Apparel'!$D$18)*(AA$3-$X$3)/10)</f>
        <v>1173.1136798385501</v>
      </c>
      <c r="AB34" s="183">
        <f>AB30*'R&amp;S - Apparel'!$C$10*'R&amp;S - Apparel'!$B$13*('R&amp;S - Apparel'!$D$18+('R&amp;S - Apparel'!$D$19-'R&amp;S - Apparel'!$D$18)*(AB$3-$X$3)/10)</f>
        <v>1216.9182723200977</v>
      </c>
      <c r="AC34" s="183">
        <f>AC30*'R&amp;S - Apparel'!$C$10*'R&amp;S - Apparel'!$B$13*('R&amp;S - Apparel'!$D$18+('R&amp;S - Apparel'!$D$19-'R&amp;S - Apparel'!$D$18)*(AC$3-$X$3)/10)</f>
        <v>1260.0554393526311</v>
      </c>
      <c r="AD34" s="183">
        <f>AD30*'R&amp;S - Apparel'!$C$10*'R&amp;S - Apparel'!$B$13*('R&amp;S - Apparel'!$D$18+('R&amp;S - Apparel'!$D$19-'R&amp;S - Apparel'!$D$18)*(AD$3-$X$3)/10)</f>
        <v>1302.5323553765941</v>
      </c>
      <c r="AE34" s="183">
        <f>AE30*'R&amp;S - Apparel'!$C$10*'R&amp;S - Apparel'!$B$13*('R&amp;S - Apparel'!$D$18+('R&amp;S - Apparel'!$D$19-'R&amp;S - Apparel'!$D$18)*(AE$3-$X$3)/10)</f>
        <v>1344.3561272546383</v>
      </c>
      <c r="AF34" s="183">
        <f>AF30*'R&amp;S - Apparel'!$C$10*'R&amp;S - Apparel'!$B$13*('R&amp;S - Apparel'!$D$18+('R&amp;S - Apparel'!$D$19-'R&amp;S - Apparel'!$D$18)*(AF$3-$X$3)/10)</f>
        <v>1385.5337948650522</v>
      </c>
      <c r="AG34" s="183">
        <f>AG30*'R&amp;S - Apparel'!$C$10*'R&amp;S - Apparel'!$B$13*('R&amp;S - Apparel'!$D$18+('R&amp;S - Apparel'!$D$19-'R&amp;S - Apparel'!$D$18)*(AG$3-$X$3)/10)</f>
        <v>1426.0723316901942</v>
      </c>
      <c r="AH34" s="183">
        <f>AH30*'R&amp;S - Apparel'!$C$10*'R&amp;S - Apparel'!$B$13*('R&amp;S - Apparel'!$D$18+('R&amp;S - Apparel'!$D$19-'R&amp;S - Apparel'!$D$18)*(AH$3-$X$3)/10)</f>
        <v>1465.9786453999841</v>
      </c>
      <c r="AI34" s="576"/>
      <c r="AJ34" s="183">
        <f>AJ30*'R&amp;S - Apparel'!$C$10*'R&amp;S - Apparel'!$B$14*'R&amp;S - Apparel'!$D$17*(AJ$3-$D$3)/10</f>
        <v>0</v>
      </c>
      <c r="AK34" s="183">
        <f>AK30*'R&amp;S - Apparel'!$C$10*'R&amp;S - Apparel'!$B$14*'R&amp;S - Apparel'!$D$17*(AK$3-$D$3)/10</f>
        <v>29.626360748940357</v>
      </c>
      <c r="AL34" s="183">
        <f>AL30*'R&amp;S - Apparel'!$C$10*'R&amp;S - Apparel'!$B$14*'R&amp;S - Apparel'!$D$17*(AL$3-$D$3)/10</f>
        <v>58.839844868704688</v>
      </c>
      <c r="AM34" s="183">
        <f>AM30*'R&amp;S - Apparel'!$C$10*'R&amp;S - Apparel'!$B$14*'R&amp;S - Apparel'!$D$17*(AM$3-$D$3)/10</f>
        <v>87.644767784136207</v>
      </c>
      <c r="AN34" s="183">
        <f>AN30*'R&amp;S - Apparel'!$C$10*'R&amp;S - Apparel'!$B$14*'R&amp;S - Apparel'!$D$17*(AN$3-$D$3)/10</f>
        <v>116.04540482654841</v>
      </c>
      <c r="AO34" s="183">
        <f>AO30*'R&amp;S - Apparel'!$C$10*'R&amp;S - Apparel'!$B$14*'R&amp;S - Apparel'!$D$17*(AO$3-$D$3)/10</f>
        <v>144.04599158294278</v>
      </c>
      <c r="AP34" s="183">
        <f>AP30*'R&amp;S - Apparel'!$C$10*'R&amp;S - Apparel'!$B$14*'R&amp;S - Apparel'!$D$17*(AP$3-$D$3)/10</f>
        <v>171.65072424230661</v>
      </c>
      <c r="AQ34" s="183">
        <f>AQ30*'R&amp;S - Apparel'!$C$10*'R&amp;S - Apparel'!$B$14*'R&amp;S - Apparel'!$D$17*(AQ$3-$D$3)/10</f>
        <v>198.86375993901419</v>
      </c>
      <c r="AR34" s="183">
        <f>AR30*'R&amp;S - Apparel'!$C$10*'R&amp;S - Apparel'!$B$14*'R&amp;S - Apparel'!$D$17*(AR$3-$D$3)/10</f>
        <v>225.68921709335569</v>
      </c>
      <c r="AS34" s="183">
        <f>AS30*'R&amp;S - Apparel'!$C$10*'R&amp;S - Apparel'!$B$14*'R&amp;S - Apparel'!$D$17*(AS$3-$D$3)/10</f>
        <v>252.13117574921617</v>
      </c>
      <c r="AT34" s="183">
        <f>AT30*'R&amp;S - Apparel'!$C$10*'R&amp;S - Apparel'!$B$14*'R&amp;S - Apparel'!$D$17*(AT$3-$D$3)/10</f>
        <v>278.19367790892875</v>
      </c>
      <c r="AU34" s="183">
        <f>AU30*'R&amp;S - Apparel'!$C$10*'R&amp;S - Apparel'!$B$14*('R&amp;S - Apparel'!$D$17+('R&amp;S - Apparel'!$D$18-'R&amp;S - Apparel'!$D$17)*(AU$3-$N$3)/10)</f>
        <v>303.88072786532433</v>
      </c>
      <c r="AV34" s="183">
        <f>AV30*'R&amp;S - Apparel'!$C$10*'R&amp;S - Apparel'!$B$14*('R&amp;S - Apparel'!$D$17+('R&amp;S - Apparel'!$D$18-'R&amp;S - Apparel'!$D$17)*(AV$3-$N$3)/10)</f>
        <v>329.19629253100106</v>
      </c>
      <c r="AW34" s="183">
        <f>AW30*'R&amp;S - Apparel'!$C$10*'R&amp;S - Apparel'!$B$14*('R&amp;S - Apparel'!$D$17+('R&amp;S - Apparel'!$D$18-'R&amp;S - Apparel'!$D$17)*(AW$3-$N$3)/10)</f>
        <v>354.14430176483569</v>
      </c>
      <c r="AX34" s="183">
        <f>AX30*'R&amp;S - Apparel'!$C$10*'R&amp;S - Apparel'!$B$14*('R&amp;S - Apparel'!$D$17+('R&amp;S - Apparel'!$D$18-'R&amp;S - Apparel'!$D$17)*(AX$3-$N$3)/10)</f>
        <v>378.72864869576</v>
      </c>
      <c r="AY34" s="183">
        <f>AY30*'R&amp;S - Apparel'!$C$10*'R&amp;S - Apparel'!$B$14*('R&amp;S - Apparel'!$D$17+('R&amp;S - Apparel'!$D$18-'R&amp;S - Apparel'!$D$17)*(AY$3-$N$3)/10)</f>
        <v>402.95319004382384</v>
      </c>
      <c r="AZ34" s="183">
        <f>AZ30*'R&amp;S - Apparel'!$C$10*'R&amp;S - Apparel'!$B$14*('R&amp;S - Apparel'!$D$17+('R&amp;S - Apparel'!$D$18-'R&amp;S - Apparel'!$D$17)*(AZ$3-$N$3)/10)</f>
        <v>426.8217464385674</v>
      </c>
      <c r="BA34" s="183">
        <f>BA30*'R&amp;S - Apparel'!$C$10*'R&amp;S - Apparel'!$B$14*('R&amp;S - Apparel'!$D$17+('R&amp;S - Apparel'!$D$18-'R&amp;S - Apparel'!$D$17)*(BA$3-$N$3)/10)</f>
        <v>450.33810273472403</v>
      </c>
      <c r="BB34" s="183">
        <f>BB30*'R&amp;S - Apparel'!$C$10*'R&amp;S - Apparel'!$B$14*('R&amp;S - Apparel'!$D$17+('R&amp;S - Apparel'!$D$18-'R&amp;S - Apparel'!$D$17)*(BB$3-$N$3)/10)</f>
        <v>473.5060083252763</v>
      </c>
      <c r="BC34" s="183">
        <f>BC30*'R&amp;S - Apparel'!$C$10*'R&amp;S - Apparel'!$B$14*('R&amp;S - Apparel'!$D$17+('R&amp;S - Apparel'!$D$18-'R&amp;S - Apparel'!$D$17)*(BC$3-$N$3)/10)</f>
        <v>496.32917745188541</v>
      </c>
      <c r="BD34" s="183">
        <f>BD30*'R&amp;S - Apparel'!$C$10*'R&amp;S - Apparel'!$B$14*('R&amp;S - Apparel'!$D$17+('R&amp;S - Apparel'!$D$18-'R&amp;S - Apparel'!$D$17)*(BD$3-$N$3)/10)</f>
        <v>518.81128951271751</v>
      </c>
      <c r="BE34" s="183">
        <f>BE30*'R&amp;S - Apparel'!$C$10*'R&amp;S - Apparel'!$B$14*('R&amp;S - Apparel'!$D$18+('R&amp;S - Apparel'!$D$19-'R&amp;S - Apparel'!$D$18)*(BE$3-$X$3)/10)</f>
        <v>541.73658964094329</v>
      </c>
      <c r="BF34" s="183">
        <f>BF30*'R&amp;S - Apparel'!$C$10*'R&amp;S - Apparel'!$B$14*('R&amp;S - Apparel'!$D$18+('R&amp;S - Apparel'!$D$19-'R&amp;S - Apparel'!$D$18)*(BF$3-$X$3)/10)</f>
        <v>564.31720964565011</v>
      </c>
      <c r="BG34" s="183">
        <f>BG30*'R&amp;S - Apparel'!$C$10*'R&amp;S - Apparel'!$B$14*('R&amp;S - Apparel'!$D$18+('R&amp;S - Apparel'!$D$19-'R&amp;S - Apparel'!$D$18)*(BG$3-$X$3)/10)</f>
        <v>586.55683991927503</v>
      </c>
      <c r="BH34" s="183">
        <f>BH30*'R&amp;S - Apparel'!$C$10*'R&amp;S - Apparel'!$B$14*('R&amp;S - Apparel'!$D$18+('R&amp;S - Apparel'!$D$19-'R&amp;S - Apparel'!$D$18)*(BH$3-$X$3)/10)</f>
        <v>608.45913616004884</v>
      </c>
      <c r="BI34" s="183">
        <f>BI30*'R&amp;S - Apparel'!$C$10*'R&amp;S - Apparel'!$B$14*('R&amp;S - Apparel'!$D$18+('R&amp;S - Apparel'!$D$19-'R&amp;S - Apparel'!$D$18)*(BI$3-$X$3)/10)</f>
        <v>630.02771967631554</v>
      </c>
      <c r="BJ34" s="183">
        <f>BJ30*'R&amp;S - Apparel'!$C$10*'R&amp;S - Apparel'!$B$14*('R&amp;S - Apparel'!$D$18+('R&amp;S - Apparel'!$D$19-'R&amp;S - Apparel'!$D$18)*(BJ$3-$X$3)/10)</f>
        <v>651.26617768829703</v>
      </c>
      <c r="BK34" s="183">
        <f>BK30*'R&amp;S - Apparel'!$C$10*'R&amp;S - Apparel'!$B$14*('R&amp;S - Apparel'!$D$18+('R&amp;S - Apparel'!$D$19-'R&amp;S - Apparel'!$D$18)*(BK$3-$X$3)/10)</f>
        <v>672.17806362731915</v>
      </c>
      <c r="BL34" s="183">
        <f>BL30*'R&amp;S - Apparel'!$C$10*'R&amp;S - Apparel'!$B$14*('R&amp;S - Apparel'!$D$18+('R&amp;S - Apparel'!$D$19-'R&amp;S - Apparel'!$D$18)*(BL$3-$X$3)/10)</f>
        <v>692.76689743252609</v>
      </c>
      <c r="BM34" s="183">
        <f>BM30*'R&amp;S - Apparel'!$C$10*'R&amp;S - Apparel'!$B$14*('R&amp;S - Apparel'!$D$18+('R&amp;S - Apparel'!$D$19-'R&amp;S - Apparel'!$D$18)*(BM$3-$X$3)/10)</f>
        <v>713.03616584509712</v>
      </c>
      <c r="BN34" s="183">
        <f>BN30*'R&amp;S - Apparel'!$C$10*'R&amp;S - Apparel'!$B$14*('R&amp;S - Apparel'!$D$18+('R&amp;S - Apparel'!$D$19-'R&amp;S - Apparel'!$D$18)*(BN$3-$X$3)/10)</f>
        <v>732.98932269999204</v>
      </c>
    </row>
    <row r="35" spans="1:88" s="62" customFormat="1" outlineLevel="1">
      <c r="A35" s="58"/>
      <c r="B35" s="58" t="s">
        <v>200</v>
      </c>
      <c r="C35" s="233" t="s">
        <v>1420</v>
      </c>
      <c r="D35" s="577">
        <f>D30-D33-D34</f>
        <v>9040.6811006642947</v>
      </c>
      <c r="E35" s="577">
        <f t="shared" ref="E35:AG35" si="33">E30-E33-E34</f>
        <v>8700.274606605486</v>
      </c>
      <c r="F35" s="577">
        <f t="shared" si="33"/>
        <v>8364.1730993664751</v>
      </c>
      <c r="G35" s="577">
        <f t="shared" si="33"/>
        <v>8032.3331121764422</v>
      </c>
      <c r="H35" s="577">
        <f t="shared" si="33"/>
        <v>7704.7115749990162</v>
      </c>
      <c r="I35" s="577">
        <f t="shared" si="33"/>
        <v>7381.2658111138244</v>
      </c>
      <c r="J35" s="577">
        <f t="shared" si="33"/>
        <v>7061.9535337264115</v>
      </c>
      <c r="K35" s="577">
        <f t="shared" si="33"/>
        <v>6746.732842606295</v>
      </c>
      <c r="L35" s="577">
        <f t="shared" si="33"/>
        <v>6435.5622207529595</v>
      </c>
      <c r="M35" s="577">
        <f t="shared" si="33"/>
        <v>6128.4005310895327</v>
      </c>
      <c r="N35" s="577">
        <f t="shared" si="33"/>
        <v>5825.2070131839318</v>
      </c>
      <c r="O35" s="577">
        <f t="shared" si="33"/>
        <v>5602.1207462114335</v>
      </c>
      <c r="P35" s="577">
        <f t="shared" si="33"/>
        <v>5381.8606006204573</v>
      </c>
      <c r="Q35" s="577">
        <f t="shared" si="33"/>
        <v>5164.3980229389554</v>
      </c>
      <c r="R35" s="577">
        <f t="shared" si="33"/>
        <v>4949.7047204004293</v>
      </c>
      <c r="S35" s="577">
        <f t="shared" si="33"/>
        <v>4737.7526586970798</v>
      </c>
      <c r="T35" s="577">
        <f t="shared" si="33"/>
        <v>4528.5140597516174</v>
      </c>
      <c r="U35" s="577">
        <f t="shared" si="33"/>
        <v>4321.9613995075833</v>
      </c>
      <c r="V35" s="577">
        <f t="shared" si="33"/>
        <v>4118.0674057380074</v>
      </c>
      <c r="W35" s="577">
        <f t="shared" si="33"/>
        <v>3916.8050558722939</v>
      </c>
      <c r="X35" s="577">
        <f t="shared" si="33"/>
        <v>3718.1475748411422</v>
      </c>
      <c r="Y35" s="577">
        <f t="shared" si="33"/>
        <v>3486.9414206427855</v>
      </c>
      <c r="Z35" s="577">
        <f t="shared" si="33"/>
        <v>3258.7768535031773</v>
      </c>
      <c r="AA35" s="577">
        <f t="shared" si="33"/>
        <v>3033.6227114460139</v>
      </c>
      <c r="AB35" s="577">
        <f t="shared" si="33"/>
        <v>2811.4481190912802</v>
      </c>
      <c r="AC35" s="577">
        <f t="shared" si="33"/>
        <v>2592.2224851742376</v>
      </c>
      <c r="AD35" s="577">
        <f t="shared" si="33"/>
        <v>2375.9155000850833</v>
      </c>
      <c r="AE35" s="577">
        <f t="shared" si="33"/>
        <v>2162.4971334290922</v>
      </c>
      <c r="AF35" s="577">
        <f t="shared" si="33"/>
        <v>1951.9376316070957</v>
      </c>
      <c r="AG35" s="577">
        <f t="shared" si="33"/>
        <v>1744.2075154161118</v>
      </c>
      <c r="AH35" s="577">
        <f>AH30-AH33-AH34</f>
        <v>1539.2775776699837</v>
      </c>
      <c r="AI35" s="579"/>
      <c r="AJ35" s="577">
        <f>AJ30-AJ33-AJ34</f>
        <v>9040.6811006642947</v>
      </c>
      <c r="AK35" s="577">
        <f t="shared" ref="AK35:BM35" si="34">AK30-AK33-AK34</f>
        <v>8838.9798410209787</v>
      </c>
      <c r="AL35" s="577">
        <f t="shared" si="34"/>
        <v>8639.6505548881378</v>
      </c>
      <c r="AM35" s="577">
        <f t="shared" si="34"/>
        <v>8442.6699795294426</v>
      </c>
      <c r="AN35" s="577">
        <f t="shared" si="34"/>
        <v>8248.0150612324014</v>
      </c>
      <c r="AO35" s="577">
        <f t="shared" si="34"/>
        <v>8055.6629535248749</v>
      </c>
      <c r="AP35" s="577">
        <f t="shared" si="34"/>
        <v>7865.5910154063013</v>
      </c>
      <c r="AQ35" s="577">
        <f t="shared" si="34"/>
        <v>7677.776809593498</v>
      </c>
      <c r="AR35" s="577">
        <f t="shared" si="34"/>
        <v>7492.1981007809418</v>
      </c>
      <c r="AS35" s="577">
        <f t="shared" si="34"/>
        <v>7308.832853915409</v>
      </c>
      <c r="AT35" s="577">
        <f t="shared" si="34"/>
        <v>7127.6592324848261</v>
      </c>
      <c r="AU35" s="577">
        <f t="shared" si="34"/>
        <v>6986.7453299283661</v>
      </c>
      <c r="AV35" s="577">
        <f t="shared" si="34"/>
        <v>6847.4491453986257</v>
      </c>
      <c r="AW35" s="577">
        <f t="shared" si="34"/>
        <v>6709.7549760946022</v>
      </c>
      <c r="AX35" s="577">
        <f t="shared" si="34"/>
        <v>6573.6472595049763</v>
      </c>
      <c r="AY35" s="577">
        <f t="shared" si="34"/>
        <v>6439.1105722154471</v>
      </c>
      <c r="AZ35" s="577">
        <f t="shared" si="34"/>
        <v>6306.1296287258792</v>
      </c>
      <c r="BA35" s="577">
        <f t="shared" si="34"/>
        <v>6174.6892802771781</v>
      </c>
      <c r="BB35" s="577">
        <f t="shared" si="34"/>
        <v>6044.7745136878266</v>
      </c>
      <c r="BC35" s="577">
        <f t="shared" si="34"/>
        <v>5916.3704501999855</v>
      </c>
      <c r="BD35" s="577">
        <f t="shared" si="34"/>
        <v>5789.4623443350974</v>
      </c>
      <c r="BE35" s="577">
        <f t="shared" si="34"/>
        <v>5646.4720766106093</v>
      </c>
      <c r="BF35" s="577">
        <f t="shared" si="34"/>
        <v>5505.1934380541306</v>
      </c>
      <c r="BG35" s="577">
        <f t="shared" si="34"/>
        <v>5365.6095179229742</v>
      </c>
      <c r="BH35" s="577">
        <f t="shared" si="34"/>
        <v>5227.703558038409</v>
      </c>
      <c r="BI35" s="577">
        <f t="shared" si="34"/>
        <v>5091.4589514805857</v>
      </c>
      <c r="BJ35" s="577">
        <f t="shared" si="34"/>
        <v>4956.8592412942598</v>
      </c>
      <c r="BK35" s="577">
        <f t="shared" si="34"/>
        <v>4823.8881192051876</v>
      </c>
      <c r="BL35" s="577">
        <f t="shared" si="34"/>
        <v>4692.5294243471426</v>
      </c>
      <c r="BM35" s="577">
        <f t="shared" si="34"/>
        <v>4562.7671419994485</v>
      </c>
      <c r="BN35" s="577">
        <f>BN30-BN33-BN34</f>
        <v>4434.5854023349521</v>
      </c>
      <c r="BQ35" s="623"/>
      <c r="BR35" s="623"/>
      <c r="BS35" s="623"/>
      <c r="BT35" s="623"/>
      <c r="BU35" s="623"/>
      <c r="BV35" s="623"/>
      <c r="BW35" s="623"/>
      <c r="BX35" s="623"/>
      <c r="BY35" s="623"/>
      <c r="BZ35" s="623"/>
      <c r="CA35" s="623"/>
      <c r="CB35" s="623"/>
      <c r="CC35" s="623"/>
      <c r="CD35" s="623"/>
      <c r="CE35" s="623"/>
      <c r="CF35" s="623"/>
      <c r="CG35" s="623"/>
      <c r="CH35" s="623"/>
      <c r="CI35" s="623"/>
      <c r="CJ35" s="623"/>
    </row>
    <row r="36" spans="1:88" outlineLevel="1">
      <c r="A36" s="1" t="s">
        <v>307</v>
      </c>
      <c r="B36" s="1" t="s">
        <v>828</v>
      </c>
      <c r="C36" s="50" t="s">
        <v>1420</v>
      </c>
      <c r="D36" s="99">
        <f>D4-D10-D18-D26-D30-D6</f>
        <v>280873.4199254759</v>
      </c>
      <c r="E36" s="99">
        <f t="shared" ref="E36:AH36" si="35">E4-E10-E18-E26-E30-E6</f>
        <v>280504.50709615776</v>
      </c>
      <c r="F36" s="99">
        <f t="shared" si="35"/>
        <v>280130.07785471273</v>
      </c>
      <c r="G36" s="99">
        <f t="shared" si="35"/>
        <v>279750.21181767067</v>
      </c>
      <c r="H36" s="99">
        <f t="shared" si="35"/>
        <v>279364.98783711734</v>
      </c>
      <c r="I36" s="99">
        <f t="shared" si="35"/>
        <v>278974.48400708893</v>
      </c>
      <c r="J36" s="99">
        <f t="shared" si="35"/>
        <v>278135.91371921112</v>
      </c>
      <c r="K36" s="99">
        <f t="shared" si="35"/>
        <v>277296.9651896985</v>
      </c>
      <c r="L36" s="99">
        <f t="shared" si="35"/>
        <v>276457.67607181735</v>
      </c>
      <c r="M36" s="99">
        <f t="shared" si="35"/>
        <v>275618.08355936548</v>
      </c>
      <c r="N36" s="99">
        <f t="shared" si="35"/>
        <v>274778.22439098317</v>
      </c>
      <c r="O36" s="99">
        <f t="shared" si="35"/>
        <v>273116.96149627236</v>
      </c>
      <c r="P36" s="99">
        <f t="shared" si="35"/>
        <v>271465.58866504766</v>
      </c>
      <c r="Q36" s="99">
        <f t="shared" si="35"/>
        <v>269824.04819643119</v>
      </c>
      <c r="R36" s="99">
        <f t="shared" si="35"/>
        <v>268192.28271701268</v>
      </c>
      <c r="S36" s="99">
        <f t="shared" si="35"/>
        <v>266570.23517906445</v>
      </c>
      <c r="T36" s="99">
        <f t="shared" si="35"/>
        <v>264239.54451704025</v>
      </c>
      <c r="U36" s="99">
        <f t="shared" si="35"/>
        <v>261928.68024205358</v>
      </c>
      <c r="V36" s="99">
        <f t="shared" si="35"/>
        <v>259637.47702810023</v>
      </c>
      <c r="W36" s="99">
        <f t="shared" si="35"/>
        <v>257365.77090710518</v>
      </c>
      <c r="X36" s="99">
        <f t="shared" si="35"/>
        <v>255113.39925790025</v>
      </c>
      <c r="Y36" s="99">
        <f t="shared" si="35"/>
        <v>252379.04297468736</v>
      </c>
      <c r="Z36" s="99">
        <f t="shared" si="35"/>
        <v>249671.63168954835</v>
      </c>
      <c r="AA36" s="99">
        <f t="shared" si="35"/>
        <v>246990.91254889918</v>
      </c>
      <c r="AB36" s="99">
        <f t="shared" si="35"/>
        <v>244336.63499805346</v>
      </c>
      <c r="AC36" s="99">
        <f t="shared" si="35"/>
        <v>241708.55076077458</v>
      </c>
      <c r="AD36" s="99">
        <f t="shared" si="35"/>
        <v>238852.07522523188</v>
      </c>
      <c r="AE36" s="99">
        <f t="shared" si="35"/>
        <v>236025.58951464441</v>
      </c>
      <c r="AF36" s="99">
        <f t="shared" si="35"/>
        <v>233228.79788207024</v>
      </c>
      <c r="AG36" s="99">
        <f t="shared" si="35"/>
        <v>230461.40738795695</v>
      </c>
      <c r="AH36" s="99">
        <f t="shared" si="35"/>
        <v>227723.12787415623</v>
      </c>
      <c r="AI36" s="178"/>
      <c r="AJ36" s="99">
        <f t="shared" ref="AJ36:BN36" si="36">AJ4-AJ10-AJ18-AJ26-AJ30-AJ6</f>
        <v>280873.4199254759</v>
      </c>
      <c r="AK36" s="99">
        <f t="shared" si="36"/>
        <v>280504.50709615776</v>
      </c>
      <c r="AL36" s="99">
        <f t="shared" si="36"/>
        <v>280130.07785471273</v>
      </c>
      <c r="AM36" s="99">
        <f t="shared" si="36"/>
        <v>279750.21181767067</v>
      </c>
      <c r="AN36" s="99">
        <f t="shared" si="36"/>
        <v>279364.98783711734</v>
      </c>
      <c r="AO36" s="99">
        <f t="shared" si="36"/>
        <v>278974.48400708893</v>
      </c>
      <c r="AP36" s="99">
        <f t="shared" si="36"/>
        <v>278135.91371921112</v>
      </c>
      <c r="AQ36" s="99">
        <f t="shared" si="36"/>
        <v>277296.9651896985</v>
      </c>
      <c r="AR36" s="99">
        <f t="shared" si="36"/>
        <v>276457.67607181735</v>
      </c>
      <c r="AS36" s="99">
        <f t="shared" si="36"/>
        <v>275618.08355936548</v>
      </c>
      <c r="AT36" s="99">
        <f t="shared" si="36"/>
        <v>274778.22439098317</v>
      </c>
      <c r="AU36" s="99">
        <f t="shared" si="36"/>
        <v>273116.96149627236</v>
      </c>
      <c r="AV36" s="99">
        <f t="shared" si="36"/>
        <v>271465.58866504766</v>
      </c>
      <c r="AW36" s="99">
        <f t="shared" si="36"/>
        <v>269824.04819643119</v>
      </c>
      <c r="AX36" s="99">
        <f t="shared" si="36"/>
        <v>268192.28271701268</v>
      </c>
      <c r="AY36" s="99">
        <f t="shared" si="36"/>
        <v>266570.23517906445</v>
      </c>
      <c r="AZ36" s="99">
        <f t="shared" si="36"/>
        <v>264239.54451704025</v>
      </c>
      <c r="BA36" s="99">
        <f t="shared" si="36"/>
        <v>261928.68024205358</v>
      </c>
      <c r="BB36" s="99">
        <f t="shared" si="36"/>
        <v>259637.47702810023</v>
      </c>
      <c r="BC36" s="99">
        <f t="shared" si="36"/>
        <v>257365.77090710518</v>
      </c>
      <c r="BD36" s="99">
        <f t="shared" si="36"/>
        <v>255113.39925790025</v>
      </c>
      <c r="BE36" s="99">
        <f t="shared" si="36"/>
        <v>252379.04297468736</v>
      </c>
      <c r="BF36" s="99">
        <f t="shared" si="36"/>
        <v>249671.63168954835</v>
      </c>
      <c r="BG36" s="99">
        <f t="shared" si="36"/>
        <v>246990.91254889918</v>
      </c>
      <c r="BH36" s="99">
        <f t="shared" si="36"/>
        <v>244336.63499805346</v>
      </c>
      <c r="BI36" s="99">
        <f t="shared" si="36"/>
        <v>241708.55076077458</v>
      </c>
      <c r="BJ36" s="99">
        <f t="shared" si="36"/>
        <v>238852.07522523188</v>
      </c>
      <c r="BK36" s="99">
        <f t="shared" si="36"/>
        <v>236025.58951464441</v>
      </c>
      <c r="BL36" s="99">
        <f t="shared" si="36"/>
        <v>233228.79788207024</v>
      </c>
      <c r="BM36" s="99">
        <f t="shared" si="36"/>
        <v>230461.40738795695</v>
      </c>
      <c r="BN36" s="99">
        <f t="shared" si="36"/>
        <v>227723.12787415623</v>
      </c>
    </row>
    <row r="37" spans="1:88" outlineLevel="1">
      <c r="B37" s="1" t="s">
        <v>169</v>
      </c>
      <c r="C37" s="50" t="s">
        <v>1420</v>
      </c>
      <c r="D37" s="99">
        <v>0</v>
      </c>
      <c r="E37" s="99">
        <f>E36*'R&amp;S - Others'!$D$7*'R&amp;S - Others'!$B$11*'R&amp;S - Others'!$B$15*(E$3-$D$3)/10</f>
        <v>1388.4973101259809</v>
      </c>
      <c r="F37" s="99">
        <f>F36*'R&amp;S - Others'!$D$7*'R&amp;S - Others'!$B$11*'R&amp;S - Others'!$B$15*(F$3-$D$3)/10</f>
        <v>2773.2877707616562</v>
      </c>
      <c r="G37" s="99">
        <f>G36*'R&amp;S - Others'!$D$7*'R&amp;S - Others'!$B$11*'R&amp;S - Others'!$B$15*(G$3-$D$3)/10</f>
        <v>4154.2906454924087</v>
      </c>
      <c r="H37" s="99">
        <f>H36*'R&amp;S - Others'!$D$7*'R&amp;S - Others'!$B$11*'R&amp;S - Others'!$B$15*(H$3-$D$3)/10</f>
        <v>5531.4267591749231</v>
      </c>
      <c r="I37" s="99">
        <f>I36*'R&amp;S - Others'!$D$7*'R&amp;S - Others'!$B$11*'R&amp;S - Others'!$B$15*(I$3-$D$3)/10</f>
        <v>6904.6184791754513</v>
      </c>
      <c r="J37" s="99">
        <f>J36*'R&amp;S - Others'!$D$7*'R&amp;S - Others'!$B$11*'R&amp;S - Others'!$B$15*(J$3-$D$3)/10</f>
        <v>8260.6366374605695</v>
      </c>
      <c r="K37" s="99">
        <f>K36*'R&amp;S - Others'!$D$7*'R&amp;S - Others'!$B$11*'R&amp;S - Others'!$B$15*(K$3-$D$3)/10</f>
        <v>9608.3398438230524</v>
      </c>
      <c r="L37" s="99">
        <f>L36*'R&amp;S - Others'!$D$7*'R&amp;S - Others'!$B$11*'R&amp;S - Others'!$B$15*(L$3-$D$3)/10</f>
        <v>10947.723972443968</v>
      </c>
      <c r="M37" s="99">
        <f>M36*'R&amp;S - Others'!$D$7*'R&amp;S - Others'!$B$11*'R&amp;S - Others'!$B$15*(M$3-$D$3)/10</f>
        <v>12278.785622569732</v>
      </c>
      <c r="N37" s="99">
        <f>N36*'R&amp;S - Others'!$D$7*'R&amp;S - Others'!$B$11*'R&amp;S - Others'!$B$15*(N$3-$D$3)/10</f>
        <v>13601.52210735367</v>
      </c>
      <c r="O37" s="99">
        <f>O36*'R&amp;S - Others'!$D$7*'R&amp;S - Others'!$B$11*('R&amp;S - Others'!$B$15+('R&amp;S - Others'!$B$16-'R&amp;S - Others'!$B$15)*(O$3-$N$3)/10)</f>
        <v>14871.21855347203</v>
      </c>
      <c r="P37" s="99">
        <f>P36*'R&amp;S - Others'!$D$7*'R&amp;S - Others'!$B$11*('R&amp;S - Others'!$B$15+('R&amp;S - Others'!$B$16-'R&amp;S - Others'!$B$15)*(P$3-$N$3)/10)</f>
        <v>16125.055966703831</v>
      </c>
      <c r="Q37" s="99">
        <f>Q36*'R&amp;S - Others'!$D$7*'R&amp;S - Others'!$B$11*('R&amp;S - Others'!$B$15+('R&amp;S - Others'!$B$16-'R&amp;S - Others'!$B$15)*(Q$3-$N$3)/10)</f>
        <v>17363.17750144035</v>
      </c>
      <c r="R37" s="99">
        <f>R36*'R&amp;S - Others'!$D$7*'R&amp;S - Others'!$B$11*('R&amp;S - Others'!$B$15+('R&amp;S - Others'!$B$16-'R&amp;S - Others'!$B$15)*(R$3-$N$3)/10)</f>
        <v>18585.725192288977</v>
      </c>
      <c r="S37" s="99">
        <f>S36*'R&amp;S - Others'!$D$7*'R&amp;S - Others'!$B$11*('R&amp;S - Others'!$B$15+('R&amp;S - Others'!$B$16-'R&amp;S - Others'!$B$15)*(S$3-$N$3)/10)</f>
        <v>19792.839962045535</v>
      </c>
      <c r="T37" s="99">
        <f>T36*'R&amp;S - Others'!$D$7*'R&amp;S - Others'!$B$11*('R&amp;S - Others'!$B$15+('R&amp;S - Others'!$B$16-'R&amp;S - Others'!$B$15)*(T$3-$N$3)/10)</f>
        <v>20927.771925749588</v>
      </c>
      <c r="U37" s="99">
        <f>U36*'R&amp;S - Others'!$D$7*'R&amp;S - Others'!$B$11*('R&amp;S - Others'!$B$15+('R&amp;S - Others'!$B$16-'R&amp;S - Others'!$B$15)*(U$3-$N$3)/10)</f>
        <v>22041.29844236881</v>
      </c>
      <c r="V37" s="99">
        <f>V36*'R&amp;S - Others'!$D$7*'R&amp;S - Others'!$B$11*('R&amp;S - Others'!$B$15+('R&amp;S - Others'!$B$16-'R&amp;S - Others'!$B$15)*(V$3-$N$3)/10)</f>
        <v>23133.699203203731</v>
      </c>
      <c r="W37" s="99">
        <f>W36*'R&amp;S - Others'!$D$7*'R&amp;S - Others'!$B$11*('R&amp;S - Others'!$B$15+('R&amp;S - Others'!$B$16-'R&amp;S - Others'!$B$15)*(W$3-$N$3)/10)</f>
        <v>24205.250753813241</v>
      </c>
      <c r="X37" s="99">
        <f>X36*'R&amp;S - Others'!$D$7*'R&amp;S - Others'!$B$11*('R&amp;S - Others'!$B$15+('R&amp;S - Others'!$B$16-'R&amp;S - Others'!$B$15)*(X$3-$N$3)/10)</f>
        <v>25256.226526532126</v>
      </c>
      <c r="Y37" s="99">
        <f>Y36*'R&amp;S - Others'!$D$7*'R&amp;S - Others'!$B$11*('R&amp;S - Others'!$B$16+('R&amp;S - Others'!$B$17-'R&amp;S - Others'!$B$16)*(Y$3-$X$3)/10)</f>
        <v>26272.658373664952</v>
      </c>
      <c r="Z37" s="99">
        <f>Z36*'R&amp;S - Others'!$D$7*'R&amp;S - Others'!$B$11*('R&amp;S - Others'!$B$16+('R&amp;S - Others'!$B$17-'R&amp;S - Others'!$B$16)*(Z$3-$X$3)/10)</f>
        <v>27264.142180498675</v>
      </c>
      <c r="AA37" s="99">
        <f>AA36*'R&amp;S - Others'!$D$7*'R&amp;S - Others'!$B$11*('R&amp;S - Others'!$B$16+('R&amp;S - Others'!$B$17-'R&amp;S - Others'!$B$16)*(AA$3-$X$3)/10)</f>
        <v>28231.061304339175</v>
      </c>
      <c r="AB37" s="99">
        <f>AB36*'R&amp;S - Others'!$D$7*'R&amp;S - Others'!$B$11*('R&amp;S - Others'!$B$16+('R&amp;S - Others'!$B$17-'R&amp;S - Others'!$B$16)*(AB$3-$X$3)/10)</f>
        <v>29173.794218767584</v>
      </c>
      <c r="AC37" s="99">
        <f>AC36*'R&amp;S - Others'!$D$7*'R&amp;S - Others'!$B$11*('R&amp;S - Others'!$B$16+('R&amp;S - Others'!$B$17-'R&amp;S - Others'!$B$16)*(AC$3-$X$3)/10)</f>
        <v>30092.714569716438</v>
      </c>
      <c r="AD37" s="99">
        <f>AD36*'R&amp;S - Others'!$D$7*'R&amp;S - Others'!$B$11*('R&amp;S - Others'!$B$16+('R&amp;S - Others'!$B$17-'R&amp;S - Others'!$B$16)*(AD$3-$X$3)/10)</f>
        <v>30955.228949190056</v>
      </c>
      <c r="AE37" s="99">
        <f>AE36*'R&amp;S - Others'!$D$7*'R&amp;S - Others'!$B$11*('R&amp;S - Others'!$B$16+('R&amp;S - Others'!$B$17-'R&amp;S - Others'!$B$16)*(AE$3-$X$3)/10)</f>
        <v>31792.646907622599</v>
      </c>
      <c r="AF37" s="99">
        <f>AF36*'R&amp;S - Others'!$D$7*'R&amp;S - Others'!$B$11*('R&amp;S - Others'!$B$16+('R&amp;S - Others'!$B$17-'R&amp;S - Others'!$B$16)*(AF$3-$X$3)/10)</f>
        <v>32605.385943913414</v>
      </c>
      <c r="AG37" s="99">
        <f>AG36*'R&amp;S - Others'!$D$7*'R&amp;S - Others'!$B$11*('R&amp;S - Others'!$B$16+('R&amp;S - Others'!$B$17-'R&amp;S - Others'!$B$16)*(AG$3-$X$3)/10)</f>
        <v>33393.857930514961</v>
      </c>
      <c r="AH37" s="99">
        <f>AH36*'R&amp;S - Others'!$D$7*'R&amp;S - Others'!$B$11*('R&amp;S - Others'!$B$16+('R&amp;S - Others'!$B$17-'R&amp;S - Others'!$B$16)*(AH$3-$X$3)/10)</f>
        <v>34158.46918112343</v>
      </c>
      <c r="AI37" s="178"/>
      <c r="AJ37" s="99">
        <v>0</v>
      </c>
      <c r="AK37" s="99">
        <f>AK36*'R&amp;S - Others'!$D$7*'R&amp;S - Others'!$B$12*'R&amp;S - Others'!$B$15*(AK$3-$D$3)/10</f>
        <v>694.24865506299045</v>
      </c>
      <c r="AL37" s="99">
        <f>AL36*'R&amp;S - Others'!$D$7*'R&amp;S - Others'!$B$12*'R&amp;S - Others'!$B$15*(AL$3-$D$3)/10</f>
        <v>1386.6438853808281</v>
      </c>
      <c r="AM37" s="99">
        <f>AM36*'R&amp;S - Others'!$D$7*'R&amp;S - Others'!$B$12*'R&amp;S - Others'!$B$15*(AM$3-$D$3)/10</f>
        <v>2077.1453227462043</v>
      </c>
      <c r="AN37" s="99">
        <f>AN36*'R&amp;S - Others'!$D$7*'R&amp;S - Others'!$B$12*'R&amp;S - Others'!$B$15*(AN$3-$D$3)/10</f>
        <v>2765.7133795874615</v>
      </c>
      <c r="AO37" s="99">
        <f>AO36*'R&amp;S - Others'!$D$7*'R&amp;S - Others'!$B$12*'R&amp;S - Others'!$B$15*(AO$3-$D$3)/10</f>
        <v>3452.3092395877256</v>
      </c>
      <c r="AP37" s="99">
        <f>AP36*'R&amp;S - Others'!$D$7*'R&amp;S - Others'!$B$12*'R&amp;S - Others'!$B$15*(AP$3-$D$3)/10</f>
        <v>4130.3183187302848</v>
      </c>
      <c r="AQ37" s="99">
        <f>AQ36*'R&amp;S - Others'!$D$7*'R&amp;S - Others'!$B$12*'R&amp;S - Others'!$B$15*(AQ$3-$D$3)/10</f>
        <v>4804.1699219115262</v>
      </c>
      <c r="AR37" s="99">
        <f>AR36*'R&amp;S - Others'!$D$7*'R&amp;S - Others'!$B$12*'R&amp;S - Others'!$B$15*(AR$3-$D$3)/10</f>
        <v>5473.8619862219839</v>
      </c>
      <c r="AS37" s="99">
        <f>AS36*'R&amp;S - Others'!$D$7*'R&amp;S - Others'!$B$12*'R&amp;S - Others'!$B$15*(AS$3-$D$3)/10</f>
        <v>6139.3928112848662</v>
      </c>
      <c r="AT37" s="99">
        <f>AT36*'R&amp;S - Others'!$D$7*'R&amp;S - Others'!$B$12*'R&amp;S - Others'!$B$15*(AT$3-$D$3)/10</f>
        <v>6800.7610536768352</v>
      </c>
      <c r="AU37" s="99">
        <f>AU36*'R&amp;S - Others'!$D$7*'R&amp;S - Others'!$B$12*('R&amp;S - Others'!$B$15+('R&amp;S - Others'!$B$16-'R&amp;S - Others'!$B$15)*(AU$3-$N$3)/10)</f>
        <v>7435.6092767360151</v>
      </c>
      <c r="AV37" s="99">
        <f>AV36*'R&amp;S - Others'!$D$7*'R&amp;S - Others'!$B$12*('R&amp;S - Others'!$B$15+('R&amp;S - Others'!$B$16-'R&amp;S - Others'!$B$15)*(AV$3-$N$3)/10)</f>
        <v>8062.5279833519153</v>
      </c>
      <c r="AW37" s="99">
        <f>AW36*'R&amp;S - Others'!$D$7*'R&amp;S - Others'!$B$12*('R&amp;S - Others'!$B$15+('R&amp;S - Others'!$B$16-'R&amp;S - Others'!$B$15)*(AW$3-$N$3)/10)</f>
        <v>8681.5887507201751</v>
      </c>
      <c r="AX37" s="99">
        <f>AX36*'R&amp;S - Others'!$D$7*'R&amp;S - Others'!$B$12*('R&amp;S - Others'!$B$15+('R&amp;S - Others'!$B$16-'R&amp;S - Others'!$B$15)*(AX$3-$N$3)/10)</f>
        <v>9292.8625961444886</v>
      </c>
      <c r="AY37" s="99">
        <f>AY36*'R&amp;S - Others'!$D$7*'R&amp;S - Others'!$B$12*('R&amp;S - Others'!$B$15+('R&amp;S - Others'!$B$16-'R&amp;S - Others'!$B$15)*(AY$3-$N$3)/10)</f>
        <v>9896.4199810227674</v>
      </c>
      <c r="AZ37" s="99">
        <f>AZ36*'R&amp;S - Others'!$D$7*'R&amp;S - Others'!$B$12*('R&amp;S - Others'!$B$15+('R&amp;S - Others'!$B$16-'R&amp;S - Others'!$B$15)*(AZ$3-$N$3)/10)</f>
        <v>10463.885962874794</v>
      </c>
      <c r="BA37" s="99">
        <f>BA36*'R&amp;S - Others'!$D$7*'R&amp;S - Others'!$B$12*('R&amp;S - Others'!$B$15+('R&amp;S - Others'!$B$16-'R&amp;S - Others'!$B$15)*(BA$3-$N$3)/10)</f>
        <v>11020.649221184405</v>
      </c>
      <c r="BB37" s="99">
        <f>BB36*'R&amp;S - Others'!$D$7*'R&amp;S - Others'!$B$12*('R&amp;S - Others'!$B$15+('R&amp;S - Others'!$B$16-'R&amp;S - Others'!$B$15)*(BB$3-$N$3)/10)</f>
        <v>11566.849601601865</v>
      </c>
      <c r="BC37" s="99">
        <f>BC36*'R&amp;S - Others'!$D$7*'R&amp;S - Others'!$B$12*('R&amp;S - Others'!$B$15+('R&amp;S - Others'!$B$16-'R&amp;S - Others'!$B$15)*(BC$3-$N$3)/10)</f>
        <v>12102.625376906621</v>
      </c>
      <c r="BD37" s="99">
        <f>BD36*'R&amp;S - Others'!$D$7*'R&amp;S - Others'!$B$12*('R&amp;S - Others'!$B$15+('R&amp;S - Others'!$B$16-'R&amp;S - Others'!$B$15)*(BD$3-$N$3)/10)</f>
        <v>12628.113263266063</v>
      </c>
      <c r="BE37" s="99">
        <f>BE36*'R&amp;S - Others'!$D$7*'R&amp;S - Others'!$B$12*('R&amp;S - Others'!$B$16+('R&amp;S - Others'!$B$17-'R&amp;S - Others'!$B$16)*(BE$3-$X$3)/10)</f>
        <v>13136.329186832476</v>
      </c>
      <c r="BF37" s="99">
        <f>BF36*'R&amp;S - Others'!$D$7*'R&amp;S - Others'!$B$12*('R&amp;S - Others'!$B$16+('R&amp;S - Others'!$B$17-'R&amp;S - Others'!$B$16)*(BF$3-$X$3)/10)</f>
        <v>13632.071090249337</v>
      </c>
      <c r="BG37" s="99">
        <f>BG36*'R&amp;S - Others'!$D$7*'R&amp;S - Others'!$B$12*('R&amp;S - Others'!$B$16+('R&amp;S - Others'!$B$17-'R&amp;S - Others'!$B$16)*(BG$3-$X$3)/10)</f>
        <v>14115.530652169587</v>
      </c>
      <c r="BH37" s="99">
        <f>BH36*'R&amp;S - Others'!$D$7*'R&amp;S - Others'!$B$12*('R&amp;S - Others'!$B$16+('R&amp;S - Others'!$B$17-'R&amp;S - Others'!$B$16)*(BH$3-$X$3)/10)</f>
        <v>14586.897109383792</v>
      </c>
      <c r="BI37" s="99">
        <f>BI36*'R&amp;S - Others'!$D$7*'R&amp;S - Others'!$B$12*('R&amp;S - Others'!$B$16+('R&amp;S - Others'!$B$17-'R&amp;S - Others'!$B$16)*(BI$3-$X$3)/10)</f>
        <v>15046.357284858219</v>
      </c>
      <c r="BJ37" s="99">
        <f>BJ36*'R&amp;S - Others'!$D$7*'R&amp;S - Others'!$B$12*('R&amp;S - Others'!$B$16+('R&amp;S - Others'!$B$17-'R&amp;S - Others'!$B$16)*(BJ$3-$X$3)/10)</f>
        <v>15477.614474595028</v>
      </c>
      <c r="BK37" s="99">
        <f>BK36*'R&amp;S - Others'!$D$7*'R&amp;S - Others'!$B$12*('R&amp;S - Others'!$B$16+('R&amp;S - Others'!$B$17-'R&amp;S - Others'!$B$16)*(BK$3-$X$3)/10)</f>
        <v>15896.323453811299</v>
      </c>
      <c r="BL37" s="99">
        <f>BL36*'R&amp;S - Others'!$D$7*'R&amp;S - Others'!$B$12*('R&amp;S - Others'!$B$16+('R&amp;S - Others'!$B$17-'R&amp;S - Others'!$B$16)*(BL$3-$X$3)/10)</f>
        <v>16302.692971956707</v>
      </c>
      <c r="BM37" s="99">
        <f>BM36*'R&amp;S - Others'!$D$7*'R&amp;S - Others'!$B$12*('R&amp;S - Others'!$B$16+('R&amp;S - Others'!$B$17-'R&amp;S - Others'!$B$16)*(BM$3-$X$3)/10)</f>
        <v>16696.928965257481</v>
      </c>
      <c r="BN37" s="99">
        <f>BN36*'R&amp;S - Others'!$D$7*'R&amp;S - Others'!$B$12*('R&amp;S - Others'!$B$16+('R&amp;S - Others'!$B$17-'R&amp;S - Others'!$B$16)*(BN$3-$X$3)/10)</f>
        <v>17079.234590561715</v>
      </c>
    </row>
    <row r="38" spans="1:88" outlineLevel="1">
      <c r="B38" s="1" t="s">
        <v>172</v>
      </c>
      <c r="C38" s="50" t="s">
        <v>1420</v>
      </c>
      <c r="D38" s="99">
        <v>0</v>
      </c>
      <c r="E38" s="99">
        <f>E36*'R&amp;S - Others'!$D$8*'R&amp;S - Others'!$B$11*'R&amp;S - Others'!$C$15*(E$3-$D$3)/10</f>
        <v>462.83243670866034</v>
      </c>
      <c r="F38" s="99">
        <f>F36*'R&amp;S - Others'!$D$8*'R&amp;S - Others'!$B$11*'R&amp;S - Others'!$C$15*(F$3-$D$3)/10</f>
        <v>924.42925692055201</v>
      </c>
      <c r="G38" s="99">
        <f>G36*'R&amp;S - Others'!$D$8*'R&amp;S - Others'!$B$11*'R&amp;S - Others'!$C$15*(G$3-$D$3)/10</f>
        <v>1384.7635484974699</v>
      </c>
      <c r="H38" s="99">
        <f>H36*'R&amp;S - Others'!$D$8*'R&amp;S - Others'!$B$11*'R&amp;S - Others'!$C$15*(H$3-$D$3)/10</f>
        <v>1843.8089197249749</v>
      </c>
      <c r="I38" s="99">
        <f>I36*'R&amp;S - Others'!$D$8*'R&amp;S - Others'!$B$11*'R&amp;S - Others'!$C$15*(I$3-$D$3)/10</f>
        <v>2301.5394930584839</v>
      </c>
      <c r="J38" s="99">
        <f>J36*'R&amp;S - Others'!$D$8*'R&amp;S - Others'!$B$11*'R&amp;S - Others'!$C$15*(J$3-$D$3)/10</f>
        <v>2753.54554582019</v>
      </c>
      <c r="K38" s="99">
        <f>K36*'R&amp;S - Others'!$D$8*'R&amp;S - Others'!$B$11*'R&amp;S - Others'!$C$15*(K$3-$D$3)/10</f>
        <v>3202.7799479410178</v>
      </c>
      <c r="L38" s="99">
        <f>L36*'R&amp;S - Others'!$D$8*'R&amp;S - Others'!$B$11*'R&amp;S - Others'!$C$15*(L$3-$D$3)/10</f>
        <v>3649.2413241479894</v>
      </c>
      <c r="M38" s="99">
        <f>M36*'R&amp;S - Others'!$D$8*'R&amp;S - Others'!$B$11*'R&amp;S - Others'!$C$15*(M$3-$D$3)/10</f>
        <v>4092.9285408565775</v>
      </c>
      <c r="N38" s="99">
        <f>N36*'R&amp;S - Others'!$D$8*'R&amp;S - Others'!$B$11*'R&amp;S - Others'!$C$15*(N$3-$D$3)/10</f>
        <v>4533.8407024512226</v>
      </c>
      <c r="O38" s="99">
        <f>O36*'R&amp;S - Others'!$D$8*'R&amp;S - Others'!$B$11*'R&amp;S - Others'!$C$15*(O$3-$D$3)/10</f>
        <v>4957.0728511573443</v>
      </c>
      <c r="P38" s="99">
        <f>P36*'R&amp;S - Others'!$D$8*'R&amp;S - Others'!$B$11*'R&amp;S - Others'!$C$15*(P$3-$D$3)/10</f>
        <v>5375.0186555679447</v>
      </c>
      <c r="Q38" s="99">
        <f>Q36*'R&amp;S - Others'!$D$8*'R&amp;S - Others'!$B$11*'R&amp;S - Others'!$C$15*(Q$3-$D$3)/10</f>
        <v>5787.7258338134507</v>
      </c>
      <c r="R38" s="99">
        <f>R36*'R&amp;S - Others'!$D$8*'R&amp;S - Others'!$B$11*'R&amp;S - Others'!$C$15*(R$3-$D$3)/10</f>
        <v>6195.2417307629948</v>
      </c>
      <c r="S38" s="99">
        <f>S36*'R&amp;S - Others'!$D$8*'R&amp;S - Others'!$B$11*'R&amp;S - Others'!$C$15*(S$3-$D$3)/10</f>
        <v>6597.6133206818467</v>
      </c>
      <c r="T38" s="99">
        <f>T36*'R&amp;S - Others'!$D$8*'R&amp;S - Others'!$B$11*'R&amp;S - Others'!$C$15*(T$3-$D$3)/10</f>
        <v>6975.9239752498634</v>
      </c>
      <c r="U38" s="99">
        <f>U36*'R&amp;S - Others'!$D$8*'R&amp;S - Others'!$B$11*'R&amp;S - Others'!$C$15*(U$3-$D$3)/10</f>
        <v>7347.0994807896031</v>
      </c>
      <c r="V38" s="99">
        <f>V36*'R&amp;S - Others'!$D$8*'R&amp;S - Others'!$B$11*'R&amp;S - Others'!$C$15*(V$3-$D$3)/10</f>
        <v>7711.233067734579</v>
      </c>
      <c r="W38" s="99">
        <f>W36*'R&amp;S - Others'!$D$8*'R&amp;S - Others'!$B$11*'R&amp;S - Others'!$C$15*(W$3-$D$3)/10</f>
        <v>8068.4169179377477</v>
      </c>
      <c r="X38" s="99">
        <f>X36*'R&amp;S - Others'!$D$8*'R&amp;S - Others'!$B$11*'R&amp;S - Others'!$C$15*(X$3-$D$3)/10</f>
        <v>8418.7421755107098</v>
      </c>
      <c r="Y38" s="99">
        <f>Y36*'R&amp;S - Others'!$D$8*'R&amp;S - Others'!$B$11*('R&amp;S - Others'!$C$16+('R&amp;S - Others'!$C$17-'R&amp;S - Others'!$C$16)*(Y$3-$X$3)/10)</f>
        <v>8757.552791221653</v>
      </c>
      <c r="Z38" s="99">
        <f>Z36*'R&amp;S - Others'!$D$8*'R&amp;S - Others'!$B$11*('R&amp;S - Others'!$C$16+('R&amp;S - Others'!$C$17-'R&amp;S - Others'!$C$16)*(Z$3-$X$3)/10)</f>
        <v>9088.0473934995607</v>
      </c>
      <c r="AA38" s="99">
        <f>AA36*'R&amp;S - Others'!$D$8*'R&amp;S - Others'!$B$11*('R&amp;S - Others'!$C$16+('R&amp;S - Others'!$C$17-'R&amp;S - Others'!$C$16)*(AA$3-$X$3)/10)</f>
        <v>9410.3537681130601</v>
      </c>
      <c r="AB38" s="99">
        <f>AB36*'R&amp;S - Others'!$D$8*'R&amp;S - Others'!$B$11*('R&amp;S - Others'!$C$16+('R&amp;S - Others'!$C$17-'R&amp;S - Others'!$C$16)*(AB$3-$X$3)/10)</f>
        <v>9724.5980729225284</v>
      </c>
      <c r="AC38" s="99">
        <f>AC36*'R&amp;S - Others'!$D$8*'R&amp;S - Others'!$B$11*('R&amp;S - Others'!$C$16+('R&amp;S - Others'!$C$17-'R&amp;S - Others'!$C$16)*(AC$3-$X$3)/10)</f>
        <v>10030.904856572146</v>
      </c>
      <c r="AD38" s="99">
        <f>AD36*'R&amp;S - Others'!$D$8*'R&amp;S - Others'!$B$11*('R&amp;S - Others'!$C$16+('R&amp;S - Others'!$C$17-'R&amp;S - Others'!$C$16)*(AD$3-$X$3)/10)</f>
        <v>10318.40964973002</v>
      </c>
      <c r="AE38" s="99">
        <f>AE36*'R&amp;S - Others'!$D$8*'R&amp;S - Others'!$B$11*('R&amp;S - Others'!$C$16+('R&amp;S - Others'!$C$17-'R&amp;S - Others'!$C$16)*(AE$3-$X$3)/10)</f>
        <v>10597.548969207535</v>
      </c>
      <c r="AF38" s="99">
        <f>AF36*'R&amp;S - Others'!$D$8*'R&amp;S - Others'!$B$11*('R&amp;S - Others'!$C$16+('R&amp;S - Others'!$C$17-'R&amp;S - Others'!$C$16)*(AF$3-$X$3)/10)</f>
        <v>10868.461981304474</v>
      </c>
      <c r="AG38" s="99">
        <f>AG36*'R&amp;S - Others'!$D$8*'R&amp;S - Others'!$B$11*('R&amp;S - Others'!$C$16+('R&amp;S - Others'!$C$17-'R&amp;S - Others'!$C$16)*(AG$3-$X$3)/10)</f>
        <v>11131.28597683832</v>
      </c>
      <c r="AH38" s="99">
        <f>AH36*'R&amp;S - Others'!$D$8*'R&amp;S - Others'!$B$11*('R&amp;S - Others'!$C$16+('R&amp;S - Others'!$C$17-'R&amp;S - Others'!$C$16)*(AH$3-$X$3)/10)</f>
        <v>11386.156393707812</v>
      </c>
      <c r="AI38" s="178"/>
      <c r="AJ38" s="99">
        <v>0</v>
      </c>
      <c r="AK38" s="99">
        <f>AK36*'R&amp;S - Others'!$D$8*'R&amp;S - Others'!$B$12*'R&amp;S - Others'!$C$15*(AK$3-$D$3)/10</f>
        <v>231.41621835433017</v>
      </c>
      <c r="AL38" s="99">
        <f>AL36*'R&amp;S - Others'!$D$8*'R&amp;S - Others'!$B$12*'R&amp;S - Others'!$C$15*(AL$3-$D$3)/10</f>
        <v>462.214628460276</v>
      </c>
      <c r="AM38" s="99">
        <f>AM36*'R&amp;S - Others'!$D$8*'R&amp;S - Others'!$B$12*'R&amp;S - Others'!$C$15*(AM$3-$D$3)/10</f>
        <v>692.38177424873493</v>
      </c>
      <c r="AN38" s="99">
        <f>AN36*'R&amp;S - Others'!$D$8*'R&amp;S - Others'!$B$12*'R&amp;S - Others'!$C$15*(AN$3-$D$3)/10</f>
        <v>921.90445986248744</v>
      </c>
      <c r="AO38" s="99">
        <f>AO36*'R&amp;S - Others'!$D$8*'R&amp;S - Others'!$B$12*'R&amp;S - Others'!$C$15*(AO$3-$D$3)/10</f>
        <v>1150.769746529242</v>
      </c>
      <c r="AP38" s="99">
        <f>AP36*'R&amp;S - Others'!$D$8*'R&amp;S - Others'!$B$12*'R&amp;S - Others'!$C$15*(AP$3-$D$3)/10</f>
        <v>1376.772772910095</v>
      </c>
      <c r="AQ38" s="99">
        <f>AQ36*'R&amp;S - Others'!$D$8*'R&amp;S - Others'!$B$12*'R&amp;S - Others'!$C$15*(AQ$3-$D$3)/10</f>
        <v>1601.3899739705089</v>
      </c>
      <c r="AR38" s="99">
        <f>AR36*'R&amp;S - Others'!$D$8*'R&amp;S - Others'!$B$12*'R&amp;S - Others'!$C$15*(AR$3-$D$3)/10</f>
        <v>1824.6206620739947</v>
      </c>
      <c r="AS38" s="99">
        <f>AS36*'R&amp;S - Others'!$D$8*'R&amp;S - Others'!$B$12*'R&amp;S - Others'!$C$15*(AS$3-$D$3)/10</f>
        <v>2046.4642704282887</v>
      </c>
      <c r="AT38" s="99">
        <f>AT36*'R&amp;S - Others'!$D$8*'R&amp;S - Others'!$B$12*'R&amp;S - Others'!$C$15*(AT$3-$D$3)/10</f>
        <v>2266.9203512256113</v>
      </c>
      <c r="AU38" s="99">
        <f>AU36*'R&amp;S - Others'!$D$8*'R&amp;S - Others'!$B$12*'R&amp;S - Others'!$C$15*(AU$3-$D$3)/10</f>
        <v>2478.5364255786722</v>
      </c>
      <c r="AV38" s="99">
        <f>AV36*'R&amp;S - Others'!$D$8*'R&amp;S - Others'!$B$12*'R&amp;S - Others'!$C$15*(AV$3-$D$3)/10</f>
        <v>2687.5093277839724</v>
      </c>
      <c r="AW38" s="99">
        <f>AW36*'R&amp;S - Others'!$D$8*'R&amp;S - Others'!$B$12*'R&amp;S - Others'!$C$15*(AW$3-$D$3)/10</f>
        <v>2893.8629169067253</v>
      </c>
      <c r="AX38" s="99">
        <f>AX36*'R&amp;S - Others'!$D$8*'R&amp;S - Others'!$B$12*'R&amp;S - Others'!$C$15*(AX$3-$D$3)/10</f>
        <v>3097.6208653814974</v>
      </c>
      <c r="AY38" s="99">
        <f>AY36*'R&amp;S - Others'!$D$8*'R&amp;S - Others'!$B$12*'R&amp;S - Others'!$C$15*(AY$3-$D$3)/10</f>
        <v>3298.8066603409234</v>
      </c>
      <c r="AZ38" s="99">
        <f>AZ36*'R&amp;S - Others'!$D$8*'R&amp;S - Others'!$B$12*'R&amp;S - Others'!$C$15*(AZ$3-$D$3)/10</f>
        <v>3487.9619876249317</v>
      </c>
      <c r="BA38" s="99">
        <f>BA36*'R&amp;S - Others'!$D$8*'R&amp;S - Others'!$B$12*'R&amp;S - Others'!$C$15*(BA$3-$D$3)/10</f>
        <v>3673.5497403948016</v>
      </c>
      <c r="BB38" s="99">
        <f>BB36*'R&amp;S - Others'!$D$8*'R&amp;S - Others'!$B$12*'R&amp;S - Others'!$C$15*(BB$3-$D$3)/10</f>
        <v>3855.6165338672895</v>
      </c>
      <c r="BC38" s="99">
        <f>BC36*'R&amp;S - Others'!$D$8*'R&amp;S - Others'!$B$12*'R&amp;S - Others'!$C$15*(BC$3-$D$3)/10</f>
        <v>4034.2084589688739</v>
      </c>
      <c r="BD38" s="99">
        <f>BD36*'R&amp;S - Others'!$D$8*'R&amp;S - Others'!$B$12*'R&amp;S - Others'!$C$15*(BD$3-$D$3)/10</f>
        <v>4209.3710877553549</v>
      </c>
      <c r="BE38" s="99">
        <f>BE36*'R&amp;S - Others'!$D$8*'R&amp;S - Others'!$B$12*('R&amp;S - Others'!$C$16+('R&amp;S - Others'!$C$17-'R&amp;S - Others'!$C$16)*(BE$3-$X$3)/10)</f>
        <v>4378.7763956108265</v>
      </c>
      <c r="BF38" s="99">
        <f>BF36*'R&amp;S - Others'!$D$8*'R&amp;S - Others'!$B$12*('R&amp;S - Others'!$C$16+('R&amp;S - Others'!$C$17-'R&amp;S - Others'!$C$16)*(BF$3-$X$3)/10)</f>
        <v>4544.0236967497804</v>
      </c>
      <c r="BG38" s="99">
        <f>BG36*'R&amp;S - Others'!$D$8*'R&amp;S - Others'!$B$12*('R&amp;S - Others'!$C$16+('R&amp;S - Others'!$C$17-'R&amp;S - Others'!$C$16)*(BG$3-$X$3)/10)</f>
        <v>4705.1768840565301</v>
      </c>
      <c r="BH38" s="99">
        <f>BH36*'R&amp;S - Others'!$D$8*'R&amp;S - Others'!$B$12*('R&amp;S - Others'!$C$16+('R&amp;S - Others'!$C$17-'R&amp;S - Others'!$C$16)*(BH$3-$X$3)/10)</f>
        <v>4862.2990364612642</v>
      </c>
      <c r="BI38" s="99">
        <f>BI36*'R&amp;S - Others'!$D$8*'R&amp;S - Others'!$B$12*('R&amp;S - Others'!$C$16+('R&amp;S - Others'!$C$17-'R&amp;S - Others'!$C$16)*(BI$3-$X$3)/10)</f>
        <v>5015.452428286073</v>
      </c>
      <c r="BJ38" s="99">
        <f>BJ36*'R&amp;S - Others'!$D$8*'R&amp;S - Others'!$B$12*('R&amp;S - Others'!$C$16+('R&amp;S - Others'!$C$17-'R&amp;S - Others'!$C$16)*(BJ$3-$X$3)/10)</f>
        <v>5159.2048248650099</v>
      </c>
      <c r="BK38" s="99">
        <f>BK36*'R&amp;S - Others'!$D$8*'R&amp;S - Others'!$B$12*('R&amp;S - Others'!$C$16+('R&amp;S - Others'!$C$17-'R&amp;S - Others'!$C$16)*(BK$3-$X$3)/10)</f>
        <v>5298.7744846037676</v>
      </c>
      <c r="BL38" s="99">
        <f>BL36*'R&amp;S - Others'!$D$8*'R&amp;S - Others'!$B$12*('R&amp;S - Others'!$C$16+('R&amp;S - Others'!$C$17-'R&amp;S - Others'!$C$16)*(BL$3-$X$3)/10)</f>
        <v>5434.2309906522369</v>
      </c>
      <c r="BM38" s="99">
        <f>BM36*'R&amp;S - Others'!$D$8*'R&amp;S - Others'!$B$12*('R&amp;S - Others'!$C$16+('R&amp;S - Others'!$C$17-'R&amp;S - Others'!$C$16)*(BM$3-$X$3)/10)</f>
        <v>5565.6429884191602</v>
      </c>
      <c r="BN38" s="99">
        <f>BN36*'R&amp;S - Others'!$D$8*'R&amp;S - Others'!$B$12*('R&amp;S - Others'!$C$16+('R&amp;S - Others'!$C$17-'R&amp;S - Others'!$C$16)*(BN$3-$X$3)/10)</f>
        <v>5693.0781968539059</v>
      </c>
    </row>
    <row r="39" spans="1:88" outlineLevel="1">
      <c r="A39" s="158"/>
      <c r="B39" s="158" t="s">
        <v>200</v>
      </c>
      <c r="C39" s="159" t="s">
        <v>1420</v>
      </c>
      <c r="D39" s="541">
        <f>D36-D37-D38</f>
        <v>280873.4199254759</v>
      </c>
      <c r="E39" s="541">
        <f t="shared" ref="E39:AH39" si="37">E36-E37-E38</f>
        <v>278653.17734932312</v>
      </c>
      <c r="F39" s="541">
        <f t="shared" si="37"/>
        <v>276432.36082703056</v>
      </c>
      <c r="G39" s="541">
        <f t="shared" si="37"/>
        <v>274211.15762368077</v>
      </c>
      <c r="H39" s="541">
        <f t="shared" si="37"/>
        <v>271989.75215821748</v>
      </c>
      <c r="I39" s="541">
        <f t="shared" si="37"/>
        <v>269768.32603485504</v>
      </c>
      <c r="J39" s="541">
        <f t="shared" si="37"/>
        <v>267121.73153593036</v>
      </c>
      <c r="K39" s="541">
        <f t="shared" si="37"/>
        <v>264485.84539793443</v>
      </c>
      <c r="L39" s="541">
        <f t="shared" si="37"/>
        <v>261860.71077522539</v>
      </c>
      <c r="M39" s="541">
        <f t="shared" si="37"/>
        <v>259246.36939593917</v>
      </c>
      <c r="N39" s="541">
        <f t="shared" si="37"/>
        <v>256642.86158117829</v>
      </c>
      <c r="O39" s="541">
        <f t="shared" si="37"/>
        <v>253288.670091643</v>
      </c>
      <c r="P39" s="541">
        <f t="shared" si="37"/>
        <v>249965.51404277587</v>
      </c>
      <c r="Q39" s="541">
        <f t="shared" si="37"/>
        <v>246673.1448611774</v>
      </c>
      <c r="R39" s="541">
        <f t="shared" si="37"/>
        <v>243411.3157939607</v>
      </c>
      <c r="S39" s="541">
        <f t="shared" si="37"/>
        <v>240179.78189633705</v>
      </c>
      <c r="T39" s="541">
        <f t="shared" si="37"/>
        <v>236335.84861604081</v>
      </c>
      <c r="U39" s="541">
        <f t="shared" si="37"/>
        <v>232540.28231889519</v>
      </c>
      <c r="V39" s="541">
        <f t="shared" si="37"/>
        <v>228792.54475716193</v>
      </c>
      <c r="W39" s="541">
        <f t="shared" si="37"/>
        <v>225092.10323535418</v>
      </c>
      <c r="X39" s="541">
        <f t="shared" si="37"/>
        <v>221438.43055585743</v>
      </c>
      <c r="Y39" s="541">
        <f t="shared" si="37"/>
        <v>217348.83180980076</v>
      </c>
      <c r="Z39" s="541">
        <f t="shared" si="37"/>
        <v>213319.44211555013</v>
      </c>
      <c r="AA39" s="541">
        <f t="shared" si="37"/>
        <v>209349.49747644694</v>
      </c>
      <c r="AB39" s="541">
        <f t="shared" si="37"/>
        <v>205438.24270636335</v>
      </c>
      <c r="AC39" s="541">
        <f t="shared" si="37"/>
        <v>201584.931334486</v>
      </c>
      <c r="AD39" s="541">
        <f t="shared" si="37"/>
        <v>197578.4366263118</v>
      </c>
      <c r="AE39" s="541">
        <f t="shared" si="37"/>
        <v>193635.39363781427</v>
      </c>
      <c r="AF39" s="541">
        <f t="shared" si="37"/>
        <v>189754.94995685233</v>
      </c>
      <c r="AG39" s="541">
        <f t="shared" si="37"/>
        <v>185936.26348060367</v>
      </c>
      <c r="AH39" s="541">
        <f t="shared" si="37"/>
        <v>182178.50229932499</v>
      </c>
      <c r="AI39" s="178"/>
      <c r="AJ39" s="541">
        <f>AJ36-AJ37-AJ38</f>
        <v>280873.4199254759</v>
      </c>
      <c r="AK39" s="541">
        <f t="shared" ref="AK39:BN39" si="38">AK36-AK37-AK38</f>
        <v>279578.84222274047</v>
      </c>
      <c r="AL39" s="541">
        <f t="shared" si="38"/>
        <v>278281.21934087161</v>
      </c>
      <c r="AM39" s="541">
        <f t="shared" si="38"/>
        <v>276980.68472067575</v>
      </c>
      <c r="AN39" s="541">
        <f t="shared" si="38"/>
        <v>275677.36999766738</v>
      </c>
      <c r="AO39" s="541">
        <f t="shared" si="38"/>
        <v>274371.40502097196</v>
      </c>
      <c r="AP39" s="541">
        <f t="shared" si="38"/>
        <v>272628.82262757077</v>
      </c>
      <c r="AQ39" s="541">
        <f t="shared" si="38"/>
        <v>270891.40529381641</v>
      </c>
      <c r="AR39" s="541">
        <f t="shared" si="38"/>
        <v>269159.19342352136</v>
      </c>
      <c r="AS39" s="541">
        <f t="shared" si="38"/>
        <v>267432.22647765232</v>
      </c>
      <c r="AT39" s="541">
        <f t="shared" si="38"/>
        <v>265710.54298608075</v>
      </c>
      <c r="AU39" s="541">
        <f t="shared" si="38"/>
        <v>263202.81579395762</v>
      </c>
      <c r="AV39" s="541">
        <f t="shared" si="38"/>
        <v>260715.55135391178</v>
      </c>
      <c r="AW39" s="541">
        <f t="shared" si="38"/>
        <v>258248.59652880431</v>
      </c>
      <c r="AX39" s="541">
        <f t="shared" si="38"/>
        <v>255801.79925548669</v>
      </c>
      <c r="AY39" s="541">
        <f t="shared" si="38"/>
        <v>253375.00853770075</v>
      </c>
      <c r="AZ39" s="541">
        <f t="shared" si="38"/>
        <v>250287.69656654052</v>
      </c>
      <c r="BA39" s="541">
        <f t="shared" si="38"/>
        <v>247234.48128047437</v>
      </c>
      <c r="BB39" s="541">
        <f t="shared" si="38"/>
        <v>244215.01089263108</v>
      </c>
      <c r="BC39" s="541">
        <f t="shared" si="38"/>
        <v>241228.93707122968</v>
      </c>
      <c r="BD39" s="541">
        <f t="shared" si="38"/>
        <v>238275.91490687881</v>
      </c>
      <c r="BE39" s="541">
        <f t="shared" si="38"/>
        <v>234863.93739224406</v>
      </c>
      <c r="BF39" s="541">
        <f t="shared" si="38"/>
        <v>231495.53690254921</v>
      </c>
      <c r="BG39" s="541">
        <f t="shared" si="38"/>
        <v>228170.20501267308</v>
      </c>
      <c r="BH39" s="541">
        <f t="shared" si="38"/>
        <v>224887.43885220838</v>
      </c>
      <c r="BI39" s="541">
        <f t="shared" si="38"/>
        <v>221646.74104763029</v>
      </c>
      <c r="BJ39" s="541">
        <f t="shared" si="38"/>
        <v>218215.25592577184</v>
      </c>
      <c r="BK39" s="541">
        <f t="shared" si="38"/>
        <v>214830.49157622934</v>
      </c>
      <c r="BL39" s="541">
        <f t="shared" si="38"/>
        <v>211491.8739194613</v>
      </c>
      <c r="BM39" s="541">
        <f t="shared" si="38"/>
        <v>208198.83543428031</v>
      </c>
      <c r="BN39" s="541">
        <f t="shared" si="38"/>
        <v>204950.81508674062</v>
      </c>
    </row>
    <row r="40" spans="1:88" s="61" customFormat="1" outlineLevel="2">
      <c r="B40" s="54" t="s">
        <v>198</v>
      </c>
      <c r="C40" s="55" t="s">
        <v>1420</v>
      </c>
      <c r="D40" s="571">
        <v>0</v>
      </c>
      <c r="E40" s="571">
        <v>0</v>
      </c>
      <c r="F40" s="571">
        <v>0</v>
      </c>
      <c r="G40" s="571">
        <v>0</v>
      </c>
      <c r="H40" s="571">
        <v>0</v>
      </c>
      <c r="I40" s="571">
        <v>0</v>
      </c>
      <c r="J40" s="571">
        <v>0</v>
      </c>
      <c r="K40" s="571">
        <v>0</v>
      </c>
      <c r="L40" s="571">
        <v>0</v>
      </c>
      <c r="M40" s="571">
        <v>0</v>
      </c>
      <c r="N40" s="571">
        <v>0</v>
      </c>
      <c r="O40" s="571">
        <v>0</v>
      </c>
      <c r="P40" s="571">
        <v>0</v>
      </c>
      <c r="Q40" s="571">
        <v>0</v>
      </c>
      <c r="R40" s="571">
        <v>0</v>
      </c>
      <c r="S40" s="571">
        <v>0</v>
      </c>
      <c r="T40" s="571">
        <v>0</v>
      </c>
      <c r="U40" s="571">
        <v>0</v>
      </c>
      <c r="V40" s="571">
        <v>0</v>
      </c>
      <c r="W40" s="571">
        <v>0</v>
      </c>
      <c r="X40" s="571">
        <v>0</v>
      </c>
      <c r="Y40" s="571">
        <v>0</v>
      </c>
      <c r="Z40" s="571">
        <v>0</v>
      </c>
      <c r="AA40" s="571">
        <v>0</v>
      </c>
      <c r="AB40" s="571">
        <v>0</v>
      </c>
      <c r="AC40" s="571">
        <v>0</v>
      </c>
      <c r="AD40" s="571">
        <v>0</v>
      </c>
      <c r="AE40" s="571">
        <v>0</v>
      </c>
      <c r="AF40" s="571">
        <v>0</v>
      </c>
      <c r="AG40" s="571">
        <v>0</v>
      </c>
      <c r="AH40" s="571">
        <v>0</v>
      </c>
      <c r="AI40" s="580"/>
      <c r="AJ40" s="571">
        <f>D40</f>
        <v>0</v>
      </c>
      <c r="AK40" s="571">
        <f t="shared" ref="AK40:AZ41" si="39">E40</f>
        <v>0</v>
      </c>
      <c r="AL40" s="571">
        <f t="shared" si="39"/>
        <v>0</v>
      </c>
      <c r="AM40" s="571">
        <f t="shared" si="39"/>
        <v>0</v>
      </c>
      <c r="AN40" s="571">
        <f t="shared" si="39"/>
        <v>0</v>
      </c>
      <c r="AO40" s="571">
        <f t="shared" si="39"/>
        <v>0</v>
      </c>
      <c r="AP40" s="571">
        <f t="shared" si="39"/>
        <v>0</v>
      </c>
      <c r="AQ40" s="571">
        <f t="shared" si="39"/>
        <v>0</v>
      </c>
      <c r="AR40" s="571">
        <f t="shared" si="39"/>
        <v>0</v>
      </c>
      <c r="AS40" s="571">
        <f t="shared" si="39"/>
        <v>0</v>
      </c>
      <c r="AT40" s="571">
        <f t="shared" si="39"/>
        <v>0</v>
      </c>
      <c r="AU40" s="571">
        <f t="shared" si="39"/>
        <v>0</v>
      </c>
      <c r="AV40" s="571">
        <f t="shared" si="39"/>
        <v>0</v>
      </c>
      <c r="AW40" s="571">
        <f t="shared" si="39"/>
        <v>0</v>
      </c>
      <c r="AX40" s="571">
        <f t="shared" si="39"/>
        <v>0</v>
      </c>
      <c r="AY40" s="571">
        <f t="shared" si="39"/>
        <v>0</v>
      </c>
      <c r="AZ40" s="571">
        <f t="shared" si="39"/>
        <v>0</v>
      </c>
      <c r="BA40" s="571">
        <f t="shared" ref="BA40:BN41" si="40">U40</f>
        <v>0</v>
      </c>
      <c r="BB40" s="571">
        <f t="shared" si="40"/>
        <v>0</v>
      </c>
      <c r="BC40" s="571">
        <f t="shared" si="40"/>
        <v>0</v>
      </c>
      <c r="BD40" s="571">
        <f t="shared" si="40"/>
        <v>0</v>
      </c>
      <c r="BE40" s="571">
        <f t="shared" si="40"/>
        <v>0</v>
      </c>
      <c r="BF40" s="571">
        <f t="shared" si="40"/>
        <v>0</v>
      </c>
      <c r="BG40" s="571">
        <f t="shared" si="40"/>
        <v>0</v>
      </c>
      <c r="BH40" s="571">
        <f t="shared" si="40"/>
        <v>0</v>
      </c>
      <c r="BI40" s="571">
        <f t="shared" si="40"/>
        <v>0</v>
      </c>
      <c r="BJ40" s="571">
        <f t="shared" si="40"/>
        <v>0</v>
      </c>
      <c r="BK40" s="571">
        <f t="shared" si="40"/>
        <v>0</v>
      </c>
      <c r="BL40" s="571">
        <f t="shared" si="40"/>
        <v>0</v>
      </c>
      <c r="BM40" s="571">
        <f t="shared" si="40"/>
        <v>0</v>
      </c>
      <c r="BN40" s="571">
        <f t="shared" si="40"/>
        <v>0</v>
      </c>
      <c r="BQ40" s="649"/>
      <c r="BR40" s="649"/>
      <c r="BS40" s="649"/>
      <c r="BT40" s="649"/>
      <c r="BU40" s="649"/>
      <c r="BV40" s="649"/>
      <c r="BW40" s="649"/>
      <c r="BX40" s="649"/>
      <c r="BY40" s="649"/>
      <c r="BZ40" s="649"/>
      <c r="CA40" s="649"/>
      <c r="CB40" s="649"/>
      <c r="CC40" s="649"/>
      <c r="CD40" s="649"/>
      <c r="CE40" s="649"/>
      <c r="CF40" s="649"/>
      <c r="CG40" s="649"/>
      <c r="CH40" s="649"/>
      <c r="CI40" s="649"/>
      <c r="CJ40" s="649"/>
    </row>
    <row r="41" spans="1:88" outlineLevel="2">
      <c r="B41" s="1" t="s">
        <v>199</v>
      </c>
      <c r="C41" s="50" t="s">
        <v>1420</v>
      </c>
      <c r="D41" s="99">
        <v>0</v>
      </c>
      <c r="E41" s="99">
        <v>0</v>
      </c>
      <c r="F41" s="99">
        <v>0</v>
      </c>
      <c r="G41" s="99">
        <v>0</v>
      </c>
      <c r="H41" s="99">
        <v>0</v>
      </c>
      <c r="I41" s="99">
        <v>0</v>
      </c>
      <c r="J41" s="99">
        <v>0</v>
      </c>
      <c r="K41" s="99">
        <v>0</v>
      </c>
      <c r="L41" s="99">
        <v>0</v>
      </c>
      <c r="M41" s="99">
        <v>0</v>
      </c>
      <c r="N41" s="99">
        <v>0</v>
      </c>
      <c r="O41" s="99">
        <v>0</v>
      </c>
      <c r="P41" s="99">
        <v>0</v>
      </c>
      <c r="Q41" s="99">
        <v>0</v>
      </c>
      <c r="R41" s="99">
        <v>0</v>
      </c>
      <c r="S41" s="99">
        <v>0</v>
      </c>
      <c r="T41" s="99">
        <v>0</v>
      </c>
      <c r="U41" s="99">
        <v>0</v>
      </c>
      <c r="V41" s="99">
        <v>0</v>
      </c>
      <c r="W41" s="99">
        <v>0</v>
      </c>
      <c r="X41" s="99">
        <v>0</v>
      </c>
      <c r="Y41" s="99">
        <v>0</v>
      </c>
      <c r="Z41" s="99">
        <v>0</v>
      </c>
      <c r="AA41" s="99">
        <v>0</v>
      </c>
      <c r="AB41" s="99">
        <v>0</v>
      </c>
      <c r="AC41" s="99">
        <v>0</v>
      </c>
      <c r="AD41" s="99">
        <v>0</v>
      </c>
      <c r="AE41" s="99">
        <v>0</v>
      </c>
      <c r="AF41" s="99">
        <v>0</v>
      </c>
      <c r="AG41" s="99">
        <v>0</v>
      </c>
      <c r="AH41" s="99">
        <v>0</v>
      </c>
      <c r="AI41" s="178"/>
      <c r="AJ41" s="99">
        <f>D41</f>
        <v>0</v>
      </c>
      <c r="AK41" s="99">
        <f t="shared" si="39"/>
        <v>0</v>
      </c>
      <c r="AL41" s="99">
        <f t="shared" si="39"/>
        <v>0</v>
      </c>
      <c r="AM41" s="99">
        <f t="shared" si="39"/>
        <v>0</v>
      </c>
      <c r="AN41" s="99">
        <f t="shared" si="39"/>
        <v>0</v>
      </c>
      <c r="AO41" s="99">
        <f t="shared" si="39"/>
        <v>0</v>
      </c>
      <c r="AP41" s="99">
        <f t="shared" si="39"/>
        <v>0</v>
      </c>
      <c r="AQ41" s="99">
        <f t="shared" si="39"/>
        <v>0</v>
      </c>
      <c r="AR41" s="99">
        <f t="shared" si="39"/>
        <v>0</v>
      </c>
      <c r="AS41" s="99">
        <f t="shared" si="39"/>
        <v>0</v>
      </c>
      <c r="AT41" s="99">
        <f t="shared" si="39"/>
        <v>0</v>
      </c>
      <c r="AU41" s="99">
        <f t="shared" si="39"/>
        <v>0</v>
      </c>
      <c r="AV41" s="99">
        <f t="shared" si="39"/>
        <v>0</v>
      </c>
      <c r="AW41" s="99">
        <f t="shared" si="39"/>
        <v>0</v>
      </c>
      <c r="AX41" s="99">
        <f t="shared" si="39"/>
        <v>0</v>
      </c>
      <c r="AY41" s="99">
        <f t="shared" si="39"/>
        <v>0</v>
      </c>
      <c r="AZ41" s="99">
        <f t="shared" si="39"/>
        <v>0</v>
      </c>
      <c r="BA41" s="99">
        <f t="shared" si="40"/>
        <v>0</v>
      </c>
      <c r="BB41" s="99">
        <f t="shared" si="40"/>
        <v>0</v>
      </c>
      <c r="BC41" s="99">
        <f t="shared" si="40"/>
        <v>0</v>
      </c>
      <c r="BD41" s="99">
        <f t="shared" si="40"/>
        <v>0</v>
      </c>
      <c r="BE41" s="99">
        <f t="shared" si="40"/>
        <v>0</v>
      </c>
      <c r="BF41" s="99">
        <f t="shared" si="40"/>
        <v>0</v>
      </c>
      <c r="BG41" s="99">
        <f t="shared" si="40"/>
        <v>0</v>
      </c>
      <c r="BH41" s="99">
        <f t="shared" si="40"/>
        <v>0</v>
      </c>
      <c r="BI41" s="99">
        <f t="shared" si="40"/>
        <v>0</v>
      </c>
      <c r="BJ41" s="99">
        <f t="shared" si="40"/>
        <v>0</v>
      </c>
      <c r="BK41" s="99">
        <f t="shared" si="40"/>
        <v>0</v>
      </c>
      <c r="BL41" s="99">
        <f t="shared" si="40"/>
        <v>0</v>
      </c>
      <c r="BM41" s="99">
        <f t="shared" si="40"/>
        <v>0</v>
      </c>
      <c r="BN41" s="99">
        <f t="shared" si="40"/>
        <v>0</v>
      </c>
    </row>
    <row r="42" spans="1:88" s="168" customFormat="1" ht="15.65" customHeight="1" outlineLevel="1">
      <c r="A42" s="165" t="s">
        <v>197</v>
      </c>
      <c r="B42" s="166" t="s">
        <v>230</v>
      </c>
      <c r="C42" s="167" t="s">
        <v>1420</v>
      </c>
      <c r="D42" s="581">
        <f>D40+D41</f>
        <v>0</v>
      </c>
      <c r="E42" s="581">
        <f t="shared" ref="E42:AH42" si="41">E40+E41</f>
        <v>0</v>
      </c>
      <c r="F42" s="581">
        <f t="shared" si="41"/>
        <v>0</v>
      </c>
      <c r="G42" s="581">
        <f t="shared" si="41"/>
        <v>0</v>
      </c>
      <c r="H42" s="581">
        <f t="shared" si="41"/>
        <v>0</v>
      </c>
      <c r="I42" s="581">
        <f t="shared" si="41"/>
        <v>0</v>
      </c>
      <c r="J42" s="581">
        <f t="shared" si="41"/>
        <v>0</v>
      </c>
      <c r="K42" s="581">
        <f t="shared" si="41"/>
        <v>0</v>
      </c>
      <c r="L42" s="581">
        <f t="shared" si="41"/>
        <v>0</v>
      </c>
      <c r="M42" s="581">
        <f t="shared" si="41"/>
        <v>0</v>
      </c>
      <c r="N42" s="581">
        <f t="shared" si="41"/>
        <v>0</v>
      </c>
      <c r="O42" s="581">
        <f t="shared" si="41"/>
        <v>0</v>
      </c>
      <c r="P42" s="581">
        <f t="shared" si="41"/>
        <v>0</v>
      </c>
      <c r="Q42" s="581">
        <f t="shared" si="41"/>
        <v>0</v>
      </c>
      <c r="R42" s="581">
        <f t="shared" si="41"/>
        <v>0</v>
      </c>
      <c r="S42" s="581">
        <f t="shared" si="41"/>
        <v>0</v>
      </c>
      <c r="T42" s="581">
        <f t="shared" si="41"/>
        <v>0</v>
      </c>
      <c r="U42" s="581">
        <f t="shared" si="41"/>
        <v>0</v>
      </c>
      <c r="V42" s="581">
        <f t="shared" si="41"/>
        <v>0</v>
      </c>
      <c r="W42" s="581">
        <f t="shared" si="41"/>
        <v>0</v>
      </c>
      <c r="X42" s="581">
        <f t="shared" si="41"/>
        <v>0</v>
      </c>
      <c r="Y42" s="581">
        <f t="shared" si="41"/>
        <v>0</v>
      </c>
      <c r="Z42" s="581">
        <f t="shared" si="41"/>
        <v>0</v>
      </c>
      <c r="AA42" s="581">
        <f t="shared" si="41"/>
        <v>0</v>
      </c>
      <c r="AB42" s="581">
        <f t="shared" si="41"/>
        <v>0</v>
      </c>
      <c r="AC42" s="581">
        <f t="shared" si="41"/>
        <v>0</v>
      </c>
      <c r="AD42" s="581">
        <f t="shared" si="41"/>
        <v>0</v>
      </c>
      <c r="AE42" s="581">
        <f t="shared" si="41"/>
        <v>0</v>
      </c>
      <c r="AF42" s="581">
        <f t="shared" si="41"/>
        <v>0</v>
      </c>
      <c r="AG42" s="581">
        <f t="shared" si="41"/>
        <v>0</v>
      </c>
      <c r="AH42" s="581">
        <f t="shared" si="41"/>
        <v>0</v>
      </c>
      <c r="AI42" s="582"/>
      <c r="AJ42" s="581">
        <f>AJ40+AJ41</f>
        <v>0</v>
      </c>
      <c r="AK42" s="581">
        <f t="shared" ref="AK42:BN42" si="42">AK40+AK41</f>
        <v>0</v>
      </c>
      <c r="AL42" s="581">
        <f t="shared" si="42"/>
        <v>0</v>
      </c>
      <c r="AM42" s="581">
        <f t="shared" si="42"/>
        <v>0</v>
      </c>
      <c r="AN42" s="581">
        <f t="shared" si="42"/>
        <v>0</v>
      </c>
      <c r="AO42" s="581">
        <f t="shared" si="42"/>
        <v>0</v>
      </c>
      <c r="AP42" s="581">
        <f t="shared" si="42"/>
        <v>0</v>
      </c>
      <c r="AQ42" s="581">
        <f t="shared" si="42"/>
        <v>0</v>
      </c>
      <c r="AR42" s="581">
        <f t="shared" si="42"/>
        <v>0</v>
      </c>
      <c r="AS42" s="581">
        <f t="shared" si="42"/>
        <v>0</v>
      </c>
      <c r="AT42" s="581">
        <f t="shared" si="42"/>
        <v>0</v>
      </c>
      <c r="AU42" s="581">
        <f t="shared" si="42"/>
        <v>0</v>
      </c>
      <c r="AV42" s="581">
        <f t="shared" si="42"/>
        <v>0</v>
      </c>
      <c r="AW42" s="581">
        <f t="shared" si="42"/>
        <v>0</v>
      </c>
      <c r="AX42" s="581">
        <f t="shared" si="42"/>
        <v>0</v>
      </c>
      <c r="AY42" s="581">
        <f t="shared" si="42"/>
        <v>0</v>
      </c>
      <c r="AZ42" s="581">
        <f t="shared" si="42"/>
        <v>0</v>
      </c>
      <c r="BA42" s="581">
        <f t="shared" si="42"/>
        <v>0</v>
      </c>
      <c r="BB42" s="581">
        <f t="shared" si="42"/>
        <v>0</v>
      </c>
      <c r="BC42" s="581">
        <f t="shared" si="42"/>
        <v>0</v>
      </c>
      <c r="BD42" s="581">
        <f t="shared" si="42"/>
        <v>0</v>
      </c>
      <c r="BE42" s="581">
        <f t="shared" si="42"/>
        <v>0</v>
      </c>
      <c r="BF42" s="581">
        <f t="shared" si="42"/>
        <v>0</v>
      </c>
      <c r="BG42" s="581">
        <f t="shared" si="42"/>
        <v>0</v>
      </c>
      <c r="BH42" s="581">
        <f t="shared" si="42"/>
        <v>0</v>
      </c>
      <c r="BI42" s="581">
        <f t="shared" si="42"/>
        <v>0</v>
      </c>
      <c r="BJ42" s="581">
        <f t="shared" si="42"/>
        <v>0</v>
      </c>
      <c r="BK42" s="581">
        <f t="shared" si="42"/>
        <v>0</v>
      </c>
      <c r="BL42" s="581">
        <f t="shared" si="42"/>
        <v>0</v>
      </c>
      <c r="BM42" s="581">
        <f t="shared" si="42"/>
        <v>0</v>
      </c>
      <c r="BN42" s="581">
        <f t="shared" si="42"/>
        <v>0</v>
      </c>
      <c r="BQ42" s="650"/>
      <c r="BR42" s="650"/>
      <c r="BS42" s="650"/>
      <c r="BT42" s="650"/>
      <c r="BU42" s="650"/>
      <c r="BV42" s="650"/>
      <c r="BW42" s="650"/>
      <c r="BX42" s="650"/>
      <c r="BY42" s="650"/>
      <c r="BZ42" s="650"/>
      <c r="CA42" s="650"/>
      <c r="CB42" s="650"/>
      <c r="CC42" s="650"/>
      <c r="CD42" s="650"/>
      <c r="CE42" s="650"/>
      <c r="CF42" s="650"/>
      <c r="CG42" s="650"/>
      <c r="CH42" s="650"/>
      <c r="CI42" s="650"/>
      <c r="CJ42" s="650"/>
    </row>
    <row r="43" spans="1:88" outlineLevel="1">
      <c r="A43" s="1" t="s">
        <v>78</v>
      </c>
      <c r="B43" s="1" t="s">
        <v>169</v>
      </c>
      <c r="C43" s="50" t="s">
        <v>1420</v>
      </c>
      <c r="D43" s="520">
        <f t="shared" ref="D43:AH43" si="43">D15+D21+D27+D33+D37</f>
        <v>0</v>
      </c>
      <c r="E43" s="520">
        <f t="shared" si="43"/>
        <v>5985.2339031513402</v>
      </c>
      <c r="F43" s="520">
        <f t="shared" si="43"/>
        <v>11902.700266880816</v>
      </c>
      <c r="G43" s="520">
        <f t="shared" si="43"/>
        <v>17752.987923049819</v>
      </c>
      <c r="H43" s="520">
        <f t="shared" si="43"/>
        <v>23536.681044000165</v>
      </c>
      <c r="I43" s="520">
        <f t="shared" si="43"/>
        <v>29254.359177975886</v>
      </c>
      <c r="J43" s="520">
        <f t="shared" si="43"/>
        <v>34893.444224944535</v>
      </c>
      <c r="K43" s="520">
        <f t="shared" si="43"/>
        <v>40463.439803104164</v>
      </c>
      <c r="L43" s="520">
        <f t="shared" si="43"/>
        <v>45964.980788280795</v>
      </c>
      <c r="M43" s="520">
        <f t="shared" si="43"/>
        <v>51398.696826998814</v>
      </c>
      <c r="N43" s="520">
        <f t="shared" si="43"/>
        <v>56765.212377277276</v>
      </c>
      <c r="O43" s="520">
        <f t="shared" si="43"/>
        <v>66412.157966503859</v>
      </c>
      <c r="P43" s="520">
        <f t="shared" si="43"/>
        <v>75924.402377333143</v>
      </c>
      <c r="Q43" s="520">
        <f t="shared" si="43"/>
        <v>85303.338214999618</v>
      </c>
      <c r="R43" s="520">
        <f t="shared" si="43"/>
        <v>94550.345322700334</v>
      </c>
      <c r="S43" s="520">
        <f t="shared" si="43"/>
        <v>103666.79089114946</v>
      </c>
      <c r="T43" s="520">
        <f t="shared" si="43"/>
        <v>112597.13986336534</v>
      </c>
      <c r="U43" s="520">
        <f t="shared" si="43"/>
        <v>121393.3730862432</v>
      </c>
      <c r="V43" s="520">
        <f t="shared" si="43"/>
        <v>130056.96249801168</v>
      </c>
      <c r="W43" s="520">
        <f t="shared" si="43"/>
        <v>138589.36574838019</v>
      </c>
      <c r="X43" s="520">
        <f t="shared" si="43"/>
        <v>146992.0263284556</v>
      </c>
      <c r="Y43" s="520">
        <f t="shared" si="43"/>
        <v>161532.69265236301</v>
      </c>
      <c r="Z43" s="520">
        <f t="shared" si="43"/>
        <v>175854.02478473197</v>
      </c>
      <c r="AA43" s="520">
        <f t="shared" si="43"/>
        <v>189958.45841818277</v>
      </c>
      <c r="AB43" s="520">
        <f t="shared" si="43"/>
        <v>203848.40519821495</v>
      </c>
      <c r="AC43" s="520">
        <f t="shared" si="43"/>
        <v>217526.25294669834</v>
      </c>
      <c r="AD43" s="520">
        <f t="shared" si="43"/>
        <v>230961.4036016053</v>
      </c>
      <c r="AE43" s="520">
        <f t="shared" si="43"/>
        <v>244187.14339398948</v>
      </c>
      <c r="AF43" s="520">
        <f t="shared" si="43"/>
        <v>257205.84800126179</v>
      </c>
      <c r="AG43" s="520">
        <f t="shared" si="43"/>
        <v>270019.86913415085</v>
      </c>
      <c r="AH43" s="520">
        <f t="shared" si="43"/>
        <v>282631.53476490802</v>
      </c>
      <c r="AI43" s="178"/>
      <c r="AJ43" s="520">
        <f t="shared" ref="AJ43:BN43" si="44">AJ15+AJ21+AJ27+AJ33+AJ37</f>
        <v>0</v>
      </c>
      <c r="AK43" s="520">
        <f t="shared" si="44"/>
        <v>2804.553130865037</v>
      </c>
      <c r="AL43" s="520">
        <f t="shared" si="44"/>
        <v>5577.8433726943949</v>
      </c>
      <c r="AM43" s="520">
        <f t="shared" si="44"/>
        <v>8320.1377477307342</v>
      </c>
      <c r="AN43" s="520">
        <f t="shared" si="44"/>
        <v>11031.701202964807</v>
      </c>
      <c r="AO43" s="520">
        <f t="shared" si="44"/>
        <v>13712.79662562958</v>
      </c>
      <c r="AP43" s="520">
        <f t="shared" si="44"/>
        <v>16357.108328912633</v>
      </c>
      <c r="AQ43" s="520">
        <f t="shared" si="44"/>
        <v>18969.361733029786</v>
      </c>
      <c r="AR43" s="520">
        <f t="shared" si="44"/>
        <v>21549.848132762207</v>
      </c>
      <c r="AS43" s="520">
        <f t="shared" si="44"/>
        <v>24098.856451848071</v>
      </c>
      <c r="AT43" s="520">
        <f t="shared" si="44"/>
        <v>26616.67326125512</v>
      </c>
      <c r="AU43" s="520">
        <f t="shared" si="44"/>
        <v>31284.36984769634</v>
      </c>
      <c r="AV43" s="520">
        <f t="shared" si="44"/>
        <v>35886.972504357123</v>
      </c>
      <c r="AW43" s="520">
        <f t="shared" si="44"/>
        <v>40425.153648310108</v>
      </c>
      <c r="AX43" s="520">
        <f t="shared" si="44"/>
        <v>44899.579538911552</v>
      </c>
      <c r="AY43" s="520">
        <f t="shared" si="44"/>
        <v>49310.910330626357</v>
      </c>
      <c r="AZ43" s="520">
        <f t="shared" si="44"/>
        <v>53631.355273485715</v>
      </c>
      <c r="BA43" s="520">
        <f t="shared" si="44"/>
        <v>57886.881786953862</v>
      </c>
      <c r="BB43" s="520">
        <f t="shared" si="44"/>
        <v>62078.20305175276</v>
      </c>
      <c r="BC43" s="520">
        <f t="shared" si="44"/>
        <v>66206.025318048269</v>
      </c>
      <c r="BD43" s="520">
        <f t="shared" si="44"/>
        <v>70271.047968536659</v>
      </c>
      <c r="BE43" s="520">
        <f t="shared" si="44"/>
        <v>77398.626465382753</v>
      </c>
      <c r="BF43" s="520">
        <f t="shared" si="44"/>
        <v>84418.683897729177</v>
      </c>
      <c r="BG43" s="520">
        <f t="shared" si="44"/>
        <v>91332.415135822506</v>
      </c>
      <c r="BH43" s="520">
        <f t="shared" si="44"/>
        <v>98141.003242348088</v>
      </c>
      <c r="BI43" s="520">
        <f t="shared" si="44"/>
        <v>104845.61958228087</v>
      </c>
      <c r="BJ43" s="520">
        <f t="shared" si="44"/>
        <v>111430.94279087293</v>
      </c>
      <c r="BK43" s="520">
        <f t="shared" si="44"/>
        <v>117913.59386027977</v>
      </c>
      <c r="BL43" s="520">
        <f t="shared" si="44"/>
        <v>124294.73871435125</v>
      </c>
      <c r="BM43" s="520">
        <f t="shared" si="44"/>
        <v>130575.53150027993</v>
      </c>
      <c r="BN43" s="520">
        <f t="shared" si="44"/>
        <v>136757.11470088735</v>
      </c>
    </row>
    <row r="44" spans="1:88" outlineLevel="1">
      <c r="B44" s="1" t="s">
        <v>172</v>
      </c>
      <c r="C44" s="50" t="s">
        <v>1420</v>
      </c>
      <c r="D44" s="520">
        <f t="shared" ref="D44:AH44" si="45">D16+D24+D28+D34+D38</f>
        <v>0</v>
      </c>
      <c r="E44" s="520">
        <f t="shared" si="45"/>
        <v>553.12457968692422</v>
      </c>
      <c r="F44" s="520">
        <f t="shared" si="45"/>
        <v>1103.755220400355</v>
      </c>
      <c r="G44" s="520">
        <f t="shared" si="45"/>
        <v>1651.8781621053868</v>
      </c>
      <c r="H44" s="520">
        <f t="shared" si="45"/>
        <v>2197.4800429979873</v>
      </c>
      <c r="I44" s="520">
        <f t="shared" si="45"/>
        <v>2740.5478943153967</v>
      </c>
      <c r="J44" s="520">
        <f t="shared" si="45"/>
        <v>3276.6847820884595</v>
      </c>
      <c r="K44" s="520">
        <f t="shared" si="45"/>
        <v>3808.8562459301602</v>
      </c>
      <c r="L44" s="520">
        <f t="shared" si="45"/>
        <v>4337.0734622608206</v>
      </c>
      <c r="M44" s="520">
        <f t="shared" si="45"/>
        <v>4861.347732229593</v>
      </c>
      <c r="N44" s="520">
        <f t="shared" si="45"/>
        <v>5381.6904790155104</v>
      </c>
      <c r="O44" s="520">
        <f t="shared" si="45"/>
        <v>5883.2089487114836</v>
      </c>
      <c r="P44" s="520">
        <f t="shared" si="45"/>
        <v>6364.1092442415047</v>
      </c>
      <c r="Q44" s="520">
        <f t="shared" si="45"/>
        <v>6850.6932022105866</v>
      </c>
      <c r="R44" s="520">
        <f t="shared" si="45"/>
        <v>7331.0082987485694</v>
      </c>
      <c r="S44" s="520">
        <f t="shared" si="45"/>
        <v>7805.1129384060632</v>
      </c>
      <c r="T44" s="520">
        <f t="shared" si="45"/>
        <v>8254.1018161751017</v>
      </c>
      <c r="U44" s="520">
        <f t="shared" si="45"/>
        <v>8694.9119356530537</v>
      </c>
      <c r="V44" s="520">
        <f t="shared" si="45"/>
        <v>9127.6476394388446</v>
      </c>
      <c r="W44" s="520">
        <f t="shared" si="45"/>
        <v>9552.4121173616186</v>
      </c>
      <c r="X44" s="520">
        <f t="shared" si="45"/>
        <v>9969.3074182323853</v>
      </c>
      <c r="Y44" s="520">
        <f t="shared" si="45"/>
        <v>10367.480677454065</v>
      </c>
      <c r="Z44" s="520">
        <f t="shared" si="45"/>
        <v>10755.47181418089</v>
      </c>
      <c r="AA44" s="520">
        <f t="shared" si="45"/>
        <v>11134.395276169622</v>
      </c>
      <c r="AB44" s="520">
        <f t="shared" si="45"/>
        <v>11504.386685683685</v>
      </c>
      <c r="AC44" s="520">
        <f t="shared" si="45"/>
        <v>11865.579966573787</v>
      </c>
      <c r="AD44" s="520">
        <f t="shared" si="45"/>
        <v>12207.119936301564</v>
      </c>
      <c r="AE44" s="520">
        <f t="shared" si="45"/>
        <v>12539.452310835864</v>
      </c>
      <c r="AF44" s="520">
        <f t="shared" si="45"/>
        <v>12862.725368768262</v>
      </c>
      <c r="AG44" s="520">
        <f t="shared" si="45"/>
        <v>13177.085427106282</v>
      </c>
      <c r="AH44" s="520">
        <f t="shared" si="45"/>
        <v>13482.676864594432</v>
      </c>
      <c r="AI44" s="178"/>
      <c r="AJ44" s="520">
        <f t="shared" ref="AJ44:BN44" si="46">AJ16+AJ24+AJ28+AJ34+AJ38</f>
        <v>0</v>
      </c>
      <c r="AK44" s="520">
        <f t="shared" si="46"/>
        <v>287.73648157640002</v>
      </c>
      <c r="AL44" s="520">
        <f t="shared" si="46"/>
        <v>574.07026874743917</v>
      </c>
      <c r="AM44" s="520">
        <f t="shared" si="46"/>
        <v>858.99610914696541</v>
      </c>
      <c r="AN44" s="520">
        <f t="shared" si="46"/>
        <v>1142.508934402163</v>
      </c>
      <c r="AO44" s="520">
        <f t="shared" si="46"/>
        <v>1424.6038576704682</v>
      </c>
      <c r="AP44" s="520">
        <f t="shared" si="46"/>
        <v>1703.0839946463457</v>
      </c>
      <c r="AQ44" s="520">
        <f t="shared" si="46"/>
        <v>1979.4336830850812</v>
      </c>
      <c r="AR44" s="520">
        <f t="shared" si="46"/>
        <v>2253.6600645438134</v>
      </c>
      <c r="AS44" s="520">
        <f t="shared" si="46"/>
        <v>2525.7703284696463</v>
      </c>
      <c r="AT44" s="520">
        <f t="shared" si="46"/>
        <v>2795.7717109764703</v>
      </c>
      <c r="AU44" s="520">
        <f t="shared" si="46"/>
        <v>3056.2193454121984</v>
      </c>
      <c r="AV44" s="520">
        <f t="shared" si="46"/>
        <v>3301.1059034209129</v>
      </c>
      <c r="AW44" s="520">
        <f t="shared" si="46"/>
        <v>3553.0309564575809</v>
      </c>
      <c r="AX44" s="520">
        <f t="shared" si="46"/>
        <v>3801.6954867881445</v>
      </c>
      <c r="AY44" s="520">
        <f t="shared" si="46"/>
        <v>4047.1300347521965</v>
      </c>
      <c r="AZ44" s="520">
        <f t="shared" si="46"/>
        <v>4279.8832733848676</v>
      </c>
      <c r="BA44" s="520">
        <f t="shared" si="46"/>
        <v>4508.4250176083669</v>
      </c>
      <c r="BB44" s="520">
        <f t="shared" si="46"/>
        <v>4732.8087395387593</v>
      </c>
      <c r="BC44" s="520">
        <f t="shared" si="46"/>
        <v>4953.0873227080447</v>
      </c>
      <c r="BD44" s="520">
        <f t="shared" si="46"/>
        <v>5169.3130680468394</v>
      </c>
      <c r="BE44" s="520">
        <f t="shared" si="46"/>
        <v>5373.2640332292222</v>
      </c>
      <c r="BF44" s="520">
        <f t="shared" si="46"/>
        <v>5571.7003075908551</v>
      </c>
      <c r="BG44" s="520">
        <f t="shared" si="46"/>
        <v>5765.5316562432945</v>
      </c>
      <c r="BH44" s="520">
        <f t="shared" si="46"/>
        <v>5954.8266654006229</v>
      </c>
      <c r="BI44" s="520">
        <f t="shared" si="46"/>
        <v>6139.6530647205363</v>
      </c>
      <c r="BJ44" s="520">
        <f t="shared" si="46"/>
        <v>6314.5840233809631</v>
      </c>
      <c r="BK44" s="520">
        <f t="shared" si="46"/>
        <v>6484.8431525924607</v>
      </c>
      <c r="BL44" s="520">
        <f t="shared" si="46"/>
        <v>6650.5053377196764</v>
      </c>
      <c r="BM44" s="520">
        <f t="shared" si="46"/>
        <v>6811.6444762411375</v>
      </c>
      <c r="BN44" s="520">
        <f t="shared" si="46"/>
        <v>6968.3334894724057</v>
      </c>
    </row>
    <row r="45" spans="1:88" outlineLevel="1">
      <c r="B45" s="1" t="s">
        <v>249</v>
      </c>
      <c r="C45" s="50" t="s">
        <v>1420</v>
      </c>
      <c r="D45" s="520">
        <f t="shared" ref="D45:AH45" si="47">D11+D42</f>
        <v>0</v>
      </c>
      <c r="E45" s="520">
        <f t="shared" si="47"/>
        <v>0</v>
      </c>
      <c r="F45" s="520">
        <f t="shared" si="47"/>
        <v>0</v>
      </c>
      <c r="G45" s="520">
        <f t="shared" si="47"/>
        <v>0</v>
      </c>
      <c r="H45" s="520">
        <f t="shared" si="47"/>
        <v>0</v>
      </c>
      <c r="I45" s="520">
        <f t="shared" si="47"/>
        <v>0</v>
      </c>
      <c r="J45" s="520">
        <f t="shared" si="47"/>
        <v>0</v>
      </c>
      <c r="K45" s="520">
        <f t="shared" si="47"/>
        <v>0</v>
      </c>
      <c r="L45" s="520">
        <f t="shared" si="47"/>
        <v>0</v>
      </c>
      <c r="M45" s="520">
        <f t="shared" si="47"/>
        <v>0</v>
      </c>
      <c r="N45" s="520">
        <f t="shared" si="47"/>
        <v>0</v>
      </c>
      <c r="O45" s="520">
        <f t="shared" si="47"/>
        <v>0</v>
      </c>
      <c r="P45" s="520">
        <f t="shared" si="47"/>
        <v>0</v>
      </c>
      <c r="Q45" s="520">
        <f t="shared" si="47"/>
        <v>0</v>
      </c>
      <c r="R45" s="520">
        <f t="shared" si="47"/>
        <v>0</v>
      </c>
      <c r="S45" s="520">
        <f t="shared" si="47"/>
        <v>0</v>
      </c>
      <c r="T45" s="520">
        <f t="shared" si="47"/>
        <v>0</v>
      </c>
      <c r="U45" s="520">
        <f t="shared" si="47"/>
        <v>0</v>
      </c>
      <c r="V45" s="520">
        <f t="shared" si="47"/>
        <v>0</v>
      </c>
      <c r="W45" s="520">
        <f t="shared" si="47"/>
        <v>0</v>
      </c>
      <c r="X45" s="520">
        <f t="shared" si="47"/>
        <v>0</v>
      </c>
      <c r="Y45" s="520">
        <f t="shared" si="47"/>
        <v>0</v>
      </c>
      <c r="Z45" s="520">
        <f t="shared" si="47"/>
        <v>0</v>
      </c>
      <c r="AA45" s="520">
        <f t="shared" si="47"/>
        <v>0</v>
      </c>
      <c r="AB45" s="520">
        <f t="shared" si="47"/>
        <v>0</v>
      </c>
      <c r="AC45" s="520">
        <f t="shared" si="47"/>
        <v>0</v>
      </c>
      <c r="AD45" s="520">
        <f t="shared" si="47"/>
        <v>0</v>
      </c>
      <c r="AE45" s="520">
        <f t="shared" si="47"/>
        <v>0</v>
      </c>
      <c r="AF45" s="520">
        <f t="shared" si="47"/>
        <v>0</v>
      </c>
      <c r="AG45" s="520">
        <f t="shared" si="47"/>
        <v>0</v>
      </c>
      <c r="AH45" s="520">
        <f t="shared" si="47"/>
        <v>0</v>
      </c>
      <c r="AI45" s="178"/>
      <c r="AJ45" s="520">
        <f t="shared" ref="AJ45:BN45" si="48">AJ11+AJ42</f>
        <v>0</v>
      </c>
      <c r="AK45" s="520">
        <f t="shared" si="48"/>
        <v>0</v>
      </c>
      <c r="AL45" s="520">
        <f t="shared" si="48"/>
        <v>0</v>
      </c>
      <c r="AM45" s="520">
        <f t="shared" si="48"/>
        <v>0</v>
      </c>
      <c r="AN45" s="520">
        <f t="shared" si="48"/>
        <v>0</v>
      </c>
      <c r="AO45" s="520">
        <f t="shared" si="48"/>
        <v>0</v>
      </c>
      <c r="AP45" s="520">
        <f t="shared" si="48"/>
        <v>0</v>
      </c>
      <c r="AQ45" s="520">
        <f t="shared" si="48"/>
        <v>0</v>
      </c>
      <c r="AR45" s="520">
        <f t="shared" si="48"/>
        <v>0</v>
      </c>
      <c r="AS45" s="520">
        <f t="shared" si="48"/>
        <v>0</v>
      </c>
      <c r="AT45" s="520">
        <f t="shared" si="48"/>
        <v>0</v>
      </c>
      <c r="AU45" s="520">
        <f t="shared" si="48"/>
        <v>0</v>
      </c>
      <c r="AV45" s="520">
        <f t="shared" si="48"/>
        <v>0</v>
      </c>
      <c r="AW45" s="520">
        <f t="shared" si="48"/>
        <v>0</v>
      </c>
      <c r="AX45" s="520">
        <f t="shared" si="48"/>
        <v>0</v>
      </c>
      <c r="AY45" s="520">
        <f t="shared" si="48"/>
        <v>0</v>
      </c>
      <c r="AZ45" s="520">
        <f t="shared" si="48"/>
        <v>0</v>
      </c>
      <c r="BA45" s="520">
        <f t="shared" si="48"/>
        <v>0</v>
      </c>
      <c r="BB45" s="520">
        <f t="shared" si="48"/>
        <v>0</v>
      </c>
      <c r="BC45" s="520">
        <f t="shared" si="48"/>
        <v>0</v>
      </c>
      <c r="BD45" s="520">
        <f t="shared" si="48"/>
        <v>0</v>
      </c>
      <c r="BE45" s="520">
        <f t="shared" si="48"/>
        <v>0</v>
      </c>
      <c r="BF45" s="520">
        <f t="shared" si="48"/>
        <v>0</v>
      </c>
      <c r="BG45" s="520">
        <f t="shared" si="48"/>
        <v>0</v>
      </c>
      <c r="BH45" s="520">
        <f t="shared" si="48"/>
        <v>0</v>
      </c>
      <c r="BI45" s="520">
        <f t="shared" si="48"/>
        <v>0</v>
      </c>
      <c r="BJ45" s="520">
        <f t="shared" si="48"/>
        <v>0</v>
      </c>
      <c r="BK45" s="520">
        <f t="shared" si="48"/>
        <v>0</v>
      </c>
      <c r="BL45" s="520">
        <f t="shared" si="48"/>
        <v>0</v>
      </c>
      <c r="BM45" s="520">
        <f t="shared" si="48"/>
        <v>0</v>
      </c>
      <c r="BN45" s="520">
        <f t="shared" si="48"/>
        <v>0</v>
      </c>
    </row>
    <row r="46" spans="1:88" s="168" customFormat="1">
      <c r="A46" s="95" t="s">
        <v>1393</v>
      </c>
      <c r="B46" s="95"/>
      <c r="C46" s="96" t="s">
        <v>1420</v>
      </c>
      <c r="D46" s="583">
        <f t="shared" ref="D46:AH46" si="49">D9+D45-D43-D44</f>
        <v>846505.72103598283</v>
      </c>
      <c r="E46" s="583">
        <f t="shared" si="49"/>
        <v>835657.08885580394</v>
      </c>
      <c r="F46" s="583">
        <f t="shared" si="49"/>
        <v>824900.66538826143</v>
      </c>
      <c r="G46" s="583">
        <f t="shared" si="49"/>
        <v>814235.76380967174</v>
      </c>
      <c r="H46" s="583">
        <f t="shared" si="49"/>
        <v>803661.70212666248</v>
      </c>
      <c r="I46" s="583">
        <f t="shared" si="49"/>
        <v>793177.80314304365</v>
      </c>
      <c r="J46" s="583">
        <f t="shared" si="49"/>
        <v>782358.06788864534</v>
      </c>
      <c r="K46" s="583">
        <f t="shared" si="49"/>
        <v>771637.5293318599</v>
      </c>
      <c r="L46" s="583">
        <f t="shared" si="49"/>
        <v>761015.3942803822</v>
      </c>
      <c r="M46" s="583">
        <f t="shared" si="49"/>
        <v>750490.8754746631</v>
      </c>
      <c r="N46" s="583">
        <f t="shared" si="49"/>
        <v>740063.19154515048</v>
      </c>
      <c r="O46" s="583">
        <f t="shared" si="49"/>
        <v>724578.2866907398</v>
      </c>
      <c r="P46" s="583">
        <f t="shared" si="49"/>
        <v>709284.20011936279</v>
      </c>
      <c r="Q46" s="583">
        <f t="shared" si="49"/>
        <v>694153.00124413241</v>
      </c>
      <c r="R46" s="583">
        <f t="shared" si="49"/>
        <v>679195.02817155235</v>
      </c>
      <c r="S46" s="583">
        <f t="shared" si="49"/>
        <v>664408.62229261617</v>
      </c>
      <c r="T46" s="583">
        <f t="shared" si="49"/>
        <v>649149.68816389586</v>
      </c>
      <c r="U46" s="583">
        <f t="shared" si="49"/>
        <v>634077.60392373917</v>
      </c>
      <c r="V46" s="583">
        <f t="shared" si="49"/>
        <v>619190.45565215463</v>
      </c>
      <c r="W46" s="583">
        <f t="shared" si="49"/>
        <v>604486.34742905817</v>
      </c>
      <c r="X46" s="583">
        <f t="shared" si="49"/>
        <v>589963.40117321548</v>
      </c>
      <c r="Y46" s="583">
        <f t="shared" si="49"/>
        <v>568863.23349316639</v>
      </c>
      <c r="Z46" s="583">
        <f t="shared" si="49"/>
        <v>548043.40647683816</v>
      </c>
      <c r="AA46" s="583">
        <f t="shared" si="49"/>
        <v>527499.9507374703</v>
      </c>
      <c r="AB46" s="583">
        <f t="shared" si="49"/>
        <v>507229.90321924986</v>
      </c>
      <c r="AC46" s="583">
        <f t="shared" si="49"/>
        <v>487230.32981821144</v>
      </c>
      <c r="AD46" s="583">
        <f t="shared" si="49"/>
        <v>467287.93622841645</v>
      </c>
      <c r="AE46" s="583">
        <f t="shared" si="49"/>
        <v>447617.20982275403</v>
      </c>
      <c r="AF46" s="583">
        <f t="shared" si="49"/>
        <v>428215.17022242764</v>
      </c>
      <c r="AG46" s="583">
        <f t="shared" si="49"/>
        <v>409078.86690389621</v>
      </c>
      <c r="AH46" s="583">
        <f t="shared" si="49"/>
        <v>390205.37891356065</v>
      </c>
      <c r="AI46" s="582"/>
      <c r="AJ46" s="583">
        <f t="shared" ref="AJ46:BN46" si="50">AJ9+AJ45-AJ43-AJ44</f>
        <v>846505.72103598283</v>
      </c>
      <c r="AK46" s="583">
        <f t="shared" si="50"/>
        <v>839103.15772620088</v>
      </c>
      <c r="AL46" s="583">
        <f t="shared" si="50"/>
        <v>831755.20723410079</v>
      </c>
      <c r="AM46" s="583">
        <f t="shared" si="50"/>
        <v>824461.49603794923</v>
      </c>
      <c r="AN46" s="583">
        <f t="shared" si="50"/>
        <v>817221.65307629376</v>
      </c>
      <c r="AO46" s="583">
        <f t="shared" si="50"/>
        <v>810035.30973203504</v>
      </c>
      <c r="AP46" s="583">
        <f t="shared" si="50"/>
        <v>802468.00457211945</v>
      </c>
      <c r="AQ46" s="583">
        <f t="shared" si="50"/>
        <v>794961.02996477927</v>
      </c>
      <c r="AR46" s="583">
        <f t="shared" si="50"/>
        <v>787513.94033361773</v>
      </c>
      <c r="AS46" s="583">
        <f t="shared" si="50"/>
        <v>780126.29325357382</v>
      </c>
      <c r="AT46" s="583">
        <f t="shared" si="50"/>
        <v>772797.64942921163</v>
      </c>
      <c r="AU46" s="583">
        <f t="shared" si="50"/>
        <v>762533.06441284658</v>
      </c>
      <c r="AV46" s="583">
        <f t="shared" si="50"/>
        <v>752384.63333315938</v>
      </c>
      <c r="AW46" s="583">
        <f t="shared" si="50"/>
        <v>742328.84805657493</v>
      </c>
      <c r="AX46" s="583">
        <f t="shared" si="50"/>
        <v>732375.10676730145</v>
      </c>
      <c r="AY46" s="583">
        <f t="shared" si="50"/>
        <v>722522.48575679306</v>
      </c>
      <c r="AZ46" s="583">
        <f t="shared" si="50"/>
        <v>712089.6912965657</v>
      </c>
      <c r="BA46" s="583">
        <f t="shared" si="50"/>
        <v>701770.58214107319</v>
      </c>
      <c r="BB46" s="583">
        <f t="shared" si="50"/>
        <v>691564.05399831361</v>
      </c>
      <c r="BC46" s="583">
        <f t="shared" si="50"/>
        <v>681469.01265404373</v>
      </c>
      <c r="BD46" s="583">
        <f t="shared" si="50"/>
        <v>671484.37388332014</v>
      </c>
      <c r="BE46" s="583">
        <f t="shared" si="50"/>
        <v>657991.51632437145</v>
      </c>
      <c r="BF46" s="583">
        <f t="shared" si="50"/>
        <v>644662.51887043088</v>
      </c>
      <c r="BG46" s="583">
        <f t="shared" si="50"/>
        <v>631494.85763975699</v>
      </c>
      <c r="BH46" s="583">
        <f t="shared" si="50"/>
        <v>618486.86519539973</v>
      </c>
      <c r="BI46" s="583">
        <f t="shared" si="50"/>
        <v>605636.89008448215</v>
      </c>
      <c r="BJ46" s="583">
        <f t="shared" si="50"/>
        <v>592710.93295206944</v>
      </c>
      <c r="BK46" s="583">
        <f t="shared" si="50"/>
        <v>579945.3685147072</v>
      </c>
      <c r="BL46" s="583">
        <f t="shared" si="50"/>
        <v>567338.49954038684</v>
      </c>
      <c r="BM46" s="583">
        <f t="shared" si="50"/>
        <v>554888.64548863238</v>
      </c>
      <c r="BN46" s="583">
        <f t="shared" si="50"/>
        <v>542594.14235270338</v>
      </c>
      <c r="BQ46" s="650"/>
      <c r="BR46" s="650"/>
      <c r="BS46" s="650"/>
      <c r="BT46" s="650"/>
      <c r="BU46" s="650"/>
      <c r="BV46" s="650"/>
      <c r="BW46" s="650"/>
      <c r="BX46" s="650"/>
      <c r="BY46" s="650"/>
      <c r="BZ46" s="650"/>
      <c r="CA46" s="650"/>
      <c r="CB46" s="650"/>
      <c r="CC46" s="650"/>
      <c r="CD46" s="650"/>
      <c r="CE46" s="650"/>
      <c r="CF46" s="650"/>
      <c r="CG46" s="650"/>
      <c r="CH46" s="650"/>
      <c r="CI46" s="650"/>
      <c r="CJ46" s="650"/>
    </row>
    <row r="47" spans="1:88">
      <c r="A47" s="443"/>
      <c r="C47" s="50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576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</row>
    <row r="48" spans="1:88" outlineLevel="1">
      <c r="A48" s="54" t="s">
        <v>386</v>
      </c>
      <c r="B48" s="54" t="s">
        <v>200</v>
      </c>
      <c r="C48" s="93" t="s">
        <v>1420</v>
      </c>
      <c r="D48" s="572">
        <f t="shared" ref="D48:AH48" si="51">D25</f>
        <v>3721.0980653873412</v>
      </c>
      <c r="E48" s="572">
        <f t="shared" si="51"/>
        <v>3630.4705059146545</v>
      </c>
      <c r="F48" s="572">
        <f t="shared" si="51"/>
        <v>3540.9252695525292</v>
      </c>
      <c r="G48" s="572">
        <f t="shared" si="51"/>
        <v>3452.4516732323837</v>
      </c>
      <c r="H48" s="572">
        <f t="shared" si="51"/>
        <v>3365.0391302152102</v>
      </c>
      <c r="I48" s="572">
        <f t="shared" si="51"/>
        <v>3278.6771492678154</v>
      </c>
      <c r="J48" s="572">
        <f t="shared" si="51"/>
        <v>3193.3553338458692</v>
      </c>
      <c r="K48" s="572">
        <f t="shared" si="51"/>
        <v>3109.0633812836991</v>
      </c>
      <c r="L48" s="572">
        <f t="shared" si="51"/>
        <v>3025.791081990777</v>
      </c>
      <c r="M48" s="572">
        <f t="shared" si="51"/>
        <v>2943.5283186548477</v>
      </c>
      <c r="N48" s="572">
        <f t="shared" si="51"/>
        <v>2862.2650654516428</v>
      </c>
      <c r="O48" s="572">
        <f t="shared" si="51"/>
        <v>2752.8656205150892</v>
      </c>
      <c r="P48" s="572">
        <f t="shared" si="51"/>
        <v>2659.0514613002747</v>
      </c>
      <c r="Q48" s="572">
        <f t="shared" si="51"/>
        <v>2554.566447803586</v>
      </c>
      <c r="R48" s="572">
        <f t="shared" si="51"/>
        <v>2451.4084431013043</v>
      </c>
      <c r="S48" s="572">
        <f t="shared" si="51"/>
        <v>2349.5640269881269</v>
      </c>
      <c r="T48" s="572">
        <f t="shared" si="51"/>
        <v>2249.0199018529602</v>
      </c>
      <c r="U48" s="572">
        <f t="shared" si="51"/>
        <v>2149.7628916220333</v>
      </c>
      <c r="V48" s="572">
        <f t="shared" si="51"/>
        <v>2051.7799407107887</v>
      </c>
      <c r="W48" s="572">
        <f t="shared" si="51"/>
        <v>1955.0581129844804</v>
      </c>
      <c r="X48" s="572">
        <f t="shared" si="51"/>
        <v>1859.5845907274067</v>
      </c>
      <c r="Y48" s="572">
        <f t="shared" si="51"/>
        <v>1786.3944520678347</v>
      </c>
      <c r="Z48" s="572">
        <f t="shared" si="51"/>
        <v>1715.0975481265325</v>
      </c>
      <c r="AA48" s="572">
        <f t="shared" si="51"/>
        <v>1644.7075102674869</v>
      </c>
      <c r="AB48" s="572">
        <f t="shared" si="51"/>
        <v>1575.2151620345239</v>
      </c>
      <c r="AC48" s="572">
        <f t="shared" si="51"/>
        <v>1506.6114108238271</v>
      </c>
      <c r="AD48" s="572">
        <f t="shared" si="51"/>
        <v>1438.8872471609104</v>
      </c>
      <c r="AE48" s="572">
        <f t="shared" si="51"/>
        <v>1372.0337439836017</v>
      </c>
      <c r="AF48" s="572">
        <f t="shared" si="51"/>
        <v>1306.0420559309775</v>
      </c>
      <c r="AG48" s="572">
        <f t="shared" si="51"/>
        <v>1240.9034186382089</v>
      </c>
      <c r="AH48" s="572">
        <f t="shared" si="51"/>
        <v>1176.6091480372656</v>
      </c>
      <c r="AI48" s="178"/>
      <c r="AJ48" s="572">
        <f t="shared" ref="AJ48:BN48" si="52">AJ25</f>
        <v>3721.0980653873412</v>
      </c>
      <c r="AK48" s="572">
        <f t="shared" si="52"/>
        <v>3643.2308490369323</v>
      </c>
      <c r="AL48" s="572">
        <f t="shared" si="52"/>
        <v>3566.2681260764489</v>
      </c>
      <c r="AM48" s="572">
        <f t="shared" si="52"/>
        <v>3490.2010721300508</v>
      </c>
      <c r="AN48" s="572">
        <f t="shared" si="52"/>
        <v>3415.0209418828258</v>
      </c>
      <c r="AO48" s="572">
        <f t="shared" si="52"/>
        <v>3340.719068407439</v>
      </c>
      <c r="AP48" s="572">
        <f t="shared" si="52"/>
        <v>3267.2868624963348</v>
      </c>
      <c r="AQ48" s="572">
        <f t="shared" si="52"/>
        <v>3194.7158119994374</v>
      </c>
      <c r="AR48" s="572">
        <f t="shared" si="52"/>
        <v>3122.9974811673096</v>
      </c>
      <c r="AS48" s="572">
        <f t="shared" si="52"/>
        <v>3052.1235099997175</v>
      </c>
      <c r="AT48" s="572">
        <f t="shared" si="52"/>
        <v>2982.0856135995728</v>
      </c>
      <c r="AU48" s="572">
        <f t="shared" si="52"/>
        <v>2891.0312564726669</v>
      </c>
      <c r="AV48" s="572">
        <f t="shared" si="52"/>
        <v>2813.3127561148144</v>
      </c>
      <c r="AW48" s="572">
        <f t="shared" si="52"/>
        <v>2726.3506255795319</v>
      </c>
      <c r="AX48" s="572">
        <f t="shared" si="52"/>
        <v>2640.4638127881844</v>
      </c>
      <c r="AY48" s="572">
        <f t="shared" si="52"/>
        <v>2555.6415543290277</v>
      </c>
      <c r="AZ48" s="572">
        <f t="shared" si="52"/>
        <v>2471.8731845796992</v>
      </c>
      <c r="BA48" s="572">
        <f t="shared" si="52"/>
        <v>2389.1481348670204</v>
      </c>
      <c r="BB48" s="572">
        <f t="shared" si="52"/>
        <v>2307.4559326337567</v>
      </c>
      <c r="BC48" s="572">
        <f t="shared" si="52"/>
        <v>2226.7862006122855</v>
      </c>
      <c r="BD48" s="572">
        <f t="shared" si="52"/>
        <v>2147.1286560051099</v>
      </c>
      <c r="BE48" s="572">
        <f t="shared" si="52"/>
        <v>2085.1135135138311</v>
      </c>
      <c r="BF48" s="572">
        <f t="shared" si="52"/>
        <v>2024.6870129169074</v>
      </c>
      <c r="BG48" s="572">
        <f t="shared" si="52"/>
        <v>1965.0013831448875</v>
      </c>
      <c r="BH48" s="572">
        <f t="shared" si="52"/>
        <v>1906.0492332717181</v>
      </c>
      <c r="BI48" s="572">
        <f t="shared" si="52"/>
        <v>1847.823239400047</v>
      </c>
      <c r="BJ48" s="572">
        <f t="shared" si="52"/>
        <v>1790.3161440859622</v>
      </c>
      <c r="BK48" s="572">
        <f t="shared" si="52"/>
        <v>1733.5207557684926</v>
      </c>
      <c r="BL48" s="572">
        <f t="shared" si="52"/>
        <v>1677.4299482038311</v>
      </c>
      <c r="BM48" s="572">
        <f t="shared" si="52"/>
        <v>1622.0366599042466</v>
      </c>
      <c r="BN48" s="572">
        <f t="shared" si="52"/>
        <v>1567.3338935816407</v>
      </c>
    </row>
    <row r="49" spans="1:66" outlineLevel="1">
      <c r="A49"/>
      <c r="B49" t="s">
        <v>266</v>
      </c>
      <c r="C49" s="50" t="s">
        <v>1420</v>
      </c>
      <c r="D49" s="99">
        <f>'Butadiene Recycling HC'!C70</f>
        <v>0</v>
      </c>
      <c r="E49" s="99">
        <f>'Butadiene Recycling HC'!D70</f>
        <v>0</v>
      </c>
      <c r="F49" s="99">
        <f>'Butadiene Recycling HC'!E70</f>
        <v>0</v>
      </c>
      <c r="G49" s="99">
        <f>'Butadiene Recycling HC'!F70</f>
        <v>0</v>
      </c>
      <c r="H49" s="99">
        <f>'Butadiene Recycling HC'!G70</f>
        <v>0</v>
      </c>
      <c r="I49" s="99">
        <f>'Butadiene Recycling HC'!H70</f>
        <v>0</v>
      </c>
      <c r="J49" s="99">
        <f>'Butadiene Recycling HC'!I70</f>
        <v>0</v>
      </c>
      <c r="K49" s="99">
        <f>'Butadiene Recycling HC'!J70</f>
        <v>0</v>
      </c>
      <c r="L49" s="99">
        <f>'Butadiene Recycling HC'!K70</f>
        <v>0</v>
      </c>
      <c r="M49" s="99">
        <f>'Butadiene Recycling HC'!L70</f>
        <v>0</v>
      </c>
      <c r="N49" s="99">
        <f>'Butadiene Recycling HC'!M70</f>
        <v>0</v>
      </c>
      <c r="O49" s="99">
        <f>'Butadiene Recycling HC'!N70</f>
        <v>0</v>
      </c>
      <c r="P49" s="99">
        <f>'Butadiene Recycling HC'!O70</f>
        <v>0</v>
      </c>
      <c r="Q49" s="99">
        <f>'Butadiene Recycling HC'!P70</f>
        <v>0</v>
      </c>
      <c r="R49" s="99">
        <f>'Butadiene Recycling HC'!Q70</f>
        <v>0</v>
      </c>
      <c r="S49" s="99">
        <f>'Butadiene Recycling HC'!R70</f>
        <v>0</v>
      </c>
      <c r="T49" s="99">
        <f>'Butadiene Recycling HC'!S70</f>
        <v>0</v>
      </c>
      <c r="U49" s="99">
        <f>'Butadiene Recycling HC'!T70</f>
        <v>0</v>
      </c>
      <c r="V49" s="99">
        <f>'Butadiene Recycling HC'!U70</f>
        <v>0</v>
      </c>
      <c r="W49" s="99">
        <f>'Butadiene Recycling HC'!V70</f>
        <v>0</v>
      </c>
      <c r="X49" s="99">
        <f>'Butadiene Recycling HC'!W70</f>
        <v>0</v>
      </c>
      <c r="Y49" s="99">
        <f>'Butadiene Recycling HC'!X70</f>
        <v>0</v>
      </c>
      <c r="Z49" s="99">
        <f>'Butadiene Recycling HC'!Y70</f>
        <v>0</v>
      </c>
      <c r="AA49" s="99">
        <f>'Butadiene Recycling HC'!Z70</f>
        <v>0</v>
      </c>
      <c r="AB49" s="99">
        <f>'Butadiene Recycling HC'!AA70</f>
        <v>0</v>
      </c>
      <c r="AC49" s="99">
        <f>'Butadiene Recycling HC'!AB70</f>
        <v>0</v>
      </c>
      <c r="AD49" s="99">
        <f>'Butadiene Recycling HC'!AC70</f>
        <v>0</v>
      </c>
      <c r="AE49" s="99">
        <f>'Butadiene Recycling HC'!AD70</f>
        <v>0</v>
      </c>
      <c r="AF49" s="99">
        <f>'Butadiene Recycling HC'!AE70</f>
        <v>0</v>
      </c>
      <c r="AG49" s="99">
        <f>'Butadiene Recycling HC'!AF70</f>
        <v>0</v>
      </c>
      <c r="AH49" s="99">
        <f>'Butadiene Recycling HC'!AG70</f>
        <v>0</v>
      </c>
      <c r="AI49" s="178"/>
      <c r="AJ49" s="99">
        <f>D49</f>
        <v>0</v>
      </c>
      <c r="AK49" s="99">
        <f t="shared" ref="AK49:AZ50" si="53">E49</f>
        <v>0</v>
      </c>
      <c r="AL49" s="99">
        <f t="shared" si="53"/>
        <v>0</v>
      </c>
      <c r="AM49" s="99">
        <f t="shared" si="53"/>
        <v>0</v>
      </c>
      <c r="AN49" s="99">
        <f t="shared" si="53"/>
        <v>0</v>
      </c>
      <c r="AO49" s="99">
        <f t="shared" si="53"/>
        <v>0</v>
      </c>
      <c r="AP49" s="99">
        <f t="shared" si="53"/>
        <v>0</v>
      </c>
      <c r="AQ49" s="99">
        <f t="shared" si="53"/>
        <v>0</v>
      </c>
      <c r="AR49" s="99">
        <f t="shared" si="53"/>
        <v>0</v>
      </c>
      <c r="AS49" s="99">
        <f t="shared" si="53"/>
        <v>0</v>
      </c>
      <c r="AT49" s="99">
        <f t="shared" si="53"/>
        <v>0</v>
      </c>
      <c r="AU49" s="99">
        <f t="shared" si="53"/>
        <v>0</v>
      </c>
      <c r="AV49" s="99">
        <f t="shared" si="53"/>
        <v>0</v>
      </c>
      <c r="AW49" s="99">
        <f t="shared" si="53"/>
        <v>0</v>
      </c>
      <c r="AX49" s="99">
        <f t="shared" si="53"/>
        <v>0</v>
      </c>
      <c r="AY49" s="99">
        <f t="shared" si="53"/>
        <v>0</v>
      </c>
      <c r="AZ49" s="99">
        <f t="shared" si="53"/>
        <v>0</v>
      </c>
      <c r="BA49" s="99">
        <f t="shared" ref="BA49:BN50" si="54">U49</f>
        <v>0</v>
      </c>
      <c r="BB49" s="99">
        <f t="shared" si="54"/>
        <v>0</v>
      </c>
      <c r="BC49" s="99">
        <f t="shared" si="54"/>
        <v>0</v>
      </c>
      <c r="BD49" s="99">
        <f t="shared" si="54"/>
        <v>0</v>
      </c>
      <c r="BE49" s="99">
        <f t="shared" si="54"/>
        <v>0</v>
      </c>
      <c r="BF49" s="99">
        <f t="shared" si="54"/>
        <v>0</v>
      </c>
      <c r="BG49" s="99">
        <f t="shared" si="54"/>
        <v>0</v>
      </c>
      <c r="BH49" s="99">
        <f t="shared" si="54"/>
        <v>0</v>
      </c>
      <c r="BI49" s="99">
        <f t="shared" si="54"/>
        <v>0</v>
      </c>
      <c r="BJ49" s="99">
        <f t="shared" si="54"/>
        <v>0</v>
      </c>
      <c r="BK49" s="99">
        <f t="shared" si="54"/>
        <v>0</v>
      </c>
      <c r="BL49" s="99">
        <f t="shared" si="54"/>
        <v>0</v>
      </c>
      <c r="BM49" s="99">
        <f t="shared" si="54"/>
        <v>0</v>
      </c>
      <c r="BN49" s="99">
        <f t="shared" si="54"/>
        <v>0</v>
      </c>
    </row>
    <row r="50" spans="1:66" outlineLevel="1">
      <c r="A50"/>
      <c r="B50" s="160" t="s">
        <v>269</v>
      </c>
      <c r="C50" s="50" t="s">
        <v>1420</v>
      </c>
      <c r="D50" s="99">
        <f>'Butadiene Recycling HC'!C109</f>
        <v>0</v>
      </c>
      <c r="E50" s="99">
        <f>'Butadiene Recycling HC'!D109</f>
        <v>0</v>
      </c>
      <c r="F50" s="99">
        <f>'Butadiene Recycling HC'!E109</f>
        <v>0</v>
      </c>
      <c r="G50" s="99">
        <f>'Butadiene Recycling HC'!F109</f>
        <v>0</v>
      </c>
      <c r="H50" s="99">
        <f>'Butadiene Recycling HC'!G109</f>
        <v>0</v>
      </c>
      <c r="I50" s="99">
        <f>'Butadiene Recycling HC'!H109</f>
        <v>0</v>
      </c>
      <c r="J50" s="99">
        <f>'Butadiene Recycling HC'!I109</f>
        <v>0</v>
      </c>
      <c r="K50" s="99">
        <f>'Butadiene Recycling HC'!J109</f>
        <v>0</v>
      </c>
      <c r="L50" s="99">
        <f>'Butadiene Recycling HC'!K109</f>
        <v>0</v>
      </c>
      <c r="M50" s="99">
        <f>'Butadiene Recycling HC'!L109</f>
        <v>0</v>
      </c>
      <c r="N50" s="99">
        <f>'Butadiene Recycling HC'!M109</f>
        <v>0</v>
      </c>
      <c r="O50" s="99">
        <f>'Butadiene Recycling HC'!N109</f>
        <v>0</v>
      </c>
      <c r="P50" s="99">
        <f>'Butadiene Recycling HC'!O109</f>
        <v>0</v>
      </c>
      <c r="Q50" s="99">
        <f>'Butadiene Recycling HC'!P109</f>
        <v>0</v>
      </c>
      <c r="R50" s="99">
        <f>'Butadiene Recycling HC'!Q109</f>
        <v>0</v>
      </c>
      <c r="S50" s="99">
        <f>'Butadiene Recycling HC'!R109</f>
        <v>0</v>
      </c>
      <c r="T50" s="99">
        <f>'Butadiene Recycling HC'!S109</f>
        <v>0</v>
      </c>
      <c r="U50" s="99">
        <f>'Butadiene Recycling HC'!T109</f>
        <v>0</v>
      </c>
      <c r="V50" s="99">
        <f>'Butadiene Recycling HC'!U109</f>
        <v>0</v>
      </c>
      <c r="W50" s="99">
        <f>'Butadiene Recycling HC'!V109</f>
        <v>0</v>
      </c>
      <c r="X50" s="99">
        <f>'Butadiene Recycling HC'!W109</f>
        <v>0</v>
      </c>
      <c r="Y50" s="99">
        <f>'Butadiene Recycling HC'!X109</f>
        <v>0</v>
      </c>
      <c r="Z50" s="99">
        <f>'Butadiene Recycling HC'!Y109</f>
        <v>0</v>
      </c>
      <c r="AA50" s="99">
        <f>'Butadiene Recycling HC'!Z109</f>
        <v>0</v>
      </c>
      <c r="AB50" s="99">
        <f>'Butadiene Recycling HC'!AA109</f>
        <v>0</v>
      </c>
      <c r="AC50" s="99">
        <f>'Butadiene Recycling HC'!AB109</f>
        <v>0</v>
      </c>
      <c r="AD50" s="99">
        <f>'Butadiene Recycling HC'!AC109</f>
        <v>0</v>
      </c>
      <c r="AE50" s="99">
        <f>'Butadiene Recycling HC'!AD109</f>
        <v>0</v>
      </c>
      <c r="AF50" s="99">
        <f>'Butadiene Recycling HC'!AE109</f>
        <v>0</v>
      </c>
      <c r="AG50" s="99">
        <f>'Butadiene Recycling HC'!AF109</f>
        <v>0</v>
      </c>
      <c r="AH50" s="99">
        <f>'Butadiene Recycling HC'!AG109</f>
        <v>0</v>
      </c>
      <c r="AI50" s="178"/>
      <c r="AJ50" s="99">
        <f>D50</f>
        <v>0</v>
      </c>
      <c r="AK50" s="99">
        <f t="shared" si="53"/>
        <v>0</v>
      </c>
      <c r="AL50" s="99">
        <f t="shared" si="53"/>
        <v>0</v>
      </c>
      <c r="AM50" s="99">
        <f t="shared" si="53"/>
        <v>0</v>
      </c>
      <c r="AN50" s="99">
        <f t="shared" si="53"/>
        <v>0</v>
      </c>
      <c r="AO50" s="99">
        <f t="shared" si="53"/>
        <v>0</v>
      </c>
      <c r="AP50" s="99">
        <f t="shared" si="53"/>
        <v>0</v>
      </c>
      <c r="AQ50" s="99">
        <f t="shared" si="53"/>
        <v>0</v>
      </c>
      <c r="AR50" s="99">
        <f t="shared" si="53"/>
        <v>0</v>
      </c>
      <c r="AS50" s="99">
        <f t="shared" si="53"/>
        <v>0</v>
      </c>
      <c r="AT50" s="99">
        <f t="shared" si="53"/>
        <v>0</v>
      </c>
      <c r="AU50" s="99">
        <f t="shared" si="53"/>
        <v>0</v>
      </c>
      <c r="AV50" s="99">
        <f t="shared" si="53"/>
        <v>0</v>
      </c>
      <c r="AW50" s="99">
        <f t="shared" si="53"/>
        <v>0</v>
      </c>
      <c r="AX50" s="99">
        <f t="shared" si="53"/>
        <v>0</v>
      </c>
      <c r="AY50" s="99">
        <f t="shared" si="53"/>
        <v>0</v>
      </c>
      <c r="AZ50" s="99">
        <f t="shared" si="53"/>
        <v>0</v>
      </c>
      <c r="BA50" s="99">
        <f t="shared" si="54"/>
        <v>0</v>
      </c>
      <c r="BB50" s="99">
        <f t="shared" si="54"/>
        <v>0</v>
      </c>
      <c r="BC50" s="99">
        <f t="shared" si="54"/>
        <v>0</v>
      </c>
      <c r="BD50" s="99">
        <f t="shared" si="54"/>
        <v>0</v>
      </c>
      <c r="BE50" s="99">
        <f t="shared" si="54"/>
        <v>0</v>
      </c>
      <c r="BF50" s="99">
        <f t="shared" si="54"/>
        <v>0</v>
      </c>
      <c r="BG50" s="99">
        <f t="shared" si="54"/>
        <v>0</v>
      </c>
      <c r="BH50" s="99">
        <f t="shared" si="54"/>
        <v>0</v>
      </c>
      <c r="BI50" s="99">
        <f t="shared" si="54"/>
        <v>0</v>
      </c>
      <c r="BJ50" s="99">
        <f t="shared" si="54"/>
        <v>0</v>
      </c>
      <c r="BK50" s="99">
        <f t="shared" si="54"/>
        <v>0</v>
      </c>
      <c r="BL50" s="99">
        <f t="shared" si="54"/>
        <v>0</v>
      </c>
      <c r="BM50" s="99">
        <f t="shared" si="54"/>
        <v>0</v>
      </c>
      <c r="BN50" s="99">
        <f t="shared" si="54"/>
        <v>0</v>
      </c>
    </row>
    <row r="51" spans="1:66" outlineLevel="1">
      <c r="A51" s="58"/>
      <c r="B51" s="58" t="s">
        <v>267</v>
      </c>
      <c r="C51" s="59" t="s">
        <v>1420</v>
      </c>
      <c r="D51" s="577">
        <f>D48-D49-D50</f>
        <v>3721.0980653873412</v>
      </c>
      <c r="E51" s="577">
        <f t="shared" ref="E51:AG51" si="55">E48-E49-E50</f>
        <v>3630.4705059146545</v>
      </c>
      <c r="F51" s="577">
        <f t="shared" si="55"/>
        <v>3540.9252695525292</v>
      </c>
      <c r="G51" s="577">
        <f t="shared" si="55"/>
        <v>3452.4516732323837</v>
      </c>
      <c r="H51" s="577">
        <f t="shared" si="55"/>
        <v>3365.0391302152102</v>
      </c>
      <c r="I51" s="577">
        <f t="shared" si="55"/>
        <v>3278.6771492678154</v>
      </c>
      <c r="J51" s="577">
        <f t="shared" si="55"/>
        <v>3193.3553338458692</v>
      </c>
      <c r="K51" s="577">
        <f t="shared" si="55"/>
        <v>3109.0633812836991</v>
      </c>
      <c r="L51" s="577">
        <f t="shared" si="55"/>
        <v>3025.791081990777</v>
      </c>
      <c r="M51" s="577">
        <f t="shared" si="55"/>
        <v>2943.5283186548477</v>
      </c>
      <c r="N51" s="577">
        <f t="shared" si="55"/>
        <v>2862.2650654516428</v>
      </c>
      <c r="O51" s="577">
        <f t="shared" si="55"/>
        <v>2752.8656205150892</v>
      </c>
      <c r="P51" s="577">
        <f t="shared" si="55"/>
        <v>2659.0514613002747</v>
      </c>
      <c r="Q51" s="577">
        <f t="shared" si="55"/>
        <v>2554.566447803586</v>
      </c>
      <c r="R51" s="577">
        <f t="shared" si="55"/>
        <v>2451.4084431013043</v>
      </c>
      <c r="S51" s="577">
        <f t="shared" si="55"/>
        <v>2349.5640269881269</v>
      </c>
      <c r="T51" s="577">
        <f t="shared" si="55"/>
        <v>2249.0199018529602</v>
      </c>
      <c r="U51" s="577">
        <f t="shared" si="55"/>
        <v>2149.7628916220333</v>
      </c>
      <c r="V51" s="577">
        <f t="shared" si="55"/>
        <v>2051.7799407107887</v>
      </c>
      <c r="W51" s="577">
        <f t="shared" si="55"/>
        <v>1955.0581129844804</v>
      </c>
      <c r="X51" s="577">
        <f t="shared" si="55"/>
        <v>1859.5845907274067</v>
      </c>
      <c r="Y51" s="577">
        <f t="shared" si="55"/>
        <v>1786.3944520678347</v>
      </c>
      <c r="Z51" s="577">
        <f t="shared" si="55"/>
        <v>1715.0975481265325</v>
      </c>
      <c r="AA51" s="577">
        <f t="shared" si="55"/>
        <v>1644.7075102674869</v>
      </c>
      <c r="AB51" s="577">
        <f t="shared" si="55"/>
        <v>1575.2151620345239</v>
      </c>
      <c r="AC51" s="577">
        <f t="shared" si="55"/>
        <v>1506.6114108238271</v>
      </c>
      <c r="AD51" s="577">
        <f t="shared" si="55"/>
        <v>1438.8872471609104</v>
      </c>
      <c r="AE51" s="577">
        <f t="shared" si="55"/>
        <v>1372.0337439836017</v>
      </c>
      <c r="AF51" s="577">
        <f t="shared" si="55"/>
        <v>1306.0420559309775</v>
      </c>
      <c r="AG51" s="577">
        <f t="shared" si="55"/>
        <v>1240.9034186382089</v>
      </c>
      <c r="AH51" s="577">
        <f>AH48-AH49-AH50</f>
        <v>1176.6091480372656</v>
      </c>
      <c r="AI51" s="178"/>
      <c r="AJ51" s="577">
        <f>AJ48-AJ49-AJ50</f>
        <v>3721.0980653873412</v>
      </c>
      <c r="AK51" s="577">
        <f t="shared" ref="AK51:BM51" si="56">AK48-AK49-AK50</f>
        <v>3643.2308490369323</v>
      </c>
      <c r="AL51" s="577">
        <f t="shared" si="56"/>
        <v>3566.2681260764489</v>
      </c>
      <c r="AM51" s="577">
        <f t="shared" si="56"/>
        <v>3490.2010721300508</v>
      </c>
      <c r="AN51" s="577">
        <f t="shared" si="56"/>
        <v>3415.0209418828258</v>
      </c>
      <c r="AO51" s="577">
        <f t="shared" si="56"/>
        <v>3340.719068407439</v>
      </c>
      <c r="AP51" s="577">
        <f t="shared" si="56"/>
        <v>3267.2868624963348</v>
      </c>
      <c r="AQ51" s="577">
        <f t="shared" si="56"/>
        <v>3194.7158119994374</v>
      </c>
      <c r="AR51" s="577">
        <f t="shared" si="56"/>
        <v>3122.9974811673096</v>
      </c>
      <c r="AS51" s="577">
        <f t="shared" si="56"/>
        <v>3052.1235099997175</v>
      </c>
      <c r="AT51" s="577">
        <f t="shared" si="56"/>
        <v>2982.0856135995728</v>
      </c>
      <c r="AU51" s="577">
        <f t="shared" si="56"/>
        <v>2891.0312564726669</v>
      </c>
      <c r="AV51" s="577">
        <f t="shared" si="56"/>
        <v>2813.3127561148144</v>
      </c>
      <c r="AW51" s="577">
        <f t="shared" si="56"/>
        <v>2726.3506255795319</v>
      </c>
      <c r="AX51" s="577">
        <f t="shared" si="56"/>
        <v>2640.4638127881844</v>
      </c>
      <c r="AY51" s="577">
        <f t="shared" si="56"/>
        <v>2555.6415543290277</v>
      </c>
      <c r="AZ51" s="577">
        <f t="shared" si="56"/>
        <v>2471.8731845796992</v>
      </c>
      <c r="BA51" s="577">
        <f t="shared" si="56"/>
        <v>2389.1481348670204</v>
      </c>
      <c r="BB51" s="577">
        <f t="shared" si="56"/>
        <v>2307.4559326337567</v>
      </c>
      <c r="BC51" s="577">
        <f t="shared" si="56"/>
        <v>2226.7862006122855</v>
      </c>
      <c r="BD51" s="577">
        <f t="shared" si="56"/>
        <v>2147.1286560051099</v>
      </c>
      <c r="BE51" s="577">
        <f t="shared" si="56"/>
        <v>2085.1135135138311</v>
      </c>
      <c r="BF51" s="577">
        <f t="shared" si="56"/>
        <v>2024.6870129169074</v>
      </c>
      <c r="BG51" s="577">
        <f t="shared" si="56"/>
        <v>1965.0013831448875</v>
      </c>
      <c r="BH51" s="577">
        <f t="shared" si="56"/>
        <v>1906.0492332717181</v>
      </c>
      <c r="BI51" s="577">
        <f t="shared" si="56"/>
        <v>1847.823239400047</v>
      </c>
      <c r="BJ51" s="577">
        <f t="shared" si="56"/>
        <v>1790.3161440859622</v>
      </c>
      <c r="BK51" s="577">
        <f t="shared" si="56"/>
        <v>1733.5207557684926</v>
      </c>
      <c r="BL51" s="577">
        <f t="shared" si="56"/>
        <v>1677.4299482038311</v>
      </c>
      <c r="BM51" s="577">
        <f t="shared" si="56"/>
        <v>1622.0366599042466</v>
      </c>
      <c r="BN51" s="577">
        <f>BN48-BN49-BN50</f>
        <v>1567.3338935816407</v>
      </c>
    </row>
    <row r="52" spans="1:66" outlineLevel="1">
      <c r="A52" s="54" t="s">
        <v>262</v>
      </c>
      <c r="B52" s="54" t="s">
        <v>200</v>
      </c>
      <c r="C52" s="93" t="s">
        <v>1420</v>
      </c>
      <c r="D52" s="572">
        <f t="shared" ref="D52:AH52" si="57">D17</f>
        <v>443858.22061087564</v>
      </c>
      <c r="E52" s="572">
        <f t="shared" si="57"/>
        <v>438385.25596857682</v>
      </c>
      <c r="F52" s="572">
        <f t="shared" si="57"/>
        <v>432967.01219719957</v>
      </c>
      <c r="G52" s="572">
        <f t="shared" si="57"/>
        <v>427602.99243361806</v>
      </c>
      <c r="H52" s="572">
        <f t="shared" si="57"/>
        <v>422292.7040821418</v>
      </c>
      <c r="I52" s="572">
        <f t="shared" si="57"/>
        <v>417035.65877916839</v>
      </c>
      <c r="J52" s="572">
        <f t="shared" si="57"/>
        <v>411831.37235812203</v>
      </c>
      <c r="K52" s="572">
        <f t="shared" si="57"/>
        <v>406679.36481467553</v>
      </c>
      <c r="L52" s="572">
        <f t="shared" si="57"/>
        <v>401579.16027225245</v>
      </c>
      <c r="M52" s="572">
        <f t="shared" si="57"/>
        <v>396530.28694780869</v>
      </c>
      <c r="N52" s="572">
        <f t="shared" si="57"/>
        <v>391532.27711788996</v>
      </c>
      <c r="O52" s="572">
        <f t="shared" si="57"/>
        <v>382145.88927875739</v>
      </c>
      <c r="P52" s="572">
        <f t="shared" si="57"/>
        <v>372871.3008883443</v>
      </c>
      <c r="Q52" s="572">
        <f t="shared" si="57"/>
        <v>363707.40964130673</v>
      </c>
      <c r="R52" s="572">
        <f t="shared" si="57"/>
        <v>354653.12316586677</v>
      </c>
      <c r="S52" s="572">
        <f t="shared" si="57"/>
        <v>345707.35893889813</v>
      </c>
      <c r="T52" s="572">
        <f t="shared" si="57"/>
        <v>336869.04420171329</v>
      </c>
      <c r="U52" s="572">
        <f t="shared" si="57"/>
        <v>328137.11587654555</v>
      </c>
      <c r="V52" s="572">
        <f t="shared" si="57"/>
        <v>319510.52048372116</v>
      </c>
      <c r="W52" s="572">
        <f t="shared" si="57"/>
        <v>310988.21405951597</v>
      </c>
      <c r="X52" s="572">
        <f t="shared" si="57"/>
        <v>302569.16207468993</v>
      </c>
      <c r="Y52" s="572">
        <f t="shared" si="57"/>
        <v>288043.83727303706</v>
      </c>
      <c r="Z52" s="572">
        <f t="shared" si="57"/>
        <v>273706.24828643503</v>
      </c>
      <c r="AA52" s="572">
        <f t="shared" si="57"/>
        <v>259554.48406630309</v>
      </c>
      <c r="AB52" s="572">
        <f t="shared" si="57"/>
        <v>245586.65108136681</v>
      </c>
      <c r="AC52" s="572">
        <f t="shared" si="57"/>
        <v>231800.87316632314</v>
      </c>
      <c r="AD52" s="572">
        <f t="shared" si="57"/>
        <v>218195.29137176464</v>
      </c>
      <c r="AE52" s="572">
        <f t="shared" si="57"/>
        <v>204768.06381535169</v>
      </c>
      <c r="AF52" s="572">
        <f t="shared" si="57"/>
        <v>191517.36553422298</v>
      </c>
      <c r="AG52" s="572">
        <f t="shared" si="57"/>
        <v>178441.38833863399</v>
      </c>
      <c r="AH52" s="572">
        <f t="shared" si="57"/>
        <v>165538.34066681383</v>
      </c>
      <c r="AI52" s="178"/>
      <c r="AJ52" s="572">
        <f t="shared" ref="AJ52:BN52" si="58">AJ17</f>
        <v>443858.22061087564</v>
      </c>
      <c r="AK52" s="572">
        <f t="shared" si="58"/>
        <v>439575.32251906465</v>
      </c>
      <c r="AL52" s="572">
        <f t="shared" si="58"/>
        <v>435330.5603834762</v>
      </c>
      <c r="AM52" s="572">
        <f t="shared" si="58"/>
        <v>431123.6106880522</v>
      </c>
      <c r="AN52" s="572">
        <f t="shared" si="58"/>
        <v>426954.15257364541</v>
      </c>
      <c r="AO52" s="572">
        <f t="shared" si="58"/>
        <v>422821.86781670048</v>
      </c>
      <c r="AP52" s="572">
        <f t="shared" si="58"/>
        <v>418726.44080810295</v>
      </c>
      <c r="AQ52" s="572">
        <f t="shared" si="58"/>
        <v>414667.55853219511</v>
      </c>
      <c r="AR52" s="572">
        <f t="shared" si="58"/>
        <v>410644.91054595716</v>
      </c>
      <c r="AS52" s="572">
        <f t="shared" si="58"/>
        <v>406658.1889583529</v>
      </c>
      <c r="AT52" s="572">
        <f t="shared" si="58"/>
        <v>402707.08840983815</v>
      </c>
      <c r="AU52" s="572">
        <f t="shared" si="58"/>
        <v>396571.91714892769</v>
      </c>
      <c r="AV52" s="572">
        <f t="shared" si="58"/>
        <v>390502.69339970208</v>
      </c>
      <c r="AW52" s="572">
        <f t="shared" si="58"/>
        <v>384498.79599588556</v>
      </c>
      <c r="AX52" s="572">
        <f t="shared" si="58"/>
        <v>378559.60922584462</v>
      </c>
      <c r="AY52" s="572">
        <f t="shared" si="58"/>
        <v>372684.52278673119</v>
      </c>
      <c r="AZ52" s="572">
        <f t="shared" si="58"/>
        <v>366872.93173900066</v>
      </c>
      <c r="BA52" s="572">
        <f t="shared" si="58"/>
        <v>361124.2364613004</v>
      </c>
      <c r="BB52" s="572">
        <f t="shared" si="58"/>
        <v>355437.84260572708</v>
      </c>
      <c r="BC52" s="572">
        <f t="shared" si="58"/>
        <v>349813.16105344956</v>
      </c>
      <c r="BD52" s="572">
        <f t="shared" si="58"/>
        <v>344249.60787069314</v>
      </c>
      <c r="BE52" s="572">
        <f t="shared" si="58"/>
        <v>335642.35322475503</v>
      </c>
      <c r="BF52" s="572">
        <f t="shared" si="58"/>
        <v>327138.33568829187</v>
      </c>
      <c r="BG52" s="572">
        <f t="shared" si="58"/>
        <v>318736.53445183462</v>
      </c>
      <c r="BH52" s="572">
        <f t="shared" si="58"/>
        <v>310435.93791947834</v>
      </c>
      <c r="BI52" s="572">
        <f t="shared" si="58"/>
        <v>302235.54363004514</v>
      </c>
      <c r="BJ52" s="572">
        <f t="shared" si="58"/>
        <v>294134.35817889846</v>
      </c>
      <c r="BK52" s="572">
        <f t="shared" si="58"/>
        <v>286131.39714040351</v>
      </c>
      <c r="BL52" s="572">
        <f t="shared" si="58"/>
        <v>278225.68499102816</v>
      </c>
      <c r="BM52" s="572">
        <f t="shared" si="58"/>
        <v>270416.25503308012</v>
      </c>
      <c r="BN52" s="572">
        <f t="shared" si="58"/>
        <v>262702.14931907412</v>
      </c>
    </row>
    <row r="53" spans="1:66" outlineLevel="1">
      <c r="A53"/>
      <c r="B53" t="s">
        <v>266</v>
      </c>
      <c r="C53" s="50" t="s">
        <v>1420</v>
      </c>
      <c r="D53" s="99">
        <f>'Butadiene Recycling HC'!C105</f>
        <v>0</v>
      </c>
      <c r="E53" s="99">
        <f>'Butadiene Recycling HC'!D105</f>
        <v>218.41209292783094</v>
      </c>
      <c r="F53" s="99">
        <f>'Butadiene Recycling HC'!E105</f>
        <v>462.34858478895598</v>
      </c>
      <c r="G53" s="99">
        <f>'Butadiene Recycling HC'!F105</f>
        <v>731.63724130312755</v>
      </c>
      <c r="H53" s="99">
        <f>'Butadiene Recycling HC'!G105</f>
        <v>1026.10659332973</v>
      </c>
      <c r="I53" s="99">
        <f>'Butadiene Recycling HC'!H105</f>
        <v>1345.5859340439622</v>
      </c>
      <c r="J53" s="99">
        <f>'Butadiene Recycling HC'!I105</f>
        <v>1689.9053161223899</v>
      </c>
      <c r="K53" s="99">
        <f>'Butadiene Recycling HC'!J105</f>
        <v>2058.8955489378336</v>
      </c>
      <c r="L53" s="99">
        <f>'Butadiene Recycling HC'!K105</f>
        <v>2452.3881957635685</v>
      </c>
      <c r="M53" s="99">
        <f>'Butadiene Recycling HC'!L105</f>
        <v>2870.2155709868061</v>
      </c>
      <c r="N53" s="99">
        <f>'Butadiene Recycling HC'!M105</f>
        <v>3312.2107373314284</v>
      </c>
      <c r="O53" s="99">
        <f>'Butadiene Recycling HC'!N105</f>
        <v>3778.2075030899409</v>
      </c>
      <c r="P53" s="99">
        <f>'Butadiene Recycling HC'!O105</f>
        <v>4268.0404193646291</v>
      </c>
      <c r="Q53" s="99">
        <f>'Butadiene Recycling HC'!P105</f>
        <v>4755.7244355203575</v>
      </c>
      <c r="R53" s="99">
        <f>'Butadiene Recycling HC'!Q105</f>
        <v>5261.1161940929514</v>
      </c>
      <c r="S53" s="99">
        <f>'Butadiene Recycling HC'!R105</f>
        <v>5783.6742815741327</v>
      </c>
      <c r="T53" s="99">
        <f>'Butadiene Recycling HC'!S105</f>
        <v>6322.8615264307837</v>
      </c>
      <c r="U53" s="99">
        <f>'Butadiene Recycling HC'!T105</f>
        <v>6878.1449767045233</v>
      </c>
      <c r="V53" s="99">
        <f>'Butadiene Recycling HC'!U105</f>
        <v>7448.9958777079464</v>
      </c>
      <c r="W53" s="99">
        <f>'Butadiene Recycling HC'!V105</f>
        <v>8034.8896498171298</v>
      </c>
      <c r="X53" s="99">
        <f>'Butadiene Recycling HC'!W105</f>
        <v>8635.305866360035</v>
      </c>
      <c r="Y53" s="99">
        <f>'Butadiene Recycling HC'!X105</f>
        <v>9249.7282316004857</v>
      </c>
      <c r="Z53" s="99">
        <f>'Butadiene Recycling HC'!Y105</f>
        <v>9877.6445588172828</v>
      </c>
      <c r="AA53" s="99">
        <f>'Butadiene Recycling HC'!Z105</f>
        <v>10397.772450281755</v>
      </c>
      <c r="AB53" s="99">
        <f>'Butadiene Recycling HC'!AA105</f>
        <v>10913.896437427262</v>
      </c>
      <c r="AC53" s="99">
        <f>'Butadiene Recycling HC'!AB105</f>
        <v>11424.811775831808</v>
      </c>
      <c r="AD53" s="99">
        <f>'Butadiene Recycling HC'!AC105</f>
        <v>11929.324453785091</v>
      </c>
      <c r="AE53" s="99">
        <f>'Butadiene Recycling HC'!AD105</f>
        <v>12426.251132902526</v>
      </c>
      <c r="AF53" s="99">
        <f>'Butadiene Recycling HC'!AE105</f>
        <v>12914.419089001763</v>
      </c>
      <c r="AG53" s="99">
        <f>'Butadiene Recycling HC'!AF105</f>
        <v>13392.666153240682</v>
      </c>
      <c r="AH53" s="99">
        <f>'Butadiene Recycling HC'!AG105</f>
        <v>13859.840653515856</v>
      </c>
      <c r="AI53" s="178"/>
      <c r="AJ53" s="99">
        <f>D53</f>
        <v>0</v>
      </c>
      <c r="AK53" s="99">
        <f t="shared" ref="AK53:BN53" si="59">E53</f>
        <v>218.41209292783094</v>
      </c>
      <c r="AL53" s="99">
        <f t="shared" si="59"/>
        <v>462.34858478895598</v>
      </c>
      <c r="AM53" s="99">
        <f t="shared" si="59"/>
        <v>731.63724130312755</v>
      </c>
      <c r="AN53" s="99">
        <f t="shared" si="59"/>
        <v>1026.10659332973</v>
      </c>
      <c r="AO53" s="99">
        <f t="shared" si="59"/>
        <v>1345.5859340439622</v>
      </c>
      <c r="AP53" s="99">
        <f t="shared" si="59"/>
        <v>1689.9053161223899</v>
      </c>
      <c r="AQ53" s="99">
        <f t="shared" si="59"/>
        <v>2058.8955489378336</v>
      </c>
      <c r="AR53" s="99">
        <f t="shared" si="59"/>
        <v>2452.3881957635685</v>
      </c>
      <c r="AS53" s="99">
        <f t="shared" si="59"/>
        <v>2870.2155709868061</v>
      </c>
      <c r="AT53" s="99">
        <f t="shared" si="59"/>
        <v>3312.2107373314284</v>
      </c>
      <c r="AU53" s="99">
        <f t="shared" si="59"/>
        <v>3778.2075030899409</v>
      </c>
      <c r="AV53" s="99">
        <f t="shared" si="59"/>
        <v>4268.0404193646291</v>
      </c>
      <c r="AW53" s="99">
        <f t="shared" si="59"/>
        <v>4755.7244355203575</v>
      </c>
      <c r="AX53" s="99">
        <f t="shared" si="59"/>
        <v>5261.1161940929514</v>
      </c>
      <c r="AY53" s="99">
        <f t="shared" si="59"/>
        <v>5783.6742815741327</v>
      </c>
      <c r="AZ53" s="99">
        <f t="shared" si="59"/>
        <v>6322.8615264307837</v>
      </c>
      <c r="BA53" s="99">
        <f t="shared" si="59"/>
        <v>6878.1449767045233</v>
      </c>
      <c r="BB53" s="99">
        <f t="shared" si="59"/>
        <v>7448.9958777079464</v>
      </c>
      <c r="BC53" s="99">
        <f t="shared" si="59"/>
        <v>8034.8896498171298</v>
      </c>
      <c r="BD53" s="99">
        <f t="shared" si="59"/>
        <v>8635.305866360035</v>
      </c>
      <c r="BE53" s="99">
        <f t="shared" si="59"/>
        <v>9249.7282316004857</v>
      </c>
      <c r="BF53" s="99">
        <f t="shared" si="59"/>
        <v>9877.6445588172828</v>
      </c>
      <c r="BG53" s="99">
        <f t="shared" si="59"/>
        <v>10397.772450281755</v>
      </c>
      <c r="BH53" s="99">
        <f t="shared" si="59"/>
        <v>10913.896437427262</v>
      </c>
      <c r="BI53" s="99">
        <f t="shared" si="59"/>
        <v>11424.811775831808</v>
      </c>
      <c r="BJ53" s="99">
        <f t="shared" si="59"/>
        <v>11929.324453785091</v>
      </c>
      <c r="BK53" s="99">
        <f t="shared" si="59"/>
        <v>12426.251132902526</v>
      </c>
      <c r="BL53" s="99">
        <f t="shared" si="59"/>
        <v>12914.419089001763</v>
      </c>
      <c r="BM53" s="99">
        <f t="shared" si="59"/>
        <v>13392.666153240682</v>
      </c>
      <c r="BN53" s="99">
        <f t="shared" si="59"/>
        <v>13859.840653515856</v>
      </c>
    </row>
    <row r="54" spans="1:66" outlineLevel="1">
      <c r="A54" s="58"/>
      <c r="B54" s="58" t="s">
        <v>267</v>
      </c>
      <c r="C54" s="59" t="s">
        <v>1420</v>
      </c>
      <c r="D54" s="577">
        <f>D52-D53</f>
        <v>443858.22061087564</v>
      </c>
      <c r="E54" s="577">
        <f t="shared" ref="E54:AG54" si="60">E52-E53</f>
        <v>438166.84387564898</v>
      </c>
      <c r="F54" s="577">
        <f t="shared" si="60"/>
        <v>432504.6636124106</v>
      </c>
      <c r="G54" s="577">
        <f t="shared" si="60"/>
        <v>426871.35519231495</v>
      </c>
      <c r="H54" s="577">
        <f t="shared" si="60"/>
        <v>421266.59748881205</v>
      </c>
      <c r="I54" s="577">
        <f t="shared" si="60"/>
        <v>415690.07284512441</v>
      </c>
      <c r="J54" s="577">
        <f t="shared" si="60"/>
        <v>410141.46704199963</v>
      </c>
      <c r="K54" s="577">
        <f t="shared" si="60"/>
        <v>404620.46926573769</v>
      </c>
      <c r="L54" s="577">
        <f t="shared" si="60"/>
        <v>399126.77207648888</v>
      </c>
      <c r="M54" s="577">
        <f t="shared" si="60"/>
        <v>393660.0713768219</v>
      </c>
      <c r="N54" s="577">
        <f t="shared" si="60"/>
        <v>388220.06638055854</v>
      </c>
      <c r="O54" s="577">
        <f t="shared" si="60"/>
        <v>378367.68177566747</v>
      </c>
      <c r="P54" s="577">
        <f t="shared" si="60"/>
        <v>368603.26046897966</v>
      </c>
      <c r="Q54" s="577">
        <f t="shared" si="60"/>
        <v>358951.68520578637</v>
      </c>
      <c r="R54" s="577">
        <f t="shared" si="60"/>
        <v>349392.00697177381</v>
      </c>
      <c r="S54" s="577">
        <f t="shared" si="60"/>
        <v>339923.68465732399</v>
      </c>
      <c r="T54" s="577">
        <f t="shared" si="60"/>
        <v>330546.18267528253</v>
      </c>
      <c r="U54" s="577">
        <f t="shared" si="60"/>
        <v>321258.97089984105</v>
      </c>
      <c r="V54" s="577">
        <f t="shared" si="60"/>
        <v>312061.5246060132</v>
      </c>
      <c r="W54" s="577">
        <f t="shared" si="60"/>
        <v>302953.32440969883</v>
      </c>
      <c r="X54" s="577">
        <f t="shared" si="60"/>
        <v>293933.8562083299</v>
      </c>
      <c r="Y54" s="577">
        <f t="shared" si="60"/>
        <v>278794.10904143658</v>
      </c>
      <c r="Z54" s="577">
        <f t="shared" si="60"/>
        <v>263828.60372761777</v>
      </c>
      <c r="AA54" s="577">
        <f t="shared" si="60"/>
        <v>249156.71161602135</v>
      </c>
      <c r="AB54" s="577">
        <f t="shared" si="60"/>
        <v>234672.75464393955</v>
      </c>
      <c r="AC54" s="577">
        <f t="shared" si="60"/>
        <v>220376.06139049135</v>
      </c>
      <c r="AD54" s="577">
        <f t="shared" si="60"/>
        <v>206265.96691797956</v>
      </c>
      <c r="AE54" s="577">
        <f t="shared" si="60"/>
        <v>192341.81268244918</v>
      </c>
      <c r="AF54" s="577">
        <f t="shared" si="60"/>
        <v>178602.9464452212</v>
      </c>
      <c r="AG54" s="577">
        <f t="shared" si="60"/>
        <v>165048.7221853933</v>
      </c>
      <c r="AH54" s="577">
        <f>AH52-AH53</f>
        <v>151678.50001329798</v>
      </c>
      <c r="AI54" s="178"/>
      <c r="AJ54" s="577">
        <f>AJ52-AJ53</f>
        <v>443858.22061087564</v>
      </c>
      <c r="AK54" s="577">
        <f t="shared" ref="AK54:BN54" si="61">AK52-AK53</f>
        <v>439356.9104261368</v>
      </c>
      <c r="AL54" s="577">
        <f t="shared" si="61"/>
        <v>434868.21179868723</v>
      </c>
      <c r="AM54" s="577">
        <f t="shared" si="61"/>
        <v>430391.97344674909</v>
      </c>
      <c r="AN54" s="577">
        <f t="shared" si="61"/>
        <v>425928.04598031566</v>
      </c>
      <c r="AO54" s="577">
        <f t="shared" si="61"/>
        <v>421476.28188265651</v>
      </c>
      <c r="AP54" s="577">
        <f t="shared" si="61"/>
        <v>417036.53549198055</v>
      </c>
      <c r="AQ54" s="577">
        <f t="shared" si="61"/>
        <v>412608.66298325727</v>
      </c>
      <c r="AR54" s="577">
        <f t="shared" si="61"/>
        <v>408192.52235019358</v>
      </c>
      <c r="AS54" s="577">
        <f t="shared" si="61"/>
        <v>403787.9733873661</v>
      </c>
      <c r="AT54" s="577">
        <f t="shared" si="61"/>
        <v>399394.87767250673</v>
      </c>
      <c r="AU54" s="577">
        <f t="shared" si="61"/>
        <v>392793.70964583778</v>
      </c>
      <c r="AV54" s="577">
        <f t="shared" si="61"/>
        <v>386234.65298033744</v>
      </c>
      <c r="AW54" s="577">
        <f t="shared" si="61"/>
        <v>379743.07156036521</v>
      </c>
      <c r="AX54" s="577">
        <f t="shared" si="61"/>
        <v>373298.49303175166</v>
      </c>
      <c r="AY54" s="577">
        <f t="shared" si="61"/>
        <v>366900.84850515705</v>
      </c>
      <c r="AZ54" s="577">
        <f t="shared" si="61"/>
        <v>360550.0702125699</v>
      </c>
      <c r="BA54" s="577">
        <f t="shared" si="61"/>
        <v>354246.09148459591</v>
      </c>
      <c r="BB54" s="577">
        <f t="shared" si="61"/>
        <v>347988.84672801913</v>
      </c>
      <c r="BC54" s="577">
        <f t="shared" si="61"/>
        <v>341778.27140363242</v>
      </c>
      <c r="BD54" s="577">
        <f t="shared" si="61"/>
        <v>335614.30200433312</v>
      </c>
      <c r="BE54" s="577">
        <f t="shared" si="61"/>
        <v>326392.62499315455</v>
      </c>
      <c r="BF54" s="577">
        <f t="shared" si="61"/>
        <v>317260.69112947461</v>
      </c>
      <c r="BG54" s="577">
        <f t="shared" si="61"/>
        <v>308338.76200155285</v>
      </c>
      <c r="BH54" s="577">
        <f t="shared" si="61"/>
        <v>299522.04148205108</v>
      </c>
      <c r="BI54" s="577">
        <f t="shared" si="61"/>
        <v>290810.73185421334</v>
      </c>
      <c r="BJ54" s="577">
        <f t="shared" si="61"/>
        <v>282205.03372511338</v>
      </c>
      <c r="BK54" s="577">
        <f t="shared" si="61"/>
        <v>273705.146007501</v>
      </c>
      <c r="BL54" s="577">
        <f t="shared" si="61"/>
        <v>265311.26590202638</v>
      </c>
      <c r="BM54" s="577">
        <f t="shared" si="61"/>
        <v>257023.58887983943</v>
      </c>
      <c r="BN54" s="577">
        <f t="shared" si="61"/>
        <v>248842.30866555826</v>
      </c>
    </row>
    <row r="55" spans="1:66" outlineLevel="1">
      <c r="A55" s="54" t="s">
        <v>519</v>
      </c>
      <c r="B55" s="54" t="s">
        <v>200</v>
      </c>
      <c r="C55" s="50" t="s">
        <v>1420</v>
      </c>
      <c r="D55" s="520">
        <f t="shared" ref="D55:AH55" si="62">D35</f>
        <v>9040.6811006642947</v>
      </c>
      <c r="E55" s="520">
        <f t="shared" si="62"/>
        <v>8700.274606605486</v>
      </c>
      <c r="F55" s="520">
        <f t="shared" si="62"/>
        <v>8364.1730993664751</v>
      </c>
      <c r="G55" s="520">
        <f t="shared" si="62"/>
        <v>8032.3331121764422</v>
      </c>
      <c r="H55" s="520">
        <f t="shared" si="62"/>
        <v>7704.7115749990162</v>
      </c>
      <c r="I55" s="520">
        <f t="shared" si="62"/>
        <v>7381.2658111138244</v>
      </c>
      <c r="J55" s="520">
        <f t="shared" si="62"/>
        <v>7061.9535337264115</v>
      </c>
      <c r="K55" s="520">
        <f t="shared" si="62"/>
        <v>6746.732842606295</v>
      </c>
      <c r="L55" s="520">
        <f t="shared" si="62"/>
        <v>6435.5622207529595</v>
      </c>
      <c r="M55" s="520">
        <f t="shared" si="62"/>
        <v>6128.4005310895327</v>
      </c>
      <c r="N55" s="520">
        <f t="shared" si="62"/>
        <v>5825.2070131839318</v>
      </c>
      <c r="O55" s="520">
        <f t="shared" si="62"/>
        <v>5602.1207462114335</v>
      </c>
      <c r="P55" s="520">
        <f t="shared" si="62"/>
        <v>5381.8606006204573</v>
      </c>
      <c r="Q55" s="520">
        <f t="shared" si="62"/>
        <v>5164.3980229389554</v>
      </c>
      <c r="R55" s="520">
        <f t="shared" si="62"/>
        <v>4949.7047204004293</v>
      </c>
      <c r="S55" s="520">
        <f t="shared" si="62"/>
        <v>4737.7526586970798</v>
      </c>
      <c r="T55" s="520">
        <f t="shared" si="62"/>
        <v>4528.5140597516174</v>
      </c>
      <c r="U55" s="520">
        <f t="shared" si="62"/>
        <v>4321.9613995075833</v>
      </c>
      <c r="V55" s="520">
        <f t="shared" si="62"/>
        <v>4118.0674057380074</v>
      </c>
      <c r="W55" s="520">
        <f t="shared" si="62"/>
        <v>3916.8050558722939</v>
      </c>
      <c r="X55" s="520">
        <f t="shared" si="62"/>
        <v>3718.1475748411422</v>
      </c>
      <c r="Y55" s="520">
        <f t="shared" si="62"/>
        <v>3486.9414206427855</v>
      </c>
      <c r="Z55" s="520">
        <f t="shared" si="62"/>
        <v>3258.7768535031773</v>
      </c>
      <c r="AA55" s="520">
        <f t="shared" si="62"/>
        <v>3033.6227114460139</v>
      </c>
      <c r="AB55" s="520">
        <f t="shared" si="62"/>
        <v>2811.4481190912802</v>
      </c>
      <c r="AC55" s="520">
        <f t="shared" si="62"/>
        <v>2592.2224851742376</v>
      </c>
      <c r="AD55" s="520">
        <f t="shared" si="62"/>
        <v>2375.9155000850833</v>
      </c>
      <c r="AE55" s="520">
        <f t="shared" si="62"/>
        <v>2162.4971334290922</v>
      </c>
      <c r="AF55" s="520">
        <f t="shared" si="62"/>
        <v>1951.9376316070957</v>
      </c>
      <c r="AG55" s="520">
        <f t="shared" si="62"/>
        <v>1744.2075154161118</v>
      </c>
      <c r="AH55" s="520">
        <f t="shared" si="62"/>
        <v>1539.2775776699837</v>
      </c>
      <c r="AI55" s="178"/>
      <c r="AJ55" s="520">
        <f t="shared" ref="AJ55:BN55" si="63">AJ35</f>
        <v>9040.6811006642947</v>
      </c>
      <c r="AK55" s="520">
        <f t="shared" si="63"/>
        <v>8838.9798410209787</v>
      </c>
      <c r="AL55" s="520">
        <f t="shared" si="63"/>
        <v>8639.6505548881378</v>
      </c>
      <c r="AM55" s="520">
        <f t="shared" si="63"/>
        <v>8442.6699795294426</v>
      </c>
      <c r="AN55" s="520">
        <f t="shared" si="63"/>
        <v>8248.0150612324014</v>
      </c>
      <c r="AO55" s="520">
        <f t="shared" si="63"/>
        <v>8055.6629535248749</v>
      </c>
      <c r="AP55" s="520">
        <f t="shared" si="63"/>
        <v>7865.5910154063013</v>
      </c>
      <c r="AQ55" s="520">
        <f t="shared" si="63"/>
        <v>7677.776809593498</v>
      </c>
      <c r="AR55" s="520">
        <f t="shared" si="63"/>
        <v>7492.1981007809418</v>
      </c>
      <c r="AS55" s="520">
        <f t="shared" si="63"/>
        <v>7308.832853915409</v>
      </c>
      <c r="AT55" s="520">
        <f t="shared" si="63"/>
        <v>7127.6592324848261</v>
      </c>
      <c r="AU55" s="520">
        <f t="shared" si="63"/>
        <v>6986.7453299283661</v>
      </c>
      <c r="AV55" s="520">
        <f t="shared" si="63"/>
        <v>6847.4491453986257</v>
      </c>
      <c r="AW55" s="520">
        <f t="shared" si="63"/>
        <v>6709.7549760946022</v>
      </c>
      <c r="AX55" s="520">
        <f t="shared" si="63"/>
        <v>6573.6472595049763</v>
      </c>
      <c r="AY55" s="520">
        <f t="shared" si="63"/>
        <v>6439.1105722154471</v>
      </c>
      <c r="AZ55" s="520">
        <f t="shared" si="63"/>
        <v>6306.1296287258792</v>
      </c>
      <c r="BA55" s="520">
        <f t="shared" si="63"/>
        <v>6174.6892802771781</v>
      </c>
      <c r="BB55" s="520">
        <f t="shared" si="63"/>
        <v>6044.7745136878266</v>
      </c>
      <c r="BC55" s="520">
        <f t="shared" si="63"/>
        <v>5916.3704501999855</v>
      </c>
      <c r="BD55" s="520">
        <f t="shared" si="63"/>
        <v>5789.4623443350974</v>
      </c>
      <c r="BE55" s="520">
        <f t="shared" si="63"/>
        <v>5646.4720766106093</v>
      </c>
      <c r="BF55" s="520">
        <f t="shared" si="63"/>
        <v>5505.1934380541306</v>
      </c>
      <c r="BG55" s="520">
        <f t="shared" si="63"/>
        <v>5365.6095179229742</v>
      </c>
      <c r="BH55" s="520">
        <f t="shared" si="63"/>
        <v>5227.703558038409</v>
      </c>
      <c r="BI55" s="520">
        <f t="shared" si="63"/>
        <v>5091.4589514805857</v>
      </c>
      <c r="BJ55" s="520">
        <f t="shared" si="63"/>
        <v>4956.8592412942598</v>
      </c>
      <c r="BK55" s="520">
        <f t="shared" si="63"/>
        <v>4823.8881192051876</v>
      </c>
      <c r="BL55" s="520">
        <f t="shared" si="63"/>
        <v>4692.5294243471426</v>
      </c>
      <c r="BM55" s="520">
        <f t="shared" si="63"/>
        <v>4562.7671419994485</v>
      </c>
      <c r="BN55" s="520">
        <f t="shared" si="63"/>
        <v>4434.5854023349521</v>
      </c>
    </row>
    <row r="56" spans="1:66" outlineLevel="1">
      <c r="A56"/>
      <c r="B56" t="s">
        <v>266</v>
      </c>
      <c r="C56" s="50" t="s">
        <v>1420</v>
      </c>
      <c r="D56" s="99">
        <f>'Butadiene Recycling HC'!C134</f>
        <v>0</v>
      </c>
      <c r="E56" s="99">
        <f>'Butadiene Recycling HC'!D134</f>
        <v>0</v>
      </c>
      <c r="F56" s="99">
        <f>'Butadiene Recycling HC'!E134</f>
        <v>0</v>
      </c>
      <c r="G56" s="99">
        <f>'Butadiene Recycling HC'!F134</f>
        <v>0</v>
      </c>
      <c r="H56" s="99">
        <f>'Butadiene Recycling HC'!G134</f>
        <v>0</v>
      </c>
      <c r="I56" s="99">
        <f>'Butadiene Recycling HC'!H134</f>
        <v>0</v>
      </c>
      <c r="J56" s="99">
        <f>'Butadiene Recycling HC'!I134</f>
        <v>0</v>
      </c>
      <c r="K56" s="99">
        <f>'Butadiene Recycling HC'!J134</f>
        <v>0</v>
      </c>
      <c r="L56" s="99">
        <f>'Butadiene Recycling HC'!K134</f>
        <v>0</v>
      </c>
      <c r="M56" s="99">
        <f>'Butadiene Recycling HC'!L134</f>
        <v>0</v>
      </c>
      <c r="N56" s="99">
        <f>'Butadiene Recycling HC'!M134</f>
        <v>0</v>
      </c>
      <c r="O56" s="99">
        <f>'Butadiene Recycling HC'!N134</f>
        <v>0</v>
      </c>
      <c r="P56" s="99">
        <f>'Butadiene Recycling HC'!O134</f>
        <v>0</v>
      </c>
      <c r="Q56" s="99">
        <f>'Butadiene Recycling HC'!P134</f>
        <v>0</v>
      </c>
      <c r="R56" s="99">
        <f>'Butadiene Recycling HC'!Q134</f>
        <v>0</v>
      </c>
      <c r="S56" s="99">
        <f>'Butadiene Recycling HC'!R134</f>
        <v>0</v>
      </c>
      <c r="T56" s="99">
        <f>'Butadiene Recycling HC'!S134</f>
        <v>0</v>
      </c>
      <c r="U56" s="99">
        <f>'Butadiene Recycling HC'!T134</f>
        <v>0</v>
      </c>
      <c r="V56" s="99">
        <f>'Butadiene Recycling HC'!U134</f>
        <v>0</v>
      </c>
      <c r="W56" s="99">
        <f>'Butadiene Recycling HC'!V134</f>
        <v>0</v>
      </c>
      <c r="X56" s="99">
        <f>'Butadiene Recycling HC'!W134</f>
        <v>0</v>
      </c>
      <c r="Y56" s="99">
        <f>'Butadiene Recycling HC'!X134</f>
        <v>0</v>
      </c>
      <c r="Z56" s="99">
        <f>'Butadiene Recycling HC'!Y134</f>
        <v>0</v>
      </c>
      <c r="AA56" s="99">
        <f>'Butadiene Recycling HC'!Z134</f>
        <v>0</v>
      </c>
      <c r="AB56" s="99">
        <f>'Butadiene Recycling HC'!AA134</f>
        <v>0</v>
      </c>
      <c r="AC56" s="99">
        <f>'Butadiene Recycling HC'!AB134</f>
        <v>0</v>
      </c>
      <c r="AD56" s="99">
        <f>'Butadiene Recycling HC'!AC134</f>
        <v>0</v>
      </c>
      <c r="AE56" s="99">
        <f>'Butadiene Recycling HC'!AD134</f>
        <v>0</v>
      </c>
      <c r="AF56" s="99">
        <f>'Butadiene Recycling HC'!AE134</f>
        <v>0</v>
      </c>
      <c r="AG56" s="99">
        <f>'Butadiene Recycling HC'!AF134</f>
        <v>0</v>
      </c>
      <c r="AH56" s="99">
        <f>'Butadiene Recycling HC'!AG134</f>
        <v>0</v>
      </c>
      <c r="AI56" s="178"/>
      <c r="AJ56" s="99">
        <f>D56</f>
        <v>0</v>
      </c>
      <c r="AK56" s="99">
        <f>E56</f>
        <v>0</v>
      </c>
      <c r="AL56" s="99">
        <f>F56</f>
        <v>0</v>
      </c>
      <c r="AM56" s="99">
        <f t="shared" ref="AM56:BB57" si="64">G56</f>
        <v>0</v>
      </c>
      <c r="AN56" s="99">
        <f t="shared" si="64"/>
        <v>0</v>
      </c>
      <c r="AO56" s="99">
        <f t="shared" si="64"/>
        <v>0</v>
      </c>
      <c r="AP56" s="99">
        <f t="shared" si="64"/>
        <v>0</v>
      </c>
      <c r="AQ56" s="99">
        <f t="shared" si="64"/>
        <v>0</v>
      </c>
      <c r="AR56" s="99">
        <f t="shared" si="64"/>
        <v>0</v>
      </c>
      <c r="AS56" s="99">
        <f t="shared" si="64"/>
        <v>0</v>
      </c>
      <c r="AT56" s="99">
        <f t="shared" si="64"/>
        <v>0</v>
      </c>
      <c r="AU56" s="99">
        <f t="shared" si="64"/>
        <v>0</v>
      </c>
      <c r="AV56" s="99">
        <f t="shared" si="64"/>
        <v>0</v>
      </c>
      <c r="AW56" s="99">
        <f t="shared" si="64"/>
        <v>0</v>
      </c>
      <c r="AX56" s="99">
        <f t="shared" si="64"/>
        <v>0</v>
      </c>
      <c r="AY56" s="99">
        <f t="shared" si="64"/>
        <v>0</v>
      </c>
      <c r="AZ56" s="99">
        <f t="shared" si="64"/>
        <v>0</v>
      </c>
      <c r="BA56" s="99">
        <f t="shared" si="64"/>
        <v>0</v>
      </c>
      <c r="BB56" s="99">
        <f t="shared" si="64"/>
        <v>0</v>
      </c>
      <c r="BC56" s="99">
        <f t="shared" ref="BC56:BN57" si="65">W56</f>
        <v>0</v>
      </c>
      <c r="BD56" s="99">
        <f t="shared" si="65"/>
        <v>0</v>
      </c>
      <c r="BE56" s="99">
        <f t="shared" si="65"/>
        <v>0</v>
      </c>
      <c r="BF56" s="99">
        <f t="shared" si="65"/>
        <v>0</v>
      </c>
      <c r="BG56" s="99">
        <f t="shared" si="65"/>
        <v>0</v>
      </c>
      <c r="BH56" s="99">
        <f t="shared" si="65"/>
        <v>0</v>
      </c>
      <c r="BI56" s="99">
        <f t="shared" si="65"/>
        <v>0</v>
      </c>
      <c r="BJ56" s="99">
        <f t="shared" si="65"/>
        <v>0</v>
      </c>
      <c r="BK56" s="99">
        <f t="shared" si="65"/>
        <v>0</v>
      </c>
      <c r="BL56" s="99">
        <f t="shared" si="65"/>
        <v>0</v>
      </c>
      <c r="BM56" s="99">
        <f t="shared" si="65"/>
        <v>0</v>
      </c>
      <c r="BN56" s="99">
        <f t="shared" si="65"/>
        <v>0</v>
      </c>
    </row>
    <row r="57" spans="1:66" outlineLevel="1">
      <c r="A57"/>
      <c r="B57" t="s">
        <v>268</v>
      </c>
      <c r="C57" s="50" t="s">
        <v>1420</v>
      </c>
      <c r="D57" s="99">
        <f>'Butadiene Recycling HC'!C72</f>
        <v>0</v>
      </c>
      <c r="E57" s="99">
        <f>'Butadiene Recycling HC'!D72</f>
        <v>0</v>
      </c>
      <c r="F57" s="99">
        <f>'Butadiene Recycling HC'!E72</f>
        <v>0</v>
      </c>
      <c r="G57" s="99">
        <f>'Butadiene Recycling HC'!F72</f>
        <v>0</v>
      </c>
      <c r="H57" s="99">
        <f>'Butadiene Recycling HC'!G72</f>
        <v>0</v>
      </c>
      <c r="I57" s="99">
        <f>'Butadiene Recycling HC'!H72</f>
        <v>0</v>
      </c>
      <c r="J57" s="99">
        <f>'Butadiene Recycling HC'!I72</f>
        <v>0</v>
      </c>
      <c r="K57" s="99">
        <f>'Butadiene Recycling HC'!J72</f>
        <v>0</v>
      </c>
      <c r="L57" s="99">
        <f>'Butadiene Recycling HC'!K72</f>
        <v>0</v>
      </c>
      <c r="M57" s="99">
        <f>'Butadiene Recycling HC'!L72</f>
        <v>0</v>
      </c>
      <c r="N57" s="99">
        <f>'Butadiene Recycling HC'!M72</f>
        <v>0</v>
      </c>
      <c r="O57" s="99">
        <f>'Butadiene Recycling HC'!N72</f>
        <v>0</v>
      </c>
      <c r="P57" s="99">
        <f>'Butadiene Recycling HC'!O72</f>
        <v>0</v>
      </c>
      <c r="Q57" s="99">
        <f>'Butadiene Recycling HC'!P72</f>
        <v>0</v>
      </c>
      <c r="R57" s="99">
        <f>'Butadiene Recycling HC'!Q72</f>
        <v>0</v>
      </c>
      <c r="S57" s="99">
        <f>'Butadiene Recycling HC'!R72</f>
        <v>0</v>
      </c>
      <c r="T57" s="99">
        <f>'Butadiene Recycling HC'!S72</f>
        <v>0</v>
      </c>
      <c r="U57" s="99">
        <f>'Butadiene Recycling HC'!T72</f>
        <v>0</v>
      </c>
      <c r="V57" s="99">
        <f>'Butadiene Recycling HC'!U72</f>
        <v>0</v>
      </c>
      <c r="W57" s="99">
        <f>'Butadiene Recycling HC'!V72</f>
        <v>0</v>
      </c>
      <c r="X57" s="99">
        <f>'Butadiene Recycling HC'!W72</f>
        <v>0</v>
      </c>
      <c r="Y57" s="99">
        <f>'Butadiene Recycling HC'!X72</f>
        <v>0</v>
      </c>
      <c r="Z57" s="99">
        <f>'Butadiene Recycling HC'!Y72</f>
        <v>0</v>
      </c>
      <c r="AA57" s="99">
        <f>'Butadiene Recycling HC'!Z72</f>
        <v>0</v>
      </c>
      <c r="AB57" s="99">
        <f>'Butadiene Recycling HC'!AA72</f>
        <v>0</v>
      </c>
      <c r="AC57" s="99">
        <f>'Butadiene Recycling HC'!AB72</f>
        <v>0</v>
      </c>
      <c r="AD57" s="99">
        <f>'Butadiene Recycling HC'!AC72</f>
        <v>0</v>
      </c>
      <c r="AE57" s="99">
        <f>'Butadiene Recycling HC'!AD72</f>
        <v>0</v>
      </c>
      <c r="AF57" s="99">
        <f>'Butadiene Recycling HC'!AE72</f>
        <v>0</v>
      </c>
      <c r="AG57" s="99">
        <f>'Butadiene Recycling HC'!AF72</f>
        <v>0</v>
      </c>
      <c r="AH57" s="99">
        <f>'Butadiene Recycling HC'!AG72</f>
        <v>0</v>
      </c>
      <c r="AI57" s="178"/>
      <c r="AJ57" s="99">
        <f>D57</f>
        <v>0</v>
      </c>
      <c r="AK57" s="99">
        <f t="shared" ref="AK57:AZ57" si="66">E57</f>
        <v>0</v>
      </c>
      <c r="AL57" s="99">
        <f t="shared" si="66"/>
        <v>0</v>
      </c>
      <c r="AM57" s="99">
        <f t="shared" si="66"/>
        <v>0</v>
      </c>
      <c r="AN57" s="99">
        <f t="shared" si="66"/>
        <v>0</v>
      </c>
      <c r="AO57" s="99">
        <f t="shared" si="66"/>
        <v>0</v>
      </c>
      <c r="AP57" s="99">
        <f t="shared" si="66"/>
        <v>0</v>
      </c>
      <c r="AQ57" s="99">
        <f t="shared" si="66"/>
        <v>0</v>
      </c>
      <c r="AR57" s="99">
        <f t="shared" si="66"/>
        <v>0</v>
      </c>
      <c r="AS57" s="99">
        <f t="shared" si="66"/>
        <v>0</v>
      </c>
      <c r="AT57" s="99">
        <f t="shared" si="66"/>
        <v>0</v>
      </c>
      <c r="AU57" s="99">
        <f t="shared" si="66"/>
        <v>0</v>
      </c>
      <c r="AV57" s="99">
        <f t="shared" si="66"/>
        <v>0</v>
      </c>
      <c r="AW57" s="99">
        <f t="shared" si="66"/>
        <v>0</v>
      </c>
      <c r="AX57" s="99">
        <f t="shared" si="66"/>
        <v>0</v>
      </c>
      <c r="AY57" s="99">
        <f t="shared" si="66"/>
        <v>0</v>
      </c>
      <c r="AZ57" s="99">
        <f t="shared" si="66"/>
        <v>0</v>
      </c>
      <c r="BA57" s="99">
        <f t="shared" si="64"/>
        <v>0</v>
      </c>
      <c r="BB57" s="99">
        <f t="shared" si="64"/>
        <v>0</v>
      </c>
      <c r="BC57" s="99">
        <f t="shared" si="65"/>
        <v>0</v>
      </c>
      <c r="BD57" s="99">
        <f t="shared" si="65"/>
        <v>0</v>
      </c>
      <c r="BE57" s="99">
        <f t="shared" si="65"/>
        <v>0</v>
      </c>
      <c r="BF57" s="99">
        <f t="shared" si="65"/>
        <v>0</v>
      </c>
      <c r="BG57" s="99">
        <f t="shared" si="65"/>
        <v>0</v>
      </c>
      <c r="BH57" s="99">
        <f t="shared" si="65"/>
        <v>0</v>
      </c>
      <c r="BI57" s="99">
        <f t="shared" si="65"/>
        <v>0</v>
      </c>
      <c r="BJ57" s="99">
        <f t="shared" si="65"/>
        <v>0</v>
      </c>
      <c r="BK57" s="99">
        <f t="shared" si="65"/>
        <v>0</v>
      </c>
      <c r="BL57" s="99">
        <f t="shared" si="65"/>
        <v>0</v>
      </c>
      <c r="BM57" s="99">
        <f t="shared" si="65"/>
        <v>0</v>
      </c>
      <c r="BN57" s="99">
        <f t="shared" si="65"/>
        <v>0</v>
      </c>
    </row>
    <row r="58" spans="1:66" outlineLevel="1">
      <c r="A58" s="58"/>
      <c r="B58" s="58" t="s">
        <v>267</v>
      </c>
      <c r="C58" s="50" t="s">
        <v>1420</v>
      </c>
      <c r="D58" s="577">
        <f>IF(D55-D56-D57&lt;0,0,D55-D56-D57)</f>
        <v>9040.6811006642947</v>
      </c>
      <c r="E58" s="577">
        <f t="shared" ref="E58:AG58" si="67">IF(E55-E56-E57&lt;0,0,E55-E56-E57)</f>
        <v>8700.274606605486</v>
      </c>
      <c r="F58" s="577">
        <f t="shared" si="67"/>
        <v>8364.1730993664751</v>
      </c>
      <c r="G58" s="577">
        <f t="shared" si="67"/>
        <v>8032.3331121764422</v>
      </c>
      <c r="H58" s="577">
        <f t="shared" si="67"/>
        <v>7704.7115749990162</v>
      </c>
      <c r="I58" s="577">
        <f t="shared" si="67"/>
        <v>7381.2658111138244</v>
      </c>
      <c r="J58" s="577">
        <f t="shared" si="67"/>
        <v>7061.9535337264115</v>
      </c>
      <c r="K58" s="577">
        <f t="shared" si="67"/>
        <v>6746.732842606295</v>
      </c>
      <c r="L58" s="577">
        <f t="shared" si="67"/>
        <v>6435.5622207529595</v>
      </c>
      <c r="M58" s="577">
        <f t="shared" si="67"/>
        <v>6128.4005310895327</v>
      </c>
      <c r="N58" s="577">
        <f t="shared" si="67"/>
        <v>5825.2070131839318</v>
      </c>
      <c r="O58" s="577">
        <f t="shared" si="67"/>
        <v>5602.1207462114335</v>
      </c>
      <c r="P58" s="577">
        <f t="shared" si="67"/>
        <v>5381.8606006204573</v>
      </c>
      <c r="Q58" s="577">
        <f t="shared" si="67"/>
        <v>5164.3980229389554</v>
      </c>
      <c r="R58" s="577">
        <f t="shared" si="67"/>
        <v>4949.7047204004293</v>
      </c>
      <c r="S58" s="577">
        <f t="shared" si="67"/>
        <v>4737.7526586970798</v>
      </c>
      <c r="T58" s="577">
        <f t="shared" si="67"/>
        <v>4528.5140597516174</v>
      </c>
      <c r="U58" s="577">
        <f t="shared" si="67"/>
        <v>4321.9613995075833</v>
      </c>
      <c r="V58" s="577">
        <f t="shared" si="67"/>
        <v>4118.0674057380074</v>
      </c>
      <c r="W58" s="577">
        <f t="shared" si="67"/>
        <v>3916.8050558722939</v>
      </c>
      <c r="X58" s="577">
        <f t="shared" si="67"/>
        <v>3718.1475748411422</v>
      </c>
      <c r="Y58" s="577">
        <f t="shared" si="67"/>
        <v>3486.9414206427855</v>
      </c>
      <c r="Z58" s="577">
        <f t="shared" si="67"/>
        <v>3258.7768535031773</v>
      </c>
      <c r="AA58" s="577">
        <f t="shared" si="67"/>
        <v>3033.6227114460139</v>
      </c>
      <c r="AB58" s="577">
        <f t="shared" si="67"/>
        <v>2811.4481190912802</v>
      </c>
      <c r="AC58" s="577">
        <f t="shared" si="67"/>
        <v>2592.2224851742376</v>
      </c>
      <c r="AD58" s="577">
        <f t="shared" si="67"/>
        <v>2375.9155000850833</v>
      </c>
      <c r="AE58" s="577">
        <f t="shared" si="67"/>
        <v>2162.4971334290922</v>
      </c>
      <c r="AF58" s="577">
        <f t="shared" si="67"/>
        <v>1951.9376316070957</v>
      </c>
      <c r="AG58" s="577">
        <f t="shared" si="67"/>
        <v>1744.2075154161118</v>
      </c>
      <c r="AH58" s="577">
        <f>IF(AH55-AH56-AH57&lt;0,0,AH55-AH56-AH57)</f>
        <v>1539.2775776699837</v>
      </c>
      <c r="AI58" s="178"/>
      <c r="AJ58" s="577">
        <f>IF(AJ55-AJ56-AJ57&lt;0,0,AJ55-AJ56-AJ57)</f>
        <v>9040.6811006642947</v>
      </c>
      <c r="AK58" s="577">
        <f t="shared" ref="AK58:BN58" si="68">IF(AK55-AK56-AK57&lt;0,0,AK55-AK56-AK57)</f>
        <v>8838.9798410209787</v>
      </c>
      <c r="AL58" s="577">
        <f t="shared" si="68"/>
        <v>8639.6505548881378</v>
      </c>
      <c r="AM58" s="577">
        <f t="shared" si="68"/>
        <v>8442.6699795294426</v>
      </c>
      <c r="AN58" s="577">
        <f t="shared" si="68"/>
        <v>8248.0150612324014</v>
      </c>
      <c r="AO58" s="577">
        <f t="shared" si="68"/>
        <v>8055.6629535248749</v>
      </c>
      <c r="AP58" s="577">
        <f t="shared" si="68"/>
        <v>7865.5910154063013</v>
      </c>
      <c r="AQ58" s="577">
        <f t="shared" si="68"/>
        <v>7677.776809593498</v>
      </c>
      <c r="AR58" s="577">
        <f t="shared" si="68"/>
        <v>7492.1981007809418</v>
      </c>
      <c r="AS58" s="577">
        <f t="shared" si="68"/>
        <v>7308.832853915409</v>
      </c>
      <c r="AT58" s="577">
        <f t="shared" si="68"/>
        <v>7127.6592324848261</v>
      </c>
      <c r="AU58" s="577">
        <f t="shared" si="68"/>
        <v>6986.7453299283661</v>
      </c>
      <c r="AV58" s="577">
        <f t="shared" si="68"/>
        <v>6847.4491453986257</v>
      </c>
      <c r="AW58" s="577">
        <f t="shared" si="68"/>
        <v>6709.7549760946022</v>
      </c>
      <c r="AX58" s="577">
        <f t="shared" si="68"/>
        <v>6573.6472595049763</v>
      </c>
      <c r="AY58" s="577">
        <f t="shared" si="68"/>
        <v>6439.1105722154471</v>
      </c>
      <c r="AZ58" s="577">
        <f t="shared" si="68"/>
        <v>6306.1296287258792</v>
      </c>
      <c r="BA58" s="577">
        <f t="shared" si="68"/>
        <v>6174.6892802771781</v>
      </c>
      <c r="BB58" s="577">
        <f t="shared" si="68"/>
        <v>6044.7745136878266</v>
      </c>
      <c r="BC58" s="577">
        <f t="shared" si="68"/>
        <v>5916.3704501999855</v>
      </c>
      <c r="BD58" s="577">
        <f t="shared" si="68"/>
        <v>5789.4623443350974</v>
      </c>
      <c r="BE58" s="577">
        <f t="shared" si="68"/>
        <v>5646.4720766106093</v>
      </c>
      <c r="BF58" s="577">
        <f t="shared" si="68"/>
        <v>5505.1934380541306</v>
      </c>
      <c r="BG58" s="577">
        <f t="shared" si="68"/>
        <v>5365.6095179229742</v>
      </c>
      <c r="BH58" s="577">
        <f t="shared" si="68"/>
        <v>5227.703558038409</v>
      </c>
      <c r="BI58" s="577">
        <f t="shared" si="68"/>
        <v>5091.4589514805857</v>
      </c>
      <c r="BJ58" s="577">
        <f t="shared" si="68"/>
        <v>4956.8592412942598</v>
      </c>
      <c r="BK58" s="577">
        <f t="shared" si="68"/>
        <v>4823.8881192051876</v>
      </c>
      <c r="BL58" s="577">
        <f t="shared" si="68"/>
        <v>4692.5294243471426</v>
      </c>
      <c r="BM58" s="577">
        <f t="shared" si="68"/>
        <v>4562.7671419994485</v>
      </c>
      <c r="BN58" s="577">
        <f t="shared" si="68"/>
        <v>4434.5854023349521</v>
      </c>
    </row>
    <row r="59" spans="1:66" outlineLevel="1">
      <c r="A59" s="54" t="s">
        <v>263</v>
      </c>
      <c r="B59" s="54" t="s">
        <v>200</v>
      </c>
      <c r="C59" s="93" t="s">
        <v>1420</v>
      </c>
      <c r="D59" s="572">
        <f t="shared" ref="D59:AH59" si="69">D29</f>
        <v>109012.30133357966</v>
      </c>
      <c r="E59" s="572">
        <f t="shared" si="69"/>
        <v>106287.91042538382</v>
      </c>
      <c r="F59" s="572">
        <f t="shared" si="69"/>
        <v>103596.19399511235</v>
      </c>
      <c r="G59" s="572">
        <f t="shared" si="69"/>
        <v>100936.82896696401</v>
      </c>
      <c r="H59" s="572">
        <f t="shared" si="69"/>
        <v>98309.495181089034</v>
      </c>
      <c r="I59" s="572">
        <f t="shared" si="69"/>
        <v>95713.875368638677</v>
      </c>
      <c r="J59" s="572">
        <f t="shared" si="69"/>
        <v>93149.655127020771</v>
      </c>
      <c r="K59" s="572">
        <f t="shared" si="69"/>
        <v>90616.522895359958</v>
      </c>
      <c r="L59" s="572">
        <f t="shared" si="69"/>
        <v>88114.169930160599</v>
      </c>
      <c r="M59" s="572">
        <f t="shared" si="69"/>
        <v>85642.290281170921</v>
      </c>
      <c r="N59" s="572">
        <f t="shared" si="69"/>
        <v>83200.580767446692</v>
      </c>
      <c r="O59" s="572">
        <f t="shared" si="69"/>
        <v>80788.740953612913</v>
      </c>
      <c r="P59" s="572">
        <f t="shared" si="69"/>
        <v>78406.473126321856</v>
      </c>
      <c r="Q59" s="572">
        <f t="shared" si="69"/>
        <v>76053.482270905777</v>
      </c>
      <c r="R59" s="572">
        <f t="shared" si="69"/>
        <v>73729.476048223063</v>
      </c>
      <c r="S59" s="572">
        <f t="shared" si="69"/>
        <v>71434.164771695738</v>
      </c>
      <c r="T59" s="572">
        <f t="shared" si="69"/>
        <v>69167.26138453724</v>
      </c>
      <c r="U59" s="572">
        <f t="shared" si="69"/>
        <v>66928.481437168783</v>
      </c>
      <c r="V59" s="572">
        <f t="shared" si="69"/>
        <v>64717.543064822705</v>
      </c>
      <c r="W59" s="572">
        <f t="shared" si="69"/>
        <v>62534.166965331286</v>
      </c>
      <c r="X59" s="572">
        <f t="shared" si="69"/>
        <v>60378.076377099715</v>
      </c>
      <c r="Y59" s="572">
        <f t="shared" si="69"/>
        <v>58197.228537617877</v>
      </c>
      <c r="Z59" s="572">
        <f t="shared" si="69"/>
        <v>56043.841673223222</v>
      </c>
      <c r="AA59" s="572">
        <f t="shared" si="69"/>
        <v>53917.63897300684</v>
      </c>
      <c r="AB59" s="572">
        <f t="shared" si="69"/>
        <v>51818.346150393867</v>
      </c>
      <c r="AC59" s="572">
        <f t="shared" si="69"/>
        <v>49745.691421404263</v>
      </c>
      <c r="AD59" s="572">
        <f t="shared" si="69"/>
        <v>47699.405483094037</v>
      </c>
      <c r="AE59" s="572">
        <f t="shared" si="69"/>
        <v>45679.221492175391</v>
      </c>
      <c r="AF59" s="572">
        <f t="shared" si="69"/>
        <v>43684.875043814296</v>
      </c>
      <c r="AG59" s="572">
        <f t="shared" si="69"/>
        <v>41716.104150604275</v>
      </c>
      <c r="AH59" s="572">
        <f t="shared" si="69"/>
        <v>39772.64922171463</v>
      </c>
      <c r="AI59" s="178"/>
      <c r="AJ59" s="572">
        <f t="shared" ref="AJ59:BN59" si="70">AJ29</f>
        <v>109012.30133357966</v>
      </c>
      <c r="AK59" s="572">
        <f t="shared" si="70"/>
        <v>107466.78229433777</v>
      </c>
      <c r="AL59" s="572">
        <f t="shared" si="70"/>
        <v>105937.50882878833</v>
      </c>
      <c r="AM59" s="572">
        <f t="shared" si="70"/>
        <v>104424.32957756176</v>
      </c>
      <c r="AN59" s="572">
        <f t="shared" si="70"/>
        <v>102927.09450186566</v>
      </c>
      <c r="AO59" s="572">
        <f t="shared" si="70"/>
        <v>101445.65487243012</v>
      </c>
      <c r="AP59" s="572">
        <f t="shared" si="70"/>
        <v>99979.86325854309</v>
      </c>
      <c r="AQ59" s="572">
        <f t="shared" si="70"/>
        <v>98529.573517174824</v>
      </c>
      <c r="AR59" s="572">
        <f t="shared" si="70"/>
        <v>97094.640782191011</v>
      </c>
      <c r="AS59" s="572">
        <f t="shared" si="70"/>
        <v>95674.921453653515</v>
      </c>
      <c r="AT59" s="572">
        <f t="shared" si="70"/>
        <v>94270.273187208382</v>
      </c>
      <c r="AU59" s="572">
        <f t="shared" si="70"/>
        <v>92880.55488356018</v>
      </c>
      <c r="AV59" s="572">
        <f t="shared" si="70"/>
        <v>91505.626678032073</v>
      </c>
      <c r="AW59" s="572">
        <f t="shared" si="70"/>
        <v>90145.349930210985</v>
      </c>
      <c r="AX59" s="572">
        <f t="shared" si="70"/>
        <v>88799.587213677005</v>
      </c>
      <c r="AY59" s="572">
        <f t="shared" si="70"/>
        <v>87468.202305816652</v>
      </c>
      <c r="AZ59" s="572">
        <f t="shared" si="70"/>
        <v>86151.060177718988</v>
      </c>
      <c r="BA59" s="572">
        <f t="shared" si="70"/>
        <v>84848.026984154189</v>
      </c>
      <c r="BB59" s="572">
        <f t="shared" si="70"/>
        <v>83558.97005363385</v>
      </c>
      <c r="BC59" s="572">
        <f t="shared" si="70"/>
        <v>82283.75787855222</v>
      </c>
      <c r="BD59" s="572">
        <f t="shared" si="70"/>
        <v>81022.260105407913</v>
      </c>
      <c r="BE59" s="572">
        <f t="shared" si="70"/>
        <v>79753.640117247909</v>
      </c>
      <c r="BF59" s="572">
        <f t="shared" si="70"/>
        <v>78498.765828618722</v>
      </c>
      <c r="BG59" s="572">
        <f t="shared" si="70"/>
        <v>77257.507274181407</v>
      </c>
      <c r="BH59" s="572">
        <f t="shared" si="70"/>
        <v>76029.735632402866</v>
      </c>
      <c r="BI59" s="572">
        <f t="shared" si="70"/>
        <v>74815.323215926124</v>
      </c>
      <c r="BJ59" s="572">
        <f t="shared" si="70"/>
        <v>73614.143462018925</v>
      </c>
      <c r="BK59" s="572">
        <f t="shared" si="70"/>
        <v>72426.070923100619</v>
      </c>
      <c r="BL59" s="572">
        <f t="shared" si="70"/>
        <v>71250.981257346371</v>
      </c>
      <c r="BM59" s="572">
        <f t="shared" si="70"/>
        <v>70088.751219368161</v>
      </c>
      <c r="BN59" s="572">
        <f t="shared" si="70"/>
        <v>68939.258650972042</v>
      </c>
    </row>
    <row r="60" spans="1:66" outlineLevel="1">
      <c r="A60"/>
      <c r="B60" t="s">
        <v>266</v>
      </c>
      <c r="C60" s="50" t="s">
        <v>1420</v>
      </c>
      <c r="D60" s="99">
        <f>'Butadiene Recycling HC'!C148</f>
        <v>0</v>
      </c>
      <c r="E60" s="99">
        <f>'Butadiene Recycling HC'!D148</f>
        <v>142.6016254286524</v>
      </c>
      <c r="F60" s="99">
        <f>'Butadiene Recycling HC'!E148</f>
        <v>284.57364334423386</v>
      </c>
      <c r="G60" s="99">
        <f>'Butadiene Recycling HC'!F148</f>
        <v>425.91813860527594</v>
      </c>
      <c r="H60" s="99">
        <f>'Butadiene Recycling HC'!G148</f>
        <v>566.63718993366842</v>
      </c>
      <c r="I60" s="99">
        <f>'Butadiene Recycling HC'!H148</f>
        <v>706.73286993159377</v>
      </c>
      <c r="J60" s="99">
        <f>'Butadiene Recycling HC'!I148</f>
        <v>846.20724509841557</v>
      </c>
      <c r="K60" s="99">
        <f>'Butadiene Recycling HC'!J148</f>
        <v>985.06237584752296</v>
      </c>
      <c r="L60" s="99">
        <f>'Butadiene Recycling HC'!K148</f>
        <v>1123.30031652313</v>
      </c>
      <c r="M60" s="99">
        <f>'Butadiene Recycling HC'!L148</f>
        <v>1260.9231154170316</v>
      </c>
      <c r="N60" s="99">
        <f>'Butadiene Recycling HC'!M148</f>
        <v>1397.9328147853137</v>
      </c>
      <c r="O60" s="99">
        <f>'Butadiene Recycling HC'!N148</f>
        <v>1534.331450865019</v>
      </c>
      <c r="P60" s="99">
        <f>'Butadiene Recycling HC'!O148</f>
        <v>1670.1210538907708</v>
      </c>
      <c r="Q60" s="99">
        <f>'Butadiene Recycling HC'!P148</f>
        <v>1805.30364811135</v>
      </c>
      <c r="R60" s="99">
        <f>'Butadiene Recycling HC'!Q148</f>
        <v>1939.8812518062293</v>
      </c>
      <c r="S60" s="99">
        <f>'Butadiene Recycling HC'!R148</f>
        <v>2073.8558773020654</v>
      </c>
      <c r="T60" s="99">
        <f>'Butadiene Recycling HC'!S148</f>
        <v>2207.2295309891438</v>
      </c>
      <c r="U60" s="99">
        <f>'Butadiene Recycling HC'!T148</f>
        <v>2340.0042133377815</v>
      </c>
      <c r="V60" s="99">
        <f>'Butadiene Recycling HC'!U148</f>
        <v>2472.1819189146895</v>
      </c>
      <c r="W60" s="99">
        <f>'Butadiene Recycling HC'!V148</f>
        <v>2603.7646363992844</v>
      </c>
      <c r="X60" s="99">
        <f>'Butadiene Recycling HC'!W148</f>
        <v>2734.7543485999681</v>
      </c>
      <c r="Y60" s="99">
        <f>'Butadiene Recycling HC'!X148</f>
        <v>2865.1530324703504</v>
      </c>
      <c r="Z60" s="99">
        <f>'Butadiene Recycling HC'!Y148</f>
        <v>2994.96265912544</v>
      </c>
      <c r="AA60" s="99">
        <f>'Butadiene Recycling HC'!Z148</f>
        <v>3124.1851938577884</v>
      </c>
      <c r="AB60" s="99">
        <f>'Butadiene Recycling HC'!AA148</f>
        <v>3252.8225961535895</v>
      </c>
      <c r="AC60" s="99">
        <f>'Butadiene Recycling HC'!AB148</f>
        <v>3380.8768197087384</v>
      </c>
      <c r="AD60" s="99">
        <f>'Butadiene Recycling HC'!AC148</f>
        <v>3508.3498124448452</v>
      </c>
      <c r="AE60" s="99">
        <f>'Butadiene Recycling HC'!AD148</f>
        <v>3635.2435165252118</v>
      </c>
      <c r="AF60" s="99">
        <f>'Butadiene Recycling HC'!AE148</f>
        <v>3761.5598683707622</v>
      </c>
      <c r="AG60" s="99">
        <f>'Butadiene Recycling HC'!AF148</f>
        <v>3887.3007986759267</v>
      </c>
      <c r="AH60" s="99">
        <f>'Butadiene Recycling HC'!AG148</f>
        <v>4012.4682324244945</v>
      </c>
      <c r="AI60" s="178"/>
      <c r="AJ60" s="99">
        <f>D60</f>
        <v>0</v>
      </c>
      <c r="AK60" s="99">
        <f>E60</f>
        <v>142.6016254286524</v>
      </c>
      <c r="AL60" s="99">
        <f t="shared" ref="AL60:BA63" si="71">F60</f>
        <v>284.57364334423386</v>
      </c>
      <c r="AM60" s="99">
        <f t="shared" si="71"/>
        <v>425.91813860527594</v>
      </c>
      <c r="AN60" s="99">
        <f t="shared" si="71"/>
        <v>566.63718993366842</v>
      </c>
      <c r="AO60" s="99">
        <f t="shared" si="71"/>
        <v>706.73286993159377</v>
      </c>
      <c r="AP60" s="99">
        <f t="shared" si="71"/>
        <v>846.20724509841557</v>
      </c>
      <c r="AQ60" s="99">
        <f t="shared" si="71"/>
        <v>985.06237584752296</v>
      </c>
      <c r="AR60" s="99">
        <f t="shared" si="71"/>
        <v>1123.30031652313</v>
      </c>
      <c r="AS60" s="99">
        <f t="shared" si="71"/>
        <v>1260.9231154170316</v>
      </c>
      <c r="AT60" s="99">
        <f t="shared" si="71"/>
        <v>1397.9328147853137</v>
      </c>
      <c r="AU60" s="99">
        <f t="shared" si="71"/>
        <v>1534.331450865019</v>
      </c>
      <c r="AV60" s="99">
        <f t="shared" si="71"/>
        <v>1670.1210538907708</v>
      </c>
      <c r="AW60" s="99">
        <f t="shared" si="71"/>
        <v>1805.30364811135</v>
      </c>
      <c r="AX60" s="99">
        <f t="shared" si="71"/>
        <v>1939.8812518062293</v>
      </c>
      <c r="AY60" s="99">
        <f t="shared" si="71"/>
        <v>2073.8558773020654</v>
      </c>
      <c r="AZ60" s="99">
        <f t="shared" si="71"/>
        <v>2207.2295309891438</v>
      </c>
      <c r="BA60" s="99">
        <f t="shared" si="71"/>
        <v>2340.0042133377815</v>
      </c>
      <c r="BB60" s="99">
        <f t="shared" ref="BB60:BN63" si="72">V60</f>
        <v>2472.1819189146895</v>
      </c>
      <c r="BC60" s="99">
        <f t="shared" si="72"/>
        <v>2603.7646363992844</v>
      </c>
      <c r="BD60" s="99">
        <f t="shared" si="72"/>
        <v>2734.7543485999681</v>
      </c>
      <c r="BE60" s="99">
        <f t="shared" si="72"/>
        <v>2865.1530324703504</v>
      </c>
      <c r="BF60" s="99">
        <f t="shared" si="72"/>
        <v>2994.96265912544</v>
      </c>
      <c r="BG60" s="99">
        <f t="shared" si="72"/>
        <v>3124.1851938577884</v>
      </c>
      <c r="BH60" s="99">
        <f t="shared" si="72"/>
        <v>3252.8225961535895</v>
      </c>
      <c r="BI60" s="99">
        <f t="shared" si="72"/>
        <v>3380.8768197087384</v>
      </c>
      <c r="BJ60" s="99">
        <f t="shared" si="72"/>
        <v>3508.3498124448452</v>
      </c>
      <c r="BK60" s="99">
        <f t="shared" si="72"/>
        <v>3635.2435165252118</v>
      </c>
      <c r="BL60" s="99">
        <f t="shared" si="72"/>
        <v>3761.5598683707622</v>
      </c>
      <c r="BM60" s="99">
        <f t="shared" si="72"/>
        <v>3887.3007986759267</v>
      </c>
      <c r="BN60" s="99">
        <f t="shared" si="72"/>
        <v>4012.4682324244945</v>
      </c>
    </row>
    <row r="61" spans="1:66" outlineLevel="1">
      <c r="A61"/>
      <c r="B61" t="s">
        <v>268</v>
      </c>
      <c r="C61" s="50" t="s">
        <v>1420</v>
      </c>
      <c r="D61" s="99">
        <f>'Butadiene Recycling HC'!C78</f>
        <v>0</v>
      </c>
      <c r="E61" s="99">
        <f>'Butadiene Recycling HC'!D78</f>
        <v>0</v>
      </c>
      <c r="F61" s="99">
        <f>'Butadiene Recycling HC'!E78</f>
        <v>0</v>
      </c>
      <c r="G61" s="99">
        <f>'Butadiene Recycling HC'!F78</f>
        <v>0</v>
      </c>
      <c r="H61" s="99">
        <f>'Butadiene Recycling HC'!G78</f>
        <v>0</v>
      </c>
      <c r="I61" s="99">
        <f>'Butadiene Recycling HC'!H78</f>
        <v>0</v>
      </c>
      <c r="J61" s="99">
        <f>'Butadiene Recycling HC'!I78</f>
        <v>0</v>
      </c>
      <c r="K61" s="99">
        <f>'Butadiene Recycling HC'!J78</f>
        <v>0</v>
      </c>
      <c r="L61" s="99">
        <f>'Butadiene Recycling HC'!K78</f>
        <v>0</v>
      </c>
      <c r="M61" s="99">
        <f>'Butadiene Recycling HC'!L78</f>
        <v>0</v>
      </c>
      <c r="N61" s="99">
        <f>'Butadiene Recycling HC'!M78</f>
        <v>0</v>
      </c>
      <c r="O61" s="99">
        <f>'Butadiene Recycling HC'!N78</f>
        <v>0</v>
      </c>
      <c r="P61" s="99">
        <f>'Butadiene Recycling HC'!O78</f>
        <v>0</v>
      </c>
      <c r="Q61" s="99">
        <f>'Butadiene Recycling HC'!P78</f>
        <v>0</v>
      </c>
      <c r="R61" s="99">
        <f>'Butadiene Recycling HC'!Q78</f>
        <v>0</v>
      </c>
      <c r="S61" s="99">
        <f>'Butadiene Recycling HC'!R78</f>
        <v>0</v>
      </c>
      <c r="T61" s="99">
        <f>'Butadiene Recycling HC'!S78</f>
        <v>0</v>
      </c>
      <c r="U61" s="99">
        <f>'Butadiene Recycling HC'!T78</f>
        <v>0</v>
      </c>
      <c r="V61" s="99">
        <f>'Butadiene Recycling HC'!U78</f>
        <v>0</v>
      </c>
      <c r="W61" s="99">
        <f>'Butadiene Recycling HC'!V78</f>
        <v>0</v>
      </c>
      <c r="X61" s="99">
        <f>'Butadiene Recycling HC'!W78</f>
        <v>0</v>
      </c>
      <c r="Y61" s="99">
        <f>'Butadiene Recycling HC'!X78</f>
        <v>0</v>
      </c>
      <c r="Z61" s="99">
        <f>'Butadiene Recycling HC'!Y78</f>
        <v>0</v>
      </c>
      <c r="AA61" s="99">
        <f>'Butadiene Recycling HC'!Z78</f>
        <v>0</v>
      </c>
      <c r="AB61" s="99">
        <f>'Butadiene Recycling HC'!AA78</f>
        <v>0</v>
      </c>
      <c r="AC61" s="99">
        <f>'Butadiene Recycling HC'!AB78</f>
        <v>0</v>
      </c>
      <c r="AD61" s="99">
        <f>'Butadiene Recycling HC'!AC78</f>
        <v>0</v>
      </c>
      <c r="AE61" s="99">
        <f>'Butadiene Recycling HC'!AD78</f>
        <v>0</v>
      </c>
      <c r="AF61" s="99">
        <f>'Butadiene Recycling HC'!AE78</f>
        <v>0</v>
      </c>
      <c r="AG61" s="99">
        <f>'Butadiene Recycling HC'!AF78</f>
        <v>0</v>
      </c>
      <c r="AH61" s="99">
        <f>'Butadiene Recycling HC'!AG78</f>
        <v>0</v>
      </c>
      <c r="AI61" s="178"/>
      <c r="AJ61" s="99">
        <f t="shared" ref="AJ61:AY63" si="73">D61</f>
        <v>0</v>
      </c>
      <c r="AK61" s="99">
        <f t="shared" si="73"/>
        <v>0</v>
      </c>
      <c r="AL61" s="99">
        <f t="shared" si="73"/>
        <v>0</v>
      </c>
      <c r="AM61" s="99">
        <f t="shared" si="73"/>
        <v>0</v>
      </c>
      <c r="AN61" s="99">
        <f t="shared" si="73"/>
        <v>0</v>
      </c>
      <c r="AO61" s="99">
        <f t="shared" si="73"/>
        <v>0</v>
      </c>
      <c r="AP61" s="99">
        <f t="shared" si="73"/>
        <v>0</v>
      </c>
      <c r="AQ61" s="99">
        <f t="shared" si="73"/>
        <v>0</v>
      </c>
      <c r="AR61" s="99">
        <f t="shared" si="73"/>
        <v>0</v>
      </c>
      <c r="AS61" s="99">
        <f t="shared" si="73"/>
        <v>0</v>
      </c>
      <c r="AT61" s="99">
        <f t="shared" si="73"/>
        <v>0</v>
      </c>
      <c r="AU61" s="99">
        <f t="shared" si="73"/>
        <v>0</v>
      </c>
      <c r="AV61" s="99">
        <f t="shared" si="73"/>
        <v>0</v>
      </c>
      <c r="AW61" s="99">
        <f t="shared" si="73"/>
        <v>0</v>
      </c>
      <c r="AX61" s="99">
        <f t="shared" si="73"/>
        <v>0</v>
      </c>
      <c r="AY61" s="99">
        <f t="shared" si="73"/>
        <v>0</v>
      </c>
      <c r="AZ61" s="99">
        <f t="shared" si="71"/>
        <v>0</v>
      </c>
      <c r="BA61" s="99">
        <f t="shared" si="71"/>
        <v>0</v>
      </c>
      <c r="BB61" s="99">
        <f t="shared" si="72"/>
        <v>0</v>
      </c>
      <c r="BC61" s="99">
        <f t="shared" si="72"/>
        <v>0</v>
      </c>
      <c r="BD61" s="99">
        <f t="shared" si="72"/>
        <v>0</v>
      </c>
      <c r="BE61" s="99">
        <f t="shared" si="72"/>
        <v>0</v>
      </c>
      <c r="BF61" s="99">
        <f t="shared" si="72"/>
        <v>0</v>
      </c>
      <c r="BG61" s="99">
        <f t="shared" si="72"/>
        <v>0</v>
      </c>
      <c r="BH61" s="99">
        <f t="shared" si="72"/>
        <v>0</v>
      </c>
      <c r="BI61" s="99">
        <f t="shared" si="72"/>
        <v>0</v>
      </c>
      <c r="BJ61" s="99">
        <f t="shared" si="72"/>
        <v>0</v>
      </c>
      <c r="BK61" s="99">
        <f t="shared" si="72"/>
        <v>0</v>
      </c>
      <c r="BL61" s="99">
        <f t="shared" si="72"/>
        <v>0</v>
      </c>
      <c r="BM61" s="99">
        <f t="shared" si="72"/>
        <v>0</v>
      </c>
      <c r="BN61" s="99">
        <f t="shared" si="72"/>
        <v>0</v>
      </c>
    </row>
    <row r="62" spans="1:66" outlineLevel="1">
      <c r="A62" s="160"/>
      <c r="B62" s="160" t="s">
        <v>269</v>
      </c>
      <c r="C62" s="156" t="s">
        <v>1420</v>
      </c>
      <c r="D62" s="120">
        <f>'Butadiene Recycling HC'!C107</f>
        <v>0</v>
      </c>
      <c r="E62" s="120">
        <f>'Butadiene Recycling HC'!D107</f>
        <v>957.21136338194265</v>
      </c>
      <c r="F62" s="120">
        <f>'Butadiene Recycling HC'!E107</f>
        <v>1886.2664727051633</v>
      </c>
      <c r="G62" s="120">
        <f>'Butadiene Recycling HC'!F107</f>
        <v>2787.3376054332184</v>
      </c>
      <c r="H62" s="120">
        <f>'Butadiene Recycling HC'!G107</f>
        <v>3660.5962994343681</v>
      </c>
      <c r="I62" s="120">
        <f>'Butadiene Recycling HC'!H107</f>
        <v>4506.2133556639565</v>
      </c>
      <c r="J62" s="120">
        <f>'Butadiene Recycling HC'!I107</f>
        <v>5324.3588408378964</v>
      </c>
      <c r="K62" s="120">
        <f>'Butadiene Recycling HC'!J107</f>
        <v>6115.2020900974385</v>
      </c>
      <c r="L62" s="120">
        <f>'Butadiene Recycling HC'!K107</f>
        <v>6878.9117096651353</v>
      </c>
      <c r="M62" s="120">
        <f>'Butadiene Recycling HC'!L107</f>
        <v>7615.6555794921442</v>
      </c>
      <c r="N62" s="120">
        <f>'Butadiene Recycling HC'!M107</f>
        <v>8325.6008558967842</v>
      </c>
      <c r="O62" s="120">
        <f>'Butadiene Recycling HC'!N107</f>
        <v>9008.91397419442</v>
      </c>
      <c r="P62" s="120">
        <f>'Butadiene Recycling HC'!O107</f>
        <v>9665.7606513187638</v>
      </c>
      <c r="Q62" s="120">
        <f>'Butadiene Recycling HC'!P107</f>
        <v>10140.787983607905</v>
      </c>
      <c r="R62" s="120">
        <f>'Butadiene Recycling HC'!Q107</f>
        <v>10583.150556568951</v>
      </c>
      <c r="S62" s="120">
        <f>'Butadiene Recycling HC'!R107</f>
        <v>10993.432719540284</v>
      </c>
      <c r="T62" s="120">
        <f>'Butadiene Recycling HC'!S107</f>
        <v>11372.214595897662</v>
      </c>
      <c r="U62" s="120">
        <f>'Butadiene Recycling HC'!T107</f>
        <v>11720.072104678547</v>
      </c>
      <c r="V62" s="120">
        <f>'Butadiene Recycling HC'!U107</f>
        <v>12037.576982114781</v>
      </c>
      <c r="W62" s="120">
        <f>'Butadiene Recycling HC'!V107</f>
        <v>12325.296803073714</v>
      </c>
      <c r="X62" s="120">
        <f>'Butadiene Recycling HC'!W107</f>
        <v>12583.795002408322</v>
      </c>
      <c r="Y62" s="120">
        <f>'Butadiene Recycling HC'!X107</f>
        <v>12813.630896216691</v>
      </c>
      <c r="Z62" s="120">
        <f>'Butadiene Recycling HC'!Y107</f>
        <v>13015.359703010978</v>
      </c>
      <c r="AA62" s="120">
        <f>'Butadiene Recycling HC'!Z107</f>
        <v>12825.634353274174</v>
      </c>
      <c r="AB62" s="120">
        <f>'Butadiene Recycling HC'!AA107</f>
        <v>12601.298730179886</v>
      </c>
      <c r="AC62" s="120">
        <f>'Butadiene Recycling HC'!AB107</f>
        <v>12343.68567825808</v>
      </c>
      <c r="AD62" s="120">
        <f>'Butadiene Recycling HC'!AC107</f>
        <v>12054.117292054008</v>
      </c>
      <c r="AE62" s="120">
        <f>'Butadiene Recycling HC'!AD107</f>
        <v>11733.904973575009</v>
      </c>
      <c r="AF62" s="120">
        <f>'Butadiene Recycling HC'!AE107</f>
        <v>11384.349489487704</v>
      </c>
      <c r="AG62" s="120">
        <f>'Butadiene Recycling HC'!AF107</f>
        <v>11006.741028066663</v>
      </c>
      <c r="AH62" s="120">
        <f>'Butadiene Recycling HC'!AG107</f>
        <v>10602.359255895506</v>
      </c>
      <c r="AI62" s="178"/>
      <c r="AJ62" s="99">
        <f t="shared" si="73"/>
        <v>0</v>
      </c>
      <c r="AK62" s="99">
        <f t="shared" si="73"/>
        <v>957.21136338194265</v>
      </c>
      <c r="AL62" s="99">
        <f t="shared" si="73"/>
        <v>1886.2664727051633</v>
      </c>
      <c r="AM62" s="99">
        <f t="shared" si="73"/>
        <v>2787.3376054332184</v>
      </c>
      <c r="AN62" s="99">
        <f t="shared" si="73"/>
        <v>3660.5962994343681</v>
      </c>
      <c r="AO62" s="99">
        <f t="shared" si="73"/>
        <v>4506.2133556639565</v>
      </c>
      <c r="AP62" s="99">
        <f t="shared" si="73"/>
        <v>5324.3588408378964</v>
      </c>
      <c r="AQ62" s="99">
        <f t="shared" si="73"/>
        <v>6115.2020900974385</v>
      </c>
      <c r="AR62" s="99">
        <f t="shared" si="73"/>
        <v>6878.9117096651353</v>
      </c>
      <c r="AS62" s="99">
        <f t="shared" si="73"/>
        <v>7615.6555794921442</v>
      </c>
      <c r="AT62" s="99">
        <f t="shared" si="73"/>
        <v>8325.6008558967842</v>
      </c>
      <c r="AU62" s="99">
        <f t="shared" si="73"/>
        <v>9008.91397419442</v>
      </c>
      <c r="AV62" s="99">
        <f t="shared" si="73"/>
        <v>9665.7606513187638</v>
      </c>
      <c r="AW62" s="99">
        <f t="shared" si="73"/>
        <v>10140.787983607905</v>
      </c>
      <c r="AX62" s="99">
        <f t="shared" si="73"/>
        <v>10583.150556568951</v>
      </c>
      <c r="AY62" s="99">
        <f t="shared" si="73"/>
        <v>10993.432719540284</v>
      </c>
      <c r="AZ62" s="99">
        <f t="shared" si="71"/>
        <v>11372.214595897662</v>
      </c>
      <c r="BA62" s="99">
        <f t="shared" si="71"/>
        <v>11720.072104678547</v>
      </c>
      <c r="BB62" s="99">
        <f t="shared" si="72"/>
        <v>12037.576982114781</v>
      </c>
      <c r="BC62" s="99">
        <f t="shared" si="72"/>
        <v>12325.296803073714</v>
      </c>
      <c r="BD62" s="99">
        <f t="shared" si="72"/>
        <v>12583.795002408322</v>
      </c>
      <c r="BE62" s="99">
        <f t="shared" si="72"/>
        <v>12813.630896216691</v>
      </c>
      <c r="BF62" s="99">
        <f t="shared" si="72"/>
        <v>13015.359703010978</v>
      </c>
      <c r="BG62" s="99">
        <f t="shared" si="72"/>
        <v>12825.634353274174</v>
      </c>
      <c r="BH62" s="99">
        <f t="shared" si="72"/>
        <v>12601.298730179886</v>
      </c>
      <c r="BI62" s="99">
        <f t="shared" si="72"/>
        <v>12343.68567825808</v>
      </c>
      <c r="BJ62" s="99">
        <f t="shared" si="72"/>
        <v>12054.117292054008</v>
      </c>
      <c r="BK62" s="99">
        <f t="shared" si="72"/>
        <v>11733.904973575009</v>
      </c>
      <c r="BL62" s="99">
        <f t="shared" si="72"/>
        <v>11384.349489487704</v>
      </c>
      <c r="BM62" s="99">
        <f t="shared" si="72"/>
        <v>11006.741028066663</v>
      </c>
      <c r="BN62" s="99">
        <f t="shared" si="72"/>
        <v>10602.359255895506</v>
      </c>
    </row>
    <row r="63" spans="1:66" outlineLevel="1">
      <c r="A63" s="160"/>
      <c r="B63" s="160" t="s">
        <v>1068</v>
      </c>
      <c r="C63" s="156" t="s">
        <v>1420</v>
      </c>
      <c r="D63" s="120">
        <f>'Butadiene Recycling HC'!C137</f>
        <v>0</v>
      </c>
      <c r="E63" s="120">
        <f>'Butadiene Recycling HC'!D137</f>
        <v>0</v>
      </c>
      <c r="F63" s="120">
        <f>'Butadiene Recycling HC'!E137</f>
        <v>0</v>
      </c>
      <c r="G63" s="120">
        <f>'Butadiene Recycling HC'!F137</f>
        <v>0</v>
      </c>
      <c r="H63" s="120">
        <f>'Butadiene Recycling HC'!G137</f>
        <v>0</v>
      </c>
      <c r="I63" s="120">
        <f>'Butadiene Recycling HC'!H137</f>
        <v>0</v>
      </c>
      <c r="J63" s="120">
        <f>'Butadiene Recycling HC'!I137</f>
        <v>0</v>
      </c>
      <c r="K63" s="120">
        <f>'Butadiene Recycling HC'!J137</f>
        <v>0</v>
      </c>
      <c r="L63" s="120">
        <f>'Butadiene Recycling HC'!K137</f>
        <v>0</v>
      </c>
      <c r="M63" s="120">
        <f>'Butadiene Recycling HC'!L137</f>
        <v>0</v>
      </c>
      <c r="N63" s="120">
        <f>'Butadiene Recycling HC'!M137</f>
        <v>0</v>
      </c>
      <c r="O63" s="120">
        <f>'Butadiene Recycling HC'!N137</f>
        <v>0</v>
      </c>
      <c r="P63" s="120">
        <f>'Butadiene Recycling HC'!O137</f>
        <v>0</v>
      </c>
      <c r="Q63" s="120">
        <f>'Butadiene Recycling HC'!P137</f>
        <v>0</v>
      </c>
      <c r="R63" s="120">
        <f>'Butadiene Recycling HC'!Q137</f>
        <v>0</v>
      </c>
      <c r="S63" s="120">
        <f>'Butadiene Recycling HC'!R137</f>
        <v>0</v>
      </c>
      <c r="T63" s="120">
        <f>'Butadiene Recycling HC'!S137</f>
        <v>0</v>
      </c>
      <c r="U63" s="120">
        <f>'Butadiene Recycling HC'!T137</f>
        <v>0</v>
      </c>
      <c r="V63" s="120">
        <f>'Butadiene Recycling HC'!U137</f>
        <v>0</v>
      </c>
      <c r="W63" s="120">
        <f>'Butadiene Recycling HC'!V137</f>
        <v>0</v>
      </c>
      <c r="X63" s="120">
        <f>'Butadiene Recycling HC'!W137</f>
        <v>0</v>
      </c>
      <c r="Y63" s="120">
        <f>'Butadiene Recycling HC'!X137</f>
        <v>0</v>
      </c>
      <c r="Z63" s="120">
        <f>'Butadiene Recycling HC'!Y137</f>
        <v>0</v>
      </c>
      <c r="AA63" s="120">
        <f>'Butadiene Recycling HC'!Z137</f>
        <v>0</v>
      </c>
      <c r="AB63" s="120">
        <f>'Butadiene Recycling HC'!AA137</f>
        <v>0</v>
      </c>
      <c r="AC63" s="120">
        <f>'Butadiene Recycling HC'!AB137</f>
        <v>0</v>
      </c>
      <c r="AD63" s="120">
        <f>'Butadiene Recycling HC'!AC137</f>
        <v>0</v>
      </c>
      <c r="AE63" s="120">
        <f>'Butadiene Recycling HC'!AD137</f>
        <v>0</v>
      </c>
      <c r="AF63" s="120">
        <f>'Butadiene Recycling HC'!AE137</f>
        <v>0</v>
      </c>
      <c r="AG63" s="120">
        <f>'Butadiene Recycling HC'!AF137</f>
        <v>0</v>
      </c>
      <c r="AH63" s="120">
        <f>'Butadiene Recycling HC'!AG137</f>
        <v>0</v>
      </c>
      <c r="AI63" s="178"/>
      <c r="AJ63" s="99">
        <f t="shared" si="73"/>
        <v>0</v>
      </c>
      <c r="AK63" s="99">
        <f t="shared" si="73"/>
        <v>0</v>
      </c>
      <c r="AL63" s="99">
        <f t="shared" si="73"/>
        <v>0</v>
      </c>
      <c r="AM63" s="99">
        <f t="shared" si="73"/>
        <v>0</v>
      </c>
      <c r="AN63" s="99">
        <f t="shared" si="73"/>
        <v>0</v>
      </c>
      <c r="AO63" s="99">
        <f t="shared" si="73"/>
        <v>0</v>
      </c>
      <c r="AP63" s="99">
        <f t="shared" si="73"/>
        <v>0</v>
      </c>
      <c r="AQ63" s="99">
        <f t="shared" si="73"/>
        <v>0</v>
      </c>
      <c r="AR63" s="99">
        <f t="shared" si="73"/>
        <v>0</v>
      </c>
      <c r="AS63" s="99">
        <f t="shared" si="73"/>
        <v>0</v>
      </c>
      <c r="AT63" s="99">
        <f t="shared" si="73"/>
        <v>0</v>
      </c>
      <c r="AU63" s="99">
        <f t="shared" si="73"/>
        <v>0</v>
      </c>
      <c r="AV63" s="99">
        <f t="shared" si="73"/>
        <v>0</v>
      </c>
      <c r="AW63" s="99">
        <f t="shared" si="73"/>
        <v>0</v>
      </c>
      <c r="AX63" s="99">
        <f t="shared" si="73"/>
        <v>0</v>
      </c>
      <c r="AY63" s="99">
        <f t="shared" si="73"/>
        <v>0</v>
      </c>
      <c r="AZ63" s="99">
        <f t="shared" si="71"/>
        <v>0</v>
      </c>
      <c r="BA63" s="99">
        <f t="shared" si="71"/>
        <v>0</v>
      </c>
      <c r="BB63" s="99">
        <f t="shared" si="72"/>
        <v>0</v>
      </c>
      <c r="BC63" s="99">
        <f t="shared" si="72"/>
        <v>0</v>
      </c>
      <c r="BD63" s="99">
        <f t="shared" si="72"/>
        <v>0</v>
      </c>
      <c r="BE63" s="99">
        <f t="shared" si="72"/>
        <v>0</v>
      </c>
      <c r="BF63" s="99">
        <f t="shared" si="72"/>
        <v>0</v>
      </c>
      <c r="BG63" s="99">
        <f t="shared" si="72"/>
        <v>0</v>
      </c>
      <c r="BH63" s="99">
        <f t="shared" si="72"/>
        <v>0</v>
      </c>
      <c r="BI63" s="99">
        <f t="shared" si="72"/>
        <v>0</v>
      </c>
      <c r="BJ63" s="99">
        <f t="shared" si="72"/>
        <v>0</v>
      </c>
      <c r="BK63" s="99">
        <f t="shared" si="72"/>
        <v>0</v>
      </c>
      <c r="BL63" s="99">
        <f t="shared" si="72"/>
        <v>0</v>
      </c>
      <c r="BM63" s="99">
        <f t="shared" si="72"/>
        <v>0</v>
      </c>
      <c r="BN63" s="99">
        <f t="shared" si="72"/>
        <v>0</v>
      </c>
    </row>
    <row r="64" spans="1:66" outlineLevel="1">
      <c r="A64" s="211"/>
      <c r="B64" s="211" t="s">
        <v>267</v>
      </c>
      <c r="C64" s="212" t="s">
        <v>1420</v>
      </c>
      <c r="D64" s="554">
        <f>D59-D60-D61-D62-D63</f>
        <v>109012.30133357966</v>
      </c>
      <c r="E64" s="554">
        <f t="shared" ref="E64:AG64" si="74">E59-E60-E61-E62-E63</f>
        <v>105188.09743657323</v>
      </c>
      <c r="F64" s="554">
        <f t="shared" si="74"/>
        <v>101425.35387906295</v>
      </c>
      <c r="G64" s="554">
        <f t="shared" si="74"/>
        <v>97723.573222925508</v>
      </c>
      <c r="H64" s="554">
        <f t="shared" si="74"/>
        <v>94082.261691720996</v>
      </c>
      <c r="I64" s="554">
        <f t="shared" si="74"/>
        <v>90500.929143043119</v>
      </c>
      <c r="J64" s="554">
        <f t="shared" si="74"/>
        <v>86979.089041084459</v>
      </c>
      <c r="K64" s="554">
        <f t="shared" si="74"/>
        <v>83516.258429415</v>
      </c>
      <c r="L64" s="554">
        <f t="shared" si="74"/>
        <v>80111.957903972332</v>
      </c>
      <c r="M64" s="554">
        <f t="shared" si="74"/>
        <v>76765.71158626175</v>
      </c>
      <c r="N64" s="554">
        <f t="shared" si="74"/>
        <v>73477.047096764596</v>
      </c>
      <c r="O64" s="554">
        <f t="shared" si="74"/>
        <v>70245.495528553467</v>
      </c>
      <c r="P64" s="554">
        <f t="shared" si="74"/>
        <v>67070.591421112316</v>
      </c>
      <c r="Q64" s="554">
        <f t="shared" si="74"/>
        <v>64107.390639186517</v>
      </c>
      <c r="R64" s="554">
        <f t="shared" si="74"/>
        <v>61206.444239847879</v>
      </c>
      <c r="S64" s="554">
        <f t="shared" si="74"/>
        <v>58366.876174853387</v>
      </c>
      <c r="T64" s="554">
        <f t="shared" si="74"/>
        <v>55587.817257650429</v>
      </c>
      <c r="U64" s="554">
        <f t="shared" si="74"/>
        <v>52868.405119152456</v>
      </c>
      <c r="V64" s="554">
        <f t="shared" si="74"/>
        <v>50207.784163793229</v>
      </c>
      <c r="W64" s="554">
        <f t="shared" si="74"/>
        <v>47605.105525858293</v>
      </c>
      <c r="X64" s="554">
        <f t="shared" si="74"/>
        <v>45059.527026091426</v>
      </c>
      <c r="Y64" s="554">
        <f t="shared" si="74"/>
        <v>42518.444608930833</v>
      </c>
      <c r="Z64" s="554">
        <f t="shared" si="74"/>
        <v>40033.519311086799</v>
      </c>
      <c r="AA64" s="554">
        <f t="shared" si="74"/>
        <v>37967.819425874877</v>
      </c>
      <c r="AB64" s="554">
        <f t="shared" si="74"/>
        <v>35964.224824060395</v>
      </c>
      <c r="AC64" s="554">
        <f t="shared" si="74"/>
        <v>34021.128923437442</v>
      </c>
      <c r="AD64" s="554">
        <f t="shared" si="74"/>
        <v>32136.938378595183</v>
      </c>
      <c r="AE64" s="554">
        <f t="shared" si="74"/>
        <v>30310.073002075173</v>
      </c>
      <c r="AF64" s="554">
        <f t="shared" si="74"/>
        <v>28538.965685955827</v>
      </c>
      <c r="AG64" s="554">
        <f t="shared" si="74"/>
        <v>26822.062323861686</v>
      </c>
      <c r="AH64" s="554">
        <f>AH59-AH60-AH61-AH62-AH63</f>
        <v>25157.82173339463</v>
      </c>
      <c r="AI64" s="178"/>
      <c r="AJ64" s="554">
        <f>AJ59-AJ60-AJ61-AJ62-AJ63</f>
        <v>109012.30133357966</v>
      </c>
      <c r="AK64" s="554">
        <f t="shared" ref="AK64:BN64" si="75">AK59-AK60-AK61-AK62-AK63</f>
        <v>106366.96930552718</v>
      </c>
      <c r="AL64" s="554">
        <f t="shared" si="75"/>
        <v>103766.66871273893</v>
      </c>
      <c r="AM64" s="554">
        <f t="shared" si="75"/>
        <v>101211.07383352326</v>
      </c>
      <c r="AN64" s="554">
        <f t="shared" si="75"/>
        <v>98699.861012497626</v>
      </c>
      <c r="AO64" s="554">
        <f t="shared" si="75"/>
        <v>96232.708646834566</v>
      </c>
      <c r="AP64" s="554">
        <f t="shared" si="75"/>
        <v>93809.297172606777</v>
      </c>
      <c r="AQ64" s="554">
        <f t="shared" si="75"/>
        <v>91429.309051229851</v>
      </c>
      <c r="AR64" s="554">
        <f t="shared" si="75"/>
        <v>89092.428756002744</v>
      </c>
      <c r="AS64" s="554">
        <f t="shared" si="75"/>
        <v>86798.342758744344</v>
      </c>
      <c r="AT64" s="554">
        <f t="shared" si="75"/>
        <v>84546.739516526286</v>
      </c>
      <c r="AU64" s="554">
        <f t="shared" si="75"/>
        <v>82337.309458500735</v>
      </c>
      <c r="AV64" s="554">
        <f t="shared" si="75"/>
        <v>80169.744972822533</v>
      </c>
      <c r="AW64" s="554">
        <f t="shared" si="75"/>
        <v>78199.258298491724</v>
      </c>
      <c r="AX64" s="554">
        <f t="shared" si="75"/>
        <v>76276.555405301828</v>
      </c>
      <c r="AY64" s="554">
        <f t="shared" si="75"/>
        <v>74400.913708974302</v>
      </c>
      <c r="AZ64" s="554">
        <f t="shared" si="75"/>
        <v>72571.616050832177</v>
      </c>
      <c r="BA64" s="554">
        <f t="shared" si="75"/>
        <v>70787.950666137855</v>
      </c>
      <c r="BB64" s="554">
        <f t="shared" si="75"/>
        <v>69049.211152604374</v>
      </c>
      <c r="BC64" s="554">
        <f t="shared" si="75"/>
        <v>67354.696439079227</v>
      </c>
      <c r="BD64" s="554">
        <f t="shared" si="75"/>
        <v>65703.710754399624</v>
      </c>
      <c r="BE64" s="554">
        <f t="shared" si="75"/>
        <v>64074.856188560865</v>
      </c>
      <c r="BF64" s="554">
        <f t="shared" si="75"/>
        <v>62488.443466482306</v>
      </c>
      <c r="BG64" s="554">
        <f t="shared" si="75"/>
        <v>61307.687727049444</v>
      </c>
      <c r="BH64" s="554">
        <f t="shared" si="75"/>
        <v>60175.614306069387</v>
      </c>
      <c r="BI64" s="554">
        <f t="shared" si="75"/>
        <v>59090.760717959311</v>
      </c>
      <c r="BJ64" s="554">
        <f t="shared" si="75"/>
        <v>58051.67635752006</v>
      </c>
      <c r="BK64" s="554">
        <f t="shared" si="75"/>
        <v>57056.9224330004</v>
      </c>
      <c r="BL64" s="554">
        <f t="shared" si="75"/>
        <v>56105.071899487899</v>
      </c>
      <c r="BM64" s="554">
        <f t="shared" si="75"/>
        <v>55194.709392625562</v>
      </c>
      <c r="BN64" s="554">
        <f t="shared" si="75"/>
        <v>54324.431162652043</v>
      </c>
    </row>
    <row r="65" spans="1:88" outlineLevel="1">
      <c r="A65" s="158" t="s">
        <v>308</v>
      </c>
      <c r="B65" s="213" t="s">
        <v>200</v>
      </c>
      <c r="C65" s="214" t="s">
        <v>1420</v>
      </c>
      <c r="D65" s="541">
        <f t="shared" ref="D65:AH65" si="76">D39+D42</f>
        <v>280873.4199254759</v>
      </c>
      <c r="E65" s="541">
        <f t="shared" si="76"/>
        <v>278653.17734932312</v>
      </c>
      <c r="F65" s="541">
        <f t="shared" si="76"/>
        <v>276432.36082703056</v>
      </c>
      <c r="G65" s="541">
        <f t="shared" si="76"/>
        <v>274211.15762368077</v>
      </c>
      <c r="H65" s="541">
        <f t="shared" si="76"/>
        <v>271989.75215821748</v>
      </c>
      <c r="I65" s="541">
        <f t="shared" si="76"/>
        <v>269768.32603485504</v>
      </c>
      <c r="J65" s="541">
        <f t="shared" si="76"/>
        <v>267121.73153593036</v>
      </c>
      <c r="K65" s="541">
        <f t="shared" si="76"/>
        <v>264485.84539793443</v>
      </c>
      <c r="L65" s="541">
        <f t="shared" si="76"/>
        <v>261860.71077522539</v>
      </c>
      <c r="M65" s="541">
        <f t="shared" si="76"/>
        <v>259246.36939593917</v>
      </c>
      <c r="N65" s="541">
        <f t="shared" si="76"/>
        <v>256642.86158117829</v>
      </c>
      <c r="O65" s="541">
        <f t="shared" si="76"/>
        <v>253288.670091643</v>
      </c>
      <c r="P65" s="541">
        <f t="shared" si="76"/>
        <v>249965.51404277587</v>
      </c>
      <c r="Q65" s="541">
        <f t="shared" si="76"/>
        <v>246673.1448611774</v>
      </c>
      <c r="R65" s="541">
        <f t="shared" si="76"/>
        <v>243411.3157939607</v>
      </c>
      <c r="S65" s="541">
        <f t="shared" si="76"/>
        <v>240179.78189633705</v>
      </c>
      <c r="T65" s="541">
        <f t="shared" si="76"/>
        <v>236335.84861604081</v>
      </c>
      <c r="U65" s="541">
        <f t="shared" si="76"/>
        <v>232540.28231889519</v>
      </c>
      <c r="V65" s="541">
        <f t="shared" si="76"/>
        <v>228792.54475716193</v>
      </c>
      <c r="W65" s="541">
        <f t="shared" si="76"/>
        <v>225092.10323535418</v>
      </c>
      <c r="X65" s="541">
        <f t="shared" si="76"/>
        <v>221438.43055585743</v>
      </c>
      <c r="Y65" s="541">
        <f t="shared" si="76"/>
        <v>217348.83180980076</v>
      </c>
      <c r="Z65" s="541">
        <f t="shared" si="76"/>
        <v>213319.44211555013</v>
      </c>
      <c r="AA65" s="541">
        <f t="shared" si="76"/>
        <v>209349.49747644694</v>
      </c>
      <c r="AB65" s="541">
        <f t="shared" si="76"/>
        <v>205438.24270636335</v>
      </c>
      <c r="AC65" s="541">
        <f t="shared" si="76"/>
        <v>201584.931334486</v>
      </c>
      <c r="AD65" s="541">
        <f t="shared" si="76"/>
        <v>197578.4366263118</v>
      </c>
      <c r="AE65" s="541">
        <f t="shared" si="76"/>
        <v>193635.39363781427</v>
      </c>
      <c r="AF65" s="541">
        <f t="shared" si="76"/>
        <v>189754.94995685233</v>
      </c>
      <c r="AG65" s="541">
        <f t="shared" si="76"/>
        <v>185936.26348060367</v>
      </c>
      <c r="AH65" s="541">
        <f t="shared" si="76"/>
        <v>182178.50229932499</v>
      </c>
      <c r="AI65" s="584"/>
      <c r="AJ65" s="541">
        <f t="shared" ref="AJ65:BN65" si="77">AJ39+AJ42</f>
        <v>280873.4199254759</v>
      </c>
      <c r="AK65" s="541">
        <f t="shared" si="77"/>
        <v>279578.84222274047</v>
      </c>
      <c r="AL65" s="541">
        <f t="shared" si="77"/>
        <v>278281.21934087161</v>
      </c>
      <c r="AM65" s="541">
        <f t="shared" si="77"/>
        <v>276980.68472067575</v>
      </c>
      <c r="AN65" s="541">
        <f t="shared" si="77"/>
        <v>275677.36999766738</v>
      </c>
      <c r="AO65" s="541">
        <f t="shared" si="77"/>
        <v>274371.40502097196</v>
      </c>
      <c r="AP65" s="541">
        <f t="shared" si="77"/>
        <v>272628.82262757077</v>
      </c>
      <c r="AQ65" s="541">
        <f t="shared" si="77"/>
        <v>270891.40529381641</v>
      </c>
      <c r="AR65" s="541">
        <f t="shared" si="77"/>
        <v>269159.19342352136</v>
      </c>
      <c r="AS65" s="541">
        <f t="shared" si="77"/>
        <v>267432.22647765232</v>
      </c>
      <c r="AT65" s="541">
        <f t="shared" si="77"/>
        <v>265710.54298608075</v>
      </c>
      <c r="AU65" s="541">
        <f t="shared" si="77"/>
        <v>263202.81579395762</v>
      </c>
      <c r="AV65" s="541">
        <f t="shared" si="77"/>
        <v>260715.55135391178</v>
      </c>
      <c r="AW65" s="541">
        <f t="shared" si="77"/>
        <v>258248.59652880431</v>
      </c>
      <c r="AX65" s="541">
        <f t="shared" si="77"/>
        <v>255801.79925548669</v>
      </c>
      <c r="AY65" s="541">
        <f t="shared" si="77"/>
        <v>253375.00853770075</v>
      </c>
      <c r="AZ65" s="541">
        <f t="shared" si="77"/>
        <v>250287.69656654052</v>
      </c>
      <c r="BA65" s="541">
        <f t="shared" si="77"/>
        <v>247234.48128047437</v>
      </c>
      <c r="BB65" s="541">
        <f t="shared" si="77"/>
        <v>244215.01089263108</v>
      </c>
      <c r="BC65" s="541">
        <f t="shared" si="77"/>
        <v>241228.93707122968</v>
      </c>
      <c r="BD65" s="541">
        <f t="shared" si="77"/>
        <v>238275.91490687881</v>
      </c>
      <c r="BE65" s="541">
        <f t="shared" si="77"/>
        <v>234863.93739224406</v>
      </c>
      <c r="BF65" s="541">
        <f t="shared" si="77"/>
        <v>231495.53690254921</v>
      </c>
      <c r="BG65" s="541">
        <f t="shared" si="77"/>
        <v>228170.20501267308</v>
      </c>
      <c r="BH65" s="541">
        <f t="shared" si="77"/>
        <v>224887.43885220838</v>
      </c>
      <c r="BI65" s="541">
        <f t="shared" si="77"/>
        <v>221646.74104763029</v>
      </c>
      <c r="BJ65" s="541">
        <f t="shared" si="77"/>
        <v>218215.25592577184</v>
      </c>
      <c r="BK65" s="541">
        <f t="shared" si="77"/>
        <v>214830.49157622934</v>
      </c>
      <c r="BL65" s="541">
        <f t="shared" si="77"/>
        <v>211491.8739194613</v>
      </c>
      <c r="BM65" s="541">
        <f t="shared" si="77"/>
        <v>208198.83543428031</v>
      </c>
      <c r="BN65" s="541">
        <f t="shared" si="77"/>
        <v>204950.81508674062</v>
      </c>
    </row>
    <row r="66" spans="1:88" outlineLevel="1">
      <c r="A66" s="158"/>
      <c r="B66" s="160" t="s">
        <v>266</v>
      </c>
      <c r="C66" s="156" t="s">
        <v>1420</v>
      </c>
      <c r="D66" s="120">
        <f>'Butadiene Recycling HC'!C157</f>
        <v>0</v>
      </c>
      <c r="E66" s="120">
        <f>'Butadiene Recycling HC'!D157</f>
        <v>0</v>
      </c>
      <c r="F66" s="120">
        <f>'Butadiene Recycling HC'!E157</f>
        <v>0</v>
      </c>
      <c r="G66" s="120">
        <f>'Butadiene Recycling HC'!F157</f>
        <v>0</v>
      </c>
      <c r="H66" s="120">
        <f>'Butadiene Recycling HC'!G157</f>
        <v>0</v>
      </c>
      <c r="I66" s="120">
        <f>'Butadiene Recycling HC'!H157</f>
        <v>0</v>
      </c>
      <c r="J66" s="120">
        <f>'Butadiene Recycling HC'!I157</f>
        <v>0</v>
      </c>
      <c r="K66" s="120">
        <f>'Butadiene Recycling HC'!J157</f>
        <v>0</v>
      </c>
      <c r="L66" s="120">
        <f>'Butadiene Recycling HC'!K157</f>
        <v>0</v>
      </c>
      <c r="M66" s="120">
        <f>'Butadiene Recycling HC'!L157</f>
        <v>0</v>
      </c>
      <c r="N66" s="120">
        <f>'Butadiene Recycling HC'!M157</f>
        <v>0</v>
      </c>
      <c r="O66" s="120">
        <f>'Butadiene Recycling HC'!N157</f>
        <v>0</v>
      </c>
      <c r="P66" s="120">
        <f>'Butadiene Recycling HC'!O157</f>
        <v>0</v>
      </c>
      <c r="Q66" s="120">
        <f>'Butadiene Recycling HC'!P157</f>
        <v>0</v>
      </c>
      <c r="R66" s="120">
        <f>'Butadiene Recycling HC'!Q157</f>
        <v>0</v>
      </c>
      <c r="S66" s="120">
        <f>'Butadiene Recycling HC'!R157</f>
        <v>0</v>
      </c>
      <c r="T66" s="120">
        <f>'Butadiene Recycling HC'!S157</f>
        <v>0</v>
      </c>
      <c r="U66" s="120">
        <f>'Butadiene Recycling HC'!T157</f>
        <v>0</v>
      </c>
      <c r="V66" s="120">
        <f>'Butadiene Recycling HC'!U157</f>
        <v>0</v>
      </c>
      <c r="W66" s="120">
        <f>'Butadiene Recycling HC'!V157</f>
        <v>0</v>
      </c>
      <c r="X66" s="120">
        <f>'Butadiene Recycling HC'!W157</f>
        <v>0</v>
      </c>
      <c r="Y66" s="120">
        <f>'Butadiene Recycling HC'!X157</f>
        <v>0</v>
      </c>
      <c r="Z66" s="120">
        <f>'Butadiene Recycling HC'!Y157</f>
        <v>0</v>
      </c>
      <c r="AA66" s="120">
        <f>'Butadiene Recycling HC'!Z157</f>
        <v>0</v>
      </c>
      <c r="AB66" s="120">
        <f>'Butadiene Recycling HC'!AA157</f>
        <v>0</v>
      </c>
      <c r="AC66" s="120">
        <f>'Butadiene Recycling HC'!AB157</f>
        <v>0</v>
      </c>
      <c r="AD66" s="120">
        <f>'Butadiene Recycling HC'!AC157</f>
        <v>0</v>
      </c>
      <c r="AE66" s="120">
        <f>'Butadiene Recycling HC'!AD157</f>
        <v>0</v>
      </c>
      <c r="AF66" s="120">
        <f>'Butadiene Recycling HC'!AE157</f>
        <v>0</v>
      </c>
      <c r="AG66" s="120">
        <f>'Butadiene Recycling HC'!AF157</f>
        <v>0</v>
      </c>
      <c r="AH66" s="120">
        <f>'Butadiene Recycling HC'!AG157</f>
        <v>0</v>
      </c>
      <c r="AI66" s="178"/>
      <c r="AJ66" s="120">
        <f>D66</f>
        <v>0</v>
      </c>
      <c r="AK66" s="120">
        <f t="shared" ref="AK66:AZ69" si="78">E66</f>
        <v>0</v>
      </c>
      <c r="AL66" s="120">
        <f t="shared" si="78"/>
        <v>0</v>
      </c>
      <c r="AM66" s="120">
        <f t="shared" si="78"/>
        <v>0</v>
      </c>
      <c r="AN66" s="120">
        <f t="shared" si="78"/>
        <v>0</v>
      </c>
      <c r="AO66" s="120">
        <f t="shared" si="78"/>
        <v>0</v>
      </c>
      <c r="AP66" s="120">
        <f t="shared" si="78"/>
        <v>0</v>
      </c>
      <c r="AQ66" s="120">
        <f t="shared" si="78"/>
        <v>0</v>
      </c>
      <c r="AR66" s="120">
        <f t="shared" si="78"/>
        <v>0</v>
      </c>
      <c r="AS66" s="120">
        <f t="shared" si="78"/>
        <v>0</v>
      </c>
      <c r="AT66" s="120">
        <f t="shared" si="78"/>
        <v>0</v>
      </c>
      <c r="AU66" s="120">
        <f t="shared" si="78"/>
        <v>0</v>
      </c>
      <c r="AV66" s="120">
        <f t="shared" si="78"/>
        <v>0</v>
      </c>
      <c r="AW66" s="120">
        <f t="shared" si="78"/>
        <v>0</v>
      </c>
      <c r="AX66" s="120">
        <f t="shared" si="78"/>
        <v>0</v>
      </c>
      <c r="AY66" s="120">
        <f t="shared" si="78"/>
        <v>0</v>
      </c>
      <c r="AZ66" s="120">
        <f t="shared" si="78"/>
        <v>0</v>
      </c>
      <c r="BA66" s="120">
        <f t="shared" ref="BA66:BN69" si="79">U66</f>
        <v>0</v>
      </c>
      <c r="BB66" s="120">
        <f t="shared" si="79"/>
        <v>0</v>
      </c>
      <c r="BC66" s="120">
        <f t="shared" si="79"/>
        <v>0</v>
      </c>
      <c r="BD66" s="120">
        <f t="shared" si="79"/>
        <v>0</v>
      </c>
      <c r="BE66" s="120">
        <f t="shared" si="79"/>
        <v>0</v>
      </c>
      <c r="BF66" s="120">
        <f t="shared" si="79"/>
        <v>0</v>
      </c>
      <c r="BG66" s="120">
        <f t="shared" si="79"/>
        <v>0</v>
      </c>
      <c r="BH66" s="120">
        <f t="shared" si="79"/>
        <v>0</v>
      </c>
      <c r="BI66" s="120">
        <f t="shared" si="79"/>
        <v>0</v>
      </c>
      <c r="BJ66" s="120">
        <f t="shared" si="79"/>
        <v>0</v>
      </c>
      <c r="BK66" s="120">
        <f t="shared" si="79"/>
        <v>0</v>
      </c>
      <c r="BL66" s="120">
        <f t="shared" si="79"/>
        <v>0</v>
      </c>
      <c r="BM66" s="120">
        <f t="shared" si="79"/>
        <v>0</v>
      </c>
      <c r="BN66" s="120">
        <f t="shared" si="79"/>
        <v>0</v>
      </c>
    </row>
    <row r="67" spans="1:88" outlineLevel="1">
      <c r="A67"/>
      <c r="B67" t="s">
        <v>268</v>
      </c>
      <c r="C67" s="50" t="s">
        <v>1420</v>
      </c>
      <c r="D67" s="99">
        <f>'Butadiene Recycling HC'!C75</f>
        <v>0</v>
      </c>
      <c r="E67" s="99">
        <f>'Butadiene Recycling HC'!D75</f>
        <v>0</v>
      </c>
      <c r="F67" s="99">
        <f>'Butadiene Recycling HC'!E75</f>
        <v>0</v>
      </c>
      <c r="G67" s="99">
        <f>'Butadiene Recycling HC'!F75</f>
        <v>0</v>
      </c>
      <c r="H67" s="99">
        <f>'Butadiene Recycling HC'!G75</f>
        <v>0</v>
      </c>
      <c r="I67" s="99">
        <f>'Butadiene Recycling HC'!H75</f>
        <v>0</v>
      </c>
      <c r="J67" s="99">
        <f>'Butadiene Recycling HC'!I75</f>
        <v>0</v>
      </c>
      <c r="K67" s="99">
        <f>'Butadiene Recycling HC'!J75</f>
        <v>0</v>
      </c>
      <c r="L67" s="99">
        <f>'Butadiene Recycling HC'!K75</f>
        <v>0</v>
      </c>
      <c r="M67" s="99">
        <f>'Butadiene Recycling HC'!L75</f>
        <v>0</v>
      </c>
      <c r="N67" s="99">
        <f>'Butadiene Recycling HC'!M75</f>
        <v>0</v>
      </c>
      <c r="O67" s="99">
        <f>'Butadiene Recycling HC'!N75</f>
        <v>0</v>
      </c>
      <c r="P67" s="99">
        <f>'Butadiene Recycling HC'!O75</f>
        <v>0</v>
      </c>
      <c r="Q67" s="99">
        <f>'Butadiene Recycling HC'!P75</f>
        <v>0</v>
      </c>
      <c r="R67" s="99">
        <f>'Butadiene Recycling HC'!Q75</f>
        <v>0</v>
      </c>
      <c r="S67" s="99">
        <f>'Butadiene Recycling HC'!R75</f>
        <v>0</v>
      </c>
      <c r="T67" s="99">
        <f>'Butadiene Recycling HC'!S75</f>
        <v>0</v>
      </c>
      <c r="U67" s="99">
        <f>'Butadiene Recycling HC'!T75</f>
        <v>0</v>
      </c>
      <c r="V67" s="99">
        <f>'Butadiene Recycling HC'!U75</f>
        <v>0</v>
      </c>
      <c r="W67" s="99">
        <f>'Butadiene Recycling HC'!V75</f>
        <v>0</v>
      </c>
      <c r="X67" s="99">
        <f>'Butadiene Recycling HC'!W75</f>
        <v>0</v>
      </c>
      <c r="Y67" s="99">
        <f>'Butadiene Recycling HC'!X75</f>
        <v>0</v>
      </c>
      <c r="Z67" s="99">
        <f>'Butadiene Recycling HC'!Y75</f>
        <v>0</v>
      </c>
      <c r="AA67" s="99">
        <f>'Butadiene Recycling HC'!Z75</f>
        <v>0</v>
      </c>
      <c r="AB67" s="99">
        <f>'Butadiene Recycling HC'!AA75</f>
        <v>0</v>
      </c>
      <c r="AC67" s="99">
        <f>'Butadiene Recycling HC'!AB75</f>
        <v>0</v>
      </c>
      <c r="AD67" s="99">
        <f>'Butadiene Recycling HC'!AC75</f>
        <v>0</v>
      </c>
      <c r="AE67" s="99">
        <f>'Butadiene Recycling HC'!AD75</f>
        <v>0</v>
      </c>
      <c r="AF67" s="99">
        <f>'Butadiene Recycling HC'!AE75</f>
        <v>0</v>
      </c>
      <c r="AG67" s="99">
        <f>'Butadiene Recycling HC'!AF75</f>
        <v>0</v>
      </c>
      <c r="AH67" s="99">
        <f>'Butadiene Recycling HC'!AG75</f>
        <v>0</v>
      </c>
      <c r="AI67" s="178"/>
      <c r="AJ67" s="120">
        <f t="shared" ref="AJ67:AJ69" si="80">D67</f>
        <v>0</v>
      </c>
      <c r="AK67" s="120">
        <f t="shared" si="78"/>
        <v>0</v>
      </c>
      <c r="AL67" s="120">
        <f t="shared" si="78"/>
        <v>0</v>
      </c>
      <c r="AM67" s="120">
        <f t="shared" si="78"/>
        <v>0</v>
      </c>
      <c r="AN67" s="120">
        <f t="shared" si="78"/>
        <v>0</v>
      </c>
      <c r="AO67" s="120">
        <f t="shared" si="78"/>
        <v>0</v>
      </c>
      <c r="AP67" s="120">
        <f t="shared" si="78"/>
        <v>0</v>
      </c>
      <c r="AQ67" s="120">
        <f t="shared" si="78"/>
        <v>0</v>
      </c>
      <c r="AR67" s="120">
        <f t="shared" si="78"/>
        <v>0</v>
      </c>
      <c r="AS67" s="120">
        <f t="shared" si="78"/>
        <v>0</v>
      </c>
      <c r="AT67" s="120">
        <f t="shared" si="78"/>
        <v>0</v>
      </c>
      <c r="AU67" s="120">
        <f t="shared" si="78"/>
        <v>0</v>
      </c>
      <c r="AV67" s="120">
        <f t="shared" si="78"/>
        <v>0</v>
      </c>
      <c r="AW67" s="120">
        <f t="shared" si="78"/>
        <v>0</v>
      </c>
      <c r="AX67" s="120">
        <f t="shared" si="78"/>
        <v>0</v>
      </c>
      <c r="AY67" s="120">
        <f t="shared" si="78"/>
        <v>0</v>
      </c>
      <c r="AZ67" s="120">
        <f t="shared" si="78"/>
        <v>0</v>
      </c>
      <c r="BA67" s="120">
        <f t="shared" si="79"/>
        <v>0</v>
      </c>
      <c r="BB67" s="120">
        <f t="shared" si="79"/>
        <v>0</v>
      </c>
      <c r="BC67" s="120">
        <f t="shared" si="79"/>
        <v>0</v>
      </c>
      <c r="BD67" s="120">
        <f t="shared" si="79"/>
        <v>0</v>
      </c>
      <c r="BE67" s="120">
        <f t="shared" si="79"/>
        <v>0</v>
      </c>
      <c r="BF67" s="120">
        <f t="shared" si="79"/>
        <v>0</v>
      </c>
      <c r="BG67" s="120">
        <f t="shared" si="79"/>
        <v>0</v>
      </c>
      <c r="BH67" s="120">
        <f t="shared" si="79"/>
        <v>0</v>
      </c>
      <c r="BI67" s="120">
        <f t="shared" si="79"/>
        <v>0</v>
      </c>
      <c r="BJ67" s="120">
        <f t="shared" si="79"/>
        <v>0</v>
      </c>
      <c r="BK67" s="120">
        <f t="shared" si="79"/>
        <v>0</v>
      </c>
      <c r="BL67" s="120">
        <f t="shared" si="79"/>
        <v>0</v>
      </c>
      <c r="BM67" s="120">
        <f t="shared" si="79"/>
        <v>0</v>
      </c>
      <c r="BN67" s="120">
        <f t="shared" si="79"/>
        <v>0</v>
      </c>
    </row>
    <row r="68" spans="1:88" outlineLevel="1">
      <c r="A68" s="160"/>
      <c r="B68" s="160" t="s">
        <v>269</v>
      </c>
      <c r="C68" s="156" t="s">
        <v>1420</v>
      </c>
      <c r="D68" s="120">
        <f>'Butadiene Recycling HC'!C109</f>
        <v>0</v>
      </c>
      <c r="E68" s="120">
        <f>'Butadiene Recycling HC'!D109</f>
        <v>0</v>
      </c>
      <c r="F68" s="120">
        <f>'Butadiene Recycling HC'!E109</f>
        <v>0</v>
      </c>
      <c r="G68" s="120">
        <f>'Butadiene Recycling HC'!F109</f>
        <v>0</v>
      </c>
      <c r="H68" s="120">
        <f>'Butadiene Recycling HC'!G109</f>
        <v>0</v>
      </c>
      <c r="I68" s="120">
        <f>'Butadiene Recycling HC'!H109</f>
        <v>0</v>
      </c>
      <c r="J68" s="120">
        <f>'Butadiene Recycling HC'!I109</f>
        <v>0</v>
      </c>
      <c r="K68" s="120">
        <f>'Butadiene Recycling HC'!J109</f>
        <v>0</v>
      </c>
      <c r="L68" s="120">
        <f>'Butadiene Recycling HC'!K109</f>
        <v>0</v>
      </c>
      <c r="M68" s="120">
        <f>'Butadiene Recycling HC'!L109</f>
        <v>0</v>
      </c>
      <c r="N68" s="120">
        <f>'Butadiene Recycling HC'!M109</f>
        <v>0</v>
      </c>
      <c r="O68" s="120">
        <f>'Butadiene Recycling HC'!N109</f>
        <v>0</v>
      </c>
      <c r="P68" s="120">
        <f>'Butadiene Recycling HC'!O109</f>
        <v>0</v>
      </c>
      <c r="Q68" s="120">
        <f>'Butadiene Recycling HC'!P109</f>
        <v>0</v>
      </c>
      <c r="R68" s="120">
        <f>'Butadiene Recycling HC'!Q109</f>
        <v>0</v>
      </c>
      <c r="S68" s="120">
        <f>'Butadiene Recycling HC'!R109</f>
        <v>0</v>
      </c>
      <c r="T68" s="120">
        <f>'Butadiene Recycling HC'!S109</f>
        <v>0</v>
      </c>
      <c r="U68" s="120">
        <f>'Butadiene Recycling HC'!T109</f>
        <v>0</v>
      </c>
      <c r="V68" s="120">
        <f>'Butadiene Recycling HC'!U109</f>
        <v>0</v>
      </c>
      <c r="W68" s="120">
        <f>'Butadiene Recycling HC'!V109</f>
        <v>0</v>
      </c>
      <c r="X68" s="120">
        <f>'Butadiene Recycling HC'!W109</f>
        <v>0</v>
      </c>
      <c r="Y68" s="120">
        <f>'Butadiene Recycling HC'!X109</f>
        <v>0</v>
      </c>
      <c r="Z68" s="120">
        <f>'Butadiene Recycling HC'!Y109</f>
        <v>0</v>
      </c>
      <c r="AA68" s="120">
        <f>'Butadiene Recycling HC'!Z109</f>
        <v>0</v>
      </c>
      <c r="AB68" s="120">
        <f>'Butadiene Recycling HC'!AA109</f>
        <v>0</v>
      </c>
      <c r="AC68" s="120">
        <f>'Butadiene Recycling HC'!AB109</f>
        <v>0</v>
      </c>
      <c r="AD68" s="120">
        <f>'Butadiene Recycling HC'!AC109</f>
        <v>0</v>
      </c>
      <c r="AE68" s="120">
        <f>'Butadiene Recycling HC'!AD109</f>
        <v>0</v>
      </c>
      <c r="AF68" s="120">
        <f>'Butadiene Recycling HC'!AE109</f>
        <v>0</v>
      </c>
      <c r="AG68" s="120">
        <f>'Butadiene Recycling HC'!AF109</f>
        <v>0</v>
      </c>
      <c r="AH68" s="120">
        <f>'Butadiene Recycling HC'!AG109</f>
        <v>0</v>
      </c>
      <c r="AI68" s="178"/>
      <c r="AJ68" s="120">
        <f t="shared" si="80"/>
        <v>0</v>
      </c>
      <c r="AK68" s="120">
        <f t="shared" si="78"/>
        <v>0</v>
      </c>
      <c r="AL68" s="120">
        <f t="shared" si="78"/>
        <v>0</v>
      </c>
      <c r="AM68" s="120">
        <f t="shared" si="78"/>
        <v>0</v>
      </c>
      <c r="AN68" s="120">
        <f t="shared" si="78"/>
        <v>0</v>
      </c>
      <c r="AO68" s="120">
        <f t="shared" si="78"/>
        <v>0</v>
      </c>
      <c r="AP68" s="120">
        <f t="shared" si="78"/>
        <v>0</v>
      </c>
      <c r="AQ68" s="120">
        <f t="shared" si="78"/>
        <v>0</v>
      </c>
      <c r="AR68" s="120">
        <f t="shared" si="78"/>
        <v>0</v>
      </c>
      <c r="AS68" s="120">
        <f t="shared" si="78"/>
        <v>0</v>
      </c>
      <c r="AT68" s="120">
        <f t="shared" si="78"/>
        <v>0</v>
      </c>
      <c r="AU68" s="120">
        <f t="shared" si="78"/>
        <v>0</v>
      </c>
      <c r="AV68" s="120">
        <f t="shared" si="78"/>
        <v>0</v>
      </c>
      <c r="AW68" s="120">
        <f t="shared" si="78"/>
        <v>0</v>
      </c>
      <c r="AX68" s="120">
        <f t="shared" si="78"/>
        <v>0</v>
      </c>
      <c r="AY68" s="120">
        <f t="shared" si="78"/>
        <v>0</v>
      </c>
      <c r="AZ68" s="120">
        <f t="shared" si="78"/>
        <v>0</v>
      </c>
      <c r="BA68" s="120">
        <f t="shared" si="79"/>
        <v>0</v>
      </c>
      <c r="BB68" s="120">
        <f t="shared" si="79"/>
        <v>0</v>
      </c>
      <c r="BC68" s="120">
        <f t="shared" si="79"/>
        <v>0</v>
      </c>
      <c r="BD68" s="120">
        <f t="shared" si="79"/>
        <v>0</v>
      </c>
      <c r="BE68" s="120">
        <f t="shared" si="79"/>
        <v>0</v>
      </c>
      <c r="BF68" s="120">
        <f t="shared" si="79"/>
        <v>0</v>
      </c>
      <c r="BG68" s="120">
        <f t="shared" si="79"/>
        <v>0</v>
      </c>
      <c r="BH68" s="120">
        <f t="shared" si="79"/>
        <v>0</v>
      </c>
      <c r="BI68" s="120">
        <f t="shared" si="79"/>
        <v>0</v>
      </c>
      <c r="BJ68" s="120">
        <f t="shared" si="79"/>
        <v>0</v>
      </c>
      <c r="BK68" s="120">
        <f t="shared" si="79"/>
        <v>0</v>
      </c>
      <c r="BL68" s="120">
        <f t="shared" si="79"/>
        <v>0</v>
      </c>
      <c r="BM68" s="120">
        <f t="shared" si="79"/>
        <v>0</v>
      </c>
      <c r="BN68" s="120">
        <f t="shared" si="79"/>
        <v>0</v>
      </c>
    </row>
    <row r="69" spans="1:88" outlineLevel="1">
      <c r="A69" s="160"/>
      <c r="B69" s="160" t="s">
        <v>270</v>
      </c>
      <c r="C69" s="156" t="s">
        <v>1420</v>
      </c>
      <c r="D69" s="120">
        <f>'Butadiene Recycling HC'!C139</f>
        <v>0</v>
      </c>
      <c r="E69" s="120">
        <f>'Butadiene Recycling HC'!D139</f>
        <v>0</v>
      </c>
      <c r="F69" s="120">
        <f>'Butadiene Recycling HC'!E139</f>
        <v>0</v>
      </c>
      <c r="G69" s="120">
        <f>'Butadiene Recycling HC'!F139</f>
        <v>0</v>
      </c>
      <c r="H69" s="120">
        <f>'Butadiene Recycling HC'!G139</f>
        <v>0</v>
      </c>
      <c r="I69" s="120">
        <f>'Butadiene Recycling HC'!H139</f>
        <v>0</v>
      </c>
      <c r="J69" s="120">
        <f>'Butadiene Recycling HC'!I139</f>
        <v>0</v>
      </c>
      <c r="K69" s="120">
        <f>'Butadiene Recycling HC'!J139</f>
        <v>0</v>
      </c>
      <c r="L69" s="120">
        <f>'Butadiene Recycling HC'!K139</f>
        <v>0</v>
      </c>
      <c r="M69" s="120">
        <f>'Butadiene Recycling HC'!L139</f>
        <v>0</v>
      </c>
      <c r="N69" s="120">
        <f>'Butadiene Recycling HC'!M139</f>
        <v>0</v>
      </c>
      <c r="O69" s="120">
        <f>'Butadiene Recycling HC'!N139</f>
        <v>0</v>
      </c>
      <c r="P69" s="120">
        <f>'Butadiene Recycling HC'!O139</f>
        <v>0</v>
      </c>
      <c r="Q69" s="120">
        <f>'Butadiene Recycling HC'!P139</f>
        <v>0</v>
      </c>
      <c r="R69" s="120">
        <f>'Butadiene Recycling HC'!Q139</f>
        <v>0</v>
      </c>
      <c r="S69" s="120">
        <f>'Butadiene Recycling HC'!R139</f>
        <v>0</v>
      </c>
      <c r="T69" s="120">
        <f>'Butadiene Recycling HC'!S139</f>
        <v>0</v>
      </c>
      <c r="U69" s="120">
        <f>'Butadiene Recycling HC'!T139</f>
        <v>0</v>
      </c>
      <c r="V69" s="120">
        <f>'Butadiene Recycling HC'!U139</f>
        <v>0</v>
      </c>
      <c r="W69" s="120">
        <f>'Butadiene Recycling HC'!V139</f>
        <v>0</v>
      </c>
      <c r="X69" s="120">
        <f>'Butadiene Recycling HC'!W139</f>
        <v>0</v>
      </c>
      <c r="Y69" s="120">
        <f>'Butadiene Recycling HC'!X139</f>
        <v>0</v>
      </c>
      <c r="Z69" s="120">
        <f>'Butadiene Recycling HC'!Y139</f>
        <v>0</v>
      </c>
      <c r="AA69" s="120">
        <f>'Butadiene Recycling HC'!Z139</f>
        <v>0</v>
      </c>
      <c r="AB69" s="120">
        <f>'Butadiene Recycling HC'!AA139</f>
        <v>0</v>
      </c>
      <c r="AC69" s="120">
        <f>'Butadiene Recycling HC'!AB139</f>
        <v>0</v>
      </c>
      <c r="AD69" s="120">
        <f>'Butadiene Recycling HC'!AC139</f>
        <v>0</v>
      </c>
      <c r="AE69" s="120">
        <f>'Butadiene Recycling HC'!AD139</f>
        <v>0</v>
      </c>
      <c r="AF69" s="120">
        <f>'Butadiene Recycling HC'!AE139</f>
        <v>0</v>
      </c>
      <c r="AG69" s="120">
        <f>'Butadiene Recycling HC'!AF139</f>
        <v>0</v>
      </c>
      <c r="AH69" s="120">
        <f>'Butadiene Recycling HC'!AG139</f>
        <v>0</v>
      </c>
      <c r="AI69" s="178"/>
      <c r="AJ69" s="120">
        <f t="shared" si="80"/>
        <v>0</v>
      </c>
      <c r="AK69" s="120">
        <f t="shared" si="78"/>
        <v>0</v>
      </c>
      <c r="AL69" s="120">
        <f t="shared" si="78"/>
        <v>0</v>
      </c>
      <c r="AM69" s="120">
        <f t="shared" si="78"/>
        <v>0</v>
      </c>
      <c r="AN69" s="120">
        <f t="shared" si="78"/>
        <v>0</v>
      </c>
      <c r="AO69" s="120">
        <f t="shared" si="78"/>
        <v>0</v>
      </c>
      <c r="AP69" s="120">
        <f t="shared" si="78"/>
        <v>0</v>
      </c>
      <c r="AQ69" s="120">
        <f t="shared" si="78"/>
        <v>0</v>
      </c>
      <c r="AR69" s="120">
        <f t="shared" si="78"/>
        <v>0</v>
      </c>
      <c r="AS69" s="120">
        <f t="shared" si="78"/>
        <v>0</v>
      </c>
      <c r="AT69" s="120">
        <f t="shared" si="78"/>
        <v>0</v>
      </c>
      <c r="AU69" s="120">
        <f t="shared" si="78"/>
        <v>0</v>
      </c>
      <c r="AV69" s="120">
        <f t="shared" si="78"/>
        <v>0</v>
      </c>
      <c r="AW69" s="120">
        <f t="shared" si="78"/>
        <v>0</v>
      </c>
      <c r="AX69" s="120">
        <f t="shared" si="78"/>
        <v>0</v>
      </c>
      <c r="AY69" s="120">
        <f t="shared" si="78"/>
        <v>0</v>
      </c>
      <c r="AZ69" s="120">
        <f t="shared" si="78"/>
        <v>0</v>
      </c>
      <c r="BA69" s="120">
        <f t="shared" si="79"/>
        <v>0</v>
      </c>
      <c r="BB69" s="120">
        <f t="shared" si="79"/>
        <v>0</v>
      </c>
      <c r="BC69" s="120">
        <f t="shared" si="79"/>
        <v>0</v>
      </c>
      <c r="BD69" s="120">
        <f t="shared" si="79"/>
        <v>0</v>
      </c>
      <c r="BE69" s="120">
        <f t="shared" si="79"/>
        <v>0</v>
      </c>
      <c r="BF69" s="120">
        <f t="shared" si="79"/>
        <v>0</v>
      </c>
      <c r="BG69" s="120">
        <f t="shared" si="79"/>
        <v>0</v>
      </c>
      <c r="BH69" s="120">
        <f t="shared" si="79"/>
        <v>0</v>
      </c>
      <c r="BI69" s="120">
        <f t="shared" si="79"/>
        <v>0</v>
      </c>
      <c r="BJ69" s="120">
        <f t="shared" si="79"/>
        <v>0</v>
      </c>
      <c r="BK69" s="120">
        <f t="shared" si="79"/>
        <v>0</v>
      </c>
      <c r="BL69" s="120">
        <f t="shared" si="79"/>
        <v>0</v>
      </c>
      <c r="BM69" s="120">
        <f t="shared" si="79"/>
        <v>0</v>
      </c>
      <c r="BN69" s="120">
        <f t="shared" si="79"/>
        <v>0</v>
      </c>
    </row>
    <row r="70" spans="1:88" outlineLevel="1">
      <c r="A70" s="158"/>
      <c r="B70" s="211" t="s">
        <v>267</v>
      </c>
      <c r="C70" s="159" t="s">
        <v>1420</v>
      </c>
      <c r="D70" s="554">
        <f>D65-D66-D67-D68-D69</f>
        <v>280873.4199254759</v>
      </c>
      <c r="E70" s="554">
        <f t="shared" ref="E70:AH70" si="81">E65-E66-E67-E68-E69</f>
        <v>278653.17734932312</v>
      </c>
      <c r="F70" s="554">
        <f t="shared" si="81"/>
        <v>276432.36082703056</v>
      </c>
      <c r="G70" s="554">
        <f t="shared" si="81"/>
        <v>274211.15762368077</v>
      </c>
      <c r="H70" s="554">
        <f t="shared" si="81"/>
        <v>271989.75215821748</v>
      </c>
      <c r="I70" s="554">
        <f t="shared" si="81"/>
        <v>269768.32603485504</v>
      </c>
      <c r="J70" s="554">
        <f t="shared" si="81"/>
        <v>267121.73153593036</v>
      </c>
      <c r="K70" s="554">
        <f t="shared" si="81"/>
        <v>264485.84539793443</v>
      </c>
      <c r="L70" s="554">
        <f t="shared" si="81"/>
        <v>261860.71077522539</v>
      </c>
      <c r="M70" s="554">
        <f t="shared" si="81"/>
        <v>259246.36939593917</v>
      </c>
      <c r="N70" s="554">
        <f t="shared" si="81"/>
        <v>256642.86158117829</v>
      </c>
      <c r="O70" s="554">
        <f t="shared" si="81"/>
        <v>253288.670091643</v>
      </c>
      <c r="P70" s="554">
        <f t="shared" si="81"/>
        <v>249965.51404277587</v>
      </c>
      <c r="Q70" s="554">
        <f t="shared" si="81"/>
        <v>246673.1448611774</v>
      </c>
      <c r="R70" s="554">
        <f t="shared" si="81"/>
        <v>243411.3157939607</v>
      </c>
      <c r="S70" s="554">
        <f t="shared" si="81"/>
        <v>240179.78189633705</v>
      </c>
      <c r="T70" s="554">
        <f t="shared" si="81"/>
        <v>236335.84861604081</v>
      </c>
      <c r="U70" s="554">
        <f t="shared" si="81"/>
        <v>232540.28231889519</v>
      </c>
      <c r="V70" s="554">
        <f t="shared" si="81"/>
        <v>228792.54475716193</v>
      </c>
      <c r="W70" s="554">
        <f t="shared" si="81"/>
        <v>225092.10323535418</v>
      </c>
      <c r="X70" s="554">
        <f t="shared" si="81"/>
        <v>221438.43055585743</v>
      </c>
      <c r="Y70" s="554">
        <f t="shared" si="81"/>
        <v>217348.83180980076</v>
      </c>
      <c r="Z70" s="554">
        <f t="shared" si="81"/>
        <v>213319.44211555013</v>
      </c>
      <c r="AA70" s="554">
        <f t="shared" si="81"/>
        <v>209349.49747644694</v>
      </c>
      <c r="AB70" s="554">
        <f t="shared" si="81"/>
        <v>205438.24270636335</v>
      </c>
      <c r="AC70" s="554">
        <f t="shared" si="81"/>
        <v>201584.931334486</v>
      </c>
      <c r="AD70" s="554">
        <f t="shared" si="81"/>
        <v>197578.4366263118</v>
      </c>
      <c r="AE70" s="554">
        <f t="shared" si="81"/>
        <v>193635.39363781427</v>
      </c>
      <c r="AF70" s="554">
        <f t="shared" si="81"/>
        <v>189754.94995685233</v>
      </c>
      <c r="AG70" s="554">
        <f t="shared" si="81"/>
        <v>185936.26348060367</v>
      </c>
      <c r="AH70" s="554">
        <f t="shared" si="81"/>
        <v>182178.50229932499</v>
      </c>
      <c r="AI70" s="178"/>
      <c r="AJ70" s="554">
        <f>AJ65-AJ66-AJ67-AJ68-AJ69</f>
        <v>280873.4199254759</v>
      </c>
      <c r="AK70" s="554">
        <f t="shared" ref="AK70:BN70" si="82">AK65-AK66-AK67-AK68-AK69</f>
        <v>279578.84222274047</v>
      </c>
      <c r="AL70" s="554">
        <f t="shared" si="82"/>
        <v>278281.21934087161</v>
      </c>
      <c r="AM70" s="554">
        <f t="shared" si="82"/>
        <v>276980.68472067575</v>
      </c>
      <c r="AN70" s="554">
        <f t="shared" si="82"/>
        <v>275677.36999766738</v>
      </c>
      <c r="AO70" s="554">
        <f t="shared" si="82"/>
        <v>274371.40502097196</v>
      </c>
      <c r="AP70" s="554">
        <f t="shared" si="82"/>
        <v>272628.82262757077</v>
      </c>
      <c r="AQ70" s="554">
        <f t="shared" si="82"/>
        <v>270891.40529381641</v>
      </c>
      <c r="AR70" s="554">
        <f t="shared" si="82"/>
        <v>269159.19342352136</v>
      </c>
      <c r="AS70" s="554">
        <f t="shared" si="82"/>
        <v>267432.22647765232</v>
      </c>
      <c r="AT70" s="554">
        <f t="shared" si="82"/>
        <v>265710.54298608075</v>
      </c>
      <c r="AU70" s="554">
        <f t="shared" si="82"/>
        <v>263202.81579395762</v>
      </c>
      <c r="AV70" s="554">
        <f t="shared" si="82"/>
        <v>260715.55135391178</v>
      </c>
      <c r="AW70" s="554">
        <f t="shared" si="82"/>
        <v>258248.59652880431</v>
      </c>
      <c r="AX70" s="554">
        <f t="shared" si="82"/>
        <v>255801.79925548669</v>
      </c>
      <c r="AY70" s="554">
        <f t="shared" si="82"/>
        <v>253375.00853770075</v>
      </c>
      <c r="AZ70" s="554">
        <f t="shared" si="82"/>
        <v>250287.69656654052</v>
      </c>
      <c r="BA70" s="554">
        <f t="shared" si="82"/>
        <v>247234.48128047437</v>
      </c>
      <c r="BB70" s="554">
        <f t="shared" si="82"/>
        <v>244215.01089263108</v>
      </c>
      <c r="BC70" s="554">
        <f t="shared" si="82"/>
        <v>241228.93707122968</v>
      </c>
      <c r="BD70" s="554">
        <f t="shared" si="82"/>
        <v>238275.91490687881</v>
      </c>
      <c r="BE70" s="554">
        <f t="shared" si="82"/>
        <v>234863.93739224406</v>
      </c>
      <c r="BF70" s="554">
        <f t="shared" si="82"/>
        <v>231495.53690254921</v>
      </c>
      <c r="BG70" s="554">
        <f t="shared" si="82"/>
        <v>228170.20501267308</v>
      </c>
      <c r="BH70" s="554">
        <f t="shared" si="82"/>
        <v>224887.43885220838</v>
      </c>
      <c r="BI70" s="554">
        <f t="shared" si="82"/>
        <v>221646.74104763029</v>
      </c>
      <c r="BJ70" s="554">
        <f t="shared" si="82"/>
        <v>218215.25592577184</v>
      </c>
      <c r="BK70" s="554">
        <f t="shared" si="82"/>
        <v>214830.49157622934</v>
      </c>
      <c r="BL70" s="554">
        <f t="shared" si="82"/>
        <v>211491.8739194613</v>
      </c>
      <c r="BM70" s="554">
        <f t="shared" si="82"/>
        <v>208198.83543428031</v>
      </c>
      <c r="BN70" s="554">
        <f t="shared" si="82"/>
        <v>204950.81508674062</v>
      </c>
    </row>
    <row r="71" spans="1:88" outlineLevel="1">
      <c r="A71" s="54" t="s">
        <v>78</v>
      </c>
      <c r="B71" s="54" t="s">
        <v>264</v>
      </c>
      <c r="C71" s="93" t="s">
        <v>1420</v>
      </c>
      <c r="D71" s="572">
        <f t="shared" ref="D71:AH71" si="83">D50+D61+D62+D67+D68+D57+D63+D69</f>
        <v>0</v>
      </c>
      <c r="E71" s="572">
        <f t="shared" si="83"/>
        <v>957.21136338194265</v>
      </c>
      <c r="F71" s="572">
        <f t="shared" si="83"/>
        <v>1886.2664727051633</v>
      </c>
      <c r="G71" s="572">
        <f t="shared" si="83"/>
        <v>2787.3376054332184</v>
      </c>
      <c r="H71" s="572">
        <f t="shared" si="83"/>
        <v>3660.5962994343681</v>
      </c>
      <c r="I71" s="572">
        <f t="shared" si="83"/>
        <v>4506.2133556639565</v>
      </c>
      <c r="J71" s="572">
        <f t="shared" si="83"/>
        <v>5324.3588408378964</v>
      </c>
      <c r="K71" s="572">
        <f t="shared" si="83"/>
        <v>6115.2020900974385</v>
      </c>
      <c r="L71" s="572">
        <f t="shared" si="83"/>
        <v>6878.9117096651353</v>
      </c>
      <c r="M71" s="572">
        <f t="shared" si="83"/>
        <v>7615.6555794921442</v>
      </c>
      <c r="N71" s="572">
        <f t="shared" si="83"/>
        <v>8325.6008558967842</v>
      </c>
      <c r="O71" s="572">
        <f t="shared" si="83"/>
        <v>9008.91397419442</v>
      </c>
      <c r="P71" s="572">
        <f t="shared" si="83"/>
        <v>9665.7606513187638</v>
      </c>
      <c r="Q71" s="572">
        <f t="shared" si="83"/>
        <v>10140.787983607905</v>
      </c>
      <c r="R71" s="572">
        <f t="shared" si="83"/>
        <v>10583.150556568951</v>
      </c>
      <c r="S71" s="572">
        <f t="shared" si="83"/>
        <v>10993.432719540284</v>
      </c>
      <c r="T71" s="572">
        <f t="shared" si="83"/>
        <v>11372.214595897662</v>
      </c>
      <c r="U71" s="572">
        <f t="shared" si="83"/>
        <v>11720.072104678547</v>
      </c>
      <c r="V71" s="572">
        <f t="shared" si="83"/>
        <v>12037.576982114781</v>
      </c>
      <c r="W71" s="572">
        <f t="shared" si="83"/>
        <v>12325.296803073714</v>
      </c>
      <c r="X71" s="572">
        <f t="shared" si="83"/>
        <v>12583.795002408322</v>
      </c>
      <c r="Y71" s="572">
        <f t="shared" si="83"/>
        <v>12813.630896216691</v>
      </c>
      <c r="Z71" s="572">
        <f t="shared" si="83"/>
        <v>13015.359703010978</v>
      </c>
      <c r="AA71" s="572">
        <f t="shared" si="83"/>
        <v>12825.634353274174</v>
      </c>
      <c r="AB71" s="572">
        <f t="shared" si="83"/>
        <v>12601.298730179886</v>
      </c>
      <c r="AC71" s="572">
        <f t="shared" si="83"/>
        <v>12343.68567825808</v>
      </c>
      <c r="AD71" s="572">
        <f t="shared" si="83"/>
        <v>12054.117292054008</v>
      </c>
      <c r="AE71" s="572">
        <f t="shared" si="83"/>
        <v>11733.904973575009</v>
      </c>
      <c r="AF71" s="572">
        <f t="shared" si="83"/>
        <v>11384.349489487704</v>
      </c>
      <c r="AG71" s="572">
        <f t="shared" si="83"/>
        <v>11006.741028066663</v>
      </c>
      <c r="AH71" s="572">
        <f t="shared" si="83"/>
        <v>10602.359255895506</v>
      </c>
      <c r="AI71" s="178"/>
      <c r="AJ71" s="572">
        <f t="shared" ref="AJ71:BN71" si="84">AJ50+AJ61+AJ62+AJ67+AJ68+AJ57+AJ63+AJ69</f>
        <v>0</v>
      </c>
      <c r="AK71" s="572">
        <f t="shared" si="84"/>
        <v>957.21136338194265</v>
      </c>
      <c r="AL71" s="572">
        <f t="shared" si="84"/>
        <v>1886.2664727051633</v>
      </c>
      <c r="AM71" s="572">
        <f t="shared" si="84"/>
        <v>2787.3376054332184</v>
      </c>
      <c r="AN71" s="572">
        <f t="shared" si="84"/>
        <v>3660.5962994343681</v>
      </c>
      <c r="AO71" s="572">
        <f t="shared" si="84"/>
        <v>4506.2133556639565</v>
      </c>
      <c r="AP71" s="572">
        <f t="shared" si="84"/>
        <v>5324.3588408378964</v>
      </c>
      <c r="AQ71" s="572">
        <f t="shared" si="84"/>
        <v>6115.2020900974385</v>
      </c>
      <c r="AR71" s="572">
        <f t="shared" si="84"/>
        <v>6878.9117096651353</v>
      </c>
      <c r="AS71" s="572">
        <f t="shared" si="84"/>
        <v>7615.6555794921442</v>
      </c>
      <c r="AT71" s="572">
        <f t="shared" si="84"/>
        <v>8325.6008558967842</v>
      </c>
      <c r="AU71" s="572">
        <f t="shared" si="84"/>
        <v>9008.91397419442</v>
      </c>
      <c r="AV71" s="572">
        <f t="shared" si="84"/>
        <v>9665.7606513187638</v>
      </c>
      <c r="AW71" s="572">
        <f t="shared" si="84"/>
        <v>10140.787983607905</v>
      </c>
      <c r="AX71" s="572">
        <f t="shared" si="84"/>
        <v>10583.150556568951</v>
      </c>
      <c r="AY71" s="572">
        <f t="shared" si="84"/>
        <v>10993.432719540284</v>
      </c>
      <c r="AZ71" s="572">
        <f t="shared" si="84"/>
        <v>11372.214595897662</v>
      </c>
      <c r="BA71" s="572">
        <f t="shared" si="84"/>
        <v>11720.072104678547</v>
      </c>
      <c r="BB71" s="572">
        <f t="shared" si="84"/>
        <v>12037.576982114781</v>
      </c>
      <c r="BC71" s="572">
        <f t="shared" si="84"/>
        <v>12325.296803073714</v>
      </c>
      <c r="BD71" s="572">
        <f t="shared" si="84"/>
        <v>12583.795002408322</v>
      </c>
      <c r="BE71" s="572">
        <f t="shared" si="84"/>
        <v>12813.630896216691</v>
      </c>
      <c r="BF71" s="572">
        <f t="shared" si="84"/>
        <v>13015.359703010978</v>
      </c>
      <c r="BG71" s="572">
        <f t="shared" si="84"/>
        <v>12825.634353274174</v>
      </c>
      <c r="BH71" s="572">
        <f t="shared" si="84"/>
        <v>12601.298730179886</v>
      </c>
      <c r="BI71" s="572">
        <f t="shared" si="84"/>
        <v>12343.68567825808</v>
      </c>
      <c r="BJ71" s="572">
        <f t="shared" si="84"/>
        <v>12054.117292054008</v>
      </c>
      <c r="BK71" s="572">
        <f t="shared" si="84"/>
        <v>11733.904973575009</v>
      </c>
      <c r="BL71" s="572">
        <f t="shared" si="84"/>
        <v>11384.349489487704</v>
      </c>
      <c r="BM71" s="572">
        <f t="shared" si="84"/>
        <v>11006.741028066663</v>
      </c>
      <c r="BN71" s="572">
        <f t="shared" si="84"/>
        <v>10602.359255895506</v>
      </c>
    </row>
    <row r="72" spans="1:88" outlineLevel="1">
      <c r="A72" s="62"/>
      <c r="B72" s="58" t="s">
        <v>265</v>
      </c>
      <c r="C72" s="59" t="s">
        <v>1420</v>
      </c>
      <c r="D72" s="577">
        <f t="shared" ref="D72:AH72" si="85">D49+D53+D60+D66+IF(D58=0,0,D56)</f>
        <v>0</v>
      </c>
      <c r="E72" s="577">
        <f t="shared" si="85"/>
        <v>361.01371835648331</v>
      </c>
      <c r="F72" s="577">
        <f t="shared" si="85"/>
        <v>746.92222813318983</v>
      </c>
      <c r="G72" s="577">
        <f t="shared" si="85"/>
        <v>1157.5553799084034</v>
      </c>
      <c r="H72" s="577">
        <f t="shared" si="85"/>
        <v>1592.7437832633984</v>
      </c>
      <c r="I72" s="577">
        <f t="shared" si="85"/>
        <v>2052.318803975556</v>
      </c>
      <c r="J72" s="577">
        <f t="shared" si="85"/>
        <v>2536.1125612208052</v>
      </c>
      <c r="K72" s="577">
        <f t="shared" si="85"/>
        <v>3043.9579247853567</v>
      </c>
      <c r="L72" s="577">
        <f t="shared" si="85"/>
        <v>3575.6885122866988</v>
      </c>
      <c r="M72" s="577">
        <f t="shared" si="85"/>
        <v>4131.1386864038377</v>
      </c>
      <c r="N72" s="577">
        <f t="shared" si="85"/>
        <v>4710.1435521167423</v>
      </c>
      <c r="O72" s="577">
        <f t="shared" si="85"/>
        <v>5312.5389539549597</v>
      </c>
      <c r="P72" s="577">
        <f t="shared" si="85"/>
        <v>5938.1614732553999</v>
      </c>
      <c r="Q72" s="577">
        <f t="shared" si="85"/>
        <v>6561.028083631707</v>
      </c>
      <c r="R72" s="577">
        <f t="shared" si="85"/>
        <v>7200.997445899181</v>
      </c>
      <c r="S72" s="577">
        <f t="shared" si="85"/>
        <v>7857.5301588761977</v>
      </c>
      <c r="T72" s="577">
        <f t="shared" si="85"/>
        <v>8530.0910574199279</v>
      </c>
      <c r="U72" s="577">
        <f t="shared" si="85"/>
        <v>9218.1491900423043</v>
      </c>
      <c r="V72" s="577">
        <f t="shared" si="85"/>
        <v>9921.1777966226364</v>
      </c>
      <c r="W72" s="577">
        <f t="shared" si="85"/>
        <v>10638.654286216413</v>
      </c>
      <c r="X72" s="577">
        <f t="shared" si="85"/>
        <v>11370.060214960004</v>
      </c>
      <c r="Y72" s="577">
        <f t="shared" si="85"/>
        <v>12114.881264070837</v>
      </c>
      <c r="Z72" s="577">
        <f t="shared" si="85"/>
        <v>12872.607217942723</v>
      </c>
      <c r="AA72" s="577">
        <f t="shared" si="85"/>
        <v>13521.957644139544</v>
      </c>
      <c r="AB72" s="577">
        <f t="shared" si="85"/>
        <v>14166.719033580852</v>
      </c>
      <c r="AC72" s="577">
        <f t="shared" si="85"/>
        <v>14805.688595540545</v>
      </c>
      <c r="AD72" s="577">
        <f t="shared" si="85"/>
        <v>15437.674266229937</v>
      </c>
      <c r="AE72" s="577">
        <f t="shared" si="85"/>
        <v>16061.494649427737</v>
      </c>
      <c r="AF72" s="577">
        <f t="shared" si="85"/>
        <v>16675.978957372525</v>
      </c>
      <c r="AG72" s="577">
        <f t="shared" si="85"/>
        <v>17279.966951916609</v>
      </c>
      <c r="AH72" s="577">
        <f t="shared" si="85"/>
        <v>17872.308885940351</v>
      </c>
      <c r="AI72" s="178"/>
      <c r="AJ72" s="577">
        <f t="shared" ref="AJ72:BN72" si="86">AJ49+AJ53+AJ60+AJ66+IF(AJ58=0,0,AJ56)</f>
        <v>0</v>
      </c>
      <c r="AK72" s="577">
        <f t="shared" si="86"/>
        <v>361.01371835648331</v>
      </c>
      <c r="AL72" s="577">
        <f t="shared" si="86"/>
        <v>746.92222813318983</v>
      </c>
      <c r="AM72" s="577">
        <f t="shared" si="86"/>
        <v>1157.5553799084034</v>
      </c>
      <c r="AN72" s="577">
        <f t="shared" si="86"/>
        <v>1592.7437832633984</v>
      </c>
      <c r="AO72" s="577">
        <f t="shared" si="86"/>
        <v>2052.318803975556</v>
      </c>
      <c r="AP72" s="577">
        <f t="shared" si="86"/>
        <v>2536.1125612208052</v>
      </c>
      <c r="AQ72" s="577">
        <f t="shared" si="86"/>
        <v>3043.9579247853567</v>
      </c>
      <c r="AR72" s="577">
        <f t="shared" si="86"/>
        <v>3575.6885122866988</v>
      </c>
      <c r="AS72" s="577">
        <f t="shared" si="86"/>
        <v>4131.1386864038377</v>
      </c>
      <c r="AT72" s="577">
        <f t="shared" si="86"/>
        <v>4710.1435521167423</v>
      </c>
      <c r="AU72" s="577">
        <f t="shared" si="86"/>
        <v>5312.5389539549597</v>
      </c>
      <c r="AV72" s="577">
        <f t="shared" si="86"/>
        <v>5938.1614732553999</v>
      </c>
      <c r="AW72" s="577">
        <f t="shared" si="86"/>
        <v>6561.028083631707</v>
      </c>
      <c r="AX72" s="577">
        <f t="shared" si="86"/>
        <v>7200.997445899181</v>
      </c>
      <c r="AY72" s="577">
        <f t="shared" si="86"/>
        <v>7857.5301588761977</v>
      </c>
      <c r="AZ72" s="577">
        <f t="shared" si="86"/>
        <v>8530.0910574199279</v>
      </c>
      <c r="BA72" s="577">
        <f t="shared" si="86"/>
        <v>9218.1491900423043</v>
      </c>
      <c r="BB72" s="577">
        <f t="shared" si="86"/>
        <v>9921.1777966226364</v>
      </c>
      <c r="BC72" s="577">
        <f t="shared" si="86"/>
        <v>10638.654286216413</v>
      </c>
      <c r="BD72" s="577">
        <f t="shared" si="86"/>
        <v>11370.060214960004</v>
      </c>
      <c r="BE72" s="577">
        <f t="shared" si="86"/>
        <v>12114.881264070837</v>
      </c>
      <c r="BF72" s="577">
        <f t="shared" si="86"/>
        <v>12872.607217942723</v>
      </c>
      <c r="BG72" s="577">
        <f t="shared" si="86"/>
        <v>13521.957644139544</v>
      </c>
      <c r="BH72" s="577">
        <f t="shared" si="86"/>
        <v>14166.719033580852</v>
      </c>
      <c r="BI72" s="577">
        <f t="shared" si="86"/>
        <v>14805.688595540545</v>
      </c>
      <c r="BJ72" s="577">
        <f t="shared" si="86"/>
        <v>15437.674266229937</v>
      </c>
      <c r="BK72" s="577">
        <f t="shared" si="86"/>
        <v>16061.494649427737</v>
      </c>
      <c r="BL72" s="577">
        <f t="shared" si="86"/>
        <v>16675.978957372525</v>
      </c>
      <c r="BM72" s="577">
        <f t="shared" si="86"/>
        <v>17279.966951916609</v>
      </c>
      <c r="BN72" s="577">
        <f t="shared" si="86"/>
        <v>17872.308885940351</v>
      </c>
    </row>
    <row r="73" spans="1:88">
      <c r="A73" s="95" t="s">
        <v>1394</v>
      </c>
      <c r="B73" s="95"/>
      <c r="C73" s="96" t="s">
        <v>1420</v>
      </c>
      <c r="D73" s="583">
        <f t="shared" ref="D73:AH73" si="87">D46-D71-D72</f>
        <v>846505.72103598283</v>
      </c>
      <c r="E73" s="583">
        <f t="shared" si="87"/>
        <v>834338.86377406551</v>
      </c>
      <c r="F73" s="583">
        <f t="shared" si="87"/>
        <v>822267.47668742307</v>
      </c>
      <c r="G73" s="583">
        <f t="shared" si="87"/>
        <v>810290.87082433014</v>
      </c>
      <c r="H73" s="583">
        <f t="shared" si="87"/>
        <v>798408.36204396479</v>
      </c>
      <c r="I73" s="583">
        <f t="shared" si="87"/>
        <v>786619.27098340413</v>
      </c>
      <c r="J73" s="583">
        <f t="shared" si="87"/>
        <v>774497.59648658673</v>
      </c>
      <c r="K73" s="583">
        <f t="shared" si="87"/>
        <v>762478.3693169771</v>
      </c>
      <c r="L73" s="583">
        <f t="shared" si="87"/>
        <v>750560.79405843036</v>
      </c>
      <c r="M73" s="583">
        <f t="shared" si="87"/>
        <v>738744.08120876714</v>
      </c>
      <c r="N73" s="583">
        <f t="shared" si="87"/>
        <v>727027.44713713694</v>
      </c>
      <c r="O73" s="583">
        <f t="shared" si="87"/>
        <v>710256.83376259042</v>
      </c>
      <c r="P73" s="583">
        <f t="shared" si="87"/>
        <v>693680.27799478872</v>
      </c>
      <c r="Q73" s="583">
        <f t="shared" si="87"/>
        <v>677451.1851768929</v>
      </c>
      <c r="R73" s="583">
        <f t="shared" si="87"/>
        <v>661410.88016908418</v>
      </c>
      <c r="S73" s="583">
        <f t="shared" si="87"/>
        <v>645557.65941419965</v>
      </c>
      <c r="T73" s="583">
        <f t="shared" si="87"/>
        <v>629247.38251057826</v>
      </c>
      <c r="U73" s="583">
        <f t="shared" si="87"/>
        <v>613139.38262901839</v>
      </c>
      <c r="V73" s="583">
        <f t="shared" si="87"/>
        <v>597231.7008734172</v>
      </c>
      <c r="W73" s="583">
        <f t="shared" si="87"/>
        <v>581522.39633976808</v>
      </c>
      <c r="X73" s="583">
        <f t="shared" si="87"/>
        <v>566009.54595584713</v>
      </c>
      <c r="Y73" s="583">
        <f t="shared" si="87"/>
        <v>543934.72133287881</v>
      </c>
      <c r="Z73" s="583">
        <f t="shared" si="87"/>
        <v>522155.43955588446</v>
      </c>
      <c r="AA73" s="583">
        <f t="shared" si="87"/>
        <v>501152.35874005657</v>
      </c>
      <c r="AB73" s="583">
        <f t="shared" si="87"/>
        <v>480461.8854554891</v>
      </c>
      <c r="AC73" s="583">
        <f t="shared" si="87"/>
        <v>460080.95554441283</v>
      </c>
      <c r="AD73" s="583">
        <f t="shared" si="87"/>
        <v>439796.14467013255</v>
      </c>
      <c r="AE73" s="583">
        <f t="shared" si="87"/>
        <v>419821.81019975129</v>
      </c>
      <c r="AF73" s="583">
        <f t="shared" si="87"/>
        <v>400154.84177556739</v>
      </c>
      <c r="AG73" s="583">
        <f t="shared" si="87"/>
        <v>380792.15892391291</v>
      </c>
      <c r="AH73" s="583">
        <f t="shared" si="87"/>
        <v>361730.71077172481</v>
      </c>
      <c r="AI73" s="178"/>
      <c r="AJ73" s="583">
        <f t="shared" ref="AJ73:BN73" si="88">AJ46-AJ71-AJ72</f>
        <v>846505.72103598283</v>
      </c>
      <c r="AK73" s="583">
        <f t="shared" si="88"/>
        <v>837784.93264446245</v>
      </c>
      <c r="AL73" s="583">
        <f t="shared" si="88"/>
        <v>829122.01853326242</v>
      </c>
      <c r="AM73" s="583">
        <f t="shared" si="88"/>
        <v>820516.60305260762</v>
      </c>
      <c r="AN73" s="583">
        <f t="shared" si="88"/>
        <v>811968.31299359608</v>
      </c>
      <c r="AO73" s="583">
        <f t="shared" si="88"/>
        <v>803476.77757239551</v>
      </c>
      <c r="AP73" s="583">
        <f t="shared" si="88"/>
        <v>794607.53317006084</v>
      </c>
      <c r="AQ73" s="583">
        <f t="shared" si="88"/>
        <v>785801.86994989647</v>
      </c>
      <c r="AR73" s="583">
        <f t="shared" si="88"/>
        <v>777059.34011166589</v>
      </c>
      <c r="AS73" s="583">
        <f t="shared" si="88"/>
        <v>768379.49898767786</v>
      </c>
      <c r="AT73" s="583">
        <f t="shared" si="88"/>
        <v>759761.90502119809</v>
      </c>
      <c r="AU73" s="583">
        <f t="shared" si="88"/>
        <v>748211.61148469721</v>
      </c>
      <c r="AV73" s="583">
        <f t="shared" si="88"/>
        <v>736780.71120858518</v>
      </c>
      <c r="AW73" s="583">
        <f t="shared" si="88"/>
        <v>725627.03198933543</v>
      </c>
      <c r="AX73" s="583">
        <f t="shared" si="88"/>
        <v>714590.95876483328</v>
      </c>
      <c r="AY73" s="583">
        <f t="shared" si="88"/>
        <v>703671.52287837653</v>
      </c>
      <c r="AZ73" s="583">
        <f t="shared" si="88"/>
        <v>692187.3856432481</v>
      </c>
      <c r="BA73" s="583">
        <f t="shared" si="88"/>
        <v>680832.36084635241</v>
      </c>
      <c r="BB73" s="583">
        <f t="shared" si="88"/>
        <v>669605.29921957618</v>
      </c>
      <c r="BC73" s="583">
        <f t="shared" si="88"/>
        <v>658505.06156475365</v>
      </c>
      <c r="BD73" s="583">
        <f t="shared" si="88"/>
        <v>647530.51866595179</v>
      </c>
      <c r="BE73" s="583">
        <f t="shared" si="88"/>
        <v>633063.00416408386</v>
      </c>
      <c r="BF73" s="583">
        <f t="shared" si="88"/>
        <v>618774.55194947717</v>
      </c>
      <c r="BG73" s="583">
        <f t="shared" si="88"/>
        <v>605147.26564234332</v>
      </c>
      <c r="BH73" s="583">
        <f t="shared" si="88"/>
        <v>591718.84743163898</v>
      </c>
      <c r="BI73" s="583">
        <f t="shared" si="88"/>
        <v>578487.51581068349</v>
      </c>
      <c r="BJ73" s="583">
        <f t="shared" si="88"/>
        <v>565219.14139378548</v>
      </c>
      <c r="BK73" s="583">
        <f t="shared" si="88"/>
        <v>552149.96889170446</v>
      </c>
      <c r="BL73" s="583">
        <f t="shared" si="88"/>
        <v>539278.17109352665</v>
      </c>
      <c r="BM73" s="583">
        <f t="shared" si="88"/>
        <v>526601.93750864919</v>
      </c>
      <c r="BN73" s="583">
        <f t="shared" si="88"/>
        <v>514119.47421086754</v>
      </c>
      <c r="BO73" s="40"/>
    </row>
    <row r="74" spans="1:88" hidden="1">
      <c r="A74" s="1" t="s">
        <v>763</v>
      </c>
      <c r="C74" s="55" t="s">
        <v>1420</v>
      </c>
      <c r="D74" s="576">
        <f>'Butadiene Recycling HC'!C249</f>
        <v>0</v>
      </c>
      <c r="E74" s="576">
        <f>'Butadiene Recycling HC'!D249</f>
        <v>0</v>
      </c>
      <c r="F74" s="576">
        <f>'Butadiene Recycling HC'!E249</f>
        <v>0</v>
      </c>
      <c r="G74" s="576">
        <f>'Butadiene Recycling HC'!F249</f>
        <v>0</v>
      </c>
      <c r="H74" s="576">
        <f>'Butadiene Recycling HC'!G249</f>
        <v>0</v>
      </c>
      <c r="I74" s="576">
        <f>'Butadiene Recycling HC'!H249</f>
        <v>0</v>
      </c>
      <c r="J74" s="576">
        <f>'Butadiene Recycling HC'!I249</f>
        <v>0</v>
      </c>
      <c r="K74" s="576">
        <f>'Butadiene Recycling HC'!J249</f>
        <v>0</v>
      </c>
      <c r="L74" s="576">
        <f>'Butadiene Recycling HC'!K249</f>
        <v>0</v>
      </c>
      <c r="M74" s="576">
        <f>'Butadiene Recycling HC'!L249</f>
        <v>0</v>
      </c>
      <c r="N74" s="576">
        <f>'Butadiene Recycling HC'!M249</f>
        <v>0</v>
      </c>
      <c r="O74" s="576">
        <f>'Butadiene Recycling HC'!N249</f>
        <v>0</v>
      </c>
      <c r="P74" s="576">
        <f>'Butadiene Recycling HC'!O249</f>
        <v>0</v>
      </c>
      <c r="Q74" s="576">
        <f>'Butadiene Recycling HC'!P249</f>
        <v>0</v>
      </c>
      <c r="R74" s="576">
        <f>'Butadiene Recycling HC'!Q249</f>
        <v>0</v>
      </c>
      <c r="S74" s="576">
        <f>'Butadiene Recycling HC'!R249</f>
        <v>0</v>
      </c>
      <c r="T74" s="576">
        <f>'Butadiene Recycling HC'!S249</f>
        <v>0</v>
      </c>
      <c r="U74" s="576">
        <f>'Butadiene Recycling HC'!T249</f>
        <v>0</v>
      </c>
      <c r="V74" s="576">
        <f>'Butadiene Recycling HC'!U249</f>
        <v>0</v>
      </c>
      <c r="W74" s="576">
        <f>'Butadiene Recycling HC'!V249</f>
        <v>0</v>
      </c>
      <c r="X74" s="576">
        <f>'Butadiene Recycling HC'!W249</f>
        <v>0</v>
      </c>
      <c r="Y74" s="576">
        <f>'Butadiene Recycling HC'!X249</f>
        <v>0</v>
      </c>
      <c r="Z74" s="576">
        <f>'Butadiene Recycling HC'!Y249</f>
        <v>0</v>
      </c>
      <c r="AA74" s="576">
        <f>'Butadiene Recycling HC'!Z249</f>
        <v>0</v>
      </c>
      <c r="AB74" s="576">
        <f>'Butadiene Recycling HC'!AA249</f>
        <v>0</v>
      </c>
      <c r="AC74" s="576">
        <f>'Butadiene Recycling HC'!AB249</f>
        <v>0</v>
      </c>
      <c r="AD74" s="576">
        <f>'Butadiene Recycling HC'!AC249</f>
        <v>0</v>
      </c>
      <c r="AE74" s="576">
        <f>'Butadiene Recycling HC'!AD249</f>
        <v>0</v>
      </c>
      <c r="AF74" s="576">
        <f>'Butadiene Recycling HC'!AE249</f>
        <v>0</v>
      </c>
      <c r="AG74" s="576">
        <f>'Butadiene Recycling HC'!AF249</f>
        <v>0</v>
      </c>
      <c r="AH74" s="576">
        <f>'Butadiene Recycling HC'!AG249</f>
        <v>0</v>
      </c>
      <c r="AI74" s="576"/>
      <c r="AJ74" s="576">
        <f>'Butadiene Recycling LC'!C249</f>
        <v>0</v>
      </c>
      <c r="AK74" s="576">
        <f>'Butadiene Recycling LC'!D249</f>
        <v>0</v>
      </c>
      <c r="AL74" s="576">
        <f>'Butadiene Recycling LC'!E249</f>
        <v>0</v>
      </c>
      <c r="AM74" s="576">
        <f>'Butadiene Recycling LC'!F249</f>
        <v>0</v>
      </c>
      <c r="AN74" s="576">
        <f>'Butadiene Recycling LC'!G249</f>
        <v>0</v>
      </c>
      <c r="AO74" s="576">
        <f>'Butadiene Recycling LC'!H249</f>
        <v>0</v>
      </c>
      <c r="AP74" s="576">
        <f>'Butadiene Recycling LC'!I249</f>
        <v>0</v>
      </c>
      <c r="AQ74" s="576">
        <f>'Butadiene Recycling LC'!J249</f>
        <v>0</v>
      </c>
      <c r="AR74" s="576">
        <f>'Butadiene Recycling LC'!K249</f>
        <v>0</v>
      </c>
      <c r="AS74" s="576">
        <f>'Butadiene Recycling LC'!L249</f>
        <v>0</v>
      </c>
      <c r="AT74" s="576">
        <f>'Butadiene Recycling LC'!M249</f>
        <v>0</v>
      </c>
      <c r="AU74" s="576">
        <f>'Butadiene Recycling LC'!N249</f>
        <v>0</v>
      </c>
      <c r="AV74" s="576">
        <f>'Butadiene Recycling LC'!O249</f>
        <v>0</v>
      </c>
      <c r="AW74" s="576">
        <f>'Butadiene Recycling LC'!P249</f>
        <v>0</v>
      </c>
      <c r="AX74" s="576">
        <f>'Butadiene Recycling LC'!Q249</f>
        <v>0</v>
      </c>
      <c r="AY74" s="576">
        <f>'Butadiene Recycling LC'!R249</f>
        <v>0</v>
      </c>
      <c r="AZ74" s="576">
        <f>'Butadiene Recycling LC'!S249</f>
        <v>0</v>
      </c>
      <c r="BA74" s="576">
        <f>'Butadiene Recycling LC'!T249</f>
        <v>0</v>
      </c>
      <c r="BB74" s="576">
        <f>'Butadiene Recycling LC'!U249</f>
        <v>0</v>
      </c>
      <c r="BC74" s="576">
        <f>'Butadiene Recycling LC'!V249</f>
        <v>0</v>
      </c>
      <c r="BD74" s="576">
        <f>'Butadiene Recycling LC'!W249</f>
        <v>0</v>
      </c>
      <c r="BE74" s="576">
        <f>'Butadiene Recycling LC'!X249</f>
        <v>0</v>
      </c>
      <c r="BF74" s="576">
        <f>'Butadiene Recycling LC'!Y249</f>
        <v>0</v>
      </c>
      <c r="BG74" s="576">
        <f>'Butadiene Recycling LC'!Z249</f>
        <v>0</v>
      </c>
      <c r="BH74" s="576">
        <f>'Butadiene Recycling LC'!AA249</f>
        <v>0</v>
      </c>
      <c r="BI74" s="576">
        <f>'Butadiene Recycling LC'!AB249</f>
        <v>0</v>
      </c>
      <c r="BJ74" s="576">
        <f>'Butadiene Recycling LC'!AC249</f>
        <v>0</v>
      </c>
      <c r="BK74" s="576">
        <f>'Butadiene Recycling LC'!AD249</f>
        <v>0</v>
      </c>
      <c r="BL74" s="576">
        <f>'Butadiene Recycling LC'!AE249</f>
        <v>0</v>
      </c>
      <c r="BM74" s="576">
        <f>'Butadiene Recycling LC'!AF249</f>
        <v>0</v>
      </c>
      <c r="BN74" s="576">
        <f>'Butadiene Recycling LC'!AG249</f>
        <v>0</v>
      </c>
    </row>
    <row r="75" spans="1:88" hidden="1">
      <c r="A75" s="1" t="s">
        <v>764</v>
      </c>
      <c r="C75" s="233" t="s">
        <v>1420</v>
      </c>
      <c r="D75" s="576">
        <f>'Butadiene Recycling HC'!C251</f>
        <v>0</v>
      </c>
      <c r="E75" s="576">
        <f>'Butadiene Recycling HC'!D251</f>
        <v>1.7746554319815253</v>
      </c>
      <c r="F75" s="576">
        <f>'Butadiene Recycling HC'!E251</f>
        <v>3.5168455805053878</v>
      </c>
      <c r="G75" s="576">
        <f>'Butadiene Recycling HC'!F251</f>
        <v>6.9467300824973046</v>
      </c>
      <c r="H75" s="576">
        <f>'Butadiene Recycling HC'!G251</f>
        <v>13.66424632725418</v>
      </c>
      <c r="I75" s="576">
        <f>'Butadiene Recycling HC'!H251</f>
        <v>26.729519034873881</v>
      </c>
      <c r="J75" s="576">
        <f>'Butadiene Recycling HC'!I251</f>
        <v>51.568593984922821</v>
      </c>
      <c r="K75" s="576">
        <f>'Butadiene Recycling HC'!J251</f>
        <v>98.492267557668512</v>
      </c>
      <c r="L75" s="576">
        <f>'Butadiene Recycling HC'!K251</f>
        <v>185.59714552248505</v>
      </c>
      <c r="M75" s="576">
        <f>'Butadiene Recycling HC'!L251</f>
        <v>343.53644450817018</v>
      </c>
      <c r="N75" s="576">
        <f>'Butadiene Recycling HC'!M251</f>
        <v>0</v>
      </c>
      <c r="O75" s="576">
        <f>'Butadiene Recycling HC'!N251</f>
        <v>1088.5736769471855</v>
      </c>
      <c r="P75" s="576">
        <f>'Butadiene Recycling HC'!O251</f>
        <v>1838.2128631626176</v>
      </c>
      <c r="Q75" s="576">
        <f>'Butadiene Recycling HC'!P251</f>
        <v>2967.9030236588601</v>
      </c>
      <c r="R75" s="576">
        <f>'Butadiene Recycling HC'!Q251</f>
        <v>4548.9353872002503</v>
      </c>
      <c r="S75" s="576">
        <f>'Butadiene Recycling HC'!R251</f>
        <v>6587.5001807080325</v>
      </c>
      <c r="T75" s="576">
        <f>'Butadiene Recycling HC'!S251</f>
        <v>8998.0024819662995</v>
      </c>
      <c r="U75" s="576">
        <f>'Butadiene Recycling HC'!T251</f>
        <v>11612.785253857437</v>
      </c>
      <c r="V75" s="576">
        <f>'Butadiene Recycling HC'!U251</f>
        <v>14228.559582523385</v>
      </c>
      <c r="W75" s="576">
        <f>'Butadiene Recycling HC'!V251</f>
        <v>16664.076044657912</v>
      </c>
      <c r="X75" s="576">
        <f>'Butadiene Recycling HC'!W251</f>
        <v>0</v>
      </c>
      <c r="Y75" s="576">
        <f>'Butadiene Recycling HC'!X251</f>
        <v>20601.88770035511</v>
      </c>
      <c r="Z75" s="576">
        <f>'Butadiene Recycling HC'!Y251</f>
        <v>22061.482794488071</v>
      </c>
      <c r="AA75" s="576">
        <f>'Butadiene Recycling HC'!Z251</f>
        <v>23271.385242935452</v>
      </c>
      <c r="AB75" s="576">
        <f>'Butadiene Recycling HC'!AA251</f>
        <v>24231.412276641699</v>
      </c>
      <c r="AC75" s="576">
        <f>'Butadiene Recycling HC'!AB251</f>
        <v>24991.553376357555</v>
      </c>
      <c r="AD75" s="576">
        <f>'Butadiene Recycling HC'!AC251</f>
        <v>25589.840815326243</v>
      </c>
      <c r="AE75" s="576">
        <f>'Butadiene Recycling HC'!AD251</f>
        <v>26069.718724183836</v>
      </c>
      <c r="AF75" s="576">
        <f>'Butadiene Recycling HC'!AE251</f>
        <v>26460.493805704991</v>
      </c>
      <c r="AG75" s="576">
        <f>'Butadiene Recycling HC'!AF251</f>
        <v>26784.52855564194</v>
      </c>
      <c r="AH75" s="576">
        <f>'Butadiene Recycling HC'!AG251</f>
        <v>0</v>
      </c>
      <c r="AI75" s="576"/>
      <c r="AJ75" s="576">
        <f>'Butadiene Recycling LC'!C251</f>
        <v>0</v>
      </c>
      <c r="AK75" s="576">
        <f>'Butadiene Recycling LC'!D251</f>
        <v>1.7753124928531556</v>
      </c>
      <c r="AL75" s="576">
        <f>'Butadiene Recycling LC'!E251</f>
        <v>3.5194838808294731</v>
      </c>
      <c r="AM75" s="576">
        <f>'Butadiene Recycling LC'!F251</f>
        <v>6.9546439586555193</v>
      </c>
      <c r="AN75" s="576">
        <f>'Butadiene Recycling LC'!G251</f>
        <v>13.685245697645806</v>
      </c>
      <c r="AO75" s="576">
        <f>'Butadiene Recycling LC'!H251</f>
        <v>26.78144047015223</v>
      </c>
      <c r="AP75" s="576">
        <f>'Butadiene Recycling LC'!I251</f>
        <v>51.85813619675082</v>
      </c>
      <c r="AQ75" s="576">
        <f>'Butadiene Recycling LC'!J251</f>
        <v>99.419068205889914</v>
      </c>
      <c r="AR75" s="576">
        <f>'Butadiene Recycling LC'!K251</f>
        <v>188.07082814727107</v>
      </c>
      <c r="AS75" s="576">
        <f>'Butadiene Recycling LC'!L251</f>
        <v>349.50379486819185</v>
      </c>
      <c r="AT75" s="576">
        <f>'Butadiene Recycling LC'!M251</f>
        <v>0</v>
      </c>
      <c r="AU75" s="576">
        <f>'Butadiene Recycling LC'!N251</f>
        <v>1117.0069869104498</v>
      </c>
      <c r="AV75" s="576">
        <f>'Butadiene Recycling LC'!O251</f>
        <v>1894.7557069799468</v>
      </c>
      <c r="AW75" s="576">
        <f>'Butadiene Recycling LC'!P251</f>
        <v>3072.2102935842604</v>
      </c>
      <c r="AX75" s="576">
        <f>'Butadiene Recycling LC'!Q251</f>
        <v>4729.2173044111632</v>
      </c>
      <c r="AY75" s="576">
        <f>'Butadiene Recycling LC'!R251</f>
        <v>6878.8138596344261</v>
      </c>
      <c r="AZ75" s="576">
        <f>'Butadiene Recycling LC'!S251</f>
        <v>9438.1813835022294</v>
      </c>
      <c r="BA75" s="576">
        <f>'Butadiene Recycling LC'!T251</f>
        <v>12236.70677194875</v>
      </c>
      <c r="BB75" s="576">
        <f>'Butadiene Recycling LC'!U251</f>
        <v>15063.035984347278</v>
      </c>
      <c r="BC75" s="576">
        <f>'Butadiene Recycling LC'!V251</f>
        <v>17725.339654474556</v>
      </c>
      <c r="BD75" s="576">
        <f>'Butadiene Recycling LC'!W251</f>
        <v>0</v>
      </c>
      <c r="BE75" s="576">
        <f>'Butadiene Recycling LC'!X251</f>
        <v>22123.492119910727</v>
      </c>
      <c r="BF75" s="576">
        <f>'Butadiene Recycling LC'!Y251</f>
        <v>23803.717354304081</v>
      </c>
      <c r="BG75" s="576">
        <f>'Butadiene Recycling LC'!Z251</f>
        <v>25196.849288464997</v>
      </c>
      <c r="BH75" s="576">
        <f>'Butadiene Recycling LC'!AA251</f>
        <v>26328.000403293467</v>
      </c>
      <c r="BI75" s="576">
        <f>'Butadiene Recycling LC'!AB251</f>
        <v>27248.938982160107</v>
      </c>
      <c r="BJ75" s="576">
        <f>'Butadiene Recycling LC'!AC251</f>
        <v>28003.108842878606</v>
      </c>
      <c r="BK75" s="576">
        <f>'Butadiene Recycling LC'!AD251</f>
        <v>28632.725573890821</v>
      </c>
      <c r="BL75" s="576">
        <f>'Butadiene Recycling LC'!AE251</f>
        <v>29168.767696498253</v>
      </c>
      <c r="BM75" s="576">
        <f>'Butadiene Recycling LC'!AF251</f>
        <v>29634.989085119865</v>
      </c>
      <c r="BN75" s="576">
        <f>'Butadiene Recycling LC'!AG251</f>
        <v>0</v>
      </c>
    </row>
    <row r="76" spans="1:88" s="97" customFormat="1">
      <c r="A76" s="95" t="s">
        <v>1395</v>
      </c>
      <c r="B76" s="95"/>
      <c r="C76" s="96" t="s">
        <v>1420</v>
      </c>
      <c r="D76" s="583">
        <f t="shared" ref="D76:AH76" si="89">D73-D74-D75</f>
        <v>846505.72103598283</v>
      </c>
      <c r="E76" s="583">
        <f t="shared" si="89"/>
        <v>834337.08911863354</v>
      </c>
      <c r="F76" s="583">
        <f t="shared" si="89"/>
        <v>822263.95984184253</v>
      </c>
      <c r="G76" s="583">
        <f t="shared" si="89"/>
        <v>810283.92409424763</v>
      </c>
      <c r="H76" s="583">
        <f t="shared" si="89"/>
        <v>798394.69779763755</v>
      </c>
      <c r="I76" s="583">
        <f t="shared" si="89"/>
        <v>786592.54146436928</v>
      </c>
      <c r="J76" s="583">
        <f t="shared" si="89"/>
        <v>774446.02789260179</v>
      </c>
      <c r="K76" s="583">
        <f t="shared" si="89"/>
        <v>762379.87704941945</v>
      </c>
      <c r="L76" s="583">
        <f t="shared" si="89"/>
        <v>750375.19691290788</v>
      </c>
      <c r="M76" s="583">
        <f t="shared" si="89"/>
        <v>738400.54476425902</v>
      </c>
      <c r="N76" s="583">
        <f t="shared" si="89"/>
        <v>727027.44713713694</v>
      </c>
      <c r="O76" s="583">
        <f t="shared" si="89"/>
        <v>709168.26008564327</v>
      </c>
      <c r="P76" s="583">
        <f t="shared" si="89"/>
        <v>691842.06513162609</v>
      </c>
      <c r="Q76" s="583">
        <f t="shared" si="89"/>
        <v>674483.282153234</v>
      </c>
      <c r="R76" s="583">
        <f t="shared" si="89"/>
        <v>656861.94478188397</v>
      </c>
      <c r="S76" s="583">
        <f t="shared" si="89"/>
        <v>638970.15923349163</v>
      </c>
      <c r="T76" s="583">
        <f t="shared" si="89"/>
        <v>620249.38002861198</v>
      </c>
      <c r="U76" s="583">
        <f t="shared" si="89"/>
        <v>601526.59737516101</v>
      </c>
      <c r="V76" s="583">
        <f t="shared" si="89"/>
        <v>583003.14129089378</v>
      </c>
      <c r="W76" s="583">
        <f t="shared" si="89"/>
        <v>564858.32029511011</v>
      </c>
      <c r="X76" s="583">
        <f t="shared" si="89"/>
        <v>566009.54595584713</v>
      </c>
      <c r="Y76" s="583">
        <f t="shared" si="89"/>
        <v>523332.83363252372</v>
      </c>
      <c r="Z76" s="583">
        <f t="shared" si="89"/>
        <v>500093.95676139637</v>
      </c>
      <c r="AA76" s="583">
        <f t="shared" si="89"/>
        <v>477880.97349712113</v>
      </c>
      <c r="AB76" s="583">
        <f t="shared" si="89"/>
        <v>456230.4731788474</v>
      </c>
      <c r="AC76" s="583">
        <f t="shared" si="89"/>
        <v>435089.4021680553</v>
      </c>
      <c r="AD76" s="583">
        <f t="shared" si="89"/>
        <v>414206.30385480629</v>
      </c>
      <c r="AE76" s="583">
        <f t="shared" si="89"/>
        <v>393752.09147556743</v>
      </c>
      <c r="AF76" s="583">
        <f t="shared" si="89"/>
        <v>373694.3479698624</v>
      </c>
      <c r="AG76" s="583">
        <f t="shared" si="89"/>
        <v>354007.63036827097</v>
      </c>
      <c r="AH76" s="583">
        <f t="shared" si="89"/>
        <v>361730.71077172481</v>
      </c>
      <c r="AI76" s="582"/>
      <c r="AJ76" s="583">
        <f t="shared" ref="AJ76:BN76" si="90">AJ73-AJ74-AJ75</f>
        <v>846505.72103598283</v>
      </c>
      <c r="AK76" s="583">
        <f t="shared" si="90"/>
        <v>837783.15733196959</v>
      </c>
      <c r="AL76" s="583">
        <f t="shared" si="90"/>
        <v>829118.49904938159</v>
      </c>
      <c r="AM76" s="583">
        <f t="shared" si="90"/>
        <v>820509.64840864902</v>
      </c>
      <c r="AN76" s="583">
        <f t="shared" si="90"/>
        <v>811954.62774789846</v>
      </c>
      <c r="AO76" s="583">
        <f t="shared" si="90"/>
        <v>803449.99613192538</v>
      </c>
      <c r="AP76" s="583">
        <f t="shared" si="90"/>
        <v>794555.6750338641</v>
      </c>
      <c r="AQ76" s="583">
        <f t="shared" si="90"/>
        <v>785702.4508816906</v>
      </c>
      <c r="AR76" s="583">
        <f t="shared" si="90"/>
        <v>776871.26928351866</v>
      </c>
      <c r="AS76" s="583">
        <f t="shared" si="90"/>
        <v>768029.99519280961</v>
      </c>
      <c r="AT76" s="583">
        <f t="shared" si="90"/>
        <v>759761.90502119809</v>
      </c>
      <c r="AU76" s="583">
        <f t="shared" si="90"/>
        <v>747094.60449778673</v>
      </c>
      <c r="AV76" s="583">
        <f t="shared" si="90"/>
        <v>734885.95550160529</v>
      </c>
      <c r="AW76" s="583">
        <f t="shared" si="90"/>
        <v>722554.82169575116</v>
      </c>
      <c r="AX76" s="583">
        <f t="shared" si="90"/>
        <v>709861.74146042217</v>
      </c>
      <c r="AY76" s="583">
        <f t="shared" si="90"/>
        <v>696792.70901874208</v>
      </c>
      <c r="AZ76" s="583">
        <f t="shared" si="90"/>
        <v>682749.20425974589</v>
      </c>
      <c r="BA76" s="583">
        <f t="shared" si="90"/>
        <v>668595.65407440369</v>
      </c>
      <c r="BB76" s="583">
        <f t="shared" si="90"/>
        <v>654542.26323522895</v>
      </c>
      <c r="BC76" s="583">
        <f t="shared" si="90"/>
        <v>640779.72191027913</v>
      </c>
      <c r="BD76" s="583">
        <f t="shared" si="90"/>
        <v>647530.51866595179</v>
      </c>
      <c r="BE76" s="583">
        <f t="shared" si="90"/>
        <v>610939.51204417308</v>
      </c>
      <c r="BF76" s="583">
        <f t="shared" si="90"/>
        <v>594970.83459517313</v>
      </c>
      <c r="BG76" s="583">
        <f t="shared" si="90"/>
        <v>579950.41635387833</v>
      </c>
      <c r="BH76" s="583">
        <f t="shared" si="90"/>
        <v>565390.84702834557</v>
      </c>
      <c r="BI76" s="583">
        <f t="shared" si="90"/>
        <v>551238.57682852342</v>
      </c>
      <c r="BJ76" s="583">
        <f t="shared" si="90"/>
        <v>537216.03255090688</v>
      </c>
      <c r="BK76" s="583">
        <f t="shared" si="90"/>
        <v>523517.24331781361</v>
      </c>
      <c r="BL76" s="583">
        <f t="shared" si="90"/>
        <v>510109.40339702839</v>
      </c>
      <c r="BM76" s="583">
        <f t="shared" si="90"/>
        <v>496966.94842352933</v>
      </c>
      <c r="BN76" s="583">
        <f t="shared" si="90"/>
        <v>514119.47421086754</v>
      </c>
      <c r="BQ76" s="650"/>
      <c r="BR76" s="650"/>
      <c r="BS76" s="650"/>
      <c r="BT76" s="650"/>
      <c r="BU76" s="650"/>
      <c r="BV76" s="650"/>
      <c r="BW76" s="650"/>
      <c r="BX76" s="650"/>
      <c r="BY76" s="650"/>
      <c r="BZ76" s="650"/>
      <c r="CA76" s="650"/>
      <c r="CB76" s="650"/>
      <c r="CC76" s="650"/>
      <c r="CD76" s="650"/>
      <c r="CE76" s="650"/>
      <c r="CF76" s="650"/>
      <c r="CG76" s="650"/>
      <c r="CH76" s="650"/>
      <c r="CI76" s="650"/>
      <c r="CJ76" s="650"/>
    </row>
    <row r="77" spans="1:88" s="371" customFormat="1">
      <c r="A77" s="370" t="s">
        <v>647</v>
      </c>
      <c r="C77" s="374" t="s">
        <v>1420</v>
      </c>
      <c r="D77" s="585">
        <f>'Butadiene Recycling HC'!C258</f>
        <v>439503.08114830282</v>
      </c>
      <c r="E77" s="585">
        <f>'Butadiene Recycling HC'!D258</f>
        <v>436622.07540715253</v>
      </c>
      <c r="F77" s="585">
        <f>'Butadiene Recycling HC'!E258</f>
        <v>433751.24282147165</v>
      </c>
      <c r="G77" s="585">
        <f>'Butadiene Recycling HC'!F258</f>
        <v>430890.55340968393</v>
      </c>
      <c r="H77" s="585">
        <f>'Butadiene Recycling HC'!G258</f>
        <v>428039.97727103491</v>
      </c>
      <c r="I77" s="585">
        <f>'Butadiene Recycling HC'!H258</f>
        <v>425199.48458538455</v>
      </c>
      <c r="J77" s="585">
        <f>'Butadiene Recycling HC'!I258</f>
        <v>420454.32907209848</v>
      </c>
      <c r="K77" s="585">
        <f>'Butadiene Recycling HC'!J258</f>
        <v>415726.35436669301</v>
      </c>
      <c r="L77" s="585">
        <f>'Butadiene Recycling HC'!K258</f>
        <v>411015.51148589124</v>
      </c>
      <c r="M77" s="585">
        <f>'Butadiene Recycling HC'!L258</f>
        <v>406321.75157068373</v>
      </c>
      <c r="N77" s="585">
        <f>'Butadiene Recycling HC'!M258</f>
        <v>401645.02588603582</v>
      </c>
      <c r="O77" s="585">
        <f>'Butadiene Recycling HC'!N258</f>
        <v>396702.4355711111</v>
      </c>
      <c r="P77" s="585">
        <f>'Butadiene Recycling HC'!O258</f>
        <v>391916.44565475016</v>
      </c>
      <c r="Q77" s="585">
        <f>'Butadiene Recycling HC'!P258</f>
        <v>386605.66693817993</v>
      </c>
      <c r="R77" s="585">
        <f>'Butadiene Recycling HC'!Q258</f>
        <v>381328.08657462517</v>
      </c>
      <c r="S77" s="585">
        <f>'Butadiene Recycling HC'!R258</f>
        <v>376083.5581285946</v>
      </c>
      <c r="T77" s="585">
        <f>'Butadiene Recycling HC'!S258</f>
        <v>370871.9379487352</v>
      </c>
      <c r="U77" s="585">
        <f>'Butadiene Recycling HC'!T258</f>
        <v>365693.07842994289</v>
      </c>
      <c r="V77" s="585">
        <f>'Butadiene Recycling HC'!U258</f>
        <v>360546.83475606184</v>
      </c>
      <c r="W77" s="585">
        <f>'Butadiene Recycling HC'!V258</f>
        <v>355433.06264711602</v>
      </c>
      <c r="X77" s="585">
        <f>'Butadiene Recycling HC'!W258</f>
        <v>350351.61835752323</v>
      </c>
      <c r="Y77" s="585">
        <f>'Butadiene Recycling HC'!X258</f>
        <v>345517.50033709675</v>
      </c>
      <c r="Z77" s="585">
        <f>'Butadiene Recycling HC'!Y258</f>
        <v>340724.51879634999</v>
      </c>
      <c r="AA77" s="585">
        <f>'Butadiene Recycling HC'!Z258</f>
        <v>335261.62883863901</v>
      </c>
      <c r="AB77" s="585">
        <f>'Butadiene Recycling HC'!AA258</f>
        <v>329859.17885470547</v>
      </c>
      <c r="AC77" s="585">
        <f>'Butadiene Recycling HC'!AB258</f>
        <v>324516.8447699424</v>
      </c>
      <c r="AD77" s="585">
        <f>'Butadiene Recycling HC'!AC258</f>
        <v>319178.41311121592</v>
      </c>
      <c r="AE77" s="585">
        <f>'Butadiene Recycling HC'!AD258</f>
        <v>313899.66232342576</v>
      </c>
      <c r="AF77" s="585">
        <f>'Butadiene Recycling HC'!AE258</f>
        <v>308680.27171406144</v>
      </c>
      <c r="AG77" s="585">
        <f>'Butadiene Recycling HC'!AF258</f>
        <v>303519.92189936037</v>
      </c>
      <c r="AH77" s="585">
        <f>'Butadiene Recycling HC'!AG258</f>
        <v>298418.29479968559</v>
      </c>
      <c r="AI77" s="575"/>
      <c r="AJ77" s="585">
        <f>'Butadiene Recycling LC'!C258</f>
        <v>439503.08114830282</v>
      </c>
      <c r="AK77" s="585">
        <f>'Butadiene Recycling LC'!D258</f>
        <v>436739.80821622186</v>
      </c>
      <c r="AL77" s="585">
        <f>'Butadiene Recycling LC'!E258</f>
        <v>433986.26851801097</v>
      </c>
      <c r="AM77" s="585">
        <f>'Butadiene Recycling LC'!F258</f>
        <v>431242.43326430127</v>
      </c>
      <c r="AN77" s="585">
        <f>'Butadiene Recycling LC'!G258</f>
        <v>428508.27374381444</v>
      </c>
      <c r="AO77" s="585">
        <f>'Butadiene Recycling LC'!H258</f>
        <v>425783.76132316218</v>
      </c>
      <c r="AP77" s="585">
        <f>'Butadiene Recycling LC'!I258</f>
        <v>422111.50917619374</v>
      </c>
      <c r="AQ77" s="585">
        <f>'Butadiene Recycling LC'!J258</f>
        <v>418452.42547222076</v>
      </c>
      <c r="AR77" s="585">
        <f>'Butadiene Recycling LC'!K258</f>
        <v>414806.47210844973</v>
      </c>
      <c r="AS77" s="585">
        <f>'Butadiene Recycling LC'!L258</f>
        <v>411173.61108141381</v>
      </c>
      <c r="AT77" s="585">
        <f>'Butadiene Recycling LC'!M258</f>
        <v>407553.8044867306</v>
      </c>
      <c r="AU77" s="585">
        <f>'Butadiene Recycling LC'!N258</f>
        <v>403734.87683174654</v>
      </c>
      <c r="AV77" s="585">
        <f>'Butadiene Recycling LC'!O258</f>
        <v>400048.92217586498</v>
      </c>
      <c r="AW77" s="585">
        <f>'Butadiene Recycling LC'!P258</f>
        <v>396063.31113629666</v>
      </c>
      <c r="AX77" s="585">
        <f>'Butadiene Recycling LC'!Q258</f>
        <v>392099.01613770315</v>
      </c>
      <c r="AY77" s="585">
        <f>'Butadiene Recycling LC'!R258</f>
        <v>388155.9499762163</v>
      </c>
      <c r="AZ77" s="585">
        <f>'Butadiene Recycling LC'!S258</f>
        <v>384234.02687801304</v>
      </c>
      <c r="BA77" s="585">
        <f>'Butadiene Recycling LC'!T258</f>
        <v>380333.15913027292</v>
      </c>
      <c r="BB77" s="585">
        <f>'Butadiene Recycling LC'!U258</f>
        <v>376453.26045243023</v>
      </c>
      <c r="BC77" s="585">
        <f>'Butadiene Recycling LC'!V258</f>
        <v>372594.24486969237</v>
      </c>
      <c r="BD77" s="585">
        <f>'Butadiene Recycling LC'!W258</f>
        <v>368756.02671205025</v>
      </c>
      <c r="BE77" s="585">
        <f>'Butadiene Recycling LC'!X258</f>
        <v>365108.61192059203</v>
      </c>
      <c r="BF77" s="585">
        <f>'Butadiene Recycling LC'!Y258</f>
        <v>361489.7013002531</v>
      </c>
      <c r="BG77" s="585">
        <f>'Butadiene Recycling LC'!Z258</f>
        <v>357540.1822198974</v>
      </c>
      <c r="BH77" s="585">
        <f>'Butadiene Recycling LC'!AA258</f>
        <v>353625.2158968047</v>
      </c>
      <c r="BI77" s="585">
        <f>'Butadiene Recycling LC'!AB258</f>
        <v>349744.62735114619</v>
      </c>
      <c r="BJ77" s="585">
        <f>'Butadiene Recycling LC'!AC258</f>
        <v>345870.29693930311</v>
      </c>
      <c r="BK77" s="585">
        <f>'Butadiene Recycling LC'!AD258</f>
        <v>342030.10101205471</v>
      </c>
      <c r="BL77" s="585">
        <f>'Butadiene Recycling LC'!AE258</f>
        <v>338223.86638676439</v>
      </c>
      <c r="BM77" s="585">
        <f>'Butadiene Recycling LC'!AF258</f>
        <v>334451.42057036597</v>
      </c>
      <c r="BN77" s="585">
        <f>'Butadiene Recycling LC'!AG258</f>
        <v>330712.59175696259</v>
      </c>
      <c r="BQ77" s="646"/>
      <c r="BR77" s="646"/>
      <c r="BS77" s="646"/>
      <c r="BT77" s="646"/>
      <c r="BU77" s="646"/>
      <c r="BV77" s="646"/>
      <c r="BW77" s="646"/>
      <c r="BX77" s="646"/>
      <c r="BY77" s="646"/>
      <c r="BZ77" s="646"/>
      <c r="CA77" s="646"/>
      <c r="CB77" s="646"/>
      <c r="CC77" s="646"/>
      <c r="CD77" s="646"/>
      <c r="CE77" s="646"/>
      <c r="CF77" s="646"/>
      <c r="CG77" s="646"/>
      <c r="CH77" s="646"/>
      <c r="CI77" s="646"/>
      <c r="CJ77" s="646"/>
    </row>
    <row r="78" spans="1:88" s="373" customFormat="1">
      <c r="A78" s="372" t="s">
        <v>648</v>
      </c>
      <c r="C78" s="376" t="s">
        <v>1420</v>
      </c>
      <c r="D78" s="586">
        <f>'Butadiene Recycling HC'!C259</f>
        <v>439503.08114830282</v>
      </c>
      <c r="E78" s="586">
        <f>'Butadiene Recycling HC'!D259</f>
        <v>436622.07540715253</v>
      </c>
      <c r="F78" s="586">
        <f>'Butadiene Recycling HC'!E259</f>
        <v>433751.24282147165</v>
      </c>
      <c r="G78" s="586">
        <f>'Butadiene Recycling HC'!F259</f>
        <v>430890.55340968393</v>
      </c>
      <c r="H78" s="586">
        <f>'Butadiene Recycling HC'!G259</f>
        <v>428039.97727103491</v>
      </c>
      <c r="I78" s="586">
        <f>'Butadiene Recycling HC'!H259</f>
        <v>425199.48458538455</v>
      </c>
      <c r="J78" s="586">
        <f>'Butadiene Recycling HC'!I259</f>
        <v>420454.32907209848</v>
      </c>
      <c r="K78" s="586">
        <f>'Butadiene Recycling HC'!J259</f>
        <v>415726.35436669301</v>
      </c>
      <c r="L78" s="586">
        <f>'Butadiene Recycling HC'!K259</f>
        <v>411015.51148589124</v>
      </c>
      <c r="M78" s="586">
        <f>'Butadiene Recycling HC'!L259</f>
        <v>406321.75157068373</v>
      </c>
      <c r="N78" s="586">
        <f>'Butadiene Recycling HC'!M259</f>
        <v>401645.02588603582</v>
      </c>
      <c r="O78" s="586">
        <f>'Butadiene Recycling HC'!N259</f>
        <v>396702.4355711111</v>
      </c>
      <c r="P78" s="586">
        <f>'Butadiene Recycling HC'!O259</f>
        <v>391916.44565475016</v>
      </c>
      <c r="Q78" s="586">
        <f>'Butadiene Recycling HC'!P259</f>
        <v>386605.66693817993</v>
      </c>
      <c r="R78" s="586">
        <f>'Butadiene Recycling HC'!Q259</f>
        <v>381328.08657462517</v>
      </c>
      <c r="S78" s="586">
        <f>'Butadiene Recycling HC'!R259</f>
        <v>376083.5581285946</v>
      </c>
      <c r="T78" s="586">
        <f>'Butadiene Recycling HC'!S259</f>
        <v>370871.9379487352</v>
      </c>
      <c r="U78" s="586">
        <f>'Butadiene Recycling HC'!T259</f>
        <v>365693.07842994289</v>
      </c>
      <c r="V78" s="586">
        <f>'Butadiene Recycling HC'!U259</f>
        <v>360546.83475606184</v>
      </c>
      <c r="W78" s="586">
        <f>'Butadiene Recycling HC'!V259</f>
        <v>355433.06264711602</v>
      </c>
      <c r="X78" s="586">
        <f>'Butadiene Recycling HC'!W259</f>
        <v>350351.61835752323</v>
      </c>
      <c r="Y78" s="586">
        <f>'Butadiene Recycling HC'!X259</f>
        <v>345517.50033709675</v>
      </c>
      <c r="Z78" s="586">
        <f>'Butadiene Recycling HC'!Y259</f>
        <v>340724.51879634999</v>
      </c>
      <c r="AA78" s="586">
        <f>'Butadiene Recycling HC'!Z259</f>
        <v>335261.62883863901</v>
      </c>
      <c r="AB78" s="586">
        <f>'Butadiene Recycling HC'!AA259</f>
        <v>329859.17885470547</v>
      </c>
      <c r="AC78" s="586">
        <f>'Butadiene Recycling HC'!AB259</f>
        <v>324516.8447699424</v>
      </c>
      <c r="AD78" s="586">
        <f>'Butadiene Recycling HC'!AC259</f>
        <v>319178.41311121592</v>
      </c>
      <c r="AE78" s="586">
        <f>'Butadiene Recycling HC'!AD259</f>
        <v>313899.66232342576</v>
      </c>
      <c r="AF78" s="586">
        <f>'Butadiene Recycling HC'!AE259</f>
        <v>308680.27171406144</v>
      </c>
      <c r="AG78" s="586">
        <f>'Butadiene Recycling HC'!AF259</f>
        <v>303519.92189936037</v>
      </c>
      <c r="AH78" s="586">
        <f>'Butadiene Recycling HC'!AG259</f>
        <v>298418.29479968559</v>
      </c>
      <c r="AI78" s="587"/>
      <c r="AJ78" s="586">
        <f>'Butadiene Recycling LC'!C259</f>
        <v>439503.08114830282</v>
      </c>
      <c r="AK78" s="586">
        <f>'Butadiene Recycling LC'!D259</f>
        <v>436739.80821622186</v>
      </c>
      <c r="AL78" s="586">
        <f>'Butadiene Recycling LC'!E259</f>
        <v>433986.26851801097</v>
      </c>
      <c r="AM78" s="586">
        <f>'Butadiene Recycling LC'!F259</f>
        <v>431242.43326430127</v>
      </c>
      <c r="AN78" s="586">
        <f>'Butadiene Recycling LC'!G259</f>
        <v>428508.27374381444</v>
      </c>
      <c r="AO78" s="586">
        <f>'Butadiene Recycling LC'!H259</f>
        <v>425783.76132316218</v>
      </c>
      <c r="AP78" s="586">
        <f>'Butadiene Recycling LC'!I259</f>
        <v>422111.50917619374</v>
      </c>
      <c r="AQ78" s="586">
        <f>'Butadiene Recycling LC'!J259</f>
        <v>418452.42547222076</v>
      </c>
      <c r="AR78" s="586">
        <f>'Butadiene Recycling LC'!K259</f>
        <v>414806.47210844973</v>
      </c>
      <c r="AS78" s="586">
        <f>'Butadiene Recycling LC'!L259</f>
        <v>411173.61108141381</v>
      </c>
      <c r="AT78" s="586">
        <f>'Butadiene Recycling LC'!M259</f>
        <v>407553.8044867306</v>
      </c>
      <c r="AU78" s="586">
        <f>'Butadiene Recycling LC'!N259</f>
        <v>403734.87683174654</v>
      </c>
      <c r="AV78" s="586">
        <f>'Butadiene Recycling LC'!O259</f>
        <v>400048.92217586498</v>
      </c>
      <c r="AW78" s="586">
        <f>'Butadiene Recycling LC'!P259</f>
        <v>396063.31113629666</v>
      </c>
      <c r="AX78" s="586">
        <f>'Butadiene Recycling LC'!Q259</f>
        <v>392099.01613770315</v>
      </c>
      <c r="AY78" s="586">
        <f>'Butadiene Recycling LC'!R259</f>
        <v>388155.9499762163</v>
      </c>
      <c r="AZ78" s="586">
        <f>'Butadiene Recycling LC'!S259</f>
        <v>384234.02687801304</v>
      </c>
      <c r="BA78" s="586">
        <f>'Butadiene Recycling LC'!T259</f>
        <v>380333.15913027292</v>
      </c>
      <c r="BB78" s="586">
        <f>'Butadiene Recycling LC'!U259</f>
        <v>376453.26045243023</v>
      </c>
      <c r="BC78" s="586">
        <f>'Butadiene Recycling LC'!V259</f>
        <v>372594.24486969237</v>
      </c>
      <c r="BD78" s="586">
        <f>'Butadiene Recycling LC'!W259</f>
        <v>368756.02671205025</v>
      </c>
      <c r="BE78" s="586">
        <f>'Butadiene Recycling LC'!X259</f>
        <v>365108.61192059203</v>
      </c>
      <c r="BF78" s="586">
        <f>'Butadiene Recycling LC'!Y259</f>
        <v>361489.7013002531</v>
      </c>
      <c r="BG78" s="586">
        <f>'Butadiene Recycling LC'!Z259</f>
        <v>357540.1822198974</v>
      </c>
      <c r="BH78" s="586">
        <f>'Butadiene Recycling LC'!AA259</f>
        <v>353625.2158968047</v>
      </c>
      <c r="BI78" s="586">
        <f>'Butadiene Recycling LC'!AB259</f>
        <v>349744.62735114619</v>
      </c>
      <c r="BJ78" s="586">
        <f>'Butadiene Recycling LC'!AC259</f>
        <v>345870.29693930311</v>
      </c>
      <c r="BK78" s="586">
        <f>'Butadiene Recycling LC'!AD259</f>
        <v>342030.10101205471</v>
      </c>
      <c r="BL78" s="586">
        <f>'Butadiene Recycling LC'!AE259</f>
        <v>338223.86638676439</v>
      </c>
      <c r="BM78" s="586">
        <f>'Butadiene Recycling LC'!AF259</f>
        <v>334451.42057036597</v>
      </c>
      <c r="BN78" s="586">
        <f>'Butadiene Recycling LC'!AG259</f>
        <v>330712.59175696259</v>
      </c>
      <c r="BQ78" s="622"/>
      <c r="BR78" s="622"/>
      <c r="BS78" s="622"/>
      <c r="BT78" s="622"/>
      <c r="BU78" s="622"/>
      <c r="BV78" s="622"/>
      <c r="BW78" s="622"/>
      <c r="BX78" s="622"/>
      <c r="BY78" s="622"/>
      <c r="BZ78" s="622"/>
      <c r="CA78" s="622"/>
      <c r="CB78" s="622"/>
      <c r="CC78" s="622"/>
      <c r="CD78" s="622"/>
      <c r="CE78" s="622"/>
      <c r="CF78" s="622"/>
      <c r="CG78" s="622"/>
      <c r="CH78" s="622"/>
      <c r="CI78" s="622"/>
      <c r="CJ78" s="622"/>
    </row>
  </sheetData>
  <mergeCells count="2">
    <mergeCell ref="D1:AH1"/>
    <mergeCell ref="AJ1:BN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8E91-F1E2-4555-A624-59109D0309BA}">
  <sheetPr>
    <tabColor theme="9"/>
  </sheetPr>
  <dimension ref="A1:CL127"/>
  <sheetViews>
    <sheetView zoomScale="60" zoomScaleNormal="60" workbookViewId="0">
      <pane xSplit="3" ySplit="3" topLeftCell="D108" activePane="bottomRight" state="frozen"/>
      <selection pane="topRight" activeCell="D1" sqref="D1"/>
      <selection pane="bottomLeft" activeCell="A4" sqref="A4"/>
      <selection pane="bottomRight" activeCell="AH137" sqref="AH137"/>
    </sheetView>
  </sheetViews>
  <sheetFormatPr defaultRowHeight="14.75" outlineLevelRow="1" outlineLevelCol="1"/>
  <cols>
    <col min="1" max="1" width="42.54296875" style="1" customWidth="1"/>
    <col min="2" max="2" width="26.453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17968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11.453125" customWidth="1" collapsed="1"/>
    <col min="15" max="15" width="11.453125" hidden="1" customWidth="1" outlineLevel="1"/>
    <col min="16" max="23" width="8.81640625" hidden="1" customWidth="1" outlineLevel="1"/>
    <col min="24" max="24" width="12.7265625" bestFit="1" customWidth="1" collapsed="1"/>
    <col min="25" max="25" width="7.1796875" hidden="1" customWidth="1" outlineLevel="1"/>
    <col min="26" max="33" width="8.81640625" hidden="1" customWidth="1" outlineLevel="1"/>
    <col min="34" max="34" width="12.7265625" bestFit="1" customWidth="1" collapsed="1"/>
    <col min="36" max="36" width="18.81640625" customWidth="1"/>
    <col min="37" max="38" width="8.81640625" hidden="1" customWidth="1" outlineLevel="1"/>
    <col min="39" max="39" width="11.17968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11.1796875" customWidth="1" collapsed="1"/>
    <col min="47" max="47" width="11.453125" hidden="1" customWidth="1" outlineLevel="1"/>
    <col min="48" max="55" width="8.81640625" hidden="1" customWidth="1" outlineLevel="1"/>
    <col min="56" max="56" width="12.7265625" bestFit="1" customWidth="1" collapsed="1"/>
    <col min="57" max="57" width="7.1796875" hidden="1" customWidth="1" outlineLevel="1"/>
    <col min="58" max="65" width="8.81640625" hidden="1" customWidth="1" outlineLevel="1"/>
    <col min="66" max="66" width="12.7265625" bestFit="1" customWidth="1" collapsed="1"/>
    <col min="67" max="68" width="8.81640625" bestFit="1" customWidth="1"/>
    <col min="69" max="69" width="27" style="624" customWidth="1"/>
    <col min="70" max="70" width="37.453125" style="624" bestFit="1" customWidth="1"/>
    <col min="71" max="90" width="8.81640625" style="624" bestFit="1" customWidth="1"/>
    <col min="91" max="97" width="8.81640625" bestFit="1" customWidth="1"/>
  </cols>
  <sheetData>
    <row r="1" spans="1:90">
      <c r="D1" s="601" t="s">
        <v>1069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J1" s="601" t="s">
        <v>1070</v>
      </c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1"/>
      <c r="AY1" s="601"/>
      <c r="AZ1" s="601"/>
      <c r="BA1" s="601"/>
      <c r="BB1" s="601"/>
      <c r="BC1" s="601"/>
      <c r="BD1" s="601"/>
      <c r="BE1" s="601"/>
      <c r="BF1" s="601"/>
      <c r="BG1" s="601"/>
      <c r="BH1" s="601"/>
      <c r="BI1" s="601"/>
      <c r="BJ1" s="601"/>
      <c r="BK1" s="601"/>
      <c r="BL1" s="601"/>
      <c r="BM1" s="601"/>
      <c r="BN1" s="601"/>
    </row>
    <row r="2" spans="1:90" s="49" customFormat="1">
      <c r="A2" s="48" t="s">
        <v>716</v>
      </c>
      <c r="B2" s="48"/>
      <c r="C2" s="48"/>
      <c r="BQ2" s="624"/>
      <c r="BR2" s="624"/>
      <c r="BS2" s="624"/>
      <c r="BT2" s="624"/>
      <c r="BU2" s="624"/>
      <c r="BV2" s="624"/>
      <c r="BW2" s="624"/>
      <c r="BX2" s="624"/>
      <c r="BY2" s="624"/>
      <c r="BZ2" s="624"/>
      <c r="CA2" s="624"/>
      <c r="CB2" s="624"/>
      <c r="CC2" s="624"/>
      <c r="CD2" s="624"/>
      <c r="CE2" s="624"/>
      <c r="CF2" s="624"/>
      <c r="CG2" s="624"/>
      <c r="CH2" s="624"/>
      <c r="CI2" s="624"/>
      <c r="CJ2" s="624"/>
      <c r="CK2" s="624"/>
      <c r="CL2" s="624"/>
    </row>
    <row r="3" spans="1:90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" si="1">AK3+1</f>
        <v>2022</v>
      </c>
      <c r="AM3" s="1">
        <f t="shared" ref="AM3" si="2">AL3+1</f>
        <v>2023</v>
      </c>
      <c r="AN3" s="1">
        <f t="shared" ref="AN3" si="3">AM3+1</f>
        <v>2024</v>
      </c>
      <c r="AO3" s="1">
        <f t="shared" ref="AO3" si="4">AN3+1</f>
        <v>2025</v>
      </c>
      <c r="AP3" s="1">
        <f t="shared" ref="AP3" si="5">AO3+1</f>
        <v>2026</v>
      </c>
      <c r="AQ3" s="1">
        <f t="shared" ref="AQ3" si="6">AP3+1</f>
        <v>2027</v>
      </c>
      <c r="AR3" s="1">
        <f t="shared" ref="AR3" si="7">AQ3+1</f>
        <v>2028</v>
      </c>
      <c r="AS3" s="1">
        <f t="shared" ref="AS3" si="8">AR3+1</f>
        <v>2029</v>
      </c>
      <c r="AT3" s="1">
        <f t="shared" ref="AT3" si="9">AS3+1</f>
        <v>2030</v>
      </c>
      <c r="AU3" s="1">
        <f t="shared" ref="AU3" si="10">AT3+1</f>
        <v>2031</v>
      </c>
      <c r="AV3" s="1">
        <f t="shared" ref="AV3" si="11">AU3+1</f>
        <v>2032</v>
      </c>
      <c r="AW3" s="1">
        <f t="shared" ref="AW3" si="12">AV3+1</f>
        <v>2033</v>
      </c>
      <c r="AX3" s="1">
        <f>AW3+1</f>
        <v>2034</v>
      </c>
      <c r="AY3" s="1">
        <f t="shared" ref="AY3" si="13">AX3+1</f>
        <v>2035</v>
      </c>
      <c r="AZ3" s="1">
        <f t="shared" ref="AZ3" si="14">AY3+1</f>
        <v>2036</v>
      </c>
      <c r="BA3" s="1">
        <f t="shared" ref="BA3" si="15">AZ3+1</f>
        <v>2037</v>
      </c>
      <c r="BB3" s="1">
        <f t="shared" ref="BB3" si="16">BA3+1</f>
        <v>2038</v>
      </c>
      <c r="BC3" s="1">
        <f t="shared" ref="BC3" si="17">BB3+1</f>
        <v>2039</v>
      </c>
      <c r="BD3" s="1">
        <f t="shared" ref="BD3" si="18">BC3+1</f>
        <v>2040</v>
      </c>
      <c r="BE3" s="1">
        <f t="shared" ref="BE3" si="19">BD3+1</f>
        <v>2041</v>
      </c>
      <c r="BF3" s="1">
        <f t="shared" ref="BF3" si="20">BE3+1</f>
        <v>2042</v>
      </c>
      <c r="BG3" s="1">
        <f t="shared" ref="BG3" si="21">BF3+1</f>
        <v>2043</v>
      </c>
      <c r="BH3" s="1">
        <f t="shared" ref="BH3" si="22">BG3+1</f>
        <v>2044</v>
      </c>
      <c r="BI3" s="1">
        <f>BH3+1</f>
        <v>2045</v>
      </c>
      <c r="BJ3" s="1">
        <f t="shared" ref="BJ3" si="23">BI3+1</f>
        <v>2046</v>
      </c>
      <c r="BK3" s="1">
        <f t="shared" ref="BK3" si="24">BJ3+1</f>
        <v>2047</v>
      </c>
      <c r="BL3" s="1">
        <f t="shared" ref="BL3" si="25">BK3+1</f>
        <v>2048</v>
      </c>
      <c r="BM3" s="1">
        <f>BL3+1</f>
        <v>2049</v>
      </c>
      <c r="BN3" s="1">
        <f t="shared" ref="BN3" si="26">BM3+1</f>
        <v>2050</v>
      </c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</row>
    <row r="4" spans="1:90" s="61" customFormat="1">
      <c r="A4" s="449" t="s">
        <v>815</v>
      </c>
      <c r="B4" s="54"/>
      <c r="C4" s="55" t="s">
        <v>1420</v>
      </c>
      <c r="D4" s="571">
        <f>'Yearly Demand - meth.'!G2</f>
        <v>1472760.9288230378</v>
      </c>
      <c r="E4" s="580">
        <f>$D4+($N4-$D4)/($N$3-$D$3)*(E$3-$D$3)</f>
        <v>1465054.3219326267</v>
      </c>
      <c r="F4" s="580">
        <f t="shared" ref="F4:M4" si="27">$D4+($N4-$D4)/($N$3-$D$3)*(F$3-$D$3)</f>
        <v>1457347.7150422155</v>
      </c>
      <c r="G4" s="580">
        <f t="shared" si="27"/>
        <v>1449641.1081518047</v>
      </c>
      <c r="H4" s="580">
        <f t="shared" si="27"/>
        <v>1441934.5012613935</v>
      </c>
      <c r="I4" s="580">
        <f t="shared" si="27"/>
        <v>1434227.8943709824</v>
      </c>
      <c r="J4" s="580">
        <f t="shared" si="27"/>
        <v>1426521.2874805713</v>
      </c>
      <c r="K4" s="580">
        <f t="shared" si="27"/>
        <v>1418814.6805901602</v>
      </c>
      <c r="L4" s="580">
        <f t="shared" si="27"/>
        <v>1411108.0736997493</v>
      </c>
      <c r="M4" s="580">
        <f t="shared" si="27"/>
        <v>1403401.4668093382</v>
      </c>
      <c r="N4" s="571">
        <f>'Yearly Demand - meth.'!I2</f>
        <v>1395694.8599189271</v>
      </c>
      <c r="O4" s="571">
        <f>$N$4+($S$4-$N$4)/($S$3-$N$3)*(O3-$N$3)</f>
        <v>1386533.1594198369</v>
      </c>
      <c r="P4" s="571">
        <f t="shared" ref="P4:R4" si="28">$N$4+($S$4-$N$4)/($S$3-$N$3)*(P3-$N$3)</f>
        <v>1377371.458920747</v>
      </c>
      <c r="Q4" s="571">
        <f t="shared" si="28"/>
        <v>1368209.7584216569</v>
      </c>
      <c r="R4" s="571">
        <f t="shared" si="28"/>
        <v>1359048.057922567</v>
      </c>
      <c r="S4" s="571">
        <f>'Yearly Demand - meth.'!J2</f>
        <v>1349886.3574234769</v>
      </c>
      <c r="T4" s="571">
        <f>$S$4+($X$4-$S$4)/($X$3-$S$3)*(T3-$S$3)</f>
        <v>1339810.8300203856</v>
      </c>
      <c r="U4" s="571">
        <f t="shared" ref="U4:W4" si="29">$S$4+($X$4-$S$4)/($X$3-$S$3)*(U3-$S$3)</f>
        <v>1329735.302617294</v>
      </c>
      <c r="V4" s="571">
        <f t="shared" si="29"/>
        <v>1319659.7752142027</v>
      </c>
      <c r="W4" s="571">
        <f t="shared" si="29"/>
        <v>1309584.2478111112</v>
      </c>
      <c r="X4" s="571">
        <f>'Yearly Demand - meth.'!K2</f>
        <v>1299508.7204080198</v>
      </c>
      <c r="Y4" s="571">
        <f>$X$4+($AC$4-$X$4)/($AC$3-$X$3)*(Y3-$X$3)</f>
        <v>1288964.5638233894</v>
      </c>
      <c r="Z4" s="571">
        <f t="shared" ref="Z4:AB4" si="30">$X$4+($AC$4-$X$4)/($AC$3-$X$3)*(Z3-$X$3)</f>
        <v>1278420.4072387589</v>
      </c>
      <c r="AA4" s="571">
        <f t="shared" si="30"/>
        <v>1267876.2506541281</v>
      </c>
      <c r="AB4" s="571">
        <f t="shared" si="30"/>
        <v>1257332.0940694977</v>
      </c>
      <c r="AC4" s="571">
        <f>'Yearly Demand - meth.'!L2</f>
        <v>1246787.9374848672</v>
      </c>
      <c r="AD4" s="571">
        <f>$AC$4+($AH$4-$AC$4)/($AH$3-$AC$3)*(AD3-$AC$3)</f>
        <v>1236243.7809002367</v>
      </c>
      <c r="AE4" s="571">
        <f t="shared" ref="AE4:AG4" si="31">$AC$4+($AH$4-$AC$4)/($AH$3-$AC$3)*(AE3-$AC$3)</f>
        <v>1225699.6243156062</v>
      </c>
      <c r="AF4" s="571">
        <f t="shared" si="31"/>
        <v>1215155.4677309755</v>
      </c>
      <c r="AG4" s="571">
        <f t="shared" si="31"/>
        <v>1204611.311146345</v>
      </c>
      <c r="AH4" s="571">
        <f>'Yearly Demand - meth.'!M2</f>
        <v>1194067.1545617145</v>
      </c>
      <c r="AI4" s="571"/>
      <c r="AJ4" s="571">
        <f>D4</f>
        <v>1472760.9288230378</v>
      </c>
      <c r="AK4" s="571">
        <f t="shared" ref="AK4:BN4" si="32">E4</f>
        <v>1465054.3219326267</v>
      </c>
      <c r="AL4" s="571">
        <f t="shared" si="32"/>
        <v>1457347.7150422155</v>
      </c>
      <c r="AM4" s="571">
        <f t="shared" si="32"/>
        <v>1449641.1081518047</v>
      </c>
      <c r="AN4" s="571">
        <f t="shared" si="32"/>
        <v>1441934.5012613935</v>
      </c>
      <c r="AO4" s="571">
        <f t="shared" si="32"/>
        <v>1434227.8943709824</v>
      </c>
      <c r="AP4" s="571">
        <f t="shared" si="32"/>
        <v>1426521.2874805713</v>
      </c>
      <c r="AQ4" s="571">
        <f t="shared" si="32"/>
        <v>1418814.6805901602</v>
      </c>
      <c r="AR4" s="571">
        <f t="shared" si="32"/>
        <v>1411108.0736997493</v>
      </c>
      <c r="AS4" s="571">
        <f t="shared" si="32"/>
        <v>1403401.4668093382</v>
      </c>
      <c r="AT4" s="571">
        <f t="shared" si="32"/>
        <v>1395694.8599189271</v>
      </c>
      <c r="AU4" s="571">
        <f t="shared" si="32"/>
        <v>1386533.1594198369</v>
      </c>
      <c r="AV4" s="571">
        <f t="shared" si="32"/>
        <v>1377371.458920747</v>
      </c>
      <c r="AW4" s="571">
        <f t="shared" si="32"/>
        <v>1368209.7584216569</v>
      </c>
      <c r="AX4" s="571">
        <f t="shared" si="32"/>
        <v>1359048.057922567</v>
      </c>
      <c r="AY4" s="571">
        <f t="shared" si="32"/>
        <v>1349886.3574234769</v>
      </c>
      <c r="AZ4" s="571">
        <f t="shared" si="32"/>
        <v>1339810.8300203856</v>
      </c>
      <c r="BA4" s="571">
        <f t="shared" si="32"/>
        <v>1329735.302617294</v>
      </c>
      <c r="BB4" s="571">
        <f t="shared" si="32"/>
        <v>1319659.7752142027</v>
      </c>
      <c r="BC4" s="571">
        <f t="shared" si="32"/>
        <v>1309584.2478111112</v>
      </c>
      <c r="BD4" s="571">
        <f t="shared" si="32"/>
        <v>1299508.7204080198</v>
      </c>
      <c r="BE4" s="571">
        <f t="shared" si="32"/>
        <v>1288964.5638233894</v>
      </c>
      <c r="BF4" s="571">
        <f t="shared" si="32"/>
        <v>1278420.4072387589</v>
      </c>
      <c r="BG4" s="571">
        <f t="shared" si="32"/>
        <v>1267876.2506541281</v>
      </c>
      <c r="BH4" s="571">
        <f t="shared" si="32"/>
        <v>1257332.0940694977</v>
      </c>
      <c r="BI4" s="571">
        <f t="shared" si="32"/>
        <v>1246787.9374848672</v>
      </c>
      <c r="BJ4" s="571">
        <f t="shared" si="32"/>
        <v>1236243.7809002367</v>
      </c>
      <c r="BK4" s="571">
        <f t="shared" si="32"/>
        <v>1225699.6243156062</v>
      </c>
      <c r="BL4" s="571">
        <f t="shared" si="32"/>
        <v>1215155.4677309755</v>
      </c>
      <c r="BM4" s="571">
        <f t="shared" si="32"/>
        <v>1204611.311146345</v>
      </c>
      <c r="BN4" s="571">
        <f t="shared" si="32"/>
        <v>1194067.1545617145</v>
      </c>
      <c r="BQ4" s="649"/>
      <c r="BR4" s="649"/>
      <c r="BS4" s="649"/>
      <c r="BT4" s="649"/>
      <c r="BU4" s="649"/>
      <c r="BV4" s="649"/>
      <c r="BW4" s="649"/>
      <c r="BX4" s="649"/>
      <c r="BY4" s="649"/>
      <c r="BZ4" s="649"/>
      <c r="CA4" s="649"/>
      <c r="CB4" s="649"/>
      <c r="CC4" s="649"/>
      <c r="CD4" s="649"/>
      <c r="CE4" s="649"/>
      <c r="CF4" s="649"/>
      <c r="CG4" s="649"/>
      <c r="CH4" s="649"/>
      <c r="CI4" s="649"/>
      <c r="CJ4" s="649"/>
      <c r="CK4" s="649"/>
      <c r="CL4" s="649"/>
    </row>
    <row r="5" spans="1:90" s="58" customFormat="1">
      <c r="A5" s="450" t="s">
        <v>816</v>
      </c>
      <c r="C5" s="59" t="s">
        <v>1420</v>
      </c>
      <c r="D5" s="577">
        <f>D4</f>
        <v>1472760.9288230378</v>
      </c>
      <c r="E5" s="577">
        <f t="shared" ref="E5:AH5" si="33">E4</f>
        <v>1465054.3219326267</v>
      </c>
      <c r="F5" s="577">
        <f t="shared" si="33"/>
        <v>1457347.7150422155</v>
      </c>
      <c r="G5" s="577">
        <f t="shared" si="33"/>
        <v>1449641.1081518047</v>
      </c>
      <c r="H5" s="577">
        <f t="shared" si="33"/>
        <v>1441934.5012613935</v>
      </c>
      <c r="I5" s="577">
        <f t="shared" si="33"/>
        <v>1434227.8943709824</v>
      </c>
      <c r="J5" s="577">
        <f t="shared" si="33"/>
        <v>1426521.2874805713</v>
      </c>
      <c r="K5" s="577">
        <f t="shared" si="33"/>
        <v>1418814.6805901602</v>
      </c>
      <c r="L5" s="577">
        <f t="shared" si="33"/>
        <v>1411108.0736997493</v>
      </c>
      <c r="M5" s="577">
        <f t="shared" si="33"/>
        <v>1403401.4668093382</v>
      </c>
      <c r="N5" s="577">
        <f t="shared" si="33"/>
        <v>1395694.8599189271</v>
      </c>
      <c r="O5" s="577">
        <f t="shared" si="33"/>
        <v>1386533.1594198369</v>
      </c>
      <c r="P5" s="577">
        <f t="shared" si="33"/>
        <v>1377371.458920747</v>
      </c>
      <c r="Q5" s="577">
        <f t="shared" si="33"/>
        <v>1368209.7584216569</v>
      </c>
      <c r="R5" s="577">
        <f t="shared" si="33"/>
        <v>1359048.057922567</v>
      </c>
      <c r="S5" s="577">
        <f t="shared" si="33"/>
        <v>1349886.3574234769</v>
      </c>
      <c r="T5" s="577">
        <f t="shared" si="33"/>
        <v>1339810.8300203856</v>
      </c>
      <c r="U5" s="577">
        <f t="shared" si="33"/>
        <v>1329735.302617294</v>
      </c>
      <c r="V5" s="577">
        <f t="shared" si="33"/>
        <v>1319659.7752142027</v>
      </c>
      <c r="W5" s="577">
        <f t="shared" si="33"/>
        <v>1309584.2478111112</v>
      </c>
      <c r="X5" s="577">
        <f t="shared" si="33"/>
        <v>1299508.7204080198</v>
      </c>
      <c r="Y5" s="577">
        <f t="shared" si="33"/>
        <v>1288964.5638233894</v>
      </c>
      <c r="Z5" s="577">
        <f t="shared" si="33"/>
        <v>1278420.4072387589</v>
      </c>
      <c r="AA5" s="577">
        <f t="shared" si="33"/>
        <v>1267876.2506541281</v>
      </c>
      <c r="AB5" s="577">
        <f t="shared" si="33"/>
        <v>1257332.0940694977</v>
      </c>
      <c r="AC5" s="577">
        <f t="shared" si="33"/>
        <v>1246787.9374848672</v>
      </c>
      <c r="AD5" s="577">
        <f t="shared" si="33"/>
        <v>1236243.7809002367</v>
      </c>
      <c r="AE5" s="577">
        <f t="shared" si="33"/>
        <v>1225699.6243156062</v>
      </c>
      <c r="AF5" s="577">
        <f t="shared" si="33"/>
        <v>1215155.4677309755</v>
      </c>
      <c r="AG5" s="577">
        <f t="shared" si="33"/>
        <v>1204611.311146345</v>
      </c>
      <c r="AH5" s="577">
        <f t="shared" si="33"/>
        <v>1194067.1545617145</v>
      </c>
      <c r="AI5" s="577"/>
      <c r="AJ5" s="577">
        <f t="shared" ref="AJ5" si="34">D5</f>
        <v>1472760.9288230378</v>
      </c>
      <c r="AK5" s="577">
        <f t="shared" ref="AK5:AK7" si="35">E5</f>
        <v>1465054.3219326267</v>
      </c>
      <c r="AL5" s="577">
        <f t="shared" ref="AL5:AL7" si="36">F5</f>
        <v>1457347.7150422155</v>
      </c>
      <c r="AM5" s="577">
        <f t="shared" ref="AM5:AM7" si="37">G5</f>
        <v>1449641.1081518047</v>
      </c>
      <c r="AN5" s="577">
        <f t="shared" ref="AN5:AN7" si="38">H5</f>
        <v>1441934.5012613935</v>
      </c>
      <c r="AO5" s="577">
        <f t="shared" ref="AO5:AO7" si="39">I5</f>
        <v>1434227.8943709824</v>
      </c>
      <c r="AP5" s="577">
        <f t="shared" ref="AP5:AP7" si="40">J5</f>
        <v>1426521.2874805713</v>
      </c>
      <c r="AQ5" s="577">
        <f t="shared" ref="AQ5:AQ7" si="41">K5</f>
        <v>1418814.6805901602</v>
      </c>
      <c r="AR5" s="577">
        <f t="shared" ref="AR5:AR7" si="42">L5</f>
        <v>1411108.0736997493</v>
      </c>
      <c r="AS5" s="577">
        <f t="shared" ref="AS5:AS7" si="43">M5</f>
        <v>1403401.4668093382</v>
      </c>
      <c r="AT5" s="577">
        <f t="shared" ref="AT5:AT7" si="44">N5</f>
        <v>1395694.8599189271</v>
      </c>
      <c r="AU5" s="577">
        <f t="shared" ref="AU5:AU7" si="45">O5</f>
        <v>1386533.1594198369</v>
      </c>
      <c r="AV5" s="577">
        <f t="shared" ref="AV5:AV7" si="46">P5</f>
        <v>1377371.458920747</v>
      </c>
      <c r="AW5" s="577">
        <f t="shared" ref="AW5:AW7" si="47">Q5</f>
        <v>1368209.7584216569</v>
      </c>
      <c r="AX5" s="577">
        <f t="shared" ref="AX5:AX7" si="48">R5</f>
        <v>1359048.057922567</v>
      </c>
      <c r="AY5" s="577">
        <f t="shared" ref="AY5:AY7" si="49">S5</f>
        <v>1349886.3574234769</v>
      </c>
      <c r="AZ5" s="577">
        <f t="shared" ref="AZ5:AZ7" si="50">T5</f>
        <v>1339810.8300203856</v>
      </c>
      <c r="BA5" s="577">
        <f t="shared" ref="BA5:BA7" si="51">U5</f>
        <v>1329735.302617294</v>
      </c>
      <c r="BB5" s="577">
        <f t="shared" ref="BB5:BB7" si="52">V5</f>
        <v>1319659.7752142027</v>
      </c>
      <c r="BC5" s="577">
        <f t="shared" ref="BC5:BC7" si="53">W5</f>
        <v>1309584.2478111112</v>
      </c>
      <c r="BD5" s="577">
        <f t="shared" ref="BD5:BD7" si="54">X5</f>
        <v>1299508.7204080198</v>
      </c>
      <c r="BE5" s="577">
        <f t="shared" ref="BE5:BE7" si="55">Y5</f>
        <v>1288964.5638233894</v>
      </c>
      <c r="BF5" s="577">
        <f t="shared" ref="BF5:BF7" si="56">Z5</f>
        <v>1278420.4072387589</v>
      </c>
      <c r="BG5" s="577">
        <f t="shared" ref="BG5:BG7" si="57">AA5</f>
        <v>1267876.2506541281</v>
      </c>
      <c r="BH5" s="577">
        <f t="shared" ref="BH5:BH7" si="58">AB5</f>
        <v>1257332.0940694977</v>
      </c>
      <c r="BI5" s="577">
        <f t="shared" ref="BI5:BI7" si="59">AC5</f>
        <v>1246787.9374848672</v>
      </c>
      <c r="BJ5" s="577">
        <f t="shared" ref="BJ5:BJ7" si="60">AD5</f>
        <v>1236243.7809002367</v>
      </c>
      <c r="BK5" s="577">
        <f t="shared" ref="BK5:BK7" si="61">AE5</f>
        <v>1225699.6243156062</v>
      </c>
      <c r="BL5" s="577">
        <f t="shared" ref="BL5:BL7" si="62">AF5</f>
        <v>1215155.4677309755</v>
      </c>
      <c r="BM5" s="577">
        <f t="shared" ref="BM5:BM7" si="63">AG5</f>
        <v>1204611.311146345</v>
      </c>
      <c r="BN5" s="577">
        <f t="shared" ref="BN5:BN7" si="64">AH5</f>
        <v>1194067.1545617145</v>
      </c>
      <c r="BO5" s="233" t="s">
        <v>817</v>
      </c>
      <c r="BQ5" s="622"/>
      <c r="BR5" s="622"/>
      <c r="BS5" s="622"/>
      <c r="BT5" s="622"/>
      <c r="BU5" s="622"/>
      <c r="BV5" s="622"/>
      <c r="BW5" s="622"/>
      <c r="BX5" s="622"/>
      <c r="BY5" s="622"/>
      <c r="BZ5" s="622"/>
      <c r="CA5" s="622"/>
      <c r="CB5" s="622"/>
      <c r="CC5" s="622"/>
      <c r="CD5" s="622"/>
      <c r="CE5" s="622"/>
      <c r="CF5" s="622"/>
      <c r="CG5" s="622"/>
      <c r="CH5" s="622"/>
      <c r="CI5" s="622"/>
      <c r="CJ5" s="622"/>
      <c r="CK5" s="622"/>
      <c r="CL5" s="622"/>
    </row>
    <row r="6" spans="1:90" ht="16.399999999999999" customHeight="1">
      <c r="A6" s="603"/>
      <c r="B6" s="1" t="s">
        <v>804</v>
      </c>
      <c r="C6" s="50" t="s">
        <v>1420</v>
      </c>
      <c r="D6" s="183">
        <f>'Sankey Methanol_detailed'!G9*D5</f>
        <v>103598.39231850725</v>
      </c>
      <c r="E6" s="183">
        <f t="shared" ref="E6:T6" si="65">$D6/$D$5*E$5</f>
        <v>103056.28662541599</v>
      </c>
      <c r="F6" s="183">
        <f t="shared" si="65"/>
        <v>102514.18093232474</v>
      </c>
      <c r="G6" s="183">
        <f t="shared" si="65"/>
        <v>101972.07523923351</v>
      </c>
      <c r="H6" s="183">
        <f t="shared" si="65"/>
        <v>101429.96954614227</v>
      </c>
      <c r="I6" s="183">
        <f t="shared" si="65"/>
        <v>100887.86385305102</v>
      </c>
      <c r="J6" s="183">
        <f t="shared" si="65"/>
        <v>100345.75815995978</v>
      </c>
      <c r="K6" s="183">
        <f t="shared" si="65"/>
        <v>99803.652466868531</v>
      </c>
      <c r="L6" s="183">
        <f t="shared" si="65"/>
        <v>99261.5467737773</v>
      </c>
      <c r="M6" s="183">
        <f t="shared" si="65"/>
        <v>98719.441080686054</v>
      </c>
      <c r="N6" s="183">
        <f>$D6/$D$5*N$5</f>
        <v>98177.335387594809</v>
      </c>
      <c r="O6" s="183">
        <f t="shared" si="65"/>
        <v>97532.874074129679</v>
      </c>
      <c r="P6" s="183">
        <f t="shared" si="65"/>
        <v>96888.412760664578</v>
      </c>
      <c r="Q6" s="183">
        <f t="shared" si="65"/>
        <v>96243.951447199463</v>
      </c>
      <c r="R6" s="183">
        <f t="shared" si="65"/>
        <v>95599.490133734362</v>
      </c>
      <c r="S6" s="183">
        <f t="shared" si="65"/>
        <v>94955.028820269246</v>
      </c>
      <c r="T6" s="183">
        <f t="shared" si="65"/>
        <v>94246.28619932296</v>
      </c>
      <c r="U6" s="183">
        <f t="shared" ref="U6:AH6" si="66">$D6/$D$5*U$5</f>
        <v>93537.543578376659</v>
      </c>
      <c r="V6" s="183">
        <f t="shared" si="66"/>
        <v>92828.800957430372</v>
      </c>
      <c r="W6" s="183">
        <f t="shared" si="66"/>
        <v>92120.058336484071</v>
      </c>
      <c r="X6" s="183">
        <f t="shared" si="66"/>
        <v>91411.315715537785</v>
      </c>
      <c r="Y6" s="183">
        <f t="shared" si="66"/>
        <v>90669.608321524225</v>
      </c>
      <c r="Z6" s="183">
        <f t="shared" si="66"/>
        <v>89927.900927510665</v>
      </c>
      <c r="AA6" s="183">
        <f t="shared" si="66"/>
        <v>89186.193533497106</v>
      </c>
      <c r="AB6" s="183">
        <f t="shared" si="66"/>
        <v>88444.486139483546</v>
      </c>
      <c r="AC6" s="183">
        <f t="shared" si="66"/>
        <v>87702.778745469986</v>
      </c>
      <c r="AD6" s="183">
        <f t="shared" si="66"/>
        <v>86961.071351456427</v>
      </c>
      <c r="AE6" s="183">
        <f t="shared" si="66"/>
        <v>86219.363957442867</v>
      </c>
      <c r="AF6" s="183">
        <f t="shared" si="66"/>
        <v>85477.656563429293</v>
      </c>
      <c r="AG6" s="183">
        <f t="shared" si="66"/>
        <v>84735.949169415748</v>
      </c>
      <c r="AH6" s="183">
        <f t="shared" si="66"/>
        <v>83994.241775402188</v>
      </c>
      <c r="AI6" s="183"/>
      <c r="AJ6" s="183">
        <f t="shared" ref="AJ6:AJ7" si="67">D6</f>
        <v>103598.39231850725</v>
      </c>
      <c r="AK6" s="183">
        <f t="shared" si="35"/>
        <v>103056.28662541599</v>
      </c>
      <c r="AL6" s="183">
        <f t="shared" si="36"/>
        <v>102514.18093232474</v>
      </c>
      <c r="AM6" s="183">
        <f t="shared" si="37"/>
        <v>101972.07523923351</v>
      </c>
      <c r="AN6" s="183">
        <f t="shared" si="38"/>
        <v>101429.96954614227</v>
      </c>
      <c r="AO6" s="183">
        <f t="shared" si="39"/>
        <v>100887.86385305102</v>
      </c>
      <c r="AP6" s="183">
        <f t="shared" si="40"/>
        <v>100345.75815995978</v>
      </c>
      <c r="AQ6" s="183">
        <f t="shared" si="41"/>
        <v>99803.652466868531</v>
      </c>
      <c r="AR6" s="183">
        <f t="shared" si="42"/>
        <v>99261.5467737773</v>
      </c>
      <c r="AS6" s="183">
        <f t="shared" si="43"/>
        <v>98719.441080686054</v>
      </c>
      <c r="AT6" s="183">
        <f t="shared" si="44"/>
        <v>98177.335387594809</v>
      </c>
      <c r="AU6" s="183">
        <f t="shared" si="45"/>
        <v>97532.874074129679</v>
      </c>
      <c r="AV6" s="183">
        <f t="shared" si="46"/>
        <v>96888.412760664578</v>
      </c>
      <c r="AW6" s="183">
        <f t="shared" si="47"/>
        <v>96243.951447199463</v>
      </c>
      <c r="AX6" s="183">
        <f t="shared" si="48"/>
        <v>95599.490133734362</v>
      </c>
      <c r="AY6" s="183">
        <f t="shared" si="49"/>
        <v>94955.028820269246</v>
      </c>
      <c r="AZ6" s="183">
        <f t="shared" si="50"/>
        <v>94246.28619932296</v>
      </c>
      <c r="BA6" s="183">
        <f t="shared" si="51"/>
        <v>93537.543578376659</v>
      </c>
      <c r="BB6" s="183">
        <f t="shared" si="52"/>
        <v>92828.800957430372</v>
      </c>
      <c r="BC6" s="183">
        <f t="shared" si="53"/>
        <v>92120.058336484071</v>
      </c>
      <c r="BD6" s="183">
        <f t="shared" si="54"/>
        <v>91411.315715537785</v>
      </c>
      <c r="BE6" s="183">
        <f t="shared" si="55"/>
        <v>90669.608321524225</v>
      </c>
      <c r="BF6" s="183">
        <f t="shared" si="56"/>
        <v>89927.900927510665</v>
      </c>
      <c r="BG6" s="183">
        <f t="shared" si="57"/>
        <v>89186.193533497106</v>
      </c>
      <c r="BH6" s="183">
        <f t="shared" si="58"/>
        <v>88444.486139483546</v>
      </c>
      <c r="BI6" s="183">
        <f t="shared" si="59"/>
        <v>87702.778745469986</v>
      </c>
      <c r="BJ6" s="183">
        <f t="shared" si="60"/>
        <v>86961.071351456427</v>
      </c>
      <c r="BK6" s="183">
        <f t="shared" si="61"/>
        <v>86219.363957442867</v>
      </c>
      <c r="BL6" s="183">
        <f t="shared" si="62"/>
        <v>85477.656563429293</v>
      </c>
      <c r="BM6" s="183">
        <f t="shared" si="63"/>
        <v>84735.949169415748</v>
      </c>
      <c r="BN6" s="183">
        <f t="shared" si="64"/>
        <v>83994.241775402188</v>
      </c>
      <c r="BY6" s="630"/>
      <c r="BZ6" s="651"/>
      <c r="CA6" s="652"/>
      <c r="CB6" s="651"/>
      <c r="CC6" s="653"/>
      <c r="CD6" s="654"/>
      <c r="CE6" s="654"/>
      <c r="CF6" s="651"/>
      <c r="CG6" s="651"/>
      <c r="CH6" s="651"/>
      <c r="CI6" s="651"/>
      <c r="CJ6" s="651"/>
    </row>
    <row r="7" spans="1:90">
      <c r="A7" s="603"/>
      <c r="B7" s="1" t="s">
        <v>1063</v>
      </c>
      <c r="C7" s="50" t="s">
        <v>1420</v>
      </c>
      <c r="D7" s="183">
        <f>D10</f>
        <v>0</v>
      </c>
      <c r="E7" s="183">
        <f t="shared" ref="E7:AH7" si="68">E10</f>
        <v>0</v>
      </c>
      <c r="F7" s="183">
        <f t="shared" si="68"/>
        <v>0</v>
      </c>
      <c r="G7" s="183">
        <f t="shared" si="68"/>
        <v>0</v>
      </c>
      <c r="H7" s="183">
        <f t="shared" si="68"/>
        <v>0</v>
      </c>
      <c r="I7" s="183">
        <f t="shared" si="68"/>
        <v>0</v>
      </c>
      <c r="J7" s="183">
        <f t="shared" si="68"/>
        <v>0</v>
      </c>
      <c r="K7" s="183">
        <f t="shared" si="68"/>
        <v>0</v>
      </c>
      <c r="L7" s="183">
        <f t="shared" si="68"/>
        <v>0</v>
      </c>
      <c r="M7" s="183">
        <f t="shared" si="68"/>
        <v>0</v>
      </c>
      <c r="N7" s="183">
        <f t="shared" si="68"/>
        <v>0</v>
      </c>
      <c r="O7" s="183">
        <f t="shared" si="68"/>
        <v>0</v>
      </c>
      <c r="P7" s="183">
        <f t="shared" si="68"/>
        <v>0</v>
      </c>
      <c r="Q7" s="183">
        <f t="shared" si="68"/>
        <v>0</v>
      </c>
      <c r="R7" s="183">
        <f t="shared" si="68"/>
        <v>0</v>
      </c>
      <c r="S7" s="183">
        <f t="shared" si="68"/>
        <v>0</v>
      </c>
      <c r="T7" s="183">
        <f t="shared" si="68"/>
        <v>0</v>
      </c>
      <c r="U7" s="183">
        <f t="shared" si="68"/>
        <v>0</v>
      </c>
      <c r="V7" s="183">
        <f t="shared" si="68"/>
        <v>0</v>
      </c>
      <c r="W7" s="183">
        <f t="shared" si="68"/>
        <v>0</v>
      </c>
      <c r="X7" s="183">
        <f t="shared" si="68"/>
        <v>0</v>
      </c>
      <c r="Y7" s="183">
        <f t="shared" si="68"/>
        <v>0</v>
      </c>
      <c r="Z7" s="183">
        <f t="shared" si="68"/>
        <v>0</v>
      </c>
      <c r="AA7" s="183">
        <f t="shared" si="68"/>
        <v>0</v>
      </c>
      <c r="AB7" s="183">
        <f t="shared" si="68"/>
        <v>0</v>
      </c>
      <c r="AC7" s="183">
        <f t="shared" si="68"/>
        <v>0</v>
      </c>
      <c r="AD7" s="183">
        <f t="shared" si="68"/>
        <v>0</v>
      </c>
      <c r="AE7" s="183">
        <f t="shared" si="68"/>
        <v>0</v>
      </c>
      <c r="AF7" s="183">
        <f t="shared" si="68"/>
        <v>0</v>
      </c>
      <c r="AG7" s="183">
        <f t="shared" si="68"/>
        <v>0</v>
      </c>
      <c r="AH7" s="183">
        <f t="shared" si="68"/>
        <v>0</v>
      </c>
      <c r="AI7" s="183"/>
      <c r="AJ7" s="183">
        <f t="shared" si="67"/>
        <v>0</v>
      </c>
      <c r="AK7" s="183">
        <f t="shared" si="35"/>
        <v>0</v>
      </c>
      <c r="AL7" s="183">
        <f t="shared" si="36"/>
        <v>0</v>
      </c>
      <c r="AM7" s="183">
        <f t="shared" si="37"/>
        <v>0</v>
      </c>
      <c r="AN7" s="183">
        <f t="shared" si="38"/>
        <v>0</v>
      </c>
      <c r="AO7" s="183">
        <f t="shared" si="39"/>
        <v>0</v>
      </c>
      <c r="AP7" s="183">
        <f t="shared" si="40"/>
        <v>0</v>
      </c>
      <c r="AQ7" s="183">
        <f t="shared" si="41"/>
        <v>0</v>
      </c>
      <c r="AR7" s="183">
        <f t="shared" si="42"/>
        <v>0</v>
      </c>
      <c r="AS7" s="183">
        <f t="shared" si="43"/>
        <v>0</v>
      </c>
      <c r="AT7" s="183">
        <f t="shared" si="44"/>
        <v>0</v>
      </c>
      <c r="AU7" s="183">
        <f t="shared" si="45"/>
        <v>0</v>
      </c>
      <c r="AV7" s="183">
        <f t="shared" si="46"/>
        <v>0</v>
      </c>
      <c r="AW7" s="183">
        <f t="shared" si="47"/>
        <v>0</v>
      </c>
      <c r="AX7" s="183">
        <f t="shared" si="48"/>
        <v>0</v>
      </c>
      <c r="AY7" s="183">
        <f t="shared" si="49"/>
        <v>0</v>
      </c>
      <c r="AZ7" s="183">
        <f t="shared" si="50"/>
        <v>0</v>
      </c>
      <c r="BA7" s="183">
        <f t="shared" si="51"/>
        <v>0</v>
      </c>
      <c r="BB7" s="183">
        <f t="shared" si="52"/>
        <v>0</v>
      </c>
      <c r="BC7" s="183">
        <f t="shared" si="53"/>
        <v>0</v>
      </c>
      <c r="BD7" s="183">
        <f t="shared" si="54"/>
        <v>0</v>
      </c>
      <c r="BE7" s="183">
        <f t="shared" si="55"/>
        <v>0</v>
      </c>
      <c r="BF7" s="183">
        <f t="shared" si="56"/>
        <v>0</v>
      </c>
      <c r="BG7" s="183">
        <f t="shared" si="57"/>
        <v>0</v>
      </c>
      <c r="BH7" s="183">
        <f t="shared" si="58"/>
        <v>0</v>
      </c>
      <c r="BI7" s="183">
        <f t="shared" si="59"/>
        <v>0</v>
      </c>
      <c r="BJ7" s="183">
        <f t="shared" si="60"/>
        <v>0</v>
      </c>
      <c r="BK7" s="183">
        <f t="shared" si="61"/>
        <v>0</v>
      </c>
      <c r="BL7" s="183">
        <f t="shared" si="62"/>
        <v>0</v>
      </c>
      <c r="BM7" s="183">
        <f t="shared" si="63"/>
        <v>0</v>
      </c>
      <c r="BN7" s="183">
        <f t="shared" si="64"/>
        <v>0</v>
      </c>
    </row>
    <row r="8" spans="1:90" s="62" customFormat="1">
      <c r="A8" s="604"/>
      <c r="B8" s="58" t="s">
        <v>27</v>
      </c>
      <c r="C8" s="233" t="s">
        <v>1420</v>
      </c>
      <c r="D8" s="528">
        <f>D5-D6-D7</f>
        <v>1369162.5365045306</v>
      </c>
      <c r="E8" s="528">
        <f t="shared" ref="E8:AH8" si="69">E5-E6-E7</f>
        <v>1361998.0353072106</v>
      </c>
      <c r="F8" s="528">
        <f t="shared" si="69"/>
        <v>1354833.5341098907</v>
      </c>
      <c r="G8" s="528">
        <f t="shared" si="69"/>
        <v>1347669.0329125712</v>
      </c>
      <c r="H8" s="528">
        <f t="shared" si="69"/>
        <v>1340504.5317152513</v>
      </c>
      <c r="I8" s="528">
        <f t="shared" si="69"/>
        <v>1333340.0305179313</v>
      </c>
      <c r="J8" s="528">
        <f t="shared" si="69"/>
        <v>1326175.5293206116</v>
      </c>
      <c r="K8" s="528">
        <f t="shared" si="69"/>
        <v>1319011.0281232917</v>
      </c>
      <c r="L8" s="528">
        <f t="shared" si="69"/>
        <v>1311846.526925972</v>
      </c>
      <c r="M8" s="528">
        <f t="shared" si="69"/>
        <v>1304682.0257286523</v>
      </c>
      <c r="N8" s="528">
        <f t="shared" si="69"/>
        <v>1297517.5245313323</v>
      </c>
      <c r="O8" s="528">
        <f t="shared" si="69"/>
        <v>1289000.2853457073</v>
      </c>
      <c r="P8" s="528">
        <f t="shared" si="69"/>
        <v>1280483.0461600826</v>
      </c>
      <c r="Q8" s="528">
        <f t="shared" si="69"/>
        <v>1271965.8069744573</v>
      </c>
      <c r="R8" s="528">
        <f t="shared" si="69"/>
        <v>1263448.5677888326</v>
      </c>
      <c r="S8" s="528">
        <f t="shared" si="69"/>
        <v>1254931.3286032076</v>
      </c>
      <c r="T8" s="528">
        <f t="shared" si="69"/>
        <v>1245564.5438210627</v>
      </c>
      <c r="U8" s="528">
        <f t="shared" si="69"/>
        <v>1236197.7590389173</v>
      </c>
      <c r="V8" s="528">
        <f t="shared" si="69"/>
        <v>1226830.9742567723</v>
      </c>
      <c r="W8" s="528">
        <f t="shared" si="69"/>
        <v>1217464.1894746271</v>
      </c>
      <c r="X8" s="528">
        <f t="shared" si="69"/>
        <v>1208097.404692482</v>
      </c>
      <c r="Y8" s="528">
        <f t="shared" si="69"/>
        <v>1198294.9555018651</v>
      </c>
      <c r="Z8" s="528">
        <f t="shared" si="69"/>
        <v>1188492.5063112483</v>
      </c>
      <c r="AA8" s="528">
        <f t="shared" si="69"/>
        <v>1178690.057120631</v>
      </c>
      <c r="AB8" s="528">
        <f t="shared" si="69"/>
        <v>1168887.6079300141</v>
      </c>
      <c r="AC8" s="528">
        <f t="shared" si="69"/>
        <v>1159085.1587393973</v>
      </c>
      <c r="AD8" s="528">
        <f t="shared" si="69"/>
        <v>1149282.7095487802</v>
      </c>
      <c r="AE8" s="528">
        <f t="shared" si="69"/>
        <v>1139480.2603581634</v>
      </c>
      <c r="AF8" s="528">
        <f t="shared" si="69"/>
        <v>1129677.8111675461</v>
      </c>
      <c r="AG8" s="528">
        <f t="shared" si="69"/>
        <v>1119875.3619769292</v>
      </c>
      <c r="AH8" s="528">
        <f t="shared" si="69"/>
        <v>1110072.9127863124</v>
      </c>
      <c r="AI8" s="528"/>
      <c r="AJ8" s="528">
        <f>AJ5-AJ6-AJ7</f>
        <v>1369162.5365045306</v>
      </c>
      <c r="AK8" s="528">
        <f t="shared" ref="AK8" si="70">AK5-AK6-AK7</f>
        <v>1361998.0353072106</v>
      </c>
      <c r="AL8" s="528">
        <f t="shared" ref="AL8" si="71">AL5-AL6-AL7</f>
        <v>1354833.5341098907</v>
      </c>
      <c r="AM8" s="528">
        <f t="shared" ref="AM8" si="72">AM5-AM6-AM7</f>
        <v>1347669.0329125712</v>
      </c>
      <c r="AN8" s="528">
        <f t="shared" ref="AN8" si="73">AN5-AN6-AN7</f>
        <v>1340504.5317152513</v>
      </c>
      <c r="AO8" s="528">
        <f t="shared" ref="AO8" si="74">AO5-AO6-AO7</f>
        <v>1333340.0305179313</v>
      </c>
      <c r="AP8" s="528">
        <f t="shared" ref="AP8" si="75">AP5-AP6-AP7</f>
        <v>1326175.5293206116</v>
      </c>
      <c r="AQ8" s="528">
        <f t="shared" ref="AQ8" si="76">AQ5-AQ6-AQ7</f>
        <v>1319011.0281232917</v>
      </c>
      <c r="AR8" s="528">
        <f t="shared" ref="AR8" si="77">AR5-AR6-AR7</f>
        <v>1311846.526925972</v>
      </c>
      <c r="AS8" s="528">
        <f t="shared" ref="AS8" si="78">AS5-AS6-AS7</f>
        <v>1304682.0257286523</v>
      </c>
      <c r="AT8" s="528">
        <f t="shared" ref="AT8" si="79">AT5-AT6-AT7</f>
        <v>1297517.5245313323</v>
      </c>
      <c r="AU8" s="528">
        <f t="shared" ref="AU8" si="80">AU5-AU6-AU7</f>
        <v>1289000.2853457073</v>
      </c>
      <c r="AV8" s="528">
        <f t="shared" ref="AV8" si="81">AV5-AV6-AV7</f>
        <v>1280483.0461600826</v>
      </c>
      <c r="AW8" s="528">
        <f t="shared" ref="AW8" si="82">AW5-AW6-AW7</f>
        <v>1271965.8069744573</v>
      </c>
      <c r="AX8" s="528">
        <f t="shared" ref="AX8" si="83">AX5-AX6-AX7</f>
        <v>1263448.5677888326</v>
      </c>
      <c r="AY8" s="528">
        <f t="shared" ref="AY8" si="84">AY5-AY6-AY7</f>
        <v>1254931.3286032076</v>
      </c>
      <c r="AZ8" s="528">
        <f t="shared" ref="AZ8" si="85">AZ5-AZ6-AZ7</f>
        <v>1245564.5438210627</v>
      </c>
      <c r="BA8" s="528">
        <f t="shared" ref="BA8" si="86">BA5-BA6-BA7</f>
        <v>1236197.7590389173</v>
      </c>
      <c r="BB8" s="528">
        <f t="shared" ref="BB8" si="87">BB5-BB6-BB7</f>
        <v>1226830.9742567723</v>
      </c>
      <c r="BC8" s="528">
        <f t="shared" ref="BC8" si="88">BC5-BC6-BC7</f>
        <v>1217464.1894746271</v>
      </c>
      <c r="BD8" s="528">
        <f t="shared" ref="BD8" si="89">BD5-BD6-BD7</f>
        <v>1208097.404692482</v>
      </c>
      <c r="BE8" s="528">
        <f t="shared" ref="BE8" si="90">BE5-BE6-BE7</f>
        <v>1198294.9555018651</v>
      </c>
      <c r="BF8" s="528">
        <f t="shared" ref="BF8" si="91">BF5-BF6-BF7</f>
        <v>1188492.5063112483</v>
      </c>
      <c r="BG8" s="528">
        <f t="shared" ref="BG8" si="92">BG5-BG6-BG7</f>
        <v>1178690.057120631</v>
      </c>
      <c r="BH8" s="528">
        <f t="shared" ref="BH8" si="93">BH5-BH6-BH7</f>
        <v>1168887.6079300141</v>
      </c>
      <c r="BI8" s="528">
        <f t="shared" ref="BI8" si="94">BI5-BI6-BI7</f>
        <v>1159085.1587393973</v>
      </c>
      <c r="BJ8" s="528">
        <f t="shared" ref="BJ8" si="95">BJ5-BJ6-BJ7</f>
        <v>1149282.7095487802</v>
      </c>
      <c r="BK8" s="528">
        <f t="shared" ref="BK8" si="96">BK5-BK6-BK7</f>
        <v>1139480.2603581634</v>
      </c>
      <c r="BL8" s="528">
        <f t="shared" ref="BL8" si="97">BL5-BL6-BL7</f>
        <v>1129677.8111675461</v>
      </c>
      <c r="BM8" s="528">
        <f t="shared" ref="BM8" si="98">BM5-BM6-BM7</f>
        <v>1119875.3619769292</v>
      </c>
      <c r="BN8" s="528">
        <f t="shared" ref="BN8" si="99">BN5-BN6-BN7</f>
        <v>1110072.9127863124</v>
      </c>
      <c r="BQ8" s="623"/>
      <c r="BR8" s="623"/>
      <c r="BS8" s="623"/>
      <c r="BT8" s="623"/>
      <c r="BU8" s="623"/>
      <c r="BV8" s="623"/>
      <c r="BW8" s="623"/>
      <c r="BX8" s="623"/>
      <c r="BY8" s="630"/>
      <c r="BZ8" s="655"/>
      <c r="CA8" s="623"/>
      <c r="CB8" s="633"/>
      <c r="CC8" s="639"/>
      <c r="CD8" s="656"/>
      <c r="CE8" s="633"/>
      <c r="CF8" s="631"/>
      <c r="CG8" s="639"/>
      <c r="CH8" s="623"/>
      <c r="CI8" s="631"/>
      <c r="CJ8" s="623"/>
      <c r="CK8" s="657"/>
      <c r="CL8" s="623"/>
    </row>
    <row r="9" spans="1:90">
      <c r="C9" s="50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Y9" s="630"/>
      <c r="BZ9" s="631"/>
      <c r="CA9" s="632"/>
      <c r="CB9" s="633"/>
      <c r="CD9" s="631"/>
      <c r="CE9" s="634"/>
      <c r="CF9" s="635"/>
      <c r="CG9" s="636"/>
      <c r="CH9" s="635"/>
      <c r="CJ9" s="631"/>
    </row>
    <row r="10" spans="1:90">
      <c r="A10" s="54" t="s">
        <v>818</v>
      </c>
      <c r="B10" s="54" t="s">
        <v>819</v>
      </c>
      <c r="C10" s="61"/>
      <c r="D10" s="571">
        <f>'R&amp;S - Transportation'!F4</f>
        <v>0</v>
      </c>
      <c r="E10" s="571">
        <f>$D$10*(1+'R&amp;S - Transportation'!$B$6)^(E3-$D$3)</f>
        <v>0</v>
      </c>
      <c r="F10" s="571">
        <f>$D$10*(1+'R&amp;S - Transportation'!$B$6)^(F3-$D$3)</f>
        <v>0</v>
      </c>
      <c r="G10" s="571">
        <f>$D$10*(1+'R&amp;S - Transportation'!$B$6)^(G3-$D$3)</f>
        <v>0</v>
      </c>
      <c r="H10" s="571">
        <f>$D$10*(1+'R&amp;S - Transportation'!$B$6)^(H3-$D$3)</f>
        <v>0</v>
      </c>
      <c r="I10" s="571">
        <f>$D$10*(1+'R&amp;S - Transportation'!$B$6)^(I3-$D$3)</f>
        <v>0</v>
      </c>
      <c r="J10" s="571">
        <f>$D$10*(1+'R&amp;S - Transportation'!$B$6)^(J3-$D$3)</f>
        <v>0</v>
      </c>
      <c r="K10" s="571">
        <f>$D$10*(1+'R&amp;S - Transportation'!$B$6)^(K3-$D$3)</f>
        <v>0</v>
      </c>
      <c r="L10" s="571">
        <f>$D$10*(1+'R&amp;S - Transportation'!$B$6)^(L3-$D$3)</f>
        <v>0</v>
      </c>
      <c r="M10" s="571">
        <f>$D$10*(1+'R&amp;S - Transportation'!$B$6)^(M3-$D$3)</f>
        <v>0</v>
      </c>
      <c r="N10" s="571">
        <f>$D$10*(1+'R&amp;S - Transportation'!$B$6)^(N3-$D$3)</f>
        <v>0</v>
      </c>
      <c r="O10" s="571">
        <f>$D$10*(1+'R&amp;S - Transportation'!$B$6)^(O3-$D$3)</f>
        <v>0</v>
      </c>
      <c r="P10" s="571">
        <f>$D$10*(1+'R&amp;S - Transportation'!$B$6)^(P3-$D$3)</f>
        <v>0</v>
      </c>
      <c r="Q10" s="571">
        <f>$D$10*(1+'R&amp;S - Transportation'!$B$6)^(Q3-$D$3)</f>
        <v>0</v>
      </c>
      <c r="R10" s="571">
        <f>$D$10*(1+'R&amp;S - Transportation'!$B$6)^(R3-$D$3)</f>
        <v>0</v>
      </c>
      <c r="S10" s="571">
        <f>$D$10*(1+'R&amp;S - Transportation'!$B$6)^(S3-$D$3)</f>
        <v>0</v>
      </c>
      <c r="T10" s="571">
        <f>$D$10*(1+'R&amp;S - Transportation'!$B$6)^(T3-$D$3)</f>
        <v>0</v>
      </c>
      <c r="U10" s="571">
        <f>$D$10*(1+'R&amp;S - Transportation'!$B$6)^(U3-$D$3)</f>
        <v>0</v>
      </c>
      <c r="V10" s="571">
        <f>$D$10*(1+'R&amp;S - Transportation'!$B$6)^(V3-$D$3)</f>
        <v>0</v>
      </c>
      <c r="W10" s="571">
        <f>$D$10*(1+'R&amp;S - Transportation'!$B$6)^(W3-$D$3)</f>
        <v>0</v>
      </c>
      <c r="X10" s="571">
        <f>$D$10*(1+'R&amp;S - Transportation'!$B$6)^(X3-$D$3)</f>
        <v>0</v>
      </c>
      <c r="Y10" s="571">
        <f>$D$10*(1+'R&amp;S - Transportation'!$B$6)^(Y3-$D$3)</f>
        <v>0</v>
      </c>
      <c r="Z10" s="571">
        <f>$D$10*(1+'R&amp;S - Transportation'!$B$6)^(Z3-$D$3)</f>
        <v>0</v>
      </c>
      <c r="AA10" s="571">
        <f>$D$10*(1+'R&amp;S - Transportation'!$B$6)^(AA3-$D$3)</f>
        <v>0</v>
      </c>
      <c r="AB10" s="571">
        <f>$D$10*(1+'R&amp;S - Transportation'!$B$6)^(AB3-$D$3)</f>
        <v>0</v>
      </c>
      <c r="AC10" s="571">
        <f>$D$10*(1+'R&amp;S - Transportation'!$B$6)^(AC3-$D$3)</f>
        <v>0</v>
      </c>
      <c r="AD10" s="571">
        <f>$D$10*(1+'R&amp;S - Transportation'!$B$6)^(AD3-$D$3)</f>
        <v>0</v>
      </c>
      <c r="AE10" s="571">
        <f>$D$10*(1+'R&amp;S - Transportation'!$B$6)^(AE3-$D$3)</f>
        <v>0</v>
      </c>
      <c r="AF10" s="571">
        <f>$D$10*(1+'R&amp;S - Transportation'!$B$6)^(AF3-$D$3)</f>
        <v>0</v>
      </c>
      <c r="AG10" s="571">
        <f>$D$10*(1+'R&amp;S - Transportation'!$B$6)^(AG3-$D$3)</f>
        <v>0</v>
      </c>
      <c r="AH10" s="571">
        <f>$D$10*(1+'R&amp;S - Transportation'!$B$6)^(AH3-$D$3)</f>
        <v>0</v>
      </c>
      <c r="AI10" s="99"/>
      <c r="AJ10" s="571">
        <f>D10</f>
        <v>0</v>
      </c>
      <c r="AK10" s="571">
        <f t="shared" ref="AK10:BN10" si="100">E10</f>
        <v>0</v>
      </c>
      <c r="AL10" s="571">
        <f t="shared" si="100"/>
        <v>0</v>
      </c>
      <c r="AM10" s="571">
        <f t="shared" si="100"/>
        <v>0</v>
      </c>
      <c r="AN10" s="571">
        <f t="shared" si="100"/>
        <v>0</v>
      </c>
      <c r="AO10" s="571">
        <f t="shared" si="100"/>
        <v>0</v>
      </c>
      <c r="AP10" s="571">
        <f t="shared" si="100"/>
        <v>0</v>
      </c>
      <c r="AQ10" s="571">
        <f t="shared" si="100"/>
        <v>0</v>
      </c>
      <c r="AR10" s="571">
        <f t="shared" si="100"/>
        <v>0</v>
      </c>
      <c r="AS10" s="571">
        <f t="shared" si="100"/>
        <v>0</v>
      </c>
      <c r="AT10" s="571">
        <f t="shared" si="100"/>
        <v>0</v>
      </c>
      <c r="AU10" s="571">
        <f t="shared" si="100"/>
        <v>0</v>
      </c>
      <c r="AV10" s="571">
        <f t="shared" si="100"/>
        <v>0</v>
      </c>
      <c r="AW10" s="571">
        <f t="shared" si="100"/>
        <v>0</v>
      </c>
      <c r="AX10" s="571">
        <f t="shared" si="100"/>
        <v>0</v>
      </c>
      <c r="AY10" s="571">
        <f t="shared" si="100"/>
        <v>0</v>
      </c>
      <c r="AZ10" s="571">
        <f t="shared" si="100"/>
        <v>0</v>
      </c>
      <c r="BA10" s="571">
        <f t="shared" si="100"/>
        <v>0</v>
      </c>
      <c r="BB10" s="571">
        <f t="shared" si="100"/>
        <v>0</v>
      </c>
      <c r="BC10" s="571">
        <f t="shared" si="100"/>
        <v>0</v>
      </c>
      <c r="BD10" s="571">
        <f t="shared" si="100"/>
        <v>0</v>
      </c>
      <c r="BE10" s="571">
        <f t="shared" si="100"/>
        <v>0</v>
      </c>
      <c r="BF10" s="571">
        <f t="shared" si="100"/>
        <v>0</v>
      </c>
      <c r="BG10" s="571">
        <f t="shared" si="100"/>
        <v>0</v>
      </c>
      <c r="BH10" s="571">
        <f t="shared" si="100"/>
        <v>0</v>
      </c>
      <c r="BI10" s="571">
        <f t="shared" si="100"/>
        <v>0</v>
      </c>
      <c r="BJ10" s="571">
        <f t="shared" si="100"/>
        <v>0</v>
      </c>
      <c r="BK10" s="571">
        <f t="shared" si="100"/>
        <v>0</v>
      </c>
      <c r="BL10" s="571">
        <f t="shared" si="100"/>
        <v>0</v>
      </c>
      <c r="BM10" s="571">
        <f t="shared" si="100"/>
        <v>0</v>
      </c>
      <c r="BN10" s="571">
        <f t="shared" si="100"/>
        <v>0</v>
      </c>
      <c r="BY10" s="630"/>
      <c r="CF10" s="637"/>
      <c r="CG10" s="637"/>
      <c r="CH10" s="637"/>
    </row>
    <row r="11" spans="1:90">
      <c r="B11" s="1" t="s">
        <v>820</v>
      </c>
      <c r="D11" s="99">
        <f>D10*('R&amp;S - Transportation'!$D$19*(D3-$D$3)/10)</f>
        <v>0</v>
      </c>
      <c r="E11" s="99">
        <f>E10*'R&amp;S - Transportation'!$B$9*'R&amp;S - Transportation'!$D$19*(E3-$D$3)/10</f>
        <v>0</v>
      </c>
      <c r="F11" s="99">
        <f>F10*'R&amp;S - Transportation'!$B$9*'R&amp;S - Transportation'!$D$19*(F3-$D$3)/10</f>
        <v>0</v>
      </c>
      <c r="G11" s="99">
        <f>G10*'R&amp;S - Transportation'!$B$9*'R&amp;S - Transportation'!$D$19*(G3-$D$3)/10</f>
        <v>0</v>
      </c>
      <c r="H11" s="99">
        <f>H10*'R&amp;S - Transportation'!$B$9*'R&amp;S - Transportation'!$D$19*(H3-$D$3)/10</f>
        <v>0</v>
      </c>
      <c r="I11" s="99">
        <f>I10*'R&amp;S - Transportation'!$B$9*'R&amp;S - Transportation'!$D$19*(I3-$D$3)/10</f>
        <v>0</v>
      </c>
      <c r="J11" s="99">
        <f>J10*'R&amp;S - Transportation'!$B$9*'R&amp;S - Transportation'!$D$19*(J3-$D$3)/10</f>
        <v>0</v>
      </c>
      <c r="K11" s="99">
        <f>K10*'R&amp;S - Transportation'!$B$9*'R&amp;S - Transportation'!$D$19*(K3-$D$3)/10</f>
        <v>0</v>
      </c>
      <c r="L11" s="99">
        <f>L10*'R&amp;S - Transportation'!$B$9*'R&amp;S - Transportation'!$D$19*(L3-$D$3)/10</f>
        <v>0</v>
      </c>
      <c r="M11" s="99">
        <f>M10*'R&amp;S - Transportation'!$B$9*'R&amp;S - Transportation'!$D$19*(M3-$D$3)/10</f>
        <v>0</v>
      </c>
      <c r="N11" s="99">
        <f>N10*'R&amp;S - Transportation'!$B$9*'R&amp;S - Transportation'!$D$19*(N3-$D$3)/10</f>
        <v>0</v>
      </c>
      <c r="O11" s="99">
        <f>O10*'R&amp;S - Transportation'!$B$9*('R&amp;S - Transportation'!$D$19+('R&amp;S - Transportation'!$D$20-'R&amp;S - Transportation'!$D$19)*(O3-$N$3)/10)</f>
        <v>0</v>
      </c>
      <c r="P11" s="99">
        <f>P10*'R&amp;S - Transportation'!$B$9*('R&amp;S - Transportation'!$D$19+('R&amp;S - Transportation'!$D$20-'R&amp;S - Transportation'!$D$19)*(P3-$N$3)/10)</f>
        <v>0</v>
      </c>
      <c r="Q11" s="99">
        <f>Q10*'R&amp;S - Transportation'!$B$9*('R&amp;S - Transportation'!$D$19+('R&amp;S - Transportation'!$D$20-'R&amp;S - Transportation'!$D$19)*(Q3-$N$3)/10)</f>
        <v>0</v>
      </c>
      <c r="R11" s="99">
        <f>R10*'R&amp;S - Transportation'!$B$9*('R&amp;S - Transportation'!$D$19+('R&amp;S - Transportation'!$D$20-'R&amp;S - Transportation'!$D$19)*(R3-$N$3)/10)</f>
        <v>0</v>
      </c>
      <c r="S11" s="99">
        <f>S10*'R&amp;S - Transportation'!$B$9*('R&amp;S - Transportation'!$D$19+('R&amp;S - Transportation'!$D$20-'R&amp;S - Transportation'!$D$19)*(S3-$N$3)/10)</f>
        <v>0</v>
      </c>
      <c r="T11" s="99">
        <f>T10*'R&amp;S - Transportation'!$B$9*('R&amp;S - Transportation'!$D$19+('R&amp;S - Transportation'!$D$20-'R&amp;S - Transportation'!$D$19)*(T3-$N$3)/10)</f>
        <v>0</v>
      </c>
      <c r="U11" s="99">
        <f>U10*'R&amp;S - Transportation'!$B$9*('R&amp;S - Transportation'!$D$19+('R&amp;S - Transportation'!$D$20-'R&amp;S - Transportation'!$D$19)*(U3-$N$3)/10)</f>
        <v>0</v>
      </c>
      <c r="V11" s="99">
        <f>V10*'R&amp;S - Transportation'!$B$9*('R&amp;S - Transportation'!$D$19+('R&amp;S - Transportation'!$D$20-'R&amp;S - Transportation'!$D$19)*(V3-$N$3)/10)</f>
        <v>0</v>
      </c>
      <c r="W11" s="99">
        <f>W10*'R&amp;S - Transportation'!$B$9*('R&amp;S - Transportation'!$D$19+('R&amp;S - Transportation'!$D$20-'R&amp;S - Transportation'!$D$19)*(W3-$N$3)/10)</f>
        <v>0</v>
      </c>
      <c r="X11" s="99">
        <f>X10*'R&amp;S - Transportation'!$B$9*('R&amp;S - Transportation'!$D$19+('R&amp;S - Transportation'!$D$20-'R&amp;S - Transportation'!$D$19)*(X3-$N$3)/10)</f>
        <v>0</v>
      </c>
      <c r="Y11" s="99">
        <f>Y10*'R&amp;S - Transportation'!$B$9*('R&amp;S - Transportation'!$D$20+('R&amp;S - Transportation'!$D$21-'R&amp;S - Transportation'!$D$20)*(Y3-$X$3)/10)</f>
        <v>0</v>
      </c>
      <c r="Z11" s="99">
        <f>Z10*'R&amp;S - Transportation'!$B$9*('R&amp;S - Transportation'!$D$20+('R&amp;S - Transportation'!$D$21-'R&amp;S - Transportation'!$D$20)*(Z3-$X$3)/10)</f>
        <v>0</v>
      </c>
      <c r="AA11" s="99">
        <f>AA10*'R&amp;S - Transportation'!$B$9*('R&amp;S - Transportation'!$D$20+('R&amp;S - Transportation'!$D$21-'R&amp;S - Transportation'!$D$20)*(AA3-$X$3)/10)</f>
        <v>0</v>
      </c>
      <c r="AB11" s="99">
        <f>AB10*'R&amp;S - Transportation'!$B$9*('R&amp;S - Transportation'!$D$20+('R&amp;S - Transportation'!$D$21-'R&amp;S - Transportation'!$D$20)*(AB3-$X$3)/10)</f>
        <v>0</v>
      </c>
      <c r="AC11" s="99">
        <f>AC10*'R&amp;S - Transportation'!$B$9*('R&amp;S - Transportation'!$D$20+('R&amp;S - Transportation'!$D$21-'R&amp;S - Transportation'!$D$20)*(AC3-$X$3)/10)</f>
        <v>0</v>
      </c>
      <c r="AD11" s="99">
        <f>AD10*'R&amp;S - Transportation'!$B$9*('R&amp;S - Transportation'!$D$20+('R&amp;S - Transportation'!$D$21-'R&amp;S - Transportation'!$D$20)*(AD3-$X$3)/10)</f>
        <v>0</v>
      </c>
      <c r="AE11" s="99">
        <f>AE10*'R&amp;S - Transportation'!$B$9*('R&amp;S - Transportation'!$D$20+('R&amp;S - Transportation'!$D$21-'R&amp;S - Transportation'!$D$20)*(AE3-$X$3)/10)</f>
        <v>0</v>
      </c>
      <c r="AF11" s="99">
        <f>AF10*'R&amp;S - Transportation'!$B$9*('R&amp;S - Transportation'!$D$20+('R&amp;S - Transportation'!$D$21-'R&amp;S - Transportation'!$D$20)*(AF3-$X$3)/10)</f>
        <v>0</v>
      </c>
      <c r="AG11" s="99">
        <f>AG10*'R&amp;S - Transportation'!$B$9*('R&amp;S - Transportation'!$D$20+('R&amp;S - Transportation'!$D$21-'R&amp;S - Transportation'!$D$20)*(AG3-$X$3)/10)</f>
        <v>0</v>
      </c>
      <c r="AH11" s="99">
        <f>AH10*'R&amp;S - Transportation'!$B$9*('R&amp;S - Transportation'!$D$20+('R&amp;S - Transportation'!$D$21-'R&amp;S - Transportation'!$D$20)*(AH3-$X$3)/10)</f>
        <v>0</v>
      </c>
      <c r="AI11" s="99"/>
      <c r="AJ11" s="99">
        <f t="shared" ref="AJ11:AJ13" si="101">D11</f>
        <v>0</v>
      </c>
      <c r="AK11" s="99">
        <f t="shared" ref="AK11:AK13" si="102">E11</f>
        <v>0</v>
      </c>
      <c r="AL11" s="99">
        <f t="shared" ref="AL11:AL13" si="103">F11</f>
        <v>0</v>
      </c>
      <c r="AM11" s="99">
        <f t="shared" ref="AM11:AM13" si="104">G11</f>
        <v>0</v>
      </c>
      <c r="AN11" s="99">
        <f t="shared" ref="AN11:AN13" si="105">H11</f>
        <v>0</v>
      </c>
      <c r="AO11" s="99">
        <f t="shared" ref="AO11:AO13" si="106">I11</f>
        <v>0</v>
      </c>
      <c r="AP11" s="99">
        <f t="shared" ref="AP11:AP13" si="107">J11</f>
        <v>0</v>
      </c>
      <c r="AQ11" s="99">
        <f t="shared" ref="AQ11:AQ13" si="108">K11</f>
        <v>0</v>
      </c>
      <c r="AR11" s="99">
        <f t="shared" ref="AR11:AR13" si="109">L11</f>
        <v>0</v>
      </c>
      <c r="AS11" s="99">
        <f t="shared" ref="AS11:AS13" si="110">M11</f>
        <v>0</v>
      </c>
      <c r="AT11" s="99">
        <f t="shared" ref="AT11:AT13" si="111">N11</f>
        <v>0</v>
      </c>
      <c r="AU11" s="99">
        <f t="shared" ref="AU11:AU13" si="112">O11</f>
        <v>0</v>
      </c>
      <c r="AV11" s="99">
        <f t="shared" ref="AV11:AV13" si="113">P11</f>
        <v>0</v>
      </c>
      <c r="AW11" s="99">
        <f t="shared" ref="AW11:AW13" si="114">Q11</f>
        <v>0</v>
      </c>
      <c r="AX11" s="99">
        <f t="shared" ref="AX11:AX13" si="115">R11</f>
        <v>0</v>
      </c>
      <c r="AY11" s="99">
        <f t="shared" ref="AY11:AY13" si="116">S11</f>
        <v>0</v>
      </c>
      <c r="AZ11" s="99">
        <f t="shared" ref="AZ11:AZ13" si="117">T11</f>
        <v>0</v>
      </c>
      <c r="BA11" s="99">
        <f t="shared" ref="BA11:BA13" si="118">U11</f>
        <v>0</v>
      </c>
      <c r="BB11" s="99">
        <f t="shared" ref="BB11:BB13" si="119">V11</f>
        <v>0</v>
      </c>
      <c r="BC11" s="99">
        <f t="shared" ref="BC11:BC13" si="120">W11</f>
        <v>0</v>
      </c>
      <c r="BD11" s="99">
        <f t="shared" ref="BD11:BD13" si="121">X11</f>
        <v>0</v>
      </c>
      <c r="BE11" s="99">
        <f t="shared" ref="BE11:BE13" si="122">Y11</f>
        <v>0</v>
      </c>
      <c r="BF11" s="99">
        <f t="shared" ref="BF11:BF13" si="123">Z11</f>
        <v>0</v>
      </c>
      <c r="BG11" s="99">
        <f t="shared" ref="BG11:BG13" si="124">AA11</f>
        <v>0</v>
      </c>
      <c r="BH11" s="99">
        <f t="shared" ref="BH11:BH13" si="125">AB11</f>
        <v>0</v>
      </c>
      <c r="BI11" s="99">
        <f t="shared" ref="BI11:BI13" si="126">AC11</f>
        <v>0</v>
      </c>
      <c r="BJ11" s="99">
        <f t="shared" ref="BJ11:BJ13" si="127">AD11</f>
        <v>0</v>
      </c>
      <c r="BK11" s="99">
        <f t="shared" ref="BK11:BK13" si="128">AE11</f>
        <v>0</v>
      </c>
      <c r="BL11" s="99">
        <f t="shared" ref="BL11:BL13" si="129">AF11</f>
        <v>0</v>
      </c>
      <c r="BM11" s="99">
        <f t="shared" ref="BM11:BM13" si="130">AG11</f>
        <v>0</v>
      </c>
      <c r="BN11" s="99">
        <f t="shared" ref="BN11:BN13" si="131">AH11</f>
        <v>0</v>
      </c>
      <c r="BR11" s="626"/>
      <c r="BY11" s="630"/>
      <c r="CA11" s="638"/>
      <c r="CC11" s="639"/>
      <c r="CI11" s="626"/>
    </row>
    <row r="12" spans="1:90">
      <c r="B12" s="1" t="s">
        <v>821</v>
      </c>
      <c r="D12" s="99">
        <f>D10-D11</f>
        <v>0</v>
      </c>
      <c r="E12" s="99">
        <f t="shared" ref="E12:AH12" si="132">E10-E11</f>
        <v>0</v>
      </c>
      <c r="F12" s="99">
        <f t="shared" si="132"/>
        <v>0</v>
      </c>
      <c r="G12" s="99">
        <f t="shared" si="132"/>
        <v>0</v>
      </c>
      <c r="H12" s="99">
        <f t="shared" si="132"/>
        <v>0</v>
      </c>
      <c r="I12" s="99">
        <f t="shared" si="132"/>
        <v>0</v>
      </c>
      <c r="J12" s="99">
        <f t="shared" si="132"/>
        <v>0</v>
      </c>
      <c r="K12" s="99">
        <f t="shared" si="132"/>
        <v>0</v>
      </c>
      <c r="L12" s="99">
        <f t="shared" si="132"/>
        <v>0</v>
      </c>
      <c r="M12" s="99">
        <f t="shared" si="132"/>
        <v>0</v>
      </c>
      <c r="N12" s="99">
        <f t="shared" si="132"/>
        <v>0</v>
      </c>
      <c r="O12" s="99">
        <f t="shared" si="132"/>
        <v>0</v>
      </c>
      <c r="P12" s="99">
        <f t="shared" si="132"/>
        <v>0</v>
      </c>
      <c r="Q12" s="99">
        <f t="shared" si="132"/>
        <v>0</v>
      </c>
      <c r="R12" s="99">
        <f t="shared" si="132"/>
        <v>0</v>
      </c>
      <c r="S12" s="99">
        <f t="shared" si="132"/>
        <v>0</v>
      </c>
      <c r="T12" s="99">
        <f t="shared" si="132"/>
        <v>0</v>
      </c>
      <c r="U12" s="99">
        <f t="shared" si="132"/>
        <v>0</v>
      </c>
      <c r="V12" s="99">
        <f t="shared" si="132"/>
        <v>0</v>
      </c>
      <c r="W12" s="99">
        <f t="shared" si="132"/>
        <v>0</v>
      </c>
      <c r="X12" s="99">
        <f t="shared" si="132"/>
        <v>0</v>
      </c>
      <c r="Y12" s="99">
        <f t="shared" si="132"/>
        <v>0</v>
      </c>
      <c r="Z12" s="99">
        <f t="shared" si="132"/>
        <v>0</v>
      </c>
      <c r="AA12" s="99">
        <f t="shared" si="132"/>
        <v>0</v>
      </c>
      <c r="AB12" s="99">
        <f t="shared" si="132"/>
        <v>0</v>
      </c>
      <c r="AC12" s="99">
        <f t="shared" si="132"/>
        <v>0</v>
      </c>
      <c r="AD12" s="99">
        <f t="shared" si="132"/>
        <v>0</v>
      </c>
      <c r="AE12" s="99">
        <f t="shared" si="132"/>
        <v>0</v>
      </c>
      <c r="AF12" s="99">
        <f t="shared" si="132"/>
        <v>0</v>
      </c>
      <c r="AG12" s="99">
        <f t="shared" si="132"/>
        <v>0</v>
      </c>
      <c r="AH12" s="99">
        <f t="shared" si="132"/>
        <v>0</v>
      </c>
      <c r="AI12" s="99"/>
      <c r="AJ12" s="99">
        <f t="shared" si="101"/>
        <v>0</v>
      </c>
      <c r="AK12" s="99">
        <f t="shared" si="102"/>
        <v>0</v>
      </c>
      <c r="AL12" s="99">
        <f t="shared" si="103"/>
        <v>0</v>
      </c>
      <c r="AM12" s="99">
        <f t="shared" si="104"/>
        <v>0</v>
      </c>
      <c r="AN12" s="99">
        <f t="shared" si="105"/>
        <v>0</v>
      </c>
      <c r="AO12" s="99">
        <f t="shared" si="106"/>
        <v>0</v>
      </c>
      <c r="AP12" s="99">
        <f t="shared" si="107"/>
        <v>0</v>
      </c>
      <c r="AQ12" s="99">
        <f t="shared" si="108"/>
        <v>0</v>
      </c>
      <c r="AR12" s="99">
        <f t="shared" si="109"/>
        <v>0</v>
      </c>
      <c r="AS12" s="99">
        <f t="shared" si="110"/>
        <v>0</v>
      </c>
      <c r="AT12" s="99">
        <f t="shared" si="111"/>
        <v>0</v>
      </c>
      <c r="AU12" s="99">
        <f t="shared" si="112"/>
        <v>0</v>
      </c>
      <c r="AV12" s="99">
        <f t="shared" si="113"/>
        <v>0</v>
      </c>
      <c r="AW12" s="99">
        <f t="shared" si="114"/>
        <v>0</v>
      </c>
      <c r="AX12" s="99">
        <f t="shared" si="115"/>
        <v>0</v>
      </c>
      <c r="AY12" s="99">
        <f t="shared" si="116"/>
        <v>0</v>
      </c>
      <c r="AZ12" s="99">
        <f t="shared" si="117"/>
        <v>0</v>
      </c>
      <c r="BA12" s="99">
        <f t="shared" si="118"/>
        <v>0</v>
      </c>
      <c r="BB12" s="99">
        <f t="shared" si="119"/>
        <v>0</v>
      </c>
      <c r="BC12" s="99">
        <f t="shared" si="120"/>
        <v>0</v>
      </c>
      <c r="BD12" s="99">
        <f t="shared" si="121"/>
        <v>0</v>
      </c>
      <c r="BE12" s="99">
        <f t="shared" si="122"/>
        <v>0</v>
      </c>
      <c r="BF12" s="99">
        <f t="shared" si="123"/>
        <v>0</v>
      </c>
      <c r="BG12" s="99">
        <f t="shared" si="124"/>
        <v>0</v>
      </c>
      <c r="BH12" s="99">
        <f t="shared" si="125"/>
        <v>0</v>
      </c>
      <c r="BI12" s="99">
        <f t="shared" si="126"/>
        <v>0</v>
      </c>
      <c r="BJ12" s="99">
        <f t="shared" si="127"/>
        <v>0</v>
      </c>
      <c r="BK12" s="99">
        <f t="shared" si="128"/>
        <v>0</v>
      </c>
      <c r="BL12" s="99">
        <f t="shared" si="129"/>
        <v>0</v>
      </c>
      <c r="BM12" s="99">
        <f t="shared" si="130"/>
        <v>0</v>
      </c>
      <c r="BN12" s="99">
        <f t="shared" si="131"/>
        <v>0</v>
      </c>
    </row>
    <row r="13" spans="1:90">
      <c r="A13" s="1" t="s">
        <v>822</v>
      </c>
      <c r="C13" s="1"/>
      <c r="D13" s="520">
        <f t="shared" ref="D13:AH13" si="133">D5-D11</f>
        <v>1472760.9288230378</v>
      </c>
      <c r="E13" s="520">
        <f t="shared" si="133"/>
        <v>1465054.3219326267</v>
      </c>
      <c r="F13" s="520">
        <f t="shared" si="133"/>
        <v>1457347.7150422155</v>
      </c>
      <c r="G13" s="520">
        <f t="shared" si="133"/>
        <v>1449641.1081518047</v>
      </c>
      <c r="H13" s="520">
        <f t="shared" si="133"/>
        <v>1441934.5012613935</v>
      </c>
      <c r="I13" s="520">
        <f t="shared" si="133"/>
        <v>1434227.8943709824</v>
      </c>
      <c r="J13" s="520">
        <f t="shared" si="133"/>
        <v>1426521.2874805713</v>
      </c>
      <c r="K13" s="520">
        <f t="shared" si="133"/>
        <v>1418814.6805901602</v>
      </c>
      <c r="L13" s="520">
        <f t="shared" si="133"/>
        <v>1411108.0736997493</v>
      </c>
      <c r="M13" s="520">
        <f t="shared" si="133"/>
        <v>1403401.4668093382</v>
      </c>
      <c r="N13" s="520">
        <f t="shared" si="133"/>
        <v>1395694.8599189271</v>
      </c>
      <c r="O13" s="520">
        <f t="shared" si="133"/>
        <v>1386533.1594198369</v>
      </c>
      <c r="P13" s="520">
        <f t="shared" si="133"/>
        <v>1377371.458920747</v>
      </c>
      <c r="Q13" s="520">
        <f t="shared" si="133"/>
        <v>1368209.7584216569</v>
      </c>
      <c r="R13" s="520">
        <f t="shared" si="133"/>
        <v>1359048.057922567</v>
      </c>
      <c r="S13" s="520">
        <f t="shared" si="133"/>
        <v>1349886.3574234769</v>
      </c>
      <c r="T13" s="520">
        <f t="shared" si="133"/>
        <v>1339810.8300203856</v>
      </c>
      <c r="U13" s="520">
        <f t="shared" si="133"/>
        <v>1329735.302617294</v>
      </c>
      <c r="V13" s="520">
        <f t="shared" si="133"/>
        <v>1319659.7752142027</v>
      </c>
      <c r="W13" s="520">
        <f t="shared" si="133"/>
        <v>1309584.2478111112</v>
      </c>
      <c r="X13" s="520">
        <f t="shared" si="133"/>
        <v>1299508.7204080198</v>
      </c>
      <c r="Y13" s="520">
        <f t="shared" si="133"/>
        <v>1288964.5638233894</v>
      </c>
      <c r="Z13" s="520">
        <f t="shared" si="133"/>
        <v>1278420.4072387589</v>
      </c>
      <c r="AA13" s="520">
        <f t="shared" si="133"/>
        <v>1267876.2506541281</v>
      </c>
      <c r="AB13" s="520">
        <f t="shared" si="133"/>
        <v>1257332.0940694977</v>
      </c>
      <c r="AC13" s="520">
        <f t="shared" si="133"/>
        <v>1246787.9374848672</v>
      </c>
      <c r="AD13" s="520">
        <f t="shared" si="133"/>
        <v>1236243.7809002367</v>
      </c>
      <c r="AE13" s="520">
        <f t="shared" si="133"/>
        <v>1225699.6243156062</v>
      </c>
      <c r="AF13" s="520">
        <f t="shared" si="133"/>
        <v>1215155.4677309755</v>
      </c>
      <c r="AG13" s="520">
        <f t="shared" si="133"/>
        <v>1204611.311146345</v>
      </c>
      <c r="AH13" s="520">
        <f t="shared" si="133"/>
        <v>1194067.1545617145</v>
      </c>
      <c r="AI13" s="99"/>
      <c r="AJ13" s="520">
        <f t="shared" si="101"/>
        <v>1472760.9288230378</v>
      </c>
      <c r="AK13" s="520">
        <f t="shared" si="102"/>
        <v>1465054.3219326267</v>
      </c>
      <c r="AL13" s="520">
        <f t="shared" si="103"/>
        <v>1457347.7150422155</v>
      </c>
      <c r="AM13" s="520">
        <f t="shared" si="104"/>
        <v>1449641.1081518047</v>
      </c>
      <c r="AN13" s="520">
        <f t="shared" si="105"/>
        <v>1441934.5012613935</v>
      </c>
      <c r="AO13" s="520">
        <f t="shared" si="106"/>
        <v>1434227.8943709824</v>
      </c>
      <c r="AP13" s="520">
        <f t="shared" si="107"/>
        <v>1426521.2874805713</v>
      </c>
      <c r="AQ13" s="520">
        <f t="shared" si="108"/>
        <v>1418814.6805901602</v>
      </c>
      <c r="AR13" s="520">
        <f t="shared" si="109"/>
        <v>1411108.0736997493</v>
      </c>
      <c r="AS13" s="520">
        <f t="shared" si="110"/>
        <v>1403401.4668093382</v>
      </c>
      <c r="AT13" s="520">
        <f t="shared" si="111"/>
        <v>1395694.8599189271</v>
      </c>
      <c r="AU13" s="520">
        <f t="shared" si="112"/>
        <v>1386533.1594198369</v>
      </c>
      <c r="AV13" s="520">
        <f t="shared" si="113"/>
        <v>1377371.458920747</v>
      </c>
      <c r="AW13" s="520">
        <f t="shared" si="114"/>
        <v>1368209.7584216569</v>
      </c>
      <c r="AX13" s="520">
        <f t="shared" si="115"/>
        <v>1359048.057922567</v>
      </c>
      <c r="AY13" s="520">
        <f t="shared" si="116"/>
        <v>1349886.3574234769</v>
      </c>
      <c r="AZ13" s="520">
        <f t="shared" si="117"/>
        <v>1339810.8300203856</v>
      </c>
      <c r="BA13" s="520">
        <f t="shared" si="118"/>
        <v>1329735.302617294</v>
      </c>
      <c r="BB13" s="520">
        <f t="shared" si="119"/>
        <v>1319659.7752142027</v>
      </c>
      <c r="BC13" s="520">
        <f t="shared" si="120"/>
        <v>1309584.2478111112</v>
      </c>
      <c r="BD13" s="520">
        <f t="shared" si="121"/>
        <v>1299508.7204080198</v>
      </c>
      <c r="BE13" s="520">
        <f t="shared" si="122"/>
        <v>1288964.5638233894</v>
      </c>
      <c r="BF13" s="520">
        <f t="shared" si="123"/>
        <v>1278420.4072387589</v>
      </c>
      <c r="BG13" s="520">
        <f t="shared" si="124"/>
        <v>1267876.2506541281</v>
      </c>
      <c r="BH13" s="520">
        <f t="shared" si="125"/>
        <v>1257332.0940694977</v>
      </c>
      <c r="BI13" s="520">
        <f t="shared" si="126"/>
        <v>1246787.9374848672</v>
      </c>
      <c r="BJ13" s="520">
        <f t="shared" si="127"/>
        <v>1236243.7809002367</v>
      </c>
      <c r="BK13" s="520">
        <f t="shared" si="128"/>
        <v>1225699.6243156062</v>
      </c>
      <c r="BL13" s="520">
        <f t="shared" si="129"/>
        <v>1215155.4677309755</v>
      </c>
      <c r="BM13" s="520">
        <f t="shared" si="130"/>
        <v>1204611.311146345</v>
      </c>
      <c r="BN13" s="520">
        <f t="shared" si="131"/>
        <v>1194067.1545617145</v>
      </c>
      <c r="BQ13" s="625"/>
      <c r="BS13" s="626"/>
    </row>
    <row r="14" spans="1:90" s="61" customFormat="1">
      <c r="A14" s="602"/>
      <c r="B14" s="54" t="s">
        <v>804</v>
      </c>
      <c r="C14" s="55" t="s">
        <v>1420</v>
      </c>
      <c r="D14" s="571">
        <f t="shared" ref="D14:AH14" si="134">D6</f>
        <v>103598.39231850725</v>
      </c>
      <c r="E14" s="571">
        <f t="shared" si="134"/>
        <v>103056.28662541599</v>
      </c>
      <c r="F14" s="571">
        <f t="shared" si="134"/>
        <v>102514.18093232474</v>
      </c>
      <c r="G14" s="571">
        <f t="shared" si="134"/>
        <v>101972.07523923351</v>
      </c>
      <c r="H14" s="571">
        <f t="shared" si="134"/>
        <v>101429.96954614227</v>
      </c>
      <c r="I14" s="571">
        <f t="shared" si="134"/>
        <v>100887.86385305102</v>
      </c>
      <c r="J14" s="571">
        <f t="shared" si="134"/>
        <v>100345.75815995978</v>
      </c>
      <c r="K14" s="571">
        <f t="shared" si="134"/>
        <v>99803.652466868531</v>
      </c>
      <c r="L14" s="571">
        <f t="shared" si="134"/>
        <v>99261.5467737773</v>
      </c>
      <c r="M14" s="571">
        <f t="shared" si="134"/>
        <v>98719.441080686054</v>
      </c>
      <c r="N14" s="571">
        <f t="shared" si="134"/>
        <v>98177.335387594809</v>
      </c>
      <c r="O14" s="571">
        <f t="shared" si="134"/>
        <v>97532.874074129679</v>
      </c>
      <c r="P14" s="571">
        <f t="shared" si="134"/>
        <v>96888.412760664578</v>
      </c>
      <c r="Q14" s="571">
        <f t="shared" si="134"/>
        <v>96243.951447199463</v>
      </c>
      <c r="R14" s="571">
        <f t="shared" si="134"/>
        <v>95599.490133734362</v>
      </c>
      <c r="S14" s="571">
        <f t="shared" si="134"/>
        <v>94955.028820269246</v>
      </c>
      <c r="T14" s="571">
        <f t="shared" si="134"/>
        <v>94246.28619932296</v>
      </c>
      <c r="U14" s="571">
        <f t="shared" si="134"/>
        <v>93537.543578376659</v>
      </c>
      <c r="V14" s="571">
        <f t="shared" si="134"/>
        <v>92828.800957430372</v>
      </c>
      <c r="W14" s="571">
        <f t="shared" si="134"/>
        <v>92120.058336484071</v>
      </c>
      <c r="X14" s="571">
        <f t="shared" si="134"/>
        <v>91411.315715537785</v>
      </c>
      <c r="Y14" s="571">
        <f t="shared" si="134"/>
        <v>90669.608321524225</v>
      </c>
      <c r="Z14" s="571">
        <f t="shared" si="134"/>
        <v>89927.900927510665</v>
      </c>
      <c r="AA14" s="571">
        <f t="shared" si="134"/>
        <v>89186.193533497106</v>
      </c>
      <c r="AB14" s="571">
        <f t="shared" si="134"/>
        <v>88444.486139483546</v>
      </c>
      <c r="AC14" s="571">
        <f t="shared" si="134"/>
        <v>87702.778745469986</v>
      </c>
      <c r="AD14" s="571">
        <f t="shared" si="134"/>
        <v>86961.071351456427</v>
      </c>
      <c r="AE14" s="571">
        <f t="shared" si="134"/>
        <v>86219.363957442867</v>
      </c>
      <c r="AF14" s="571">
        <f t="shared" si="134"/>
        <v>85477.656563429293</v>
      </c>
      <c r="AG14" s="571">
        <f t="shared" si="134"/>
        <v>84735.949169415748</v>
      </c>
      <c r="AH14" s="571">
        <f t="shared" si="134"/>
        <v>83994.241775402188</v>
      </c>
      <c r="AI14" s="571"/>
      <c r="AJ14" s="571">
        <f t="shared" ref="AJ14:AJ16" si="135">D14</f>
        <v>103598.39231850725</v>
      </c>
      <c r="AK14" s="571">
        <f t="shared" ref="AK14:AK17" si="136">E14</f>
        <v>103056.28662541599</v>
      </c>
      <c r="AL14" s="571">
        <f t="shared" ref="AL14:AL17" si="137">F14</f>
        <v>102514.18093232474</v>
      </c>
      <c r="AM14" s="571">
        <f t="shared" ref="AM14:AM17" si="138">G14</f>
        <v>101972.07523923351</v>
      </c>
      <c r="AN14" s="571">
        <f t="shared" ref="AN14:AN17" si="139">H14</f>
        <v>101429.96954614227</v>
      </c>
      <c r="AO14" s="571">
        <f t="shared" ref="AO14:AO17" si="140">I14</f>
        <v>100887.86385305102</v>
      </c>
      <c r="AP14" s="571">
        <f t="shared" ref="AP14:AP17" si="141">J14</f>
        <v>100345.75815995978</v>
      </c>
      <c r="AQ14" s="571">
        <f t="shared" ref="AQ14:AQ17" si="142">K14</f>
        <v>99803.652466868531</v>
      </c>
      <c r="AR14" s="571">
        <f t="shared" ref="AR14:AR17" si="143">L14</f>
        <v>99261.5467737773</v>
      </c>
      <c r="AS14" s="571">
        <f t="shared" ref="AS14:AS17" si="144">M14</f>
        <v>98719.441080686054</v>
      </c>
      <c r="AT14" s="571">
        <f t="shared" ref="AT14:AT17" si="145">N14</f>
        <v>98177.335387594809</v>
      </c>
      <c r="AU14" s="571">
        <f t="shared" ref="AU14:AU17" si="146">O14</f>
        <v>97532.874074129679</v>
      </c>
      <c r="AV14" s="571">
        <f t="shared" ref="AV14:AV17" si="147">P14</f>
        <v>96888.412760664578</v>
      </c>
      <c r="AW14" s="571">
        <f t="shared" ref="AW14:AW17" si="148">Q14</f>
        <v>96243.951447199463</v>
      </c>
      <c r="AX14" s="571">
        <f t="shared" ref="AX14:AX17" si="149">R14</f>
        <v>95599.490133734362</v>
      </c>
      <c r="AY14" s="571">
        <f t="shared" ref="AY14:AY17" si="150">S14</f>
        <v>94955.028820269246</v>
      </c>
      <c r="AZ14" s="571">
        <f t="shared" ref="AZ14:AZ17" si="151">T14</f>
        <v>94246.28619932296</v>
      </c>
      <c r="BA14" s="571">
        <f t="shared" ref="BA14:BA17" si="152">U14</f>
        <v>93537.543578376659</v>
      </c>
      <c r="BB14" s="571">
        <f t="shared" ref="BB14:BB17" si="153">V14</f>
        <v>92828.800957430372</v>
      </c>
      <c r="BC14" s="571">
        <f t="shared" ref="BC14:BC17" si="154">W14</f>
        <v>92120.058336484071</v>
      </c>
      <c r="BD14" s="571">
        <f t="shared" ref="BD14:BD17" si="155">X14</f>
        <v>91411.315715537785</v>
      </c>
      <c r="BE14" s="571">
        <f t="shared" ref="BE14:BE17" si="156">Y14</f>
        <v>90669.608321524225</v>
      </c>
      <c r="BF14" s="571">
        <f t="shared" ref="BF14:BF17" si="157">Z14</f>
        <v>89927.900927510665</v>
      </c>
      <c r="BG14" s="571">
        <f t="shared" ref="BG14:BG17" si="158">AA14</f>
        <v>89186.193533497106</v>
      </c>
      <c r="BH14" s="571">
        <f t="shared" ref="BH14:BH17" si="159">AB14</f>
        <v>88444.486139483546</v>
      </c>
      <c r="BI14" s="571">
        <f t="shared" ref="BI14:BI17" si="160">AC14</f>
        <v>87702.778745469986</v>
      </c>
      <c r="BJ14" s="571">
        <f t="shared" ref="BJ14:BJ17" si="161">AD14</f>
        <v>86961.071351456427</v>
      </c>
      <c r="BK14" s="571">
        <f t="shared" ref="BK14:BK17" si="162">AE14</f>
        <v>86219.363957442867</v>
      </c>
      <c r="BL14" s="571">
        <f t="shared" ref="BL14:BL17" si="163">AF14</f>
        <v>85477.656563429293</v>
      </c>
      <c r="BM14" s="571">
        <f t="shared" ref="BM14:BM17" si="164">AG14</f>
        <v>84735.949169415748</v>
      </c>
      <c r="BN14" s="571">
        <f t="shared" ref="BN14:BN17" si="165">AH14</f>
        <v>83994.241775402188</v>
      </c>
      <c r="BQ14" s="649"/>
      <c r="BR14" s="649"/>
      <c r="BS14" s="649"/>
      <c r="BT14" s="649"/>
      <c r="BU14" s="649"/>
      <c r="BV14" s="649"/>
      <c r="BW14" s="649"/>
      <c r="BX14" s="649"/>
      <c r="BY14" s="649"/>
      <c r="BZ14" s="649"/>
      <c r="CA14" s="649"/>
      <c r="CB14" s="649"/>
      <c r="CC14" s="649"/>
      <c r="CD14" s="649"/>
      <c r="CE14" s="649"/>
      <c r="CF14" s="649"/>
      <c r="CG14" s="649"/>
      <c r="CH14" s="649"/>
      <c r="CI14" s="649"/>
      <c r="CJ14" s="649"/>
      <c r="CK14" s="649"/>
      <c r="CL14" s="649"/>
    </row>
    <row r="15" spans="1:90" ht="18" customHeight="1">
      <c r="A15" s="603"/>
      <c r="B15" s="1" t="s">
        <v>1063</v>
      </c>
      <c r="C15" s="50" t="s">
        <v>1420</v>
      </c>
      <c r="D15" s="183">
        <f t="shared" ref="D15:AH15" si="166">D7-D11</f>
        <v>0</v>
      </c>
      <c r="E15" s="183">
        <f t="shared" si="166"/>
        <v>0</v>
      </c>
      <c r="F15" s="183">
        <f t="shared" si="166"/>
        <v>0</v>
      </c>
      <c r="G15" s="183">
        <f t="shared" si="166"/>
        <v>0</v>
      </c>
      <c r="H15" s="183">
        <f t="shared" si="166"/>
        <v>0</v>
      </c>
      <c r="I15" s="183">
        <f t="shared" si="166"/>
        <v>0</v>
      </c>
      <c r="J15" s="183">
        <f t="shared" si="166"/>
        <v>0</v>
      </c>
      <c r="K15" s="183">
        <f t="shared" si="166"/>
        <v>0</v>
      </c>
      <c r="L15" s="183">
        <f t="shared" si="166"/>
        <v>0</v>
      </c>
      <c r="M15" s="183">
        <f t="shared" si="166"/>
        <v>0</v>
      </c>
      <c r="N15" s="183">
        <f t="shared" si="166"/>
        <v>0</v>
      </c>
      <c r="O15" s="183">
        <f t="shared" si="166"/>
        <v>0</v>
      </c>
      <c r="P15" s="183">
        <f t="shared" si="166"/>
        <v>0</v>
      </c>
      <c r="Q15" s="183">
        <f t="shared" si="166"/>
        <v>0</v>
      </c>
      <c r="R15" s="183">
        <f t="shared" si="166"/>
        <v>0</v>
      </c>
      <c r="S15" s="183">
        <f t="shared" si="166"/>
        <v>0</v>
      </c>
      <c r="T15" s="183">
        <f t="shared" si="166"/>
        <v>0</v>
      </c>
      <c r="U15" s="183">
        <f t="shared" si="166"/>
        <v>0</v>
      </c>
      <c r="V15" s="183">
        <f t="shared" si="166"/>
        <v>0</v>
      </c>
      <c r="W15" s="183">
        <f t="shared" si="166"/>
        <v>0</v>
      </c>
      <c r="X15" s="183">
        <f t="shared" si="166"/>
        <v>0</v>
      </c>
      <c r="Y15" s="183">
        <f t="shared" si="166"/>
        <v>0</v>
      </c>
      <c r="Z15" s="183">
        <f t="shared" si="166"/>
        <v>0</v>
      </c>
      <c r="AA15" s="183">
        <f t="shared" si="166"/>
        <v>0</v>
      </c>
      <c r="AB15" s="183">
        <f t="shared" si="166"/>
        <v>0</v>
      </c>
      <c r="AC15" s="183">
        <f t="shared" si="166"/>
        <v>0</v>
      </c>
      <c r="AD15" s="183">
        <f t="shared" si="166"/>
        <v>0</v>
      </c>
      <c r="AE15" s="183">
        <f t="shared" si="166"/>
        <v>0</v>
      </c>
      <c r="AF15" s="183">
        <f t="shared" si="166"/>
        <v>0</v>
      </c>
      <c r="AG15" s="183">
        <f t="shared" si="166"/>
        <v>0</v>
      </c>
      <c r="AH15" s="183">
        <f t="shared" si="166"/>
        <v>0</v>
      </c>
      <c r="AI15" s="183"/>
      <c r="AJ15" s="183">
        <f t="shared" si="135"/>
        <v>0</v>
      </c>
      <c r="AK15" s="183">
        <f t="shared" si="136"/>
        <v>0</v>
      </c>
      <c r="AL15" s="183">
        <f t="shared" si="137"/>
        <v>0</v>
      </c>
      <c r="AM15" s="183">
        <f t="shared" si="138"/>
        <v>0</v>
      </c>
      <c r="AN15" s="183">
        <f t="shared" si="139"/>
        <v>0</v>
      </c>
      <c r="AO15" s="183">
        <f t="shared" si="140"/>
        <v>0</v>
      </c>
      <c r="AP15" s="183">
        <f t="shared" si="141"/>
        <v>0</v>
      </c>
      <c r="AQ15" s="183">
        <f t="shared" si="142"/>
        <v>0</v>
      </c>
      <c r="AR15" s="183">
        <f t="shared" si="143"/>
        <v>0</v>
      </c>
      <c r="AS15" s="183">
        <f t="shared" si="144"/>
        <v>0</v>
      </c>
      <c r="AT15" s="183">
        <f t="shared" si="145"/>
        <v>0</v>
      </c>
      <c r="AU15" s="183">
        <f t="shared" si="146"/>
        <v>0</v>
      </c>
      <c r="AV15" s="183">
        <f t="shared" si="147"/>
        <v>0</v>
      </c>
      <c r="AW15" s="183">
        <f t="shared" si="148"/>
        <v>0</v>
      </c>
      <c r="AX15" s="183">
        <f t="shared" si="149"/>
        <v>0</v>
      </c>
      <c r="AY15" s="183">
        <f t="shared" si="150"/>
        <v>0</v>
      </c>
      <c r="AZ15" s="183">
        <f t="shared" si="151"/>
        <v>0</v>
      </c>
      <c r="BA15" s="183">
        <f t="shared" si="152"/>
        <v>0</v>
      </c>
      <c r="BB15" s="183">
        <f t="shared" si="153"/>
        <v>0</v>
      </c>
      <c r="BC15" s="183">
        <f t="shared" si="154"/>
        <v>0</v>
      </c>
      <c r="BD15" s="183">
        <f t="shared" si="155"/>
        <v>0</v>
      </c>
      <c r="BE15" s="183">
        <f t="shared" si="156"/>
        <v>0</v>
      </c>
      <c r="BF15" s="183">
        <f t="shared" si="157"/>
        <v>0</v>
      </c>
      <c r="BG15" s="183">
        <f t="shared" si="158"/>
        <v>0</v>
      </c>
      <c r="BH15" s="183">
        <f t="shared" si="159"/>
        <v>0</v>
      </c>
      <c r="BI15" s="183">
        <f t="shared" si="160"/>
        <v>0</v>
      </c>
      <c r="BJ15" s="183">
        <f t="shared" si="161"/>
        <v>0</v>
      </c>
      <c r="BK15" s="183">
        <f t="shared" si="162"/>
        <v>0</v>
      </c>
      <c r="BL15" s="183">
        <f t="shared" si="163"/>
        <v>0</v>
      </c>
      <c r="BM15" s="183">
        <f t="shared" si="164"/>
        <v>0</v>
      </c>
      <c r="BN15" s="183">
        <f t="shared" si="165"/>
        <v>0</v>
      </c>
      <c r="BY15" s="630"/>
      <c r="BZ15" s="651"/>
      <c r="CA15" s="651"/>
      <c r="CB15" s="651"/>
      <c r="CC15" s="651"/>
      <c r="CD15" s="651"/>
      <c r="CE15" s="651"/>
      <c r="CF15" s="658"/>
      <c r="CG15" s="651"/>
      <c r="CH15" s="651"/>
    </row>
    <row r="16" spans="1:90" s="62" customFormat="1">
      <c r="A16" s="604"/>
      <c r="B16" s="58" t="s">
        <v>27</v>
      </c>
      <c r="C16" s="233" t="s">
        <v>1420</v>
      </c>
      <c r="D16" s="528">
        <f>D8</f>
        <v>1369162.5365045306</v>
      </c>
      <c r="E16" s="528">
        <f t="shared" ref="E16:AH16" si="167">E8</f>
        <v>1361998.0353072106</v>
      </c>
      <c r="F16" s="528">
        <f t="shared" si="167"/>
        <v>1354833.5341098907</v>
      </c>
      <c r="G16" s="528">
        <f t="shared" si="167"/>
        <v>1347669.0329125712</v>
      </c>
      <c r="H16" s="528">
        <f t="shared" si="167"/>
        <v>1340504.5317152513</v>
      </c>
      <c r="I16" s="528">
        <f t="shared" si="167"/>
        <v>1333340.0305179313</v>
      </c>
      <c r="J16" s="528">
        <f t="shared" si="167"/>
        <v>1326175.5293206116</v>
      </c>
      <c r="K16" s="528">
        <f t="shared" si="167"/>
        <v>1319011.0281232917</v>
      </c>
      <c r="L16" s="528">
        <f t="shared" si="167"/>
        <v>1311846.526925972</v>
      </c>
      <c r="M16" s="528">
        <f t="shared" si="167"/>
        <v>1304682.0257286523</v>
      </c>
      <c r="N16" s="528">
        <f t="shared" si="167"/>
        <v>1297517.5245313323</v>
      </c>
      <c r="O16" s="528">
        <f t="shared" si="167"/>
        <v>1289000.2853457073</v>
      </c>
      <c r="P16" s="528">
        <f t="shared" si="167"/>
        <v>1280483.0461600826</v>
      </c>
      <c r="Q16" s="528">
        <f t="shared" si="167"/>
        <v>1271965.8069744573</v>
      </c>
      <c r="R16" s="528">
        <f t="shared" si="167"/>
        <v>1263448.5677888326</v>
      </c>
      <c r="S16" s="528">
        <f t="shared" si="167"/>
        <v>1254931.3286032076</v>
      </c>
      <c r="T16" s="528">
        <f t="shared" si="167"/>
        <v>1245564.5438210627</v>
      </c>
      <c r="U16" s="528">
        <f t="shared" si="167"/>
        <v>1236197.7590389173</v>
      </c>
      <c r="V16" s="528">
        <f t="shared" si="167"/>
        <v>1226830.9742567723</v>
      </c>
      <c r="W16" s="528">
        <f t="shared" si="167"/>
        <v>1217464.1894746271</v>
      </c>
      <c r="X16" s="528">
        <f t="shared" si="167"/>
        <v>1208097.404692482</v>
      </c>
      <c r="Y16" s="528">
        <f t="shared" si="167"/>
        <v>1198294.9555018651</v>
      </c>
      <c r="Z16" s="528">
        <f t="shared" si="167"/>
        <v>1188492.5063112483</v>
      </c>
      <c r="AA16" s="528">
        <f t="shared" si="167"/>
        <v>1178690.057120631</v>
      </c>
      <c r="AB16" s="528">
        <f t="shared" si="167"/>
        <v>1168887.6079300141</v>
      </c>
      <c r="AC16" s="528">
        <f t="shared" si="167"/>
        <v>1159085.1587393973</v>
      </c>
      <c r="AD16" s="528">
        <f t="shared" si="167"/>
        <v>1149282.7095487802</v>
      </c>
      <c r="AE16" s="528">
        <f t="shared" si="167"/>
        <v>1139480.2603581634</v>
      </c>
      <c r="AF16" s="528">
        <f t="shared" si="167"/>
        <v>1129677.8111675461</v>
      </c>
      <c r="AG16" s="528">
        <f t="shared" si="167"/>
        <v>1119875.3619769292</v>
      </c>
      <c r="AH16" s="528">
        <f t="shared" si="167"/>
        <v>1110072.9127863124</v>
      </c>
      <c r="AI16" s="528"/>
      <c r="AJ16" s="528">
        <f t="shared" si="135"/>
        <v>1369162.5365045306</v>
      </c>
      <c r="AK16" s="528">
        <f t="shared" si="136"/>
        <v>1361998.0353072106</v>
      </c>
      <c r="AL16" s="528">
        <f t="shared" si="137"/>
        <v>1354833.5341098907</v>
      </c>
      <c r="AM16" s="528">
        <f t="shared" si="138"/>
        <v>1347669.0329125712</v>
      </c>
      <c r="AN16" s="528">
        <f t="shared" si="139"/>
        <v>1340504.5317152513</v>
      </c>
      <c r="AO16" s="528">
        <f t="shared" si="140"/>
        <v>1333340.0305179313</v>
      </c>
      <c r="AP16" s="528">
        <f t="shared" si="141"/>
        <v>1326175.5293206116</v>
      </c>
      <c r="AQ16" s="528">
        <f t="shared" si="142"/>
        <v>1319011.0281232917</v>
      </c>
      <c r="AR16" s="528">
        <f t="shared" si="143"/>
        <v>1311846.526925972</v>
      </c>
      <c r="AS16" s="528">
        <f t="shared" si="144"/>
        <v>1304682.0257286523</v>
      </c>
      <c r="AT16" s="528">
        <f t="shared" si="145"/>
        <v>1297517.5245313323</v>
      </c>
      <c r="AU16" s="528">
        <f t="shared" si="146"/>
        <v>1289000.2853457073</v>
      </c>
      <c r="AV16" s="528">
        <f t="shared" si="147"/>
        <v>1280483.0461600826</v>
      </c>
      <c r="AW16" s="528">
        <f t="shared" si="148"/>
        <v>1271965.8069744573</v>
      </c>
      <c r="AX16" s="528">
        <f t="shared" si="149"/>
        <v>1263448.5677888326</v>
      </c>
      <c r="AY16" s="528">
        <f t="shared" si="150"/>
        <v>1254931.3286032076</v>
      </c>
      <c r="AZ16" s="528">
        <f t="shared" si="151"/>
        <v>1245564.5438210627</v>
      </c>
      <c r="BA16" s="528">
        <f t="shared" si="152"/>
        <v>1236197.7590389173</v>
      </c>
      <c r="BB16" s="528">
        <f t="shared" si="153"/>
        <v>1226830.9742567723</v>
      </c>
      <c r="BC16" s="528">
        <f t="shared" si="154"/>
        <v>1217464.1894746271</v>
      </c>
      <c r="BD16" s="528">
        <f t="shared" si="155"/>
        <v>1208097.404692482</v>
      </c>
      <c r="BE16" s="528">
        <f t="shared" si="156"/>
        <v>1198294.9555018651</v>
      </c>
      <c r="BF16" s="528">
        <f t="shared" si="157"/>
        <v>1188492.5063112483</v>
      </c>
      <c r="BG16" s="528">
        <f t="shared" si="158"/>
        <v>1178690.057120631</v>
      </c>
      <c r="BH16" s="528">
        <f t="shared" si="159"/>
        <v>1168887.6079300141</v>
      </c>
      <c r="BI16" s="528">
        <f t="shared" si="160"/>
        <v>1159085.1587393973</v>
      </c>
      <c r="BJ16" s="528">
        <f t="shared" si="161"/>
        <v>1149282.7095487802</v>
      </c>
      <c r="BK16" s="528">
        <f t="shared" si="162"/>
        <v>1139480.2603581634</v>
      </c>
      <c r="BL16" s="528">
        <f t="shared" si="163"/>
        <v>1129677.8111675461</v>
      </c>
      <c r="BM16" s="528">
        <f t="shared" si="164"/>
        <v>1119875.3619769292</v>
      </c>
      <c r="BN16" s="528">
        <f t="shared" si="165"/>
        <v>1110072.9127863124</v>
      </c>
      <c r="BQ16" s="623"/>
      <c r="BR16" s="623"/>
      <c r="BS16" s="623"/>
      <c r="BT16" s="623"/>
      <c r="BU16" s="623"/>
      <c r="BV16" s="623"/>
      <c r="BW16" s="623"/>
      <c r="BX16" s="623"/>
      <c r="BY16" s="659"/>
      <c r="BZ16" s="623"/>
      <c r="CA16" s="651"/>
      <c r="CB16" s="623"/>
      <c r="CC16" s="651"/>
      <c r="CD16" s="651"/>
      <c r="CE16" s="651"/>
      <c r="CF16" s="651"/>
      <c r="CG16" s="651"/>
      <c r="CH16" s="651"/>
      <c r="CI16" s="651"/>
      <c r="CJ16" s="623"/>
      <c r="CK16" s="623"/>
      <c r="CL16" s="623"/>
    </row>
    <row r="17" spans="1:90" s="1" customFormat="1">
      <c r="A17" s="54" t="s">
        <v>824</v>
      </c>
      <c r="B17" s="54" t="s">
        <v>825</v>
      </c>
      <c r="C17" s="93" t="s">
        <v>1420</v>
      </c>
      <c r="D17" s="572">
        <f>'Demand - Methanol'!M39</f>
        <v>126171.28546415325</v>
      </c>
      <c r="E17" s="572">
        <f>D17*(1+'Demand - Methanol'!$N$39)</f>
        <v>125292.11614121997</v>
      </c>
      <c r="F17" s="572">
        <f>E17*(1+'Demand - Methanol'!$N$39)</f>
        <v>124419.07292452034</v>
      </c>
      <c r="G17" s="572">
        <f>F17*(1+'Demand - Methanol'!$N$39)</f>
        <v>123552.11312696709</v>
      </c>
      <c r="H17" s="572">
        <f>G17*(1+'Demand - Methanol'!$N$39)</f>
        <v>122691.19435891925</v>
      </c>
      <c r="I17" s="572">
        <f>H17*(1+'Demand - Methanol'!$N$39)</f>
        <v>121836.2745261095</v>
      </c>
      <c r="J17" s="572">
        <f>I17*(1+'Demand - Methanol'!$N$39)</f>
        <v>120987.31182758596</v>
      </c>
      <c r="K17" s="572">
        <f>J17*(1+'Demand - Methanol'!$N$39)</f>
        <v>120144.26475366838</v>
      </c>
      <c r="L17" s="572">
        <f>K17*(1+'Demand - Methanol'!$N$39)</f>
        <v>119307.09208391851</v>
      </c>
      <c r="M17" s="572">
        <f>L17*(1+'Demand - Methanol'!$N$39)</f>
        <v>118475.75288512469</v>
      </c>
      <c r="N17" s="572">
        <f>M17*(1+'Demand - Methanol'!$N$39)</f>
        <v>117650.20650930039</v>
      </c>
      <c r="O17" s="572">
        <f>N17*(1+'Demand - Methanol'!$N$39)</f>
        <v>116830.41259169679</v>
      </c>
      <c r="P17" s="572">
        <f>O17*(1+'Demand - Methanol'!$N$39)</f>
        <v>116016.33104882912</v>
      </c>
      <c r="Q17" s="572">
        <f>P17*(1+'Demand - Methanol'!$N$39)</f>
        <v>115207.9220765168</v>
      </c>
      <c r="R17" s="572">
        <f>Q17*(1+'Demand - Methanol'!$N$39)</f>
        <v>114405.14614793725</v>
      </c>
      <c r="S17" s="572">
        <f>R17*(1+'Demand - Methanol'!$N$39)</f>
        <v>113607.96401169327</v>
      </c>
      <c r="T17" s="572">
        <f>S17*(1+'Demand - Methanol'!$N$39)</f>
        <v>112816.33668989378</v>
      </c>
      <c r="U17" s="572">
        <f>T17*(1+'Demand - Methanol'!$N$39)</f>
        <v>112030.22547624807</v>
      </c>
      <c r="V17" s="572">
        <f>U17*(1+'Demand - Methanol'!$N$39)</f>
        <v>111249.59193417327</v>
      </c>
      <c r="W17" s="572">
        <f>V17*(1+'Demand - Methanol'!$N$39)</f>
        <v>110474.39789491496</v>
      </c>
      <c r="X17" s="572">
        <f>W17*(1+'Demand - Methanol'!$N$39)</f>
        <v>109704.60545568101</v>
      </c>
      <c r="Y17" s="572">
        <f>X17*(1+'Demand - Methanol'!$N$39)</f>
        <v>108940.17697778827</v>
      </c>
      <c r="Z17" s="572">
        <f>Y17*(1+'Demand - Methanol'!$N$39)</f>
        <v>108181.07508482227</v>
      </c>
      <c r="AA17" s="572">
        <f>Z17*(1+'Demand - Methanol'!$N$39)</f>
        <v>107427.26266080969</v>
      </c>
      <c r="AB17" s="572">
        <f>AA17*(1+'Demand - Methanol'!$N$39)</f>
        <v>106678.70284840363</v>
      </c>
      <c r="AC17" s="572">
        <f>AB17*(1+'Demand - Methanol'!$N$39)</f>
        <v>105935.35904708144</v>
      </c>
      <c r="AD17" s="572">
        <f>AC17*(1+'Demand - Methanol'!$N$39)</f>
        <v>105197.1949113552</v>
      </c>
      <c r="AE17" s="572">
        <f>AD17*(1+'Demand - Methanol'!$N$39)</f>
        <v>104464.17434899458</v>
      </c>
      <c r="AF17" s="572">
        <f>AE17*(1+'Demand - Methanol'!$N$39)</f>
        <v>103736.26151926216</v>
      </c>
      <c r="AG17" s="572">
        <f>AF17*(1+'Demand - Methanol'!$N$39)</f>
        <v>103013.42083116098</v>
      </c>
      <c r="AH17" s="572">
        <f>AG17*(1+'Demand - Methanol'!$N$39)</f>
        <v>102295.61694169437</v>
      </c>
      <c r="AI17" s="520"/>
      <c r="AJ17" s="572">
        <f>D17</f>
        <v>126171.28546415325</v>
      </c>
      <c r="AK17" s="572">
        <f t="shared" si="136"/>
        <v>125292.11614121997</v>
      </c>
      <c r="AL17" s="572">
        <f t="shared" si="137"/>
        <v>124419.07292452034</v>
      </c>
      <c r="AM17" s="572">
        <f t="shared" si="138"/>
        <v>123552.11312696709</v>
      </c>
      <c r="AN17" s="572">
        <f t="shared" si="139"/>
        <v>122691.19435891925</v>
      </c>
      <c r="AO17" s="572">
        <f t="shared" si="140"/>
        <v>121836.2745261095</v>
      </c>
      <c r="AP17" s="572">
        <f t="shared" si="141"/>
        <v>120987.31182758596</v>
      </c>
      <c r="AQ17" s="572">
        <f t="shared" si="142"/>
        <v>120144.26475366838</v>
      </c>
      <c r="AR17" s="572">
        <f t="shared" si="143"/>
        <v>119307.09208391851</v>
      </c>
      <c r="AS17" s="572">
        <f t="shared" si="144"/>
        <v>118475.75288512469</v>
      </c>
      <c r="AT17" s="572">
        <f t="shared" si="145"/>
        <v>117650.20650930039</v>
      </c>
      <c r="AU17" s="572">
        <f t="shared" si="146"/>
        <v>116830.41259169679</v>
      </c>
      <c r="AV17" s="572">
        <f t="shared" si="147"/>
        <v>116016.33104882912</v>
      </c>
      <c r="AW17" s="572">
        <f t="shared" si="148"/>
        <v>115207.9220765168</v>
      </c>
      <c r="AX17" s="572">
        <f t="shared" si="149"/>
        <v>114405.14614793725</v>
      </c>
      <c r="AY17" s="572">
        <f t="shared" si="150"/>
        <v>113607.96401169327</v>
      </c>
      <c r="AZ17" s="572">
        <f t="shared" si="151"/>
        <v>112816.33668989378</v>
      </c>
      <c r="BA17" s="572">
        <f t="shared" si="152"/>
        <v>112030.22547624807</v>
      </c>
      <c r="BB17" s="572">
        <f t="shared" si="153"/>
        <v>111249.59193417327</v>
      </c>
      <c r="BC17" s="572">
        <f t="shared" si="154"/>
        <v>110474.39789491496</v>
      </c>
      <c r="BD17" s="572">
        <f t="shared" si="155"/>
        <v>109704.60545568101</v>
      </c>
      <c r="BE17" s="572">
        <f t="shared" si="156"/>
        <v>108940.17697778827</v>
      </c>
      <c r="BF17" s="572">
        <f t="shared" si="157"/>
        <v>108181.07508482227</v>
      </c>
      <c r="BG17" s="572">
        <f t="shared" si="158"/>
        <v>107427.26266080969</v>
      </c>
      <c r="BH17" s="572">
        <f t="shared" si="159"/>
        <v>106678.70284840363</v>
      </c>
      <c r="BI17" s="572">
        <f t="shared" si="160"/>
        <v>105935.35904708144</v>
      </c>
      <c r="BJ17" s="572">
        <f t="shared" si="161"/>
        <v>105197.1949113552</v>
      </c>
      <c r="BK17" s="572">
        <f t="shared" si="162"/>
        <v>104464.17434899458</v>
      </c>
      <c r="BL17" s="572">
        <f t="shared" si="163"/>
        <v>103736.26151926216</v>
      </c>
      <c r="BM17" s="572">
        <f t="shared" si="164"/>
        <v>103013.42083116098</v>
      </c>
      <c r="BN17" s="572">
        <f t="shared" si="165"/>
        <v>102295.61694169437</v>
      </c>
      <c r="BQ17" s="625"/>
      <c r="BR17" s="625"/>
      <c r="BS17" s="640"/>
      <c r="BT17" s="625"/>
      <c r="BU17" s="625"/>
      <c r="BV17" s="625"/>
      <c r="BW17" s="625"/>
      <c r="BX17" s="625"/>
      <c r="BY17" s="630"/>
      <c r="BZ17" s="641"/>
      <c r="CA17" s="642"/>
      <c r="CB17" s="642"/>
      <c r="CC17" s="641"/>
      <c r="CD17" s="642"/>
      <c r="CE17" s="642"/>
      <c r="CF17" s="642"/>
      <c r="CG17" s="642"/>
      <c r="CH17" s="643"/>
      <c r="CI17" s="644"/>
      <c r="CJ17" s="625"/>
      <c r="CK17" s="625"/>
      <c r="CL17" s="625"/>
    </row>
    <row r="18" spans="1:90">
      <c r="B18" s="1" t="s">
        <v>827</v>
      </c>
      <c r="C18" s="50" t="s">
        <v>1420</v>
      </c>
      <c r="D18" s="99">
        <v>0</v>
      </c>
      <c r="E18" s="99">
        <f>E17*('R&amp;S - Transportation'!$B$8*'R&amp;S - Transportation'!$D$19*(E3-$D$3)/10)</f>
        <v>250.58423228244001</v>
      </c>
      <c r="F18" s="99">
        <f>F17*('R&amp;S - Transportation'!$B$8*'R&amp;S - Transportation'!$D$19*(F3-$D$3)/10)</f>
        <v>497.67629169808146</v>
      </c>
      <c r="G18" s="99">
        <f>G17*('R&amp;S - Transportation'!$B$8*'R&amp;S - Transportation'!$D$19*(G3-$D$3)/10)</f>
        <v>741.31267876180266</v>
      </c>
      <c r="H18" s="99">
        <f>H17*('R&amp;S - Transportation'!$B$8*'R&amp;S - Transportation'!$D$19*(H3-$D$3)/10)</f>
        <v>981.52955487135421</v>
      </c>
      <c r="I18" s="99">
        <f>I17*('R&amp;S - Transportation'!$B$8*'R&amp;S - Transportation'!$D$19*(I3-$D$3)/10)</f>
        <v>1218.3627452610951</v>
      </c>
      <c r="J18" s="99">
        <f>J17*('R&amp;S - Transportation'!$B$8*'R&amp;S - Transportation'!$D$19*(J3-$D$3)/10)</f>
        <v>1451.8477419310318</v>
      </c>
      <c r="K18" s="99">
        <f>K17*('R&amp;S - Transportation'!$B$8*'R&amp;S - Transportation'!$D$19*(K3-$D$3)/10)</f>
        <v>1682.0197065513576</v>
      </c>
      <c r="L18" s="99">
        <f>L17*('R&amp;S - Transportation'!$B$8*'R&amp;S - Transportation'!$D$19*(L3-$D$3)/10)</f>
        <v>1908.9134733426968</v>
      </c>
      <c r="M18" s="99">
        <f>M17*('R&amp;S - Transportation'!$B$8*'R&amp;S - Transportation'!$D$19*(M3-$D$3)/10)</f>
        <v>2132.563551932245</v>
      </c>
      <c r="N18" s="99">
        <f>N17*('R&amp;S - Transportation'!$B$8*'R&amp;S - Transportation'!$D$19*(N3-$D$3)/10)</f>
        <v>2353.0041301860083</v>
      </c>
      <c r="O18" s="99">
        <f>O17*('R&amp;S - Transportation'!$B$8*('R&amp;S - Transportation'!$D$19+('R&amp;S - Transportation'!$D$20-'R&amp;S - Transportation'!$D$19)*(O3-$N$3)/10))</f>
        <v>2920.7603147924201</v>
      </c>
      <c r="P18" s="99">
        <f>P17*('R&amp;S - Transportation'!$B$8*('R&amp;S - Transportation'!$D$19+('R&amp;S - Transportation'!$D$20-'R&amp;S - Transportation'!$D$19)*(P3-$N$3)/10))</f>
        <v>3480.4899314648733</v>
      </c>
      <c r="Q18" s="99">
        <f>Q17*('R&amp;S - Transportation'!$B$8*('R&amp;S - Transportation'!$D$19+('R&amp;S - Transportation'!$D$20-'R&amp;S - Transportation'!$D$19)*(Q3-$N$3)/10))</f>
        <v>4032.2772726780877</v>
      </c>
      <c r="R18" s="99">
        <f>R17*('R&amp;S - Transportation'!$B$8*('R&amp;S - Transportation'!$D$19+('R&amp;S - Transportation'!$D$20-'R&amp;S - Transportation'!$D$19)*(R3-$N$3)/10))</f>
        <v>4576.2058459174914</v>
      </c>
      <c r="S18" s="99">
        <f>S17*('R&amp;S - Transportation'!$B$8*('R&amp;S - Transportation'!$D$19+('R&amp;S - Transportation'!$D$20-'R&amp;S - Transportation'!$D$19)*(S3-$N$3)/10))</f>
        <v>5112.3583805261969</v>
      </c>
      <c r="T18" s="99">
        <f>T17*('R&amp;S - Transportation'!$B$8*('R&amp;S - Transportation'!$D$19+('R&amp;S - Transportation'!$D$20-'R&amp;S - Transportation'!$D$19)*(T3-$N$3)/10))</f>
        <v>5640.8168344946889</v>
      </c>
      <c r="U18" s="99">
        <f>U17*('R&amp;S - Transportation'!$B$8*('R&amp;S - Transportation'!$D$19+('R&amp;S - Transportation'!$D$20-'R&amp;S - Transportation'!$D$19)*(U3-$N$3)/10))</f>
        <v>6161.6624011936447</v>
      </c>
      <c r="V18" s="99">
        <f>V17*('R&amp;S - Transportation'!$B$8*('R&amp;S - Transportation'!$D$19+('R&amp;S - Transportation'!$D$20-'R&amp;S - Transportation'!$D$19)*(V3-$N$3)/10))</f>
        <v>6674.9755160503955</v>
      </c>
      <c r="W18" s="99">
        <f>W17*('R&amp;S - Transportation'!$B$8*('R&amp;S - Transportation'!$D$19+('R&amp;S - Transportation'!$D$20-'R&amp;S - Transportation'!$D$19)*(W3-$N$3)/10))</f>
        <v>7180.8358631694709</v>
      </c>
      <c r="X18" s="99">
        <f>X17*('R&amp;S - Transportation'!$B$8*('R&amp;S - Transportation'!$D$19+('R&amp;S - Transportation'!$D$20-'R&amp;S - Transportation'!$D$19)*(X3-$N$3)/10))</f>
        <v>7679.3223818976703</v>
      </c>
      <c r="Y18" s="99">
        <f>Y17*('R&amp;S - Transportation'!$B$8*('R&amp;S - Transportation'!$D$20+('R&amp;S - Transportation'!$D$21-'R&amp;S - Transportation'!$D$20)*(Y3-$X$3)/10))</f>
        <v>7952.6329193785432</v>
      </c>
      <c r="Z18" s="99">
        <f>Z17*('R&amp;S - Transportation'!$B$8*('R&amp;S - Transportation'!$D$20+('R&amp;S - Transportation'!$D$21-'R&amp;S - Transportation'!$D$20)*(Z3-$X$3)/10))</f>
        <v>8221.7617064464939</v>
      </c>
      <c r="AA18" s="99">
        <f>AA17*('R&amp;S - Transportation'!$B$8*('R&amp;S - Transportation'!$D$20+('R&amp;S - Transportation'!$D$21-'R&amp;S - Transportation'!$D$20)*(AA3-$X$3)/10))</f>
        <v>8486.753750203965</v>
      </c>
      <c r="AB18" s="99">
        <f>AB17*('R&amp;S - Transportation'!$B$8*('R&amp;S - Transportation'!$D$20+('R&amp;S - Transportation'!$D$21-'R&amp;S - Transportation'!$D$20)*(AB3-$X$3)/10))</f>
        <v>8747.653633569098</v>
      </c>
      <c r="AC18" s="99">
        <f>AC17*('R&amp;S - Transportation'!$B$8*('R&amp;S - Transportation'!$D$20+('R&amp;S - Transportation'!$D$21-'R&amp;S - Transportation'!$D$20)*(AC3-$X$3)/10))</f>
        <v>9004.5055190019229</v>
      </c>
      <c r="AD18" s="99">
        <f>AD17*('R&amp;S - Transportation'!$B$8*('R&amp;S - Transportation'!$D$20+('R&amp;S - Transportation'!$D$21-'R&amp;S - Transportation'!$D$20)*(AD3-$X$3)/10))</f>
        <v>9257.3531521992591</v>
      </c>
      <c r="AE18" s="99">
        <f>AE17*('R&amp;S - Transportation'!$B$8*('R&amp;S - Transportation'!$D$20+('R&amp;S - Transportation'!$D$21-'R&amp;S - Transportation'!$D$20)*(AE3-$X$3)/10))</f>
        <v>9506.2398657585072</v>
      </c>
      <c r="AF18" s="99">
        <f>AF17*('R&amp;S - Transportation'!$B$8*('R&amp;S - Transportation'!$D$20+('R&amp;S - Transportation'!$D$21-'R&amp;S - Transportation'!$D$20)*(AF3-$X$3)/10))</f>
        <v>9751.2085828106428</v>
      </c>
      <c r="AG18" s="99">
        <f>AG17*('R&amp;S - Transportation'!$B$8*('R&amp;S - Transportation'!$D$20+('R&amp;S - Transportation'!$D$21-'R&amp;S - Transportation'!$D$20)*(AG3-$X$3)/10))</f>
        <v>9992.3018206226152</v>
      </c>
      <c r="AH18" s="99">
        <f>AH17*('R&amp;S - Transportation'!$B$8*('R&amp;S - Transportation'!$D$20+('R&amp;S - Transportation'!$D$21-'R&amp;S - Transportation'!$D$20)*(AH3-$X$3)/10))</f>
        <v>10229.561694169439</v>
      </c>
      <c r="AI18" s="99"/>
      <c r="AJ18" s="99">
        <v>0</v>
      </c>
      <c r="AK18" s="99">
        <f>AK17*('R&amp;S - Transportation'!$B$8*'R&amp;S - Transportation'!$D$19*(AK3-$D$3)/10)</f>
        <v>250.58423228244001</v>
      </c>
      <c r="AL18" s="99">
        <f>AL17*('R&amp;S - Transportation'!$B$8*'R&amp;S - Transportation'!$D$19*(AL3-$D$3)/10)</f>
        <v>497.67629169808146</v>
      </c>
      <c r="AM18" s="99">
        <f>AM17*('R&amp;S - Transportation'!$B$8*'R&amp;S - Transportation'!$D$19*(AM3-$D$3)/10)</f>
        <v>741.31267876180266</v>
      </c>
      <c r="AN18" s="99">
        <f>AN17*('R&amp;S - Transportation'!$B$8*'R&amp;S - Transportation'!$D$19*(AN3-$D$3)/10)</f>
        <v>981.52955487135421</v>
      </c>
      <c r="AO18" s="99">
        <f>AO17*('R&amp;S - Transportation'!$B$8*'R&amp;S - Transportation'!$D$19*(AO3-$D$3)/10)</f>
        <v>1218.3627452610951</v>
      </c>
      <c r="AP18" s="99">
        <f>AP17*('R&amp;S - Transportation'!$B$8*'R&amp;S - Transportation'!$D$19*(AP3-$D$3)/10)</f>
        <v>1451.8477419310318</v>
      </c>
      <c r="AQ18" s="99">
        <f>AQ17*('R&amp;S - Transportation'!$B$8*'R&amp;S - Transportation'!$D$19*(AQ3-$D$3)/10)</f>
        <v>1682.0197065513576</v>
      </c>
      <c r="AR18" s="99">
        <f>AR17*('R&amp;S - Transportation'!$B$8*'R&amp;S - Transportation'!$D$19*(AR3-$D$3)/10)</f>
        <v>1908.9134733426968</v>
      </c>
      <c r="AS18" s="99">
        <f>AS17*('R&amp;S - Transportation'!$B$8*'R&amp;S - Transportation'!$D$19*(AS3-$D$3)/10)</f>
        <v>2132.563551932245</v>
      </c>
      <c r="AT18" s="99">
        <f>AT17*('R&amp;S - Transportation'!$B$8*'R&amp;S - Transportation'!$D$19*(AT3-$D$3)/10)</f>
        <v>2353.0041301860083</v>
      </c>
      <c r="AU18" s="99">
        <f>AU17*('R&amp;S - Transportation'!$B$8*('R&amp;S - Transportation'!$D$19+('R&amp;S - Transportation'!$D$20-'R&amp;S - Transportation'!$D$19)*(AU3-$N$3)/10))</f>
        <v>2920.7603147924201</v>
      </c>
      <c r="AV18" s="99">
        <f>AV17*('R&amp;S - Transportation'!$B$8*('R&amp;S - Transportation'!$D$19+('R&amp;S - Transportation'!$D$20-'R&amp;S - Transportation'!$D$19)*(AV3-$N$3)/10))</f>
        <v>3480.4899314648733</v>
      </c>
      <c r="AW18" s="99">
        <f>AW17*('R&amp;S - Transportation'!$B$8*('R&amp;S - Transportation'!$D$19+('R&amp;S - Transportation'!$D$20-'R&amp;S - Transportation'!$D$19)*(AW3-$N$3)/10))</f>
        <v>4032.2772726780877</v>
      </c>
      <c r="AX18" s="99">
        <f>AX17*('R&amp;S - Transportation'!$B$8*('R&amp;S - Transportation'!$D$19+('R&amp;S - Transportation'!$D$20-'R&amp;S - Transportation'!$D$19)*(AX3-$N$3)/10))</f>
        <v>4576.2058459174914</v>
      </c>
      <c r="AY18" s="99">
        <f>AY17*('R&amp;S - Transportation'!$B$8*('R&amp;S - Transportation'!$D$19+('R&amp;S - Transportation'!$D$20-'R&amp;S - Transportation'!$D$19)*(AY3-$N$3)/10))</f>
        <v>5112.3583805261969</v>
      </c>
      <c r="AZ18" s="99">
        <f>AZ17*('R&amp;S - Transportation'!$B$8*('R&amp;S - Transportation'!$D$19+('R&amp;S - Transportation'!$D$20-'R&amp;S - Transportation'!$D$19)*(AZ3-$N$3)/10))</f>
        <v>5640.8168344946889</v>
      </c>
      <c r="BA18" s="99">
        <f>BA17*('R&amp;S - Transportation'!$B$8*('R&amp;S - Transportation'!$D$19+('R&amp;S - Transportation'!$D$20-'R&amp;S - Transportation'!$D$19)*(BA3-$N$3)/10))</f>
        <v>6161.6624011936447</v>
      </c>
      <c r="BB18" s="99">
        <f>BB17*('R&amp;S - Transportation'!$B$8*('R&amp;S - Transportation'!$D$19+('R&amp;S - Transportation'!$D$20-'R&amp;S - Transportation'!$D$19)*(BB3-$N$3)/10))</f>
        <v>6674.9755160503955</v>
      </c>
      <c r="BC18" s="99">
        <f>BC17*('R&amp;S - Transportation'!$B$8*('R&amp;S - Transportation'!$D$19+('R&amp;S - Transportation'!$D$20-'R&amp;S - Transportation'!$D$19)*(BC3-$N$3)/10))</f>
        <v>7180.8358631694709</v>
      </c>
      <c r="BD18" s="99">
        <f>BD17*('R&amp;S - Transportation'!$B$8*('R&amp;S - Transportation'!$D$19+('R&amp;S - Transportation'!$D$20-'R&amp;S - Transportation'!$D$19)*(BD3-$N$3)/10))</f>
        <v>7679.3223818976703</v>
      </c>
      <c r="BE18" s="99">
        <f>BE17*('R&amp;S - Transportation'!$B$8*('R&amp;S - Transportation'!$D$20+('R&amp;S - Transportation'!$D$21-'R&amp;S - Transportation'!$D$20)*(BE3-$X$3)/10))</f>
        <v>7952.6329193785432</v>
      </c>
      <c r="BF18" s="99">
        <f>BF17*('R&amp;S - Transportation'!$B$8*('R&amp;S - Transportation'!$D$20+('R&amp;S - Transportation'!$D$21-'R&amp;S - Transportation'!$D$20)*(BF3-$X$3)/10))</f>
        <v>8221.7617064464939</v>
      </c>
      <c r="BG18" s="99">
        <f>BG17*('R&amp;S - Transportation'!$B$8*('R&amp;S - Transportation'!$D$20+('R&amp;S - Transportation'!$D$21-'R&amp;S - Transportation'!$D$20)*(BG3-$X$3)/10))</f>
        <v>8486.753750203965</v>
      </c>
      <c r="BH18" s="99">
        <f>BH17*('R&amp;S - Transportation'!$B$8*('R&amp;S - Transportation'!$D$20+('R&amp;S - Transportation'!$D$21-'R&amp;S - Transportation'!$D$20)*(BH3-$X$3)/10))</f>
        <v>8747.653633569098</v>
      </c>
      <c r="BI18" s="99">
        <f>BI17*('R&amp;S - Transportation'!$B$8*('R&amp;S - Transportation'!$D$20+('R&amp;S - Transportation'!$D$21-'R&amp;S - Transportation'!$D$20)*(BI3-$X$3)/10))</f>
        <v>9004.5055190019229</v>
      </c>
      <c r="BJ18" s="99">
        <f>BJ17*('R&amp;S - Transportation'!$B$8*('R&amp;S - Transportation'!$D$20+('R&amp;S - Transportation'!$D$21-'R&amp;S - Transportation'!$D$20)*(BJ3-$X$3)/10))</f>
        <v>9257.3531521992591</v>
      </c>
      <c r="BK18" s="99">
        <f>BK17*('R&amp;S - Transportation'!$B$8*('R&amp;S - Transportation'!$D$20+('R&amp;S - Transportation'!$D$21-'R&amp;S - Transportation'!$D$20)*(BK3-$X$3)/10))</f>
        <v>9506.2398657585072</v>
      </c>
      <c r="BL18" s="99">
        <f>BL17*('R&amp;S - Transportation'!$B$8*('R&amp;S - Transportation'!$D$20+('R&amp;S - Transportation'!$D$21-'R&amp;S - Transportation'!$D$20)*(BL3-$X$3)/10))</f>
        <v>9751.2085828106428</v>
      </c>
      <c r="BM18" s="99">
        <f>BM17*('R&amp;S - Transportation'!$B$8*('R&amp;S - Transportation'!$D$20+('R&amp;S - Transportation'!$D$21-'R&amp;S - Transportation'!$D$20)*(BM3-$X$3)/10))</f>
        <v>9992.3018206226152</v>
      </c>
      <c r="BN18" s="99">
        <f>BN17*('R&amp;S - Transportation'!$B$8*('R&amp;S - Transportation'!$D$20+('R&amp;S - Transportation'!$D$21-'R&amp;S - Transportation'!$D$20)*(BN3-$X$3)/10))</f>
        <v>10229.561694169439</v>
      </c>
      <c r="BS18" s="626"/>
      <c r="BY18" s="630"/>
      <c r="BZ18" s="642"/>
      <c r="CA18" s="642"/>
      <c r="CB18" s="642"/>
      <c r="CC18" s="642"/>
      <c r="CD18" s="642"/>
      <c r="CE18" s="641"/>
      <c r="CF18" s="642"/>
      <c r="CG18" s="642"/>
      <c r="CH18" s="642"/>
    </row>
    <row r="19" spans="1:90">
      <c r="B19" s="1" t="s">
        <v>181</v>
      </c>
      <c r="C19" s="50" t="s">
        <v>1420</v>
      </c>
      <c r="D19" s="99">
        <f>SUM(D17:D18)</f>
        <v>126171.28546415325</v>
      </c>
      <c r="E19" s="99">
        <f t="shared" ref="E19:AH19" si="168">SUM(E17:E18)</f>
        <v>125542.70037350242</v>
      </c>
      <c r="F19" s="99">
        <f t="shared" si="168"/>
        <v>124916.74921621842</v>
      </c>
      <c r="G19" s="99">
        <f t="shared" si="168"/>
        <v>124293.4258057289</v>
      </c>
      <c r="H19" s="99">
        <f t="shared" si="168"/>
        <v>123672.7239137906</v>
      </c>
      <c r="I19" s="99">
        <f t="shared" si="168"/>
        <v>123054.63727137059</v>
      </c>
      <c r="J19" s="99">
        <f t="shared" si="168"/>
        <v>122439.159569517</v>
      </c>
      <c r="K19" s="99">
        <f t="shared" si="168"/>
        <v>121826.28446021974</v>
      </c>
      <c r="L19" s="99">
        <f t="shared" si="168"/>
        <v>121216.0055572612</v>
      </c>
      <c r="M19" s="99">
        <f t="shared" si="168"/>
        <v>120608.31643705693</v>
      </c>
      <c r="N19" s="99">
        <f t="shared" si="168"/>
        <v>120003.21063948639</v>
      </c>
      <c r="O19" s="99">
        <f>SUM(O17:O18)</f>
        <v>119751.17290648921</v>
      </c>
      <c r="P19" s="99">
        <f t="shared" si="168"/>
        <v>119496.820980294</v>
      </c>
      <c r="Q19" s="99">
        <f t="shared" si="168"/>
        <v>119240.19934919488</v>
      </c>
      <c r="R19" s="99">
        <f t="shared" si="168"/>
        <v>118981.35199385474</v>
      </c>
      <c r="S19" s="99">
        <f t="shared" si="168"/>
        <v>118720.32239221947</v>
      </c>
      <c r="T19" s="99">
        <f t="shared" si="168"/>
        <v>118457.15352438847</v>
      </c>
      <c r="U19" s="99">
        <f t="shared" si="168"/>
        <v>118191.88787744172</v>
      </c>
      <c r="V19" s="99">
        <f t="shared" si="168"/>
        <v>117924.56745022367</v>
      </c>
      <c r="W19" s="99">
        <f t="shared" si="168"/>
        <v>117655.23375808443</v>
      </c>
      <c r="X19" s="99">
        <f t="shared" si="168"/>
        <v>117383.92783757868</v>
      </c>
      <c r="Y19" s="99">
        <f t="shared" si="168"/>
        <v>116892.80989716682</v>
      </c>
      <c r="Z19" s="99">
        <f t="shared" si="168"/>
        <v>116402.83679126875</v>
      </c>
      <c r="AA19" s="99">
        <f t="shared" si="168"/>
        <v>115914.01641101365</v>
      </c>
      <c r="AB19" s="99">
        <f t="shared" si="168"/>
        <v>115426.35648197273</v>
      </c>
      <c r="AC19" s="99">
        <f t="shared" si="168"/>
        <v>114939.86456608336</v>
      </c>
      <c r="AD19" s="99">
        <f t="shared" si="168"/>
        <v>114454.54806355445</v>
      </c>
      <c r="AE19" s="99">
        <f t="shared" si="168"/>
        <v>113970.41421475308</v>
      </c>
      <c r="AF19" s="99">
        <f t="shared" si="168"/>
        <v>113487.47010207281</v>
      </c>
      <c r="AG19" s="99">
        <f t="shared" si="168"/>
        <v>113005.7226517836</v>
      </c>
      <c r="AH19" s="99">
        <f t="shared" si="168"/>
        <v>112525.17863586382</v>
      </c>
      <c r="AI19" s="99"/>
      <c r="AJ19" s="99">
        <f>SUM(AJ17:AJ18)</f>
        <v>126171.28546415325</v>
      </c>
      <c r="AK19" s="99">
        <f t="shared" ref="AK19:AT19" si="169">SUM(AK17:AK18)</f>
        <v>125542.70037350242</v>
      </c>
      <c r="AL19" s="99">
        <f t="shared" si="169"/>
        <v>124916.74921621842</v>
      </c>
      <c r="AM19" s="99">
        <f t="shared" si="169"/>
        <v>124293.4258057289</v>
      </c>
      <c r="AN19" s="99">
        <f t="shared" si="169"/>
        <v>123672.7239137906</v>
      </c>
      <c r="AO19" s="99">
        <f t="shared" si="169"/>
        <v>123054.63727137059</v>
      </c>
      <c r="AP19" s="99">
        <f t="shared" si="169"/>
        <v>122439.159569517</v>
      </c>
      <c r="AQ19" s="99">
        <f t="shared" si="169"/>
        <v>121826.28446021974</v>
      </c>
      <c r="AR19" s="99">
        <f t="shared" si="169"/>
        <v>121216.0055572612</v>
      </c>
      <c r="AS19" s="99">
        <f t="shared" si="169"/>
        <v>120608.31643705693</v>
      </c>
      <c r="AT19" s="99">
        <f t="shared" si="169"/>
        <v>120003.21063948639</v>
      </c>
      <c r="AU19" s="99">
        <f>SUM(AU17:AU18)</f>
        <v>119751.17290648921</v>
      </c>
      <c r="AV19" s="99">
        <f t="shared" ref="AV19:BN19" si="170">SUM(AV17:AV18)</f>
        <v>119496.820980294</v>
      </c>
      <c r="AW19" s="99">
        <f t="shared" si="170"/>
        <v>119240.19934919488</v>
      </c>
      <c r="AX19" s="99">
        <f t="shared" si="170"/>
        <v>118981.35199385474</v>
      </c>
      <c r="AY19" s="99">
        <f t="shared" si="170"/>
        <v>118720.32239221947</v>
      </c>
      <c r="AZ19" s="99">
        <f t="shared" si="170"/>
        <v>118457.15352438847</v>
      </c>
      <c r="BA19" s="99">
        <f t="shared" si="170"/>
        <v>118191.88787744172</v>
      </c>
      <c r="BB19" s="99">
        <f t="shared" si="170"/>
        <v>117924.56745022367</v>
      </c>
      <c r="BC19" s="99">
        <f t="shared" si="170"/>
        <v>117655.23375808443</v>
      </c>
      <c r="BD19" s="99">
        <f t="shared" si="170"/>
        <v>117383.92783757868</v>
      </c>
      <c r="BE19" s="99">
        <f t="shared" si="170"/>
        <v>116892.80989716682</v>
      </c>
      <c r="BF19" s="99">
        <f t="shared" si="170"/>
        <v>116402.83679126875</v>
      </c>
      <c r="BG19" s="99">
        <f t="shared" si="170"/>
        <v>115914.01641101365</v>
      </c>
      <c r="BH19" s="99">
        <f t="shared" si="170"/>
        <v>115426.35648197273</v>
      </c>
      <c r="BI19" s="99">
        <f t="shared" si="170"/>
        <v>114939.86456608336</v>
      </c>
      <c r="BJ19" s="99">
        <f t="shared" si="170"/>
        <v>114454.54806355445</v>
      </c>
      <c r="BK19" s="99">
        <f t="shared" si="170"/>
        <v>113970.41421475308</v>
      </c>
      <c r="BL19" s="99">
        <f t="shared" si="170"/>
        <v>113487.47010207281</v>
      </c>
      <c r="BM19" s="99">
        <f t="shared" si="170"/>
        <v>113005.7226517836</v>
      </c>
      <c r="BN19" s="99">
        <f t="shared" si="170"/>
        <v>112525.17863586382</v>
      </c>
      <c r="BS19" s="626"/>
      <c r="BY19" s="630"/>
      <c r="BZ19" s="642"/>
      <c r="CA19" s="642"/>
      <c r="CB19" s="642"/>
      <c r="CC19" s="642"/>
      <c r="CD19" s="642"/>
      <c r="CE19" s="642"/>
      <c r="CF19" s="641"/>
      <c r="CG19" s="642"/>
      <c r="CH19" s="642"/>
    </row>
    <row r="20" spans="1:90">
      <c r="B20" s="57" t="s">
        <v>134</v>
      </c>
      <c r="C20" s="50" t="s">
        <v>1420</v>
      </c>
      <c r="D20" s="99">
        <v>0</v>
      </c>
      <c r="E20" s="99">
        <f>E19*'R&amp;S - Transportation'!$B$15*('R&amp;S - Transportation'!$B$10*'R&amp;S - Transportation'!$B$19*(E$3-$D$3)/10)</f>
        <v>414.29091123255796</v>
      </c>
      <c r="F20" s="99">
        <f>F19*'R&amp;S - Transportation'!$B$15*('R&amp;S - Transportation'!$B$10*'R&amp;S - Transportation'!$B$19*(F$3-$D$3)/10)</f>
        <v>824.45054482704154</v>
      </c>
      <c r="G20" s="99">
        <f>G19*'R&amp;S - Transportation'!$B$15*('R&amp;S - Transportation'!$B$10*'R&amp;S - Transportation'!$B$19*(G$3-$D$3)/10)</f>
        <v>1230.5049154767162</v>
      </c>
      <c r="H20" s="99">
        <f>H19*'R&amp;S - Transportation'!$B$15*('R&amp;S - Transportation'!$B$10*'R&amp;S - Transportation'!$B$19*(H$3-$D$3)/10)</f>
        <v>1632.479955662036</v>
      </c>
      <c r="I20" s="99">
        <f>I19*'R&amp;S - Transportation'!$B$15*('R&amp;S - Transportation'!$B$10*'R&amp;S - Transportation'!$B$19*(I$3-$D$3)/10)</f>
        <v>2030.4015149776149</v>
      </c>
      <c r="J20" s="99">
        <f>J19*'R&amp;S - Transportation'!$B$15*('R&amp;S - Transportation'!$B$10*'R&amp;S - Transportation'!$B$19*(J$3-$D$3)/10)</f>
        <v>2424.2953594764367</v>
      </c>
      <c r="K20" s="99">
        <f>K19*'R&amp;S - Transportation'!$B$15*('R&amp;S - Transportation'!$B$10*'R&amp;S - Transportation'!$B$19*(K$3-$D$3)/10)</f>
        <v>2814.1871710310766</v>
      </c>
      <c r="L20" s="99">
        <f>L19*'R&amp;S - Transportation'!$B$15*('R&amp;S - Transportation'!$B$10*'R&amp;S - Transportation'!$B$19*(L$3-$D$3)/10)</f>
        <v>3200.1025467116956</v>
      </c>
      <c r="M20" s="99">
        <f>M19*'R&amp;S - Transportation'!$B$15*('R&amp;S - Transportation'!$B$10*'R&amp;S - Transportation'!$B$19*(M$3-$D$3)/10)</f>
        <v>3582.0669981805913</v>
      </c>
      <c r="N20" s="99">
        <f>N19*'R&amp;S - Transportation'!$B$15*('R&amp;S - Transportation'!$B$10*'R&amp;S - Transportation'!$B$19*(N$3-$D$3)/10)</f>
        <v>3960.1059511030512</v>
      </c>
      <c r="O20" s="99">
        <f>O19*('R&amp;S - Transportation'!$B$15*('R&amp;S - Transportation'!$B$10*('R&amp;S - Transportation'!$B$19+('R&amp;S - Transportation'!$B$20-'R&amp;S - Transportation'!$B$19)*(O3-$N$3)/10)))</f>
        <v>5137.3253176883873</v>
      </c>
      <c r="P20" s="99">
        <f>P19*('R&amp;S - Transportation'!$B$15*('R&amp;S - Transportation'!$B$10*('R&amp;S - Transportation'!$B$19+('R&amp;S - Transportation'!$B$20-'R&amp;S - Transportation'!$B$19)*(P3-$N$3)/10)))</f>
        <v>6309.4321477595249</v>
      </c>
      <c r="Q20" s="99">
        <f>Q19*('R&amp;S - Transportation'!$B$15*('R&amp;S - Transportation'!$B$10*('R&amp;S - Transportation'!$B$19+('R&amp;S - Transportation'!$B$20-'R&amp;S - Transportation'!$B$19)*(Q3-$N$3)/10)))</f>
        <v>7476.3604991945194</v>
      </c>
      <c r="R20" s="99">
        <f>R19*('R&amp;S - Transportation'!$B$15*('R&amp;S - Transportation'!$B$10*('R&amp;S - Transportation'!$B$19+('R&amp;S - Transportation'!$B$20-'R&amp;S - Transportation'!$B$19)*(R3-$N$3)/10)))</f>
        <v>8638.0461547538562</v>
      </c>
      <c r="S20" s="99">
        <f>S19*('R&amp;S - Transportation'!$B$15*('R&amp;S - Transportation'!$B$10*('R&amp;S - Transportation'!$B$19+('R&amp;S - Transportation'!$B$20-'R&amp;S - Transportation'!$B$19)*(S3-$N$3)/10)))</f>
        <v>9794.4265973581078</v>
      </c>
      <c r="T20" s="99">
        <f>T19*('R&amp;S - Transportation'!$B$15*('R&amp;S - Transportation'!$B$10*('R&amp;S - Transportation'!$B$19+('R&amp;S - Transportation'!$B$20-'R&amp;S - Transportation'!$B$19)*(T3-$N$3)/10)))</f>
        <v>10945.440985653497</v>
      </c>
      <c r="U20" s="99">
        <f>U19*('R&amp;S - Transportation'!$B$15*('R&amp;S - Transportation'!$B$10*('R&amp;S - Transportation'!$B$19+('R&amp;S - Transportation'!$B$20-'R&amp;S - Transportation'!$B$19)*(U3-$N$3)/10)))</f>
        <v>12091.030129862291</v>
      </c>
      <c r="V20" s="99">
        <f>V19*('R&amp;S - Transportation'!$B$15*('R&amp;S - Transportation'!$B$10*('R&amp;S - Transportation'!$B$19+('R&amp;S - Transportation'!$B$20-'R&amp;S - Transportation'!$B$19)*(V3-$N$3)/10)))</f>
        <v>13231.136467915099</v>
      </c>
      <c r="W20" s="99">
        <f>W19*('R&amp;S - Transportation'!$B$15*('R&amp;S - Transportation'!$B$10*('R&amp;S - Transportation'!$B$19+('R&amp;S - Transportation'!$B$20-'R&amp;S - Transportation'!$B$19)*(W3-$N$3)/10)))</f>
        <v>14365.704041862109</v>
      </c>
      <c r="X20" s="99">
        <f>X19*('R&amp;S - Transportation'!$B$15*('R&amp;S - Transportation'!$B$10*('R&amp;S - Transportation'!$B$19+('R&amp;S - Transportation'!$B$20-'R&amp;S - Transportation'!$B$19)*(X3-$N$3)/10)))</f>
        <v>15494.678474560387</v>
      </c>
      <c r="Y20" s="99">
        <f>Y19*('R&amp;S - Transportation'!$B$15*('R&amp;S - Transportation'!$B$10*('R&amp;S - Transportation'!$B$20+('R&amp;S - Transportation'!$B$21-'R&amp;S - Transportation'!$B$20)*(Y3-$X$3)/10)))</f>
        <v>17744.328542389925</v>
      </c>
      <c r="Z20" s="99">
        <f>Z19*('R&amp;S - Transportation'!$B$15*('R&amp;S - Transportation'!$B$10*('R&amp;S - Transportation'!$B$20+('R&amp;S - Transportation'!$B$21-'R&amp;S - Transportation'!$B$20)*(Z3-$X$3)/10)))</f>
        <v>19974.72679338172</v>
      </c>
      <c r="AA20" s="99">
        <f>AA19*('R&amp;S - Transportation'!$B$15*('R&amp;S - Transportation'!$B$10*('R&amp;S - Transportation'!$B$20+('R&amp;S - Transportation'!$B$21-'R&amp;S - Transportation'!$B$20)*(AA3-$X$3)/10)))</f>
        <v>22185.942741068018</v>
      </c>
      <c r="AB20" s="99">
        <f>AB19*('R&amp;S - Transportation'!$B$15*('R&amp;S - Transportation'!$B$10*('R&amp;S - Transportation'!$B$20+('R&amp;S - Transportation'!$B$21-'R&amp;S - Transportation'!$B$20)*(AB3-$X$3)/10)))</f>
        <v>24378.046488992644</v>
      </c>
      <c r="AC20" s="99">
        <f>AC19*('R&amp;S - Transportation'!$B$15*('R&amp;S - Transportation'!$B$10*('R&amp;S - Transportation'!$B$20+('R&amp;S - Transportation'!$B$21-'R&amp;S - Transportation'!$B$20)*(AC3-$X$3)/10)))</f>
        <v>26551.108714765254</v>
      </c>
      <c r="AD20" s="99">
        <f>AD19*('R&amp;S - Transportation'!$B$15*('R&amp;S - Transportation'!$B$10*('R&amp;S - Transportation'!$B$20+('R&amp;S - Transportation'!$B$21-'R&amp;S - Transportation'!$B$20)*(AD3-$X$3)/10)))</f>
        <v>28705.20065433946</v>
      </c>
      <c r="AE20" s="99">
        <f>AE19*('R&amp;S - Transportation'!$B$15*('R&amp;S - Transportation'!$B$10*('R&amp;S - Transportation'!$B$20+('R&amp;S - Transportation'!$B$21-'R&amp;S - Transportation'!$B$20)*(AE3-$X$3)/10)))</f>
        <v>30840.394086512184</v>
      </c>
      <c r="AF20" s="99">
        <f>AF19*('R&amp;S - Transportation'!$B$15*('R&amp;S - Transportation'!$B$10*('R&amp;S - Transportation'!$B$20+('R&amp;S - Transportation'!$B$21-'R&amp;S - Transportation'!$B$20)*(AF3-$X$3)/10)))</f>
        <v>32956.76131764194</v>
      </c>
      <c r="AG20" s="99">
        <f>AG19*('R&amp;S - Transportation'!$B$15*('R&amp;S - Transportation'!$B$10*('R&amp;S - Transportation'!$B$20+('R&amp;S - Transportation'!$B$21-'R&amp;S - Transportation'!$B$20)*(AG3-$X$3)/10)))</f>
        <v>35054.375166583268</v>
      </c>
      <c r="AH20" s="99">
        <f>AH19*('R&amp;S - Transportation'!$B$15*('R&amp;S - Transportation'!$B$10*('R&amp;S - Transportation'!$B$20+('R&amp;S - Transportation'!$B$21-'R&amp;S - Transportation'!$B$20)*(AH3-$X$3)/10)))</f>
        <v>37133.30894983506</v>
      </c>
      <c r="AI20" s="99"/>
      <c r="AJ20" s="99">
        <v>0</v>
      </c>
      <c r="AK20" s="99">
        <f>AK19*'R&amp;S - Transportation'!$B$16*('R&amp;S - Transportation'!$B$10*'R&amp;S - Transportation'!$B$19*(AK$3-$D$3)/10)</f>
        <v>207.14545561627898</v>
      </c>
      <c r="AL20" s="99">
        <f>AL19*'R&amp;S - Transportation'!$B$16*('R&amp;S - Transportation'!$B$10*'R&amp;S - Transportation'!$B$19*(AL$3-$D$3)/10)</f>
        <v>412.22527241352077</v>
      </c>
      <c r="AM20" s="99">
        <f>AM19*'R&amp;S - Transportation'!$B$16*('R&amp;S - Transportation'!$B$10*'R&amp;S - Transportation'!$B$19*(AM$3-$D$3)/10)</f>
        <v>615.25245773835809</v>
      </c>
      <c r="AN20" s="99">
        <f>AN19*'R&amp;S - Transportation'!$B$16*('R&amp;S - Transportation'!$B$10*'R&amp;S - Transportation'!$B$19*(AN$3-$D$3)/10)</f>
        <v>816.239977831018</v>
      </c>
      <c r="AO20" s="99">
        <f>AO19*'R&amp;S - Transportation'!$B$16*('R&amp;S - Transportation'!$B$10*'R&amp;S - Transportation'!$B$19*(AO$3-$D$3)/10)</f>
        <v>1015.2007574888074</v>
      </c>
      <c r="AP20" s="99">
        <f>AP19*'R&amp;S - Transportation'!$B$16*('R&amp;S - Transportation'!$B$10*'R&amp;S - Transportation'!$B$19*(AP$3-$D$3)/10)</f>
        <v>1212.1476797382184</v>
      </c>
      <c r="AQ20" s="99">
        <f>AQ19*'R&amp;S - Transportation'!$B$16*('R&amp;S - Transportation'!$B$10*'R&amp;S - Transportation'!$B$19*(AQ$3-$D$3)/10)</f>
        <v>1407.0935855155383</v>
      </c>
      <c r="AR20" s="99">
        <f>AR19*'R&amp;S - Transportation'!$B$16*('R&amp;S - Transportation'!$B$10*'R&amp;S - Transportation'!$B$19*(AR$3-$D$3)/10)</f>
        <v>1600.0512733558478</v>
      </c>
      <c r="AS20" s="99">
        <f>AS19*'R&amp;S - Transportation'!$B$16*('R&amp;S - Transportation'!$B$10*'R&amp;S - Transportation'!$B$19*(AS$3-$D$3)/10)</f>
        <v>1791.0334990902957</v>
      </c>
      <c r="AT20" s="99">
        <f>AT19*'R&amp;S - Transportation'!$B$16*('R&amp;S - Transportation'!$B$10*'R&amp;S - Transportation'!$B$19*(AT$3-$D$3)/10)</f>
        <v>1980.0529755515256</v>
      </c>
      <c r="AU20" s="99">
        <f>AU19*('R&amp;S - Transportation'!$B$16*('R&amp;S - Transportation'!$B$10*('R&amp;S - Transportation'!$B$19+('R&amp;S - Transportation'!$B$20-'R&amp;S - Transportation'!$B$19)*(AU3-$N$3)/10)))</f>
        <v>2568.6626588441936</v>
      </c>
      <c r="AV20" s="99">
        <f>AV19*('R&amp;S - Transportation'!$B$16*('R&amp;S - Transportation'!$B$10*('R&amp;S - Transportation'!$B$19+('R&amp;S - Transportation'!$B$20-'R&amp;S - Transportation'!$B$19)*(AV3-$N$3)/10)))</f>
        <v>3154.7160738797625</v>
      </c>
      <c r="AW20" s="99">
        <f>AW19*('R&amp;S - Transportation'!$B$16*('R&amp;S - Transportation'!$B$10*('R&amp;S - Transportation'!$B$19+('R&amp;S - Transportation'!$B$20-'R&amp;S - Transportation'!$B$19)*(AW3-$N$3)/10)))</f>
        <v>3738.1802495972597</v>
      </c>
      <c r="AX20" s="99">
        <f>AX19*('R&amp;S - Transportation'!$B$16*('R&amp;S - Transportation'!$B$10*('R&amp;S - Transportation'!$B$19+('R&amp;S - Transportation'!$B$20-'R&amp;S - Transportation'!$B$19)*(AX3-$N$3)/10)))</f>
        <v>4319.0230773769281</v>
      </c>
      <c r="AY20" s="99">
        <f>AY19*('R&amp;S - Transportation'!$B$16*('R&amp;S - Transportation'!$B$10*('R&amp;S - Transportation'!$B$19+('R&amp;S - Transportation'!$B$20-'R&amp;S - Transportation'!$B$19)*(AY3-$N$3)/10)))</f>
        <v>4897.2132986790539</v>
      </c>
      <c r="AZ20" s="99">
        <f>AZ19*('R&amp;S - Transportation'!$B$16*('R&amp;S - Transportation'!$B$10*('R&amp;S - Transportation'!$B$19+('R&amp;S - Transportation'!$B$20-'R&amp;S - Transportation'!$B$19)*(AZ3-$N$3)/10)))</f>
        <v>5472.7204928267483</v>
      </c>
      <c r="BA20" s="99">
        <f>BA19*('R&amp;S - Transportation'!$B$16*('R&amp;S - Transportation'!$B$10*('R&amp;S - Transportation'!$B$19+('R&amp;S - Transportation'!$B$20-'R&amp;S - Transportation'!$B$19)*(BA3-$N$3)/10)))</f>
        <v>6045.5150649311454</v>
      </c>
      <c r="BB20" s="99">
        <f>BB19*('R&amp;S - Transportation'!$B$16*('R&amp;S - Transportation'!$B$10*('R&amp;S - Transportation'!$B$19+('R&amp;S - Transportation'!$B$20-'R&amp;S - Transportation'!$B$19)*(BB3-$N$3)/10)))</f>
        <v>6615.5682339575496</v>
      </c>
      <c r="BC20" s="99">
        <f>BC19*('R&amp;S - Transportation'!$B$16*('R&amp;S - Transportation'!$B$10*('R&amp;S - Transportation'!$B$19+('R&amp;S - Transportation'!$B$20-'R&amp;S - Transportation'!$B$19)*(BC3-$N$3)/10)))</f>
        <v>7182.8520209310545</v>
      </c>
      <c r="BD20" s="99">
        <f>BD19*('R&amp;S - Transportation'!$B$16*('R&amp;S - Transportation'!$B$10*('R&amp;S - Transportation'!$B$19+('R&amp;S - Transportation'!$B$20-'R&amp;S - Transportation'!$B$19)*(BD3-$N$3)/10)))</f>
        <v>7747.3392372801936</v>
      </c>
      <c r="BE20" s="99">
        <f>BE19*('R&amp;S - Transportation'!$B$16*('R&amp;S - Transportation'!$B$10*('R&amp;S - Transportation'!$B$20+('R&amp;S - Transportation'!$B$21-'R&amp;S - Transportation'!$B$20)*(BE3-$X$3)/10)))</f>
        <v>8872.1642711949626</v>
      </c>
      <c r="BF20" s="99">
        <f>BF19*('R&amp;S - Transportation'!$B$16*('R&amp;S - Transportation'!$B$10*('R&amp;S - Transportation'!$B$20+('R&amp;S - Transportation'!$B$21-'R&amp;S - Transportation'!$B$20)*(BF3-$X$3)/10)))</f>
        <v>9987.3633966908601</v>
      </c>
      <c r="BG20" s="99">
        <f>BG19*('R&amp;S - Transportation'!$B$16*('R&amp;S - Transportation'!$B$10*('R&amp;S - Transportation'!$B$20+('R&amp;S - Transportation'!$B$21-'R&amp;S - Transportation'!$B$20)*(BG3-$X$3)/10)))</f>
        <v>11092.971370534009</v>
      </c>
      <c r="BH20" s="99">
        <f>BH19*('R&amp;S - Transportation'!$B$16*('R&amp;S - Transportation'!$B$10*('R&amp;S - Transportation'!$B$20+('R&amp;S - Transportation'!$B$21-'R&amp;S - Transportation'!$B$20)*(BH3-$X$3)/10)))</f>
        <v>12189.023244496322</v>
      </c>
      <c r="BI20" s="99">
        <f>BI19*('R&amp;S - Transportation'!$B$16*('R&amp;S - Transportation'!$B$10*('R&amp;S - Transportation'!$B$20+('R&amp;S - Transportation'!$B$21-'R&amp;S - Transportation'!$B$20)*(BI3-$X$3)/10)))</f>
        <v>13275.554357382627</v>
      </c>
      <c r="BJ20" s="99">
        <f>BJ19*('R&amp;S - Transportation'!$B$16*('R&amp;S - Transportation'!$B$10*('R&amp;S - Transportation'!$B$20+('R&amp;S - Transportation'!$B$21-'R&amp;S - Transportation'!$B$20)*(BJ3-$X$3)/10)))</f>
        <v>14352.60032716973</v>
      </c>
      <c r="BK20" s="99">
        <f>BK19*('R&amp;S - Transportation'!$B$16*('R&amp;S - Transportation'!$B$10*('R&amp;S - Transportation'!$B$20+('R&amp;S - Transportation'!$B$21-'R&amp;S - Transportation'!$B$20)*(BK3-$X$3)/10)))</f>
        <v>15420.197043256092</v>
      </c>
      <c r="BL20" s="99">
        <f>BL19*('R&amp;S - Transportation'!$B$16*('R&amp;S - Transportation'!$B$10*('R&amp;S - Transportation'!$B$20+('R&amp;S - Transportation'!$B$21-'R&amp;S - Transportation'!$B$20)*(BL3-$X$3)/10)))</f>
        <v>16478.38065882097</v>
      </c>
      <c r="BM20" s="99">
        <f>BM19*('R&amp;S - Transportation'!$B$16*('R&amp;S - Transportation'!$B$10*('R&amp;S - Transportation'!$B$20+('R&amp;S - Transportation'!$B$21-'R&amp;S - Transportation'!$B$20)*(BM3-$X$3)/10)))</f>
        <v>17527.187583291634</v>
      </c>
      <c r="BN20" s="99">
        <f>BN19*('R&amp;S - Transportation'!$B$16*('R&amp;S - Transportation'!$B$10*('R&amp;S - Transportation'!$B$20+('R&amp;S - Transportation'!$B$21-'R&amp;S - Transportation'!$B$20)*(BN3-$X$3)/10)))</f>
        <v>18566.65447491753</v>
      </c>
      <c r="BS20" s="640"/>
      <c r="BY20" s="630"/>
      <c r="BZ20" s="642"/>
      <c r="CA20" s="642"/>
      <c r="CB20" s="642"/>
      <c r="CC20" s="642"/>
      <c r="CD20" s="642"/>
      <c r="CE20" s="642"/>
      <c r="CF20" s="642"/>
      <c r="CG20" s="641"/>
      <c r="CH20" s="642"/>
    </row>
    <row r="21" spans="1:90">
      <c r="B21" s="57" t="s">
        <v>182</v>
      </c>
      <c r="C21" s="50" t="s">
        <v>1420</v>
      </c>
      <c r="D21" s="99">
        <v>0</v>
      </c>
      <c r="E21" s="99">
        <f>E19*'R&amp;S - Transportation'!$B$15*('R&amp;S - Transportation'!$B$11*'R&amp;S - Transportation'!$B$19*(E$3-$D$3)/10)</f>
        <v>263.63967078435513</v>
      </c>
      <c r="F21" s="99">
        <f>F19*'R&amp;S - Transportation'!$B$15*('R&amp;S - Transportation'!$B$11*'R&amp;S - Transportation'!$B$19*(F$3-$D$3)/10)</f>
        <v>524.65034670811747</v>
      </c>
      <c r="G21" s="99">
        <f>G19*'R&amp;S - Transportation'!$B$15*('R&amp;S - Transportation'!$B$11*'R&amp;S - Transportation'!$B$19*(G$3-$D$3)/10)</f>
        <v>783.04858257609203</v>
      </c>
      <c r="H21" s="99">
        <f>H19*'R&amp;S - Transportation'!$B$15*('R&amp;S - Transportation'!$B$11*'R&amp;S - Transportation'!$B$19*(H$3-$D$3)/10)</f>
        <v>1038.8508808758411</v>
      </c>
      <c r="I21" s="99">
        <f>I19*'R&amp;S - Transportation'!$B$15*('R&amp;S - Transportation'!$B$11*'R&amp;S - Transportation'!$B$19*(I$3-$D$3)/10)</f>
        <v>1292.0736913493913</v>
      </c>
      <c r="J21" s="99">
        <f>J19*'R&amp;S - Transportation'!$B$15*('R&amp;S - Transportation'!$B$11*'R&amp;S - Transportation'!$B$19*(J$3-$D$3)/10)</f>
        <v>1542.7334105759141</v>
      </c>
      <c r="K21" s="99">
        <f>K19*'R&amp;S - Transportation'!$B$15*('R&amp;S - Transportation'!$B$11*'R&amp;S - Transportation'!$B$19*(K$3-$D$3)/10)</f>
        <v>1790.8463815652303</v>
      </c>
      <c r="L21" s="99">
        <f>L19*'R&amp;S - Transportation'!$B$15*('R&amp;S - Transportation'!$B$11*'R&amp;S - Transportation'!$B$19*(L$3-$D$3)/10)</f>
        <v>2036.4288933619885</v>
      </c>
      <c r="M21" s="99">
        <f>M19*'R&amp;S - Transportation'!$B$15*('R&amp;S - Transportation'!$B$11*'R&amp;S - Transportation'!$B$19*(M$3-$D$3)/10)</f>
        <v>2279.4971806603758</v>
      </c>
      <c r="N21" s="99">
        <f>N19*'R&amp;S - Transportation'!$B$15*('R&amp;S - Transportation'!$B$11*'R&amp;S - Transportation'!$B$19*(N$3-$D$3)/10)</f>
        <v>2520.0674234292146</v>
      </c>
      <c r="O21" s="99">
        <f>O19*('R&amp;S - Transportation'!$B$15*('R&amp;S - Transportation'!$B$11*('R&amp;S - Transportation'!$B$19+('R&amp;S - Transportation'!$B$20-'R&amp;S - Transportation'!$B$19)*(O3-$N$3)/10)))</f>
        <v>3269.2070203471558</v>
      </c>
      <c r="P21" s="99">
        <f>P19*('R&amp;S - Transportation'!$B$15*('R&amp;S - Transportation'!$B$11*('R&amp;S - Transportation'!$B$19+('R&amp;S - Transportation'!$B$20-'R&amp;S - Transportation'!$B$19)*(P3-$N$3)/10)))</f>
        <v>4015.093184937879</v>
      </c>
      <c r="Q21" s="99">
        <f>Q19*('R&amp;S - Transportation'!$B$15*('R&amp;S - Transportation'!$B$11*('R&amp;S - Transportation'!$B$19+('R&amp;S - Transportation'!$B$20-'R&amp;S - Transportation'!$B$19)*(Q3-$N$3)/10)))</f>
        <v>4757.6839540328756</v>
      </c>
      <c r="R21" s="99">
        <f>R19*('R&amp;S - Transportation'!$B$15*('R&amp;S - Transportation'!$B$11*('R&amp;S - Transportation'!$B$19+('R&amp;S - Transportation'!$B$20-'R&amp;S - Transportation'!$B$19)*(R3-$N$3)/10)))</f>
        <v>5496.9384621160898</v>
      </c>
      <c r="S21" s="99">
        <f>S19*('R&amp;S - Transportation'!$B$15*('R&amp;S - Transportation'!$B$11*('R&amp;S - Transportation'!$B$19+('R&amp;S - Transportation'!$B$20-'R&amp;S - Transportation'!$B$19)*(S3-$N$3)/10)))</f>
        <v>6232.8169255915218</v>
      </c>
      <c r="T21" s="99">
        <f>T19*('R&amp;S - Transportation'!$B$15*('R&amp;S - Transportation'!$B$11*('R&amp;S - Transportation'!$B$19+('R&amp;S - Transportation'!$B$20-'R&amp;S - Transportation'!$B$19)*(T3-$N$3)/10)))</f>
        <v>6965.2806272340431</v>
      </c>
      <c r="U21" s="99">
        <f>U19*('R&amp;S - Transportation'!$B$15*('R&amp;S - Transportation'!$B$11*('R&amp;S - Transportation'!$B$19+('R&amp;S - Transportation'!$B$20-'R&amp;S - Transportation'!$B$19)*(U3-$N$3)/10)))</f>
        <v>7694.2919008214567</v>
      </c>
      <c r="V21" s="99">
        <f>V19*('R&amp;S - Transportation'!$B$15*('R&amp;S - Transportation'!$B$11*('R&amp;S - Transportation'!$B$19+('R&amp;S - Transportation'!$B$20-'R&amp;S - Transportation'!$B$19)*(V3-$N$3)/10)))</f>
        <v>8419.8141159459719</v>
      </c>
      <c r="W21" s="99">
        <f>W19*('R&amp;S - Transportation'!$B$15*('R&amp;S - Transportation'!$B$11*('R&amp;S - Transportation'!$B$19+('R&amp;S - Transportation'!$B$20-'R&amp;S - Transportation'!$B$19)*(W3-$N$3)/10)))</f>
        <v>9141.81166300316</v>
      </c>
      <c r="X21" s="99">
        <f>X19*('R&amp;S - Transportation'!$B$15*('R&amp;S - Transportation'!$B$11*('R&amp;S - Transportation'!$B$19+('R&amp;S - Transportation'!$B$20-'R&amp;S - Transportation'!$B$19)*(X3-$N$3)/10)))</f>
        <v>9860.2499383566101</v>
      </c>
      <c r="Y21" s="99">
        <f>Y19*('R&amp;S - Transportation'!$B$15*('R&amp;S - Transportation'!$B$11*('R&amp;S - Transportation'!$B$20+('R&amp;S - Transportation'!$B$21-'R&amp;S - Transportation'!$B$20)*(Y3-$X$3)/10)))</f>
        <v>11291.845436066316</v>
      </c>
      <c r="Z21" s="99">
        <f>Z19*('R&amp;S - Transportation'!$B$15*('R&amp;S - Transportation'!$B$11*('R&amp;S - Transportation'!$B$20+('R&amp;S - Transportation'!$B$21-'R&amp;S - Transportation'!$B$20)*(Z3-$X$3)/10)))</f>
        <v>12711.189777606549</v>
      </c>
      <c r="AA21" s="99">
        <f>AA19*('R&amp;S - Transportation'!$B$15*('R&amp;S - Transportation'!$B$11*('R&amp;S - Transportation'!$B$20+('R&amp;S - Transportation'!$B$21-'R&amp;S - Transportation'!$B$20)*(AA3-$X$3)/10)))</f>
        <v>14118.327198861463</v>
      </c>
      <c r="AB21" s="99">
        <f>AB19*('R&amp;S - Transportation'!$B$15*('R&amp;S - Transportation'!$B$11*('R&amp;S - Transportation'!$B$20+('R&amp;S - Transportation'!$B$21-'R&amp;S - Transportation'!$B$20)*(AB3-$X$3)/10)))</f>
        <v>15513.302311177134</v>
      </c>
      <c r="AC21" s="99">
        <f>AC19*('R&amp;S - Transportation'!$B$15*('R&amp;S - Transportation'!$B$11*('R&amp;S - Transportation'!$B$20+('R&amp;S - Transportation'!$B$21-'R&amp;S - Transportation'!$B$20)*(AC3-$X$3)/10)))</f>
        <v>16896.160091214253</v>
      </c>
      <c r="AD21" s="99">
        <f>AD19*('R&amp;S - Transportation'!$B$15*('R&amp;S - Transportation'!$B$11*('R&amp;S - Transportation'!$B$20+('R&amp;S - Transportation'!$B$21-'R&amp;S - Transportation'!$B$20)*(AD3-$X$3)/10)))</f>
        <v>18266.945870943291</v>
      </c>
      <c r="AE21" s="99">
        <f>AE19*('R&amp;S - Transportation'!$B$15*('R&amp;S - Transportation'!$B$11*('R&amp;S - Transportation'!$B$20+('R&amp;S - Transportation'!$B$21-'R&amp;S - Transportation'!$B$20)*(AE3-$X$3)/10)))</f>
        <v>19625.705327780484</v>
      </c>
      <c r="AF21" s="99">
        <f>AF19*('R&amp;S - Transportation'!$B$15*('R&amp;S - Transportation'!$B$11*('R&amp;S - Transportation'!$B$20+('R&amp;S - Transportation'!$B$21-'R&amp;S - Transportation'!$B$20)*(AF3-$X$3)/10)))</f>
        <v>20972.484474863053</v>
      </c>
      <c r="AG21" s="99">
        <f>AG19*('R&amp;S - Transportation'!$B$15*('R&amp;S - Transportation'!$B$11*('R&amp;S - Transportation'!$B$20+('R&amp;S - Transportation'!$B$21-'R&amp;S - Transportation'!$B$20)*(AG3-$X$3)/10)))</f>
        <v>22307.329651462082</v>
      </c>
      <c r="AH21" s="99">
        <f>AH19*('R&amp;S - Transportation'!$B$15*('R&amp;S - Transportation'!$B$11*('R&amp;S - Transportation'!$B$20+('R&amp;S - Transportation'!$B$21-'R&amp;S - Transportation'!$B$20)*(AH3-$X$3)/10)))</f>
        <v>23630.287513531403</v>
      </c>
      <c r="AI21" s="99"/>
      <c r="AJ21" s="99">
        <v>0</v>
      </c>
      <c r="AK21" s="99">
        <f>AK19*'R&amp;S - Transportation'!$B$16*('R&amp;S - Transportation'!$B$11*'R&amp;S - Transportation'!$B$19*(AK$3-$D$3)/10)</f>
        <v>131.81983539217757</v>
      </c>
      <c r="AL21" s="99">
        <f>AL19*'R&amp;S - Transportation'!$B$16*('R&amp;S - Transportation'!$B$11*'R&amp;S - Transportation'!$B$19*(AL$3-$D$3)/10)</f>
        <v>262.32517335405873</v>
      </c>
      <c r="AM21" s="99">
        <f>AM19*'R&amp;S - Transportation'!$B$16*('R&amp;S - Transportation'!$B$11*'R&amp;S - Transportation'!$B$19*(AM$3-$D$3)/10)</f>
        <v>391.52429128804602</v>
      </c>
      <c r="AN21" s="99">
        <f>AN19*'R&amp;S - Transportation'!$B$16*('R&amp;S - Transportation'!$B$11*'R&amp;S - Transportation'!$B$19*(AN$3-$D$3)/10)</f>
        <v>519.42544043792054</v>
      </c>
      <c r="AO21" s="99">
        <f>AO19*'R&amp;S - Transportation'!$B$16*('R&amp;S - Transportation'!$B$11*'R&amp;S - Transportation'!$B$19*(AO$3-$D$3)/10)</f>
        <v>646.03684567469566</v>
      </c>
      <c r="AP21" s="99">
        <f>AP19*'R&amp;S - Transportation'!$B$16*('R&amp;S - Transportation'!$B$11*'R&amp;S - Transportation'!$B$19*(AP$3-$D$3)/10)</f>
        <v>771.36670528795707</v>
      </c>
      <c r="AQ21" s="99">
        <f>AQ19*'R&amp;S - Transportation'!$B$16*('R&amp;S - Transportation'!$B$11*'R&amp;S - Transportation'!$B$19*(AQ$3-$D$3)/10)</f>
        <v>895.42319078261517</v>
      </c>
      <c r="AR21" s="99">
        <f>AR19*'R&amp;S - Transportation'!$B$16*('R&amp;S - Transportation'!$B$11*'R&amp;S - Transportation'!$B$19*(AR$3-$D$3)/10)</f>
        <v>1018.2144466809942</v>
      </c>
      <c r="AS21" s="99">
        <f>AS19*'R&amp;S - Transportation'!$B$16*('R&amp;S - Transportation'!$B$11*'R&amp;S - Transportation'!$B$19*(AS$3-$D$3)/10)</f>
        <v>1139.7485903301879</v>
      </c>
      <c r="AT21" s="99">
        <f>AT19*'R&amp;S - Transportation'!$B$16*('R&amp;S - Transportation'!$B$11*'R&amp;S - Transportation'!$B$19*(AT$3-$D$3)/10)</f>
        <v>1260.0337117146073</v>
      </c>
      <c r="AU21" s="99">
        <f>AU19*('R&amp;S - Transportation'!$B$16*('R&amp;S - Transportation'!$B$11*('R&amp;S - Transportation'!$B$19+('R&amp;S - Transportation'!$B$20-'R&amp;S - Transportation'!$B$19)*(AU3-$N$3)/10)))</f>
        <v>1634.6035101735779</v>
      </c>
      <c r="AV21" s="99">
        <f>AV19*('R&amp;S - Transportation'!$B$16*('R&amp;S - Transportation'!$B$11*('R&amp;S - Transportation'!$B$19+('R&amp;S - Transportation'!$B$20-'R&amp;S - Transportation'!$B$19)*(AV3-$N$3)/10)))</f>
        <v>2007.5465924689395</v>
      </c>
      <c r="AW21" s="99">
        <f>AW19*('R&amp;S - Transportation'!$B$16*('R&amp;S - Transportation'!$B$11*('R&amp;S - Transportation'!$B$19+('R&amp;S - Transportation'!$B$20-'R&amp;S - Transportation'!$B$19)*(AW3-$N$3)/10)))</f>
        <v>2378.8419770164378</v>
      </c>
      <c r="AX21" s="99">
        <f>AX19*('R&amp;S - Transportation'!$B$16*('R&amp;S - Transportation'!$B$11*('R&amp;S - Transportation'!$B$19+('R&amp;S - Transportation'!$B$20-'R&amp;S - Transportation'!$B$19)*(AX3-$N$3)/10)))</f>
        <v>2748.4692310580449</v>
      </c>
      <c r="AY21" s="99">
        <f>AY19*('R&amp;S - Transportation'!$B$16*('R&amp;S - Transportation'!$B$11*('R&amp;S - Transportation'!$B$19+('R&amp;S - Transportation'!$B$20-'R&amp;S - Transportation'!$B$19)*(AY3-$N$3)/10)))</f>
        <v>3116.4084627957609</v>
      </c>
      <c r="AZ21" s="99">
        <f>AZ19*('R&amp;S - Transportation'!$B$16*('R&amp;S - Transportation'!$B$11*('R&amp;S - Transportation'!$B$19+('R&amp;S - Transportation'!$B$20-'R&amp;S - Transportation'!$B$19)*(AZ3-$N$3)/10)))</f>
        <v>3482.6403136170215</v>
      </c>
      <c r="BA21" s="99">
        <f>BA19*('R&amp;S - Transportation'!$B$16*('R&amp;S - Transportation'!$B$11*('R&amp;S - Transportation'!$B$19+('R&amp;S - Transportation'!$B$20-'R&amp;S - Transportation'!$B$19)*(BA3-$N$3)/10)))</f>
        <v>3847.1459504107283</v>
      </c>
      <c r="BB21" s="99">
        <f>BB19*('R&amp;S - Transportation'!$B$16*('R&amp;S - Transportation'!$B$11*('R&amp;S - Transportation'!$B$19+('R&amp;S - Transportation'!$B$20-'R&amp;S - Transportation'!$B$19)*(BB3-$N$3)/10)))</f>
        <v>4209.907057972986</v>
      </c>
      <c r="BC21" s="99">
        <f>BC19*('R&amp;S - Transportation'!$B$16*('R&amp;S - Transportation'!$B$11*('R&amp;S - Transportation'!$B$19+('R&amp;S - Transportation'!$B$20-'R&amp;S - Transportation'!$B$19)*(BC3-$N$3)/10)))</f>
        <v>4570.90583150158</v>
      </c>
      <c r="BD21" s="99">
        <f>BD19*('R&amp;S - Transportation'!$B$16*('R&amp;S - Transportation'!$B$11*('R&amp;S - Transportation'!$B$19+('R&amp;S - Transportation'!$B$20-'R&amp;S - Transportation'!$B$19)*(BD3-$N$3)/10)))</f>
        <v>4930.124969178305</v>
      </c>
      <c r="BE21" s="99">
        <f>BE19*('R&amp;S - Transportation'!$B$16*('R&amp;S - Transportation'!$B$11*('R&amp;S - Transportation'!$B$20+('R&amp;S - Transportation'!$B$21-'R&amp;S - Transportation'!$B$20)*(BE3-$X$3)/10)))</f>
        <v>5645.9227180331582</v>
      </c>
      <c r="BF21" s="99">
        <f>BF19*('R&amp;S - Transportation'!$B$16*('R&amp;S - Transportation'!$B$11*('R&amp;S - Transportation'!$B$20+('R&amp;S - Transportation'!$B$21-'R&amp;S - Transportation'!$B$20)*(BF3-$X$3)/10)))</f>
        <v>6355.5948888032744</v>
      </c>
      <c r="BG21" s="99">
        <f>BG19*('R&amp;S - Transportation'!$B$16*('R&amp;S - Transportation'!$B$11*('R&amp;S - Transportation'!$B$20+('R&amp;S - Transportation'!$B$21-'R&amp;S - Transportation'!$B$20)*(BG3-$X$3)/10)))</f>
        <v>7059.1635994307317</v>
      </c>
      <c r="BH21" s="99">
        <f>BH19*('R&amp;S - Transportation'!$B$16*('R&amp;S - Transportation'!$B$11*('R&amp;S - Transportation'!$B$20+('R&amp;S - Transportation'!$B$21-'R&amp;S - Transportation'!$B$20)*(BH3-$X$3)/10)))</f>
        <v>7756.6511555885672</v>
      </c>
      <c r="BI21" s="99">
        <f>BI19*('R&amp;S - Transportation'!$B$16*('R&amp;S - Transportation'!$B$11*('R&amp;S - Transportation'!$B$20+('R&amp;S - Transportation'!$B$21-'R&amp;S - Transportation'!$B$20)*(BI3-$X$3)/10)))</f>
        <v>8448.0800456071265</v>
      </c>
      <c r="BJ21" s="99">
        <f>BJ19*('R&amp;S - Transportation'!$B$16*('R&amp;S - Transportation'!$B$11*('R&amp;S - Transportation'!$B$20+('R&amp;S - Transportation'!$B$21-'R&amp;S - Transportation'!$B$20)*(BJ3-$X$3)/10)))</f>
        <v>9133.4729354716455</v>
      </c>
      <c r="BK21" s="99">
        <f>BK19*('R&amp;S - Transportation'!$B$16*('R&amp;S - Transportation'!$B$11*('R&amp;S - Transportation'!$B$20+('R&amp;S - Transportation'!$B$21-'R&amp;S - Transportation'!$B$20)*(BK3-$X$3)/10)))</f>
        <v>9812.8526638902422</v>
      </c>
      <c r="BL21" s="99">
        <f>BL19*('R&amp;S - Transportation'!$B$16*('R&amp;S - Transportation'!$B$11*('R&amp;S - Transportation'!$B$20+('R&amp;S - Transportation'!$B$21-'R&amp;S - Transportation'!$B$20)*(BL3-$X$3)/10)))</f>
        <v>10486.242237431527</v>
      </c>
      <c r="BM21" s="99">
        <f>BM19*('R&amp;S - Transportation'!$B$16*('R&amp;S - Transportation'!$B$11*('R&amp;S - Transportation'!$B$20+('R&amp;S - Transportation'!$B$21-'R&amp;S - Transportation'!$B$20)*(BM3-$X$3)/10)))</f>
        <v>11153.664825731041</v>
      </c>
      <c r="BN21" s="99">
        <f>BN19*('R&amp;S - Transportation'!$B$16*('R&amp;S - Transportation'!$B$11*('R&amp;S - Transportation'!$B$20+('R&amp;S - Transportation'!$B$21-'R&amp;S - Transportation'!$B$20)*(BN3-$X$3)/10)))</f>
        <v>11815.143756765701</v>
      </c>
      <c r="BS21" s="626"/>
      <c r="BY21" s="630"/>
      <c r="BZ21" s="642"/>
      <c r="CA21" s="642"/>
      <c r="CB21" s="642"/>
      <c r="CC21" s="642"/>
      <c r="CD21" s="642"/>
      <c r="CE21" s="642"/>
      <c r="CF21" s="642"/>
      <c r="CG21" s="641"/>
      <c r="CH21" s="642"/>
    </row>
    <row r="22" spans="1:90">
      <c r="B22" s="1" t="s">
        <v>169</v>
      </c>
      <c r="C22" s="50" t="s">
        <v>1420</v>
      </c>
      <c r="D22" s="99">
        <f>SUM(D20:D21)</f>
        <v>0</v>
      </c>
      <c r="E22" s="99">
        <f t="shared" ref="E22:AG22" si="171">SUM(E20:E21)</f>
        <v>677.93058201691315</v>
      </c>
      <c r="F22" s="99">
        <f t="shared" si="171"/>
        <v>1349.100891535159</v>
      </c>
      <c r="G22" s="99">
        <f t="shared" si="171"/>
        <v>2013.5534980528082</v>
      </c>
      <c r="H22" s="99">
        <f t="shared" si="171"/>
        <v>2671.3308365378771</v>
      </c>
      <c r="I22" s="99">
        <f t="shared" si="171"/>
        <v>3322.4752063270062</v>
      </c>
      <c r="J22" s="99">
        <f t="shared" si="171"/>
        <v>3967.0287700523509</v>
      </c>
      <c r="K22" s="99">
        <f t="shared" si="171"/>
        <v>4605.0335525963073</v>
      </c>
      <c r="L22" s="99">
        <f t="shared" si="171"/>
        <v>5236.5314400736843</v>
      </c>
      <c r="M22" s="99">
        <f t="shared" si="171"/>
        <v>5861.5641788409666</v>
      </c>
      <c r="N22" s="99">
        <f t="shared" si="171"/>
        <v>6480.1733745322654</v>
      </c>
      <c r="O22" s="99">
        <f t="shared" si="171"/>
        <v>8406.5323380355439</v>
      </c>
      <c r="P22" s="99">
        <f t="shared" si="171"/>
        <v>10324.525332697403</v>
      </c>
      <c r="Q22" s="99">
        <f t="shared" si="171"/>
        <v>12234.044453227394</v>
      </c>
      <c r="R22" s="99">
        <f t="shared" si="171"/>
        <v>14134.984616869946</v>
      </c>
      <c r="S22" s="99">
        <f t="shared" si="171"/>
        <v>16027.24352294963</v>
      </c>
      <c r="T22" s="99">
        <f t="shared" si="171"/>
        <v>17910.721612887541</v>
      </c>
      <c r="U22" s="99">
        <f t="shared" si="171"/>
        <v>19785.322030683747</v>
      </c>
      <c r="V22" s="99">
        <f t="shared" si="171"/>
        <v>21650.950583861071</v>
      </c>
      <c r="W22" s="99">
        <f t="shared" si="171"/>
        <v>23507.515704865269</v>
      </c>
      <c r="X22" s="99">
        <f t="shared" si="171"/>
        <v>25354.928412916997</v>
      </c>
      <c r="Y22" s="99">
        <f t="shared" si="171"/>
        <v>29036.173978456241</v>
      </c>
      <c r="Z22" s="99">
        <f t="shared" si="171"/>
        <v>32685.916570988269</v>
      </c>
      <c r="AA22" s="99">
        <f t="shared" si="171"/>
        <v>36304.26993992948</v>
      </c>
      <c r="AB22" s="99">
        <f t="shared" si="171"/>
        <v>39891.348800169777</v>
      </c>
      <c r="AC22" s="99">
        <f t="shared" si="171"/>
        <v>43447.268805979504</v>
      </c>
      <c r="AD22" s="99">
        <f t="shared" si="171"/>
        <v>46972.146525282747</v>
      </c>
      <c r="AE22" s="99">
        <f t="shared" si="171"/>
        <v>50466.099414292665</v>
      </c>
      <c r="AF22" s="99">
        <f t="shared" si="171"/>
        <v>53929.245792504997</v>
      </c>
      <c r="AG22" s="99">
        <f t="shared" si="171"/>
        <v>57361.704818045349</v>
      </c>
      <c r="AH22" s="99">
        <f>SUM(AH20:AH21)</f>
        <v>60763.596463366463</v>
      </c>
      <c r="AI22" s="99"/>
      <c r="AJ22" s="99">
        <f>SUM(AJ20:AJ21)</f>
        <v>0</v>
      </c>
      <c r="AK22" s="99">
        <f t="shared" ref="AK22:BM22" si="172">SUM(AK20:AK21)</f>
        <v>338.96529100845657</v>
      </c>
      <c r="AL22" s="99">
        <f t="shared" si="172"/>
        <v>674.5504457675795</v>
      </c>
      <c r="AM22" s="99">
        <f t="shared" si="172"/>
        <v>1006.7767490264041</v>
      </c>
      <c r="AN22" s="99">
        <f t="shared" si="172"/>
        <v>1335.6654182689385</v>
      </c>
      <c r="AO22" s="99">
        <f t="shared" si="172"/>
        <v>1661.2376031635031</v>
      </c>
      <c r="AP22" s="99">
        <f t="shared" si="172"/>
        <v>1983.5143850261754</v>
      </c>
      <c r="AQ22" s="99">
        <f t="shared" si="172"/>
        <v>2302.5167762981537</v>
      </c>
      <c r="AR22" s="99">
        <f t="shared" si="172"/>
        <v>2618.2657200368421</v>
      </c>
      <c r="AS22" s="99">
        <f t="shared" si="172"/>
        <v>2930.7820894204833</v>
      </c>
      <c r="AT22" s="99">
        <f t="shared" si="172"/>
        <v>3240.0866872661327</v>
      </c>
      <c r="AU22" s="99">
        <f t="shared" si="172"/>
        <v>4203.266169017772</v>
      </c>
      <c r="AV22" s="99">
        <f t="shared" si="172"/>
        <v>5162.2626663487017</v>
      </c>
      <c r="AW22" s="99">
        <f t="shared" si="172"/>
        <v>6117.0222266136971</v>
      </c>
      <c r="AX22" s="99">
        <f t="shared" si="172"/>
        <v>7067.492308434973</v>
      </c>
      <c r="AY22" s="99">
        <f t="shared" si="172"/>
        <v>8013.6217614748148</v>
      </c>
      <c r="AZ22" s="99">
        <f t="shared" si="172"/>
        <v>8955.3608064437703</v>
      </c>
      <c r="BA22" s="99">
        <f t="shared" si="172"/>
        <v>9892.6610153418733</v>
      </c>
      <c r="BB22" s="99">
        <f t="shared" si="172"/>
        <v>10825.475291930536</v>
      </c>
      <c r="BC22" s="99">
        <f t="shared" si="172"/>
        <v>11753.757852432635</v>
      </c>
      <c r="BD22" s="99">
        <f t="shared" si="172"/>
        <v>12677.464206458499</v>
      </c>
      <c r="BE22" s="99">
        <f t="shared" si="172"/>
        <v>14518.086989228121</v>
      </c>
      <c r="BF22" s="99">
        <f t="shared" si="172"/>
        <v>16342.958285494135</v>
      </c>
      <c r="BG22" s="99">
        <f t="shared" si="172"/>
        <v>18152.13496996474</v>
      </c>
      <c r="BH22" s="99">
        <f t="shared" si="172"/>
        <v>19945.674400084888</v>
      </c>
      <c r="BI22" s="99">
        <f t="shared" si="172"/>
        <v>21723.634402989752</v>
      </c>
      <c r="BJ22" s="99">
        <f t="shared" si="172"/>
        <v>23486.073262641374</v>
      </c>
      <c r="BK22" s="99">
        <f t="shared" si="172"/>
        <v>25233.049707146332</v>
      </c>
      <c r="BL22" s="99">
        <f t="shared" si="172"/>
        <v>26964.622896252498</v>
      </c>
      <c r="BM22" s="99">
        <f t="shared" si="172"/>
        <v>28680.852409022675</v>
      </c>
      <c r="BN22" s="99">
        <f>SUM(BN20:BN21)</f>
        <v>30381.798231683231</v>
      </c>
      <c r="BY22" s="630"/>
      <c r="BZ22" s="642"/>
      <c r="CA22" s="641"/>
      <c r="CB22" s="641"/>
      <c r="CC22" s="642"/>
      <c r="CD22" s="645"/>
      <c r="CE22" s="642"/>
      <c r="CF22" s="642"/>
      <c r="CG22" s="642"/>
      <c r="CH22" s="642"/>
    </row>
    <row r="23" spans="1:90">
      <c r="B23" s="1" t="s">
        <v>172</v>
      </c>
      <c r="C23" s="50" t="s">
        <v>1420</v>
      </c>
      <c r="D23" s="99">
        <v>0</v>
      </c>
      <c r="E23" s="99">
        <v>0</v>
      </c>
      <c r="F23" s="99">
        <v>0</v>
      </c>
      <c r="G23" s="99">
        <v>0</v>
      </c>
      <c r="H23" s="99">
        <v>0</v>
      </c>
      <c r="I23" s="99">
        <v>0</v>
      </c>
      <c r="J23" s="99">
        <v>0</v>
      </c>
      <c r="K23" s="99">
        <v>0</v>
      </c>
      <c r="L23" s="99">
        <v>0</v>
      </c>
      <c r="M23" s="99">
        <v>0</v>
      </c>
      <c r="N23" s="99">
        <v>0</v>
      </c>
      <c r="O23" s="99">
        <v>0</v>
      </c>
      <c r="P23" s="99">
        <v>0</v>
      </c>
      <c r="Q23" s="99">
        <v>0</v>
      </c>
      <c r="R23" s="99">
        <v>0</v>
      </c>
      <c r="S23" s="99">
        <v>0</v>
      </c>
      <c r="T23" s="99">
        <v>0</v>
      </c>
      <c r="U23" s="99">
        <v>0</v>
      </c>
      <c r="V23" s="99">
        <v>0</v>
      </c>
      <c r="W23" s="99">
        <v>0</v>
      </c>
      <c r="X23" s="99">
        <v>0</v>
      </c>
      <c r="Y23" s="99">
        <v>0</v>
      </c>
      <c r="Z23" s="99">
        <v>0</v>
      </c>
      <c r="AA23" s="99">
        <v>0</v>
      </c>
      <c r="AB23" s="99">
        <v>0</v>
      </c>
      <c r="AC23" s="99">
        <v>0</v>
      </c>
      <c r="AD23" s="99">
        <v>0</v>
      </c>
      <c r="AE23" s="99">
        <v>0</v>
      </c>
      <c r="AF23" s="99">
        <v>0</v>
      </c>
      <c r="AG23" s="99">
        <v>0</v>
      </c>
      <c r="AH23" s="99">
        <v>0</v>
      </c>
      <c r="AI23" s="99"/>
      <c r="AJ23" s="99">
        <v>0</v>
      </c>
      <c r="AK23" s="99">
        <v>0</v>
      </c>
      <c r="AL23" s="99">
        <v>0</v>
      </c>
      <c r="AM23" s="99">
        <v>0</v>
      </c>
      <c r="AN23" s="99">
        <v>0</v>
      </c>
      <c r="AO23" s="99">
        <v>0</v>
      </c>
      <c r="AP23" s="99">
        <v>0</v>
      </c>
      <c r="AQ23" s="99">
        <v>0</v>
      </c>
      <c r="AR23" s="99">
        <v>0</v>
      </c>
      <c r="AS23" s="99">
        <v>0</v>
      </c>
      <c r="AT23" s="99">
        <v>0</v>
      </c>
      <c r="AU23" s="99">
        <v>0</v>
      </c>
      <c r="AV23" s="99">
        <v>0</v>
      </c>
      <c r="AW23" s="99">
        <v>0</v>
      </c>
      <c r="AX23" s="99">
        <v>0</v>
      </c>
      <c r="AY23" s="99">
        <v>0</v>
      </c>
      <c r="AZ23" s="99">
        <v>0</v>
      </c>
      <c r="BA23" s="99">
        <v>0</v>
      </c>
      <c r="BB23" s="99">
        <v>0</v>
      </c>
      <c r="BC23" s="99">
        <v>0</v>
      </c>
      <c r="BD23" s="99">
        <v>0</v>
      </c>
      <c r="BE23" s="99">
        <v>0</v>
      </c>
      <c r="BF23" s="99">
        <v>0</v>
      </c>
      <c r="BG23" s="99">
        <v>0</v>
      </c>
      <c r="BH23" s="99">
        <v>0</v>
      </c>
      <c r="BI23" s="99">
        <v>0</v>
      </c>
      <c r="BJ23" s="99">
        <v>0</v>
      </c>
      <c r="BK23" s="99">
        <v>0</v>
      </c>
      <c r="BL23" s="99">
        <v>0</v>
      </c>
      <c r="BM23" s="99">
        <v>0</v>
      </c>
      <c r="BN23" s="99">
        <v>0</v>
      </c>
    </row>
    <row r="24" spans="1:90">
      <c r="B24" s="1" t="s">
        <v>200</v>
      </c>
      <c r="C24" s="60" t="s">
        <v>1420</v>
      </c>
      <c r="D24" s="574">
        <f>D19-D22-D23</f>
        <v>126171.28546415325</v>
      </c>
      <c r="E24" s="574">
        <f t="shared" ref="E24:AH24" si="173">E19-E22-E23</f>
        <v>124864.76979148551</v>
      </c>
      <c r="F24" s="574">
        <f t="shared" si="173"/>
        <v>123567.64832468326</v>
      </c>
      <c r="G24" s="574">
        <f t="shared" si="173"/>
        <v>122279.87230767609</v>
      </c>
      <c r="H24" s="574">
        <f t="shared" si="173"/>
        <v>121001.39307725272</v>
      </c>
      <c r="I24" s="574">
        <f t="shared" si="173"/>
        <v>119732.16206504358</v>
      </c>
      <c r="J24" s="574">
        <f t="shared" si="173"/>
        <v>118472.13079946465</v>
      </c>
      <c r="K24" s="574">
        <f t="shared" si="173"/>
        <v>117221.25090762344</v>
      </c>
      <c r="L24" s="574">
        <f t="shared" si="173"/>
        <v>115979.47411718752</v>
      </c>
      <c r="M24" s="574">
        <f t="shared" si="173"/>
        <v>114746.75225821596</v>
      </c>
      <c r="N24" s="574">
        <f t="shared" si="173"/>
        <v>113523.03726495412</v>
      </c>
      <c r="O24" s="574">
        <f t="shared" si="173"/>
        <v>111344.64056845367</v>
      </c>
      <c r="P24" s="574">
        <f t="shared" si="173"/>
        <v>109172.29564759659</v>
      </c>
      <c r="Q24" s="574">
        <f t="shared" si="173"/>
        <v>107006.15489596748</v>
      </c>
      <c r="R24" s="574">
        <f t="shared" si="173"/>
        <v>104846.3673769848</v>
      </c>
      <c r="S24" s="574">
        <f t="shared" si="173"/>
        <v>102693.07886926984</v>
      </c>
      <c r="T24" s="574">
        <f t="shared" si="173"/>
        <v>100546.43191150093</v>
      </c>
      <c r="U24" s="574">
        <f t="shared" si="173"/>
        <v>98406.565846757978</v>
      </c>
      <c r="V24" s="574">
        <f t="shared" si="173"/>
        <v>96273.616866362601</v>
      </c>
      <c r="W24" s="574">
        <f t="shared" si="173"/>
        <v>94147.718053219171</v>
      </c>
      <c r="X24" s="574">
        <f t="shared" si="173"/>
        <v>92028.999424661684</v>
      </c>
      <c r="Y24" s="574">
        <f t="shared" si="173"/>
        <v>87856.635918710585</v>
      </c>
      <c r="Z24" s="574">
        <f t="shared" si="173"/>
        <v>83716.920220280488</v>
      </c>
      <c r="AA24" s="574">
        <f t="shared" si="173"/>
        <v>79609.746471084174</v>
      </c>
      <c r="AB24" s="574">
        <f t="shared" si="173"/>
        <v>75535.007681802963</v>
      </c>
      <c r="AC24" s="574">
        <f t="shared" si="173"/>
        <v>71492.595760103854</v>
      </c>
      <c r="AD24" s="574">
        <f t="shared" si="173"/>
        <v>67482.401538271704</v>
      </c>
      <c r="AE24" s="574">
        <f t="shared" si="173"/>
        <v>63504.314800460415</v>
      </c>
      <c r="AF24" s="574">
        <f t="shared" si="173"/>
        <v>59558.224309567813</v>
      </c>
      <c r="AG24" s="574">
        <f t="shared" si="173"/>
        <v>55644.017833738246</v>
      </c>
      <c r="AH24" s="574">
        <f t="shared" si="173"/>
        <v>51761.582172497358</v>
      </c>
      <c r="AI24" s="99"/>
      <c r="AJ24" s="574">
        <f>AJ19-AJ22-AJ23</f>
        <v>126171.28546415325</v>
      </c>
      <c r="AK24" s="574">
        <f t="shared" ref="AK24" si="174">AK19-AK22-AK23</f>
        <v>125203.73508249396</v>
      </c>
      <c r="AL24" s="574">
        <f t="shared" ref="AL24" si="175">AL19-AL22-AL23</f>
        <v>124242.19877045084</v>
      </c>
      <c r="AM24" s="574">
        <f t="shared" ref="AM24" si="176">AM19-AM22-AM23</f>
        <v>123286.64905670249</v>
      </c>
      <c r="AN24" s="574">
        <f t="shared" ref="AN24" si="177">AN19-AN22-AN23</f>
        <v>122337.05849552166</v>
      </c>
      <c r="AO24" s="574">
        <f t="shared" ref="AO24" si="178">AO19-AO22-AO23</f>
        <v>121393.39966820709</v>
      </c>
      <c r="AP24" s="574">
        <f t="shared" ref="AP24" si="179">AP19-AP22-AP23</f>
        <v>120455.64518449082</v>
      </c>
      <c r="AQ24" s="574">
        <f t="shared" ref="AQ24" si="180">AQ19-AQ22-AQ23</f>
        <v>119523.76768392159</v>
      </c>
      <c r="AR24" s="574">
        <f t="shared" ref="AR24" si="181">AR19-AR22-AR23</f>
        <v>118597.73983722436</v>
      </c>
      <c r="AS24" s="574">
        <f t="shared" ref="AS24" si="182">AS19-AS22-AS23</f>
        <v>117677.53434763645</v>
      </c>
      <c r="AT24" s="574">
        <f t="shared" ref="AT24" si="183">AT19-AT22-AT23</f>
        <v>116763.12395222027</v>
      </c>
      <c r="AU24" s="574">
        <f t="shared" ref="AU24" si="184">AU19-AU22-AU23</f>
        <v>115547.90673747144</v>
      </c>
      <c r="AV24" s="574">
        <f t="shared" ref="AV24" si="185">AV19-AV22-AV23</f>
        <v>114334.55831394529</v>
      </c>
      <c r="AW24" s="574">
        <f t="shared" ref="AW24" si="186">AW19-AW22-AW23</f>
        <v>113123.17712258118</v>
      </c>
      <c r="AX24" s="574">
        <f t="shared" ref="AX24" si="187">AX19-AX22-AX23</f>
        <v>111913.85968541977</v>
      </c>
      <c r="AY24" s="574">
        <f t="shared" ref="AY24" si="188">AY19-AY22-AY23</f>
        <v>110706.70063074466</v>
      </c>
      <c r="AZ24" s="574">
        <f t="shared" ref="AZ24" si="189">AZ19-AZ22-AZ23</f>
        <v>109501.7927179447</v>
      </c>
      <c r="BA24" s="574">
        <f t="shared" ref="BA24" si="190">BA19-BA22-BA23</f>
        <v>108299.22686209985</v>
      </c>
      <c r="BB24" s="574">
        <f t="shared" ref="BB24" si="191">BB19-BB22-BB23</f>
        <v>107099.09215829313</v>
      </c>
      <c r="BC24" s="574">
        <f t="shared" ref="BC24" si="192">BC19-BC22-BC23</f>
        <v>105901.47590565179</v>
      </c>
      <c r="BD24" s="574">
        <f t="shared" ref="BD24" si="193">BD19-BD22-BD23</f>
        <v>104706.46363112019</v>
      </c>
      <c r="BE24" s="574">
        <f t="shared" ref="BE24" si="194">BE19-BE22-BE23</f>
        <v>102374.7229079387</v>
      </c>
      <c r="BF24" s="574">
        <f t="shared" ref="BF24" si="195">BF19-BF22-BF23</f>
        <v>100059.87850577461</v>
      </c>
      <c r="BG24" s="574">
        <f t="shared" ref="BG24" si="196">BG19-BG22-BG23</f>
        <v>97761.881441048914</v>
      </c>
      <c r="BH24" s="574">
        <f t="shared" ref="BH24" si="197">BH19-BH22-BH23</f>
        <v>95480.682081887848</v>
      </c>
      <c r="BI24" s="574">
        <f t="shared" ref="BI24" si="198">BI19-BI22-BI23</f>
        <v>93216.230163093598</v>
      </c>
      <c r="BJ24" s="574">
        <f t="shared" ref="BJ24" si="199">BJ19-BJ22-BJ23</f>
        <v>90968.474800913071</v>
      </c>
      <c r="BK24" s="574">
        <f t="shared" ref="BK24" si="200">BK19-BK22-BK23</f>
        <v>88737.364507606748</v>
      </c>
      <c r="BL24" s="574">
        <f t="shared" ref="BL24" si="201">BL19-BL22-BL23</f>
        <v>86522.847205820319</v>
      </c>
      <c r="BM24" s="574">
        <f t="shared" ref="BM24" si="202">BM19-BM22-BM23</f>
        <v>84324.870242760924</v>
      </c>
      <c r="BN24" s="574">
        <f t="shared" ref="BN24" si="203">BN19-BN22-BN23</f>
        <v>82143.380404180585</v>
      </c>
      <c r="BR24" s="626"/>
      <c r="BS24" s="626"/>
    </row>
    <row r="25" spans="1:90" s="61" customFormat="1">
      <c r="A25" s="602"/>
      <c r="B25" s="54" t="s">
        <v>804</v>
      </c>
      <c r="C25" s="55" t="s">
        <v>1420</v>
      </c>
      <c r="D25" s="580">
        <f>D$6/(D$6+D$8)*D24</f>
        <v>8875.2641892065731</v>
      </c>
      <c r="E25" s="580">
        <f t="shared" ref="E25" si="204">E$6/(E$6+E$8)*E24</f>
        <v>8783.359983589522</v>
      </c>
      <c r="F25" s="580">
        <f t="shared" ref="F25" si="205">F$6/(F$6+F$8)*F24</f>
        <v>8692.1165944062377</v>
      </c>
      <c r="G25" s="580">
        <f t="shared" ref="G25" si="206">G$6/(G$6+G$8)*G24</f>
        <v>8601.5305920094397</v>
      </c>
      <c r="H25" s="580">
        <f t="shared" ref="H25" si="207">H$6/(H$6+H$8)*H24</f>
        <v>8511.5985532838404</v>
      </c>
      <c r="I25" s="580">
        <f t="shared" ref="I25" si="208">I$6/(I$6+I$8)*I24</f>
        <v>8422.3170617855976</v>
      </c>
      <c r="J25" s="580">
        <f t="shared" ref="J25" si="209">J$6/(J$6+J$8)*J24</f>
        <v>8333.6827078790539</v>
      </c>
      <c r="K25" s="580">
        <f t="shared" ref="K25" si="210">K$6/(K$6+K$8)*K24</f>
        <v>8245.6920888708082</v>
      </c>
      <c r="L25" s="580">
        <f t="shared" ref="L25" si="211">L$6/(L$6+L$8)*L24</f>
        <v>8158.341809141155</v>
      </c>
      <c r="M25" s="580">
        <f t="shared" ref="M25" si="212">M$6/(M$6+M$8)*M24</f>
        <v>8071.6284802729069</v>
      </c>
      <c r="N25" s="580">
        <f t="shared" ref="N25" si="213">N$6/(N$6+N$8)*N24</f>
        <v>7985.5487211776617</v>
      </c>
      <c r="O25" s="580">
        <f t="shared" ref="O25" si="214">O$6/(O$6+O$8)*O24</f>
        <v>7832.3138062823127</v>
      </c>
      <c r="P25" s="580">
        <f t="shared" ref="P25" si="215">P$6/(P$6+P$8)*P24</f>
        <v>7679.5045913190124</v>
      </c>
      <c r="Q25" s="580">
        <f t="shared" ref="Q25" si="216">Q$6/(Q$6+Q$8)*Q24</f>
        <v>7527.1317961066115</v>
      </c>
      <c r="R25" s="580">
        <f t="shared" ref="R25" si="217">R$6/(R$6+R$8)*R24</f>
        <v>7375.2059062101471</v>
      </c>
      <c r="S25" s="580">
        <f t="shared" ref="S25" si="218">S$6/(S$6+S$8)*S24</f>
        <v>7223.7371761322383</v>
      </c>
      <c r="T25" s="580">
        <f t="shared" ref="T25" si="219">T$6/(T$6+T$8)*T24</f>
        <v>7072.7356324682596</v>
      </c>
      <c r="U25" s="580">
        <f t="shared" ref="U25" si="220">U$6/(U$6+U$8)*U24</f>
        <v>6922.2110770256713</v>
      </c>
      <c r="V25" s="580">
        <f t="shared" ref="V25" si="221">V$6/(V$6+V$8)*V24</f>
        <v>6772.1730899078648</v>
      </c>
      <c r="W25" s="580">
        <f t="shared" ref="W25" si="222">W$6/(W$6+W$8)*W24</f>
        <v>6622.6310325628974</v>
      </c>
      <c r="X25" s="580">
        <f t="shared" ref="X25" si="223">X$6/(X$6+X$8)*X24</f>
        <v>6473.5940507974738</v>
      </c>
      <c r="Y25" s="580">
        <f t="shared" ref="Y25" si="224">Y$6/(Y$6+Y$8)*Y24</f>
        <v>6180.097568832557</v>
      </c>
      <c r="Z25" s="580">
        <f t="shared" ref="Z25" si="225">Z$6/(Z$6+Z$8)*Z24</f>
        <v>5888.8976309337595</v>
      </c>
      <c r="AA25" s="580">
        <f t="shared" ref="AA25" si="226">AA$6/(AA$6+AA$8)*AA24</f>
        <v>5599.9867907137168</v>
      </c>
      <c r="AB25" s="580">
        <f t="shared" ref="AB25" si="227">AB$6/(AB$6+AB$8)*AB24</f>
        <v>5313.3575222249428</v>
      </c>
      <c r="AC25" s="580">
        <f t="shared" ref="AC25" si="228">AC$6/(AC$6+AC$8)*AC24</f>
        <v>5029.0022219306366</v>
      </c>
      <c r="AD25" s="580">
        <f t="shared" ref="AD25" si="229">AD$6/(AD$6+AD$8)*AD24</f>
        <v>4746.9132106484158</v>
      </c>
      <c r="AE25" s="580">
        <f t="shared" ref="AE25" si="230">AE$6/(AE$6+AE$8)*AE24</f>
        <v>4467.0827354672365</v>
      </c>
      <c r="AF25" s="580">
        <f t="shared" ref="AF25" si="231">AF$6/(AF$6+AF$8)*AF24</f>
        <v>4189.5029716378667</v>
      </c>
      <c r="AG25" s="580">
        <f t="shared" ref="AG25" si="232">AG$6/(AG$6+AG$8)*AG24</f>
        <v>3914.166024437146</v>
      </c>
      <c r="AH25" s="580">
        <f t="shared" ref="AH25" si="233">AH$6/(AH$6+AH$8)*AH24</f>
        <v>3641.0639310063898</v>
      </c>
      <c r="AI25" s="571"/>
      <c r="AJ25" s="580">
        <f>AJ$6/(AJ$6+AJ$8)*AJ24</f>
        <v>8875.2641892065731</v>
      </c>
      <c r="AK25" s="580">
        <f t="shared" ref="AK25" si="234">AK$6/(AK$6+AK$8)*AK24</f>
        <v>8807.2038122198173</v>
      </c>
      <c r="AL25" s="580">
        <f t="shared" ref="AL25" si="235">AL$6/(AL$6+AL$8)*AL24</f>
        <v>8739.5664828108002</v>
      </c>
      <c r="AM25" s="580">
        <f t="shared" ref="AM25" si="236">AM$6/(AM$6+AM$8)*AM24</f>
        <v>8672.3502685649146</v>
      </c>
      <c r="AN25" s="580">
        <f t="shared" ref="AN25" si="237">AN$6/(AN$6+AN$8)*AN24</f>
        <v>8605.5532388679221</v>
      </c>
      <c r="AO25" s="580">
        <f t="shared" ref="AO25" si="238">AO$6/(AO$6+AO$8)*AO24</f>
        <v>8539.1734650066719</v>
      </c>
      <c r="AP25" s="580">
        <f t="shared" ref="AP25" si="239">AP$6/(AP$6+AP$8)*AP24</f>
        <v>8473.2090202680993</v>
      </c>
      <c r="AQ25" s="580">
        <f t="shared" ref="AQ25" si="240">AQ$6/(AQ$6+AQ$8)*AQ24</f>
        <v>8407.6579800365307</v>
      </c>
      <c r="AR25" s="580">
        <f t="shared" ref="AR25" si="241">AR$6/(AR$6+AR$8)*AR24</f>
        <v>8342.5184218893246</v>
      </c>
      <c r="AS25" s="580">
        <f t="shared" ref="AS25" si="242">AS$6/(AS$6+AS$8)*AS24</f>
        <v>8277.788425690851</v>
      </c>
      <c r="AT25" s="580">
        <f t="shared" ref="AT25" si="243">AT$6/(AT$6+AT$8)*AT24</f>
        <v>8213.4660736848473</v>
      </c>
      <c r="AU25" s="580">
        <f t="shared" ref="AU25" si="244">AU$6/(AU$6+AU$8)*AU24</f>
        <v>8127.9840736521865</v>
      </c>
      <c r="AV25" s="580">
        <f t="shared" ref="AV25" si="245">AV$6/(AV$6+AV$8)*AV24</f>
        <v>8042.633529962819</v>
      </c>
      <c r="AW25" s="580">
        <f t="shared" ref="AW25" si="246">AW$6/(AW$6+AW$8)*AW24</f>
        <v>7957.4213672457572</v>
      </c>
      <c r="AX25" s="580">
        <f t="shared" ref="AX25" si="247">AX$6/(AX$6+AX$8)*AX24</f>
        <v>7872.3543751489606</v>
      </c>
      <c r="AY25" s="580">
        <f t="shared" ref="AY25" si="248">AY$6/(AY$6+AY$8)*AY24</f>
        <v>7787.4392101078756</v>
      </c>
      <c r="AZ25" s="580">
        <f t="shared" ref="AZ25" si="249">AZ$6/(AZ$6+AZ$8)*AZ24</f>
        <v>7702.6823970943205</v>
      </c>
      <c r="BA25" s="580">
        <f t="shared" ref="BA25" si="250">BA$6/(BA$6+BA$8)*BA24</f>
        <v>7618.0903313459321</v>
      </c>
      <c r="BB25" s="580">
        <f t="shared" ref="BB25" si="251">BB$6/(BB$6+BB$8)*BB24</f>
        <v>7533.6692800763385</v>
      </c>
      <c r="BC25" s="580">
        <f t="shared" ref="BC25" si="252">BC$6/(BC$6+BC$8)*BC24</f>
        <v>7449.4253841662876</v>
      </c>
      <c r="BD25" s="580">
        <f t="shared" ref="BD25" si="253">BD$6/(BD$6+BD$8)*BD24</f>
        <v>7365.3646598359019</v>
      </c>
      <c r="BE25" s="580">
        <f t="shared" ref="BE25" si="254">BE$6/(BE$6+BE$8)*BE24</f>
        <v>7201.343069163855</v>
      </c>
      <c r="BF25" s="580">
        <f t="shared" ref="BF25" si="255">BF$6/(BF$6+BF$8)*BF24</f>
        <v>7038.510016060427</v>
      </c>
      <c r="BG25" s="580">
        <f t="shared" ref="BG25" si="256">BG$6/(BG$6+BG$8)*BG24</f>
        <v>6876.8620548747067</v>
      </c>
      <c r="BH25" s="580">
        <f t="shared" ref="BH25" si="257">BH$6/(BH$6+BH$8)*BH24</f>
        <v>6716.3956943528001</v>
      </c>
      <c r="BI25" s="580">
        <f t="shared" ref="BI25" si="258">BI$6/(BI$6+BI$8)*BI24</f>
        <v>6557.1073986909096</v>
      </c>
      <c r="BJ25" s="580">
        <f t="shared" ref="BJ25" si="259">BJ$6/(BJ$6+BJ$8)*BJ24</f>
        <v>6398.9935885742207</v>
      </c>
      <c r="BK25" s="580">
        <f t="shared" ref="BK25" si="260">BK$6/(BK$6+BK$8)*BK24</f>
        <v>6242.0506422017061</v>
      </c>
      <c r="BL25" s="580">
        <f t="shared" ref="BL25" si="261">BL$6/(BL$6+BL$8)*BL24</f>
        <v>6086.2748962970845</v>
      </c>
      <c r="BM25" s="580">
        <f t="shared" ref="BM25" si="262">BM$6/(BM$6+BM$8)*BM24</f>
        <v>5931.6626471060081</v>
      </c>
      <c r="BN25" s="580">
        <f t="shared" ref="BN25" si="263">BN$6/(BN$6+BN$8)*BN24</f>
        <v>5778.2101513797052</v>
      </c>
      <c r="BQ25" s="649"/>
      <c r="BR25" s="649"/>
      <c r="BS25" s="649"/>
      <c r="BT25" s="649"/>
      <c r="BU25" s="649"/>
      <c r="BV25" s="649"/>
      <c r="BW25" s="649"/>
      <c r="BX25" s="649"/>
      <c r="BY25" s="649"/>
      <c r="BZ25" s="649"/>
      <c r="CA25" s="649"/>
      <c r="CB25" s="649"/>
      <c r="CC25" s="649"/>
      <c r="CD25" s="649"/>
      <c r="CE25" s="649"/>
      <c r="CF25" s="649"/>
      <c r="CG25" s="649"/>
      <c r="CH25" s="649"/>
      <c r="CI25" s="649"/>
      <c r="CJ25" s="649"/>
      <c r="CK25" s="649"/>
      <c r="CL25" s="649"/>
    </row>
    <row r="26" spans="1:90">
      <c r="A26" s="603"/>
      <c r="B26" s="1" t="s">
        <v>1063</v>
      </c>
      <c r="C26" s="50" t="s">
        <v>1420</v>
      </c>
      <c r="D26" s="576">
        <v>0</v>
      </c>
      <c r="E26" s="576">
        <v>0</v>
      </c>
      <c r="F26" s="576">
        <v>0</v>
      </c>
      <c r="G26" s="576">
        <v>0</v>
      </c>
      <c r="H26" s="576">
        <v>0</v>
      </c>
      <c r="I26" s="576">
        <v>0</v>
      </c>
      <c r="J26" s="576">
        <v>0</v>
      </c>
      <c r="K26" s="576">
        <v>0</v>
      </c>
      <c r="L26" s="576">
        <v>0</v>
      </c>
      <c r="M26" s="576">
        <v>0</v>
      </c>
      <c r="N26" s="576">
        <v>0</v>
      </c>
      <c r="O26" s="576">
        <v>0</v>
      </c>
      <c r="P26" s="576">
        <v>0</v>
      </c>
      <c r="Q26" s="576">
        <v>0</v>
      </c>
      <c r="R26" s="576">
        <v>0</v>
      </c>
      <c r="S26" s="576">
        <v>0</v>
      </c>
      <c r="T26" s="576">
        <v>0</v>
      </c>
      <c r="U26" s="576">
        <v>0</v>
      </c>
      <c r="V26" s="576">
        <v>0</v>
      </c>
      <c r="W26" s="576">
        <v>0</v>
      </c>
      <c r="X26" s="576">
        <v>0</v>
      </c>
      <c r="Y26" s="576">
        <v>0</v>
      </c>
      <c r="Z26" s="576">
        <v>0</v>
      </c>
      <c r="AA26" s="576">
        <v>0</v>
      </c>
      <c r="AB26" s="576">
        <v>0</v>
      </c>
      <c r="AC26" s="576">
        <v>0</v>
      </c>
      <c r="AD26" s="576">
        <v>0</v>
      </c>
      <c r="AE26" s="576">
        <v>0</v>
      </c>
      <c r="AF26" s="576">
        <v>0</v>
      </c>
      <c r="AG26" s="576">
        <v>0</v>
      </c>
      <c r="AH26" s="576">
        <v>0</v>
      </c>
      <c r="AI26" s="183"/>
      <c r="AJ26" s="576">
        <v>0</v>
      </c>
      <c r="AK26" s="576">
        <v>0</v>
      </c>
      <c r="AL26" s="576">
        <v>0</v>
      </c>
      <c r="AM26" s="576">
        <v>0</v>
      </c>
      <c r="AN26" s="576">
        <v>0</v>
      </c>
      <c r="AO26" s="576">
        <v>0</v>
      </c>
      <c r="AP26" s="576">
        <v>0</v>
      </c>
      <c r="AQ26" s="576">
        <v>0</v>
      </c>
      <c r="AR26" s="576">
        <v>0</v>
      </c>
      <c r="AS26" s="576">
        <v>0</v>
      </c>
      <c r="AT26" s="576">
        <v>0</v>
      </c>
      <c r="AU26" s="576">
        <v>0</v>
      </c>
      <c r="AV26" s="576">
        <v>0</v>
      </c>
      <c r="AW26" s="576">
        <v>0</v>
      </c>
      <c r="AX26" s="576">
        <v>0</v>
      </c>
      <c r="AY26" s="576">
        <v>0</v>
      </c>
      <c r="AZ26" s="576">
        <v>0</v>
      </c>
      <c r="BA26" s="576">
        <v>0</v>
      </c>
      <c r="BB26" s="576">
        <v>0</v>
      </c>
      <c r="BC26" s="576">
        <v>0</v>
      </c>
      <c r="BD26" s="576">
        <v>0</v>
      </c>
      <c r="BE26" s="576">
        <v>0</v>
      </c>
      <c r="BF26" s="576">
        <v>0</v>
      </c>
      <c r="BG26" s="576">
        <v>0</v>
      </c>
      <c r="BH26" s="576">
        <v>0</v>
      </c>
      <c r="BI26" s="576">
        <v>0</v>
      </c>
      <c r="BJ26" s="576">
        <v>0</v>
      </c>
      <c r="BK26" s="576">
        <v>0</v>
      </c>
      <c r="BL26" s="576">
        <v>0</v>
      </c>
      <c r="BM26" s="576">
        <v>0</v>
      </c>
      <c r="BN26" s="576">
        <v>0</v>
      </c>
    </row>
    <row r="27" spans="1:90" s="62" customFormat="1">
      <c r="A27" s="604"/>
      <c r="B27" s="58" t="s">
        <v>27</v>
      </c>
      <c r="C27" s="233" t="s">
        <v>1420</v>
      </c>
      <c r="D27" s="579">
        <f>D$8/(D$6+D$8)*D24</f>
        <v>117296.02127494667</v>
      </c>
      <c r="E27" s="579">
        <f t="shared" ref="E27:AH27" si="264">E$8/(E$6+E$8)*E24</f>
        <v>116081.40980789598</v>
      </c>
      <c r="F27" s="579">
        <f t="shared" si="264"/>
        <v>114875.53173027703</v>
      </c>
      <c r="G27" s="579">
        <f t="shared" si="264"/>
        <v>113678.34171566667</v>
      </c>
      <c r="H27" s="579">
        <f t="shared" si="264"/>
        <v>112489.79452396889</v>
      </c>
      <c r="I27" s="579">
        <f t="shared" si="264"/>
        <v>111309.84500325799</v>
      </c>
      <c r="J27" s="579">
        <f t="shared" si="264"/>
        <v>110138.44809158561</v>
      </c>
      <c r="K27" s="579">
        <f t="shared" si="264"/>
        <v>108975.55881875263</v>
      </c>
      <c r="L27" s="579">
        <f t="shared" si="264"/>
        <v>107821.13230804636</v>
      </c>
      <c r="M27" s="579">
        <f t="shared" si="264"/>
        <v>106675.12377794304</v>
      </c>
      <c r="N27" s="579">
        <f t="shared" si="264"/>
        <v>105537.48854377646</v>
      </c>
      <c r="O27" s="579">
        <f t="shared" si="264"/>
        <v>103512.32676217137</v>
      </c>
      <c r="P27" s="579">
        <f t="shared" si="264"/>
        <v>101492.79105627759</v>
      </c>
      <c r="Q27" s="579">
        <f t="shared" si="264"/>
        <v>99479.02309986086</v>
      </c>
      <c r="R27" s="579">
        <f t="shared" si="264"/>
        <v>97471.161470774648</v>
      </c>
      <c r="S27" s="579">
        <f t="shared" si="264"/>
        <v>95469.341693137598</v>
      </c>
      <c r="T27" s="579">
        <f t="shared" si="264"/>
        <v>93473.696279032665</v>
      </c>
      <c r="U27" s="579">
        <f t="shared" si="264"/>
        <v>91484.354769732294</v>
      </c>
      <c r="V27" s="579">
        <f t="shared" si="264"/>
        <v>89501.443776454733</v>
      </c>
      <c r="W27" s="579">
        <f t="shared" si="264"/>
        <v>87525.087020656283</v>
      </c>
      <c r="X27" s="579">
        <f t="shared" si="264"/>
        <v>85555.405373864211</v>
      </c>
      <c r="Y27" s="579">
        <f t="shared" si="264"/>
        <v>81676.538349878028</v>
      </c>
      <c r="Z27" s="579">
        <f t="shared" si="264"/>
        <v>77828.022589346743</v>
      </c>
      <c r="AA27" s="579">
        <f t="shared" si="264"/>
        <v>74009.759680370451</v>
      </c>
      <c r="AB27" s="579">
        <f t="shared" si="264"/>
        <v>70221.650159578014</v>
      </c>
      <c r="AC27" s="579">
        <f t="shared" si="264"/>
        <v>66463.593538173212</v>
      </c>
      <c r="AD27" s="579">
        <f t="shared" si="264"/>
        <v>62735.488327623287</v>
      </c>
      <c r="AE27" s="579">
        <f t="shared" si="264"/>
        <v>59037.232064993186</v>
      </c>
      <c r="AF27" s="579">
        <f t="shared" si="264"/>
        <v>55368.721337929936</v>
      </c>
      <c r="AG27" s="579">
        <f t="shared" si="264"/>
        <v>51729.851809301101</v>
      </c>
      <c r="AH27" s="579">
        <f t="shared" si="264"/>
        <v>48120.518241490972</v>
      </c>
      <c r="AI27" s="528"/>
      <c r="AJ27" s="579">
        <f>AJ$8/(AJ$6+AJ$8)*AJ24</f>
        <v>117296.02127494667</v>
      </c>
      <c r="AK27" s="579">
        <f t="shared" ref="AK27:BN27" si="265">AK$8/(AK$6+AK$8)*AK24</f>
        <v>116396.53127027415</v>
      </c>
      <c r="AL27" s="579">
        <f t="shared" si="265"/>
        <v>115502.63228764004</v>
      </c>
      <c r="AM27" s="579">
        <f t="shared" si="265"/>
        <v>114614.29878813759</v>
      </c>
      <c r="AN27" s="579">
        <f t="shared" si="265"/>
        <v>113731.50525665373</v>
      </c>
      <c r="AO27" s="579">
        <f t="shared" si="265"/>
        <v>112854.22620320041</v>
      </c>
      <c r="AP27" s="579">
        <f t="shared" si="265"/>
        <v>111982.43616422273</v>
      </c>
      <c r="AQ27" s="579">
        <f t="shared" si="265"/>
        <v>111116.10970388506</v>
      </c>
      <c r="AR27" s="579">
        <f t="shared" si="265"/>
        <v>110255.22141533504</v>
      </c>
      <c r="AS27" s="579">
        <f t="shared" si="265"/>
        <v>109399.74592194558</v>
      </c>
      <c r="AT27" s="579">
        <f t="shared" si="265"/>
        <v>108549.65787853542</v>
      </c>
      <c r="AU27" s="579">
        <f t="shared" si="265"/>
        <v>107419.92266381926</v>
      </c>
      <c r="AV27" s="579">
        <f t="shared" si="265"/>
        <v>106291.92478398248</v>
      </c>
      <c r="AW27" s="579">
        <f t="shared" si="265"/>
        <v>105165.75575533541</v>
      </c>
      <c r="AX27" s="579">
        <f t="shared" si="265"/>
        <v>104041.5053102708</v>
      </c>
      <c r="AY27" s="579">
        <f t="shared" si="265"/>
        <v>102919.26142063679</v>
      </c>
      <c r="AZ27" s="579">
        <f t="shared" si="265"/>
        <v>101799.11032085038</v>
      </c>
      <c r="BA27" s="579">
        <f t="shared" si="265"/>
        <v>100681.13653075391</v>
      </c>
      <c r="BB27" s="579">
        <f t="shared" si="265"/>
        <v>99565.422878216792</v>
      </c>
      <c r="BC27" s="579">
        <f t="shared" si="265"/>
        <v>98452.050521485522</v>
      </c>
      <c r="BD27" s="579">
        <f t="shared" si="265"/>
        <v>97341.098971284286</v>
      </c>
      <c r="BE27" s="579">
        <f t="shared" si="265"/>
        <v>95173.379838774854</v>
      </c>
      <c r="BF27" s="579">
        <f t="shared" si="265"/>
        <v>93021.368489714194</v>
      </c>
      <c r="BG27" s="579">
        <f t="shared" si="265"/>
        <v>90885.019386174201</v>
      </c>
      <c r="BH27" s="579">
        <f t="shared" si="265"/>
        <v>88764.286387535045</v>
      </c>
      <c r="BI27" s="579">
        <f t="shared" si="265"/>
        <v>86659.12276440268</v>
      </c>
      <c r="BJ27" s="579">
        <f t="shared" si="265"/>
        <v>84569.481212338855</v>
      </c>
      <c r="BK27" s="579">
        <f t="shared" si="265"/>
        <v>82495.313865405056</v>
      </c>
      <c r="BL27" s="579">
        <f t="shared" si="265"/>
        <v>80436.572309523224</v>
      </c>
      <c r="BM27" s="579">
        <f t="shared" si="265"/>
        <v>78393.207595654909</v>
      </c>
      <c r="BN27" s="579">
        <f t="shared" si="265"/>
        <v>76365.17025280089</v>
      </c>
      <c r="BQ27" s="623"/>
      <c r="BR27" s="623"/>
      <c r="BS27" s="623"/>
      <c r="BT27" s="623"/>
      <c r="BU27" s="623"/>
      <c r="BV27" s="623"/>
      <c r="BW27" s="623"/>
      <c r="BX27" s="623"/>
      <c r="BY27" s="623"/>
      <c r="BZ27" s="623"/>
      <c r="CA27" s="623"/>
      <c r="CB27" s="623"/>
      <c r="CC27" s="623"/>
      <c r="CD27" s="623"/>
      <c r="CE27" s="623"/>
      <c r="CF27" s="623"/>
      <c r="CG27" s="623"/>
      <c r="CH27" s="623"/>
      <c r="CI27" s="623"/>
      <c r="CJ27" s="623"/>
      <c r="CK27" s="623"/>
      <c r="CL27" s="623"/>
    </row>
    <row r="28" spans="1:90" s="1" customFormat="1">
      <c r="A28" s="1" t="s">
        <v>385</v>
      </c>
      <c r="B28" s="1" t="s">
        <v>179</v>
      </c>
      <c r="C28" s="60" t="s">
        <v>1420</v>
      </c>
      <c r="D28" s="520">
        <f>'Demand - Methanol'!M37</f>
        <v>163218.34571421403</v>
      </c>
      <c r="E28" s="520">
        <f>D28*(1+'Demand - Methanol'!$N$37)</f>
        <v>162081.03018347369</v>
      </c>
      <c r="F28" s="520">
        <f>E28*(1+'Demand - Methanol'!$N$37)</f>
        <v>160951.63953771367</v>
      </c>
      <c r="G28" s="520">
        <f>F28*(1+'Demand - Methanol'!$N$37)</f>
        <v>159830.11855584514</v>
      </c>
      <c r="H28" s="520">
        <f>G28*(1+'Demand - Methanol'!$N$37)</f>
        <v>158716.41240156323</v>
      </c>
      <c r="I28" s="520">
        <f>H28*(1+'Demand - Methanol'!$N$37)</f>
        <v>157610.46662066583</v>
      </c>
      <c r="J28" s="520">
        <f>I28*(1+'Demand - Methanol'!$N$37)</f>
        <v>156512.22713839111</v>
      </c>
      <c r="K28" s="520">
        <f>J28*(1+'Demand - Methanol'!$N$37)</f>
        <v>155421.64025677351</v>
      </c>
      <c r="L28" s="520">
        <f>K28*(1+'Demand - Methanol'!$N$37)</f>
        <v>154338.65265201818</v>
      </c>
      <c r="M28" s="520">
        <f>L28*(1+'Demand - Methanol'!$N$37)</f>
        <v>153263.21137189379</v>
      </c>
      <c r="N28" s="520">
        <f>M28*(1+'Demand - Methanol'!$N$37)</f>
        <v>152195.26383314349</v>
      </c>
      <c r="O28" s="520">
        <f>N28*(1+'Demand - Methanol'!$N$37)</f>
        <v>151134.75781891373</v>
      </c>
      <c r="P28" s="520">
        <f>O28*(1+'Demand - Methanol'!$N$37)</f>
        <v>150081.64147620127</v>
      </c>
      <c r="Q28" s="520">
        <f>P28*(1+'Demand - Methanol'!$N$37)</f>
        <v>149035.86331331782</v>
      </c>
      <c r="R28" s="520">
        <f>Q28*(1+'Demand - Methanol'!$N$37)</f>
        <v>147997.37219737234</v>
      </c>
      <c r="S28" s="520">
        <f>R28*(1+'Demand - Methanol'!$N$37)</f>
        <v>146966.11735177092</v>
      </c>
      <c r="T28" s="520">
        <f>S28*(1+'Demand - Methanol'!$N$37)</f>
        <v>145942.04835373414</v>
      </c>
      <c r="U28" s="520">
        <f>T28*(1+'Demand - Methanol'!$N$37)</f>
        <v>144925.11513183158</v>
      </c>
      <c r="V28" s="520">
        <f>U28*(1+'Demand - Methanol'!$N$37)</f>
        <v>143915.2679635337</v>
      </c>
      <c r="W28" s="520">
        <f>V28*(1+'Demand - Methanol'!$N$37)</f>
        <v>142912.45747278057</v>
      </c>
      <c r="X28" s="520">
        <f>W28*(1+'Demand - Methanol'!$N$37)</f>
        <v>141916.63462756775</v>
      </c>
      <c r="Y28" s="520">
        <f>X28*(1+'Demand - Methanol'!$N$37)</f>
        <v>140927.75073754878</v>
      </c>
      <c r="Z28" s="520">
        <f>Y28*(1+'Demand - Methanol'!$N$37)</f>
        <v>139945.75745165459</v>
      </c>
      <c r="AA28" s="520">
        <f>Z28*(1+'Demand - Methanol'!$N$37)</f>
        <v>138970.60675572933</v>
      </c>
      <c r="AB28" s="520">
        <f>AA28*(1+'Demand - Methanol'!$N$37)</f>
        <v>138002.25097018277</v>
      </c>
      <c r="AC28" s="520">
        <f>AB28*(1+'Demand - Methanol'!$N$37)</f>
        <v>137040.642747659</v>
      </c>
      <c r="AD28" s="520">
        <f>AC28*(1+'Demand - Methanol'!$N$37)</f>
        <v>136085.73507072145</v>
      </c>
      <c r="AE28" s="520">
        <f>AD28*(1+'Demand - Methanol'!$N$37)</f>
        <v>135137.48124955394</v>
      </c>
      <c r="AF28" s="520">
        <f>AE28*(1+'Demand - Methanol'!$N$37)</f>
        <v>134195.83491967779</v>
      </c>
      <c r="AG28" s="520">
        <f>AF28*(1+'Demand - Methanol'!$N$37)</f>
        <v>133260.75003968488</v>
      </c>
      <c r="AH28" s="520">
        <f>AG28*(1+'Demand - Methanol'!$N$37)</f>
        <v>132332.18088898651</v>
      </c>
      <c r="AI28" s="520"/>
      <c r="AJ28" s="520">
        <f>D28</f>
        <v>163218.34571421403</v>
      </c>
      <c r="AK28" s="520">
        <f>AJ28*(1+'Demand - Methanol'!$N$37)</f>
        <v>162081.03018347369</v>
      </c>
      <c r="AL28" s="520">
        <f>AK28*(1+'Demand - Methanol'!$N$37)</f>
        <v>160951.63953771367</v>
      </c>
      <c r="AM28" s="520">
        <f>AL28*(1+'Demand - Methanol'!$N$37)</f>
        <v>159830.11855584514</v>
      </c>
      <c r="AN28" s="520">
        <f>AM28*(1+'Demand - Methanol'!$N$37)</f>
        <v>158716.41240156323</v>
      </c>
      <c r="AO28" s="520">
        <f>AN28*(1+'Demand - Methanol'!$N$37)</f>
        <v>157610.46662066583</v>
      </c>
      <c r="AP28" s="520">
        <f>AO28*(1+'Demand - Methanol'!$N$37)</f>
        <v>156512.22713839111</v>
      </c>
      <c r="AQ28" s="520">
        <f>AP28*(1+'Demand - Methanol'!$N$37)</f>
        <v>155421.64025677351</v>
      </c>
      <c r="AR28" s="520">
        <f>AQ28*(1+'Demand - Methanol'!$N$37)</f>
        <v>154338.65265201818</v>
      </c>
      <c r="AS28" s="520">
        <f>AR28*(1+'Demand - Methanol'!$N$37)</f>
        <v>153263.21137189379</v>
      </c>
      <c r="AT28" s="520">
        <f>AS28*(1+'Demand - Methanol'!$N$37)</f>
        <v>152195.26383314349</v>
      </c>
      <c r="AU28" s="520">
        <f>AT28*(1+'Demand - Methanol'!$N$37)</f>
        <v>151134.75781891373</v>
      </c>
      <c r="AV28" s="520">
        <f>AU28*(1+'Demand - Methanol'!$N$37)</f>
        <v>150081.64147620127</v>
      </c>
      <c r="AW28" s="520">
        <f>AV28*(1+'Demand - Methanol'!$N$37)</f>
        <v>149035.86331331782</v>
      </c>
      <c r="AX28" s="520">
        <f>AW28*(1+'Demand - Methanol'!$N$37)</f>
        <v>147997.37219737234</v>
      </c>
      <c r="AY28" s="520">
        <f>AX28*(1+'Demand - Methanol'!$N$37)</f>
        <v>146966.11735177092</v>
      </c>
      <c r="AZ28" s="520">
        <f>AY28*(1+'Demand - Methanol'!$N$37)</f>
        <v>145942.04835373414</v>
      </c>
      <c r="BA28" s="520">
        <f>AZ28*(1+'Demand - Methanol'!$N$37)</f>
        <v>144925.11513183158</v>
      </c>
      <c r="BB28" s="520">
        <f>BA28*(1+'Demand - Methanol'!$N$37)</f>
        <v>143915.2679635337</v>
      </c>
      <c r="BC28" s="520">
        <f>BB28*(1+'Demand - Methanol'!$N$37)</f>
        <v>142912.45747278057</v>
      </c>
      <c r="BD28" s="520">
        <f>BC28*(1+'Demand - Methanol'!$N$37)</f>
        <v>141916.63462756775</v>
      </c>
      <c r="BE28" s="520">
        <f>BD28*(1+'Demand - Methanol'!$N$37)</f>
        <v>140927.75073754878</v>
      </c>
      <c r="BF28" s="520">
        <f>BE28*(1+'Demand - Methanol'!$N$37)</f>
        <v>139945.75745165459</v>
      </c>
      <c r="BG28" s="520">
        <f>BF28*(1+'Demand - Methanol'!$N$37)</f>
        <v>138970.60675572933</v>
      </c>
      <c r="BH28" s="520">
        <f>BG28*(1+'Demand - Methanol'!$N$37)</f>
        <v>138002.25097018277</v>
      </c>
      <c r="BI28" s="520">
        <f>BH28*(1+'Demand - Methanol'!$N$37)</f>
        <v>137040.642747659</v>
      </c>
      <c r="BJ28" s="520">
        <f>BI28*(1+'Demand - Methanol'!$N$37)</f>
        <v>136085.73507072145</v>
      </c>
      <c r="BK28" s="520">
        <f>BJ28*(1+'Demand - Methanol'!$N$37)</f>
        <v>135137.48124955394</v>
      </c>
      <c r="BL28" s="520">
        <f>BK28*(1+'Demand - Methanol'!$N$37)</f>
        <v>134195.83491967779</v>
      </c>
      <c r="BM28" s="520">
        <f>BL28*(1+'Demand - Methanol'!$N$37)</f>
        <v>133260.75003968488</v>
      </c>
      <c r="BN28" s="520">
        <f>BM28*(1+'Demand - Methanol'!$N$37)</f>
        <v>132332.18088898651</v>
      </c>
      <c r="BQ28" s="625"/>
      <c r="BR28" s="640"/>
      <c r="BS28" s="640"/>
      <c r="BT28" s="625"/>
      <c r="BU28" s="625"/>
      <c r="BV28" s="625"/>
      <c r="BW28" s="625"/>
      <c r="BX28" s="625"/>
      <c r="BY28" s="625"/>
      <c r="BZ28" s="625"/>
      <c r="CA28" s="625"/>
      <c r="CB28" s="625"/>
      <c r="CC28" s="625"/>
      <c r="CD28" s="625"/>
      <c r="CE28" s="625"/>
      <c r="CF28" s="625"/>
      <c r="CG28" s="625"/>
      <c r="CH28" s="625"/>
      <c r="CI28" s="625"/>
      <c r="CJ28" s="625"/>
      <c r="CK28" s="625"/>
      <c r="CL28" s="625"/>
    </row>
    <row r="29" spans="1:90">
      <c r="B29" s="57" t="s">
        <v>146</v>
      </c>
      <c r="C29" s="50" t="s">
        <v>1420</v>
      </c>
      <c r="D29" s="99">
        <v>0</v>
      </c>
      <c r="E29" s="99">
        <f>E28*'R&amp;S - Packaging and hh goods'!$D$7*('R&amp;S - Packaging and hh goods'!$F$14*'R&amp;S - Packaging and hh goods'!$U$19*(E$3-$D$3)/10)</f>
        <v>21.394695984218526</v>
      </c>
      <c r="F29" s="99">
        <f>F28*'R&amp;S - Packaging and hh goods'!$D$7*('R&amp;S - Packaging and hh goods'!$F$14*'R&amp;S - Packaging and hh goods'!$U$19*(F$3-$D$3)/10)</f>
        <v>42.49123283795641</v>
      </c>
      <c r="G29" s="99">
        <f>G28*'R&amp;S - Packaging and hh goods'!$D$7*('R&amp;S - Packaging and hh goods'!$F$14*'R&amp;S - Packaging and hh goods'!$U$19*(G$3-$D$3)/10)</f>
        <v>63.292726948114669</v>
      </c>
      <c r="H29" s="99">
        <f>H28*'R&amp;S - Packaging and hh goods'!$D$7*('R&amp;S - Packaging and hh goods'!$F$14*'R&amp;S - Packaging and hh goods'!$U$19*(H$3-$D$3)/10)</f>
        <v>83.802265748025377</v>
      </c>
      <c r="I29" s="99">
        <f>I28*'R&amp;S - Packaging and hh goods'!$D$7*('R&amp;S - Packaging and hh goods'!$F$14*'R&amp;S - Packaging and hh goods'!$U$19*(I$3-$D$3)/10)</f>
        <v>104.02290796963943</v>
      </c>
      <c r="J29" s="99">
        <f>J28*'R&amp;S - Packaging and hh goods'!$D$7*('R&amp;S - Packaging and hh goods'!$F$14*'R&amp;S - Packaging and hh goods'!$U$19*(J$3-$D$3)/10)</f>
        <v>123.95768389360575</v>
      </c>
      <c r="K29" s="99">
        <f>K28*'R&amp;S - Packaging and hh goods'!$D$7*('R&amp;S - Packaging and hh goods'!$F$14*'R&amp;S - Packaging and hh goods'!$U$19*(K$3-$D$3)/10)</f>
        <v>143.60959559725868</v>
      </c>
      <c r="L29" s="99">
        <f>L28*'R&amp;S - Packaging and hh goods'!$D$7*('R&amp;S - Packaging and hh goods'!$F$14*'R&amp;S - Packaging and hh goods'!$U$19*(L$3-$D$3)/10)</f>
        <v>162.98161720053119</v>
      </c>
      <c r="M29" s="99">
        <f>M28*'R&amp;S - Packaging and hh goods'!$D$7*('R&amp;S - Packaging and hh goods'!$F$14*'R&amp;S - Packaging and hh goods'!$U$19*(M$3-$D$3)/10)</f>
        <v>182.07669510980983</v>
      </c>
      <c r="N29" s="99">
        <f>N28*'R&amp;S - Packaging and hh goods'!$D$7*('R&amp;S - Packaging and hh goods'!$F$14*'R&amp;S - Packaging and hh goods'!$U$19*(N$3-$D$3)/10)</f>
        <v>200.89774825974939</v>
      </c>
      <c r="O29" s="99">
        <f>O28*('R&amp;S - Packaging and hh goods'!$D$7*'R&amp;S - Packaging and hh goods'!$F$14*('R&amp;S - Packaging and hh goods'!$U$19+('R&amp;S - Packaging and hh goods'!$U$20-'R&amp;S - Packaging and hh goods'!$U$19)*(O$3-$N$3)/10))</f>
        <v>355.77121990572289</v>
      </c>
      <c r="P29" s="99">
        <f>P28*('R&amp;S - Packaging and hh goods'!$D$7*'R&amp;S - Packaging and hh goods'!$F$14*('R&amp;S - Packaging and hh goods'!$U$19+('R&amp;S - Packaging and hh goods'!$U$20-'R&amp;S - Packaging and hh goods'!$U$19)*(P$3-$N$3)/10))</f>
        <v>508.47660132136991</v>
      </c>
      <c r="Q29" s="99">
        <f>Q28*('R&amp;S - Packaging and hh goods'!$D$7*'R&amp;S - Packaging and hh goods'!$F$14*('R&amp;S - Packaging and hh goods'!$U$19+('R&amp;S - Packaging and hh goods'!$U$20-'R&amp;S - Packaging and hh goods'!$U$19)*(Q$3-$N$3)/10))</f>
        <v>659.0365875714914</v>
      </c>
      <c r="R29" s="99">
        <f>R28*('R&amp;S - Packaging and hh goods'!$D$7*'R&amp;S - Packaging and hh goods'!$F$14*('R&amp;S - Packaging and hh goods'!$U$19+('R&amp;S - Packaging and hh goods'!$U$20-'R&amp;S - Packaging and hh goods'!$U$19)*(R$3-$N$3)/10))</f>
        <v>807.47366270886346</v>
      </c>
      <c r="S29" s="99">
        <f>S28*('R&amp;S - Packaging and hh goods'!$D$7*'R&amp;S - Packaging and hh goods'!$F$14*('R&amp;S - Packaging and hh goods'!$U$19+('R&amp;S - Packaging and hh goods'!$U$20-'R&amp;S - Packaging and hh goods'!$U$19)*(S$3-$N$3)/10))</f>
        <v>953.81010161299332</v>
      </c>
      <c r="T29" s="99">
        <f>T28*('R&amp;S - Packaging and hh goods'!$D$7*'R&amp;S - Packaging and hh goods'!$F$14*('R&amp;S - Packaging and hh goods'!$U$19+('R&amp;S - Packaging and hh goods'!$U$20-'R&amp;S - Packaging and hh goods'!$U$19)*(T$3-$N$3)/10))</f>
        <v>1098.0679718134957</v>
      </c>
      <c r="U29" s="99">
        <f>U28*('R&amp;S - Packaging and hh goods'!$D$7*'R&amp;S - Packaging and hh goods'!$F$14*('R&amp;S - Packaging and hh goods'!$U$19+('R&amp;S - Packaging and hh goods'!$U$20-'R&amp;S - Packaging and hh goods'!$U$19)*(U$3-$N$3)/10))</f>
        <v>1240.2691352982147</v>
      </c>
      <c r="V29" s="99">
        <f>V28*('R&amp;S - Packaging and hh goods'!$D$7*'R&amp;S - Packaging and hh goods'!$F$14*('R&amp;S - Packaging and hh goods'!$U$19+('R&amp;S - Packaging and hh goods'!$U$20-'R&amp;S - Packaging and hh goods'!$U$19)*(V$3-$N$3)/10))</f>
        <v>1380.4352503062153</v>
      </c>
      <c r="W29" s="99">
        <f>W28*('R&amp;S - Packaging and hh goods'!$D$7*'R&amp;S - Packaging and hh goods'!$F$14*('R&amp;S - Packaging and hh goods'!$U$19+('R&amp;S - Packaging and hh goods'!$U$20-'R&amp;S - Packaging and hh goods'!$U$19)*(W$3-$N$3)/10))</f>
        <v>1518.5877731057665</v>
      </c>
      <c r="X29" s="99">
        <f>X28*('R&amp;S - Packaging and hh goods'!$D$7*'R&amp;S - Packaging and hh goods'!$F$14*('R&amp;S - Packaging and hh goods'!$U$19+('R&amp;S - Packaging and hh goods'!$U$20-'R&amp;S - Packaging and hh goods'!$U$19)*(X$3-$N$3)/10))</f>
        <v>1654.74795975744</v>
      </c>
      <c r="Y29" s="99">
        <f>Y28*('R&amp;S - Packaging and hh goods'!$D$7*'R&amp;S - Packaging and hh goods'!$F$14*('R&amp;S - Packaging and hh goods'!$U$20+('R&amp;S - Packaging and hh goods'!$U$21-'R&amp;S - Packaging and hh goods'!$U$20)*(Y$3-$X$3)/10))</f>
        <v>1788.9368678624442</v>
      </c>
      <c r="Z29" s="99">
        <f>Z28*('R&amp;S - Packaging and hh goods'!$D$7*'R&amp;S - Packaging and hh goods'!$F$14*('R&amp;S - Packaging and hh goods'!$U$20+('R&amp;S - Packaging and hh goods'!$U$21-'R&amp;S - Packaging and hh goods'!$U$20)*(Z$3-$X$3)/10))</f>
        <v>1921.175358296314</v>
      </c>
      <c r="AA29" s="99">
        <f>AA28*('R&amp;S - Packaging and hh goods'!$D$7*'R&amp;S - Packaging and hh goods'!$F$14*('R&amp;S - Packaging and hh goods'!$U$20+('R&amp;S - Packaging and hh goods'!$U$21-'R&amp;S - Packaging and hh goods'!$U$20)*(AA$3-$X$3)/10))</f>
        <v>2051.4840969280763</v>
      </c>
      <c r="AB29" s="99">
        <f>AB28*('R&amp;S - Packaging and hh goods'!$D$7*'R&amp;S - Packaging and hh goods'!$F$14*('R&amp;S - Packaging and hh goods'!$U$20+('R&amp;S - Packaging and hh goods'!$U$21-'R&amp;S - Packaging and hh goods'!$U$20)*(AB$3-$X$3)/10))</f>
        <v>2179.8835563250068</v>
      </c>
      <c r="AC29" s="99">
        <f>AC28*('R&amp;S - Packaging and hh goods'!$D$7*'R&amp;S - Packaging and hh goods'!$F$14*('R&amp;S - Packaging and hh goods'!$U$20+('R&amp;S - Packaging and hh goods'!$U$21-'R&amp;S - Packaging and hh goods'!$U$20)*(AC$3-$X$3)/10))</f>
        <v>2306.3940174431009</v>
      </c>
      <c r="AD29" s="99">
        <f>AD28*('R&amp;S - Packaging and hh goods'!$D$7*'R&amp;S - Packaging and hh goods'!$F$14*('R&amp;S - Packaging and hh goods'!$U$20+('R&amp;S - Packaging and hh goods'!$U$21-'R&amp;S - Packaging and hh goods'!$U$20)*(AD$3-$X$3)/10))</f>
        <v>2431.0355713033682</v>
      </c>
      <c r="AE29" s="99">
        <f>AE28*('R&amp;S - Packaging and hh goods'!$D$7*'R&amp;S - Packaging and hh goods'!$F$14*('R&amp;S - Packaging and hh goods'!$U$20+('R&amp;S - Packaging and hh goods'!$U$21-'R&amp;S - Packaging and hh goods'!$U$20)*(AE$3-$X$3)/10))</f>
        <v>2553.8281206540701</v>
      </c>
      <c r="AF29" s="99">
        <f>AF28*('R&amp;S - Packaging and hh goods'!$D$7*'R&amp;S - Packaging and hh goods'!$F$14*('R&amp;S - Packaging and hh goods'!$U$20+('R&amp;S - Packaging and hh goods'!$U$21-'R&amp;S - Packaging and hh goods'!$U$20)*(AF$3-$X$3)/10))</f>
        <v>2674.7913816190176</v>
      </c>
      <c r="AG29" s="99">
        <f>AG28*('R&amp;S - Packaging and hh goods'!$D$7*'R&amp;S - Packaging and hh goods'!$F$14*('R&amp;S - Packaging and hh goods'!$U$20+('R&amp;S - Packaging and hh goods'!$U$21-'R&amp;S - Packaging and hh goods'!$U$20)*(AG$3-$X$3)/10))</f>
        <v>2793.9448853320328</v>
      </c>
      <c r="AH29" s="99">
        <f>AH28*('R&amp;S - Packaging and hh goods'!$D$7*'R&amp;S - Packaging and hh goods'!$F$14*('R&amp;S - Packaging and hh goods'!$U$20+('R&amp;S - Packaging and hh goods'!$U$21-'R&amp;S - Packaging and hh goods'!$U$20)*(AH$3-$X$3)/10))</f>
        <v>2911.3079795577028</v>
      </c>
      <c r="AI29" s="99"/>
      <c r="AJ29" s="99">
        <v>0</v>
      </c>
      <c r="AK29" s="99">
        <f>AK28*'R&amp;S - Packaging and hh goods'!$D$7*('R&amp;S - Packaging and hh goods'!$F$15*'R&amp;S - Packaging and hh goods'!$U$19*(AK$3-$D$3)/10)</f>
        <v>15.404181108637335</v>
      </c>
      <c r="AL29" s="99">
        <f>AL28*'R&amp;S - Packaging and hh goods'!$D$7*('R&amp;S - Packaging and hh goods'!$F$15*'R&amp;S - Packaging and hh goods'!$U$19*(AL$3-$D$3)/10)</f>
        <v>30.593687643328607</v>
      </c>
      <c r="AM29" s="99">
        <f>AM28*'R&amp;S - Packaging and hh goods'!$D$7*('R&amp;S - Packaging and hh goods'!$F$15*'R&amp;S - Packaging and hh goods'!$U$19*(AM$3-$D$3)/10)</f>
        <v>45.570763402642562</v>
      </c>
      <c r="AN29" s="99">
        <f>AN28*'R&amp;S - Packaging and hh goods'!$D$7*('R&amp;S - Packaging and hh goods'!$F$15*'R&amp;S - Packaging and hh goods'!$U$19*(AN$3-$D$3)/10)</f>
        <v>60.337631338578262</v>
      </c>
      <c r="AO29" s="99">
        <f>AO28*'R&amp;S - Packaging and hh goods'!$D$7*('R&amp;S - Packaging and hh goods'!$F$15*'R&amp;S - Packaging and hh goods'!$U$19*(AO$3-$D$3)/10)</f>
        <v>74.896493738140393</v>
      </c>
      <c r="AP29" s="99">
        <f>AP28*'R&amp;S - Packaging and hh goods'!$D$7*('R&amp;S - Packaging and hh goods'!$F$15*'R&amp;S - Packaging and hh goods'!$U$19*(AP$3-$D$3)/10)</f>
        <v>89.249532403396145</v>
      </c>
      <c r="AQ29" s="99">
        <f>AQ28*'R&amp;S - Packaging and hh goods'!$D$7*('R&amp;S - Packaging and hh goods'!$F$15*'R&amp;S - Packaging and hh goods'!$U$19*(AQ$3-$D$3)/10)</f>
        <v>103.39890883002626</v>
      </c>
      <c r="AR29" s="99">
        <f>AR28*'R&amp;S - Packaging and hh goods'!$D$7*('R&amp;S - Packaging and hh goods'!$F$15*'R&amp;S - Packaging and hh goods'!$U$19*(AR$3-$D$3)/10)</f>
        <v>117.34676438438244</v>
      </c>
      <c r="AS29" s="99">
        <f>AS28*'R&amp;S - Packaging and hh goods'!$D$7*('R&amp;S - Packaging and hh goods'!$F$15*'R&amp;S - Packaging and hh goods'!$U$19*(AS$3-$D$3)/10)</f>
        <v>131.09522047906307</v>
      </c>
      <c r="AT29" s="99">
        <f>AT28*'R&amp;S - Packaging and hh goods'!$D$7*('R&amp;S - Packaging and hh goods'!$F$15*'R&amp;S - Packaging and hh goods'!$U$19*(AT$3-$D$3)/10)</f>
        <v>144.64637874701955</v>
      </c>
      <c r="AU29" s="99">
        <f>AU28*('R&amp;S - Packaging and hh goods'!$D$7*'R&amp;S - Packaging and hh goods'!$F$15*('R&amp;S - Packaging and hh goods'!$U$19+('R&amp;S - Packaging and hh goods'!$U$20-'R&amp;S - Packaging and hh goods'!$U$19)*(AU$3-$N$3)/10))</f>
        <v>256.15527833212047</v>
      </c>
      <c r="AV29" s="99">
        <f>AV28*('R&amp;S - Packaging and hh goods'!$D$7*'R&amp;S - Packaging and hh goods'!$F$15*('R&amp;S - Packaging and hh goods'!$U$19+('R&amp;S - Packaging and hh goods'!$U$20-'R&amp;S - Packaging and hh goods'!$U$19)*(AV$3-$N$3)/10))</f>
        <v>366.10315295138628</v>
      </c>
      <c r="AW29" s="99">
        <f>AW28*('R&amp;S - Packaging and hh goods'!$D$7*'R&amp;S - Packaging and hh goods'!$F$15*('R&amp;S - Packaging and hh goods'!$U$19+('R&amp;S - Packaging and hh goods'!$U$20-'R&amp;S - Packaging and hh goods'!$U$19)*(AW$3-$N$3)/10))</f>
        <v>474.50634305147383</v>
      </c>
      <c r="AX29" s="99">
        <f>AX28*('R&amp;S - Packaging and hh goods'!$D$7*'R&amp;S - Packaging and hh goods'!$F$15*('R&amp;S - Packaging and hh goods'!$U$19+('R&amp;S - Packaging and hh goods'!$U$20-'R&amp;S - Packaging and hh goods'!$U$19)*(AX$3-$N$3)/10))</f>
        <v>581.38103715038176</v>
      </c>
      <c r="AY29" s="99">
        <f>AY28*('R&amp;S - Packaging and hh goods'!$D$7*'R&amp;S - Packaging and hh goods'!$F$15*('R&amp;S - Packaging and hh goods'!$U$19+('R&amp;S - Packaging and hh goods'!$U$20-'R&amp;S - Packaging and hh goods'!$U$19)*(AY$3-$N$3)/10))</f>
        <v>686.74327316135521</v>
      </c>
      <c r="AZ29" s="99">
        <f>AZ28*('R&amp;S - Packaging and hh goods'!$D$7*'R&amp;S - Packaging and hh goods'!$F$15*('R&amp;S - Packaging and hh goods'!$U$19+('R&amp;S - Packaging and hh goods'!$U$20-'R&amp;S - Packaging and hh goods'!$U$19)*(AZ$3-$N$3)/10))</f>
        <v>790.60893970571681</v>
      </c>
      <c r="BA29" s="99">
        <f>BA28*('R&amp;S - Packaging and hh goods'!$D$7*'R&amp;S - Packaging and hh goods'!$F$15*('R&amp;S - Packaging and hh goods'!$U$19+('R&amp;S - Packaging and hh goods'!$U$20-'R&amp;S - Packaging and hh goods'!$U$19)*(BA$3-$N$3)/10))</f>
        <v>892.9937774147146</v>
      </c>
      <c r="BB29" s="99">
        <f>BB28*('R&amp;S - Packaging and hh goods'!$D$7*'R&amp;S - Packaging and hh goods'!$F$15*('R&amp;S - Packaging and hh goods'!$U$19+('R&amp;S - Packaging and hh goods'!$U$20-'R&amp;S - Packaging and hh goods'!$U$19)*(BB$3-$N$3)/10))</f>
        <v>993.91338022047501</v>
      </c>
      <c r="BC29" s="99">
        <f>BC28*('R&amp;S - Packaging and hh goods'!$D$7*'R&amp;S - Packaging and hh goods'!$F$15*('R&amp;S - Packaging and hh goods'!$U$19+('R&amp;S - Packaging and hh goods'!$U$20-'R&amp;S - Packaging and hh goods'!$U$19)*(BC$3-$N$3)/10))</f>
        <v>1093.383196636152</v>
      </c>
      <c r="BD29" s="99">
        <f>BD28*('R&amp;S - Packaging and hh goods'!$D$7*'R&amp;S - Packaging and hh goods'!$F$15*('R&amp;S - Packaging and hh goods'!$U$19+('R&amp;S - Packaging and hh goods'!$U$20-'R&amp;S - Packaging and hh goods'!$U$19)*(BD$3-$N$3)/10))</f>
        <v>1191.4185310253567</v>
      </c>
      <c r="BE29" s="99">
        <f>BE28*('R&amp;S - Packaging and hh goods'!$D$7*'R&amp;S - Packaging and hh goods'!$F$15*('R&amp;S - Packaging and hh goods'!$U$20+('R&amp;S - Packaging and hh goods'!$U$21-'R&amp;S - Packaging and hh goods'!$U$20)*(BE$3-$X$3)/10))</f>
        <v>1288.0345448609598</v>
      </c>
      <c r="BF29" s="99">
        <f>BF28*('R&amp;S - Packaging and hh goods'!$D$7*'R&amp;S - Packaging and hh goods'!$F$15*('R&amp;S - Packaging and hh goods'!$U$20+('R&amp;S - Packaging and hh goods'!$U$21-'R&amp;S - Packaging and hh goods'!$U$20)*(BF$3-$X$3)/10))</f>
        <v>1383.246257973346</v>
      </c>
      <c r="BG29" s="99">
        <f>BG28*('R&amp;S - Packaging and hh goods'!$D$7*'R&amp;S - Packaging and hh goods'!$F$15*('R&amp;S - Packaging and hh goods'!$U$20+('R&amp;S - Packaging and hh goods'!$U$21-'R&amp;S - Packaging and hh goods'!$U$20)*(BG$3-$X$3)/10))</f>
        <v>1477.068549788215</v>
      </c>
      <c r="BH29" s="99">
        <f>BH28*('R&amp;S - Packaging and hh goods'!$D$7*'R&amp;S - Packaging and hh goods'!$F$15*('R&amp;S - Packaging and hh goods'!$U$20+('R&amp;S - Packaging and hh goods'!$U$21-'R&amp;S - Packaging and hh goods'!$U$20)*(BH$3-$X$3)/10))</f>
        <v>1569.5161605540047</v>
      </c>
      <c r="BI29" s="99">
        <f>BI28*('R&amp;S - Packaging and hh goods'!$D$7*'R&amp;S - Packaging and hh goods'!$F$15*('R&amp;S - Packaging and hh goods'!$U$20+('R&amp;S - Packaging and hh goods'!$U$21-'R&amp;S - Packaging and hh goods'!$U$20)*(BI$3-$X$3)/10))</f>
        <v>1660.6036925590329</v>
      </c>
      <c r="BJ29" s="99">
        <f>BJ28*('R&amp;S - Packaging and hh goods'!$D$7*'R&amp;S - Packaging and hh goods'!$F$15*('R&amp;S - Packaging and hh goods'!$U$20+('R&amp;S - Packaging and hh goods'!$U$21-'R&amp;S - Packaging and hh goods'!$U$20)*(BJ$3-$X$3)/10))</f>
        <v>1750.3456113384252</v>
      </c>
      <c r="BK29" s="99">
        <f>BK28*('R&amp;S - Packaging and hh goods'!$D$7*'R&amp;S - Packaging and hh goods'!$F$15*('R&amp;S - Packaging and hh goods'!$U$20+('R&amp;S - Packaging and hh goods'!$U$21-'R&amp;S - Packaging and hh goods'!$U$20)*(BK$3-$X$3)/10))</f>
        <v>1838.7562468709307</v>
      </c>
      <c r="BL29" s="99">
        <f>BL28*('R&amp;S - Packaging and hh goods'!$D$7*'R&amp;S - Packaging and hh goods'!$F$15*('R&amp;S - Packaging and hh goods'!$U$20+('R&amp;S - Packaging and hh goods'!$U$21-'R&amp;S - Packaging and hh goods'!$U$20)*(BL$3-$X$3)/10))</f>
        <v>1925.8497947656929</v>
      </c>
      <c r="BM29" s="99">
        <f>BM28*('R&amp;S - Packaging and hh goods'!$D$7*'R&amp;S - Packaging and hh goods'!$F$15*('R&amp;S - Packaging and hh goods'!$U$20+('R&amp;S - Packaging and hh goods'!$U$21-'R&amp;S - Packaging and hh goods'!$U$20)*(BM$3-$X$3)/10))</f>
        <v>2011.6403174390639</v>
      </c>
      <c r="BN29" s="99">
        <f>BN28*('R&amp;S - Packaging and hh goods'!$D$7*'R&amp;S - Packaging and hh goods'!$F$15*('R&amp;S - Packaging and hh goods'!$U$20+('R&amp;S - Packaging and hh goods'!$U$21-'R&amp;S - Packaging and hh goods'!$U$20)*(BN$3-$X$3)/10))</f>
        <v>2096.1417452815463</v>
      </c>
    </row>
    <row r="30" spans="1:90">
      <c r="B30" s="57" t="s">
        <v>193</v>
      </c>
      <c r="C30" s="50" t="s">
        <v>1420</v>
      </c>
      <c r="D30" s="99">
        <v>0</v>
      </c>
      <c r="E30" s="99">
        <f>E28*'R&amp;S - Packaging and hh goods'!$D$8*('R&amp;S - Packaging and hh goods'!$F$14*'R&amp;S - Packaging and hh goods'!$V$19*(E$3-$D$3)/10)</f>
        <v>101.94896798540495</v>
      </c>
      <c r="F30" s="99">
        <f>F28*'R&amp;S - Packaging and hh goods'!$D$8*('R&amp;S - Packaging and hh goods'!$F$14*'R&amp;S - Packaging and hh goods'!$V$19*('Yearly Methanol'!F$3-'Yearly Methanol'!$D$3)/10)</f>
        <v>202.47716253844379</v>
      </c>
      <c r="G30" s="99">
        <f>G28*'R&amp;S - Packaging and hh goods'!$D$8*('R&amp;S - Packaging and hh goods'!$F$14*'R&amp;S - Packaging and hh goods'!$V$19*('Yearly Methanol'!G$3-'Yearly Methanol'!$D$3)/10)</f>
        <v>301.59943371487981</v>
      </c>
      <c r="H30" s="99">
        <f>H28*'R&amp;S - Packaging and hh goods'!$D$8*('R&amp;S - Packaging and hh goods'!$F$14*'R&amp;S - Packaging and hh goods'!$V$19*('Yearly Methanol'!H$3-'Yearly Methanol'!$D$3)/10)</f>
        <v>399.33049360233304</v>
      </c>
      <c r="I30" s="99">
        <f>I28*'R&amp;S - Packaging and hh goods'!$D$8*('R&amp;S - Packaging and hh goods'!$F$14*'R&amp;S - Packaging and hh goods'!$V$19*('Yearly Methanol'!I$3-'Yearly Methanol'!$D$3)/10)</f>
        <v>495.68491752199407</v>
      </c>
      <c r="J30" s="99">
        <f>J28*'R&amp;S - Packaging and hh goods'!$D$8*('R&amp;S - Packaging and hh goods'!$F$14*'R&amp;S - Packaging and hh goods'!$V$19*('Yearly Methanol'!J$3-'Yearly Methanol'!$D$3)/10)</f>
        <v>590.67714522028814</v>
      </c>
      <c r="K30" s="99">
        <f>K28*'R&amp;S - Packaging and hh goods'!$D$8*('R&amp;S - Packaging and hh goods'!$F$14*'R&amp;S - Packaging and hh goods'!$V$19*('Yearly Methanol'!K$3-'Yearly Methanol'!$D$3)/10)</f>
        <v>684.32148205057388</v>
      </c>
      <c r="L30" s="99">
        <f>L28*'R&amp;S - Packaging and hh goods'!$D$8*('R&amp;S - Packaging and hh goods'!$F$14*'R&amp;S - Packaging and hh goods'!$V$19*('Yearly Methanol'!L$3-'Yearly Methanol'!$D$3)/10)</f>
        <v>776.63210014495553</v>
      </c>
      <c r="M30" s="99">
        <f>M28*'R&amp;S - Packaging and hh goods'!$D$8*('R&amp;S - Packaging and hh goods'!$F$14*'R&amp;S - Packaging and hh goods'!$V$19*('Yearly Methanol'!M$3-'Yearly Methanol'!$D$3)/10)</f>
        <v>867.62303957629069</v>
      </c>
      <c r="N30" s="99">
        <f>N28*'R&amp;S - Packaging and hh goods'!$D$8*('R&amp;S - Packaging and hh goods'!$F$14*'R&amp;S - Packaging and hh goods'!$V$19*('Yearly Methanol'!N$3-'Yearly Methanol'!$D$3)/10)</f>
        <v>957.30820951047258</v>
      </c>
      <c r="O30" s="99">
        <f>O28*'R&amp;S - Packaging and hh goods'!$D$8*'R&amp;S - Packaging and hh goods'!$F$14*('R&amp;S - Packaging and hh goods'!$V$19+('R&amp;S - Packaging and hh goods'!$V$20-'R&amp;S - Packaging and hh goods'!$V$19)*(O$3-$N$3)/10)</f>
        <v>1174.3170682529599</v>
      </c>
      <c r="P30" s="99">
        <f>P28*'R&amp;S - Packaging and hh goods'!$D$8*'R&amp;S - Packaging and hh goods'!$F$14*('R&amp;S - Packaging and hh goods'!$V$19+('R&amp;S - Packaging and hh goods'!$V$20-'R&amp;S - Packaging and hh goods'!$V$19)*(P$3-$N$3)/10)</f>
        <v>1388.2551836548616</v>
      </c>
      <c r="Q30" s="99">
        <f>Q28*'R&amp;S - Packaging and hh goods'!$D$8*'R&amp;S - Packaging and hh goods'!$F$14*('R&amp;S - Packaging and hh goods'!$V$19+('R&amp;S - Packaging and hh goods'!$V$20-'R&amp;S - Packaging and hh goods'!$V$19)*(Q$3-$N$3)/10)</f>
        <v>1599.1548133519</v>
      </c>
      <c r="R30" s="99">
        <f>R28*'R&amp;S - Packaging and hh goods'!$D$8*'R&amp;S - Packaging and hh goods'!$F$14*('R&amp;S - Packaging and hh goods'!$V$19+('R&amp;S - Packaging and hh goods'!$V$20-'R&amp;S - Packaging and hh goods'!$V$19)*(R$3-$N$3)/10)</f>
        <v>1807.0479145299159</v>
      </c>
      <c r="S30" s="99">
        <f>S28*'R&amp;S - Packaging and hh goods'!$D$8*'R&amp;S - Packaging and hh goods'!$F$14*('R&amp;S - Packaging and hh goods'!$V$19+('R&amp;S - Packaging and hh goods'!$V$20-'R&amp;S - Packaging and hh goods'!$V$19)*(S$3-$N$3)/10)</f>
        <v>2011.9661465457436</v>
      </c>
      <c r="T30" s="99">
        <f>T28*'R&amp;S - Packaging and hh goods'!$D$8*'R&amp;S - Packaging and hh goods'!$F$14*('R&amp;S - Packaging and hh goods'!$V$19+('R&amp;S - Packaging and hh goods'!$V$20-'R&amp;S - Packaging and hh goods'!$V$19)*(T$3-$N$3)/10)</f>
        <v>2213.9408735261463</v>
      </c>
      <c r="U30" s="99">
        <f>U28*'R&amp;S - Packaging and hh goods'!$D$8*'R&amp;S - Packaging and hh goods'!$F$14*('R&amp;S - Packaging and hh goods'!$V$19+('R&amp;S - Packaging and hh goods'!$V$20-'R&amp;S - Packaging and hh goods'!$V$19)*(U$3-$N$3)/10)</f>
        <v>2413.0031669449954</v>
      </c>
      <c r="V30" s="99">
        <f>V28*'R&amp;S - Packaging and hh goods'!$D$8*'R&amp;S - Packaging and hh goods'!$F$14*('R&amp;S - Packaging and hh goods'!$V$19+('R&amp;S - Packaging and hh goods'!$V$20-'R&amp;S - Packaging and hh goods'!$V$19)*(V$3-$N$3)/10)</f>
        <v>2609.183808178866</v>
      </c>
      <c r="W30" s="99">
        <f>W28*'R&amp;S - Packaging and hh goods'!$D$8*'R&amp;S - Packaging and hh goods'!$F$14*('R&amp;S - Packaging and hh goods'!$V$19+('R&amp;S - Packaging and hh goods'!$V$20-'R&amp;S - Packaging and hh goods'!$V$19)*(W$3-$N$3)/10)</f>
        <v>2802.5132910412262</v>
      </c>
      <c r="X30" s="99">
        <f>X28*'R&amp;S - Packaging and hh goods'!$D$8*'R&amp;S - Packaging and hh goods'!$F$14*('R&amp;S - Packaging and hh goods'!$V$19+('R&amp;S - Packaging and hh goods'!$V$20-'R&amp;S - Packaging and hh goods'!$V$19)*(X$3-$N$3)/10)</f>
        <v>2993.0218242954038</v>
      </c>
      <c r="Y30" s="99">
        <f>Y28*'R&amp;S - Packaging and hh goods'!$D$8*'R&amp;S - Packaging and hh goods'!$F$14*('R&amp;S - Packaging and hh goods'!$V$20+('R&amp;S - Packaging and hh goods'!$V$21-'R&amp;S - Packaging and hh goods'!$V$20)*(Y$3-$X$3)/10)</f>
        <v>3196.3823144783432</v>
      </c>
      <c r="Z30" s="99">
        <f>Z28*'R&amp;S - Packaging and hh goods'!$D$8*'R&amp;S - Packaging and hh goods'!$F$14*('R&amp;S - Packaging and hh goods'!$V$20+('R&amp;S - Packaging and hh goods'!$V$21-'R&amp;S - Packaging and hh goods'!$V$20)*(Z$3-$X$3)/10)</f>
        <v>3396.7634248665595</v>
      </c>
      <c r="AA30" s="99">
        <f>AA28*'R&amp;S - Packaging and hh goods'!$D$8*'R&amp;S - Packaging and hh goods'!$F$14*('R&amp;S - Packaging and hh goods'!$V$20+('R&amp;S - Packaging and hh goods'!$V$21-'R&amp;S - Packaging and hh goods'!$V$20)*(AA$3-$X$3)/10)</f>
        <v>3594.1968025234273</v>
      </c>
      <c r="AB30" s="99">
        <f>AB28*'R&amp;S - Packaging and hh goods'!$D$8*'R&amp;S - Packaging and hh goods'!$F$14*('R&amp;S - Packaging and hh goods'!$V$20+('R&amp;S - Packaging and hh goods'!$V$21-'R&amp;S - Packaging and hh goods'!$V$20)*(AB$3-$X$3)/10)</f>
        <v>3788.7137981353976</v>
      </c>
      <c r="AC30" s="99">
        <f>AC28*'R&amp;S - Packaging and hh goods'!$D$8*'R&amp;S - Packaging and hh goods'!$F$14*('R&amp;S - Packaging and hh goods'!$V$20+('R&amp;S - Packaging and hh goods'!$V$21-'R&amp;S - Packaging and hh goods'!$V$20)*(AC$3-$X$3)/10)</f>
        <v>3980.3454686057553</v>
      </c>
      <c r="AD30" s="99">
        <f>AD28*'R&amp;S - Packaging and hh goods'!$D$8*'R&amp;S - Packaging and hh goods'!$F$14*('R&amp;S - Packaging and hh goods'!$V$20+('R&amp;S - Packaging and hh goods'!$V$21-'R&amp;S - Packaging and hh goods'!$V$20)*(AD$3-$X$3)/10)</f>
        <v>4169.1225796266217</v>
      </c>
      <c r="AE30" s="99">
        <f>AE28*'R&amp;S - Packaging and hh goods'!$D$8*'R&amp;S - Packaging and hh goods'!$F$14*('R&amp;S - Packaging and hh goods'!$V$20+('R&amp;S - Packaging and hh goods'!$V$21-'R&amp;S - Packaging and hh goods'!$V$20)*(AE$3-$X$3)/10)</f>
        <v>4355.0756082293747</v>
      </c>
      <c r="AF30" s="99">
        <f>AF28*'R&amp;S - Packaging and hh goods'!$D$8*'R&amp;S - Packaging and hh goods'!$F$14*('R&amp;S - Packaging and hh goods'!$V$20+('R&amp;S - Packaging and hh goods'!$V$21-'R&amp;S - Packaging and hh goods'!$V$20)*(AF$3-$X$3)/10)</f>
        <v>4538.2347453136626</v>
      </c>
      <c r="AG30" s="99">
        <f>AG28*'R&amp;S - Packaging and hh goods'!$D$8*'R&amp;S - Packaging and hh goods'!$F$14*('R&amp;S - Packaging and hh goods'!$V$20+('R&amp;S - Packaging and hh goods'!$V$21-'R&amp;S - Packaging and hh goods'!$V$20)*(AG$3-$X$3)/10)</f>
        <v>4718.6298981552018</v>
      </c>
      <c r="AH30" s="99">
        <f>AH28*'R&amp;S - Packaging and hh goods'!$D$8*'R&amp;S - Packaging and hh goods'!$F$14*('R&amp;S - Packaging and hh goods'!$V$20+('R&amp;S - Packaging and hh goods'!$V$21-'R&amp;S - Packaging and hh goods'!$V$20)*(AH$3-$X$3)/10)</f>
        <v>4896.2906928925004</v>
      </c>
      <c r="AI30" s="99"/>
      <c r="AJ30" s="99">
        <v>0</v>
      </c>
      <c r="AK30" s="99">
        <f>AK28*'R&amp;S - Packaging and hh goods'!$D$8*('R&amp;S - Packaging and hh goods'!$F$15*'R&amp;S - Packaging and hh goods'!$V$19*(AK$3-$D$3)/10)</f>
        <v>73.403256949491563</v>
      </c>
      <c r="AL30" s="99">
        <f>AL28*'R&amp;S - Packaging and hh goods'!$D$8*('R&amp;S - Packaging and hh goods'!$F$15*'R&amp;S - Packaging and hh goods'!$V$19*('Yearly Methanol'!AL$3-'Yearly Methanol'!$D$3)/10)</f>
        <v>145.78355702767954</v>
      </c>
      <c r="AM30" s="99">
        <f>AM28*'R&amp;S - Packaging and hh goods'!$D$8*('R&amp;S - Packaging and hh goods'!$F$15*'R&amp;S - Packaging and hh goods'!$V$19*('Yearly Methanol'!AM$3-'Yearly Methanol'!$D$3)/10)</f>
        <v>217.15159227471347</v>
      </c>
      <c r="AN30" s="99">
        <f>AN28*'R&amp;S - Packaging and hh goods'!$D$8*('R&amp;S - Packaging and hh goods'!$F$15*'R&amp;S - Packaging and hh goods'!$V$19*('Yearly Methanol'!AN$3-'Yearly Methanol'!$D$3)/10)</f>
        <v>287.51795539367981</v>
      </c>
      <c r="AO30" s="99">
        <f>AO28*'R&amp;S - Packaging and hh goods'!$D$8*('R&amp;S - Packaging and hh goods'!$F$15*'R&amp;S - Packaging and hh goods'!$V$19*('Yearly Methanol'!AO$3-'Yearly Methanol'!$D$3)/10)</f>
        <v>356.89314061583576</v>
      </c>
      <c r="AP30" s="99">
        <f>AP28*'R&amp;S - Packaging and hh goods'!$D$8*('R&amp;S - Packaging and hh goods'!$F$15*'R&amp;S - Packaging and hh goods'!$V$19*('Yearly Methanol'!AP$3-'Yearly Methanol'!$D$3)/10)</f>
        <v>425.28754455860746</v>
      </c>
      <c r="AQ30" s="99">
        <f>AQ28*'R&amp;S - Packaging and hh goods'!$D$8*('R&amp;S - Packaging and hh goods'!$F$15*'R&amp;S - Packaging and hh goods'!$V$19*('Yearly Methanol'!AQ$3-'Yearly Methanol'!$D$3)/10)</f>
        <v>492.7114670764131</v>
      </c>
      <c r="AR30" s="99">
        <f>AR28*'R&amp;S - Packaging and hh goods'!$D$8*('R&amp;S - Packaging and hh goods'!$F$15*'R&amp;S - Packaging and hh goods'!$V$19*('Yearly Methanol'!AR$3-'Yearly Methanol'!$D$3)/10)</f>
        <v>559.17511210436794</v>
      </c>
      <c r="AS30" s="99">
        <f>AS28*'R&amp;S - Packaging and hh goods'!$D$8*('R&amp;S - Packaging and hh goods'!$F$15*'R&amp;S - Packaging and hh goods'!$V$19*('Yearly Methanol'!AS$3-'Yearly Methanol'!$D$3)/10)</f>
        <v>624.68858849492938</v>
      </c>
      <c r="AT30" s="99">
        <f>AT28*'R&amp;S - Packaging and hh goods'!$D$8*('R&amp;S - Packaging and hh goods'!$F$15*'R&amp;S - Packaging and hh goods'!$V$19*('Yearly Methanol'!AT$3-'Yearly Methanol'!$D$3)/10)</f>
        <v>689.26191084754032</v>
      </c>
      <c r="AU30" s="99">
        <f>AU28*'R&amp;S - Packaging and hh goods'!$D$8*'R&amp;S - Packaging and hh goods'!$F$15*('R&amp;S - Packaging and hh goods'!$V$19+('R&amp;S - Packaging and hh goods'!$V$20-'R&amp;S - Packaging and hh goods'!$V$19)*(AU$3-$N$3)/10)</f>
        <v>845.50828914213105</v>
      </c>
      <c r="AV30" s="99">
        <f>AV28*'R&amp;S - Packaging and hh goods'!$D$8*'R&amp;S - Packaging and hh goods'!$F$15*('R&amp;S - Packaging and hh goods'!$V$19+('R&amp;S - Packaging and hh goods'!$V$20-'R&amp;S - Packaging and hh goods'!$V$19)*(AV$3-$N$3)/10)</f>
        <v>999.54373223150037</v>
      </c>
      <c r="AW30" s="99">
        <f>AW28*'R&amp;S - Packaging and hh goods'!$D$8*'R&amp;S - Packaging and hh goods'!$F$15*('R&amp;S - Packaging and hh goods'!$V$19+('R&amp;S - Packaging and hh goods'!$V$20-'R&amp;S - Packaging and hh goods'!$V$19)*(AW$3-$N$3)/10)</f>
        <v>1151.3914656133682</v>
      </c>
      <c r="AX30" s="99">
        <f>AX28*'R&amp;S - Packaging and hh goods'!$D$8*'R&amp;S - Packaging and hh goods'!$F$15*('R&amp;S - Packaging and hh goods'!$V$19+('R&amp;S - Packaging and hh goods'!$V$20-'R&amp;S - Packaging and hh goods'!$V$19)*(AX$3-$N$3)/10)</f>
        <v>1301.0744984615394</v>
      </c>
      <c r="AY30" s="99">
        <f>AY28*'R&amp;S - Packaging and hh goods'!$D$8*'R&amp;S - Packaging and hh goods'!$F$15*('R&amp;S - Packaging and hh goods'!$V$19+('R&amp;S - Packaging and hh goods'!$V$20-'R&amp;S - Packaging and hh goods'!$V$19)*(AY$3-$N$3)/10)</f>
        <v>1448.6156255129354</v>
      </c>
      <c r="AZ30" s="99">
        <f>AZ28*'R&amp;S - Packaging and hh goods'!$D$8*'R&amp;S - Packaging and hh goods'!$F$15*('R&amp;S - Packaging and hh goods'!$V$19+('R&amp;S - Packaging and hh goods'!$V$20-'R&amp;S - Packaging and hh goods'!$V$19)*(AZ$3-$N$3)/10)</f>
        <v>1594.0374289388253</v>
      </c>
      <c r="BA30" s="99">
        <f>BA28*'R&amp;S - Packaging and hh goods'!$D$8*'R&amp;S - Packaging and hh goods'!$F$15*('R&amp;S - Packaging and hh goods'!$V$19+('R&amp;S - Packaging and hh goods'!$V$20-'R&amp;S - Packaging and hh goods'!$V$19)*(BA$3-$N$3)/10)</f>
        <v>1737.3622802003968</v>
      </c>
      <c r="BB30" s="99">
        <f>BB28*'R&amp;S - Packaging and hh goods'!$D$8*'R&amp;S - Packaging and hh goods'!$F$15*('R&amp;S - Packaging and hh goods'!$V$19+('R&amp;S - Packaging and hh goods'!$V$20-'R&amp;S - Packaging and hh goods'!$V$19)*(BB$3-$N$3)/10)</f>
        <v>1878.6123418887832</v>
      </c>
      <c r="BC30" s="99">
        <f>BC28*'R&amp;S - Packaging and hh goods'!$D$8*'R&amp;S - Packaging and hh goods'!$F$15*('R&amp;S - Packaging and hh goods'!$V$19+('R&amp;S - Packaging and hh goods'!$V$20-'R&amp;S - Packaging and hh goods'!$V$19)*(BC$3-$N$3)/10)</f>
        <v>2017.8095695496827</v>
      </c>
      <c r="BD30" s="99">
        <f>BD28*'R&amp;S - Packaging and hh goods'!$D$8*'R&amp;S - Packaging and hh goods'!$F$15*('R&amp;S - Packaging and hh goods'!$V$19+('R&amp;S - Packaging and hh goods'!$V$20-'R&amp;S - Packaging and hh goods'!$V$19)*(BD$3-$N$3)/10)</f>
        <v>2154.9757134926904</v>
      </c>
      <c r="BE30" s="99">
        <f>BE28*'R&amp;S - Packaging and hh goods'!$D$8*'R&amp;S - Packaging and hh goods'!$F$15*('R&amp;S - Packaging and hh goods'!$V$20+('R&amp;S - Packaging and hh goods'!$V$21-'R&amp;S - Packaging and hh goods'!$V$20)*(BE$3-$X$3)/10)</f>
        <v>2301.3952664244071</v>
      </c>
      <c r="BF30" s="99">
        <f>BF28*'R&amp;S - Packaging and hh goods'!$D$8*'R&amp;S - Packaging and hh goods'!$F$15*('R&amp;S - Packaging and hh goods'!$V$20+('R&amp;S - Packaging and hh goods'!$V$21-'R&amp;S - Packaging and hh goods'!$V$20)*(BF$3-$X$3)/10)</f>
        <v>2445.6696659039226</v>
      </c>
      <c r="BG30" s="99">
        <f>BG28*'R&amp;S - Packaging and hh goods'!$D$8*'R&amp;S - Packaging and hh goods'!$F$15*('R&amp;S - Packaging and hh goods'!$V$20+('R&amp;S - Packaging and hh goods'!$V$21-'R&amp;S - Packaging and hh goods'!$V$20)*(BG$3-$X$3)/10)</f>
        <v>2587.8216978168675</v>
      </c>
      <c r="BH30" s="99">
        <f>BH28*'R&amp;S - Packaging and hh goods'!$D$8*'R&amp;S - Packaging and hh goods'!$F$15*('R&amp;S - Packaging and hh goods'!$V$20+('R&amp;S - Packaging and hh goods'!$V$21-'R&amp;S - Packaging and hh goods'!$V$20)*(BH$3-$X$3)/10)</f>
        <v>2727.8739346574862</v>
      </c>
      <c r="BI30" s="99">
        <f>BI28*'R&amp;S - Packaging and hh goods'!$D$8*'R&amp;S - Packaging and hh goods'!$F$15*('R&amp;S - Packaging and hh goods'!$V$20+('R&amp;S - Packaging and hh goods'!$V$21-'R&amp;S - Packaging and hh goods'!$V$20)*(BI$3-$X$3)/10)</f>
        <v>2865.8487373961439</v>
      </c>
      <c r="BJ30" s="99">
        <f>BJ28*'R&amp;S - Packaging and hh goods'!$D$8*'R&amp;S - Packaging and hh goods'!$F$15*('R&amp;S - Packaging and hh goods'!$V$20+('R&amp;S - Packaging and hh goods'!$V$21-'R&amp;S - Packaging and hh goods'!$V$20)*(BJ$3-$X$3)/10)</f>
        <v>3001.7682573311677</v>
      </c>
      <c r="BK30" s="99">
        <f>BK28*'R&amp;S - Packaging and hh goods'!$D$8*'R&amp;S - Packaging and hh goods'!$F$15*('R&amp;S - Packaging and hh goods'!$V$20+('R&amp;S - Packaging and hh goods'!$V$21-'R&amp;S - Packaging and hh goods'!$V$20)*(BK$3-$X$3)/10)</f>
        <v>3135.6544379251495</v>
      </c>
      <c r="BL30" s="99">
        <f>BL28*'R&amp;S - Packaging and hh goods'!$D$8*'R&amp;S - Packaging and hh goods'!$F$15*('R&amp;S - Packaging and hh goods'!$V$20+('R&amp;S - Packaging and hh goods'!$V$21-'R&amp;S - Packaging and hh goods'!$V$20)*(BL$3-$X$3)/10)</f>
        <v>3267.5290166258369</v>
      </c>
      <c r="BM30" s="99">
        <f>BM28*'R&amp;S - Packaging and hh goods'!$D$8*'R&amp;S - Packaging and hh goods'!$F$15*('R&amp;S - Packaging and hh goods'!$V$20+('R&amp;S - Packaging and hh goods'!$V$21-'R&amp;S - Packaging and hh goods'!$V$20)*(BM$3-$X$3)/10)</f>
        <v>3397.4135266717449</v>
      </c>
      <c r="BN30" s="99">
        <f>BN28*'R&amp;S - Packaging and hh goods'!$D$8*'R&amp;S - Packaging and hh goods'!$F$15*('R&amp;S - Packaging and hh goods'!$V$20+('R&amp;S - Packaging and hh goods'!$V$21-'R&amp;S - Packaging and hh goods'!$V$20)*(BN$3-$X$3)/10)</f>
        <v>3525.3292988826001</v>
      </c>
      <c r="BQ30" s="625"/>
      <c r="BS30" s="626"/>
      <c r="BV30" s="626"/>
      <c r="BW30" s="181"/>
    </row>
    <row r="31" spans="1:90">
      <c r="B31" s="1" t="s">
        <v>169</v>
      </c>
      <c r="C31" s="50" t="s">
        <v>1420</v>
      </c>
      <c r="D31" s="99">
        <f>SUM(D29:D30)</f>
        <v>0</v>
      </c>
      <c r="E31" s="99">
        <f t="shared" ref="E31:Y31" si="266">SUM(E29:E30)</f>
        <v>123.34366396962348</v>
      </c>
      <c r="F31" s="99">
        <f t="shared" si="266"/>
        <v>244.9683953764002</v>
      </c>
      <c r="G31" s="99">
        <f t="shared" si="266"/>
        <v>364.89216066299446</v>
      </c>
      <c r="H31" s="99">
        <f t="shared" si="266"/>
        <v>483.13275935035841</v>
      </c>
      <c r="I31" s="99">
        <f t="shared" si="266"/>
        <v>599.70782549163346</v>
      </c>
      <c r="J31" s="99">
        <f t="shared" si="266"/>
        <v>714.63482911389383</v>
      </c>
      <c r="K31" s="99">
        <f t="shared" si="266"/>
        <v>827.93107764783258</v>
      </c>
      <c r="L31" s="99">
        <f t="shared" si="266"/>
        <v>939.61371734548675</v>
      </c>
      <c r="M31" s="99">
        <f t="shared" si="266"/>
        <v>1049.6997346861006</v>
      </c>
      <c r="N31" s="99">
        <f t="shared" si="266"/>
        <v>1158.2059577702221</v>
      </c>
      <c r="O31" s="99">
        <f t="shared" si="266"/>
        <v>1530.0882881586826</v>
      </c>
      <c r="P31" s="99">
        <f t="shared" ref="P31:X31" si="267">SUM(P29:P30)</f>
        <v>1896.7317849762317</v>
      </c>
      <c r="Q31" s="99">
        <f t="shared" si="267"/>
        <v>2258.1914009233915</v>
      </c>
      <c r="R31" s="99">
        <f t="shared" si="267"/>
        <v>2614.5215772387792</v>
      </c>
      <c r="S31" s="99">
        <f t="shared" si="267"/>
        <v>2965.776248158737</v>
      </c>
      <c r="T31" s="99">
        <f t="shared" si="267"/>
        <v>3312.008845339642</v>
      </c>
      <c r="U31" s="99">
        <f t="shared" si="267"/>
        <v>3653.2723022432101</v>
      </c>
      <c r="V31" s="99">
        <f t="shared" si="267"/>
        <v>3989.619058485081</v>
      </c>
      <c r="W31" s="99">
        <f t="shared" si="267"/>
        <v>4321.1010641469929</v>
      </c>
      <c r="X31" s="99">
        <f t="shared" si="267"/>
        <v>4647.7697840528435</v>
      </c>
      <c r="Y31" s="99">
        <f t="shared" si="266"/>
        <v>4985.3191823407869</v>
      </c>
      <c r="Z31" s="99">
        <f t="shared" ref="Z31:AH31" si="268">SUM(Z29:Z30)</f>
        <v>5317.9387831628737</v>
      </c>
      <c r="AA31" s="99">
        <f t="shared" si="268"/>
        <v>5645.6808994515031</v>
      </c>
      <c r="AB31" s="99">
        <f t="shared" si="268"/>
        <v>5968.5973544604039</v>
      </c>
      <c r="AC31" s="99">
        <f t="shared" si="268"/>
        <v>6286.7394860488566</v>
      </c>
      <c r="AD31" s="99">
        <f t="shared" si="268"/>
        <v>6600.1581509299904</v>
      </c>
      <c r="AE31" s="99">
        <f t="shared" si="268"/>
        <v>6908.9037288834443</v>
      </c>
      <c r="AF31" s="99">
        <f t="shared" si="268"/>
        <v>7213.0261269326802</v>
      </c>
      <c r="AG31" s="99">
        <f t="shared" si="268"/>
        <v>7512.5747834872345</v>
      </c>
      <c r="AH31" s="99">
        <f t="shared" si="268"/>
        <v>7807.5986724502036</v>
      </c>
      <c r="AI31" s="99"/>
      <c r="AJ31" s="99">
        <f>SUM(AJ29:AJ30)</f>
        <v>0</v>
      </c>
      <c r="AK31" s="99">
        <f t="shared" ref="AK31:BN31" si="269">SUM(AK29:AK30)</f>
        <v>88.807438058128895</v>
      </c>
      <c r="AL31" s="99">
        <f t="shared" si="269"/>
        <v>176.37724467100816</v>
      </c>
      <c r="AM31" s="99">
        <f t="shared" si="269"/>
        <v>262.72235567735601</v>
      </c>
      <c r="AN31" s="99">
        <f t="shared" si="269"/>
        <v>347.85558673225808</v>
      </c>
      <c r="AO31" s="99">
        <f t="shared" si="269"/>
        <v>431.78963435397617</v>
      </c>
      <c r="AP31" s="99">
        <f t="shared" si="269"/>
        <v>514.53707696200365</v>
      </c>
      <c r="AQ31" s="99">
        <f t="shared" si="269"/>
        <v>596.11037590643934</v>
      </c>
      <c r="AR31" s="99">
        <f t="shared" si="269"/>
        <v>676.52187648875042</v>
      </c>
      <c r="AS31" s="99">
        <f t="shared" si="269"/>
        <v>755.78380897399245</v>
      </c>
      <c r="AT31" s="99">
        <f t="shared" si="269"/>
        <v>833.90828959455985</v>
      </c>
      <c r="AU31" s="99">
        <f t="shared" si="269"/>
        <v>1101.6635674742515</v>
      </c>
      <c r="AV31" s="99">
        <f t="shared" si="269"/>
        <v>1365.6468851828868</v>
      </c>
      <c r="AW31" s="99">
        <f t="shared" si="269"/>
        <v>1625.8978086648419</v>
      </c>
      <c r="AX31" s="99">
        <f t="shared" si="269"/>
        <v>1882.4555356119213</v>
      </c>
      <c r="AY31" s="99">
        <f t="shared" si="269"/>
        <v>2135.3588986742907</v>
      </c>
      <c r="AZ31" s="99">
        <f t="shared" si="269"/>
        <v>2384.6463686445422</v>
      </c>
      <c r="BA31" s="99">
        <f t="shared" si="269"/>
        <v>2630.3560576151112</v>
      </c>
      <c r="BB31" s="99">
        <f t="shared" si="269"/>
        <v>2872.5257221092584</v>
      </c>
      <c r="BC31" s="99">
        <f t="shared" si="269"/>
        <v>3111.1927661858344</v>
      </c>
      <c r="BD31" s="99">
        <f t="shared" si="269"/>
        <v>3346.3942445180473</v>
      </c>
      <c r="BE31" s="99">
        <f t="shared" si="269"/>
        <v>3589.4298112853667</v>
      </c>
      <c r="BF31" s="99">
        <f t="shared" si="269"/>
        <v>3828.9159238772686</v>
      </c>
      <c r="BG31" s="99">
        <f t="shared" si="269"/>
        <v>4064.8902476050825</v>
      </c>
      <c r="BH31" s="99">
        <f t="shared" si="269"/>
        <v>4297.3900952114909</v>
      </c>
      <c r="BI31" s="99">
        <f t="shared" si="269"/>
        <v>4526.4524299551767</v>
      </c>
      <c r="BJ31" s="99">
        <f t="shared" si="269"/>
        <v>4752.1138686695931</v>
      </c>
      <c r="BK31" s="99">
        <f t="shared" si="269"/>
        <v>4974.4106847960802</v>
      </c>
      <c r="BL31" s="99">
        <f t="shared" si="269"/>
        <v>5193.3788113915298</v>
      </c>
      <c r="BM31" s="99">
        <f t="shared" si="269"/>
        <v>5409.0538441108092</v>
      </c>
      <c r="BN31" s="99">
        <f t="shared" si="269"/>
        <v>5621.4710441641464</v>
      </c>
      <c r="BS31" s="626"/>
      <c r="BV31" s="626"/>
      <c r="BW31" s="181"/>
    </row>
    <row r="32" spans="1:90">
      <c r="B32" s="57" t="s">
        <v>194</v>
      </c>
      <c r="C32" s="50" t="s">
        <v>1420</v>
      </c>
      <c r="D32" s="99">
        <v>0</v>
      </c>
      <c r="E32" s="99">
        <f>E28*'R&amp;S - Packaging and hh goods'!$D$9*('R&amp;S - Packaging and hh goods'!$G$14*'R&amp;S - Packaging and hh goods'!$W$19*(E$3-$D$3)/10)</f>
        <v>72.936463582563164</v>
      </c>
      <c r="F32" s="99">
        <f>F28*'R&amp;S - Packaging and hh goods'!$D$9*('R&amp;S - Packaging and hh goods'!$G$14*'R&amp;S - Packaging and hh goods'!$W$19*('Yearly Methanol'!F$3-'Yearly Methanol'!$D$3)/10)</f>
        <v>144.85647558394228</v>
      </c>
      <c r="G32" s="99">
        <f>G28*'R&amp;S - Packaging and hh goods'!$D$9*('R&amp;S - Packaging and hh goods'!$G$14*'R&amp;S - Packaging and hh goods'!$W$19*('Yearly Methanol'!G$3-'Yearly Methanol'!$D$3)/10)</f>
        <v>215.77066005039092</v>
      </c>
      <c r="H32" s="99">
        <f>H28*'R&amp;S - Packaging and hh goods'!$D$9*('R&amp;S - Packaging and hh goods'!$G$14*'R&amp;S - Packaging and hh goods'!$W$19*('Yearly Methanol'!H$3-'Yearly Methanol'!$D$3)/10)</f>
        <v>285.68954232281379</v>
      </c>
      <c r="I32" s="99">
        <f>I28*'R&amp;S - Packaging and hh goods'!$D$9*('R&amp;S - Packaging and hh goods'!$G$14*'R&amp;S - Packaging and hh goods'!$W$19*('Yearly Methanol'!I$3-'Yearly Methanol'!$D$3)/10)</f>
        <v>354.6235498964981</v>
      </c>
      <c r="J32" s="99">
        <f>J28*'R&amp;S - Packaging and hh goods'!$D$9*('R&amp;S - Packaging and hh goods'!$G$14*'R&amp;S - Packaging and hh goods'!$W$19*('Yearly Methanol'!J$3-'Yearly Methanol'!$D$3)/10)</f>
        <v>422.58301327365598</v>
      </c>
      <c r="K32" s="99">
        <f>K28*'R&amp;S - Packaging and hh goods'!$D$9*('R&amp;S - Packaging and hh goods'!$G$14*'R&amp;S - Packaging and hh goods'!$W$19*('Yearly Methanol'!K$3-'Yearly Methanol'!$D$3)/10)</f>
        <v>489.5781668088365</v>
      </c>
      <c r="L32" s="99">
        <f>L28*'R&amp;S - Packaging and hh goods'!$D$9*('R&amp;S - Packaging and hh goods'!$G$14*'R&amp;S - Packaging and hh goods'!$W$19*('Yearly Methanol'!L$3-'Yearly Methanol'!$D$3)/10)</f>
        <v>555.61914954726547</v>
      </c>
      <c r="M32" s="99">
        <f>M28*'R&amp;S - Packaging and hh goods'!$D$9*('R&amp;S - Packaging and hh goods'!$G$14*'R&amp;S - Packaging and hh goods'!$W$19*('Yearly Methanol'!M$3-'Yearly Methanol'!$D$3)/10)</f>
        <v>620.71600605616982</v>
      </c>
      <c r="N32" s="99">
        <f>N28*'R&amp;S - Packaging and hh goods'!$D$9*('R&amp;S - Packaging and hh goods'!$G$14*'R&amp;S - Packaging and hh goods'!$W$19*('Yearly Methanol'!N$3-'Yearly Methanol'!$D$3)/10)</f>
        <v>684.87868724914563</v>
      </c>
      <c r="O32" s="99">
        <f>O28*'R&amp;S - Packaging and hh goods'!$D$9*'R&amp;S - Packaging and hh goods'!$G$14*('R&amp;S - Packaging and hh goods'!$W$19+('R&amp;S - Packaging and hh goods'!$W$20-'R&amp;S - Packaging and hh goods'!$W$19)*('Yearly Methanol'!O$3-'Yearly Methanol'!$N$3)/10)</f>
        <v>786.20301017398913</v>
      </c>
      <c r="P32" s="99">
        <f>P28*'R&amp;S - Packaging and hh goods'!$D$9*'R&amp;S - Packaging and hh goods'!$G$14*('R&amp;S - Packaging and hh goods'!$W$19+('R&amp;S - Packaging and hh goods'!$W$20-'R&amp;S - Packaging and hh goods'!$W$19)*('Yearly Methanol'!P$3-'Yearly Methanol'!$N$3)/10)</f>
        <v>886.08201127549228</v>
      </c>
      <c r="Q32" s="99">
        <f>Q28*'R&amp;S - Packaging and hh goods'!$D$9*'R&amp;S - Packaging and hh goods'!$G$14*('R&amp;S - Packaging and hh goods'!$W$19+('R&amp;S - Packaging and hh goods'!$W$20-'R&amp;S - Packaging and hh goods'!$W$19)*('Yearly Methanol'!Q$3-'Yearly Methanol'!$N$3)/10)</f>
        <v>984.5309130477774</v>
      </c>
      <c r="R32" s="99">
        <f>R28*'R&amp;S - Packaging and hh goods'!$D$9*'R&amp;S - Packaging and hh goods'!$G$14*('R&amp;S - Packaging and hh goods'!$W$19+('R&amp;S - Packaging and hh goods'!$W$20-'R&amp;S - Packaging and hh goods'!$W$19)*('Yearly Methanol'!R$3-'Yearly Methanol'!$N$3)/10)</f>
        <v>1081.5647960183971</v>
      </c>
      <c r="S32" s="99">
        <f>S28*'R&amp;S - Packaging and hh goods'!$D$9*'R&amp;S - Packaging and hh goods'!$G$14*('R&amp;S - Packaging and hh goods'!$W$19+('R&amp;S - Packaging and hh goods'!$W$20-'R&amp;S - Packaging and hh goods'!$W$19)*('Yearly Methanol'!S$3-'Yearly Methanol'!$N$3)/10)</f>
        <v>1177.1985999876852</v>
      </c>
      <c r="T32" s="99">
        <f>T28*'R&amp;S - Packaging and hh goods'!$D$9*'R&amp;S - Packaging and hh goods'!$G$14*('R&amp;S - Packaging and hh goods'!$W$19+('R&amp;S - Packaging and hh goods'!$W$20-'R&amp;S - Packaging and hh goods'!$W$19)*('Yearly Methanol'!T$3-'Yearly Methanol'!$N$3)/10)</f>
        <v>1271.4471252577316</v>
      </c>
      <c r="U32" s="99">
        <f>U28*'R&amp;S - Packaging and hh goods'!$D$9*'R&amp;S - Packaging and hh goods'!$G$14*('R&amp;S - Packaging and hh goods'!$W$19+('R&amp;S - Packaging and hh goods'!$W$20-'R&amp;S - Packaging and hh goods'!$W$19)*('Yearly Methanol'!U$3-'Yearly Methanol'!$N$3)/10)</f>
        <v>1364.3250338510625</v>
      </c>
      <c r="V32" s="99">
        <f>V28*'R&amp;S - Packaging and hh goods'!$D$9*'R&amp;S - Packaging and hh goods'!$G$14*('R&amp;S - Packaging and hh goods'!$W$19+('R&amp;S - Packaging and hh goods'!$W$20-'R&amp;S - Packaging and hh goods'!$W$19)*('Yearly Methanol'!V$3-'Yearly Methanol'!$N$3)/10)</f>
        <v>1455.8468507191069</v>
      </c>
      <c r="W32" s="99">
        <f>W28*'R&amp;S - Packaging and hh goods'!$D$9*'R&amp;S - Packaging and hh goods'!$G$14*('R&amp;S - Packaging and hh goods'!$W$19+('R&amp;S - Packaging and hh goods'!$W$20-'R&amp;S - Packaging and hh goods'!$W$19)*('Yearly Methanol'!W$3-'Yearly Methanol'!$N$3)/10)</f>
        <v>1546.02696494054</v>
      </c>
      <c r="X32" s="99">
        <f>X28*'R&amp;S - Packaging and hh goods'!$D$9*'R&amp;S - Packaging and hh goods'!$G$14*('R&amp;S - Packaging and hh goods'!$W$19+('R&amp;S - Packaging and hh goods'!$W$20-'R&amp;S - Packaging and hh goods'!$W$19)*('Yearly Methanol'!X$3-'Yearly Methanol'!$N$3)/10)</f>
        <v>1634.8796309095806</v>
      </c>
      <c r="Y32" s="99">
        <f>Y28*'R&amp;S - Packaging and hh goods'!$D$9*'R&amp;S - Packaging and hh goods'!$G$14*('R&amp;S - Packaging and hh goods'!$W$20+('R&amp;S - Packaging and hh goods'!$W$21-'R&amp;S - Packaging and hh goods'!$W$20)*('Yearly Methanol'!Y$3-'Yearly Methanol'!$X$3)/10)</f>
        <v>1714.8088709744936</v>
      </c>
      <c r="Z32" s="99">
        <f>Z28*'R&amp;S - Packaging and hh goods'!$D$9*'R&amp;S - Packaging and hh goods'!$G$14*('R&amp;S - Packaging and hh goods'!$W$20+('R&amp;S - Packaging and hh goods'!$W$21-'R&amp;S - Packaging and hh goods'!$W$20)*('Yearly Methanol'!Z$3-'Yearly Methanol'!$X$3)/10)</f>
        <v>1793.5448275004048</v>
      </c>
      <c r="AA32" s="99">
        <f>AA28*'R&amp;S - Packaging and hh goods'!$D$9*'R&amp;S - Packaging and hh goods'!$G$14*('R&amp;S - Packaging and hh goods'!$W$20+('R&amp;S - Packaging and hh goods'!$W$21-'R&amp;S - Packaging and hh goods'!$W$20)*('Yearly Methanol'!AA$3-'Yearly Methanol'!$X$3)/10)</f>
        <v>1871.1002493591395</v>
      </c>
      <c r="AB32" s="99">
        <f>AB28*'R&amp;S - Packaging and hh goods'!$D$9*'R&amp;S - Packaging and hh goods'!$G$14*('R&amp;S - Packaging and hh goods'!$W$20+('R&amp;S - Packaging and hh goods'!$W$21-'R&amp;S - Packaging and hh goods'!$W$20)*('Yearly Methanol'!AB$3-'Yearly Methanol'!$X$3)/10)</f>
        <v>1947.4877656912192</v>
      </c>
      <c r="AC32" s="99">
        <f>AC28*'R&amp;S - Packaging and hh goods'!$D$9*'R&amp;S - Packaging and hh goods'!$G$14*('R&amp;S - Packaging and hh goods'!$W$20+('R&amp;S - Packaging and hh goods'!$W$21-'R&amp;S - Packaging and hh goods'!$W$20)*('Yearly Methanol'!AC$3-'Yearly Methanol'!$X$3)/10)</f>
        <v>2022.719886955447</v>
      </c>
      <c r="AD32" s="99">
        <f>AD28*'R&amp;S - Packaging and hh goods'!$D$9*'R&amp;S - Packaging and hh goods'!$G$14*('R&amp;S - Packaging and hh goods'!$W$20+('R&amp;S - Packaging and hh goods'!$W$21-'R&amp;S - Packaging and hh goods'!$W$20)*('Yearly Methanol'!AD$3-'Yearly Methanol'!$X$3)/10)</f>
        <v>2096.809005969676</v>
      </c>
      <c r="AE32" s="99">
        <f>AE28*'R&amp;S - Packaging and hh goods'!$D$9*'R&amp;S - Packaging and hh goods'!$G$14*('R&amp;S - Packaging and hh goods'!$W$20+('R&amp;S - Packaging and hh goods'!$W$21-'R&amp;S - Packaging and hh goods'!$W$20)*('Yearly Methanol'!AE$3-'Yearly Methanol'!$X$3)/10)</f>
        <v>2169.7673989428381</v>
      </c>
      <c r="AF32" s="99">
        <f>AF28*'R&amp;S - Packaging and hh goods'!$D$9*'R&amp;S - Packaging and hh goods'!$G$14*('R&amp;S - Packaging and hh goods'!$W$20+('R&amp;S - Packaging and hh goods'!$W$21-'R&amp;S - Packaging and hh goods'!$W$20)*('Yearly Methanol'!AF$3-'Yearly Methanol'!$X$3)/10)</f>
        <v>2241.6072264982977</v>
      </c>
      <c r="AG32" s="99">
        <f>AG28*'R&amp;S - Packaging and hh goods'!$D$9*'R&amp;S - Packaging and hh goods'!$G$14*('R&amp;S - Packaging and hh goods'!$W$20+('R&amp;S - Packaging and hh goods'!$W$21-'R&amp;S - Packaging and hh goods'!$W$20)*('Yearly Methanol'!AG$3-'Yearly Methanol'!$X$3)/10)</f>
        <v>2312.3405346886116</v>
      </c>
      <c r="AH32" s="99">
        <f>AH28*'R&amp;S - Packaging and hh goods'!$D$9*'R&amp;S - Packaging and hh goods'!$G$14*('R&amp;S - Packaging and hh goods'!$W$20+('R&amp;S - Packaging and hh goods'!$W$21-'R&amp;S - Packaging and hh goods'!$W$20)*('Yearly Methanol'!AH$3-'Yearly Methanol'!$X$3)/10)</f>
        <v>2381.9792560017568</v>
      </c>
      <c r="AI32" s="99"/>
      <c r="AJ32" s="99">
        <v>0</v>
      </c>
      <c r="AK32" s="99">
        <f>AK28*'R&amp;S - Packaging and hh goods'!$D$9*('R&amp;S - Packaging and hh goods'!$G$15*'R&amp;S - Packaging and hh goods'!$W$19*(AK$3-$D$3)/10)</f>
        <v>59.807900137701779</v>
      </c>
      <c r="AL32" s="99">
        <f>AL28*'R&amp;S - Packaging and hh goods'!$D$9*('R&amp;S - Packaging and hh goods'!$G$15*'R&amp;S - Packaging and hh goods'!$W$19*('Yearly Methanol'!AL$3-'Yearly Methanol'!$D$3)/10)</f>
        <v>118.78230997883266</v>
      </c>
      <c r="AM32" s="99">
        <f>AM28*'R&amp;S - Packaging and hh goods'!$D$9*('R&amp;S - Packaging and hh goods'!$G$15*'R&amp;S - Packaging and hh goods'!$W$19*('Yearly Methanol'!AM$3-'Yearly Methanol'!$D$3)/10)</f>
        <v>176.93194124132054</v>
      </c>
      <c r="AN32" s="99">
        <f>AN28*'R&amp;S - Packaging and hh goods'!$D$9*('R&amp;S - Packaging and hh goods'!$G$15*'R&amp;S - Packaging and hh goods'!$W$19*('Yearly Methanol'!AN$3-'Yearly Methanol'!$D$3)/10)</f>
        <v>234.2654247047073</v>
      </c>
      <c r="AO32" s="99">
        <f>AO28*'R&amp;S - Packaging and hh goods'!$D$9*('R&amp;S - Packaging and hh goods'!$G$15*'R&amp;S - Packaging and hh goods'!$W$19*('Yearly Methanol'!AO$3-'Yearly Methanol'!$D$3)/10)</f>
        <v>290.79131091512841</v>
      </c>
      <c r="AP32" s="99">
        <f>AP28*'R&amp;S - Packaging and hh goods'!$D$9*('R&amp;S - Packaging and hh goods'!$G$15*'R&amp;S - Packaging and hh goods'!$W$19*('Yearly Methanol'!AP$3-'Yearly Methanol'!$D$3)/10)</f>
        <v>346.5180708843979</v>
      </c>
      <c r="AQ32" s="99">
        <f>AQ28*'R&amp;S - Packaging and hh goods'!$D$9*('R&amp;S - Packaging and hh goods'!$G$15*'R&amp;S - Packaging and hh goods'!$W$19*('Yearly Methanol'!AQ$3-'Yearly Methanol'!$D$3)/10)</f>
        <v>401.45409678324592</v>
      </c>
      <c r="AR32" s="99">
        <f>AR28*'R&amp;S - Packaging and hh goods'!$D$9*('R&amp;S - Packaging and hh goods'!$G$15*'R&amp;S - Packaging and hh goods'!$W$19*('Yearly Methanol'!AR$3-'Yearly Methanol'!$D$3)/10)</f>
        <v>455.60770262875758</v>
      </c>
      <c r="AS32" s="99">
        <f>AS28*'R&amp;S - Packaging and hh goods'!$D$9*('R&amp;S - Packaging and hh goods'!$G$15*'R&amp;S - Packaging and hh goods'!$W$19*('Yearly Methanol'!AS$3-'Yearly Methanol'!$D$3)/10)</f>
        <v>508.98712496605924</v>
      </c>
      <c r="AT32" s="99">
        <f>AT28*'R&amp;S - Packaging and hh goods'!$D$9*('R&amp;S - Packaging and hh goods'!$G$15*'R&amp;S - Packaging and hh goods'!$W$19*('Yearly Methanol'!AT$3-'Yearly Methanol'!$D$3)/10)</f>
        <v>561.60052354429934</v>
      </c>
      <c r="AU32" s="99">
        <f>AU28*'R&amp;S - Packaging and hh goods'!$D$9*'R&amp;S - Packaging and hh goods'!$G$15*('R&amp;S - Packaging and hh goods'!$W$19+('R&amp;S - Packaging and hh goods'!$W$20-'R&amp;S - Packaging and hh goods'!$W$19)*('Yearly Methanol'!AU$3-'Yearly Methanol'!$N$3)/10)</f>
        <v>644.68646834267099</v>
      </c>
      <c r="AV32" s="99">
        <f>AV28*'R&amp;S - Packaging and hh goods'!$D$9*'R&amp;S - Packaging and hh goods'!$G$15*('R&amp;S - Packaging and hh goods'!$W$19+('R&amp;S - Packaging and hh goods'!$W$20-'R&amp;S - Packaging and hh goods'!$W$19)*('Yearly Methanol'!AV$3-'Yearly Methanol'!$N$3)/10)</f>
        <v>726.58724924590365</v>
      </c>
      <c r="AW32" s="99">
        <f>AW28*'R&amp;S - Packaging and hh goods'!$D$9*'R&amp;S - Packaging and hh goods'!$G$15*('R&amp;S - Packaging and hh goods'!$W$19+('R&amp;S - Packaging and hh goods'!$W$20-'R&amp;S - Packaging and hh goods'!$W$19)*('Yearly Methanol'!AW$3-'Yearly Methanol'!$N$3)/10)</f>
        <v>807.31534869917755</v>
      </c>
      <c r="AX32" s="99">
        <f>AX28*'R&amp;S - Packaging and hh goods'!$D$9*'R&amp;S - Packaging and hh goods'!$G$15*('R&amp;S - Packaging and hh goods'!$W$19+('R&amp;S - Packaging and hh goods'!$W$20-'R&amp;S - Packaging and hh goods'!$W$19)*('Yearly Methanol'!AX$3-'Yearly Methanol'!$N$3)/10)</f>
        <v>886.88313273508561</v>
      </c>
      <c r="AY32" s="99">
        <f>AY28*'R&amp;S - Packaging and hh goods'!$D$9*'R&amp;S - Packaging and hh goods'!$G$15*('R&amp;S - Packaging and hh goods'!$W$19+('R&amp;S - Packaging and hh goods'!$W$20-'R&amp;S - Packaging and hh goods'!$W$19)*('Yearly Methanol'!AY$3-'Yearly Methanol'!$N$3)/10)</f>
        <v>965.30285198990168</v>
      </c>
      <c r="AZ32" s="99">
        <f>AZ28*'R&amp;S - Packaging and hh goods'!$D$9*'R&amp;S - Packaging and hh goods'!$G$15*('R&amp;S - Packaging and hh goods'!$W$19+('R&amp;S - Packaging and hh goods'!$W$20-'R&amp;S - Packaging and hh goods'!$W$19)*('Yearly Methanol'!AZ$3-'Yearly Methanol'!$N$3)/10)</f>
        <v>1042.5866427113399</v>
      </c>
      <c r="BA32" s="99">
        <f>BA28*'R&amp;S - Packaging and hh goods'!$D$9*'R&amp;S - Packaging and hh goods'!$G$15*('R&amp;S - Packaging and hh goods'!$W$19+('R&amp;S - Packaging and hh goods'!$W$20-'R&amp;S - Packaging and hh goods'!$W$19)*('Yearly Methanol'!BA$3-'Yearly Methanol'!$N$3)/10)</f>
        <v>1118.746527757871</v>
      </c>
      <c r="BB32" s="99">
        <f>BB28*'R&amp;S - Packaging and hh goods'!$D$9*'R&amp;S - Packaging and hh goods'!$G$15*('R&amp;S - Packaging and hh goods'!$W$19+('R&amp;S - Packaging and hh goods'!$W$20-'R&amp;S - Packaging and hh goods'!$W$19)*('Yearly Methanol'!BB$3-'Yearly Methanol'!$N$3)/10)</f>
        <v>1193.7944175896675</v>
      </c>
      <c r="BC32" s="99">
        <f>BC28*'R&amp;S - Packaging and hh goods'!$D$9*'R&amp;S - Packaging and hh goods'!$G$15*('R&amp;S - Packaging and hh goods'!$W$19+('R&amp;S - Packaging and hh goods'!$W$20-'R&amp;S - Packaging and hh goods'!$W$19)*('Yearly Methanol'!BC$3-'Yearly Methanol'!$N$3)/10)</f>
        <v>1267.7421112512427</v>
      </c>
      <c r="BD32" s="99">
        <f>BD28*'R&amp;S - Packaging and hh goods'!$D$9*'R&amp;S - Packaging and hh goods'!$G$15*('R&amp;S - Packaging and hh goods'!$W$19+('R&amp;S - Packaging and hh goods'!$W$20-'R&amp;S - Packaging and hh goods'!$W$19)*('Yearly Methanol'!BD$3-'Yearly Methanol'!$N$3)/10)</f>
        <v>1340.601297345856</v>
      </c>
      <c r="BE32" s="99">
        <f>BE28*'R&amp;S - Packaging and hh goods'!$D$9*'R&amp;S - Packaging and hh goods'!$G$15*('R&amp;S - Packaging and hh goods'!$W$20+('R&amp;S - Packaging and hh goods'!$W$21-'R&amp;S - Packaging and hh goods'!$W$20)*('Yearly Methanol'!BE$3-'Yearly Methanol'!$X$3)/10)</f>
        <v>1406.1432741990848</v>
      </c>
      <c r="BF32" s="99">
        <f>BF28*'R&amp;S - Packaging and hh goods'!$D$9*'R&amp;S - Packaging and hh goods'!$G$15*('R&amp;S - Packaging and hh goods'!$W$20+('R&amp;S - Packaging and hh goods'!$W$21-'R&amp;S - Packaging and hh goods'!$W$20)*('Yearly Methanol'!BF$3-'Yearly Methanol'!$X$3)/10)</f>
        <v>1470.7067585503319</v>
      </c>
      <c r="BG32" s="99">
        <f>BG28*'R&amp;S - Packaging and hh goods'!$D$9*'R&amp;S - Packaging and hh goods'!$G$15*('R&amp;S - Packaging and hh goods'!$W$20+('R&amp;S - Packaging and hh goods'!$W$21-'R&amp;S - Packaging and hh goods'!$W$20)*('Yearly Methanol'!BG$3-'Yearly Methanol'!$X$3)/10)</f>
        <v>1534.3022044744946</v>
      </c>
      <c r="BH32" s="99">
        <f>BH28*'R&amp;S - Packaging and hh goods'!$D$9*'R&amp;S - Packaging and hh goods'!$G$15*('R&amp;S - Packaging and hh goods'!$W$20+('R&amp;S - Packaging and hh goods'!$W$21-'R&amp;S - Packaging and hh goods'!$W$20)*('Yearly Methanol'!BH$3-'Yearly Methanol'!$X$3)/10)</f>
        <v>1596.9399678667996</v>
      </c>
      <c r="BI32" s="99">
        <f>BI28*'R&amp;S - Packaging and hh goods'!$D$9*'R&amp;S - Packaging and hh goods'!$G$15*('R&amp;S - Packaging and hh goods'!$W$20+('R&amp;S - Packaging and hh goods'!$W$21-'R&amp;S - Packaging and hh goods'!$W$20)*('Yearly Methanol'!BI$3-'Yearly Methanol'!$X$3)/10)</f>
        <v>1658.6303073034665</v>
      </c>
      <c r="BJ32" s="99">
        <f>BJ28*'R&amp;S - Packaging and hh goods'!$D$9*'R&amp;S - Packaging and hh goods'!$G$15*('R&amp;S - Packaging and hh goods'!$W$20+('R&amp;S - Packaging and hh goods'!$W$21-'R&amp;S - Packaging and hh goods'!$W$20)*('Yearly Methanol'!BJ$3-'Yearly Methanol'!$X$3)/10)</f>
        <v>1719.3833848951342</v>
      </c>
      <c r="BK32" s="99">
        <f>BK28*'R&amp;S - Packaging and hh goods'!$D$9*'R&amp;S - Packaging and hh goods'!$G$15*('R&amp;S - Packaging and hh goods'!$W$20+('R&amp;S - Packaging and hh goods'!$W$21-'R&amp;S - Packaging and hh goods'!$W$20)*('Yearly Methanol'!BK$3-'Yearly Methanol'!$X$3)/10)</f>
        <v>1779.209267133127</v>
      </c>
      <c r="BL32" s="99">
        <f>BL28*'R&amp;S - Packaging and hh goods'!$D$9*'R&amp;S - Packaging and hh goods'!$G$15*('R&amp;S - Packaging and hh goods'!$W$20+('R&amp;S - Packaging and hh goods'!$W$21-'R&amp;S - Packaging and hh goods'!$W$20)*('Yearly Methanol'!BL$3-'Yearly Methanol'!$X$3)/10)</f>
        <v>1838.117925728604</v>
      </c>
      <c r="BM32" s="99">
        <f>BM28*'R&amp;S - Packaging and hh goods'!$D$9*'R&amp;S - Packaging and hh goods'!$G$15*('R&amp;S - Packaging and hh goods'!$W$20+('R&amp;S - Packaging and hh goods'!$W$21-'R&amp;S - Packaging and hh goods'!$W$20)*('Yearly Methanol'!BM$3-'Yearly Methanol'!$X$3)/10)</f>
        <v>1896.1192384446615</v>
      </c>
      <c r="BN32" s="99">
        <f>BN28*'R&amp;S - Packaging and hh goods'!$D$9*'R&amp;S - Packaging and hh goods'!$G$15*('R&amp;S - Packaging and hh goods'!$W$20+('R&amp;S - Packaging and hh goods'!$W$21-'R&amp;S - Packaging and hh goods'!$W$20)*('Yearly Methanol'!BN$3-'Yearly Methanol'!$X$3)/10)</f>
        <v>1953.2229899214403</v>
      </c>
      <c r="BS32" s="626"/>
      <c r="BV32" s="626"/>
      <c r="BW32" s="181"/>
    </row>
    <row r="33" spans="1:90">
      <c r="B33" s="57" t="s">
        <v>185</v>
      </c>
      <c r="C33" s="50" t="s">
        <v>1420</v>
      </c>
      <c r="D33" s="99">
        <v>0</v>
      </c>
      <c r="E33" s="99">
        <f>E28*'R&amp;S - Packaging and hh goods'!$D$10*('R&amp;S - Packaging and hh goods'!$G$14*'R&amp;S - Packaging and hh goods'!$X$19*(E$3-$D$3)/10)</f>
        <v>97.248618110084223</v>
      </c>
      <c r="F33" s="99">
        <f>F28*'R&amp;S - Packaging and hh goods'!$D$10*('R&amp;S - Packaging and hh goods'!$G$14*'R&amp;S - Packaging and hh goods'!$X$19*('Yearly Methanol'!F$3-'Yearly Methanol'!$D$3)/10)</f>
        <v>193.1419674452564</v>
      </c>
      <c r="G33" s="99">
        <f>G28*'R&amp;S - Packaging and hh goods'!$D$10*('R&amp;S - Packaging and hh goods'!$G$14*'R&amp;S - Packaging and hh goods'!$X$19*('Yearly Methanol'!G$3-'Yearly Methanol'!$D$3)/10)</f>
        <v>287.69421340052122</v>
      </c>
      <c r="H33" s="99">
        <f>H28*'R&amp;S - Packaging and hh goods'!$D$10*('R&amp;S - Packaging and hh goods'!$G$14*'R&amp;S - Packaging and hh goods'!$X$19*('Yearly Methanol'!H$3-'Yearly Methanol'!$D$3)/10)</f>
        <v>380.91938976375178</v>
      </c>
      <c r="I33" s="99">
        <f>I28*'R&amp;S - Packaging and hh goods'!$D$10*('R&amp;S - Packaging and hh goods'!$G$14*'R&amp;S - Packaging and hh goods'!$X$19*('Yearly Methanol'!I$3-'Yearly Methanol'!$D$3)/10)</f>
        <v>472.83139986199745</v>
      </c>
      <c r="J33" s="99">
        <f>J28*'R&amp;S - Packaging and hh goods'!$D$10*('R&amp;S - Packaging and hh goods'!$G$14*'R&amp;S - Packaging and hh goods'!$X$19*('Yearly Methanol'!J$3-'Yearly Methanol'!$D$3)/10)</f>
        <v>563.44401769820797</v>
      </c>
      <c r="K33" s="99">
        <f>K28*'R&amp;S - Packaging and hh goods'!$D$10*('R&amp;S - Packaging and hh goods'!$G$14*'R&amp;S - Packaging and hh goods'!$X$19*('Yearly Methanol'!K$3-'Yearly Methanol'!$D$3)/10)</f>
        <v>652.7708890784487</v>
      </c>
      <c r="L33" s="99">
        <f>L28*'R&amp;S - Packaging and hh goods'!$D$10*('R&amp;S - Packaging and hh goods'!$G$14*'R&amp;S - Packaging and hh goods'!$X$19*('Yearly Methanol'!L$3-'Yearly Methanol'!$D$3)/10)</f>
        <v>740.82553272968732</v>
      </c>
      <c r="M33" s="99">
        <f>M28*'R&amp;S - Packaging and hh goods'!$D$10*('R&amp;S - Packaging and hh goods'!$G$14*'R&amp;S - Packaging and hh goods'!$X$19*('Yearly Methanol'!M$3-'Yearly Methanol'!$D$3)/10)</f>
        <v>827.62134140822661</v>
      </c>
      <c r="N33" s="99">
        <f>N28*'R&amp;S - Packaging and hh goods'!$D$10*('R&amp;S - Packaging and hh goods'!$G$14*'R&amp;S - Packaging and hh goods'!$X$19*('Yearly Methanol'!N$3-'Yearly Methanol'!$D$3)/10)</f>
        <v>913.17158299886091</v>
      </c>
      <c r="O33" s="99">
        <f>O28*'R&amp;S - Packaging and hh goods'!$D$10*'R&amp;S - Packaging and hh goods'!$G$14*('R&amp;S - Packaging and hh goods'!$X$19+('R&amp;S - Packaging and hh goods'!$X$20-'R&amp;S - Packaging and hh goods'!$X$19)*('Yearly Methanol'!O$3-'Yearly Methanol'!$N$3)/10)</f>
        <v>1054.1649357869233</v>
      </c>
      <c r="P33" s="99">
        <f>P28*'R&amp;S - Packaging and hh goods'!$D$10*'R&amp;S - Packaging and hh goods'!$G$14*('R&amp;S - Packaging and hh goods'!$X$19+('R&amp;S - Packaging and hh goods'!$X$20-'R&amp;S - Packaging and hh goods'!$X$19)*('Yearly Methanol'!P$3-'Yearly Methanol'!$N$3)/10)</f>
        <v>1193.1490497358002</v>
      </c>
      <c r="Q33" s="99">
        <f>Q28*'R&amp;S - Packaging and hh goods'!$D$10*'R&amp;S - Packaging and hh goods'!$G$14*('R&amp;S - Packaging and hh goods'!$X$19+('R&amp;S - Packaging and hh goods'!$X$20-'R&amp;S - Packaging and hh goods'!$X$19)*('Yearly Methanol'!Q$3-'Yearly Methanol'!$N$3)/10)</f>
        <v>1330.1450800713615</v>
      </c>
      <c r="R33" s="99">
        <f>R28*'R&amp;S - Packaging and hh goods'!$D$10*'R&amp;S - Packaging and hh goods'!$G$14*('R&amp;S - Packaging and hh goods'!$X$19+('R&amp;S - Packaging and hh goods'!$X$20-'R&amp;S - Packaging and hh goods'!$X$19)*('Yearly Methanol'!R$3-'Yearly Methanol'!$N$3)/10)</f>
        <v>1465.1739847539864</v>
      </c>
      <c r="S33" s="99">
        <f>S28*'R&amp;S - Packaging and hh goods'!$D$10*'R&amp;S - Packaging and hh goods'!$G$14*('R&amp;S - Packaging and hh goods'!$X$19+('R&amp;S - Packaging and hh goods'!$X$20-'R&amp;S - Packaging and hh goods'!$X$19)*('Yearly Methanol'!S$3-'Yearly Methanol'!$N$3)/10)</f>
        <v>1598.2565262005089</v>
      </c>
      <c r="T33" s="99">
        <f>T28*'R&amp;S - Packaging and hh goods'!$D$10*'R&amp;S - Packaging and hh goods'!$G$14*('R&amp;S - Packaging and hh goods'!$X$19+('R&amp;S - Packaging and hh goods'!$X$20-'R&amp;S - Packaging and hh goods'!$X$19)*('Yearly Methanol'!T$3-'Yearly Methanol'!$N$3)/10)</f>
        <v>1729.4132729917494</v>
      </c>
      <c r="U33" s="99">
        <f>U28*'R&amp;S - Packaging and hh goods'!$D$10*'R&amp;S - Packaging and hh goods'!$G$14*('R&amp;S - Packaging and hh goods'!$X$19+('R&amp;S - Packaging and hh goods'!$X$20-'R&amp;S - Packaging and hh goods'!$X$19)*('Yearly Methanol'!U$3-'Yearly Methanol'!$N$3)/10)</f>
        <v>1858.6646015657402</v>
      </c>
      <c r="V33" s="99">
        <f>V28*'R&amp;S - Packaging and hh goods'!$D$10*'R&amp;S - Packaging and hh goods'!$G$14*('R&amp;S - Packaging and hh goods'!$X$19+('R&amp;S - Packaging and hh goods'!$X$20-'R&amp;S - Packaging and hh goods'!$X$19)*('Yearly Methanol'!V$3-'Yearly Methanol'!$N$3)/10)</f>
        <v>1986.0306978967651</v>
      </c>
      <c r="W33" s="99">
        <f>W28*'R&amp;S - Packaging and hh goods'!$D$10*'R&amp;S - Packaging and hh goods'!$G$14*('R&amp;S - Packaging and hh goods'!$X$19+('R&amp;S - Packaging and hh goods'!$X$20-'R&amp;S - Packaging and hh goods'!$X$19)*('Yearly Methanol'!W$3-'Yearly Methanol'!$N$3)/10)</f>
        <v>2111.531559160333</v>
      </c>
      <c r="X33" s="99">
        <f>X28*'R&amp;S - Packaging and hh goods'!$D$10*'R&amp;S - Packaging and hh goods'!$G$14*('R&amp;S - Packaging and hh goods'!$X$19+('R&amp;S - Packaging and hh goods'!$X$20-'R&amp;S - Packaging and hh goods'!$X$19)*('Yearly Methanol'!X$3-'Yearly Methanol'!$N$3)/10)</f>
        <v>2235.1869953841924</v>
      </c>
      <c r="Y33" s="99">
        <f>Y28*'R&amp;S - Packaging and hh goods'!$D$10*'R&amp;S - Packaging and hh goods'!$G$14*('R&amp;S - Packaging and hh goods'!$X$20+('R&amp;S - Packaging and hh goods'!$X$21-'R&amp;S - Packaging and hh goods'!$X$20)*('Yearly Methanol'!Y$3-'Yearly Methanol'!$X$3)/10)</f>
        <v>2349.9702435486261</v>
      </c>
      <c r="Z33" s="99">
        <f>Z28*'R&amp;S - Packaging and hh goods'!$D$10*'R&amp;S - Packaging and hh goods'!$G$14*('R&amp;S - Packaging and hh goods'!$X$20+('R&amp;S - Packaging and hh goods'!$X$21-'R&amp;S - Packaging and hh goods'!$X$20)*('Yearly Methanol'!Z$3-'Yearly Methanol'!$X$3)/10)</f>
        <v>2463.0453311491206</v>
      </c>
      <c r="AA33" s="99">
        <f>AA28*'R&amp;S - Packaging and hh goods'!$D$10*'R&amp;S - Packaging and hh goods'!$G$14*('R&amp;S - Packaging and hh goods'!$X$20+('R&amp;S - Packaging and hh goods'!$X$21-'R&amp;S - Packaging and hh goods'!$X$20)*('Yearly Methanol'!AA$3-'Yearly Methanol'!$X$3)/10)</f>
        <v>2574.4304901498858</v>
      </c>
      <c r="AB33" s="99">
        <f>AB28*'R&amp;S - Packaging and hh goods'!$D$10*'R&amp;S - Packaging and hh goods'!$G$14*('R&amp;S - Packaging and hh goods'!$X$20+('R&amp;S - Packaging and hh goods'!$X$21-'R&amp;S - Packaging and hh goods'!$X$20)*('Yearly Methanol'!AB$3-'Yearly Methanol'!$X$3)/10)</f>
        <v>2684.143781370055</v>
      </c>
      <c r="AC33" s="99">
        <f>AC28*'R&amp;S - Packaging and hh goods'!$D$10*'R&amp;S - Packaging and hh goods'!$G$14*('R&amp;S - Packaging and hh goods'!$X$20+('R&amp;S - Packaging and hh goods'!$X$21-'R&amp;S - Packaging and hh goods'!$X$20)*('Yearly Methanol'!AC$3-'Yearly Methanol'!$X$3)/10)</f>
        <v>2792.203095983552</v>
      </c>
      <c r="AD33" s="99">
        <f>AD28*'R&amp;S - Packaging and hh goods'!$D$10*'R&amp;S - Packaging and hh goods'!$G$14*('R&amp;S - Packaging and hh goods'!$X$20+('R&amp;S - Packaging and hh goods'!$X$21-'R&amp;S - Packaging and hh goods'!$X$20)*('Yearly Methanol'!AD$3-'Yearly Methanol'!$X$3)/10)</f>
        <v>2898.6261570063671</v>
      </c>
      <c r="AE33" s="99">
        <f>AE28*'R&amp;S - Packaging and hh goods'!$D$10*'R&amp;S - Packaging and hh goods'!$G$14*('R&amp;S - Packaging and hh goods'!$X$20+('R&amp;S - Packaging and hh goods'!$X$21-'R&amp;S - Packaging and hh goods'!$X$20)*('Yearly Methanol'!AE$3-'Yearly Methanol'!$X$3)/10)</f>
        <v>3003.4305207713364</v>
      </c>
      <c r="AF33" s="99">
        <f>AF28*'R&amp;S - Packaging and hh goods'!$D$10*'R&amp;S - Packaging and hh goods'!$G$14*('R&amp;S - Packaging and hh goods'!$X$20+('R&amp;S - Packaging and hh goods'!$X$21-'R&amp;S - Packaging and hh goods'!$X$20)*('Yearly Methanol'!AF$3-'Yearly Methanol'!$X$3)/10)</f>
        <v>3106.6335783905411</v>
      </c>
      <c r="AG33" s="99">
        <f>AG28*'R&amp;S - Packaging and hh goods'!$D$10*'R&amp;S - Packaging and hh goods'!$G$14*('R&amp;S - Packaging and hh goods'!$X$20+('R&amp;S - Packaging and hh goods'!$X$21-'R&amp;S - Packaging and hh goods'!$X$20)*('Yearly Methanol'!AG$3-'Yearly Methanol'!$X$3)/10)</f>
        <v>3208.2525572054137</v>
      </c>
      <c r="AH33" s="99">
        <f>AH28*'R&amp;S - Packaging and hh goods'!$D$10*'R&amp;S - Packaging and hh goods'!$G$14*('R&amp;S - Packaging and hh goods'!$X$20+('R&amp;S - Packaging and hh goods'!$X$21-'R&amp;S - Packaging and hh goods'!$X$20)*('Yearly Methanol'!AH$3-'Yearly Methanol'!$X$3)/10)</f>
        <v>3308.3045222246628</v>
      </c>
      <c r="AI33" s="99"/>
      <c r="AJ33" s="99">
        <v>0</v>
      </c>
      <c r="AK33" s="99">
        <f>AK28*'R&amp;S - Packaging and hh goods'!$D$10*('R&amp;S - Packaging and hh goods'!$G$15*'R&amp;S - Packaging and hh goods'!$X$19*(AK$3-$D$3)/10)</f>
        <v>79.743866850269043</v>
      </c>
      <c r="AL33" s="99">
        <f>AL28*'R&amp;S - Packaging and hh goods'!$D$10*('R&amp;S - Packaging and hh goods'!$G$15*'R&amp;S - Packaging and hh goods'!$X$19*('Yearly Methanol'!AL$3-'Yearly Methanol'!$D$3)/10)</f>
        <v>158.37641330511022</v>
      </c>
      <c r="AM33" s="99">
        <f>AM28*'R&amp;S - Packaging and hh goods'!$D$10*('R&amp;S - Packaging and hh goods'!$G$15*'R&amp;S - Packaging and hh goods'!$X$19*('Yearly Methanol'!AM$3-'Yearly Methanol'!$D$3)/10)</f>
        <v>235.90925498842742</v>
      </c>
      <c r="AN33" s="99">
        <f>AN28*'R&amp;S - Packaging and hh goods'!$D$10*('R&amp;S - Packaging and hh goods'!$G$15*'R&amp;S - Packaging and hh goods'!$X$19*('Yearly Methanol'!AN$3-'Yearly Methanol'!$D$3)/10)</f>
        <v>312.3538996062764</v>
      </c>
      <c r="AO33" s="99">
        <f>AO28*'R&amp;S - Packaging and hh goods'!$D$10*('R&amp;S - Packaging and hh goods'!$G$15*'R&amp;S - Packaging and hh goods'!$X$19*('Yearly Methanol'!AO$3-'Yearly Methanol'!$D$3)/10)</f>
        <v>387.72174788683787</v>
      </c>
      <c r="AP33" s="99">
        <f>AP28*'R&amp;S - Packaging and hh goods'!$D$10*('R&amp;S - Packaging and hh goods'!$G$15*'R&amp;S - Packaging and hh goods'!$X$19*('Yearly Methanol'!AP$3-'Yearly Methanol'!$D$3)/10)</f>
        <v>462.02409451253055</v>
      </c>
      <c r="AQ33" s="99">
        <f>AQ28*'R&amp;S - Packaging and hh goods'!$D$10*('R&amp;S - Packaging and hh goods'!$G$15*'R&amp;S - Packaging and hh goods'!$X$19*('Yearly Methanol'!AQ$3-'Yearly Methanol'!$D$3)/10)</f>
        <v>535.27212904432781</v>
      </c>
      <c r="AR33" s="99">
        <f>AR28*'R&amp;S - Packaging and hh goods'!$D$10*('R&amp;S - Packaging and hh goods'!$G$15*'R&amp;S - Packaging and hh goods'!$X$19*('Yearly Methanol'!AR$3-'Yearly Methanol'!$D$3)/10)</f>
        <v>607.47693683834348</v>
      </c>
      <c r="AS33" s="99">
        <f>AS28*'R&amp;S - Packaging and hh goods'!$D$10*('R&amp;S - Packaging and hh goods'!$G$15*'R&amp;S - Packaging and hh goods'!$X$19*('Yearly Methanol'!AS$3-'Yearly Methanol'!$D$3)/10)</f>
        <v>678.64949995474569</v>
      </c>
      <c r="AT33" s="99">
        <f>AT28*'R&amp;S - Packaging and hh goods'!$D$10*('R&amp;S - Packaging and hh goods'!$G$15*'R&amp;S - Packaging and hh goods'!$X$19*('Yearly Methanol'!AT$3-'Yearly Methanol'!$D$3)/10)</f>
        <v>748.80069805906589</v>
      </c>
      <c r="AU33" s="99">
        <f>AU28*'R&amp;S - Packaging and hh goods'!$D$10*'R&amp;S - Packaging and hh goods'!$G$15*('R&amp;S - Packaging and hh goods'!$X$19+('R&amp;S - Packaging and hh goods'!$X$20-'R&amp;S - Packaging and hh goods'!$X$19)*('Yearly Methanol'!AU$3-'Yearly Methanol'!$N$3)/10)</f>
        <v>864.41524734527695</v>
      </c>
      <c r="AV33" s="99">
        <f>AV28*'R&amp;S - Packaging and hh goods'!$D$10*'R&amp;S - Packaging and hh goods'!$G$15*('R&amp;S - Packaging and hh goods'!$X$19+('R&amp;S - Packaging and hh goods'!$X$20-'R&amp;S - Packaging and hh goods'!$X$19)*('Yearly Methanol'!AV$3-'Yearly Methanol'!$N$3)/10)</f>
        <v>978.38222078335616</v>
      </c>
      <c r="AW33" s="99">
        <f>AW28*'R&amp;S - Packaging and hh goods'!$D$10*'R&amp;S - Packaging and hh goods'!$G$15*('R&amp;S - Packaging and hh goods'!$X$19+('R&amp;S - Packaging and hh goods'!$X$20-'R&amp;S - Packaging and hh goods'!$X$19)*('Yearly Methanol'!AW$3-'Yearly Methanol'!$N$3)/10)</f>
        <v>1090.7189656585165</v>
      </c>
      <c r="AX33" s="99">
        <f>AX28*'R&amp;S - Packaging and hh goods'!$D$10*'R&amp;S - Packaging and hh goods'!$G$15*('R&amp;S - Packaging and hh goods'!$X$19+('R&amp;S - Packaging and hh goods'!$X$20-'R&amp;S - Packaging and hh goods'!$X$19)*('Yearly Methanol'!AX$3-'Yearly Methanol'!$N$3)/10)</f>
        <v>1201.4426674982687</v>
      </c>
      <c r="AY33" s="99">
        <f>AY28*'R&amp;S - Packaging and hh goods'!$D$10*'R&amp;S - Packaging and hh goods'!$G$15*('R&amp;S - Packaging and hh goods'!$X$19+('R&amp;S - Packaging and hh goods'!$X$20-'R&amp;S - Packaging and hh goods'!$X$19)*('Yearly Methanol'!AY$3-'Yearly Methanol'!$N$3)/10)</f>
        <v>1310.5703514844172</v>
      </c>
      <c r="AZ33" s="99">
        <f>AZ28*'R&amp;S - Packaging and hh goods'!$D$10*'R&amp;S - Packaging and hh goods'!$G$15*('R&amp;S - Packaging and hh goods'!$X$19+('R&amp;S - Packaging and hh goods'!$X$20-'R&amp;S - Packaging and hh goods'!$X$19)*('Yearly Methanol'!AZ$3-'Yearly Methanol'!$N$3)/10)</f>
        <v>1418.1188838532344</v>
      </c>
      <c r="BA33" s="99">
        <f>BA28*'R&amp;S - Packaging and hh goods'!$D$10*'R&amp;S - Packaging and hh goods'!$G$15*('R&amp;S - Packaging and hh goods'!$X$19+('R&amp;S - Packaging and hh goods'!$X$20-'R&amp;S - Packaging and hh goods'!$X$19)*('Yearly Methanol'!BA$3-'Yearly Methanol'!$N$3)/10)</f>
        <v>1524.1049732839067</v>
      </c>
      <c r="BB33" s="99">
        <f>BB28*'R&amp;S - Packaging and hh goods'!$D$10*'R&amp;S - Packaging and hh goods'!$G$15*('R&amp;S - Packaging and hh goods'!$X$19+('R&amp;S - Packaging and hh goods'!$X$20-'R&amp;S - Packaging and hh goods'!$X$19)*('Yearly Methanol'!BB$3-'Yearly Methanol'!$N$3)/10)</f>
        <v>1628.5451722753473</v>
      </c>
      <c r="BC33" s="99">
        <f>BC28*'R&amp;S - Packaging and hh goods'!$D$10*'R&amp;S - Packaging and hh goods'!$G$15*('R&amp;S - Packaging and hh goods'!$X$19+('R&amp;S - Packaging and hh goods'!$X$20-'R&amp;S - Packaging and hh goods'!$X$19)*('Yearly Methanol'!BC$3-'Yearly Methanol'!$N$3)/10)</f>
        <v>1731.455878511473</v>
      </c>
      <c r="BD33" s="99">
        <f>BD28*'R&amp;S - Packaging and hh goods'!$D$10*'R&amp;S - Packaging and hh goods'!$G$15*('R&amp;S - Packaging and hh goods'!$X$19+('R&amp;S - Packaging and hh goods'!$X$20-'R&amp;S - Packaging and hh goods'!$X$19)*('Yearly Methanol'!BD$3-'Yearly Methanol'!$N$3)/10)</f>
        <v>1832.8533362150376</v>
      </c>
      <c r="BE33" s="99">
        <f>BE28*'R&amp;S - Packaging and hh goods'!$D$10*'R&amp;S - Packaging and hh goods'!$G$15*('R&amp;S - Packaging and hh goods'!$X$20+('R&amp;S - Packaging and hh goods'!$X$21-'R&amp;S - Packaging and hh goods'!$X$20)*('Yearly Methanol'!BE$3-'Yearly Methanol'!$X$3)/10)</f>
        <v>1926.9755997098732</v>
      </c>
      <c r="BF33" s="99">
        <f>BF28*'R&amp;S - Packaging and hh goods'!$D$10*'R&amp;S - Packaging and hh goods'!$G$15*('R&amp;S - Packaging and hh goods'!$X$20+('R&amp;S - Packaging and hh goods'!$X$21-'R&amp;S - Packaging and hh goods'!$X$20)*('Yearly Methanol'!BF$3-'Yearly Methanol'!$X$3)/10)</f>
        <v>2019.6971715422787</v>
      </c>
      <c r="BG33" s="99">
        <f>BG28*'R&amp;S - Packaging and hh goods'!$D$10*'R&amp;S - Packaging and hh goods'!$G$15*('R&amp;S - Packaging and hh goods'!$X$20+('R&amp;S - Packaging and hh goods'!$X$21-'R&amp;S - Packaging and hh goods'!$X$20)*('Yearly Methanol'!BG$3-'Yearly Methanol'!$X$3)/10)</f>
        <v>2111.0330019229064</v>
      </c>
      <c r="BH33" s="99">
        <f>BH28*'R&amp;S - Packaging and hh goods'!$D$10*'R&amp;S - Packaging and hh goods'!$G$15*('R&amp;S - Packaging and hh goods'!$X$20+('R&amp;S - Packaging and hh goods'!$X$21-'R&amp;S - Packaging and hh goods'!$X$20)*('Yearly Methanol'!BH$3-'Yearly Methanol'!$X$3)/10)</f>
        <v>2200.9979007234451</v>
      </c>
      <c r="BI33" s="99">
        <f>BI28*'R&amp;S - Packaging and hh goods'!$D$10*'R&amp;S - Packaging and hh goods'!$G$15*('R&amp;S - Packaging and hh goods'!$X$20+('R&amp;S - Packaging and hh goods'!$X$21-'R&amp;S - Packaging and hh goods'!$X$20)*('Yearly Methanol'!BI$3-'Yearly Methanol'!$X$3)/10)</f>
        <v>2289.6065387065123</v>
      </c>
      <c r="BJ33" s="99">
        <f>BJ28*'R&amp;S - Packaging and hh goods'!$D$10*'R&amp;S - Packaging and hh goods'!$G$15*('R&amp;S - Packaging and hh goods'!$X$20+('R&amp;S - Packaging and hh goods'!$X$21-'R&amp;S - Packaging and hh goods'!$X$20)*('Yearly Methanol'!BJ$3-'Yearly Methanol'!$X$3)/10)</f>
        <v>2376.8734487452207</v>
      </c>
      <c r="BK33" s="99">
        <f>BK28*'R&amp;S - Packaging and hh goods'!$D$10*'R&amp;S - Packaging and hh goods'!$G$15*('R&amp;S - Packaging and hh goods'!$X$20+('R&amp;S - Packaging and hh goods'!$X$21-'R&amp;S - Packaging and hh goods'!$X$20)*('Yearly Methanol'!BK$3-'Yearly Methanol'!$X$3)/10)</f>
        <v>2462.8130270324959</v>
      </c>
      <c r="BL33" s="99">
        <f>BL28*'R&amp;S - Packaging and hh goods'!$D$10*'R&amp;S - Packaging and hh goods'!$G$15*('R&amp;S - Packaging and hh goods'!$X$20+('R&amp;S - Packaging and hh goods'!$X$21-'R&amp;S - Packaging and hh goods'!$X$20)*('Yearly Methanol'!BL$3-'Yearly Methanol'!$X$3)/10)</f>
        <v>2547.4395342802436</v>
      </c>
      <c r="BM33" s="99">
        <f>BM28*'R&amp;S - Packaging and hh goods'!$D$10*'R&amp;S - Packaging and hh goods'!$G$15*('R&amp;S - Packaging and hh goods'!$X$20+('R&amp;S - Packaging and hh goods'!$X$21-'R&amp;S - Packaging and hh goods'!$X$20)*('Yearly Methanol'!BM$3-'Yearly Methanol'!$X$3)/10)</f>
        <v>2630.7670969084388</v>
      </c>
      <c r="BN33" s="99">
        <f>BN28*'R&amp;S - Packaging and hh goods'!$D$10*'R&amp;S - Packaging and hh goods'!$G$15*('R&amp;S - Packaging and hh goods'!$X$20+('R&amp;S - Packaging and hh goods'!$X$21-'R&amp;S - Packaging and hh goods'!$X$20)*('Yearly Methanol'!BN$3-'Yearly Methanol'!$X$3)/10)</f>
        <v>2712.8097082242234</v>
      </c>
      <c r="BS33" s="626"/>
      <c r="BV33" s="626"/>
      <c r="BW33" s="181"/>
    </row>
    <row r="34" spans="1:90">
      <c r="B34" s="1" t="s">
        <v>172</v>
      </c>
      <c r="C34" s="50" t="s">
        <v>1420</v>
      </c>
      <c r="D34" s="99">
        <f>SUM(D32:D33)</f>
        <v>0</v>
      </c>
      <c r="E34" s="99">
        <f t="shared" ref="E34:AG34" si="270">SUM(E32:E33)</f>
        <v>170.18508169264737</v>
      </c>
      <c r="F34" s="99">
        <f t="shared" si="270"/>
        <v>337.99844302919871</v>
      </c>
      <c r="G34" s="99">
        <f t="shared" si="270"/>
        <v>503.46487345091214</v>
      </c>
      <c r="H34" s="99">
        <f t="shared" si="270"/>
        <v>666.60893208656557</v>
      </c>
      <c r="I34" s="99">
        <f t="shared" si="270"/>
        <v>827.45494975849556</v>
      </c>
      <c r="J34" s="99">
        <f t="shared" si="270"/>
        <v>986.02703097186395</v>
      </c>
      <c r="K34" s="99">
        <f t="shared" si="270"/>
        <v>1142.3490558872852</v>
      </c>
      <c r="L34" s="99">
        <f t="shared" si="270"/>
        <v>1296.4446822769528</v>
      </c>
      <c r="M34" s="99">
        <f t="shared" si="270"/>
        <v>1448.3373474643963</v>
      </c>
      <c r="N34" s="99">
        <f t="shared" si="270"/>
        <v>1598.0502702480067</v>
      </c>
      <c r="O34" s="99">
        <f t="shared" si="270"/>
        <v>1840.3679459609125</v>
      </c>
      <c r="P34" s="99">
        <f t="shared" si="270"/>
        <v>2079.2310610112927</v>
      </c>
      <c r="Q34" s="99">
        <f t="shared" si="270"/>
        <v>2314.6759931191391</v>
      </c>
      <c r="R34" s="99">
        <f t="shared" si="270"/>
        <v>2546.7387807723835</v>
      </c>
      <c r="S34" s="99">
        <f t="shared" si="270"/>
        <v>2775.4551261881943</v>
      </c>
      <c r="T34" s="99">
        <f t="shared" si="270"/>
        <v>3000.860398249481</v>
      </c>
      <c r="U34" s="99">
        <f t="shared" si="270"/>
        <v>3222.9896354168027</v>
      </c>
      <c r="V34" s="99">
        <f t="shared" si="270"/>
        <v>3441.877548615872</v>
      </c>
      <c r="W34" s="99">
        <f t="shared" si="270"/>
        <v>3657.558524100873</v>
      </c>
      <c r="X34" s="99">
        <f t="shared" si="270"/>
        <v>3870.066626293773</v>
      </c>
      <c r="Y34" s="99">
        <f t="shared" si="270"/>
        <v>4064.7791145231195</v>
      </c>
      <c r="Z34" s="99">
        <f t="shared" si="270"/>
        <v>4256.5901586495256</v>
      </c>
      <c r="AA34" s="99">
        <f t="shared" si="270"/>
        <v>4445.5307395090258</v>
      </c>
      <c r="AB34" s="99">
        <f t="shared" si="270"/>
        <v>4631.6315470612744</v>
      </c>
      <c r="AC34" s="99">
        <f t="shared" si="270"/>
        <v>4814.9229829389988</v>
      </c>
      <c r="AD34" s="99">
        <f t="shared" si="270"/>
        <v>4995.4351629760431</v>
      </c>
      <c r="AE34" s="99">
        <f t="shared" si="270"/>
        <v>5173.1979197141745</v>
      </c>
      <c r="AF34" s="99">
        <f t="shared" si="270"/>
        <v>5348.2408048888392</v>
      </c>
      <c r="AG34" s="99">
        <f t="shared" si="270"/>
        <v>5520.5930918940248</v>
      </c>
      <c r="AH34" s="99">
        <f>SUM(AH32:AH33)</f>
        <v>5690.2837782264196</v>
      </c>
      <c r="AI34" s="99"/>
      <c r="AJ34" s="99">
        <f>SUM(AJ32:AJ33)</f>
        <v>0</v>
      </c>
      <c r="AK34" s="99">
        <f t="shared" ref="AK34:BM34" si="271">SUM(AK32:AK33)</f>
        <v>139.55176698797084</v>
      </c>
      <c r="AL34" s="99">
        <f t="shared" si="271"/>
        <v>277.15872328394289</v>
      </c>
      <c r="AM34" s="99">
        <f t="shared" si="271"/>
        <v>412.84119622974799</v>
      </c>
      <c r="AN34" s="99">
        <f t="shared" si="271"/>
        <v>546.61932431098376</v>
      </c>
      <c r="AO34" s="99">
        <f t="shared" si="271"/>
        <v>678.51305880196628</v>
      </c>
      <c r="AP34" s="99">
        <f t="shared" si="271"/>
        <v>808.54216539692845</v>
      </c>
      <c r="AQ34" s="99">
        <f t="shared" si="271"/>
        <v>936.72622582757367</v>
      </c>
      <c r="AR34" s="99">
        <f t="shared" si="271"/>
        <v>1063.0846394671012</v>
      </c>
      <c r="AS34" s="99">
        <f t="shared" si="271"/>
        <v>1187.6366249208049</v>
      </c>
      <c r="AT34" s="99">
        <f t="shared" si="271"/>
        <v>1310.4012216033652</v>
      </c>
      <c r="AU34" s="99">
        <f t="shared" si="271"/>
        <v>1509.1017156879479</v>
      </c>
      <c r="AV34" s="99">
        <f t="shared" si="271"/>
        <v>1704.9694700292598</v>
      </c>
      <c r="AW34" s="99">
        <f t="shared" si="271"/>
        <v>1898.034314357694</v>
      </c>
      <c r="AX34" s="99">
        <f t="shared" si="271"/>
        <v>2088.3258002333541</v>
      </c>
      <c r="AY34" s="99">
        <f t="shared" si="271"/>
        <v>2275.8732034743189</v>
      </c>
      <c r="AZ34" s="99">
        <f t="shared" si="271"/>
        <v>2460.705526564574</v>
      </c>
      <c r="BA34" s="99">
        <f t="shared" si="271"/>
        <v>2642.8515010417777</v>
      </c>
      <c r="BB34" s="99">
        <f t="shared" si="271"/>
        <v>2822.3395898650151</v>
      </c>
      <c r="BC34" s="99">
        <f t="shared" si="271"/>
        <v>2999.1979897627157</v>
      </c>
      <c r="BD34" s="99">
        <f t="shared" si="271"/>
        <v>3173.4546335608939</v>
      </c>
      <c r="BE34" s="99">
        <f t="shared" si="271"/>
        <v>3333.118873908958</v>
      </c>
      <c r="BF34" s="99">
        <f t="shared" si="271"/>
        <v>3490.4039300926106</v>
      </c>
      <c r="BG34" s="99">
        <f t="shared" si="271"/>
        <v>3645.3352063974007</v>
      </c>
      <c r="BH34" s="99">
        <f t="shared" si="271"/>
        <v>3797.9378685902448</v>
      </c>
      <c r="BI34" s="99">
        <f t="shared" si="271"/>
        <v>3948.2368460099788</v>
      </c>
      <c r="BJ34" s="99">
        <f t="shared" si="271"/>
        <v>4096.2568336403547</v>
      </c>
      <c r="BK34" s="99">
        <f t="shared" si="271"/>
        <v>4242.022294165623</v>
      </c>
      <c r="BL34" s="99">
        <f t="shared" si="271"/>
        <v>4385.5574600088476</v>
      </c>
      <c r="BM34" s="99">
        <f t="shared" si="271"/>
        <v>4526.8863353531005</v>
      </c>
      <c r="BN34" s="99">
        <f>SUM(BN32:BN33)</f>
        <v>4666.0326981456637</v>
      </c>
      <c r="BS34" s="640"/>
      <c r="BV34" s="626"/>
      <c r="BW34" s="181"/>
    </row>
    <row r="35" spans="1:90">
      <c r="B35" s="1" t="s">
        <v>200</v>
      </c>
      <c r="C35" s="60" t="s">
        <v>1420</v>
      </c>
      <c r="D35" s="520">
        <f>D28-D31-D34</f>
        <v>163218.34571421403</v>
      </c>
      <c r="E35" s="520">
        <f t="shared" ref="E35:AG35" si="272">E28-E31-E34</f>
        <v>161787.50143781141</v>
      </c>
      <c r="F35" s="520">
        <f t="shared" si="272"/>
        <v>160368.67269930805</v>
      </c>
      <c r="G35" s="520">
        <f t="shared" si="272"/>
        <v>158961.76152173121</v>
      </c>
      <c r="H35" s="520">
        <f t="shared" si="272"/>
        <v>157566.67071012632</v>
      </c>
      <c r="I35" s="520">
        <f t="shared" si="272"/>
        <v>156183.30384541571</v>
      </c>
      <c r="J35" s="520">
        <f t="shared" si="272"/>
        <v>154811.56527830535</v>
      </c>
      <c r="K35" s="520">
        <f t="shared" si="272"/>
        <v>153451.36012323838</v>
      </c>
      <c r="L35" s="520">
        <f t="shared" si="272"/>
        <v>152102.59425239573</v>
      </c>
      <c r="M35" s="520">
        <f t="shared" si="272"/>
        <v>150765.1742897433</v>
      </c>
      <c r="N35" s="520">
        <f t="shared" si="272"/>
        <v>149439.00760512525</v>
      </c>
      <c r="O35" s="520">
        <f t="shared" si="272"/>
        <v>147764.30158479413</v>
      </c>
      <c r="P35" s="520">
        <f t="shared" si="272"/>
        <v>146105.67863021375</v>
      </c>
      <c r="Q35" s="520">
        <f t="shared" si="272"/>
        <v>144462.9959192753</v>
      </c>
      <c r="R35" s="520">
        <f t="shared" si="272"/>
        <v>142836.1118393612</v>
      </c>
      <c r="S35" s="520">
        <f t="shared" si="272"/>
        <v>141224.88597742398</v>
      </c>
      <c r="T35" s="520">
        <f t="shared" si="272"/>
        <v>139629.17911014502</v>
      </c>
      <c r="U35" s="520">
        <f t="shared" si="272"/>
        <v>138048.85319417156</v>
      </c>
      <c r="V35" s="520">
        <f t="shared" si="272"/>
        <v>136483.77135643273</v>
      </c>
      <c r="W35" s="520">
        <f t="shared" si="272"/>
        <v>134933.79788453272</v>
      </c>
      <c r="X35" s="520">
        <f t="shared" si="272"/>
        <v>133398.79821722113</v>
      </c>
      <c r="Y35" s="520">
        <f t="shared" si="272"/>
        <v>131877.65244068488</v>
      </c>
      <c r="Z35" s="520">
        <f t="shared" si="272"/>
        <v>130371.22850984217</v>
      </c>
      <c r="AA35" s="520">
        <f t="shared" si="272"/>
        <v>128879.39511676879</v>
      </c>
      <c r="AB35" s="520">
        <f t="shared" si="272"/>
        <v>127402.0220686611</v>
      </c>
      <c r="AC35" s="520">
        <f t="shared" si="272"/>
        <v>125938.98027867115</v>
      </c>
      <c r="AD35" s="520">
        <f t="shared" si="272"/>
        <v>124490.14175681541</v>
      </c>
      <c r="AE35" s="520">
        <f t="shared" si="272"/>
        <v>123055.37960095631</v>
      </c>
      <c r="AF35" s="520">
        <f t="shared" si="272"/>
        <v>121634.56798785628</v>
      </c>
      <c r="AG35" s="520">
        <f t="shared" si="272"/>
        <v>120227.58216430362</v>
      </c>
      <c r="AH35" s="520">
        <f>AH28-AH31-AH34</f>
        <v>118834.29843830988</v>
      </c>
      <c r="AI35" s="99"/>
      <c r="AJ35" s="520">
        <f>AJ28-AJ31-AJ34</f>
        <v>163218.34571421403</v>
      </c>
      <c r="AK35" s="520">
        <f t="shared" ref="AK35:BM35" si="273">AK28-AK31-AK34</f>
        <v>161852.67097842757</v>
      </c>
      <c r="AL35" s="520">
        <f t="shared" si="273"/>
        <v>160498.10356975871</v>
      </c>
      <c r="AM35" s="520">
        <f t="shared" si="273"/>
        <v>159154.55500393803</v>
      </c>
      <c r="AN35" s="520">
        <f t="shared" si="273"/>
        <v>157821.93749051998</v>
      </c>
      <c r="AO35" s="520">
        <f t="shared" si="273"/>
        <v>156500.16392750989</v>
      </c>
      <c r="AP35" s="520">
        <f t="shared" si="273"/>
        <v>155189.14789603217</v>
      </c>
      <c r="AQ35" s="520">
        <f t="shared" si="273"/>
        <v>153888.80365503949</v>
      </c>
      <c r="AR35" s="520">
        <f t="shared" si="273"/>
        <v>152599.04613606233</v>
      </c>
      <c r="AS35" s="520">
        <f t="shared" si="273"/>
        <v>151319.790937999</v>
      </c>
      <c r="AT35" s="520">
        <f t="shared" si="273"/>
        <v>150050.95432194558</v>
      </c>
      <c r="AU35" s="520">
        <f t="shared" si="273"/>
        <v>148523.99253575152</v>
      </c>
      <c r="AV35" s="520">
        <f t="shared" si="273"/>
        <v>147011.02512098913</v>
      </c>
      <c r="AW35" s="520">
        <f t="shared" si="273"/>
        <v>145511.93119029529</v>
      </c>
      <c r="AX35" s="520">
        <f t="shared" si="273"/>
        <v>144026.59086152707</v>
      </c>
      <c r="AY35" s="520">
        <f t="shared" si="273"/>
        <v>142554.88524962231</v>
      </c>
      <c r="AZ35" s="520">
        <f t="shared" si="273"/>
        <v>141096.69645852502</v>
      </c>
      <c r="BA35" s="520">
        <f t="shared" si="273"/>
        <v>139651.90757317469</v>
      </c>
      <c r="BB35" s="520">
        <f t="shared" si="273"/>
        <v>138220.40265155945</v>
      </c>
      <c r="BC35" s="520">
        <f t="shared" si="273"/>
        <v>136802.06671683205</v>
      </c>
      <c r="BD35" s="520">
        <f t="shared" si="273"/>
        <v>135396.7857494888</v>
      </c>
      <c r="BE35" s="520">
        <f t="shared" si="273"/>
        <v>134005.20205235443</v>
      </c>
      <c r="BF35" s="520">
        <f t="shared" si="273"/>
        <v>132626.43759768471</v>
      </c>
      <c r="BG35" s="520">
        <f t="shared" si="273"/>
        <v>131260.38130172685</v>
      </c>
      <c r="BH35" s="520">
        <f t="shared" si="273"/>
        <v>129906.92300638104</v>
      </c>
      <c r="BI35" s="520">
        <f t="shared" si="273"/>
        <v>128565.95347169384</v>
      </c>
      <c r="BJ35" s="520">
        <f t="shared" si="273"/>
        <v>127237.36436841149</v>
      </c>
      <c r="BK35" s="520">
        <f t="shared" si="273"/>
        <v>125921.04827059223</v>
      </c>
      <c r="BL35" s="520">
        <f t="shared" si="273"/>
        <v>124616.89864827741</v>
      </c>
      <c r="BM35" s="520">
        <f t="shared" si="273"/>
        <v>123324.80986022096</v>
      </c>
      <c r="BN35" s="520">
        <f>BN28-BN31-BN34</f>
        <v>122044.67714667669</v>
      </c>
      <c r="BS35" s="626"/>
    </row>
    <row r="36" spans="1:90" s="61" customFormat="1">
      <c r="A36" s="602"/>
      <c r="B36" s="54" t="s">
        <v>804</v>
      </c>
      <c r="C36" s="55" t="s">
        <v>1420</v>
      </c>
      <c r="D36" s="580">
        <f>D$6/(D$6+D$8)*D35</f>
        <v>11481.264801336021</v>
      </c>
      <c r="E36" s="580">
        <f t="shared" ref="E36" si="274">E$6/(E$6+E$8)*E35</f>
        <v>11380.61495125349</v>
      </c>
      <c r="F36" s="580">
        <f t="shared" ref="F36" si="275">F$6/(F$6+F$8)*F35</f>
        <v>11280.810309911118</v>
      </c>
      <c r="G36" s="580">
        <f t="shared" ref="G36" si="276">G$6/(G$6+G$8)*G35</f>
        <v>11181.843985316686</v>
      </c>
      <c r="H36" s="580">
        <f t="shared" ref="H36" si="277">H$6/(H$6+H$8)*H35</f>
        <v>11083.709140487463</v>
      </c>
      <c r="I36" s="580">
        <f t="shared" ref="I36" si="278">I$6/(I$6+I$8)*I35</f>
        <v>10986.398993018218</v>
      </c>
      <c r="J36" s="580">
        <f t="shared" ref="J36" si="279">J$6/(J$6+J$8)*J35</f>
        <v>10889.906814652586</v>
      </c>
      <c r="K36" s="580">
        <f t="shared" ref="K36" si="280">K$6/(K$6+K$8)*K35</f>
        <v>10794.225930857756</v>
      </c>
      <c r="L36" s="580">
        <f t="shared" ref="L36" si="281">L$6/(L$6+L$8)*L35</f>
        <v>10699.349720402448</v>
      </c>
      <c r="M36" s="580">
        <f t="shared" ref="M36" si="282">M$6/(M$6+M$8)*M35</f>
        <v>10605.271614938176</v>
      </c>
      <c r="N36" s="580">
        <f t="shared" ref="N36" si="283">N$6/(N$6+N$8)*N35</f>
        <v>10511.985098583762</v>
      </c>
      <c r="O36" s="580">
        <f t="shared" ref="O36" si="284">O$6/(O$6+O$8)*O35</f>
        <v>10394.181286765452</v>
      </c>
      <c r="P36" s="580">
        <f t="shared" ref="P36" si="285">P$6/(P$6+P$8)*P35</f>
        <v>10277.508805716936</v>
      </c>
      <c r="Q36" s="580">
        <f t="shared" ref="Q36" si="286">Q$6/(Q$6+Q$8)*Q35</f>
        <v>10161.957608905495</v>
      </c>
      <c r="R36" s="580">
        <f t="shared" ref="R36" si="287">R$6/(R$6+R$8)*R35</f>
        <v>10047.517734877627</v>
      </c>
      <c r="S36" s="580">
        <f t="shared" ref="S36" si="288">S$6/(S$6+S$8)*S35</f>
        <v>9934.1793065611637</v>
      </c>
      <c r="T36" s="580">
        <f t="shared" ref="T36" si="289">T$6/(T$6+T$8)*T35</f>
        <v>9821.9325305730126</v>
      </c>
      <c r="U36" s="580">
        <f t="shared" ref="U36" si="290">U$6/(U$6+U$8)*U35</f>
        <v>9710.7676965323917</v>
      </c>
      <c r="V36" s="580">
        <f t="shared" ref="V36" si="291">V$6/(V$6+V$8)*V35</f>
        <v>9600.6751763796383</v>
      </c>
      <c r="W36" s="580">
        <f t="shared" ref="W36" si="292">W$6/(W$6+W$8)*W35</f>
        <v>9491.6454237004309</v>
      </c>
      <c r="X36" s="580">
        <f t="shared" ref="X36" si="293">X$6/(X$6+X$8)*X35</f>
        <v>9383.6689730554463</v>
      </c>
      <c r="Y36" s="580">
        <f t="shared" ref="Y36" si="294">Y$6/(Y$6+Y$8)*Y35</f>
        <v>9276.6670463699102</v>
      </c>
      <c r="Z36" s="580">
        <f t="shared" ref="Z36" si="295">Z$6/(Z$6+Z$8)*Z35</f>
        <v>9170.7006981791365</v>
      </c>
      <c r="AA36" s="580">
        <f t="shared" ref="AA36" si="296">AA$6/(AA$6+AA$8)*AA35</f>
        <v>9065.7606918924557</v>
      </c>
      <c r="AB36" s="580">
        <f t="shared" ref="AB36" si="297">AB$6/(AB$6+AB$8)*AB35</f>
        <v>8961.8378693601098</v>
      </c>
      <c r="AC36" s="580">
        <f t="shared" ref="AC36" si="298">AC$6/(AC$6+AC$8)*AC35</f>
        <v>8858.9231502285547</v>
      </c>
      <c r="AD36" s="580">
        <f t="shared" ref="AD36" si="299">AD$6/(AD$6+AD$8)*AD35</f>
        <v>8757.0075313009638</v>
      </c>
      <c r="AE36" s="580">
        <f t="shared" ref="AE36" si="300">AE$6/(AE$6+AE$8)*AE35</f>
        <v>8656.0820859028263</v>
      </c>
      <c r="AF36" s="580">
        <f t="shared" ref="AF36" si="301">AF$6/(AF$6+AF$8)*AF35</f>
        <v>8556.1379632526841</v>
      </c>
      <c r="AG36" s="580">
        <f t="shared" ref="AG36" si="302">AG$6/(AG$6+AG$8)*AG35</f>
        <v>8457.1663878378786</v>
      </c>
      <c r="AH36" s="580">
        <f t="shared" ref="AH36" si="303">AH$6/(AH$6+AH$8)*AH35</f>
        <v>8359.1586587953643</v>
      </c>
      <c r="AI36" s="571"/>
      <c r="AJ36" s="580">
        <f>AJ$6/(AJ$6+AJ$8)*AJ35</f>
        <v>11481.264801336021</v>
      </c>
      <c r="AK36" s="580">
        <f t="shared" ref="AK36" si="304">AK$6/(AK$6+AK$8)*AK35</f>
        <v>11385.199170934933</v>
      </c>
      <c r="AL36" s="580">
        <f t="shared" ref="AL36" si="305">AL$6/(AL$6+AL$8)*AL35</f>
        <v>11289.9148630213</v>
      </c>
      <c r="AM36" s="580">
        <f t="shared" ref="AM36" si="306">AM$6/(AM$6+AM$8)*AM35</f>
        <v>11195.405653347949</v>
      </c>
      <c r="AN36" s="580">
        <f t="shared" ref="AN36" si="307">AN$6/(AN$6+AN$8)*AN35</f>
        <v>11101.665366473333</v>
      </c>
      <c r="AO36" s="580">
        <f t="shared" ref="AO36" si="308">AO$6/(AO$6+AO$8)*AO35</f>
        <v>11008.687875383599</v>
      </c>
      <c r="AP36" s="580">
        <f t="shared" ref="AP36" si="309">AP$6/(AP$6+AP$8)*AP35</f>
        <v>10916.467101117527</v>
      </c>
      <c r="AQ36" s="580">
        <f t="shared" ref="AQ36" si="310">AQ$6/(AQ$6+AQ$8)*AQ35</f>
        <v>10824.997012394351</v>
      </c>
      <c r="AR36" s="580">
        <f t="shared" ref="AR36" si="311">AR$6/(AR$6+AR$8)*AR35</f>
        <v>10734.271625244433</v>
      </c>
      <c r="AS36" s="580">
        <f t="shared" ref="AS36" si="312">AS$6/(AS$6+AS$8)*AS35</f>
        <v>10644.285002642782</v>
      </c>
      <c r="AT36" s="580">
        <f t="shared" ref="AT36" si="313">AT$6/(AT$6+AT$8)*AT35</f>
        <v>10555.03125414537</v>
      </c>
      <c r="AU36" s="580">
        <f t="shared" ref="AU36" si="314">AU$6/(AU$6+AU$8)*AU35</f>
        <v>10447.620212009753</v>
      </c>
      <c r="AV36" s="580">
        <f t="shared" ref="AV36" si="315">AV$6/(AV$6+AV$8)*AV35</f>
        <v>10341.193575661564</v>
      </c>
      <c r="AW36" s="580">
        <f t="shared" ref="AW36" si="316">AW$6/(AW$6+AW$8)*AW35</f>
        <v>10235.742841523454</v>
      </c>
      <c r="AX36" s="580">
        <f t="shared" ref="AX36" si="317">AX$6/(AX$6+AX$8)*AX35</f>
        <v>10131.259576728262</v>
      </c>
      <c r="AY36" s="580">
        <f t="shared" ref="AY36" si="318">AY$6/(AY$6+AY$8)*AY35</f>
        <v>10027.735418546457</v>
      </c>
      <c r="AZ36" s="580">
        <f t="shared" ref="AZ36" si="319">AZ$6/(AZ$6+AZ$8)*AZ35</f>
        <v>9925.16207381815</v>
      </c>
      <c r="BA36" s="580">
        <f t="shared" ref="BA36" si="320">BA$6/(BA$6+BA$8)*BA35</f>
        <v>9823.5313183895978</v>
      </c>
      <c r="BB36" s="580">
        <f t="shared" ref="BB36" si="321">BB$6/(BB$6+BB$8)*BB35</f>
        <v>9722.8349965541947</v>
      </c>
      <c r="BC36" s="580">
        <f t="shared" ref="BC36" si="322">BC$6/(BC$6+BC$8)*BC35</f>
        <v>9623.0650204978974</v>
      </c>
      <c r="BD36" s="580">
        <f t="shared" ref="BD36" si="323">BD$6/(BD$6+BD$8)*BD35</f>
        <v>9524.2133697490535</v>
      </c>
      <c r="BE36" s="580">
        <f t="shared" ref="BE36" si="324">BE$6/(BE$6+BE$8)*BE35</f>
        <v>9426.3252258023131</v>
      </c>
      <c r="BF36" s="580">
        <f t="shared" ref="BF36" si="325">BF$6/(BF$6+BF$8)*BF35</f>
        <v>9329.3388255697682</v>
      </c>
      <c r="BG36" s="580">
        <f t="shared" ref="BG36" si="326">BG$6/(BG$6+BG$8)*BG35</f>
        <v>9233.2463550892353</v>
      </c>
      <c r="BH36" s="580">
        <f t="shared" ref="BH36" si="327">BH$6/(BH$6+BH$8)*BH35</f>
        <v>9138.0400655117228</v>
      </c>
      <c r="BI36" s="580">
        <f t="shared" ref="BI36" si="328">BI$6/(BI$6+BI$8)*BI35</f>
        <v>9043.7122725733843</v>
      </c>
      <c r="BJ36" s="580">
        <f t="shared" ref="BJ36" si="329">BJ$6/(BJ$6+BJ$8)*BJ35</f>
        <v>8950.2553560717151</v>
      </c>
      <c r="BK36" s="580">
        <f t="shared" ref="BK36" si="330">BK$6/(BK$6+BK$8)*BK35</f>
        <v>8857.6617593458541</v>
      </c>
      <c r="BL36" s="580">
        <f t="shared" ref="BL36" si="331">BL$6/(BL$6+BL$8)*BL35</f>
        <v>8765.9239887610674</v>
      </c>
      <c r="BM36" s="580">
        <f t="shared" ref="BM36" si="332">BM$6/(BM$6+BM$8)*BM35</f>
        <v>8675.0346131973165</v>
      </c>
      <c r="BN36" s="580">
        <f t="shared" ref="BN36" si="333">BN$6/(BN$6+BN$8)*BN35</f>
        <v>8584.9862635418849</v>
      </c>
      <c r="BQ36" s="649"/>
      <c r="BR36" s="649"/>
      <c r="BS36" s="649"/>
      <c r="BT36" s="649"/>
      <c r="BU36" s="649"/>
      <c r="BV36" s="649"/>
      <c r="BW36" s="649"/>
      <c r="BX36" s="649"/>
      <c r="BY36" s="649"/>
      <c r="BZ36" s="649"/>
      <c r="CA36" s="649"/>
      <c r="CB36" s="649"/>
      <c r="CC36" s="649"/>
      <c r="CD36" s="649"/>
      <c r="CE36" s="649"/>
      <c r="CF36" s="649"/>
      <c r="CG36" s="649"/>
      <c r="CH36" s="649"/>
      <c r="CI36" s="649"/>
      <c r="CJ36" s="649"/>
      <c r="CK36" s="649"/>
      <c r="CL36" s="649"/>
    </row>
    <row r="37" spans="1:90">
      <c r="A37" s="603"/>
      <c r="B37" s="1" t="s">
        <v>1063</v>
      </c>
      <c r="C37" s="50" t="s">
        <v>1420</v>
      </c>
      <c r="D37" s="576">
        <v>0</v>
      </c>
      <c r="E37" s="576">
        <v>0</v>
      </c>
      <c r="F37" s="576">
        <v>0</v>
      </c>
      <c r="G37" s="576">
        <v>0</v>
      </c>
      <c r="H37" s="576">
        <v>0</v>
      </c>
      <c r="I37" s="576">
        <v>0</v>
      </c>
      <c r="J37" s="576">
        <v>0</v>
      </c>
      <c r="K37" s="576">
        <v>0</v>
      </c>
      <c r="L37" s="576">
        <v>0</v>
      </c>
      <c r="M37" s="576">
        <v>0</v>
      </c>
      <c r="N37" s="576">
        <v>0</v>
      </c>
      <c r="O37" s="576">
        <v>0</v>
      </c>
      <c r="P37" s="576">
        <v>0</v>
      </c>
      <c r="Q37" s="576">
        <v>0</v>
      </c>
      <c r="R37" s="576">
        <v>0</v>
      </c>
      <c r="S37" s="576">
        <v>0</v>
      </c>
      <c r="T37" s="576">
        <v>0</v>
      </c>
      <c r="U37" s="576">
        <v>0</v>
      </c>
      <c r="V37" s="576">
        <v>0</v>
      </c>
      <c r="W37" s="576">
        <v>0</v>
      </c>
      <c r="X37" s="576">
        <v>0</v>
      </c>
      <c r="Y37" s="576">
        <v>0</v>
      </c>
      <c r="Z37" s="576">
        <v>0</v>
      </c>
      <c r="AA37" s="576">
        <v>0</v>
      </c>
      <c r="AB37" s="576">
        <v>0</v>
      </c>
      <c r="AC37" s="576">
        <v>0</v>
      </c>
      <c r="AD37" s="576">
        <v>0</v>
      </c>
      <c r="AE37" s="576">
        <v>0</v>
      </c>
      <c r="AF37" s="576">
        <v>0</v>
      </c>
      <c r="AG37" s="576">
        <v>0</v>
      </c>
      <c r="AH37" s="576">
        <v>0</v>
      </c>
      <c r="AI37" s="183"/>
      <c r="AJ37" s="576">
        <v>0</v>
      </c>
      <c r="AK37" s="576">
        <v>0</v>
      </c>
      <c r="AL37" s="576">
        <v>0</v>
      </c>
      <c r="AM37" s="576">
        <v>0</v>
      </c>
      <c r="AN37" s="576">
        <v>0</v>
      </c>
      <c r="AO37" s="576">
        <v>0</v>
      </c>
      <c r="AP37" s="576">
        <v>0</v>
      </c>
      <c r="AQ37" s="576">
        <v>0</v>
      </c>
      <c r="AR37" s="576">
        <v>0</v>
      </c>
      <c r="AS37" s="576">
        <v>0</v>
      </c>
      <c r="AT37" s="576">
        <v>0</v>
      </c>
      <c r="AU37" s="576">
        <v>0</v>
      </c>
      <c r="AV37" s="576">
        <v>0</v>
      </c>
      <c r="AW37" s="576">
        <v>0</v>
      </c>
      <c r="AX37" s="576">
        <v>0</v>
      </c>
      <c r="AY37" s="576">
        <v>0</v>
      </c>
      <c r="AZ37" s="576">
        <v>0</v>
      </c>
      <c r="BA37" s="576">
        <v>0</v>
      </c>
      <c r="BB37" s="576">
        <v>0</v>
      </c>
      <c r="BC37" s="576">
        <v>0</v>
      </c>
      <c r="BD37" s="576">
        <v>0</v>
      </c>
      <c r="BE37" s="576">
        <v>0</v>
      </c>
      <c r="BF37" s="576">
        <v>0</v>
      </c>
      <c r="BG37" s="576">
        <v>0</v>
      </c>
      <c r="BH37" s="576">
        <v>0</v>
      </c>
      <c r="BI37" s="576">
        <v>0</v>
      </c>
      <c r="BJ37" s="576">
        <v>0</v>
      </c>
      <c r="BK37" s="576">
        <v>0</v>
      </c>
      <c r="BL37" s="576">
        <v>0</v>
      </c>
      <c r="BM37" s="576">
        <v>0</v>
      </c>
      <c r="BN37" s="576">
        <v>0</v>
      </c>
    </row>
    <row r="38" spans="1:90" s="62" customFormat="1">
      <c r="A38" s="604"/>
      <c r="B38" s="58" t="s">
        <v>27</v>
      </c>
      <c r="C38" s="233" t="s">
        <v>1420</v>
      </c>
      <c r="D38" s="579">
        <f>D$8/(D$6+D$8)*D35</f>
        <v>151737.08091287801</v>
      </c>
      <c r="E38" s="579">
        <f t="shared" ref="E38:AH38" si="334">E$8/(E$6+E$8)*E35</f>
        <v>150406.88648655792</v>
      </c>
      <c r="F38" s="579">
        <f t="shared" si="334"/>
        <v>149087.86238939693</v>
      </c>
      <c r="G38" s="579">
        <f t="shared" si="334"/>
        <v>147779.91753641455</v>
      </c>
      <c r="H38" s="579">
        <f t="shared" si="334"/>
        <v>146482.96156963886</v>
      </c>
      <c r="I38" s="579">
        <f t="shared" si="334"/>
        <v>145196.90485239748</v>
      </c>
      <c r="J38" s="579">
        <f t="shared" si="334"/>
        <v>143921.65846365277</v>
      </c>
      <c r="K38" s="579">
        <f t="shared" si="334"/>
        <v>142657.13419238062</v>
      </c>
      <c r="L38" s="579">
        <f t="shared" si="334"/>
        <v>141403.24453199329</v>
      </c>
      <c r="M38" s="579">
        <f t="shared" si="334"/>
        <v>140159.90267480511</v>
      </c>
      <c r="N38" s="579">
        <f t="shared" si="334"/>
        <v>138927.02250654149</v>
      </c>
      <c r="O38" s="579">
        <f t="shared" si="334"/>
        <v>137370.12029802869</v>
      </c>
      <c r="P38" s="579">
        <f t="shared" si="334"/>
        <v>135828.16982449681</v>
      </c>
      <c r="Q38" s="579">
        <f t="shared" si="334"/>
        <v>134301.0383103698</v>
      </c>
      <c r="R38" s="579">
        <f t="shared" si="334"/>
        <v>132788.59410448358</v>
      </c>
      <c r="S38" s="579">
        <f t="shared" si="334"/>
        <v>131290.70667086283</v>
      </c>
      <c r="T38" s="579">
        <f t="shared" si="334"/>
        <v>129807.24657957201</v>
      </c>
      <c r="U38" s="579">
        <f t="shared" si="334"/>
        <v>128338.08549763916</v>
      </c>
      <c r="V38" s="579">
        <f t="shared" si="334"/>
        <v>126883.09618005309</v>
      </c>
      <c r="W38" s="579">
        <f t="shared" si="334"/>
        <v>125442.15246083229</v>
      </c>
      <c r="X38" s="579">
        <f t="shared" si="334"/>
        <v>124015.12924416568</v>
      </c>
      <c r="Y38" s="579">
        <f t="shared" si="334"/>
        <v>122600.98539431496</v>
      </c>
      <c r="Z38" s="579">
        <f t="shared" si="334"/>
        <v>121200.52781166305</v>
      </c>
      <c r="AA38" s="579">
        <f t="shared" si="334"/>
        <v>119813.63442487633</v>
      </c>
      <c r="AB38" s="579">
        <f t="shared" si="334"/>
        <v>118440.18419930099</v>
      </c>
      <c r="AC38" s="579">
        <f t="shared" si="334"/>
        <v>117080.05712844258</v>
      </c>
      <c r="AD38" s="579">
        <f t="shared" si="334"/>
        <v>115733.13422551446</v>
      </c>
      <c r="AE38" s="579">
        <f t="shared" si="334"/>
        <v>114399.29751505349</v>
      </c>
      <c r="AF38" s="579">
        <f t="shared" si="334"/>
        <v>113078.43002460359</v>
      </c>
      <c r="AG38" s="579">
        <f t="shared" si="334"/>
        <v>111770.41577646574</v>
      </c>
      <c r="AH38" s="579">
        <f t="shared" si="334"/>
        <v>110475.13977951453</v>
      </c>
      <c r="AI38" s="528"/>
      <c r="AJ38" s="579">
        <f>AJ$8/(AJ$6+AJ$8)*AJ35</f>
        <v>151737.08091287801</v>
      </c>
      <c r="AK38" s="579">
        <f t="shared" ref="AK38:BN38" si="335">AK$8/(AK$6+AK$8)*AK35</f>
        <v>150467.47180749263</v>
      </c>
      <c r="AL38" s="579">
        <f t="shared" si="335"/>
        <v>149208.18870673739</v>
      </c>
      <c r="AM38" s="579">
        <f t="shared" si="335"/>
        <v>147959.1493505901</v>
      </c>
      <c r="AN38" s="579">
        <f t="shared" si="335"/>
        <v>146720.27212404663</v>
      </c>
      <c r="AO38" s="579">
        <f t="shared" si="335"/>
        <v>145491.47605212629</v>
      </c>
      <c r="AP38" s="579">
        <f t="shared" si="335"/>
        <v>144272.68079491466</v>
      </c>
      <c r="AQ38" s="579">
        <f t="shared" si="335"/>
        <v>143063.80664264513</v>
      </c>
      <c r="AR38" s="579">
        <f t="shared" si="335"/>
        <v>141864.77451081789</v>
      </c>
      <c r="AS38" s="579">
        <f t="shared" si="335"/>
        <v>140675.5059353562</v>
      </c>
      <c r="AT38" s="579">
        <f t="shared" si="335"/>
        <v>139495.92306780021</v>
      </c>
      <c r="AU38" s="579">
        <f t="shared" si="335"/>
        <v>138076.37232374179</v>
      </c>
      <c r="AV38" s="579">
        <f t="shared" si="335"/>
        <v>136669.83154532759</v>
      </c>
      <c r="AW38" s="579">
        <f t="shared" si="335"/>
        <v>135276.18834877183</v>
      </c>
      <c r="AX38" s="579">
        <f t="shared" si="335"/>
        <v>133895.3312847988</v>
      </c>
      <c r="AY38" s="579">
        <f t="shared" si="335"/>
        <v>132527.14983107586</v>
      </c>
      <c r="AZ38" s="579">
        <f t="shared" si="335"/>
        <v>131171.53438470687</v>
      </c>
      <c r="BA38" s="579">
        <f t="shared" si="335"/>
        <v>129828.37625478506</v>
      </c>
      <c r="BB38" s="579">
        <f t="shared" si="335"/>
        <v>128497.56765500524</v>
      </c>
      <c r="BC38" s="579">
        <f t="shared" si="335"/>
        <v>127179.00169633416</v>
      </c>
      <c r="BD38" s="579">
        <f t="shared" si="335"/>
        <v>125872.57237973975</v>
      </c>
      <c r="BE38" s="579">
        <f t="shared" si="335"/>
        <v>124578.87682655212</v>
      </c>
      <c r="BF38" s="579">
        <f t="shared" si="335"/>
        <v>123297.09877211496</v>
      </c>
      <c r="BG38" s="579">
        <f t="shared" si="335"/>
        <v>122027.13494663761</v>
      </c>
      <c r="BH38" s="579">
        <f t="shared" si="335"/>
        <v>120768.88294086931</v>
      </c>
      <c r="BI38" s="579">
        <f t="shared" si="335"/>
        <v>119522.24119912043</v>
      </c>
      <c r="BJ38" s="579">
        <f t="shared" si="335"/>
        <v>118287.10901233977</v>
      </c>
      <c r="BK38" s="579">
        <f t="shared" si="335"/>
        <v>117063.3865112464</v>
      </c>
      <c r="BL38" s="579">
        <f t="shared" si="335"/>
        <v>115850.97465951632</v>
      </c>
      <c r="BM38" s="579">
        <f t="shared" si="335"/>
        <v>114649.77524702364</v>
      </c>
      <c r="BN38" s="579">
        <f t="shared" si="335"/>
        <v>113459.69088313483</v>
      </c>
      <c r="BQ38" s="623"/>
      <c r="BR38" s="623"/>
      <c r="BS38" s="623"/>
      <c r="BT38" s="623"/>
      <c r="BU38" s="623"/>
      <c r="BV38" s="623"/>
      <c r="BW38" s="623"/>
      <c r="BX38" s="623"/>
      <c r="BY38" s="623"/>
      <c r="BZ38" s="623"/>
      <c r="CA38" s="623"/>
      <c r="CB38" s="623"/>
      <c r="CC38" s="623"/>
      <c r="CD38" s="623"/>
      <c r="CE38" s="623"/>
      <c r="CF38" s="623"/>
      <c r="CG38" s="623"/>
      <c r="CH38" s="623"/>
      <c r="CI38" s="623"/>
      <c r="CJ38" s="623"/>
      <c r="CK38" s="623"/>
      <c r="CL38" s="623"/>
    </row>
    <row r="39" spans="1:90" s="1" customFormat="1">
      <c r="A39" s="54" t="s">
        <v>260</v>
      </c>
      <c r="B39" s="54" t="s">
        <v>179</v>
      </c>
      <c r="C39" s="93" t="s">
        <v>1420</v>
      </c>
      <c r="D39" s="572">
        <f>'Demand - Methanol'!M38</f>
        <v>87870.659329283968</v>
      </c>
      <c r="E39" s="572">
        <f>D39*(1+'Demand - Methanol'!$N$38)</f>
        <v>87258.371138797273</v>
      </c>
      <c r="F39" s="572">
        <f>E39*(1+'Demand - Methanol'!$N$38)</f>
        <v>86650.349410302224</v>
      </c>
      <c r="G39" s="572">
        <f>F39*(1+'Demand - Methanol'!$N$38)</f>
        <v>86046.564414827721</v>
      </c>
      <c r="H39" s="572">
        <f>G39*(1+'Demand - Methanol'!$N$38)</f>
        <v>85446.986630555955</v>
      </c>
      <c r="I39" s="572">
        <f>H39*(1+'Demand - Methanol'!$N$38)</f>
        <v>84851.586741378982</v>
      </c>
      <c r="J39" s="572">
        <f>I39*(1+'Demand - Methanol'!$N$38)</f>
        <v>84260.335635465293</v>
      </c>
      <c r="K39" s="572">
        <f>J39*(1+'Demand - Methanol'!$N$38)</f>
        <v>83673.204403836455</v>
      </c>
      <c r="L39" s="572">
        <f>K39*(1+'Demand - Methanol'!$N$38)</f>
        <v>83090.16433895356</v>
      </c>
      <c r="M39" s="572">
        <f>L39*(1+'Demand - Methanol'!$N$38)</f>
        <v>82511.186933313627</v>
      </c>
      <c r="N39" s="572">
        <f>M39*(1+'Demand - Methanol'!$N$38)</f>
        <v>81936.243878055684</v>
      </c>
      <c r="O39" s="572">
        <f>N39*(1+'Demand - Methanol'!$N$38)</f>
        <v>81365.307061576692</v>
      </c>
      <c r="P39" s="572">
        <f>O39*(1+'Demand - Methanol'!$N$38)</f>
        <v>80798.348568156987</v>
      </c>
      <c r="Q39" s="572">
        <f>P39*(1+'Demand - Methanol'!$N$38)</f>
        <v>80235.34067659537</v>
      </c>
      <c r="R39" s="572">
        <f>Q39*(1+'Demand - Methanol'!$N$38)</f>
        <v>79676.255858853663</v>
      </c>
      <c r="S39" s="572">
        <f>R39*(1+'Demand - Methanol'!$N$38)</f>
        <v>79121.066778710796</v>
      </c>
      <c r="T39" s="572">
        <f>S39*(1+'Demand - Methanol'!$N$38)</f>
        <v>78569.746290426163</v>
      </c>
      <c r="U39" s="572">
        <f>T39*(1+'Demand - Methanol'!$N$38)</f>
        <v>78022.26743741236</v>
      </c>
      <c r="V39" s="572">
        <f>U39*(1+'Demand - Methanol'!$N$38)</f>
        <v>77478.603450917144</v>
      </c>
      <c r="W39" s="572">
        <f>V39*(1+'Demand - Methanol'!$N$38)</f>
        <v>76938.727748714591</v>
      </c>
      <c r="X39" s="572">
        <f>W39*(1+'Demand - Methanol'!$N$38)</f>
        <v>76402.613933805391</v>
      </c>
      <c r="Y39" s="572">
        <f>X39*(1+'Demand - Methanol'!$N$38)</f>
        <v>75870.23579312615</v>
      </c>
      <c r="Z39" s="572">
        <f>Y39*(1+'Demand - Methanol'!$N$38)</f>
        <v>75341.56729626772</v>
      </c>
      <c r="AA39" s="572">
        <f>Z39*(1+'Demand - Methanol'!$N$38)</f>
        <v>74816.582594202453</v>
      </c>
      <c r="AB39" s="572">
        <f>AA39*(1+'Demand - Methanol'!$N$38)</f>
        <v>74295.256018020315</v>
      </c>
      <c r="AC39" s="572">
        <f>AB39*(1+'Demand - Methanol'!$N$38)</f>
        <v>73777.562077673851</v>
      </c>
      <c r="AD39" s="572">
        <f>AC39*(1+'Demand - Methanol'!$N$38)</f>
        <v>73263.475460731803</v>
      </c>
      <c r="AE39" s="572">
        <f>AD39*(1+'Demand - Methanol'!$N$38)</f>
        <v>72752.971031141526</v>
      </c>
      <c r="AF39" s="572">
        <f>AE39*(1+'Demand - Methanol'!$N$38)</f>
        <v>72246.023827999932</v>
      </c>
      <c r="AG39" s="572">
        <f>AF39*(1+'Demand - Methanol'!$N$38)</f>
        <v>71742.609064333054</v>
      </c>
      <c r="AH39" s="572">
        <f>AG39*(1+'Demand - Methanol'!$N$38)</f>
        <v>71242.702125884083</v>
      </c>
      <c r="AI39" s="520"/>
      <c r="AJ39" s="572">
        <f>D39</f>
        <v>87870.659329283968</v>
      </c>
      <c r="AK39" s="572">
        <f>AJ39*(1+'Demand - Methanol'!$N$38)</f>
        <v>87258.371138797273</v>
      </c>
      <c r="AL39" s="572">
        <f>AK39*(1+'Demand - Methanol'!$N$38)</f>
        <v>86650.349410302224</v>
      </c>
      <c r="AM39" s="572">
        <f>AL39*(1+'Demand - Methanol'!$N$38)</f>
        <v>86046.564414827721</v>
      </c>
      <c r="AN39" s="572">
        <f>AM39*(1+'Demand - Methanol'!$N$38)</f>
        <v>85446.986630555955</v>
      </c>
      <c r="AO39" s="572">
        <f>AN39*(1+'Demand - Methanol'!$N$38)</f>
        <v>84851.586741378982</v>
      </c>
      <c r="AP39" s="572">
        <f>AO39*(1+'Demand - Methanol'!$N$38)</f>
        <v>84260.335635465293</v>
      </c>
      <c r="AQ39" s="572">
        <f>AP39*(1+'Demand - Methanol'!$N$38)</f>
        <v>83673.204403836455</v>
      </c>
      <c r="AR39" s="572">
        <f>AQ39*(1+'Demand - Methanol'!$N$38)</f>
        <v>83090.16433895356</v>
      </c>
      <c r="AS39" s="572">
        <f>AR39*(1+'Demand - Methanol'!$N$38)</f>
        <v>82511.186933313627</v>
      </c>
      <c r="AT39" s="572">
        <f>AS39*(1+'Demand - Methanol'!$N$38)</f>
        <v>81936.243878055684</v>
      </c>
      <c r="AU39" s="572">
        <f>AT39*(1+'Demand - Methanol'!$N$38)</f>
        <v>81365.307061576692</v>
      </c>
      <c r="AV39" s="572">
        <f>AU39*(1+'Demand - Methanol'!$N$38)</f>
        <v>80798.348568156987</v>
      </c>
      <c r="AW39" s="572">
        <f>AV39*(1+'Demand - Methanol'!$N$38)</f>
        <v>80235.34067659537</v>
      </c>
      <c r="AX39" s="572">
        <f>AW39*(1+'Demand - Methanol'!$N$38)</f>
        <v>79676.255858853663</v>
      </c>
      <c r="AY39" s="572">
        <f>AX39*(1+'Demand - Methanol'!$N$38)</f>
        <v>79121.066778710796</v>
      </c>
      <c r="AZ39" s="572">
        <f>AY39*(1+'Demand - Methanol'!$N$38)</f>
        <v>78569.746290426163</v>
      </c>
      <c r="BA39" s="572">
        <f>AZ39*(1+'Demand - Methanol'!$N$38)</f>
        <v>78022.26743741236</v>
      </c>
      <c r="BB39" s="572">
        <f>BA39*(1+'Demand - Methanol'!$N$38)</f>
        <v>77478.603450917144</v>
      </c>
      <c r="BC39" s="572">
        <f>BB39*(1+'Demand - Methanol'!$N$38)</f>
        <v>76938.727748714591</v>
      </c>
      <c r="BD39" s="572">
        <f>BC39*(1+'Demand - Methanol'!$N$38)</f>
        <v>76402.613933805391</v>
      </c>
      <c r="BE39" s="572">
        <f>BD39*(1+'Demand - Methanol'!$N$38)</f>
        <v>75870.23579312615</v>
      </c>
      <c r="BF39" s="572">
        <f>BE39*(1+'Demand - Methanol'!$N$38)</f>
        <v>75341.56729626772</v>
      </c>
      <c r="BG39" s="572">
        <f>BF39*(1+'Demand - Methanol'!$N$38)</f>
        <v>74816.582594202453</v>
      </c>
      <c r="BH39" s="572">
        <f>BG39*(1+'Demand - Methanol'!$N$38)</f>
        <v>74295.256018020315</v>
      </c>
      <c r="BI39" s="572">
        <f>BH39*(1+'Demand - Methanol'!$N$38)</f>
        <v>73777.562077673851</v>
      </c>
      <c r="BJ39" s="572">
        <f>BI39*(1+'Demand - Methanol'!$N$38)</f>
        <v>73263.475460731803</v>
      </c>
      <c r="BK39" s="572">
        <f>BJ39*(1+'Demand - Methanol'!$N$38)</f>
        <v>72752.971031141526</v>
      </c>
      <c r="BL39" s="572">
        <f>BK39*(1+'Demand - Methanol'!$N$38)</f>
        <v>72246.023827999932</v>
      </c>
      <c r="BM39" s="572">
        <f>BL39*(1+'Demand - Methanol'!$N$38)</f>
        <v>71742.609064333054</v>
      </c>
      <c r="BN39" s="572">
        <f>BM39*(1+'Demand - Methanol'!$N$38)</f>
        <v>71242.702125884083</v>
      </c>
      <c r="BQ39" s="625"/>
      <c r="BR39" s="625"/>
      <c r="BS39" s="625"/>
      <c r="BT39" s="625"/>
      <c r="BU39" s="625"/>
      <c r="BV39" s="625"/>
      <c r="BW39" s="625"/>
      <c r="BX39" s="625"/>
      <c r="BY39" s="625"/>
      <c r="BZ39" s="625"/>
      <c r="CA39" s="625"/>
      <c r="CB39" s="625"/>
      <c r="CC39" s="625"/>
      <c r="CD39" s="625"/>
      <c r="CE39" s="625"/>
      <c r="CF39" s="625"/>
      <c r="CG39" s="625"/>
      <c r="CH39" s="625"/>
      <c r="CI39" s="625"/>
      <c r="CJ39" s="625"/>
      <c r="CK39" s="625"/>
      <c r="CL39" s="625"/>
    </row>
    <row r="40" spans="1:90">
      <c r="B40" s="1" t="s">
        <v>169</v>
      </c>
      <c r="C40" s="50" t="s">
        <v>1420</v>
      </c>
      <c r="D40" s="99">
        <v>0</v>
      </c>
      <c r="E40" s="99">
        <f>E39*'R&amp;S - Buildings'!$D$7*'R&amp;S - Buildings'!$B$11*'R&amp;S - Buildings'!$B$15*('Yearly Methanol'!E$3-'Yearly Methanol'!$D$3)/10</f>
        <v>1583.7394361691709</v>
      </c>
      <c r="F40" s="99">
        <f>F39*'R&amp;S - Buildings'!$D$7*'R&amp;S - Buildings'!$B$11*'R&amp;S - Buildings'!$B$15*('Yearly Methanol'!F$3-'Yearly Methanol'!$D$3)/10</f>
        <v>3145.4076835939713</v>
      </c>
      <c r="G40" s="99">
        <f>G39*'R&amp;S - Buildings'!$D$7*'R&amp;S - Buildings'!$B$11*'R&amp;S - Buildings'!$B$15*('Yearly Methanol'!G$3-'Yearly Methanol'!$D$3)/10</f>
        <v>4685.2354323873697</v>
      </c>
      <c r="H40" s="99">
        <f>H39*'R&amp;S - Buildings'!$D$7*'R&amp;S - Buildings'!$B$11*'R&amp;S - Buildings'!$B$15*('Yearly Methanol'!H$3-'Yearly Methanol'!$D$3)/10</f>
        <v>6203.4512293783637</v>
      </c>
      <c r="I40" s="99">
        <f>I39*'R&amp;S - Buildings'!$D$7*'R&amp;S - Buildings'!$B$11*'R&amp;S - Buildings'!$B$15*('Yearly Methanol'!I$3-'Yearly Methanol'!$D$3)/10</f>
        <v>7700.2814967801432</v>
      </c>
      <c r="J40" s="99">
        <f>J39*'R&amp;S - Buildings'!$D$7*'R&amp;S - Buildings'!$B$11*'R&amp;S - Buildings'!$B$15*('Yearly Methanol'!J$3-'Yearly Methanol'!$D$3)/10</f>
        <v>9175.9505507021713</v>
      </c>
      <c r="K40" s="99">
        <f>K39*'R&amp;S - Buildings'!$D$7*'R&amp;S - Buildings'!$B$11*'R&amp;S - Buildings'!$B$15*('Yearly Methanol'!K$3-'Yearly Methanol'!$D$3)/10</f>
        <v>10630.680619507424</v>
      </c>
      <c r="L40" s="99">
        <f>L39*'R&amp;S - Buildings'!$D$7*'R&amp;S - Buildings'!$B$11*'R&amp;S - Buildings'!$B$15*('Yearly Methanol'!L$3-'Yearly Methanol'!$D$3)/10</f>
        <v>12064.691862016058</v>
      </c>
      <c r="M40" s="99">
        <f>M39*'R&amp;S - Buildings'!$D$7*'R&amp;S - Buildings'!$B$11*'R&amp;S - Buildings'!$B$15*('Yearly Methanol'!M$3-'Yearly Methanol'!$D$3)/10</f>
        <v>13478.202385556782</v>
      </c>
      <c r="N40" s="99">
        <f>N39*'R&amp;S - Buildings'!$D$7*'R&amp;S - Buildings'!$B$11*'R&amp;S - Buildings'!$B$15*('Yearly Methanol'!N$3-'Yearly Methanol'!$D$3)/10</f>
        <v>14871.42826386711</v>
      </c>
      <c r="O40" s="99">
        <f>O39*'R&amp;S - Buildings'!$D$7*('R&amp;S - Buildings'!$B$11*('R&amp;S - Buildings'!$B$15+('R&amp;S - Buildings'!$B$16-'R&amp;S - Buildings'!$B$15)*('Yearly Methanol'!O$3-'Yearly Methanol'!$N$3)/10))</f>
        <v>16244.583554843786</v>
      </c>
      <c r="P40" s="99">
        <f>P39*'R&amp;S - Buildings'!$D$7*('R&amp;S - Buildings'!$B$11*('R&amp;S - Buildings'!$B$15+('R&amp;S - Buildings'!$B$16-'R&amp;S - Buildings'!$B$15)*('Yearly Methanol'!P$3-'Yearly Methanol'!$N$3)/10))</f>
        <v>17597.880318144595</v>
      </c>
      <c r="Q40" s="99">
        <f>Q39*'R&amp;S - Buildings'!$D$7*('R&amp;S - Buildings'!$B$11*('R&amp;S - Buildings'!$B$15+('R&amp;S - Buildings'!$B$16-'R&amp;S - Buildings'!$B$15)*('Yearly Methanol'!Q$3-'Yearly Methanol'!$N$3)/10))</f>
        <v>18931.528632642679</v>
      </c>
      <c r="R40" s="99">
        <f>R39*'R&amp;S - Buildings'!$D$7*('R&amp;S - Buildings'!$B$11*('R&amp;S - Buildings'!$B$15+('R&amp;S - Buildings'!$B$16-'R&amp;S - Buildings'!$B$15)*('Yearly Methanol'!R$3-'Yearly Methanol'!$N$3)/10))</f>
        <v>20245.736613734716</v>
      </c>
      <c r="S40" s="99">
        <f>S39*'R&amp;S - Buildings'!$D$7*('R&amp;S - Buildings'!$B$11*('R&amp;S - Buildings'!$B$15+('R&amp;S - Buildings'!$B$16-'R&amp;S - Buildings'!$B$15)*('Yearly Methanol'!S$3-'Yearly Methanol'!$N$3)/10))</f>
        <v>21540.710430504016</v>
      </c>
      <c r="T40" s="99">
        <f>T39*'R&amp;S - Buildings'!$D$7*('R&amp;S - Buildings'!$B$11*('R&amp;S - Buildings'!$B$15+('R&amp;S - Buildings'!$B$16-'R&amp;S - Buildings'!$B$15)*('Yearly Methanol'!T$3-'Yearly Methanol'!$N$3)/10))</f>
        <v>22816.65432273976</v>
      </c>
      <c r="U40" s="99">
        <f>U39*'R&amp;S - Buildings'!$D$7*('R&amp;S - Buildings'!$B$11*('R&amp;S - Buildings'!$B$15+('R&amp;S - Buildings'!$B$16-'R&amp;S - Buildings'!$B$15)*('Yearly Methanol'!U$3-'Yearly Methanol'!$N$3)/10))</f>
        <v>24073.770617813585</v>
      </c>
      <c r="V40" s="99">
        <f>V39*'R&amp;S - Buildings'!$D$7*('R&amp;S - Buildings'!$B$11*('R&amp;S - Buildings'!$B$15+('R&amp;S - Buildings'!$B$16-'R&amp;S - Buildings'!$B$15)*('Yearly Methanol'!V$3-'Yearly Methanol'!$N$3)/10))</f>
        <v>25312.259747414635</v>
      </c>
      <c r="W40" s="99">
        <f>W39*'R&amp;S - Buildings'!$D$7*('R&amp;S - Buildings'!$B$11*('R&amp;S - Buildings'!$B$15+('R&amp;S - Buildings'!$B$16-'R&amp;S - Buildings'!$B$15)*('Yearly Methanol'!W$3-'Yearly Methanol'!$N$3)/10))</f>
        <v>26532.320264144226</v>
      </c>
      <c r="X40" s="99">
        <f>X39*'R&amp;S - Buildings'!$D$7*('R&amp;S - Buildings'!$B$11*('R&amp;S - Buildings'!$B$15+('R&amp;S - Buildings'!$B$16-'R&amp;S - Buildings'!$B$15)*('Yearly Methanol'!X$3-'Yearly Methanol'!$N$3)/10))</f>
        <v>27734.148857971359</v>
      </c>
      <c r="Y40" s="99">
        <f>Y39*'R&amp;S - Buildings'!$D$7*('R&amp;S - Buildings'!$B$11*('R&amp;S - Buildings'!$B$16+('R&amp;S - Buildings'!$B$17-'R&amp;S - Buildings'!$B$16)*('Yearly Methanol'!Y$3-'Yearly Methanol'!$X$3)/10))</f>
        <v>28959.669002236256</v>
      </c>
      <c r="Z40" s="99">
        <f>Z39*'R&amp;S - Buildings'!$D$7*('R&amp;S - Buildings'!$B$11*('R&amp;S - Buildings'!$B$16+('R&amp;S - Buildings'!$B$17-'R&amp;S - Buildings'!$B$16)*('Yearly Methanol'!Z$3-'Yearly Methanol'!$X$3)/10))</f>
        <v>30166.763545425594</v>
      </c>
      <c r="AA40" s="99">
        <f>AA39*'R&amp;S - Buildings'!$D$7*('R&amp;S - Buildings'!$B$11*('R&amp;S - Buildings'!$B$16+('R&amp;S - Buildings'!$B$17-'R&amp;S - Buildings'!$B$16)*('Yearly Methanol'!AA$3-'Yearly Methanol'!$X$3)/10))</f>
        <v>31355.629765230249</v>
      </c>
      <c r="AB40" s="99">
        <f>AB39*'R&amp;S - Buildings'!$D$7*('R&amp;S - Buildings'!$B$11*('R&amp;S - Buildings'!$B$16+('R&amp;S - Buildings'!$B$17-'R&amp;S - Buildings'!$B$16)*('Yearly Methanol'!AB$3-'Yearly Methanol'!$X$3)/10))</f>
        <v>32526.463084689301</v>
      </c>
      <c r="AC40" s="99">
        <f>AC39*'R&amp;S - Buildings'!$D$7*('R&amp;S - Buildings'!$B$11*('R&amp;S - Buildings'!$B$16+('R&amp;S - Buildings'!$B$17-'R&amp;S - Buildings'!$B$16)*('Yearly Methanol'!AC$3-'Yearly Methanol'!$X$3)/10))</f>
        <v>33679.457088458119</v>
      </c>
      <c r="AD40" s="99">
        <f>AD39*'R&amp;S - Buildings'!$D$7*('R&amp;S - Buildings'!$B$11*('R&amp;S - Buildings'!$B$16+('R&amp;S - Buildings'!$B$17-'R&amp;S - Buildings'!$B$16)*('Yearly Methanol'!AD$3-'Yearly Methanol'!$X$3)/10))</f>
        <v>34814.803538939763</v>
      </c>
      <c r="AE40" s="99">
        <f>AE39*'R&amp;S - Buildings'!$D$7*('R&amp;S - Buildings'!$B$11*('R&amp;S - Buildings'!$B$16+('R&amp;S - Buildings'!$B$17-'R&amp;S - Buildings'!$B$16)*('Yearly Methanol'!AE$3-'Yearly Methanol'!$X$3)/10))</f>
        <v>35932.692392280806</v>
      </c>
      <c r="AF40" s="99">
        <f>AF39*'R&amp;S - Buildings'!$D$7*('R&amp;S - Buildings'!$B$11*('R&amp;S - Buildings'!$B$16+('R&amp;S - Buildings'!$B$17-'R&amp;S - Buildings'!$B$16)*('Yearly Methanol'!AF$3-'Yearly Methanol'!$X$3)/10))</f>
        <v>37033.311814232766</v>
      </c>
      <c r="AG40" s="99">
        <f>AG39*'R&amp;S - Buildings'!$D$7*('R&amp;S - Buildings'!$B$11*('R&amp;S - Buildings'!$B$16+('R&amp;S - Buildings'!$B$17-'R&amp;S - Buildings'!$B$16)*('Yearly Methanol'!AG$3-'Yearly Methanol'!$X$3)/10))</f>
        <v>38116.848195880149</v>
      </c>
      <c r="AH40" s="99">
        <f>AH39*'R&amp;S - Buildings'!$D$7*('R&amp;S - Buildings'!$B$11*('R&amp;S - Buildings'!$B$16+('R&amp;S - Buildings'!$B$17-'R&amp;S - Buildings'!$B$16)*('Yearly Methanol'!AH$3-'Yearly Methanol'!$X$3)/10))</f>
        <v>39183.486169236246</v>
      </c>
      <c r="AI40" s="99"/>
      <c r="AJ40" s="99">
        <v>0</v>
      </c>
      <c r="AK40" s="99">
        <f>AK39*'R&amp;S - Buildings'!$D$7*'R&amp;S - Buildings'!$B$12*'R&amp;S - Buildings'!$B$15*('Yearly Methanol'!AK$3-'Yearly Methanol'!$D$3)/10</f>
        <v>633.4957744676683</v>
      </c>
      <c r="AL40" s="99">
        <f>AL39*'R&amp;S - Buildings'!$D$7*'R&amp;S - Buildings'!$B$12*'R&amp;S - Buildings'!$B$15*('Yearly Methanol'!AL$3-'Yearly Methanol'!$D$3)/10</f>
        <v>1258.1630734375883</v>
      </c>
      <c r="AM40" s="99">
        <f>AM39*'R&amp;S - Buildings'!$D$7*'R&amp;S - Buildings'!$B$12*'R&amp;S - Buildings'!$B$15*('Yearly Methanol'!AM$3-'Yearly Methanol'!$D$3)/10</f>
        <v>1874.0941729549475</v>
      </c>
      <c r="AN40" s="99">
        <f>AN39*'R&amp;S - Buildings'!$D$7*'R&amp;S - Buildings'!$B$12*'R&amp;S - Buildings'!$B$15*('Yearly Methanol'!AN$3-'Yearly Methanol'!$D$3)/10</f>
        <v>2481.3804917513453</v>
      </c>
      <c r="AO40" s="99">
        <f>AO39*'R&amp;S - Buildings'!$D$7*'R&amp;S - Buildings'!$B$12*'R&amp;S - Buildings'!$B$15*('Yearly Methanol'!AO$3-'Yearly Methanol'!$D$3)/10</f>
        <v>3080.1125987120568</v>
      </c>
      <c r="AP40" s="99">
        <f>AP39*'R&amp;S - Buildings'!$D$7*'R&amp;S - Buildings'!$B$12*'R&amp;S - Buildings'!$B$15*('Yearly Methanol'!AP$3-'Yearly Methanol'!$D$3)/10</f>
        <v>3670.3802202808683</v>
      </c>
      <c r="AQ40" s="99">
        <f>AQ39*'R&amp;S - Buildings'!$D$7*'R&amp;S - Buildings'!$B$12*'R&amp;S - Buildings'!$B$15*('Yearly Methanol'!AQ$3-'Yearly Methanol'!$D$3)/10</f>
        <v>4252.2722478029691</v>
      </c>
      <c r="AR40" s="99">
        <f>AR39*'R&amp;S - Buildings'!$D$7*'R&amp;S - Buildings'!$B$12*'R&amp;S - Buildings'!$B$15*('Yearly Methanol'!AR$3-'Yearly Methanol'!$D$3)/10</f>
        <v>4825.8767448064227</v>
      </c>
      <c r="AS40" s="99">
        <f>AS39*'R&amp;S - Buildings'!$D$7*'R&amp;S - Buildings'!$B$12*'R&amp;S - Buildings'!$B$15*('Yearly Methanol'!AS$3-'Yearly Methanol'!$D$3)/10</f>
        <v>5391.2809542227133</v>
      </c>
      <c r="AT40" s="99">
        <f>AT39*'R&amp;S - Buildings'!$D$7*'R&amp;S - Buildings'!$B$12*'R&amp;S - Buildings'!$B$15*('Yearly Methanol'!AT$3-'Yearly Methanol'!$D$3)/10</f>
        <v>5948.5713055468432</v>
      </c>
      <c r="AU40" s="99">
        <f>AU39*'R&amp;S - Buildings'!$D$7*('R&amp;S - Buildings'!$B$12*('R&amp;S - Buildings'!$B$15+('R&amp;S - Buildings'!$B$16-'R&amp;S - Buildings'!$B$15)*('Yearly Methanol'!AU$3-'Yearly Methanol'!$N$3)/10))</f>
        <v>6497.8334219375147</v>
      </c>
      <c r="AV40" s="99">
        <f>AV39*'R&amp;S - Buildings'!$D$7*('R&amp;S - Buildings'!$B$12*('R&amp;S - Buildings'!$B$15+('R&amp;S - Buildings'!$B$16-'R&amp;S - Buildings'!$B$15)*('Yearly Methanol'!AV$3-'Yearly Methanol'!$N$3)/10))</f>
        <v>7039.1521272578366</v>
      </c>
      <c r="AW40" s="99">
        <f>AW39*'R&amp;S - Buildings'!$D$7*('R&amp;S - Buildings'!$B$12*('R&amp;S - Buildings'!$B$15+('R&amp;S - Buildings'!$B$16-'R&amp;S - Buildings'!$B$15)*('Yearly Methanol'!AW$3-'Yearly Methanol'!$N$3)/10))</f>
        <v>7572.6114530570712</v>
      </c>
      <c r="AX40" s="99">
        <f>AX39*'R&amp;S - Buildings'!$D$7*('R&amp;S - Buildings'!$B$12*('R&amp;S - Buildings'!$B$15+('R&amp;S - Buildings'!$B$16-'R&amp;S - Buildings'!$B$15)*('Yearly Methanol'!AX$3-'Yearly Methanol'!$N$3)/10))</f>
        <v>8098.2946454938865</v>
      </c>
      <c r="AY40" s="99">
        <f>AY39*'R&amp;S - Buildings'!$D$7*('R&amp;S - Buildings'!$B$12*('R&amp;S - Buildings'!$B$15+('R&amp;S - Buildings'!$B$16-'R&amp;S - Buildings'!$B$15)*('Yearly Methanol'!AY$3-'Yearly Methanol'!$N$3)/10))</f>
        <v>8616.2841722016055</v>
      </c>
      <c r="AZ40" s="99">
        <f>AZ39*'R&amp;S - Buildings'!$D$7*('R&amp;S - Buildings'!$B$12*('R&amp;S - Buildings'!$B$15+('R&amp;S - Buildings'!$B$16-'R&amp;S - Buildings'!$B$15)*('Yearly Methanol'!AZ$3-'Yearly Methanol'!$N$3)/10))</f>
        <v>9126.6617290959039</v>
      </c>
      <c r="BA40" s="99">
        <f>BA39*'R&amp;S - Buildings'!$D$7*('R&amp;S - Buildings'!$B$12*('R&amp;S - Buildings'!$B$15+('R&amp;S - Buildings'!$B$16-'R&amp;S - Buildings'!$B$15)*('Yearly Methanol'!BA$3-'Yearly Methanol'!$N$3)/10))</f>
        <v>9629.5082471254336</v>
      </c>
      <c r="BB40" s="99">
        <f>BB39*'R&amp;S - Buildings'!$D$7*('R&amp;S - Buildings'!$B$12*('R&amp;S - Buildings'!$B$15+('R&amp;S - Buildings'!$B$16-'R&amp;S - Buildings'!$B$15)*('Yearly Methanol'!BB$3-'Yearly Methanol'!$N$3)/10))</f>
        <v>10124.903898965853</v>
      </c>
      <c r="BC40" s="99">
        <f>BC39*'R&amp;S - Buildings'!$D$7*('R&amp;S - Buildings'!$B$12*('R&amp;S - Buildings'!$B$15+('R&amp;S - Buildings'!$B$16-'R&amp;S - Buildings'!$B$15)*('Yearly Methanol'!BC$3-'Yearly Methanol'!$N$3)/10))</f>
        <v>10612.928105657689</v>
      </c>
      <c r="BD40" s="99">
        <f>BD39*'R&amp;S - Buildings'!$D$7*('R&amp;S - Buildings'!$B$12*('R&amp;S - Buildings'!$B$15+('R&amp;S - Buildings'!$B$16-'R&amp;S - Buildings'!$B$15)*('Yearly Methanol'!BD$3-'Yearly Methanol'!$N$3)/10))</f>
        <v>11093.659543188543</v>
      </c>
      <c r="BE40" s="99">
        <f>BE39*'R&amp;S - Buildings'!$D$7*('R&amp;S - Buildings'!$B$12*('R&amp;S - Buildings'!$B$16+('R&amp;S - Buildings'!$B$17-'R&amp;S - Buildings'!$B$16)*('Yearly Methanol'!BE$3-'Yearly Methanol'!$X$3)/10))</f>
        <v>11583.867600894502</v>
      </c>
      <c r="BF40" s="99">
        <f>BF39*'R&amp;S - Buildings'!$D$7*('R&amp;S - Buildings'!$B$12*('R&amp;S - Buildings'!$B$16+('R&amp;S - Buildings'!$B$17-'R&amp;S - Buildings'!$B$16)*('Yearly Methanol'!BF$3-'Yearly Methanol'!$X$3)/10))</f>
        <v>12066.705418170237</v>
      </c>
      <c r="BG40" s="99">
        <f>BG39*'R&amp;S - Buildings'!$D$7*('R&amp;S - Buildings'!$B$12*('R&amp;S - Buildings'!$B$16+('R&amp;S - Buildings'!$B$17-'R&amp;S - Buildings'!$B$16)*('Yearly Methanol'!BG$3-'Yearly Methanol'!$X$3)/10))</f>
        <v>12542.251906092099</v>
      </c>
      <c r="BH40" s="99">
        <f>BH39*'R&amp;S - Buildings'!$D$7*('R&amp;S - Buildings'!$B$12*('R&amp;S - Buildings'!$B$16+('R&amp;S - Buildings'!$B$17-'R&amp;S - Buildings'!$B$16)*('Yearly Methanol'!BH$3-'Yearly Methanol'!$X$3)/10))</f>
        <v>13010.585233875719</v>
      </c>
      <c r="BI40" s="99">
        <f>BI39*'R&amp;S - Buildings'!$D$7*('R&amp;S - Buildings'!$B$12*('R&amp;S - Buildings'!$B$16+('R&amp;S - Buildings'!$B$17-'R&amp;S - Buildings'!$B$16)*('Yearly Methanol'!BI$3-'Yearly Methanol'!$X$3)/10))</f>
        <v>13471.782835383246</v>
      </c>
      <c r="BJ40" s="99">
        <f>BJ39*'R&amp;S - Buildings'!$D$7*('R&amp;S - Buildings'!$B$12*('R&amp;S - Buildings'!$B$16+('R&amp;S - Buildings'!$B$17-'R&amp;S - Buildings'!$B$16)*('Yearly Methanol'!BJ$3-'Yearly Methanol'!$X$3)/10))</f>
        <v>13925.921415575904</v>
      </c>
      <c r="BK40" s="99">
        <f>BK39*'R&amp;S - Buildings'!$D$7*('R&amp;S - Buildings'!$B$12*('R&amp;S - Buildings'!$B$16+('R&amp;S - Buildings'!$B$17-'R&amp;S - Buildings'!$B$16)*('Yearly Methanol'!BK$3-'Yearly Methanol'!$X$3)/10))</f>
        <v>14373.07695691232</v>
      </c>
      <c r="BL40" s="99">
        <f>BL39*'R&amp;S - Buildings'!$D$7*('R&amp;S - Buildings'!$B$12*('R&amp;S - Buildings'!$B$16+('R&amp;S - Buildings'!$B$17-'R&amp;S - Buildings'!$B$16)*('Yearly Methanol'!BL$3-'Yearly Methanol'!$X$3)/10))</f>
        <v>14813.324725693106</v>
      </c>
      <c r="BM40" s="99">
        <f>BM39*'R&amp;S - Buildings'!$D$7*('R&amp;S - Buildings'!$B$12*('R&amp;S - Buildings'!$B$16+('R&amp;S - Buildings'!$B$17-'R&amp;S - Buildings'!$B$16)*('Yearly Methanol'!BM$3-'Yearly Methanol'!$X$3)/10))</f>
        <v>15246.739278352059</v>
      </c>
      <c r="BN40" s="99">
        <f>BN39*'R&amp;S - Buildings'!$D$7*('R&amp;S - Buildings'!$B$12*('R&amp;S - Buildings'!$B$16+('R&amp;S - Buildings'!$B$17-'R&amp;S - Buildings'!$B$16)*('Yearly Methanol'!BN$3-'Yearly Methanol'!$X$3)/10))</f>
        <v>15673.394467694498</v>
      </c>
    </row>
    <row r="41" spans="1:90">
      <c r="B41" s="1" t="s">
        <v>172</v>
      </c>
      <c r="C41" s="50" t="s">
        <v>1420</v>
      </c>
      <c r="D41" s="99">
        <v>0</v>
      </c>
      <c r="E41" s="99">
        <f>E39*'R&amp;S - Buildings'!$D$8*'R&amp;S - Buildings'!$C$11*'R&amp;S - Buildings'!$B$15*('Yearly Methanol'!E$3-'Yearly Methanol'!$D$3)/10</f>
        <v>515.80559380930288</v>
      </c>
      <c r="F41" s="99">
        <f>F39*'R&amp;S - Buildings'!$D$8*'R&amp;S - Buildings'!$C$11*'R&amp;S - Buildings'!$B$15*('Yearly Methanol'!F$3-'Yearly Methanol'!$D$3)/10</f>
        <v>1024.4228570407527</v>
      </c>
      <c r="G41" s="99">
        <f>G39*'R&amp;S - Buildings'!$D$8*'R&amp;S - Buildings'!$C$11*'R&amp;S - Buildings'!$B$15*('Yearly Methanol'!G$3-'Yearly Methanol'!$D$3)/10</f>
        <v>1525.9269227926277</v>
      </c>
      <c r="H41" s="99">
        <f>H39*'R&amp;S - Buildings'!$D$8*'R&amp;S - Buildings'!$C$11*'R&amp;S - Buildings'!$B$15*('Yearly Methanol'!H$3-'Yearly Methanol'!$D$3)/10</f>
        <v>2020.392226120437</v>
      </c>
      <c r="I41" s="99">
        <f>I39*'R&amp;S - Buildings'!$D$8*'R&amp;S - Buildings'!$C$11*'R&amp;S - Buildings'!$B$15*('Yearly Methanol'!I$3-'Yearly Methanol'!$D$3)/10</f>
        <v>2507.8925101169284</v>
      </c>
      <c r="J41" s="99">
        <f>J39*'R&amp;S - Buildings'!$D$8*'R&amp;S - Buildings'!$C$11*'R&amp;S - Buildings'!$B$15*('Yearly Methanol'!J$3-'Yearly Methanol'!$D$3)/10</f>
        <v>2988.5008319412509</v>
      </c>
      <c r="K41" s="99">
        <f>K39*'R&amp;S - Buildings'!$D$8*'R&amp;S - Buildings'!$C$11*'R&amp;S - Buildings'!$B$15*('Yearly Methanol'!K$3-'Yearly Methanol'!$D$3)/10</f>
        <v>3462.2895687977025</v>
      </c>
      <c r="L41" s="99">
        <f>L39*'R&amp;S - Buildings'!$D$8*'R&amp;S - Buildings'!$C$11*'R&amp;S - Buildings'!$B$15*('Yearly Methanol'!L$3-'Yearly Methanol'!$D$3)/10</f>
        <v>3929.3304238644537</v>
      </c>
      <c r="M41" s="99">
        <f>M39*'R&amp;S - Buildings'!$D$8*'R&amp;S - Buildings'!$C$11*'R&amp;S - Buildings'!$B$15*('Yearly Methanol'!M$3-'Yearly Methanol'!$D$3)/10</f>
        <v>4389.6944321726623</v>
      </c>
      <c r="N41" s="99">
        <f>N39*'R&amp;S - Buildings'!$D$8*'R&amp;S - Buildings'!$C$11*'R&amp;S - Buildings'!$B$15*('Yearly Methanol'!N$3-'Yearly Methanol'!$D$3)/10</f>
        <v>4843.4519664363879</v>
      </c>
      <c r="O41" s="99">
        <f>O39*'R&amp;S - Buildings'!$D$8*'R&amp;S - Buildings'!$C$11*('R&amp;S - Buildings'!$B$15+('R&amp;S - Buildings'!$B$16-'R&amp;S - Buildings'!$B$15)*('Yearly Methanol'!O$3-'Yearly Methanol'!$N$3)/10)</f>
        <v>5290.6727428336962</v>
      </c>
      <c r="P41" s="99">
        <f>P39*'R&amp;S - Buildings'!$D$8*'R&amp;S - Buildings'!$C$11*('R&amp;S - Buildings'!$B$15+('R&amp;S - Buildings'!$B$16-'R&amp;S - Buildings'!$B$15)*('Yearly Methanol'!P$3-'Yearly Methanol'!$N$3)/10)</f>
        <v>5731.4258267393607</v>
      </c>
      <c r="Q41" s="99">
        <f>Q39*'R&amp;S - Buildings'!$D$8*'R&amp;S - Buildings'!$C$11*('R&amp;S - Buildings'!$B$15+('R&amp;S - Buildings'!$B$16-'R&amp;S - Buildings'!$B$15)*('Yearly Methanol'!Q$3-'Yearly Methanol'!$N$3)/10)</f>
        <v>6165.7796384095409</v>
      </c>
      <c r="R41" s="99">
        <f>R39*'R&amp;S - Buildings'!$D$8*'R&amp;S - Buildings'!$C$11*('R&amp;S - Buildings'!$B$15+('R&amp;S - Buildings'!$B$16-'R&amp;S - Buildings'!$B$15)*('Yearly Methanol'!R$3-'Yearly Methanol'!$N$3)/10)</f>
        <v>6593.8019586188448</v>
      </c>
      <c r="S41" s="99">
        <f>S39*'R&amp;S - Buildings'!$D$8*'R&amp;S - Buildings'!$C$11*('R&amp;S - Buildings'!$B$15+('R&amp;S - Buildings'!$B$16-'R&amp;S - Buildings'!$B$15)*('Yearly Methanol'!S$3-'Yearly Methanol'!$N$3)/10)</f>
        <v>7015.5599342501582</v>
      </c>
      <c r="T41" s="99">
        <f>T39*'R&amp;S - Buildings'!$D$8*'R&amp;S - Buildings'!$C$11*('R&amp;S - Buildings'!$B$15+('R&amp;S - Buildings'!$B$16-'R&amp;S - Buildings'!$B$15)*('Yearly Methanol'!T$3-'Yearly Methanol'!$N$3)/10)</f>
        <v>7431.1200838376126</v>
      </c>
      <c r="U41" s="99">
        <f>U39*'R&amp;S - Buildings'!$D$8*'R&amp;S - Buildings'!$C$11*('R&amp;S - Buildings'!$B$15+('R&amp;S - Buildings'!$B$16-'R&amp;S - Buildings'!$B$15)*('Yearly Methanol'!U$3-'Yearly Methanol'!$N$3)/10)</f>
        <v>7840.5483030630912</v>
      </c>
      <c r="V41" s="99">
        <f>V39*'R&amp;S - Buildings'!$D$8*'R&amp;S - Buildings'!$C$11*('R&amp;S - Buildings'!$B$15+('R&amp;S - Buildings'!$B$16-'R&amp;S - Buildings'!$B$15)*('Yearly Methanol'!V$3-'Yearly Methanol'!$N$3)/10)</f>
        <v>8243.9098702066385</v>
      </c>
      <c r="W41" s="99">
        <f>W39*'R&amp;S - Buildings'!$D$8*'R&amp;S - Buildings'!$C$11*('R&amp;S - Buildings'!$B$15+('R&amp;S - Buildings'!$B$16-'R&amp;S - Buildings'!$B$15)*('Yearly Methanol'!W$3-'Yearly Methanol'!$N$3)/10)</f>
        <v>8641.269451551163</v>
      </c>
      <c r="X41" s="99">
        <f>X39*'R&amp;S - Buildings'!$D$8*'R&amp;S - Buildings'!$C$11*('R&amp;S - Buildings'!$B$15+('R&amp;S - Buildings'!$B$16-'R&amp;S - Buildings'!$B$15)*('Yearly Methanol'!X$3-'Yearly Methanol'!$N$3)/10)</f>
        <v>9032.6911067417859</v>
      </c>
      <c r="Y41" s="99">
        <f>Y39*'R&amp;S - Buildings'!$D$8*'R&amp;S - Buildings'!$C$11*('R&amp;S - Buildings'!$B$16+('R&amp;S - Buildings'!$B$17-'R&amp;S - Buildings'!$B$16)*('Yearly Methanol'!Y$3-'Yearly Methanol'!$X$3)/10)</f>
        <v>9431.8288255491461</v>
      </c>
      <c r="Z41" s="99">
        <f>Z39*'R&amp;S - Buildings'!$D$8*'R&amp;S - Buildings'!$C$11*('R&amp;S - Buildings'!$B$16+('R&amp;S - Buildings'!$B$17-'R&amp;S - Buildings'!$B$16)*('Yearly Methanol'!Z$3-'Yearly Methanol'!$X$3)/10)</f>
        <v>9824.965539464527</v>
      </c>
      <c r="AA41" s="99">
        <f>AA39*'R&amp;S - Buildings'!$D$8*'R&amp;S - Buildings'!$C$11*('R&amp;S - Buildings'!$B$16+('R&amp;S - Buildings'!$B$17-'R&amp;S - Buildings'!$B$16)*('Yearly Methanol'!AA$3-'Yearly Methanol'!$X$3)/10)</f>
        <v>10212.165499547265</v>
      </c>
      <c r="AB41" s="99">
        <f>AB39*'R&amp;S - Buildings'!$D$8*'R&amp;S - Buildings'!$C$11*('R&amp;S - Buildings'!$B$16+('R&amp;S - Buildings'!$B$17-'R&amp;S - Buildings'!$B$16)*('Yearly Methanol'!AB$3-'Yearly Methanol'!$X$3)/10)</f>
        <v>10593.492352818086</v>
      </c>
      <c r="AC41" s="99">
        <f>AC39*'R&amp;S - Buildings'!$D$8*'R&amp;S - Buildings'!$C$11*('R&amp;S - Buildings'!$B$16+('R&amp;S - Buildings'!$B$17-'R&amp;S - Buildings'!$B$16)*('Yearly Methanol'!AC$3-'Yearly Methanol'!$X$3)/10)</f>
        <v>10969.009147557428</v>
      </c>
      <c r="AD41" s="99">
        <f>AD39*'R&amp;S - Buildings'!$D$8*'R&amp;S - Buildings'!$C$11*('R&amp;S - Buildings'!$B$16+('R&amp;S - Buildings'!$B$17-'R&amp;S - Buildings'!$B$16)*('Yearly Methanol'!AD$3-'Yearly Methanol'!$X$3)/10)</f>
        <v>11338.778338559257</v>
      </c>
      <c r="AE41" s="99">
        <f>AE39*'R&amp;S - Buildings'!$D$8*'R&amp;S - Buildings'!$C$11*('R&amp;S - Buildings'!$B$16+('R&amp;S - Buildings'!$B$17-'R&amp;S - Buildings'!$B$16)*('Yearly Methanol'!AE$3-'Yearly Methanol'!$X$3)/10)</f>
        <v>11702.86179234072</v>
      </c>
      <c r="AF41" s="99">
        <f>AF39*'R&amp;S - Buildings'!$D$8*'R&amp;S - Buildings'!$C$11*('R&amp;S - Buildings'!$B$16+('R&amp;S - Buildings'!$B$17-'R&amp;S - Buildings'!$B$16)*('Yearly Methanol'!AF$3-'Yearly Methanol'!$X$3)/10)</f>
        <v>12061.320792308024</v>
      </c>
      <c r="AG41" s="99">
        <f>AG39*'R&amp;S - Buildings'!$D$8*'R&amp;S - Buildings'!$C$11*('R&amp;S - Buildings'!$B$16+('R&amp;S - Buildings'!$B$17-'R&amp;S - Buildings'!$B$16)*('Yearly Methanol'!AG$3-'Yearly Methanol'!$X$3)/10)</f>
        <v>12414.216043878885</v>
      </c>
      <c r="AH41" s="99">
        <f>AH39*'R&amp;S - Buildings'!$D$8*'R&amp;S - Buildings'!$C$11*('R&amp;S - Buildings'!$B$16+('R&amp;S - Buildings'!$B$17-'R&amp;S - Buildings'!$B$16)*('Yearly Methanol'!AH$3-'Yearly Methanol'!$X$3)/10)</f>
        <v>12761.607679561894</v>
      </c>
      <c r="AI41" s="99"/>
      <c r="AJ41" s="99">
        <v>0</v>
      </c>
      <c r="AK41" s="99">
        <f>AK39*'R&amp;S - Buildings'!$D$8*'R&amp;S - Buildings'!$C$12*'R&amp;S - Buildings'!$B$15*('Yearly Methanol'!AK$3-'Yearly Methanol'!$D$3)/10</f>
        <v>257.90279690465144</v>
      </c>
      <c r="AL41" s="99">
        <f>AL39*'R&amp;S - Buildings'!$D$8*'R&amp;S - Buildings'!$C$12*'R&amp;S - Buildings'!$B$15*('Yearly Methanol'!AL$3-'Yearly Methanol'!$D$3)/10</f>
        <v>512.21142852037633</v>
      </c>
      <c r="AM41" s="99">
        <f>AM39*'R&amp;S - Buildings'!$D$8*'R&amp;S - Buildings'!$C$12*'R&amp;S - Buildings'!$B$15*('Yearly Methanol'!AM$3-'Yearly Methanol'!$D$3)/10</f>
        <v>762.96346139631385</v>
      </c>
      <c r="AN41" s="99">
        <f>AN39*'R&amp;S - Buildings'!$D$8*'R&amp;S - Buildings'!$C$12*'R&amp;S - Buildings'!$B$15*('Yearly Methanol'!AN$3-'Yearly Methanol'!$D$3)/10</f>
        <v>1010.1961130602185</v>
      </c>
      <c r="AO41" s="99">
        <f>AO39*'R&amp;S - Buildings'!$D$8*'R&amp;S - Buildings'!$C$12*'R&amp;S - Buildings'!$B$15*('Yearly Methanol'!AO$3-'Yearly Methanol'!$D$3)/10</f>
        <v>1253.9462550584642</v>
      </c>
      <c r="AP41" s="99">
        <f>AP39*'R&amp;S - Buildings'!$D$8*'R&amp;S - Buildings'!$C$12*'R&amp;S - Buildings'!$B$15*('Yearly Methanol'!AP$3-'Yearly Methanol'!$D$3)/10</f>
        <v>1494.2504159706255</v>
      </c>
      <c r="AQ41" s="99">
        <f>AQ39*'R&amp;S - Buildings'!$D$8*'R&amp;S - Buildings'!$C$12*'R&amp;S - Buildings'!$B$15*('Yearly Methanol'!AQ$3-'Yearly Methanol'!$D$3)/10</f>
        <v>1731.1447843988512</v>
      </c>
      <c r="AR41" s="99">
        <f>AR39*'R&amp;S - Buildings'!$D$8*'R&amp;S - Buildings'!$C$12*'R&amp;S - Buildings'!$B$15*('Yearly Methanol'!AR$3-'Yearly Methanol'!$D$3)/10</f>
        <v>1964.6652119322268</v>
      </c>
      <c r="AS41" s="99">
        <f>AS39*'R&amp;S - Buildings'!$D$8*'R&amp;S - Buildings'!$C$12*'R&amp;S - Buildings'!$B$15*('Yearly Methanol'!AS$3-'Yearly Methanol'!$D$3)/10</f>
        <v>2194.8472160863312</v>
      </c>
      <c r="AT41" s="99">
        <f>AT39*'R&amp;S - Buildings'!$D$8*'R&amp;S - Buildings'!$C$12*'R&amp;S - Buildings'!$B$15*('Yearly Methanol'!AT$3-'Yearly Methanol'!$D$3)/10</f>
        <v>2421.725983218194</v>
      </c>
      <c r="AU41" s="99">
        <f>AU39*'R&amp;S - Buildings'!$D$8*'R&amp;S - Buildings'!$C$12*('R&amp;S - Buildings'!$B$15+('R&amp;S - Buildings'!$B$16-'R&amp;S - Buildings'!$B$15)*('Yearly Methanol'!AU$3-'Yearly Methanol'!$N$3)/10)</f>
        <v>2645.3363714168481</v>
      </c>
      <c r="AV41" s="99">
        <f>AV39*'R&amp;S - Buildings'!$D$8*'R&amp;S - Buildings'!$C$12*('R&amp;S - Buildings'!$B$15+('R&amp;S - Buildings'!$B$16-'R&amp;S - Buildings'!$B$15)*('Yearly Methanol'!AV$3-'Yearly Methanol'!$N$3)/10)</f>
        <v>2865.7129133696803</v>
      </c>
      <c r="AW41" s="99">
        <f>AW39*'R&amp;S - Buildings'!$D$8*'R&amp;S - Buildings'!$C$12*('R&amp;S - Buildings'!$B$15+('R&amp;S - Buildings'!$B$16-'R&amp;S - Buildings'!$B$15)*('Yearly Methanol'!AW$3-'Yearly Methanol'!$N$3)/10)</f>
        <v>3082.8898192047704</v>
      </c>
      <c r="AX41" s="99">
        <f>AX39*'R&amp;S - Buildings'!$D$8*'R&amp;S - Buildings'!$C$12*('R&amp;S - Buildings'!$B$15+('R&amp;S - Buildings'!$B$16-'R&amp;S - Buildings'!$B$15)*('Yearly Methanol'!AX$3-'Yearly Methanol'!$N$3)/10)</f>
        <v>3296.9009793094224</v>
      </c>
      <c r="AY41" s="99">
        <f>AY39*'R&amp;S - Buildings'!$D$8*'R&amp;S - Buildings'!$C$12*('R&amp;S - Buildings'!$B$15+('R&amp;S - Buildings'!$B$16-'R&amp;S - Buildings'!$B$15)*('Yearly Methanol'!AY$3-'Yearly Methanol'!$N$3)/10)</f>
        <v>3507.7799671250791</v>
      </c>
      <c r="AZ41" s="99">
        <f>AZ39*'R&amp;S - Buildings'!$D$8*'R&amp;S - Buildings'!$C$12*('R&amp;S - Buildings'!$B$15+('R&amp;S - Buildings'!$B$16-'R&amp;S - Buildings'!$B$15)*('Yearly Methanol'!AZ$3-'Yearly Methanol'!$N$3)/10)</f>
        <v>3715.5600419188063</v>
      </c>
      <c r="BA41" s="99">
        <f>BA39*'R&amp;S - Buildings'!$D$8*'R&amp;S - Buildings'!$C$12*('R&amp;S - Buildings'!$B$15+('R&amp;S - Buildings'!$B$16-'R&amp;S - Buildings'!$B$15)*('Yearly Methanol'!BA$3-'Yearly Methanol'!$N$3)/10)</f>
        <v>3920.2741515315456</v>
      </c>
      <c r="BB41" s="99">
        <f>BB39*'R&amp;S - Buildings'!$D$8*'R&amp;S - Buildings'!$C$12*('R&amp;S - Buildings'!$B$15+('R&amp;S - Buildings'!$B$16-'R&amp;S - Buildings'!$B$15)*('Yearly Methanol'!BB$3-'Yearly Methanol'!$N$3)/10)</f>
        <v>4121.9549351033193</v>
      </c>
      <c r="BC41" s="99">
        <f>BC39*'R&amp;S - Buildings'!$D$8*'R&amp;S - Buildings'!$C$12*('R&amp;S - Buildings'!$B$15+('R&amp;S - Buildings'!$B$16-'R&amp;S - Buildings'!$B$15)*('Yearly Methanol'!BC$3-'Yearly Methanol'!$N$3)/10)</f>
        <v>4320.6347257755815</v>
      </c>
      <c r="BD41" s="99">
        <f>BD39*'R&amp;S - Buildings'!$D$8*'R&amp;S - Buildings'!$C$12*('R&amp;S - Buildings'!$B$15+('R&amp;S - Buildings'!$B$16-'R&amp;S - Buildings'!$B$15)*('Yearly Methanol'!BD$3-'Yearly Methanol'!$N$3)/10)</f>
        <v>4516.345553370893</v>
      </c>
      <c r="BE41" s="99">
        <f>BE39*'R&amp;S - Buildings'!$D$8*'R&amp;S - Buildings'!$C$12*('R&amp;S - Buildings'!$B$16+('R&amp;S - Buildings'!$B$17-'R&amp;S - Buildings'!$B$16)*('Yearly Methanol'!BE$3-'Yearly Methanol'!$X$3)/10)</f>
        <v>4715.9144127745731</v>
      </c>
      <c r="BF41" s="99">
        <f>BF39*'R&amp;S - Buildings'!$D$8*'R&amp;S - Buildings'!$C$12*('R&amp;S - Buildings'!$B$16+('R&amp;S - Buildings'!$B$17-'R&amp;S - Buildings'!$B$16)*('Yearly Methanol'!BF$3-'Yearly Methanol'!$X$3)/10)</f>
        <v>4912.4827697322635</v>
      </c>
      <c r="BG41" s="99">
        <f>BG39*'R&amp;S - Buildings'!$D$8*'R&amp;S - Buildings'!$C$12*('R&amp;S - Buildings'!$B$16+('R&amp;S - Buildings'!$B$17-'R&amp;S - Buildings'!$B$16)*('Yearly Methanol'!BG$3-'Yearly Methanol'!$X$3)/10)</f>
        <v>5106.0827497736327</v>
      </c>
      <c r="BH41" s="99">
        <f>BH39*'R&amp;S - Buildings'!$D$8*'R&amp;S - Buildings'!$C$12*('R&amp;S - Buildings'!$B$16+('R&amp;S - Buildings'!$B$17-'R&amp;S - Buildings'!$B$16)*('Yearly Methanol'!BH$3-'Yearly Methanol'!$X$3)/10)</f>
        <v>5296.7461764090431</v>
      </c>
      <c r="BI41" s="99">
        <f>BI39*'R&amp;S - Buildings'!$D$8*'R&amp;S - Buildings'!$C$12*('R&amp;S - Buildings'!$B$16+('R&amp;S - Buildings'!$B$17-'R&amp;S - Buildings'!$B$16)*('Yearly Methanol'!BI$3-'Yearly Methanol'!$X$3)/10)</f>
        <v>5484.5045737787141</v>
      </c>
      <c r="BJ41" s="99">
        <f>BJ39*'R&amp;S - Buildings'!$D$8*'R&amp;S - Buildings'!$C$12*('R&amp;S - Buildings'!$B$16+('R&amp;S - Buildings'!$B$17-'R&amp;S - Buildings'!$B$16)*('Yearly Methanol'!BJ$3-'Yearly Methanol'!$X$3)/10)</f>
        <v>5669.3891692796287</v>
      </c>
      <c r="BK41" s="99">
        <f>BK39*'R&amp;S - Buildings'!$D$8*'R&amp;S - Buildings'!$C$12*('R&amp;S - Buildings'!$B$16+('R&amp;S - Buildings'!$B$17-'R&amp;S - Buildings'!$B$16)*('Yearly Methanol'!BK$3-'Yearly Methanol'!$X$3)/10)</f>
        <v>5851.43089617036</v>
      </c>
      <c r="BL41" s="99">
        <f>BL39*'R&amp;S - Buildings'!$D$8*'R&amp;S - Buildings'!$C$12*('R&amp;S - Buildings'!$B$16+('R&amp;S - Buildings'!$B$17-'R&amp;S - Buildings'!$B$16)*('Yearly Methanol'!BL$3-'Yearly Methanol'!$X$3)/10)</f>
        <v>6030.6603961540122</v>
      </c>
      <c r="BM41" s="99">
        <f>BM39*'R&amp;S - Buildings'!$D$8*'R&amp;S - Buildings'!$C$12*('R&amp;S - Buildings'!$B$16+('R&amp;S - Buildings'!$B$17-'R&amp;S - Buildings'!$B$16)*('Yearly Methanol'!BM$3-'Yearly Methanol'!$X$3)/10)</f>
        <v>6207.1080219394426</v>
      </c>
      <c r="BN41" s="99">
        <f>BN39*'R&amp;S - Buildings'!$D$8*'R&amp;S - Buildings'!$C$12*('R&amp;S - Buildings'!$B$16+('R&amp;S - Buildings'!$B$17-'R&amp;S - Buildings'!$B$16)*('Yearly Methanol'!BN$3-'Yearly Methanol'!$X$3)/10)</f>
        <v>6380.8038397809469</v>
      </c>
    </row>
    <row r="42" spans="1:90">
      <c r="B42" s="1" t="s">
        <v>200</v>
      </c>
      <c r="C42" s="60" t="s">
        <v>1420</v>
      </c>
      <c r="D42" s="574">
        <f>D39-D40-D41</f>
        <v>87870.659329283968</v>
      </c>
      <c r="E42" s="574">
        <f t="shared" ref="E42:AG42" si="336">E39-E40-E41</f>
        <v>85158.826108818801</v>
      </c>
      <c r="F42" s="574">
        <f t="shared" si="336"/>
        <v>82480.518869667489</v>
      </c>
      <c r="G42" s="574">
        <f t="shared" si="336"/>
        <v>79835.40205964772</v>
      </c>
      <c r="H42" s="574">
        <f t="shared" si="336"/>
        <v>77223.14317505715</v>
      </c>
      <c r="I42" s="574">
        <f t="shared" si="336"/>
        <v>74643.412734481914</v>
      </c>
      <c r="J42" s="574">
        <f t="shared" si="336"/>
        <v>72095.884252821881</v>
      </c>
      <c r="K42" s="574">
        <f t="shared" si="336"/>
        <v>69580.234215531338</v>
      </c>
      <c r="L42" s="574">
        <f t="shared" si="336"/>
        <v>67096.142053073054</v>
      </c>
      <c r="M42" s="574">
        <f t="shared" si="336"/>
        <v>64643.290115584183</v>
      </c>
      <c r="N42" s="574">
        <f t="shared" si="336"/>
        <v>62221.36364775218</v>
      </c>
      <c r="O42" s="574">
        <f t="shared" si="336"/>
        <v>59830.050763899206</v>
      </c>
      <c r="P42" s="574">
        <f t="shared" si="336"/>
        <v>57469.042423273029</v>
      </c>
      <c r="Q42" s="574">
        <f t="shared" si="336"/>
        <v>55138.032405543148</v>
      </c>
      <c r="R42" s="574">
        <f t="shared" si="336"/>
        <v>52836.717286500105</v>
      </c>
      <c r="S42" s="574">
        <f t="shared" si="336"/>
        <v>50564.796413956625</v>
      </c>
      <c r="T42" s="574">
        <f t="shared" si="336"/>
        <v>48321.97188384879</v>
      </c>
      <c r="U42" s="574">
        <f t="shared" si="336"/>
        <v>46107.948516535682</v>
      </c>
      <c r="V42" s="574">
        <f t="shared" si="336"/>
        <v>43922.433833295872</v>
      </c>
      <c r="W42" s="574">
        <f t="shared" si="336"/>
        <v>41765.138033019204</v>
      </c>
      <c r="X42" s="574">
        <f t="shared" si="336"/>
        <v>39635.773969092246</v>
      </c>
      <c r="Y42" s="574">
        <f t="shared" si="336"/>
        <v>37478.737965340741</v>
      </c>
      <c r="Z42" s="574">
        <f t="shared" si="336"/>
        <v>35349.838211377602</v>
      </c>
      <c r="AA42" s="574">
        <f t="shared" si="336"/>
        <v>33248.787329424944</v>
      </c>
      <c r="AB42" s="574">
        <f t="shared" si="336"/>
        <v>31175.300580512929</v>
      </c>
      <c r="AC42" s="574">
        <f t="shared" si="336"/>
        <v>29129.095841658302</v>
      </c>
      <c r="AD42" s="574">
        <f t="shared" si="336"/>
        <v>27109.893583232784</v>
      </c>
      <c r="AE42" s="574">
        <f t="shared" si="336"/>
        <v>25117.416846519998</v>
      </c>
      <c r="AF42" s="574">
        <f t="shared" si="336"/>
        <v>23151.39122145914</v>
      </c>
      <c r="AG42" s="574">
        <f t="shared" si="336"/>
        <v>21211.544824574019</v>
      </c>
      <c r="AH42" s="574">
        <f>AH39-AH40-AH41</f>
        <v>19297.608277085943</v>
      </c>
      <c r="AI42" s="99"/>
      <c r="AJ42" s="574">
        <f>AJ39-AJ40-AJ41</f>
        <v>87870.659329283968</v>
      </c>
      <c r="AK42" s="574">
        <f t="shared" ref="AK42:BM42" si="337">AK39-AK40-AK41</f>
        <v>86366.972567424949</v>
      </c>
      <c r="AL42" s="574">
        <f t="shared" si="337"/>
        <v>84879.974908344258</v>
      </c>
      <c r="AM42" s="574">
        <f t="shared" si="337"/>
        <v>83409.506780476455</v>
      </c>
      <c r="AN42" s="574">
        <f t="shared" si="337"/>
        <v>81955.410025744393</v>
      </c>
      <c r="AO42" s="574">
        <f t="shared" si="337"/>
        <v>80517.527887608463</v>
      </c>
      <c r="AP42" s="574">
        <f t="shared" si="337"/>
        <v>79095.704999213791</v>
      </c>
      <c r="AQ42" s="574">
        <f t="shared" si="337"/>
        <v>77689.787371634622</v>
      </c>
      <c r="AR42" s="574">
        <f t="shared" si="337"/>
        <v>76299.622382214919</v>
      </c>
      <c r="AS42" s="574">
        <f t="shared" si="337"/>
        <v>74925.058763004577</v>
      </c>
      <c r="AT42" s="574">
        <f t="shared" si="337"/>
        <v>73565.946589290659</v>
      </c>
      <c r="AU42" s="574">
        <f t="shared" si="337"/>
        <v>72222.13726822233</v>
      </c>
      <c r="AV42" s="574">
        <f t="shared" si="337"/>
        <v>70893.483527529461</v>
      </c>
      <c r="AW42" s="574">
        <f t="shared" si="337"/>
        <v>69579.839404333528</v>
      </c>
      <c r="AX42" s="574">
        <f t="shared" si="337"/>
        <v>68281.060234050368</v>
      </c>
      <c r="AY42" s="574">
        <f t="shared" si="337"/>
        <v>66997.002639384111</v>
      </c>
      <c r="AZ42" s="574">
        <f t="shared" si="337"/>
        <v>65727.524519411454</v>
      </c>
      <c r="BA42" s="574">
        <f t="shared" si="337"/>
        <v>64472.485038755389</v>
      </c>
      <c r="BB42" s="574">
        <f t="shared" si="337"/>
        <v>63231.744616847966</v>
      </c>
      <c r="BC42" s="574">
        <f t="shared" si="337"/>
        <v>62005.16491728132</v>
      </c>
      <c r="BD42" s="574">
        <f t="shared" si="337"/>
        <v>60792.608837245956</v>
      </c>
      <c r="BE42" s="574">
        <f t="shared" si="337"/>
        <v>59570.453779457072</v>
      </c>
      <c r="BF42" s="574">
        <f t="shared" si="337"/>
        <v>58362.379108365218</v>
      </c>
      <c r="BG42" s="574">
        <f t="shared" si="337"/>
        <v>57168.247938336724</v>
      </c>
      <c r="BH42" s="574">
        <f t="shared" si="337"/>
        <v>55987.924607735556</v>
      </c>
      <c r="BI42" s="574">
        <f t="shared" si="337"/>
        <v>54821.274668511891</v>
      </c>
      <c r="BJ42" s="574">
        <f t="shared" si="337"/>
        <v>53668.164875876268</v>
      </c>
      <c r="BK42" s="574">
        <f t="shared" si="337"/>
        <v>52528.463178058846</v>
      </c>
      <c r="BL42" s="574">
        <f t="shared" si="337"/>
        <v>51402.038706152816</v>
      </c>
      <c r="BM42" s="574">
        <f t="shared" si="337"/>
        <v>50288.761764041548</v>
      </c>
      <c r="BN42" s="574">
        <f>BN39-BN40-BN41</f>
        <v>49188.503818408644</v>
      </c>
    </row>
    <row r="43" spans="1:90" s="61" customFormat="1">
      <c r="A43" s="602"/>
      <c r="B43" s="54" t="s">
        <v>804</v>
      </c>
      <c r="C43" s="55" t="s">
        <v>1420</v>
      </c>
      <c r="D43" s="580">
        <f>D$6/(D$6+D$8)*D42</f>
        <v>6181.084017319743</v>
      </c>
      <c r="E43" s="580">
        <f t="shared" ref="E43" si="338">E$6/(E$6+E$8)*E42</f>
        <v>5990.3255877756983</v>
      </c>
      <c r="F43" s="580">
        <f t="shared" ref="F43" si="339">F$6/(F$6+F$8)*F42</f>
        <v>5801.9254756591754</v>
      </c>
      <c r="G43" s="580">
        <f t="shared" ref="G43" si="340">G$6/(G$6+G$8)*G42</f>
        <v>5615.8600772297787</v>
      </c>
      <c r="H43" s="580">
        <f t="shared" ref="H43" si="341">H$6/(H$6+H$8)*H42</f>
        <v>5432.1060031862808</v>
      </c>
      <c r="I43" s="580">
        <f t="shared" ref="I43" si="342">I$6/(I$6+I$8)*I42</f>
        <v>5250.6400768242283</v>
      </c>
      <c r="J43" s="580">
        <f t="shared" ref="J43" si="343">J$6/(J$6+J$8)*J42</f>
        <v>5071.4393322088072</v>
      </c>
      <c r="K43" s="580">
        <f t="shared" ref="K43" si="344">K$6/(K$6+K$8)*K42</f>
        <v>4894.4810123628522</v>
      </c>
      <c r="L43" s="580">
        <f t="shared" ref="L43" si="345">L$6/(L$6+L$8)*L42</f>
        <v>4719.7425674698698</v>
      </c>
      <c r="M43" s="580">
        <f t="shared" ref="M43" si="346">M$6/(M$6+M$8)*M42</f>
        <v>4547.2016530919618</v>
      </c>
      <c r="N43" s="580">
        <f t="shared" ref="N43" si="347">N$6/(N$6+N$8)*N42</f>
        <v>4376.8361284025277</v>
      </c>
      <c r="O43" s="580">
        <f t="shared" ref="O43" si="348">O$6/(O$6+O$8)*O42</f>
        <v>4208.6240544336179</v>
      </c>
      <c r="P43" s="580">
        <f t="shared" ref="P43" si="349">P$6/(P$6+P$8)*P42</f>
        <v>4042.5436923378302</v>
      </c>
      <c r="Q43" s="580">
        <f t="shared" ref="Q43" si="350">Q$6/(Q$6+Q$8)*Q42</f>
        <v>3878.5735016646313</v>
      </c>
      <c r="R43" s="580">
        <f t="shared" ref="R43" si="351">R$6/(R$6+R$8)*R42</f>
        <v>3716.6921386509739</v>
      </c>
      <c r="S43" s="580">
        <f t="shared" ref="S43" si="352">S$6/(S$6+S$8)*S42</f>
        <v>3556.878454526111</v>
      </c>
      <c r="T43" s="580">
        <f t="shared" ref="T43" si="353">T$6/(T$6+T$8)*T42</f>
        <v>3399.1114938304813</v>
      </c>
      <c r="U43" s="580">
        <f t="shared" ref="U43" si="354">U$6/(U$6+U$8)*U42</f>
        <v>3243.3704927485564</v>
      </c>
      <c r="V43" s="580">
        <f t="shared" ref="V43" si="355">V$6/(V$6+V$8)*V42</f>
        <v>3089.6348774555318</v>
      </c>
      <c r="W43" s="580">
        <f t="shared" ref="W43" si="356">W$6/(W$6+W$8)*W42</f>
        <v>2937.8842624777603</v>
      </c>
      <c r="X43" s="580">
        <f t="shared" ref="X43" si="357">X$6/(X$6+X$8)*X42</f>
        <v>2788.0984490668029</v>
      </c>
      <c r="Y43" s="580">
        <f t="shared" ref="Y43" si="358">Y$6/(Y$6+Y$8)*Y42</f>
        <v>2636.3661089507618</v>
      </c>
      <c r="Z43" s="580">
        <f t="shared" ref="Z43" si="359">Z$6/(Z$6+Z$8)*Z42</f>
        <v>2486.6129564862267</v>
      </c>
      <c r="AA43" s="580">
        <f t="shared" ref="AA43" si="360">AA$6/(AA$6+AA$8)*AA42</f>
        <v>2338.8187766639621</v>
      </c>
      <c r="AB43" s="580">
        <f t="shared" ref="AB43" si="361">AB$6/(AB$6+AB$8)*AB42</f>
        <v>2192.9635400963552</v>
      </c>
      <c r="AC43" s="580">
        <f t="shared" ref="AC43" si="362">AC$6/(AC$6+AC$8)*AC42</f>
        <v>2049.0274014120823</v>
      </c>
      <c r="AD43" s="580">
        <f t="shared" ref="AD43" si="363">AD$6/(AD$6+AD$8)*AD42</f>
        <v>1906.9906976641403</v>
      </c>
      <c r="AE43" s="580">
        <f t="shared" ref="AE43" si="364">AE$6/(AE$6+AE$8)*AE42</f>
        <v>1766.8339467511259</v>
      </c>
      <c r="AF43" s="580">
        <f t="shared" ref="AF43" si="365">AF$6/(AF$6+AF$8)*AF42</f>
        <v>1628.5378458516659</v>
      </c>
      <c r="AG43" s="580">
        <f t="shared" ref="AG43" si="366">AG$6/(AG$6+AG$8)*AG42</f>
        <v>1492.0832698718771</v>
      </c>
      <c r="AH43" s="580">
        <f t="shared" ref="AH43" si="367">AH$6/(AH$6+AH$8)*AH42</f>
        <v>1357.451269905762</v>
      </c>
      <c r="AI43" s="571"/>
      <c r="AJ43" s="580">
        <f>AJ$6/(AJ$6+AJ$8)*AJ42</f>
        <v>6181.084017319743</v>
      </c>
      <c r="AK43" s="580">
        <f t="shared" ref="AK43" si="368">AK$6/(AK$6+AK$8)*AK42</f>
        <v>6075.3102097515948</v>
      </c>
      <c r="AL43" s="580">
        <f t="shared" ref="AL43" si="369">AL$6/(AL$6+AL$8)*AL42</f>
        <v>5970.7103634036512</v>
      </c>
      <c r="AM43" s="580">
        <f t="shared" ref="AM43" si="370">AM$6/(AM$6+AM$8)*AM42</f>
        <v>5867.2732535365049</v>
      </c>
      <c r="AN43" s="580">
        <f t="shared" ref="AN43" si="371">AN$6/(AN$6+AN$8)*AN42</f>
        <v>5764.9877548397226</v>
      </c>
      <c r="AO43" s="580">
        <f t="shared" ref="AO43" si="372">AO$6/(AO$6+AO$8)*AO42</f>
        <v>5663.8428405912009</v>
      </c>
      <c r="AP43" s="580">
        <f t="shared" ref="AP43" si="373">AP$6/(AP$6+AP$8)*AP42</f>
        <v>5563.8275818233988</v>
      </c>
      <c r="AQ43" s="580">
        <f t="shared" ref="AQ43" si="374">AQ$6/(AQ$6+AQ$8)*AQ42</f>
        <v>5464.9311464964176</v>
      </c>
      <c r="AR43" s="580">
        <f t="shared" ref="AR43" si="375">AR$6/(AR$6+AR$8)*AR42</f>
        <v>5367.1427986778426</v>
      </c>
      <c r="AS43" s="580">
        <f t="shared" ref="AS43" si="376">AS$6/(AS$6+AS$8)*AS42</f>
        <v>5270.4518977293064</v>
      </c>
      <c r="AT43" s="580">
        <f t="shared" ref="AT43" si="377">AT$6/(AT$6+AT$8)*AT42</f>
        <v>5174.8478974997552</v>
      </c>
      <c r="AU43" s="580">
        <f t="shared" ref="AU43" si="378">AU$6/(AU$6+AU$8)*AU42</f>
        <v>5080.3203455252751</v>
      </c>
      <c r="AV43" s="580">
        <f t="shared" ref="AV43" si="379">AV$6/(AV$6+AV$8)*AV42</f>
        <v>4986.8588822355387</v>
      </c>
      <c r="AW43" s="580">
        <f t="shared" ref="AW43" si="380">AW$6/(AW$6+AW$8)*AW42</f>
        <v>4894.4532401667257</v>
      </c>
      <c r="AX43" s="580">
        <f t="shared" ref="AX43" si="381">AX$6/(AX$6+AX$8)*AX42</f>
        <v>4803.0932431809106</v>
      </c>
      <c r="AY43" s="580">
        <f t="shared" ref="AY43" si="382">AY$6/(AY$6+AY$8)*AY42</f>
        <v>4712.7688056918587</v>
      </c>
      <c r="AZ43" s="580">
        <f t="shared" ref="AZ43" si="383">AZ$6/(AZ$6+AZ$8)*AZ42</f>
        <v>4623.4699318971898</v>
      </c>
      <c r="BA43" s="580">
        <f t="shared" ref="BA43" si="384">BA$6/(BA$6+BA$8)*BA42</f>
        <v>4535.1867150168173</v>
      </c>
      <c r="BB43" s="580">
        <f t="shared" ref="BB43" si="385">BB$6/(BB$6+BB$8)*BB42</f>
        <v>4447.9093365376657</v>
      </c>
      <c r="BC43" s="580">
        <f t="shared" ref="BC43" si="386">BC$6/(BC$6+BC$8)*BC42</f>
        <v>4361.6280654645852</v>
      </c>
      <c r="BD43" s="580">
        <f t="shared" ref="BD43" si="387">BD$6/(BD$6+BD$8)*BD42</f>
        <v>4276.333257577413</v>
      </c>
      <c r="BE43" s="580">
        <f t="shared" ref="BE43" si="388">BE$6/(BE$6+BE$8)*BE42</f>
        <v>4190.3632289916841</v>
      </c>
      <c r="BF43" s="580">
        <f t="shared" ref="BF43" si="389">BF$6/(BF$6+BF$8)*BF42</f>
        <v>4105.3836567634589</v>
      </c>
      <c r="BG43" s="580">
        <f t="shared" ref="BG43" si="390">BG$6/(BG$6+BG$8)*BG42</f>
        <v>4021.384911949368</v>
      </c>
      <c r="BH43" s="580">
        <f t="shared" ref="BH43" si="391">BH$6/(BH$6+BH$8)*BH42</f>
        <v>3938.3574517056832</v>
      </c>
      <c r="BI43" s="580">
        <f t="shared" ref="BI43" si="392">BI$6/(BI$6+BI$8)*BI42</f>
        <v>3856.2918185559461</v>
      </c>
      <c r="BJ43" s="580">
        <f t="shared" ref="BJ43" si="393">BJ$6/(BJ$6+BJ$8)*BJ42</f>
        <v>3775.1786396646216</v>
      </c>
      <c r="BK43" s="580">
        <f t="shared" ref="BK43" si="394">BK$6/(BK$6+BK$8)*BK42</f>
        <v>3695.0086261167235</v>
      </c>
      <c r="BL43" s="580">
        <f t="shared" ref="BL43" si="395">BL$6/(BL$6+BL$8)*BL42</f>
        <v>3615.7725722033797</v>
      </c>
      <c r="BM43" s="580">
        <f t="shared" ref="BM43" si="396">BM$6/(BM$6+BM$8)*BM42</f>
        <v>3537.461354713274</v>
      </c>
      <c r="BN43" s="580">
        <f t="shared" ref="BN43" si="397">BN$6/(BN$6+BN$8)*BN42</f>
        <v>3460.0659322299221</v>
      </c>
      <c r="BQ43" s="649"/>
      <c r="BR43" s="649"/>
      <c r="BS43" s="649"/>
      <c r="BT43" s="649"/>
      <c r="BU43" s="649"/>
      <c r="BV43" s="649"/>
      <c r="BW43" s="649"/>
      <c r="BX43" s="649"/>
      <c r="BY43" s="649"/>
      <c r="BZ43" s="649"/>
      <c r="CA43" s="649"/>
      <c r="CB43" s="649"/>
      <c r="CC43" s="649"/>
      <c r="CD43" s="649"/>
      <c r="CE43" s="649"/>
      <c r="CF43" s="649"/>
      <c r="CG43" s="649"/>
      <c r="CH43" s="649"/>
      <c r="CI43" s="649"/>
      <c r="CJ43" s="649"/>
      <c r="CK43" s="649"/>
      <c r="CL43" s="649"/>
    </row>
    <row r="44" spans="1:90">
      <c r="A44" s="603"/>
      <c r="B44" s="1" t="s">
        <v>1063</v>
      </c>
      <c r="C44" s="50" t="s">
        <v>1420</v>
      </c>
      <c r="D44" s="576">
        <v>0</v>
      </c>
      <c r="E44" s="576">
        <v>0</v>
      </c>
      <c r="F44" s="576">
        <v>0</v>
      </c>
      <c r="G44" s="576">
        <v>0</v>
      </c>
      <c r="H44" s="576">
        <v>0</v>
      </c>
      <c r="I44" s="576">
        <v>0</v>
      </c>
      <c r="J44" s="576">
        <v>0</v>
      </c>
      <c r="K44" s="576">
        <v>0</v>
      </c>
      <c r="L44" s="576">
        <v>0</v>
      </c>
      <c r="M44" s="576">
        <v>0</v>
      </c>
      <c r="N44" s="576">
        <v>0</v>
      </c>
      <c r="O44" s="576">
        <v>0</v>
      </c>
      <c r="P44" s="576">
        <v>0</v>
      </c>
      <c r="Q44" s="576">
        <v>0</v>
      </c>
      <c r="R44" s="576">
        <v>0</v>
      </c>
      <c r="S44" s="576">
        <v>0</v>
      </c>
      <c r="T44" s="576">
        <v>0</v>
      </c>
      <c r="U44" s="576">
        <v>0</v>
      </c>
      <c r="V44" s="576">
        <v>0</v>
      </c>
      <c r="W44" s="576">
        <v>0</v>
      </c>
      <c r="X44" s="576">
        <v>0</v>
      </c>
      <c r="Y44" s="576">
        <v>0</v>
      </c>
      <c r="Z44" s="576">
        <v>0</v>
      </c>
      <c r="AA44" s="576">
        <v>0</v>
      </c>
      <c r="AB44" s="576">
        <v>0</v>
      </c>
      <c r="AC44" s="576">
        <v>0</v>
      </c>
      <c r="AD44" s="576">
        <v>0</v>
      </c>
      <c r="AE44" s="576">
        <v>0</v>
      </c>
      <c r="AF44" s="576">
        <v>0</v>
      </c>
      <c r="AG44" s="576">
        <v>0</v>
      </c>
      <c r="AH44" s="576">
        <v>0</v>
      </c>
      <c r="AI44" s="183"/>
      <c r="AJ44" s="576">
        <v>0</v>
      </c>
      <c r="AK44" s="576">
        <v>0</v>
      </c>
      <c r="AL44" s="576">
        <v>0</v>
      </c>
      <c r="AM44" s="576">
        <v>0</v>
      </c>
      <c r="AN44" s="576">
        <v>0</v>
      </c>
      <c r="AO44" s="576">
        <v>0</v>
      </c>
      <c r="AP44" s="576">
        <v>0</v>
      </c>
      <c r="AQ44" s="576">
        <v>0</v>
      </c>
      <c r="AR44" s="576">
        <v>0</v>
      </c>
      <c r="AS44" s="576">
        <v>0</v>
      </c>
      <c r="AT44" s="576">
        <v>0</v>
      </c>
      <c r="AU44" s="576">
        <v>0</v>
      </c>
      <c r="AV44" s="576">
        <v>0</v>
      </c>
      <c r="AW44" s="576">
        <v>0</v>
      </c>
      <c r="AX44" s="576">
        <v>0</v>
      </c>
      <c r="AY44" s="576">
        <v>0</v>
      </c>
      <c r="AZ44" s="576">
        <v>0</v>
      </c>
      <c r="BA44" s="576">
        <v>0</v>
      </c>
      <c r="BB44" s="576">
        <v>0</v>
      </c>
      <c r="BC44" s="576">
        <v>0</v>
      </c>
      <c r="BD44" s="576">
        <v>0</v>
      </c>
      <c r="BE44" s="576">
        <v>0</v>
      </c>
      <c r="BF44" s="576">
        <v>0</v>
      </c>
      <c r="BG44" s="576">
        <v>0</v>
      </c>
      <c r="BH44" s="576">
        <v>0</v>
      </c>
      <c r="BI44" s="576">
        <v>0</v>
      </c>
      <c r="BJ44" s="576">
        <v>0</v>
      </c>
      <c r="BK44" s="576">
        <v>0</v>
      </c>
      <c r="BL44" s="576">
        <v>0</v>
      </c>
      <c r="BM44" s="576">
        <v>0</v>
      </c>
      <c r="BN44" s="576">
        <v>0</v>
      </c>
    </row>
    <row r="45" spans="1:90" s="62" customFormat="1">
      <c r="A45" s="604"/>
      <c r="B45" s="58" t="s">
        <v>27</v>
      </c>
      <c r="C45" s="233" t="s">
        <v>1420</v>
      </c>
      <c r="D45" s="579">
        <f>D$8/(D$6+D$8)*D42</f>
        <v>81689.575311964218</v>
      </c>
      <c r="E45" s="579">
        <f t="shared" ref="E45:AH45" si="398">E$8/(E$6+E$8)*E42</f>
        <v>79168.500521043097</v>
      </c>
      <c r="F45" s="579">
        <f t="shared" si="398"/>
        <v>76678.593394008305</v>
      </c>
      <c r="G45" s="579">
        <f t="shared" si="398"/>
        <v>74219.541982417955</v>
      </c>
      <c r="H45" s="579">
        <f t="shared" si="398"/>
        <v>71791.037171870863</v>
      </c>
      <c r="I45" s="579">
        <f t="shared" si="398"/>
        <v>69392.772657657682</v>
      </c>
      <c r="J45" s="579">
        <f t="shared" si="398"/>
        <v>67024.444920613081</v>
      </c>
      <c r="K45" s="579">
        <f t="shared" si="398"/>
        <v>64685.753203168482</v>
      </c>
      <c r="L45" s="579">
        <f t="shared" si="398"/>
        <v>62376.399485603186</v>
      </c>
      <c r="M45" s="579">
        <f t="shared" si="398"/>
        <v>60096.088462492211</v>
      </c>
      <c r="N45" s="579">
        <f t="shared" si="398"/>
        <v>57844.527519349649</v>
      </c>
      <c r="O45" s="579">
        <f t="shared" si="398"/>
        <v>55621.426709465595</v>
      </c>
      <c r="P45" s="579">
        <f t="shared" si="398"/>
        <v>53426.498730935207</v>
      </c>
      <c r="Q45" s="579">
        <f t="shared" si="398"/>
        <v>51259.458903878513</v>
      </c>
      <c r="R45" s="579">
        <f t="shared" si="398"/>
        <v>49120.025147849126</v>
      </c>
      <c r="S45" s="579">
        <f t="shared" si="398"/>
        <v>47007.91795943051</v>
      </c>
      <c r="T45" s="579">
        <f t="shared" si="398"/>
        <v>44922.860390018308</v>
      </c>
      <c r="U45" s="579">
        <f t="shared" si="398"/>
        <v>42864.578023787122</v>
      </c>
      <c r="V45" s="579">
        <f t="shared" si="398"/>
        <v>40832.798955840342</v>
      </c>
      <c r="W45" s="579">
        <f t="shared" si="398"/>
        <v>38827.253770541451</v>
      </c>
      <c r="X45" s="579">
        <f t="shared" si="398"/>
        <v>36847.675520025441</v>
      </c>
      <c r="Y45" s="579">
        <f t="shared" si="398"/>
        <v>34842.371856389975</v>
      </c>
      <c r="Z45" s="579">
        <f t="shared" si="398"/>
        <v>32863.225254891382</v>
      </c>
      <c r="AA45" s="579">
        <f t="shared" si="398"/>
        <v>30909.96855276098</v>
      </c>
      <c r="AB45" s="579">
        <f t="shared" si="398"/>
        <v>28982.337040416573</v>
      </c>
      <c r="AC45" s="579">
        <f t="shared" si="398"/>
        <v>27080.068440246214</v>
      </c>
      <c r="AD45" s="579">
        <f t="shared" si="398"/>
        <v>25202.902885568645</v>
      </c>
      <c r="AE45" s="579">
        <f t="shared" si="398"/>
        <v>23350.582899768873</v>
      </c>
      <c r="AF45" s="579">
        <f t="shared" si="398"/>
        <v>21522.853375607472</v>
      </c>
      <c r="AG45" s="579">
        <f t="shared" si="398"/>
        <v>19719.461554702142</v>
      </c>
      <c r="AH45" s="579">
        <f t="shared" si="398"/>
        <v>17940.157007180183</v>
      </c>
      <c r="AI45" s="528"/>
      <c r="AJ45" s="579">
        <f>AJ$8/(AJ$6+AJ$8)*AJ42</f>
        <v>81689.575311964218</v>
      </c>
      <c r="AK45" s="579">
        <f t="shared" ref="AK45:BN45" si="399">AK$8/(AK$6+AK$8)*AK42</f>
        <v>80291.662357673355</v>
      </c>
      <c r="AL45" s="579">
        <f t="shared" si="399"/>
        <v>78909.264544940612</v>
      </c>
      <c r="AM45" s="579">
        <f t="shared" si="399"/>
        <v>77542.233526939963</v>
      </c>
      <c r="AN45" s="579">
        <f t="shared" si="399"/>
        <v>76190.422270904673</v>
      </c>
      <c r="AO45" s="579">
        <f t="shared" si="399"/>
        <v>74853.685047017265</v>
      </c>
      <c r="AP45" s="579">
        <f t="shared" si="399"/>
        <v>73531.877417390395</v>
      </c>
      <c r="AQ45" s="579">
        <f t="shared" si="399"/>
        <v>72224.85622513821</v>
      </c>
      <c r="AR45" s="579">
        <f t="shared" si="399"/>
        <v>70932.479583537075</v>
      </c>
      <c r="AS45" s="579">
        <f t="shared" si="399"/>
        <v>69654.606865275258</v>
      </c>
      <c r="AT45" s="579">
        <f t="shared" si="399"/>
        <v>68391.098691790903</v>
      </c>
      <c r="AU45" s="579">
        <f t="shared" si="399"/>
        <v>67141.816922697064</v>
      </c>
      <c r="AV45" s="579">
        <f t="shared" si="399"/>
        <v>65906.624645293923</v>
      </c>
      <c r="AW45" s="579">
        <f t="shared" si="399"/>
        <v>64685.386164166797</v>
      </c>
      <c r="AX45" s="579">
        <f t="shared" si="399"/>
        <v>63477.966990869456</v>
      </c>
      <c r="AY45" s="579">
        <f t="shared" si="399"/>
        <v>62284.233833692248</v>
      </c>
      <c r="AZ45" s="579">
        <f t="shared" si="399"/>
        <v>61104.054587514263</v>
      </c>
      <c r="BA45" s="579">
        <f t="shared" si="399"/>
        <v>59937.298323738563</v>
      </c>
      <c r="BB45" s="579">
        <f t="shared" si="399"/>
        <v>58783.835280310297</v>
      </c>
      <c r="BC45" s="579">
        <f t="shared" si="399"/>
        <v>57643.536851816738</v>
      </c>
      <c r="BD45" s="579">
        <f t="shared" si="399"/>
        <v>56516.275579668545</v>
      </c>
      <c r="BE45" s="579">
        <f t="shared" si="399"/>
        <v>55380.090550465386</v>
      </c>
      <c r="BF45" s="579">
        <f t="shared" si="399"/>
        <v>54256.995451601768</v>
      </c>
      <c r="BG45" s="579">
        <f t="shared" si="399"/>
        <v>53146.863026387357</v>
      </c>
      <c r="BH45" s="579">
        <f t="shared" si="399"/>
        <v>52049.567156029872</v>
      </c>
      <c r="BI45" s="579">
        <f t="shared" si="399"/>
        <v>50964.982849955937</v>
      </c>
      <c r="BJ45" s="579">
        <f t="shared" si="399"/>
        <v>49892.986236211647</v>
      </c>
      <c r="BK45" s="579">
        <f t="shared" si="399"/>
        <v>48833.45455194213</v>
      </c>
      <c r="BL45" s="579">
        <f t="shared" si="399"/>
        <v>47786.26613394943</v>
      </c>
      <c r="BM45" s="579">
        <f t="shared" si="399"/>
        <v>46751.300409328273</v>
      </c>
      <c r="BN45" s="579">
        <f t="shared" si="399"/>
        <v>45728.437886178726</v>
      </c>
      <c r="BQ45" s="623"/>
      <c r="BR45" s="623"/>
      <c r="BS45" s="623"/>
      <c r="BT45" s="623"/>
      <c r="BU45" s="623"/>
      <c r="BV45" s="623"/>
      <c r="BW45" s="623"/>
      <c r="BX45" s="623"/>
      <c r="BY45" s="623"/>
      <c r="BZ45" s="623"/>
      <c r="CA45" s="623"/>
      <c r="CB45" s="623"/>
      <c r="CC45" s="623"/>
      <c r="CD45" s="623"/>
      <c r="CE45" s="623"/>
      <c r="CF45" s="623"/>
      <c r="CG45" s="623"/>
      <c r="CH45" s="623"/>
      <c r="CI45" s="623"/>
      <c r="CJ45" s="623"/>
      <c r="CK45" s="623"/>
      <c r="CL45" s="623"/>
    </row>
    <row r="46" spans="1:90">
      <c r="A46" s="1" t="s">
        <v>261</v>
      </c>
      <c r="B46" s="54" t="s">
        <v>179</v>
      </c>
      <c r="C46" s="55" t="s">
        <v>1420</v>
      </c>
      <c r="D46" s="520">
        <f>'Demand - Methanol'!M42</f>
        <v>12062.923707379587</v>
      </c>
      <c r="E46" s="520">
        <f>D46*(1+'Demand - Methanol'!$N$42)</f>
        <v>11978.868508691565</v>
      </c>
      <c r="F46" s="520">
        <f>E46*(1+'Demand - Methanol'!$N$42)</f>
        <v>11895.399011828231</v>
      </c>
      <c r="G46" s="520">
        <f>F46*(1+'Demand - Methanol'!$N$42)</f>
        <v>11812.511135583034</v>
      </c>
      <c r="H46" s="520">
        <f>G46*(1+'Demand - Methanol'!$N$42)</f>
        <v>11730.200827187526</v>
      </c>
      <c r="I46" s="520">
        <f>H46*(1+'Demand - Methanol'!$N$42)</f>
        <v>11648.464062113197</v>
      </c>
      <c r="J46" s="520">
        <f>I46*(1+'Demand - Methanol'!$N$42)</f>
        <v>11567.296843874699</v>
      </c>
      <c r="K46" s="520">
        <f>J46*(1+'Demand - Methanol'!$N$42)</f>
        <v>11486.695203834448</v>
      </c>
      <c r="L46" s="520">
        <f>K46*(1+'Demand - Methanol'!$N$42)</f>
        <v>11406.655201008567</v>
      </c>
      <c r="M46" s="520">
        <f>L46*(1+'Demand - Methanol'!$N$42)</f>
        <v>11327.172921874198</v>
      </c>
      <c r="N46" s="520">
        <f>M46*(1+'Demand - Methanol'!$N$42)</f>
        <v>11248.244480178157</v>
      </c>
      <c r="O46" s="520">
        <f>N46*(1+'Demand - Methanol'!$N$42)</f>
        <v>11169.866016746906</v>
      </c>
      <c r="P46" s="520">
        <f>O46*(1+'Demand - Methanol'!$N$42)</f>
        <v>11092.033699297872</v>
      </c>
      <c r="Q46" s="520">
        <f>P46*(1+'Demand - Methanol'!$N$42)</f>
        <v>11014.743722252062</v>
      </c>
      <c r="R46" s="520">
        <f>Q46*(1+'Demand - Methanol'!$N$42)</f>
        <v>10937.992306547994</v>
      </c>
      <c r="S46" s="520">
        <f>R46*(1+'Demand - Methanol'!$N$42)</f>
        <v>10861.775699456921</v>
      </c>
      <c r="T46" s="520">
        <f>S46*(1+'Demand - Methanol'!$N$42)</f>
        <v>10786.090174399338</v>
      </c>
      <c r="U46" s="520">
        <f>T46*(1+'Demand - Methanol'!$N$42)</f>
        <v>10710.932030762782</v>
      </c>
      <c r="V46" s="520">
        <f>U46*(1+'Demand - Methanol'!$N$42)</f>
        <v>10636.297593720881</v>
      </c>
      <c r="W46" s="520">
        <f>V46*(1+'Demand - Methanol'!$N$42)</f>
        <v>10562.183214053686</v>
      </c>
      <c r="X46" s="520">
        <f>W46*(1+'Demand - Methanol'!$N$42)</f>
        <v>10488.585267969234</v>
      </c>
      <c r="Y46" s="520">
        <f>X46*(1+'Demand - Methanol'!$N$42)</f>
        <v>10415.500156926371</v>
      </c>
      <c r="Z46" s="520">
        <f>Y46*(1+'Demand - Methanol'!$N$42)</f>
        <v>10342.924307458801</v>
      </c>
      <c r="AA46" s="520">
        <f>Z46*(1+'Demand - Methanol'!$N$42)</f>
        <v>10270.854171000359</v>
      </c>
      <c r="AB46" s="520">
        <f>AA46*(1+'Demand - Methanol'!$N$42)</f>
        <v>10199.286223711511</v>
      </c>
      <c r="AC46" s="520">
        <f>AB46*(1+'Demand - Methanol'!$N$42)</f>
        <v>10128.216966307054</v>
      </c>
      <c r="AD46" s="520">
        <f>AC46*(1+'Demand - Methanol'!$N$42)</f>
        <v>10057.642923885023</v>
      </c>
      <c r="AE46" s="520">
        <f>AD46*(1+'Demand - Methanol'!$N$42)</f>
        <v>9987.560645756781</v>
      </c>
      <c r="AF46" s="520">
        <f>AE46*(1+'Demand - Methanol'!$N$42)</f>
        <v>9917.9667052783061</v>
      </c>
      <c r="AG46" s="520">
        <f>AF46*(1+'Demand - Methanol'!$N$42)</f>
        <v>9848.8576996826432</v>
      </c>
      <c r="AH46" s="520">
        <f>AG46*(1+'Demand - Methanol'!$N$42)</f>
        <v>9780.2302499135258</v>
      </c>
      <c r="AI46" s="99"/>
      <c r="AJ46" s="520">
        <f>D46</f>
        <v>12062.923707379587</v>
      </c>
      <c r="AK46" s="520">
        <f>AJ46*(1+'Demand - Methanol'!$N$42)</f>
        <v>11978.868508691565</v>
      </c>
      <c r="AL46" s="520">
        <f>AK46*(1+'Demand - Methanol'!$N$42)</f>
        <v>11895.399011828231</v>
      </c>
      <c r="AM46" s="520">
        <f>AL46*(1+'Demand - Methanol'!$N$42)</f>
        <v>11812.511135583034</v>
      </c>
      <c r="AN46" s="520">
        <f>AM46*(1+'Demand - Methanol'!$N$42)</f>
        <v>11730.200827187526</v>
      </c>
      <c r="AO46" s="520">
        <f>AN46*(1+'Demand - Methanol'!$N$42)</f>
        <v>11648.464062113197</v>
      </c>
      <c r="AP46" s="520">
        <f>AO46*(1+'Demand - Methanol'!$N$42)</f>
        <v>11567.296843874699</v>
      </c>
      <c r="AQ46" s="520">
        <f>AP46*(1+'Demand - Methanol'!$N$42)</f>
        <v>11486.695203834448</v>
      </c>
      <c r="AR46" s="520">
        <f>AQ46*(1+'Demand - Methanol'!$N$42)</f>
        <v>11406.655201008567</v>
      </c>
      <c r="AS46" s="520">
        <f>AR46*(1+'Demand - Methanol'!$N$42)</f>
        <v>11327.172921874198</v>
      </c>
      <c r="AT46" s="520">
        <f>AS46*(1+'Demand - Methanol'!$N$42)</f>
        <v>11248.244480178157</v>
      </c>
      <c r="AU46" s="520">
        <f>AT46*(1+'Demand - Methanol'!$N$42)</f>
        <v>11169.866016746906</v>
      </c>
      <c r="AV46" s="520">
        <f>AU46*(1+'Demand - Methanol'!$N$42)</f>
        <v>11092.033699297872</v>
      </c>
      <c r="AW46" s="520">
        <f>AV46*(1+'Demand - Methanol'!$N$42)</f>
        <v>11014.743722252062</v>
      </c>
      <c r="AX46" s="520">
        <f>AW46*(1+'Demand - Methanol'!$N$42)</f>
        <v>10937.992306547994</v>
      </c>
      <c r="AY46" s="520">
        <f>AX46*(1+'Demand - Methanol'!$N$42)</f>
        <v>10861.775699456921</v>
      </c>
      <c r="AZ46" s="520">
        <f>AY46*(1+'Demand - Methanol'!$N$42)</f>
        <v>10786.090174399338</v>
      </c>
      <c r="BA46" s="520">
        <f>AZ46*(1+'Demand - Methanol'!$N$42)</f>
        <v>10710.932030762782</v>
      </c>
      <c r="BB46" s="520">
        <f>BA46*(1+'Demand - Methanol'!$N$42)</f>
        <v>10636.297593720881</v>
      </c>
      <c r="BC46" s="520">
        <f>BB46*(1+'Demand - Methanol'!$N$42)</f>
        <v>10562.183214053686</v>
      </c>
      <c r="BD46" s="520">
        <f>BC46*(1+'Demand - Methanol'!$N$42)</f>
        <v>10488.585267969234</v>
      </c>
      <c r="BE46" s="520">
        <f>BD46*(1+'Demand - Methanol'!$N$42)</f>
        <v>10415.500156926371</v>
      </c>
      <c r="BF46" s="520">
        <f>BE46*(1+'Demand - Methanol'!$N$42)</f>
        <v>10342.924307458801</v>
      </c>
      <c r="BG46" s="520">
        <f>BF46*(1+'Demand - Methanol'!$N$42)</f>
        <v>10270.854171000359</v>
      </c>
      <c r="BH46" s="520">
        <f>BG46*(1+'Demand - Methanol'!$N$42)</f>
        <v>10199.286223711511</v>
      </c>
      <c r="BI46" s="520">
        <f>BH46*(1+'Demand - Methanol'!$N$42)</f>
        <v>10128.216966307054</v>
      </c>
      <c r="BJ46" s="520">
        <f>BI46*(1+'Demand - Methanol'!$N$42)</f>
        <v>10057.642923885023</v>
      </c>
      <c r="BK46" s="520">
        <f>BJ46*(1+'Demand - Methanol'!$N$42)</f>
        <v>9987.560645756781</v>
      </c>
      <c r="BL46" s="520">
        <f>BK46*(1+'Demand - Methanol'!$N$42)</f>
        <v>9917.9667052783061</v>
      </c>
      <c r="BM46" s="520">
        <f>BL46*(1+'Demand - Methanol'!$N$42)</f>
        <v>9848.8576996826432</v>
      </c>
      <c r="BN46" s="520">
        <f>BM46*(1+'Demand - Methanol'!$N$42)</f>
        <v>9780.2302499135258</v>
      </c>
    </row>
    <row r="47" spans="1:90">
      <c r="B47" s="57" t="s">
        <v>201</v>
      </c>
      <c r="C47" s="50" t="s">
        <v>1420</v>
      </c>
      <c r="D47" s="99">
        <f>D46*'R&amp;S - Apparel'!$C$7*'R&amp;S - Apparel'!$B$13*'R&amp;S - Apparel'!$B$17*(D$3-$D$3)/10</f>
        <v>0</v>
      </c>
      <c r="E47" s="99">
        <f>E46*'R&amp;S - Apparel'!$C$7*'R&amp;S - Apparel'!$B$13*'R&amp;S - Apparel'!$B$17*(E$3-$D$3)/10</f>
        <v>209.63019890210239</v>
      </c>
      <c r="F47" s="99">
        <f>F46*'R&amp;S - Apparel'!$C$7*'R&amp;S - Apparel'!$B$13*'R&amp;S - Apparel'!$B$17*(F$3-$D$3)/10</f>
        <v>416.33896541398809</v>
      </c>
      <c r="G47" s="99">
        <f>G46*'R&amp;S - Apparel'!$C$7*'R&amp;S - Apparel'!$B$13*'R&amp;S - Apparel'!$B$17*(G$3-$D$3)/10</f>
        <v>620.15683461810931</v>
      </c>
      <c r="H47" s="99">
        <f>H46*'R&amp;S - Apparel'!$C$7*'R&amp;S - Apparel'!$B$13*'R&amp;S - Apparel'!$B$17*(H$3-$D$3)/10</f>
        <v>821.11405790312676</v>
      </c>
      <c r="I47" s="99">
        <f>I46*'R&amp;S - Apparel'!$C$7*'R&amp;S - Apparel'!$B$13*'R&amp;S - Apparel'!$B$17*(I$3-$D$3)/10</f>
        <v>1019.2406054349046</v>
      </c>
      <c r="J47" s="99">
        <f>J46*'R&amp;S - Apparel'!$C$7*'R&amp;S - Apparel'!$B$13*'R&amp;S - Apparel'!$B$17*(J$3-$D$3)/10</f>
        <v>1214.5661686068433</v>
      </c>
      <c r="K47" s="99">
        <f>K46*'R&amp;S - Apparel'!$C$7*'R&amp;S - Apparel'!$B$13*'R&amp;S - Apparel'!$B$17*(K$3-$D$3)/10</f>
        <v>1407.1201624697198</v>
      </c>
      <c r="L47" s="99">
        <f>L46*'R&amp;S - Apparel'!$C$7*'R&amp;S - Apparel'!$B$13*'R&amp;S - Apparel'!$B$17*(L$3-$D$3)/10</f>
        <v>1596.9317281411993</v>
      </c>
      <c r="M47" s="99">
        <f>M46*'R&amp;S - Apparel'!$C$7*'R&amp;S - Apparel'!$B$13*'R&amp;S - Apparel'!$B$17*(M$3-$D$3)/10</f>
        <v>1784.029735195186</v>
      </c>
      <c r="N47" s="99">
        <f>N46*'R&amp;S - Apparel'!$C$7*'R&amp;S - Apparel'!$B$13*'R&amp;S - Apparel'!$B$17*(N$3-$D$3)/10</f>
        <v>1968.4427840311771</v>
      </c>
      <c r="O47" s="99">
        <f>O46*'R&amp;S - Apparel'!$C$7*'R&amp;S - Apparel'!$B$13*('R&amp;S - Apparel'!$B$17+('R&amp;S - Apparel'!$B$18-'R&amp;S - Apparel'!$B$17)*(O$3-$N$3)/10)</f>
        <v>2010.575883014443</v>
      </c>
      <c r="P47" s="99">
        <f>P46*'R&amp;S - Apparel'!$C$7*'R&amp;S - Apparel'!$B$13*('R&amp;S - Apparel'!$B$17+('R&amp;S - Apparel'!$B$18-'R&amp;S - Apparel'!$B$17)*(P$3-$N$3)/10)</f>
        <v>2052.0262343701061</v>
      </c>
      <c r="Q47" s="99">
        <f>Q46*'R&amp;S - Apparel'!$C$7*'R&amp;S - Apparel'!$B$13*('R&amp;S - Apparel'!$B$17+('R&amp;S - Apparel'!$B$18-'R&amp;S - Apparel'!$B$17)*(Q$3-$N$3)/10)</f>
        <v>2092.8013072278918</v>
      </c>
      <c r="R47" s="99">
        <f>R46*'R&amp;S - Apparel'!$C$7*'R&amp;S - Apparel'!$B$13*('R&amp;S - Apparel'!$B$17+('R&amp;S - Apparel'!$B$18-'R&amp;S - Apparel'!$B$17)*(R$3-$N$3)/10)</f>
        <v>2132.9084997768591</v>
      </c>
      <c r="S47" s="99">
        <f>S46*'R&amp;S - Apparel'!$C$7*'R&amp;S - Apparel'!$B$13*('R&amp;S - Apparel'!$B$17+('R&amp;S - Apparel'!$B$18-'R&amp;S - Apparel'!$B$17)*(S$3-$N$3)/10)</f>
        <v>2172.3551398913842</v>
      </c>
      <c r="T47" s="99">
        <f>T46*'R&amp;S - Apparel'!$C$7*'R&amp;S - Apparel'!$B$13*('R&amp;S - Apparel'!$B$17+('R&amp;S - Apparel'!$B$18-'R&amp;S - Apparel'!$B$17)*(T$3-$N$3)/10)</f>
        <v>2211.148485751864</v>
      </c>
      <c r="U47" s="99">
        <f>U46*'R&amp;S - Apparel'!$C$7*'R&amp;S - Apparel'!$B$13*('R&amp;S - Apparel'!$B$17+('R&amp;S - Apparel'!$B$18-'R&amp;S - Apparel'!$B$17)*(U$3-$N$3)/10)</f>
        <v>2249.2957264601841</v>
      </c>
      <c r="V47" s="99">
        <f>V46*'R&amp;S - Apparel'!$C$7*'R&amp;S - Apparel'!$B$13*('R&amp;S - Apparel'!$B$17+('R&amp;S - Apparel'!$B$18-'R&amp;S - Apparel'!$B$17)*(V$3-$N$3)/10)</f>
        <v>2286.8039826499894</v>
      </c>
      <c r="W47" s="99">
        <f>W46*'R&amp;S - Apparel'!$C$7*'R&amp;S - Apparel'!$B$13*('R&amp;S - Apparel'!$B$17+('R&amp;S - Apparel'!$B$18-'R&amp;S - Apparel'!$B$17)*(W$3-$N$3)/10)</f>
        <v>2323.6803070918108</v>
      </c>
      <c r="X47" s="99">
        <f>X46*'R&amp;S - Apparel'!$C$7*'R&amp;S - Apparel'!$B$13*('R&amp;S - Apparel'!$B$17+('R&amp;S - Apparel'!$B$18-'R&amp;S - Apparel'!$B$17)*(X$3-$N$3)/10)</f>
        <v>2359.9316852930779</v>
      </c>
      <c r="Y47" s="99">
        <f>Y46*'R&amp;S - Apparel'!$C$7*'R&amp;S - Apparel'!$B$13*('R&amp;S - Apparel'!$B$18+('R&amp;S - Apparel'!$B$19-'R&amp;S - Apparel'!$B$18)*(Y$3-$X$3)/10)</f>
        <v>2369.5262857007497</v>
      </c>
      <c r="Z47" s="99">
        <f>Z46*'R&amp;S - Apparel'!$C$7*'R&amp;S - Apparel'!$B$13*('R&amp;S - Apparel'!$B$18+('R&amp;S - Apparel'!$B$19-'R&amp;S - Apparel'!$B$18)*(Z$3-$X$3)/10)</f>
        <v>2378.8725907155244</v>
      </c>
      <c r="AA47" s="99">
        <f>AA46*'R&amp;S - Apparel'!$C$7*'R&amp;S - Apparel'!$B$13*('R&amp;S - Apparel'!$B$18+('R&amp;S - Apparel'!$B$19-'R&amp;S - Apparel'!$B$18)*(AA$3-$X$3)/10)</f>
        <v>2387.9735947575837</v>
      </c>
      <c r="AB47" s="99">
        <f>AB46*'R&amp;S - Apparel'!$C$7*'R&amp;S - Apparel'!$B$13*('R&amp;S - Apparel'!$B$18+('R&amp;S - Apparel'!$B$19-'R&amp;S - Apparel'!$B$18)*(AB$3-$X$3)/10)</f>
        <v>2396.8322625722053</v>
      </c>
      <c r="AC47" s="99">
        <f>AC46*'R&amp;S - Apparel'!$C$7*'R&amp;S - Apparel'!$B$13*('R&amp;S - Apparel'!$B$18+('R&amp;S - Apparel'!$B$19-'R&amp;S - Apparel'!$B$18)*(AC$3-$X$3)/10)</f>
        <v>2405.4515294979255</v>
      </c>
      <c r="AD47" s="99">
        <f>AD46*'R&amp;S - Apparel'!$C$7*'R&amp;S - Apparel'!$B$13*('R&amp;S - Apparel'!$B$18+('R&amp;S - Apparel'!$B$19-'R&amp;S - Apparel'!$B$18)*(AD$3-$X$3)/10)</f>
        <v>2413.8343017324055</v>
      </c>
      <c r="AE47" s="99">
        <f>AE46*'R&amp;S - Apparel'!$C$7*'R&amp;S - Apparel'!$B$13*('R&amp;S - Apparel'!$B$18+('R&amp;S - Apparel'!$B$19-'R&amp;S - Apparel'!$B$18)*(AE$3-$X$3)/10)</f>
        <v>2421.9834565960196</v>
      </c>
      <c r="AF47" s="99">
        <f>AF46*'R&amp;S - Apparel'!$C$7*'R&amp;S - Apparel'!$B$13*('R&amp;S - Apparel'!$B$18+('R&amp;S - Apparel'!$B$19-'R&amp;S - Apparel'!$B$18)*(AF$3-$X$3)/10)</f>
        <v>2429.9018427931851</v>
      </c>
      <c r="AG47" s="99">
        <f>AG46*'R&amp;S - Apparel'!$C$7*'R&amp;S - Apparel'!$B$13*('R&amp;S - Apparel'!$B$18+('R&amp;S - Apparel'!$B$19-'R&amp;S - Apparel'!$B$18)*(AG$3-$X$3)/10)</f>
        <v>2437.5922806714543</v>
      </c>
      <c r="AH47" s="99">
        <f>AH46*'R&amp;S - Apparel'!$C$7*'R&amp;S - Apparel'!$B$13*('R&amp;S - Apparel'!$B$18+('R&amp;S - Apparel'!$B$19-'R&amp;S - Apparel'!$B$18)*(AH$3-$X$3)/10)</f>
        <v>2445.0575624783814</v>
      </c>
      <c r="AI47" s="99"/>
      <c r="AJ47" s="99">
        <f>AJ46*'R&amp;S - Apparel'!$C$7*'R&amp;S - Apparel'!$B$14*'R&amp;S - Apparel'!$B$17*(AJ$3-$D$3)/10</f>
        <v>0</v>
      </c>
      <c r="AK47" s="99">
        <f>AK46*'R&amp;S - Apparel'!$C$7*'R&amp;S - Apparel'!$B$14*'R&amp;S - Apparel'!$B$17*(AK$3-$D$3)/10</f>
        <v>104.8150994510512</v>
      </c>
      <c r="AL47" s="99">
        <f>AL46*'R&amp;S - Apparel'!$C$7*'R&amp;S - Apparel'!$B$14*'R&amp;S - Apparel'!$B$17*(AL$3-$D$3)/10</f>
        <v>208.16948270699405</v>
      </c>
      <c r="AM47" s="99">
        <f>AM46*'R&amp;S - Apparel'!$C$7*'R&amp;S - Apparel'!$B$14*'R&amp;S - Apparel'!$B$17*(AM$3-$D$3)/10</f>
        <v>310.07841730905466</v>
      </c>
      <c r="AN47" s="99">
        <f>AN46*'R&amp;S - Apparel'!$C$7*'R&amp;S - Apparel'!$B$14*'R&amp;S - Apparel'!$B$17*(AN$3-$D$3)/10</f>
        <v>410.55702895156338</v>
      </c>
      <c r="AO47" s="99">
        <f>AO46*'R&amp;S - Apparel'!$C$7*'R&amp;S - Apparel'!$B$14*'R&amp;S - Apparel'!$B$17*(AO$3-$D$3)/10</f>
        <v>509.62030271745232</v>
      </c>
      <c r="AP47" s="99">
        <f>AP46*'R&amp;S - Apparel'!$C$7*'R&amp;S - Apparel'!$B$14*'R&amp;S - Apparel'!$B$17*(AP$3-$D$3)/10</f>
        <v>607.28308430342167</v>
      </c>
      <c r="AQ47" s="99">
        <f>AQ46*'R&amp;S - Apparel'!$C$7*'R&amp;S - Apparel'!$B$14*'R&amp;S - Apparel'!$B$17*(AQ$3-$D$3)/10</f>
        <v>703.56008123485992</v>
      </c>
      <c r="AR47" s="99">
        <f>AR46*'R&amp;S - Apparel'!$C$7*'R&amp;S - Apparel'!$B$14*'R&amp;S - Apparel'!$B$17*(AR$3-$D$3)/10</f>
        <v>798.46586407059965</v>
      </c>
      <c r="AS47" s="99">
        <f>AS46*'R&amp;S - Apparel'!$C$7*'R&amp;S - Apparel'!$B$14*'R&amp;S - Apparel'!$B$17*(AS$3-$D$3)/10</f>
        <v>892.01486759759302</v>
      </c>
      <c r="AT47" s="99">
        <f>AT46*'R&amp;S - Apparel'!$C$7*'R&amp;S - Apparel'!$B$14*'R&amp;S - Apparel'!$B$17*(AT$3-$D$3)/10</f>
        <v>984.22139201558855</v>
      </c>
      <c r="AU47" s="99">
        <f>AU46*'R&amp;S - Apparel'!$C$7*'R&amp;S - Apparel'!$B$14*('R&amp;S - Apparel'!$B$17+('R&amp;S - Apparel'!$B$18-'R&amp;S - Apparel'!$B$17)*(AU$3-$N$3)/10)</f>
        <v>1005.2879415072215</v>
      </c>
      <c r="AV47" s="99">
        <f>AV46*'R&amp;S - Apparel'!$C$7*'R&amp;S - Apparel'!$B$14*('R&amp;S - Apparel'!$B$17+('R&amp;S - Apparel'!$B$18-'R&amp;S - Apparel'!$B$17)*(AV$3-$N$3)/10)</f>
        <v>1026.013117185053</v>
      </c>
      <c r="AW47" s="99">
        <f>AW46*'R&amp;S - Apparel'!$C$7*'R&amp;S - Apparel'!$B$14*('R&amp;S - Apparel'!$B$17+('R&amp;S - Apparel'!$B$18-'R&amp;S - Apparel'!$B$17)*(AW$3-$N$3)/10)</f>
        <v>1046.4006536139459</v>
      </c>
      <c r="AX47" s="99">
        <f>AX46*'R&amp;S - Apparel'!$C$7*'R&amp;S - Apparel'!$B$14*('R&amp;S - Apparel'!$B$17+('R&amp;S - Apparel'!$B$18-'R&amp;S - Apparel'!$B$17)*(AX$3-$N$3)/10)</f>
        <v>1066.4542498884296</v>
      </c>
      <c r="AY47" s="99">
        <f>AY46*'R&amp;S - Apparel'!$C$7*'R&amp;S - Apparel'!$B$14*('R&amp;S - Apparel'!$B$17+('R&amp;S - Apparel'!$B$18-'R&amp;S - Apparel'!$B$17)*(AY$3-$N$3)/10)</f>
        <v>1086.1775699456921</v>
      </c>
      <c r="AZ47" s="99">
        <f>AZ46*'R&amp;S - Apparel'!$C$7*'R&amp;S - Apparel'!$B$14*('R&amp;S - Apparel'!$B$17+('R&amp;S - Apparel'!$B$18-'R&amp;S - Apparel'!$B$17)*(AZ$3-$N$3)/10)</f>
        <v>1105.574242875932</v>
      </c>
      <c r="BA47" s="99">
        <f>BA46*'R&amp;S - Apparel'!$C$7*'R&amp;S - Apparel'!$B$14*('R&amp;S - Apparel'!$B$17+('R&amp;S - Apparel'!$B$18-'R&amp;S - Apparel'!$B$17)*(BA$3-$N$3)/10)</f>
        <v>1124.6478632300921</v>
      </c>
      <c r="BB47" s="99">
        <f>BB46*'R&amp;S - Apparel'!$C$7*'R&amp;S - Apparel'!$B$14*('R&amp;S - Apparel'!$B$17+('R&amp;S - Apparel'!$B$18-'R&amp;S - Apparel'!$B$17)*(BB$3-$N$3)/10)</f>
        <v>1143.4019913249947</v>
      </c>
      <c r="BC47" s="99">
        <f>BC46*'R&amp;S - Apparel'!$C$7*'R&amp;S - Apparel'!$B$14*('R&amp;S - Apparel'!$B$17+('R&amp;S - Apparel'!$B$18-'R&amp;S - Apparel'!$B$17)*(BC$3-$N$3)/10)</f>
        <v>1161.8401535459054</v>
      </c>
      <c r="BD47" s="99">
        <f>BD46*'R&amp;S - Apparel'!$C$7*'R&amp;S - Apparel'!$B$14*('R&amp;S - Apparel'!$B$17+('R&amp;S - Apparel'!$B$18-'R&amp;S - Apparel'!$B$17)*(BD$3-$N$3)/10)</f>
        <v>1179.9658426465389</v>
      </c>
      <c r="BE47" s="99">
        <f>BE46*'R&amp;S - Apparel'!$C$7*'R&amp;S - Apparel'!$B$14*('R&amp;S - Apparel'!$B$18+('R&amp;S - Apparel'!$B$19-'R&amp;S - Apparel'!$B$18)*(BE$3-$X$3)/10)</f>
        <v>1184.7631428503748</v>
      </c>
      <c r="BF47" s="99">
        <f>BF46*'R&amp;S - Apparel'!$C$7*'R&amp;S - Apparel'!$B$14*('R&amp;S - Apparel'!$B$18+('R&amp;S - Apparel'!$B$19-'R&amp;S - Apparel'!$B$18)*(BF$3-$X$3)/10)</f>
        <v>1189.4362953577622</v>
      </c>
      <c r="BG47" s="99">
        <f>BG46*'R&amp;S - Apparel'!$C$7*'R&amp;S - Apparel'!$B$14*('R&amp;S - Apparel'!$B$18+('R&amp;S - Apparel'!$B$19-'R&amp;S - Apparel'!$B$18)*(BG$3-$X$3)/10)</f>
        <v>1193.9867973787918</v>
      </c>
      <c r="BH47" s="99">
        <f>BH46*'R&amp;S - Apparel'!$C$7*'R&amp;S - Apparel'!$B$14*('R&amp;S - Apparel'!$B$18+('R&amp;S - Apparel'!$B$19-'R&amp;S - Apparel'!$B$18)*(BH$3-$X$3)/10)</f>
        <v>1198.4161312861027</v>
      </c>
      <c r="BI47" s="99">
        <f>BI46*'R&amp;S - Apparel'!$C$7*'R&amp;S - Apparel'!$B$14*('R&amp;S - Apparel'!$B$18+('R&amp;S - Apparel'!$B$19-'R&amp;S - Apparel'!$B$18)*(BI$3-$X$3)/10)</f>
        <v>1202.7257647489628</v>
      </c>
      <c r="BJ47" s="99">
        <f>BJ46*'R&amp;S - Apparel'!$C$7*'R&amp;S - Apparel'!$B$14*('R&amp;S - Apparel'!$B$18+('R&amp;S - Apparel'!$B$19-'R&amp;S - Apparel'!$B$18)*(BJ$3-$X$3)/10)</f>
        <v>1206.9171508662027</v>
      </c>
      <c r="BK47" s="99">
        <f>BK46*'R&amp;S - Apparel'!$C$7*'R&amp;S - Apparel'!$B$14*('R&amp;S - Apparel'!$B$18+('R&amp;S - Apparel'!$B$19-'R&amp;S - Apparel'!$B$18)*(BK$3-$X$3)/10)</f>
        <v>1210.9917282980098</v>
      </c>
      <c r="BL47" s="99">
        <f>BL46*'R&amp;S - Apparel'!$C$7*'R&amp;S - Apparel'!$B$14*('R&amp;S - Apparel'!$B$18+('R&amp;S - Apparel'!$B$19-'R&amp;S - Apparel'!$B$18)*(BL$3-$X$3)/10)</f>
        <v>1214.9509213965925</v>
      </c>
      <c r="BM47" s="99">
        <f>BM46*'R&amp;S - Apparel'!$C$7*'R&amp;S - Apparel'!$B$14*('R&amp;S - Apparel'!$B$18+('R&amp;S - Apparel'!$B$19-'R&amp;S - Apparel'!$B$18)*(BM$3-$X$3)/10)</f>
        <v>1218.7961403357272</v>
      </c>
      <c r="BN47" s="99">
        <f>BN46*'R&amp;S - Apparel'!$C$7*'R&amp;S - Apparel'!$B$14*('R&amp;S - Apparel'!$B$18+('R&amp;S - Apparel'!$B$19-'R&amp;S - Apparel'!$B$18)*(BN$3-$X$3)/10)</f>
        <v>1222.5287812391907</v>
      </c>
    </row>
    <row r="48" spans="1:90">
      <c r="B48" s="57" t="s">
        <v>205</v>
      </c>
      <c r="C48" s="50" t="s">
        <v>1420</v>
      </c>
      <c r="D48" s="99">
        <f>D46*'R&amp;S - Apparel'!$C$8*'R&amp;S - Apparel'!$B$13*'R&amp;S - Apparel'!$C$17*(D$3-$D$3)/10</f>
        <v>0</v>
      </c>
      <c r="E48" s="99">
        <f>E46*'R&amp;S - Apparel'!$C$8*'R&amp;S - Apparel'!$B$13*'R&amp;S - Apparel'!$C$17*(E$3-$D$3)/10</f>
        <v>81.456305859102656</v>
      </c>
      <c r="F48" s="99">
        <f>F46*'R&amp;S - Apparel'!$C$8*'R&amp;S - Apparel'!$B$13*'R&amp;S - Apparel'!$C$17*(F$3-$D$3)/10</f>
        <v>161.77742656086394</v>
      </c>
      <c r="G48" s="99">
        <f>G46*'R&amp;S - Apparel'!$C$8*'R&amp;S - Apparel'!$B$13*'R&amp;S - Apparel'!$C$17*(G$3-$D$3)/10</f>
        <v>240.97522716589393</v>
      </c>
      <c r="H48" s="99">
        <f>H46*'R&amp;S - Apparel'!$C$8*'R&amp;S - Apparel'!$B$13*'R&amp;S - Apparel'!$C$17*(H$3-$D$3)/10</f>
        <v>319.06146249950069</v>
      </c>
      <c r="I48" s="99">
        <f>I46*'R&amp;S - Apparel'!$C$8*'R&amp;S - Apparel'!$B$13*'R&amp;S - Apparel'!$C$17*(I$3-$D$3)/10</f>
        <v>396.04777811184874</v>
      </c>
      <c r="J48" s="99">
        <f>J46*'R&amp;S - Apparel'!$C$8*'R&amp;S - Apparel'!$B$13*'R&amp;S - Apparel'!$C$17*(J$3-$D$3)/10</f>
        <v>471.9457112300878</v>
      </c>
      <c r="K48" s="99">
        <f>K46*'R&amp;S - Apparel'!$C$8*'R&amp;S - Apparel'!$B$13*'R&amp;S - Apparel'!$C$17*(K$3-$D$3)/10</f>
        <v>546.76669170251967</v>
      </c>
      <c r="L48" s="99">
        <f>L46*'R&amp;S - Apparel'!$C$8*'R&amp;S - Apparel'!$B$13*'R&amp;S - Apparel'!$C$17*(L$3-$D$3)/10</f>
        <v>620.52204293486614</v>
      </c>
      <c r="M48" s="99">
        <f>M46*'R&amp;S - Apparel'!$C$8*'R&amp;S - Apparel'!$B$13*'R&amp;S - Apparel'!$C$17*(M$3-$D$3)/10</f>
        <v>693.2229828187011</v>
      </c>
      <c r="N48" s="99">
        <f>N46*'R&amp;S - Apparel'!$C$8*'R&amp;S - Apparel'!$B$13*'R&amp;S - Apparel'!$C$17*(N$3-$D$3)/10</f>
        <v>764.88062465211476</v>
      </c>
      <c r="O48" s="99">
        <f>O46*'R&amp;S - Apparel'!$C$8*'R&amp;S - Apparel'!$B$13*('R&amp;S - Apparel'!$C$17+('R&amp;S - Apparel'!$C$18-'R&amp;S - Apparel'!$C$17)*(O$3-$N$3)/10)</f>
        <v>873.48352250960806</v>
      </c>
      <c r="P48" s="99">
        <f>P46*'R&amp;S - Apparel'!$C$8*'R&amp;S - Apparel'!$B$13*('R&amp;S - Apparel'!$C$17+('R&amp;S - Apparel'!$C$18-'R&amp;S - Apparel'!$C$17)*(P$3-$N$3)/10)</f>
        <v>980.53577901793199</v>
      </c>
      <c r="Q48" s="99">
        <f>Q46*'R&amp;S - Apparel'!$C$8*'R&amp;S - Apparel'!$B$13*('R&amp;S - Apparel'!$C$17+('R&amp;S - Apparel'!$C$18-'R&amp;S - Apparel'!$C$17)*(Q$3-$N$3)/10)</f>
        <v>1086.0537310140535</v>
      </c>
      <c r="R48" s="99">
        <f>R46*'R&amp;S - Apparel'!$C$8*'R&amp;S - Apparel'!$B$13*('R&amp;S - Apparel'!$C$17+('R&amp;S - Apparel'!$C$18-'R&amp;S - Apparel'!$C$17)*(R$3-$N$3)/10)</f>
        <v>1190.053562952422</v>
      </c>
      <c r="S48" s="99">
        <f>S46*'R&amp;S - Apparel'!$C$8*'R&amp;S - Apparel'!$B$13*('R&amp;S - Apparel'!$C$17+('R&amp;S - Apparel'!$C$18-'R&amp;S - Apparel'!$C$17)*(S$3-$N$3)/10)</f>
        <v>1292.5513082353737</v>
      </c>
      <c r="T48" s="99">
        <f>T46*'R&amp;S - Apparel'!$C$8*'R&amp;S - Apparel'!$B$13*('R&amp;S - Apparel'!$C$17+('R&amp;S - Apparel'!$C$18-'R&amp;S - Apparel'!$C$17)*(T$3-$N$3)/10)</f>
        <v>1393.5628505323946</v>
      </c>
      <c r="U48" s="99">
        <f>U46*'R&amp;S - Apparel'!$C$8*'R&amp;S - Apparel'!$B$13*('R&amp;S - Apparel'!$C$17+('R&amp;S - Apparel'!$C$18-'R&amp;S - Apparel'!$C$17)*(U$3-$N$3)/10)</f>
        <v>1493.1039250883321</v>
      </c>
      <c r="V48" s="99">
        <f>V46*'R&amp;S - Apparel'!$C$8*'R&amp;S - Apparel'!$B$13*('R&amp;S - Apparel'!$C$17+('R&amp;S - Apparel'!$C$18-'R&amp;S - Apparel'!$C$17)*(V$3-$N$3)/10)</f>
        <v>1591.1901200206439</v>
      </c>
      <c r="W48" s="99">
        <f>W46*'R&amp;S - Apparel'!$C$8*'R&amp;S - Apparel'!$B$13*('R&amp;S - Apparel'!$C$17+('R&amp;S - Apparel'!$C$18-'R&amp;S - Apparel'!$C$17)*(W$3-$N$3)/10)</f>
        <v>1687.8368776057791</v>
      </c>
      <c r="X48" s="99">
        <f>X46*'R&amp;S - Apparel'!$C$8*'R&amp;S - Apparel'!$B$13*('R&amp;S - Apparel'!$C$17+('R&amp;S - Apparel'!$C$18-'R&amp;S - Apparel'!$C$17)*(X$3-$N$3)/10)</f>
        <v>1783.0594955547699</v>
      </c>
      <c r="Y48" s="99">
        <f>Y46*'R&amp;S - Apparel'!$C$8*'R&amp;S - Apparel'!$B$13*('R&amp;S - Apparel'!$C$18+('R&amp;S - Apparel'!$C$19-'R&amp;S - Apparel'!$C$18)*(Y$3-$X$3)/10)</f>
        <v>1947.6985293452317</v>
      </c>
      <c r="Z48" s="99">
        <f>Z46*'R&amp;S - Apparel'!$C$8*'R&amp;S - Apparel'!$B$13*('R&amp;S - Apparel'!$C$18+('R&amp;S - Apparel'!$C$19-'R&amp;S - Apparel'!$C$18)*(Z$3-$X$3)/10)</f>
        <v>2109.9565587215957</v>
      </c>
      <c r="AA48" s="99">
        <f>AA46*'R&amp;S - Apparel'!$C$8*'R&amp;S - Apparel'!$B$13*('R&amp;S - Apparel'!$C$18+('R&amp;S - Apparel'!$C$19-'R&amp;S - Apparel'!$C$18)*(AA$3-$X$3)/10)</f>
        <v>2269.8587717910796</v>
      </c>
      <c r="AB48" s="99">
        <f>AB46*'R&amp;S - Apparel'!$C$8*'R&amp;S - Apparel'!$B$13*('R&amp;S - Apparel'!$C$18+('R&amp;S - Apparel'!$C$19-'R&amp;S - Apparel'!$C$18)*(AB$3-$X$3)/10)</f>
        <v>2427.4301212433397</v>
      </c>
      <c r="AC48" s="99">
        <f>AC46*'R&amp;S - Apparel'!$C$8*'R&amp;S - Apparel'!$B$13*('R&amp;S - Apparel'!$C$18+('R&amp;S - Apparel'!$C$19-'R&amp;S - Apparel'!$C$18)*(AC$3-$X$3)/10)</f>
        <v>2582.695326408299</v>
      </c>
      <c r="AD48" s="99">
        <f>AD46*'R&amp;S - Apparel'!$C$8*'R&amp;S - Apparel'!$B$13*('R&amp;S - Apparel'!$C$18+('R&amp;S - Apparel'!$C$19-'R&amp;S - Apparel'!$C$18)*(AD$3-$X$3)/10)</f>
        <v>2735.6788752967268</v>
      </c>
      <c r="AE48" s="99">
        <f>AE46*'R&amp;S - Apparel'!$C$8*'R&amp;S - Apparel'!$B$13*('R&amp;S - Apparel'!$C$18+('R&amp;S - Apparel'!$C$19-'R&amp;S - Apparel'!$C$18)*(AE$3-$X$3)/10)</f>
        <v>2886.40502662371</v>
      </c>
      <c r="AF48" s="99">
        <f>AF46*'R&amp;S - Apparel'!$C$8*'R&amp;S - Apparel'!$B$13*('R&amp;S - Apparel'!$C$18+('R&amp;S - Apparel'!$C$19-'R&amp;S - Apparel'!$C$18)*(AF$3-$X$3)/10)</f>
        <v>3034.8978118151617</v>
      </c>
      <c r="AG48" s="99">
        <f>AG46*'R&amp;S - Apparel'!$C$8*'R&amp;S - Apparel'!$B$13*('R&amp;S - Apparel'!$C$18+('R&amp;S - Apparel'!$C$19-'R&amp;S - Apparel'!$C$18)*(AG$3-$X$3)/10)</f>
        <v>3181.1810369974937</v>
      </c>
      <c r="AH48" s="99">
        <f>AH46*'R&amp;S - Apparel'!$C$8*'R&amp;S - Apparel'!$B$13*('R&amp;S - Apparel'!$C$18+('R&amp;S - Apparel'!$C$19-'R&amp;S - Apparel'!$C$18)*(AH$3-$X$3)/10)</f>
        <v>3325.2782849705991</v>
      </c>
      <c r="AI48" s="99"/>
      <c r="AJ48" s="99">
        <f>AJ46*'R&amp;S - Apparel'!$C$8*'R&amp;S - Apparel'!$B$14*'R&amp;S - Apparel'!$C$17*(AJ$3-$D$3)/10</f>
        <v>0</v>
      </c>
      <c r="AK48" s="99">
        <f>AK46*'R&amp;S - Apparel'!$C$8*'R&amp;S - Apparel'!$B$14*'R&amp;S - Apparel'!$C$17*(AK$3-$D$3)/10</f>
        <v>40.728152929551328</v>
      </c>
      <c r="AL48" s="99">
        <f>AL46*'R&amp;S - Apparel'!$C$8*'R&amp;S - Apparel'!$B$14*'R&amp;S - Apparel'!$C$17*(AL$3-$D$3)/10</f>
        <v>80.888713280431972</v>
      </c>
      <c r="AM48" s="99">
        <f>AM46*'R&amp;S - Apparel'!$C$8*'R&amp;S - Apparel'!$B$14*'R&amp;S - Apparel'!$C$17*(AM$3-$D$3)/10</f>
        <v>120.48761358294696</v>
      </c>
      <c r="AN48" s="99">
        <f>AN46*'R&amp;S - Apparel'!$C$8*'R&amp;S - Apparel'!$B$14*'R&amp;S - Apparel'!$C$17*(AN$3-$D$3)/10</f>
        <v>159.53073124975035</v>
      </c>
      <c r="AO48" s="99">
        <f>AO46*'R&amp;S - Apparel'!$C$8*'R&amp;S - Apparel'!$B$14*'R&amp;S - Apparel'!$C$17*(AO$3-$D$3)/10</f>
        <v>198.02388905592437</v>
      </c>
      <c r="AP48" s="99">
        <f>AP46*'R&amp;S - Apparel'!$C$8*'R&amp;S - Apparel'!$B$14*'R&amp;S - Apparel'!$C$17*(AP$3-$D$3)/10</f>
        <v>235.9728556150439</v>
      </c>
      <c r="AQ48" s="99">
        <f>AQ46*'R&amp;S - Apparel'!$C$8*'R&amp;S - Apparel'!$B$14*'R&amp;S - Apparel'!$C$17*(AQ$3-$D$3)/10</f>
        <v>273.38334585125983</v>
      </c>
      <c r="AR48" s="99">
        <f>AR46*'R&amp;S - Apparel'!$C$8*'R&amp;S - Apparel'!$B$14*'R&amp;S - Apparel'!$C$17*(AR$3-$D$3)/10</f>
        <v>310.26102146743307</v>
      </c>
      <c r="AS48" s="99">
        <f>AS46*'R&amp;S - Apparel'!$C$8*'R&amp;S - Apparel'!$B$14*'R&amp;S - Apparel'!$C$17*(AS$3-$D$3)/10</f>
        <v>346.61149140935055</v>
      </c>
      <c r="AT48" s="99">
        <f>AT46*'R&amp;S - Apparel'!$C$8*'R&amp;S - Apparel'!$B$14*'R&amp;S - Apparel'!$C$17*(AT$3-$D$3)/10</f>
        <v>382.44031232605738</v>
      </c>
      <c r="AU48" s="99">
        <f>AU46*'R&amp;S - Apparel'!$C$8*'R&amp;S - Apparel'!$B$14*('R&amp;S - Apparel'!$C$17+('R&amp;S - Apparel'!$C$18-'R&amp;S - Apparel'!$C$17)*(AU$3-$N$3)/10)</f>
        <v>436.74176125480403</v>
      </c>
      <c r="AV48" s="99">
        <f>AV46*'R&amp;S - Apparel'!$C$8*'R&amp;S - Apparel'!$B$14*('R&amp;S - Apparel'!$C$17+('R&amp;S - Apparel'!$C$18-'R&amp;S - Apparel'!$C$17)*(AV$3-$N$3)/10)</f>
        <v>490.26788950896599</v>
      </c>
      <c r="AW48" s="99">
        <f>AW46*'R&amp;S - Apparel'!$C$8*'R&amp;S - Apparel'!$B$14*('R&amp;S - Apparel'!$C$17+('R&amp;S - Apparel'!$C$18-'R&amp;S - Apparel'!$C$17)*(AW$3-$N$3)/10)</f>
        <v>543.02686550702674</v>
      </c>
      <c r="AX48" s="99">
        <f>AX46*'R&amp;S - Apparel'!$C$8*'R&amp;S - Apparel'!$B$14*('R&amp;S - Apparel'!$C$17+('R&amp;S - Apparel'!$C$18-'R&amp;S - Apparel'!$C$17)*(AX$3-$N$3)/10)</f>
        <v>595.026781476211</v>
      </c>
      <c r="AY48" s="99">
        <f>AY46*'R&amp;S - Apparel'!$C$8*'R&amp;S - Apparel'!$B$14*('R&amp;S - Apparel'!$C$17+('R&amp;S - Apparel'!$C$18-'R&amp;S - Apparel'!$C$17)*(AY$3-$N$3)/10)</f>
        <v>646.27565411768683</v>
      </c>
      <c r="AZ48" s="99">
        <f>AZ46*'R&amp;S - Apparel'!$C$8*'R&amp;S - Apparel'!$B$14*('R&amp;S - Apparel'!$C$17+('R&amp;S - Apparel'!$C$18-'R&amp;S - Apparel'!$C$17)*(AZ$3-$N$3)/10)</f>
        <v>696.78142526619729</v>
      </c>
      <c r="BA48" s="99">
        <f>BA46*'R&amp;S - Apparel'!$C$8*'R&amp;S - Apparel'!$B$14*('R&amp;S - Apparel'!$C$17+('R&amp;S - Apparel'!$C$18-'R&amp;S - Apparel'!$C$17)*(BA$3-$N$3)/10)</f>
        <v>746.55196254416603</v>
      </c>
      <c r="BB48" s="99">
        <f>BB46*'R&amp;S - Apparel'!$C$8*'R&amp;S - Apparel'!$B$14*('R&amp;S - Apparel'!$C$17+('R&amp;S - Apparel'!$C$18-'R&amp;S - Apparel'!$C$17)*(BB$3-$N$3)/10)</f>
        <v>795.59506001032196</v>
      </c>
      <c r="BC48" s="99">
        <f>BC46*'R&amp;S - Apparel'!$C$8*'R&amp;S - Apparel'!$B$14*('R&amp;S - Apparel'!$C$17+('R&amp;S - Apparel'!$C$18-'R&amp;S - Apparel'!$C$17)*(BC$3-$N$3)/10)</f>
        <v>843.91843880288957</v>
      </c>
      <c r="BD48" s="99">
        <f>BD46*'R&amp;S - Apparel'!$C$8*'R&amp;S - Apparel'!$B$14*('R&amp;S - Apparel'!$C$17+('R&amp;S - Apparel'!$C$18-'R&amp;S - Apparel'!$C$17)*(BD$3-$N$3)/10)</f>
        <v>891.52974777738496</v>
      </c>
      <c r="BE48" s="99">
        <f>BE46*'R&amp;S - Apparel'!$C$8*'R&amp;S - Apparel'!$B$14*('R&amp;S - Apparel'!$C$18+('R&amp;S - Apparel'!$C$19-'R&amp;S - Apparel'!$C$18)*(BE$3-$X$3)/10)</f>
        <v>973.84926467261585</v>
      </c>
      <c r="BF48" s="99">
        <f>BF46*'R&amp;S - Apparel'!$C$8*'R&amp;S - Apparel'!$B$14*('R&amp;S - Apparel'!$C$18+('R&amp;S - Apparel'!$C$19-'R&amp;S - Apparel'!$C$18)*(BF$3-$X$3)/10)</f>
        <v>1054.9782793607978</v>
      </c>
      <c r="BG48" s="99">
        <f>BG46*'R&amp;S - Apparel'!$C$8*'R&amp;S - Apparel'!$B$14*('R&amp;S - Apparel'!$C$18+('R&amp;S - Apparel'!$C$19-'R&amp;S - Apparel'!$C$18)*(BG$3-$X$3)/10)</f>
        <v>1134.9293858955398</v>
      </c>
      <c r="BH48" s="99">
        <f>BH46*'R&amp;S - Apparel'!$C$8*'R&amp;S - Apparel'!$B$14*('R&amp;S - Apparel'!$C$18+('R&amp;S - Apparel'!$C$19-'R&amp;S - Apparel'!$C$18)*(BH$3-$X$3)/10)</f>
        <v>1213.7150606216699</v>
      </c>
      <c r="BI48" s="99">
        <f>BI46*'R&amp;S - Apparel'!$C$8*'R&amp;S - Apparel'!$B$14*('R&amp;S - Apparel'!$C$18+('R&amp;S - Apparel'!$C$19-'R&amp;S - Apparel'!$C$18)*(BI$3-$X$3)/10)</f>
        <v>1291.3476632041495</v>
      </c>
      <c r="BJ48" s="99">
        <f>BJ46*'R&amp;S - Apparel'!$C$8*'R&amp;S - Apparel'!$B$14*('R&amp;S - Apparel'!$C$18+('R&amp;S - Apparel'!$C$19-'R&amp;S - Apparel'!$C$18)*(BJ$3-$X$3)/10)</f>
        <v>1367.8394376483634</v>
      </c>
      <c r="BK48" s="99">
        <f>BK46*'R&amp;S - Apparel'!$C$8*'R&amp;S - Apparel'!$B$14*('R&amp;S - Apparel'!$C$18+('R&amp;S - Apparel'!$C$19-'R&amp;S - Apparel'!$C$18)*(BK$3-$X$3)/10)</f>
        <v>1443.202513311855</v>
      </c>
      <c r="BL48" s="99">
        <f>BL46*'R&amp;S - Apparel'!$C$8*'R&amp;S - Apparel'!$B$14*('R&amp;S - Apparel'!$C$18+('R&amp;S - Apparel'!$C$19-'R&amp;S - Apparel'!$C$18)*(BL$3-$X$3)/10)</f>
        <v>1517.4489059075809</v>
      </c>
      <c r="BM48" s="99">
        <f>BM46*'R&amp;S - Apparel'!$C$8*'R&amp;S - Apparel'!$B$14*('R&amp;S - Apparel'!$C$18+('R&amp;S - Apparel'!$C$19-'R&amp;S - Apparel'!$C$18)*(BM$3-$X$3)/10)</f>
        <v>1590.5905184987469</v>
      </c>
      <c r="BN48" s="99">
        <f>BN46*'R&amp;S - Apparel'!$C$8*'R&amp;S - Apparel'!$B$14*('R&amp;S - Apparel'!$C$18+('R&amp;S - Apparel'!$C$19-'R&amp;S - Apparel'!$C$18)*(BN$3-$X$3)/10)</f>
        <v>1662.6391424852995</v>
      </c>
    </row>
    <row r="49" spans="1:90">
      <c r="B49" s="1" t="s">
        <v>169</v>
      </c>
      <c r="C49" s="50" t="s">
        <v>1420</v>
      </c>
      <c r="D49" s="99">
        <f>SUM(D47:D48)</f>
        <v>0</v>
      </c>
      <c r="E49" s="99">
        <f>SUM(E47:E48)</f>
        <v>291.08650476120505</v>
      </c>
      <c r="F49" s="99">
        <f t="shared" ref="F49:AH49" si="400">SUM(F47:F48)</f>
        <v>578.11639197485204</v>
      </c>
      <c r="G49" s="99">
        <f t="shared" si="400"/>
        <v>861.13206178400321</v>
      </c>
      <c r="H49" s="99">
        <f t="shared" si="400"/>
        <v>1140.1755204026274</v>
      </c>
      <c r="I49" s="99">
        <f t="shared" si="400"/>
        <v>1415.2883835467533</v>
      </c>
      <c r="J49" s="99">
        <f t="shared" si="400"/>
        <v>1686.5118798369313</v>
      </c>
      <c r="K49" s="99">
        <f t="shared" si="400"/>
        <v>1953.8868541722395</v>
      </c>
      <c r="L49" s="99">
        <f t="shared" si="400"/>
        <v>2217.4537710760656</v>
      </c>
      <c r="M49" s="99">
        <f t="shared" si="400"/>
        <v>2477.2527180138873</v>
      </c>
      <c r="N49" s="99">
        <f t="shared" si="400"/>
        <v>2733.3234086832917</v>
      </c>
      <c r="O49" s="99">
        <f>SUM(O47:O48)</f>
        <v>2884.0594055240508</v>
      </c>
      <c r="P49" s="99">
        <f t="shared" si="400"/>
        <v>3032.5620133880379</v>
      </c>
      <c r="Q49" s="99">
        <f t="shared" si="400"/>
        <v>3178.8550382419453</v>
      </c>
      <c r="R49" s="99">
        <f t="shared" si="400"/>
        <v>3322.9620627292811</v>
      </c>
      <c r="S49" s="99">
        <f t="shared" si="400"/>
        <v>3464.9064481267578</v>
      </c>
      <c r="T49" s="99">
        <f t="shared" si="400"/>
        <v>3604.7113362842583</v>
      </c>
      <c r="U49" s="99">
        <f t="shared" si="400"/>
        <v>3742.399651548516</v>
      </c>
      <c r="V49" s="99">
        <f t="shared" si="400"/>
        <v>3877.9941026706333</v>
      </c>
      <c r="W49" s="99">
        <f t="shared" si="400"/>
        <v>4011.51718469759</v>
      </c>
      <c r="X49" s="99">
        <f t="shared" si="400"/>
        <v>4142.9911808478482</v>
      </c>
      <c r="Y49" s="99">
        <f t="shared" ref="Y49:AG49" si="401">SUM(Y47:Y48)</f>
        <v>4317.2248150459818</v>
      </c>
      <c r="Z49" s="99">
        <f t="shared" si="401"/>
        <v>4488.8291494371206</v>
      </c>
      <c r="AA49" s="99">
        <f t="shared" si="401"/>
        <v>4657.8323665486632</v>
      </c>
      <c r="AB49" s="99">
        <f t="shared" si="401"/>
        <v>4824.262383815545</v>
      </c>
      <c r="AC49" s="99">
        <f t="shared" si="401"/>
        <v>4988.146855906225</v>
      </c>
      <c r="AD49" s="99">
        <f t="shared" si="401"/>
        <v>5149.5131770291318</v>
      </c>
      <c r="AE49" s="99">
        <f t="shared" si="401"/>
        <v>5308.3884832197291</v>
      </c>
      <c r="AF49" s="99">
        <f t="shared" si="401"/>
        <v>5464.7996546083468</v>
      </c>
      <c r="AG49" s="99">
        <f t="shared" si="401"/>
        <v>5618.773317668948</v>
      </c>
      <c r="AH49" s="99">
        <f t="shared" si="400"/>
        <v>5770.3358474489805</v>
      </c>
      <c r="AI49" s="99"/>
      <c r="AJ49" s="99">
        <f>SUM(AJ47:AJ48)</f>
        <v>0</v>
      </c>
      <c r="AK49" s="99">
        <f>SUM(AK47:AK48)</f>
        <v>145.54325238060252</v>
      </c>
      <c r="AL49" s="99">
        <f t="shared" ref="AL49:AT49" si="402">SUM(AL47:AL48)</f>
        <v>289.05819598742602</v>
      </c>
      <c r="AM49" s="99">
        <f t="shared" si="402"/>
        <v>430.56603089200161</v>
      </c>
      <c r="AN49" s="99">
        <f t="shared" si="402"/>
        <v>570.0877602013137</v>
      </c>
      <c r="AO49" s="99">
        <f t="shared" si="402"/>
        <v>707.64419177337663</v>
      </c>
      <c r="AP49" s="99">
        <f t="shared" si="402"/>
        <v>843.25593991846563</v>
      </c>
      <c r="AQ49" s="99">
        <f t="shared" si="402"/>
        <v>976.94342708611975</v>
      </c>
      <c r="AR49" s="99">
        <f t="shared" si="402"/>
        <v>1108.7268855380328</v>
      </c>
      <c r="AS49" s="99">
        <f t="shared" si="402"/>
        <v>1238.6263590069436</v>
      </c>
      <c r="AT49" s="99">
        <f t="shared" si="402"/>
        <v>1366.6617043416459</v>
      </c>
      <c r="AU49" s="99">
        <f>SUM(AU47:AU48)</f>
        <v>1442.0297027620254</v>
      </c>
      <c r="AV49" s="99">
        <f t="shared" ref="AV49:BN49" si="403">SUM(AV47:AV48)</f>
        <v>1516.281006694019</v>
      </c>
      <c r="AW49" s="99">
        <f t="shared" si="403"/>
        <v>1589.4275191209726</v>
      </c>
      <c r="AX49" s="99">
        <f t="shared" si="403"/>
        <v>1661.4810313646406</v>
      </c>
      <c r="AY49" s="99">
        <f t="shared" si="403"/>
        <v>1732.4532240633789</v>
      </c>
      <c r="AZ49" s="99">
        <f t="shared" si="403"/>
        <v>1802.3556681421292</v>
      </c>
      <c r="BA49" s="99">
        <f t="shared" si="403"/>
        <v>1871.199825774258</v>
      </c>
      <c r="BB49" s="99">
        <f t="shared" si="403"/>
        <v>1938.9970513353167</v>
      </c>
      <c r="BC49" s="99">
        <f t="shared" si="403"/>
        <v>2005.758592348795</v>
      </c>
      <c r="BD49" s="99">
        <f t="shared" si="403"/>
        <v>2071.4955904239241</v>
      </c>
      <c r="BE49" s="99">
        <f t="shared" si="403"/>
        <v>2158.6124075229909</v>
      </c>
      <c r="BF49" s="99">
        <f t="shared" si="403"/>
        <v>2244.4145747185603</v>
      </c>
      <c r="BG49" s="99">
        <f t="shared" si="403"/>
        <v>2328.9161832743316</v>
      </c>
      <c r="BH49" s="99">
        <f t="shared" si="403"/>
        <v>2412.1311919077725</v>
      </c>
      <c r="BI49" s="99">
        <f t="shared" si="403"/>
        <v>2494.0734279531125</v>
      </c>
      <c r="BJ49" s="99">
        <f t="shared" si="403"/>
        <v>2574.7565885145659</v>
      </c>
      <c r="BK49" s="99">
        <f t="shared" si="403"/>
        <v>2654.1942416098645</v>
      </c>
      <c r="BL49" s="99">
        <f t="shared" si="403"/>
        <v>2732.3998273041734</v>
      </c>
      <c r="BM49" s="99">
        <f t="shared" si="403"/>
        <v>2809.386658834474</v>
      </c>
      <c r="BN49" s="99">
        <f t="shared" si="403"/>
        <v>2885.1679237244903</v>
      </c>
    </row>
    <row r="50" spans="1:90">
      <c r="B50" s="1" t="s">
        <v>172</v>
      </c>
      <c r="C50" s="50" t="s">
        <v>1420</v>
      </c>
      <c r="D50" s="99">
        <f>D46*'R&amp;S - Apparel'!$C$10*'R&amp;S - Apparel'!$B$13*'R&amp;S - Apparel'!$D$17*(D$3-$D$3)/10</f>
        <v>0</v>
      </c>
      <c r="E50" s="99">
        <f>E46*'R&amp;S - Apparel'!$C$10*'R&amp;S - Apparel'!$B$13*'R&amp;S - Apparel'!$D$17*(E$3-$D$3)/10</f>
        <v>79.060532157364335</v>
      </c>
      <c r="F50" s="99">
        <f>F46*'R&amp;S - Apparel'!$C$10*'R&amp;S - Apparel'!$B$13*'R&amp;S - Apparel'!$D$17*(F$3-$D$3)/10</f>
        <v>157.01926695613264</v>
      </c>
      <c r="G50" s="99">
        <f>G46*'R&amp;S - Apparel'!$C$10*'R&amp;S - Apparel'!$B$13*'R&amp;S - Apparel'!$D$17*(G$3-$D$3)/10</f>
        <v>233.88772048454408</v>
      </c>
      <c r="H50" s="99">
        <f>H46*'R&amp;S - Apparel'!$C$10*'R&amp;S - Apparel'!$B$13*'R&amp;S - Apparel'!$D$17*(H$3-$D$3)/10</f>
        <v>309.67730183775069</v>
      </c>
      <c r="I50" s="99">
        <f>I46*'R&amp;S - Apparel'!$C$10*'R&amp;S - Apparel'!$B$13*'R&amp;S - Apparel'!$D$17*(I$3-$D$3)/10</f>
        <v>384.39931404973549</v>
      </c>
      <c r="J50" s="99">
        <f>J46*'R&amp;S - Apparel'!$C$10*'R&amp;S - Apparel'!$B$13*'R&amp;S - Apparel'!$D$17*(J$3-$D$3)/10</f>
        <v>458.06495501743814</v>
      </c>
      <c r="K50" s="99">
        <f>K46*'R&amp;S - Apparel'!$C$10*'R&amp;S - Apparel'!$B$13*'R&amp;S - Apparel'!$D$17*(K$3-$D$3)/10</f>
        <v>530.68531841715162</v>
      </c>
      <c r="L50" s="99">
        <f>L46*'R&amp;S - Apparel'!$C$10*'R&amp;S - Apparel'!$B$13*'R&amp;S - Apparel'!$D$17*(L$3-$D$3)/10</f>
        <v>602.27139461325237</v>
      </c>
      <c r="M50" s="99">
        <f>M46*'R&amp;S - Apparel'!$C$10*'R&amp;S - Apparel'!$B$13*'R&amp;S - Apparel'!$D$17*(M$3-$D$3)/10</f>
        <v>672.83407155932741</v>
      </c>
      <c r="N50" s="99">
        <f>N46*'R&amp;S - Apparel'!$C$10*'R&amp;S - Apparel'!$B$13*'R&amp;S - Apparel'!$D$17*(N$3-$D$3)/10</f>
        <v>742.38413569175839</v>
      </c>
      <c r="O50" s="99">
        <f>O46*'R&amp;S - Apparel'!$C$10*'R&amp;S - Apparel'!$B$13*('R&amp;S - Apparel'!$D$17+('R&amp;S - Apparel'!$D$18-'R&amp;S - Apparel'!$D$17)*(O$3-$N$3)/10)</f>
        <v>810.93227281582551</v>
      </c>
      <c r="P50" s="99">
        <f>P46*'R&amp;S - Apparel'!$C$10*'R&amp;S - Apparel'!$B$13*('R&amp;S - Apparel'!$D$17+('R&amp;S - Apparel'!$D$18-'R&amp;S - Apparel'!$D$17)*(P$3-$N$3)/10)</f>
        <v>878.48906898439145</v>
      </c>
      <c r="Q50" s="99">
        <f>Q46*'R&amp;S - Apparel'!$C$10*'R&amp;S - Apparel'!$B$13*('R&amp;S - Apparel'!$D$17+('R&amp;S - Apparel'!$D$18-'R&amp;S - Apparel'!$D$17)*(Q$3-$N$3)/10)</f>
        <v>945.06501136922702</v>
      </c>
      <c r="R50" s="99">
        <f>R46*'R&amp;S - Apparel'!$C$10*'R&amp;S - Apparel'!$B$13*('R&amp;S - Apparel'!$D$17+('R&amp;S - Apparel'!$D$18-'R&amp;S - Apparel'!$D$17)*(R$3-$N$3)/10)</f>
        <v>1010.6704891250347</v>
      </c>
      <c r="S50" s="99">
        <f>S46*'R&amp;S - Apparel'!$C$10*'R&amp;S - Apparel'!$B$13*('R&amp;S - Apparel'!$D$17+('R&amp;S - Apparel'!$D$18-'R&amp;S - Apparel'!$D$17)*(S$3-$N$3)/10)</f>
        <v>1075.3157942462351</v>
      </c>
      <c r="T50" s="99">
        <f>T46*'R&amp;S - Apparel'!$C$10*'R&amp;S - Apparel'!$B$13*('R&amp;S - Apparel'!$D$17+('R&amp;S - Apparel'!$D$18-'R&amp;S - Apparel'!$D$17)*(T$3-$N$3)/10)</f>
        <v>1139.0111224165703</v>
      </c>
      <c r="U50" s="99">
        <f>U46*'R&amp;S - Apparel'!$C$10*'R&amp;S - Apparel'!$B$13*('R&amp;S - Apparel'!$D$17+('R&amp;S - Apparel'!$D$18-'R&amp;S - Apparel'!$D$17)*(U$3-$N$3)/10)</f>
        <v>1201.7665738515843</v>
      </c>
      <c r="V50" s="99">
        <f>V46*'R&amp;S - Apparel'!$C$10*'R&amp;S - Apparel'!$B$13*('R&amp;S - Apparel'!$D$17+('R&amp;S - Apparel'!$D$18-'R&amp;S - Apparel'!$D$17)*(V$3-$N$3)/10)</f>
        <v>1263.5921541340408</v>
      </c>
      <c r="W50" s="99">
        <f>W46*'R&amp;S - Apparel'!$C$10*'R&amp;S - Apparel'!$B$13*('R&amp;S - Apparel'!$D$17+('R&amp;S - Apparel'!$D$18-'R&amp;S - Apparel'!$D$17)*(W$3-$N$3)/10)</f>
        <v>1324.4977750423323</v>
      </c>
      <c r="X50" s="99">
        <f>X46*'R&amp;S - Apparel'!$C$10*'R&amp;S - Apparel'!$B$13*('R&amp;S - Apparel'!$D$17+('R&amp;S - Apparel'!$D$18-'R&amp;S - Apparel'!$D$17)*(X$3-$N$3)/10)</f>
        <v>1384.4932553719391</v>
      </c>
      <c r="Y50" s="99">
        <f>Y46*'R&amp;S - Apparel'!$C$10*'R&amp;S - Apparel'!$B$13*('R&amp;S - Apparel'!$D$18+('R&amp;S - Apparel'!$D$19-'R&amp;S - Apparel'!$D$18)*(Y$3-$X$3)/10)</f>
        <v>1445.6714217813803</v>
      </c>
      <c r="Z50" s="99">
        <f>Z46*'R&amp;S - Apparel'!$C$10*'R&amp;S - Apparel'!$B$13*('R&amp;S - Apparel'!$D$18+('R&amp;S - Apparel'!$D$19-'R&amp;S - Apparel'!$D$18)*(Z$3-$X$3)/10)</f>
        <v>1505.9297791660015</v>
      </c>
      <c r="AA50" s="99">
        <f>AA46*'R&amp;S - Apparel'!$C$10*'R&amp;S - Apparel'!$B$13*('R&amp;S - Apparel'!$D$18+('R&amp;S - Apparel'!$D$19-'R&amp;S - Apparel'!$D$18)*(AA$3-$X$3)/10)</f>
        <v>1565.278175660455</v>
      </c>
      <c r="AB50" s="99">
        <f>AB46*'R&amp;S - Apparel'!$C$10*'R&amp;S - Apparel'!$B$13*('R&amp;S - Apparel'!$D$18+('R&amp;S - Apparel'!$D$19-'R&amp;S - Apparel'!$D$18)*(AB$3-$X$3)/10)</f>
        <v>1623.7263668148728</v>
      </c>
      <c r="AC50" s="99">
        <f>AC46*'R&amp;S - Apparel'!$C$10*'R&amp;S - Apparel'!$B$13*('R&amp;S - Apparel'!$D$18+('R&amp;S - Apparel'!$D$19-'R&amp;S - Apparel'!$D$18)*(AC$3-$X$3)/10)</f>
        <v>1681.2840164069712</v>
      </c>
      <c r="AD50" s="99">
        <f>AD46*'R&amp;S - Apparel'!$C$10*'R&amp;S - Apparel'!$B$13*('R&amp;S - Apparel'!$D$18+('R&amp;S - Apparel'!$D$19-'R&amp;S - Apparel'!$D$18)*(AD$3-$X$3)/10)</f>
        <v>1737.9606972473323</v>
      </c>
      <c r="AE50" s="99">
        <f>AE46*'R&amp;S - Apparel'!$C$10*'R&amp;S - Apparel'!$B$13*('R&amp;S - Apparel'!$D$18+('R&amp;S - Apparel'!$D$19-'R&amp;S - Apparel'!$D$18)*(AE$3-$X$3)/10)</f>
        <v>1793.765891977918</v>
      </c>
      <c r="AF50" s="99">
        <f>AF46*'R&amp;S - Apparel'!$C$10*'R&amp;S - Apparel'!$B$13*('R&amp;S - Apparel'!$D$18+('R&amp;S - Apparel'!$D$19-'R&amp;S - Apparel'!$D$18)*(AF$3-$X$3)/10)</f>
        <v>1848.7089938638762</v>
      </c>
      <c r="AG50" s="99">
        <f>AG46*'R&amp;S - Apparel'!$C$10*'R&amp;S - Apparel'!$B$13*('R&amp;S - Apparel'!$D$18+('R&amp;S - Apparel'!$D$19-'R&amp;S - Apparel'!$D$18)*(AG$3-$X$3)/10)</f>
        <v>1902.7993075786867</v>
      </c>
      <c r="AH50" s="99">
        <f>AH46*'R&amp;S - Apparel'!$C$10*'R&amp;S - Apparel'!$B$13*('R&amp;S - Apparel'!$D$18+('R&amp;S - Apparel'!$D$19-'R&amp;S - Apparel'!$D$18)*(AH$3-$X$3)/10)</f>
        <v>1956.0460499827052</v>
      </c>
      <c r="AI50" s="99"/>
      <c r="AJ50" s="99">
        <f>AJ46*'R&amp;S - Apparel'!$C$10*'R&amp;S - Apparel'!$B$14*'R&amp;S - Apparel'!$D$17*(AJ$3-$D$3)/10</f>
        <v>0</v>
      </c>
      <c r="AK50" s="99">
        <f>AK46*'R&amp;S - Apparel'!$C$10*'R&amp;S - Apparel'!$B$14*'R&amp;S - Apparel'!$D$17*(AK$3-$D$3)/10</f>
        <v>39.530266078682168</v>
      </c>
      <c r="AL50" s="99">
        <f>AL46*'R&amp;S - Apparel'!$C$10*'R&amp;S - Apparel'!$B$14*'R&amp;S - Apparel'!$D$17*(AL$3-$D$3)/10</f>
        <v>78.50963347806632</v>
      </c>
      <c r="AM50" s="99">
        <f>AM46*'R&amp;S - Apparel'!$C$10*'R&amp;S - Apparel'!$B$14*'R&amp;S - Apparel'!$D$17*(AM$3-$D$3)/10</f>
        <v>116.94386024227204</v>
      </c>
      <c r="AN50" s="99">
        <f>AN46*'R&amp;S - Apparel'!$C$10*'R&amp;S - Apparel'!$B$14*'R&amp;S - Apparel'!$D$17*(AN$3-$D$3)/10</f>
        <v>154.83865091887535</v>
      </c>
      <c r="AO50" s="99">
        <f>AO46*'R&amp;S - Apparel'!$C$10*'R&amp;S - Apparel'!$B$14*'R&amp;S - Apparel'!$D$17*(AO$3-$D$3)/10</f>
        <v>192.19965702486775</v>
      </c>
      <c r="AP50" s="99">
        <f>AP46*'R&amp;S - Apparel'!$C$10*'R&amp;S - Apparel'!$B$14*'R&amp;S - Apparel'!$D$17*(AP$3-$D$3)/10</f>
        <v>229.03247750871907</v>
      </c>
      <c r="AQ50" s="99">
        <f>AQ46*'R&amp;S - Apparel'!$C$10*'R&amp;S - Apparel'!$B$14*'R&amp;S - Apparel'!$D$17*(AQ$3-$D$3)/10</f>
        <v>265.34265920857581</v>
      </c>
      <c r="AR50" s="99">
        <f>AR46*'R&amp;S - Apparel'!$C$10*'R&amp;S - Apparel'!$B$14*'R&amp;S - Apparel'!$D$17*(AR$3-$D$3)/10</f>
        <v>301.13569730662618</v>
      </c>
      <c r="AS50" s="99">
        <f>AS46*'R&amp;S - Apparel'!$C$10*'R&amp;S - Apparel'!$B$14*'R&amp;S - Apparel'!$D$17*(AS$3-$D$3)/10</f>
        <v>336.41703577966371</v>
      </c>
      <c r="AT50" s="99">
        <f>AT46*'R&amp;S - Apparel'!$C$10*'R&amp;S - Apparel'!$B$14*'R&amp;S - Apparel'!$D$17*(AT$3-$D$3)/10</f>
        <v>371.19206784587919</v>
      </c>
      <c r="AU50" s="99">
        <f>AU46*'R&amp;S - Apparel'!$C$10*'R&amp;S - Apparel'!$B$14*('R&amp;S - Apparel'!$D$17+('R&amp;S - Apparel'!$D$18-'R&amp;S - Apparel'!$D$17)*(AU$3-$N$3)/10)</f>
        <v>405.46613640791276</v>
      </c>
      <c r="AV50" s="99">
        <f>AV46*'R&amp;S - Apparel'!$C$10*'R&amp;S - Apparel'!$B$14*('R&amp;S - Apparel'!$D$17+('R&amp;S - Apparel'!$D$18-'R&amp;S - Apparel'!$D$17)*(AV$3-$N$3)/10)</f>
        <v>439.24453449219573</v>
      </c>
      <c r="AW50" s="99">
        <f>AW46*'R&amp;S - Apparel'!$C$10*'R&amp;S - Apparel'!$B$14*('R&amp;S - Apparel'!$D$17+('R&amp;S - Apparel'!$D$18-'R&amp;S - Apparel'!$D$17)*(AW$3-$N$3)/10)</f>
        <v>472.53250568461351</v>
      </c>
      <c r="AX50" s="99">
        <f>AX46*'R&amp;S - Apparel'!$C$10*'R&amp;S - Apparel'!$B$14*('R&amp;S - Apparel'!$D$17+('R&amp;S - Apparel'!$D$18-'R&amp;S - Apparel'!$D$17)*(AX$3-$N$3)/10)</f>
        <v>505.33524456251735</v>
      </c>
      <c r="AY50" s="99">
        <f>AY46*'R&amp;S - Apparel'!$C$10*'R&amp;S - Apparel'!$B$14*('R&amp;S - Apparel'!$D$17+('R&amp;S - Apparel'!$D$18-'R&amp;S - Apparel'!$D$17)*(AY$3-$N$3)/10)</f>
        <v>537.65789712311755</v>
      </c>
      <c r="AZ50" s="99">
        <f>AZ46*'R&amp;S - Apparel'!$C$10*'R&amp;S - Apparel'!$B$14*('R&amp;S - Apparel'!$D$17+('R&amp;S - Apparel'!$D$18-'R&amp;S - Apparel'!$D$17)*(AZ$3-$N$3)/10)</f>
        <v>569.50556120828514</v>
      </c>
      <c r="BA50" s="99">
        <f>BA46*'R&amp;S - Apparel'!$C$10*'R&amp;S - Apparel'!$B$14*('R&amp;S - Apparel'!$D$17+('R&amp;S - Apparel'!$D$18-'R&amp;S - Apparel'!$D$17)*(BA$3-$N$3)/10)</f>
        <v>600.88328692579216</v>
      </c>
      <c r="BB50" s="99">
        <f>BB46*'R&amp;S - Apparel'!$C$10*'R&amp;S - Apparel'!$B$14*('R&amp;S - Apparel'!$D$17+('R&amp;S - Apparel'!$D$18-'R&amp;S - Apparel'!$D$17)*(BB$3-$N$3)/10)</f>
        <v>631.79607706702041</v>
      </c>
      <c r="BC50" s="99">
        <f>BC46*'R&amp;S - Apparel'!$C$10*'R&amp;S - Apparel'!$B$14*('R&amp;S - Apparel'!$D$17+('R&amp;S - Apparel'!$D$18-'R&amp;S - Apparel'!$D$17)*(BC$3-$N$3)/10)</f>
        <v>662.24888752116613</v>
      </c>
      <c r="BD50" s="99">
        <f>BD46*'R&amp;S - Apparel'!$C$10*'R&amp;S - Apparel'!$B$14*('R&amp;S - Apparel'!$D$17+('R&amp;S - Apparel'!$D$18-'R&amp;S - Apparel'!$D$17)*(BD$3-$N$3)/10)</f>
        <v>692.24662768596954</v>
      </c>
      <c r="BE50" s="99">
        <f>BE46*'R&amp;S - Apparel'!$C$10*'R&amp;S - Apparel'!$B$14*('R&amp;S - Apparel'!$D$18+('R&amp;S - Apparel'!$D$19-'R&amp;S - Apparel'!$D$18)*(BE$3-$X$3)/10)</f>
        <v>722.83571089069017</v>
      </c>
      <c r="BF50" s="99">
        <f>BF46*'R&amp;S - Apparel'!$C$10*'R&amp;S - Apparel'!$B$14*('R&amp;S - Apparel'!$D$18+('R&amp;S - Apparel'!$D$19-'R&amp;S - Apparel'!$D$18)*(BF$3-$X$3)/10)</f>
        <v>752.96488958300074</v>
      </c>
      <c r="BG50" s="99">
        <f>BG46*'R&amp;S - Apparel'!$C$10*'R&amp;S - Apparel'!$B$14*('R&amp;S - Apparel'!$D$18+('R&amp;S - Apparel'!$D$19-'R&amp;S - Apparel'!$D$18)*(BG$3-$X$3)/10)</f>
        <v>782.63908783022748</v>
      </c>
      <c r="BH50" s="99">
        <f>BH46*'R&amp;S - Apparel'!$C$10*'R&amp;S - Apparel'!$B$14*('R&amp;S - Apparel'!$D$18+('R&amp;S - Apparel'!$D$19-'R&amp;S - Apparel'!$D$18)*(BH$3-$X$3)/10)</f>
        <v>811.8631834074364</v>
      </c>
      <c r="BI50" s="99">
        <f>BI46*'R&amp;S - Apparel'!$C$10*'R&amp;S - Apparel'!$B$14*('R&amp;S - Apparel'!$D$18+('R&amp;S - Apparel'!$D$19-'R&amp;S - Apparel'!$D$18)*(BI$3-$X$3)/10)</f>
        <v>840.6420082034856</v>
      </c>
      <c r="BJ50" s="99">
        <f>BJ46*'R&amp;S - Apparel'!$C$10*'R&amp;S - Apparel'!$B$14*('R&amp;S - Apparel'!$D$18+('R&amp;S - Apparel'!$D$19-'R&amp;S - Apparel'!$D$18)*(BJ$3-$X$3)/10)</f>
        <v>868.98034862366615</v>
      </c>
      <c r="BK50" s="99">
        <f>BK46*'R&amp;S - Apparel'!$C$10*'R&amp;S - Apparel'!$B$14*('R&amp;S - Apparel'!$D$18+('R&amp;S - Apparel'!$D$19-'R&amp;S - Apparel'!$D$18)*(BK$3-$X$3)/10)</f>
        <v>896.88294598895902</v>
      </c>
      <c r="BL50" s="99">
        <f>BL46*'R&amp;S - Apparel'!$C$10*'R&amp;S - Apparel'!$B$14*('R&amp;S - Apparel'!$D$18+('R&amp;S - Apparel'!$D$19-'R&amp;S - Apparel'!$D$18)*(BL$3-$X$3)/10)</f>
        <v>924.35449693193812</v>
      </c>
      <c r="BM50" s="99">
        <f>BM46*'R&amp;S - Apparel'!$C$10*'R&amp;S - Apparel'!$B$14*('R&amp;S - Apparel'!$D$18+('R&amp;S - Apparel'!$D$19-'R&amp;S - Apparel'!$D$18)*(BM$3-$X$3)/10)</f>
        <v>951.39965378934335</v>
      </c>
      <c r="BN50" s="99">
        <f>BN46*'R&amp;S - Apparel'!$C$10*'R&amp;S - Apparel'!$B$14*('R&amp;S - Apparel'!$D$18+('R&amp;S - Apparel'!$D$19-'R&amp;S - Apparel'!$D$18)*(BN$3-$X$3)/10)</f>
        <v>978.0230249913526</v>
      </c>
    </row>
    <row r="51" spans="1:90">
      <c r="B51" s="1" t="s">
        <v>200</v>
      </c>
      <c r="C51" s="50" t="s">
        <v>1420</v>
      </c>
      <c r="D51" s="520">
        <f>D46-D49-D50</f>
        <v>12062.923707379587</v>
      </c>
      <c r="E51" s="520">
        <f t="shared" ref="E51:AG51" si="404">E46-E49-E50</f>
        <v>11608.721471772997</v>
      </c>
      <c r="F51" s="520">
        <f t="shared" si="404"/>
        <v>11160.263352897246</v>
      </c>
      <c r="G51" s="520">
        <f t="shared" si="404"/>
        <v>10717.491353314486</v>
      </c>
      <c r="H51" s="520">
        <f t="shared" si="404"/>
        <v>10280.348004947149</v>
      </c>
      <c r="I51" s="520">
        <f t="shared" si="404"/>
        <v>9848.7763645167088</v>
      </c>
      <c r="J51" s="520">
        <f t="shared" si="404"/>
        <v>9422.7200090203296</v>
      </c>
      <c r="K51" s="520">
        <f t="shared" si="404"/>
        <v>9002.1230312450571</v>
      </c>
      <c r="L51" s="520">
        <f t="shared" si="404"/>
        <v>8586.9300353192502</v>
      </c>
      <c r="M51" s="520">
        <f t="shared" si="404"/>
        <v>8177.0861323009831</v>
      </c>
      <c r="N51" s="520">
        <f t="shared" si="404"/>
        <v>7772.5369358031057</v>
      </c>
      <c r="O51" s="520">
        <f t="shared" si="404"/>
        <v>7474.8743384070294</v>
      </c>
      <c r="P51" s="520">
        <f t="shared" si="404"/>
        <v>7180.982616925442</v>
      </c>
      <c r="Q51" s="520">
        <f t="shared" si="404"/>
        <v>6890.8236726408895</v>
      </c>
      <c r="R51" s="520">
        <f t="shared" si="404"/>
        <v>6604.359754693679</v>
      </c>
      <c r="S51" s="520">
        <f t="shared" si="404"/>
        <v>6321.5534570839282</v>
      </c>
      <c r="T51" s="520">
        <f t="shared" si="404"/>
        <v>6042.3677156985095</v>
      </c>
      <c r="U51" s="520">
        <f t="shared" si="404"/>
        <v>5766.7658053626819</v>
      </c>
      <c r="V51" s="520">
        <f t="shared" si="404"/>
        <v>5494.7113369162071</v>
      </c>
      <c r="W51" s="520">
        <f t="shared" si="404"/>
        <v>5226.168254313764</v>
      </c>
      <c r="X51" s="520">
        <f t="shared" si="404"/>
        <v>4961.100831749447</v>
      </c>
      <c r="Y51" s="520">
        <f t="shared" si="404"/>
        <v>4652.603920099009</v>
      </c>
      <c r="Z51" s="520">
        <f t="shared" si="404"/>
        <v>4348.1653788556796</v>
      </c>
      <c r="AA51" s="520">
        <f t="shared" si="404"/>
        <v>4047.743628791241</v>
      </c>
      <c r="AB51" s="520">
        <f t="shared" si="404"/>
        <v>3751.2974730810938</v>
      </c>
      <c r="AC51" s="520">
        <f t="shared" si="404"/>
        <v>3458.7860939938582</v>
      </c>
      <c r="AD51" s="520">
        <f t="shared" si="404"/>
        <v>3170.1690496085594</v>
      </c>
      <c r="AE51" s="520">
        <f t="shared" si="404"/>
        <v>2885.4062705591341</v>
      </c>
      <c r="AF51" s="520">
        <f t="shared" si="404"/>
        <v>2604.4580568060828</v>
      </c>
      <c r="AG51" s="520">
        <f t="shared" si="404"/>
        <v>2327.2850744350085</v>
      </c>
      <c r="AH51" s="520">
        <f>AH46-AH49-AH50</f>
        <v>2053.8483524818403</v>
      </c>
      <c r="AI51" s="99"/>
      <c r="AJ51" s="520">
        <f>AJ46-AJ49-AJ50</f>
        <v>12062.923707379587</v>
      </c>
      <c r="AK51" s="520">
        <f t="shared" ref="AK51:BM51" si="405">AK46-AK49-AK50</f>
        <v>11793.79499023228</v>
      </c>
      <c r="AL51" s="520">
        <f t="shared" si="405"/>
        <v>11527.831182362739</v>
      </c>
      <c r="AM51" s="520">
        <f t="shared" si="405"/>
        <v>11265.00124444876</v>
      </c>
      <c r="AN51" s="520">
        <f t="shared" si="405"/>
        <v>11005.274416067337</v>
      </c>
      <c r="AO51" s="520">
        <f t="shared" si="405"/>
        <v>10748.620213314951</v>
      </c>
      <c r="AP51" s="520">
        <f t="shared" si="405"/>
        <v>10495.008426447514</v>
      </c>
      <c r="AQ51" s="520">
        <f t="shared" si="405"/>
        <v>10244.409117539752</v>
      </c>
      <c r="AR51" s="520">
        <f t="shared" si="405"/>
        <v>9996.7926181639068</v>
      </c>
      <c r="AS51" s="520">
        <f t="shared" si="405"/>
        <v>9752.1295270875926</v>
      </c>
      <c r="AT51" s="520">
        <f t="shared" si="405"/>
        <v>9510.3907079906312</v>
      </c>
      <c r="AU51" s="520">
        <f t="shared" si="405"/>
        <v>9322.3701775769678</v>
      </c>
      <c r="AV51" s="520">
        <f t="shared" si="405"/>
        <v>9136.5081581116574</v>
      </c>
      <c r="AW51" s="520">
        <f t="shared" si="405"/>
        <v>8952.7836974464753</v>
      </c>
      <c r="AX51" s="520">
        <f t="shared" si="405"/>
        <v>8771.1760306208362</v>
      </c>
      <c r="AY51" s="520">
        <f t="shared" si="405"/>
        <v>8591.6645782704254</v>
      </c>
      <c r="AZ51" s="520">
        <f t="shared" si="405"/>
        <v>8414.2289450489243</v>
      </c>
      <c r="BA51" s="520">
        <f t="shared" si="405"/>
        <v>8238.848918062733</v>
      </c>
      <c r="BB51" s="520">
        <f t="shared" si="405"/>
        <v>8065.5044653185441</v>
      </c>
      <c r="BC51" s="520">
        <f t="shared" si="405"/>
        <v>7894.1757341837256</v>
      </c>
      <c r="BD51" s="520">
        <f t="shared" si="405"/>
        <v>7724.8430498593416</v>
      </c>
      <c r="BE51" s="520">
        <f t="shared" si="405"/>
        <v>7534.0520385126902</v>
      </c>
      <c r="BF51" s="520">
        <f t="shared" si="405"/>
        <v>7345.5448431572404</v>
      </c>
      <c r="BG51" s="520">
        <f t="shared" si="405"/>
        <v>7159.2988998957999</v>
      </c>
      <c r="BH51" s="520">
        <f t="shared" si="405"/>
        <v>6975.2918483963022</v>
      </c>
      <c r="BI51" s="520">
        <f t="shared" si="405"/>
        <v>6793.5015301504563</v>
      </c>
      <c r="BJ51" s="520">
        <f t="shared" si="405"/>
        <v>6613.9059867467913</v>
      </c>
      <c r="BK51" s="520">
        <f t="shared" si="405"/>
        <v>6436.4834581579571</v>
      </c>
      <c r="BL51" s="520">
        <f t="shared" si="405"/>
        <v>6261.2123810421945</v>
      </c>
      <c r="BM51" s="520">
        <f t="shared" si="405"/>
        <v>6088.0713870588261</v>
      </c>
      <c r="BN51" s="520">
        <f>BN46-BN49-BN50</f>
        <v>5917.039301197683</v>
      </c>
    </row>
    <row r="52" spans="1:90" s="61" customFormat="1">
      <c r="A52" s="602"/>
      <c r="B52" s="54" t="s">
        <v>804</v>
      </c>
      <c r="C52" s="55" t="s">
        <v>1420</v>
      </c>
      <c r="D52" s="580">
        <f>D$6/(D$6+D$8)*D51</f>
        <v>848.54199910370664</v>
      </c>
      <c r="E52" s="580">
        <f t="shared" ref="E52" si="406">E$6/(E$6+E$8)*E51</f>
        <v>816.59206040325614</v>
      </c>
      <c r="F52" s="580">
        <f t="shared" ref="F52" si="407">F$6/(F$6+F$8)*F51</f>
        <v>785.04617999017501</v>
      </c>
      <c r="G52" s="580">
        <f t="shared" ref="G52" si="408">G$6/(G$6+G$8)*G51</f>
        <v>753.90027815186227</v>
      </c>
      <c r="H52" s="580">
        <f t="shared" ref="H52" si="409">H$6/(H$6+H$8)*H51</f>
        <v>723.15031241249631</v>
      </c>
      <c r="I52" s="580">
        <f t="shared" ref="I52" si="410">I$6/(I$6+I$8)*I51</f>
        <v>692.79227721218399</v>
      </c>
      <c r="J52" s="580">
        <f t="shared" ref="J52" si="411">J$6/(J$6+J$8)*J51</f>
        <v>662.82220358877453</v>
      </c>
      <c r="K52" s="580">
        <f t="shared" ref="K52" si="412">K$6/(K$6+K$8)*K51</f>
        <v>633.23615886231448</v>
      </c>
      <c r="L52" s="580">
        <f t="shared" ref="L52" si="413">L$6/(L$6+L$8)*L51</f>
        <v>604.03024632212214</v>
      </c>
      <c r="M52" s="580">
        <f t="shared" ref="M52" si="414">M$6/(M$6+M$8)*M51</f>
        <v>575.20060491646223</v>
      </c>
      <c r="N52" s="580">
        <f t="shared" ref="N52" si="415">N$6/(N$6+N$8)*N51</f>
        <v>546.74340894480042</v>
      </c>
      <c r="O52" s="580">
        <f t="shared" ref="O52" si="416">O$6/(O$6+O$8)*O51</f>
        <v>525.80493485842692</v>
      </c>
      <c r="P52" s="580">
        <f t="shared" ref="P52" si="417">P$6/(P$6+P$8)*P51</f>
        <v>505.13171542046791</v>
      </c>
      <c r="Q52" s="580">
        <f t="shared" ref="Q52" si="418">Q$6/(Q$6+Q$8)*Q51</f>
        <v>484.7210706536099</v>
      </c>
      <c r="R52" s="580">
        <f t="shared" ref="R52" si="419">R$6/(R$6+R$8)*R51</f>
        <v>464.57034504989059</v>
      </c>
      <c r="S52" s="580">
        <f t="shared" ref="S52" si="420">S$6/(S$6+S$8)*S51</f>
        <v>444.67690735981466</v>
      </c>
      <c r="T52" s="580">
        <f t="shared" ref="T52" si="421">T$6/(T$6+T$8)*T51</f>
        <v>425.03815038321966</v>
      </c>
      <c r="U52" s="580">
        <f t="shared" ref="U52" si="422">U$6/(U$6+U$8)*U51</f>
        <v>405.65149076187947</v>
      </c>
      <c r="V52" s="580">
        <f t="shared" ref="V52" si="423">V$6/(V$6+V$8)*V51</f>
        <v>386.51436877382906</v>
      </c>
      <c r="W52" s="580">
        <f t="shared" ref="W52" si="424">W$6/(W$6+W$8)*W51</f>
        <v>367.62424812939958</v>
      </c>
      <c r="X52" s="580">
        <f t="shared" ref="X52" si="425">X$6/(X$6+X$8)*X51</f>
        <v>348.97861576894661</v>
      </c>
      <c r="Y52" s="580">
        <f t="shared" ref="Y52" si="426">Y$6/(Y$6+Y$8)*Y51</f>
        <v>327.27802373344855</v>
      </c>
      <c r="Z52" s="580">
        <f t="shared" ref="Z52" si="427">Z$6/(Z$6+Z$8)*Z51</f>
        <v>305.86290956566216</v>
      </c>
      <c r="AA52" s="580">
        <f t="shared" ref="AA52" si="428">AA$6/(AA$6+AA$8)*AA51</f>
        <v>284.73034845877532</v>
      </c>
      <c r="AB52" s="580">
        <f t="shared" ref="AB52" si="429">AB$6/(AB$6+AB$8)*AB51</f>
        <v>263.877442505386</v>
      </c>
      <c r="AC52" s="580">
        <f t="shared" ref="AC52" si="430">AC$6/(AC$6+AC$8)*AC51</f>
        <v>243.30132046463874</v>
      </c>
      <c r="AD52" s="580">
        <f t="shared" ref="AD52" si="431">AD$6/(AD$6+AD$8)*AD51</f>
        <v>222.99913753130207</v>
      </c>
      <c r="AE52" s="580">
        <f t="shared" ref="AE52" si="432">AE$6/(AE$6+AE$8)*AE51</f>
        <v>202.96807510676683</v>
      </c>
      <c r="AF52" s="580">
        <f t="shared" ref="AF52" si="433">AF$6/(AF$6+AF$8)*AF51</f>
        <v>183.20534057195513</v>
      </c>
      <c r="AG52" s="580">
        <f t="shared" ref="AG52" si="434">AG$6/(AG$6+AG$8)*AG51</f>
        <v>163.70816706211963</v>
      </c>
      <c r="AH52" s="580">
        <f t="shared" ref="AH52" si="435">AH$6/(AH$6+AH$8)*AH51</f>
        <v>144.47381324352057</v>
      </c>
      <c r="AI52" s="580"/>
      <c r="AJ52" s="580">
        <f>AJ$6/(AJ$6+AJ$8)*AJ51</f>
        <v>848.54199910370664</v>
      </c>
      <c r="AK52" s="580">
        <f t="shared" ref="AK52" si="436">AK$6/(AK$6+AK$8)*AK51</f>
        <v>829.61068318029697</v>
      </c>
      <c r="AL52" s="580">
        <f t="shared" ref="AL52" si="437">AL$6/(AL$6+AL$8)*AL51</f>
        <v>810.90199640639389</v>
      </c>
      <c r="AM52" s="580">
        <f t="shared" ref="AM52" si="438">AM$6/(AM$6+AM$8)*AM51</f>
        <v>792.41375538358147</v>
      </c>
      <c r="AN52" s="580">
        <f t="shared" ref="AN52" si="439">AN$6/(AN$6+AN$8)*AN51</f>
        <v>774.14379633204464</v>
      </c>
      <c r="AO52" s="580">
        <f t="shared" ref="AO52" si="440">AO$6/(AO$6+AO$8)*AO51</f>
        <v>756.0899749231728</v>
      </c>
      <c r="AP52" s="580">
        <f t="shared" ref="AP52" si="441">AP$6/(AP$6+AP$8)*AP51</f>
        <v>738.25016611354658</v>
      </c>
      <c r="AQ52" s="580">
        <f t="shared" ref="AQ52" si="442">AQ$6/(AQ$6+AQ$8)*AQ51</f>
        <v>720.62226398029236</v>
      </c>
      <c r="AR52" s="580">
        <f t="shared" ref="AR52" si="443">AR$6/(AR$6+AR$8)*AR51</f>
        <v>703.20418155779453</v>
      </c>
      <c r="AS52" s="580">
        <f t="shared" ref="AS52" si="444">AS$6/(AS$6+AS$8)*AS51</f>
        <v>685.99385067575599</v>
      </c>
      <c r="AT52" s="580">
        <f t="shared" ref="AT52" si="445">AT$6/(AT$6+AT$8)*AT51</f>
        <v>668.98922179859449</v>
      </c>
      <c r="AU52" s="580">
        <f t="shared" ref="AU52" si="446">AU$6/(AU$6+AU$8)*AU51</f>
        <v>655.76329741907216</v>
      </c>
      <c r="AV52" s="580">
        <f t="shared" ref="AV52" si="447">AV$6/(AV$6+AV$8)*AV51</f>
        <v>642.68920913166426</v>
      </c>
      <c r="AW52" s="580">
        <f t="shared" ref="AW52" si="448">AW$6/(AW$6+AW$8)*AW51</f>
        <v>629.7654830998307</v>
      </c>
      <c r="AX52" s="580">
        <f t="shared" ref="AX52" si="449">AX$6/(AX$6+AX$8)*AX51</f>
        <v>616.99065865436773</v>
      </c>
      <c r="AY52" s="580">
        <f t="shared" ref="AY52" si="450">AY$6/(AY$6+AY$8)*AY51</f>
        <v>604.36328818146637</v>
      </c>
      <c r="AZ52" s="580">
        <f t="shared" ref="AZ52" si="451">AZ$6/(AZ$6+AZ$8)*AZ51</f>
        <v>591.88193701169166</v>
      </c>
      <c r="BA52" s="580">
        <f t="shared" ref="BA52" si="452">BA$6/(BA$6+BA$8)*BA51</f>
        <v>579.54518330987685</v>
      </c>
      <c r="BB52" s="580">
        <f t="shared" ref="BB52" si="453">BB$6/(BB$6+BB$8)*BB51</f>
        <v>567.35161796592058</v>
      </c>
      <c r="BC52" s="580">
        <f t="shared" ref="BC52" si="454">BC$6/(BC$6+BC$8)*BC51</f>
        <v>555.29984448648599</v>
      </c>
      <c r="BD52" s="580">
        <f t="shared" ref="BD52" si="455">BD$6/(BD$6+BD$8)*BD51</f>
        <v>543.38847888758824</v>
      </c>
      <c r="BE52" s="580">
        <f t="shared" ref="BE52" si="456">BE$6/(BE$6+BE$8)*BE51</f>
        <v>529.96767062366246</v>
      </c>
      <c r="BF52" s="580">
        <f t="shared" ref="BF52" si="457">BF$6/(BF$6+BF$8)*BF51</f>
        <v>516.70751278195348</v>
      </c>
      <c r="BG52" s="580">
        <f t="shared" ref="BG52" si="458">BG$6/(BG$6+BG$8)*BG51</f>
        <v>503.60641815069613</v>
      </c>
      <c r="BH52" s="580">
        <f t="shared" ref="BH52" si="459">BH$6/(BH$6+BH$8)*BH51</f>
        <v>490.66281383750265</v>
      </c>
      <c r="BI52" s="580">
        <f t="shared" ref="BI52" si="460">BI$6/(BI$6+BI$8)*BI51</f>
        <v>477.87514114687104</v>
      </c>
      <c r="BJ52" s="580">
        <f t="shared" ref="BJ52" si="461">BJ$6/(BJ$6+BJ$8)*BJ51</f>
        <v>465.24185545870637</v>
      </c>
      <c r="BK52" s="580">
        <f t="shared" ref="BK52" si="462">BK$6/(BK$6+BK$8)*BK51</f>
        <v>452.76142610784314</v>
      </c>
      <c r="BL52" s="580">
        <f t="shared" ref="BL52" si="463">BL$6/(BL$6+BL$8)*BL51</f>
        <v>440.43233626456697</v>
      </c>
      <c r="BM52" s="580">
        <f t="shared" ref="BM52" si="464">BM$6/(BM$6+BM$8)*BM51</f>
        <v>428.25308281612041</v>
      </c>
      <c r="BN52" s="580">
        <f t="shared" ref="BN52" si="465">BN$6/(BN$6+BN$8)*BN51</f>
        <v>416.22217624919023</v>
      </c>
      <c r="BQ52" s="649"/>
      <c r="BR52" s="649"/>
      <c r="BS52" s="649"/>
      <c r="BT52" s="649"/>
      <c r="BU52" s="649"/>
      <c r="BV52" s="649"/>
      <c r="BW52" s="649"/>
      <c r="BX52" s="649"/>
      <c r="BY52" s="649"/>
      <c r="BZ52" s="649"/>
      <c r="CA52" s="649"/>
      <c r="CB52" s="649"/>
      <c r="CC52" s="649"/>
      <c r="CD52" s="649"/>
      <c r="CE52" s="649"/>
      <c r="CF52" s="649"/>
      <c r="CG52" s="649"/>
      <c r="CH52" s="649"/>
      <c r="CI52" s="649"/>
      <c r="CJ52" s="649"/>
      <c r="CK52" s="649"/>
      <c r="CL52" s="649"/>
    </row>
    <row r="53" spans="1:90">
      <c r="A53" s="603"/>
      <c r="B53" s="1" t="s">
        <v>1063</v>
      </c>
      <c r="C53" s="50" t="s">
        <v>1420</v>
      </c>
      <c r="D53" s="576">
        <v>0</v>
      </c>
      <c r="E53" s="576">
        <v>0</v>
      </c>
      <c r="F53" s="576">
        <v>0</v>
      </c>
      <c r="G53" s="576">
        <v>0</v>
      </c>
      <c r="H53" s="576">
        <v>0</v>
      </c>
      <c r="I53" s="576">
        <v>0</v>
      </c>
      <c r="J53" s="576">
        <v>0</v>
      </c>
      <c r="K53" s="576">
        <v>0</v>
      </c>
      <c r="L53" s="576">
        <v>0</v>
      </c>
      <c r="M53" s="576">
        <v>0</v>
      </c>
      <c r="N53" s="576">
        <v>0</v>
      </c>
      <c r="O53" s="576">
        <v>0</v>
      </c>
      <c r="P53" s="576">
        <v>0</v>
      </c>
      <c r="Q53" s="576">
        <v>0</v>
      </c>
      <c r="R53" s="576">
        <v>0</v>
      </c>
      <c r="S53" s="576">
        <v>0</v>
      </c>
      <c r="T53" s="576">
        <v>0</v>
      </c>
      <c r="U53" s="576">
        <v>0</v>
      </c>
      <c r="V53" s="576">
        <v>0</v>
      </c>
      <c r="W53" s="576">
        <v>0</v>
      </c>
      <c r="X53" s="576">
        <v>0</v>
      </c>
      <c r="Y53" s="576">
        <v>0</v>
      </c>
      <c r="Z53" s="576">
        <v>0</v>
      </c>
      <c r="AA53" s="576">
        <v>0</v>
      </c>
      <c r="AB53" s="576">
        <v>0</v>
      </c>
      <c r="AC53" s="576">
        <v>0</v>
      </c>
      <c r="AD53" s="576">
        <v>0</v>
      </c>
      <c r="AE53" s="576">
        <v>0</v>
      </c>
      <c r="AF53" s="576">
        <v>0</v>
      </c>
      <c r="AG53" s="576">
        <v>0</v>
      </c>
      <c r="AH53" s="576">
        <v>0</v>
      </c>
      <c r="AI53" s="576"/>
      <c r="AJ53" s="576">
        <v>0</v>
      </c>
      <c r="AK53" s="576">
        <v>0</v>
      </c>
      <c r="AL53" s="576">
        <v>0</v>
      </c>
      <c r="AM53" s="576">
        <v>0</v>
      </c>
      <c r="AN53" s="576">
        <v>0</v>
      </c>
      <c r="AO53" s="576">
        <v>0</v>
      </c>
      <c r="AP53" s="576">
        <v>0</v>
      </c>
      <c r="AQ53" s="576">
        <v>0</v>
      </c>
      <c r="AR53" s="576">
        <v>0</v>
      </c>
      <c r="AS53" s="576">
        <v>0</v>
      </c>
      <c r="AT53" s="576">
        <v>0</v>
      </c>
      <c r="AU53" s="576">
        <v>0</v>
      </c>
      <c r="AV53" s="576">
        <v>0</v>
      </c>
      <c r="AW53" s="576">
        <v>0</v>
      </c>
      <c r="AX53" s="576">
        <v>0</v>
      </c>
      <c r="AY53" s="576">
        <v>0</v>
      </c>
      <c r="AZ53" s="576">
        <v>0</v>
      </c>
      <c r="BA53" s="576">
        <v>0</v>
      </c>
      <c r="BB53" s="576">
        <v>0</v>
      </c>
      <c r="BC53" s="576">
        <v>0</v>
      </c>
      <c r="BD53" s="576">
        <v>0</v>
      </c>
      <c r="BE53" s="576">
        <v>0</v>
      </c>
      <c r="BF53" s="576">
        <v>0</v>
      </c>
      <c r="BG53" s="576">
        <v>0</v>
      </c>
      <c r="BH53" s="576">
        <v>0</v>
      </c>
      <c r="BI53" s="576">
        <v>0</v>
      </c>
      <c r="BJ53" s="576">
        <v>0</v>
      </c>
      <c r="BK53" s="576">
        <v>0</v>
      </c>
      <c r="BL53" s="576">
        <v>0</v>
      </c>
      <c r="BM53" s="576">
        <v>0</v>
      </c>
      <c r="BN53" s="576">
        <v>0</v>
      </c>
    </row>
    <row r="54" spans="1:90" s="62" customFormat="1">
      <c r="A54" s="604"/>
      <c r="B54" s="58" t="s">
        <v>27</v>
      </c>
      <c r="C54" s="233" t="s">
        <v>1420</v>
      </c>
      <c r="D54" s="579">
        <f>D$8/(D$6+D$8)*D51</f>
        <v>11214.38170827588</v>
      </c>
      <c r="E54" s="579">
        <f t="shared" ref="E54:AH54" si="466">E$8/(E$6+E$8)*E51</f>
        <v>10792.12941136974</v>
      </c>
      <c r="F54" s="579">
        <f t="shared" si="466"/>
        <v>10375.217172907071</v>
      </c>
      <c r="G54" s="579">
        <f t="shared" si="466"/>
        <v>9963.5910751626252</v>
      </c>
      <c r="H54" s="579">
        <f t="shared" si="466"/>
        <v>9557.1976925346535</v>
      </c>
      <c r="I54" s="579">
        <f t="shared" si="466"/>
        <v>9155.984087304525</v>
      </c>
      <c r="J54" s="579">
        <f t="shared" si="466"/>
        <v>8759.8978054315558</v>
      </c>
      <c r="K54" s="579">
        <f t="shared" si="466"/>
        <v>8368.8868723827418</v>
      </c>
      <c r="L54" s="579">
        <f t="shared" si="466"/>
        <v>7982.8997889971279</v>
      </c>
      <c r="M54" s="579">
        <f t="shared" si="466"/>
        <v>7601.8855273845193</v>
      </c>
      <c r="N54" s="579">
        <f t="shared" si="466"/>
        <v>7225.7935268583051</v>
      </c>
      <c r="O54" s="579">
        <f t="shared" si="466"/>
        <v>6949.0694035486031</v>
      </c>
      <c r="P54" s="579">
        <f t="shared" si="466"/>
        <v>6675.8509015049749</v>
      </c>
      <c r="Q54" s="579">
        <f t="shared" si="466"/>
        <v>6406.1026019872788</v>
      </c>
      <c r="R54" s="579">
        <f t="shared" si="466"/>
        <v>6139.7894096437885</v>
      </c>
      <c r="S54" s="579">
        <f t="shared" si="466"/>
        <v>5876.8765497241138</v>
      </c>
      <c r="T54" s="579">
        <f t="shared" si="466"/>
        <v>5617.32956531529</v>
      </c>
      <c r="U54" s="579">
        <f t="shared" si="466"/>
        <v>5361.1143146008017</v>
      </c>
      <c r="V54" s="579">
        <f t="shared" si="466"/>
        <v>5108.196968142378</v>
      </c>
      <c r="W54" s="579">
        <f t="shared" si="466"/>
        <v>4858.5440061843647</v>
      </c>
      <c r="X54" s="579">
        <f t="shared" si="466"/>
        <v>4612.1222159805002</v>
      </c>
      <c r="Y54" s="579">
        <f t="shared" si="466"/>
        <v>4325.3258963655608</v>
      </c>
      <c r="Z54" s="579">
        <f t="shared" si="466"/>
        <v>4042.3024692900181</v>
      </c>
      <c r="AA54" s="579">
        <f t="shared" si="466"/>
        <v>3763.0132803324655</v>
      </c>
      <c r="AB54" s="579">
        <f t="shared" si="466"/>
        <v>3487.4200305757076</v>
      </c>
      <c r="AC54" s="579">
        <f t="shared" si="466"/>
        <v>3215.4847735292192</v>
      </c>
      <c r="AD54" s="579">
        <f t="shared" si="466"/>
        <v>2947.1699120772573</v>
      </c>
      <c r="AE54" s="579">
        <f t="shared" si="466"/>
        <v>2682.4381954523674</v>
      </c>
      <c r="AF54" s="579">
        <f t="shared" si="466"/>
        <v>2421.2527162341275</v>
      </c>
      <c r="AG54" s="579">
        <f t="shared" si="466"/>
        <v>2163.5769073728889</v>
      </c>
      <c r="AH54" s="579">
        <f t="shared" si="466"/>
        <v>1909.3745392383198</v>
      </c>
      <c r="AI54" s="579"/>
      <c r="AJ54" s="579">
        <f>AJ$8/(AJ$6+AJ$8)*AJ51</f>
        <v>11214.38170827588</v>
      </c>
      <c r="AK54" s="579">
        <f t="shared" ref="AK54:BN54" si="467">AK$8/(AK$6+AK$8)*AK51</f>
        <v>10964.184307051983</v>
      </c>
      <c r="AL54" s="579">
        <f t="shared" si="467"/>
        <v>10716.929185956345</v>
      </c>
      <c r="AM54" s="579">
        <f t="shared" si="467"/>
        <v>10472.587489065179</v>
      </c>
      <c r="AN54" s="579">
        <f t="shared" si="467"/>
        <v>10231.130619735293</v>
      </c>
      <c r="AO54" s="579">
        <f t="shared" si="467"/>
        <v>9992.5302383917788</v>
      </c>
      <c r="AP54" s="579">
        <f t="shared" si="467"/>
        <v>9756.7582603339688</v>
      </c>
      <c r="AQ54" s="579">
        <f t="shared" si="467"/>
        <v>9523.7868535594589</v>
      </c>
      <c r="AR54" s="579">
        <f t="shared" si="467"/>
        <v>9293.5884366061127</v>
      </c>
      <c r="AS54" s="579">
        <f t="shared" si="467"/>
        <v>9066.1356764118354</v>
      </c>
      <c r="AT54" s="579">
        <f t="shared" si="467"/>
        <v>8841.4014861920368</v>
      </c>
      <c r="AU54" s="579">
        <f t="shared" si="467"/>
        <v>8666.6068801578967</v>
      </c>
      <c r="AV54" s="579">
        <f t="shared" si="467"/>
        <v>8493.8189489799934</v>
      </c>
      <c r="AW54" s="579">
        <f t="shared" si="467"/>
        <v>8323.0182143466427</v>
      </c>
      <c r="AX54" s="579">
        <f t="shared" si="467"/>
        <v>8154.1853719664687</v>
      </c>
      <c r="AY54" s="579">
        <f t="shared" si="467"/>
        <v>7987.3012900889589</v>
      </c>
      <c r="AZ54" s="579">
        <f t="shared" si="467"/>
        <v>7822.3470080372326</v>
      </c>
      <c r="BA54" s="579">
        <f t="shared" si="467"/>
        <v>7659.3037347528552</v>
      </c>
      <c r="BB54" s="579">
        <f t="shared" si="467"/>
        <v>7498.1528473526232</v>
      </c>
      <c r="BC54" s="579">
        <f t="shared" si="467"/>
        <v>7338.8758896972404</v>
      </c>
      <c r="BD54" s="579">
        <f t="shared" si="467"/>
        <v>7181.4545709717531</v>
      </c>
      <c r="BE54" s="579">
        <f t="shared" si="467"/>
        <v>7004.0843678890278</v>
      </c>
      <c r="BF54" s="579">
        <f t="shared" si="467"/>
        <v>6828.8373303752878</v>
      </c>
      <c r="BG54" s="579">
        <f t="shared" si="467"/>
        <v>6655.6924817451036</v>
      </c>
      <c r="BH54" s="579">
        <f t="shared" si="467"/>
        <v>6484.6290345587995</v>
      </c>
      <c r="BI54" s="579">
        <f t="shared" si="467"/>
        <v>6315.6263890035843</v>
      </c>
      <c r="BJ54" s="579">
        <f t="shared" si="467"/>
        <v>6148.6641312880847</v>
      </c>
      <c r="BK54" s="579">
        <f t="shared" si="467"/>
        <v>5983.7220320501146</v>
      </c>
      <c r="BL54" s="579">
        <f t="shared" si="467"/>
        <v>5820.7800447776272</v>
      </c>
      <c r="BM54" s="579">
        <f t="shared" si="467"/>
        <v>5659.8183042427054</v>
      </c>
      <c r="BN54" s="579">
        <f t="shared" si="467"/>
        <v>5500.8171249484931</v>
      </c>
      <c r="BQ54" s="623"/>
      <c r="BR54" s="623"/>
      <c r="BS54" s="623"/>
      <c r="BT54" s="623"/>
      <c r="BU54" s="623"/>
      <c r="BV54" s="623"/>
      <c r="BW54" s="623"/>
      <c r="BX54" s="623"/>
      <c r="BY54" s="623"/>
      <c r="BZ54" s="623"/>
      <c r="CA54" s="623"/>
      <c r="CB54" s="623"/>
      <c r="CC54" s="623"/>
      <c r="CD54" s="623"/>
      <c r="CE54" s="623"/>
      <c r="CF54" s="623"/>
      <c r="CG54" s="623"/>
      <c r="CH54" s="623"/>
      <c r="CI54" s="623"/>
      <c r="CJ54" s="623"/>
      <c r="CK54" s="623"/>
      <c r="CL54" s="623"/>
    </row>
    <row r="55" spans="1:90">
      <c r="A55" s="54" t="s">
        <v>307</v>
      </c>
      <c r="B55" s="54" t="s">
        <v>828</v>
      </c>
      <c r="C55" s="55" t="s">
        <v>1420</v>
      </c>
      <c r="D55" s="99">
        <f>D5-D17-D28-D39-D46-D10</f>
        <v>1083437.7146080071</v>
      </c>
      <c r="E55" s="99">
        <f t="shared" ref="E55:AH55" si="468">E5-E17-E28-E39-E46-E10</f>
        <v>1078443.9359604442</v>
      </c>
      <c r="F55" s="99">
        <f t="shared" si="468"/>
        <v>1073431.254157851</v>
      </c>
      <c r="G55" s="99">
        <f t="shared" si="468"/>
        <v>1068399.8009185817</v>
      </c>
      <c r="H55" s="99">
        <f t="shared" si="468"/>
        <v>1063349.7070431674</v>
      </c>
      <c r="I55" s="99">
        <f t="shared" si="468"/>
        <v>1058281.1024207151</v>
      </c>
      <c r="J55" s="99">
        <f t="shared" si="468"/>
        <v>1053194.116035254</v>
      </c>
      <c r="K55" s="99">
        <f t="shared" si="468"/>
        <v>1048088.8759720474</v>
      </c>
      <c r="L55" s="99">
        <f t="shared" si="468"/>
        <v>1042965.5094238503</v>
      </c>
      <c r="M55" s="99">
        <f t="shared" si="468"/>
        <v>1037824.1426971318</v>
      </c>
      <c r="N55" s="99">
        <f t="shared" si="468"/>
        <v>1032664.9012182495</v>
      </c>
      <c r="O55" s="99">
        <f t="shared" si="468"/>
        <v>1026032.8159309027</v>
      </c>
      <c r="P55" s="99">
        <f t="shared" si="468"/>
        <v>1019383.1041282618</v>
      </c>
      <c r="Q55" s="99">
        <f t="shared" si="468"/>
        <v>1012715.8886329749</v>
      </c>
      <c r="R55" s="99">
        <f t="shared" si="468"/>
        <v>1006031.2914118557</v>
      </c>
      <c r="S55" s="99">
        <f t="shared" si="468"/>
        <v>999329.4335818449</v>
      </c>
      <c r="T55" s="99">
        <f t="shared" si="468"/>
        <v>991696.60851193208</v>
      </c>
      <c r="U55" s="99">
        <f t="shared" si="468"/>
        <v>984046.76254103938</v>
      </c>
      <c r="V55" s="99">
        <f t="shared" si="468"/>
        <v>976380.01427185757</v>
      </c>
      <c r="W55" s="99">
        <f t="shared" si="468"/>
        <v>968696.48148064734</v>
      </c>
      <c r="X55" s="99">
        <f t="shared" si="468"/>
        <v>960996.28112299647</v>
      </c>
      <c r="Y55" s="99">
        <f t="shared" si="468"/>
        <v>952810.90015799971</v>
      </c>
      <c r="Z55" s="99">
        <f t="shared" si="468"/>
        <v>944609.08309855545</v>
      </c>
      <c r="AA55" s="99">
        <f t="shared" si="468"/>
        <v>936390.94447238627</v>
      </c>
      <c r="AB55" s="99">
        <f t="shared" si="468"/>
        <v>928156.59800917935</v>
      </c>
      <c r="AC55" s="99">
        <f t="shared" si="468"/>
        <v>919906.15664614574</v>
      </c>
      <c r="AD55" s="99">
        <f t="shared" si="468"/>
        <v>911639.73253354325</v>
      </c>
      <c r="AE55" s="99">
        <f t="shared" si="468"/>
        <v>903357.43704015925</v>
      </c>
      <c r="AF55" s="99">
        <f t="shared" si="468"/>
        <v>895059.38075875735</v>
      </c>
      <c r="AG55" s="99">
        <f t="shared" si="468"/>
        <v>886745.67351148347</v>
      </c>
      <c r="AH55" s="99">
        <f t="shared" si="468"/>
        <v>878416.424355236</v>
      </c>
      <c r="AI55" s="99"/>
      <c r="AJ55" s="99">
        <f>AJ5-AJ17-AJ28-AJ39-AJ46-AJ10</f>
        <v>1083437.7146080071</v>
      </c>
      <c r="AK55" s="99">
        <f t="shared" ref="AK55:BN55" si="469">AK5-AK17-AK28-AK39-AK46-AK10</f>
        <v>1078443.9359604442</v>
      </c>
      <c r="AL55" s="99">
        <f t="shared" si="469"/>
        <v>1073431.254157851</v>
      </c>
      <c r="AM55" s="99">
        <f t="shared" si="469"/>
        <v>1068399.8009185817</v>
      </c>
      <c r="AN55" s="99">
        <f t="shared" si="469"/>
        <v>1063349.7070431674</v>
      </c>
      <c r="AO55" s="99">
        <f t="shared" si="469"/>
        <v>1058281.1024207151</v>
      </c>
      <c r="AP55" s="99">
        <f t="shared" si="469"/>
        <v>1053194.116035254</v>
      </c>
      <c r="AQ55" s="99">
        <f t="shared" si="469"/>
        <v>1048088.8759720474</v>
      </c>
      <c r="AR55" s="99">
        <f t="shared" si="469"/>
        <v>1042965.5094238503</v>
      </c>
      <c r="AS55" s="99">
        <f t="shared" si="469"/>
        <v>1037824.1426971318</v>
      </c>
      <c r="AT55" s="99">
        <f t="shared" si="469"/>
        <v>1032664.9012182495</v>
      </c>
      <c r="AU55" s="99">
        <f t="shared" si="469"/>
        <v>1026032.8159309027</v>
      </c>
      <c r="AV55" s="99">
        <f t="shared" si="469"/>
        <v>1019383.1041282618</v>
      </c>
      <c r="AW55" s="99">
        <f t="shared" si="469"/>
        <v>1012715.8886329749</v>
      </c>
      <c r="AX55" s="99">
        <f t="shared" si="469"/>
        <v>1006031.2914118557</v>
      </c>
      <c r="AY55" s="99">
        <f t="shared" si="469"/>
        <v>999329.4335818449</v>
      </c>
      <c r="AZ55" s="99">
        <f t="shared" si="469"/>
        <v>991696.60851193208</v>
      </c>
      <c r="BA55" s="99">
        <f t="shared" si="469"/>
        <v>984046.76254103938</v>
      </c>
      <c r="BB55" s="99">
        <f t="shared" si="469"/>
        <v>976380.01427185757</v>
      </c>
      <c r="BC55" s="99">
        <f t="shared" si="469"/>
        <v>968696.48148064734</v>
      </c>
      <c r="BD55" s="99">
        <f t="shared" si="469"/>
        <v>960996.28112299647</v>
      </c>
      <c r="BE55" s="99">
        <f t="shared" si="469"/>
        <v>952810.90015799971</v>
      </c>
      <c r="BF55" s="99">
        <f t="shared" si="469"/>
        <v>944609.08309855545</v>
      </c>
      <c r="BG55" s="99">
        <f t="shared" si="469"/>
        <v>936390.94447238627</v>
      </c>
      <c r="BH55" s="99">
        <f t="shared" si="469"/>
        <v>928156.59800917935</v>
      </c>
      <c r="BI55" s="99">
        <f t="shared" si="469"/>
        <v>919906.15664614574</v>
      </c>
      <c r="BJ55" s="99">
        <f t="shared" si="469"/>
        <v>911639.73253354325</v>
      </c>
      <c r="BK55" s="99">
        <f t="shared" si="469"/>
        <v>903357.43704015925</v>
      </c>
      <c r="BL55" s="99">
        <f t="shared" si="469"/>
        <v>895059.38075875735</v>
      </c>
      <c r="BM55" s="99">
        <f t="shared" si="469"/>
        <v>886745.67351148347</v>
      </c>
      <c r="BN55" s="99">
        <f t="shared" si="469"/>
        <v>878416.424355236</v>
      </c>
    </row>
    <row r="56" spans="1:90">
      <c r="B56" s="1" t="s">
        <v>169</v>
      </c>
      <c r="C56" s="50" t="s">
        <v>1420</v>
      </c>
      <c r="D56" s="99">
        <v>0</v>
      </c>
      <c r="E56" s="99">
        <f>E55*'R&amp;S - Others'!$D$7*'R&amp;S - Others'!$B$11*'R&amp;S - Others'!$B$15*(E$3-$D$3)/10</f>
        <v>5338.2974830041985</v>
      </c>
      <c r="F56" s="99">
        <f>F55*'R&amp;S - Others'!$D$7*'R&amp;S - Others'!$B$11*'R&amp;S - Others'!$B$15*(F$3-$D$3)/10</f>
        <v>10626.969416162725</v>
      </c>
      <c r="G56" s="99">
        <f>G55*'R&amp;S - Others'!$D$7*'R&amp;S - Others'!$B$11*'R&amp;S - Others'!$B$15*(G$3-$D$3)/10</f>
        <v>15865.73704364094</v>
      </c>
      <c r="H56" s="99">
        <f>H55*'R&amp;S - Others'!$D$7*'R&amp;S - Others'!$B$11*'R&amp;S - Others'!$B$15*(H$3-$D$3)/10</f>
        <v>21054.324199454717</v>
      </c>
      <c r="I56" s="99">
        <f>I55*'R&amp;S - Others'!$D$7*'R&amp;S - Others'!$B$11*'R&amp;S - Others'!$B$15*(I$3-$D$3)/10</f>
        <v>26192.4572849127</v>
      </c>
      <c r="J56" s="99">
        <f>J55*'R&amp;S - Others'!$D$7*'R&amp;S - Others'!$B$11*'R&amp;S - Others'!$B$15*(J$3-$D$3)/10</f>
        <v>31279.865246247045</v>
      </c>
      <c r="K56" s="99">
        <f>K55*'R&amp;S - Others'!$D$7*'R&amp;S - Others'!$B$11*'R&amp;S - Others'!$B$15*(K$3-$D$3)/10</f>
        <v>36316.279552431442</v>
      </c>
      <c r="L56" s="99">
        <f>L55*'R&amp;S - Others'!$D$7*'R&amp;S - Others'!$B$11*'R&amp;S - Others'!$B$15*(L$3-$D$3)/10</f>
        <v>41301.434173184469</v>
      </c>
      <c r="M56" s="99">
        <f>M55*'R&amp;S - Others'!$D$7*'R&amp;S - Others'!$B$11*'R&amp;S - Others'!$B$15*(M$3-$D$3)/10</f>
        <v>46235.065557157228</v>
      </c>
      <c r="N56" s="99">
        <f>N55*'R&amp;S - Others'!$D$7*'R&amp;S - Others'!$B$11*'R&amp;S - Others'!$B$15*(N$3-$D$3)/10</f>
        <v>51116.912610303349</v>
      </c>
      <c r="O56" s="99">
        <f>O55*'R&amp;S - Others'!$D$7*'R&amp;S - Others'!$B$11*('R&amp;S - Others'!$B$15+('R&amp;S - Others'!$B$16-'R&amp;S - Others'!$B$15)*(O$3-$N$3)/10)</f>
        <v>55867.486827437649</v>
      </c>
      <c r="P56" s="99">
        <f>P55*'R&amp;S - Others'!$D$7*'R&amp;S - Others'!$B$11*('R&amp;S - Others'!$B$15+('R&amp;S - Others'!$B$16-'R&amp;S - Others'!$B$15)*(P$3-$N$3)/10)</f>
        <v>60551.356385218751</v>
      </c>
      <c r="Q56" s="99">
        <f>Q55*'R&amp;S - Others'!$D$7*'R&amp;S - Others'!$B$11*('R&amp;S - Others'!$B$15+('R&amp;S - Others'!$B$16-'R&amp;S - Others'!$B$15)*(Q$3-$N$3)/10)</f>
        <v>65168.267433531939</v>
      </c>
      <c r="R56" s="99">
        <f>R55*'R&amp;S - Others'!$D$7*'R&amp;S - Others'!$B$11*('R&amp;S - Others'!$B$15+('R&amp;S - Others'!$B$16-'R&amp;S - Others'!$B$15)*(R$3-$N$3)/10)</f>
        <v>69717.968494841596</v>
      </c>
      <c r="S56" s="99">
        <f>S55*'R&amp;S - Others'!$D$7*'R&amp;S - Others'!$B$11*('R&amp;S - Others'!$B$15+('R&amp;S - Others'!$B$16-'R&amp;S - Others'!$B$15)*(S$3-$N$3)/10)</f>
        <v>74200.210443451972</v>
      </c>
      <c r="T56" s="99">
        <f>T55*'R&amp;S - Others'!$D$7*'R&amp;S - Others'!$B$11*('R&amp;S - Others'!$B$15+('R&amp;S - Others'!$B$16-'R&amp;S - Others'!$B$15)*(T$3-$N$3)/10)</f>
        <v>78542.371394145026</v>
      </c>
      <c r="U56" s="99">
        <f>U55*'R&amp;S - Others'!$D$7*'R&amp;S - Others'!$B$11*('R&amp;S - Others'!$B$15+('R&amp;S - Others'!$B$16-'R&amp;S - Others'!$B$15)*(U$3-$N$3)/10)</f>
        <v>82807.535067828459</v>
      </c>
      <c r="V56" s="99">
        <f>V55*'R&amp;S - Others'!$D$7*'R&amp;S - Others'!$B$11*('R&amp;S - Others'!$B$15+('R&amp;S - Others'!$B$16-'R&amp;S - Others'!$B$15)*(V$3-$N$3)/10)</f>
        <v>86995.459271622531</v>
      </c>
      <c r="W56" s="99">
        <f>W55*'R&amp;S - Others'!$D$7*'R&amp;S - Others'!$B$11*('R&amp;S - Others'!$B$15+('R&amp;S - Others'!$B$16-'R&amp;S - Others'!$B$15)*(W$3-$N$3)/10)</f>
        <v>91105.904083254878</v>
      </c>
      <c r="X56" s="99">
        <f>X55*'R&amp;S - Others'!$D$7*'R&amp;S - Others'!$B$11*('R&amp;S - Others'!$B$15+('R&amp;S - Others'!$B$16-'R&amp;S - Others'!$B$15)*(X$3-$N$3)/10)</f>
        <v>95138.631831176652</v>
      </c>
      <c r="Y56" s="99">
        <f>Y55*'R&amp;S - Others'!$D$7*'R&amp;S - Others'!$B$11*('R&amp;S - Others'!$B$16+('R&amp;S - Others'!$B$17-'R&amp;S - Others'!$B$16)*(Y$3-$X$3)/10)</f>
        <v>99187.614706447785</v>
      </c>
      <c r="Z56" s="99">
        <f>Z55*'R&amp;S - Others'!$D$7*'R&amp;S - Others'!$B$11*('R&amp;S - Others'!$B$16+('R&amp;S - Others'!$B$17-'R&amp;S - Others'!$B$16)*(Z$3-$X$3)/10)</f>
        <v>103151.31187436225</v>
      </c>
      <c r="AA56" s="99">
        <f>AA55*'R&amp;S - Others'!$D$7*'R&amp;S - Others'!$B$11*('R&amp;S - Others'!$B$16+('R&amp;S - Others'!$B$17-'R&amp;S - Others'!$B$16)*(AA$3-$X$3)/10)</f>
        <v>107029.48495319375</v>
      </c>
      <c r="AB56" s="99">
        <f>AB55*'R&amp;S - Others'!$D$7*'R&amp;S - Others'!$B$11*('R&amp;S - Others'!$B$16+('R&amp;S - Others'!$B$17-'R&amp;S - Others'!$B$16)*(AB$3-$X$3)/10)</f>
        <v>110821.89780229602</v>
      </c>
      <c r="AC56" s="99">
        <f>AC55*'R&amp;S - Others'!$D$7*'R&amp;S - Others'!$B$11*('R&amp;S - Others'!$B$16+('R&amp;S - Others'!$B$17-'R&amp;S - Others'!$B$16)*(AC$3-$X$3)/10)</f>
        <v>114528.31650244516</v>
      </c>
      <c r="AD56" s="99">
        <f>AD55*'R&amp;S - Others'!$D$7*'R&amp;S - Others'!$B$11*('R&amp;S - Others'!$B$16+('R&amp;S - Others'!$B$17-'R&amp;S - Others'!$B$16)*(AD$3-$X$3)/10)</f>
        <v>118148.50933634721</v>
      </c>
      <c r="AE56" s="99">
        <f>AE55*'R&amp;S - Others'!$D$7*'R&amp;S - Others'!$B$11*('R&amp;S - Others'!$B$16+('R&amp;S - Others'!$B$17-'R&amp;S - Others'!$B$16)*(AE$3-$X$3)/10)</f>
        <v>121682.24676930944</v>
      </c>
      <c r="AF56" s="99">
        <f>AF55*'R&amp;S - Others'!$D$7*'R&amp;S - Others'!$B$11*('R&amp;S - Others'!$B$16+('R&amp;S - Others'!$B$17-'R&amp;S - Others'!$B$16)*(AF$3-$X$3)/10)</f>
        <v>125129.30143007427</v>
      </c>
      <c r="AG56" s="99">
        <f>AG55*'R&amp;S - Others'!$D$7*'R&amp;S - Others'!$B$11*('R&amp;S - Others'!$B$16+('R&amp;S - Others'!$B$17-'R&amp;S - Others'!$B$16)*(AG$3-$X$3)/10)</f>
        <v>128489.44809181395</v>
      </c>
      <c r="AH56" s="99">
        <f>AH55*'R&amp;S - Others'!$D$7*'R&amp;S - Others'!$B$11*('R&amp;S - Others'!$B$16+('R&amp;S - Others'!$B$17-'R&amp;S - Others'!$B$16)*(AH$3-$X$3)/10)</f>
        <v>131762.46365328541</v>
      </c>
      <c r="AI56" s="99"/>
      <c r="AJ56" s="99">
        <v>0</v>
      </c>
      <c r="AK56" s="99">
        <f>AK55*'R&amp;S - Others'!$D$7*'R&amp;S - Others'!$B$12*'R&amp;S - Others'!$B$15*(AK$3-$D$3)/10</f>
        <v>2669.1487415020993</v>
      </c>
      <c r="AL56" s="99">
        <f>AL55*'R&amp;S - Others'!$D$7*'R&amp;S - Others'!$B$12*'R&amp;S - Others'!$B$15*(AL$3-$D$3)/10</f>
        <v>5313.4847080813624</v>
      </c>
      <c r="AM56" s="99">
        <f>AM55*'R&amp;S - Others'!$D$7*'R&amp;S - Others'!$B$12*'R&amp;S - Others'!$B$15*(AM$3-$D$3)/10</f>
        <v>7932.8685218204701</v>
      </c>
      <c r="AN56" s="99">
        <f>AN55*'R&amp;S - Others'!$D$7*'R&amp;S - Others'!$B$12*'R&amp;S - Others'!$B$15*(AN$3-$D$3)/10</f>
        <v>10527.162099727359</v>
      </c>
      <c r="AO56" s="99">
        <f>AO55*'R&amp;S - Others'!$D$7*'R&amp;S - Others'!$B$12*'R&amp;S - Others'!$B$15*(AO$3-$D$3)/10</f>
        <v>13096.22864245635</v>
      </c>
      <c r="AP56" s="99">
        <f>AP55*'R&amp;S - Others'!$D$7*'R&amp;S - Others'!$B$12*'R&amp;S - Others'!$B$15*(AP$3-$D$3)/10</f>
        <v>15639.932623123523</v>
      </c>
      <c r="AQ56" s="99">
        <f>AQ55*'R&amp;S - Others'!$D$7*'R&amp;S - Others'!$B$12*'R&amp;S - Others'!$B$15*(AQ$3-$D$3)/10</f>
        <v>18158.139776215721</v>
      </c>
      <c r="AR56" s="99">
        <f>AR55*'R&amp;S - Others'!$D$7*'R&amp;S - Others'!$B$12*'R&amp;S - Others'!$B$15*(AR$3-$D$3)/10</f>
        <v>20650.717086592234</v>
      </c>
      <c r="AS56" s="99">
        <f>AS55*'R&amp;S - Others'!$D$7*'R&amp;S - Others'!$B$12*'R&amp;S - Others'!$B$15*(AS$3-$D$3)/10</f>
        <v>23117.532778578614</v>
      </c>
      <c r="AT56" s="99">
        <f>AT55*'R&amp;S - Others'!$D$7*'R&amp;S - Others'!$B$12*'R&amp;S - Others'!$B$15*(AT$3-$D$3)/10</f>
        <v>25558.456305151674</v>
      </c>
      <c r="AU56" s="99">
        <f>AU55*'R&amp;S - Others'!$D$7*'R&amp;S - Others'!$B$12*('R&amp;S - Others'!$B$15+('R&amp;S - Others'!$B$16-'R&amp;S - Others'!$B$15)*(AU$3-$N$3)/10)</f>
        <v>27933.743413718825</v>
      </c>
      <c r="AV56" s="99">
        <f>AV55*'R&amp;S - Others'!$D$7*'R&amp;S - Others'!$B$12*('R&amp;S - Others'!$B$15+('R&amp;S - Others'!$B$16-'R&amp;S - Others'!$B$15)*(AV$3-$N$3)/10)</f>
        <v>30275.678192609375</v>
      </c>
      <c r="AW56" s="99">
        <f>AW55*'R&amp;S - Others'!$D$7*'R&amp;S - Others'!$B$12*('R&amp;S - Others'!$B$15+('R&amp;S - Others'!$B$16-'R&amp;S - Others'!$B$15)*(AW$3-$N$3)/10)</f>
        <v>32584.133716765969</v>
      </c>
      <c r="AX56" s="99">
        <f>AX55*'R&amp;S - Others'!$D$7*'R&amp;S - Others'!$B$12*('R&amp;S - Others'!$B$15+('R&amp;S - Others'!$B$16-'R&amp;S - Others'!$B$15)*(AX$3-$N$3)/10)</f>
        <v>34858.984247420798</v>
      </c>
      <c r="AY56" s="99">
        <f>AY55*'R&amp;S - Others'!$D$7*'R&amp;S - Others'!$B$12*('R&amp;S - Others'!$B$15+('R&amp;S - Others'!$B$16-'R&amp;S - Others'!$B$15)*(AY$3-$N$3)/10)</f>
        <v>37100.105221725986</v>
      </c>
      <c r="AZ56" s="99">
        <f>AZ55*'R&amp;S - Others'!$D$7*'R&amp;S - Others'!$B$12*('R&amp;S - Others'!$B$15+('R&amp;S - Others'!$B$16-'R&amp;S - Others'!$B$15)*(AZ$3-$N$3)/10)</f>
        <v>39271.185697072513</v>
      </c>
      <c r="BA56" s="99">
        <f>BA55*'R&amp;S - Others'!$D$7*'R&amp;S - Others'!$B$12*('R&amp;S - Others'!$B$15+('R&amp;S - Others'!$B$16-'R&amp;S - Others'!$B$15)*(BA$3-$N$3)/10)</f>
        <v>41403.76753391423</v>
      </c>
      <c r="BB56" s="99">
        <f>BB55*'R&amp;S - Others'!$D$7*'R&amp;S - Others'!$B$12*('R&amp;S - Others'!$B$15+('R&amp;S - Others'!$B$16-'R&amp;S - Others'!$B$15)*(BB$3-$N$3)/10)</f>
        <v>43497.729635811265</v>
      </c>
      <c r="BC56" s="99">
        <f>BC55*'R&amp;S - Others'!$D$7*'R&amp;S - Others'!$B$12*('R&amp;S - Others'!$B$15+('R&amp;S - Others'!$B$16-'R&amp;S - Others'!$B$15)*(BC$3-$N$3)/10)</f>
        <v>45552.952041627439</v>
      </c>
      <c r="BD56" s="99">
        <f>BD55*'R&amp;S - Others'!$D$7*'R&amp;S - Others'!$B$12*('R&amp;S - Others'!$B$15+('R&amp;S - Others'!$B$16-'R&amp;S - Others'!$B$15)*(BD$3-$N$3)/10)</f>
        <v>47569.315915588326</v>
      </c>
      <c r="BE56" s="99">
        <f>BE55*'R&amp;S - Others'!$D$7*'R&amp;S - Others'!$B$12*('R&amp;S - Others'!$B$16+('R&amp;S - Others'!$B$17-'R&amp;S - Others'!$B$16)*(BE$3-$X$3)/10)</f>
        <v>49593.807353223892</v>
      </c>
      <c r="BF56" s="99">
        <f>BF55*'R&amp;S - Others'!$D$7*'R&amp;S - Others'!$B$12*('R&amp;S - Others'!$B$16+('R&amp;S - Others'!$B$17-'R&amp;S - Others'!$B$16)*(BF$3-$X$3)/10)</f>
        <v>51575.655937181124</v>
      </c>
      <c r="BG56" s="99">
        <f>BG55*'R&amp;S - Others'!$D$7*'R&amp;S - Others'!$B$12*('R&amp;S - Others'!$B$16+('R&amp;S - Others'!$B$17-'R&amp;S - Others'!$B$16)*(BG$3-$X$3)/10)</f>
        <v>53514.742476596875</v>
      </c>
      <c r="BH56" s="99">
        <f>BH55*'R&amp;S - Others'!$D$7*'R&amp;S - Others'!$B$12*('R&amp;S - Others'!$B$16+('R&amp;S - Others'!$B$17-'R&amp;S - Others'!$B$16)*(BH$3-$X$3)/10)</f>
        <v>55410.948901148011</v>
      </c>
      <c r="BI56" s="99">
        <f>BI55*'R&amp;S - Others'!$D$7*'R&amp;S - Others'!$B$12*('R&amp;S - Others'!$B$16+('R&amp;S - Others'!$B$17-'R&amp;S - Others'!$B$16)*(BI$3-$X$3)/10)</f>
        <v>57264.15825122258</v>
      </c>
      <c r="BJ56" s="99">
        <f>BJ55*'R&amp;S - Others'!$D$7*'R&amp;S - Others'!$B$12*('R&amp;S - Others'!$B$16+('R&amp;S - Others'!$B$17-'R&amp;S - Others'!$B$16)*(BJ$3-$X$3)/10)</f>
        <v>59074.254668173606</v>
      </c>
      <c r="BK56" s="99">
        <f>BK55*'R&amp;S - Others'!$D$7*'R&amp;S - Others'!$B$12*('R&amp;S - Others'!$B$16+('R&amp;S - Others'!$B$17-'R&amp;S - Others'!$B$16)*(BK$3-$X$3)/10)</f>
        <v>60841.123384654718</v>
      </c>
      <c r="BL56" s="99">
        <f>BL55*'R&amp;S - Others'!$D$7*'R&amp;S - Others'!$B$12*('R&amp;S - Others'!$B$16+('R&amp;S - Others'!$B$17-'R&amp;S - Others'!$B$16)*(BL$3-$X$3)/10)</f>
        <v>62564.650715037133</v>
      </c>
      <c r="BM56" s="99">
        <f>BM55*'R&amp;S - Others'!$D$7*'R&amp;S - Others'!$B$12*('R&amp;S - Others'!$B$16+('R&amp;S - Others'!$B$17-'R&amp;S - Others'!$B$16)*(BM$3-$X$3)/10)</f>
        <v>64244.724045906973</v>
      </c>
      <c r="BN56" s="99">
        <f>BN55*'R&amp;S - Others'!$D$7*'R&amp;S - Others'!$B$12*('R&amp;S - Others'!$B$16+('R&amp;S - Others'!$B$17-'R&amp;S - Others'!$B$16)*(BN$3-$X$3)/10)</f>
        <v>65881.231826642703</v>
      </c>
    </row>
    <row r="57" spans="1:90">
      <c r="B57" s="1" t="s">
        <v>172</v>
      </c>
      <c r="C57" s="50" t="s">
        <v>1420</v>
      </c>
      <c r="D57" s="99">
        <v>0</v>
      </c>
      <c r="E57" s="99">
        <f>E55*'R&amp;S - Others'!$D$8*'R&amp;S - Others'!$B$11*'R&amp;S - Others'!$C$15*(E$3-$D$3)/10</f>
        <v>1779.4324943347333</v>
      </c>
      <c r="F57" s="99">
        <f>F55*'R&amp;S - Others'!$D$8*'R&amp;S - Others'!$B$11*'R&amp;S - Others'!$C$15*(F$3-$D$3)/10</f>
        <v>3542.3231387209089</v>
      </c>
      <c r="G57" s="99">
        <f>G55*'R&amp;S - Others'!$D$8*'R&amp;S - Others'!$B$11*'R&amp;S - Others'!$C$15*(G$3-$D$3)/10</f>
        <v>5288.57901454698</v>
      </c>
      <c r="H57" s="99">
        <f>H55*'R&amp;S - Others'!$D$8*'R&amp;S - Others'!$B$11*'R&amp;S - Others'!$C$15*(H$3-$D$3)/10</f>
        <v>7018.1080664849051</v>
      </c>
      <c r="I57" s="99">
        <f>I55*'R&amp;S - Others'!$D$8*'R&amp;S - Others'!$B$11*'R&amp;S - Others'!$C$15*(I$3-$D$3)/10</f>
        <v>8730.8190949709006</v>
      </c>
      <c r="J57" s="99">
        <f>J55*'R&amp;S - Others'!$D$8*'R&amp;S - Others'!$B$11*'R&amp;S - Others'!$C$15*(J$3-$D$3)/10</f>
        <v>10426.621748749016</v>
      </c>
      <c r="K57" s="99">
        <f>K55*'R&amp;S - Others'!$D$8*'R&amp;S - Others'!$B$11*'R&amp;S - Others'!$C$15*(K$3-$D$3)/10</f>
        <v>12105.42651747715</v>
      </c>
      <c r="L57" s="99">
        <f>L55*'R&amp;S - Others'!$D$8*'R&amp;S - Others'!$B$11*'R&amp;S - Others'!$C$15*(L$3-$D$3)/10</f>
        <v>13767.144724394826</v>
      </c>
      <c r="M57" s="99">
        <f>M55*'R&amp;S - Others'!$D$8*'R&amp;S - Others'!$B$11*'R&amp;S - Others'!$C$15*(M$3-$D$3)/10</f>
        <v>15411.688519052408</v>
      </c>
      <c r="N57" s="99">
        <f>N55*'R&amp;S - Others'!$D$8*'R&amp;S - Others'!$B$11*'R&amp;S - Others'!$C$15*(N$3-$D$3)/10</f>
        <v>17038.970870101119</v>
      </c>
      <c r="O57" s="99">
        <f>O55*'R&amp;S - Others'!$D$8*'R&amp;S - Others'!$B$11*'R&amp;S - Others'!$C$15*(O$3-$D$3)/10</f>
        <v>18622.495609145884</v>
      </c>
      <c r="P57" s="99">
        <f>P55*'R&amp;S - Others'!$D$8*'R&amp;S - Others'!$B$11*'R&amp;S - Others'!$C$15*(P$3-$D$3)/10</f>
        <v>20183.785461739586</v>
      </c>
      <c r="Q57" s="99">
        <f>Q55*'R&amp;S - Others'!$D$8*'R&amp;S - Others'!$B$11*'R&amp;S - Others'!$C$15*(Q$3-$D$3)/10</f>
        <v>21722.755811177314</v>
      </c>
      <c r="R57" s="99">
        <f>R55*'R&amp;S - Others'!$D$8*'R&amp;S - Others'!$B$11*'R&amp;S - Others'!$C$15*(R$3-$D$3)/10</f>
        <v>23239.322831613867</v>
      </c>
      <c r="S57" s="99">
        <f>S55*'R&amp;S - Others'!$D$8*'R&amp;S - Others'!$B$11*'R&amp;S - Others'!$C$15*(S$3-$D$3)/10</f>
        <v>24733.403481150664</v>
      </c>
      <c r="T57" s="99">
        <f>T55*'R&amp;S - Others'!$D$8*'R&amp;S - Others'!$B$11*'R&amp;S - Others'!$C$15*(T$3-$D$3)/10</f>
        <v>26180.79046471501</v>
      </c>
      <c r="U57" s="99">
        <f>U55*'R&amp;S - Others'!$D$8*'R&amp;S - Others'!$B$11*'R&amp;S - Others'!$C$15*(U$3-$D$3)/10</f>
        <v>27602.511689276162</v>
      </c>
      <c r="V57" s="99">
        <f>V55*'R&amp;S - Others'!$D$8*'R&amp;S - Others'!$B$11*'R&amp;S - Others'!$C$15*(V$3-$D$3)/10</f>
        <v>28998.486423874176</v>
      </c>
      <c r="W57" s="99">
        <f>W55*'R&amp;S - Others'!$D$8*'R&amp;S - Others'!$B$11*'R&amp;S - Others'!$C$15*(W$3-$D$3)/10</f>
        <v>30368.634694418295</v>
      </c>
      <c r="X57" s="99">
        <f>X55*'R&amp;S - Others'!$D$8*'R&amp;S - Others'!$B$11*'R&amp;S - Others'!$C$15*(X$3-$D$3)/10</f>
        <v>31712.877277058888</v>
      </c>
      <c r="Y57" s="99">
        <f>Y55*'R&amp;S - Others'!$D$8*'R&amp;S - Others'!$B$11*('R&amp;S - Others'!$C$16+('R&amp;S - Others'!$C$17-'R&amp;S - Others'!$C$16)*(Y$3-$X$3)/10)</f>
        <v>33062.538235482592</v>
      </c>
      <c r="Z57" s="99">
        <f>Z55*'R&amp;S - Others'!$D$8*'R&amp;S - Others'!$B$11*('R&amp;S - Others'!$C$16+('R&amp;S - Others'!$C$17-'R&amp;S - Others'!$C$16)*(Z$3-$X$3)/10)</f>
        <v>34383.770624787423</v>
      </c>
      <c r="AA57" s="99">
        <f>AA55*'R&amp;S - Others'!$D$8*'R&amp;S - Others'!$B$11*('R&amp;S - Others'!$C$16+('R&amp;S - Others'!$C$17-'R&amp;S - Others'!$C$16)*(AA$3-$X$3)/10)</f>
        <v>35676.494984397919</v>
      </c>
      <c r="AB57" s="99">
        <f>AB55*'R&amp;S - Others'!$D$8*'R&amp;S - Others'!$B$11*('R&amp;S - Others'!$C$16+('R&amp;S - Others'!$C$17-'R&amp;S - Others'!$C$16)*(AB$3-$X$3)/10)</f>
        <v>36940.632600765341</v>
      </c>
      <c r="AC57" s="99">
        <f>AC55*'R&amp;S - Others'!$D$8*'R&amp;S - Others'!$B$11*('R&amp;S - Others'!$C$16+('R&amp;S - Others'!$C$17-'R&amp;S - Others'!$C$16)*(AC$3-$X$3)/10)</f>
        <v>38176.105500815058</v>
      </c>
      <c r="AD57" s="99">
        <f>AD55*'R&amp;S - Others'!$D$8*'R&amp;S - Others'!$B$11*('R&amp;S - Others'!$C$16+('R&amp;S - Others'!$C$17-'R&amp;S - Others'!$C$16)*(AD$3-$X$3)/10)</f>
        <v>39382.836445449073</v>
      </c>
      <c r="AE57" s="99">
        <f>AE55*'R&amp;S - Others'!$D$8*'R&amp;S - Others'!$B$11*('R&amp;S - Others'!$C$16+('R&amp;S - Others'!$C$17-'R&amp;S - Others'!$C$16)*(AE$3-$X$3)/10)</f>
        <v>40560.74892310315</v>
      </c>
      <c r="AF57" s="99">
        <f>AF55*'R&amp;S - Others'!$D$8*'R&amp;S - Others'!$B$11*('R&amp;S - Others'!$C$16+('R&amp;S - Others'!$C$17-'R&amp;S - Others'!$C$16)*(AF$3-$X$3)/10)</f>
        <v>41709.767143358098</v>
      </c>
      <c r="AG57" s="99">
        <f>AG55*'R&amp;S - Others'!$D$8*'R&amp;S - Others'!$B$11*('R&amp;S - Others'!$C$16+('R&amp;S - Others'!$C$17-'R&amp;S - Others'!$C$16)*(AG$3-$X$3)/10)</f>
        <v>42829.816030604648</v>
      </c>
      <c r="AH57" s="99">
        <f>AH55*'R&amp;S - Others'!$D$8*'R&amp;S - Others'!$B$11*('R&amp;S - Others'!$C$16+('R&amp;S - Others'!$C$17-'R&amp;S - Others'!$C$16)*(AH$3-$X$3)/10)</f>
        <v>43920.821217761804</v>
      </c>
      <c r="AI57" s="99"/>
      <c r="AJ57" s="99">
        <v>0</v>
      </c>
      <c r="AK57" s="99">
        <f>AK55*'R&amp;S - Others'!$D$8*'R&amp;S - Others'!$B$12*'R&amp;S - Others'!$C$15*(AK$3-$D$3)/10</f>
        <v>889.71624716736665</v>
      </c>
      <c r="AL57" s="99">
        <f>AL55*'R&amp;S - Others'!$D$8*'R&amp;S - Others'!$B$12*'R&amp;S - Others'!$C$15*(AL$3-$D$3)/10</f>
        <v>1771.1615693604545</v>
      </c>
      <c r="AM57" s="99">
        <f>AM55*'R&amp;S - Others'!$D$8*'R&amp;S - Others'!$B$12*'R&amp;S - Others'!$C$15*(AM$3-$D$3)/10</f>
        <v>2644.28950727349</v>
      </c>
      <c r="AN57" s="99">
        <f>AN55*'R&amp;S - Others'!$D$8*'R&amp;S - Others'!$B$12*'R&amp;S - Others'!$C$15*(AN$3-$D$3)/10</f>
        <v>3509.0540332424525</v>
      </c>
      <c r="AO57" s="99">
        <f>AO55*'R&amp;S - Others'!$D$8*'R&amp;S - Others'!$B$12*'R&amp;S - Others'!$C$15*(AO$3-$D$3)/10</f>
        <v>4365.4095474854503</v>
      </c>
      <c r="AP57" s="99">
        <f>AP55*'R&amp;S - Others'!$D$8*'R&amp;S - Others'!$B$12*'R&amp;S - Others'!$C$15*(AP$3-$D$3)/10</f>
        <v>5213.3108743745079</v>
      </c>
      <c r="AQ57" s="99">
        <f>AQ55*'R&amp;S - Others'!$D$8*'R&amp;S - Others'!$B$12*'R&amp;S - Others'!$C$15*(AQ$3-$D$3)/10</f>
        <v>6052.713258738575</v>
      </c>
      <c r="AR57" s="99">
        <f>AR55*'R&amp;S - Others'!$D$8*'R&amp;S - Others'!$B$12*'R&amp;S - Others'!$C$15*(AR$3-$D$3)/10</f>
        <v>6883.572362197413</v>
      </c>
      <c r="AS57" s="99">
        <f>AS55*'R&amp;S - Others'!$D$8*'R&amp;S - Others'!$B$12*'R&amp;S - Others'!$C$15*(AS$3-$D$3)/10</f>
        <v>7705.844259526204</v>
      </c>
      <c r="AT57" s="99">
        <f>AT55*'R&amp;S - Others'!$D$8*'R&amp;S - Others'!$B$12*'R&amp;S - Others'!$C$15*(AT$3-$D$3)/10</f>
        <v>8519.4854350505593</v>
      </c>
      <c r="AU57" s="99">
        <f>AU55*'R&amp;S - Others'!$D$8*'R&amp;S - Others'!$B$12*'R&amp;S - Others'!$C$15*(AU$3-$D$3)/10</f>
        <v>9311.2478045729422</v>
      </c>
      <c r="AV57" s="99">
        <f>AV55*'R&amp;S - Others'!$D$8*'R&amp;S - Others'!$B$12*'R&amp;S - Others'!$C$15*(AV$3-$D$3)/10</f>
        <v>10091.892730869793</v>
      </c>
      <c r="AW57" s="99">
        <f>AW55*'R&amp;S - Others'!$D$8*'R&amp;S - Others'!$B$12*'R&amp;S - Others'!$C$15*(AW$3-$D$3)/10</f>
        <v>10861.377905588657</v>
      </c>
      <c r="AX57" s="99">
        <f>AX55*'R&amp;S - Others'!$D$8*'R&amp;S - Others'!$B$12*'R&amp;S - Others'!$C$15*(AX$3-$D$3)/10</f>
        <v>11619.661415806933</v>
      </c>
      <c r="AY57" s="99">
        <f>AY55*'R&amp;S - Others'!$D$8*'R&amp;S - Others'!$B$12*'R&amp;S - Others'!$C$15*(AY$3-$D$3)/10</f>
        <v>12366.701740575332</v>
      </c>
      <c r="AZ57" s="99">
        <f>AZ55*'R&amp;S - Others'!$D$8*'R&amp;S - Others'!$B$12*'R&amp;S - Others'!$C$15*(AZ$3-$D$3)/10</f>
        <v>13090.395232357505</v>
      </c>
      <c r="BA57" s="99">
        <f>BA55*'R&amp;S - Others'!$D$8*'R&amp;S - Others'!$B$12*'R&amp;S - Others'!$C$15*(BA$3-$D$3)/10</f>
        <v>13801.255844638081</v>
      </c>
      <c r="BB57" s="99">
        <f>BB55*'R&amp;S - Others'!$D$8*'R&amp;S - Others'!$B$12*'R&amp;S - Others'!$C$15*(BB$3-$D$3)/10</f>
        <v>14499.243211937088</v>
      </c>
      <c r="BC57" s="99">
        <f>BC55*'R&amp;S - Others'!$D$8*'R&amp;S - Others'!$B$12*'R&amp;S - Others'!$C$15*(BC$3-$D$3)/10</f>
        <v>15184.317347209148</v>
      </c>
      <c r="BD57" s="99">
        <f>BD55*'R&amp;S - Others'!$D$8*'R&amp;S - Others'!$B$12*'R&amp;S - Others'!$C$15*(BD$3-$D$3)/10</f>
        <v>15856.438638529444</v>
      </c>
      <c r="BE57" s="99">
        <f>BE55*'R&amp;S - Others'!$D$8*'R&amp;S - Others'!$B$12*('R&amp;S - Others'!$C$16+('R&amp;S - Others'!$C$17-'R&amp;S - Others'!$C$16)*(BE$3-$X$3)/10)</f>
        <v>16531.269117741296</v>
      </c>
      <c r="BF57" s="99">
        <f>BF55*'R&amp;S - Others'!$D$8*'R&amp;S - Others'!$B$12*('R&amp;S - Others'!$C$16+('R&amp;S - Others'!$C$17-'R&amp;S - Others'!$C$16)*(BF$3-$X$3)/10)</f>
        <v>17191.885312393712</v>
      </c>
      <c r="BG57" s="99">
        <f>BG55*'R&amp;S - Others'!$D$8*'R&amp;S - Others'!$B$12*('R&amp;S - Others'!$C$16+('R&amp;S - Others'!$C$17-'R&amp;S - Others'!$C$16)*(BG$3-$X$3)/10)</f>
        <v>17838.24749219896</v>
      </c>
      <c r="BH57" s="99">
        <f>BH55*'R&amp;S - Others'!$D$8*'R&amp;S - Others'!$B$12*('R&amp;S - Others'!$C$16+('R&amp;S - Others'!$C$17-'R&amp;S - Others'!$C$16)*(BH$3-$X$3)/10)</f>
        <v>18470.31630038267</v>
      </c>
      <c r="BI57" s="99">
        <f>BI55*'R&amp;S - Others'!$D$8*'R&amp;S - Others'!$B$12*('R&amp;S - Others'!$C$16+('R&amp;S - Others'!$C$17-'R&amp;S - Others'!$C$16)*(BI$3-$X$3)/10)</f>
        <v>19088.052750407529</v>
      </c>
      <c r="BJ57" s="99">
        <f>BJ55*'R&amp;S - Others'!$D$8*'R&amp;S - Others'!$B$12*('R&amp;S - Others'!$C$16+('R&amp;S - Others'!$C$17-'R&amp;S - Others'!$C$16)*(BJ$3-$X$3)/10)</f>
        <v>19691.418222724536</v>
      </c>
      <c r="BK57" s="99">
        <f>BK55*'R&amp;S - Others'!$D$8*'R&amp;S - Others'!$B$12*('R&amp;S - Others'!$C$16+('R&amp;S - Others'!$C$17-'R&amp;S - Others'!$C$16)*(BK$3-$X$3)/10)</f>
        <v>20280.374461551575</v>
      </c>
      <c r="BL57" s="99">
        <f>BL55*'R&amp;S - Others'!$D$8*'R&amp;S - Others'!$B$12*('R&amp;S - Others'!$C$16+('R&amp;S - Others'!$C$17-'R&amp;S - Others'!$C$16)*(BL$3-$X$3)/10)</f>
        <v>20854.883571679049</v>
      </c>
      <c r="BM57" s="99">
        <f>BM55*'R&amp;S - Others'!$D$8*'R&amp;S - Others'!$B$12*('R&amp;S - Others'!$C$16+('R&amp;S - Others'!$C$17-'R&amp;S - Others'!$C$16)*(BM$3-$X$3)/10)</f>
        <v>21414.908015302324</v>
      </c>
      <c r="BN57" s="99">
        <f>BN55*'R&amp;S - Others'!$D$8*'R&amp;S - Others'!$B$12*('R&amp;S - Others'!$C$16+('R&amp;S - Others'!$C$17-'R&amp;S - Others'!$C$16)*(BN$3-$X$3)/10)</f>
        <v>21960.410608880902</v>
      </c>
    </row>
    <row r="58" spans="1:90">
      <c r="A58" s="158"/>
      <c r="B58" s="158" t="s">
        <v>200</v>
      </c>
      <c r="C58" s="159" t="s">
        <v>1420</v>
      </c>
      <c r="D58" s="541">
        <f>D55-D56-D57</f>
        <v>1083437.7146080071</v>
      </c>
      <c r="E58" s="541">
        <f t="shared" ref="E58:AH58" si="470">E55-E56-E57</f>
        <v>1071326.2059831053</v>
      </c>
      <c r="F58" s="541">
        <f t="shared" si="470"/>
        <v>1059261.9616029675</v>
      </c>
      <c r="G58" s="541">
        <f t="shared" si="470"/>
        <v>1047245.4848603937</v>
      </c>
      <c r="H58" s="541">
        <f t="shared" si="470"/>
        <v>1035277.2747772278</v>
      </c>
      <c r="I58" s="541">
        <f t="shared" si="470"/>
        <v>1023357.8260408315</v>
      </c>
      <c r="J58" s="541">
        <f t="shared" si="470"/>
        <v>1011487.6290402579</v>
      </c>
      <c r="K58" s="541">
        <f t="shared" si="470"/>
        <v>999667.16990213888</v>
      </c>
      <c r="L58" s="541">
        <f t="shared" si="470"/>
        <v>987896.93052627111</v>
      </c>
      <c r="M58" s="541">
        <f t="shared" si="470"/>
        <v>976177.38862092211</v>
      </c>
      <c r="N58" s="541">
        <f t="shared" si="470"/>
        <v>964509.01773784496</v>
      </c>
      <c r="O58" s="541">
        <f t="shared" si="470"/>
        <v>951542.83349431923</v>
      </c>
      <c r="P58" s="541">
        <f t="shared" si="470"/>
        <v>938647.96228130336</v>
      </c>
      <c r="Q58" s="541">
        <f t="shared" si="470"/>
        <v>925824.86538826569</v>
      </c>
      <c r="R58" s="541">
        <f t="shared" si="470"/>
        <v>913074.0000854003</v>
      </c>
      <c r="S58" s="541">
        <f t="shared" si="470"/>
        <v>900395.81965724227</v>
      </c>
      <c r="T58" s="541">
        <f t="shared" si="470"/>
        <v>886973.44665307202</v>
      </c>
      <c r="U58" s="541">
        <f t="shared" si="470"/>
        <v>873636.71578393469</v>
      </c>
      <c r="V58" s="541">
        <f t="shared" si="470"/>
        <v>860386.06857636094</v>
      </c>
      <c r="W58" s="541">
        <f t="shared" si="470"/>
        <v>847221.94270297419</v>
      </c>
      <c r="X58" s="541">
        <f t="shared" si="470"/>
        <v>834144.77201476088</v>
      </c>
      <c r="Y58" s="541">
        <f t="shared" si="470"/>
        <v>820560.74721606926</v>
      </c>
      <c r="Z58" s="541">
        <f t="shared" si="470"/>
        <v>807074.00059940573</v>
      </c>
      <c r="AA58" s="541">
        <f t="shared" si="470"/>
        <v>793684.96453479468</v>
      </c>
      <c r="AB58" s="541">
        <f t="shared" si="470"/>
        <v>780394.06760611804</v>
      </c>
      <c r="AC58" s="541">
        <f t="shared" si="470"/>
        <v>767201.73464288551</v>
      </c>
      <c r="AD58" s="541">
        <f t="shared" si="470"/>
        <v>754108.38675174699</v>
      </c>
      <c r="AE58" s="541">
        <f t="shared" si="470"/>
        <v>741114.44134774664</v>
      </c>
      <c r="AF58" s="541">
        <f t="shared" si="470"/>
        <v>728220.31218532496</v>
      </c>
      <c r="AG58" s="541">
        <f t="shared" si="470"/>
        <v>715426.40938906488</v>
      </c>
      <c r="AH58" s="541">
        <f t="shared" si="470"/>
        <v>702733.13948418875</v>
      </c>
      <c r="AI58" s="99"/>
      <c r="AJ58" s="541">
        <f>AJ55-AJ56-AJ57</f>
        <v>1083437.7146080071</v>
      </c>
      <c r="AK58" s="541">
        <f t="shared" ref="AK58" si="471">AK55-AK56-AK57</f>
        <v>1074885.0709717746</v>
      </c>
      <c r="AL58" s="541">
        <f t="shared" ref="AL58" si="472">AL55-AL56-AL57</f>
        <v>1066346.6078804091</v>
      </c>
      <c r="AM58" s="541">
        <f t="shared" ref="AM58" si="473">AM55-AM56-AM57</f>
        <v>1057822.6428894876</v>
      </c>
      <c r="AN58" s="541">
        <f t="shared" ref="AN58" si="474">AN55-AN56-AN57</f>
        <v>1049313.4909101976</v>
      </c>
      <c r="AO58" s="541">
        <f t="shared" ref="AO58" si="475">AO55-AO56-AO57</f>
        <v>1040819.4642307734</v>
      </c>
      <c r="AP58" s="541">
        <f t="shared" ref="AP58" si="476">AP55-AP56-AP57</f>
        <v>1032340.872537756</v>
      </c>
      <c r="AQ58" s="541">
        <f t="shared" ref="AQ58" si="477">AQ55-AQ56-AQ57</f>
        <v>1023878.022937093</v>
      </c>
      <c r="AR58" s="541">
        <f t="shared" ref="AR58" si="478">AR55-AR56-AR57</f>
        <v>1015431.2199750607</v>
      </c>
      <c r="AS58" s="541">
        <f t="shared" ref="AS58" si="479">AS55-AS56-AS57</f>
        <v>1007000.765659027</v>
      </c>
      <c r="AT58" s="541">
        <f t="shared" ref="AT58" si="480">AT55-AT56-AT57</f>
        <v>998586.95947804721</v>
      </c>
      <c r="AU58" s="541">
        <f t="shared" ref="AU58" si="481">AU55-AU56-AU57</f>
        <v>988787.82471261092</v>
      </c>
      <c r="AV58" s="541">
        <f t="shared" ref="AV58" si="482">AV55-AV56-AV57</f>
        <v>979015.53320478264</v>
      </c>
      <c r="AW58" s="541">
        <f t="shared" ref="AW58" si="483">AW55-AW56-AW57</f>
        <v>969270.3770106202</v>
      </c>
      <c r="AX58" s="541">
        <f t="shared" ref="AX58" si="484">AX55-AX56-AX57</f>
        <v>959552.64574862795</v>
      </c>
      <c r="AY58" s="541">
        <f t="shared" ref="AY58" si="485">AY55-AY56-AY57</f>
        <v>949862.62661954353</v>
      </c>
      <c r="AZ58" s="541">
        <f t="shared" ref="AZ58" si="486">AZ55-AZ56-AZ57</f>
        <v>939335.02758250199</v>
      </c>
      <c r="BA58" s="541">
        <f t="shared" ref="BA58" si="487">BA55-BA56-BA57</f>
        <v>928841.73916248709</v>
      </c>
      <c r="BB58" s="541">
        <f t="shared" ref="BB58" si="488">BB55-BB56-BB57</f>
        <v>918383.04142410913</v>
      </c>
      <c r="BC58" s="541">
        <f t="shared" ref="BC58" si="489">BC55-BC56-BC57</f>
        <v>907959.21209181065</v>
      </c>
      <c r="BD58" s="541">
        <f t="shared" ref="BD58" si="490">BD55-BD56-BD57</f>
        <v>897570.52656887879</v>
      </c>
      <c r="BE58" s="541">
        <f t="shared" ref="BE58" si="491">BE55-BE56-BE57</f>
        <v>886685.82368703454</v>
      </c>
      <c r="BF58" s="541">
        <f t="shared" ref="BF58" si="492">BF55-BF56-BF57</f>
        <v>875841.54184898071</v>
      </c>
      <c r="BG58" s="541">
        <f t="shared" ref="BG58" si="493">BG55-BG56-BG57</f>
        <v>865037.95450359047</v>
      </c>
      <c r="BH58" s="541">
        <f t="shared" ref="BH58" si="494">BH55-BH56-BH57</f>
        <v>854275.33280764858</v>
      </c>
      <c r="BI58" s="541">
        <f t="shared" ref="BI58" si="495">BI55-BI56-BI57</f>
        <v>843553.94564451568</v>
      </c>
      <c r="BJ58" s="541">
        <f t="shared" ref="BJ58" si="496">BJ55-BJ56-BJ57</f>
        <v>832874.05964264506</v>
      </c>
      <c r="BK58" s="541">
        <f t="shared" ref="BK58" si="497">BK55-BK56-BK57</f>
        <v>822235.93919395295</v>
      </c>
      <c r="BL58" s="541">
        <f t="shared" ref="BL58" si="498">BL55-BL56-BL57</f>
        <v>811639.84647204122</v>
      </c>
      <c r="BM58" s="541">
        <f t="shared" ref="BM58" si="499">BM55-BM56-BM57</f>
        <v>801086.04145027418</v>
      </c>
      <c r="BN58" s="541">
        <f t="shared" ref="BN58" si="500">BN55-BN56-BN57</f>
        <v>790574.78191971243</v>
      </c>
    </row>
    <row r="59" spans="1:90" s="61" customFormat="1">
      <c r="A59" s="602"/>
      <c r="B59" s="54" t="s">
        <v>804</v>
      </c>
      <c r="C59" s="55" t="s">
        <v>1420</v>
      </c>
      <c r="D59" s="580">
        <f>D$6/(D$6+D$8)*D58</f>
        <v>76212.237311541205</v>
      </c>
      <c r="E59" s="580">
        <f t="shared" ref="E59:AH59" si="501">E$6/(E$6+E$8)*E58</f>
        <v>75360.277704563938</v>
      </c>
      <c r="F59" s="580">
        <f t="shared" si="501"/>
        <v>74511.642805403026</v>
      </c>
      <c r="G59" s="580">
        <f t="shared" si="501"/>
        <v>73666.368024208074</v>
      </c>
      <c r="H59" s="580">
        <f t="shared" si="501"/>
        <v>72824.48846366255</v>
      </c>
      <c r="I59" s="580">
        <f t="shared" si="501"/>
        <v>71986.038921549611</v>
      </c>
      <c r="J59" s="580">
        <f t="shared" si="501"/>
        <v>71151.053893296485</v>
      </c>
      <c r="K59" s="580">
        <f t="shared" si="501"/>
        <v>70319.567574499073</v>
      </c>
      <c r="L59" s="580">
        <f t="shared" si="501"/>
        <v>69491.613863425024</v>
      </c>
      <c r="M59" s="580">
        <f t="shared" si="501"/>
        <v>68667.226363497379</v>
      </c>
      <c r="N59" s="580">
        <f t="shared" si="501"/>
        <v>67846.438385757574</v>
      </c>
      <c r="O59" s="580">
        <f t="shared" si="501"/>
        <v>66934.358348973663</v>
      </c>
      <c r="P59" s="580">
        <f t="shared" si="501"/>
        <v>66027.2946832569</v>
      </c>
      <c r="Q59" s="580">
        <f t="shared" si="501"/>
        <v>65125.279837083064</v>
      </c>
      <c r="R59" s="580">
        <f t="shared" si="501"/>
        <v>64228.345976200195</v>
      </c>
      <c r="S59" s="580">
        <f t="shared" si="501"/>
        <v>63336.524985993201</v>
      </c>
      <c r="T59" s="580">
        <f t="shared" si="501"/>
        <v>62392.35527241815</v>
      </c>
      <c r="U59" s="580">
        <f t="shared" si="501"/>
        <v>61454.209881820781</v>
      </c>
      <c r="V59" s="580">
        <f t="shared" si="501"/>
        <v>60522.119872492927</v>
      </c>
      <c r="W59" s="580">
        <f t="shared" si="501"/>
        <v>59596.116031631122</v>
      </c>
      <c r="X59" s="580">
        <f t="shared" si="501"/>
        <v>58676.228877606554</v>
      </c>
      <c r="Y59" s="580">
        <f t="shared" si="501"/>
        <v>57720.688095109137</v>
      </c>
      <c r="Z59" s="580">
        <f t="shared" si="501"/>
        <v>56771.990149808546</v>
      </c>
      <c r="AA59" s="580">
        <f t="shared" si="501"/>
        <v>55830.165455900686</v>
      </c>
      <c r="AB59" s="580">
        <f t="shared" si="501"/>
        <v>54895.244161252915</v>
      </c>
      <c r="AC59" s="580">
        <f t="shared" si="501"/>
        <v>53967.256149638859</v>
      </c>
      <c r="AD59" s="580">
        <f t="shared" si="501"/>
        <v>53046.231042955143</v>
      </c>
      <c r="AE59" s="580">
        <f t="shared" si="501"/>
        <v>52132.198203419757</v>
      </c>
      <c r="AF59" s="580">
        <f t="shared" si="501"/>
        <v>51225.186735752985</v>
      </c>
      <c r="AG59" s="580">
        <f t="shared" si="501"/>
        <v>50325.225489340082</v>
      </c>
      <c r="AH59" s="580">
        <f t="shared" si="501"/>
        <v>49432.343060376581</v>
      </c>
      <c r="AI59" s="580"/>
      <c r="AJ59" s="580">
        <f>AJ$6/(AJ$6+AJ$8)*AJ58</f>
        <v>76212.237311541205</v>
      </c>
      <c r="AK59" s="580">
        <f t="shared" ref="AK59" si="502">AK$6/(AK$6+AK$8)*AK58</f>
        <v>75610.618872698673</v>
      </c>
      <c r="AL59" s="580">
        <f t="shared" ref="AL59" si="503">AL$6/(AL$6+AL$8)*AL58</f>
        <v>75009.997935637773</v>
      </c>
      <c r="AM59" s="580">
        <f t="shared" ref="AM59" si="504">AM$6/(AM$6+AM$8)*AM58</f>
        <v>74410.396838164044</v>
      </c>
      <c r="AN59" s="580">
        <f t="shared" ref="AN59" si="505">AN$6/(AN$6+AN$8)*AN58</f>
        <v>73811.837732068831</v>
      </c>
      <c r="AO59" s="580">
        <f t="shared" ref="AO59" si="506">AO$6/(AO$6+AO$8)*AO58</f>
        <v>73214.342584637066</v>
      </c>
      <c r="AP59" s="580">
        <f t="shared" ref="AP59" si="507">AP$6/(AP$6+AP$8)*AP58</f>
        <v>72617.933180142878</v>
      </c>
      <c r="AQ59" s="580">
        <f t="shared" ref="AQ59" si="508">AQ$6/(AQ$6+AQ$8)*AQ58</f>
        <v>72022.631121333747</v>
      </c>
      <c r="AR59" s="580">
        <f t="shared" ref="AR59" si="509">AR$6/(AR$6+AR$8)*AR58</f>
        <v>71428.457830902233</v>
      </c>
      <c r="AS59" s="580">
        <f t="shared" ref="AS59" si="510">AS$6/(AS$6+AS$8)*AS58</f>
        <v>70835.434552946535</v>
      </c>
      <c r="AT59" s="580">
        <f t="shared" ref="AT59" si="511">AT$6/(AT$6+AT$8)*AT58</f>
        <v>70243.582354419239</v>
      </c>
      <c r="AU59" s="580">
        <f t="shared" ref="AU59" si="512">AU$6/(AU$6+AU$8)*AU58</f>
        <v>69554.282015210163</v>
      </c>
      <c r="AV59" s="580">
        <f t="shared" ref="AV59" si="513">AV$6/(AV$6+AV$8)*AV58</f>
        <v>68866.869910729729</v>
      </c>
      <c r="AW59" s="580">
        <f t="shared" ref="AW59" si="514">AW$6/(AW$6+AW$8)*AW58</f>
        <v>68181.366585071315</v>
      </c>
      <c r="AX59" s="580">
        <f t="shared" ref="AX59" si="515">AX$6/(AX$6+AX$8)*AX58</f>
        <v>67497.792410863534</v>
      </c>
      <c r="AY59" s="580">
        <f t="shared" ref="AY59" si="516">AY$6/(AY$6+AY$8)*AY58</f>
        <v>66816.16759066208</v>
      </c>
      <c r="AZ59" s="580">
        <f t="shared" ref="AZ59" si="517">AZ$6/(AZ$6+AZ$8)*AZ58</f>
        <v>66075.624903884687</v>
      </c>
      <c r="BA59" s="580">
        <f t="shared" ref="BA59" si="518">BA$6/(BA$6+BA$8)*BA58</f>
        <v>65337.495728148948</v>
      </c>
      <c r="BB59" s="580">
        <f t="shared" ref="BB59" si="519">BB$6/(BB$6+BB$8)*BB58</f>
        <v>64601.799764034091</v>
      </c>
      <c r="BC59" s="580">
        <f t="shared" ref="BC59" si="520">BC$6/(BC$6+BC$8)*BC58</f>
        <v>63868.556547504966</v>
      </c>
      <c r="BD59" s="580">
        <f t="shared" ref="BD59" si="521">BD$6/(BD$6+BD$8)*BD58</f>
        <v>63137.78545124946</v>
      </c>
      <c r="BE59" s="580">
        <f t="shared" ref="BE59" si="522">BE$6/(BE$6+BE$8)*BE58</f>
        <v>62372.12301591799</v>
      </c>
      <c r="BF59" s="580">
        <f t="shared" ref="BF59" si="523">BF$6/(BF$6+BF$8)*BF58</f>
        <v>61609.303917254787</v>
      </c>
      <c r="BG59" s="580">
        <f t="shared" ref="BG59" si="524">BG$6/(BG$6+BG$8)*BG58</f>
        <v>60849.347390468436</v>
      </c>
      <c r="BH59" s="580">
        <f t="shared" ref="BH59" si="525">BH$6/(BH$6+BH$8)*BH58</f>
        <v>60092.272509535171</v>
      </c>
      <c r="BI59" s="580">
        <f t="shared" ref="BI59" si="526">BI$6/(BI$6+BI$8)*BI58</f>
        <v>59338.098188511802</v>
      </c>
      <c r="BJ59" s="580">
        <f t="shared" ref="BJ59" si="527">BJ$6/(BJ$6+BJ$8)*BJ58</f>
        <v>58586.843182838267</v>
      </c>
      <c r="BK59" s="580">
        <f t="shared" ref="BK59" si="528">BK$6/(BK$6+BK$8)*BK58</f>
        <v>57838.52609062977</v>
      </c>
      <c r="BL59" s="580">
        <f t="shared" ref="BL59" si="529">BL$6/(BL$6+BL$8)*BL58</f>
        <v>57093.165353958713</v>
      </c>
      <c r="BM59" s="580">
        <f t="shared" ref="BM59" si="530">BM$6/(BM$6+BM$8)*BM58</f>
        <v>56350.779260126219</v>
      </c>
      <c r="BN59" s="580">
        <f t="shared" ref="BN59" si="531">BN$6/(BN$6+BN$8)*BN58</f>
        <v>55611.385942923662</v>
      </c>
      <c r="BQ59" s="649"/>
      <c r="BR59" s="649"/>
      <c r="BS59" s="649"/>
      <c r="BT59" s="649"/>
      <c r="BU59" s="649"/>
      <c r="BV59" s="649"/>
      <c r="BW59" s="649"/>
      <c r="BX59" s="649"/>
      <c r="BY59" s="649"/>
      <c r="BZ59" s="649"/>
      <c r="CA59" s="649"/>
      <c r="CB59" s="649"/>
      <c r="CC59" s="649"/>
      <c r="CD59" s="649"/>
      <c r="CE59" s="649"/>
      <c r="CF59" s="649"/>
      <c r="CG59" s="649"/>
      <c r="CH59" s="649"/>
      <c r="CI59" s="649"/>
      <c r="CJ59" s="649"/>
      <c r="CK59" s="649"/>
      <c r="CL59" s="649"/>
    </row>
    <row r="60" spans="1:90">
      <c r="A60" s="603"/>
      <c r="B60" s="1" t="s">
        <v>1063</v>
      </c>
      <c r="C60" s="50" t="s">
        <v>1420</v>
      </c>
      <c r="D60" s="576">
        <v>0</v>
      </c>
      <c r="E60" s="576">
        <v>0</v>
      </c>
      <c r="F60" s="576">
        <v>0</v>
      </c>
      <c r="G60" s="576">
        <v>0</v>
      </c>
      <c r="H60" s="576">
        <v>0</v>
      </c>
      <c r="I60" s="576">
        <v>0</v>
      </c>
      <c r="J60" s="576">
        <v>0</v>
      </c>
      <c r="K60" s="576">
        <v>0</v>
      </c>
      <c r="L60" s="576">
        <v>0</v>
      </c>
      <c r="M60" s="576">
        <v>0</v>
      </c>
      <c r="N60" s="576">
        <v>0</v>
      </c>
      <c r="O60" s="576">
        <v>0</v>
      </c>
      <c r="P60" s="576">
        <v>0</v>
      </c>
      <c r="Q60" s="576">
        <v>0</v>
      </c>
      <c r="R60" s="576">
        <v>0</v>
      </c>
      <c r="S60" s="576">
        <v>0</v>
      </c>
      <c r="T60" s="576">
        <v>0</v>
      </c>
      <c r="U60" s="576">
        <v>0</v>
      </c>
      <c r="V60" s="576">
        <v>0</v>
      </c>
      <c r="W60" s="576">
        <v>0</v>
      </c>
      <c r="X60" s="576">
        <v>0</v>
      </c>
      <c r="Y60" s="576">
        <v>0</v>
      </c>
      <c r="Z60" s="576">
        <v>0</v>
      </c>
      <c r="AA60" s="576">
        <v>0</v>
      </c>
      <c r="AB60" s="576">
        <v>0</v>
      </c>
      <c r="AC60" s="576">
        <v>0</v>
      </c>
      <c r="AD60" s="576">
        <v>0</v>
      </c>
      <c r="AE60" s="576">
        <v>0</v>
      </c>
      <c r="AF60" s="576">
        <v>0</v>
      </c>
      <c r="AG60" s="576">
        <v>0</v>
      </c>
      <c r="AH60" s="576">
        <v>0</v>
      </c>
      <c r="AI60" s="576"/>
      <c r="AJ60" s="576">
        <v>0</v>
      </c>
      <c r="AK60" s="576">
        <v>0</v>
      </c>
      <c r="AL60" s="576">
        <v>0</v>
      </c>
      <c r="AM60" s="576">
        <v>0</v>
      </c>
      <c r="AN60" s="576">
        <v>0</v>
      </c>
      <c r="AO60" s="576">
        <v>0</v>
      </c>
      <c r="AP60" s="576">
        <v>0</v>
      </c>
      <c r="AQ60" s="576">
        <v>0</v>
      </c>
      <c r="AR60" s="576">
        <v>0</v>
      </c>
      <c r="AS60" s="576">
        <v>0</v>
      </c>
      <c r="AT60" s="576">
        <v>0</v>
      </c>
      <c r="AU60" s="576">
        <v>0</v>
      </c>
      <c r="AV60" s="576">
        <v>0</v>
      </c>
      <c r="AW60" s="576">
        <v>0</v>
      </c>
      <c r="AX60" s="576">
        <v>0</v>
      </c>
      <c r="AY60" s="576">
        <v>0</v>
      </c>
      <c r="AZ60" s="576">
        <v>0</v>
      </c>
      <c r="BA60" s="576">
        <v>0</v>
      </c>
      <c r="BB60" s="576">
        <v>0</v>
      </c>
      <c r="BC60" s="576">
        <v>0</v>
      </c>
      <c r="BD60" s="576">
        <v>0</v>
      </c>
      <c r="BE60" s="576">
        <v>0</v>
      </c>
      <c r="BF60" s="576">
        <v>0</v>
      </c>
      <c r="BG60" s="576">
        <v>0</v>
      </c>
      <c r="BH60" s="576">
        <v>0</v>
      </c>
      <c r="BI60" s="576">
        <v>0</v>
      </c>
      <c r="BJ60" s="576">
        <v>0</v>
      </c>
      <c r="BK60" s="576">
        <v>0</v>
      </c>
      <c r="BL60" s="576">
        <v>0</v>
      </c>
      <c r="BM60" s="576">
        <v>0</v>
      </c>
      <c r="BN60" s="576">
        <v>0</v>
      </c>
    </row>
    <row r="61" spans="1:90" s="62" customFormat="1">
      <c r="A61" s="604"/>
      <c r="B61" s="58" t="s">
        <v>27</v>
      </c>
      <c r="C61" s="233" t="s">
        <v>1420</v>
      </c>
      <c r="D61" s="579">
        <f>D$8/(D$6+D$8)*D58</f>
        <v>1007225.4772964659</v>
      </c>
      <c r="E61" s="579">
        <f t="shared" ref="E61:AH61" si="532">E$8/(E$6+E$8)*E58</f>
        <v>995965.92827854143</v>
      </c>
      <c r="F61" s="579">
        <f t="shared" si="532"/>
        <v>984750.31879756448</v>
      </c>
      <c r="G61" s="579">
        <f t="shared" si="532"/>
        <v>973579.11683618568</v>
      </c>
      <c r="H61" s="579">
        <f t="shared" si="532"/>
        <v>962452.78631356522</v>
      </c>
      <c r="I61" s="579">
        <f t="shared" si="532"/>
        <v>951371.78711928194</v>
      </c>
      <c r="J61" s="579">
        <f t="shared" si="532"/>
        <v>940336.57514696149</v>
      </c>
      <c r="K61" s="579">
        <f t="shared" si="532"/>
        <v>929347.60232763982</v>
      </c>
      <c r="L61" s="579">
        <f t="shared" si="532"/>
        <v>918405.31666284602</v>
      </c>
      <c r="M61" s="579">
        <f t="shared" si="532"/>
        <v>907510.16225742456</v>
      </c>
      <c r="N61" s="579">
        <f t="shared" si="532"/>
        <v>896662.57935208734</v>
      </c>
      <c r="O61" s="579">
        <f t="shared" si="532"/>
        <v>884608.47514534567</v>
      </c>
      <c r="P61" s="579">
        <f t="shared" si="532"/>
        <v>872620.6675980466</v>
      </c>
      <c r="Q61" s="579">
        <f t="shared" si="532"/>
        <v>860699.58555118251</v>
      </c>
      <c r="R61" s="579">
        <f t="shared" si="532"/>
        <v>848845.65410920011</v>
      </c>
      <c r="S61" s="579">
        <f t="shared" si="532"/>
        <v>837059.29467124911</v>
      </c>
      <c r="T61" s="579">
        <f t="shared" si="532"/>
        <v>824581.0913806539</v>
      </c>
      <c r="U61" s="579">
        <f t="shared" si="532"/>
        <v>812182.50590211386</v>
      </c>
      <c r="V61" s="579">
        <f t="shared" si="532"/>
        <v>799863.94870386797</v>
      </c>
      <c r="W61" s="579">
        <f t="shared" si="532"/>
        <v>787625.82667134318</v>
      </c>
      <c r="X61" s="579">
        <f t="shared" si="532"/>
        <v>775468.54313715431</v>
      </c>
      <c r="Y61" s="579">
        <f t="shared" si="532"/>
        <v>762840.05912096007</v>
      </c>
      <c r="Z61" s="579">
        <f t="shared" si="532"/>
        <v>750302.01044959726</v>
      </c>
      <c r="AA61" s="579">
        <f t="shared" si="532"/>
        <v>737854.79907889396</v>
      </c>
      <c r="AB61" s="579">
        <f t="shared" si="532"/>
        <v>725498.82344486506</v>
      </c>
      <c r="AC61" s="579">
        <f t="shared" si="532"/>
        <v>713234.4784932466</v>
      </c>
      <c r="AD61" s="579">
        <f t="shared" si="532"/>
        <v>701062.1557087918</v>
      </c>
      <c r="AE61" s="579">
        <f t="shared" si="532"/>
        <v>688982.24314432696</v>
      </c>
      <c r="AF61" s="579">
        <f t="shared" si="532"/>
        <v>676995.12544957187</v>
      </c>
      <c r="AG61" s="579">
        <f t="shared" si="532"/>
        <v>665101.18389972474</v>
      </c>
      <c r="AH61" s="579">
        <f t="shared" si="532"/>
        <v>653300.79642381228</v>
      </c>
      <c r="AI61" s="579"/>
      <c r="AJ61" s="579">
        <f>AJ$8/(AJ$6+AJ$8)*AJ58</f>
        <v>1007225.4772964659</v>
      </c>
      <c r="AK61" s="579">
        <f t="shared" ref="AK61:BN61" si="533">AK$8/(AK$6+AK$8)*AK58</f>
        <v>999274.45209907589</v>
      </c>
      <c r="AL61" s="579">
        <f t="shared" si="533"/>
        <v>991336.60994477128</v>
      </c>
      <c r="AM61" s="579">
        <f t="shared" si="533"/>
        <v>983412.2460513236</v>
      </c>
      <c r="AN61" s="579">
        <f t="shared" si="533"/>
        <v>975501.65317812876</v>
      </c>
      <c r="AO61" s="579">
        <f t="shared" si="533"/>
        <v>967605.12164613628</v>
      </c>
      <c r="AP61" s="579">
        <f t="shared" si="533"/>
        <v>959722.93935761321</v>
      </c>
      <c r="AQ61" s="579">
        <f t="shared" si="533"/>
        <v>951855.39181575924</v>
      </c>
      <c r="AR61" s="579">
        <f t="shared" si="533"/>
        <v>944002.76214415836</v>
      </c>
      <c r="AS61" s="579">
        <f t="shared" si="533"/>
        <v>936165.33110608032</v>
      </c>
      <c r="AT61" s="579">
        <f t="shared" si="533"/>
        <v>928343.37712362793</v>
      </c>
      <c r="AU61" s="579">
        <f t="shared" si="533"/>
        <v>919233.5426974009</v>
      </c>
      <c r="AV61" s="579">
        <f t="shared" si="533"/>
        <v>910148.66329405305</v>
      </c>
      <c r="AW61" s="579">
        <f t="shared" si="533"/>
        <v>901089.01042554877</v>
      </c>
      <c r="AX61" s="579">
        <f t="shared" si="533"/>
        <v>892054.85333776439</v>
      </c>
      <c r="AY61" s="579">
        <f t="shared" si="533"/>
        <v>883046.45902888139</v>
      </c>
      <c r="AZ61" s="579">
        <f t="shared" si="533"/>
        <v>873259.40267861728</v>
      </c>
      <c r="BA61" s="579">
        <f t="shared" si="533"/>
        <v>863504.24343433802</v>
      </c>
      <c r="BB61" s="579">
        <f t="shared" si="533"/>
        <v>853781.24166007503</v>
      </c>
      <c r="BC61" s="579">
        <f t="shared" si="533"/>
        <v>844090.6555443058</v>
      </c>
      <c r="BD61" s="579">
        <f t="shared" si="533"/>
        <v>834432.74111762934</v>
      </c>
      <c r="BE61" s="579">
        <f t="shared" si="533"/>
        <v>824313.70067111659</v>
      </c>
      <c r="BF61" s="579">
        <f t="shared" si="533"/>
        <v>814232.23793172603</v>
      </c>
      <c r="BG61" s="579">
        <f t="shared" si="533"/>
        <v>804188.60711312201</v>
      </c>
      <c r="BH61" s="579">
        <f t="shared" si="533"/>
        <v>794183.06029811339</v>
      </c>
      <c r="BI61" s="579">
        <f t="shared" si="533"/>
        <v>784215.84745600377</v>
      </c>
      <c r="BJ61" s="579">
        <f t="shared" si="533"/>
        <v>774287.21645980678</v>
      </c>
      <c r="BK61" s="579">
        <f t="shared" si="533"/>
        <v>764397.41310332331</v>
      </c>
      <c r="BL61" s="579">
        <f t="shared" si="533"/>
        <v>754546.68111808237</v>
      </c>
      <c r="BM61" s="579">
        <f t="shared" si="533"/>
        <v>744735.262190148</v>
      </c>
      <c r="BN61" s="579">
        <f t="shared" si="533"/>
        <v>734963.39597678883</v>
      </c>
      <c r="BQ61" s="623"/>
      <c r="BR61" s="623"/>
      <c r="BS61" s="623"/>
      <c r="BT61" s="623"/>
      <c r="BU61" s="623"/>
      <c r="BV61" s="623"/>
      <c r="BW61" s="623"/>
      <c r="BX61" s="623"/>
      <c r="BY61" s="623"/>
      <c r="BZ61" s="623"/>
      <c r="CA61" s="623"/>
      <c r="CB61" s="623"/>
      <c r="CC61" s="623"/>
      <c r="CD61" s="623"/>
      <c r="CE61" s="623"/>
      <c r="CF61" s="623"/>
      <c r="CG61" s="623"/>
      <c r="CH61" s="623"/>
      <c r="CI61" s="623"/>
      <c r="CJ61" s="623"/>
      <c r="CK61" s="623"/>
      <c r="CL61" s="623"/>
    </row>
    <row r="62" spans="1:90" s="61" customFormat="1" outlineLevel="1">
      <c r="B62" s="54" t="s">
        <v>198</v>
      </c>
      <c r="C62" s="55" t="s">
        <v>1420</v>
      </c>
      <c r="D62" s="571">
        <f>'Demand - Wind'!D38</f>
        <v>0</v>
      </c>
      <c r="E62" s="571">
        <f>'Demand - Wind'!E38</f>
        <v>372.20318690277003</v>
      </c>
      <c r="F62" s="571">
        <f>'Demand - Wind'!F38</f>
        <v>391.43383396374151</v>
      </c>
      <c r="G62" s="571">
        <f>'Demand - Wind'!G38</f>
        <v>411.65807215825578</v>
      </c>
      <c r="H62" s="571">
        <f>'Demand - Wind'!H38</f>
        <v>432.92723742615902</v>
      </c>
      <c r="I62" s="571">
        <f>'Demand - Wind'!I38</f>
        <v>455.29531808474422</v>
      </c>
      <c r="J62" s="571">
        <f>'Demand - Wind'!J38</f>
        <v>478.81909186932239</v>
      </c>
      <c r="K62" s="571">
        <f>'Demand - Wind'!K38</f>
        <v>503.55827005427074</v>
      </c>
      <c r="L62" s="571">
        <f>'Demand - Wind'!L38</f>
        <v>529.57564902038973</v>
      </c>
      <c r="M62" s="571">
        <f>'Demand - Wind'!M38</f>
        <v>556.93726965330541</v>
      </c>
      <c r="N62" s="571">
        <f>'Demand - Wind'!N38</f>
        <v>585.71258497751637</v>
      </c>
      <c r="O62" s="571">
        <f>'Demand - Wind'!O38</f>
        <v>615.97463645160394</v>
      </c>
      <c r="P62" s="571">
        <f>'Demand - Wind'!P38</f>
        <v>647.80023937209853</v>
      </c>
      <c r="Q62" s="571">
        <f>'Demand - Wind'!Q38</f>
        <v>681.27017785661599</v>
      </c>
      <c r="R62" s="571">
        <f>'Demand - Wind'!R38</f>
        <v>716.46940990120345</v>
      </c>
      <c r="S62" s="571">
        <f>'Demand - Wind'!S38</f>
        <v>753.48728303239545</v>
      </c>
      <c r="T62" s="571">
        <f>'Demand - Wind'!T38</f>
        <v>792.41776110138437</v>
      </c>
      <c r="U62" s="571">
        <f>'Demand - Wind'!U38</f>
        <v>833.35966279597085</v>
      </c>
      <c r="V62" s="571">
        <f>'Demand - Wind'!V38</f>
        <v>876.41691247573954</v>
      </c>
      <c r="W62" s="571">
        <f>'Demand - Wind'!W38</f>
        <v>921.69880396714495</v>
      </c>
      <c r="X62" s="571">
        <f>'Demand - Wind'!X38</f>
        <v>969.32027798811032</v>
      </c>
      <c r="Y62" s="571">
        <f>'Demand - Wind'!Y38</f>
        <v>1019.4022139063567</v>
      </c>
      <c r="Z62" s="571">
        <f>'Demand - Wind'!Z38</f>
        <v>1072.0717365720143</v>
      </c>
      <c r="AA62" s="571">
        <f>'Demand - Wind'!AA38</f>
        <v>1127.4625390033852</v>
      </c>
      <c r="AB62" s="571">
        <f>'Demand - Wind'!AB38</f>
        <v>1185.7152217449316</v>
      </c>
      <c r="AC62" s="571">
        <f>'Demand - Wind'!AC38</f>
        <v>1246.977649758893</v>
      </c>
      <c r="AD62" s="571">
        <f>'Demand - Wind'!AD38</f>
        <v>1311.4053277564358</v>
      </c>
      <c r="AE62" s="571">
        <f>'Demand - Wind'!AE38</f>
        <v>1379.161794921102</v>
      </c>
      <c r="AF62" s="571">
        <f>'Demand - Wind'!AF38</f>
        <v>1450.4190400263954</v>
      </c>
      <c r="AG62" s="571">
        <f>'Demand - Wind'!AG38</f>
        <v>1525.3579380013459</v>
      </c>
      <c r="AH62" s="571">
        <f>'Demand - Wind'!AH38</f>
        <v>1604.1687090520986</v>
      </c>
      <c r="AI62" s="571"/>
      <c r="AJ62" s="571">
        <f>D62</f>
        <v>0</v>
      </c>
      <c r="AK62" s="571">
        <f t="shared" ref="AK62:BN63" si="534">E62</f>
        <v>372.20318690277003</v>
      </c>
      <c r="AL62" s="571">
        <f t="shared" si="534"/>
        <v>391.43383396374151</v>
      </c>
      <c r="AM62" s="571">
        <f t="shared" si="534"/>
        <v>411.65807215825578</v>
      </c>
      <c r="AN62" s="571">
        <f t="shared" si="534"/>
        <v>432.92723742615902</v>
      </c>
      <c r="AO62" s="571">
        <f t="shared" si="534"/>
        <v>455.29531808474422</v>
      </c>
      <c r="AP62" s="571">
        <f t="shared" si="534"/>
        <v>478.81909186932239</v>
      </c>
      <c r="AQ62" s="571">
        <f t="shared" si="534"/>
        <v>503.55827005427074</v>
      </c>
      <c r="AR62" s="571">
        <f t="shared" si="534"/>
        <v>529.57564902038973</v>
      </c>
      <c r="AS62" s="571">
        <f t="shared" si="534"/>
        <v>556.93726965330541</v>
      </c>
      <c r="AT62" s="571">
        <f t="shared" si="534"/>
        <v>585.71258497751637</v>
      </c>
      <c r="AU62" s="571">
        <f t="shared" si="534"/>
        <v>615.97463645160394</v>
      </c>
      <c r="AV62" s="571">
        <f t="shared" si="534"/>
        <v>647.80023937209853</v>
      </c>
      <c r="AW62" s="571">
        <f t="shared" si="534"/>
        <v>681.27017785661599</v>
      </c>
      <c r="AX62" s="571">
        <f t="shared" si="534"/>
        <v>716.46940990120345</v>
      </c>
      <c r="AY62" s="571">
        <f t="shared" si="534"/>
        <v>753.48728303239545</v>
      </c>
      <c r="AZ62" s="571">
        <f t="shared" si="534"/>
        <v>792.41776110138437</v>
      </c>
      <c r="BA62" s="571">
        <f t="shared" si="534"/>
        <v>833.35966279597085</v>
      </c>
      <c r="BB62" s="571">
        <f t="shared" si="534"/>
        <v>876.41691247573954</v>
      </c>
      <c r="BC62" s="571">
        <f t="shared" si="534"/>
        <v>921.69880396714495</v>
      </c>
      <c r="BD62" s="571">
        <f t="shared" si="534"/>
        <v>969.32027798811032</v>
      </c>
      <c r="BE62" s="571">
        <f t="shared" si="534"/>
        <v>1019.4022139063567</v>
      </c>
      <c r="BF62" s="571">
        <f t="shared" si="534"/>
        <v>1072.0717365720143</v>
      </c>
      <c r="BG62" s="571">
        <f t="shared" si="534"/>
        <v>1127.4625390033852</v>
      </c>
      <c r="BH62" s="571">
        <f t="shared" si="534"/>
        <v>1185.7152217449316</v>
      </c>
      <c r="BI62" s="571">
        <f t="shared" si="534"/>
        <v>1246.977649758893</v>
      </c>
      <c r="BJ62" s="571">
        <f t="shared" si="534"/>
        <v>1311.4053277564358</v>
      </c>
      <c r="BK62" s="571">
        <f t="shared" si="534"/>
        <v>1379.161794921102</v>
      </c>
      <c r="BL62" s="571">
        <f t="shared" si="534"/>
        <v>1450.4190400263954</v>
      </c>
      <c r="BM62" s="571">
        <f t="shared" si="534"/>
        <v>1525.3579380013459</v>
      </c>
      <c r="BN62" s="571">
        <f t="shared" si="534"/>
        <v>1604.1687090520986</v>
      </c>
      <c r="BQ62" s="649"/>
      <c r="BR62" s="649"/>
      <c r="BS62" s="649"/>
      <c r="BT62" s="649"/>
      <c r="BU62" s="649"/>
      <c r="BV62" s="649"/>
      <c r="BW62" s="649"/>
      <c r="BX62" s="649"/>
      <c r="BY62" s="649"/>
      <c r="BZ62" s="649"/>
      <c r="CA62" s="649"/>
      <c r="CB62" s="649"/>
      <c r="CC62" s="649"/>
      <c r="CD62" s="649"/>
      <c r="CE62" s="649"/>
      <c r="CF62" s="649"/>
      <c r="CG62" s="649"/>
      <c r="CH62" s="649"/>
      <c r="CI62" s="649"/>
      <c r="CJ62" s="649"/>
      <c r="CK62" s="649"/>
      <c r="CL62" s="649"/>
    </row>
    <row r="63" spans="1:90" outlineLevel="1">
      <c r="B63" s="1" t="s">
        <v>199</v>
      </c>
      <c r="C63" s="50" t="s">
        <v>1420</v>
      </c>
      <c r="D63" s="99">
        <f>'Demand - Solar'!D33</f>
        <v>0</v>
      </c>
      <c r="E63" s="99">
        <f>'Demand - Solar'!E33</f>
        <v>100.38879533135214</v>
      </c>
      <c r="F63" s="99">
        <f>'Demand - Solar'!F33</f>
        <v>106.39681147084531</v>
      </c>
      <c r="G63" s="99">
        <f>'Demand - Solar'!G33</f>
        <v>112.76439221925003</v>
      </c>
      <c r="H63" s="99">
        <f>'Demand - Solar'!H33</f>
        <v>119.51305661129904</v>
      </c>
      <c r="I63" s="99">
        <f>'Demand - Solar'!I33</f>
        <v>126.66561154166598</v>
      </c>
      <c r="J63" s="99">
        <f>'Demand - Solar'!J33</f>
        <v>134.24622884013263</v>
      </c>
      <c r="K63" s="99">
        <f>'Demand - Solar'!K33</f>
        <v>142.28052695951362</v>
      </c>
      <c r="L63" s="99">
        <f>'Demand - Solar'!L33</f>
        <v>150.79565755239341</v>
      </c>
      <c r="M63" s="99">
        <f>'Demand - Solar'!M33</f>
        <v>159.82039722926581</v>
      </c>
      <c r="N63" s="99">
        <f>'Demand - Solar'!N33</f>
        <v>169.38524480816449</v>
      </c>
      <c r="O63" s="99">
        <f>'Demand - Solar'!O33</f>
        <v>179.52252438444015</v>
      </c>
      <c r="P63" s="99">
        <f>'Demand - Solar'!P33</f>
        <v>190.26649456900347</v>
      </c>
      <c r="Q63" s="99">
        <f>'Demand - Solar'!Q33</f>
        <v>201.65346426419924</v>
      </c>
      <c r="R63" s="99">
        <f>'Demand - Solar'!R33</f>
        <v>213.72191536857909</v>
      </c>
      <c r="S63" s="99">
        <f>'Demand - Solar'!S33</f>
        <v>226.51263282523936</v>
      </c>
      <c r="T63" s="99">
        <f>'Demand - Solar'!T33</f>
        <v>240.0688424532286</v>
      </c>
      <c r="U63" s="99">
        <f>'Demand - Solar'!U33</f>
        <v>254.43635702781603</v>
      </c>
      <c r="V63" s="99">
        <f>'Demand - Solar'!V33</f>
        <v>269.66373110329272</v>
      </c>
      <c r="W63" s="99">
        <f>'Demand - Solar'!W33</f>
        <v>285.80242510153113</v>
      </c>
      <c r="X63" s="99">
        <f>'Demand - Solar'!X33</f>
        <v>302.90697922082978</v>
      </c>
      <c r="Y63" s="99">
        <f>'Demand - Solar'!Y33</f>
        <v>321.03519775275856</v>
      </c>
      <c r="Z63" s="99">
        <f>'Demand - Solar'!Z33</f>
        <v>340.24834442991181</v>
      </c>
      <c r="AA63" s="99">
        <f>'Demand - Solar'!AA33</f>
        <v>360.61134946472094</v>
      </c>
      <c r="AB63" s="99">
        <f>'Demand - Solar'!AB33</f>
        <v>382.19302897902617</v>
      </c>
      <c r="AC63" s="99">
        <f>'Demand - Solar'!AC33</f>
        <v>405.06631756595118</v>
      </c>
      <c r="AD63" s="99">
        <f>'Demand - Solar'!AD33</f>
        <v>429.30851477001755</v>
      </c>
      <c r="AE63" s="99">
        <f>'Demand - Solar'!AE33</f>
        <v>455.00154631847442</v>
      </c>
      <c r="AF63" s="99">
        <f>'Demand - Solar'!AF33</f>
        <v>482.23224098666765</v>
      </c>
      <c r="AG63" s="99">
        <f>'Demand - Solar'!AG33</f>
        <v>511.09262403309128</v>
      </c>
      <c r="AH63" s="99">
        <f>'Demand - Solar'!AH33</f>
        <v>541.6802281958021</v>
      </c>
      <c r="AI63" s="99"/>
      <c r="AJ63" s="99">
        <f>D63</f>
        <v>0</v>
      </c>
      <c r="AK63" s="99">
        <f t="shared" si="534"/>
        <v>100.38879533135214</v>
      </c>
      <c r="AL63" s="99">
        <f t="shared" si="534"/>
        <v>106.39681147084531</v>
      </c>
      <c r="AM63" s="99">
        <f t="shared" si="534"/>
        <v>112.76439221925003</v>
      </c>
      <c r="AN63" s="99">
        <f t="shared" si="534"/>
        <v>119.51305661129904</v>
      </c>
      <c r="AO63" s="99">
        <f t="shared" si="534"/>
        <v>126.66561154166598</v>
      </c>
      <c r="AP63" s="99">
        <f t="shared" si="534"/>
        <v>134.24622884013263</v>
      </c>
      <c r="AQ63" s="99">
        <f t="shared" si="534"/>
        <v>142.28052695951362</v>
      </c>
      <c r="AR63" s="99">
        <f t="shared" si="534"/>
        <v>150.79565755239341</v>
      </c>
      <c r="AS63" s="99">
        <f t="shared" si="534"/>
        <v>159.82039722926581</v>
      </c>
      <c r="AT63" s="99">
        <f t="shared" si="534"/>
        <v>169.38524480816449</v>
      </c>
      <c r="AU63" s="99">
        <f t="shared" si="534"/>
        <v>179.52252438444015</v>
      </c>
      <c r="AV63" s="99">
        <f t="shared" si="534"/>
        <v>190.26649456900347</v>
      </c>
      <c r="AW63" s="99">
        <f t="shared" si="534"/>
        <v>201.65346426419924</v>
      </c>
      <c r="AX63" s="99">
        <f t="shared" si="534"/>
        <v>213.72191536857909</v>
      </c>
      <c r="AY63" s="99">
        <f t="shared" si="534"/>
        <v>226.51263282523936</v>
      </c>
      <c r="AZ63" s="99">
        <f t="shared" si="534"/>
        <v>240.0688424532286</v>
      </c>
      <c r="BA63" s="99">
        <f t="shared" si="534"/>
        <v>254.43635702781603</v>
      </c>
      <c r="BB63" s="99">
        <f t="shared" si="534"/>
        <v>269.66373110329272</v>
      </c>
      <c r="BC63" s="99">
        <f t="shared" si="534"/>
        <v>285.80242510153113</v>
      </c>
      <c r="BD63" s="99">
        <f t="shared" si="534"/>
        <v>302.90697922082978</v>
      </c>
      <c r="BE63" s="99">
        <f t="shared" si="534"/>
        <v>321.03519775275856</v>
      </c>
      <c r="BF63" s="99">
        <f t="shared" si="534"/>
        <v>340.24834442991181</v>
      </c>
      <c r="BG63" s="99">
        <f t="shared" si="534"/>
        <v>360.61134946472094</v>
      </c>
      <c r="BH63" s="99">
        <f t="shared" si="534"/>
        <v>382.19302897902617</v>
      </c>
      <c r="BI63" s="99">
        <f t="shared" si="534"/>
        <v>405.06631756595118</v>
      </c>
      <c r="BJ63" s="99">
        <f t="shared" si="534"/>
        <v>429.30851477001755</v>
      </c>
      <c r="BK63" s="99">
        <f t="shared" si="534"/>
        <v>455.00154631847442</v>
      </c>
      <c r="BL63" s="99">
        <f t="shared" si="534"/>
        <v>482.23224098666765</v>
      </c>
      <c r="BM63" s="99">
        <f t="shared" si="534"/>
        <v>511.09262403309128</v>
      </c>
      <c r="BN63" s="99">
        <f t="shared" si="534"/>
        <v>541.6802281958021</v>
      </c>
    </row>
    <row r="64" spans="1:90" s="168" customFormat="1" ht="15.65" customHeight="1">
      <c r="A64" s="165" t="s">
        <v>197</v>
      </c>
      <c r="B64" s="166" t="s">
        <v>230</v>
      </c>
      <c r="C64" s="167" t="s">
        <v>1420</v>
      </c>
      <c r="D64" s="581">
        <f>D62+D63</f>
        <v>0</v>
      </c>
      <c r="E64" s="581">
        <f t="shared" ref="E64:AH64" si="535">E62+E63</f>
        <v>472.59198223412216</v>
      </c>
      <c r="F64" s="581">
        <f t="shared" si="535"/>
        <v>497.83064543458681</v>
      </c>
      <c r="G64" s="581">
        <f t="shared" si="535"/>
        <v>524.42246437750578</v>
      </c>
      <c r="H64" s="581">
        <f t="shared" si="535"/>
        <v>552.4402940374581</v>
      </c>
      <c r="I64" s="581">
        <f t="shared" si="535"/>
        <v>581.96092962641023</v>
      </c>
      <c r="J64" s="581">
        <f t="shared" si="535"/>
        <v>613.06532070945502</v>
      </c>
      <c r="K64" s="581">
        <f t="shared" si="535"/>
        <v>645.83879701378441</v>
      </c>
      <c r="L64" s="581">
        <f t="shared" si="535"/>
        <v>680.37130657278317</v>
      </c>
      <c r="M64" s="581">
        <f t="shared" si="535"/>
        <v>716.75766688257124</v>
      </c>
      <c r="N64" s="581">
        <f t="shared" si="535"/>
        <v>755.09782978568091</v>
      </c>
      <c r="O64" s="581">
        <f t="shared" si="535"/>
        <v>795.49716083604403</v>
      </c>
      <c r="P64" s="581">
        <f t="shared" si="535"/>
        <v>838.06673394110203</v>
      </c>
      <c r="Q64" s="581">
        <f t="shared" si="535"/>
        <v>882.9236421208152</v>
      </c>
      <c r="R64" s="581">
        <f t="shared" si="535"/>
        <v>930.19132526978251</v>
      </c>
      <c r="S64" s="581">
        <f t="shared" si="535"/>
        <v>979.99991585763485</v>
      </c>
      <c r="T64" s="581">
        <f t="shared" si="535"/>
        <v>1032.4866035546129</v>
      </c>
      <c r="U64" s="581">
        <f t="shared" si="535"/>
        <v>1087.796019823787</v>
      </c>
      <c r="V64" s="581">
        <f t="shared" si="535"/>
        <v>1146.0806435790323</v>
      </c>
      <c r="W64" s="581">
        <f t="shared" si="535"/>
        <v>1207.5012290686761</v>
      </c>
      <c r="X64" s="581">
        <f t="shared" si="535"/>
        <v>1272.22725720894</v>
      </c>
      <c r="Y64" s="581">
        <f t="shared" si="535"/>
        <v>1340.4374116591152</v>
      </c>
      <c r="Z64" s="581">
        <f t="shared" si="535"/>
        <v>1412.3200810019262</v>
      </c>
      <c r="AA64" s="581">
        <f t="shared" si="535"/>
        <v>1488.0738884681061</v>
      </c>
      <c r="AB64" s="581">
        <f t="shared" si="535"/>
        <v>1567.9082507239577</v>
      </c>
      <c r="AC64" s="581">
        <f t="shared" si="535"/>
        <v>1652.0439673248443</v>
      </c>
      <c r="AD64" s="581">
        <f t="shared" si="535"/>
        <v>1740.7138425264534</v>
      </c>
      <c r="AE64" s="581">
        <f t="shared" si="535"/>
        <v>1834.1633412395763</v>
      </c>
      <c r="AF64" s="581">
        <f t="shared" si="535"/>
        <v>1932.651281013063</v>
      </c>
      <c r="AG64" s="581">
        <f t="shared" si="535"/>
        <v>2036.4505620344371</v>
      </c>
      <c r="AH64" s="581">
        <f t="shared" si="535"/>
        <v>2145.8489372479007</v>
      </c>
      <c r="AI64" s="595"/>
      <c r="AJ64" s="581">
        <f>AJ62+AJ63</f>
        <v>0</v>
      </c>
      <c r="AK64" s="581">
        <f t="shared" ref="AK64:BN64" si="536">AK62+AK63</f>
        <v>472.59198223412216</v>
      </c>
      <c r="AL64" s="581">
        <f t="shared" si="536"/>
        <v>497.83064543458681</v>
      </c>
      <c r="AM64" s="581">
        <f t="shared" si="536"/>
        <v>524.42246437750578</v>
      </c>
      <c r="AN64" s="581">
        <f t="shared" si="536"/>
        <v>552.4402940374581</v>
      </c>
      <c r="AO64" s="581">
        <f t="shared" si="536"/>
        <v>581.96092962641023</v>
      </c>
      <c r="AP64" s="581">
        <f t="shared" si="536"/>
        <v>613.06532070945502</v>
      </c>
      <c r="AQ64" s="581">
        <f t="shared" si="536"/>
        <v>645.83879701378441</v>
      </c>
      <c r="AR64" s="581">
        <f t="shared" si="536"/>
        <v>680.37130657278317</v>
      </c>
      <c r="AS64" s="581">
        <f t="shared" si="536"/>
        <v>716.75766688257124</v>
      </c>
      <c r="AT64" s="581">
        <f t="shared" si="536"/>
        <v>755.09782978568091</v>
      </c>
      <c r="AU64" s="581">
        <f t="shared" si="536"/>
        <v>795.49716083604403</v>
      </c>
      <c r="AV64" s="581">
        <f t="shared" si="536"/>
        <v>838.06673394110203</v>
      </c>
      <c r="AW64" s="581">
        <f t="shared" si="536"/>
        <v>882.9236421208152</v>
      </c>
      <c r="AX64" s="581">
        <f t="shared" si="536"/>
        <v>930.19132526978251</v>
      </c>
      <c r="AY64" s="581">
        <f t="shared" si="536"/>
        <v>979.99991585763485</v>
      </c>
      <c r="AZ64" s="581">
        <f t="shared" si="536"/>
        <v>1032.4866035546129</v>
      </c>
      <c r="BA64" s="581">
        <f t="shared" si="536"/>
        <v>1087.796019823787</v>
      </c>
      <c r="BB64" s="581">
        <f t="shared" si="536"/>
        <v>1146.0806435790323</v>
      </c>
      <c r="BC64" s="581">
        <f t="shared" si="536"/>
        <v>1207.5012290686761</v>
      </c>
      <c r="BD64" s="581">
        <f t="shared" si="536"/>
        <v>1272.22725720894</v>
      </c>
      <c r="BE64" s="581">
        <f t="shared" si="536"/>
        <v>1340.4374116591152</v>
      </c>
      <c r="BF64" s="581">
        <f t="shared" si="536"/>
        <v>1412.3200810019262</v>
      </c>
      <c r="BG64" s="581">
        <f t="shared" si="536"/>
        <v>1488.0738884681061</v>
      </c>
      <c r="BH64" s="581">
        <f t="shared" si="536"/>
        <v>1567.9082507239577</v>
      </c>
      <c r="BI64" s="581">
        <f t="shared" si="536"/>
        <v>1652.0439673248443</v>
      </c>
      <c r="BJ64" s="581">
        <f t="shared" si="536"/>
        <v>1740.7138425264534</v>
      </c>
      <c r="BK64" s="581">
        <f t="shared" si="536"/>
        <v>1834.1633412395763</v>
      </c>
      <c r="BL64" s="581">
        <f t="shared" si="536"/>
        <v>1932.651281013063</v>
      </c>
      <c r="BM64" s="581">
        <f t="shared" si="536"/>
        <v>2036.4505620344371</v>
      </c>
      <c r="BN64" s="581">
        <f t="shared" si="536"/>
        <v>2145.8489372479007</v>
      </c>
      <c r="BQ64" s="650"/>
      <c r="BR64" s="650"/>
      <c r="BS64" s="650"/>
      <c r="BT64" s="650"/>
      <c r="BU64" s="650"/>
      <c r="BV64" s="650"/>
      <c r="BW64" s="650"/>
      <c r="BX64" s="650"/>
      <c r="BY64" s="650"/>
      <c r="BZ64" s="650"/>
      <c r="CA64" s="650"/>
      <c r="CB64" s="650"/>
      <c r="CC64" s="650"/>
      <c r="CD64" s="650"/>
      <c r="CE64" s="650"/>
      <c r="CF64" s="650"/>
      <c r="CG64" s="650"/>
      <c r="CH64" s="650"/>
      <c r="CI64" s="650"/>
      <c r="CJ64" s="650"/>
      <c r="CK64" s="650"/>
      <c r="CL64" s="650"/>
    </row>
    <row r="65" spans="1:90">
      <c r="A65" s="603"/>
      <c r="B65" s="1" t="s">
        <v>804</v>
      </c>
      <c r="C65" s="50" t="s">
        <v>1420</v>
      </c>
      <c r="D65" s="576">
        <f>D63+0.5*D62</f>
        <v>0</v>
      </c>
      <c r="E65" s="576">
        <f t="shared" ref="E65:AH65" si="537">E63+0.5*E62</f>
        <v>286.49038878273717</v>
      </c>
      <c r="F65" s="576">
        <f t="shared" si="537"/>
        <v>302.11372845271603</v>
      </c>
      <c r="G65" s="576">
        <f t="shared" si="537"/>
        <v>318.59342829837794</v>
      </c>
      <c r="H65" s="576">
        <f t="shared" si="537"/>
        <v>335.97667532437856</v>
      </c>
      <c r="I65" s="576">
        <f t="shared" si="537"/>
        <v>354.31327058403809</v>
      </c>
      <c r="J65" s="576">
        <f t="shared" si="537"/>
        <v>373.65577477479383</v>
      </c>
      <c r="K65" s="576">
        <f t="shared" si="537"/>
        <v>394.05966198664896</v>
      </c>
      <c r="L65" s="576">
        <f t="shared" si="537"/>
        <v>415.58348206258825</v>
      </c>
      <c r="M65" s="576">
        <f t="shared" si="537"/>
        <v>438.28903205591848</v>
      </c>
      <c r="N65" s="576">
        <f>N63+0.5*N62</f>
        <v>462.24153729692267</v>
      </c>
      <c r="O65" s="576">
        <f t="shared" si="537"/>
        <v>487.50984261024212</v>
      </c>
      <c r="P65" s="576">
        <f t="shared" si="537"/>
        <v>514.16661425505276</v>
      </c>
      <c r="Q65" s="576">
        <f t="shared" si="537"/>
        <v>542.28855319250727</v>
      </c>
      <c r="R65" s="576">
        <f t="shared" si="537"/>
        <v>571.95662031918084</v>
      </c>
      <c r="S65" s="576">
        <f t="shared" si="537"/>
        <v>603.25627434143712</v>
      </c>
      <c r="T65" s="576">
        <f t="shared" si="537"/>
        <v>636.27772300392076</v>
      </c>
      <c r="U65" s="576">
        <f t="shared" si="537"/>
        <v>671.11618842580151</v>
      </c>
      <c r="V65" s="576">
        <f t="shared" si="537"/>
        <v>707.87218734116254</v>
      </c>
      <c r="W65" s="576">
        <f t="shared" si="537"/>
        <v>746.6518270851036</v>
      </c>
      <c r="X65" s="576">
        <f t="shared" si="537"/>
        <v>787.56711821488489</v>
      </c>
      <c r="Y65" s="576">
        <f t="shared" si="537"/>
        <v>830.73630470593685</v>
      </c>
      <c r="Z65" s="576">
        <f t="shared" si="537"/>
        <v>876.28421271591901</v>
      </c>
      <c r="AA65" s="576">
        <f t="shared" si="537"/>
        <v>924.34261896641351</v>
      </c>
      <c r="AB65" s="576">
        <f t="shared" si="537"/>
        <v>975.05063985149195</v>
      </c>
      <c r="AC65" s="576">
        <f t="shared" si="537"/>
        <v>1028.5551424453977</v>
      </c>
      <c r="AD65" s="576">
        <f t="shared" si="537"/>
        <v>1085.0111786482355</v>
      </c>
      <c r="AE65" s="576">
        <f t="shared" si="537"/>
        <v>1144.5824437790254</v>
      </c>
      <c r="AF65" s="576">
        <f t="shared" si="537"/>
        <v>1207.4417609998654</v>
      </c>
      <c r="AG65" s="576">
        <f t="shared" si="537"/>
        <v>1273.7715930337642</v>
      </c>
      <c r="AH65" s="576">
        <f t="shared" si="537"/>
        <v>1343.7645827218514</v>
      </c>
      <c r="AI65" s="576"/>
      <c r="AJ65" s="576">
        <f>AJ63+0.5*AJ62</f>
        <v>0</v>
      </c>
      <c r="AK65" s="576">
        <f t="shared" ref="AK65:BN65" si="538">AK63+0.5*AK62</f>
        <v>286.49038878273717</v>
      </c>
      <c r="AL65" s="576">
        <f t="shared" si="538"/>
        <v>302.11372845271603</v>
      </c>
      <c r="AM65" s="576">
        <f t="shared" si="538"/>
        <v>318.59342829837794</v>
      </c>
      <c r="AN65" s="576">
        <f t="shared" si="538"/>
        <v>335.97667532437856</v>
      </c>
      <c r="AO65" s="576">
        <f t="shared" si="538"/>
        <v>354.31327058403809</v>
      </c>
      <c r="AP65" s="576">
        <f t="shared" si="538"/>
        <v>373.65577477479383</v>
      </c>
      <c r="AQ65" s="576">
        <f t="shared" si="538"/>
        <v>394.05966198664896</v>
      </c>
      <c r="AR65" s="576">
        <f t="shared" si="538"/>
        <v>415.58348206258825</v>
      </c>
      <c r="AS65" s="576">
        <f t="shared" si="538"/>
        <v>438.28903205591848</v>
      </c>
      <c r="AT65" s="576">
        <f t="shared" si="538"/>
        <v>462.24153729692267</v>
      </c>
      <c r="AU65" s="576">
        <f t="shared" si="538"/>
        <v>487.50984261024212</v>
      </c>
      <c r="AV65" s="576">
        <f t="shared" si="538"/>
        <v>514.16661425505276</v>
      </c>
      <c r="AW65" s="576">
        <f t="shared" si="538"/>
        <v>542.28855319250727</v>
      </c>
      <c r="AX65" s="576">
        <f t="shared" si="538"/>
        <v>571.95662031918084</v>
      </c>
      <c r="AY65" s="576">
        <f t="shared" si="538"/>
        <v>603.25627434143712</v>
      </c>
      <c r="AZ65" s="576">
        <f t="shared" si="538"/>
        <v>636.27772300392076</v>
      </c>
      <c r="BA65" s="576">
        <f t="shared" si="538"/>
        <v>671.11618842580151</v>
      </c>
      <c r="BB65" s="576">
        <f t="shared" si="538"/>
        <v>707.87218734116254</v>
      </c>
      <c r="BC65" s="576">
        <f t="shared" si="538"/>
        <v>746.6518270851036</v>
      </c>
      <c r="BD65" s="576">
        <f t="shared" si="538"/>
        <v>787.56711821488489</v>
      </c>
      <c r="BE65" s="576">
        <f t="shared" si="538"/>
        <v>830.73630470593685</v>
      </c>
      <c r="BF65" s="576">
        <f t="shared" si="538"/>
        <v>876.28421271591901</v>
      </c>
      <c r="BG65" s="576">
        <f t="shared" si="538"/>
        <v>924.34261896641351</v>
      </c>
      <c r="BH65" s="576">
        <f t="shared" si="538"/>
        <v>975.05063985149195</v>
      </c>
      <c r="BI65" s="576">
        <f t="shared" si="538"/>
        <v>1028.5551424453977</v>
      </c>
      <c r="BJ65" s="576">
        <f t="shared" si="538"/>
        <v>1085.0111786482355</v>
      </c>
      <c r="BK65" s="576">
        <f t="shared" si="538"/>
        <v>1144.5824437790254</v>
      </c>
      <c r="BL65" s="576">
        <f t="shared" si="538"/>
        <v>1207.4417609998654</v>
      </c>
      <c r="BM65" s="576">
        <f t="shared" si="538"/>
        <v>1273.7715930337642</v>
      </c>
      <c r="BN65" s="576">
        <f t="shared" si="538"/>
        <v>1343.7645827218514</v>
      </c>
    </row>
    <row r="66" spans="1:90">
      <c r="A66" s="603"/>
      <c r="B66" s="1" t="s">
        <v>1063</v>
      </c>
      <c r="C66" s="50" t="s">
        <v>1420</v>
      </c>
      <c r="D66" s="576">
        <v>0</v>
      </c>
      <c r="E66" s="576">
        <v>0</v>
      </c>
      <c r="F66" s="576">
        <v>0</v>
      </c>
      <c r="G66" s="576">
        <v>0</v>
      </c>
      <c r="H66" s="576">
        <v>0</v>
      </c>
      <c r="I66" s="576">
        <v>0</v>
      </c>
      <c r="J66" s="576">
        <v>0</v>
      </c>
      <c r="K66" s="576">
        <v>0</v>
      </c>
      <c r="L66" s="576">
        <v>0</v>
      </c>
      <c r="M66" s="576">
        <v>0</v>
      </c>
      <c r="N66" s="576">
        <v>0</v>
      </c>
      <c r="O66" s="576">
        <v>0</v>
      </c>
      <c r="P66" s="576">
        <v>0</v>
      </c>
      <c r="Q66" s="576">
        <v>0</v>
      </c>
      <c r="R66" s="576">
        <v>0</v>
      </c>
      <c r="S66" s="576">
        <v>0</v>
      </c>
      <c r="T66" s="576">
        <v>0</v>
      </c>
      <c r="U66" s="576">
        <v>0</v>
      </c>
      <c r="V66" s="576">
        <v>0</v>
      </c>
      <c r="W66" s="576">
        <v>0</v>
      </c>
      <c r="X66" s="576">
        <v>0</v>
      </c>
      <c r="Y66" s="576">
        <v>0</v>
      </c>
      <c r="Z66" s="576">
        <v>0</v>
      </c>
      <c r="AA66" s="576">
        <v>0</v>
      </c>
      <c r="AB66" s="576">
        <v>0</v>
      </c>
      <c r="AC66" s="576">
        <v>0</v>
      </c>
      <c r="AD66" s="576">
        <v>0</v>
      </c>
      <c r="AE66" s="576">
        <v>0</v>
      </c>
      <c r="AF66" s="576">
        <v>0</v>
      </c>
      <c r="AG66" s="576">
        <v>0</v>
      </c>
      <c r="AH66" s="576">
        <v>0</v>
      </c>
      <c r="AI66" s="576"/>
      <c r="AJ66" s="576">
        <v>0</v>
      </c>
      <c r="AK66" s="576">
        <v>0</v>
      </c>
      <c r="AL66" s="576">
        <v>0</v>
      </c>
      <c r="AM66" s="576">
        <v>0</v>
      </c>
      <c r="AN66" s="576">
        <v>0</v>
      </c>
      <c r="AO66" s="576">
        <v>0</v>
      </c>
      <c r="AP66" s="576">
        <v>0</v>
      </c>
      <c r="AQ66" s="576">
        <v>0</v>
      </c>
      <c r="AR66" s="576">
        <v>0</v>
      </c>
      <c r="AS66" s="576">
        <v>0</v>
      </c>
      <c r="AT66" s="576">
        <v>0</v>
      </c>
      <c r="AU66" s="576">
        <v>0</v>
      </c>
      <c r="AV66" s="576">
        <v>0</v>
      </c>
      <c r="AW66" s="576">
        <v>0</v>
      </c>
      <c r="AX66" s="576">
        <v>0</v>
      </c>
      <c r="AY66" s="576">
        <v>0</v>
      </c>
      <c r="AZ66" s="576">
        <v>0</v>
      </c>
      <c r="BA66" s="576">
        <v>0</v>
      </c>
      <c r="BB66" s="576">
        <v>0</v>
      </c>
      <c r="BC66" s="576">
        <v>0</v>
      </c>
      <c r="BD66" s="576">
        <v>0</v>
      </c>
      <c r="BE66" s="576">
        <v>0</v>
      </c>
      <c r="BF66" s="576">
        <v>0</v>
      </c>
      <c r="BG66" s="576">
        <v>0</v>
      </c>
      <c r="BH66" s="576">
        <v>0</v>
      </c>
      <c r="BI66" s="576">
        <v>0</v>
      </c>
      <c r="BJ66" s="576">
        <v>0</v>
      </c>
      <c r="BK66" s="576">
        <v>0</v>
      </c>
      <c r="BL66" s="576">
        <v>0</v>
      </c>
      <c r="BM66" s="576">
        <v>0</v>
      </c>
      <c r="BN66" s="576">
        <v>0</v>
      </c>
    </row>
    <row r="67" spans="1:90" s="62" customFormat="1">
      <c r="A67" s="604"/>
      <c r="B67" s="58" t="s">
        <v>27</v>
      </c>
      <c r="C67" s="233" t="s">
        <v>1420</v>
      </c>
      <c r="D67" s="579">
        <f>0.5*D62</f>
        <v>0</v>
      </c>
      <c r="E67" s="579">
        <f t="shared" ref="E67:AH67" si="539">0.5*E62</f>
        <v>186.10159345138501</v>
      </c>
      <c r="F67" s="579">
        <f t="shared" si="539"/>
        <v>195.71691698187075</v>
      </c>
      <c r="G67" s="579">
        <f t="shared" si="539"/>
        <v>205.82903607912789</v>
      </c>
      <c r="H67" s="579">
        <f t="shared" si="539"/>
        <v>216.46361871307951</v>
      </c>
      <c r="I67" s="579">
        <f t="shared" si="539"/>
        <v>227.64765904237211</v>
      </c>
      <c r="J67" s="579">
        <f t="shared" si="539"/>
        <v>239.4095459346612</v>
      </c>
      <c r="K67" s="579">
        <f t="shared" si="539"/>
        <v>251.77913502713537</v>
      </c>
      <c r="L67" s="579">
        <f t="shared" si="539"/>
        <v>264.78782451019487</v>
      </c>
      <c r="M67" s="579">
        <f t="shared" si="539"/>
        <v>278.4686348266527</v>
      </c>
      <c r="N67" s="579">
        <f t="shared" si="539"/>
        <v>292.85629248875819</v>
      </c>
      <c r="O67" s="579">
        <f t="shared" si="539"/>
        <v>307.98731822580197</v>
      </c>
      <c r="P67" s="579">
        <f t="shared" si="539"/>
        <v>323.90011968604927</v>
      </c>
      <c r="Q67" s="579">
        <f t="shared" si="539"/>
        <v>340.63508892830799</v>
      </c>
      <c r="R67" s="579">
        <f t="shared" si="539"/>
        <v>358.23470495060172</v>
      </c>
      <c r="S67" s="579">
        <f t="shared" si="539"/>
        <v>376.74364151619773</v>
      </c>
      <c r="T67" s="579">
        <f t="shared" si="539"/>
        <v>396.20888055069219</v>
      </c>
      <c r="U67" s="579">
        <f t="shared" si="539"/>
        <v>416.67983139798542</v>
      </c>
      <c r="V67" s="579">
        <f t="shared" si="539"/>
        <v>438.20845623786977</v>
      </c>
      <c r="W67" s="579">
        <f t="shared" si="539"/>
        <v>460.84940198357248</v>
      </c>
      <c r="X67" s="579">
        <f t="shared" si="539"/>
        <v>484.66013899405516</v>
      </c>
      <c r="Y67" s="579">
        <f t="shared" si="539"/>
        <v>509.70110695317834</v>
      </c>
      <c r="Z67" s="579">
        <f t="shared" si="539"/>
        <v>536.03586828600714</v>
      </c>
      <c r="AA67" s="579">
        <f t="shared" si="539"/>
        <v>563.73126950169262</v>
      </c>
      <c r="AB67" s="579">
        <f t="shared" si="539"/>
        <v>592.85761087246578</v>
      </c>
      <c r="AC67" s="579">
        <f t="shared" si="539"/>
        <v>623.4888248794465</v>
      </c>
      <c r="AD67" s="579">
        <f t="shared" si="539"/>
        <v>655.70266387821789</v>
      </c>
      <c r="AE67" s="579">
        <f t="shared" si="539"/>
        <v>689.580897460551</v>
      </c>
      <c r="AF67" s="579">
        <f t="shared" si="539"/>
        <v>725.20952001319768</v>
      </c>
      <c r="AG67" s="579">
        <f t="shared" si="539"/>
        <v>762.67896900067296</v>
      </c>
      <c r="AH67" s="579">
        <f t="shared" si="539"/>
        <v>802.08435452604931</v>
      </c>
      <c r="AI67" s="579"/>
      <c r="AJ67" s="579">
        <f>0.5*AJ62</f>
        <v>0</v>
      </c>
      <c r="AK67" s="579">
        <f t="shared" ref="AK67:BN67" si="540">0.5*AK62</f>
        <v>186.10159345138501</v>
      </c>
      <c r="AL67" s="579">
        <f t="shared" si="540"/>
        <v>195.71691698187075</v>
      </c>
      <c r="AM67" s="579">
        <f t="shared" si="540"/>
        <v>205.82903607912789</v>
      </c>
      <c r="AN67" s="579">
        <f t="shared" si="540"/>
        <v>216.46361871307951</v>
      </c>
      <c r="AO67" s="579">
        <f t="shared" si="540"/>
        <v>227.64765904237211</v>
      </c>
      <c r="AP67" s="579">
        <f t="shared" si="540"/>
        <v>239.4095459346612</v>
      </c>
      <c r="AQ67" s="579">
        <f t="shared" si="540"/>
        <v>251.77913502713537</v>
      </c>
      <c r="AR67" s="579">
        <f t="shared" si="540"/>
        <v>264.78782451019487</v>
      </c>
      <c r="AS67" s="579">
        <f t="shared" si="540"/>
        <v>278.4686348266527</v>
      </c>
      <c r="AT67" s="579">
        <f t="shared" si="540"/>
        <v>292.85629248875819</v>
      </c>
      <c r="AU67" s="579">
        <f t="shared" si="540"/>
        <v>307.98731822580197</v>
      </c>
      <c r="AV67" s="579">
        <f t="shared" si="540"/>
        <v>323.90011968604927</v>
      </c>
      <c r="AW67" s="579">
        <f t="shared" si="540"/>
        <v>340.63508892830799</v>
      </c>
      <c r="AX67" s="579">
        <f t="shared" si="540"/>
        <v>358.23470495060172</v>
      </c>
      <c r="AY67" s="579">
        <f t="shared" si="540"/>
        <v>376.74364151619773</v>
      </c>
      <c r="AZ67" s="579">
        <f t="shared" si="540"/>
        <v>396.20888055069219</v>
      </c>
      <c r="BA67" s="579">
        <f t="shared" si="540"/>
        <v>416.67983139798542</v>
      </c>
      <c r="BB67" s="579">
        <f t="shared" si="540"/>
        <v>438.20845623786977</v>
      </c>
      <c r="BC67" s="579">
        <f t="shared" si="540"/>
        <v>460.84940198357248</v>
      </c>
      <c r="BD67" s="579">
        <f t="shared" si="540"/>
        <v>484.66013899405516</v>
      </c>
      <c r="BE67" s="579">
        <f t="shared" si="540"/>
        <v>509.70110695317834</v>
      </c>
      <c r="BF67" s="579">
        <f t="shared" si="540"/>
        <v>536.03586828600714</v>
      </c>
      <c r="BG67" s="579">
        <f t="shared" si="540"/>
        <v>563.73126950169262</v>
      </c>
      <c r="BH67" s="579">
        <f t="shared" si="540"/>
        <v>592.85761087246578</v>
      </c>
      <c r="BI67" s="579">
        <f t="shared" si="540"/>
        <v>623.4888248794465</v>
      </c>
      <c r="BJ67" s="579">
        <f t="shared" si="540"/>
        <v>655.70266387821789</v>
      </c>
      <c r="BK67" s="579">
        <f t="shared" si="540"/>
        <v>689.580897460551</v>
      </c>
      <c r="BL67" s="579">
        <f t="shared" si="540"/>
        <v>725.20952001319768</v>
      </c>
      <c r="BM67" s="579">
        <f t="shared" si="540"/>
        <v>762.67896900067296</v>
      </c>
      <c r="BN67" s="579">
        <f t="shared" si="540"/>
        <v>802.08435452604931</v>
      </c>
      <c r="BQ67" s="623"/>
      <c r="BR67" s="623"/>
      <c r="BS67" s="623"/>
      <c r="BT67" s="623"/>
      <c r="BU67" s="623"/>
      <c r="BV67" s="623"/>
      <c r="BW67" s="623"/>
      <c r="BX67" s="623"/>
      <c r="BY67" s="623"/>
      <c r="BZ67" s="623"/>
      <c r="CA67" s="623"/>
      <c r="CB67" s="623"/>
      <c r="CC67" s="623"/>
      <c r="CD67" s="623"/>
      <c r="CE67" s="623"/>
      <c r="CF67" s="623"/>
      <c r="CG67" s="623"/>
      <c r="CH67" s="623"/>
      <c r="CI67" s="623"/>
      <c r="CJ67" s="623"/>
      <c r="CK67" s="623"/>
      <c r="CL67" s="623"/>
    </row>
    <row r="68" spans="1:90">
      <c r="A68" s="1" t="s">
        <v>78</v>
      </c>
      <c r="B68" s="1" t="s">
        <v>169</v>
      </c>
      <c r="C68" s="50" t="s">
        <v>1420</v>
      </c>
      <c r="D68" s="520">
        <f t="shared" ref="D68:AH68" si="541">D22+D31+D40+D49+D56</f>
        <v>0</v>
      </c>
      <c r="E68" s="520">
        <f t="shared" si="541"/>
        <v>8014.3976699211107</v>
      </c>
      <c r="F68" s="520">
        <f t="shared" si="541"/>
        <v>15944.562778643107</v>
      </c>
      <c r="G68" s="520">
        <f t="shared" si="541"/>
        <v>23790.550196528115</v>
      </c>
      <c r="H68" s="520">
        <f t="shared" si="541"/>
        <v>31552.414545123942</v>
      </c>
      <c r="I68" s="520">
        <f t="shared" si="541"/>
        <v>39230.210197058237</v>
      </c>
      <c r="J68" s="520">
        <f t="shared" si="541"/>
        <v>46823.991275952394</v>
      </c>
      <c r="K68" s="520">
        <f t="shared" si="541"/>
        <v>54333.811656355247</v>
      </c>
      <c r="L68" s="520">
        <f t="shared" si="541"/>
        <v>61759.724963695764</v>
      </c>
      <c r="M68" s="520">
        <f t="shared" si="541"/>
        <v>69101.784574254969</v>
      </c>
      <c r="N68" s="520">
        <f t="shared" si="541"/>
        <v>76360.043615156232</v>
      </c>
      <c r="O68" s="520">
        <f t="shared" si="541"/>
        <v>84932.750413999718</v>
      </c>
      <c r="P68" s="520">
        <f t="shared" si="541"/>
        <v>93403.055834425017</v>
      </c>
      <c r="Q68" s="520">
        <f t="shared" si="541"/>
        <v>101770.88695856734</v>
      </c>
      <c r="R68" s="520">
        <f t="shared" si="541"/>
        <v>110036.17336541432</v>
      </c>
      <c r="S68" s="520">
        <f t="shared" si="541"/>
        <v>118198.84709319111</v>
      </c>
      <c r="T68" s="520">
        <f t="shared" si="541"/>
        <v>126186.46751139621</v>
      </c>
      <c r="U68" s="520">
        <f t="shared" si="541"/>
        <v>134062.2996701175</v>
      </c>
      <c r="V68" s="520">
        <f t="shared" si="541"/>
        <v>141826.28276405396</v>
      </c>
      <c r="W68" s="520">
        <f t="shared" si="541"/>
        <v>149478.35830110894</v>
      </c>
      <c r="X68" s="520">
        <f t="shared" si="541"/>
        <v>157018.4700669657</v>
      </c>
      <c r="Y68" s="520">
        <f t="shared" si="541"/>
        <v>166486.00168452703</v>
      </c>
      <c r="Z68" s="520">
        <f t="shared" si="541"/>
        <v>175810.75992337611</v>
      </c>
      <c r="AA68" s="520">
        <f t="shared" si="541"/>
        <v>184992.89792435366</v>
      </c>
      <c r="AB68" s="520">
        <f t="shared" si="541"/>
        <v>194032.56942543105</v>
      </c>
      <c r="AC68" s="520">
        <f t="shared" si="541"/>
        <v>202929.92873883786</v>
      </c>
      <c r="AD68" s="520">
        <f t="shared" si="541"/>
        <v>211685.13072852883</v>
      </c>
      <c r="AE68" s="520">
        <f t="shared" si="541"/>
        <v>220298.33078798605</v>
      </c>
      <c r="AF68" s="520">
        <f t="shared" si="541"/>
        <v>228769.68481835304</v>
      </c>
      <c r="AG68" s="520">
        <f t="shared" si="541"/>
        <v>237099.34920689563</v>
      </c>
      <c r="AH68" s="520">
        <f t="shared" si="541"/>
        <v>245287.48080578732</v>
      </c>
      <c r="AI68" s="99"/>
      <c r="AJ68" s="520">
        <f t="shared" ref="AJ68:BN68" si="542">AJ22+AJ31+AJ40+AJ49+AJ56</f>
        <v>0</v>
      </c>
      <c r="AK68" s="520">
        <f t="shared" si="542"/>
        <v>3875.9604974169556</v>
      </c>
      <c r="AL68" s="520">
        <f t="shared" si="542"/>
        <v>7711.6336679449651</v>
      </c>
      <c r="AM68" s="520">
        <f t="shared" si="542"/>
        <v>11507.027830371178</v>
      </c>
      <c r="AN68" s="520">
        <f t="shared" si="542"/>
        <v>15262.151356681214</v>
      </c>
      <c r="AO68" s="520">
        <f t="shared" si="542"/>
        <v>18977.012670459262</v>
      </c>
      <c r="AP68" s="520">
        <f t="shared" si="542"/>
        <v>22651.620245311035</v>
      </c>
      <c r="AQ68" s="520">
        <f t="shared" si="542"/>
        <v>26285.982603309403</v>
      </c>
      <c r="AR68" s="520">
        <f t="shared" si="542"/>
        <v>29880.108313462282</v>
      </c>
      <c r="AS68" s="520">
        <f t="shared" si="542"/>
        <v>33434.005990202742</v>
      </c>
      <c r="AT68" s="520">
        <f t="shared" si="542"/>
        <v>36947.684291900856</v>
      </c>
      <c r="AU68" s="520">
        <f t="shared" si="542"/>
        <v>41178.536274910388</v>
      </c>
      <c r="AV68" s="520">
        <f t="shared" si="542"/>
        <v>45359.020878092822</v>
      </c>
      <c r="AW68" s="520">
        <f t="shared" si="542"/>
        <v>49489.092724222559</v>
      </c>
      <c r="AX68" s="520">
        <f t="shared" si="542"/>
        <v>53568.707768326218</v>
      </c>
      <c r="AY68" s="520">
        <f t="shared" si="542"/>
        <v>57597.823278140073</v>
      </c>
      <c r="AZ68" s="520">
        <f t="shared" si="542"/>
        <v>61540.210269398856</v>
      </c>
      <c r="BA68" s="520">
        <f t="shared" si="542"/>
        <v>65427.492679770905</v>
      </c>
      <c r="BB68" s="520">
        <f t="shared" si="542"/>
        <v>69259.631600152235</v>
      </c>
      <c r="BC68" s="520">
        <f t="shared" si="542"/>
        <v>73036.589358252386</v>
      </c>
      <c r="BD68" s="520">
        <f t="shared" si="542"/>
        <v>76758.329500177337</v>
      </c>
      <c r="BE68" s="520">
        <f t="shared" si="542"/>
        <v>81443.804162154876</v>
      </c>
      <c r="BF68" s="520">
        <f t="shared" si="542"/>
        <v>86058.650139441321</v>
      </c>
      <c r="BG68" s="520">
        <f t="shared" si="542"/>
        <v>90602.935783533132</v>
      </c>
      <c r="BH68" s="520">
        <f t="shared" si="542"/>
        <v>95076.729822227877</v>
      </c>
      <c r="BI68" s="520">
        <f t="shared" si="542"/>
        <v>99480.101347503864</v>
      </c>
      <c r="BJ68" s="520">
        <f t="shared" si="542"/>
        <v>103813.11980357504</v>
      </c>
      <c r="BK68" s="520">
        <f t="shared" si="542"/>
        <v>108075.85497511932</v>
      </c>
      <c r="BL68" s="520">
        <f t="shared" si="542"/>
        <v>112268.37697567843</v>
      </c>
      <c r="BM68" s="520">
        <f t="shared" si="542"/>
        <v>116390.756236227</v>
      </c>
      <c r="BN68" s="520">
        <f t="shared" si="542"/>
        <v>120443.06349390907</v>
      </c>
    </row>
    <row r="69" spans="1:90">
      <c r="B69" s="1" t="s">
        <v>172</v>
      </c>
      <c r="C69" s="50" t="s">
        <v>1420</v>
      </c>
      <c r="D69" s="520">
        <f t="shared" ref="D69:AH69" si="543">D23+D34+D41+D50+D57</f>
        <v>0</v>
      </c>
      <c r="E69" s="520">
        <f t="shared" si="543"/>
        <v>2544.4837019940478</v>
      </c>
      <c r="F69" s="520">
        <f t="shared" si="543"/>
        <v>5061.7637057469929</v>
      </c>
      <c r="G69" s="520">
        <f t="shared" si="543"/>
        <v>7551.8585312750638</v>
      </c>
      <c r="H69" s="520">
        <f t="shared" si="543"/>
        <v>10014.786526529659</v>
      </c>
      <c r="I69" s="520">
        <f t="shared" si="543"/>
        <v>12450.565868896059</v>
      </c>
      <c r="J69" s="520">
        <f t="shared" si="543"/>
        <v>14859.21456667957</v>
      </c>
      <c r="K69" s="520">
        <f t="shared" si="543"/>
        <v>17240.750460579289</v>
      </c>
      <c r="L69" s="520">
        <f t="shared" si="543"/>
        <v>19595.191225149487</v>
      </c>
      <c r="M69" s="520">
        <f t="shared" si="543"/>
        <v>21922.554370248792</v>
      </c>
      <c r="N69" s="520">
        <f t="shared" si="543"/>
        <v>24222.857242477272</v>
      </c>
      <c r="O69" s="520">
        <f t="shared" si="543"/>
        <v>26564.468570756319</v>
      </c>
      <c r="P69" s="520">
        <f t="shared" si="543"/>
        <v>28872.931418474633</v>
      </c>
      <c r="Q69" s="520">
        <f t="shared" si="543"/>
        <v>31148.276454075218</v>
      </c>
      <c r="R69" s="520">
        <f t="shared" si="543"/>
        <v>33390.534060130129</v>
      </c>
      <c r="S69" s="520">
        <f t="shared" si="543"/>
        <v>35599.734335835252</v>
      </c>
      <c r="T69" s="520">
        <f t="shared" si="543"/>
        <v>37751.782069218672</v>
      </c>
      <c r="U69" s="520">
        <f t="shared" si="543"/>
        <v>39867.816201607639</v>
      </c>
      <c r="V69" s="520">
        <f t="shared" si="543"/>
        <v>41947.865996830726</v>
      </c>
      <c r="W69" s="520">
        <f t="shared" si="543"/>
        <v>43991.960445112665</v>
      </c>
      <c r="X69" s="520">
        <f t="shared" si="543"/>
        <v>46000.128265466388</v>
      </c>
      <c r="Y69" s="520">
        <f t="shared" si="543"/>
        <v>48004.817597336238</v>
      </c>
      <c r="Z69" s="520">
        <f t="shared" si="543"/>
        <v>49971.256102067477</v>
      </c>
      <c r="AA69" s="520">
        <f t="shared" si="543"/>
        <v>51899.469399114663</v>
      </c>
      <c r="AB69" s="520">
        <f t="shared" si="543"/>
        <v>53789.482867459577</v>
      </c>
      <c r="AC69" s="520">
        <f t="shared" si="543"/>
        <v>55641.321647718454</v>
      </c>
      <c r="AD69" s="520">
        <f t="shared" si="543"/>
        <v>57455.010644231705</v>
      </c>
      <c r="AE69" s="520">
        <f t="shared" si="543"/>
        <v>59230.574527135963</v>
      </c>
      <c r="AF69" s="520">
        <f t="shared" si="543"/>
        <v>60968.037734418838</v>
      </c>
      <c r="AG69" s="520">
        <f t="shared" si="543"/>
        <v>62667.424473956242</v>
      </c>
      <c r="AH69" s="520">
        <f t="shared" si="543"/>
        <v>64328.758725532825</v>
      </c>
      <c r="AI69" s="99"/>
      <c r="AJ69" s="520">
        <f t="shared" ref="AJ69:BN69" si="544">AJ23+AJ34+AJ41+AJ50+AJ57</f>
        <v>0</v>
      </c>
      <c r="AK69" s="520">
        <f t="shared" si="544"/>
        <v>1326.7010771386711</v>
      </c>
      <c r="AL69" s="520">
        <f t="shared" si="544"/>
        <v>2639.0413546428399</v>
      </c>
      <c r="AM69" s="520">
        <f t="shared" si="544"/>
        <v>3937.0380251418237</v>
      </c>
      <c r="AN69" s="520">
        <f t="shared" si="544"/>
        <v>5220.7081215325306</v>
      </c>
      <c r="AO69" s="520">
        <f t="shared" si="544"/>
        <v>6490.0685183707483</v>
      </c>
      <c r="AP69" s="520">
        <f t="shared" si="544"/>
        <v>7745.1359332507809</v>
      </c>
      <c r="AQ69" s="520">
        <f t="shared" si="544"/>
        <v>8985.926928173576</v>
      </c>
      <c r="AR69" s="520">
        <f t="shared" si="544"/>
        <v>10212.457910903368</v>
      </c>
      <c r="AS69" s="520">
        <f t="shared" si="544"/>
        <v>11424.745136313004</v>
      </c>
      <c r="AT69" s="520">
        <f t="shared" si="544"/>
        <v>12622.804707717998</v>
      </c>
      <c r="AU69" s="520">
        <f t="shared" si="544"/>
        <v>13871.152028085651</v>
      </c>
      <c r="AV69" s="520">
        <f t="shared" si="544"/>
        <v>15101.819648760929</v>
      </c>
      <c r="AW69" s="520">
        <f t="shared" si="544"/>
        <v>16314.834544835736</v>
      </c>
      <c r="AX69" s="520">
        <f t="shared" si="544"/>
        <v>17510.223439912224</v>
      </c>
      <c r="AY69" s="520">
        <f t="shared" si="544"/>
        <v>18688.012808297848</v>
      </c>
      <c r="AZ69" s="520">
        <f t="shared" si="544"/>
        <v>19836.166362049171</v>
      </c>
      <c r="BA69" s="520">
        <f t="shared" si="544"/>
        <v>20965.264784137195</v>
      </c>
      <c r="BB69" s="520">
        <f t="shared" si="544"/>
        <v>22075.333813972444</v>
      </c>
      <c r="BC69" s="520">
        <f t="shared" si="544"/>
        <v>23166.398950268609</v>
      </c>
      <c r="BD69" s="520">
        <f t="shared" si="544"/>
        <v>24238.485453147201</v>
      </c>
      <c r="BE69" s="520">
        <f t="shared" si="544"/>
        <v>25303.138115315516</v>
      </c>
      <c r="BF69" s="520">
        <f t="shared" si="544"/>
        <v>26347.736901801589</v>
      </c>
      <c r="BG69" s="520">
        <f t="shared" si="544"/>
        <v>27372.304536200223</v>
      </c>
      <c r="BH69" s="520">
        <f t="shared" si="544"/>
        <v>28376.863528789396</v>
      </c>
      <c r="BI69" s="520">
        <f t="shared" si="544"/>
        <v>29361.436178399708</v>
      </c>
      <c r="BJ69" s="520">
        <f t="shared" si="544"/>
        <v>30326.044574268188</v>
      </c>
      <c r="BK69" s="520">
        <f t="shared" si="544"/>
        <v>31270.710597876518</v>
      </c>
      <c r="BL69" s="520">
        <f t="shared" si="544"/>
        <v>32195.455924773847</v>
      </c>
      <c r="BM69" s="520">
        <f t="shared" si="544"/>
        <v>33100.302026384212</v>
      </c>
      <c r="BN69" s="520">
        <f t="shared" si="544"/>
        <v>33985.270171798868</v>
      </c>
    </row>
    <row r="70" spans="1:90">
      <c r="B70" s="1" t="s">
        <v>249</v>
      </c>
      <c r="C70" s="50" t="s">
        <v>1420</v>
      </c>
      <c r="D70" s="520">
        <f t="shared" ref="D70:AH70" si="545">D18+D64</f>
        <v>0</v>
      </c>
      <c r="E70" s="520">
        <f t="shared" si="545"/>
        <v>723.17621451656214</v>
      </c>
      <c r="F70" s="520">
        <f t="shared" si="545"/>
        <v>995.50693713266833</v>
      </c>
      <c r="G70" s="520">
        <f t="shared" si="545"/>
        <v>1265.7351431393085</v>
      </c>
      <c r="H70" s="520">
        <f t="shared" si="545"/>
        <v>1533.9698489088123</v>
      </c>
      <c r="I70" s="520">
        <f t="shared" si="545"/>
        <v>1800.3236748875054</v>
      </c>
      <c r="J70" s="520">
        <f t="shared" si="545"/>
        <v>2064.9130626404867</v>
      </c>
      <c r="K70" s="520">
        <f t="shared" si="545"/>
        <v>2327.8585035651422</v>
      </c>
      <c r="L70" s="520">
        <f t="shared" si="545"/>
        <v>2589.2847799154797</v>
      </c>
      <c r="M70" s="520">
        <f t="shared" si="545"/>
        <v>2849.3212188148163</v>
      </c>
      <c r="N70" s="520">
        <f t="shared" si="545"/>
        <v>3108.1019599716892</v>
      </c>
      <c r="O70" s="520">
        <f t="shared" si="545"/>
        <v>3716.2574756284639</v>
      </c>
      <c r="P70" s="520">
        <f t="shared" si="545"/>
        <v>4318.5566654059749</v>
      </c>
      <c r="Q70" s="520">
        <f t="shared" si="545"/>
        <v>4915.2009147989029</v>
      </c>
      <c r="R70" s="520">
        <f t="shared" si="545"/>
        <v>5506.3971711872737</v>
      </c>
      <c r="S70" s="520">
        <f t="shared" si="545"/>
        <v>6092.3582963838317</v>
      </c>
      <c r="T70" s="520">
        <f t="shared" si="545"/>
        <v>6673.3034380493018</v>
      </c>
      <c r="U70" s="520">
        <f t="shared" si="545"/>
        <v>7249.4584210174316</v>
      </c>
      <c r="V70" s="520">
        <f t="shared" si="545"/>
        <v>7821.0561596294283</v>
      </c>
      <c r="W70" s="520">
        <f t="shared" si="545"/>
        <v>8388.3370922381473</v>
      </c>
      <c r="X70" s="520">
        <f t="shared" si="545"/>
        <v>8951.5496391066099</v>
      </c>
      <c r="Y70" s="520">
        <f t="shared" si="545"/>
        <v>9293.0703310376593</v>
      </c>
      <c r="Z70" s="520">
        <f t="shared" si="545"/>
        <v>9634.0817874484201</v>
      </c>
      <c r="AA70" s="520">
        <f t="shared" si="545"/>
        <v>9974.8276386720718</v>
      </c>
      <c r="AB70" s="520">
        <f t="shared" si="545"/>
        <v>10315.561884293056</v>
      </c>
      <c r="AC70" s="520">
        <f t="shared" si="545"/>
        <v>10656.549486326767</v>
      </c>
      <c r="AD70" s="520">
        <f t="shared" si="545"/>
        <v>10998.066994725712</v>
      </c>
      <c r="AE70" s="520">
        <f t="shared" si="545"/>
        <v>11340.403206998084</v>
      </c>
      <c r="AF70" s="520">
        <f t="shared" si="545"/>
        <v>11683.859863823705</v>
      </c>
      <c r="AG70" s="520">
        <f t="shared" si="545"/>
        <v>12028.752382657052</v>
      </c>
      <c r="AH70" s="520">
        <f t="shared" si="545"/>
        <v>12375.41063141734</v>
      </c>
      <c r="AI70" s="99"/>
      <c r="AJ70" s="520">
        <f t="shared" ref="AJ70:BN70" si="546">AJ18+AJ64</f>
        <v>0</v>
      </c>
      <c r="AK70" s="520">
        <f t="shared" si="546"/>
        <v>723.17621451656214</v>
      </c>
      <c r="AL70" s="520">
        <f t="shared" si="546"/>
        <v>995.50693713266833</v>
      </c>
      <c r="AM70" s="520">
        <f t="shared" si="546"/>
        <v>1265.7351431393085</v>
      </c>
      <c r="AN70" s="520">
        <f t="shared" si="546"/>
        <v>1533.9698489088123</v>
      </c>
      <c r="AO70" s="520">
        <f t="shared" si="546"/>
        <v>1800.3236748875054</v>
      </c>
      <c r="AP70" s="520">
        <f t="shared" si="546"/>
        <v>2064.9130626404867</v>
      </c>
      <c r="AQ70" s="520">
        <f t="shared" si="546"/>
        <v>2327.8585035651422</v>
      </c>
      <c r="AR70" s="520">
        <f t="shared" si="546"/>
        <v>2589.2847799154797</v>
      </c>
      <c r="AS70" s="520">
        <f t="shared" si="546"/>
        <v>2849.3212188148163</v>
      </c>
      <c r="AT70" s="520">
        <f t="shared" si="546"/>
        <v>3108.1019599716892</v>
      </c>
      <c r="AU70" s="520">
        <f t="shared" si="546"/>
        <v>3716.2574756284639</v>
      </c>
      <c r="AV70" s="520">
        <f t="shared" si="546"/>
        <v>4318.5566654059749</v>
      </c>
      <c r="AW70" s="520">
        <f t="shared" si="546"/>
        <v>4915.2009147989029</v>
      </c>
      <c r="AX70" s="520">
        <f t="shared" si="546"/>
        <v>5506.3971711872737</v>
      </c>
      <c r="AY70" s="520">
        <f t="shared" si="546"/>
        <v>6092.3582963838317</v>
      </c>
      <c r="AZ70" s="520">
        <f t="shared" si="546"/>
        <v>6673.3034380493018</v>
      </c>
      <c r="BA70" s="520">
        <f t="shared" si="546"/>
        <v>7249.4584210174316</v>
      </c>
      <c r="BB70" s="520">
        <f t="shared" si="546"/>
        <v>7821.0561596294283</v>
      </c>
      <c r="BC70" s="520">
        <f t="shared" si="546"/>
        <v>8388.3370922381473</v>
      </c>
      <c r="BD70" s="520">
        <f t="shared" si="546"/>
        <v>8951.5496391066099</v>
      </c>
      <c r="BE70" s="520">
        <f t="shared" si="546"/>
        <v>9293.0703310376593</v>
      </c>
      <c r="BF70" s="520">
        <f t="shared" si="546"/>
        <v>9634.0817874484201</v>
      </c>
      <c r="BG70" s="520">
        <f t="shared" si="546"/>
        <v>9974.8276386720718</v>
      </c>
      <c r="BH70" s="520">
        <f t="shared" si="546"/>
        <v>10315.561884293056</v>
      </c>
      <c r="BI70" s="520">
        <f t="shared" si="546"/>
        <v>10656.549486326767</v>
      </c>
      <c r="BJ70" s="520">
        <f t="shared" si="546"/>
        <v>10998.066994725712</v>
      </c>
      <c r="BK70" s="520">
        <f t="shared" si="546"/>
        <v>11340.403206998084</v>
      </c>
      <c r="BL70" s="520">
        <f t="shared" si="546"/>
        <v>11683.859863823705</v>
      </c>
      <c r="BM70" s="520">
        <f t="shared" si="546"/>
        <v>12028.752382657052</v>
      </c>
      <c r="BN70" s="520">
        <f t="shared" si="546"/>
        <v>12375.41063141734</v>
      </c>
    </row>
    <row r="71" spans="1:90">
      <c r="A71" s="63" t="s">
        <v>829</v>
      </c>
      <c r="B71" s="63"/>
      <c r="C71" s="64" t="s">
        <v>1420</v>
      </c>
      <c r="D71" s="589">
        <f t="shared" ref="D71:AH71" si="547">D13+D70-D68-D69</f>
        <v>1472760.9288230378</v>
      </c>
      <c r="E71" s="589">
        <f t="shared" si="547"/>
        <v>1455218.6167752282</v>
      </c>
      <c r="F71" s="589">
        <f t="shared" si="547"/>
        <v>1437336.8954949582</v>
      </c>
      <c r="G71" s="589">
        <f t="shared" si="547"/>
        <v>1419564.4345671406</v>
      </c>
      <c r="H71" s="589">
        <f t="shared" si="547"/>
        <v>1401901.2700386487</v>
      </c>
      <c r="I71" s="589">
        <f t="shared" si="547"/>
        <v>1384347.4419799156</v>
      </c>
      <c r="J71" s="589">
        <f t="shared" si="547"/>
        <v>1366902.9947005797</v>
      </c>
      <c r="K71" s="589">
        <f t="shared" si="547"/>
        <v>1349567.9769767909</v>
      </c>
      <c r="L71" s="589">
        <f t="shared" si="547"/>
        <v>1332342.4422908197</v>
      </c>
      <c r="M71" s="589">
        <f t="shared" si="547"/>
        <v>1315226.4490836493</v>
      </c>
      <c r="N71" s="589">
        <f t="shared" si="547"/>
        <v>1298220.0610212651</v>
      </c>
      <c r="O71" s="589">
        <f t="shared" si="547"/>
        <v>1278752.1979107095</v>
      </c>
      <c r="P71" s="589">
        <f t="shared" si="547"/>
        <v>1259414.0283332535</v>
      </c>
      <c r="Q71" s="589">
        <f t="shared" si="547"/>
        <v>1240205.7959238132</v>
      </c>
      <c r="R71" s="589">
        <f t="shared" si="547"/>
        <v>1221127.7476682097</v>
      </c>
      <c r="S71" s="589">
        <f t="shared" si="547"/>
        <v>1202180.1342908342</v>
      </c>
      <c r="T71" s="589">
        <f t="shared" si="547"/>
        <v>1182545.8838778201</v>
      </c>
      <c r="U71" s="589">
        <f t="shared" si="547"/>
        <v>1163054.6451665864</v>
      </c>
      <c r="V71" s="589">
        <f t="shared" si="547"/>
        <v>1143706.6826129477</v>
      </c>
      <c r="W71" s="589">
        <f t="shared" si="547"/>
        <v>1124502.2661571279</v>
      </c>
      <c r="X71" s="589">
        <f t="shared" si="547"/>
        <v>1105441.6717146942</v>
      </c>
      <c r="Y71" s="589">
        <f t="shared" si="547"/>
        <v>1083766.8148725638</v>
      </c>
      <c r="Z71" s="589">
        <f t="shared" si="547"/>
        <v>1062272.4730007637</v>
      </c>
      <c r="AA71" s="589">
        <f t="shared" si="547"/>
        <v>1040958.7109693319</v>
      </c>
      <c r="AB71" s="589">
        <f t="shared" si="547"/>
        <v>1019825.6036609001</v>
      </c>
      <c r="AC71" s="589">
        <f t="shared" si="547"/>
        <v>998873.23658463766</v>
      </c>
      <c r="AD71" s="589">
        <f t="shared" si="547"/>
        <v>978101.70652220189</v>
      </c>
      <c r="AE71" s="589">
        <f t="shared" si="547"/>
        <v>957511.12220748223</v>
      </c>
      <c r="AF71" s="589">
        <f t="shared" si="547"/>
        <v>937101.60504202731</v>
      </c>
      <c r="AG71" s="589">
        <f t="shared" si="547"/>
        <v>916873.28984815022</v>
      </c>
      <c r="AH71" s="589">
        <f t="shared" si="547"/>
        <v>896826.32566181174</v>
      </c>
      <c r="AI71" s="99"/>
      <c r="AJ71" s="589">
        <f t="shared" ref="AJ71:BN71" si="548">AJ13+AJ70-AJ68-AJ69</f>
        <v>1472760.9288230378</v>
      </c>
      <c r="AK71" s="589">
        <f t="shared" si="548"/>
        <v>1460574.8365725875</v>
      </c>
      <c r="AL71" s="589">
        <f t="shared" si="548"/>
        <v>1447992.5469567603</v>
      </c>
      <c r="AM71" s="589">
        <f t="shared" si="548"/>
        <v>1435462.7774394308</v>
      </c>
      <c r="AN71" s="589">
        <f t="shared" si="548"/>
        <v>1422985.6116320884</v>
      </c>
      <c r="AO71" s="589">
        <f t="shared" si="548"/>
        <v>1410561.1368570398</v>
      </c>
      <c r="AP71" s="589">
        <f t="shared" si="548"/>
        <v>1398189.4443646499</v>
      </c>
      <c r="AQ71" s="589">
        <f t="shared" si="548"/>
        <v>1385870.6295622424</v>
      </c>
      <c r="AR71" s="589">
        <f t="shared" si="548"/>
        <v>1373604.7922552994</v>
      </c>
      <c r="AS71" s="589">
        <f t="shared" si="548"/>
        <v>1361392.0369016372</v>
      </c>
      <c r="AT71" s="589">
        <f t="shared" si="548"/>
        <v>1349232.4728792799</v>
      </c>
      <c r="AU71" s="589">
        <f t="shared" si="548"/>
        <v>1335199.7285924694</v>
      </c>
      <c r="AV71" s="589">
        <f t="shared" si="548"/>
        <v>1321229.1750592992</v>
      </c>
      <c r="AW71" s="589">
        <f t="shared" si="548"/>
        <v>1307321.0320673976</v>
      </c>
      <c r="AX71" s="589">
        <f t="shared" si="548"/>
        <v>1293475.5238855158</v>
      </c>
      <c r="AY71" s="589">
        <f t="shared" si="548"/>
        <v>1279692.8796334229</v>
      </c>
      <c r="AZ71" s="589">
        <f t="shared" si="548"/>
        <v>1265107.756826987</v>
      </c>
      <c r="BA71" s="589">
        <f t="shared" si="548"/>
        <v>1250592.0035744035</v>
      </c>
      <c r="BB71" s="589">
        <f t="shared" si="548"/>
        <v>1236145.8659597074</v>
      </c>
      <c r="BC71" s="589">
        <f t="shared" si="548"/>
        <v>1221769.5965948284</v>
      </c>
      <c r="BD71" s="589">
        <f t="shared" si="548"/>
        <v>1207463.4550938017</v>
      </c>
      <c r="BE71" s="589">
        <f t="shared" si="548"/>
        <v>1191510.6918769567</v>
      </c>
      <c r="BF71" s="589">
        <f t="shared" si="548"/>
        <v>1175648.1019849645</v>
      </c>
      <c r="BG71" s="589">
        <f t="shared" si="548"/>
        <v>1159875.8379730668</v>
      </c>
      <c r="BH71" s="589">
        <f t="shared" si="548"/>
        <v>1144194.0626027733</v>
      </c>
      <c r="BI71" s="589">
        <f t="shared" si="548"/>
        <v>1128602.9494452903</v>
      </c>
      <c r="BJ71" s="589">
        <f t="shared" si="548"/>
        <v>1113102.6835171191</v>
      </c>
      <c r="BK71" s="589">
        <f t="shared" si="548"/>
        <v>1097693.4619496085</v>
      </c>
      <c r="BL71" s="589">
        <f t="shared" si="548"/>
        <v>1082375.494694347</v>
      </c>
      <c r="BM71" s="589">
        <f t="shared" si="548"/>
        <v>1067149.0052663907</v>
      </c>
      <c r="BN71" s="589">
        <f t="shared" si="548"/>
        <v>1052014.231527424</v>
      </c>
    </row>
    <row r="72" spans="1:90" s="61" customFormat="1">
      <c r="A72" s="602"/>
      <c r="B72" s="54" t="s">
        <v>804</v>
      </c>
      <c r="C72" s="55" t="s">
        <v>1420</v>
      </c>
      <c r="D72" s="580">
        <f>D25+D36+D43+D52+D59+D65</f>
        <v>103598.39231850725</v>
      </c>
      <c r="E72" s="580">
        <f t="shared" ref="E72:AG72" si="549">E25+E36+E43+E52+E59+E65</f>
        <v>102617.66067636864</v>
      </c>
      <c r="F72" s="580">
        <f t="shared" si="549"/>
        <v>101373.65509382245</v>
      </c>
      <c r="G72" s="580">
        <f t="shared" si="549"/>
        <v>100138.09638521422</v>
      </c>
      <c r="H72" s="580">
        <f t="shared" si="549"/>
        <v>98911.029148357004</v>
      </c>
      <c r="I72" s="580">
        <f t="shared" si="549"/>
        <v>97692.500600973872</v>
      </c>
      <c r="J72" s="580">
        <f t="shared" si="549"/>
        <v>96482.560726400494</v>
      </c>
      <c r="K72" s="580">
        <f t="shared" si="549"/>
        <v>95281.262427439462</v>
      </c>
      <c r="L72" s="580">
        <f t="shared" si="549"/>
        <v>94088.661688823209</v>
      </c>
      <c r="M72" s="580">
        <f t="shared" si="549"/>
        <v>92904.81774877281</v>
      </c>
      <c r="N72" s="580">
        <f t="shared" si="549"/>
        <v>91729.793280163256</v>
      </c>
      <c r="O72" s="580">
        <f t="shared" si="549"/>
        <v>90382.792273923726</v>
      </c>
      <c r="P72" s="580">
        <f t="shared" si="549"/>
        <v>89046.150102306201</v>
      </c>
      <c r="Q72" s="580">
        <f t="shared" si="549"/>
        <v>87719.952367605933</v>
      </c>
      <c r="R72" s="580">
        <f t="shared" si="549"/>
        <v>86404.28872130801</v>
      </c>
      <c r="S72" s="580">
        <f t="shared" si="549"/>
        <v>85099.253104913965</v>
      </c>
      <c r="T72" s="580">
        <f t="shared" si="549"/>
        <v>83747.450802677049</v>
      </c>
      <c r="U72" s="580">
        <f t="shared" si="549"/>
        <v>82407.32682731509</v>
      </c>
      <c r="V72" s="580">
        <f t="shared" si="549"/>
        <v>81078.98957235094</v>
      </c>
      <c r="W72" s="580">
        <f t="shared" si="549"/>
        <v>79762.55282558671</v>
      </c>
      <c r="X72" s="580">
        <f t="shared" si="549"/>
        <v>78458.136084510101</v>
      </c>
      <c r="Y72" s="580">
        <f t="shared" si="549"/>
        <v>76971.833147701749</v>
      </c>
      <c r="Z72" s="580">
        <f t="shared" si="549"/>
        <v>75500.348557689256</v>
      </c>
      <c r="AA72" s="580">
        <f t="shared" si="549"/>
        <v>74043.804682596005</v>
      </c>
      <c r="AB72" s="580">
        <f t="shared" si="549"/>
        <v>72602.331175291212</v>
      </c>
      <c r="AC72" s="580">
        <f t="shared" si="549"/>
        <v>71176.065386120172</v>
      </c>
      <c r="AD72" s="580">
        <f t="shared" si="549"/>
        <v>69765.152798748197</v>
      </c>
      <c r="AE72" s="580">
        <f t="shared" si="549"/>
        <v>68369.747490426744</v>
      </c>
      <c r="AF72" s="580">
        <f t="shared" si="549"/>
        <v>66990.01261806702</v>
      </c>
      <c r="AG72" s="580">
        <f t="shared" si="549"/>
        <v>65626.12093158286</v>
      </c>
      <c r="AH72" s="580">
        <f>AH25+AH36+AH43+AH52+AH59+AH65</f>
        <v>64278.255316049472</v>
      </c>
      <c r="AI72" s="580"/>
      <c r="AJ72" s="580">
        <f>AJ25+AJ36+AJ43+AJ52+AJ59+AJ65</f>
        <v>103598.39231850725</v>
      </c>
      <c r="AK72" s="580">
        <f t="shared" ref="AK72:BM72" si="550">AK25+AK36+AK43+AK52+AK59+AK65</f>
        <v>102994.43313756805</v>
      </c>
      <c r="AL72" s="580">
        <f t="shared" si="550"/>
        <v>102123.20536973265</v>
      </c>
      <c r="AM72" s="580">
        <f t="shared" si="550"/>
        <v>101256.43319729537</v>
      </c>
      <c r="AN72" s="580">
        <f t="shared" si="550"/>
        <v>100394.16456390623</v>
      </c>
      <c r="AO72" s="580">
        <f t="shared" si="550"/>
        <v>99536.450011125751</v>
      </c>
      <c r="AP72" s="580">
        <f t="shared" si="550"/>
        <v>98683.342824240244</v>
      </c>
      <c r="AQ72" s="580">
        <f t="shared" si="550"/>
        <v>97834.899186227995</v>
      </c>
      <c r="AR72" s="580">
        <f t="shared" si="550"/>
        <v>96991.178340334212</v>
      </c>
      <c r="AS72" s="580">
        <f t="shared" si="550"/>
        <v>96152.242761741159</v>
      </c>
      <c r="AT72" s="580">
        <f t="shared" si="550"/>
        <v>95318.158338844732</v>
      </c>
      <c r="AU72" s="580">
        <f t="shared" si="550"/>
        <v>94353.479786426702</v>
      </c>
      <c r="AV72" s="580">
        <f t="shared" si="550"/>
        <v>93394.411721976372</v>
      </c>
      <c r="AW72" s="580">
        <f t="shared" si="550"/>
        <v>92441.03807029959</v>
      </c>
      <c r="AX72" s="580">
        <f t="shared" si="550"/>
        <v>91493.446884895209</v>
      </c>
      <c r="AY72" s="580">
        <f t="shared" si="550"/>
        <v>90551.730587531172</v>
      </c>
      <c r="AZ72" s="580">
        <f t="shared" si="550"/>
        <v>89555.098966709964</v>
      </c>
      <c r="BA72" s="580">
        <f t="shared" si="550"/>
        <v>88564.965464636975</v>
      </c>
      <c r="BB72" s="580">
        <f t="shared" si="550"/>
        <v>87581.437182509369</v>
      </c>
      <c r="BC72" s="580">
        <f t="shared" si="550"/>
        <v>86604.626689205339</v>
      </c>
      <c r="BD72" s="580">
        <f t="shared" si="550"/>
        <v>85634.652335514285</v>
      </c>
      <c r="BE72" s="580">
        <f t="shared" si="550"/>
        <v>84550.858515205444</v>
      </c>
      <c r="BF72" s="580">
        <f t="shared" si="550"/>
        <v>83475.528141146322</v>
      </c>
      <c r="BG72" s="580">
        <f t="shared" si="550"/>
        <v>82408.789749498857</v>
      </c>
      <c r="BH72" s="580">
        <f t="shared" si="550"/>
        <v>81350.77917479437</v>
      </c>
      <c r="BI72" s="580">
        <f t="shared" si="550"/>
        <v>80301.639961924317</v>
      </c>
      <c r="BJ72" s="580">
        <f t="shared" si="550"/>
        <v>79261.523801255753</v>
      </c>
      <c r="BK72" s="580">
        <f t="shared" si="550"/>
        <v>78230.59098818092</v>
      </c>
      <c r="BL72" s="580">
        <f t="shared" si="550"/>
        <v>77209.010908484677</v>
      </c>
      <c r="BM72" s="580">
        <f t="shared" si="550"/>
        <v>76196.962550992699</v>
      </c>
      <c r="BN72" s="580">
        <f>BN25+BN36+BN43+BN52+BN59+BN65</f>
        <v>75194.635049046206</v>
      </c>
      <c r="BQ72" s="649"/>
      <c r="BR72" s="649"/>
      <c r="BS72" s="649"/>
      <c r="BT72" s="649"/>
      <c r="BU72" s="649"/>
      <c r="BV72" s="649"/>
      <c r="BW72" s="649"/>
      <c r="BX72" s="649"/>
      <c r="BY72" s="649"/>
      <c r="BZ72" s="649"/>
      <c r="CA72" s="649"/>
      <c r="CB72" s="649"/>
      <c r="CC72" s="649"/>
      <c r="CD72" s="649"/>
      <c r="CE72" s="649"/>
      <c r="CF72" s="649"/>
      <c r="CG72" s="649"/>
      <c r="CH72" s="649"/>
      <c r="CI72" s="649"/>
      <c r="CJ72" s="649"/>
      <c r="CK72" s="649"/>
      <c r="CL72" s="649"/>
    </row>
    <row r="73" spans="1:90">
      <c r="A73" s="603"/>
      <c r="B73" s="1" t="s">
        <v>1063</v>
      </c>
      <c r="C73" s="50" t="s">
        <v>1420</v>
      </c>
      <c r="D73" s="576">
        <f>D15</f>
        <v>0</v>
      </c>
      <c r="E73" s="576">
        <f t="shared" ref="E73:AH73" si="551">E15</f>
        <v>0</v>
      </c>
      <c r="F73" s="576">
        <f t="shared" si="551"/>
        <v>0</v>
      </c>
      <c r="G73" s="576">
        <f t="shared" si="551"/>
        <v>0</v>
      </c>
      <c r="H73" s="576">
        <f t="shared" si="551"/>
        <v>0</v>
      </c>
      <c r="I73" s="576">
        <f t="shared" si="551"/>
        <v>0</v>
      </c>
      <c r="J73" s="576">
        <f t="shared" si="551"/>
        <v>0</v>
      </c>
      <c r="K73" s="576">
        <f t="shared" si="551"/>
        <v>0</v>
      </c>
      <c r="L73" s="576">
        <f t="shared" si="551"/>
        <v>0</v>
      </c>
      <c r="M73" s="576">
        <f t="shared" si="551"/>
        <v>0</v>
      </c>
      <c r="N73" s="576">
        <f t="shared" si="551"/>
        <v>0</v>
      </c>
      <c r="O73" s="576">
        <f t="shared" si="551"/>
        <v>0</v>
      </c>
      <c r="P73" s="576">
        <f t="shared" si="551"/>
        <v>0</v>
      </c>
      <c r="Q73" s="576">
        <f t="shared" si="551"/>
        <v>0</v>
      </c>
      <c r="R73" s="576">
        <f t="shared" si="551"/>
        <v>0</v>
      </c>
      <c r="S73" s="576">
        <f t="shared" si="551"/>
        <v>0</v>
      </c>
      <c r="T73" s="576">
        <f t="shared" si="551"/>
        <v>0</v>
      </c>
      <c r="U73" s="576">
        <f t="shared" si="551"/>
        <v>0</v>
      </c>
      <c r="V73" s="576">
        <f t="shared" si="551"/>
        <v>0</v>
      </c>
      <c r="W73" s="576">
        <f t="shared" si="551"/>
        <v>0</v>
      </c>
      <c r="X73" s="576">
        <f t="shared" si="551"/>
        <v>0</v>
      </c>
      <c r="Y73" s="576">
        <f t="shared" si="551"/>
        <v>0</v>
      </c>
      <c r="Z73" s="576">
        <f t="shared" si="551"/>
        <v>0</v>
      </c>
      <c r="AA73" s="576">
        <f t="shared" si="551"/>
        <v>0</v>
      </c>
      <c r="AB73" s="576">
        <f t="shared" si="551"/>
        <v>0</v>
      </c>
      <c r="AC73" s="576">
        <f t="shared" si="551"/>
        <v>0</v>
      </c>
      <c r="AD73" s="576">
        <f t="shared" si="551"/>
        <v>0</v>
      </c>
      <c r="AE73" s="576">
        <f t="shared" si="551"/>
        <v>0</v>
      </c>
      <c r="AF73" s="576">
        <f t="shared" si="551"/>
        <v>0</v>
      </c>
      <c r="AG73" s="576">
        <f t="shared" si="551"/>
        <v>0</v>
      </c>
      <c r="AH73" s="576">
        <f t="shared" si="551"/>
        <v>0</v>
      </c>
      <c r="AI73" s="576"/>
      <c r="AJ73" s="576">
        <f>AJ15</f>
        <v>0</v>
      </c>
      <c r="AK73" s="576">
        <f t="shared" ref="AK73:BN73" si="552">AK15</f>
        <v>0</v>
      </c>
      <c r="AL73" s="576">
        <f t="shared" si="552"/>
        <v>0</v>
      </c>
      <c r="AM73" s="576">
        <f t="shared" si="552"/>
        <v>0</v>
      </c>
      <c r="AN73" s="576">
        <f t="shared" si="552"/>
        <v>0</v>
      </c>
      <c r="AO73" s="576">
        <f t="shared" si="552"/>
        <v>0</v>
      </c>
      <c r="AP73" s="576">
        <f t="shared" si="552"/>
        <v>0</v>
      </c>
      <c r="AQ73" s="576">
        <f t="shared" si="552"/>
        <v>0</v>
      </c>
      <c r="AR73" s="576">
        <f t="shared" si="552"/>
        <v>0</v>
      </c>
      <c r="AS73" s="576">
        <f t="shared" si="552"/>
        <v>0</v>
      </c>
      <c r="AT73" s="576">
        <f t="shared" si="552"/>
        <v>0</v>
      </c>
      <c r="AU73" s="576">
        <f t="shared" si="552"/>
        <v>0</v>
      </c>
      <c r="AV73" s="576">
        <f t="shared" si="552"/>
        <v>0</v>
      </c>
      <c r="AW73" s="576">
        <f t="shared" si="552"/>
        <v>0</v>
      </c>
      <c r="AX73" s="576">
        <f t="shared" si="552"/>
        <v>0</v>
      </c>
      <c r="AY73" s="576">
        <f t="shared" si="552"/>
        <v>0</v>
      </c>
      <c r="AZ73" s="576">
        <f t="shared" si="552"/>
        <v>0</v>
      </c>
      <c r="BA73" s="576">
        <f t="shared" si="552"/>
        <v>0</v>
      </c>
      <c r="BB73" s="576">
        <f t="shared" si="552"/>
        <v>0</v>
      </c>
      <c r="BC73" s="576">
        <f t="shared" si="552"/>
        <v>0</v>
      </c>
      <c r="BD73" s="576">
        <f t="shared" si="552"/>
        <v>0</v>
      </c>
      <c r="BE73" s="576">
        <f t="shared" si="552"/>
        <v>0</v>
      </c>
      <c r="BF73" s="576">
        <f t="shared" si="552"/>
        <v>0</v>
      </c>
      <c r="BG73" s="576">
        <f t="shared" si="552"/>
        <v>0</v>
      </c>
      <c r="BH73" s="576">
        <f t="shared" si="552"/>
        <v>0</v>
      </c>
      <c r="BI73" s="576">
        <f t="shared" si="552"/>
        <v>0</v>
      </c>
      <c r="BJ73" s="576">
        <f t="shared" si="552"/>
        <v>0</v>
      </c>
      <c r="BK73" s="576">
        <f t="shared" si="552"/>
        <v>0</v>
      </c>
      <c r="BL73" s="576">
        <f t="shared" si="552"/>
        <v>0</v>
      </c>
      <c r="BM73" s="576">
        <f t="shared" si="552"/>
        <v>0</v>
      </c>
      <c r="BN73" s="576">
        <f t="shared" si="552"/>
        <v>0</v>
      </c>
    </row>
    <row r="74" spans="1:90" s="62" customFormat="1">
      <c r="A74" s="604"/>
      <c r="B74" s="58" t="s">
        <v>27</v>
      </c>
      <c r="C74" s="233" t="s">
        <v>1420</v>
      </c>
      <c r="D74" s="579">
        <f>D27+D38+D45+D54+D61+D67</f>
        <v>1369162.5365045306</v>
      </c>
      <c r="E74" s="579">
        <f t="shared" ref="E74:AH74" si="553">E27+E38+E45+E54+E61+E67</f>
        <v>1352600.9560988594</v>
      </c>
      <c r="F74" s="579">
        <f t="shared" si="553"/>
        <v>1335963.2404011358</v>
      </c>
      <c r="G74" s="579">
        <f t="shared" si="553"/>
        <v>1319426.3381819266</v>
      </c>
      <c r="H74" s="579">
        <f t="shared" si="553"/>
        <v>1302990.2408902915</v>
      </c>
      <c r="I74" s="579">
        <f t="shared" si="553"/>
        <v>1286654.941378942</v>
      </c>
      <c r="J74" s="579">
        <f t="shared" si="553"/>
        <v>1270420.4339741792</v>
      </c>
      <c r="K74" s="579">
        <f t="shared" si="553"/>
        <v>1254286.7145493515</v>
      </c>
      <c r="L74" s="579">
        <f t="shared" si="553"/>
        <v>1238253.780601996</v>
      </c>
      <c r="M74" s="579">
        <f t="shared" si="553"/>
        <v>1222321.6313348762</v>
      </c>
      <c r="N74" s="579">
        <f t="shared" si="553"/>
        <v>1206490.267741102</v>
      </c>
      <c r="O74" s="579">
        <f t="shared" si="553"/>
        <v>1188369.4056367858</v>
      </c>
      <c r="P74" s="579">
        <f t="shared" si="553"/>
        <v>1170367.8782309473</v>
      </c>
      <c r="Q74" s="579">
        <f t="shared" si="553"/>
        <v>1152485.8435562071</v>
      </c>
      <c r="R74" s="579">
        <f t="shared" si="553"/>
        <v>1134723.4589469018</v>
      </c>
      <c r="S74" s="579">
        <f t="shared" si="553"/>
        <v>1117080.8811859204</v>
      </c>
      <c r="T74" s="579">
        <f t="shared" si="553"/>
        <v>1098798.4330751428</v>
      </c>
      <c r="U74" s="579">
        <f t="shared" si="553"/>
        <v>1080647.3183392712</v>
      </c>
      <c r="V74" s="579">
        <f t="shared" si="553"/>
        <v>1062627.6930405963</v>
      </c>
      <c r="W74" s="579">
        <f t="shared" si="553"/>
        <v>1044739.7133315412</v>
      </c>
      <c r="X74" s="579">
        <f t="shared" si="553"/>
        <v>1026983.5356301842</v>
      </c>
      <c r="Y74" s="579">
        <f t="shared" si="553"/>
        <v>1006794.9817248618</v>
      </c>
      <c r="Z74" s="579">
        <f t="shared" si="553"/>
        <v>986772.12444307446</v>
      </c>
      <c r="AA74" s="579">
        <f t="shared" si="553"/>
        <v>966914.9062867359</v>
      </c>
      <c r="AB74" s="579">
        <f t="shared" si="553"/>
        <v>947223.27248560882</v>
      </c>
      <c r="AC74" s="579">
        <f t="shared" si="553"/>
        <v>927697.1711985172</v>
      </c>
      <c r="AD74" s="579">
        <f t="shared" si="553"/>
        <v>908336.55372345366</v>
      </c>
      <c r="AE74" s="579">
        <f t="shared" si="553"/>
        <v>889141.37471705547</v>
      </c>
      <c r="AF74" s="579">
        <f t="shared" si="553"/>
        <v>870111.59242396022</v>
      </c>
      <c r="AG74" s="579">
        <f t="shared" si="553"/>
        <v>851247.16891656735</v>
      </c>
      <c r="AH74" s="579">
        <f t="shared" si="553"/>
        <v>832548.0703457623</v>
      </c>
      <c r="AI74" s="579"/>
      <c r="AJ74" s="579">
        <f>AJ27+AJ38+AJ45+AJ54+AJ61+AJ67</f>
        <v>1369162.5365045306</v>
      </c>
      <c r="AK74" s="579">
        <f t="shared" ref="AK74:BN74" si="554">AK27+AK38+AK45+AK54+AK61+AK67</f>
        <v>1357580.4034350193</v>
      </c>
      <c r="AL74" s="579">
        <f t="shared" si="554"/>
        <v>1345869.3415870275</v>
      </c>
      <c r="AM74" s="579">
        <f t="shared" si="554"/>
        <v>1334206.3442421355</v>
      </c>
      <c r="AN74" s="579">
        <f t="shared" si="554"/>
        <v>1322591.4470681821</v>
      </c>
      <c r="AO74" s="579">
        <f t="shared" si="554"/>
        <v>1311024.6868459145</v>
      </c>
      <c r="AP74" s="579">
        <f t="shared" si="554"/>
        <v>1299506.1015404097</v>
      </c>
      <c r="AQ74" s="579">
        <f t="shared" si="554"/>
        <v>1288035.7303760143</v>
      </c>
      <c r="AR74" s="579">
        <f t="shared" si="554"/>
        <v>1276613.6139149647</v>
      </c>
      <c r="AS74" s="579">
        <f t="shared" si="554"/>
        <v>1265239.7941398958</v>
      </c>
      <c r="AT74" s="579">
        <f t="shared" si="554"/>
        <v>1253914.3145404353</v>
      </c>
      <c r="AU74" s="579">
        <f t="shared" si="554"/>
        <v>1240846.2488060428</v>
      </c>
      <c r="AV74" s="579">
        <f t="shared" si="554"/>
        <v>1227834.763337323</v>
      </c>
      <c r="AW74" s="579">
        <f t="shared" si="554"/>
        <v>1214879.9939970977</v>
      </c>
      <c r="AX74" s="579">
        <f t="shared" si="554"/>
        <v>1201982.0770006205</v>
      </c>
      <c r="AY74" s="579">
        <f t="shared" si="554"/>
        <v>1189141.1490458916</v>
      </c>
      <c r="AZ74" s="579">
        <f t="shared" si="554"/>
        <v>1175552.6578602768</v>
      </c>
      <c r="BA74" s="579">
        <f t="shared" si="554"/>
        <v>1162027.0381097663</v>
      </c>
      <c r="BB74" s="579">
        <f t="shared" si="554"/>
        <v>1148564.4287771978</v>
      </c>
      <c r="BC74" s="579">
        <f t="shared" si="554"/>
        <v>1135164.969905623</v>
      </c>
      <c r="BD74" s="579">
        <f t="shared" si="554"/>
        <v>1121828.8027582876</v>
      </c>
      <c r="BE74" s="579">
        <f t="shared" si="554"/>
        <v>1106959.8333617512</v>
      </c>
      <c r="BF74" s="579">
        <f t="shared" si="554"/>
        <v>1092172.5738438182</v>
      </c>
      <c r="BG74" s="579">
        <f t="shared" si="554"/>
        <v>1077467.0482235679</v>
      </c>
      <c r="BH74" s="579">
        <f t="shared" si="554"/>
        <v>1062843.2834279789</v>
      </c>
      <c r="BI74" s="579">
        <f t="shared" si="554"/>
        <v>1048301.3094833657</v>
      </c>
      <c r="BJ74" s="579">
        <f t="shared" si="554"/>
        <v>1033841.1597158634</v>
      </c>
      <c r="BK74" s="579">
        <f t="shared" si="554"/>
        <v>1019462.8709614276</v>
      </c>
      <c r="BL74" s="579">
        <f t="shared" si="554"/>
        <v>1005166.4837858622</v>
      </c>
      <c r="BM74" s="579">
        <f t="shared" si="554"/>
        <v>990952.04271539825</v>
      </c>
      <c r="BN74" s="579">
        <f t="shared" si="554"/>
        <v>976819.59647837782</v>
      </c>
      <c r="BQ74" s="623"/>
      <c r="BR74" s="623"/>
      <c r="BS74" s="623"/>
      <c r="BT74" s="623"/>
      <c r="BU74" s="623"/>
      <c r="BV74" s="623"/>
      <c r="BW74" s="623"/>
      <c r="BX74" s="623"/>
      <c r="BY74" s="623"/>
      <c r="BZ74" s="623"/>
      <c r="CA74" s="623"/>
      <c r="CB74" s="623"/>
      <c r="CC74" s="623"/>
      <c r="CD74" s="623"/>
      <c r="CE74" s="623"/>
      <c r="CF74" s="623"/>
      <c r="CG74" s="623"/>
      <c r="CH74" s="623"/>
      <c r="CI74" s="623"/>
      <c r="CJ74" s="623"/>
      <c r="CK74" s="623"/>
      <c r="CL74" s="623"/>
    </row>
    <row r="75" spans="1:90">
      <c r="A75" s="443"/>
      <c r="C75" s="50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</row>
    <row r="76" spans="1:90">
      <c r="A76" s="54" t="s">
        <v>386</v>
      </c>
      <c r="B76" s="54" t="s">
        <v>200</v>
      </c>
      <c r="C76" s="93" t="s">
        <v>1420</v>
      </c>
      <c r="D76" s="572">
        <f t="shared" ref="D76:AH76" si="555">D35</f>
        <v>163218.34571421403</v>
      </c>
      <c r="E76" s="572">
        <f t="shared" si="555"/>
        <v>161787.50143781141</v>
      </c>
      <c r="F76" s="572">
        <f t="shared" si="555"/>
        <v>160368.67269930805</v>
      </c>
      <c r="G76" s="572">
        <f t="shared" si="555"/>
        <v>158961.76152173121</v>
      </c>
      <c r="H76" s="572">
        <f t="shared" si="555"/>
        <v>157566.67071012632</v>
      </c>
      <c r="I76" s="572">
        <f t="shared" si="555"/>
        <v>156183.30384541571</v>
      </c>
      <c r="J76" s="572">
        <f t="shared" si="555"/>
        <v>154811.56527830535</v>
      </c>
      <c r="K76" s="572">
        <f t="shared" si="555"/>
        <v>153451.36012323838</v>
      </c>
      <c r="L76" s="572">
        <f t="shared" si="555"/>
        <v>152102.59425239573</v>
      </c>
      <c r="M76" s="572">
        <f t="shared" si="555"/>
        <v>150765.1742897433</v>
      </c>
      <c r="N76" s="572">
        <f t="shared" si="555"/>
        <v>149439.00760512525</v>
      </c>
      <c r="O76" s="572">
        <f t="shared" si="555"/>
        <v>147764.30158479413</v>
      </c>
      <c r="P76" s="572">
        <f t="shared" si="555"/>
        <v>146105.67863021375</v>
      </c>
      <c r="Q76" s="572">
        <f t="shared" si="555"/>
        <v>144462.9959192753</v>
      </c>
      <c r="R76" s="572">
        <f t="shared" si="555"/>
        <v>142836.1118393612</v>
      </c>
      <c r="S76" s="572">
        <f t="shared" si="555"/>
        <v>141224.88597742398</v>
      </c>
      <c r="T76" s="572">
        <f t="shared" si="555"/>
        <v>139629.17911014502</v>
      </c>
      <c r="U76" s="572">
        <f t="shared" si="555"/>
        <v>138048.85319417156</v>
      </c>
      <c r="V76" s="572">
        <f t="shared" si="555"/>
        <v>136483.77135643273</v>
      </c>
      <c r="W76" s="572">
        <f t="shared" si="555"/>
        <v>134933.79788453272</v>
      </c>
      <c r="X76" s="572">
        <f t="shared" si="555"/>
        <v>133398.79821722113</v>
      </c>
      <c r="Y76" s="572">
        <f t="shared" si="555"/>
        <v>131877.65244068488</v>
      </c>
      <c r="Z76" s="572">
        <f t="shared" si="555"/>
        <v>130371.22850984217</v>
      </c>
      <c r="AA76" s="572">
        <f t="shared" si="555"/>
        <v>128879.39511676879</v>
      </c>
      <c r="AB76" s="572">
        <f t="shared" si="555"/>
        <v>127402.0220686611</v>
      </c>
      <c r="AC76" s="572">
        <f t="shared" si="555"/>
        <v>125938.98027867115</v>
      </c>
      <c r="AD76" s="572">
        <f t="shared" si="555"/>
        <v>124490.14175681541</v>
      </c>
      <c r="AE76" s="572">
        <f t="shared" si="555"/>
        <v>123055.37960095631</v>
      </c>
      <c r="AF76" s="572">
        <f t="shared" si="555"/>
        <v>121634.56798785628</v>
      </c>
      <c r="AG76" s="572">
        <f t="shared" si="555"/>
        <v>120227.58216430362</v>
      </c>
      <c r="AH76" s="572">
        <f t="shared" si="555"/>
        <v>118834.29843830988</v>
      </c>
      <c r="AI76" s="99"/>
      <c r="AJ76" s="572">
        <f t="shared" ref="AJ76:BN76" si="556">AJ35</f>
        <v>163218.34571421403</v>
      </c>
      <c r="AK76" s="572">
        <f t="shared" si="556"/>
        <v>161852.67097842757</v>
      </c>
      <c r="AL76" s="572">
        <f t="shared" si="556"/>
        <v>160498.10356975871</v>
      </c>
      <c r="AM76" s="572">
        <f t="shared" si="556"/>
        <v>159154.55500393803</v>
      </c>
      <c r="AN76" s="572">
        <f t="shared" si="556"/>
        <v>157821.93749051998</v>
      </c>
      <c r="AO76" s="572">
        <f t="shared" si="556"/>
        <v>156500.16392750989</v>
      </c>
      <c r="AP76" s="572">
        <f t="shared" si="556"/>
        <v>155189.14789603217</v>
      </c>
      <c r="AQ76" s="572">
        <f t="shared" si="556"/>
        <v>153888.80365503949</v>
      </c>
      <c r="AR76" s="572">
        <f t="shared" si="556"/>
        <v>152599.04613606233</v>
      </c>
      <c r="AS76" s="572">
        <f t="shared" si="556"/>
        <v>151319.790937999</v>
      </c>
      <c r="AT76" s="572">
        <f t="shared" si="556"/>
        <v>150050.95432194558</v>
      </c>
      <c r="AU76" s="572">
        <f t="shared" si="556"/>
        <v>148523.99253575152</v>
      </c>
      <c r="AV76" s="572">
        <f t="shared" si="556"/>
        <v>147011.02512098913</v>
      </c>
      <c r="AW76" s="572">
        <f t="shared" si="556"/>
        <v>145511.93119029529</v>
      </c>
      <c r="AX76" s="572">
        <f t="shared" si="556"/>
        <v>144026.59086152707</v>
      </c>
      <c r="AY76" s="572">
        <f t="shared" si="556"/>
        <v>142554.88524962231</v>
      </c>
      <c r="AZ76" s="572">
        <f t="shared" si="556"/>
        <v>141096.69645852502</v>
      </c>
      <c r="BA76" s="572">
        <f t="shared" si="556"/>
        <v>139651.90757317469</v>
      </c>
      <c r="BB76" s="572">
        <f t="shared" si="556"/>
        <v>138220.40265155945</v>
      </c>
      <c r="BC76" s="572">
        <f t="shared" si="556"/>
        <v>136802.06671683205</v>
      </c>
      <c r="BD76" s="572">
        <f t="shared" si="556"/>
        <v>135396.7857494888</v>
      </c>
      <c r="BE76" s="572">
        <f t="shared" si="556"/>
        <v>134005.20205235443</v>
      </c>
      <c r="BF76" s="572">
        <f t="shared" si="556"/>
        <v>132626.43759768471</v>
      </c>
      <c r="BG76" s="572">
        <f t="shared" si="556"/>
        <v>131260.38130172685</v>
      </c>
      <c r="BH76" s="572">
        <f t="shared" si="556"/>
        <v>129906.92300638104</v>
      </c>
      <c r="BI76" s="572">
        <f t="shared" si="556"/>
        <v>128565.95347169384</v>
      </c>
      <c r="BJ76" s="572">
        <f t="shared" si="556"/>
        <v>127237.36436841149</v>
      </c>
      <c r="BK76" s="572">
        <f t="shared" si="556"/>
        <v>125921.04827059223</v>
      </c>
      <c r="BL76" s="572">
        <f t="shared" si="556"/>
        <v>124616.89864827741</v>
      </c>
      <c r="BM76" s="572">
        <f t="shared" si="556"/>
        <v>123324.80986022096</v>
      </c>
      <c r="BN76" s="572">
        <f t="shared" si="556"/>
        <v>122044.67714667669</v>
      </c>
    </row>
    <row r="77" spans="1:90">
      <c r="A77"/>
      <c r="B77" t="s">
        <v>266</v>
      </c>
      <c r="C77" s="50" t="s">
        <v>1420</v>
      </c>
      <c r="D77" s="99">
        <f>'Methanol Recycling HC'!C73</f>
        <v>0</v>
      </c>
      <c r="E77" s="99">
        <f>'Methanol Recycling HC'!D73</f>
        <v>131.62712890610146</v>
      </c>
      <c r="F77" s="99">
        <f>'Methanol Recycling HC'!E73</f>
        <v>281.60757818167866</v>
      </c>
      <c r="G77" s="99">
        <f>'Methanol Recycling HC'!F73</f>
        <v>449.71226444346706</v>
      </c>
      <c r="H77" s="99">
        <f>'Methanol Recycling HC'!G73</f>
        <v>635.71358486168731</v>
      </c>
      <c r="I77" s="99">
        <f>'Methanol Recycling HC'!H73</f>
        <v>839.38540999185295</v>
      </c>
      <c r="J77" s="99">
        <f>'Methanol Recycling HC'!I73</f>
        <v>1060.5030766360064</v>
      </c>
      <c r="K77" s="99">
        <f>'Methanol Recycling HC'!J73</f>
        <v>1298.843380733274</v>
      </c>
      <c r="L77" s="99">
        <f>'Methanol Recycling HC'!K73</f>
        <v>1554.1845702796315</v>
      </c>
      <c r="M77" s="99">
        <f>'Methanol Recycling HC'!L73</f>
        <v>1826.3063382767739</v>
      </c>
      <c r="N77" s="99">
        <f>'Methanol Recycling HC'!M73</f>
        <v>2114.9898157099806</v>
      </c>
      <c r="O77" s="99">
        <f>'Methanol Recycling HC'!N73</f>
        <v>2450.1082868333556</v>
      </c>
      <c r="P77" s="99">
        <f>'Methanol Recycling HC'!O73</f>
        <v>2805.7969177828813</v>
      </c>
      <c r="Q77" s="99">
        <f>'Methanol Recycling HC'!P73</f>
        <v>3181.5918253426184</v>
      </c>
      <c r="R77" s="99">
        <f>'Methanol Recycling HC'!Q73</f>
        <v>3577.0326065746403</v>
      </c>
      <c r="S77" s="99">
        <f>'Methanol Recycling HC'!R73</f>
        <v>3991.6623207580642</v>
      </c>
      <c r="T77" s="99">
        <f>'Methanol Recycling HC'!S73</f>
        <v>4425.0274714052748</v>
      </c>
      <c r="U77" s="99">
        <f>'Methanol Recycling HC'!T73</f>
        <v>4876.6779883550535</v>
      </c>
      <c r="V77" s="99">
        <f>'Methanol Recycling HC'!U73</f>
        <v>5346.1672099423158</v>
      </c>
      <c r="W77" s="99">
        <f>'Methanol Recycling HC'!V73</f>
        <v>5833.0518652441679</v>
      </c>
      <c r="X77" s="99">
        <f>'Methanol Recycling HC'!W73</f>
        <v>6336.8920564019872</v>
      </c>
      <c r="Y77" s="99">
        <f>'Methanol Recycling HC'!X73</f>
        <v>7005.9314900799573</v>
      </c>
      <c r="Z77" s="99">
        <f>'Methanol Recycling HC'!Y73</f>
        <v>7703.1249014886398</v>
      </c>
      <c r="AA77" s="99">
        <f>'Methanol Recycling HC'!Z73</f>
        <v>8427.7700592361489</v>
      </c>
      <c r="AB77" s="99">
        <f>'Methanol Recycling HC'!AA73</f>
        <v>9179.1700806710232</v>
      </c>
      <c r="AC77" s="99">
        <f>'Methanol Recycling HC'!AB73</f>
        <v>9956.6334039572721</v>
      </c>
      <c r="AD77" s="99">
        <f>'Methanol Recycling HC'!AC73</f>
        <v>10759.473760269153</v>
      </c>
      <c r="AE77" s="99">
        <f>'Methanol Recycling HC'!AD73</f>
        <v>11587.010146105216</v>
      </c>
      <c r="AF77" s="99">
        <f>'Methanol Recycling HC'!AE73</f>
        <v>12438.566795721217</v>
      </c>
      <c r="AG77" s="99">
        <f>'Methanol Recycling HC'!AF73</f>
        <v>13313.473153681358</v>
      </c>
      <c r="AH77" s="99">
        <f>'Methanol Recycling HC'!AG73</f>
        <v>14211.063847527523</v>
      </c>
      <c r="AI77" s="99"/>
      <c r="AJ77" s="99">
        <f>D77</f>
        <v>0</v>
      </c>
      <c r="AK77" s="99">
        <f t="shared" ref="AK77:BN78" si="557">E77</f>
        <v>131.62712890610146</v>
      </c>
      <c r="AL77" s="99">
        <f t="shared" si="557"/>
        <v>281.60757818167866</v>
      </c>
      <c r="AM77" s="99">
        <f t="shared" si="557"/>
        <v>449.71226444346706</v>
      </c>
      <c r="AN77" s="99">
        <f t="shared" si="557"/>
        <v>635.71358486168731</v>
      </c>
      <c r="AO77" s="99">
        <f t="shared" si="557"/>
        <v>839.38540999185295</v>
      </c>
      <c r="AP77" s="99">
        <f t="shared" si="557"/>
        <v>1060.5030766360064</v>
      </c>
      <c r="AQ77" s="99">
        <f t="shared" si="557"/>
        <v>1298.843380733274</v>
      </c>
      <c r="AR77" s="99">
        <f t="shared" si="557"/>
        <v>1554.1845702796315</v>
      </c>
      <c r="AS77" s="99">
        <f t="shared" si="557"/>
        <v>1826.3063382767739</v>
      </c>
      <c r="AT77" s="99">
        <f t="shared" si="557"/>
        <v>2114.9898157099806</v>
      </c>
      <c r="AU77" s="99">
        <f t="shared" si="557"/>
        <v>2450.1082868333556</v>
      </c>
      <c r="AV77" s="99">
        <f t="shared" si="557"/>
        <v>2805.7969177828813</v>
      </c>
      <c r="AW77" s="99">
        <f t="shared" si="557"/>
        <v>3181.5918253426184</v>
      </c>
      <c r="AX77" s="99">
        <f t="shared" si="557"/>
        <v>3577.0326065746403</v>
      </c>
      <c r="AY77" s="99">
        <f t="shared" si="557"/>
        <v>3991.6623207580642</v>
      </c>
      <c r="AZ77" s="99">
        <f t="shared" si="557"/>
        <v>4425.0274714052748</v>
      </c>
      <c r="BA77" s="99">
        <f t="shared" si="557"/>
        <v>4876.6779883550535</v>
      </c>
      <c r="BB77" s="99">
        <f t="shared" si="557"/>
        <v>5346.1672099423158</v>
      </c>
      <c r="BC77" s="99">
        <f t="shared" si="557"/>
        <v>5833.0518652441679</v>
      </c>
      <c r="BD77" s="99">
        <f t="shared" si="557"/>
        <v>6336.8920564019872</v>
      </c>
      <c r="BE77" s="99">
        <f t="shared" si="557"/>
        <v>7005.9314900799573</v>
      </c>
      <c r="BF77" s="99">
        <f t="shared" si="557"/>
        <v>7703.1249014886398</v>
      </c>
      <c r="BG77" s="99">
        <f t="shared" si="557"/>
        <v>8427.7700592361489</v>
      </c>
      <c r="BH77" s="99">
        <f t="shared" si="557"/>
        <v>9179.1700806710232</v>
      </c>
      <c r="BI77" s="99">
        <f t="shared" si="557"/>
        <v>9956.6334039572721</v>
      </c>
      <c r="BJ77" s="99">
        <f t="shared" si="557"/>
        <v>10759.473760269153</v>
      </c>
      <c r="BK77" s="99">
        <f t="shared" si="557"/>
        <v>11587.010146105216</v>
      </c>
      <c r="BL77" s="99">
        <f t="shared" si="557"/>
        <v>12438.566795721217</v>
      </c>
      <c r="BM77" s="99">
        <f t="shared" si="557"/>
        <v>13313.473153681358</v>
      </c>
      <c r="BN77" s="99">
        <f t="shared" si="557"/>
        <v>14211.063847527523</v>
      </c>
    </row>
    <row r="78" spans="1:90">
      <c r="A78"/>
      <c r="B78" s="160" t="s">
        <v>269</v>
      </c>
      <c r="C78" s="50" t="s">
        <v>1420</v>
      </c>
      <c r="D78" s="99">
        <f>'Methanol Recycling HC'!C154</f>
        <v>0</v>
      </c>
      <c r="E78" s="99">
        <f>'Methanol Recycling HC'!D154</f>
        <v>11.979001518100006</v>
      </c>
      <c r="F78" s="99">
        <f>'Methanol Recycling HC'!E154</f>
        <v>24.195231659827542</v>
      </c>
      <c r="G78" s="99">
        <f>'Methanol Recycling HC'!F154</f>
        <v>36.55883294377891</v>
      </c>
      <c r="H78" s="99">
        <f>'Methanol Recycling HC'!G154</f>
        <v>48.980733902681592</v>
      </c>
      <c r="I78" s="99">
        <f>'Methanol Recycling HC'!H154</f>
        <v>61.37264475962273</v>
      </c>
      <c r="J78" s="99">
        <f>'Methanol Recycling HC'!I154</f>
        <v>73.647053123335311</v>
      </c>
      <c r="K78" s="99">
        <f>'Methanol Recycling HC'!J154</f>
        <v>85.717219702468739</v>
      </c>
      <c r="L78" s="99">
        <f>'Methanol Recycling HC'!K154</f>
        <v>97.497174038771576</v>
      </c>
      <c r="M78" s="99">
        <f>'Methanol Recycling HC'!L154</f>
        <v>108.90171025911185</v>
      </c>
      <c r="N78" s="99">
        <f>'Methanol Recycling HC'!M154</f>
        <v>119.84638284626276</v>
      </c>
      <c r="O78" s="99">
        <f>'Methanol Recycling HC'!N154</f>
        <v>127.15095107962419</v>
      </c>
      <c r="P78" s="99">
        <f>'Methanol Recycling HC'!O154</f>
        <v>133.81996304309052</v>
      </c>
      <c r="Q78" s="99">
        <f>'Methanol Recycling HC'!P154</f>
        <v>139.0095995245714</v>
      </c>
      <c r="R78" s="99">
        <f>'Methanol Recycling HC'!Q154</f>
        <v>143.41573033199239</v>
      </c>
      <c r="S78" s="99">
        <f>'Methanol Recycling HC'!R154</f>
        <v>146.99339030937688</v>
      </c>
      <c r="T78" s="99">
        <f>'Methanol Recycling HC'!S154</f>
        <v>149.69892595799507</v>
      </c>
      <c r="U78" s="99">
        <f>'Methanol Recycling HC'!T154</f>
        <v>151.48999562999194</v>
      </c>
      <c r="V78" s="99">
        <f>'Methanol Recycling HC'!U154</f>
        <v>152.32556963352096</v>
      </c>
      <c r="W78" s="99">
        <f>'Methanol Recycling HC'!V154</f>
        <v>152.16593025027316</v>
      </c>
      <c r="X78" s="99">
        <f>'Methanol Recycling HC'!W154</f>
        <v>150.97267166629041</v>
      </c>
      <c r="Y78" s="99">
        <f>'Methanol Recycling HC'!X154</f>
        <v>151.61255368673926</v>
      </c>
      <c r="Z78" s="99">
        <f>'Methanol Recycling HC'!Y154</f>
        <v>150.93882419417406</v>
      </c>
      <c r="AA78" s="99">
        <f>'Methanol Recycling HC'!Z154</f>
        <v>146.82541374558622</v>
      </c>
      <c r="AB78" s="99">
        <f>'Methanol Recycling HC'!AA154</f>
        <v>141.28851289178897</v>
      </c>
      <c r="AC78" s="99">
        <f>'Methanol Recycling HC'!AB154</f>
        <v>134.31228183766177</v>
      </c>
      <c r="AD78" s="99">
        <f>'Methanol Recycling HC'!AC154</f>
        <v>125.88679521332999</v>
      </c>
      <c r="AE78" s="99">
        <f>'Methanol Recycling HC'!AD154</f>
        <v>116.0081175630106</v>
      </c>
      <c r="AF78" s="99">
        <f>'Methanol Recycling HC'!AE154</f>
        <v>104.67837740554278</v>
      </c>
      <c r="AG78" s="99">
        <f>'Methanol Recycling HC'!AF154</f>
        <v>91.905839878734398</v>
      </c>
      <c r="AH78" s="99">
        <f>'Methanol Recycling HC'!AG154</f>
        <v>77.704977979587582</v>
      </c>
      <c r="AI78" s="99"/>
      <c r="AJ78" s="99">
        <f>D78</f>
        <v>0</v>
      </c>
      <c r="AK78" s="99">
        <f t="shared" si="557"/>
        <v>11.979001518100006</v>
      </c>
      <c r="AL78" s="99">
        <f t="shared" si="557"/>
        <v>24.195231659827542</v>
      </c>
      <c r="AM78" s="99">
        <f t="shared" si="557"/>
        <v>36.55883294377891</v>
      </c>
      <c r="AN78" s="99">
        <f t="shared" si="557"/>
        <v>48.980733902681592</v>
      </c>
      <c r="AO78" s="99">
        <f t="shared" si="557"/>
        <v>61.37264475962273</v>
      </c>
      <c r="AP78" s="99">
        <f t="shared" si="557"/>
        <v>73.647053123335311</v>
      </c>
      <c r="AQ78" s="99">
        <f t="shared" si="557"/>
        <v>85.717219702468739</v>
      </c>
      <c r="AR78" s="99">
        <f t="shared" si="557"/>
        <v>97.497174038771576</v>
      </c>
      <c r="AS78" s="99">
        <f t="shared" si="557"/>
        <v>108.90171025911185</v>
      </c>
      <c r="AT78" s="99">
        <f t="shared" si="557"/>
        <v>119.84638284626276</v>
      </c>
      <c r="AU78" s="99">
        <f t="shared" si="557"/>
        <v>127.15095107962419</v>
      </c>
      <c r="AV78" s="99">
        <f t="shared" si="557"/>
        <v>133.81996304309052</v>
      </c>
      <c r="AW78" s="99">
        <f t="shared" si="557"/>
        <v>139.0095995245714</v>
      </c>
      <c r="AX78" s="99">
        <f t="shared" si="557"/>
        <v>143.41573033199239</v>
      </c>
      <c r="AY78" s="99">
        <f t="shared" si="557"/>
        <v>146.99339030937688</v>
      </c>
      <c r="AZ78" s="99">
        <f t="shared" si="557"/>
        <v>149.69892595799507</v>
      </c>
      <c r="BA78" s="99">
        <f t="shared" si="557"/>
        <v>151.48999562999194</v>
      </c>
      <c r="BB78" s="99">
        <f t="shared" si="557"/>
        <v>152.32556963352096</v>
      </c>
      <c r="BC78" s="99">
        <f t="shared" si="557"/>
        <v>152.16593025027316</v>
      </c>
      <c r="BD78" s="99">
        <f t="shared" si="557"/>
        <v>150.97267166629041</v>
      </c>
      <c r="BE78" s="99">
        <f t="shared" si="557"/>
        <v>151.61255368673926</v>
      </c>
      <c r="BF78" s="99">
        <f t="shared" si="557"/>
        <v>150.93882419417406</v>
      </c>
      <c r="BG78" s="99">
        <f t="shared" si="557"/>
        <v>146.82541374558622</v>
      </c>
      <c r="BH78" s="99">
        <f t="shared" si="557"/>
        <v>141.28851289178897</v>
      </c>
      <c r="BI78" s="99">
        <f t="shared" si="557"/>
        <v>134.31228183766177</v>
      </c>
      <c r="BJ78" s="99">
        <f t="shared" si="557"/>
        <v>125.88679521332999</v>
      </c>
      <c r="BK78" s="99">
        <f t="shared" si="557"/>
        <v>116.0081175630106</v>
      </c>
      <c r="BL78" s="99">
        <f t="shared" si="557"/>
        <v>104.67837740554278</v>
      </c>
      <c r="BM78" s="99">
        <f t="shared" si="557"/>
        <v>91.905839878734398</v>
      </c>
      <c r="BN78" s="99">
        <f t="shared" si="557"/>
        <v>77.704977979587582</v>
      </c>
    </row>
    <row r="79" spans="1:90">
      <c r="A79" s="58"/>
      <c r="B79" s="58" t="s">
        <v>267</v>
      </c>
      <c r="C79" s="59" t="s">
        <v>1420</v>
      </c>
      <c r="D79" s="577">
        <f>D76-D77-D78</f>
        <v>163218.34571421403</v>
      </c>
      <c r="E79" s="577">
        <f t="shared" ref="E79:AG79" si="558">E76-E77-E78</f>
        <v>161643.8953073872</v>
      </c>
      <c r="F79" s="577">
        <f t="shared" si="558"/>
        <v>160062.86988946653</v>
      </c>
      <c r="G79" s="577">
        <f t="shared" si="558"/>
        <v>158475.49042434397</v>
      </c>
      <c r="H79" s="577">
        <f t="shared" si="558"/>
        <v>156881.97639136194</v>
      </c>
      <c r="I79" s="577">
        <f t="shared" si="558"/>
        <v>155282.54579066424</v>
      </c>
      <c r="J79" s="577">
        <f t="shared" si="558"/>
        <v>153677.41514854602</v>
      </c>
      <c r="K79" s="577">
        <f t="shared" si="558"/>
        <v>152066.79952280264</v>
      </c>
      <c r="L79" s="577">
        <f t="shared" si="558"/>
        <v>150450.91250807731</v>
      </c>
      <c r="M79" s="577">
        <f t="shared" si="558"/>
        <v>148829.96624120741</v>
      </c>
      <c r="N79" s="577">
        <f t="shared" si="558"/>
        <v>147204.17140656902</v>
      </c>
      <c r="O79" s="577">
        <f t="shared" si="558"/>
        <v>145187.04234688115</v>
      </c>
      <c r="P79" s="577">
        <f t="shared" si="558"/>
        <v>143166.06174938777</v>
      </c>
      <c r="Q79" s="577">
        <f t="shared" si="558"/>
        <v>141142.3944944081</v>
      </c>
      <c r="R79" s="577">
        <f t="shared" si="558"/>
        <v>139115.66350245455</v>
      </c>
      <c r="S79" s="577">
        <f t="shared" si="558"/>
        <v>137086.23026635655</v>
      </c>
      <c r="T79" s="577">
        <f t="shared" si="558"/>
        <v>135054.45271278176</v>
      </c>
      <c r="U79" s="577">
        <f t="shared" si="558"/>
        <v>133020.68521018652</v>
      </c>
      <c r="V79" s="577">
        <f t="shared" si="558"/>
        <v>130985.27857685687</v>
      </c>
      <c r="W79" s="577">
        <f t="shared" si="558"/>
        <v>128948.58008903828</v>
      </c>
      <c r="X79" s="577">
        <f t="shared" si="558"/>
        <v>126910.93348915286</v>
      </c>
      <c r="Y79" s="577">
        <f t="shared" si="558"/>
        <v>124720.10839691819</v>
      </c>
      <c r="Z79" s="577">
        <f t="shared" si="558"/>
        <v>122517.16478415935</v>
      </c>
      <c r="AA79" s="577">
        <f t="shared" si="558"/>
        <v>120304.79964378706</v>
      </c>
      <c r="AB79" s="577">
        <f t="shared" si="558"/>
        <v>118081.56347509829</v>
      </c>
      <c r="AC79" s="577">
        <f t="shared" si="558"/>
        <v>115848.03459287623</v>
      </c>
      <c r="AD79" s="577">
        <f t="shared" si="558"/>
        <v>113604.78120133292</v>
      </c>
      <c r="AE79" s="577">
        <f t="shared" si="558"/>
        <v>111352.36133728809</v>
      </c>
      <c r="AF79" s="577">
        <f t="shared" si="558"/>
        <v>109091.32281472953</v>
      </c>
      <c r="AG79" s="577">
        <f t="shared" si="558"/>
        <v>106822.20317074352</v>
      </c>
      <c r="AH79" s="577">
        <f>AH76-AH77-AH78</f>
        <v>104545.52961280277</v>
      </c>
      <c r="AI79" s="99"/>
      <c r="AJ79" s="577">
        <f>AJ76-AJ77-AJ78</f>
        <v>163218.34571421403</v>
      </c>
      <c r="AK79" s="577">
        <f t="shared" ref="AK79:BM79" si="559">AK76-AK77-AK78</f>
        <v>161709.06484800336</v>
      </c>
      <c r="AL79" s="577">
        <f t="shared" si="559"/>
        <v>160192.30075991718</v>
      </c>
      <c r="AM79" s="577">
        <f t="shared" si="559"/>
        <v>158668.28390655079</v>
      </c>
      <c r="AN79" s="577">
        <f t="shared" si="559"/>
        <v>157137.2431717556</v>
      </c>
      <c r="AO79" s="577">
        <f t="shared" si="559"/>
        <v>155599.40587275842</v>
      </c>
      <c r="AP79" s="577">
        <f t="shared" si="559"/>
        <v>154054.99776627283</v>
      </c>
      <c r="AQ79" s="577">
        <f t="shared" si="559"/>
        <v>152504.24305460375</v>
      </c>
      <c r="AR79" s="577">
        <f t="shared" si="559"/>
        <v>150947.3643917439</v>
      </c>
      <c r="AS79" s="577">
        <f t="shared" si="559"/>
        <v>149384.58288946311</v>
      </c>
      <c r="AT79" s="577">
        <f t="shared" si="559"/>
        <v>147816.11812338934</v>
      </c>
      <c r="AU79" s="577">
        <f t="shared" si="559"/>
        <v>145946.73329783854</v>
      </c>
      <c r="AV79" s="577">
        <f t="shared" si="559"/>
        <v>144071.40824016315</v>
      </c>
      <c r="AW79" s="577">
        <f t="shared" si="559"/>
        <v>142191.32976542809</v>
      </c>
      <c r="AX79" s="577">
        <f t="shared" si="559"/>
        <v>140306.14252462043</v>
      </c>
      <c r="AY79" s="577">
        <f t="shared" si="559"/>
        <v>138416.22953855488</v>
      </c>
      <c r="AZ79" s="577">
        <f t="shared" si="559"/>
        <v>136521.97006116176</v>
      </c>
      <c r="BA79" s="577">
        <f t="shared" si="559"/>
        <v>134623.73958918964</v>
      </c>
      <c r="BB79" s="577">
        <f t="shared" si="559"/>
        <v>132721.90987198363</v>
      </c>
      <c r="BC79" s="577">
        <f t="shared" si="559"/>
        <v>130816.84892133762</v>
      </c>
      <c r="BD79" s="577">
        <f t="shared" si="559"/>
        <v>128908.92102142052</v>
      </c>
      <c r="BE79" s="577">
        <f t="shared" si="559"/>
        <v>126847.65800858775</v>
      </c>
      <c r="BF79" s="577">
        <f t="shared" si="559"/>
        <v>124772.37387200189</v>
      </c>
      <c r="BG79" s="577">
        <f t="shared" si="559"/>
        <v>122685.78582874512</v>
      </c>
      <c r="BH79" s="577">
        <f t="shared" si="559"/>
        <v>120586.46441281823</v>
      </c>
      <c r="BI79" s="577">
        <f t="shared" si="559"/>
        <v>118475.00778589891</v>
      </c>
      <c r="BJ79" s="577">
        <f t="shared" si="559"/>
        <v>116352.003812929</v>
      </c>
      <c r="BK79" s="577">
        <f t="shared" si="559"/>
        <v>114218.03000692402</v>
      </c>
      <c r="BL79" s="577">
        <f t="shared" si="559"/>
        <v>112073.65347515066</v>
      </c>
      <c r="BM79" s="577">
        <f t="shared" si="559"/>
        <v>109919.43086666087</v>
      </c>
      <c r="BN79" s="577">
        <f>BN76-BN77-BN78</f>
        <v>107755.90832116958</v>
      </c>
    </row>
    <row r="80" spans="1:90" s="61" customFormat="1">
      <c r="A80" s="602"/>
      <c r="B80" s="54" t="s">
        <v>804</v>
      </c>
      <c r="C80" s="55" t="s">
        <v>1420</v>
      </c>
      <c r="D80" s="580">
        <f>D36</f>
        <v>11481.264801336021</v>
      </c>
      <c r="E80" s="580">
        <f t="shared" ref="E80:AH81" si="560">E36</f>
        <v>11380.61495125349</v>
      </c>
      <c r="F80" s="580">
        <f t="shared" si="560"/>
        <v>11280.810309911118</v>
      </c>
      <c r="G80" s="580">
        <f t="shared" si="560"/>
        <v>11181.843985316686</v>
      </c>
      <c r="H80" s="580">
        <f t="shared" si="560"/>
        <v>11083.709140487463</v>
      </c>
      <c r="I80" s="580">
        <f t="shared" si="560"/>
        <v>10986.398993018218</v>
      </c>
      <c r="J80" s="580">
        <f t="shared" si="560"/>
        <v>10889.906814652586</v>
      </c>
      <c r="K80" s="580">
        <f t="shared" si="560"/>
        <v>10794.225930857756</v>
      </c>
      <c r="L80" s="580">
        <f t="shared" si="560"/>
        <v>10699.349720402448</v>
      </c>
      <c r="M80" s="580">
        <f t="shared" si="560"/>
        <v>10605.271614938176</v>
      </c>
      <c r="N80" s="580">
        <f t="shared" si="560"/>
        <v>10511.985098583762</v>
      </c>
      <c r="O80" s="580">
        <f t="shared" si="560"/>
        <v>10394.181286765452</v>
      </c>
      <c r="P80" s="580">
        <f t="shared" si="560"/>
        <v>10277.508805716936</v>
      </c>
      <c r="Q80" s="580">
        <f t="shared" si="560"/>
        <v>10161.957608905495</v>
      </c>
      <c r="R80" s="580">
        <f t="shared" si="560"/>
        <v>10047.517734877627</v>
      </c>
      <c r="S80" s="580">
        <f t="shared" si="560"/>
        <v>9934.1793065611637</v>
      </c>
      <c r="T80" s="580">
        <f t="shared" si="560"/>
        <v>9821.9325305730126</v>
      </c>
      <c r="U80" s="580">
        <f t="shared" si="560"/>
        <v>9710.7676965323917</v>
      </c>
      <c r="V80" s="580">
        <f t="shared" si="560"/>
        <v>9600.6751763796383</v>
      </c>
      <c r="W80" s="580">
        <f t="shared" si="560"/>
        <v>9491.6454237004309</v>
      </c>
      <c r="X80" s="580">
        <f t="shared" si="560"/>
        <v>9383.6689730554463</v>
      </c>
      <c r="Y80" s="580">
        <f t="shared" si="560"/>
        <v>9276.6670463699102</v>
      </c>
      <c r="Z80" s="580">
        <f t="shared" si="560"/>
        <v>9170.7006981791365</v>
      </c>
      <c r="AA80" s="580">
        <f t="shared" si="560"/>
        <v>9065.7606918924557</v>
      </c>
      <c r="AB80" s="580">
        <f t="shared" si="560"/>
        <v>8961.8378693601098</v>
      </c>
      <c r="AC80" s="580">
        <f t="shared" si="560"/>
        <v>8858.9231502285547</v>
      </c>
      <c r="AD80" s="580">
        <f t="shared" si="560"/>
        <v>8757.0075313009638</v>
      </c>
      <c r="AE80" s="580">
        <f t="shared" si="560"/>
        <v>8656.0820859028263</v>
      </c>
      <c r="AF80" s="580">
        <f t="shared" si="560"/>
        <v>8556.1379632526841</v>
      </c>
      <c r="AG80" s="580">
        <f t="shared" si="560"/>
        <v>8457.1663878378786</v>
      </c>
      <c r="AH80" s="580">
        <f t="shared" si="560"/>
        <v>8359.1586587953643</v>
      </c>
      <c r="AI80" s="580"/>
      <c r="AJ80" s="580">
        <f>AJ36</f>
        <v>11481.264801336021</v>
      </c>
      <c r="AK80" s="580">
        <f t="shared" ref="AK80:BN80" si="561">AK36</f>
        <v>11385.199170934933</v>
      </c>
      <c r="AL80" s="580">
        <f t="shared" si="561"/>
        <v>11289.9148630213</v>
      </c>
      <c r="AM80" s="580">
        <f t="shared" si="561"/>
        <v>11195.405653347949</v>
      </c>
      <c r="AN80" s="580">
        <f t="shared" si="561"/>
        <v>11101.665366473333</v>
      </c>
      <c r="AO80" s="580">
        <f t="shared" si="561"/>
        <v>11008.687875383599</v>
      </c>
      <c r="AP80" s="580">
        <f t="shared" si="561"/>
        <v>10916.467101117527</v>
      </c>
      <c r="AQ80" s="580">
        <f t="shared" si="561"/>
        <v>10824.997012394351</v>
      </c>
      <c r="AR80" s="580">
        <f t="shared" si="561"/>
        <v>10734.271625244433</v>
      </c>
      <c r="AS80" s="580">
        <f t="shared" si="561"/>
        <v>10644.285002642782</v>
      </c>
      <c r="AT80" s="580">
        <f t="shared" si="561"/>
        <v>10555.03125414537</v>
      </c>
      <c r="AU80" s="580">
        <f t="shared" si="561"/>
        <v>10447.620212009753</v>
      </c>
      <c r="AV80" s="580">
        <f t="shared" si="561"/>
        <v>10341.193575661564</v>
      </c>
      <c r="AW80" s="580">
        <f t="shared" si="561"/>
        <v>10235.742841523454</v>
      </c>
      <c r="AX80" s="580">
        <f t="shared" si="561"/>
        <v>10131.259576728262</v>
      </c>
      <c r="AY80" s="580">
        <f t="shared" si="561"/>
        <v>10027.735418546457</v>
      </c>
      <c r="AZ80" s="580">
        <f t="shared" si="561"/>
        <v>9925.16207381815</v>
      </c>
      <c r="BA80" s="580">
        <f t="shared" si="561"/>
        <v>9823.5313183895978</v>
      </c>
      <c r="BB80" s="580">
        <f t="shared" si="561"/>
        <v>9722.8349965541947</v>
      </c>
      <c r="BC80" s="580">
        <f t="shared" si="561"/>
        <v>9623.0650204978974</v>
      </c>
      <c r="BD80" s="580">
        <f t="shared" si="561"/>
        <v>9524.2133697490535</v>
      </c>
      <c r="BE80" s="580">
        <f t="shared" si="561"/>
        <v>9426.3252258023131</v>
      </c>
      <c r="BF80" s="580">
        <f t="shared" si="561"/>
        <v>9329.3388255697682</v>
      </c>
      <c r="BG80" s="580">
        <f t="shared" si="561"/>
        <v>9233.2463550892353</v>
      </c>
      <c r="BH80" s="580">
        <f t="shared" si="561"/>
        <v>9138.0400655117228</v>
      </c>
      <c r="BI80" s="580">
        <f t="shared" si="561"/>
        <v>9043.7122725733843</v>
      </c>
      <c r="BJ80" s="580">
        <f t="shared" si="561"/>
        <v>8950.2553560717151</v>
      </c>
      <c r="BK80" s="580">
        <f t="shared" si="561"/>
        <v>8857.6617593458541</v>
      </c>
      <c r="BL80" s="580">
        <f t="shared" si="561"/>
        <v>8765.9239887610674</v>
      </c>
      <c r="BM80" s="580">
        <f t="shared" si="561"/>
        <v>8675.0346131973165</v>
      </c>
      <c r="BN80" s="580">
        <f t="shared" si="561"/>
        <v>8584.9862635418849</v>
      </c>
      <c r="BQ80" s="649"/>
      <c r="BR80" s="649"/>
      <c r="BS80" s="649"/>
      <c r="BT80" s="649"/>
      <c r="BU80" s="649"/>
      <c r="BV80" s="649"/>
      <c r="BW80" s="649"/>
      <c r="BX80" s="649"/>
      <c r="BY80" s="649"/>
      <c r="BZ80" s="649"/>
      <c r="CA80" s="649"/>
      <c r="CB80" s="649"/>
      <c r="CC80" s="649"/>
      <c r="CD80" s="649"/>
      <c r="CE80" s="649"/>
      <c r="CF80" s="649"/>
      <c r="CG80" s="649"/>
      <c r="CH80" s="649"/>
      <c r="CI80" s="649"/>
      <c r="CJ80" s="649"/>
      <c r="CK80" s="649"/>
      <c r="CL80" s="649"/>
    </row>
    <row r="81" spans="1:90">
      <c r="A81" s="603"/>
      <c r="B81" s="1" t="s">
        <v>1063</v>
      </c>
      <c r="C81" s="50" t="s">
        <v>1420</v>
      </c>
      <c r="D81" s="576">
        <f t="shared" ref="D81:S81" si="562">D37</f>
        <v>0</v>
      </c>
      <c r="E81" s="576">
        <f t="shared" si="562"/>
        <v>0</v>
      </c>
      <c r="F81" s="576">
        <f t="shared" si="562"/>
        <v>0</v>
      </c>
      <c r="G81" s="576">
        <f t="shared" si="562"/>
        <v>0</v>
      </c>
      <c r="H81" s="576">
        <f t="shared" si="562"/>
        <v>0</v>
      </c>
      <c r="I81" s="576">
        <f t="shared" si="562"/>
        <v>0</v>
      </c>
      <c r="J81" s="576">
        <f t="shared" si="562"/>
        <v>0</v>
      </c>
      <c r="K81" s="576">
        <f t="shared" si="562"/>
        <v>0</v>
      </c>
      <c r="L81" s="576">
        <f t="shared" si="562"/>
        <v>0</v>
      </c>
      <c r="M81" s="576">
        <f t="shared" si="562"/>
        <v>0</v>
      </c>
      <c r="N81" s="576">
        <f t="shared" si="562"/>
        <v>0</v>
      </c>
      <c r="O81" s="576">
        <f t="shared" si="562"/>
        <v>0</v>
      </c>
      <c r="P81" s="576">
        <f t="shared" si="562"/>
        <v>0</v>
      </c>
      <c r="Q81" s="576">
        <f t="shared" si="562"/>
        <v>0</v>
      </c>
      <c r="R81" s="576">
        <f t="shared" si="562"/>
        <v>0</v>
      </c>
      <c r="S81" s="576">
        <f t="shared" si="562"/>
        <v>0</v>
      </c>
      <c r="T81" s="576">
        <f t="shared" si="560"/>
        <v>0</v>
      </c>
      <c r="U81" s="576">
        <f t="shared" si="560"/>
        <v>0</v>
      </c>
      <c r="V81" s="576">
        <f t="shared" si="560"/>
        <v>0</v>
      </c>
      <c r="W81" s="576">
        <f t="shared" si="560"/>
        <v>0</v>
      </c>
      <c r="X81" s="576">
        <f t="shared" si="560"/>
        <v>0</v>
      </c>
      <c r="Y81" s="576">
        <f t="shared" si="560"/>
        <v>0</v>
      </c>
      <c r="Z81" s="576">
        <f t="shared" si="560"/>
        <v>0</v>
      </c>
      <c r="AA81" s="576">
        <f t="shared" si="560"/>
        <v>0</v>
      </c>
      <c r="AB81" s="576">
        <f t="shared" si="560"/>
        <v>0</v>
      </c>
      <c r="AC81" s="576">
        <f t="shared" si="560"/>
        <v>0</v>
      </c>
      <c r="AD81" s="576">
        <f t="shared" si="560"/>
        <v>0</v>
      </c>
      <c r="AE81" s="576">
        <f t="shared" si="560"/>
        <v>0</v>
      </c>
      <c r="AF81" s="576">
        <f t="shared" si="560"/>
        <v>0</v>
      </c>
      <c r="AG81" s="576">
        <f t="shared" si="560"/>
        <v>0</v>
      </c>
      <c r="AH81" s="576">
        <f t="shared" si="560"/>
        <v>0</v>
      </c>
      <c r="AI81" s="576"/>
      <c r="AJ81" s="576">
        <f t="shared" ref="AJ81:BN81" si="563">AJ37</f>
        <v>0</v>
      </c>
      <c r="AK81" s="576">
        <f t="shared" si="563"/>
        <v>0</v>
      </c>
      <c r="AL81" s="576">
        <f t="shared" si="563"/>
        <v>0</v>
      </c>
      <c r="AM81" s="576">
        <f t="shared" si="563"/>
        <v>0</v>
      </c>
      <c r="AN81" s="576">
        <f t="shared" si="563"/>
        <v>0</v>
      </c>
      <c r="AO81" s="576">
        <f t="shared" si="563"/>
        <v>0</v>
      </c>
      <c r="AP81" s="576">
        <f t="shared" si="563"/>
        <v>0</v>
      </c>
      <c r="AQ81" s="576">
        <f t="shared" si="563"/>
        <v>0</v>
      </c>
      <c r="AR81" s="576">
        <f t="shared" si="563"/>
        <v>0</v>
      </c>
      <c r="AS81" s="576">
        <f t="shared" si="563"/>
        <v>0</v>
      </c>
      <c r="AT81" s="576">
        <f t="shared" si="563"/>
        <v>0</v>
      </c>
      <c r="AU81" s="576">
        <f t="shared" si="563"/>
        <v>0</v>
      </c>
      <c r="AV81" s="576">
        <f t="shared" si="563"/>
        <v>0</v>
      </c>
      <c r="AW81" s="576">
        <f t="shared" si="563"/>
        <v>0</v>
      </c>
      <c r="AX81" s="576">
        <f t="shared" si="563"/>
        <v>0</v>
      </c>
      <c r="AY81" s="576">
        <f t="shared" si="563"/>
        <v>0</v>
      </c>
      <c r="AZ81" s="576">
        <f t="shared" si="563"/>
        <v>0</v>
      </c>
      <c r="BA81" s="576">
        <f t="shared" si="563"/>
        <v>0</v>
      </c>
      <c r="BB81" s="576">
        <f t="shared" si="563"/>
        <v>0</v>
      </c>
      <c r="BC81" s="576">
        <f t="shared" si="563"/>
        <v>0</v>
      </c>
      <c r="BD81" s="576">
        <f t="shared" si="563"/>
        <v>0</v>
      </c>
      <c r="BE81" s="576">
        <f t="shared" si="563"/>
        <v>0</v>
      </c>
      <c r="BF81" s="576">
        <f t="shared" si="563"/>
        <v>0</v>
      </c>
      <c r="BG81" s="576">
        <f t="shared" si="563"/>
        <v>0</v>
      </c>
      <c r="BH81" s="576">
        <f t="shared" si="563"/>
        <v>0</v>
      </c>
      <c r="BI81" s="576">
        <f t="shared" si="563"/>
        <v>0</v>
      </c>
      <c r="BJ81" s="576">
        <f t="shared" si="563"/>
        <v>0</v>
      </c>
      <c r="BK81" s="576">
        <f t="shared" si="563"/>
        <v>0</v>
      </c>
      <c r="BL81" s="576">
        <f t="shared" si="563"/>
        <v>0</v>
      </c>
      <c r="BM81" s="576">
        <f t="shared" si="563"/>
        <v>0</v>
      </c>
      <c r="BN81" s="576">
        <f t="shared" si="563"/>
        <v>0</v>
      </c>
    </row>
    <row r="82" spans="1:90" s="62" customFormat="1">
      <c r="A82" s="604"/>
      <c r="B82" s="58" t="s">
        <v>27</v>
      </c>
      <c r="C82" s="233" t="s">
        <v>1420</v>
      </c>
      <c r="D82" s="579">
        <f>D38-(D76-D79)</f>
        <v>151737.08091287801</v>
      </c>
      <c r="E82" s="579">
        <f t="shared" ref="E82:AH82" si="564">E38-(E76-E79)</f>
        <v>150263.28035613371</v>
      </c>
      <c r="F82" s="579">
        <f t="shared" si="564"/>
        <v>148782.05957955541</v>
      </c>
      <c r="G82" s="579">
        <f t="shared" si="564"/>
        <v>147293.6464390273</v>
      </c>
      <c r="H82" s="579">
        <f t="shared" si="564"/>
        <v>145798.26725087449</v>
      </c>
      <c r="I82" s="579">
        <f t="shared" si="564"/>
        <v>144296.14679764601</v>
      </c>
      <c r="J82" s="579">
        <f t="shared" si="564"/>
        <v>142787.50833389343</v>
      </c>
      <c r="K82" s="579">
        <f t="shared" si="564"/>
        <v>141272.57359194488</v>
      </c>
      <c r="L82" s="579">
        <f t="shared" si="564"/>
        <v>139751.56278767486</v>
      </c>
      <c r="M82" s="579">
        <f t="shared" si="564"/>
        <v>138224.69462626922</v>
      </c>
      <c r="N82" s="579">
        <f t="shared" si="564"/>
        <v>136692.18630798525</v>
      </c>
      <c r="O82" s="579">
        <f t="shared" si="564"/>
        <v>134792.86106011571</v>
      </c>
      <c r="P82" s="579">
        <f t="shared" si="564"/>
        <v>132888.55294367083</v>
      </c>
      <c r="Q82" s="579">
        <f t="shared" si="564"/>
        <v>130980.4368855026</v>
      </c>
      <c r="R82" s="579">
        <f t="shared" si="564"/>
        <v>129068.14576757693</v>
      </c>
      <c r="S82" s="579">
        <f t="shared" si="564"/>
        <v>127152.05095979539</v>
      </c>
      <c r="T82" s="579">
        <f t="shared" si="564"/>
        <v>125232.52018220874</v>
      </c>
      <c r="U82" s="579">
        <f t="shared" si="564"/>
        <v>123309.91751365412</v>
      </c>
      <c r="V82" s="579">
        <f t="shared" si="564"/>
        <v>121384.60340047724</v>
      </c>
      <c r="W82" s="579">
        <f t="shared" si="564"/>
        <v>119456.93466533786</v>
      </c>
      <c r="X82" s="579">
        <f t="shared" si="564"/>
        <v>117527.26451609741</v>
      </c>
      <c r="Y82" s="579">
        <f t="shared" si="564"/>
        <v>115443.44135054828</v>
      </c>
      <c r="Z82" s="579">
        <f t="shared" si="564"/>
        <v>113346.46408598023</v>
      </c>
      <c r="AA82" s="579">
        <f t="shared" si="564"/>
        <v>111239.0389518946</v>
      </c>
      <c r="AB82" s="579">
        <f t="shared" si="564"/>
        <v>109119.72560573817</v>
      </c>
      <c r="AC82" s="579">
        <f t="shared" si="564"/>
        <v>106989.11144264766</v>
      </c>
      <c r="AD82" s="579">
        <f t="shared" si="564"/>
        <v>104847.77367003197</v>
      </c>
      <c r="AE82" s="579">
        <f t="shared" si="564"/>
        <v>102696.27925138528</v>
      </c>
      <c r="AF82" s="579">
        <f t="shared" si="564"/>
        <v>100535.18485147684</v>
      </c>
      <c r="AG82" s="579">
        <f t="shared" si="564"/>
        <v>98365.036782905649</v>
      </c>
      <c r="AH82" s="579">
        <f t="shared" si="564"/>
        <v>96186.37095400742</v>
      </c>
      <c r="AI82" s="579"/>
      <c r="AJ82" s="579">
        <f>AJ38-(AJ76-AJ79)</f>
        <v>151737.08091287801</v>
      </c>
      <c r="AK82" s="579">
        <f t="shared" ref="AK82:BM82" si="565">AK38-(AK76-AK79)</f>
        <v>150323.86567706842</v>
      </c>
      <c r="AL82" s="579">
        <f t="shared" si="565"/>
        <v>148902.38589689587</v>
      </c>
      <c r="AM82" s="579">
        <f t="shared" si="565"/>
        <v>147472.87825320286</v>
      </c>
      <c r="AN82" s="579">
        <f t="shared" si="565"/>
        <v>146035.57780528226</v>
      </c>
      <c r="AO82" s="579">
        <f t="shared" si="565"/>
        <v>144590.71799737483</v>
      </c>
      <c r="AP82" s="579">
        <f t="shared" si="565"/>
        <v>143138.53066515533</v>
      </c>
      <c r="AQ82" s="579">
        <f t="shared" si="565"/>
        <v>141679.24604220939</v>
      </c>
      <c r="AR82" s="579">
        <f t="shared" si="565"/>
        <v>140213.09276649947</v>
      </c>
      <c r="AS82" s="579">
        <f t="shared" si="565"/>
        <v>138740.29788682031</v>
      </c>
      <c r="AT82" s="579">
        <f t="shared" si="565"/>
        <v>137261.08686924397</v>
      </c>
      <c r="AU82" s="579">
        <f t="shared" si="565"/>
        <v>135499.11308582881</v>
      </c>
      <c r="AV82" s="579">
        <f t="shared" si="565"/>
        <v>133730.2146645016</v>
      </c>
      <c r="AW82" s="579">
        <f t="shared" si="565"/>
        <v>131955.58692390463</v>
      </c>
      <c r="AX82" s="579">
        <f t="shared" si="565"/>
        <v>130174.88294789215</v>
      </c>
      <c r="AY82" s="579">
        <f t="shared" si="565"/>
        <v>128388.49412000843</v>
      </c>
      <c r="AZ82" s="579">
        <f t="shared" si="565"/>
        <v>126596.80798734361</v>
      </c>
      <c r="BA82" s="579">
        <f t="shared" si="565"/>
        <v>124800.20827080002</v>
      </c>
      <c r="BB82" s="579">
        <f t="shared" si="565"/>
        <v>122999.07487542943</v>
      </c>
      <c r="BC82" s="579">
        <f t="shared" si="565"/>
        <v>121193.78390083973</v>
      </c>
      <c r="BD82" s="579">
        <f t="shared" si="565"/>
        <v>119384.70765167147</v>
      </c>
      <c r="BE82" s="579">
        <f t="shared" si="565"/>
        <v>117421.33278278544</v>
      </c>
      <c r="BF82" s="579">
        <f t="shared" si="565"/>
        <v>115443.03504643214</v>
      </c>
      <c r="BG82" s="579">
        <f t="shared" si="565"/>
        <v>113452.53947365588</v>
      </c>
      <c r="BH82" s="579">
        <f t="shared" si="565"/>
        <v>111448.4243473065</v>
      </c>
      <c r="BI82" s="579">
        <f t="shared" si="565"/>
        <v>109431.2955133255</v>
      </c>
      <c r="BJ82" s="579">
        <f t="shared" si="565"/>
        <v>107401.74845685728</v>
      </c>
      <c r="BK82" s="579">
        <f t="shared" si="565"/>
        <v>105360.36824757818</v>
      </c>
      <c r="BL82" s="579">
        <f t="shared" si="565"/>
        <v>103307.72948638957</v>
      </c>
      <c r="BM82" s="579">
        <f t="shared" si="565"/>
        <v>101244.39625346355</v>
      </c>
      <c r="BN82" s="579">
        <f>BN38-(BN76-BN79)</f>
        <v>99170.922057627715</v>
      </c>
      <c r="BQ82" s="623"/>
      <c r="BR82" s="623"/>
      <c r="BS82" s="623"/>
      <c r="BT82" s="623"/>
      <c r="BU82" s="623"/>
      <c r="BV82" s="623"/>
      <c r="BW82" s="623"/>
      <c r="BX82" s="623"/>
      <c r="BY82" s="623"/>
      <c r="BZ82" s="623"/>
      <c r="CA82" s="623"/>
      <c r="CB82" s="623"/>
      <c r="CC82" s="623"/>
      <c r="CD82" s="623"/>
      <c r="CE82" s="623"/>
      <c r="CF82" s="623"/>
      <c r="CG82" s="623"/>
      <c r="CH82" s="623"/>
      <c r="CI82" s="623"/>
      <c r="CJ82" s="623"/>
      <c r="CK82" s="623"/>
      <c r="CL82" s="623"/>
    </row>
    <row r="83" spans="1:90">
      <c r="A83" s="54" t="s">
        <v>262</v>
      </c>
      <c r="B83" s="54" t="s">
        <v>200</v>
      </c>
      <c r="C83" s="93" t="s">
        <v>1420</v>
      </c>
      <c r="D83" s="572">
        <f t="shared" ref="D83:AH83" si="566">D24</f>
        <v>126171.28546415325</v>
      </c>
      <c r="E83" s="572">
        <f t="shared" si="566"/>
        <v>124864.76979148551</v>
      </c>
      <c r="F83" s="572">
        <f t="shared" si="566"/>
        <v>123567.64832468326</v>
      </c>
      <c r="G83" s="572">
        <f t="shared" si="566"/>
        <v>122279.87230767609</v>
      </c>
      <c r="H83" s="572">
        <f t="shared" si="566"/>
        <v>121001.39307725272</v>
      </c>
      <c r="I83" s="572">
        <f t="shared" si="566"/>
        <v>119732.16206504358</v>
      </c>
      <c r="J83" s="572">
        <f t="shared" si="566"/>
        <v>118472.13079946465</v>
      </c>
      <c r="K83" s="572">
        <f t="shared" si="566"/>
        <v>117221.25090762344</v>
      </c>
      <c r="L83" s="572">
        <f t="shared" si="566"/>
        <v>115979.47411718752</v>
      </c>
      <c r="M83" s="572">
        <f t="shared" si="566"/>
        <v>114746.75225821596</v>
      </c>
      <c r="N83" s="572">
        <f t="shared" si="566"/>
        <v>113523.03726495412</v>
      </c>
      <c r="O83" s="572">
        <f t="shared" si="566"/>
        <v>111344.64056845367</v>
      </c>
      <c r="P83" s="572">
        <f t="shared" si="566"/>
        <v>109172.29564759659</v>
      </c>
      <c r="Q83" s="572">
        <f t="shared" si="566"/>
        <v>107006.15489596748</v>
      </c>
      <c r="R83" s="572">
        <f t="shared" si="566"/>
        <v>104846.3673769848</v>
      </c>
      <c r="S83" s="572">
        <f t="shared" si="566"/>
        <v>102693.07886926984</v>
      </c>
      <c r="T83" s="572">
        <f t="shared" si="566"/>
        <v>100546.43191150093</v>
      </c>
      <c r="U83" s="572">
        <f t="shared" si="566"/>
        <v>98406.565846757978</v>
      </c>
      <c r="V83" s="572">
        <f t="shared" si="566"/>
        <v>96273.616866362601</v>
      </c>
      <c r="W83" s="572">
        <f t="shared" si="566"/>
        <v>94147.718053219171</v>
      </c>
      <c r="X83" s="572">
        <f t="shared" si="566"/>
        <v>92028.999424661684</v>
      </c>
      <c r="Y83" s="572">
        <f t="shared" si="566"/>
        <v>87856.635918710585</v>
      </c>
      <c r="Z83" s="572">
        <f t="shared" si="566"/>
        <v>83716.920220280488</v>
      </c>
      <c r="AA83" s="572">
        <f t="shared" si="566"/>
        <v>79609.746471084174</v>
      </c>
      <c r="AB83" s="572">
        <f t="shared" si="566"/>
        <v>75535.007681802963</v>
      </c>
      <c r="AC83" s="572">
        <f t="shared" si="566"/>
        <v>71492.595760103854</v>
      </c>
      <c r="AD83" s="572">
        <f t="shared" si="566"/>
        <v>67482.401538271704</v>
      </c>
      <c r="AE83" s="572">
        <f t="shared" si="566"/>
        <v>63504.314800460415</v>
      </c>
      <c r="AF83" s="572">
        <f t="shared" si="566"/>
        <v>59558.224309567813</v>
      </c>
      <c r="AG83" s="572">
        <f t="shared" si="566"/>
        <v>55644.017833738246</v>
      </c>
      <c r="AH83" s="572">
        <f t="shared" si="566"/>
        <v>51761.582172497358</v>
      </c>
      <c r="AI83" s="99"/>
      <c r="AJ83" s="572">
        <f t="shared" ref="AJ83:BN83" si="567">AJ24</f>
        <v>126171.28546415325</v>
      </c>
      <c r="AK83" s="572">
        <f t="shared" si="567"/>
        <v>125203.73508249396</v>
      </c>
      <c r="AL83" s="572">
        <f t="shared" si="567"/>
        <v>124242.19877045084</v>
      </c>
      <c r="AM83" s="572">
        <f t="shared" si="567"/>
        <v>123286.64905670249</v>
      </c>
      <c r="AN83" s="572">
        <f t="shared" si="567"/>
        <v>122337.05849552166</v>
      </c>
      <c r="AO83" s="572">
        <f t="shared" si="567"/>
        <v>121393.39966820709</v>
      </c>
      <c r="AP83" s="572">
        <f t="shared" si="567"/>
        <v>120455.64518449082</v>
      </c>
      <c r="AQ83" s="572">
        <f t="shared" si="567"/>
        <v>119523.76768392159</v>
      </c>
      <c r="AR83" s="572">
        <f t="shared" si="567"/>
        <v>118597.73983722436</v>
      </c>
      <c r="AS83" s="572">
        <f t="shared" si="567"/>
        <v>117677.53434763645</v>
      </c>
      <c r="AT83" s="572">
        <f t="shared" si="567"/>
        <v>116763.12395222027</v>
      </c>
      <c r="AU83" s="572">
        <f t="shared" si="567"/>
        <v>115547.90673747144</v>
      </c>
      <c r="AV83" s="572">
        <f t="shared" si="567"/>
        <v>114334.55831394529</v>
      </c>
      <c r="AW83" s="572">
        <f t="shared" si="567"/>
        <v>113123.17712258118</v>
      </c>
      <c r="AX83" s="572">
        <f t="shared" si="567"/>
        <v>111913.85968541977</v>
      </c>
      <c r="AY83" s="572">
        <f t="shared" si="567"/>
        <v>110706.70063074466</v>
      </c>
      <c r="AZ83" s="572">
        <f t="shared" si="567"/>
        <v>109501.7927179447</v>
      </c>
      <c r="BA83" s="572">
        <f t="shared" si="567"/>
        <v>108299.22686209985</v>
      </c>
      <c r="BB83" s="572">
        <f t="shared" si="567"/>
        <v>107099.09215829313</v>
      </c>
      <c r="BC83" s="572">
        <f t="shared" si="567"/>
        <v>105901.47590565179</v>
      </c>
      <c r="BD83" s="572">
        <f t="shared" si="567"/>
        <v>104706.46363112019</v>
      </c>
      <c r="BE83" s="572">
        <f t="shared" si="567"/>
        <v>102374.7229079387</v>
      </c>
      <c r="BF83" s="572">
        <f t="shared" si="567"/>
        <v>100059.87850577461</v>
      </c>
      <c r="BG83" s="572">
        <f t="shared" si="567"/>
        <v>97761.881441048914</v>
      </c>
      <c r="BH83" s="572">
        <f t="shared" si="567"/>
        <v>95480.682081887848</v>
      </c>
      <c r="BI83" s="572">
        <f t="shared" si="567"/>
        <v>93216.230163093598</v>
      </c>
      <c r="BJ83" s="572">
        <f t="shared" si="567"/>
        <v>90968.474800913071</v>
      </c>
      <c r="BK83" s="572">
        <f t="shared" si="567"/>
        <v>88737.364507606748</v>
      </c>
      <c r="BL83" s="572">
        <f t="shared" si="567"/>
        <v>86522.847205820319</v>
      </c>
      <c r="BM83" s="572">
        <f t="shared" si="567"/>
        <v>84324.870242760924</v>
      </c>
      <c r="BN83" s="572">
        <f t="shared" si="567"/>
        <v>82143.380404180585</v>
      </c>
    </row>
    <row r="84" spans="1:90">
      <c r="A84"/>
      <c r="B84" t="s">
        <v>266</v>
      </c>
      <c r="C84" s="50" t="s">
        <v>1420</v>
      </c>
      <c r="D84" s="99">
        <f>'Methanol Recycling HC'!C138</f>
        <v>0</v>
      </c>
      <c r="E84" s="99">
        <f>'Methanol Recycling HC'!D138</f>
        <v>33.865303247620773</v>
      </c>
      <c r="F84" s="99">
        <f>'Methanol Recycling HC'!E138</f>
        <v>75.379894371765062</v>
      </c>
      <c r="G84" s="99">
        <f>'Methanol Recycling HC'!F138</f>
        <v>125.22687057153837</v>
      </c>
      <c r="H84" s="99">
        <f>'Methanol Recycling HC'!G138</f>
        <v>184.08307196681938</v>
      </c>
      <c r="I84" s="99">
        <f>'Methanol Recycling HC'!H138</f>
        <v>252.61911654618203</v>
      </c>
      <c r="J84" s="99">
        <f>'Methanol Recycling HC'!I138</f>
        <v>331.49943495959849</v>
      </c>
      <c r="K84" s="99">
        <f>'Methanol Recycling HC'!J138</f>
        <v>421.38230515652413</v>
      </c>
      <c r="L84" s="99">
        <f>'Methanol Recycling HC'!K138</f>
        <v>522.91988686996513</v>
      </c>
      <c r="M84" s="99">
        <f>'Methanol Recycling HC'!L138</f>
        <v>636.75825594712569</v>
      </c>
      <c r="N84" s="99">
        <f>'Methanol Recycling HC'!M138</f>
        <v>763.53743852722982</v>
      </c>
      <c r="O84" s="99">
        <f>'Methanol Recycling HC'!N138</f>
        <v>890.35976742518278</v>
      </c>
      <c r="P84" s="99">
        <f>'Methanol Recycling HC'!O138</f>
        <v>1028.3533935585281</v>
      </c>
      <c r="Q84" s="99">
        <f>'Methanol Recycling HC'!P138</f>
        <v>1173.6803622334871</v>
      </c>
      <c r="R84" s="99">
        <f>'Methanol Recycling HC'!Q138</f>
        <v>1329.8556118769102</v>
      </c>
      <c r="S84" s="99">
        <f>'Methanol Recycling HC'!R138</f>
        <v>1497.1400363936407</v>
      </c>
      <c r="T84" s="99">
        <f>'Methanol Recycling HC'!S138</f>
        <v>1675.7836069859814</v>
      </c>
      <c r="U84" s="99">
        <f>'Methanol Recycling HC'!T138</f>
        <v>1866.0253755137778</v>
      </c>
      <c r="V84" s="99">
        <f>'Methanol Recycling HC'!U138</f>
        <v>2068.0934785484105</v>
      </c>
      <c r="W84" s="99">
        <f>'Methanol Recycling HC'!V138</f>
        <v>2282.2051421135134</v>
      </c>
      <c r="X84" s="99">
        <f>'Methanol Recycling HC'!W138</f>
        <v>2508.5666871052736</v>
      </c>
      <c r="Y84" s="99">
        <f>'Methanol Recycling HC'!X138</f>
        <v>2781.3449027723027</v>
      </c>
      <c r="Z84" s="99">
        <f>'Methanol Recycling HC'!Y138</f>
        <v>3071.1988212308083</v>
      </c>
      <c r="AA84" s="99">
        <f>'Methanol Recycling HC'!Z138</f>
        <v>3348.9001398358628</v>
      </c>
      <c r="AB84" s="99">
        <f>'Methanol Recycling HC'!AA138</f>
        <v>3637.9460850837345</v>
      </c>
      <c r="AC84" s="99">
        <f>'Methanol Recycling HC'!AB138</f>
        <v>3937.9396570873655</v>
      </c>
      <c r="AD84" s="99">
        <f>'Methanol Recycling HC'!AC138</f>
        <v>4248.4295118251957</v>
      </c>
      <c r="AE84" s="99">
        <f>'Methanol Recycling HC'!AD138</f>
        <v>4568.9094136954709</v>
      </c>
      <c r="AF84" s="99">
        <f>'Methanol Recycling HC'!AE138</f>
        <v>4898.8176993756178</v>
      </c>
      <c r="AG84" s="99">
        <f>'Methanol Recycling HC'!AF138</f>
        <v>5237.5367528887627</v>
      </c>
      <c r="AH84" s="99">
        <f>'Methanol Recycling HC'!AG138</f>
        <v>5584.3924917801523</v>
      </c>
      <c r="AI84" s="99"/>
      <c r="AJ84" s="99">
        <f>D84</f>
        <v>0</v>
      </c>
      <c r="AK84" s="99">
        <f t="shared" ref="AK84:BN84" si="568">E84</f>
        <v>33.865303247620773</v>
      </c>
      <c r="AL84" s="99">
        <f t="shared" si="568"/>
        <v>75.379894371765062</v>
      </c>
      <c r="AM84" s="99">
        <f t="shared" si="568"/>
        <v>125.22687057153837</v>
      </c>
      <c r="AN84" s="99">
        <f t="shared" si="568"/>
        <v>184.08307196681938</v>
      </c>
      <c r="AO84" s="99">
        <f t="shared" si="568"/>
        <v>252.61911654618203</v>
      </c>
      <c r="AP84" s="99">
        <f t="shared" si="568"/>
        <v>331.49943495959849</v>
      </c>
      <c r="AQ84" s="99">
        <f t="shared" si="568"/>
        <v>421.38230515652413</v>
      </c>
      <c r="AR84" s="99">
        <f t="shared" si="568"/>
        <v>522.91988686996513</v>
      </c>
      <c r="AS84" s="99">
        <f t="shared" si="568"/>
        <v>636.75825594712569</v>
      </c>
      <c r="AT84" s="99">
        <f t="shared" si="568"/>
        <v>763.53743852722982</v>
      </c>
      <c r="AU84" s="99">
        <f t="shared" si="568"/>
        <v>890.35976742518278</v>
      </c>
      <c r="AV84" s="99">
        <f t="shared" si="568"/>
        <v>1028.3533935585281</v>
      </c>
      <c r="AW84" s="99">
        <f t="shared" si="568"/>
        <v>1173.6803622334871</v>
      </c>
      <c r="AX84" s="99">
        <f t="shared" si="568"/>
        <v>1329.8556118769102</v>
      </c>
      <c r="AY84" s="99">
        <f t="shared" si="568"/>
        <v>1497.1400363936407</v>
      </c>
      <c r="AZ84" s="99">
        <f t="shared" si="568"/>
        <v>1675.7836069859814</v>
      </c>
      <c r="BA84" s="99">
        <f t="shared" si="568"/>
        <v>1866.0253755137778</v>
      </c>
      <c r="BB84" s="99">
        <f t="shared" si="568"/>
        <v>2068.0934785484105</v>
      </c>
      <c r="BC84" s="99">
        <f t="shared" si="568"/>
        <v>2282.2051421135134</v>
      </c>
      <c r="BD84" s="99">
        <f t="shared" si="568"/>
        <v>2508.5666871052736</v>
      </c>
      <c r="BE84" s="99">
        <f t="shared" si="568"/>
        <v>2781.3449027723027</v>
      </c>
      <c r="BF84" s="99">
        <f t="shared" si="568"/>
        <v>3071.1988212308083</v>
      </c>
      <c r="BG84" s="99">
        <f t="shared" si="568"/>
        <v>3348.9001398358628</v>
      </c>
      <c r="BH84" s="99">
        <f t="shared" si="568"/>
        <v>3637.9460850837345</v>
      </c>
      <c r="BI84" s="99">
        <f t="shared" si="568"/>
        <v>3937.9396570873655</v>
      </c>
      <c r="BJ84" s="99">
        <f t="shared" si="568"/>
        <v>4248.4295118251957</v>
      </c>
      <c r="BK84" s="99">
        <f t="shared" si="568"/>
        <v>4568.9094136954709</v>
      </c>
      <c r="BL84" s="99">
        <f t="shared" si="568"/>
        <v>4898.8176993756178</v>
      </c>
      <c r="BM84" s="99">
        <f t="shared" si="568"/>
        <v>5237.5367528887627</v>
      </c>
      <c r="BN84" s="99">
        <f t="shared" si="568"/>
        <v>5584.3924917801523</v>
      </c>
    </row>
    <row r="85" spans="1:90">
      <c r="A85" s="58"/>
      <c r="B85" s="58" t="s">
        <v>267</v>
      </c>
      <c r="C85" s="59" t="s">
        <v>1420</v>
      </c>
      <c r="D85" s="577">
        <f>D83-D84</f>
        <v>126171.28546415325</v>
      </c>
      <c r="E85" s="577">
        <f t="shared" ref="E85:AG85" si="569">E83-E84</f>
        <v>124830.90448823789</v>
      </c>
      <c r="F85" s="577">
        <f t="shared" si="569"/>
        <v>123492.26843031149</v>
      </c>
      <c r="G85" s="577">
        <f t="shared" si="569"/>
        <v>122154.64543710455</v>
      </c>
      <c r="H85" s="577">
        <f t="shared" si="569"/>
        <v>120817.31000528591</v>
      </c>
      <c r="I85" s="577">
        <f t="shared" si="569"/>
        <v>119479.5429484974</v>
      </c>
      <c r="J85" s="577">
        <f t="shared" si="569"/>
        <v>118140.63136450505</v>
      </c>
      <c r="K85" s="577">
        <f t="shared" si="569"/>
        <v>116799.86860246692</v>
      </c>
      <c r="L85" s="577">
        <f t="shared" si="569"/>
        <v>115456.55423031756</v>
      </c>
      <c r="M85" s="577">
        <f t="shared" si="569"/>
        <v>114109.99400226884</v>
      </c>
      <c r="N85" s="577">
        <f t="shared" si="569"/>
        <v>112759.49982642689</v>
      </c>
      <c r="O85" s="577">
        <f t="shared" si="569"/>
        <v>110454.28080102849</v>
      </c>
      <c r="P85" s="577">
        <f t="shared" si="569"/>
        <v>108143.94225403806</v>
      </c>
      <c r="Q85" s="577">
        <f t="shared" si="569"/>
        <v>105832.474533734</v>
      </c>
      <c r="R85" s="577">
        <f t="shared" si="569"/>
        <v>103516.51176510789</v>
      </c>
      <c r="S85" s="577">
        <f t="shared" si="569"/>
        <v>101195.9388328762</v>
      </c>
      <c r="T85" s="577">
        <f t="shared" si="569"/>
        <v>98870.648304514951</v>
      </c>
      <c r="U85" s="577">
        <f t="shared" si="569"/>
        <v>96540.540471244196</v>
      </c>
      <c r="V85" s="577">
        <f t="shared" si="569"/>
        <v>94205.523387814188</v>
      </c>
      <c r="W85" s="577">
        <f t="shared" si="569"/>
        <v>91865.512911105659</v>
      </c>
      <c r="X85" s="577">
        <f t="shared" si="569"/>
        <v>89520.432737556417</v>
      </c>
      <c r="Y85" s="577">
        <f t="shared" si="569"/>
        <v>85075.291015938288</v>
      </c>
      <c r="Z85" s="577">
        <f t="shared" si="569"/>
        <v>80645.721399049682</v>
      </c>
      <c r="AA85" s="577">
        <f t="shared" si="569"/>
        <v>76260.846331248307</v>
      </c>
      <c r="AB85" s="577">
        <f t="shared" si="569"/>
        <v>71897.061596719228</v>
      </c>
      <c r="AC85" s="577">
        <f t="shared" si="569"/>
        <v>67554.656103016488</v>
      </c>
      <c r="AD85" s="577">
        <f t="shared" si="569"/>
        <v>63233.972026446507</v>
      </c>
      <c r="AE85" s="577">
        <f t="shared" si="569"/>
        <v>58935.405386764942</v>
      </c>
      <c r="AF85" s="577">
        <f t="shared" si="569"/>
        <v>54659.406610192193</v>
      </c>
      <c r="AG85" s="577">
        <f t="shared" si="569"/>
        <v>50406.48108084948</v>
      </c>
      <c r="AH85" s="577">
        <f>AH83-AH84</f>
        <v>46177.189680717202</v>
      </c>
      <c r="AI85" s="99"/>
      <c r="AJ85" s="577">
        <f>AJ83-AJ84</f>
        <v>126171.28546415325</v>
      </c>
      <c r="AK85" s="577">
        <f t="shared" ref="AK85:BN85" si="570">AK83-AK84</f>
        <v>125169.86977924635</v>
      </c>
      <c r="AL85" s="577">
        <f t="shared" si="570"/>
        <v>124166.81887607907</v>
      </c>
      <c r="AM85" s="577">
        <f t="shared" si="570"/>
        <v>123161.42218613095</v>
      </c>
      <c r="AN85" s="577">
        <f t="shared" si="570"/>
        <v>122152.97542355485</v>
      </c>
      <c r="AO85" s="577">
        <f t="shared" si="570"/>
        <v>121140.78055166091</v>
      </c>
      <c r="AP85" s="577">
        <f t="shared" si="570"/>
        <v>120124.14574953122</v>
      </c>
      <c r="AQ85" s="577">
        <f t="shared" si="570"/>
        <v>119102.38537876506</v>
      </c>
      <c r="AR85" s="577">
        <f t="shared" si="570"/>
        <v>118074.8199503544</v>
      </c>
      <c r="AS85" s="577">
        <f t="shared" si="570"/>
        <v>117040.77609168933</v>
      </c>
      <c r="AT85" s="577">
        <f t="shared" si="570"/>
        <v>115999.58651369304</v>
      </c>
      <c r="AU85" s="577">
        <f t="shared" si="570"/>
        <v>114657.54697004626</v>
      </c>
      <c r="AV85" s="577">
        <f t="shared" si="570"/>
        <v>113306.20492038676</v>
      </c>
      <c r="AW85" s="577">
        <f t="shared" si="570"/>
        <v>111949.4967603477</v>
      </c>
      <c r="AX85" s="577">
        <f t="shared" si="570"/>
        <v>110584.00407354286</v>
      </c>
      <c r="AY85" s="577">
        <f t="shared" si="570"/>
        <v>109209.56059435102</v>
      </c>
      <c r="AZ85" s="577">
        <f t="shared" si="570"/>
        <v>107826.00911095872</v>
      </c>
      <c r="BA85" s="577">
        <f t="shared" si="570"/>
        <v>106433.20148658607</v>
      </c>
      <c r="BB85" s="577">
        <f t="shared" si="570"/>
        <v>105030.99867974472</v>
      </c>
      <c r="BC85" s="577">
        <f t="shared" si="570"/>
        <v>103619.27076353828</v>
      </c>
      <c r="BD85" s="577">
        <f t="shared" si="570"/>
        <v>102197.89694401492</v>
      </c>
      <c r="BE85" s="577">
        <f t="shared" si="570"/>
        <v>99593.378005166407</v>
      </c>
      <c r="BF85" s="577">
        <f t="shared" si="570"/>
        <v>96988.679684543808</v>
      </c>
      <c r="BG85" s="577">
        <f t="shared" si="570"/>
        <v>94412.981301213047</v>
      </c>
      <c r="BH85" s="577">
        <f t="shared" si="570"/>
        <v>91842.735996804113</v>
      </c>
      <c r="BI85" s="577">
        <f t="shared" si="570"/>
        <v>89278.290506006233</v>
      </c>
      <c r="BJ85" s="577">
        <f t="shared" si="570"/>
        <v>86720.045289087881</v>
      </c>
      <c r="BK85" s="577">
        <f t="shared" si="570"/>
        <v>84168.455093911281</v>
      </c>
      <c r="BL85" s="577">
        <f t="shared" si="570"/>
        <v>81624.029506444698</v>
      </c>
      <c r="BM85" s="577">
        <f t="shared" si="570"/>
        <v>79087.333489872166</v>
      </c>
      <c r="BN85" s="577">
        <f t="shared" si="570"/>
        <v>76558.987912400436</v>
      </c>
    </row>
    <row r="86" spans="1:90" s="61" customFormat="1">
      <c r="A86" s="602"/>
      <c r="B86" s="54" t="s">
        <v>804</v>
      </c>
      <c r="C86" s="55" t="s">
        <v>1420</v>
      </c>
      <c r="D86" s="580">
        <f>D25</f>
        <v>8875.2641892065731</v>
      </c>
      <c r="E86" s="580">
        <f t="shared" ref="E86:AH86" si="571">E25</f>
        <v>8783.359983589522</v>
      </c>
      <c r="F86" s="580">
        <f t="shared" si="571"/>
        <v>8692.1165944062377</v>
      </c>
      <c r="G86" s="580">
        <f t="shared" si="571"/>
        <v>8601.5305920094397</v>
      </c>
      <c r="H86" s="580">
        <f t="shared" si="571"/>
        <v>8511.5985532838404</v>
      </c>
      <c r="I86" s="580">
        <f t="shared" si="571"/>
        <v>8422.3170617855976</v>
      </c>
      <c r="J86" s="580">
        <f t="shared" si="571"/>
        <v>8333.6827078790539</v>
      </c>
      <c r="K86" s="580">
        <f t="shared" si="571"/>
        <v>8245.6920888708082</v>
      </c>
      <c r="L86" s="580">
        <f t="shared" si="571"/>
        <v>8158.341809141155</v>
      </c>
      <c r="M86" s="580">
        <f t="shared" si="571"/>
        <v>8071.6284802729069</v>
      </c>
      <c r="N86" s="580">
        <f t="shared" si="571"/>
        <v>7985.5487211776617</v>
      </c>
      <c r="O86" s="580">
        <f t="shared" si="571"/>
        <v>7832.3138062823127</v>
      </c>
      <c r="P86" s="580">
        <f t="shared" si="571"/>
        <v>7679.5045913190124</v>
      </c>
      <c r="Q86" s="580">
        <f t="shared" si="571"/>
        <v>7527.1317961066115</v>
      </c>
      <c r="R86" s="580">
        <f t="shared" si="571"/>
        <v>7375.2059062101471</v>
      </c>
      <c r="S86" s="580">
        <f t="shared" si="571"/>
        <v>7223.7371761322383</v>
      </c>
      <c r="T86" s="580">
        <f t="shared" si="571"/>
        <v>7072.7356324682596</v>
      </c>
      <c r="U86" s="580">
        <f t="shared" si="571"/>
        <v>6922.2110770256713</v>
      </c>
      <c r="V86" s="580">
        <f t="shared" si="571"/>
        <v>6772.1730899078648</v>
      </c>
      <c r="W86" s="580">
        <f t="shared" si="571"/>
        <v>6622.6310325628974</v>
      </c>
      <c r="X86" s="580">
        <f t="shared" si="571"/>
        <v>6473.5940507974738</v>
      </c>
      <c r="Y86" s="580">
        <f t="shared" si="571"/>
        <v>6180.097568832557</v>
      </c>
      <c r="Z86" s="580">
        <f t="shared" si="571"/>
        <v>5888.8976309337595</v>
      </c>
      <c r="AA86" s="580">
        <f t="shared" si="571"/>
        <v>5599.9867907137168</v>
      </c>
      <c r="AB86" s="580">
        <f t="shared" si="571"/>
        <v>5313.3575222249428</v>
      </c>
      <c r="AC86" s="580">
        <f t="shared" si="571"/>
        <v>5029.0022219306366</v>
      </c>
      <c r="AD86" s="580">
        <f t="shared" si="571"/>
        <v>4746.9132106484158</v>
      </c>
      <c r="AE86" s="580">
        <f t="shared" si="571"/>
        <v>4467.0827354672365</v>
      </c>
      <c r="AF86" s="580">
        <f t="shared" si="571"/>
        <v>4189.5029716378667</v>
      </c>
      <c r="AG86" s="580">
        <f t="shared" si="571"/>
        <v>3914.166024437146</v>
      </c>
      <c r="AH86" s="580">
        <f t="shared" si="571"/>
        <v>3641.0639310063898</v>
      </c>
      <c r="AI86" s="580"/>
      <c r="AJ86" s="580">
        <f>AJ25</f>
        <v>8875.2641892065731</v>
      </c>
      <c r="AK86" s="580">
        <f t="shared" ref="AK86:BN86" si="572">AK25</f>
        <v>8807.2038122198173</v>
      </c>
      <c r="AL86" s="580">
        <f t="shared" si="572"/>
        <v>8739.5664828108002</v>
      </c>
      <c r="AM86" s="580">
        <f t="shared" si="572"/>
        <v>8672.3502685649146</v>
      </c>
      <c r="AN86" s="580">
        <f t="shared" si="572"/>
        <v>8605.5532388679221</v>
      </c>
      <c r="AO86" s="580">
        <f t="shared" si="572"/>
        <v>8539.1734650066719</v>
      </c>
      <c r="AP86" s="580">
        <f t="shared" si="572"/>
        <v>8473.2090202680993</v>
      </c>
      <c r="AQ86" s="580">
        <f t="shared" si="572"/>
        <v>8407.6579800365307</v>
      </c>
      <c r="AR86" s="580">
        <f t="shared" si="572"/>
        <v>8342.5184218893246</v>
      </c>
      <c r="AS86" s="580">
        <f t="shared" si="572"/>
        <v>8277.788425690851</v>
      </c>
      <c r="AT86" s="580">
        <f t="shared" si="572"/>
        <v>8213.4660736848473</v>
      </c>
      <c r="AU86" s="580">
        <f t="shared" si="572"/>
        <v>8127.9840736521865</v>
      </c>
      <c r="AV86" s="580">
        <f t="shared" si="572"/>
        <v>8042.633529962819</v>
      </c>
      <c r="AW86" s="580">
        <f t="shared" si="572"/>
        <v>7957.4213672457572</v>
      </c>
      <c r="AX86" s="580">
        <f t="shared" si="572"/>
        <v>7872.3543751489606</v>
      </c>
      <c r="AY86" s="580">
        <f t="shared" si="572"/>
        <v>7787.4392101078756</v>
      </c>
      <c r="AZ86" s="580">
        <f t="shared" si="572"/>
        <v>7702.6823970943205</v>
      </c>
      <c r="BA86" s="580">
        <f t="shared" si="572"/>
        <v>7618.0903313459321</v>
      </c>
      <c r="BB86" s="580">
        <f t="shared" si="572"/>
        <v>7533.6692800763385</v>
      </c>
      <c r="BC86" s="580">
        <f t="shared" si="572"/>
        <v>7449.4253841662876</v>
      </c>
      <c r="BD86" s="580">
        <f t="shared" si="572"/>
        <v>7365.3646598359019</v>
      </c>
      <c r="BE86" s="580">
        <f t="shared" si="572"/>
        <v>7201.343069163855</v>
      </c>
      <c r="BF86" s="580">
        <f t="shared" si="572"/>
        <v>7038.510016060427</v>
      </c>
      <c r="BG86" s="580">
        <f t="shared" si="572"/>
        <v>6876.8620548747067</v>
      </c>
      <c r="BH86" s="580">
        <f t="shared" si="572"/>
        <v>6716.3956943528001</v>
      </c>
      <c r="BI86" s="580">
        <f t="shared" si="572"/>
        <v>6557.1073986909096</v>
      </c>
      <c r="BJ86" s="580">
        <f t="shared" si="572"/>
        <v>6398.9935885742207</v>
      </c>
      <c r="BK86" s="580">
        <f t="shared" si="572"/>
        <v>6242.0506422017061</v>
      </c>
      <c r="BL86" s="580">
        <f t="shared" si="572"/>
        <v>6086.2748962970845</v>
      </c>
      <c r="BM86" s="580">
        <f t="shared" si="572"/>
        <v>5931.6626471060081</v>
      </c>
      <c r="BN86" s="580">
        <f t="shared" si="572"/>
        <v>5778.2101513797052</v>
      </c>
      <c r="BQ86" s="649"/>
      <c r="BR86" s="649"/>
      <c r="BS86" s="649"/>
      <c r="BT86" s="649"/>
      <c r="BU86" s="649"/>
      <c r="BV86" s="649"/>
      <c r="BW86" s="649"/>
      <c r="BX86" s="649"/>
      <c r="BY86" s="649"/>
      <c r="BZ86" s="649"/>
      <c r="CA86" s="649"/>
      <c r="CB86" s="649"/>
      <c r="CC86" s="649"/>
      <c r="CD86" s="649"/>
      <c r="CE86" s="649"/>
      <c r="CF86" s="649"/>
      <c r="CG86" s="649"/>
      <c r="CH86" s="649"/>
      <c r="CI86" s="649"/>
      <c r="CJ86" s="649"/>
      <c r="CK86" s="649"/>
      <c r="CL86" s="649"/>
    </row>
    <row r="87" spans="1:90">
      <c r="A87" s="603"/>
      <c r="B87" s="1" t="s">
        <v>1063</v>
      </c>
      <c r="C87" s="50" t="s">
        <v>1420</v>
      </c>
      <c r="D87" s="576">
        <f t="shared" ref="D87" si="573">D26</f>
        <v>0</v>
      </c>
      <c r="E87" s="576">
        <v>0</v>
      </c>
      <c r="F87" s="576">
        <v>0</v>
      </c>
      <c r="G87" s="576">
        <v>0</v>
      </c>
      <c r="H87" s="576">
        <v>0</v>
      </c>
      <c r="I87" s="576">
        <v>0</v>
      </c>
      <c r="J87" s="576">
        <v>0</v>
      </c>
      <c r="K87" s="576">
        <v>0</v>
      </c>
      <c r="L87" s="576">
        <v>0</v>
      </c>
      <c r="M87" s="576">
        <v>0</v>
      </c>
      <c r="N87" s="576">
        <v>0</v>
      </c>
      <c r="O87" s="576">
        <v>0</v>
      </c>
      <c r="P87" s="576">
        <v>0</v>
      </c>
      <c r="Q87" s="576">
        <v>0</v>
      </c>
      <c r="R87" s="576">
        <v>0</v>
      </c>
      <c r="S87" s="576">
        <v>0</v>
      </c>
      <c r="T87" s="576">
        <v>0</v>
      </c>
      <c r="U87" s="576">
        <v>0</v>
      </c>
      <c r="V87" s="576">
        <v>0</v>
      </c>
      <c r="W87" s="576">
        <v>0</v>
      </c>
      <c r="X87" s="576">
        <v>0</v>
      </c>
      <c r="Y87" s="576">
        <v>0</v>
      </c>
      <c r="Z87" s="576">
        <v>0</v>
      </c>
      <c r="AA87" s="576">
        <v>0</v>
      </c>
      <c r="AB87" s="576">
        <v>0</v>
      </c>
      <c r="AC87" s="576">
        <v>0</v>
      </c>
      <c r="AD87" s="576">
        <v>0</v>
      </c>
      <c r="AE87" s="576">
        <v>0</v>
      </c>
      <c r="AF87" s="576">
        <v>0</v>
      </c>
      <c r="AG87" s="576">
        <v>0</v>
      </c>
      <c r="AH87" s="576">
        <v>0</v>
      </c>
      <c r="AI87" s="576"/>
      <c r="AJ87" s="576">
        <f t="shared" ref="AJ87" si="574">AJ26</f>
        <v>0</v>
      </c>
      <c r="AK87" s="576">
        <v>0</v>
      </c>
      <c r="AL87" s="576">
        <v>0</v>
      </c>
      <c r="AM87" s="576">
        <v>0</v>
      </c>
      <c r="AN87" s="576">
        <v>0</v>
      </c>
      <c r="AO87" s="576">
        <v>0</v>
      </c>
      <c r="AP87" s="576">
        <v>0</v>
      </c>
      <c r="AQ87" s="576">
        <v>0</v>
      </c>
      <c r="AR87" s="576">
        <v>0</v>
      </c>
      <c r="AS87" s="576">
        <v>0</v>
      </c>
      <c r="AT87" s="576">
        <v>0</v>
      </c>
      <c r="AU87" s="576">
        <v>0</v>
      </c>
      <c r="AV87" s="576">
        <v>0</v>
      </c>
      <c r="AW87" s="576">
        <v>0</v>
      </c>
      <c r="AX87" s="576">
        <v>0</v>
      </c>
      <c r="AY87" s="576">
        <v>0</v>
      </c>
      <c r="AZ87" s="576">
        <v>0</v>
      </c>
      <c r="BA87" s="576">
        <v>0</v>
      </c>
      <c r="BB87" s="576">
        <v>0</v>
      </c>
      <c r="BC87" s="576">
        <v>0</v>
      </c>
      <c r="BD87" s="576">
        <v>0</v>
      </c>
      <c r="BE87" s="576">
        <v>0</v>
      </c>
      <c r="BF87" s="576">
        <v>0</v>
      </c>
      <c r="BG87" s="576">
        <v>0</v>
      </c>
      <c r="BH87" s="576">
        <v>0</v>
      </c>
      <c r="BI87" s="576">
        <v>0</v>
      </c>
      <c r="BJ87" s="576">
        <v>0</v>
      </c>
      <c r="BK87" s="576">
        <v>0</v>
      </c>
      <c r="BL87" s="576">
        <v>0</v>
      </c>
      <c r="BM87" s="576">
        <v>0</v>
      </c>
      <c r="BN87" s="576">
        <v>0</v>
      </c>
    </row>
    <row r="88" spans="1:90" s="62" customFormat="1">
      <c r="A88" s="604"/>
      <c r="B88" s="58" t="s">
        <v>27</v>
      </c>
      <c r="C88" s="233" t="s">
        <v>1420</v>
      </c>
      <c r="D88" s="579">
        <f>D27-(D83-D85)</f>
        <v>117296.02127494667</v>
      </c>
      <c r="E88" s="579">
        <f t="shared" ref="E88:AH88" si="575">E27-(E83-E85)</f>
        <v>116047.54450464837</v>
      </c>
      <c r="F88" s="579">
        <f t="shared" si="575"/>
        <v>114800.15183590526</v>
      </c>
      <c r="G88" s="579">
        <f t="shared" si="575"/>
        <v>113553.11484509513</v>
      </c>
      <c r="H88" s="579">
        <f t="shared" si="575"/>
        <v>112305.71145200207</v>
      </c>
      <c r="I88" s="579">
        <f t="shared" si="575"/>
        <v>111057.22588671181</v>
      </c>
      <c r="J88" s="579">
        <f t="shared" si="575"/>
        <v>109806.94865662602</v>
      </c>
      <c r="K88" s="579">
        <f t="shared" si="575"/>
        <v>108554.1765135961</v>
      </c>
      <c r="L88" s="579">
        <f t="shared" si="575"/>
        <v>107298.2124211764</v>
      </c>
      <c r="M88" s="579">
        <f t="shared" si="575"/>
        <v>106038.36552199592</v>
      </c>
      <c r="N88" s="579">
        <f t="shared" si="575"/>
        <v>104773.95110524923</v>
      </c>
      <c r="O88" s="579">
        <f t="shared" si="575"/>
        <v>102621.9669947462</v>
      </c>
      <c r="P88" s="579">
        <f t="shared" si="575"/>
        <v>100464.43766271906</v>
      </c>
      <c r="Q88" s="579">
        <f t="shared" si="575"/>
        <v>98305.342737627376</v>
      </c>
      <c r="R88" s="579">
        <f t="shared" si="575"/>
        <v>96141.305858897744</v>
      </c>
      <c r="S88" s="579">
        <f t="shared" si="575"/>
        <v>93972.201656743957</v>
      </c>
      <c r="T88" s="579">
        <f t="shared" si="575"/>
        <v>91797.912672046688</v>
      </c>
      <c r="U88" s="579">
        <f t="shared" si="575"/>
        <v>89618.329394218512</v>
      </c>
      <c r="V88" s="579">
        <f t="shared" si="575"/>
        <v>87433.35029790632</v>
      </c>
      <c r="W88" s="579">
        <f t="shared" si="575"/>
        <v>85242.881878542772</v>
      </c>
      <c r="X88" s="579">
        <f t="shared" si="575"/>
        <v>83046.838686758943</v>
      </c>
      <c r="Y88" s="579">
        <f t="shared" si="575"/>
        <v>78895.193447105732</v>
      </c>
      <c r="Z88" s="579">
        <f t="shared" si="575"/>
        <v>74756.823768115937</v>
      </c>
      <c r="AA88" s="579">
        <f t="shared" si="575"/>
        <v>70660.859540534584</v>
      </c>
      <c r="AB88" s="579">
        <f t="shared" si="575"/>
        <v>66583.704074494279</v>
      </c>
      <c r="AC88" s="579">
        <f t="shared" si="575"/>
        <v>62525.653881085847</v>
      </c>
      <c r="AD88" s="579">
        <f t="shared" si="575"/>
        <v>58487.058815798089</v>
      </c>
      <c r="AE88" s="579">
        <f t="shared" si="575"/>
        <v>54468.322651297713</v>
      </c>
      <c r="AF88" s="579">
        <f t="shared" si="575"/>
        <v>50469.903638554315</v>
      </c>
      <c r="AG88" s="579">
        <f t="shared" si="575"/>
        <v>46492.315056412335</v>
      </c>
      <c r="AH88" s="579">
        <f t="shared" si="575"/>
        <v>42536.125749710816</v>
      </c>
      <c r="AI88" s="579"/>
      <c r="AJ88" s="579">
        <f>AJ27-(AJ83-AJ85)</f>
        <v>117296.02127494667</v>
      </c>
      <c r="AK88" s="579">
        <f t="shared" ref="AK88:BN88" si="576">AK27-(AK83-AK85)</f>
        <v>116362.66596702654</v>
      </c>
      <c r="AL88" s="579">
        <f t="shared" si="576"/>
        <v>115427.25239326827</v>
      </c>
      <c r="AM88" s="579">
        <f t="shared" si="576"/>
        <v>114489.07191756605</v>
      </c>
      <c r="AN88" s="579">
        <f t="shared" si="576"/>
        <v>113547.42218468692</v>
      </c>
      <c r="AO88" s="579">
        <f t="shared" si="576"/>
        <v>112601.60708665423</v>
      </c>
      <c r="AP88" s="579">
        <f t="shared" si="576"/>
        <v>111650.93672926314</v>
      </c>
      <c r="AQ88" s="579">
        <f t="shared" si="576"/>
        <v>110694.72739872853</v>
      </c>
      <c r="AR88" s="579">
        <f t="shared" si="576"/>
        <v>109732.30152846508</v>
      </c>
      <c r="AS88" s="579">
        <f t="shared" si="576"/>
        <v>108762.98766599846</v>
      </c>
      <c r="AT88" s="579">
        <f t="shared" si="576"/>
        <v>107786.12044000819</v>
      </c>
      <c r="AU88" s="579">
        <f t="shared" si="576"/>
        <v>106529.56289639408</v>
      </c>
      <c r="AV88" s="579">
        <f t="shared" si="576"/>
        <v>105263.57139042395</v>
      </c>
      <c r="AW88" s="579">
        <f t="shared" si="576"/>
        <v>103992.07539310193</v>
      </c>
      <c r="AX88" s="579">
        <f t="shared" si="576"/>
        <v>102711.6496983939</v>
      </c>
      <c r="AY88" s="579">
        <f t="shared" si="576"/>
        <v>101422.12138424315</v>
      </c>
      <c r="AZ88" s="579">
        <f t="shared" si="576"/>
        <v>100123.3267138644</v>
      </c>
      <c r="BA88" s="579">
        <f t="shared" si="576"/>
        <v>98815.111155240127</v>
      </c>
      <c r="BB88" s="579">
        <f t="shared" si="576"/>
        <v>97497.329399668379</v>
      </c>
      <c r="BC88" s="579">
        <f t="shared" si="576"/>
        <v>96169.845379372011</v>
      </c>
      <c r="BD88" s="579">
        <f t="shared" si="576"/>
        <v>94832.532284179018</v>
      </c>
      <c r="BE88" s="579">
        <f t="shared" si="576"/>
        <v>92392.034936002558</v>
      </c>
      <c r="BF88" s="579">
        <f t="shared" si="576"/>
        <v>89950.169668483388</v>
      </c>
      <c r="BG88" s="579">
        <f t="shared" si="576"/>
        <v>87536.119246338334</v>
      </c>
      <c r="BH88" s="579">
        <f t="shared" si="576"/>
        <v>85126.34030245131</v>
      </c>
      <c r="BI88" s="579">
        <f t="shared" si="576"/>
        <v>82721.183107315315</v>
      </c>
      <c r="BJ88" s="579">
        <f t="shared" si="576"/>
        <v>80321.051700513664</v>
      </c>
      <c r="BK88" s="579">
        <f t="shared" si="576"/>
        <v>77926.40445170959</v>
      </c>
      <c r="BL88" s="579">
        <f t="shared" si="576"/>
        <v>75537.754610147604</v>
      </c>
      <c r="BM88" s="579">
        <f t="shared" si="576"/>
        <v>73155.670842766151</v>
      </c>
      <c r="BN88" s="579">
        <f t="shared" si="576"/>
        <v>70780.777761020741</v>
      </c>
      <c r="BQ88" s="623"/>
      <c r="BR88" s="623"/>
      <c r="BS88" s="623"/>
      <c r="BT88" s="623"/>
      <c r="BU88" s="623"/>
      <c r="BV88" s="623"/>
      <c r="BW88" s="623"/>
      <c r="BX88" s="623"/>
      <c r="BY88" s="623"/>
      <c r="BZ88" s="623"/>
      <c r="CA88" s="623"/>
      <c r="CB88" s="623"/>
      <c r="CC88" s="623"/>
      <c r="CD88" s="623"/>
      <c r="CE88" s="623"/>
      <c r="CF88" s="623"/>
      <c r="CG88" s="623"/>
      <c r="CH88" s="623"/>
      <c r="CI88" s="623"/>
      <c r="CJ88" s="623"/>
      <c r="CK88" s="623"/>
      <c r="CL88" s="623"/>
    </row>
    <row r="89" spans="1:90">
      <c r="A89" s="54" t="s">
        <v>519</v>
      </c>
      <c r="B89" s="54" t="s">
        <v>200</v>
      </c>
      <c r="C89" s="50" t="s">
        <v>1420</v>
      </c>
      <c r="D89" s="520">
        <f t="shared" ref="D89:AH89" si="577">D51</f>
        <v>12062.923707379587</v>
      </c>
      <c r="E89" s="520">
        <f t="shared" si="577"/>
        <v>11608.721471772997</v>
      </c>
      <c r="F89" s="520">
        <f t="shared" si="577"/>
        <v>11160.263352897246</v>
      </c>
      <c r="G89" s="520">
        <f t="shared" si="577"/>
        <v>10717.491353314486</v>
      </c>
      <c r="H89" s="520">
        <f t="shared" si="577"/>
        <v>10280.348004947149</v>
      </c>
      <c r="I89" s="520">
        <f t="shared" si="577"/>
        <v>9848.7763645167088</v>
      </c>
      <c r="J89" s="520">
        <f t="shared" si="577"/>
        <v>9422.7200090203296</v>
      </c>
      <c r="K89" s="520">
        <f t="shared" si="577"/>
        <v>9002.1230312450571</v>
      </c>
      <c r="L89" s="520">
        <f t="shared" si="577"/>
        <v>8586.9300353192502</v>
      </c>
      <c r="M89" s="520">
        <f t="shared" si="577"/>
        <v>8177.0861323009831</v>
      </c>
      <c r="N89" s="520">
        <f t="shared" si="577"/>
        <v>7772.5369358031057</v>
      </c>
      <c r="O89" s="520">
        <f t="shared" si="577"/>
        <v>7474.8743384070294</v>
      </c>
      <c r="P89" s="520">
        <f t="shared" si="577"/>
        <v>7180.982616925442</v>
      </c>
      <c r="Q89" s="520">
        <f t="shared" si="577"/>
        <v>6890.8236726408895</v>
      </c>
      <c r="R89" s="520">
        <f t="shared" si="577"/>
        <v>6604.359754693679</v>
      </c>
      <c r="S89" s="520">
        <f t="shared" si="577"/>
        <v>6321.5534570839282</v>
      </c>
      <c r="T89" s="520">
        <f t="shared" si="577"/>
        <v>6042.3677156985095</v>
      </c>
      <c r="U89" s="520">
        <f t="shared" si="577"/>
        <v>5766.7658053626819</v>
      </c>
      <c r="V89" s="520">
        <f t="shared" si="577"/>
        <v>5494.7113369162071</v>
      </c>
      <c r="W89" s="520">
        <f t="shared" si="577"/>
        <v>5226.168254313764</v>
      </c>
      <c r="X89" s="520">
        <f t="shared" si="577"/>
        <v>4961.100831749447</v>
      </c>
      <c r="Y89" s="520">
        <f t="shared" si="577"/>
        <v>4652.603920099009</v>
      </c>
      <c r="Z89" s="520">
        <f t="shared" si="577"/>
        <v>4348.1653788556796</v>
      </c>
      <c r="AA89" s="520">
        <f t="shared" si="577"/>
        <v>4047.743628791241</v>
      </c>
      <c r="AB89" s="520">
        <f t="shared" si="577"/>
        <v>3751.2974730810938</v>
      </c>
      <c r="AC89" s="520">
        <f t="shared" si="577"/>
        <v>3458.7860939938582</v>
      </c>
      <c r="AD89" s="520">
        <f t="shared" si="577"/>
        <v>3170.1690496085594</v>
      </c>
      <c r="AE89" s="520">
        <f t="shared" si="577"/>
        <v>2885.4062705591341</v>
      </c>
      <c r="AF89" s="520">
        <f t="shared" si="577"/>
        <v>2604.4580568060828</v>
      </c>
      <c r="AG89" s="520">
        <f t="shared" si="577"/>
        <v>2327.2850744350085</v>
      </c>
      <c r="AH89" s="520">
        <f t="shared" si="577"/>
        <v>2053.8483524818403</v>
      </c>
      <c r="AI89" s="99"/>
      <c r="AJ89" s="520">
        <f t="shared" ref="AJ89:BN89" si="578">AJ51</f>
        <v>12062.923707379587</v>
      </c>
      <c r="AK89" s="520">
        <f t="shared" si="578"/>
        <v>11793.79499023228</v>
      </c>
      <c r="AL89" s="520">
        <f t="shared" si="578"/>
        <v>11527.831182362739</v>
      </c>
      <c r="AM89" s="520">
        <f t="shared" si="578"/>
        <v>11265.00124444876</v>
      </c>
      <c r="AN89" s="520">
        <f t="shared" si="578"/>
        <v>11005.274416067337</v>
      </c>
      <c r="AO89" s="520">
        <f t="shared" si="578"/>
        <v>10748.620213314951</v>
      </c>
      <c r="AP89" s="520">
        <f t="shared" si="578"/>
        <v>10495.008426447514</v>
      </c>
      <c r="AQ89" s="520">
        <f t="shared" si="578"/>
        <v>10244.409117539752</v>
      </c>
      <c r="AR89" s="520">
        <f t="shared" si="578"/>
        <v>9996.7926181639068</v>
      </c>
      <c r="AS89" s="520">
        <f t="shared" si="578"/>
        <v>9752.1295270875926</v>
      </c>
      <c r="AT89" s="520">
        <f t="shared" si="578"/>
        <v>9510.3907079906312</v>
      </c>
      <c r="AU89" s="520">
        <f t="shared" si="578"/>
        <v>9322.3701775769678</v>
      </c>
      <c r="AV89" s="520">
        <f t="shared" si="578"/>
        <v>9136.5081581116574</v>
      </c>
      <c r="AW89" s="520">
        <f t="shared" si="578"/>
        <v>8952.7836974464753</v>
      </c>
      <c r="AX89" s="520">
        <f t="shared" si="578"/>
        <v>8771.1760306208362</v>
      </c>
      <c r="AY89" s="520">
        <f t="shared" si="578"/>
        <v>8591.6645782704254</v>
      </c>
      <c r="AZ89" s="520">
        <f t="shared" si="578"/>
        <v>8414.2289450489243</v>
      </c>
      <c r="BA89" s="520">
        <f t="shared" si="578"/>
        <v>8238.848918062733</v>
      </c>
      <c r="BB89" s="520">
        <f t="shared" si="578"/>
        <v>8065.5044653185441</v>
      </c>
      <c r="BC89" s="520">
        <f t="shared" si="578"/>
        <v>7894.1757341837256</v>
      </c>
      <c r="BD89" s="520">
        <f t="shared" si="578"/>
        <v>7724.8430498593416</v>
      </c>
      <c r="BE89" s="520">
        <f t="shared" si="578"/>
        <v>7534.0520385126902</v>
      </c>
      <c r="BF89" s="520">
        <f t="shared" si="578"/>
        <v>7345.5448431572404</v>
      </c>
      <c r="BG89" s="520">
        <f t="shared" si="578"/>
        <v>7159.2988998957999</v>
      </c>
      <c r="BH89" s="520">
        <f t="shared" si="578"/>
        <v>6975.2918483963022</v>
      </c>
      <c r="BI89" s="520">
        <f t="shared" si="578"/>
        <v>6793.5015301504563</v>
      </c>
      <c r="BJ89" s="520">
        <f t="shared" si="578"/>
        <v>6613.9059867467913</v>
      </c>
      <c r="BK89" s="520">
        <f t="shared" si="578"/>
        <v>6436.4834581579571</v>
      </c>
      <c r="BL89" s="520">
        <f t="shared" si="578"/>
        <v>6261.2123810421945</v>
      </c>
      <c r="BM89" s="520">
        <f t="shared" si="578"/>
        <v>6088.0713870588261</v>
      </c>
      <c r="BN89" s="520">
        <f t="shared" si="578"/>
        <v>5917.039301197683</v>
      </c>
    </row>
    <row r="90" spans="1:90">
      <c r="A90"/>
      <c r="B90" t="s">
        <v>266</v>
      </c>
      <c r="C90" s="50" t="s">
        <v>1420</v>
      </c>
      <c r="D90" s="99">
        <f>'Methanol Recycling HC'!C192</f>
        <v>0</v>
      </c>
      <c r="E90" s="99">
        <f>'Methanol Recycling HC'!D192</f>
        <v>1.9985215548760896E-3</v>
      </c>
      <c r="F90" s="99">
        <f>'Methanol Recycling HC'!E192</f>
        <v>4.8852428627850306E-3</v>
      </c>
      <c r="G90" s="99">
        <f>'Methanol Recycling HC'!F192</f>
        <v>8.7767106832666811E-3</v>
      </c>
      <c r="H90" s="99">
        <f>'Methanol Recycling HC'!G192</f>
        <v>1.3788416575849779E-2</v>
      </c>
      <c r="I90" s="99">
        <f>'Methanol Recycling HC'!H192</f>
        <v>2.0034802771649582E-2</v>
      </c>
      <c r="J90" s="99">
        <f>'Methanol Recycling HC'!I192</f>
        <v>2.6775523637150307E-2</v>
      </c>
      <c r="K90" s="99">
        <f>'Methanol Recycling HC'!J192</f>
        <v>3.4417091486477779E-2</v>
      </c>
      <c r="L90" s="99">
        <f>'Methanol Recycling HC'!K192</f>
        <v>4.2925132516345478E-2</v>
      </c>
      <c r="M90" s="99">
        <f>'Methanol Recycling HC'!L192</f>
        <v>5.225061335721614E-2</v>
      </c>
      <c r="N90" s="99">
        <f>'Methanol Recycling HC'!M192</f>
        <v>6.2330004461198366E-2</v>
      </c>
      <c r="O90" s="99">
        <f>'Methanol Recycling HC'!N192</f>
        <v>7.0905019700990446E-2</v>
      </c>
      <c r="P90" s="99">
        <f>'Methanol Recycling HC'!O192</f>
        <v>7.9807233165484923E-2</v>
      </c>
      <c r="Q90" s="99">
        <f>'Methanol Recycling HC'!P192</f>
        <v>8.8953663591122209E-2</v>
      </c>
      <c r="R90" s="99">
        <f>'Methanol Recycling HC'!Q192</f>
        <v>9.825212807513653E-2</v>
      </c>
      <c r="S90" s="99">
        <f>'Methanol Recycling HC'!R192</f>
        <v>0.10760134764986555</v>
      </c>
      <c r="T90" s="99">
        <f>'Methanol Recycling HC'!S192</f>
        <v>0.11850248765058857</v>
      </c>
      <c r="U90" s="99">
        <f>'Methanol Recycling HC'!T192</f>
        <v>0.12964677276075384</v>
      </c>
      <c r="V90" s="99">
        <f>'Methanol Recycling HC'!U192</f>
        <v>0.14095762762996084</v>
      </c>
      <c r="W90" s="99">
        <f>'Methanol Recycling HC'!V192</f>
        <v>0.15235222073730656</v>
      </c>
      <c r="X90" s="99">
        <f>'Methanol Recycling HC'!W192</f>
        <v>0.16374153715056194</v>
      </c>
      <c r="Y90" s="99">
        <f>'Methanol Recycling HC'!X192</f>
        <v>0.17866667197543964</v>
      </c>
      <c r="Z90" s="99">
        <f>'Methanol Recycling HC'!Y192</f>
        <v>0.19356327395577386</v>
      </c>
      <c r="AA90" s="99">
        <f>'Methanol Recycling HC'!Z192</f>
        <v>0.20828773378181525</v>
      </c>
      <c r="AB90" s="99">
        <f>'Methanol Recycling HC'!AA192</f>
        <v>0.22268717888999323</v>
      </c>
      <c r="AC90" s="99">
        <f>'Methanol Recycling HC'!AB192</f>
        <v>0.2365995827094704</v>
      </c>
      <c r="AD90" s="99">
        <f>'Methanol Recycling HC'!AC192</f>
        <v>0.24736197948785574</v>
      </c>
      <c r="AE90" s="99">
        <f>'Methanol Recycling HC'!AD192</f>
        <v>0.25677299724005664</v>
      </c>
      <c r="AF90" s="99">
        <f>'Methanol Recycling HC'!AE192</f>
        <v>0.26459545660918615</v>
      </c>
      <c r="AG90" s="99">
        <f>'Methanol Recycling HC'!AF192</f>
        <v>0.27058174577292249</v>
      </c>
      <c r="AH90" s="99">
        <f>'Methanol Recycling HC'!AG192</f>
        <v>0.27447394729851066</v>
      </c>
      <c r="AI90" s="99"/>
      <c r="AJ90" s="99">
        <f>D90</f>
        <v>0</v>
      </c>
      <c r="AK90" s="99">
        <f>E90</f>
        <v>1.9985215548760896E-3</v>
      </c>
      <c r="AL90" s="99">
        <f>F90</f>
        <v>4.8852428627850306E-3</v>
      </c>
      <c r="AM90" s="99">
        <f t="shared" ref="AK90:BN91" si="579">G90</f>
        <v>8.7767106832666811E-3</v>
      </c>
      <c r="AN90" s="99">
        <f t="shared" si="579"/>
        <v>1.3788416575849779E-2</v>
      </c>
      <c r="AO90" s="99">
        <f t="shared" si="579"/>
        <v>2.0034802771649582E-2</v>
      </c>
      <c r="AP90" s="99">
        <f t="shared" si="579"/>
        <v>2.6775523637150307E-2</v>
      </c>
      <c r="AQ90" s="99">
        <f t="shared" si="579"/>
        <v>3.4417091486477779E-2</v>
      </c>
      <c r="AR90" s="99">
        <f t="shared" si="579"/>
        <v>4.2925132516345478E-2</v>
      </c>
      <c r="AS90" s="99">
        <f t="shared" si="579"/>
        <v>5.225061335721614E-2</v>
      </c>
      <c r="AT90" s="99">
        <f t="shared" si="579"/>
        <v>6.2330004461198366E-2</v>
      </c>
      <c r="AU90" s="99">
        <f t="shared" si="579"/>
        <v>7.0905019700990446E-2</v>
      </c>
      <c r="AV90" s="99">
        <f t="shared" si="579"/>
        <v>7.9807233165484923E-2</v>
      </c>
      <c r="AW90" s="99">
        <f t="shared" si="579"/>
        <v>8.8953663591122209E-2</v>
      </c>
      <c r="AX90" s="99">
        <f t="shared" si="579"/>
        <v>9.825212807513653E-2</v>
      </c>
      <c r="AY90" s="99">
        <f t="shared" si="579"/>
        <v>0.10760134764986555</v>
      </c>
      <c r="AZ90" s="99">
        <f t="shared" si="579"/>
        <v>0.11850248765058857</v>
      </c>
      <c r="BA90" s="99">
        <f t="shared" si="579"/>
        <v>0.12964677276075384</v>
      </c>
      <c r="BB90" s="99">
        <f t="shared" si="579"/>
        <v>0.14095762762996084</v>
      </c>
      <c r="BC90" s="99">
        <f t="shared" si="579"/>
        <v>0.15235222073730656</v>
      </c>
      <c r="BD90" s="99">
        <f t="shared" si="579"/>
        <v>0.16374153715056194</v>
      </c>
      <c r="BE90" s="99">
        <f t="shared" si="579"/>
        <v>0.17866667197543964</v>
      </c>
      <c r="BF90" s="99">
        <f t="shared" si="579"/>
        <v>0.19356327395577386</v>
      </c>
      <c r="BG90" s="99">
        <f t="shared" si="579"/>
        <v>0.20828773378181525</v>
      </c>
      <c r="BH90" s="99">
        <f t="shared" si="579"/>
        <v>0.22268717888999323</v>
      </c>
      <c r="BI90" s="99">
        <f t="shared" si="579"/>
        <v>0.2365995827094704</v>
      </c>
      <c r="BJ90" s="99">
        <f t="shared" si="579"/>
        <v>0.24736197948785574</v>
      </c>
      <c r="BK90" s="99">
        <f t="shared" si="579"/>
        <v>0.25677299724005664</v>
      </c>
      <c r="BL90" s="99">
        <f t="shared" si="579"/>
        <v>0.26459545660918615</v>
      </c>
      <c r="BM90" s="99">
        <f t="shared" si="579"/>
        <v>0.27058174577292249</v>
      </c>
      <c r="BN90" s="99">
        <f t="shared" si="579"/>
        <v>0.27447394729851066</v>
      </c>
    </row>
    <row r="91" spans="1:90">
      <c r="A91"/>
      <c r="B91" t="s">
        <v>268</v>
      </c>
      <c r="C91" s="50" t="s">
        <v>1420</v>
      </c>
      <c r="D91" s="99">
        <f>'Methanol Recycling HC'!C81</f>
        <v>0</v>
      </c>
      <c r="E91" s="99">
        <f>'Methanol Recycling HC'!D81</f>
        <v>29.175337093728096</v>
      </c>
      <c r="F91" s="99">
        <f>'Methanol Recycling HC'!E81</f>
        <v>59.713810538290467</v>
      </c>
      <c r="G91" s="99">
        <f>'Methanol Recycling HC'!F81</f>
        <v>91.438523978230805</v>
      </c>
      <c r="H91" s="99">
        <f>'Methanol Recycling HC'!G81</f>
        <v>124.17525570715314</v>
      </c>
      <c r="I91" s="99">
        <f>'Methanol Recycling HC'!H81</f>
        <v>157.75243761600993</v>
      </c>
      <c r="J91" s="99">
        <f>'Methanol Recycling HC'!I81</f>
        <v>192.00113426227773</v>
      </c>
      <c r="K91" s="99">
        <f>'Methanol Recycling HC'!J81</f>
        <v>226.75502205944596</v>
      </c>
      <c r="L91" s="99">
        <f>'Methanol Recycling HC'!K81</f>
        <v>261.85036858624534</v>
      </c>
      <c r="M91" s="99">
        <f>'Methanol Recycling HC'!L81</f>
        <v>297.12601201504543</v>
      </c>
      <c r="N91" s="99">
        <f>'Methanol Recycling HC'!M81</f>
        <v>332.42334065885433</v>
      </c>
      <c r="O91" s="99">
        <f>'Methanol Recycling HC'!N81</f>
        <v>356.45482599719554</v>
      </c>
      <c r="P91" s="99">
        <f>'Methanol Recycling HC'!O81</f>
        <v>378.83744702776096</v>
      </c>
      <c r="Q91" s="99">
        <f>'Methanol Recycling HC'!P81</f>
        <v>399.5783120431077</v>
      </c>
      <c r="R91" s="99">
        <f>'Methanol Recycling HC'!Q81</f>
        <v>418.68486629922751</v>
      </c>
      <c r="S91" s="99">
        <f>'Methanol Recycling HC'!R81</f>
        <v>436.16488812429117</v>
      </c>
      <c r="T91" s="99">
        <f>'Methanol Recycling HC'!S81</f>
        <v>452.02648505335424</v>
      </c>
      <c r="U91" s="99">
        <f>'Methanol Recycling HC'!T81</f>
        <v>466.27808998888582</v>
      </c>
      <c r="V91" s="99">
        <f>'Methanol Recycling HC'!U81</f>
        <v>478.92845738699168</v>
      </c>
      <c r="W91" s="99">
        <f>'Methanol Recycling HC'!V81</f>
        <v>489.98665946919647</v>
      </c>
      <c r="X91" s="99">
        <f>'Methanol Recycling HC'!W81</f>
        <v>499.46208245965232</v>
      </c>
      <c r="Y91" s="99">
        <f>'Methanol Recycling HC'!X81</f>
        <v>507.45856446248985</v>
      </c>
      <c r="Z91" s="99">
        <f>'Methanol Recycling HC'!Y81</f>
        <v>513.89343554384243</v>
      </c>
      <c r="AA91" s="99">
        <f>'Methanol Recycling HC'!Z81</f>
        <v>518.77612340439418</v>
      </c>
      <c r="AB91" s="99">
        <f>'Methanol Recycling HC'!AA81</f>
        <v>522.11637877613589</v>
      </c>
      <c r="AC91" s="99">
        <f>'Methanol Recycling HC'!AB81</f>
        <v>523.9242715643677</v>
      </c>
      <c r="AD91" s="99">
        <f>'Methanol Recycling HC'!AC81</f>
        <v>524.2101870157112</v>
      </c>
      <c r="AE91" s="99">
        <f>'Methanol Recycling HC'!AD81</f>
        <v>522.98482191199992</v>
      </c>
      <c r="AF91" s="99">
        <f>'Methanol Recycling HC'!AE81</f>
        <v>520.25918078991367</v>
      </c>
      <c r="AG91" s="99">
        <f>'Methanol Recycling HC'!AF81</f>
        <v>516.04457218622099</v>
      </c>
      <c r="AH91" s="99">
        <f>'Methanol Recycling HC'!AG81</f>
        <v>510.35260490849782</v>
      </c>
      <c r="AI91" s="99"/>
      <c r="AJ91" s="99">
        <f>D91</f>
        <v>0</v>
      </c>
      <c r="AK91" s="99">
        <f t="shared" si="579"/>
        <v>29.175337093728096</v>
      </c>
      <c r="AL91" s="99">
        <f t="shared" si="579"/>
        <v>59.713810538290467</v>
      </c>
      <c r="AM91" s="99">
        <f t="shared" si="579"/>
        <v>91.438523978230805</v>
      </c>
      <c r="AN91" s="99">
        <f t="shared" si="579"/>
        <v>124.17525570715314</v>
      </c>
      <c r="AO91" s="99">
        <f t="shared" si="579"/>
        <v>157.75243761600993</v>
      </c>
      <c r="AP91" s="99">
        <f t="shared" si="579"/>
        <v>192.00113426227773</v>
      </c>
      <c r="AQ91" s="99">
        <f t="shared" si="579"/>
        <v>226.75502205944596</v>
      </c>
      <c r="AR91" s="99">
        <f t="shared" si="579"/>
        <v>261.85036858624534</v>
      </c>
      <c r="AS91" s="99">
        <f t="shared" si="579"/>
        <v>297.12601201504543</v>
      </c>
      <c r="AT91" s="99">
        <f t="shared" si="579"/>
        <v>332.42334065885433</v>
      </c>
      <c r="AU91" s="99">
        <f t="shared" si="579"/>
        <v>356.45482599719554</v>
      </c>
      <c r="AV91" s="99">
        <f t="shared" si="579"/>
        <v>378.83744702776096</v>
      </c>
      <c r="AW91" s="99">
        <f t="shared" si="579"/>
        <v>399.5783120431077</v>
      </c>
      <c r="AX91" s="99">
        <f t="shared" si="579"/>
        <v>418.68486629922751</v>
      </c>
      <c r="AY91" s="99">
        <f t="shared" si="579"/>
        <v>436.16488812429117</v>
      </c>
      <c r="AZ91" s="99">
        <f t="shared" si="579"/>
        <v>452.02648505335424</v>
      </c>
      <c r="BA91" s="99">
        <f t="shared" si="579"/>
        <v>466.27808998888582</v>
      </c>
      <c r="BB91" s="99">
        <f t="shared" si="579"/>
        <v>478.92845738699168</v>
      </c>
      <c r="BC91" s="99">
        <f t="shared" si="579"/>
        <v>489.98665946919647</v>
      </c>
      <c r="BD91" s="99">
        <f t="shared" si="579"/>
        <v>499.46208245965232</v>
      </c>
      <c r="BE91" s="99">
        <f t="shared" si="579"/>
        <v>507.45856446248985</v>
      </c>
      <c r="BF91" s="99">
        <f t="shared" si="579"/>
        <v>513.89343554384243</v>
      </c>
      <c r="BG91" s="99">
        <f t="shared" si="579"/>
        <v>518.77612340439418</v>
      </c>
      <c r="BH91" s="99">
        <f t="shared" si="579"/>
        <v>522.11637877613589</v>
      </c>
      <c r="BI91" s="99">
        <f t="shared" si="579"/>
        <v>523.9242715643677</v>
      </c>
      <c r="BJ91" s="99">
        <f t="shared" si="579"/>
        <v>524.2101870157112</v>
      </c>
      <c r="BK91" s="99">
        <f t="shared" si="579"/>
        <v>522.98482191199992</v>
      </c>
      <c r="BL91" s="99">
        <f t="shared" si="579"/>
        <v>520.25918078991367</v>
      </c>
      <c r="BM91" s="99">
        <f t="shared" si="579"/>
        <v>516.04457218622099</v>
      </c>
      <c r="BN91" s="99">
        <f t="shared" si="579"/>
        <v>510.35260490849782</v>
      </c>
    </row>
    <row r="92" spans="1:90">
      <c r="A92" s="58"/>
      <c r="B92" s="58" t="s">
        <v>267</v>
      </c>
      <c r="C92" s="50" t="s">
        <v>1420</v>
      </c>
      <c r="D92" s="577">
        <f>IF(D89-D90-D91&lt;0,0,D89-D90-D91)</f>
        <v>12062.923707379587</v>
      </c>
      <c r="E92" s="577">
        <f t="shared" ref="E92:AG92" si="580">IF(E89-E90-E91&lt;0,0,E89-E90-E91)</f>
        <v>11579.544136157714</v>
      </c>
      <c r="F92" s="577">
        <f t="shared" si="580"/>
        <v>11100.544657116092</v>
      </c>
      <c r="G92" s="577">
        <f t="shared" si="580"/>
        <v>10626.044052625572</v>
      </c>
      <c r="H92" s="577">
        <f t="shared" si="580"/>
        <v>10156.158960823421</v>
      </c>
      <c r="I92" s="577">
        <f t="shared" si="580"/>
        <v>9691.0038920979277</v>
      </c>
      <c r="J92" s="577">
        <f t="shared" si="580"/>
        <v>9230.6920992344149</v>
      </c>
      <c r="K92" s="577">
        <f t="shared" si="580"/>
        <v>8775.3335920941245</v>
      </c>
      <c r="L92" s="577">
        <f t="shared" si="580"/>
        <v>8325.0367416004883</v>
      </c>
      <c r="M92" s="577">
        <f t="shared" si="580"/>
        <v>7879.9078696725801</v>
      </c>
      <c r="N92" s="577">
        <f t="shared" si="580"/>
        <v>7440.0512651397903</v>
      </c>
      <c r="O92" s="577">
        <f t="shared" si="580"/>
        <v>7118.3486073901331</v>
      </c>
      <c r="P92" s="577">
        <f t="shared" si="580"/>
        <v>6802.0653626645153</v>
      </c>
      <c r="Q92" s="577">
        <f t="shared" si="580"/>
        <v>6491.1564069341903</v>
      </c>
      <c r="R92" s="577">
        <f t="shared" si="580"/>
        <v>6185.5766362663762</v>
      </c>
      <c r="S92" s="577">
        <f t="shared" si="580"/>
        <v>5885.2809676119878</v>
      </c>
      <c r="T92" s="577">
        <f t="shared" si="580"/>
        <v>5590.2227281575051</v>
      </c>
      <c r="U92" s="577">
        <f t="shared" si="580"/>
        <v>5300.3580686010355</v>
      </c>
      <c r="V92" s="577">
        <f t="shared" si="580"/>
        <v>5015.6419219015852</v>
      </c>
      <c r="W92" s="577">
        <f t="shared" si="580"/>
        <v>4736.0292426238302</v>
      </c>
      <c r="X92" s="577">
        <f t="shared" si="580"/>
        <v>4461.4750077526442</v>
      </c>
      <c r="Y92" s="577">
        <f t="shared" si="580"/>
        <v>4144.9666889645441</v>
      </c>
      <c r="Z92" s="577">
        <f t="shared" si="580"/>
        <v>3834.0783800378813</v>
      </c>
      <c r="AA92" s="577">
        <f t="shared" si="580"/>
        <v>3528.7592176530652</v>
      </c>
      <c r="AB92" s="577">
        <f t="shared" si="580"/>
        <v>3228.9584071260679</v>
      </c>
      <c r="AC92" s="577">
        <f t="shared" si="580"/>
        <v>2934.6252228467811</v>
      </c>
      <c r="AD92" s="577">
        <f t="shared" si="580"/>
        <v>2645.7115006133604</v>
      </c>
      <c r="AE92" s="577">
        <f t="shared" si="580"/>
        <v>2362.164675649894</v>
      </c>
      <c r="AF92" s="577">
        <f t="shared" si="580"/>
        <v>2083.9342805595597</v>
      </c>
      <c r="AG92" s="577">
        <f t="shared" si="580"/>
        <v>1810.9699205030142</v>
      </c>
      <c r="AH92" s="577">
        <f>IF(AH89-AH90-AH91&lt;0,0,AH89-AH90-AH91)</f>
        <v>1543.2212736260437</v>
      </c>
      <c r="AI92" s="99"/>
      <c r="AJ92" s="577">
        <f>IF(AJ89-AJ90-AJ91&lt;0,0,AJ89-AJ90-AJ91)</f>
        <v>12062.923707379587</v>
      </c>
      <c r="AK92" s="577">
        <f t="shared" ref="AK92" si="581">IF(AK89-AK90-AK91&lt;0,0,AK89-AK90-AK91)</f>
        <v>11764.617654616997</v>
      </c>
      <c r="AL92" s="577">
        <f t="shared" ref="AL92" si="582">IF(AL89-AL90-AL91&lt;0,0,AL89-AL90-AL91)</f>
        <v>11468.112486581585</v>
      </c>
      <c r="AM92" s="577">
        <f t="shared" ref="AM92" si="583">IF(AM89-AM90-AM91&lt;0,0,AM89-AM90-AM91)</f>
        <v>11173.553943759845</v>
      </c>
      <c r="AN92" s="577">
        <f t="shared" ref="AN92" si="584">IF(AN89-AN90-AN91&lt;0,0,AN89-AN90-AN91)</f>
        <v>10881.085371943609</v>
      </c>
      <c r="AO92" s="577">
        <f t="shared" ref="AO92" si="585">IF(AO89-AO90-AO91&lt;0,0,AO89-AO90-AO91)</f>
        <v>10590.84774089617</v>
      </c>
      <c r="AP92" s="577">
        <f t="shared" ref="AP92" si="586">IF(AP89-AP90-AP91&lt;0,0,AP89-AP90-AP91)</f>
        <v>10302.980516661599</v>
      </c>
      <c r="AQ92" s="577">
        <f t="shared" ref="AQ92" si="587">IF(AQ89-AQ90-AQ91&lt;0,0,AQ89-AQ90-AQ91)</f>
        <v>10017.619678388819</v>
      </c>
      <c r="AR92" s="577">
        <f t="shared" ref="AR92" si="588">IF(AR89-AR90-AR91&lt;0,0,AR89-AR90-AR91)</f>
        <v>9734.8993244451449</v>
      </c>
      <c r="AS92" s="577">
        <f t="shared" ref="AS92" si="589">IF(AS89-AS90-AS91&lt;0,0,AS89-AS90-AS91)</f>
        <v>9454.9512644591905</v>
      </c>
      <c r="AT92" s="577">
        <f t="shared" ref="AT92" si="590">IF(AT89-AT90-AT91&lt;0,0,AT89-AT90-AT91)</f>
        <v>9177.9050373273167</v>
      </c>
      <c r="AU92" s="577">
        <f t="shared" ref="AU92" si="591">IF(AU89-AU90-AU91&lt;0,0,AU89-AU90-AU91)</f>
        <v>8965.8444465600714</v>
      </c>
      <c r="AV92" s="577">
        <f t="shared" ref="AV92" si="592">IF(AV89-AV90-AV91&lt;0,0,AV89-AV90-AV91)</f>
        <v>8757.5909038507307</v>
      </c>
      <c r="AW92" s="577">
        <f t="shared" ref="AW92" si="593">IF(AW89-AW90-AW91&lt;0,0,AW89-AW90-AW91)</f>
        <v>8553.1164317397761</v>
      </c>
      <c r="AX92" s="577">
        <f t="shared" ref="AX92" si="594">IF(AX89-AX90-AX91&lt;0,0,AX89-AX90-AX91)</f>
        <v>8352.3929121935344</v>
      </c>
      <c r="AY92" s="577">
        <f t="shared" ref="AY92" si="595">IF(AY89-AY90-AY91&lt;0,0,AY89-AY90-AY91)</f>
        <v>8155.3920887984841</v>
      </c>
      <c r="AZ92" s="577">
        <f t="shared" ref="AZ92" si="596">IF(AZ89-AZ90-AZ91&lt;0,0,AZ89-AZ90-AZ91)</f>
        <v>7962.0839575079199</v>
      </c>
      <c r="BA92" s="577">
        <f t="shared" ref="BA92" si="597">IF(BA89-BA90-BA91&lt;0,0,BA89-BA90-BA91)</f>
        <v>7772.4411813010865</v>
      </c>
      <c r="BB92" s="577">
        <f t="shared" ref="BB92" si="598">IF(BB89-BB90-BB91&lt;0,0,BB89-BB90-BB91)</f>
        <v>7586.4350503039223</v>
      </c>
      <c r="BC92" s="577">
        <f t="shared" ref="BC92" si="599">IF(BC89-BC90-BC91&lt;0,0,BC89-BC90-BC91)</f>
        <v>7404.0367224937918</v>
      </c>
      <c r="BD92" s="577">
        <f t="shared" ref="BD92" si="600">IF(BD89-BD90-BD91&lt;0,0,BD89-BD90-BD91)</f>
        <v>7225.2172258625387</v>
      </c>
      <c r="BE92" s="577">
        <f t="shared" ref="BE92" si="601">IF(BE89-BE90-BE91&lt;0,0,BE89-BE90-BE91)</f>
        <v>7026.4148073782253</v>
      </c>
      <c r="BF92" s="577">
        <f t="shared" ref="BF92" si="602">IF(BF89-BF90-BF91&lt;0,0,BF89-BF90-BF91)</f>
        <v>6831.4578443394421</v>
      </c>
      <c r="BG92" s="577">
        <f t="shared" ref="BG92" si="603">IF(BG89-BG90-BG91&lt;0,0,BG89-BG90-BG91)</f>
        <v>6640.3144887576236</v>
      </c>
      <c r="BH92" s="577">
        <f t="shared" ref="BH92" si="604">IF(BH89-BH90-BH91&lt;0,0,BH89-BH90-BH91)</f>
        <v>6452.9527824412762</v>
      </c>
      <c r="BI92" s="577">
        <f t="shared" ref="BI92" si="605">IF(BI89-BI90-BI91&lt;0,0,BI89-BI90-BI91)</f>
        <v>6269.3406590033792</v>
      </c>
      <c r="BJ92" s="577">
        <f t="shared" ref="BJ92" si="606">IF(BJ89-BJ90-BJ91&lt;0,0,BJ89-BJ90-BJ91)</f>
        <v>6089.4484377515919</v>
      </c>
      <c r="BK92" s="577">
        <f t="shared" ref="BK92" si="607">IF(BK89-BK90-BK91&lt;0,0,BK89-BK90-BK91)</f>
        <v>5913.241863248717</v>
      </c>
      <c r="BL92" s="577">
        <f t="shared" ref="BL92" si="608">IF(BL89-BL90-BL91&lt;0,0,BL89-BL90-BL91)</f>
        <v>5740.6886047956723</v>
      </c>
      <c r="BM92" s="577">
        <f t="shared" ref="BM92" si="609">IF(BM89-BM90-BM91&lt;0,0,BM89-BM90-BM91)</f>
        <v>5571.7562331268327</v>
      </c>
      <c r="BN92" s="577">
        <f t="shared" ref="BN92" si="610">IF(BN89-BN90-BN91&lt;0,0,BN89-BN90-BN91)</f>
        <v>5406.4122223418872</v>
      </c>
    </row>
    <row r="93" spans="1:90" s="61" customFormat="1">
      <c r="A93" s="602"/>
      <c r="B93" s="54" t="s">
        <v>804</v>
      </c>
      <c r="C93" s="55" t="s">
        <v>1420</v>
      </c>
      <c r="D93" s="580">
        <f>D52</f>
        <v>848.54199910370664</v>
      </c>
      <c r="E93" s="580">
        <f t="shared" ref="E93:AH94" si="611">E52</f>
        <v>816.59206040325614</v>
      </c>
      <c r="F93" s="580">
        <f t="shared" si="611"/>
        <v>785.04617999017501</v>
      </c>
      <c r="G93" s="580">
        <f t="shared" si="611"/>
        <v>753.90027815186227</v>
      </c>
      <c r="H93" s="580">
        <f t="shared" si="611"/>
        <v>723.15031241249631</v>
      </c>
      <c r="I93" s="580">
        <f t="shared" si="611"/>
        <v>692.79227721218399</v>
      </c>
      <c r="J93" s="580">
        <f t="shared" si="611"/>
        <v>662.82220358877453</v>
      </c>
      <c r="K93" s="580">
        <f t="shared" si="611"/>
        <v>633.23615886231448</v>
      </c>
      <c r="L93" s="580">
        <f t="shared" si="611"/>
        <v>604.03024632212214</v>
      </c>
      <c r="M93" s="580">
        <f t="shared" si="611"/>
        <v>575.20060491646223</v>
      </c>
      <c r="N93" s="580">
        <f t="shared" si="611"/>
        <v>546.74340894480042</v>
      </c>
      <c r="O93" s="580">
        <f t="shared" si="611"/>
        <v>525.80493485842692</v>
      </c>
      <c r="P93" s="580">
        <f t="shared" si="611"/>
        <v>505.13171542046791</v>
      </c>
      <c r="Q93" s="580">
        <f t="shared" si="611"/>
        <v>484.7210706536099</v>
      </c>
      <c r="R93" s="580">
        <f t="shared" si="611"/>
        <v>464.57034504989059</v>
      </c>
      <c r="S93" s="580">
        <f t="shared" si="611"/>
        <v>444.67690735981466</v>
      </c>
      <c r="T93" s="580">
        <f t="shared" si="611"/>
        <v>425.03815038321966</v>
      </c>
      <c r="U93" s="580">
        <f t="shared" si="611"/>
        <v>405.65149076187947</v>
      </c>
      <c r="V93" s="580">
        <f t="shared" si="611"/>
        <v>386.51436877382906</v>
      </c>
      <c r="W93" s="580">
        <f t="shared" si="611"/>
        <v>367.62424812939958</v>
      </c>
      <c r="X93" s="580">
        <f t="shared" si="611"/>
        <v>348.97861576894661</v>
      </c>
      <c r="Y93" s="580">
        <f t="shared" si="611"/>
        <v>327.27802373344855</v>
      </c>
      <c r="Z93" s="580">
        <f t="shared" si="611"/>
        <v>305.86290956566216</v>
      </c>
      <c r="AA93" s="580">
        <f t="shared" si="611"/>
        <v>284.73034845877532</v>
      </c>
      <c r="AB93" s="580">
        <f t="shared" si="611"/>
        <v>263.877442505386</v>
      </c>
      <c r="AC93" s="580">
        <f t="shared" si="611"/>
        <v>243.30132046463874</v>
      </c>
      <c r="AD93" s="580">
        <f t="shared" si="611"/>
        <v>222.99913753130207</v>
      </c>
      <c r="AE93" s="580">
        <f t="shared" si="611"/>
        <v>202.96807510676683</v>
      </c>
      <c r="AF93" s="580">
        <f t="shared" si="611"/>
        <v>183.20534057195513</v>
      </c>
      <c r="AG93" s="580">
        <f t="shared" si="611"/>
        <v>163.70816706211963</v>
      </c>
      <c r="AH93" s="580">
        <f t="shared" si="611"/>
        <v>144.47381324352057</v>
      </c>
      <c r="AI93" s="580"/>
      <c r="AJ93" s="580">
        <f>AJ52</f>
        <v>848.54199910370664</v>
      </c>
      <c r="AK93" s="580">
        <f t="shared" ref="AK93:BN93" si="612">AK52</f>
        <v>829.61068318029697</v>
      </c>
      <c r="AL93" s="580">
        <f t="shared" si="612"/>
        <v>810.90199640639389</v>
      </c>
      <c r="AM93" s="580">
        <f t="shared" si="612"/>
        <v>792.41375538358147</v>
      </c>
      <c r="AN93" s="580">
        <f t="shared" si="612"/>
        <v>774.14379633204464</v>
      </c>
      <c r="AO93" s="580">
        <f t="shared" si="612"/>
        <v>756.0899749231728</v>
      </c>
      <c r="AP93" s="580">
        <f t="shared" si="612"/>
        <v>738.25016611354658</v>
      </c>
      <c r="AQ93" s="580">
        <f t="shared" si="612"/>
        <v>720.62226398029236</v>
      </c>
      <c r="AR93" s="580">
        <f t="shared" si="612"/>
        <v>703.20418155779453</v>
      </c>
      <c r="AS93" s="580">
        <f t="shared" si="612"/>
        <v>685.99385067575599</v>
      </c>
      <c r="AT93" s="580">
        <f t="shared" si="612"/>
        <v>668.98922179859449</v>
      </c>
      <c r="AU93" s="580">
        <f t="shared" si="612"/>
        <v>655.76329741907216</v>
      </c>
      <c r="AV93" s="580">
        <f t="shared" si="612"/>
        <v>642.68920913166426</v>
      </c>
      <c r="AW93" s="580">
        <f t="shared" si="612"/>
        <v>629.7654830998307</v>
      </c>
      <c r="AX93" s="580">
        <f t="shared" si="612"/>
        <v>616.99065865436773</v>
      </c>
      <c r="AY93" s="580">
        <f t="shared" si="612"/>
        <v>604.36328818146637</v>
      </c>
      <c r="AZ93" s="580">
        <f t="shared" si="612"/>
        <v>591.88193701169166</v>
      </c>
      <c r="BA93" s="580">
        <f t="shared" si="612"/>
        <v>579.54518330987685</v>
      </c>
      <c r="BB93" s="580">
        <f t="shared" si="612"/>
        <v>567.35161796592058</v>
      </c>
      <c r="BC93" s="580">
        <f t="shared" si="612"/>
        <v>555.29984448648599</v>
      </c>
      <c r="BD93" s="580">
        <f t="shared" si="612"/>
        <v>543.38847888758824</v>
      </c>
      <c r="BE93" s="580">
        <f t="shared" si="612"/>
        <v>529.96767062366246</v>
      </c>
      <c r="BF93" s="580">
        <f t="shared" si="612"/>
        <v>516.70751278195348</v>
      </c>
      <c r="BG93" s="580">
        <f t="shared" si="612"/>
        <v>503.60641815069613</v>
      </c>
      <c r="BH93" s="580">
        <f t="shared" si="612"/>
        <v>490.66281383750265</v>
      </c>
      <c r="BI93" s="580">
        <f t="shared" si="612"/>
        <v>477.87514114687104</v>
      </c>
      <c r="BJ93" s="580">
        <f t="shared" si="612"/>
        <v>465.24185545870637</v>
      </c>
      <c r="BK93" s="580">
        <f t="shared" si="612"/>
        <v>452.76142610784314</v>
      </c>
      <c r="BL93" s="580">
        <f t="shared" si="612"/>
        <v>440.43233626456697</v>
      </c>
      <c r="BM93" s="580">
        <f t="shared" si="612"/>
        <v>428.25308281612041</v>
      </c>
      <c r="BN93" s="580">
        <f t="shared" si="612"/>
        <v>416.22217624919023</v>
      </c>
      <c r="BQ93" s="649"/>
      <c r="BR93" s="649"/>
      <c r="BS93" s="649"/>
      <c r="BT93" s="649"/>
      <c r="BU93" s="649"/>
      <c r="BV93" s="649"/>
      <c r="BW93" s="649"/>
      <c r="BX93" s="649"/>
      <c r="BY93" s="649"/>
      <c r="BZ93" s="649"/>
      <c r="CA93" s="649"/>
      <c r="CB93" s="649"/>
      <c r="CC93" s="649"/>
      <c r="CD93" s="649"/>
      <c r="CE93" s="649"/>
      <c r="CF93" s="649"/>
      <c r="CG93" s="649"/>
      <c r="CH93" s="649"/>
      <c r="CI93" s="649"/>
      <c r="CJ93" s="649"/>
      <c r="CK93" s="649"/>
      <c r="CL93" s="649"/>
    </row>
    <row r="94" spans="1:90">
      <c r="A94" s="603"/>
      <c r="B94" s="1" t="s">
        <v>1063</v>
      </c>
      <c r="C94" s="50" t="s">
        <v>1420</v>
      </c>
      <c r="D94" s="576">
        <f t="shared" ref="D94:S94" si="613">D53</f>
        <v>0</v>
      </c>
      <c r="E94" s="576">
        <f t="shared" si="613"/>
        <v>0</v>
      </c>
      <c r="F94" s="576">
        <f t="shared" si="613"/>
        <v>0</v>
      </c>
      <c r="G94" s="576">
        <f t="shared" si="613"/>
        <v>0</v>
      </c>
      <c r="H94" s="576">
        <f t="shared" si="613"/>
        <v>0</v>
      </c>
      <c r="I94" s="576">
        <f t="shared" si="613"/>
        <v>0</v>
      </c>
      <c r="J94" s="576">
        <f t="shared" si="613"/>
        <v>0</v>
      </c>
      <c r="K94" s="576">
        <f t="shared" si="613"/>
        <v>0</v>
      </c>
      <c r="L94" s="576">
        <f t="shared" si="613"/>
        <v>0</v>
      </c>
      <c r="M94" s="576">
        <f t="shared" si="613"/>
        <v>0</v>
      </c>
      <c r="N94" s="576">
        <f t="shared" si="613"/>
        <v>0</v>
      </c>
      <c r="O94" s="576">
        <f t="shared" si="613"/>
        <v>0</v>
      </c>
      <c r="P94" s="576">
        <f t="shared" si="613"/>
        <v>0</v>
      </c>
      <c r="Q94" s="576">
        <f t="shared" si="613"/>
        <v>0</v>
      </c>
      <c r="R94" s="576">
        <f t="shared" si="613"/>
        <v>0</v>
      </c>
      <c r="S94" s="576">
        <f t="shared" si="613"/>
        <v>0</v>
      </c>
      <c r="T94" s="576">
        <f t="shared" si="611"/>
        <v>0</v>
      </c>
      <c r="U94" s="576">
        <f t="shared" si="611"/>
        <v>0</v>
      </c>
      <c r="V94" s="576">
        <f t="shared" si="611"/>
        <v>0</v>
      </c>
      <c r="W94" s="576">
        <f t="shared" si="611"/>
        <v>0</v>
      </c>
      <c r="X94" s="576">
        <f t="shared" si="611"/>
        <v>0</v>
      </c>
      <c r="Y94" s="576">
        <f t="shared" si="611"/>
        <v>0</v>
      </c>
      <c r="Z94" s="576">
        <f t="shared" si="611"/>
        <v>0</v>
      </c>
      <c r="AA94" s="576">
        <f t="shared" si="611"/>
        <v>0</v>
      </c>
      <c r="AB94" s="576">
        <f t="shared" si="611"/>
        <v>0</v>
      </c>
      <c r="AC94" s="576">
        <f t="shared" si="611"/>
        <v>0</v>
      </c>
      <c r="AD94" s="576">
        <f t="shared" si="611"/>
        <v>0</v>
      </c>
      <c r="AE94" s="576">
        <f t="shared" si="611"/>
        <v>0</v>
      </c>
      <c r="AF94" s="576">
        <f t="shared" si="611"/>
        <v>0</v>
      </c>
      <c r="AG94" s="576">
        <f t="shared" si="611"/>
        <v>0</v>
      </c>
      <c r="AH94" s="576">
        <f t="shared" si="611"/>
        <v>0</v>
      </c>
      <c r="AI94" s="576"/>
      <c r="AJ94" s="576">
        <f t="shared" ref="AJ94:BN94" si="614">AJ53</f>
        <v>0</v>
      </c>
      <c r="AK94" s="576">
        <f t="shared" si="614"/>
        <v>0</v>
      </c>
      <c r="AL94" s="576">
        <f t="shared" si="614"/>
        <v>0</v>
      </c>
      <c r="AM94" s="576">
        <f t="shared" si="614"/>
        <v>0</v>
      </c>
      <c r="AN94" s="576">
        <f t="shared" si="614"/>
        <v>0</v>
      </c>
      <c r="AO94" s="576">
        <f t="shared" si="614"/>
        <v>0</v>
      </c>
      <c r="AP94" s="576">
        <f t="shared" si="614"/>
        <v>0</v>
      </c>
      <c r="AQ94" s="576">
        <f t="shared" si="614"/>
        <v>0</v>
      </c>
      <c r="AR94" s="576">
        <f t="shared" si="614"/>
        <v>0</v>
      </c>
      <c r="AS94" s="576">
        <f t="shared" si="614"/>
        <v>0</v>
      </c>
      <c r="AT94" s="576">
        <f t="shared" si="614"/>
        <v>0</v>
      </c>
      <c r="AU94" s="576">
        <f t="shared" si="614"/>
        <v>0</v>
      </c>
      <c r="AV94" s="576">
        <f t="shared" si="614"/>
        <v>0</v>
      </c>
      <c r="AW94" s="576">
        <f t="shared" si="614"/>
        <v>0</v>
      </c>
      <c r="AX94" s="576">
        <f t="shared" si="614"/>
        <v>0</v>
      </c>
      <c r="AY94" s="576">
        <f t="shared" si="614"/>
        <v>0</v>
      </c>
      <c r="AZ94" s="576">
        <f t="shared" si="614"/>
        <v>0</v>
      </c>
      <c r="BA94" s="576">
        <f t="shared" si="614"/>
        <v>0</v>
      </c>
      <c r="BB94" s="576">
        <f t="shared" si="614"/>
        <v>0</v>
      </c>
      <c r="BC94" s="576">
        <f t="shared" si="614"/>
        <v>0</v>
      </c>
      <c r="BD94" s="576">
        <f t="shared" si="614"/>
        <v>0</v>
      </c>
      <c r="BE94" s="576">
        <f t="shared" si="614"/>
        <v>0</v>
      </c>
      <c r="BF94" s="576">
        <f t="shared" si="614"/>
        <v>0</v>
      </c>
      <c r="BG94" s="576">
        <f t="shared" si="614"/>
        <v>0</v>
      </c>
      <c r="BH94" s="576">
        <f t="shared" si="614"/>
        <v>0</v>
      </c>
      <c r="BI94" s="576">
        <f t="shared" si="614"/>
        <v>0</v>
      </c>
      <c r="BJ94" s="576">
        <f t="shared" si="614"/>
        <v>0</v>
      </c>
      <c r="BK94" s="576">
        <f t="shared" si="614"/>
        <v>0</v>
      </c>
      <c r="BL94" s="576">
        <f t="shared" si="614"/>
        <v>0</v>
      </c>
      <c r="BM94" s="576">
        <f t="shared" si="614"/>
        <v>0</v>
      </c>
      <c r="BN94" s="576">
        <f t="shared" si="614"/>
        <v>0</v>
      </c>
    </row>
    <row r="95" spans="1:90" s="62" customFormat="1">
      <c r="A95" s="604"/>
      <c r="B95" s="58" t="s">
        <v>27</v>
      </c>
      <c r="C95" s="233" t="s">
        <v>1420</v>
      </c>
      <c r="D95" s="579">
        <f>D54-(D89-D92)</f>
        <v>11214.38170827588</v>
      </c>
      <c r="E95" s="579">
        <f t="shared" ref="E95:AH95" si="615">E54-(E89-E92)</f>
        <v>10762.952075754458</v>
      </c>
      <c r="F95" s="579">
        <f t="shared" si="615"/>
        <v>10315.498477125917</v>
      </c>
      <c r="G95" s="579">
        <f t="shared" si="615"/>
        <v>9872.1437744737104</v>
      </c>
      <c r="H95" s="579">
        <f t="shared" si="615"/>
        <v>9433.0086484109252</v>
      </c>
      <c r="I95" s="579">
        <f t="shared" si="615"/>
        <v>8998.211614885744</v>
      </c>
      <c r="J95" s="579">
        <f t="shared" si="615"/>
        <v>8567.869895645641</v>
      </c>
      <c r="K95" s="579">
        <f t="shared" si="615"/>
        <v>8142.0974332318092</v>
      </c>
      <c r="L95" s="579">
        <f t="shared" si="615"/>
        <v>7721.0064952783659</v>
      </c>
      <c r="M95" s="579">
        <f t="shared" si="615"/>
        <v>7304.7072647561163</v>
      </c>
      <c r="N95" s="579">
        <f t="shared" si="615"/>
        <v>6893.3078561949897</v>
      </c>
      <c r="O95" s="579">
        <f t="shared" si="615"/>
        <v>6592.5436725317068</v>
      </c>
      <c r="P95" s="579">
        <f t="shared" si="615"/>
        <v>6296.9336472440482</v>
      </c>
      <c r="Q95" s="579">
        <f t="shared" si="615"/>
        <v>6006.4353362805796</v>
      </c>
      <c r="R95" s="579">
        <f t="shared" si="615"/>
        <v>5721.0062912164858</v>
      </c>
      <c r="S95" s="579">
        <f t="shared" si="615"/>
        <v>5440.6040602521734</v>
      </c>
      <c r="T95" s="579">
        <f t="shared" si="615"/>
        <v>5165.1845777742856</v>
      </c>
      <c r="U95" s="579">
        <f t="shared" si="615"/>
        <v>4894.7065778391552</v>
      </c>
      <c r="V95" s="579">
        <f t="shared" si="615"/>
        <v>4629.1275531277561</v>
      </c>
      <c r="W95" s="579">
        <f t="shared" si="615"/>
        <v>4368.4049944944309</v>
      </c>
      <c r="X95" s="579">
        <f t="shared" si="615"/>
        <v>4112.4963919836973</v>
      </c>
      <c r="Y95" s="579">
        <f t="shared" si="615"/>
        <v>3817.6886652310959</v>
      </c>
      <c r="Z95" s="579">
        <f t="shared" si="615"/>
        <v>3528.2154704722197</v>
      </c>
      <c r="AA95" s="579">
        <f t="shared" si="615"/>
        <v>3244.0288691942897</v>
      </c>
      <c r="AB95" s="579">
        <f t="shared" si="615"/>
        <v>2965.0809646206817</v>
      </c>
      <c r="AC95" s="579">
        <f t="shared" si="615"/>
        <v>2691.323902382142</v>
      </c>
      <c r="AD95" s="579">
        <f t="shared" si="615"/>
        <v>2422.7123630820583</v>
      </c>
      <c r="AE95" s="579">
        <f t="shared" si="615"/>
        <v>2159.1966005431273</v>
      </c>
      <c r="AF95" s="579">
        <f t="shared" si="615"/>
        <v>1900.7289399876045</v>
      </c>
      <c r="AG95" s="579">
        <f t="shared" si="615"/>
        <v>1647.2617534408946</v>
      </c>
      <c r="AH95" s="579">
        <f t="shared" si="615"/>
        <v>1398.7474603825233</v>
      </c>
      <c r="AI95" s="579"/>
      <c r="AJ95" s="579">
        <f>AJ54-(AJ89-AJ92)</f>
        <v>11214.38170827588</v>
      </c>
      <c r="AK95" s="579">
        <f t="shared" ref="AK95:BN95" si="616">AK54-(AK89-AK92)</f>
        <v>10935.0069714367</v>
      </c>
      <c r="AL95" s="579">
        <f t="shared" si="616"/>
        <v>10657.210490175192</v>
      </c>
      <c r="AM95" s="579">
        <f t="shared" si="616"/>
        <v>10381.140188376265</v>
      </c>
      <c r="AN95" s="579">
        <f t="shared" si="616"/>
        <v>10106.941575611565</v>
      </c>
      <c r="AO95" s="579">
        <f t="shared" si="616"/>
        <v>9834.7577659729977</v>
      </c>
      <c r="AP95" s="579">
        <f t="shared" si="616"/>
        <v>9564.730350548054</v>
      </c>
      <c r="AQ95" s="579">
        <f t="shared" si="616"/>
        <v>9296.9974144085263</v>
      </c>
      <c r="AR95" s="579">
        <f t="shared" si="616"/>
        <v>9031.6951428873508</v>
      </c>
      <c r="AS95" s="579">
        <f t="shared" si="616"/>
        <v>8768.9574137834334</v>
      </c>
      <c r="AT95" s="579">
        <f t="shared" si="616"/>
        <v>8508.9158155287223</v>
      </c>
      <c r="AU95" s="579">
        <f t="shared" si="616"/>
        <v>8310.0811491410004</v>
      </c>
      <c r="AV95" s="579">
        <f t="shared" si="616"/>
        <v>8114.9016947190667</v>
      </c>
      <c r="AW95" s="579">
        <f t="shared" si="616"/>
        <v>7923.3509486399435</v>
      </c>
      <c r="AX95" s="579">
        <f t="shared" si="616"/>
        <v>7735.4022535391668</v>
      </c>
      <c r="AY95" s="579">
        <f t="shared" si="616"/>
        <v>7551.0288006170176</v>
      </c>
      <c r="AZ95" s="579">
        <f t="shared" si="616"/>
        <v>7370.2020204962282</v>
      </c>
      <c r="BA95" s="579">
        <f t="shared" si="616"/>
        <v>7192.8959979912088</v>
      </c>
      <c r="BB95" s="579">
        <f t="shared" si="616"/>
        <v>7019.0834323380013</v>
      </c>
      <c r="BC95" s="579">
        <f t="shared" si="616"/>
        <v>6848.7368780073066</v>
      </c>
      <c r="BD95" s="579">
        <f t="shared" si="616"/>
        <v>6681.8287469749503</v>
      </c>
      <c r="BE95" s="579">
        <f t="shared" si="616"/>
        <v>6496.447136754563</v>
      </c>
      <c r="BF95" s="579">
        <f t="shared" si="616"/>
        <v>6314.7503315574895</v>
      </c>
      <c r="BG95" s="579">
        <f t="shared" si="616"/>
        <v>6136.7080706069273</v>
      </c>
      <c r="BH95" s="579">
        <f t="shared" si="616"/>
        <v>5962.2899686037736</v>
      </c>
      <c r="BI95" s="579">
        <f t="shared" si="616"/>
        <v>5791.4655178565072</v>
      </c>
      <c r="BJ95" s="579">
        <f t="shared" si="616"/>
        <v>5624.2065822928853</v>
      </c>
      <c r="BK95" s="579">
        <f t="shared" si="616"/>
        <v>5460.4804371408745</v>
      </c>
      <c r="BL95" s="579">
        <f t="shared" si="616"/>
        <v>5300.256268531105</v>
      </c>
      <c r="BM95" s="579">
        <f t="shared" si="616"/>
        <v>5143.503150310712</v>
      </c>
      <c r="BN95" s="579">
        <f t="shared" si="616"/>
        <v>4990.1900460926972</v>
      </c>
      <c r="BQ95" s="623"/>
      <c r="BR95" s="623"/>
      <c r="BS95" s="623"/>
      <c r="BT95" s="623"/>
      <c r="BU95" s="623"/>
      <c r="BV95" s="623"/>
      <c r="BW95" s="623"/>
      <c r="BX95" s="623"/>
      <c r="BY95" s="623"/>
      <c r="BZ95" s="623"/>
      <c r="CA95" s="623"/>
      <c r="CB95" s="623"/>
      <c r="CC95" s="623"/>
      <c r="CD95" s="623"/>
      <c r="CE95" s="623"/>
      <c r="CF95" s="623"/>
      <c r="CG95" s="623"/>
      <c r="CH95" s="623"/>
      <c r="CI95" s="623"/>
      <c r="CJ95" s="623"/>
      <c r="CK95" s="623"/>
      <c r="CL95" s="623"/>
    </row>
    <row r="96" spans="1:90">
      <c r="A96" s="54" t="s">
        <v>263</v>
      </c>
      <c r="B96" s="54" t="s">
        <v>200</v>
      </c>
      <c r="C96" s="93" t="s">
        <v>1420</v>
      </c>
      <c r="D96" s="572">
        <f t="shared" ref="D96:AH96" si="617">D42</f>
        <v>87870.659329283968</v>
      </c>
      <c r="E96" s="572">
        <f t="shared" si="617"/>
        <v>85158.826108818801</v>
      </c>
      <c r="F96" s="572">
        <f t="shared" si="617"/>
        <v>82480.518869667489</v>
      </c>
      <c r="G96" s="572">
        <f t="shared" si="617"/>
        <v>79835.40205964772</v>
      </c>
      <c r="H96" s="572">
        <f t="shared" si="617"/>
        <v>77223.14317505715</v>
      </c>
      <c r="I96" s="572">
        <f t="shared" si="617"/>
        <v>74643.412734481914</v>
      </c>
      <c r="J96" s="572">
        <f t="shared" si="617"/>
        <v>72095.884252821881</v>
      </c>
      <c r="K96" s="572">
        <f t="shared" si="617"/>
        <v>69580.234215531338</v>
      </c>
      <c r="L96" s="572">
        <f t="shared" si="617"/>
        <v>67096.142053073054</v>
      </c>
      <c r="M96" s="572">
        <f t="shared" si="617"/>
        <v>64643.290115584183</v>
      </c>
      <c r="N96" s="572">
        <f t="shared" si="617"/>
        <v>62221.36364775218</v>
      </c>
      <c r="O96" s="572">
        <f t="shared" si="617"/>
        <v>59830.050763899206</v>
      </c>
      <c r="P96" s="572">
        <f t="shared" si="617"/>
        <v>57469.042423273029</v>
      </c>
      <c r="Q96" s="572">
        <f t="shared" si="617"/>
        <v>55138.032405543148</v>
      </c>
      <c r="R96" s="572">
        <f t="shared" si="617"/>
        <v>52836.717286500105</v>
      </c>
      <c r="S96" s="572">
        <f t="shared" si="617"/>
        <v>50564.796413956625</v>
      </c>
      <c r="T96" s="572">
        <f t="shared" si="617"/>
        <v>48321.97188384879</v>
      </c>
      <c r="U96" s="572">
        <f t="shared" si="617"/>
        <v>46107.948516535682</v>
      </c>
      <c r="V96" s="572">
        <f t="shared" si="617"/>
        <v>43922.433833295872</v>
      </c>
      <c r="W96" s="572">
        <f t="shared" si="617"/>
        <v>41765.138033019204</v>
      </c>
      <c r="X96" s="572">
        <f t="shared" si="617"/>
        <v>39635.773969092246</v>
      </c>
      <c r="Y96" s="572">
        <f t="shared" si="617"/>
        <v>37478.737965340741</v>
      </c>
      <c r="Z96" s="572">
        <f t="shared" si="617"/>
        <v>35349.838211377602</v>
      </c>
      <c r="AA96" s="572">
        <f t="shared" si="617"/>
        <v>33248.787329424944</v>
      </c>
      <c r="AB96" s="572">
        <f t="shared" si="617"/>
        <v>31175.300580512929</v>
      </c>
      <c r="AC96" s="572">
        <f t="shared" si="617"/>
        <v>29129.095841658302</v>
      </c>
      <c r="AD96" s="572">
        <f t="shared" si="617"/>
        <v>27109.893583232784</v>
      </c>
      <c r="AE96" s="572">
        <f t="shared" si="617"/>
        <v>25117.416846519998</v>
      </c>
      <c r="AF96" s="572">
        <f t="shared" si="617"/>
        <v>23151.39122145914</v>
      </c>
      <c r="AG96" s="572">
        <f t="shared" si="617"/>
        <v>21211.544824574019</v>
      </c>
      <c r="AH96" s="572">
        <f t="shared" si="617"/>
        <v>19297.608277085943</v>
      </c>
      <c r="AI96" s="99"/>
      <c r="AJ96" s="572">
        <f t="shared" ref="AJ96:BN96" si="618">AJ42</f>
        <v>87870.659329283968</v>
      </c>
      <c r="AK96" s="572">
        <f t="shared" si="618"/>
        <v>86366.972567424949</v>
      </c>
      <c r="AL96" s="572">
        <f t="shared" si="618"/>
        <v>84879.974908344258</v>
      </c>
      <c r="AM96" s="572">
        <f t="shared" si="618"/>
        <v>83409.506780476455</v>
      </c>
      <c r="AN96" s="572">
        <f t="shared" si="618"/>
        <v>81955.410025744393</v>
      </c>
      <c r="AO96" s="572">
        <f t="shared" si="618"/>
        <v>80517.527887608463</v>
      </c>
      <c r="AP96" s="572">
        <f t="shared" si="618"/>
        <v>79095.704999213791</v>
      </c>
      <c r="AQ96" s="572">
        <f t="shared" si="618"/>
        <v>77689.787371634622</v>
      </c>
      <c r="AR96" s="572">
        <f t="shared" si="618"/>
        <v>76299.622382214919</v>
      </c>
      <c r="AS96" s="572">
        <f t="shared" si="618"/>
        <v>74925.058763004577</v>
      </c>
      <c r="AT96" s="572">
        <f t="shared" si="618"/>
        <v>73565.946589290659</v>
      </c>
      <c r="AU96" s="572">
        <f t="shared" si="618"/>
        <v>72222.13726822233</v>
      </c>
      <c r="AV96" s="572">
        <f t="shared" si="618"/>
        <v>70893.483527529461</v>
      </c>
      <c r="AW96" s="572">
        <f t="shared" si="618"/>
        <v>69579.839404333528</v>
      </c>
      <c r="AX96" s="572">
        <f t="shared" si="618"/>
        <v>68281.060234050368</v>
      </c>
      <c r="AY96" s="572">
        <f t="shared" si="618"/>
        <v>66997.002639384111</v>
      </c>
      <c r="AZ96" s="572">
        <f t="shared" si="618"/>
        <v>65727.524519411454</v>
      </c>
      <c r="BA96" s="572">
        <f t="shared" si="618"/>
        <v>64472.485038755389</v>
      </c>
      <c r="BB96" s="572">
        <f t="shared" si="618"/>
        <v>63231.744616847966</v>
      </c>
      <c r="BC96" s="572">
        <f t="shared" si="618"/>
        <v>62005.16491728132</v>
      </c>
      <c r="BD96" s="572">
        <f t="shared" si="618"/>
        <v>60792.608837245956</v>
      </c>
      <c r="BE96" s="572">
        <f t="shared" si="618"/>
        <v>59570.453779457072</v>
      </c>
      <c r="BF96" s="572">
        <f t="shared" si="618"/>
        <v>58362.379108365218</v>
      </c>
      <c r="BG96" s="572">
        <f t="shared" si="618"/>
        <v>57168.247938336724</v>
      </c>
      <c r="BH96" s="572">
        <f t="shared" si="618"/>
        <v>55987.924607735556</v>
      </c>
      <c r="BI96" s="572">
        <f t="shared" si="618"/>
        <v>54821.274668511891</v>
      </c>
      <c r="BJ96" s="572">
        <f t="shared" si="618"/>
        <v>53668.164875876268</v>
      </c>
      <c r="BK96" s="572">
        <f t="shared" si="618"/>
        <v>52528.463178058846</v>
      </c>
      <c r="BL96" s="572">
        <f t="shared" si="618"/>
        <v>51402.038706152816</v>
      </c>
      <c r="BM96" s="572">
        <f t="shared" si="618"/>
        <v>50288.761764041548</v>
      </c>
      <c r="BN96" s="572">
        <f t="shared" si="618"/>
        <v>49188.503818408644</v>
      </c>
    </row>
    <row r="97" spans="1:90">
      <c r="A97"/>
      <c r="B97" t="s">
        <v>266</v>
      </c>
      <c r="C97" s="50" t="s">
        <v>1420</v>
      </c>
      <c r="D97" s="99">
        <f>'Methanol Recycling HC'!C223</f>
        <v>0</v>
      </c>
      <c r="E97" s="99">
        <f>'Methanol Recycling HC'!D223</f>
        <v>25.351732512652081</v>
      </c>
      <c r="F97" s="99">
        <f>'Methanol Recycling HC'!E223</f>
        <v>76.767674813385128</v>
      </c>
      <c r="G97" s="99">
        <f>'Methanol Recycling HC'!F223</f>
        <v>154.07484017670481</v>
      </c>
      <c r="H97" s="99">
        <f>'Methanol Recycling HC'!G223</f>
        <v>257.10100618487951</v>
      </c>
      <c r="I97" s="99">
        <f>'Methanol Recycling HC'!H223</f>
        <v>385.67471191482559</v>
      </c>
      <c r="J97" s="99">
        <f>'Methanol Recycling HC'!I223</f>
        <v>539.62525513431081</v>
      </c>
      <c r="K97" s="99">
        <f>'Methanol Recycling HC'!J223</f>
        <v>718.78268950744473</v>
      </c>
      <c r="L97" s="99">
        <f>'Methanol Recycling HC'!K223</f>
        <v>922.97782180943057</v>
      </c>
      <c r="M97" s="99">
        <f>'Methanol Recycling HC'!L223</f>
        <v>1152.0422091505459</v>
      </c>
      <c r="N97" s="99">
        <f>'Methanol Recycling HC'!M223</f>
        <v>1405.8081562093287</v>
      </c>
      <c r="O97" s="99">
        <f>'Methanol Recycling HC'!N223</f>
        <v>1637.7925420844642</v>
      </c>
      <c r="P97" s="99">
        <f>'Methanol Recycling HC'!O223</f>
        <v>1885.9472899074453</v>
      </c>
      <c r="Q97" s="99">
        <f>'Methanol Recycling HC'!P223</f>
        <v>2150.1619010540726</v>
      </c>
      <c r="R97" s="99">
        <f>'Methanol Recycling HC'!Q223</f>
        <v>2430.3263697930379</v>
      </c>
      <c r="S97" s="99">
        <f>'Methanol Recycling HC'!R223</f>
        <v>2726.3311814631775</v>
      </c>
      <c r="T97" s="99">
        <f>'Methanol Recycling HC'!S223</f>
        <v>3038.0673106567629</v>
      </c>
      <c r="U97" s="99">
        <f>'Methanol Recycling HC'!T223</f>
        <v>3365.426219408846</v>
      </c>
      <c r="V97" s="99">
        <f>'Methanol Recycling HC'!U223</f>
        <v>3708.2998553926118</v>
      </c>
      <c r="W97" s="99">
        <f>'Methanol Recycling HC'!V223</f>
        <v>4066.5806501207239</v>
      </c>
      <c r="X97" s="99">
        <f>'Methanol Recycling HC'!W223</f>
        <v>4440.1615171526619</v>
      </c>
      <c r="Y97" s="99">
        <f>'Methanol Recycling HC'!X223</f>
        <v>4924.149132362264</v>
      </c>
      <c r="Z97" s="99">
        <f>'Methanol Recycling HC'!Y223</f>
        <v>5431.8516185943827</v>
      </c>
      <c r="AA97" s="99">
        <f>'Methanol Recycling HC'!Z223</f>
        <v>5963.1047950480661</v>
      </c>
      <c r="AB97" s="99">
        <f>'Methanol Recycling HC'!AA223</f>
        <v>6517.7452163244525</v>
      </c>
      <c r="AC97" s="99">
        <f>'Methanol Recycling HC'!AB223</f>
        <v>7095.6101697016165</v>
      </c>
      <c r="AD97" s="99">
        <f>'Methanol Recycling HC'!AC223</f>
        <v>7696.5376724184807</v>
      </c>
      <c r="AE97" s="99">
        <f>'Methanol Recycling HC'!AD223</f>
        <v>8320.3664689677698</v>
      </c>
      <c r="AF97" s="99">
        <f>'Methanol Recycling HC'!AE223</f>
        <v>8966.9360283979604</v>
      </c>
      <c r="AG97" s="99">
        <f>'Methanol Recycling HC'!AF223</f>
        <v>9636.0865416242123</v>
      </c>
      <c r="AH97" s="99">
        <f>'Methanol Recycling HC'!AG223</f>
        <v>10327.658918748268</v>
      </c>
      <c r="AI97" s="99"/>
      <c r="AJ97" s="99">
        <f>D97</f>
        <v>0</v>
      </c>
      <c r="AK97" s="99">
        <f>E97</f>
        <v>25.351732512652081</v>
      </c>
      <c r="AL97" s="99">
        <f t="shared" ref="AK97:BN100" si="619">F97</f>
        <v>76.767674813385128</v>
      </c>
      <c r="AM97" s="99">
        <f t="shared" si="619"/>
        <v>154.07484017670481</v>
      </c>
      <c r="AN97" s="99">
        <f t="shared" si="619"/>
        <v>257.10100618487951</v>
      </c>
      <c r="AO97" s="99">
        <f t="shared" si="619"/>
        <v>385.67471191482559</v>
      </c>
      <c r="AP97" s="99">
        <f t="shared" si="619"/>
        <v>539.62525513431081</v>
      </c>
      <c r="AQ97" s="99">
        <f t="shared" si="619"/>
        <v>718.78268950744473</v>
      </c>
      <c r="AR97" s="99">
        <f t="shared" si="619"/>
        <v>922.97782180943057</v>
      </c>
      <c r="AS97" s="99">
        <f t="shared" si="619"/>
        <v>1152.0422091505459</v>
      </c>
      <c r="AT97" s="99">
        <f t="shared" si="619"/>
        <v>1405.8081562093287</v>
      </c>
      <c r="AU97" s="99">
        <f t="shared" si="619"/>
        <v>1637.7925420844642</v>
      </c>
      <c r="AV97" s="99">
        <f t="shared" si="619"/>
        <v>1885.9472899074453</v>
      </c>
      <c r="AW97" s="99">
        <f t="shared" si="619"/>
        <v>2150.1619010540726</v>
      </c>
      <c r="AX97" s="99">
        <f t="shared" si="619"/>
        <v>2430.3263697930379</v>
      </c>
      <c r="AY97" s="99">
        <f t="shared" si="619"/>
        <v>2726.3311814631775</v>
      </c>
      <c r="AZ97" s="99">
        <f t="shared" si="619"/>
        <v>3038.0673106567629</v>
      </c>
      <c r="BA97" s="99">
        <f t="shared" si="619"/>
        <v>3365.426219408846</v>
      </c>
      <c r="BB97" s="99">
        <f t="shared" si="619"/>
        <v>3708.2998553926118</v>
      </c>
      <c r="BC97" s="99">
        <f t="shared" si="619"/>
        <v>4066.5806501207239</v>
      </c>
      <c r="BD97" s="99">
        <f t="shared" si="619"/>
        <v>4440.1615171526619</v>
      </c>
      <c r="BE97" s="99">
        <f t="shared" si="619"/>
        <v>4924.149132362264</v>
      </c>
      <c r="BF97" s="99">
        <f t="shared" si="619"/>
        <v>5431.8516185943827</v>
      </c>
      <c r="BG97" s="99">
        <f t="shared" si="619"/>
        <v>5963.1047950480661</v>
      </c>
      <c r="BH97" s="99">
        <f t="shared" si="619"/>
        <v>6517.7452163244525</v>
      </c>
      <c r="BI97" s="99">
        <f t="shared" si="619"/>
        <v>7095.6101697016165</v>
      </c>
      <c r="BJ97" s="99">
        <f t="shared" si="619"/>
        <v>7696.5376724184807</v>
      </c>
      <c r="BK97" s="99">
        <f t="shared" si="619"/>
        <v>8320.3664689677698</v>
      </c>
      <c r="BL97" s="99">
        <f t="shared" si="619"/>
        <v>8966.9360283979604</v>
      </c>
      <c r="BM97" s="99">
        <f t="shared" si="619"/>
        <v>9636.0865416242123</v>
      </c>
      <c r="BN97" s="99">
        <f t="shared" si="619"/>
        <v>10327.658918748268</v>
      </c>
    </row>
    <row r="98" spans="1:90">
      <c r="A98"/>
      <c r="B98" t="s">
        <v>268</v>
      </c>
      <c r="C98" s="50" t="s">
        <v>1420</v>
      </c>
      <c r="D98" s="99">
        <f>'Methanol Recycling HC'!C105</f>
        <v>0</v>
      </c>
      <c r="E98" s="99">
        <f>'Methanol Recycling HC'!D105</f>
        <v>165.69549195479053</v>
      </c>
      <c r="F98" s="99">
        <f>'Methanol Recycling HC'!E105</f>
        <v>346.93998837721955</v>
      </c>
      <c r="G98" s="99">
        <f>'Methanol Recycling HC'!F105</f>
        <v>543.69499811163257</v>
      </c>
      <c r="H98" s="99">
        <f>'Methanol Recycling HC'!G105</f>
        <v>755.9207543870931</v>
      </c>
      <c r="I98" s="99">
        <f>'Methanol Recycling HC'!H105</f>
        <v>983.57622908079031</v>
      </c>
      <c r="J98" s="99">
        <f>'Methanol Recycling HC'!I105</f>
        <v>1226.6191468884638</v>
      </c>
      <c r="K98" s="99">
        <f>'Methanol Recycling HC'!J105</f>
        <v>1485.005999402309</v>
      </c>
      <c r="L98" s="99">
        <f>'Methanol Recycling HC'!K105</f>
        <v>1758.6920590968457</v>
      </c>
      <c r="M98" s="99">
        <f>'Methanol Recycling HC'!L105</f>
        <v>2047.6313932232031</v>
      </c>
      <c r="N98" s="99">
        <f>'Methanol Recycling HC'!M105</f>
        <v>2351.7768776123025</v>
      </c>
      <c r="O98" s="99">
        <f>'Methanol Recycling HC'!N105</f>
        <v>2590.2048944029248</v>
      </c>
      <c r="P98" s="99">
        <f>'Methanol Recycling HC'!O105</f>
        <v>2829.1001919817336</v>
      </c>
      <c r="Q98" s="99">
        <f>'Methanol Recycling HC'!P105</f>
        <v>3068.4288993708151</v>
      </c>
      <c r="R98" s="99">
        <f>'Methanol Recycling HC'!Q105</f>
        <v>3308.1570681429025</v>
      </c>
      <c r="S98" s="99">
        <f>'Methanol Recycling HC'!R105</f>
        <v>3548.2506748481942</v>
      </c>
      <c r="T98" s="99">
        <f>'Methanol Recycling HC'!S105</f>
        <v>3788.6756234217573</v>
      </c>
      <c r="U98" s="99">
        <f>'Methanol Recycling HC'!T105</f>
        <v>4029.3977475715915</v>
      </c>
      <c r="V98" s="99">
        <f>'Methanol Recycling HC'!U105</f>
        <v>4270.3828131474738</v>
      </c>
      <c r="W98" s="99">
        <f>'Methanol Recycling HC'!V105</f>
        <v>4511.5965204907052</v>
      </c>
      <c r="X98" s="99">
        <f>'Methanol Recycling HC'!W105</f>
        <v>4753.004506764818</v>
      </c>
      <c r="Y98" s="99">
        <f>'Methanol Recycling HC'!X105</f>
        <v>4995.4989118203557</v>
      </c>
      <c r="Z98" s="99">
        <f>'Methanol Recycling HC'!Y105</f>
        <v>5238.1993453519417</v>
      </c>
      <c r="AA98" s="99">
        <f>'Methanol Recycling HC'!Z105</f>
        <v>5481.0701834667279</v>
      </c>
      <c r="AB98" s="99">
        <f>'Methanol Recycling HC'!AA105</f>
        <v>5724.0757392941687</v>
      </c>
      <c r="AC98" s="99">
        <f>'Methanol Recycling HC'!AB105</f>
        <v>5967.1802653660388</v>
      </c>
      <c r="AD98" s="99">
        <f>'Methanol Recycling HC'!AC105</f>
        <v>6210.3479559770467</v>
      </c>
      <c r="AE98" s="99">
        <f>'Methanol Recycling HC'!AD105</f>
        <v>6453.5429495261487</v>
      </c>
      <c r="AF98" s="99">
        <f>'Methanol Recycling HC'!AE105</f>
        <v>6696.729330838687</v>
      </c>
      <c r="AG98" s="99">
        <f>'Methanol Recycling HC'!AF105</f>
        <v>6939.8711334694235</v>
      </c>
      <c r="AH98" s="99">
        <f>'Methanol Recycling HC'!AG105</f>
        <v>7182.9323419866314</v>
      </c>
      <c r="AI98" s="99"/>
      <c r="AJ98" s="99">
        <f t="shared" ref="AJ98:AJ100" si="620">D98</f>
        <v>0</v>
      </c>
      <c r="AK98" s="99">
        <f t="shared" si="619"/>
        <v>165.69549195479053</v>
      </c>
      <c r="AL98" s="99">
        <f t="shared" si="619"/>
        <v>346.93998837721955</v>
      </c>
      <c r="AM98" s="99">
        <f t="shared" si="619"/>
        <v>543.69499811163257</v>
      </c>
      <c r="AN98" s="99">
        <f t="shared" si="619"/>
        <v>755.9207543870931</v>
      </c>
      <c r="AO98" s="99">
        <f t="shared" si="619"/>
        <v>983.57622908079031</v>
      </c>
      <c r="AP98" s="99">
        <f t="shared" si="619"/>
        <v>1226.6191468884638</v>
      </c>
      <c r="AQ98" s="99">
        <f t="shared" si="619"/>
        <v>1485.005999402309</v>
      </c>
      <c r="AR98" s="99">
        <f t="shared" si="619"/>
        <v>1758.6920590968457</v>
      </c>
      <c r="AS98" s="99">
        <f t="shared" si="619"/>
        <v>2047.6313932232031</v>
      </c>
      <c r="AT98" s="99">
        <f t="shared" si="619"/>
        <v>2351.7768776123025</v>
      </c>
      <c r="AU98" s="99">
        <f t="shared" si="619"/>
        <v>2590.2048944029248</v>
      </c>
      <c r="AV98" s="99">
        <f t="shared" si="619"/>
        <v>2829.1001919817336</v>
      </c>
      <c r="AW98" s="99">
        <f t="shared" si="619"/>
        <v>3068.4288993708151</v>
      </c>
      <c r="AX98" s="99">
        <f t="shared" si="619"/>
        <v>3308.1570681429025</v>
      </c>
      <c r="AY98" s="99">
        <f t="shared" si="619"/>
        <v>3548.2506748481942</v>
      </c>
      <c r="AZ98" s="99">
        <f t="shared" si="619"/>
        <v>3788.6756234217573</v>
      </c>
      <c r="BA98" s="99">
        <f t="shared" si="619"/>
        <v>4029.3977475715915</v>
      </c>
      <c r="BB98" s="99">
        <f t="shared" si="619"/>
        <v>4270.3828131474738</v>
      </c>
      <c r="BC98" s="99">
        <f t="shared" si="619"/>
        <v>4511.5965204907052</v>
      </c>
      <c r="BD98" s="99">
        <f t="shared" si="619"/>
        <v>4753.004506764818</v>
      </c>
      <c r="BE98" s="99">
        <f t="shared" si="619"/>
        <v>4995.4989118203557</v>
      </c>
      <c r="BF98" s="99">
        <f t="shared" si="619"/>
        <v>5238.1993453519417</v>
      </c>
      <c r="BG98" s="99">
        <f t="shared" si="619"/>
        <v>5481.0701834667279</v>
      </c>
      <c r="BH98" s="99">
        <f t="shared" si="619"/>
        <v>5724.0757392941687</v>
      </c>
      <c r="BI98" s="99">
        <f t="shared" si="619"/>
        <v>5967.1802653660388</v>
      </c>
      <c r="BJ98" s="99">
        <f t="shared" si="619"/>
        <v>6210.3479559770467</v>
      </c>
      <c r="BK98" s="99">
        <f t="shared" si="619"/>
        <v>6453.5429495261487</v>
      </c>
      <c r="BL98" s="99">
        <f t="shared" si="619"/>
        <v>6696.729330838687</v>
      </c>
      <c r="BM98" s="99">
        <f t="shared" si="619"/>
        <v>6939.8711334694235</v>
      </c>
      <c r="BN98" s="99">
        <f t="shared" si="619"/>
        <v>7182.9323419866314</v>
      </c>
    </row>
    <row r="99" spans="1:90">
      <c r="A99" s="160"/>
      <c r="B99" s="160" t="s">
        <v>269</v>
      </c>
      <c r="C99" s="156" t="s">
        <v>1420</v>
      </c>
      <c r="D99" s="120">
        <f>'Methanol Recycling HC'!C146</f>
        <v>0</v>
      </c>
      <c r="E99" s="120">
        <f>'Methanol Recycling HC'!D146</f>
        <v>51.909006578433321</v>
      </c>
      <c r="F99" s="120">
        <f>'Methanol Recycling HC'!E146</f>
        <v>104.84600385925256</v>
      </c>
      <c r="G99" s="120">
        <f>'Methanol Recycling HC'!F146</f>
        <v>158.42160942304184</v>
      </c>
      <c r="H99" s="120">
        <f>'Methanol Recycling HC'!G146</f>
        <v>212.24984691162018</v>
      </c>
      <c r="I99" s="120">
        <f>'Methanol Recycling HC'!H146</f>
        <v>265.94812729169854</v>
      </c>
      <c r="J99" s="120">
        <f>'Methanol Recycling HC'!I146</f>
        <v>319.13723020111951</v>
      </c>
      <c r="K99" s="120">
        <f>'Methanol Recycling HC'!J146</f>
        <v>371.44128537736441</v>
      </c>
      <c r="L99" s="120">
        <f>'Methanol Recycling HC'!K146</f>
        <v>422.4877541680101</v>
      </c>
      <c r="M99" s="120">
        <f>'Methanol Recycling HC'!L146</f>
        <v>471.90741112281802</v>
      </c>
      <c r="N99" s="120">
        <f>'Methanol Recycling HC'!M146</f>
        <v>519.33432566713873</v>
      </c>
      <c r="O99" s="120">
        <f>'Methanol Recycling HC'!N146</f>
        <v>550.98745467837148</v>
      </c>
      <c r="P99" s="120">
        <f>'Methanol Recycling HC'!O146</f>
        <v>579.88650652005913</v>
      </c>
      <c r="Q99" s="120">
        <f>'Methanol Recycling HC'!P146</f>
        <v>602.37493127314247</v>
      </c>
      <c r="R99" s="120">
        <f>'Methanol Recycling HC'!Q146</f>
        <v>621.46816477196694</v>
      </c>
      <c r="S99" s="120">
        <f>'Methanol Recycling HC'!R146</f>
        <v>636.97135800729984</v>
      </c>
      <c r="T99" s="120">
        <f>'Methanol Recycling HC'!S146</f>
        <v>648.69534581797848</v>
      </c>
      <c r="U99" s="120">
        <f>'Methanol Recycling HC'!T146</f>
        <v>656.45664772996497</v>
      </c>
      <c r="V99" s="120">
        <f>'Methanol Recycling HC'!U146</f>
        <v>660.07746841192397</v>
      </c>
      <c r="W99" s="120">
        <f>'Methanol Recycling HC'!V146</f>
        <v>659.38569775118367</v>
      </c>
      <c r="X99" s="120">
        <f>'Methanol Recycling HC'!W146</f>
        <v>654.21491055392494</v>
      </c>
      <c r="Y99" s="120">
        <f>'Methanol Recycling HC'!X146</f>
        <v>656.98773264253691</v>
      </c>
      <c r="Z99" s="120">
        <f>'Methanol Recycling HC'!Y146</f>
        <v>654.06823817475401</v>
      </c>
      <c r="AA99" s="120">
        <f>'Methanol Recycling HC'!Z146</f>
        <v>636.24345956420689</v>
      </c>
      <c r="AB99" s="120">
        <f>'Methanol Recycling HC'!AA146</f>
        <v>612.25022253108523</v>
      </c>
      <c r="AC99" s="120">
        <f>'Methanol Recycling HC'!AB146</f>
        <v>582.01988796320097</v>
      </c>
      <c r="AD99" s="120">
        <f>'Methanol Recycling HC'!AC146</f>
        <v>545.50944592442988</v>
      </c>
      <c r="AE99" s="120">
        <f>'Methanol Recycling HC'!AD146</f>
        <v>502.70184277304583</v>
      </c>
      <c r="AF99" s="120">
        <f>'Methanol Recycling HC'!AE146</f>
        <v>453.60630209068523</v>
      </c>
      <c r="AG99" s="120">
        <f>'Methanol Recycling HC'!AF146</f>
        <v>398.25863947451575</v>
      </c>
      <c r="AH99" s="120">
        <f>'Methanol Recycling HC'!AG146</f>
        <v>336.72157124487939</v>
      </c>
      <c r="AI99" s="99"/>
      <c r="AJ99" s="99">
        <f t="shared" si="620"/>
        <v>0</v>
      </c>
      <c r="AK99" s="99">
        <f t="shared" si="619"/>
        <v>51.909006578433321</v>
      </c>
      <c r="AL99" s="99">
        <f t="shared" si="619"/>
        <v>104.84600385925256</v>
      </c>
      <c r="AM99" s="99">
        <f t="shared" si="619"/>
        <v>158.42160942304184</v>
      </c>
      <c r="AN99" s="99">
        <f t="shared" si="619"/>
        <v>212.24984691162018</v>
      </c>
      <c r="AO99" s="99">
        <f t="shared" si="619"/>
        <v>265.94812729169854</v>
      </c>
      <c r="AP99" s="99">
        <f t="shared" si="619"/>
        <v>319.13723020111951</v>
      </c>
      <c r="AQ99" s="99">
        <f t="shared" si="619"/>
        <v>371.44128537736441</v>
      </c>
      <c r="AR99" s="99">
        <f t="shared" si="619"/>
        <v>422.4877541680101</v>
      </c>
      <c r="AS99" s="99">
        <f t="shared" si="619"/>
        <v>471.90741112281802</v>
      </c>
      <c r="AT99" s="99">
        <f t="shared" si="619"/>
        <v>519.33432566713873</v>
      </c>
      <c r="AU99" s="99">
        <f t="shared" si="619"/>
        <v>550.98745467837148</v>
      </c>
      <c r="AV99" s="99">
        <f t="shared" si="619"/>
        <v>579.88650652005913</v>
      </c>
      <c r="AW99" s="99">
        <f t="shared" si="619"/>
        <v>602.37493127314247</v>
      </c>
      <c r="AX99" s="99">
        <f t="shared" si="619"/>
        <v>621.46816477196694</v>
      </c>
      <c r="AY99" s="99">
        <f t="shared" si="619"/>
        <v>636.97135800729984</v>
      </c>
      <c r="AZ99" s="99">
        <f t="shared" si="619"/>
        <v>648.69534581797848</v>
      </c>
      <c r="BA99" s="99">
        <f t="shared" si="619"/>
        <v>656.45664772996497</v>
      </c>
      <c r="BB99" s="99">
        <f t="shared" si="619"/>
        <v>660.07746841192397</v>
      </c>
      <c r="BC99" s="99">
        <f t="shared" si="619"/>
        <v>659.38569775118367</v>
      </c>
      <c r="BD99" s="99">
        <f t="shared" si="619"/>
        <v>654.21491055392494</v>
      </c>
      <c r="BE99" s="99">
        <f t="shared" si="619"/>
        <v>656.98773264253691</v>
      </c>
      <c r="BF99" s="99">
        <f t="shared" si="619"/>
        <v>654.06823817475401</v>
      </c>
      <c r="BG99" s="99">
        <f t="shared" si="619"/>
        <v>636.24345956420689</v>
      </c>
      <c r="BH99" s="99">
        <f t="shared" si="619"/>
        <v>612.25022253108523</v>
      </c>
      <c r="BI99" s="99">
        <f t="shared" si="619"/>
        <v>582.01988796320097</v>
      </c>
      <c r="BJ99" s="99">
        <f t="shared" si="619"/>
        <v>545.50944592442988</v>
      </c>
      <c r="BK99" s="99">
        <f t="shared" si="619"/>
        <v>502.70184277304583</v>
      </c>
      <c r="BL99" s="99">
        <f t="shared" si="619"/>
        <v>453.60630209068523</v>
      </c>
      <c r="BM99" s="99">
        <f t="shared" si="619"/>
        <v>398.25863947451575</v>
      </c>
      <c r="BN99" s="99">
        <f t="shared" si="619"/>
        <v>336.72157124487939</v>
      </c>
    </row>
    <row r="100" spans="1:90">
      <c r="A100" s="160"/>
      <c r="B100" s="160" t="s">
        <v>1068</v>
      </c>
      <c r="C100" s="156" t="s">
        <v>1420</v>
      </c>
      <c r="D100" s="120">
        <f>'Methanol Recycling HC'!C200</f>
        <v>0</v>
      </c>
      <c r="E100" s="120">
        <f>'Methanol Recycling HC'!D200</f>
        <v>1.9985215548760896E-3</v>
      </c>
      <c r="F100" s="120">
        <f>'Methanol Recycling HC'!E200</f>
        <v>4.8852428627850306E-3</v>
      </c>
      <c r="G100" s="120">
        <f>'Methanol Recycling HC'!F200</f>
        <v>8.7767106832666811E-3</v>
      </c>
      <c r="H100" s="120">
        <f>'Methanol Recycling HC'!G200</f>
        <v>1.3788416575849779E-2</v>
      </c>
      <c r="I100" s="120">
        <f>'Methanol Recycling HC'!H200</f>
        <v>2.0034802771649582E-2</v>
      </c>
      <c r="J100" s="120">
        <f>'Methanol Recycling HC'!I200</f>
        <v>2.6775523637150307E-2</v>
      </c>
      <c r="K100" s="120">
        <f>'Methanol Recycling HC'!J200</f>
        <v>3.4417091486477779E-2</v>
      </c>
      <c r="L100" s="120">
        <f>'Methanol Recycling HC'!K200</f>
        <v>4.2925132516345478E-2</v>
      </c>
      <c r="M100" s="120">
        <f>'Methanol Recycling HC'!L200</f>
        <v>5.225061335721614E-2</v>
      </c>
      <c r="N100" s="120">
        <f>'Methanol Recycling HC'!M200</f>
        <v>6.2330004461198366E-2</v>
      </c>
      <c r="O100" s="120">
        <f>'Methanol Recycling HC'!N200</f>
        <v>7.0905019700990446E-2</v>
      </c>
      <c r="P100" s="120">
        <f>'Methanol Recycling HC'!O200</f>
        <v>7.9807233165484923E-2</v>
      </c>
      <c r="Q100" s="120">
        <f>'Methanol Recycling HC'!P200</f>
        <v>8.8953663591122209E-2</v>
      </c>
      <c r="R100" s="120">
        <f>'Methanol Recycling HC'!Q200</f>
        <v>9.825212807513653E-2</v>
      </c>
      <c r="S100" s="120">
        <f>'Methanol Recycling HC'!R200</f>
        <v>0.10760134764986555</v>
      </c>
      <c r="T100" s="120">
        <f>'Methanol Recycling HC'!S200</f>
        <v>0.11850248765058857</v>
      </c>
      <c r="U100" s="120">
        <f>'Methanol Recycling HC'!T200</f>
        <v>0.12964677276075384</v>
      </c>
      <c r="V100" s="120">
        <f>'Methanol Recycling HC'!U200</f>
        <v>0.14095762762996084</v>
      </c>
      <c r="W100" s="120">
        <f>'Methanol Recycling HC'!V200</f>
        <v>0.15235222073730656</v>
      </c>
      <c r="X100" s="120">
        <f>'Methanol Recycling HC'!W200</f>
        <v>0.16374153715056194</v>
      </c>
      <c r="Y100" s="120">
        <f>'Methanol Recycling HC'!X200</f>
        <v>0.17866667197543964</v>
      </c>
      <c r="Z100" s="120">
        <f>'Methanol Recycling HC'!Y200</f>
        <v>0.19356327395577386</v>
      </c>
      <c r="AA100" s="120">
        <f>'Methanol Recycling HC'!Z200</f>
        <v>0.20828773378181525</v>
      </c>
      <c r="AB100" s="120">
        <f>'Methanol Recycling HC'!AA200</f>
        <v>0.22268717888999323</v>
      </c>
      <c r="AC100" s="120">
        <f>'Methanol Recycling HC'!AB200</f>
        <v>0.2365995827094704</v>
      </c>
      <c r="AD100" s="120">
        <f>'Methanol Recycling HC'!AC200</f>
        <v>0.24736197948785574</v>
      </c>
      <c r="AE100" s="120">
        <f>'Methanol Recycling HC'!AD200</f>
        <v>0.25677299724005664</v>
      </c>
      <c r="AF100" s="120">
        <f>'Methanol Recycling HC'!AE200</f>
        <v>0.26459545660918615</v>
      </c>
      <c r="AG100" s="120">
        <f>'Methanol Recycling HC'!AF200</f>
        <v>0.27058174577292249</v>
      </c>
      <c r="AH100" s="120">
        <f>'Methanol Recycling HC'!AG200</f>
        <v>0.27447394729851066</v>
      </c>
      <c r="AI100" s="99"/>
      <c r="AJ100" s="99">
        <f t="shared" si="620"/>
        <v>0</v>
      </c>
      <c r="AK100" s="99">
        <f t="shared" si="619"/>
        <v>1.9985215548760896E-3</v>
      </c>
      <c r="AL100" s="99">
        <f t="shared" si="619"/>
        <v>4.8852428627850306E-3</v>
      </c>
      <c r="AM100" s="99">
        <f t="shared" si="619"/>
        <v>8.7767106832666811E-3</v>
      </c>
      <c r="AN100" s="99">
        <f t="shared" si="619"/>
        <v>1.3788416575849779E-2</v>
      </c>
      <c r="AO100" s="99">
        <f t="shared" si="619"/>
        <v>2.0034802771649582E-2</v>
      </c>
      <c r="AP100" s="99">
        <f t="shared" si="619"/>
        <v>2.6775523637150307E-2</v>
      </c>
      <c r="AQ100" s="99">
        <f t="shared" si="619"/>
        <v>3.4417091486477779E-2</v>
      </c>
      <c r="AR100" s="99">
        <f t="shared" si="619"/>
        <v>4.2925132516345478E-2</v>
      </c>
      <c r="AS100" s="99">
        <f t="shared" si="619"/>
        <v>5.225061335721614E-2</v>
      </c>
      <c r="AT100" s="99">
        <f t="shared" si="619"/>
        <v>6.2330004461198366E-2</v>
      </c>
      <c r="AU100" s="99">
        <f t="shared" si="619"/>
        <v>7.0905019700990446E-2</v>
      </c>
      <c r="AV100" s="99">
        <f t="shared" si="619"/>
        <v>7.9807233165484923E-2</v>
      </c>
      <c r="AW100" s="99">
        <f t="shared" si="619"/>
        <v>8.8953663591122209E-2</v>
      </c>
      <c r="AX100" s="99">
        <f t="shared" si="619"/>
        <v>9.825212807513653E-2</v>
      </c>
      <c r="AY100" s="99">
        <f t="shared" si="619"/>
        <v>0.10760134764986555</v>
      </c>
      <c r="AZ100" s="99">
        <f t="shared" si="619"/>
        <v>0.11850248765058857</v>
      </c>
      <c r="BA100" s="99">
        <f t="shared" si="619"/>
        <v>0.12964677276075384</v>
      </c>
      <c r="BB100" s="99">
        <f t="shared" si="619"/>
        <v>0.14095762762996084</v>
      </c>
      <c r="BC100" s="99">
        <f t="shared" si="619"/>
        <v>0.15235222073730656</v>
      </c>
      <c r="BD100" s="99">
        <f t="shared" si="619"/>
        <v>0.16374153715056194</v>
      </c>
      <c r="BE100" s="99">
        <f t="shared" si="619"/>
        <v>0.17866667197543964</v>
      </c>
      <c r="BF100" s="99">
        <f t="shared" si="619"/>
        <v>0.19356327395577386</v>
      </c>
      <c r="BG100" s="99">
        <f t="shared" si="619"/>
        <v>0.20828773378181525</v>
      </c>
      <c r="BH100" s="99">
        <f t="shared" si="619"/>
        <v>0.22268717888999323</v>
      </c>
      <c r="BI100" s="99">
        <f t="shared" si="619"/>
        <v>0.2365995827094704</v>
      </c>
      <c r="BJ100" s="99">
        <f t="shared" si="619"/>
        <v>0.24736197948785574</v>
      </c>
      <c r="BK100" s="99">
        <f t="shared" si="619"/>
        <v>0.25677299724005664</v>
      </c>
      <c r="BL100" s="99">
        <f t="shared" si="619"/>
        <v>0.26459545660918615</v>
      </c>
      <c r="BM100" s="99">
        <f t="shared" si="619"/>
        <v>0.27058174577292249</v>
      </c>
      <c r="BN100" s="99">
        <f t="shared" si="619"/>
        <v>0.27447394729851066</v>
      </c>
    </row>
    <row r="101" spans="1:90">
      <c r="A101" s="211"/>
      <c r="B101" s="211" t="s">
        <v>267</v>
      </c>
      <c r="C101" s="212" t="s">
        <v>1420</v>
      </c>
      <c r="D101" s="554">
        <f>D96-D97-D98-D99-D100</f>
        <v>87870.659329283968</v>
      </c>
      <c r="E101" s="554">
        <f t="shared" ref="E101:AG101" si="621">E96-E97-E98-E99-E100</f>
        <v>84915.867879251382</v>
      </c>
      <c r="F101" s="554">
        <f t="shared" si="621"/>
        <v>81951.960317374789</v>
      </c>
      <c r="G101" s="554">
        <f t="shared" si="621"/>
        <v>78979.201835225656</v>
      </c>
      <c r="H101" s="554">
        <f t="shared" si="621"/>
        <v>75997.857779156984</v>
      </c>
      <c r="I101" s="554">
        <f t="shared" si="621"/>
        <v>73008.193631391827</v>
      </c>
      <c r="J101" s="554">
        <f t="shared" si="621"/>
        <v>70010.475845074354</v>
      </c>
      <c r="K101" s="554">
        <f t="shared" si="621"/>
        <v>67004.969824152737</v>
      </c>
      <c r="L101" s="554">
        <f t="shared" si="621"/>
        <v>63991.941492866252</v>
      </c>
      <c r="M101" s="554">
        <f t="shared" si="621"/>
        <v>60971.656851474261</v>
      </c>
      <c r="N101" s="554">
        <f t="shared" si="621"/>
        <v>57944.381958258949</v>
      </c>
      <c r="O101" s="554">
        <f t="shared" si="621"/>
        <v>55050.994967713748</v>
      </c>
      <c r="P101" s="554">
        <f t="shared" si="621"/>
        <v>52174.028627630621</v>
      </c>
      <c r="Q101" s="554">
        <f t="shared" si="621"/>
        <v>49316.977720181523</v>
      </c>
      <c r="R101" s="554">
        <f t="shared" si="621"/>
        <v>46476.667431664122</v>
      </c>
      <c r="S101" s="554">
        <f t="shared" si="621"/>
        <v>43653.135598290304</v>
      </c>
      <c r="T101" s="554">
        <f t="shared" si="621"/>
        <v>40846.415101464641</v>
      </c>
      <c r="U101" s="554">
        <f t="shared" si="621"/>
        <v>38056.538255052517</v>
      </c>
      <c r="V101" s="554">
        <f t="shared" si="621"/>
        <v>35283.532738716232</v>
      </c>
      <c r="W101" s="554">
        <f t="shared" si="621"/>
        <v>32527.422812435852</v>
      </c>
      <c r="X101" s="554">
        <f t="shared" si="621"/>
        <v>29788.229293083688</v>
      </c>
      <c r="Y101" s="554">
        <f t="shared" si="621"/>
        <v>26901.923521843608</v>
      </c>
      <c r="Z101" s="554">
        <f t="shared" si="621"/>
        <v>24025.52544598257</v>
      </c>
      <c r="AA101" s="554">
        <f t="shared" si="621"/>
        <v>21168.160603612163</v>
      </c>
      <c r="AB101" s="554">
        <f t="shared" si="621"/>
        <v>18321.006715184332</v>
      </c>
      <c r="AC101" s="554">
        <f t="shared" si="621"/>
        <v>15484.048919044737</v>
      </c>
      <c r="AD101" s="554">
        <f t="shared" si="621"/>
        <v>12657.251146933339</v>
      </c>
      <c r="AE101" s="554">
        <f t="shared" si="621"/>
        <v>9840.5488122557963</v>
      </c>
      <c r="AF101" s="554">
        <f t="shared" si="621"/>
        <v>7033.8549646751981</v>
      </c>
      <c r="AG101" s="554">
        <f t="shared" si="621"/>
        <v>4237.0579282600947</v>
      </c>
      <c r="AH101" s="554">
        <f>AH96-AH97-AH98-AH99-AH100</f>
        <v>1450.0209711588659</v>
      </c>
      <c r="AI101" s="99"/>
      <c r="AJ101" s="554">
        <f>AJ96-AJ97-AJ98-AJ99-AJ100</f>
        <v>87870.659329283968</v>
      </c>
      <c r="AK101" s="554">
        <f t="shared" ref="AK101" si="622">AK96-AK97-AK98-AK99-AK100</f>
        <v>86124.01433785753</v>
      </c>
      <c r="AL101" s="554">
        <f t="shared" ref="AL101" si="623">AL96-AL97-AL98-AL99-AL100</f>
        <v>84351.416356051559</v>
      </c>
      <c r="AM101" s="554">
        <f t="shared" ref="AM101" si="624">AM96-AM97-AM98-AM99-AM100</f>
        <v>82553.306556054391</v>
      </c>
      <c r="AN101" s="554">
        <f t="shared" ref="AN101" si="625">AN96-AN97-AN98-AN99-AN100</f>
        <v>80730.124629844227</v>
      </c>
      <c r="AO101" s="554">
        <f t="shared" ref="AO101" si="626">AO96-AO97-AO98-AO99-AO100</f>
        <v>78882.308784518376</v>
      </c>
      <c r="AP101" s="554">
        <f t="shared" ref="AP101" si="627">AP96-AP97-AP98-AP99-AP100</f>
        <v>77010.296591466264</v>
      </c>
      <c r="AQ101" s="554">
        <f t="shared" ref="AQ101" si="628">AQ96-AQ97-AQ98-AQ99-AQ100</f>
        <v>75114.522980256021</v>
      </c>
      <c r="AR101" s="554">
        <f t="shared" ref="AR101" si="629">AR96-AR97-AR98-AR99-AR100</f>
        <v>73195.421822008124</v>
      </c>
      <c r="AS101" s="554">
        <f t="shared" ref="AS101" si="630">AS96-AS97-AS98-AS99-AS100</f>
        <v>71253.425498894663</v>
      </c>
      <c r="AT101" s="554">
        <f t="shared" ref="AT101" si="631">AT96-AT97-AT98-AT99-AT100</f>
        <v>69288.964899797429</v>
      </c>
      <c r="AU101" s="554">
        <f t="shared" ref="AU101" si="632">AU96-AU97-AU98-AU99-AU100</f>
        <v>67443.081472036865</v>
      </c>
      <c r="AV101" s="554">
        <f t="shared" ref="AV101" si="633">AV96-AV97-AV98-AV99-AV100</f>
        <v>65598.469731887046</v>
      </c>
      <c r="AW101" s="554">
        <f t="shared" ref="AW101" si="634">AW96-AW97-AW98-AW99-AW100</f>
        <v>63758.784718971903</v>
      </c>
      <c r="AX101" s="554">
        <f t="shared" ref="AX101" si="635">AX96-AX97-AX98-AX99-AX100</f>
        <v>61921.010379214385</v>
      </c>
      <c r="AY101" s="554">
        <f t="shared" ref="AY101" si="636">AY96-AY97-AY98-AY99-AY100</f>
        <v>60085.34182371779</v>
      </c>
      <c r="AZ101" s="554">
        <f t="shared" ref="AZ101" si="637">AZ96-AZ97-AZ98-AZ99-AZ100</f>
        <v>58251.967737027306</v>
      </c>
      <c r="BA101" s="554">
        <f t="shared" ref="BA101" si="638">BA96-BA97-BA98-BA99-BA100</f>
        <v>56421.074777272224</v>
      </c>
      <c r="BB101" s="554">
        <f t="shared" ref="BB101" si="639">BB96-BB97-BB98-BB99-BB100</f>
        <v>54592.843522268326</v>
      </c>
      <c r="BC101" s="554">
        <f t="shared" ref="BC101" si="640">BC96-BC97-BC98-BC99-BC100</f>
        <v>52767.449696697971</v>
      </c>
      <c r="BD101" s="554">
        <f t="shared" ref="BD101" si="641">BD96-BD97-BD98-BD99-BD100</f>
        <v>50945.064161237395</v>
      </c>
      <c r="BE101" s="554">
        <f t="shared" ref="BE101" si="642">BE96-BE97-BE98-BE99-BE100</f>
        <v>48993.639335959939</v>
      </c>
      <c r="BF101" s="554">
        <f t="shared" ref="BF101" si="643">BF96-BF97-BF98-BF99-BF100</f>
        <v>47038.066342970189</v>
      </c>
      <c r="BG101" s="554">
        <f t="shared" ref="BG101" si="644">BG96-BG97-BG98-BG99-BG100</f>
        <v>45087.621212523947</v>
      </c>
      <c r="BH101" s="554">
        <f t="shared" ref="BH101" si="645">BH96-BH97-BH98-BH99-BH100</f>
        <v>43133.630742406967</v>
      </c>
      <c r="BI101" s="554">
        <f t="shared" ref="BI101" si="646">BI96-BI97-BI98-BI99-BI100</f>
        <v>41176.227745898323</v>
      </c>
      <c r="BJ101" s="554">
        <f t="shared" ref="BJ101" si="647">BJ96-BJ97-BJ98-BJ99-BJ100</f>
        <v>39215.522439576816</v>
      </c>
      <c r="BK101" s="554">
        <f t="shared" ref="BK101" si="648">BK96-BK97-BK98-BK99-BK100</f>
        <v>37251.595143794642</v>
      </c>
      <c r="BL101" s="554">
        <f t="shared" ref="BL101" si="649">BL96-BL97-BL98-BL99-BL100</f>
        <v>35284.502449368869</v>
      </c>
      <c r="BM101" s="554">
        <f t="shared" ref="BM101" si="650">BM96-BM97-BM98-BM99-BM100</f>
        <v>33314.274867727625</v>
      </c>
      <c r="BN101" s="554">
        <f t="shared" ref="BN101" si="651">BN96-BN97-BN98-BN99-BN100</f>
        <v>31340.91651248157</v>
      </c>
    </row>
    <row r="102" spans="1:90" s="61" customFormat="1">
      <c r="A102" s="602"/>
      <c r="B102" s="54" t="s">
        <v>804</v>
      </c>
      <c r="C102" s="55" t="s">
        <v>1420</v>
      </c>
      <c r="D102" s="580">
        <f>D43-0.3*(D96-D101)</f>
        <v>6181.084017319743</v>
      </c>
      <c r="E102" s="580">
        <f t="shared" ref="E102:AH102" si="652">E43-0.3*(E96-E101)</f>
        <v>5917.4381189054729</v>
      </c>
      <c r="F102" s="580">
        <f t="shared" si="652"/>
        <v>5643.3579099713652</v>
      </c>
      <c r="G102" s="580">
        <f t="shared" si="652"/>
        <v>5359.0000099031595</v>
      </c>
      <c r="H102" s="580">
        <f t="shared" si="652"/>
        <v>5064.5203844162306</v>
      </c>
      <c r="I102" s="580">
        <f t="shared" si="652"/>
        <v>4760.074345897202</v>
      </c>
      <c r="J102" s="580">
        <f t="shared" si="652"/>
        <v>4445.816809884549</v>
      </c>
      <c r="K102" s="580">
        <f t="shared" si="652"/>
        <v>4121.9016949492716</v>
      </c>
      <c r="L102" s="580">
        <f t="shared" si="652"/>
        <v>3788.4823994078292</v>
      </c>
      <c r="M102" s="580">
        <f t="shared" si="652"/>
        <v>3445.7116738589857</v>
      </c>
      <c r="N102" s="580">
        <f t="shared" si="652"/>
        <v>3093.7416215545591</v>
      </c>
      <c r="O102" s="580">
        <f t="shared" si="652"/>
        <v>2774.9073155779806</v>
      </c>
      <c r="P102" s="580">
        <f t="shared" si="652"/>
        <v>2454.0395536451078</v>
      </c>
      <c r="Q102" s="580">
        <f t="shared" si="652"/>
        <v>2132.2570960561438</v>
      </c>
      <c r="R102" s="580">
        <f t="shared" si="652"/>
        <v>1808.6771822001792</v>
      </c>
      <c r="S102" s="580">
        <f t="shared" si="652"/>
        <v>1483.3802098262149</v>
      </c>
      <c r="T102" s="580">
        <f t="shared" si="652"/>
        <v>1156.4444591152369</v>
      </c>
      <c r="U102" s="580">
        <f t="shared" si="652"/>
        <v>827.94741430360727</v>
      </c>
      <c r="V102" s="580">
        <f t="shared" si="652"/>
        <v>497.96454908163969</v>
      </c>
      <c r="W102" s="580">
        <f t="shared" si="652"/>
        <v>166.56969630275489</v>
      </c>
      <c r="X102" s="580">
        <f t="shared" si="652"/>
        <v>-166.16495373576436</v>
      </c>
      <c r="Y102" s="580">
        <f t="shared" si="652"/>
        <v>-536.678224098378</v>
      </c>
      <c r="Z102" s="580">
        <f t="shared" si="652"/>
        <v>-910.68087313228307</v>
      </c>
      <c r="AA102" s="580">
        <f t="shared" si="652"/>
        <v>-1285.3692410798722</v>
      </c>
      <c r="AB102" s="580">
        <f t="shared" si="652"/>
        <v>-1663.3246195022234</v>
      </c>
      <c r="AC102" s="580">
        <f t="shared" si="652"/>
        <v>-2044.4866753719871</v>
      </c>
      <c r="AD102" s="580">
        <f t="shared" si="652"/>
        <v>-2428.8020332256929</v>
      </c>
      <c r="AE102" s="580">
        <f t="shared" si="652"/>
        <v>-2816.2264635281344</v>
      </c>
      <c r="AF102" s="580">
        <f t="shared" si="652"/>
        <v>-3206.7230311835165</v>
      </c>
      <c r="AG102" s="580">
        <f t="shared" si="652"/>
        <v>-3600.2627990223</v>
      </c>
      <c r="AH102" s="580">
        <f t="shared" si="652"/>
        <v>-3996.8249218723613</v>
      </c>
      <c r="AI102" s="580"/>
      <c r="AJ102" s="580">
        <f>AJ43-0.5*(AJ96-AJ101)</f>
        <v>6181.084017319743</v>
      </c>
      <c r="AK102" s="580">
        <f t="shared" ref="AK102" si="653">AK43-0.5*(AK96-AK101)</f>
        <v>5953.8310949678853</v>
      </c>
      <c r="AL102" s="580">
        <f t="shared" ref="AL102" si="654">AL43-0.5*(AL96-AL101)</f>
        <v>5706.4310872573014</v>
      </c>
      <c r="AM102" s="580">
        <f t="shared" ref="AM102" si="655">AM43-0.5*(AM96-AM101)</f>
        <v>5439.1731413254729</v>
      </c>
      <c r="AN102" s="580">
        <f t="shared" ref="AN102" si="656">AN43-0.5*(AN96-AN101)</f>
        <v>5152.3450568896396</v>
      </c>
      <c r="AO102" s="580">
        <f t="shared" ref="AO102" si="657">AO43-0.5*(AO96-AO101)</f>
        <v>4846.2332890461576</v>
      </c>
      <c r="AP102" s="580">
        <f t="shared" ref="AP102" si="658">AP43-0.5*(AP96-AP101)</f>
        <v>4521.1233779496351</v>
      </c>
      <c r="AQ102" s="580">
        <f t="shared" ref="AQ102" si="659">AQ43-0.5*(AQ96-AQ101)</f>
        <v>4177.2989508071169</v>
      </c>
      <c r="AR102" s="580">
        <f t="shared" ref="AR102" si="660">AR43-0.5*(AR96-AR101)</f>
        <v>3815.0425185744452</v>
      </c>
      <c r="AS102" s="580">
        <f t="shared" ref="AS102" si="661">AS43-0.5*(AS96-AS101)</f>
        <v>3434.6352656743493</v>
      </c>
      <c r="AT102" s="580">
        <f t="shared" ref="AT102" si="662">AT43-0.5*(AT96-AT101)</f>
        <v>3036.3570527531401</v>
      </c>
      <c r="AU102" s="580">
        <f t="shared" ref="AU102" si="663">AU43-0.5*(AU96-AU101)</f>
        <v>2690.7924474325428</v>
      </c>
      <c r="AV102" s="580">
        <f t="shared" ref="AV102" si="664">AV43-0.5*(AV96-AV101)</f>
        <v>2339.3519844143311</v>
      </c>
      <c r="AW102" s="580">
        <f t="shared" ref="AW102" si="665">AW43-0.5*(AW96-AW101)</f>
        <v>1983.9258974859131</v>
      </c>
      <c r="AX102" s="580">
        <f t="shared" ref="AX102" si="666">AX43-0.5*(AX96-AX101)</f>
        <v>1623.0683157629192</v>
      </c>
      <c r="AY102" s="580">
        <f t="shared" ref="AY102" si="667">AY43-0.5*(AY96-AY101)</f>
        <v>1256.9383978586984</v>
      </c>
      <c r="AZ102" s="580">
        <f t="shared" ref="AZ102" si="668">AZ43-0.5*(AZ96-AZ101)</f>
        <v>885.69154070511559</v>
      </c>
      <c r="BA102" s="580">
        <f t="shared" ref="BA102" si="669">BA43-0.5*(BA96-BA101)</f>
        <v>509.48158427523504</v>
      </c>
      <c r="BB102" s="580">
        <f t="shared" ref="BB102" si="670">BB43-0.5*(BB96-BB101)</f>
        <v>128.45878924784574</v>
      </c>
      <c r="BC102" s="580">
        <f t="shared" ref="BC102" si="671">BC43-0.5*(BC96-BC101)</f>
        <v>-257.22954482708883</v>
      </c>
      <c r="BD102" s="580">
        <f t="shared" ref="BD102" si="672">BD43-0.5*(BD96-BD101)</f>
        <v>-647.4390804268678</v>
      </c>
      <c r="BE102" s="580">
        <f t="shared" ref="BE102" si="673">BE43-0.5*(BE96-BE101)</f>
        <v>-1098.0439927568823</v>
      </c>
      <c r="BF102" s="580">
        <f t="shared" ref="BF102" si="674">BF43-0.5*(BF96-BF101)</f>
        <v>-1556.7727259340554</v>
      </c>
      <c r="BG102" s="580">
        <f t="shared" ref="BG102" si="675">BG43-0.5*(BG96-BG101)</f>
        <v>-2018.9284509570207</v>
      </c>
      <c r="BH102" s="580">
        <f t="shared" ref="BH102" si="676">BH43-0.5*(BH96-BH101)</f>
        <v>-2488.7894809586114</v>
      </c>
      <c r="BI102" s="580">
        <f t="shared" ref="BI102" si="677">BI43-0.5*(BI96-BI101)</f>
        <v>-2966.2316427508381</v>
      </c>
      <c r="BJ102" s="580">
        <f t="shared" ref="BJ102" si="678">BJ43-0.5*(BJ96-BJ101)</f>
        <v>-3451.142578485104</v>
      </c>
      <c r="BK102" s="580">
        <f t="shared" ref="BK102" si="679">BK43-0.5*(BK96-BK101)</f>
        <v>-3943.4253910153784</v>
      </c>
      <c r="BL102" s="580">
        <f t="shared" ref="BL102" si="680">BL43-0.5*(BL96-BL101)</f>
        <v>-4442.9955561885945</v>
      </c>
      <c r="BM102" s="580">
        <f t="shared" ref="BM102" si="681">BM43-0.5*(BM96-BM101)</f>
        <v>-4949.7820934436877</v>
      </c>
      <c r="BN102" s="580">
        <f t="shared" ref="BN102" si="682">BN43-0.5*(BN96-BN101)</f>
        <v>-5463.7277207336156</v>
      </c>
      <c r="BQ102" s="649"/>
      <c r="BR102" s="649"/>
      <c r="BS102" s="649"/>
      <c r="BT102" s="649"/>
      <c r="BU102" s="649"/>
      <c r="BV102" s="649"/>
      <c r="BW102" s="649"/>
      <c r="BX102" s="649"/>
      <c r="BY102" s="649"/>
      <c r="BZ102" s="649"/>
      <c r="CA102" s="649"/>
      <c r="CB102" s="649"/>
      <c r="CC102" s="649"/>
      <c r="CD102" s="649"/>
      <c r="CE102" s="649"/>
      <c r="CF102" s="649"/>
      <c r="CG102" s="649"/>
      <c r="CH102" s="649"/>
      <c r="CI102" s="649"/>
      <c r="CJ102" s="649"/>
      <c r="CK102" s="649"/>
      <c r="CL102" s="649"/>
    </row>
    <row r="103" spans="1:90">
      <c r="A103" s="603"/>
      <c r="B103" s="1" t="s">
        <v>1063</v>
      </c>
      <c r="C103" s="50" t="s">
        <v>1420</v>
      </c>
      <c r="D103" s="576">
        <f t="shared" ref="D103" si="683">D44</f>
        <v>0</v>
      </c>
      <c r="E103" s="576">
        <f t="shared" ref="E103:AH103" si="684">E44</f>
        <v>0</v>
      </c>
      <c r="F103" s="576">
        <f t="shared" si="684"/>
        <v>0</v>
      </c>
      <c r="G103" s="576">
        <f t="shared" si="684"/>
        <v>0</v>
      </c>
      <c r="H103" s="576">
        <f t="shared" si="684"/>
        <v>0</v>
      </c>
      <c r="I103" s="576">
        <f t="shared" si="684"/>
        <v>0</v>
      </c>
      <c r="J103" s="576">
        <f t="shared" si="684"/>
        <v>0</v>
      </c>
      <c r="K103" s="576">
        <f t="shared" si="684"/>
        <v>0</v>
      </c>
      <c r="L103" s="576">
        <f t="shared" si="684"/>
        <v>0</v>
      </c>
      <c r="M103" s="576">
        <f t="shared" si="684"/>
        <v>0</v>
      </c>
      <c r="N103" s="576">
        <f t="shared" si="684"/>
        <v>0</v>
      </c>
      <c r="O103" s="576">
        <f t="shared" si="684"/>
        <v>0</v>
      </c>
      <c r="P103" s="576">
        <f t="shared" si="684"/>
        <v>0</v>
      </c>
      <c r="Q103" s="576">
        <f t="shared" si="684"/>
        <v>0</v>
      </c>
      <c r="R103" s="576">
        <f t="shared" si="684"/>
        <v>0</v>
      </c>
      <c r="S103" s="576">
        <f t="shared" si="684"/>
        <v>0</v>
      </c>
      <c r="T103" s="576">
        <f t="shared" si="684"/>
        <v>0</v>
      </c>
      <c r="U103" s="576">
        <f t="shared" si="684"/>
        <v>0</v>
      </c>
      <c r="V103" s="576">
        <f t="shared" si="684"/>
        <v>0</v>
      </c>
      <c r="W103" s="576">
        <f t="shared" si="684"/>
        <v>0</v>
      </c>
      <c r="X103" s="576">
        <f t="shared" si="684"/>
        <v>0</v>
      </c>
      <c r="Y103" s="576">
        <f t="shared" si="684"/>
        <v>0</v>
      </c>
      <c r="Z103" s="576">
        <f t="shared" si="684"/>
        <v>0</v>
      </c>
      <c r="AA103" s="576">
        <f t="shared" si="684"/>
        <v>0</v>
      </c>
      <c r="AB103" s="576">
        <f t="shared" si="684"/>
        <v>0</v>
      </c>
      <c r="AC103" s="576">
        <f t="shared" si="684"/>
        <v>0</v>
      </c>
      <c r="AD103" s="576">
        <f t="shared" si="684"/>
        <v>0</v>
      </c>
      <c r="AE103" s="576">
        <f t="shared" si="684"/>
        <v>0</v>
      </c>
      <c r="AF103" s="576">
        <f t="shared" si="684"/>
        <v>0</v>
      </c>
      <c r="AG103" s="576">
        <f t="shared" si="684"/>
        <v>0</v>
      </c>
      <c r="AH103" s="576">
        <f t="shared" si="684"/>
        <v>0</v>
      </c>
      <c r="AI103" s="576"/>
      <c r="AJ103" s="576">
        <f t="shared" ref="AJ103:BN103" si="685">AJ44</f>
        <v>0</v>
      </c>
      <c r="AK103" s="576">
        <f t="shared" si="685"/>
        <v>0</v>
      </c>
      <c r="AL103" s="576">
        <f t="shared" si="685"/>
        <v>0</v>
      </c>
      <c r="AM103" s="576">
        <f t="shared" si="685"/>
        <v>0</v>
      </c>
      <c r="AN103" s="576">
        <f t="shared" si="685"/>
        <v>0</v>
      </c>
      <c r="AO103" s="576">
        <f t="shared" si="685"/>
        <v>0</v>
      </c>
      <c r="AP103" s="576">
        <f t="shared" si="685"/>
        <v>0</v>
      </c>
      <c r="AQ103" s="576">
        <f t="shared" si="685"/>
        <v>0</v>
      </c>
      <c r="AR103" s="576">
        <f t="shared" si="685"/>
        <v>0</v>
      </c>
      <c r="AS103" s="576">
        <f t="shared" si="685"/>
        <v>0</v>
      </c>
      <c r="AT103" s="576">
        <f t="shared" si="685"/>
        <v>0</v>
      </c>
      <c r="AU103" s="576">
        <f t="shared" si="685"/>
        <v>0</v>
      </c>
      <c r="AV103" s="576">
        <f t="shared" si="685"/>
        <v>0</v>
      </c>
      <c r="AW103" s="576">
        <f t="shared" si="685"/>
        <v>0</v>
      </c>
      <c r="AX103" s="576">
        <f t="shared" si="685"/>
        <v>0</v>
      </c>
      <c r="AY103" s="576">
        <f t="shared" si="685"/>
        <v>0</v>
      </c>
      <c r="AZ103" s="576">
        <f t="shared" si="685"/>
        <v>0</v>
      </c>
      <c r="BA103" s="576">
        <f t="shared" si="685"/>
        <v>0</v>
      </c>
      <c r="BB103" s="576">
        <f t="shared" si="685"/>
        <v>0</v>
      </c>
      <c r="BC103" s="576">
        <f t="shared" si="685"/>
        <v>0</v>
      </c>
      <c r="BD103" s="576">
        <f t="shared" si="685"/>
        <v>0</v>
      </c>
      <c r="BE103" s="576">
        <f t="shared" si="685"/>
        <v>0</v>
      </c>
      <c r="BF103" s="576">
        <f t="shared" si="685"/>
        <v>0</v>
      </c>
      <c r="BG103" s="576">
        <f t="shared" si="685"/>
        <v>0</v>
      </c>
      <c r="BH103" s="576">
        <f t="shared" si="685"/>
        <v>0</v>
      </c>
      <c r="BI103" s="576">
        <f t="shared" si="685"/>
        <v>0</v>
      </c>
      <c r="BJ103" s="576">
        <f t="shared" si="685"/>
        <v>0</v>
      </c>
      <c r="BK103" s="576">
        <f t="shared" si="685"/>
        <v>0</v>
      </c>
      <c r="BL103" s="576">
        <f t="shared" si="685"/>
        <v>0</v>
      </c>
      <c r="BM103" s="576">
        <f t="shared" si="685"/>
        <v>0</v>
      </c>
      <c r="BN103" s="576">
        <f t="shared" si="685"/>
        <v>0</v>
      </c>
    </row>
    <row r="104" spans="1:90" s="62" customFormat="1">
      <c r="A104" s="604"/>
      <c r="B104" s="58" t="s">
        <v>27</v>
      </c>
      <c r="C104" s="233" t="s">
        <v>1420</v>
      </c>
      <c r="D104" s="579">
        <f>D45-0.7*(D96-D101)</f>
        <v>81689.575311964218</v>
      </c>
      <c r="E104" s="579">
        <f t="shared" ref="E104:AH104" si="686">E45-0.7*(E96-E101)</f>
        <v>78998.429760345898</v>
      </c>
      <c r="F104" s="579">
        <f t="shared" si="686"/>
        <v>76308.602407403421</v>
      </c>
      <c r="G104" s="579">
        <f t="shared" si="686"/>
        <v>73620.201825322511</v>
      </c>
      <c r="H104" s="579">
        <f t="shared" si="686"/>
        <v>70933.337394740753</v>
      </c>
      <c r="I104" s="579">
        <f t="shared" si="686"/>
        <v>68248.119285494628</v>
      </c>
      <c r="J104" s="579">
        <f t="shared" si="686"/>
        <v>65564.659035189805</v>
      </c>
      <c r="K104" s="579">
        <f t="shared" si="686"/>
        <v>62883.068129203464</v>
      </c>
      <c r="L104" s="579">
        <f t="shared" si="686"/>
        <v>60203.459093458427</v>
      </c>
      <c r="M104" s="579">
        <f t="shared" si="686"/>
        <v>57525.945177615264</v>
      </c>
      <c r="N104" s="579">
        <f t="shared" si="686"/>
        <v>54850.640336704389</v>
      </c>
      <c r="O104" s="579">
        <f t="shared" si="686"/>
        <v>52276.087652135771</v>
      </c>
      <c r="P104" s="579">
        <f t="shared" si="686"/>
        <v>49719.989073985525</v>
      </c>
      <c r="Q104" s="579">
        <f t="shared" si="686"/>
        <v>47184.720624125373</v>
      </c>
      <c r="R104" s="579">
        <f t="shared" si="686"/>
        <v>44667.990249463939</v>
      </c>
      <c r="S104" s="579">
        <f t="shared" si="686"/>
        <v>42169.755388464087</v>
      </c>
      <c r="T104" s="579">
        <f t="shared" si="686"/>
        <v>39689.970642349406</v>
      </c>
      <c r="U104" s="579">
        <f t="shared" si="686"/>
        <v>37228.590840748904</v>
      </c>
      <c r="V104" s="579">
        <f t="shared" si="686"/>
        <v>34785.568189634592</v>
      </c>
      <c r="W104" s="579">
        <f t="shared" si="686"/>
        <v>32360.853116133105</v>
      </c>
      <c r="X104" s="579">
        <f t="shared" si="686"/>
        <v>29954.394246819451</v>
      </c>
      <c r="Y104" s="579">
        <f t="shared" si="686"/>
        <v>27438.601745941982</v>
      </c>
      <c r="Z104" s="579">
        <f t="shared" si="686"/>
        <v>24936.206319114859</v>
      </c>
      <c r="AA104" s="579">
        <f t="shared" si="686"/>
        <v>22453.529844692035</v>
      </c>
      <c r="AB104" s="579">
        <f t="shared" si="686"/>
        <v>19984.331334686554</v>
      </c>
      <c r="AC104" s="579">
        <f t="shared" si="686"/>
        <v>17528.535594416717</v>
      </c>
      <c r="AD104" s="579">
        <f t="shared" si="686"/>
        <v>15086.053180159033</v>
      </c>
      <c r="AE104" s="579">
        <f t="shared" si="686"/>
        <v>12656.775275783932</v>
      </c>
      <c r="AF104" s="579">
        <f t="shared" si="686"/>
        <v>10240.577995858714</v>
      </c>
      <c r="AG104" s="579">
        <f t="shared" si="686"/>
        <v>7837.3207272823965</v>
      </c>
      <c r="AH104" s="579">
        <f t="shared" si="686"/>
        <v>5446.8458930312299</v>
      </c>
      <c r="AI104" s="579"/>
      <c r="AJ104" s="579">
        <f>AJ45-0.5*(AJ96-AJ101)</f>
        <v>81689.575311964218</v>
      </c>
      <c r="AK104" s="579">
        <f t="shared" ref="AK104:BN104" si="687">AK45-0.5*(AK96-AK101)</f>
        <v>80170.183242889645</v>
      </c>
      <c r="AL104" s="579">
        <f t="shared" si="687"/>
        <v>78644.985268794262</v>
      </c>
      <c r="AM104" s="579">
        <f t="shared" si="687"/>
        <v>77114.133414728931</v>
      </c>
      <c r="AN104" s="579">
        <f t="shared" si="687"/>
        <v>75577.779572954591</v>
      </c>
      <c r="AO104" s="579">
        <f t="shared" si="687"/>
        <v>74036.075495472222</v>
      </c>
      <c r="AP104" s="579">
        <f t="shared" si="687"/>
        <v>72489.173213516624</v>
      </c>
      <c r="AQ104" s="579">
        <f t="shared" si="687"/>
        <v>70937.224029448902</v>
      </c>
      <c r="AR104" s="579">
        <f t="shared" si="687"/>
        <v>69380.37930343367</v>
      </c>
      <c r="AS104" s="579">
        <f t="shared" si="687"/>
        <v>67818.790233220294</v>
      </c>
      <c r="AT104" s="579">
        <f t="shared" si="687"/>
        <v>66252.607847044288</v>
      </c>
      <c r="AU104" s="579">
        <f t="shared" si="687"/>
        <v>64752.289024604332</v>
      </c>
      <c r="AV104" s="579">
        <f t="shared" si="687"/>
        <v>63259.117747472716</v>
      </c>
      <c r="AW104" s="579">
        <f t="shared" si="687"/>
        <v>61774.858821485985</v>
      </c>
      <c r="AX104" s="579">
        <f t="shared" si="687"/>
        <v>60297.942063451468</v>
      </c>
      <c r="AY104" s="579">
        <f t="shared" si="687"/>
        <v>58828.403425859084</v>
      </c>
      <c r="AZ104" s="579">
        <f t="shared" si="687"/>
        <v>57366.276196322186</v>
      </c>
      <c r="BA104" s="579">
        <f t="shared" si="687"/>
        <v>55911.593192996981</v>
      </c>
      <c r="BB104" s="579">
        <f t="shared" si="687"/>
        <v>54464.384733020474</v>
      </c>
      <c r="BC104" s="579">
        <f t="shared" si="687"/>
        <v>53024.679241525067</v>
      </c>
      <c r="BD104" s="579">
        <f t="shared" si="687"/>
        <v>51592.503241664264</v>
      </c>
      <c r="BE104" s="579">
        <f t="shared" si="687"/>
        <v>50091.683328716819</v>
      </c>
      <c r="BF104" s="579">
        <f t="shared" si="687"/>
        <v>48594.839068904257</v>
      </c>
      <c r="BG104" s="579">
        <f t="shared" si="687"/>
        <v>47106.549663480968</v>
      </c>
      <c r="BH104" s="579">
        <f t="shared" si="687"/>
        <v>45622.420223365581</v>
      </c>
      <c r="BI104" s="579">
        <f t="shared" si="687"/>
        <v>44142.459388649149</v>
      </c>
      <c r="BJ104" s="579">
        <f t="shared" si="687"/>
        <v>42666.665018061918</v>
      </c>
      <c r="BK104" s="579">
        <f t="shared" si="687"/>
        <v>41195.020534810028</v>
      </c>
      <c r="BL104" s="579">
        <f t="shared" si="687"/>
        <v>39727.498005557456</v>
      </c>
      <c r="BM104" s="579">
        <f t="shared" si="687"/>
        <v>38264.056961171314</v>
      </c>
      <c r="BN104" s="579">
        <f t="shared" si="687"/>
        <v>36804.644233215193</v>
      </c>
      <c r="BQ104" s="623"/>
      <c r="BR104" s="623"/>
      <c r="BS104" s="623"/>
      <c r="BT104" s="623"/>
      <c r="BU104" s="623"/>
      <c r="BV104" s="623"/>
      <c r="BW104" s="623"/>
      <c r="BX104" s="623"/>
      <c r="BY104" s="623"/>
      <c r="BZ104" s="623"/>
      <c r="CA104" s="623"/>
      <c r="CB104" s="623"/>
      <c r="CC104" s="623"/>
      <c r="CD104" s="623"/>
      <c r="CE104" s="623"/>
      <c r="CF104" s="623"/>
      <c r="CG104" s="623"/>
      <c r="CH104" s="623"/>
      <c r="CI104" s="623"/>
      <c r="CJ104" s="623"/>
      <c r="CK104" s="623"/>
      <c r="CL104" s="623"/>
    </row>
    <row r="105" spans="1:90">
      <c r="A105" s="158" t="s">
        <v>308</v>
      </c>
      <c r="B105" s="213" t="s">
        <v>200</v>
      </c>
      <c r="C105" s="214" t="s">
        <v>1420</v>
      </c>
      <c r="D105" s="541">
        <f>D58+D64</f>
        <v>1083437.7146080071</v>
      </c>
      <c r="E105" s="541">
        <f t="shared" ref="E105:AH105" si="688">E58+E64</f>
        <v>1071798.7979653394</v>
      </c>
      <c r="F105" s="541">
        <f t="shared" si="688"/>
        <v>1059759.792248402</v>
      </c>
      <c r="G105" s="541">
        <f t="shared" si="688"/>
        <v>1047769.9073247712</v>
      </c>
      <c r="H105" s="541">
        <f t="shared" si="688"/>
        <v>1035829.7150712652</v>
      </c>
      <c r="I105" s="541">
        <f t="shared" si="688"/>
        <v>1023939.7869704579</v>
      </c>
      <c r="J105" s="541">
        <f t="shared" si="688"/>
        <v>1012100.6943609674</v>
      </c>
      <c r="K105" s="541">
        <f t="shared" si="688"/>
        <v>1000313.0086991526</v>
      </c>
      <c r="L105" s="541">
        <f t="shared" si="688"/>
        <v>988577.30183284392</v>
      </c>
      <c r="M105" s="541">
        <f t="shared" si="688"/>
        <v>976894.1462878047</v>
      </c>
      <c r="N105" s="541">
        <f t="shared" si="688"/>
        <v>965264.11556763062</v>
      </c>
      <c r="O105" s="541">
        <f t="shared" si="688"/>
        <v>952338.33065515524</v>
      </c>
      <c r="P105" s="541">
        <f t="shared" si="688"/>
        <v>939486.02901524445</v>
      </c>
      <c r="Q105" s="541">
        <f t="shared" si="688"/>
        <v>926707.78903038648</v>
      </c>
      <c r="R105" s="541">
        <f t="shared" si="688"/>
        <v>914004.19141067006</v>
      </c>
      <c r="S105" s="541">
        <f t="shared" si="688"/>
        <v>901375.81957309996</v>
      </c>
      <c r="T105" s="541">
        <f t="shared" si="688"/>
        <v>888005.93325662659</v>
      </c>
      <c r="U105" s="541">
        <f t="shared" si="688"/>
        <v>874724.51180375845</v>
      </c>
      <c r="V105" s="541">
        <f t="shared" si="688"/>
        <v>861532.14921993995</v>
      </c>
      <c r="W105" s="541">
        <f t="shared" si="688"/>
        <v>848429.44393204292</v>
      </c>
      <c r="X105" s="541">
        <f t="shared" si="688"/>
        <v>835416.99927196978</v>
      </c>
      <c r="Y105" s="541">
        <f t="shared" si="688"/>
        <v>821901.18462772842</v>
      </c>
      <c r="Z105" s="541">
        <f t="shared" si="688"/>
        <v>808486.32068040769</v>
      </c>
      <c r="AA105" s="541">
        <f t="shared" si="688"/>
        <v>795173.03842326277</v>
      </c>
      <c r="AB105" s="541">
        <f t="shared" si="688"/>
        <v>781961.97585684201</v>
      </c>
      <c r="AC105" s="541">
        <f t="shared" si="688"/>
        <v>768853.7786102104</v>
      </c>
      <c r="AD105" s="541">
        <f t="shared" si="688"/>
        <v>755849.10059427342</v>
      </c>
      <c r="AE105" s="541">
        <f t="shared" si="688"/>
        <v>742948.6046889862</v>
      </c>
      <c r="AF105" s="541">
        <f t="shared" si="688"/>
        <v>730152.963466338</v>
      </c>
      <c r="AG105" s="541">
        <f t="shared" si="688"/>
        <v>717462.85995109926</v>
      </c>
      <c r="AH105" s="541">
        <f t="shared" si="688"/>
        <v>704878.98842143663</v>
      </c>
      <c r="AI105" s="541"/>
      <c r="AJ105" s="541">
        <f>AJ58+AJ64</f>
        <v>1083437.7146080071</v>
      </c>
      <c r="AK105" s="541">
        <f t="shared" ref="AK105:BN105" si="689">AK58+AK64</f>
        <v>1075357.6629540087</v>
      </c>
      <c r="AL105" s="541">
        <f t="shared" si="689"/>
        <v>1066844.4385258437</v>
      </c>
      <c r="AM105" s="541">
        <f t="shared" si="689"/>
        <v>1058347.065353865</v>
      </c>
      <c r="AN105" s="541">
        <f t="shared" si="689"/>
        <v>1049865.9312042352</v>
      </c>
      <c r="AO105" s="541">
        <f t="shared" si="689"/>
        <v>1041401.4251603998</v>
      </c>
      <c r="AP105" s="541">
        <f t="shared" si="689"/>
        <v>1032953.9378584655</v>
      </c>
      <c r="AQ105" s="541">
        <f t="shared" si="689"/>
        <v>1024523.8617341068</v>
      </c>
      <c r="AR105" s="541">
        <f t="shared" si="689"/>
        <v>1016111.5912816335</v>
      </c>
      <c r="AS105" s="541">
        <f t="shared" si="689"/>
        <v>1007717.5233259096</v>
      </c>
      <c r="AT105" s="541">
        <f t="shared" si="689"/>
        <v>999342.05730783287</v>
      </c>
      <c r="AU105" s="541">
        <f t="shared" si="689"/>
        <v>989583.32187344693</v>
      </c>
      <c r="AV105" s="541">
        <f t="shared" si="689"/>
        <v>979853.59993872372</v>
      </c>
      <c r="AW105" s="541">
        <f t="shared" si="689"/>
        <v>970153.30065274099</v>
      </c>
      <c r="AX105" s="541">
        <f t="shared" si="689"/>
        <v>960482.83707389771</v>
      </c>
      <c r="AY105" s="541">
        <f t="shared" si="689"/>
        <v>950842.62653540121</v>
      </c>
      <c r="AZ105" s="541">
        <f t="shared" si="689"/>
        <v>940367.51418605656</v>
      </c>
      <c r="BA105" s="541">
        <f t="shared" si="689"/>
        <v>929929.53518231085</v>
      </c>
      <c r="BB105" s="541">
        <f t="shared" si="689"/>
        <v>919529.12206768815</v>
      </c>
      <c r="BC105" s="541">
        <f t="shared" si="689"/>
        <v>909166.71332087938</v>
      </c>
      <c r="BD105" s="541">
        <f t="shared" si="689"/>
        <v>898842.75382608769</v>
      </c>
      <c r="BE105" s="541">
        <f t="shared" si="689"/>
        <v>888026.26109869371</v>
      </c>
      <c r="BF105" s="541">
        <f t="shared" si="689"/>
        <v>877253.86192998267</v>
      </c>
      <c r="BG105" s="541">
        <f t="shared" si="689"/>
        <v>866526.02839205856</v>
      </c>
      <c r="BH105" s="541">
        <f t="shared" si="689"/>
        <v>855843.24105837254</v>
      </c>
      <c r="BI105" s="541">
        <f t="shared" si="689"/>
        <v>845205.98961184057</v>
      </c>
      <c r="BJ105" s="541">
        <f t="shared" si="689"/>
        <v>834614.77348517149</v>
      </c>
      <c r="BK105" s="541">
        <f t="shared" si="689"/>
        <v>824070.10253519251</v>
      </c>
      <c r="BL105" s="541">
        <f t="shared" si="689"/>
        <v>813572.49775305425</v>
      </c>
      <c r="BM105" s="541">
        <f t="shared" si="689"/>
        <v>803122.49201230856</v>
      </c>
      <c r="BN105" s="541">
        <f t="shared" si="689"/>
        <v>792720.63085696031</v>
      </c>
    </row>
    <row r="106" spans="1:90">
      <c r="A106" s="158"/>
      <c r="B106" s="160" t="s">
        <v>266</v>
      </c>
      <c r="C106" s="156" t="s">
        <v>1420</v>
      </c>
      <c r="D106" s="120">
        <f>'Methanol Recycling HC'!C238</f>
        <v>0</v>
      </c>
      <c r="E106" s="120">
        <f>'Methanol Recycling HC'!D238</f>
        <v>7619.9231321840125</v>
      </c>
      <c r="F106" s="120">
        <f>'Methanol Recycling HC'!E238</f>
        <v>15205.891094617742</v>
      </c>
      <c r="G106" s="120">
        <f>'Methanol Recycling HC'!F238</f>
        <v>22758.016669625249</v>
      </c>
      <c r="H106" s="120">
        <f>'Methanol Recycling HC'!G238</f>
        <v>30276.412307056416</v>
      </c>
      <c r="I106" s="120">
        <f>'Methanol Recycling HC'!H238</f>
        <v>37761.19012520527</v>
      </c>
      <c r="J106" s="120">
        <f>'Methanol Recycling HC'!I238</f>
        <v>44491.426386700601</v>
      </c>
      <c r="K106" s="120">
        <f>'Methanol Recycling HC'!J238</f>
        <v>51090.352095285802</v>
      </c>
      <c r="L106" s="120">
        <f>'Methanol Recycling HC'!K238</f>
        <v>57558.737392275529</v>
      </c>
      <c r="M106" s="120">
        <f>'Methanol Recycling HC'!L238</f>
        <v>63897.349165925836</v>
      </c>
      <c r="N106" s="120">
        <f>'Methanol Recycling HC'!M238</f>
        <v>70106.951063130895</v>
      </c>
      <c r="O106" s="120">
        <f>'Methanol Recycling HC'!N238</f>
        <v>73795.591860325832</v>
      </c>
      <c r="P106" s="120">
        <f>'Methanol Recycling HC'!O238</f>
        <v>77400.118061319983</v>
      </c>
      <c r="Q106" s="120">
        <f>'Methanol Recycling HC'!P238</f>
        <v>80921.031362235983</v>
      </c>
      <c r="R106" s="120">
        <f>'Methanol Recycling HC'!Q238</f>
        <v>84358.831326686253</v>
      </c>
      <c r="S106" s="120">
        <f>'Methanol Recycling HC'!R238</f>
        <v>87714.015393466456</v>
      </c>
      <c r="T106" s="120">
        <f>'Methanol Recycling HC'!S238</f>
        <v>90987.078884222952</v>
      </c>
      <c r="U106" s="120">
        <f>'Methanol Recycling HC'!T238</f>
        <v>94178.515011095937</v>
      </c>
      <c r="V106" s="120">
        <f>'Methanol Recycling HC'!U238</f>
        <v>97288.814884337102</v>
      </c>
      <c r="W106" s="120">
        <f>'Methanol Recycling HC'!V238</f>
        <v>100318.46751990257</v>
      </c>
      <c r="X106" s="120">
        <f>'Methanol Recycling HC'!W238</f>
        <v>103267.95984702083</v>
      </c>
      <c r="Y106" s="120">
        <f>'Methanol Recycling HC'!X238</f>
        <v>108537.20782267011</v>
      </c>
      <c r="Z106" s="120">
        <f>'Methanol Recycling HC'!Y238</f>
        <v>113681.33544802296</v>
      </c>
      <c r="AA106" s="120">
        <f>'Methanol Recycling HC'!Z238</f>
        <v>118701.09252352416</v>
      </c>
      <c r="AB106" s="120">
        <f>'Methanol Recycling HC'!AA238</f>
        <v>123597.22565648775</v>
      </c>
      <c r="AC106" s="120">
        <f>'Methanol Recycling HC'!AB238</f>
        <v>128370.47827262818</v>
      </c>
      <c r="AD106" s="120">
        <f>'Methanol Recycling HC'!AC238</f>
        <v>132975.83791440362</v>
      </c>
      <c r="AE106" s="120">
        <f>'Methanol Recycling HC'!AD238</f>
        <v>137456.9682109557</v>
      </c>
      <c r="AF106" s="120">
        <f>'Methanol Recycling HC'!AE238</f>
        <v>141814.62249793956</v>
      </c>
      <c r="AG106" s="120">
        <f>'Methanol Recycling HC'!AF238</f>
        <v>146049.55088858257</v>
      </c>
      <c r="AH106" s="120">
        <f>'Methanol Recycling HC'!AG238</f>
        <v>150162.50028534816</v>
      </c>
      <c r="AI106" s="99"/>
      <c r="AJ106" s="120">
        <f>D106</f>
        <v>0</v>
      </c>
      <c r="AK106" s="120">
        <f t="shared" ref="AK106:BN108" si="690">E106</f>
        <v>7619.9231321840125</v>
      </c>
      <c r="AL106" s="120">
        <f t="shared" si="690"/>
        <v>15205.891094617742</v>
      </c>
      <c r="AM106" s="120">
        <f t="shared" si="690"/>
        <v>22758.016669625249</v>
      </c>
      <c r="AN106" s="120">
        <f t="shared" si="690"/>
        <v>30276.412307056416</v>
      </c>
      <c r="AO106" s="120">
        <f t="shared" si="690"/>
        <v>37761.19012520527</v>
      </c>
      <c r="AP106" s="120">
        <f t="shared" si="690"/>
        <v>44491.426386700601</v>
      </c>
      <c r="AQ106" s="120">
        <f t="shared" si="690"/>
        <v>51090.352095285802</v>
      </c>
      <c r="AR106" s="120">
        <f t="shared" si="690"/>
        <v>57558.737392275529</v>
      </c>
      <c r="AS106" s="120">
        <f t="shared" si="690"/>
        <v>63897.349165925836</v>
      </c>
      <c r="AT106" s="120">
        <f t="shared" si="690"/>
        <v>70106.951063130895</v>
      </c>
      <c r="AU106" s="120">
        <f t="shared" si="690"/>
        <v>73795.591860325832</v>
      </c>
      <c r="AV106" s="120">
        <f t="shared" si="690"/>
        <v>77400.118061319983</v>
      </c>
      <c r="AW106" s="120">
        <f t="shared" si="690"/>
        <v>80921.031362235983</v>
      </c>
      <c r="AX106" s="120">
        <f t="shared" si="690"/>
        <v>84358.831326686253</v>
      </c>
      <c r="AY106" s="120">
        <f t="shared" si="690"/>
        <v>87714.015393466456</v>
      </c>
      <c r="AZ106" s="120">
        <f t="shared" si="690"/>
        <v>90987.078884222952</v>
      </c>
      <c r="BA106" s="120">
        <f t="shared" si="690"/>
        <v>94178.515011095937</v>
      </c>
      <c r="BB106" s="120">
        <f t="shared" si="690"/>
        <v>97288.814884337102</v>
      </c>
      <c r="BC106" s="120">
        <f t="shared" si="690"/>
        <v>100318.46751990257</v>
      </c>
      <c r="BD106" s="120">
        <f t="shared" si="690"/>
        <v>103267.95984702083</v>
      </c>
      <c r="BE106" s="120">
        <f t="shared" si="690"/>
        <v>108537.20782267011</v>
      </c>
      <c r="BF106" s="120">
        <f t="shared" si="690"/>
        <v>113681.33544802296</v>
      </c>
      <c r="BG106" s="120">
        <f t="shared" si="690"/>
        <v>118701.09252352416</v>
      </c>
      <c r="BH106" s="120">
        <f t="shared" si="690"/>
        <v>123597.22565648775</v>
      </c>
      <c r="BI106" s="120">
        <f t="shared" si="690"/>
        <v>128370.47827262818</v>
      </c>
      <c r="BJ106" s="120">
        <f t="shared" si="690"/>
        <v>132975.83791440362</v>
      </c>
      <c r="BK106" s="120">
        <f t="shared" si="690"/>
        <v>137456.9682109557</v>
      </c>
      <c r="BL106" s="120">
        <f t="shared" si="690"/>
        <v>141814.62249793956</v>
      </c>
      <c r="BM106" s="120">
        <f t="shared" si="690"/>
        <v>146049.55088858257</v>
      </c>
      <c r="BN106" s="120">
        <f t="shared" si="690"/>
        <v>150162.50028534816</v>
      </c>
    </row>
    <row r="107" spans="1:90">
      <c r="A107"/>
      <c r="B107" t="s">
        <v>268</v>
      </c>
      <c r="C107" s="50" t="s">
        <v>1420</v>
      </c>
      <c r="D107" s="99">
        <f>'Methanol Recycling HC'!C97</f>
        <v>0</v>
      </c>
      <c r="E107" s="99">
        <f>'Methanol Recycling HC'!D97</f>
        <v>35.666479065658166</v>
      </c>
      <c r="F107" s="99">
        <f>'Methanol Recycling HC'!E97</f>
        <v>74.428324017543147</v>
      </c>
      <c r="G107" s="99">
        <f>'Methanol Recycling HC'!F97</f>
        <v>116.24611328499945</v>
      </c>
      <c r="H107" s="99">
        <f>'Methanol Recycling HC'!G97</f>
        <v>161.08068135729181</v>
      </c>
      <c r="I107" s="99">
        <f>'Methanol Recycling HC'!H97</f>
        <v>208.89311754116764</v>
      </c>
      <c r="J107" s="99">
        <f>'Methanol Recycling HC'!I97</f>
        <v>259.64476472352578</v>
      </c>
      <c r="K107" s="99">
        <f>'Methanol Recycling HC'!J97</f>
        <v>313.29721813917354</v>
      </c>
      <c r="L107" s="99">
        <f>'Methanol Recycling HC'!K97</f>
        <v>369.81232414365269</v>
      </c>
      <c r="M107" s="99">
        <f>'Methanol Recycling HC'!L97</f>
        <v>429.15217899111559</v>
      </c>
      <c r="N107" s="99">
        <f>'Methanol Recycling HC'!M97</f>
        <v>491.27912761723383</v>
      </c>
      <c r="O107" s="99">
        <f>'Methanol Recycling HC'!N97</f>
        <v>539.31610874966907</v>
      </c>
      <c r="P107" s="99">
        <f>'Methanol Recycling HC'!O97</f>
        <v>587.136829069383</v>
      </c>
      <c r="Q107" s="99">
        <f>'Methanol Recycling HC'!P97</f>
        <v>634.73639030216134</v>
      </c>
      <c r="R107" s="99">
        <f>'Methanol Recycling HC'!Q97</f>
        <v>682.10994167168144</v>
      </c>
      <c r="S107" s="99">
        <f>'Methanol Recycling HC'!R97</f>
        <v>729.25267963148258</v>
      </c>
      <c r="T107" s="99">
        <f>'Methanol Recycling HC'!S97</f>
        <v>776.15984759813284</v>
      </c>
      <c r="U107" s="99">
        <f>'Methanol Recycling HC'!T97</f>
        <v>822.8267356855838</v>
      </c>
      <c r="V107" s="99">
        <f>'Methanol Recycling HC'!U97</f>
        <v>869.24868044070968</v>
      </c>
      <c r="W107" s="99">
        <f>'Methanol Recycling HC'!V97</f>
        <v>915.42106458002945</v>
      </c>
      <c r="X107" s="99">
        <f>'Methanol Recycling HC'!W97</f>
        <v>961.33931672759843</v>
      </c>
      <c r="Y107" s="99">
        <f>'Methanol Recycling HC'!X97</f>
        <v>1007.1857270037166</v>
      </c>
      <c r="Z107" s="99">
        <f>'Methanol Recycling HC'!Y97</f>
        <v>1052.7840300944342</v>
      </c>
      <c r="AA107" s="99">
        <f>'Methanol Recycling HC'!Z97</f>
        <v>1098.1294314086674</v>
      </c>
      <c r="AB107" s="99">
        <f>'Methanol Recycling HC'!AA97</f>
        <v>1143.2171839519719</v>
      </c>
      <c r="AC107" s="99">
        <f>'Methanol Recycling HC'!AB97</f>
        <v>1188.0425880560347</v>
      </c>
      <c r="AD107" s="99">
        <f>'Methanol Recycling HC'!AC97</f>
        <v>1232.6009911093718</v>
      </c>
      <c r="AE107" s="99">
        <f>'Methanol Recycling HC'!AD97</f>
        <v>1276.8877872892344</v>
      </c>
      <c r="AF107" s="99">
        <f>'Methanol Recycling HC'!AE97</f>
        <v>1320.8984172947139</v>
      </c>
      <c r="AG107" s="99">
        <f>'Methanol Recycling HC'!AF97</f>
        <v>1364.6283680810386</v>
      </c>
      <c r="AH107" s="99">
        <f>'Methanol Recycling HC'!AG97</f>
        <v>1408.0731725950654</v>
      </c>
      <c r="AI107" s="99"/>
      <c r="AJ107" s="120">
        <f t="shared" ref="AJ107:AJ108" si="691">D107</f>
        <v>0</v>
      </c>
      <c r="AK107" s="120">
        <f t="shared" si="690"/>
        <v>35.666479065658166</v>
      </c>
      <c r="AL107" s="120">
        <f t="shared" si="690"/>
        <v>74.428324017543147</v>
      </c>
      <c r="AM107" s="120">
        <f t="shared" si="690"/>
        <v>116.24611328499945</v>
      </c>
      <c r="AN107" s="120">
        <f t="shared" si="690"/>
        <v>161.08068135729181</v>
      </c>
      <c r="AO107" s="120">
        <f t="shared" si="690"/>
        <v>208.89311754116764</v>
      </c>
      <c r="AP107" s="120">
        <f t="shared" si="690"/>
        <v>259.64476472352578</v>
      </c>
      <c r="AQ107" s="120">
        <f t="shared" si="690"/>
        <v>313.29721813917354</v>
      </c>
      <c r="AR107" s="120">
        <f t="shared" si="690"/>
        <v>369.81232414365269</v>
      </c>
      <c r="AS107" s="120">
        <f t="shared" si="690"/>
        <v>429.15217899111559</v>
      </c>
      <c r="AT107" s="120">
        <f t="shared" si="690"/>
        <v>491.27912761723383</v>
      </c>
      <c r="AU107" s="120">
        <f t="shared" si="690"/>
        <v>539.31610874966907</v>
      </c>
      <c r="AV107" s="120">
        <f t="shared" si="690"/>
        <v>587.136829069383</v>
      </c>
      <c r="AW107" s="120">
        <f t="shared" si="690"/>
        <v>634.73639030216134</v>
      </c>
      <c r="AX107" s="120">
        <f t="shared" si="690"/>
        <v>682.10994167168144</v>
      </c>
      <c r="AY107" s="120">
        <f t="shared" si="690"/>
        <v>729.25267963148258</v>
      </c>
      <c r="AZ107" s="120">
        <f t="shared" si="690"/>
        <v>776.15984759813284</v>
      </c>
      <c r="BA107" s="120">
        <f t="shared" si="690"/>
        <v>822.8267356855838</v>
      </c>
      <c r="BB107" s="120">
        <f t="shared" si="690"/>
        <v>869.24868044070968</v>
      </c>
      <c r="BC107" s="120">
        <f t="shared" si="690"/>
        <v>915.42106458002945</v>
      </c>
      <c r="BD107" s="120">
        <f t="shared" si="690"/>
        <v>961.33931672759843</v>
      </c>
      <c r="BE107" s="120">
        <f t="shared" si="690"/>
        <v>1007.1857270037166</v>
      </c>
      <c r="BF107" s="120">
        <f t="shared" si="690"/>
        <v>1052.7840300944342</v>
      </c>
      <c r="BG107" s="120">
        <f t="shared" si="690"/>
        <v>1098.1294314086674</v>
      </c>
      <c r="BH107" s="120">
        <f t="shared" si="690"/>
        <v>1143.2171839519719</v>
      </c>
      <c r="BI107" s="120">
        <f t="shared" si="690"/>
        <v>1188.0425880560347</v>
      </c>
      <c r="BJ107" s="120">
        <f t="shared" si="690"/>
        <v>1232.6009911093718</v>
      </c>
      <c r="BK107" s="120">
        <f t="shared" si="690"/>
        <v>1276.8877872892344</v>
      </c>
      <c r="BL107" s="120">
        <f t="shared" si="690"/>
        <v>1320.8984172947139</v>
      </c>
      <c r="BM107" s="120">
        <f t="shared" si="690"/>
        <v>1364.6283680810386</v>
      </c>
      <c r="BN107" s="120">
        <f t="shared" si="690"/>
        <v>1408.0731725950654</v>
      </c>
    </row>
    <row r="108" spans="1:90">
      <c r="A108" s="160"/>
      <c r="B108" s="160" t="s">
        <v>269</v>
      </c>
      <c r="C108" s="156" t="s">
        <v>1420</v>
      </c>
      <c r="D108" s="120">
        <f>'Methanol Recycling HC'!C162</f>
        <v>0</v>
      </c>
      <c r="E108" s="120">
        <f>'Methanol Recycling HC'!D162</f>
        <v>35.937004554300017</v>
      </c>
      <c r="F108" s="120">
        <f>'Methanol Recycling HC'!E162</f>
        <v>72.585694979482582</v>
      </c>
      <c r="G108" s="120">
        <f>'Methanol Recycling HC'!F162</f>
        <v>109.67649883133669</v>
      </c>
      <c r="H108" s="120">
        <f>'Methanol Recycling HC'!G162</f>
        <v>146.94220170804476</v>
      </c>
      <c r="I108" s="120">
        <f>'Methanol Recycling HC'!H162</f>
        <v>184.11793427886823</v>
      </c>
      <c r="J108" s="120">
        <f>'Methanol Recycling HC'!I162</f>
        <v>220.94115937000583</v>
      </c>
      <c r="K108" s="120">
        <f>'Methanol Recycling HC'!J162</f>
        <v>257.1516591074062</v>
      </c>
      <c r="L108" s="120">
        <f>'Methanol Recycling HC'!K162</f>
        <v>292.49152211631474</v>
      </c>
      <c r="M108" s="120">
        <f>'Methanol Recycling HC'!L162</f>
        <v>326.70513077733551</v>
      </c>
      <c r="N108" s="120">
        <f>'Methanol Recycling HC'!M162</f>
        <v>359.53914853878837</v>
      </c>
      <c r="O108" s="120">
        <f>'Methanol Recycling HC'!N162</f>
        <v>381.45285323887254</v>
      </c>
      <c r="P108" s="120">
        <f>'Methanol Recycling HC'!O162</f>
        <v>401.45988912927157</v>
      </c>
      <c r="Q108" s="120">
        <f>'Methanol Recycling HC'!P162</f>
        <v>417.02879857371408</v>
      </c>
      <c r="R108" s="120">
        <f>'Methanol Recycling HC'!Q162</f>
        <v>430.24719099597712</v>
      </c>
      <c r="S108" s="120">
        <f>'Methanol Recycling HC'!R162</f>
        <v>440.98017092813063</v>
      </c>
      <c r="T108" s="120">
        <f>'Methanol Recycling HC'!S162</f>
        <v>449.09677787398516</v>
      </c>
      <c r="U108" s="120">
        <f>'Methanol Recycling HC'!T162</f>
        <v>454.46998688997576</v>
      </c>
      <c r="V108" s="120">
        <f>'Methanol Recycling HC'!U162</f>
        <v>456.97670890056281</v>
      </c>
      <c r="W108" s="120">
        <f>'Methanol Recycling HC'!V162</f>
        <v>456.49779075081949</v>
      </c>
      <c r="X108" s="120">
        <f>'Methanol Recycling HC'!W162</f>
        <v>452.91801499887117</v>
      </c>
      <c r="Y108" s="120">
        <f>'Methanol Recycling HC'!X162</f>
        <v>454.83766106021778</v>
      </c>
      <c r="Z108" s="120">
        <f>'Methanol Recycling HC'!Y162</f>
        <v>452.81647258252201</v>
      </c>
      <c r="AA108" s="120">
        <f>'Methanol Recycling HC'!Z162</f>
        <v>440.4762412367586</v>
      </c>
      <c r="AB108" s="120">
        <f>'Methanol Recycling HC'!AA162</f>
        <v>423.86553867536679</v>
      </c>
      <c r="AC108" s="120">
        <f>'Methanol Recycling HC'!AB162</f>
        <v>402.93684551298531</v>
      </c>
      <c r="AD108" s="120">
        <f>'Methanol Recycling HC'!AC162</f>
        <v>377.66038563998995</v>
      </c>
      <c r="AE108" s="120">
        <f>'Methanol Recycling HC'!AD162</f>
        <v>348.02435268903184</v>
      </c>
      <c r="AF108" s="120">
        <f>'Methanol Recycling HC'!AE162</f>
        <v>314.03513221662831</v>
      </c>
      <c r="AG108" s="120">
        <f>'Methanol Recycling HC'!AF162</f>
        <v>275.71751963620329</v>
      </c>
      <c r="AH108" s="120">
        <f>'Methanol Recycling HC'!AG162</f>
        <v>233.1149339387627</v>
      </c>
      <c r="AI108" s="99"/>
      <c r="AJ108" s="120">
        <f t="shared" si="691"/>
        <v>0</v>
      </c>
      <c r="AK108" s="120">
        <f t="shared" si="690"/>
        <v>35.937004554300017</v>
      </c>
      <c r="AL108" s="120">
        <f t="shared" si="690"/>
        <v>72.585694979482582</v>
      </c>
      <c r="AM108" s="120">
        <f t="shared" si="690"/>
        <v>109.67649883133669</v>
      </c>
      <c r="AN108" s="120">
        <f t="shared" si="690"/>
        <v>146.94220170804476</v>
      </c>
      <c r="AO108" s="120">
        <f t="shared" si="690"/>
        <v>184.11793427886823</v>
      </c>
      <c r="AP108" s="120">
        <f t="shared" si="690"/>
        <v>220.94115937000583</v>
      </c>
      <c r="AQ108" s="120">
        <f t="shared" si="690"/>
        <v>257.1516591074062</v>
      </c>
      <c r="AR108" s="120">
        <f t="shared" si="690"/>
        <v>292.49152211631474</v>
      </c>
      <c r="AS108" s="120">
        <f t="shared" si="690"/>
        <v>326.70513077733551</v>
      </c>
      <c r="AT108" s="120">
        <f t="shared" si="690"/>
        <v>359.53914853878837</v>
      </c>
      <c r="AU108" s="120">
        <f t="shared" si="690"/>
        <v>381.45285323887254</v>
      </c>
      <c r="AV108" s="120">
        <f t="shared" si="690"/>
        <v>401.45988912927157</v>
      </c>
      <c r="AW108" s="120">
        <f t="shared" si="690"/>
        <v>417.02879857371408</v>
      </c>
      <c r="AX108" s="120">
        <f t="shared" si="690"/>
        <v>430.24719099597712</v>
      </c>
      <c r="AY108" s="120">
        <f t="shared" si="690"/>
        <v>440.98017092813063</v>
      </c>
      <c r="AZ108" s="120">
        <f t="shared" si="690"/>
        <v>449.09677787398516</v>
      </c>
      <c r="BA108" s="120">
        <f t="shared" si="690"/>
        <v>454.46998688997576</v>
      </c>
      <c r="BB108" s="120">
        <f t="shared" si="690"/>
        <v>456.97670890056281</v>
      </c>
      <c r="BC108" s="120">
        <f t="shared" si="690"/>
        <v>456.49779075081949</v>
      </c>
      <c r="BD108" s="120">
        <f t="shared" si="690"/>
        <v>452.91801499887117</v>
      </c>
      <c r="BE108" s="120">
        <f t="shared" si="690"/>
        <v>454.83766106021778</v>
      </c>
      <c r="BF108" s="120">
        <f t="shared" si="690"/>
        <v>452.81647258252201</v>
      </c>
      <c r="BG108" s="120">
        <f t="shared" si="690"/>
        <v>440.4762412367586</v>
      </c>
      <c r="BH108" s="120">
        <f t="shared" si="690"/>
        <v>423.86553867536679</v>
      </c>
      <c r="BI108" s="120">
        <f t="shared" si="690"/>
        <v>402.93684551298531</v>
      </c>
      <c r="BJ108" s="120">
        <f t="shared" si="690"/>
        <v>377.66038563998995</v>
      </c>
      <c r="BK108" s="120">
        <f t="shared" si="690"/>
        <v>348.02435268903184</v>
      </c>
      <c r="BL108" s="120">
        <f t="shared" si="690"/>
        <v>314.03513221662831</v>
      </c>
      <c r="BM108" s="120">
        <f t="shared" si="690"/>
        <v>275.71751963620329</v>
      </c>
      <c r="BN108" s="120">
        <f t="shared" si="690"/>
        <v>233.1149339387627</v>
      </c>
    </row>
    <row r="109" spans="1:90">
      <c r="A109" s="158"/>
      <c r="B109" s="211" t="s">
        <v>267</v>
      </c>
      <c r="C109" s="159" t="s">
        <v>1420</v>
      </c>
      <c r="D109" s="554">
        <f t="shared" ref="D109:AH109" si="692">D105-D106-D107-D108</f>
        <v>1083437.7146080071</v>
      </c>
      <c r="E109" s="554">
        <f t="shared" si="692"/>
        <v>1064107.2713495356</v>
      </c>
      <c r="F109" s="554">
        <f t="shared" si="692"/>
        <v>1044406.8871347872</v>
      </c>
      <c r="G109" s="554">
        <f t="shared" si="692"/>
        <v>1024785.9680430295</v>
      </c>
      <c r="H109" s="554">
        <f t="shared" si="692"/>
        <v>1005245.2798811435</v>
      </c>
      <c r="I109" s="554">
        <f t="shared" si="692"/>
        <v>985785.58579343243</v>
      </c>
      <c r="J109" s="554">
        <f t="shared" si="692"/>
        <v>967128.68205017329</v>
      </c>
      <c r="K109" s="554">
        <f t="shared" si="692"/>
        <v>948652.20772662025</v>
      </c>
      <c r="L109" s="554">
        <f t="shared" si="692"/>
        <v>930356.26059430849</v>
      </c>
      <c r="M109" s="554">
        <f t="shared" si="692"/>
        <v>912240.93981211039</v>
      </c>
      <c r="N109" s="554">
        <f t="shared" si="692"/>
        <v>894306.34622834367</v>
      </c>
      <c r="O109" s="554">
        <f t="shared" si="692"/>
        <v>877621.96983284084</v>
      </c>
      <c r="P109" s="554">
        <f t="shared" si="692"/>
        <v>861097.31423572591</v>
      </c>
      <c r="Q109" s="554">
        <f t="shared" si="692"/>
        <v>844734.99247927452</v>
      </c>
      <c r="R109" s="554">
        <f t="shared" si="692"/>
        <v>828533.00295131607</v>
      </c>
      <c r="S109" s="554">
        <f t="shared" si="692"/>
        <v>812491.57132907386</v>
      </c>
      <c r="T109" s="554">
        <f t="shared" si="692"/>
        <v>795793.59774693148</v>
      </c>
      <c r="U109" s="554">
        <f t="shared" si="692"/>
        <v>779268.70007008698</v>
      </c>
      <c r="V109" s="554">
        <f t="shared" si="692"/>
        <v>762917.10894626158</v>
      </c>
      <c r="W109" s="554">
        <f t="shared" si="692"/>
        <v>746739.05755680951</v>
      </c>
      <c r="X109" s="554">
        <f t="shared" si="692"/>
        <v>730734.78209322249</v>
      </c>
      <c r="Y109" s="554">
        <f t="shared" si="692"/>
        <v>711901.95341699431</v>
      </c>
      <c r="Z109" s="554">
        <f t="shared" si="692"/>
        <v>693299.38472970785</v>
      </c>
      <c r="AA109" s="554">
        <f t="shared" si="692"/>
        <v>674933.34022709308</v>
      </c>
      <c r="AB109" s="554">
        <f t="shared" si="692"/>
        <v>656797.66747772694</v>
      </c>
      <c r="AC109" s="554">
        <f t="shared" si="692"/>
        <v>638892.32090401324</v>
      </c>
      <c r="AD109" s="554">
        <f t="shared" si="692"/>
        <v>621263.0013031204</v>
      </c>
      <c r="AE109" s="554">
        <f t="shared" si="692"/>
        <v>603866.72433805221</v>
      </c>
      <c r="AF109" s="554">
        <f t="shared" si="692"/>
        <v>586703.40741888701</v>
      </c>
      <c r="AG109" s="554">
        <f t="shared" si="692"/>
        <v>569772.96317479946</v>
      </c>
      <c r="AH109" s="554">
        <f t="shared" si="692"/>
        <v>553075.30002955464</v>
      </c>
      <c r="AI109" s="99"/>
      <c r="AJ109" s="554">
        <f t="shared" ref="AJ109:BN109" si="693">AJ105-AJ106-AJ107-AJ108</f>
        <v>1083437.7146080071</v>
      </c>
      <c r="AK109" s="554">
        <f t="shared" si="693"/>
        <v>1067666.1363382048</v>
      </c>
      <c r="AL109" s="554">
        <f t="shared" si="693"/>
        <v>1051491.533412229</v>
      </c>
      <c r="AM109" s="554">
        <f t="shared" si="693"/>
        <v>1035363.1260721234</v>
      </c>
      <c r="AN109" s="554">
        <f t="shared" si="693"/>
        <v>1019281.4960141134</v>
      </c>
      <c r="AO109" s="554">
        <f t="shared" si="693"/>
        <v>1003247.2239833743</v>
      </c>
      <c r="AP109" s="554">
        <f t="shared" si="693"/>
        <v>987981.92554767139</v>
      </c>
      <c r="AQ109" s="554">
        <f t="shared" si="693"/>
        <v>972863.06076157442</v>
      </c>
      <c r="AR109" s="554">
        <f t="shared" si="693"/>
        <v>957890.55004309805</v>
      </c>
      <c r="AS109" s="554">
        <f t="shared" si="693"/>
        <v>943064.31685021531</v>
      </c>
      <c r="AT109" s="554">
        <f t="shared" si="693"/>
        <v>928384.28796854592</v>
      </c>
      <c r="AU109" s="554">
        <f t="shared" si="693"/>
        <v>914866.96105113253</v>
      </c>
      <c r="AV109" s="554">
        <f t="shared" si="693"/>
        <v>901464.88515920518</v>
      </c>
      <c r="AW109" s="554">
        <f t="shared" si="693"/>
        <v>888180.50410162902</v>
      </c>
      <c r="AX109" s="554">
        <f t="shared" si="693"/>
        <v>875011.64861454372</v>
      </c>
      <c r="AY109" s="554">
        <f t="shared" si="693"/>
        <v>861958.37829137512</v>
      </c>
      <c r="AZ109" s="554">
        <f t="shared" si="693"/>
        <v>848155.17867636145</v>
      </c>
      <c r="BA109" s="554">
        <f t="shared" si="693"/>
        <v>834473.72344863939</v>
      </c>
      <c r="BB109" s="554">
        <f t="shared" si="693"/>
        <v>820914.08179400978</v>
      </c>
      <c r="BC109" s="554">
        <f t="shared" si="693"/>
        <v>807476.32694564608</v>
      </c>
      <c r="BD109" s="554">
        <f t="shared" si="693"/>
        <v>794160.5366473404</v>
      </c>
      <c r="BE109" s="554">
        <f t="shared" si="693"/>
        <v>778027.02988795959</v>
      </c>
      <c r="BF109" s="554">
        <f t="shared" si="693"/>
        <v>762066.92597928282</v>
      </c>
      <c r="BG109" s="554">
        <f t="shared" si="693"/>
        <v>746286.33019588888</v>
      </c>
      <c r="BH109" s="554">
        <f t="shared" si="693"/>
        <v>730678.93267925747</v>
      </c>
      <c r="BI109" s="554">
        <f t="shared" si="693"/>
        <v>715244.53190564341</v>
      </c>
      <c r="BJ109" s="554">
        <f t="shared" si="693"/>
        <v>700028.67419401847</v>
      </c>
      <c r="BK109" s="554">
        <f t="shared" si="693"/>
        <v>684988.22218425851</v>
      </c>
      <c r="BL109" s="554">
        <f t="shared" si="693"/>
        <v>670122.94170560327</v>
      </c>
      <c r="BM109" s="554">
        <f t="shared" si="693"/>
        <v>655432.59523600875</v>
      </c>
      <c r="BN109" s="554">
        <f t="shared" si="693"/>
        <v>640916.94246507832</v>
      </c>
    </row>
    <row r="110" spans="1:90" s="61" customFormat="1">
      <c r="A110" s="602"/>
      <c r="B110" s="54" t="s">
        <v>804</v>
      </c>
      <c r="C110" s="55" t="s">
        <v>1420</v>
      </c>
      <c r="D110" s="580">
        <f>D59+D65-(D59+D65)/SUM(D$59:D$61,D$65:D$67)*(D$105-D$109)</f>
        <v>76212.237311541205</v>
      </c>
      <c r="E110" s="580">
        <f t="shared" ref="E110:AH112" si="694">E59+E65-(E59+E65)/SUM(E$59:E$61,E$65:E$67)*(E$105-E$109)</f>
        <v>75103.905821720648</v>
      </c>
      <c r="F110" s="580">
        <f t="shared" si="694"/>
        <v>73729.917994538773</v>
      </c>
      <c r="G110" s="580">
        <f t="shared" si="694"/>
        <v>72362.023200607102</v>
      </c>
      <c r="H110" s="580">
        <f t="shared" si="694"/>
        <v>71000.292021759291</v>
      </c>
      <c r="I110" s="580">
        <f t="shared" si="694"/>
        <v>69644.79490851461</v>
      </c>
      <c r="J110" s="580">
        <f t="shared" si="694"/>
        <v>68346.557393658091</v>
      </c>
      <c r="K110" s="580">
        <f t="shared" si="694"/>
        <v>67061.647715135099</v>
      </c>
      <c r="L110" s="580">
        <f t="shared" si="694"/>
        <v>65790.099156022741</v>
      </c>
      <c r="M110" s="580">
        <f t="shared" si="694"/>
        <v>64531.946015026289</v>
      </c>
      <c r="N110" s="580">
        <f t="shared" si="694"/>
        <v>63287.223644219404</v>
      </c>
      <c r="O110" s="580">
        <f t="shared" si="694"/>
        <v>62132.239003130082</v>
      </c>
      <c r="P110" s="580">
        <f t="shared" si="694"/>
        <v>60989.383385155474</v>
      </c>
      <c r="Q110" s="580">
        <f t="shared" si="694"/>
        <v>59858.882753463913</v>
      </c>
      <c r="R110" s="580">
        <f t="shared" si="694"/>
        <v>58740.637960953442</v>
      </c>
      <c r="S110" s="580">
        <f t="shared" si="694"/>
        <v>57634.709317197819</v>
      </c>
      <c r="T110" s="580">
        <f t="shared" si="694"/>
        <v>56483.612027851945</v>
      </c>
      <c r="U110" s="580">
        <f t="shared" si="694"/>
        <v>55345.79337254526</v>
      </c>
      <c r="V110" s="580">
        <f t="shared" si="694"/>
        <v>54221.317875818168</v>
      </c>
      <c r="W110" s="580">
        <f t="shared" si="694"/>
        <v>53110.252035048783</v>
      </c>
      <c r="X110" s="580">
        <f t="shared" si="694"/>
        <v>52012.664390728474</v>
      </c>
      <c r="Y110" s="580">
        <f t="shared" si="694"/>
        <v>50715.188376879683</v>
      </c>
      <c r="Z110" s="580">
        <f t="shared" si="694"/>
        <v>49434.989960784558</v>
      </c>
      <c r="AA110" s="580">
        <f t="shared" si="694"/>
        <v>48172.545920157238</v>
      </c>
      <c r="AB110" s="580">
        <f t="shared" si="694"/>
        <v>46927.447164485129</v>
      </c>
      <c r="AC110" s="580">
        <f t="shared" si="694"/>
        <v>45699.718846295902</v>
      </c>
      <c r="AD110" s="580">
        <f t="shared" si="694"/>
        <v>44492.661273816033</v>
      </c>
      <c r="AE110" s="580">
        <f t="shared" si="694"/>
        <v>43303.230949829653</v>
      </c>
      <c r="AF110" s="580">
        <f t="shared" si="694"/>
        <v>42131.448255625357</v>
      </c>
      <c r="AG110" s="580">
        <f t="shared" si="694"/>
        <v>40977.331518562234</v>
      </c>
      <c r="AH110" s="580">
        <f t="shared" si="694"/>
        <v>39840.896707576729</v>
      </c>
      <c r="AI110" s="580"/>
      <c r="AJ110" s="580">
        <f>AJ59+AJ65-(AJ59+AJ65)/SUM(AJ$59:AJ$61,AJ$65:AJ$67)*(AJ$105-AJ$109)</f>
        <v>76212.237311541205</v>
      </c>
      <c r="AK110" s="580">
        <f t="shared" ref="AK110:BN110" si="695">AK59+AK65-(AK59+AK65)/SUM(AK$59:AK$61,AK$65:AK$67)*(AK$105-AK$109)</f>
        <v>75354.253004388622</v>
      </c>
      <c r="AL110" s="580">
        <f t="shared" si="695"/>
        <v>74228.298820783704</v>
      </c>
      <c r="AM110" s="580">
        <f t="shared" si="695"/>
        <v>73106.113772449607</v>
      </c>
      <c r="AN110" s="580">
        <f t="shared" si="695"/>
        <v>71987.758578520967</v>
      </c>
      <c r="AO110" s="580">
        <f t="shared" si="695"/>
        <v>70873.294366358998</v>
      </c>
      <c r="AP110" s="580">
        <f t="shared" si="695"/>
        <v>69813.733179595816</v>
      </c>
      <c r="AQ110" s="580">
        <f t="shared" si="695"/>
        <v>68765.136740143367</v>
      </c>
      <c r="AR110" s="580">
        <f t="shared" si="695"/>
        <v>67727.529969216339</v>
      </c>
      <c r="AS110" s="580">
        <f t="shared" si="695"/>
        <v>66700.939386486134</v>
      </c>
      <c r="AT110" s="580">
        <f t="shared" si="695"/>
        <v>65685.393193374024</v>
      </c>
      <c r="AU110" s="580">
        <f t="shared" si="695"/>
        <v>64753.436974087228</v>
      </c>
      <c r="AV110" s="580">
        <f t="shared" si="695"/>
        <v>63830.523383425163</v>
      </c>
      <c r="AW110" s="580">
        <f t="shared" si="695"/>
        <v>62916.871615384138</v>
      </c>
      <c r="AX110" s="580">
        <f t="shared" si="695"/>
        <v>62012.376506391287</v>
      </c>
      <c r="AY110" s="580">
        <f t="shared" si="695"/>
        <v>61117.093027016956</v>
      </c>
      <c r="AZ110" s="580">
        <f t="shared" si="695"/>
        <v>60170.140757492911</v>
      </c>
      <c r="BA110" s="580">
        <f t="shared" si="695"/>
        <v>59232.931186449045</v>
      </c>
      <c r="BB110" s="580">
        <f t="shared" si="695"/>
        <v>58305.526269438393</v>
      </c>
      <c r="BC110" s="580">
        <f t="shared" si="695"/>
        <v>57387.990957745191</v>
      </c>
      <c r="BD110" s="580">
        <f t="shared" si="695"/>
        <v>56480.393356721528</v>
      </c>
      <c r="BE110" s="580">
        <f t="shared" si="695"/>
        <v>55373.962541166911</v>
      </c>
      <c r="BF110" s="580">
        <f t="shared" si="695"/>
        <v>54280.980831994268</v>
      </c>
      <c r="BG110" s="580">
        <f t="shared" si="695"/>
        <v>53201.93382459056</v>
      </c>
      <c r="BH110" s="580">
        <f t="shared" si="695"/>
        <v>52136.424475577325</v>
      </c>
      <c r="BI110" s="580">
        <f t="shared" si="695"/>
        <v>51084.492106166515</v>
      </c>
      <c r="BJ110" s="580">
        <f t="shared" si="695"/>
        <v>50049.448467032336</v>
      </c>
      <c r="BK110" s="580">
        <f t="shared" si="695"/>
        <v>49028.273844166579</v>
      </c>
      <c r="BL110" s="580">
        <f t="shared" si="695"/>
        <v>48021.0115890093</v>
      </c>
      <c r="BM110" s="580">
        <f t="shared" si="695"/>
        <v>47027.706595991047</v>
      </c>
      <c r="BN110" s="580">
        <f t="shared" si="695"/>
        <v>46048.405341833182</v>
      </c>
      <c r="BQ110" s="649"/>
      <c r="BR110" s="649"/>
      <c r="BS110" s="649"/>
      <c r="BT110" s="649"/>
      <c r="BU110" s="649"/>
      <c r="BV110" s="649"/>
      <c r="BW110" s="649"/>
      <c r="BX110" s="649"/>
      <c r="BY110" s="649"/>
      <c r="BZ110" s="649"/>
      <c r="CA110" s="649"/>
      <c r="CB110" s="649"/>
      <c r="CC110" s="649"/>
      <c r="CD110" s="649"/>
      <c r="CE110" s="649"/>
      <c r="CF110" s="649"/>
      <c r="CG110" s="649"/>
      <c r="CH110" s="649"/>
      <c r="CI110" s="649"/>
      <c r="CJ110" s="649"/>
      <c r="CK110" s="649"/>
      <c r="CL110" s="649"/>
    </row>
    <row r="111" spans="1:90">
      <c r="A111" s="603"/>
      <c r="B111" s="1" t="s">
        <v>1063</v>
      </c>
      <c r="C111" s="50" t="s">
        <v>1420</v>
      </c>
      <c r="D111" s="576">
        <f t="shared" ref="D111:S112" si="696">D60+D66-(D60+D66)/SUM(D$59:D$61,D$65:D$67)*(D$105-D$109)</f>
        <v>0</v>
      </c>
      <c r="E111" s="576">
        <f t="shared" si="696"/>
        <v>0</v>
      </c>
      <c r="F111" s="576">
        <f t="shared" si="696"/>
        <v>0</v>
      </c>
      <c r="G111" s="576">
        <f t="shared" si="696"/>
        <v>0</v>
      </c>
      <c r="H111" s="576">
        <f t="shared" si="696"/>
        <v>0</v>
      </c>
      <c r="I111" s="576">
        <f t="shared" si="696"/>
        <v>0</v>
      </c>
      <c r="J111" s="576">
        <f t="shared" si="696"/>
        <v>0</v>
      </c>
      <c r="K111" s="576">
        <f t="shared" si="696"/>
        <v>0</v>
      </c>
      <c r="L111" s="576">
        <f t="shared" si="696"/>
        <v>0</v>
      </c>
      <c r="M111" s="576">
        <f t="shared" si="696"/>
        <v>0</v>
      </c>
      <c r="N111" s="576">
        <f t="shared" si="696"/>
        <v>0</v>
      </c>
      <c r="O111" s="576">
        <f t="shared" si="696"/>
        <v>0</v>
      </c>
      <c r="P111" s="576">
        <f t="shared" si="696"/>
        <v>0</v>
      </c>
      <c r="Q111" s="576">
        <f t="shared" si="696"/>
        <v>0</v>
      </c>
      <c r="R111" s="576">
        <f t="shared" si="696"/>
        <v>0</v>
      </c>
      <c r="S111" s="576">
        <f t="shared" si="696"/>
        <v>0</v>
      </c>
      <c r="T111" s="576">
        <f t="shared" si="694"/>
        <v>0</v>
      </c>
      <c r="U111" s="576">
        <f t="shared" si="694"/>
        <v>0</v>
      </c>
      <c r="V111" s="576">
        <f t="shared" si="694"/>
        <v>0</v>
      </c>
      <c r="W111" s="576">
        <f t="shared" si="694"/>
        <v>0</v>
      </c>
      <c r="X111" s="576">
        <f t="shared" si="694"/>
        <v>0</v>
      </c>
      <c r="Y111" s="576">
        <f t="shared" si="694"/>
        <v>0</v>
      </c>
      <c r="Z111" s="576">
        <f t="shared" si="694"/>
        <v>0</v>
      </c>
      <c r="AA111" s="576">
        <f t="shared" si="694"/>
        <v>0</v>
      </c>
      <c r="AB111" s="576">
        <f t="shared" si="694"/>
        <v>0</v>
      </c>
      <c r="AC111" s="576">
        <f t="shared" si="694"/>
        <v>0</v>
      </c>
      <c r="AD111" s="576">
        <f t="shared" si="694"/>
        <v>0</v>
      </c>
      <c r="AE111" s="576">
        <f t="shared" si="694"/>
        <v>0</v>
      </c>
      <c r="AF111" s="576">
        <f t="shared" si="694"/>
        <v>0</v>
      </c>
      <c r="AG111" s="576">
        <f t="shared" si="694"/>
        <v>0</v>
      </c>
      <c r="AH111" s="576">
        <f t="shared" si="694"/>
        <v>0</v>
      </c>
      <c r="AI111" s="576"/>
      <c r="AJ111" s="576">
        <f t="shared" ref="AJ111:BN111" si="697">AJ60+AJ66-(AJ60+AJ66)/SUM(AJ$59:AJ$61,AJ$65:AJ$67)*(AJ$105-AJ$109)</f>
        <v>0</v>
      </c>
      <c r="AK111" s="576">
        <f t="shared" si="697"/>
        <v>0</v>
      </c>
      <c r="AL111" s="576">
        <f t="shared" si="697"/>
        <v>0</v>
      </c>
      <c r="AM111" s="576">
        <f t="shared" si="697"/>
        <v>0</v>
      </c>
      <c r="AN111" s="576">
        <f t="shared" si="697"/>
        <v>0</v>
      </c>
      <c r="AO111" s="576">
        <f t="shared" si="697"/>
        <v>0</v>
      </c>
      <c r="AP111" s="576">
        <f t="shared" si="697"/>
        <v>0</v>
      </c>
      <c r="AQ111" s="576">
        <f t="shared" si="697"/>
        <v>0</v>
      </c>
      <c r="AR111" s="576">
        <f t="shared" si="697"/>
        <v>0</v>
      </c>
      <c r="AS111" s="576">
        <f t="shared" si="697"/>
        <v>0</v>
      </c>
      <c r="AT111" s="576">
        <f t="shared" si="697"/>
        <v>0</v>
      </c>
      <c r="AU111" s="576">
        <f t="shared" si="697"/>
        <v>0</v>
      </c>
      <c r="AV111" s="576">
        <f t="shared" si="697"/>
        <v>0</v>
      </c>
      <c r="AW111" s="576">
        <f t="shared" si="697"/>
        <v>0</v>
      </c>
      <c r="AX111" s="576">
        <f t="shared" si="697"/>
        <v>0</v>
      </c>
      <c r="AY111" s="576">
        <f t="shared" si="697"/>
        <v>0</v>
      </c>
      <c r="AZ111" s="576">
        <f t="shared" si="697"/>
        <v>0</v>
      </c>
      <c r="BA111" s="576">
        <f t="shared" si="697"/>
        <v>0</v>
      </c>
      <c r="BB111" s="576">
        <f t="shared" si="697"/>
        <v>0</v>
      </c>
      <c r="BC111" s="576">
        <f t="shared" si="697"/>
        <v>0</v>
      </c>
      <c r="BD111" s="576">
        <f t="shared" si="697"/>
        <v>0</v>
      </c>
      <c r="BE111" s="576">
        <f t="shared" si="697"/>
        <v>0</v>
      </c>
      <c r="BF111" s="576">
        <f t="shared" si="697"/>
        <v>0</v>
      </c>
      <c r="BG111" s="576">
        <f t="shared" si="697"/>
        <v>0</v>
      </c>
      <c r="BH111" s="576">
        <f t="shared" si="697"/>
        <v>0</v>
      </c>
      <c r="BI111" s="576">
        <f t="shared" si="697"/>
        <v>0</v>
      </c>
      <c r="BJ111" s="576">
        <f t="shared" si="697"/>
        <v>0</v>
      </c>
      <c r="BK111" s="576">
        <f t="shared" si="697"/>
        <v>0</v>
      </c>
      <c r="BL111" s="576">
        <f t="shared" si="697"/>
        <v>0</v>
      </c>
      <c r="BM111" s="576">
        <f t="shared" si="697"/>
        <v>0</v>
      </c>
      <c r="BN111" s="576">
        <f t="shared" si="697"/>
        <v>0</v>
      </c>
    </row>
    <row r="112" spans="1:90" s="62" customFormat="1">
      <c r="A112" s="604"/>
      <c r="B112" s="58" t="s">
        <v>27</v>
      </c>
      <c r="C112" s="233" t="s">
        <v>1420</v>
      </c>
      <c r="D112" s="579">
        <f t="shared" si="696"/>
        <v>1007225.4772964659</v>
      </c>
      <c r="E112" s="579">
        <f t="shared" si="694"/>
        <v>989003.36552781495</v>
      </c>
      <c r="F112" s="579">
        <f t="shared" si="694"/>
        <v>970676.96914024849</v>
      </c>
      <c r="G112" s="579">
        <f t="shared" si="694"/>
        <v>952423.9448424225</v>
      </c>
      <c r="H112" s="579">
        <f t="shared" si="694"/>
        <v>934244.98785938416</v>
      </c>
      <c r="I112" s="579">
        <f t="shared" si="694"/>
        <v>916140.79088491795</v>
      </c>
      <c r="J112" s="579">
        <f t="shared" si="694"/>
        <v>898782.1246565152</v>
      </c>
      <c r="K112" s="579">
        <f t="shared" si="694"/>
        <v>881590.56001148513</v>
      </c>
      <c r="L112" s="579">
        <f t="shared" si="694"/>
        <v>864566.16143828572</v>
      </c>
      <c r="M112" s="579">
        <f t="shared" si="694"/>
        <v>847708.99379708385</v>
      </c>
      <c r="N112" s="579">
        <f t="shared" si="694"/>
        <v>831019.12258412421</v>
      </c>
      <c r="O112" s="579">
        <f t="shared" si="694"/>
        <v>815489.73082971084</v>
      </c>
      <c r="P112" s="579">
        <f t="shared" si="694"/>
        <v>800107.93085057056</v>
      </c>
      <c r="Q112" s="579">
        <f t="shared" si="694"/>
        <v>784876.10972581047</v>
      </c>
      <c r="R112" s="579">
        <f t="shared" si="694"/>
        <v>769792.36499036266</v>
      </c>
      <c r="S112" s="579">
        <f t="shared" si="694"/>
        <v>754856.86201187607</v>
      </c>
      <c r="T112" s="579">
        <f t="shared" si="694"/>
        <v>739309.98571907962</v>
      </c>
      <c r="U112" s="579">
        <f t="shared" si="694"/>
        <v>723922.90669754171</v>
      </c>
      <c r="V112" s="579">
        <f t="shared" si="694"/>
        <v>708695.79107044346</v>
      </c>
      <c r="W112" s="579">
        <f t="shared" si="694"/>
        <v>693628.80552176072</v>
      </c>
      <c r="X112" s="579">
        <f t="shared" si="694"/>
        <v>678722.11770249414</v>
      </c>
      <c r="Y112" s="579">
        <f t="shared" si="694"/>
        <v>661186.76504011452</v>
      </c>
      <c r="Z112" s="579">
        <f t="shared" si="694"/>
        <v>643864.3947689234</v>
      </c>
      <c r="AA112" s="579">
        <f t="shared" si="694"/>
        <v>626760.79430693586</v>
      </c>
      <c r="AB112" s="579">
        <f t="shared" si="694"/>
        <v>609870.22031324171</v>
      </c>
      <c r="AC112" s="579">
        <f t="shared" si="694"/>
        <v>593192.60205771716</v>
      </c>
      <c r="AD112" s="579">
        <f t="shared" si="694"/>
        <v>576770.34002930438</v>
      </c>
      <c r="AE112" s="579">
        <f t="shared" si="694"/>
        <v>560563.49338822265</v>
      </c>
      <c r="AF112" s="579">
        <f t="shared" si="694"/>
        <v>544571.95916326158</v>
      </c>
      <c r="AG112" s="579">
        <f t="shared" si="694"/>
        <v>528795.6316562373</v>
      </c>
      <c r="AH112" s="579">
        <f t="shared" si="694"/>
        <v>513234.403321978</v>
      </c>
      <c r="AI112" s="579"/>
      <c r="AJ112" s="579">
        <f t="shared" ref="AJ112:BN112" si="698">AJ61+AJ67-(AJ61+AJ67)/SUM(AJ$59:AJ$61,AJ$65:AJ$67)*(AJ$105-AJ$109)</f>
        <v>1007225.4772964659</v>
      </c>
      <c r="AK112" s="579">
        <f t="shared" si="698"/>
        <v>992311.88333381619</v>
      </c>
      <c r="AL112" s="579">
        <f t="shared" si="698"/>
        <v>977263.2345914453</v>
      </c>
      <c r="AM112" s="579">
        <f t="shared" si="698"/>
        <v>962257.01229967386</v>
      </c>
      <c r="AN112" s="579">
        <f t="shared" si="698"/>
        <v>947293.73743559234</v>
      </c>
      <c r="AO112" s="579">
        <f t="shared" si="698"/>
        <v>932373.9296170153</v>
      </c>
      <c r="AP112" s="579">
        <f t="shared" si="698"/>
        <v>918168.1923680756</v>
      </c>
      <c r="AQ112" s="579">
        <f t="shared" si="698"/>
        <v>904097.92402143101</v>
      </c>
      <c r="AR112" s="579">
        <f t="shared" si="698"/>
        <v>890163.02007388161</v>
      </c>
      <c r="AS112" s="579">
        <f t="shared" si="698"/>
        <v>876363.37746372889</v>
      </c>
      <c r="AT112" s="579">
        <f t="shared" si="698"/>
        <v>862698.89477517188</v>
      </c>
      <c r="AU112" s="579">
        <f t="shared" si="698"/>
        <v>850113.5240770455</v>
      </c>
      <c r="AV112" s="579">
        <f t="shared" si="698"/>
        <v>837634.3617757801</v>
      </c>
      <c r="AW112" s="579">
        <f t="shared" si="698"/>
        <v>825263.63248624478</v>
      </c>
      <c r="AX112" s="579">
        <f t="shared" si="698"/>
        <v>812999.27210815239</v>
      </c>
      <c r="AY112" s="579">
        <f t="shared" si="698"/>
        <v>800841.28526435804</v>
      </c>
      <c r="AZ112" s="579">
        <f t="shared" si="698"/>
        <v>787985.03791886859</v>
      </c>
      <c r="BA112" s="579">
        <f t="shared" si="698"/>
        <v>775240.79226219025</v>
      </c>
      <c r="BB112" s="579">
        <f t="shared" si="698"/>
        <v>762608.55552457145</v>
      </c>
      <c r="BC112" s="579">
        <f t="shared" si="698"/>
        <v>750088.33598790097</v>
      </c>
      <c r="BD112" s="579">
        <f t="shared" si="698"/>
        <v>737680.14329061902</v>
      </c>
      <c r="BE112" s="579">
        <f t="shared" si="698"/>
        <v>722653.06734679267</v>
      </c>
      <c r="BF112" s="579">
        <f t="shared" si="698"/>
        <v>707785.94514728873</v>
      </c>
      <c r="BG112" s="579">
        <f t="shared" si="698"/>
        <v>693084.39637129835</v>
      </c>
      <c r="BH112" s="579">
        <f t="shared" si="698"/>
        <v>678542.50820368016</v>
      </c>
      <c r="BI112" s="579">
        <f t="shared" si="698"/>
        <v>664160.03979947674</v>
      </c>
      <c r="BJ112" s="579">
        <f t="shared" si="698"/>
        <v>649979.22572698619</v>
      </c>
      <c r="BK112" s="579">
        <f t="shared" si="698"/>
        <v>635959.94834009209</v>
      </c>
      <c r="BL112" s="579">
        <f t="shared" si="698"/>
        <v>622101.93011659384</v>
      </c>
      <c r="BM112" s="579">
        <f t="shared" si="698"/>
        <v>608404.88864001783</v>
      </c>
      <c r="BN112" s="579">
        <f t="shared" si="698"/>
        <v>594868.53712324519</v>
      </c>
      <c r="BQ112" s="623"/>
      <c r="BR112" s="623"/>
      <c r="BS112" s="623"/>
      <c r="BT112" s="623"/>
      <c r="BU112" s="623"/>
      <c r="BV112" s="623"/>
      <c r="BW112" s="623"/>
      <c r="BX112" s="623"/>
      <c r="BY112" s="623"/>
      <c r="BZ112" s="623"/>
      <c r="CA112" s="623"/>
      <c r="CB112" s="623"/>
      <c r="CC112" s="623"/>
      <c r="CD112" s="623"/>
      <c r="CE112" s="623"/>
      <c r="CF112" s="623"/>
      <c r="CG112" s="623"/>
      <c r="CH112" s="623"/>
      <c r="CI112" s="623"/>
      <c r="CJ112" s="623"/>
      <c r="CK112" s="623"/>
      <c r="CL112" s="623"/>
    </row>
    <row r="113" spans="1:90">
      <c r="A113" s="54" t="s">
        <v>78</v>
      </c>
      <c r="B113" s="54" t="s">
        <v>264</v>
      </c>
      <c r="C113" s="93" t="s">
        <v>1420</v>
      </c>
      <c r="D113" s="572">
        <f t="shared" ref="D113:AG113" si="699">D78+D98+D99+D107+D108+IF(D91&lt;0,0,D91)+D100</f>
        <v>0</v>
      </c>
      <c r="E113" s="572">
        <f t="shared" si="699"/>
        <v>330.36431928656498</v>
      </c>
      <c r="F113" s="572">
        <f t="shared" si="699"/>
        <v>682.71393867447853</v>
      </c>
      <c r="G113" s="572">
        <f t="shared" si="699"/>
        <v>1056.0453532837034</v>
      </c>
      <c r="H113" s="572">
        <f t="shared" si="699"/>
        <v>1449.3632623904602</v>
      </c>
      <c r="I113" s="572">
        <f t="shared" si="699"/>
        <v>1861.680525370929</v>
      </c>
      <c r="J113" s="572">
        <f t="shared" si="699"/>
        <v>2292.0172640923652</v>
      </c>
      <c r="K113" s="572">
        <f t="shared" si="699"/>
        <v>2739.402820879654</v>
      </c>
      <c r="L113" s="572">
        <f t="shared" si="699"/>
        <v>3202.8741272823563</v>
      </c>
      <c r="M113" s="572">
        <f t="shared" si="699"/>
        <v>3681.4760870019863</v>
      </c>
      <c r="N113" s="572">
        <f t="shared" si="699"/>
        <v>4174.2615329450418</v>
      </c>
      <c r="O113" s="572">
        <f t="shared" si="699"/>
        <v>4545.6379931663578</v>
      </c>
      <c r="P113" s="572">
        <f t="shared" si="699"/>
        <v>4910.3206340044644</v>
      </c>
      <c r="Q113" s="572">
        <f t="shared" si="699"/>
        <v>5261.2458847511034</v>
      </c>
      <c r="R113" s="572">
        <f t="shared" si="699"/>
        <v>5604.1812143418229</v>
      </c>
      <c r="S113" s="572">
        <f t="shared" si="699"/>
        <v>5938.7207631964247</v>
      </c>
      <c r="T113" s="572">
        <f t="shared" si="699"/>
        <v>6264.4715082108532</v>
      </c>
      <c r="U113" s="572">
        <f t="shared" si="699"/>
        <v>6581.0488502687549</v>
      </c>
      <c r="V113" s="572">
        <f t="shared" si="699"/>
        <v>6888.0806555488134</v>
      </c>
      <c r="W113" s="572">
        <f t="shared" si="699"/>
        <v>7185.2060155129448</v>
      </c>
      <c r="X113" s="572">
        <f t="shared" si="699"/>
        <v>7472.0752447083059</v>
      </c>
      <c r="Y113" s="572">
        <f t="shared" si="699"/>
        <v>7773.759817348031</v>
      </c>
      <c r="Z113" s="572">
        <f t="shared" si="699"/>
        <v>8062.8939092156243</v>
      </c>
      <c r="AA113" s="572">
        <f t="shared" si="699"/>
        <v>8321.7291405601227</v>
      </c>
      <c r="AB113" s="572">
        <f t="shared" si="699"/>
        <v>8567.0362632994074</v>
      </c>
      <c r="AC113" s="572">
        <f t="shared" si="699"/>
        <v>8798.6527398830003</v>
      </c>
      <c r="AD113" s="572">
        <f t="shared" si="699"/>
        <v>9016.4631228593662</v>
      </c>
      <c r="AE113" s="572">
        <f t="shared" si="699"/>
        <v>9220.4066447497098</v>
      </c>
      <c r="AF113" s="572">
        <f t="shared" si="699"/>
        <v>9410.4713360927781</v>
      </c>
      <c r="AG113" s="572">
        <f t="shared" si="699"/>
        <v>9586.6966544719126</v>
      </c>
      <c r="AH113" s="572">
        <f>AH78+AH98+AH99+AH107+AH108+IF(AH91&lt;0,0,AH91)+AH100</f>
        <v>9749.1740766007242</v>
      </c>
      <c r="AI113" s="99"/>
      <c r="AJ113" s="572">
        <f t="shared" ref="AJ113:BM113" si="700">AJ78+AJ98+AJ99+AJ107+AJ108+IF(AJ91&lt;0,0,AJ91)+AJ100</f>
        <v>0</v>
      </c>
      <c r="AK113" s="572">
        <f t="shared" si="700"/>
        <v>330.36431928656498</v>
      </c>
      <c r="AL113" s="572">
        <f t="shared" si="700"/>
        <v>682.71393867447853</v>
      </c>
      <c r="AM113" s="572">
        <f t="shared" si="700"/>
        <v>1056.0453532837034</v>
      </c>
      <c r="AN113" s="572">
        <f t="shared" si="700"/>
        <v>1449.3632623904602</v>
      </c>
      <c r="AO113" s="572">
        <f t="shared" si="700"/>
        <v>1861.680525370929</v>
      </c>
      <c r="AP113" s="572">
        <f t="shared" si="700"/>
        <v>2292.0172640923652</v>
      </c>
      <c r="AQ113" s="572">
        <f t="shared" si="700"/>
        <v>2739.402820879654</v>
      </c>
      <c r="AR113" s="572">
        <f t="shared" si="700"/>
        <v>3202.8741272823563</v>
      </c>
      <c r="AS113" s="572">
        <f t="shared" si="700"/>
        <v>3681.4760870019863</v>
      </c>
      <c r="AT113" s="572">
        <f t="shared" si="700"/>
        <v>4174.2615329450418</v>
      </c>
      <c r="AU113" s="572">
        <f t="shared" si="700"/>
        <v>4545.6379931663578</v>
      </c>
      <c r="AV113" s="572">
        <f t="shared" si="700"/>
        <v>4910.3206340044644</v>
      </c>
      <c r="AW113" s="572">
        <f t="shared" si="700"/>
        <v>5261.2458847511034</v>
      </c>
      <c r="AX113" s="572">
        <f t="shared" si="700"/>
        <v>5604.1812143418229</v>
      </c>
      <c r="AY113" s="572">
        <f t="shared" si="700"/>
        <v>5938.7207631964247</v>
      </c>
      <c r="AZ113" s="572">
        <f t="shared" si="700"/>
        <v>6264.4715082108532</v>
      </c>
      <c r="BA113" s="572">
        <f t="shared" si="700"/>
        <v>6581.0488502687549</v>
      </c>
      <c r="BB113" s="572">
        <f t="shared" si="700"/>
        <v>6888.0806555488134</v>
      </c>
      <c r="BC113" s="572">
        <f t="shared" si="700"/>
        <v>7185.2060155129448</v>
      </c>
      <c r="BD113" s="572">
        <f t="shared" si="700"/>
        <v>7472.0752447083059</v>
      </c>
      <c r="BE113" s="572">
        <f t="shared" si="700"/>
        <v>7773.759817348031</v>
      </c>
      <c r="BF113" s="572">
        <f t="shared" si="700"/>
        <v>8062.8939092156243</v>
      </c>
      <c r="BG113" s="572">
        <f t="shared" si="700"/>
        <v>8321.7291405601227</v>
      </c>
      <c r="BH113" s="572">
        <f t="shared" si="700"/>
        <v>8567.0362632994074</v>
      </c>
      <c r="BI113" s="572">
        <f t="shared" si="700"/>
        <v>8798.6527398830003</v>
      </c>
      <c r="BJ113" s="572">
        <f t="shared" si="700"/>
        <v>9016.4631228593662</v>
      </c>
      <c r="BK113" s="572">
        <f t="shared" si="700"/>
        <v>9220.4066447497098</v>
      </c>
      <c r="BL113" s="572">
        <f t="shared" si="700"/>
        <v>9410.4713360927781</v>
      </c>
      <c r="BM113" s="572">
        <f t="shared" si="700"/>
        <v>9586.6966544719126</v>
      </c>
      <c r="BN113" s="572">
        <f>BN78+BN98+BN99+BN107+BN108+IF(BN91&lt;0,0,BN91)+BN100</f>
        <v>9749.1740766007242</v>
      </c>
    </row>
    <row r="114" spans="1:90">
      <c r="A114" s="62"/>
      <c r="B114" s="58" t="s">
        <v>265</v>
      </c>
      <c r="C114" s="59" t="s">
        <v>1420</v>
      </c>
      <c r="D114" s="577">
        <f t="shared" ref="D114:AG114" si="701">D77+D84+D97+D106+IF(D92=0,0,D90)</f>
        <v>0</v>
      </c>
      <c r="E114" s="577">
        <f t="shared" si="701"/>
        <v>7810.7692953719416</v>
      </c>
      <c r="F114" s="577">
        <f t="shared" si="701"/>
        <v>15639.651127227433</v>
      </c>
      <c r="G114" s="577">
        <f t="shared" si="701"/>
        <v>23487.039421527639</v>
      </c>
      <c r="H114" s="577">
        <f t="shared" si="701"/>
        <v>31353.323758486378</v>
      </c>
      <c r="I114" s="577">
        <f t="shared" si="701"/>
        <v>39238.889398460902</v>
      </c>
      <c r="J114" s="577">
        <f t="shared" si="701"/>
        <v>46423.08092895415</v>
      </c>
      <c r="K114" s="577">
        <f t="shared" si="701"/>
        <v>53529.394887774528</v>
      </c>
      <c r="L114" s="577">
        <f t="shared" si="701"/>
        <v>60558.862596367071</v>
      </c>
      <c r="M114" s="577">
        <f t="shared" si="701"/>
        <v>67512.508219913638</v>
      </c>
      <c r="N114" s="577">
        <f t="shared" si="701"/>
        <v>74391.348803581903</v>
      </c>
      <c r="O114" s="577">
        <f t="shared" si="701"/>
        <v>78773.923361688532</v>
      </c>
      <c r="P114" s="577">
        <f t="shared" si="701"/>
        <v>83120.295469802004</v>
      </c>
      <c r="Q114" s="577">
        <f t="shared" si="701"/>
        <v>87426.554404529757</v>
      </c>
      <c r="R114" s="577">
        <f t="shared" si="701"/>
        <v>91696.144167058927</v>
      </c>
      <c r="S114" s="577">
        <f t="shared" si="701"/>
        <v>95929.256533428997</v>
      </c>
      <c r="T114" s="577">
        <f t="shared" si="701"/>
        <v>100126.07577575861</v>
      </c>
      <c r="U114" s="577">
        <f t="shared" si="701"/>
        <v>104286.77424114638</v>
      </c>
      <c r="V114" s="577">
        <f t="shared" si="701"/>
        <v>108411.51638584807</v>
      </c>
      <c r="W114" s="577">
        <f t="shared" si="701"/>
        <v>112500.45752960171</v>
      </c>
      <c r="X114" s="577">
        <f t="shared" si="701"/>
        <v>116553.74384921791</v>
      </c>
      <c r="Y114" s="577">
        <f t="shared" si="701"/>
        <v>123248.81201455661</v>
      </c>
      <c r="Z114" s="577">
        <f t="shared" si="701"/>
        <v>129887.70435261076</v>
      </c>
      <c r="AA114" s="577">
        <f t="shared" si="701"/>
        <v>136441.07580537803</v>
      </c>
      <c r="AB114" s="577">
        <f t="shared" si="701"/>
        <v>142932.30972574584</v>
      </c>
      <c r="AC114" s="577">
        <f t="shared" si="701"/>
        <v>149360.89810295714</v>
      </c>
      <c r="AD114" s="577">
        <f t="shared" si="701"/>
        <v>155680.52622089593</v>
      </c>
      <c r="AE114" s="577">
        <f t="shared" si="701"/>
        <v>161933.5110127214</v>
      </c>
      <c r="AF114" s="577">
        <f t="shared" si="701"/>
        <v>168119.20761689096</v>
      </c>
      <c r="AG114" s="577">
        <f t="shared" si="701"/>
        <v>174236.91791852267</v>
      </c>
      <c r="AH114" s="577">
        <f>AH77+AH84+AH97+AH106+IF(AH92=0,0,AH90)</f>
        <v>180285.8900173514</v>
      </c>
      <c r="AI114" s="99"/>
      <c r="AJ114" s="577">
        <f t="shared" ref="AJ114:BM114" si="702">AJ77+AJ84+AJ97+AJ106+IF(AJ92=0,0,AJ90)</f>
        <v>0</v>
      </c>
      <c r="AK114" s="577">
        <f t="shared" si="702"/>
        <v>7810.7692953719416</v>
      </c>
      <c r="AL114" s="577">
        <f t="shared" si="702"/>
        <v>15639.651127227433</v>
      </c>
      <c r="AM114" s="577">
        <f t="shared" si="702"/>
        <v>23487.039421527639</v>
      </c>
      <c r="AN114" s="577">
        <f t="shared" si="702"/>
        <v>31353.323758486378</v>
      </c>
      <c r="AO114" s="577">
        <f t="shared" si="702"/>
        <v>39238.889398460902</v>
      </c>
      <c r="AP114" s="577">
        <f t="shared" si="702"/>
        <v>46423.08092895415</v>
      </c>
      <c r="AQ114" s="577">
        <f t="shared" si="702"/>
        <v>53529.394887774528</v>
      </c>
      <c r="AR114" s="577">
        <f t="shared" si="702"/>
        <v>60558.862596367071</v>
      </c>
      <c r="AS114" s="577">
        <f t="shared" si="702"/>
        <v>67512.508219913638</v>
      </c>
      <c r="AT114" s="577">
        <f t="shared" si="702"/>
        <v>74391.348803581903</v>
      </c>
      <c r="AU114" s="577">
        <f t="shared" si="702"/>
        <v>78773.923361688532</v>
      </c>
      <c r="AV114" s="577">
        <f t="shared" si="702"/>
        <v>83120.295469802004</v>
      </c>
      <c r="AW114" s="577">
        <f t="shared" si="702"/>
        <v>87426.554404529757</v>
      </c>
      <c r="AX114" s="577">
        <f t="shared" si="702"/>
        <v>91696.144167058927</v>
      </c>
      <c r="AY114" s="577">
        <f t="shared" si="702"/>
        <v>95929.256533428997</v>
      </c>
      <c r="AZ114" s="577">
        <f t="shared" si="702"/>
        <v>100126.07577575861</v>
      </c>
      <c r="BA114" s="577">
        <f t="shared" si="702"/>
        <v>104286.77424114638</v>
      </c>
      <c r="BB114" s="577">
        <f t="shared" si="702"/>
        <v>108411.51638584807</v>
      </c>
      <c r="BC114" s="577">
        <f t="shared" si="702"/>
        <v>112500.45752960171</v>
      </c>
      <c r="BD114" s="577">
        <f t="shared" si="702"/>
        <v>116553.74384921791</v>
      </c>
      <c r="BE114" s="577">
        <f t="shared" si="702"/>
        <v>123248.81201455661</v>
      </c>
      <c r="BF114" s="577">
        <f t="shared" si="702"/>
        <v>129887.70435261076</v>
      </c>
      <c r="BG114" s="577">
        <f t="shared" si="702"/>
        <v>136441.07580537803</v>
      </c>
      <c r="BH114" s="577">
        <f t="shared" si="702"/>
        <v>142932.30972574584</v>
      </c>
      <c r="BI114" s="577">
        <f t="shared" si="702"/>
        <v>149360.89810295714</v>
      </c>
      <c r="BJ114" s="577">
        <f t="shared" si="702"/>
        <v>155680.52622089593</v>
      </c>
      <c r="BK114" s="577">
        <f t="shared" si="702"/>
        <v>161933.5110127214</v>
      </c>
      <c r="BL114" s="577">
        <f t="shared" si="702"/>
        <v>168119.20761689096</v>
      </c>
      <c r="BM114" s="577">
        <f t="shared" si="702"/>
        <v>174236.91791852267</v>
      </c>
      <c r="BN114" s="577">
        <f>BN77+BN84+BN97+BN106+IF(BN92=0,0,BN90)</f>
        <v>180285.8900173514</v>
      </c>
    </row>
    <row r="115" spans="1:90">
      <c r="A115" s="95" t="s">
        <v>830</v>
      </c>
      <c r="B115" s="95"/>
      <c r="C115" s="96" t="s">
        <v>1420</v>
      </c>
      <c r="D115" s="583">
        <f t="shared" ref="D115:AH115" si="703">D71-D113-D114</f>
        <v>1472760.9288230378</v>
      </c>
      <c r="E115" s="583">
        <f t="shared" si="703"/>
        <v>1447077.4831605698</v>
      </c>
      <c r="F115" s="583">
        <f t="shared" si="703"/>
        <v>1421014.5304290564</v>
      </c>
      <c r="G115" s="583">
        <f t="shared" si="703"/>
        <v>1395021.3497923294</v>
      </c>
      <c r="H115" s="583">
        <f t="shared" si="703"/>
        <v>1369098.5830177718</v>
      </c>
      <c r="I115" s="583">
        <f t="shared" si="703"/>
        <v>1343246.8720560838</v>
      </c>
      <c r="J115" s="583">
        <f t="shared" si="703"/>
        <v>1318187.8965075333</v>
      </c>
      <c r="K115" s="583">
        <f t="shared" si="703"/>
        <v>1293299.1792681369</v>
      </c>
      <c r="L115" s="583">
        <f t="shared" si="703"/>
        <v>1268580.7055671704</v>
      </c>
      <c r="M115" s="583">
        <f t="shared" si="703"/>
        <v>1244032.4647767337</v>
      </c>
      <c r="N115" s="583">
        <f t="shared" si="703"/>
        <v>1219654.4506847381</v>
      </c>
      <c r="O115" s="583">
        <f t="shared" si="703"/>
        <v>1195432.6365558545</v>
      </c>
      <c r="P115" s="583">
        <f t="shared" si="703"/>
        <v>1171383.4122294469</v>
      </c>
      <c r="Q115" s="583">
        <f t="shared" si="703"/>
        <v>1147517.9956345323</v>
      </c>
      <c r="R115" s="583">
        <f t="shared" si="703"/>
        <v>1123827.422286809</v>
      </c>
      <c r="S115" s="583">
        <f t="shared" si="703"/>
        <v>1100312.1569942087</v>
      </c>
      <c r="T115" s="583">
        <f t="shared" si="703"/>
        <v>1076155.3365938507</v>
      </c>
      <c r="U115" s="583">
        <f t="shared" si="703"/>
        <v>1052186.8220751712</v>
      </c>
      <c r="V115" s="583">
        <f t="shared" si="703"/>
        <v>1028407.0855715509</v>
      </c>
      <c r="W115" s="583">
        <f t="shared" si="703"/>
        <v>1004816.6026120131</v>
      </c>
      <c r="X115" s="583">
        <f t="shared" si="703"/>
        <v>981415.85262076813</v>
      </c>
      <c r="Y115" s="583">
        <f t="shared" si="703"/>
        <v>952744.24304065912</v>
      </c>
      <c r="Z115" s="583">
        <f t="shared" si="703"/>
        <v>924321.87473893724</v>
      </c>
      <c r="AA115" s="583">
        <f t="shared" si="703"/>
        <v>896195.90602339373</v>
      </c>
      <c r="AB115" s="583">
        <f t="shared" si="703"/>
        <v>868326.25767185492</v>
      </c>
      <c r="AC115" s="583">
        <f t="shared" si="703"/>
        <v>840713.68574179744</v>
      </c>
      <c r="AD115" s="583">
        <f t="shared" si="703"/>
        <v>813404.71717844659</v>
      </c>
      <c r="AE115" s="583">
        <f t="shared" si="703"/>
        <v>786357.20455001108</v>
      </c>
      <c r="AF115" s="583">
        <f t="shared" si="703"/>
        <v>759571.9260890435</v>
      </c>
      <c r="AG115" s="583">
        <f t="shared" si="703"/>
        <v>733049.67527515558</v>
      </c>
      <c r="AH115" s="583">
        <f t="shared" si="703"/>
        <v>706791.26156785968</v>
      </c>
      <c r="AI115" s="99"/>
      <c r="AJ115" s="583">
        <f t="shared" ref="AJ115:BN115" si="704">AJ71-AJ113-AJ114</f>
        <v>1472760.9288230378</v>
      </c>
      <c r="AK115" s="583">
        <f t="shared" si="704"/>
        <v>1452433.7029579291</v>
      </c>
      <c r="AL115" s="583">
        <f t="shared" si="704"/>
        <v>1431670.1818908586</v>
      </c>
      <c r="AM115" s="583">
        <f t="shared" si="704"/>
        <v>1410919.6926646195</v>
      </c>
      <c r="AN115" s="583">
        <f t="shared" si="704"/>
        <v>1390182.9246112115</v>
      </c>
      <c r="AO115" s="583">
        <f t="shared" si="704"/>
        <v>1369460.5669332079</v>
      </c>
      <c r="AP115" s="583">
        <f t="shared" si="704"/>
        <v>1349474.3461716035</v>
      </c>
      <c r="AQ115" s="583">
        <f t="shared" si="704"/>
        <v>1329601.8318535883</v>
      </c>
      <c r="AR115" s="583">
        <f t="shared" si="704"/>
        <v>1309843.0555316501</v>
      </c>
      <c r="AS115" s="583">
        <f t="shared" si="704"/>
        <v>1290198.0525947216</v>
      </c>
      <c r="AT115" s="583">
        <f t="shared" si="704"/>
        <v>1270666.8625427529</v>
      </c>
      <c r="AU115" s="583">
        <f t="shared" si="704"/>
        <v>1251880.1672376143</v>
      </c>
      <c r="AV115" s="583">
        <f t="shared" si="704"/>
        <v>1233198.5589554927</v>
      </c>
      <c r="AW115" s="583">
        <f t="shared" si="704"/>
        <v>1214633.2317781167</v>
      </c>
      <c r="AX115" s="583">
        <f t="shared" si="704"/>
        <v>1196175.198504115</v>
      </c>
      <c r="AY115" s="583">
        <f t="shared" si="704"/>
        <v>1177824.9023367974</v>
      </c>
      <c r="AZ115" s="583">
        <f t="shared" si="704"/>
        <v>1158717.2095430177</v>
      </c>
      <c r="BA115" s="583">
        <f t="shared" si="704"/>
        <v>1139724.1804829882</v>
      </c>
      <c r="BB115" s="583">
        <f t="shared" si="704"/>
        <v>1120846.2689183105</v>
      </c>
      <c r="BC115" s="583">
        <f t="shared" si="704"/>
        <v>1102083.9330497137</v>
      </c>
      <c r="BD115" s="583">
        <f t="shared" si="704"/>
        <v>1083437.6359998756</v>
      </c>
      <c r="BE115" s="583">
        <f t="shared" si="704"/>
        <v>1060488.1200450519</v>
      </c>
      <c r="BF115" s="583">
        <f t="shared" si="704"/>
        <v>1037697.503723138</v>
      </c>
      <c r="BG115" s="583">
        <f t="shared" si="704"/>
        <v>1015113.0330271287</v>
      </c>
      <c r="BH115" s="583">
        <f t="shared" si="704"/>
        <v>992694.71661372809</v>
      </c>
      <c r="BI115" s="583">
        <f t="shared" si="704"/>
        <v>970443.39860245015</v>
      </c>
      <c r="BJ115" s="583">
        <f t="shared" si="704"/>
        <v>948405.69417336385</v>
      </c>
      <c r="BK115" s="583">
        <f t="shared" si="704"/>
        <v>926539.54429213749</v>
      </c>
      <c r="BL115" s="583">
        <f t="shared" si="704"/>
        <v>904845.81574136321</v>
      </c>
      <c r="BM115" s="583">
        <f t="shared" si="704"/>
        <v>883325.39069339633</v>
      </c>
      <c r="BN115" s="583">
        <f t="shared" si="704"/>
        <v>861979.16743347188</v>
      </c>
      <c r="BO115" s="40"/>
    </row>
    <row r="116" spans="1:90" s="61" customFormat="1">
      <c r="A116" s="602"/>
      <c r="B116" s="54" t="s">
        <v>804</v>
      </c>
      <c r="C116" s="55" t="s">
        <v>1420</v>
      </c>
      <c r="D116" s="580">
        <f>D80+D86+D93+D102+D110</f>
        <v>103598.39231850725</v>
      </c>
      <c r="E116" s="580">
        <f t="shared" ref="E116:AH116" si="705">E80+E86+E93+E102+E110</f>
        <v>102001.91093587238</v>
      </c>
      <c r="F116" s="580">
        <f t="shared" si="705"/>
        <v>100131.24898881766</v>
      </c>
      <c r="G116" s="580">
        <f t="shared" si="705"/>
        <v>98258.298065988245</v>
      </c>
      <c r="H116" s="580">
        <f t="shared" si="705"/>
        <v>96383.270412359328</v>
      </c>
      <c r="I116" s="580">
        <f t="shared" si="705"/>
        <v>94506.377586427814</v>
      </c>
      <c r="J116" s="580">
        <f t="shared" si="705"/>
        <v>92678.785929663049</v>
      </c>
      <c r="K116" s="580">
        <f t="shared" si="705"/>
        <v>90856.703588675242</v>
      </c>
      <c r="L116" s="580">
        <f t="shared" si="705"/>
        <v>89040.303331296294</v>
      </c>
      <c r="M116" s="580">
        <f t="shared" si="705"/>
        <v>87229.75838901283</v>
      </c>
      <c r="N116" s="580">
        <f t="shared" si="705"/>
        <v>85425.24249448019</v>
      </c>
      <c r="O116" s="580">
        <f t="shared" si="705"/>
        <v>83659.446346614248</v>
      </c>
      <c r="P116" s="580">
        <f t="shared" si="705"/>
        <v>81905.568051256996</v>
      </c>
      <c r="Q116" s="580">
        <f t="shared" si="705"/>
        <v>80164.950325185768</v>
      </c>
      <c r="R116" s="580">
        <f t="shared" si="705"/>
        <v>78436.60912929129</v>
      </c>
      <c r="S116" s="580">
        <f t="shared" si="705"/>
        <v>76720.682917077254</v>
      </c>
      <c r="T116" s="580">
        <f t="shared" si="705"/>
        <v>74959.762800391676</v>
      </c>
      <c r="U116" s="580">
        <f t="shared" si="705"/>
        <v>73212.371051168811</v>
      </c>
      <c r="V116" s="580">
        <f t="shared" si="705"/>
        <v>71478.645059961142</v>
      </c>
      <c r="W116" s="580">
        <f t="shared" si="705"/>
        <v>69758.722435744261</v>
      </c>
      <c r="X116" s="580">
        <f t="shared" si="705"/>
        <v>68052.741076614577</v>
      </c>
      <c r="Y116" s="580">
        <f t="shared" si="705"/>
        <v>65962.552791717229</v>
      </c>
      <c r="Z116" s="580">
        <f t="shared" si="705"/>
        <v>63889.770326330836</v>
      </c>
      <c r="AA116" s="580">
        <f t="shared" si="705"/>
        <v>61837.654510142311</v>
      </c>
      <c r="AB116" s="580">
        <f t="shared" si="705"/>
        <v>59803.195379073346</v>
      </c>
      <c r="AC116" s="580">
        <f t="shared" si="705"/>
        <v>57786.458863547748</v>
      </c>
      <c r="AD116" s="580">
        <f t="shared" si="705"/>
        <v>55790.77912007102</v>
      </c>
      <c r="AE116" s="580">
        <f t="shared" si="705"/>
        <v>53813.137382778346</v>
      </c>
      <c r="AF116" s="580">
        <f t="shared" si="705"/>
        <v>51853.571499904341</v>
      </c>
      <c r="AG116" s="580">
        <f t="shared" si="705"/>
        <v>49912.109298877076</v>
      </c>
      <c r="AH116" s="580">
        <f t="shared" si="705"/>
        <v>47988.768188749644</v>
      </c>
      <c r="AI116" s="580"/>
      <c r="AJ116" s="580">
        <f>AJ80+AJ86+AJ93+AJ102+AJ110</f>
        <v>103598.39231850725</v>
      </c>
      <c r="AK116" s="580">
        <f t="shared" ref="AK116:BN116" si="706">AK80+AK86+AK93+AK102+AK110</f>
        <v>102330.09776569155</v>
      </c>
      <c r="AL116" s="580">
        <f t="shared" si="706"/>
        <v>100775.11325027951</v>
      </c>
      <c r="AM116" s="580">
        <f t="shared" si="706"/>
        <v>99205.456591071532</v>
      </c>
      <c r="AN116" s="580">
        <f t="shared" si="706"/>
        <v>97621.466037083912</v>
      </c>
      <c r="AO116" s="580">
        <f t="shared" si="706"/>
        <v>96023.478970718599</v>
      </c>
      <c r="AP116" s="580">
        <f t="shared" si="706"/>
        <v>94462.782845044625</v>
      </c>
      <c r="AQ116" s="580">
        <f t="shared" si="706"/>
        <v>92895.712947361666</v>
      </c>
      <c r="AR116" s="580">
        <f t="shared" si="706"/>
        <v>91322.566716482339</v>
      </c>
      <c r="AS116" s="580">
        <f t="shared" si="706"/>
        <v>89743.64193116987</v>
      </c>
      <c r="AT116" s="580">
        <f t="shared" si="706"/>
        <v>88159.236795755976</v>
      </c>
      <c r="AU116" s="580">
        <f t="shared" si="706"/>
        <v>86675.597004600771</v>
      </c>
      <c r="AV116" s="580">
        <f t="shared" si="706"/>
        <v>85196.391682595538</v>
      </c>
      <c r="AW116" s="580">
        <f t="shared" si="706"/>
        <v>83723.727204739087</v>
      </c>
      <c r="AX116" s="580">
        <f t="shared" si="706"/>
        <v>82256.049432685802</v>
      </c>
      <c r="AY116" s="580">
        <f t="shared" si="706"/>
        <v>80793.569341711453</v>
      </c>
      <c r="AZ116" s="580">
        <f t="shared" si="706"/>
        <v>79275.558706122189</v>
      </c>
      <c r="BA116" s="580">
        <f t="shared" si="706"/>
        <v>77763.579603769685</v>
      </c>
      <c r="BB116" s="580">
        <f t="shared" si="706"/>
        <v>76257.840953282692</v>
      </c>
      <c r="BC116" s="580">
        <f t="shared" si="706"/>
        <v>74758.55166206877</v>
      </c>
      <c r="BD116" s="580">
        <f t="shared" si="706"/>
        <v>73265.920784767193</v>
      </c>
      <c r="BE116" s="580">
        <f t="shared" si="706"/>
        <v>71433.554513999858</v>
      </c>
      <c r="BF116" s="580">
        <f t="shared" si="706"/>
        <v>69608.764460472361</v>
      </c>
      <c r="BG116" s="580">
        <f t="shared" si="706"/>
        <v>67796.720201748176</v>
      </c>
      <c r="BH116" s="580">
        <f t="shared" si="706"/>
        <v>65992.733568320735</v>
      </c>
      <c r="BI116" s="580">
        <f t="shared" si="706"/>
        <v>64196.95527582684</v>
      </c>
      <c r="BJ116" s="580">
        <f t="shared" si="706"/>
        <v>62412.796688651877</v>
      </c>
      <c r="BK116" s="580">
        <f t="shared" si="706"/>
        <v>60637.322280806606</v>
      </c>
      <c r="BL116" s="580">
        <f t="shared" si="706"/>
        <v>58870.64725414342</v>
      </c>
      <c r="BM116" s="580">
        <f t="shared" si="706"/>
        <v>57112.874845666804</v>
      </c>
      <c r="BN116" s="580">
        <f t="shared" si="706"/>
        <v>55364.096212270349</v>
      </c>
      <c r="BO116" s="56"/>
      <c r="BQ116" s="649"/>
      <c r="BR116" s="649"/>
      <c r="BS116" s="649"/>
      <c r="BT116" s="649"/>
      <c r="BU116" s="649"/>
      <c r="BV116" s="649"/>
      <c r="BW116" s="649"/>
      <c r="BX116" s="649"/>
      <c r="BY116" s="649"/>
      <c r="BZ116" s="649"/>
      <c r="CA116" s="649"/>
      <c r="CB116" s="649"/>
      <c r="CC116" s="649"/>
      <c r="CD116" s="649"/>
      <c r="CE116" s="649"/>
      <c r="CF116" s="649"/>
      <c r="CG116" s="649"/>
      <c r="CH116" s="649"/>
      <c r="CI116" s="649"/>
      <c r="CJ116" s="649"/>
      <c r="CK116" s="649"/>
      <c r="CL116" s="649"/>
    </row>
    <row r="117" spans="1:90">
      <c r="A117" s="603"/>
      <c r="B117" s="1" t="s">
        <v>1063</v>
      </c>
      <c r="C117" s="50" t="s">
        <v>1420</v>
      </c>
      <c r="D117" s="576">
        <f>D15</f>
        <v>0</v>
      </c>
      <c r="E117" s="576">
        <f t="shared" ref="E117:AH117" si="707">E15</f>
        <v>0</v>
      </c>
      <c r="F117" s="576">
        <f t="shared" si="707"/>
        <v>0</v>
      </c>
      <c r="G117" s="576">
        <f t="shared" si="707"/>
        <v>0</v>
      </c>
      <c r="H117" s="576">
        <f t="shared" si="707"/>
        <v>0</v>
      </c>
      <c r="I117" s="576">
        <f t="shared" si="707"/>
        <v>0</v>
      </c>
      <c r="J117" s="576">
        <f t="shared" si="707"/>
        <v>0</v>
      </c>
      <c r="K117" s="576">
        <f t="shared" si="707"/>
        <v>0</v>
      </c>
      <c r="L117" s="576">
        <f t="shared" si="707"/>
        <v>0</v>
      </c>
      <c r="M117" s="576">
        <f t="shared" si="707"/>
        <v>0</v>
      </c>
      <c r="N117" s="576">
        <f t="shared" si="707"/>
        <v>0</v>
      </c>
      <c r="O117" s="576">
        <f t="shared" si="707"/>
        <v>0</v>
      </c>
      <c r="P117" s="576">
        <f t="shared" si="707"/>
        <v>0</v>
      </c>
      <c r="Q117" s="576">
        <f t="shared" si="707"/>
        <v>0</v>
      </c>
      <c r="R117" s="576">
        <f t="shared" si="707"/>
        <v>0</v>
      </c>
      <c r="S117" s="576">
        <f t="shared" si="707"/>
        <v>0</v>
      </c>
      <c r="T117" s="576">
        <f t="shared" si="707"/>
        <v>0</v>
      </c>
      <c r="U117" s="576">
        <f t="shared" si="707"/>
        <v>0</v>
      </c>
      <c r="V117" s="576">
        <f t="shared" si="707"/>
        <v>0</v>
      </c>
      <c r="W117" s="576">
        <f t="shared" si="707"/>
        <v>0</v>
      </c>
      <c r="X117" s="576">
        <f t="shared" si="707"/>
        <v>0</v>
      </c>
      <c r="Y117" s="576">
        <f t="shared" si="707"/>
        <v>0</v>
      </c>
      <c r="Z117" s="576">
        <f t="shared" si="707"/>
        <v>0</v>
      </c>
      <c r="AA117" s="576">
        <f t="shared" si="707"/>
        <v>0</v>
      </c>
      <c r="AB117" s="576">
        <f t="shared" si="707"/>
        <v>0</v>
      </c>
      <c r="AC117" s="576">
        <f t="shared" si="707"/>
        <v>0</v>
      </c>
      <c r="AD117" s="576">
        <f t="shared" si="707"/>
        <v>0</v>
      </c>
      <c r="AE117" s="576">
        <f t="shared" si="707"/>
        <v>0</v>
      </c>
      <c r="AF117" s="576">
        <f t="shared" si="707"/>
        <v>0</v>
      </c>
      <c r="AG117" s="576">
        <f t="shared" si="707"/>
        <v>0</v>
      </c>
      <c r="AH117" s="576">
        <f t="shared" si="707"/>
        <v>0</v>
      </c>
      <c r="AI117" s="576"/>
      <c r="AJ117" s="576">
        <f>AJ15</f>
        <v>0</v>
      </c>
      <c r="AK117" s="576">
        <f t="shared" ref="AK117:BN117" si="708">AK15</f>
        <v>0</v>
      </c>
      <c r="AL117" s="576">
        <f t="shared" si="708"/>
        <v>0</v>
      </c>
      <c r="AM117" s="576">
        <f t="shared" si="708"/>
        <v>0</v>
      </c>
      <c r="AN117" s="576">
        <f t="shared" si="708"/>
        <v>0</v>
      </c>
      <c r="AO117" s="576">
        <f t="shared" si="708"/>
        <v>0</v>
      </c>
      <c r="AP117" s="576">
        <f t="shared" si="708"/>
        <v>0</v>
      </c>
      <c r="AQ117" s="576">
        <f t="shared" si="708"/>
        <v>0</v>
      </c>
      <c r="AR117" s="576">
        <f t="shared" si="708"/>
        <v>0</v>
      </c>
      <c r="AS117" s="576">
        <f t="shared" si="708"/>
        <v>0</v>
      </c>
      <c r="AT117" s="576">
        <f t="shared" si="708"/>
        <v>0</v>
      </c>
      <c r="AU117" s="576">
        <f t="shared" si="708"/>
        <v>0</v>
      </c>
      <c r="AV117" s="576">
        <f t="shared" si="708"/>
        <v>0</v>
      </c>
      <c r="AW117" s="576">
        <f t="shared" si="708"/>
        <v>0</v>
      </c>
      <c r="AX117" s="576">
        <f t="shared" si="708"/>
        <v>0</v>
      </c>
      <c r="AY117" s="576">
        <f t="shared" si="708"/>
        <v>0</v>
      </c>
      <c r="AZ117" s="576">
        <f t="shared" si="708"/>
        <v>0</v>
      </c>
      <c r="BA117" s="576">
        <f t="shared" si="708"/>
        <v>0</v>
      </c>
      <c r="BB117" s="576">
        <f t="shared" si="708"/>
        <v>0</v>
      </c>
      <c r="BC117" s="576">
        <f t="shared" si="708"/>
        <v>0</v>
      </c>
      <c r="BD117" s="576">
        <f t="shared" si="708"/>
        <v>0</v>
      </c>
      <c r="BE117" s="576">
        <f t="shared" si="708"/>
        <v>0</v>
      </c>
      <c r="BF117" s="576">
        <f t="shared" si="708"/>
        <v>0</v>
      </c>
      <c r="BG117" s="576">
        <f t="shared" si="708"/>
        <v>0</v>
      </c>
      <c r="BH117" s="576">
        <f t="shared" si="708"/>
        <v>0</v>
      </c>
      <c r="BI117" s="576">
        <f t="shared" si="708"/>
        <v>0</v>
      </c>
      <c r="BJ117" s="576">
        <f t="shared" si="708"/>
        <v>0</v>
      </c>
      <c r="BK117" s="576">
        <f t="shared" si="708"/>
        <v>0</v>
      </c>
      <c r="BL117" s="576">
        <f t="shared" si="708"/>
        <v>0</v>
      </c>
      <c r="BM117" s="576">
        <f t="shared" si="708"/>
        <v>0</v>
      </c>
      <c r="BN117" s="576">
        <f t="shared" si="708"/>
        <v>0</v>
      </c>
    </row>
    <row r="118" spans="1:90" s="62" customFormat="1">
      <c r="A118" s="604"/>
      <c r="B118" s="58" t="s">
        <v>27</v>
      </c>
      <c r="C118" s="233" t="s">
        <v>1420</v>
      </c>
      <c r="D118" s="579">
        <f t="shared" ref="D118:S118" si="709">D82+D88+D95+D104+D112</f>
        <v>1369162.5365045306</v>
      </c>
      <c r="E118" s="579">
        <f t="shared" si="709"/>
        <v>1345075.5722246973</v>
      </c>
      <c r="F118" s="579">
        <f t="shared" si="709"/>
        <v>1320883.2814402385</v>
      </c>
      <c r="G118" s="579">
        <f t="shared" si="709"/>
        <v>1296763.0517263412</v>
      </c>
      <c r="H118" s="579">
        <f t="shared" si="709"/>
        <v>1272715.3126054122</v>
      </c>
      <c r="I118" s="579">
        <f t="shared" si="709"/>
        <v>1248740.4944696561</v>
      </c>
      <c r="J118" s="579">
        <f t="shared" si="709"/>
        <v>1225509.1105778702</v>
      </c>
      <c r="K118" s="579">
        <f t="shared" si="709"/>
        <v>1202442.4756794614</v>
      </c>
      <c r="L118" s="579">
        <f t="shared" si="709"/>
        <v>1179540.4022358737</v>
      </c>
      <c r="M118" s="579">
        <f t="shared" si="709"/>
        <v>1156802.7063877203</v>
      </c>
      <c r="N118" s="579">
        <f t="shared" si="709"/>
        <v>1134229.2081902581</v>
      </c>
      <c r="O118" s="579">
        <f t="shared" si="709"/>
        <v>1111773.1902092402</v>
      </c>
      <c r="P118" s="579">
        <f t="shared" si="709"/>
        <v>1089477.84417819</v>
      </c>
      <c r="Q118" s="579">
        <f t="shared" si="709"/>
        <v>1067353.0453093464</v>
      </c>
      <c r="R118" s="579">
        <f t="shared" si="709"/>
        <v>1045390.8131575177</v>
      </c>
      <c r="S118" s="579">
        <f t="shared" si="709"/>
        <v>1023591.4740771317</v>
      </c>
      <c r="T118" s="579">
        <f t="shared" ref="T118:AH118" si="710">T82+T88+T95+T104+T112</f>
        <v>1001195.5737934588</v>
      </c>
      <c r="U118" s="579">
        <f t="shared" si="710"/>
        <v>978974.4510240024</v>
      </c>
      <c r="V118" s="579">
        <f t="shared" si="710"/>
        <v>956928.4405115894</v>
      </c>
      <c r="W118" s="579">
        <f t="shared" si="710"/>
        <v>935057.88017626887</v>
      </c>
      <c r="X118" s="579">
        <f t="shared" si="710"/>
        <v>913363.11154415365</v>
      </c>
      <c r="Y118" s="579">
        <f t="shared" si="710"/>
        <v>886781.69024894154</v>
      </c>
      <c r="Z118" s="579">
        <f t="shared" si="710"/>
        <v>860432.10441260668</v>
      </c>
      <c r="AA118" s="579">
        <f t="shared" si="710"/>
        <v>834358.25151325134</v>
      </c>
      <c r="AB118" s="579">
        <f t="shared" si="710"/>
        <v>808523.06229278143</v>
      </c>
      <c r="AC118" s="579">
        <f t="shared" si="710"/>
        <v>782927.22687824955</v>
      </c>
      <c r="AD118" s="579">
        <f t="shared" si="710"/>
        <v>757613.93805837561</v>
      </c>
      <c r="AE118" s="579">
        <f t="shared" si="710"/>
        <v>732544.06716723274</v>
      </c>
      <c r="AF118" s="579">
        <f t="shared" si="710"/>
        <v>707718.35458913899</v>
      </c>
      <c r="AG118" s="579">
        <f t="shared" si="710"/>
        <v>683137.56597627862</v>
      </c>
      <c r="AH118" s="579">
        <f t="shared" si="710"/>
        <v>658802.49337911</v>
      </c>
      <c r="AI118" s="579"/>
      <c r="AJ118" s="579">
        <f t="shared" ref="AJ118:BN118" si="711">AJ82+AJ88+AJ95+AJ104+AJ112</f>
        <v>1369162.5365045306</v>
      </c>
      <c r="AK118" s="579">
        <f t="shared" si="711"/>
        <v>1350103.6051922375</v>
      </c>
      <c r="AL118" s="579">
        <f t="shared" si="711"/>
        <v>1330895.068640579</v>
      </c>
      <c r="AM118" s="579">
        <f t="shared" si="711"/>
        <v>1311714.236073548</v>
      </c>
      <c r="AN118" s="579">
        <f t="shared" si="711"/>
        <v>1292561.4585741276</v>
      </c>
      <c r="AO118" s="579">
        <f t="shared" si="711"/>
        <v>1273437.0879624896</v>
      </c>
      <c r="AP118" s="579">
        <f t="shared" si="711"/>
        <v>1255011.5633265588</v>
      </c>
      <c r="AQ118" s="579">
        <f t="shared" si="711"/>
        <v>1236706.1189062265</v>
      </c>
      <c r="AR118" s="579">
        <f t="shared" si="711"/>
        <v>1218520.4888151672</v>
      </c>
      <c r="AS118" s="579">
        <f t="shared" si="711"/>
        <v>1200454.4106635514</v>
      </c>
      <c r="AT118" s="579">
        <f t="shared" si="711"/>
        <v>1182507.6257469971</v>
      </c>
      <c r="AU118" s="579">
        <f t="shared" si="711"/>
        <v>1165204.5702330137</v>
      </c>
      <c r="AV118" s="579">
        <f t="shared" si="711"/>
        <v>1148002.1672728974</v>
      </c>
      <c r="AW118" s="579">
        <f t="shared" si="711"/>
        <v>1130909.5045733773</v>
      </c>
      <c r="AX118" s="579">
        <f t="shared" si="711"/>
        <v>1113919.1490714292</v>
      </c>
      <c r="AY118" s="579">
        <f t="shared" si="711"/>
        <v>1097031.3329950857</v>
      </c>
      <c r="AZ118" s="579">
        <f t="shared" si="711"/>
        <v>1079441.650836895</v>
      </c>
      <c r="BA118" s="579">
        <f t="shared" si="711"/>
        <v>1061960.6008792187</v>
      </c>
      <c r="BB118" s="579">
        <f t="shared" si="711"/>
        <v>1044588.4279650277</v>
      </c>
      <c r="BC118" s="579">
        <f t="shared" si="711"/>
        <v>1027325.3813876451</v>
      </c>
      <c r="BD118" s="579">
        <f t="shared" si="711"/>
        <v>1010171.7152151087</v>
      </c>
      <c r="BE118" s="579">
        <f t="shared" si="711"/>
        <v>989054.56553105207</v>
      </c>
      <c r="BF118" s="579">
        <f t="shared" si="711"/>
        <v>968088.73926266609</v>
      </c>
      <c r="BG118" s="579">
        <f t="shared" si="711"/>
        <v>947316.31282538048</v>
      </c>
      <c r="BH118" s="579">
        <f t="shared" si="711"/>
        <v>926701.98304540734</v>
      </c>
      <c r="BI118" s="579">
        <f t="shared" si="711"/>
        <v>906246.44332662318</v>
      </c>
      <c r="BJ118" s="579">
        <f t="shared" si="711"/>
        <v>885992.89748471195</v>
      </c>
      <c r="BK118" s="579">
        <f t="shared" si="711"/>
        <v>865902.22201133077</v>
      </c>
      <c r="BL118" s="579">
        <f t="shared" si="711"/>
        <v>845975.16848721961</v>
      </c>
      <c r="BM118" s="579">
        <f t="shared" si="711"/>
        <v>826212.51584772952</v>
      </c>
      <c r="BN118" s="579">
        <f t="shared" si="711"/>
        <v>806615.07122120156</v>
      </c>
      <c r="BQ118" s="623"/>
      <c r="BR118" s="623"/>
      <c r="BS118" s="623"/>
      <c r="BT118" s="623"/>
      <c r="BU118" s="623"/>
      <c r="BV118" s="623"/>
      <c r="BW118" s="623"/>
      <c r="BX118" s="623"/>
      <c r="BY118" s="623"/>
      <c r="BZ118" s="623"/>
      <c r="CA118" s="623"/>
      <c r="CB118" s="623"/>
      <c r="CC118" s="623"/>
      <c r="CD118" s="623"/>
      <c r="CE118" s="623"/>
      <c r="CF118" s="623"/>
      <c r="CG118" s="623"/>
      <c r="CH118" s="623"/>
      <c r="CI118" s="623"/>
      <c r="CJ118" s="623"/>
      <c r="CK118" s="623"/>
      <c r="CL118" s="623"/>
    </row>
    <row r="119" spans="1:90">
      <c r="A119" s="1" t="s">
        <v>763</v>
      </c>
      <c r="C119" s="55" t="s">
        <v>1420</v>
      </c>
      <c r="D119" s="590">
        <f>'Methanol Recycling HC'!C333</f>
        <v>9.5345851740882559E-2</v>
      </c>
      <c r="E119" s="590">
        <f>'Methanol Recycling HC'!D333</f>
        <v>0.20309665973337637</v>
      </c>
      <c r="F119" s="590">
        <f>'Methanol Recycling HC'!E333</f>
        <v>0.42660323109410697</v>
      </c>
      <c r="G119" s="590">
        <f>'Methanol Recycling HC'!F333</f>
        <v>0.8849928310141506</v>
      </c>
      <c r="H119" s="590">
        <f>'Methanol Recycling HC'!G333</f>
        <v>1.814456604200406</v>
      </c>
      <c r="I119" s="590">
        <f>'Methanol Recycling HC'!H333</f>
        <v>3.6762176422453874</v>
      </c>
      <c r="J119" s="590">
        <f>'Methanol Recycling HC'!I333</f>
        <v>7.3075243251742226</v>
      </c>
      <c r="K119" s="590">
        <f>'Methanol Recycling HC'!J333</f>
        <v>14.316447768271612</v>
      </c>
      <c r="L119" s="590">
        <f>'Methanol Recycling HC'!K333</f>
        <v>27.566626843144697</v>
      </c>
      <c r="M119" s="590">
        <f>'Methanol Recycling HC'!L333</f>
        <v>51.964177232665357</v>
      </c>
      <c r="N119" s="590">
        <f>'Methanol Recycling HC'!M333</f>
        <v>95.400013897709343</v>
      </c>
      <c r="O119" s="590">
        <f>'Methanol Recycling HC'!N333</f>
        <v>166.61277274969549</v>
      </c>
      <c r="P119" s="590">
        <f>'Methanol Recycling HC'!O333</f>
        <v>279.96884468916289</v>
      </c>
      <c r="Q119" s="590">
        <f>'Methanol Recycling HC'!P333</f>
        <v>449.18226139936951</v>
      </c>
      <c r="R119" s="590">
        <f>'Methanol Recycling HC'!Q333</f>
        <v>683.51305531855928</v>
      </c>
      <c r="S119" s="590">
        <f>'Methanol Recycling HC'!R333</f>
        <v>981.84625878357599</v>
      </c>
      <c r="T119" s="590">
        <f>'Methanol Recycling HC'!S333</f>
        <v>1329.1995086593993</v>
      </c>
      <c r="U119" s="590">
        <f>'Methanol Recycling HC'!T333</f>
        <v>1698.8238896069324</v>
      </c>
      <c r="V119" s="590">
        <f>'Methanol Recycling HC'!U333</f>
        <v>2059.6647562654121</v>
      </c>
      <c r="W119" s="590">
        <f>'Methanol Recycling HC'!V333</f>
        <v>2385.0813554985525</v>
      </c>
      <c r="X119" s="590">
        <f>'Methanol Recycling HC'!W333</f>
        <v>2658.3446192820388</v>
      </c>
      <c r="Y119" s="590">
        <f>'Methanol Recycling HC'!X333</f>
        <v>2913.4351657778634</v>
      </c>
      <c r="Z119" s="590">
        <f>'Methanol Recycling HC'!Y333</f>
        <v>3114.6713779068009</v>
      </c>
      <c r="AA119" s="590">
        <f>'Methanol Recycling HC'!Z333</f>
        <v>3265.9360474878927</v>
      </c>
      <c r="AB119" s="590">
        <f>'Methanol Recycling HC'!AA333</f>
        <v>3374.8124301657463</v>
      </c>
      <c r="AC119" s="590">
        <f>'Methanol Recycling HC'!AB333</f>
        <v>3448.6722709790747</v>
      </c>
      <c r="AD119" s="590">
        <f>'Methanol Recycling HC'!AC333</f>
        <v>3493.5301848452923</v>
      </c>
      <c r="AE119" s="590">
        <f>'Methanol Recycling HC'!AD333</f>
        <v>3515.6909968058062</v>
      </c>
      <c r="AF119" s="590">
        <f>'Methanol Recycling HC'!AE333</f>
        <v>3519.6521419405408</v>
      </c>
      <c r="AG119" s="590">
        <f>'Methanol Recycling HC'!AF333</f>
        <v>3508.8924391497435</v>
      </c>
      <c r="AH119" s="590">
        <f>'Methanol Recycling HC'!AG333</f>
        <v>3486.0535455926874</v>
      </c>
      <c r="AI119" s="576"/>
      <c r="AJ119" s="576">
        <f>D119/2</f>
        <v>4.7672925870441279E-2</v>
      </c>
      <c r="AK119" s="576">
        <f t="shared" ref="AK119:BN119" si="712">E119/2</f>
        <v>0.10154832986668819</v>
      </c>
      <c r="AL119" s="576">
        <f t="shared" si="712"/>
        <v>0.21330161554705349</v>
      </c>
      <c r="AM119" s="576">
        <f t="shared" si="712"/>
        <v>0.4424964155070753</v>
      </c>
      <c r="AN119" s="576">
        <f t="shared" si="712"/>
        <v>0.907228302100203</v>
      </c>
      <c r="AO119" s="576">
        <f t="shared" si="712"/>
        <v>1.8381088211226937</v>
      </c>
      <c r="AP119" s="576">
        <f t="shared" si="712"/>
        <v>3.6537621625871113</v>
      </c>
      <c r="AQ119" s="576">
        <f t="shared" si="712"/>
        <v>7.1582238841358059</v>
      </c>
      <c r="AR119" s="576">
        <f t="shared" si="712"/>
        <v>13.783313421572348</v>
      </c>
      <c r="AS119" s="576">
        <f t="shared" si="712"/>
        <v>25.982088616332678</v>
      </c>
      <c r="AT119" s="576">
        <f t="shared" si="712"/>
        <v>47.700006948854671</v>
      </c>
      <c r="AU119" s="576">
        <f t="shared" si="712"/>
        <v>83.306386374847747</v>
      </c>
      <c r="AV119" s="576">
        <f t="shared" si="712"/>
        <v>139.98442234458145</v>
      </c>
      <c r="AW119" s="576">
        <f t="shared" si="712"/>
        <v>224.59113069968475</v>
      </c>
      <c r="AX119" s="576">
        <f t="shared" si="712"/>
        <v>341.75652765927964</v>
      </c>
      <c r="AY119" s="576">
        <f t="shared" si="712"/>
        <v>490.923129391788</v>
      </c>
      <c r="AZ119" s="576">
        <f t="shared" si="712"/>
        <v>664.59975432969964</v>
      </c>
      <c r="BA119" s="576">
        <f t="shared" si="712"/>
        <v>849.41194480346621</v>
      </c>
      <c r="BB119" s="576">
        <f t="shared" si="712"/>
        <v>1029.832378132706</v>
      </c>
      <c r="BC119" s="576">
        <f t="shared" si="712"/>
        <v>1192.5406777492763</v>
      </c>
      <c r="BD119" s="576">
        <f t="shared" si="712"/>
        <v>1329.1723096410194</v>
      </c>
      <c r="BE119" s="576">
        <f t="shared" si="712"/>
        <v>1456.7175828889317</v>
      </c>
      <c r="BF119" s="576">
        <f t="shared" si="712"/>
        <v>1557.3356889534004</v>
      </c>
      <c r="BG119" s="576">
        <f t="shared" si="712"/>
        <v>1632.9680237439463</v>
      </c>
      <c r="BH119" s="576">
        <f t="shared" si="712"/>
        <v>1687.4062150828731</v>
      </c>
      <c r="BI119" s="576">
        <f t="shared" si="712"/>
        <v>1724.3361354895374</v>
      </c>
      <c r="BJ119" s="576">
        <f t="shared" si="712"/>
        <v>1746.7650924226461</v>
      </c>
      <c r="BK119" s="576">
        <f t="shared" si="712"/>
        <v>1757.8454984029031</v>
      </c>
      <c r="BL119" s="576">
        <f t="shared" si="712"/>
        <v>1759.8260709702704</v>
      </c>
      <c r="BM119" s="576">
        <f t="shared" si="712"/>
        <v>1754.4462195748717</v>
      </c>
      <c r="BN119" s="576">
        <f t="shared" si="712"/>
        <v>1743.0267727963437</v>
      </c>
    </row>
    <row r="120" spans="1:90">
      <c r="A120" s="1" t="s">
        <v>764</v>
      </c>
      <c r="C120" s="233" t="s">
        <v>1420</v>
      </c>
      <c r="D120" s="590">
        <f>'Methanol Recycling HC'!C335</f>
        <v>0.8518799093883237</v>
      </c>
      <c r="E120" s="590">
        <f>'Methanol Recycling HC'!D335</f>
        <v>1.8145935133175244</v>
      </c>
      <c r="F120" s="590">
        <f>'Methanol Recycling HC'!E335</f>
        <v>3.8115420357967014</v>
      </c>
      <c r="G120" s="590">
        <f>'Methanol Recycling HC'!F335</f>
        <v>7.9070835167796707</v>
      </c>
      <c r="H120" s="590">
        <f>'Methanol Recycling HC'!G335</f>
        <v>16.211498448574034</v>
      </c>
      <c r="I120" s="590">
        <f>'Methanol Recycling HC'!H335</f>
        <v>32.845644511925251</v>
      </c>
      <c r="J120" s="590">
        <f>'Methanol Recycling HC'!I335</f>
        <v>65.290026218447053</v>
      </c>
      <c r="K120" s="590">
        <f>'Methanol Recycling HC'!J335</f>
        <v>127.91216403144799</v>
      </c>
      <c r="L120" s="590">
        <f>'Methanol Recycling HC'!K335</f>
        <v>246.29761178388591</v>
      </c>
      <c r="M120" s="590">
        <f>'Methanol Recycling HC'!L335</f>
        <v>464.28069794483542</v>
      </c>
      <c r="N120" s="590">
        <f>'Methanol Recycling HC'!M335</f>
        <v>852.36382822073676</v>
      </c>
      <c r="O120" s="590">
        <f>'Methanol Recycling HC'!N335</f>
        <v>1488.6234813725957</v>
      </c>
      <c r="P120" s="590">
        <f>'Methanol Recycling HC'!O335</f>
        <v>2501.4180448407847</v>
      </c>
      <c r="Q120" s="590">
        <f>'Methanol Recycling HC'!P335</f>
        <v>4013.2773178181615</v>
      </c>
      <c r="R120" s="590">
        <f>'Methanol Recycling HC'!Q335</f>
        <v>6106.9362641274029</v>
      </c>
      <c r="S120" s="590">
        <f>'Methanol Recycling HC'!R335</f>
        <v>8772.4330602122864</v>
      </c>
      <c r="T120" s="590">
        <f>'Methanol Recycling HC'!S335</f>
        <v>11875.905834613841</v>
      </c>
      <c r="U120" s="590">
        <f>'Methanol Recycling HC'!T335</f>
        <v>15178.362925301164</v>
      </c>
      <c r="V120" s="590">
        <f>'Methanol Recycling HC'!U335</f>
        <v>18402.34256552735</v>
      </c>
      <c r="W120" s="590">
        <f>'Methanol Recycling HC'!V335</f>
        <v>21309.819482525923</v>
      </c>
      <c r="X120" s="590">
        <f>'Methanol Recycling HC'!W335</f>
        <v>23751.325642895339</v>
      </c>
      <c r="Y120" s="590">
        <f>'Methanol Recycling HC'!X335</f>
        <v>26030.465297814422</v>
      </c>
      <c r="Z120" s="590">
        <f>'Methanol Recycling HC'!Y335</f>
        <v>27828.436400111925</v>
      </c>
      <c r="AA120" s="590">
        <f>'Methanol Recycling HC'!Z335</f>
        <v>29179.930258141434</v>
      </c>
      <c r="AB120" s="590">
        <f>'Methanol Recycling HC'!AA335</f>
        <v>30152.700455445876</v>
      </c>
      <c r="AC120" s="590">
        <f>'Methanol Recycling HC'!AB335</f>
        <v>30812.610806558881</v>
      </c>
      <c r="AD120" s="590">
        <f>'Methanol Recycling HC'!AC335</f>
        <v>31213.39967048926</v>
      </c>
      <c r="AE120" s="590">
        <f>'Methanol Recycling HC'!AD335</f>
        <v>31411.398326332193</v>
      </c>
      <c r="AF120" s="590">
        <f>'Methanol Recycling HC'!AE335</f>
        <v>31446.789692572456</v>
      </c>
      <c r="AG120" s="590">
        <f>'Methanol Recycling HC'!AF335</f>
        <v>31350.655728995524</v>
      </c>
      <c r="AH120" s="590">
        <f>'Methanol Recycling HC'!AG335</f>
        <v>31146.598664963109</v>
      </c>
      <c r="AI120" s="576"/>
      <c r="AJ120" s="576">
        <f>D120/2</f>
        <v>0.42593995469416185</v>
      </c>
      <c r="AK120" s="576">
        <f t="shared" ref="AK120" si="713">E120/2</f>
        <v>0.90729675665876219</v>
      </c>
      <c r="AL120" s="576">
        <f t="shared" ref="AL120" si="714">F120/2</f>
        <v>1.9057710178983507</v>
      </c>
      <c r="AM120" s="576">
        <f t="shared" ref="AM120" si="715">G120/2</f>
        <v>3.9535417583898353</v>
      </c>
      <c r="AN120" s="576">
        <f t="shared" ref="AN120" si="716">H120/2</f>
        <v>8.1057492242870168</v>
      </c>
      <c r="AO120" s="576">
        <f t="shared" ref="AO120" si="717">I120/2</f>
        <v>16.422822255962625</v>
      </c>
      <c r="AP120" s="576">
        <f t="shared" ref="AP120" si="718">J120/2</f>
        <v>32.645013109223527</v>
      </c>
      <c r="AQ120" s="576">
        <f t="shared" ref="AQ120" si="719">K120/2</f>
        <v>63.956082015723993</v>
      </c>
      <c r="AR120" s="576">
        <f t="shared" ref="AR120" si="720">L120/2</f>
        <v>123.14880589194296</v>
      </c>
      <c r="AS120" s="576">
        <f t="shared" ref="AS120" si="721">M120/2</f>
        <v>232.14034897241771</v>
      </c>
      <c r="AT120" s="576">
        <f t="shared" ref="AT120" si="722">N120/2</f>
        <v>426.18191411036838</v>
      </c>
      <c r="AU120" s="576">
        <f t="shared" ref="AU120" si="723">O120/2</f>
        <v>744.31174068629787</v>
      </c>
      <c r="AV120" s="576">
        <f t="shared" ref="AV120" si="724">P120/2</f>
        <v>1250.7090224203923</v>
      </c>
      <c r="AW120" s="576">
        <f t="shared" ref="AW120" si="725">Q120/2</f>
        <v>2006.6386589090807</v>
      </c>
      <c r="AX120" s="576">
        <f t="shared" ref="AX120" si="726">R120/2</f>
        <v>3053.4681320637014</v>
      </c>
      <c r="AY120" s="576">
        <f t="shared" ref="AY120" si="727">S120/2</f>
        <v>4386.2165301061432</v>
      </c>
      <c r="AZ120" s="576">
        <f t="shared" ref="AZ120" si="728">T120/2</f>
        <v>5937.9529173069204</v>
      </c>
      <c r="BA120" s="576">
        <f t="shared" ref="BA120" si="729">U120/2</f>
        <v>7589.181462650582</v>
      </c>
      <c r="BB120" s="576">
        <f t="shared" ref="BB120" si="730">V120/2</f>
        <v>9201.1712827636748</v>
      </c>
      <c r="BC120" s="576">
        <f t="shared" ref="BC120" si="731">W120/2</f>
        <v>10654.909741262962</v>
      </c>
      <c r="BD120" s="576">
        <f t="shared" ref="BD120" si="732">X120/2</f>
        <v>11875.66282144767</v>
      </c>
      <c r="BE120" s="576">
        <f t="shared" ref="BE120" si="733">Y120/2</f>
        <v>13015.232648907211</v>
      </c>
      <c r="BF120" s="576">
        <f t="shared" ref="BF120" si="734">Z120/2</f>
        <v>13914.218200055962</v>
      </c>
      <c r="BG120" s="576">
        <f t="shared" ref="BG120" si="735">AA120/2</f>
        <v>14589.965129070717</v>
      </c>
      <c r="BH120" s="576">
        <f t="shared" ref="BH120" si="736">AB120/2</f>
        <v>15076.350227722938</v>
      </c>
      <c r="BI120" s="576">
        <f t="shared" ref="BI120" si="737">AC120/2</f>
        <v>15406.305403279441</v>
      </c>
      <c r="BJ120" s="576">
        <f t="shared" ref="BJ120" si="738">AD120/2</f>
        <v>15606.69983524463</v>
      </c>
      <c r="BK120" s="576">
        <f t="shared" ref="BK120" si="739">AE120/2</f>
        <v>15705.699163166097</v>
      </c>
      <c r="BL120" s="576">
        <f t="shared" ref="BL120" si="740">AF120/2</f>
        <v>15723.394846286228</v>
      </c>
      <c r="BM120" s="576">
        <f t="shared" ref="BM120" si="741">AG120/2</f>
        <v>15675.327864497762</v>
      </c>
      <c r="BN120" s="576">
        <f t="shared" ref="BN120" si="742">AH120/2</f>
        <v>15573.299332481554</v>
      </c>
    </row>
    <row r="121" spans="1:90" s="97" customFormat="1">
      <c r="A121" s="95" t="s">
        <v>1166</v>
      </c>
      <c r="B121" s="95"/>
      <c r="C121" s="96" t="s">
        <v>1420</v>
      </c>
      <c r="D121" s="583">
        <f>D115-D119-D120</f>
        <v>1472759.9815972766</v>
      </c>
      <c r="E121" s="583">
        <f t="shared" ref="E121:AH121" si="743">E115-E119-E120</f>
        <v>1447075.4654703969</v>
      </c>
      <c r="F121" s="583">
        <f t="shared" si="743"/>
        <v>1421010.2922837895</v>
      </c>
      <c r="G121" s="583">
        <f t="shared" si="743"/>
        <v>1395012.5577159817</v>
      </c>
      <c r="H121" s="583">
        <f t="shared" si="743"/>
        <v>1369080.557062719</v>
      </c>
      <c r="I121" s="583">
        <f t="shared" si="743"/>
        <v>1343210.3501939296</v>
      </c>
      <c r="J121" s="583">
        <f t="shared" si="743"/>
        <v>1318115.2989569898</v>
      </c>
      <c r="K121" s="583">
        <f t="shared" si="743"/>
        <v>1293156.950656337</v>
      </c>
      <c r="L121" s="583">
        <f t="shared" si="743"/>
        <v>1268306.8413285434</v>
      </c>
      <c r="M121" s="583">
        <f t="shared" si="743"/>
        <v>1243516.2199015561</v>
      </c>
      <c r="N121" s="583">
        <f t="shared" si="743"/>
        <v>1218706.6868426197</v>
      </c>
      <c r="O121" s="583">
        <f t="shared" si="743"/>
        <v>1193777.4003017321</v>
      </c>
      <c r="P121" s="583">
        <f t="shared" si="743"/>
        <v>1168602.025339917</v>
      </c>
      <c r="Q121" s="583">
        <f t="shared" si="743"/>
        <v>1143055.5360553146</v>
      </c>
      <c r="R121" s="583">
        <f t="shared" si="743"/>
        <v>1117036.972967363</v>
      </c>
      <c r="S121" s="583">
        <f t="shared" si="743"/>
        <v>1090557.8776752129</v>
      </c>
      <c r="T121" s="583">
        <f t="shared" si="743"/>
        <v>1062950.2312505776</v>
      </c>
      <c r="U121" s="583">
        <f t="shared" si="743"/>
        <v>1035309.6352602631</v>
      </c>
      <c r="V121" s="583">
        <f t="shared" si="743"/>
        <v>1007945.0782497581</v>
      </c>
      <c r="W121" s="583">
        <f t="shared" si="743"/>
        <v>981121.70177398867</v>
      </c>
      <c r="X121" s="583">
        <f t="shared" si="743"/>
        <v>955006.18235859077</v>
      </c>
      <c r="Y121" s="583">
        <f t="shared" si="743"/>
        <v>923800.34257706674</v>
      </c>
      <c r="Z121" s="583">
        <f t="shared" si="743"/>
        <v>893378.76696091855</v>
      </c>
      <c r="AA121" s="583">
        <f t="shared" si="743"/>
        <v>863750.03971776436</v>
      </c>
      <c r="AB121" s="583">
        <f t="shared" si="743"/>
        <v>834798.7447862433</v>
      </c>
      <c r="AC121" s="583">
        <f t="shared" si="743"/>
        <v>806452.40266425954</v>
      </c>
      <c r="AD121" s="583">
        <f t="shared" si="743"/>
        <v>778697.78732311202</v>
      </c>
      <c r="AE121" s="583">
        <f t="shared" si="743"/>
        <v>751430.11522687308</v>
      </c>
      <c r="AF121" s="583">
        <f t="shared" si="743"/>
        <v>724605.48425453051</v>
      </c>
      <c r="AG121" s="583">
        <f t="shared" si="743"/>
        <v>698190.12710701022</v>
      </c>
      <c r="AH121" s="583">
        <f t="shared" si="743"/>
        <v>672158.60935730382</v>
      </c>
      <c r="AI121" s="596"/>
      <c r="AJ121" s="583">
        <f>AJ115-AJ119-AJ120</f>
        <v>1472760.4552101572</v>
      </c>
      <c r="AK121" s="583">
        <f t="shared" ref="AK121" si="744">AK115-AK119-AK120</f>
        <v>1452432.6941128424</v>
      </c>
      <c r="AL121" s="583">
        <f t="shared" ref="AL121" si="745">AL115-AL119-AL120</f>
        <v>1431668.062818225</v>
      </c>
      <c r="AM121" s="583">
        <f t="shared" ref="AM121" si="746">AM115-AM119-AM120</f>
        <v>1410915.2966264456</v>
      </c>
      <c r="AN121" s="583">
        <f t="shared" ref="AN121" si="747">AN115-AN119-AN120</f>
        <v>1390173.911633685</v>
      </c>
      <c r="AO121" s="583">
        <f t="shared" ref="AO121" si="748">AO115-AO119-AO120</f>
        <v>1369442.306002131</v>
      </c>
      <c r="AP121" s="583">
        <f t="shared" ref="AP121" si="749">AP115-AP119-AP120</f>
        <v>1349438.0473963316</v>
      </c>
      <c r="AQ121" s="583">
        <f t="shared" ref="AQ121" si="750">AQ115-AQ119-AQ120</f>
        <v>1329530.7175476884</v>
      </c>
      <c r="AR121" s="583">
        <f t="shared" ref="AR121" si="751">AR115-AR119-AR120</f>
        <v>1309706.1234123367</v>
      </c>
      <c r="AS121" s="583">
        <f t="shared" ref="AS121" si="752">AS115-AS119-AS120</f>
        <v>1289939.9301571327</v>
      </c>
      <c r="AT121" s="583">
        <f t="shared" ref="AT121" si="753">AT115-AT119-AT120</f>
        <v>1270192.9806216937</v>
      </c>
      <c r="AU121" s="583">
        <f t="shared" ref="AU121" si="754">AU115-AU119-AU120</f>
        <v>1251052.5491105532</v>
      </c>
      <c r="AV121" s="583">
        <f t="shared" ref="AV121" si="755">AV115-AV119-AV120</f>
        <v>1231807.8655107277</v>
      </c>
      <c r="AW121" s="583">
        <f t="shared" ref="AW121" si="756">AW115-AW119-AW120</f>
        <v>1212402.0019885078</v>
      </c>
      <c r="AX121" s="583">
        <f t="shared" ref="AX121" si="757">AX115-AX119-AX120</f>
        <v>1192779.973844392</v>
      </c>
      <c r="AY121" s="583">
        <f t="shared" ref="AY121" si="758">AY115-AY119-AY120</f>
        <v>1172947.7626772996</v>
      </c>
      <c r="AZ121" s="583">
        <f t="shared" ref="AZ121" si="759">AZ115-AZ119-AZ120</f>
        <v>1152114.656871381</v>
      </c>
      <c r="BA121" s="583">
        <f t="shared" ref="BA121" si="760">BA115-BA119-BA120</f>
        <v>1131285.587075534</v>
      </c>
      <c r="BB121" s="583">
        <f t="shared" ref="BB121" si="761">BB115-BB119-BB120</f>
        <v>1110615.2652574142</v>
      </c>
      <c r="BC121" s="583">
        <f t="shared" ref="BC121" si="762">BC115-BC119-BC120</f>
        <v>1090236.4826307015</v>
      </c>
      <c r="BD121" s="583">
        <f t="shared" ref="BD121" si="763">BD115-BD119-BD120</f>
        <v>1070232.8008687869</v>
      </c>
      <c r="BE121" s="583">
        <f t="shared" ref="BE121" si="764">BE115-BE119-BE120</f>
        <v>1046016.1698132558</v>
      </c>
      <c r="BF121" s="583">
        <f t="shared" ref="BF121" si="765">BF115-BF119-BF120</f>
        <v>1022225.9498341286</v>
      </c>
      <c r="BG121" s="583">
        <f t="shared" ref="BG121" si="766">BG115-BG119-BG120</f>
        <v>998890.09987431404</v>
      </c>
      <c r="BH121" s="583">
        <f t="shared" ref="BH121" si="767">BH115-BH119-BH120</f>
        <v>975930.96017092234</v>
      </c>
      <c r="BI121" s="583">
        <f t="shared" ref="BI121" si="768">BI115-BI119-BI120</f>
        <v>953312.75706368114</v>
      </c>
      <c r="BJ121" s="583">
        <f t="shared" ref="BJ121" si="769">BJ115-BJ119-BJ120</f>
        <v>931052.22924569657</v>
      </c>
      <c r="BK121" s="583">
        <f t="shared" ref="BK121" si="770">BK115-BK119-BK120</f>
        <v>909075.99963056843</v>
      </c>
      <c r="BL121" s="583">
        <f t="shared" ref="BL121" si="771">BL115-BL119-BL120</f>
        <v>887362.59482410667</v>
      </c>
      <c r="BM121" s="583">
        <f t="shared" ref="BM121" si="772">BM115-BM119-BM120</f>
        <v>865895.61660932365</v>
      </c>
      <c r="BN121" s="583">
        <f t="shared" ref="BN121" si="773">BN115-BN119-BN120</f>
        <v>844662.84132819402</v>
      </c>
      <c r="BQ121" s="650"/>
      <c r="BR121" s="650"/>
      <c r="BS121" s="650"/>
      <c r="BT121" s="650"/>
      <c r="BU121" s="650"/>
      <c r="BV121" s="650"/>
      <c r="BW121" s="650"/>
      <c r="BX121" s="650"/>
      <c r="BY121" s="650"/>
      <c r="BZ121" s="650"/>
      <c r="CA121" s="650"/>
      <c r="CB121" s="650"/>
      <c r="CC121" s="650"/>
      <c r="CD121" s="650"/>
      <c r="CE121" s="650"/>
      <c r="CF121" s="650"/>
      <c r="CG121" s="650"/>
      <c r="CH121" s="650"/>
      <c r="CI121" s="650"/>
      <c r="CJ121" s="650"/>
      <c r="CK121" s="650"/>
      <c r="CL121" s="650"/>
    </row>
    <row r="122" spans="1:90" s="61" customFormat="1">
      <c r="A122" s="602"/>
      <c r="B122" s="54" t="s">
        <v>804</v>
      </c>
      <c r="C122" s="55" t="s">
        <v>1420</v>
      </c>
      <c r="D122" s="580">
        <f>D116</f>
        <v>103598.39231850725</v>
      </c>
      <c r="E122" s="580">
        <f t="shared" ref="E122:AH122" si="774">E116</f>
        <v>102001.91093587238</v>
      </c>
      <c r="F122" s="580">
        <f t="shared" si="774"/>
        <v>100131.24898881766</v>
      </c>
      <c r="G122" s="580">
        <f t="shared" si="774"/>
        <v>98258.298065988245</v>
      </c>
      <c r="H122" s="580">
        <f t="shared" si="774"/>
        <v>96383.270412359328</v>
      </c>
      <c r="I122" s="580">
        <f t="shared" si="774"/>
        <v>94506.377586427814</v>
      </c>
      <c r="J122" s="580">
        <f t="shared" si="774"/>
        <v>92678.785929663049</v>
      </c>
      <c r="K122" s="580">
        <f t="shared" si="774"/>
        <v>90856.703588675242</v>
      </c>
      <c r="L122" s="580">
        <f t="shared" si="774"/>
        <v>89040.303331296294</v>
      </c>
      <c r="M122" s="580">
        <f t="shared" si="774"/>
        <v>87229.75838901283</v>
      </c>
      <c r="N122" s="580">
        <f t="shared" si="774"/>
        <v>85425.24249448019</v>
      </c>
      <c r="O122" s="580">
        <f t="shared" si="774"/>
        <v>83659.446346614248</v>
      </c>
      <c r="P122" s="580">
        <f t="shared" si="774"/>
        <v>81905.568051256996</v>
      </c>
      <c r="Q122" s="580">
        <f t="shared" si="774"/>
        <v>80164.950325185768</v>
      </c>
      <c r="R122" s="580">
        <f t="shared" si="774"/>
        <v>78436.60912929129</v>
      </c>
      <c r="S122" s="580">
        <f t="shared" si="774"/>
        <v>76720.682917077254</v>
      </c>
      <c r="T122" s="580">
        <f t="shared" si="774"/>
        <v>74959.762800391676</v>
      </c>
      <c r="U122" s="580">
        <f t="shared" si="774"/>
        <v>73212.371051168811</v>
      </c>
      <c r="V122" s="580">
        <f t="shared" si="774"/>
        <v>71478.645059961142</v>
      </c>
      <c r="W122" s="580">
        <f t="shared" si="774"/>
        <v>69758.722435744261</v>
      </c>
      <c r="X122" s="580">
        <f t="shared" si="774"/>
        <v>68052.741076614577</v>
      </c>
      <c r="Y122" s="580">
        <f t="shared" si="774"/>
        <v>65962.552791717229</v>
      </c>
      <c r="Z122" s="580">
        <f t="shared" si="774"/>
        <v>63889.770326330836</v>
      </c>
      <c r="AA122" s="580">
        <f t="shared" si="774"/>
        <v>61837.654510142311</v>
      </c>
      <c r="AB122" s="580">
        <f t="shared" si="774"/>
        <v>59803.195379073346</v>
      </c>
      <c r="AC122" s="580">
        <f t="shared" si="774"/>
        <v>57786.458863547748</v>
      </c>
      <c r="AD122" s="580">
        <f t="shared" si="774"/>
        <v>55790.77912007102</v>
      </c>
      <c r="AE122" s="580">
        <f t="shared" si="774"/>
        <v>53813.137382778346</v>
      </c>
      <c r="AF122" s="580">
        <f t="shared" si="774"/>
        <v>51853.571499904341</v>
      </c>
      <c r="AG122" s="580">
        <f t="shared" si="774"/>
        <v>49912.109298877076</v>
      </c>
      <c r="AH122" s="580">
        <f t="shared" si="774"/>
        <v>47988.768188749644</v>
      </c>
      <c r="AI122" s="580"/>
      <c r="AJ122" s="580">
        <f>AJ116</f>
        <v>103598.39231850725</v>
      </c>
      <c r="AK122" s="580">
        <f t="shared" ref="AK122:BN122" si="775">AK116</f>
        <v>102330.09776569155</v>
      </c>
      <c r="AL122" s="580">
        <f t="shared" si="775"/>
        <v>100775.11325027951</v>
      </c>
      <c r="AM122" s="580">
        <f t="shared" si="775"/>
        <v>99205.456591071532</v>
      </c>
      <c r="AN122" s="580">
        <f t="shared" si="775"/>
        <v>97621.466037083912</v>
      </c>
      <c r="AO122" s="580">
        <f t="shared" si="775"/>
        <v>96023.478970718599</v>
      </c>
      <c r="AP122" s="580">
        <f t="shared" si="775"/>
        <v>94462.782845044625</v>
      </c>
      <c r="AQ122" s="580">
        <f t="shared" si="775"/>
        <v>92895.712947361666</v>
      </c>
      <c r="AR122" s="580">
        <f t="shared" si="775"/>
        <v>91322.566716482339</v>
      </c>
      <c r="AS122" s="580">
        <f t="shared" si="775"/>
        <v>89743.64193116987</v>
      </c>
      <c r="AT122" s="580">
        <f t="shared" si="775"/>
        <v>88159.236795755976</v>
      </c>
      <c r="AU122" s="580">
        <f t="shared" si="775"/>
        <v>86675.597004600771</v>
      </c>
      <c r="AV122" s="580">
        <f t="shared" si="775"/>
        <v>85196.391682595538</v>
      </c>
      <c r="AW122" s="580">
        <f t="shared" si="775"/>
        <v>83723.727204739087</v>
      </c>
      <c r="AX122" s="580">
        <f t="shared" si="775"/>
        <v>82256.049432685802</v>
      </c>
      <c r="AY122" s="580">
        <f t="shared" si="775"/>
        <v>80793.569341711453</v>
      </c>
      <c r="AZ122" s="580">
        <f t="shared" si="775"/>
        <v>79275.558706122189</v>
      </c>
      <c r="BA122" s="580">
        <f t="shared" si="775"/>
        <v>77763.579603769685</v>
      </c>
      <c r="BB122" s="580">
        <f t="shared" si="775"/>
        <v>76257.840953282692</v>
      </c>
      <c r="BC122" s="580">
        <f t="shared" si="775"/>
        <v>74758.55166206877</v>
      </c>
      <c r="BD122" s="580">
        <f t="shared" si="775"/>
        <v>73265.920784767193</v>
      </c>
      <c r="BE122" s="580">
        <f t="shared" si="775"/>
        <v>71433.554513999858</v>
      </c>
      <c r="BF122" s="580">
        <f t="shared" si="775"/>
        <v>69608.764460472361</v>
      </c>
      <c r="BG122" s="580">
        <f t="shared" si="775"/>
        <v>67796.720201748176</v>
      </c>
      <c r="BH122" s="580">
        <f t="shared" si="775"/>
        <v>65992.733568320735</v>
      </c>
      <c r="BI122" s="580">
        <f t="shared" si="775"/>
        <v>64196.95527582684</v>
      </c>
      <c r="BJ122" s="580">
        <f t="shared" si="775"/>
        <v>62412.796688651877</v>
      </c>
      <c r="BK122" s="580">
        <f t="shared" si="775"/>
        <v>60637.322280806606</v>
      </c>
      <c r="BL122" s="580">
        <f t="shared" si="775"/>
        <v>58870.64725414342</v>
      </c>
      <c r="BM122" s="580">
        <f t="shared" si="775"/>
        <v>57112.874845666804</v>
      </c>
      <c r="BN122" s="580">
        <f t="shared" si="775"/>
        <v>55364.096212270349</v>
      </c>
      <c r="BQ122" s="649"/>
      <c r="BR122" s="649"/>
      <c r="BS122" s="649"/>
      <c r="BT122" s="649"/>
      <c r="BU122" s="649"/>
      <c r="BV122" s="649"/>
      <c r="BW122" s="649"/>
      <c r="BX122" s="649"/>
      <c r="BY122" s="649"/>
      <c r="BZ122" s="649"/>
      <c r="CA122" s="649"/>
      <c r="CB122" s="649"/>
      <c r="CC122" s="649"/>
      <c r="CD122" s="649"/>
      <c r="CE122" s="649"/>
      <c r="CF122" s="649"/>
      <c r="CG122" s="649"/>
      <c r="CH122" s="649"/>
      <c r="CI122" s="649"/>
      <c r="CJ122" s="649"/>
      <c r="CK122" s="649"/>
      <c r="CL122" s="649"/>
    </row>
    <row r="123" spans="1:90">
      <c r="A123" s="603"/>
      <c r="B123" s="1" t="s">
        <v>1063</v>
      </c>
      <c r="C123" s="50" t="s">
        <v>1420</v>
      </c>
      <c r="D123" s="576">
        <f>D117</f>
        <v>0</v>
      </c>
      <c r="E123" s="576">
        <f t="shared" ref="E123:AH123" si="776">E117</f>
        <v>0</v>
      </c>
      <c r="F123" s="576">
        <f t="shared" si="776"/>
        <v>0</v>
      </c>
      <c r="G123" s="576">
        <f t="shared" si="776"/>
        <v>0</v>
      </c>
      <c r="H123" s="576">
        <f t="shared" si="776"/>
        <v>0</v>
      </c>
      <c r="I123" s="576">
        <f t="shared" si="776"/>
        <v>0</v>
      </c>
      <c r="J123" s="576">
        <f t="shared" si="776"/>
        <v>0</v>
      </c>
      <c r="K123" s="576">
        <f t="shared" si="776"/>
        <v>0</v>
      </c>
      <c r="L123" s="576">
        <f t="shared" si="776"/>
        <v>0</v>
      </c>
      <c r="M123" s="576">
        <f t="shared" si="776"/>
        <v>0</v>
      </c>
      <c r="N123" s="576">
        <f t="shared" si="776"/>
        <v>0</v>
      </c>
      <c r="O123" s="576">
        <f t="shared" si="776"/>
        <v>0</v>
      </c>
      <c r="P123" s="576">
        <f t="shared" si="776"/>
        <v>0</v>
      </c>
      <c r="Q123" s="576">
        <f t="shared" si="776"/>
        <v>0</v>
      </c>
      <c r="R123" s="576">
        <f t="shared" si="776"/>
        <v>0</v>
      </c>
      <c r="S123" s="576">
        <f t="shared" si="776"/>
        <v>0</v>
      </c>
      <c r="T123" s="576">
        <f t="shared" si="776"/>
        <v>0</v>
      </c>
      <c r="U123" s="576">
        <f t="shared" si="776"/>
        <v>0</v>
      </c>
      <c r="V123" s="576">
        <f t="shared" si="776"/>
        <v>0</v>
      </c>
      <c r="W123" s="576">
        <f t="shared" si="776"/>
        <v>0</v>
      </c>
      <c r="X123" s="576">
        <f t="shared" si="776"/>
        <v>0</v>
      </c>
      <c r="Y123" s="576">
        <f t="shared" si="776"/>
        <v>0</v>
      </c>
      <c r="Z123" s="576">
        <f t="shared" si="776"/>
        <v>0</v>
      </c>
      <c r="AA123" s="576">
        <f t="shared" si="776"/>
        <v>0</v>
      </c>
      <c r="AB123" s="576">
        <f t="shared" si="776"/>
        <v>0</v>
      </c>
      <c r="AC123" s="576">
        <f t="shared" si="776"/>
        <v>0</v>
      </c>
      <c r="AD123" s="576">
        <f t="shared" si="776"/>
        <v>0</v>
      </c>
      <c r="AE123" s="576">
        <f t="shared" si="776"/>
        <v>0</v>
      </c>
      <c r="AF123" s="576">
        <f t="shared" si="776"/>
        <v>0</v>
      </c>
      <c r="AG123" s="576">
        <f t="shared" si="776"/>
        <v>0</v>
      </c>
      <c r="AH123" s="576">
        <f t="shared" si="776"/>
        <v>0</v>
      </c>
      <c r="AI123" s="576"/>
      <c r="AJ123" s="576">
        <f>AJ117</f>
        <v>0</v>
      </c>
      <c r="AK123" s="576">
        <f t="shared" ref="AK123:BN123" si="777">AK117</f>
        <v>0</v>
      </c>
      <c r="AL123" s="576">
        <f t="shared" si="777"/>
        <v>0</v>
      </c>
      <c r="AM123" s="576">
        <f t="shared" si="777"/>
        <v>0</v>
      </c>
      <c r="AN123" s="576">
        <f t="shared" si="777"/>
        <v>0</v>
      </c>
      <c r="AO123" s="576">
        <f t="shared" si="777"/>
        <v>0</v>
      </c>
      <c r="AP123" s="576">
        <f t="shared" si="777"/>
        <v>0</v>
      </c>
      <c r="AQ123" s="576">
        <f t="shared" si="777"/>
        <v>0</v>
      </c>
      <c r="AR123" s="576">
        <f t="shared" si="777"/>
        <v>0</v>
      </c>
      <c r="AS123" s="576">
        <f t="shared" si="777"/>
        <v>0</v>
      </c>
      <c r="AT123" s="576">
        <f t="shared" si="777"/>
        <v>0</v>
      </c>
      <c r="AU123" s="576">
        <f t="shared" si="777"/>
        <v>0</v>
      </c>
      <c r="AV123" s="576">
        <f t="shared" si="777"/>
        <v>0</v>
      </c>
      <c r="AW123" s="576">
        <f t="shared" si="777"/>
        <v>0</v>
      </c>
      <c r="AX123" s="576">
        <f t="shared" si="777"/>
        <v>0</v>
      </c>
      <c r="AY123" s="576">
        <f t="shared" si="777"/>
        <v>0</v>
      </c>
      <c r="AZ123" s="576">
        <f t="shared" si="777"/>
        <v>0</v>
      </c>
      <c r="BA123" s="576">
        <f t="shared" si="777"/>
        <v>0</v>
      </c>
      <c r="BB123" s="576">
        <f t="shared" si="777"/>
        <v>0</v>
      </c>
      <c r="BC123" s="576">
        <f t="shared" si="777"/>
        <v>0</v>
      </c>
      <c r="BD123" s="576">
        <f t="shared" si="777"/>
        <v>0</v>
      </c>
      <c r="BE123" s="576">
        <f t="shared" si="777"/>
        <v>0</v>
      </c>
      <c r="BF123" s="576">
        <f t="shared" si="777"/>
        <v>0</v>
      </c>
      <c r="BG123" s="576">
        <f t="shared" si="777"/>
        <v>0</v>
      </c>
      <c r="BH123" s="576">
        <f t="shared" si="777"/>
        <v>0</v>
      </c>
      <c r="BI123" s="576">
        <f t="shared" si="777"/>
        <v>0</v>
      </c>
      <c r="BJ123" s="576">
        <f t="shared" si="777"/>
        <v>0</v>
      </c>
      <c r="BK123" s="576">
        <f t="shared" si="777"/>
        <v>0</v>
      </c>
      <c r="BL123" s="576">
        <f t="shared" si="777"/>
        <v>0</v>
      </c>
      <c r="BM123" s="576">
        <f t="shared" si="777"/>
        <v>0</v>
      </c>
      <c r="BN123" s="576">
        <f t="shared" si="777"/>
        <v>0</v>
      </c>
    </row>
    <row r="124" spans="1:90" s="62" customFormat="1">
      <c r="A124" s="604"/>
      <c r="B124" s="58" t="s">
        <v>27</v>
      </c>
      <c r="C124" s="233" t="s">
        <v>1420</v>
      </c>
      <c r="D124" s="579">
        <f>D118-D119-D120</f>
        <v>1369161.5892787694</v>
      </c>
      <c r="E124" s="579">
        <f t="shared" ref="E124:AH124" si="778">E118-E119-E120</f>
        <v>1345073.5545345244</v>
      </c>
      <c r="F124" s="579">
        <f t="shared" si="778"/>
        <v>1320879.0432949716</v>
      </c>
      <c r="G124" s="579">
        <f t="shared" si="778"/>
        <v>1296754.2596499936</v>
      </c>
      <c r="H124" s="579">
        <f t="shared" si="778"/>
        <v>1272697.2866503594</v>
      </c>
      <c r="I124" s="579">
        <f t="shared" si="778"/>
        <v>1248703.972607502</v>
      </c>
      <c r="J124" s="579">
        <f t="shared" si="778"/>
        <v>1225436.5130273267</v>
      </c>
      <c r="K124" s="579">
        <f t="shared" si="778"/>
        <v>1202300.2470676615</v>
      </c>
      <c r="L124" s="579">
        <f t="shared" si="778"/>
        <v>1179266.5379972467</v>
      </c>
      <c r="M124" s="579">
        <f t="shared" si="778"/>
        <v>1156286.4615125428</v>
      </c>
      <c r="N124" s="579">
        <f t="shared" si="778"/>
        <v>1133281.4443481397</v>
      </c>
      <c r="O124" s="579">
        <f t="shared" si="778"/>
        <v>1110117.9539551178</v>
      </c>
      <c r="P124" s="579">
        <f t="shared" si="778"/>
        <v>1086696.4572886601</v>
      </c>
      <c r="Q124" s="579">
        <f t="shared" si="778"/>
        <v>1062890.5857301287</v>
      </c>
      <c r="R124" s="579">
        <f t="shared" si="778"/>
        <v>1038600.3638380717</v>
      </c>
      <c r="S124" s="579">
        <f t="shared" si="778"/>
        <v>1013837.1947581358</v>
      </c>
      <c r="T124" s="579">
        <f t="shared" si="778"/>
        <v>987990.46845018549</v>
      </c>
      <c r="U124" s="579">
        <f t="shared" si="778"/>
        <v>962097.26420909422</v>
      </c>
      <c r="V124" s="579">
        <f t="shared" si="778"/>
        <v>936466.43318979663</v>
      </c>
      <c r="W124" s="579">
        <f t="shared" si="778"/>
        <v>911362.97933824442</v>
      </c>
      <c r="X124" s="579">
        <f t="shared" si="778"/>
        <v>886953.44128197629</v>
      </c>
      <c r="Y124" s="579">
        <f t="shared" si="778"/>
        <v>857837.78978534916</v>
      </c>
      <c r="Z124" s="579">
        <f t="shared" si="778"/>
        <v>829488.99663458799</v>
      </c>
      <c r="AA124" s="579">
        <f t="shared" si="778"/>
        <v>801912.38520762196</v>
      </c>
      <c r="AB124" s="579">
        <f t="shared" si="778"/>
        <v>774995.5494071698</v>
      </c>
      <c r="AC124" s="579">
        <f t="shared" si="778"/>
        <v>748665.94380071166</v>
      </c>
      <c r="AD124" s="579">
        <f t="shared" si="778"/>
        <v>722907.00820304104</v>
      </c>
      <c r="AE124" s="579">
        <f t="shared" si="778"/>
        <v>697616.97784409474</v>
      </c>
      <c r="AF124" s="579">
        <f t="shared" si="778"/>
        <v>672751.91275462601</v>
      </c>
      <c r="AG124" s="579">
        <f t="shared" si="778"/>
        <v>648278.01780813327</v>
      </c>
      <c r="AH124" s="579">
        <f t="shared" si="778"/>
        <v>624169.84116855415</v>
      </c>
      <c r="AI124" s="579"/>
      <c r="AJ124" s="579">
        <f>AJ118-AJ119-AJ120</f>
        <v>1369162.06289165</v>
      </c>
      <c r="AK124" s="579">
        <f t="shared" ref="AK124:BN124" si="779">AK118-AK119-AK120</f>
        <v>1350102.5963471509</v>
      </c>
      <c r="AL124" s="579">
        <f t="shared" si="779"/>
        <v>1330892.9495679454</v>
      </c>
      <c r="AM124" s="579">
        <f t="shared" si="779"/>
        <v>1311709.840035374</v>
      </c>
      <c r="AN124" s="579">
        <f t="shared" si="779"/>
        <v>1292552.4455966011</v>
      </c>
      <c r="AO124" s="579">
        <f t="shared" si="779"/>
        <v>1273418.8270314126</v>
      </c>
      <c r="AP124" s="579">
        <f t="shared" si="779"/>
        <v>1254975.2645512868</v>
      </c>
      <c r="AQ124" s="579">
        <f t="shared" si="779"/>
        <v>1236635.0046003265</v>
      </c>
      <c r="AR124" s="579">
        <f t="shared" si="779"/>
        <v>1218383.5566958538</v>
      </c>
      <c r="AS124" s="579">
        <f t="shared" si="779"/>
        <v>1200196.2882259625</v>
      </c>
      <c r="AT124" s="579">
        <f t="shared" si="779"/>
        <v>1182033.7438259379</v>
      </c>
      <c r="AU124" s="579">
        <f t="shared" si="779"/>
        <v>1164376.9521059527</v>
      </c>
      <c r="AV124" s="579">
        <f t="shared" si="779"/>
        <v>1146611.4738281325</v>
      </c>
      <c r="AW124" s="579">
        <f t="shared" si="779"/>
        <v>1128678.2747837685</v>
      </c>
      <c r="AX124" s="579">
        <f t="shared" si="779"/>
        <v>1110523.9244117062</v>
      </c>
      <c r="AY124" s="579">
        <f t="shared" si="779"/>
        <v>1092154.1933355879</v>
      </c>
      <c r="AZ124" s="579">
        <f t="shared" si="779"/>
        <v>1072839.0981652583</v>
      </c>
      <c r="BA124" s="579">
        <f t="shared" si="779"/>
        <v>1053522.0074717645</v>
      </c>
      <c r="BB124" s="579">
        <f t="shared" si="779"/>
        <v>1034357.4243041313</v>
      </c>
      <c r="BC124" s="579">
        <f t="shared" si="779"/>
        <v>1015477.9309686329</v>
      </c>
      <c r="BD124" s="579">
        <f t="shared" si="779"/>
        <v>996966.88008401997</v>
      </c>
      <c r="BE124" s="579">
        <f t="shared" si="779"/>
        <v>974582.61529925594</v>
      </c>
      <c r="BF124" s="579">
        <f t="shared" si="779"/>
        <v>952617.18537365668</v>
      </c>
      <c r="BG124" s="579">
        <f t="shared" si="779"/>
        <v>931093.37967256585</v>
      </c>
      <c r="BH124" s="579">
        <f t="shared" si="779"/>
        <v>909938.22660260159</v>
      </c>
      <c r="BI124" s="579">
        <f t="shared" si="779"/>
        <v>889115.80178785417</v>
      </c>
      <c r="BJ124" s="579">
        <f t="shared" si="779"/>
        <v>868639.43255704467</v>
      </c>
      <c r="BK124" s="579">
        <f t="shared" si="779"/>
        <v>848438.67734976171</v>
      </c>
      <c r="BL124" s="579">
        <f t="shared" si="779"/>
        <v>828491.94756996306</v>
      </c>
      <c r="BM124" s="579">
        <f t="shared" si="779"/>
        <v>808782.74176365684</v>
      </c>
      <c r="BN124" s="579">
        <f t="shared" si="779"/>
        <v>789298.7451159237</v>
      </c>
      <c r="BQ124" s="623"/>
      <c r="BR124" s="623"/>
      <c r="BS124" s="623"/>
      <c r="BT124" s="623"/>
      <c r="BU124" s="623"/>
      <c r="BV124" s="623"/>
      <c r="BW124" s="623"/>
      <c r="BX124" s="623"/>
      <c r="BY124" s="623"/>
      <c r="BZ124" s="623"/>
      <c r="CA124" s="623"/>
      <c r="CB124" s="623"/>
      <c r="CC124" s="623"/>
      <c r="CD124" s="623"/>
      <c r="CE124" s="623"/>
      <c r="CF124" s="623"/>
      <c r="CG124" s="623"/>
      <c r="CH124" s="623"/>
      <c r="CI124" s="623"/>
      <c r="CJ124" s="623"/>
      <c r="CK124" s="623"/>
      <c r="CL124" s="623"/>
    </row>
    <row r="125" spans="1:90" s="371" customFormat="1">
      <c r="A125" s="370" t="s">
        <v>647</v>
      </c>
      <c r="C125" s="374" t="s">
        <v>1420</v>
      </c>
      <c r="D125" s="585">
        <f>'Methanol Recycling HC'!C342</f>
        <v>46207.838899165487</v>
      </c>
      <c r="E125" s="585">
        <f>'Methanol Recycling HC'!D342</f>
        <v>50828.302201567822</v>
      </c>
      <c r="F125" s="585">
        <f>'Methanol Recycling HC'!E342</f>
        <v>55227.714673389804</v>
      </c>
      <c r="G125" s="585">
        <f>'Methanol Recycling HC'!F342</f>
        <v>59407.861017210409</v>
      </c>
      <c r="H125" s="585">
        <f>'Methanol Recycling HC'!G342</f>
        <v>63369.275228840321</v>
      </c>
      <c r="I125" s="585">
        <f>'Methanol Recycling HC'!H342</f>
        <v>67110.219670820035</v>
      </c>
      <c r="J125" s="585">
        <f>'Methanol Recycling HC'!I342</f>
        <v>70180.020785313085</v>
      </c>
      <c r="K125" s="585">
        <f>'Methanol Recycling HC'!J342</f>
        <v>72973.362791135733</v>
      </c>
      <c r="L125" s="585">
        <f>'Methanol Recycling HC'!K342</f>
        <v>75468.826986872751</v>
      </c>
      <c r="M125" s="585">
        <f>'Methanol Recycling HC'!L342</f>
        <v>77624.519266668634</v>
      </c>
      <c r="N125" s="585">
        <f>'Methanol Recycling HC'!M342</f>
        <v>79368.713953130718</v>
      </c>
      <c r="O125" s="585">
        <f>'Methanol Recycling HC'!N342</f>
        <v>79222.263861200132</v>
      </c>
      <c r="P125" s="585">
        <f>'Methanol Recycling HC'!O342</f>
        <v>78527.850583264255</v>
      </c>
      <c r="Q125" s="585">
        <f>'Methanol Recycling HC'!P342</f>
        <v>77147.590613906679</v>
      </c>
      <c r="R125" s="585">
        <f>'Methanol Recycling HC'!Q342</f>
        <v>74998.492167940538</v>
      </c>
      <c r="S125" s="585">
        <f>'Methanol Recycling HC'!R342</f>
        <v>72095.415293266735</v>
      </c>
      <c r="T125" s="585">
        <f>'Methanol Recycling HC'!S342</f>
        <v>68590.90384514365</v>
      </c>
      <c r="U125" s="585">
        <f>'Methanol Recycling HC'!T342</f>
        <v>64754.307457312229</v>
      </c>
      <c r="V125" s="585">
        <f>'Methanol Recycling HC'!U342</f>
        <v>60897.672223158166</v>
      </c>
      <c r="W125" s="585">
        <f>'Methanol Recycling HC'!V342</f>
        <v>57289.113858599303</v>
      </c>
      <c r="X125" s="585">
        <f>'Methanol Recycling HC'!W342</f>
        <v>54098.201311860998</v>
      </c>
      <c r="Y125" s="585">
        <f>'Methanol Recycling HC'!X342</f>
        <v>52104.411446612743</v>
      </c>
      <c r="Z125" s="585">
        <f>'Methanol Recycling HC'!Y342</f>
        <v>50476.409520902584</v>
      </c>
      <c r="AA125" s="585">
        <f>'Methanol Recycling HC'!Z342</f>
        <v>49162.701563658047</v>
      </c>
      <c r="AB125" s="585">
        <f>'Methanol Recycling HC'!AA342</f>
        <v>48109.933453828497</v>
      </c>
      <c r="AC125" s="585">
        <f>'Methanol Recycling HC'!AB342</f>
        <v>47249.92836880876</v>
      </c>
      <c r="AD125" s="585">
        <f>'Methanol Recycling HC'!AC342</f>
        <v>46511.771391759496</v>
      </c>
      <c r="AE125" s="585">
        <f>'Methanol Recycling HC'!AD342</f>
        <v>45853.899162165711</v>
      </c>
      <c r="AF125" s="585">
        <f>'Methanol Recycling HC'!AE342</f>
        <v>45236.482764631808</v>
      </c>
      <c r="AG125" s="585">
        <f>'Methanol Recycling HC'!AF342</f>
        <v>44629.71865343531</v>
      </c>
      <c r="AH125" s="585">
        <f>'Methanol Recycling HC'!AG342</f>
        <v>44012.028554733755</v>
      </c>
      <c r="AI125" s="585"/>
      <c r="AJ125" s="585">
        <f>'Methanol Recycling LC'!C342</f>
        <v>46208.26483912018</v>
      </c>
      <c r="AK125" s="585">
        <f>'Methanol Recycling LC'!D342</f>
        <v>50829.347487963874</v>
      </c>
      <c r="AL125" s="585">
        <f>'Methanol Recycling LC'!E342</f>
        <v>55230.173502476238</v>
      </c>
      <c r="AM125" s="585">
        <f>'Methanol Recycling LC'!F342</f>
        <v>59413.02586934701</v>
      </c>
      <c r="AN125" s="585">
        <f>'Methanol Recycling LC'!G342</f>
        <v>63379.507923782425</v>
      </c>
      <c r="AO125" s="585">
        <f>'Methanol Recycling LC'!H342</f>
        <v>67129.953616845523</v>
      </c>
      <c r="AP125" s="585">
        <f>'Methanol Recycling LC'!I342</f>
        <v>70439.888240626402</v>
      </c>
      <c r="AQ125" s="585">
        <f>'Methanol Recycling LC'!J342</f>
        <v>73507.128437643682</v>
      </c>
      <c r="AR125" s="585">
        <f>'Methanol Recycling LC'!K342</f>
        <v>76320.577400824317</v>
      </c>
      <c r="AS125" s="585">
        <f>'Methanol Recycling LC'!L342</f>
        <v>78857.51381710943</v>
      </c>
      <c r="AT125" s="585">
        <f>'Methanol Recycling LC'!M342</f>
        <v>81078.178196403882</v>
      </c>
      <c r="AU125" s="585">
        <f>'Methanol Recycling LC'!N342</f>
        <v>81513.653588831105</v>
      </c>
      <c r="AV125" s="585">
        <f>'Methanol Recycling LC'!O342</f>
        <v>81583.687894253235</v>
      </c>
      <c r="AW125" s="585">
        <f>'Methanol Recycling LC'!P342</f>
        <v>81210.601499417884</v>
      </c>
      <c r="AX125" s="585">
        <f>'Methanol Recycling LC'!Q342</f>
        <v>80343.028128348335</v>
      </c>
      <c r="AY125" s="585">
        <f>'Methanol Recycling LC'!R342</f>
        <v>78986.299978243653</v>
      </c>
      <c r="AZ125" s="585">
        <f>'Methanol Recycling LC'!S342</f>
        <v>77224.292684597778</v>
      </c>
      <c r="BA125" s="585">
        <f>'Methanol Recycling LC'!T342</f>
        <v>75208.7782670288</v>
      </c>
      <c r="BB125" s="585">
        <f>'Methanol Recycling LC'!U342</f>
        <v>73118.021459562995</v>
      </c>
      <c r="BC125" s="585">
        <f>'Methanol Recycling LC'!V342</f>
        <v>71107.32854839995</v>
      </c>
      <c r="BD125" s="585">
        <f>'Methanol Recycling LC'!W342</f>
        <v>69277.102131627573</v>
      </c>
      <c r="BE125" s="585">
        <f>'Methanol Recycling LC'!X342</f>
        <v>68610.671117890204</v>
      </c>
      <c r="BF125" s="585">
        <f>'Methanol Recycling LC'!Y342</f>
        <v>68072.176371521142</v>
      </c>
      <c r="BG125" s="585">
        <f>'Methanol Recycling LC'!Z342</f>
        <v>67637.229851185402</v>
      </c>
      <c r="BH125" s="585">
        <f>'Methanol Recycling LC'!AA342</f>
        <v>67276.128036067224</v>
      </c>
      <c r="BI125" s="585">
        <f>'Methanol Recycling LC'!AB342</f>
        <v>66952.020765173773</v>
      </c>
      <c r="BJ125" s="585">
        <f>'Methanol Recycling LC'!AC342</f>
        <v>66625.14679204089</v>
      </c>
      <c r="BK125" s="585">
        <f>'Methanol Recycling LC'!AD342</f>
        <v>66273.942293616492</v>
      </c>
      <c r="BL125" s="585">
        <f>'Methanol Recycling LC'!AE342</f>
        <v>65876.816692788474</v>
      </c>
      <c r="BM125" s="585">
        <f>'Methanol Recycling LC'!AF342</f>
        <v>65417.78638626785</v>
      </c>
      <c r="BN125" s="585">
        <f>'Methanol Recycling LC'!AG342</f>
        <v>64885.501882683253</v>
      </c>
      <c r="BQ125" s="646"/>
      <c r="BR125" s="646"/>
      <c r="BS125" s="646"/>
      <c r="BT125" s="646"/>
      <c r="BU125" s="646"/>
      <c r="BV125" s="646"/>
      <c r="BW125" s="646"/>
      <c r="BX125" s="646"/>
      <c r="BY125" s="646"/>
      <c r="BZ125" s="646"/>
      <c r="CA125" s="646"/>
      <c r="CB125" s="646"/>
      <c r="CC125" s="646"/>
      <c r="CD125" s="646"/>
      <c r="CE125" s="646"/>
      <c r="CF125" s="646"/>
      <c r="CG125" s="646"/>
      <c r="CH125" s="646"/>
      <c r="CI125" s="646"/>
      <c r="CJ125" s="646"/>
      <c r="CK125" s="646"/>
      <c r="CL125" s="646"/>
    </row>
    <row r="126" spans="1:90" s="373" customFormat="1">
      <c r="A126" s="372" t="s">
        <v>648</v>
      </c>
      <c r="C126" s="376" t="s">
        <v>1420</v>
      </c>
      <c r="D126" s="586">
        <f>'Methanol Recycling HC'!C343</f>
        <v>478051.72359857522</v>
      </c>
      <c r="E126" s="586">
        <f>'Methanol Recycling HC'!D343</f>
        <v>468768.86689101107</v>
      </c>
      <c r="F126" s="586">
        <f>'Methanol Recycling HC'!E343</f>
        <v>459444.59633939771</v>
      </c>
      <c r="G126" s="586">
        <f>'Methanol Recycling HC'!F343</f>
        <v>450078.29321203602</v>
      </c>
      <c r="H126" s="586">
        <f>'Methanol Recycling HC'!G343</f>
        <v>440668.24357712432</v>
      </c>
      <c r="I126" s="586">
        <f>'Methanol Recycling HC'!H343</f>
        <v>431210.49385905085</v>
      </c>
      <c r="J126" s="586">
        <f>'Methanol Recycling HC'!I343</f>
        <v>419492.79412140726</v>
      </c>
      <c r="K126" s="586">
        <f>'Methanol Recycling HC'!J343</f>
        <v>407813.19944217394</v>
      </c>
      <c r="L126" s="586">
        <f>'Methanol Recycling HC'!K343</f>
        <v>396143.18878619367</v>
      </c>
      <c r="M126" s="586">
        <f>'Methanol Recycling HC'!L343</f>
        <v>384433.94891327294</v>
      </c>
      <c r="N126" s="586">
        <f>'Methanol Recycling HC'!M343</f>
        <v>372607.0127607967</v>
      </c>
      <c r="O126" s="586">
        <f>'Methanol Recycling HC'!N343</f>
        <v>363019.19209048752</v>
      </c>
      <c r="P126" s="586">
        <f>'Methanol Recycling HC'!O343</f>
        <v>353069.18037580384</v>
      </c>
      <c r="Q126" s="586">
        <f>'Methanol Recycling HC'!P343</f>
        <v>342572.39916295058</v>
      </c>
      <c r="R126" s="586">
        <f>'Methanol Recycling HC'!Q343</f>
        <v>331486.73643750238</v>
      </c>
      <c r="S126" s="586">
        <f>'Methanol Recycling HC'!R343</f>
        <v>319823.45390311477</v>
      </c>
      <c r="T126" s="586">
        <f>'Methanol Recycling HC'!S343</f>
        <v>307731.62345053576</v>
      </c>
      <c r="U126" s="586">
        <f>'Methanol Recycling HC'!T343</f>
        <v>295477.12014085741</v>
      </c>
      <c r="V126" s="586">
        <f>'Methanol Recycling HC'!U343</f>
        <v>283368.63897236699</v>
      </c>
      <c r="W126" s="586">
        <f>'Methanol Recycling HC'!V343</f>
        <v>271671.02249522822</v>
      </c>
      <c r="X126" s="586">
        <f>'Methanol Recycling HC'!W343</f>
        <v>260550.64228197117</v>
      </c>
      <c r="Y126" s="586">
        <f>'Methanol Recycling HC'!X343</f>
        <v>246966.86724322013</v>
      </c>
      <c r="Z126" s="586">
        <f>'Methanol Recycling HC'!Y343</f>
        <v>233999.97433355259</v>
      </c>
      <c r="AA126" s="586">
        <f>'Methanol Recycling HC'!Z343</f>
        <v>221517.76260977107</v>
      </c>
      <c r="AB126" s="586">
        <f>'Methanol Recycling HC'!AA343</f>
        <v>209543.54006633942</v>
      </c>
      <c r="AC126" s="586">
        <f>'Methanol Recycling HC'!AB343</f>
        <v>198004.72501068845</v>
      </c>
      <c r="AD126" s="586">
        <f>'Methanol Recycling HC'!AC343</f>
        <v>186802.56334743014</v>
      </c>
      <c r="AE126" s="586">
        <f>'Methanol Recycling HC'!AD343</f>
        <v>175917.88034959327</v>
      </c>
      <c r="AF126" s="586">
        <f>'Methanol Recycling HC'!AE343</f>
        <v>165306.63484921653</v>
      </c>
      <c r="AG126" s="586">
        <f>'Methanol Recycling HC'!AF343</f>
        <v>154934.90705779672</v>
      </c>
      <c r="AH126" s="586">
        <f>'Methanol Recycling HC'!AG343</f>
        <v>144777.09582387281</v>
      </c>
      <c r="AI126" s="586"/>
      <c r="AJ126" s="586">
        <f>'Methanol Recycling LC'!C343</f>
        <v>478052.14953852992</v>
      </c>
      <c r="AK126" s="586">
        <f>'Methanol Recycling LC'!D343</f>
        <v>468791.38051858888</v>
      </c>
      <c r="AL126" s="586">
        <f>'Methanol Recycling LC'!E343</f>
        <v>459489.21621776704</v>
      </c>
      <c r="AM126" s="586">
        <f>'Methanol Recycling LC'!F343</f>
        <v>450145.59145034384</v>
      </c>
      <c r="AN126" s="586">
        <f>'Methanol Recycling LC'!G343</f>
        <v>440759.79734218924</v>
      </c>
      <c r="AO126" s="586">
        <f>'Methanol Recycling LC'!H343</f>
        <v>431329.89095710905</v>
      </c>
      <c r="AP126" s="586">
        <f>'Methanol Recycling LC'!I343</f>
        <v>420749.47312251094</v>
      </c>
      <c r="AQ126" s="586">
        <f>'Methanol Recycling LC'!J343</f>
        <v>410166.90506119077</v>
      </c>
      <c r="AR126" s="586">
        <f>'Methanol Recycling LC'!K343</f>
        <v>399566.42521477584</v>
      </c>
      <c r="AS126" s="586">
        <f>'Methanol Recycling LC'!L343</f>
        <v>388920.75698119681</v>
      </c>
      <c r="AT126" s="586">
        <f>'Methanol Recycling LC'!M343</f>
        <v>378185.691972161</v>
      </c>
      <c r="AU126" s="586">
        <f>'Methanol Recycling LC'!N343</f>
        <v>369833.32344423526</v>
      </c>
      <c r="AV126" s="586">
        <f>'Methanol Recycling LC'!O343</f>
        <v>361260.91708125465</v>
      </c>
      <c r="AW126" s="586">
        <f>'Methanol Recycling LC'!P343</f>
        <v>352379.36274330958</v>
      </c>
      <c r="AX126" s="586">
        <f>'Methanol Recycling LC'!Q343</f>
        <v>343143.93335759453</v>
      </c>
      <c r="AY126" s="586">
        <f>'Methanol Recycling LC'!R343</f>
        <v>333557.51994398527</v>
      </c>
      <c r="AZ126" s="586">
        <f>'Methanol Recycling LC'!S343</f>
        <v>323701.62242882594</v>
      </c>
      <c r="BA126" s="586">
        <f>'Methanol Recycling LC'!T343</f>
        <v>313725.658954682</v>
      </c>
      <c r="BB126" s="586">
        <f>'Methanol Recycling LC'!U343</f>
        <v>303805.60422083049</v>
      </c>
      <c r="BC126" s="586">
        <f>'Methanol Recycling LC'!V343</f>
        <v>294094.52228689234</v>
      </c>
      <c r="BD126" s="586">
        <f>'Methanol Recycling LC'!W343</f>
        <v>284690.62011650385</v>
      </c>
      <c r="BE126" s="586">
        <f>'Methanol Recycling LC'!X343</f>
        <v>272552.89330808003</v>
      </c>
      <c r="BF126" s="586">
        <f>'Methanol Recycling LC'!Y343</f>
        <v>260741.54382227623</v>
      </c>
      <c r="BG126" s="586">
        <f>'Methanol Recycling LC'!Z343</f>
        <v>249204.71735628071</v>
      </c>
      <c r="BH126" s="586">
        <f>'Methanol Recycling LC'!AA343</f>
        <v>237935.11862865539</v>
      </c>
      <c r="BI126" s="586">
        <f>'Methanol Recycling LC'!AB343</f>
        <v>226892.80319081081</v>
      </c>
      <c r="BJ126" s="586">
        <f>'Methanol Recycling LC'!AC343</f>
        <v>216023.21555308299</v>
      </c>
      <c r="BK126" s="586">
        <f>'Methanol Recycling LC'!AD343</f>
        <v>205315.11734519032</v>
      </c>
      <c r="BL126" s="586">
        <f>'Methanol Recycling LC'!AE343</f>
        <v>194743.95969465826</v>
      </c>
      <c r="BM126" s="586">
        <f>'Methanol Recycling LC'!AF343</f>
        <v>184290.86147506768</v>
      </c>
      <c r="BN126" s="586">
        <f>'Methanol Recycling LC'!AG343</f>
        <v>173941.63489140166</v>
      </c>
      <c r="BQ126" s="622"/>
      <c r="BR126" s="622"/>
      <c r="BS126" s="622"/>
      <c r="BT126" s="622"/>
      <c r="BU126" s="622"/>
      <c r="BV126" s="622"/>
      <c r="BW126" s="622"/>
      <c r="BX126" s="622"/>
      <c r="BY126" s="622"/>
      <c r="BZ126" s="622"/>
      <c r="CA126" s="622"/>
      <c r="CB126" s="622"/>
      <c r="CC126" s="622"/>
      <c r="CD126" s="622"/>
      <c r="CE126" s="622"/>
      <c r="CF126" s="622"/>
      <c r="CG126" s="622"/>
      <c r="CH126" s="622"/>
      <c r="CI126" s="622"/>
      <c r="CJ126" s="622"/>
      <c r="CK126" s="622"/>
      <c r="CL126" s="622"/>
    </row>
    <row r="127" spans="1:90">
      <c r="A127" s="95" t="s">
        <v>1167</v>
      </c>
      <c r="D127" s="99">
        <f>D115</f>
        <v>1472760.9288230378</v>
      </c>
      <c r="E127" s="99">
        <f t="shared" ref="E127:AH127" si="780">E115</f>
        <v>1447077.4831605698</v>
      </c>
      <c r="F127" s="99">
        <f t="shared" si="780"/>
        <v>1421014.5304290564</v>
      </c>
      <c r="G127" s="99">
        <f t="shared" si="780"/>
        <v>1395021.3497923294</v>
      </c>
      <c r="H127" s="99">
        <f t="shared" si="780"/>
        <v>1369098.5830177718</v>
      </c>
      <c r="I127" s="99">
        <f t="shared" si="780"/>
        <v>1343246.8720560838</v>
      </c>
      <c r="J127" s="99">
        <f t="shared" si="780"/>
        <v>1318187.8965075333</v>
      </c>
      <c r="K127" s="99">
        <f t="shared" si="780"/>
        <v>1293299.1792681369</v>
      </c>
      <c r="L127" s="99">
        <f t="shared" si="780"/>
        <v>1268580.7055671704</v>
      </c>
      <c r="M127" s="99">
        <f t="shared" si="780"/>
        <v>1244032.4647767337</v>
      </c>
      <c r="N127" s="99">
        <f t="shared" si="780"/>
        <v>1219654.4506847381</v>
      </c>
      <c r="O127" s="99">
        <f t="shared" si="780"/>
        <v>1195432.6365558545</v>
      </c>
      <c r="P127" s="99">
        <f t="shared" si="780"/>
        <v>1171383.4122294469</v>
      </c>
      <c r="Q127" s="99">
        <f t="shared" si="780"/>
        <v>1147517.9956345323</v>
      </c>
      <c r="R127" s="99">
        <f t="shared" si="780"/>
        <v>1123827.422286809</v>
      </c>
      <c r="S127" s="99">
        <f t="shared" si="780"/>
        <v>1100312.1569942087</v>
      </c>
      <c r="T127" s="99">
        <f t="shared" si="780"/>
        <v>1076155.3365938507</v>
      </c>
      <c r="U127" s="99">
        <f t="shared" si="780"/>
        <v>1052186.8220751712</v>
      </c>
      <c r="V127" s="99">
        <f t="shared" si="780"/>
        <v>1028407.0855715509</v>
      </c>
      <c r="W127" s="99">
        <f t="shared" si="780"/>
        <v>1004816.6026120131</v>
      </c>
      <c r="X127" s="99">
        <f t="shared" si="780"/>
        <v>981415.85262076813</v>
      </c>
      <c r="Y127" s="99">
        <f t="shared" si="780"/>
        <v>952744.24304065912</v>
      </c>
      <c r="Z127" s="99">
        <f t="shared" si="780"/>
        <v>924321.87473893724</v>
      </c>
      <c r="AA127" s="99">
        <f t="shared" si="780"/>
        <v>896195.90602339373</v>
      </c>
      <c r="AB127" s="99">
        <f t="shared" si="780"/>
        <v>868326.25767185492</v>
      </c>
      <c r="AC127" s="99">
        <f t="shared" si="780"/>
        <v>840713.68574179744</v>
      </c>
      <c r="AD127" s="99">
        <f t="shared" si="780"/>
        <v>813404.71717844659</v>
      </c>
      <c r="AE127" s="99">
        <f t="shared" si="780"/>
        <v>786357.20455001108</v>
      </c>
      <c r="AF127" s="99">
        <f t="shared" si="780"/>
        <v>759571.9260890435</v>
      </c>
      <c r="AG127" s="99">
        <f t="shared" si="780"/>
        <v>733049.67527515558</v>
      </c>
      <c r="AH127" s="99">
        <f t="shared" si="780"/>
        <v>706791.26156785968</v>
      </c>
      <c r="AI127" s="99"/>
      <c r="AJ127" s="99">
        <f>AJ115</f>
        <v>1472760.9288230378</v>
      </c>
      <c r="AK127" s="99">
        <f t="shared" ref="AK127:BN127" si="781">AK115</f>
        <v>1452433.7029579291</v>
      </c>
      <c r="AL127" s="99">
        <f t="shared" si="781"/>
        <v>1431670.1818908586</v>
      </c>
      <c r="AM127" s="99">
        <f t="shared" si="781"/>
        <v>1410919.6926646195</v>
      </c>
      <c r="AN127" s="99">
        <f t="shared" si="781"/>
        <v>1390182.9246112115</v>
      </c>
      <c r="AO127" s="99">
        <f t="shared" si="781"/>
        <v>1369460.5669332079</v>
      </c>
      <c r="AP127" s="99">
        <f t="shared" si="781"/>
        <v>1349474.3461716035</v>
      </c>
      <c r="AQ127" s="99">
        <f t="shared" si="781"/>
        <v>1329601.8318535883</v>
      </c>
      <c r="AR127" s="99">
        <f t="shared" si="781"/>
        <v>1309843.0555316501</v>
      </c>
      <c r="AS127" s="99">
        <f t="shared" si="781"/>
        <v>1290198.0525947216</v>
      </c>
      <c r="AT127" s="99">
        <f t="shared" si="781"/>
        <v>1270666.8625427529</v>
      </c>
      <c r="AU127" s="99">
        <f t="shared" si="781"/>
        <v>1251880.1672376143</v>
      </c>
      <c r="AV127" s="99">
        <f t="shared" si="781"/>
        <v>1233198.5589554927</v>
      </c>
      <c r="AW127" s="99">
        <f t="shared" si="781"/>
        <v>1214633.2317781167</v>
      </c>
      <c r="AX127" s="99">
        <f t="shared" si="781"/>
        <v>1196175.198504115</v>
      </c>
      <c r="AY127" s="99">
        <f t="shared" si="781"/>
        <v>1177824.9023367974</v>
      </c>
      <c r="AZ127" s="99">
        <f t="shared" si="781"/>
        <v>1158717.2095430177</v>
      </c>
      <c r="BA127" s="99">
        <f t="shared" si="781"/>
        <v>1139724.1804829882</v>
      </c>
      <c r="BB127" s="99">
        <f t="shared" si="781"/>
        <v>1120846.2689183105</v>
      </c>
      <c r="BC127" s="99">
        <f t="shared" si="781"/>
        <v>1102083.9330497137</v>
      </c>
      <c r="BD127" s="99">
        <f t="shared" si="781"/>
        <v>1083437.6359998756</v>
      </c>
      <c r="BE127" s="99">
        <f t="shared" si="781"/>
        <v>1060488.1200450519</v>
      </c>
      <c r="BF127" s="99">
        <f t="shared" si="781"/>
        <v>1037697.503723138</v>
      </c>
      <c r="BG127" s="99">
        <f t="shared" si="781"/>
        <v>1015113.0330271287</v>
      </c>
      <c r="BH127" s="99">
        <f t="shared" si="781"/>
        <v>992694.71661372809</v>
      </c>
      <c r="BI127" s="99">
        <f t="shared" si="781"/>
        <v>970443.39860245015</v>
      </c>
      <c r="BJ127" s="99">
        <f t="shared" si="781"/>
        <v>948405.69417336385</v>
      </c>
      <c r="BK127" s="99">
        <f t="shared" si="781"/>
        <v>926539.54429213749</v>
      </c>
      <c r="BL127" s="99">
        <f t="shared" si="781"/>
        <v>904845.81574136321</v>
      </c>
      <c r="BM127" s="99">
        <f t="shared" si="781"/>
        <v>883325.39069339633</v>
      </c>
      <c r="BN127" s="99">
        <f t="shared" si="781"/>
        <v>861979.16743347188</v>
      </c>
    </row>
  </sheetData>
  <mergeCells count="18">
    <mergeCell ref="A93:A95"/>
    <mergeCell ref="A102:A104"/>
    <mergeCell ref="A110:A112"/>
    <mergeCell ref="A116:A118"/>
    <mergeCell ref="A122:A124"/>
    <mergeCell ref="D1:AH1"/>
    <mergeCell ref="AJ1:BN1"/>
    <mergeCell ref="A80:A82"/>
    <mergeCell ref="A86:A88"/>
    <mergeCell ref="A6:A8"/>
    <mergeCell ref="A14:A16"/>
    <mergeCell ref="A25:A27"/>
    <mergeCell ref="A36:A38"/>
    <mergeCell ref="A43:A45"/>
    <mergeCell ref="A52:A54"/>
    <mergeCell ref="A59:A61"/>
    <mergeCell ref="A65:A67"/>
    <mergeCell ref="A72:A7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5673-63A0-40CE-A139-6565BC8C6929}">
  <sheetPr>
    <tabColor theme="9"/>
  </sheetPr>
  <dimension ref="A1:CL126"/>
  <sheetViews>
    <sheetView zoomScale="50" zoomScaleNormal="50" workbookViewId="0">
      <pane xSplit="3" ySplit="3" topLeftCell="D118" activePane="bottomRight" state="frozen"/>
      <selection pane="topRight" activeCell="D1" sqref="D1"/>
      <selection pane="bottomLeft" activeCell="A4" sqref="A4"/>
      <selection pane="bottomRight" activeCell="X131" sqref="X131"/>
    </sheetView>
  </sheetViews>
  <sheetFormatPr defaultRowHeight="14.75" outlineLevelRow="2" outlineLevelCol="1"/>
  <cols>
    <col min="1" max="1" width="42.54296875" style="1" customWidth="1"/>
    <col min="2" max="2" width="26.453125" style="1" customWidth="1"/>
    <col min="3" max="3" width="10.81640625" customWidth="1"/>
    <col min="4" max="4" width="18.81640625" customWidth="1"/>
    <col min="5" max="6" width="8.81640625" hidden="1" customWidth="1" outlineLevel="1"/>
    <col min="7" max="7" width="11.1796875" hidden="1" customWidth="1" outlineLevel="1"/>
    <col min="8" max="8" width="8.81640625" hidden="1" customWidth="1" outlineLevel="1"/>
    <col min="9" max="9" width="9.54296875" hidden="1" customWidth="1" outlineLevel="1"/>
    <col min="10" max="13" width="8.81640625" hidden="1" customWidth="1" outlineLevel="1"/>
    <col min="14" max="14" width="11.453125" customWidth="1" collapsed="1"/>
    <col min="15" max="15" width="11.453125" hidden="1" customWidth="1" outlineLevel="1"/>
    <col min="16" max="23" width="8.81640625" hidden="1" customWidth="1" outlineLevel="1"/>
    <col min="24" max="24" width="13.54296875" bestFit="1" customWidth="1" collapsed="1"/>
    <col min="25" max="25" width="7.1796875" hidden="1" customWidth="1" outlineLevel="1"/>
    <col min="26" max="33" width="8.81640625" hidden="1" customWidth="1" outlineLevel="1"/>
    <col min="34" max="34" width="13.54296875" bestFit="1" customWidth="1" collapsed="1"/>
    <col min="35" max="35" width="16.453125" bestFit="1" customWidth="1"/>
    <col min="36" max="36" width="18.81640625" customWidth="1"/>
    <col min="37" max="38" width="8.81640625" hidden="1" customWidth="1" outlineLevel="1"/>
    <col min="39" max="39" width="11.1796875" hidden="1" customWidth="1" outlineLevel="1"/>
    <col min="40" max="40" width="8.81640625" hidden="1" customWidth="1" outlineLevel="1"/>
    <col min="41" max="41" width="9.54296875" hidden="1" customWidth="1" outlineLevel="1"/>
    <col min="42" max="45" width="8.81640625" hidden="1" customWidth="1" outlineLevel="1"/>
    <col min="46" max="46" width="8.81640625" customWidth="1" collapsed="1"/>
    <col min="47" max="47" width="11.453125" hidden="1" customWidth="1" outlineLevel="1"/>
    <col min="48" max="55" width="8.81640625" hidden="1" customWidth="1" outlineLevel="1"/>
    <col min="56" max="56" width="13.54296875" bestFit="1" customWidth="1" collapsed="1"/>
    <col min="57" max="57" width="7.1796875" hidden="1" customWidth="1" outlineLevel="1"/>
    <col min="58" max="65" width="8.81640625" hidden="1" customWidth="1" outlineLevel="1"/>
    <col min="66" max="66" width="13.54296875" bestFit="1" customWidth="1" collapsed="1"/>
    <col min="67" max="68" width="8.81640625" bestFit="1" customWidth="1"/>
    <col min="69" max="69" width="27" style="624" customWidth="1"/>
    <col min="70" max="70" width="37.453125" style="624" bestFit="1" customWidth="1"/>
    <col min="71" max="90" width="8.81640625" style="624" bestFit="1" customWidth="1"/>
    <col min="91" max="97" width="8.81640625" bestFit="1" customWidth="1"/>
  </cols>
  <sheetData>
    <row r="1" spans="1:90">
      <c r="D1" s="601" t="s">
        <v>1069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J1" s="601" t="s">
        <v>1070</v>
      </c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1"/>
      <c r="AY1" s="601"/>
      <c r="AZ1" s="601"/>
      <c r="BA1" s="601"/>
      <c r="BB1" s="601"/>
      <c r="BC1" s="601"/>
      <c r="BD1" s="601"/>
      <c r="BE1" s="601"/>
      <c r="BF1" s="601"/>
      <c r="BG1" s="601"/>
      <c r="BH1" s="601"/>
      <c r="BI1" s="601"/>
      <c r="BJ1" s="601"/>
      <c r="BK1" s="601"/>
      <c r="BL1" s="601"/>
      <c r="BM1" s="601"/>
      <c r="BN1" s="601"/>
    </row>
    <row r="2" spans="1:90" s="49" customFormat="1">
      <c r="A2" s="48" t="s">
        <v>1168</v>
      </c>
      <c r="B2" s="48"/>
      <c r="C2" s="48"/>
      <c r="AI2"/>
      <c r="BQ2" s="624"/>
      <c r="BR2" s="624"/>
      <c r="BS2" s="624"/>
      <c r="BT2" s="624"/>
      <c r="BU2" s="624"/>
      <c r="BV2" s="624"/>
      <c r="BW2" s="624"/>
      <c r="BX2" s="624"/>
      <c r="BY2" s="624"/>
      <c r="BZ2" s="624"/>
      <c r="CA2" s="624"/>
      <c r="CB2" s="624"/>
      <c r="CC2" s="624"/>
      <c r="CD2" s="624"/>
      <c r="CE2" s="624"/>
      <c r="CF2" s="624"/>
      <c r="CG2" s="624"/>
      <c r="CH2" s="624"/>
      <c r="CI2" s="624"/>
      <c r="CJ2" s="624"/>
      <c r="CK2" s="624"/>
      <c r="CL2" s="624"/>
    </row>
    <row r="3" spans="1:90" s="1" customFormat="1" ht="15.5" thickBo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  <c r="AJ3" s="1">
        <v>2020</v>
      </c>
      <c r="AK3" s="1">
        <f>AJ3+1</f>
        <v>2021</v>
      </c>
      <c r="AL3" s="1">
        <f t="shared" ref="AL3:AW3" si="1">AK3+1</f>
        <v>2022</v>
      </c>
      <c r="AM3" s="1">
        <f t="shared" si="1"/>
        <v>2023</v>
      </c>
      <c r="AN3" s="1">
        <f t="shared" si="1"/>
        <v>2024</v>
      </c>
      <c r="AO3" s="1">
        <f t="shared" si="1"/>
        <v>2025</v>
      </c>
      <c r="AP3" s="1">
        <f t="shared" si="1"/>
        <v>2026</v>
      </c>
      <c r="AQ3" s="1">
        <f t="shared" si="1"/>
        <v>2027</v>
      </c>
      <c r="AR3" s="1">
        <f t="shared" si="1"/>
        <v>2028</v>
      </c>
      <c r="AS3" s="1">
        <f t="shared" si="1"/>
        <v>2029</v>
      </c>
      <c r="AT3" s="1">
        <f t="shared" si="1"/>
        <v>2030</v>
      </c>
      <c r="AU3" s="1">
        <f t="shared" si="1"/>
        <v>2031</v>
      </c>
      <c r="AV3" s="1">
        <f t="shared" si="1"/>
        <v>2032</v>
      </c>
      <c r="AW3" s="1">
        <f t="shared" si="1"/>
        <v>2033</v>
      </c>
      <c r="AX3" s="1">
        <f>AW3+1</f>
        <v>2034</v>
      </c>
      <c r="AY3" s="1">
        <f t="shared" ref="AY3:BH3" si="2">AX3+1</f>
        <v>2035</v>
      </c>
      <c r="AZ3" s="1">
        <f t="shared" si="2"/>
        <v>2036</v>
      </c>
      <c r="BA3" s="1">
        <f t="shared" si="2"/>
        <v>2037</v>
      </c>
      <c r="BB3" s="1">
        <f t="shared" si="2"/>
        <v>2038</v>
      </c>
      <c r="BC3" s="1">
        <f t="shared" si="2"/>
        <v>2039</v>
      </c>
      <c r="BD3" s="1">
        <f t="shared" si="2"/>
        <v>2040</v>
      </c>
      <c r="BE3" s="1">
        <f t="shared" si="2"/>
        <v>2041</v>
      </c>
      <c r="BF3" s="1">
        <f t="shared" si="2"/>
        <v>2042</v>
      </c>
      <c r="BG3" s="1">
        <f t="shared" si="2"/>
        <v>2043</v>
      </c>
      <c r="BH3" s="1">
        <f t="shared" si="2"/>
        <v>2044</v>
      </c>
      <c r="BI3" s="1">
        <f>BH3+1</f>
        <v>2045</v>
      </c>
      <c r="BJ3" s="1">
        <f t="shared" ref="BJ3:BL3" si="3">BI3+1</f>
        <v>2046</v>
      </c>
      <c r="BK3" s="1">
        <f t="shared" si="3"/>
        <v>2047</v>
      </c>
      <c r="BL3" s="1">
        <f t="shared" si="3"/>
        <v>2048</v>
      </c>
      <c r="BM3" s="1">
        <f>BL3+1</f>
        <v>2049</v>
      </c>
      <c r="BN3" s="1">
        <f t="shared" ref="BN3" si="4">BM3+1</f>
        <v>2050</v>
      </c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</row>
    <row r="4" spans="1:90" s="466" customFormat="1">
      <c r="A4" s="462" t="s">
        <v>1169</v>
      </c>
      <c r="B4" s="463"/>
      <c r="C4" s="464" t="s">
        <v>1420</v>
      </c>
      <c r="D4" s="569">
        <f>'Yearly Demand - BTX'!N3</f>
        <v>7896082.1468130462</v>
      </c>
      <c r="E4" s="569">
        <f>'Yearly Demand - BTX'!O3</f>
        <v>7859175.4107994894</v>
      </c>
      <c r="F4" s="569">
        <f>'Yearly Demand - BTX'!P3</f>
        <v>7822441.1789643141</v>
      </c>
      <c r="G4" s="569">
        <f>'Yearly Demand - BTX'!Q3</f>
        <v>7785878.6450132029</v>
      </c>
      <c r="H4" s="569">
        <f>'Yearly Demand - BTX'!R3</f>
        <v>7749487.0064205024</v>
      </c>
      <c r="I4" s="569">
        <f>'Yearly Demand - BTX'!S3</f>
        <v>7705270.5518163443</v>
      </c>
      <c r="J4" s="569">
        <f>'Yearly Demand - BTX'!T3</f>
        <v>7662513.8157681925</v>
      </c>
      <c r="K4" s="569">
        <f>'Yearly Demand - BTX'!U3</f>
        <v>7619994.3379013333</v>
      </c>
      <c r="L4" s="569">
        <f>'Yearly Demand - BTX'!V3</f>
        <v>7577710.801664276</v>
      </c>
      <c r="M4" s="569">
        <f>'Yearly Demand - BTX'!W3</f>
        <v>7535661.8978111055</v>
      </c>
      <c r="N4" s="569">
        <f>'Yearly Demand - BTX'!X3</f>
        <v>7493846.3243609462</v>
      </c>
      <c r="O4" s="569">
        <f>'Yearly Demand - BTX'!Y3</f>
        <v>7445135.9701326024</v>
      </c>
      <c r="P4" s="569">
        <f>'Yearly Demand - BTX'!Z3</f>
        <v>7396742.23550204</v>
      </c>
      <c r="Q4" s="569">
        <f>'Yearly Demand - BTX'!AA3</f>
        <v>7348663.0624269526</v>
      </c>
      <c r="R4" s="569">
        <f>'Yearly Demand - BTX'!AB3</f>
        <v>7300896.4062424079</v>
      </c>
      <c r="S4" s="569">
        <f>'Yearly Demand - BTX'!AC3</f>
        <v>7253440.2355738906</v>
      </c>
      <c r="T4" s="569">
        <f>'Yearly Demand - BTX'!AD3</f>
        <v>7199476.0947326208</v>
      </c>
      <c r="U4" s="569">
        <f>'Yearly Demand - BTX'!AE3</f>
        <v>7145913.4362779371</v>
      </c>
      <c r="V4" s="569">
        <f>'Yearly Demand - BTX'!AF3</f>
        <v>7092749.2732613916</v>
      </c>
      <c r="W4" s="569">
        <f>'Yearly Demand - BTX'!AG3</f>
        <v>7039980.640956833</v>
      </c>
      <c r="X4" s="569">
        <f>'Yearly Demand - BTX'!AH3</f>
        <v>6987604.5966950795</v>
      </c>
      <c r="Y4" s="569">
        <f>'Yearly Demand - BTX'!AI3</f>
        <v>6930666.5312831951</v>
      </c>
      <c r="Z4" s="569">
        <f>'Yearly Demand - BTX'!AJ3</f>
        <v>6874192.422188241</v>
      </c>
      <c r="AA4" s="569">
        <f>'Yearly Demand - BTX'!AK3</f>
        <v>6818178.4888907624</v>
      </c>
      <c r="AB4" s="569">
        <f>'Yearly Demand - BTX'!AL3</f>
        <v>6762620.9816766335</v>
      </c>
      <c r="AC4" s="569">
        <f>'Yearly Demand - BTX'!AM3</f>
        <v>6707516.1813860442</v>
      </c>
      <c r="AD4" s="569">
        <f>'Yearly Demand - BTX'!AN3</f>
        <v>6650163.1511213444</v>
      </c>
      <c r="AE4" s="569">
        <f>'Yearly Demand - BTX'!AO3</f>
        <v>6593300.5214746362</v>
      </c>
      <c r="AF4" s="569">
        <f>'Yearly Demand - BTX'!AP3</f>
        <v>6536924.0992452297</v>
      </c>
      <c r="AG4" s="569">
        <f>'Yearly Demand - BTX'!AQ3</f>
        <v>6481029.7270866539</v>
      </c>
      <c r="AH4" s="569">
        <f>'Yearly Demand - BTX'!AR3</f>
        <v>6425613.2832000889</v>
      </c>
      <c r="AI4" s="570"/>
      <c r="AJ4" s="569">
        <f>D4</f>
        <v>7896082.1468130462</v>
      </c>
      <c r="AK4" s="569">
        <f t="shared" ref="AK4:BN7" si="5">E4</f>
        <v>7859175.4107994894</v>
      </c>
      <c r="AL4" s="569">
        <f t="shared" si="5"/>
        <v>7822441.1789643141</v>
      </c>
      <c r="AM4" s="569">
        <f t="shared" si="5"/>
        <v>7785878.6450132029</v>
      </c>
      <c r="AN4" s="569">
        <f t="shared" si="5"/>
        <v>7749487.0064205024</v>
      </c>
      <c r="AO4" s="569">
        <f t="shared" si="5"/>
        <v>7705270.5518163443</v>
      </c>
      <c r="AP4" s="569">
        <f t="shared" si="5"/>
        <v>7662513.8157681925</v>
      </c>
      <c r="AQ4" s="569">
        <f t="shared" si="5"/>
        <v>7619994.3379013333</v>
      </c>
      <c r="AR4" s="569">
        <f t="shared" si="5"/>
        <v>7577710.801664276</v>
      </c>
      <c r="AS4" s="569">
        <f t="shared" si="5"/>
        <v>7535661.8978111055</v>
      </c>
      <c r="AT4" s="569">
        <f t="shared" si="5"/>
        <v>7493846.3243609462</v>
      </c>
      <c r="AU4" s="569">
        <f t="shared" si="5"/>
        <v>7445135.9701326024</v>
      </c>
      <c r="AV4" s="569">
        <f t="shared" si="5"/>
        <v>7396742.23550204</v>
      </c>
      <c r="AW4" s="569">
        <f t="shared" si="5"/>
        <v>7348663.0624269526</v>
      </c>
      <c r="AX4" s="569">
        <f t="shared" si="5"/>
        <v>7300896.4062424079</v>
      </c>
      <c r="AY4" s="569">
        <f t="shared" si="5"/>
        <v>7253440.2355738906</v>
      </c>
      <c r="AZ4" s="569">
        <f t="shared" si="5"/>
        <v>7199476.0947326208</v>
      </c>
      <c r="BA4" s="569">
        <f t="shared" si="5"/>
        <v>7145913.4362779371</v>
      </c>
      <c r="BB4" s="569">
        <f t="shared" si="5"/>
        <v>7092749.2732613916</v>
      </c>
      <c r="BC4" s="569">
        <f t="shared" si="5"/>
        <v>7039980.640956833</v>
      </c>
      <c r="BD4" s="569">
        <f t="shared" si="5"/>
        <v>6987604.5966950795</v>
      </c>
      <c r="BE4" s="569">
        <f t="shared" si="5"/>
        <v>6930666.5312831951</v>
      </c>
      <c r="BF4" s="569">
        <f t="shared" si="5"/>
        <v>6874192.422188241</v>
      </c>
      <c r="BG4" s="569">
        <f t="shared" si="5"/>
        <v>6818178.4888907624</v>
      </c>
      <c r="BH4" s="569">
        <f t="shared" si="5"/>
        <v>6762620.9816766335</v>
      </c>
      <c r="BI4" s="569">
        <f t="shared" si="5"/>
        <v>6707516.1813860442</v>
      </c>
      <c r="BJ4" s="569">
        <f t="shared" si="5"/>
        <v>6650163.1511213444</v>
      </c>
      <c r="BK4" s="569">
        <f t="shared" si="5"/>
        <v>6593300.5214746362</v>
      </c>
      <c r="BL4" s="569">
        <f t="shared" si="5"/>
        <v>6536924.0992452297</v>
      </c>
      <c r="BM4" s="569">
        <f t="shared" si="5"/>
        <v>6481029.7270866539</v>
      </c>
      <c r="BN4" s="569">
        <f t="shared" si="5"/>
        <v>6425613.2832000889</v>
      </c>
      <c r="BQ4" s="629"/>
      <c r="BR4" s="629"/>
      <c r="BS4" s="629"/>
      <c r="BT4" s="629"/>
      <c r="BU4" s="629"/>
      <c r="BV4" s="629"/>
      <c r="BW4" s="629"/>
      <c r="BX4" s="629"/>
      <c r="BY4" s="629"/>
      <c r="BZ4" s="629"/>
      <c r="CA4" s="629"/>
      <c r="CB4" s="629"/>
      <c r="CC4" s="629"/>
      <c r="CD4" s="629"/>
      <c r="CE4" s="629"/>
      <c r="CF4" s="629"/>
      <c r="CG4" s="629"/>
      <c r="CH4" s="629"/>
      <c r="CI4" s="629"/>
      <c r="CJ4" s="629"/>
      <c r="CK4" s="629"/>
      <c r="CL4" s="629"/>
    </row>
    <row r="5" spans="1:90" s="61" customFormat="1" ht="15" customHeight="1">
      <c r="A5" s="602"/>
      <c r="B5" s="54" t="s">
        <v>88</v>
      </c>
      <c r="C5" s="55" t="s">
        <v>1420</v>
      </c>
      <c r="D5" s="571">
        <f>'Yearly Demand - BTX'!N7</f>
        <v>2469050.6255606362</v>
      </c>
      <c r="E5" s="571">
        <f>'Yearly Demand - BTX'!O7</f>
        <v>2457510.1428316855</v>
      </c>
      <c r="F5" s="571">
        <f>'Yearly Demand - BTX'!P7</f>
        <v>2446023.6009738683</v>
      </c>
      <c r="G5" s="571">
        <f>'Yearly Demand - BTX'!Q7</f>
        <v>2434590.7478644932</v>
      </c>
      <c r="H5" s="571">
        <f>'Yearly Demand - BTX'!R7</f>
        <v>2423211.3325593029</v>
      </c>
      <c r="I5" s="571">
        <f>'Yearly Demand - BTX'!S7</f>
        <v>2409385.1510593384</v>
      </c>
      <c r="J5" s="571">
        <f>'Yearly Demand - BTX'!T7</f>
        <v>2396015.4135206742</v>
      </c>
      <c r="K5" s="571">
        <f>'Yearly Demand - BTX'!U7</f>
        <v>2382719.8649848662</v>
      </c>
      <c r="L5" s="571">
        <f>'Yearly Demand - BTX'!V7</f>
        <v>2369498.0937753101</v>
      </c>
      <c r="M5" s="571">
        <f>'Yearly Demand - BTX'!W7</f>
        <v>2356349.6904998054</v>
      </c>
      <c r="N5" s="571">
        <f>'Yearly Demand - BTX'!X7</f>
        <v>2343274.2480378798</v>
      </c>
      <c r="O5" s="571">
        <f>'Yearly Demand - BTX'!Y7</f>
        <v>2328042.8550074371</v>
      </c>
      <c r="P5" s="571">
        <f>'Yearly Demand - BTX'!Z7</f>
        <v>2312910.4667494157</v>
      </c>
      <c r="Q5" s="571">
        <f>'Yearly Demand - BTX'!AA7</f>
        <v>2297876.4397281297</v>
      </c>
      <c r="R5" s="571">
        <f>'Yearly Demand - BTX'!AB7</f>
        <v>2282940.1345909052</v>
      </c>
      <c r="S5" s="571">
        <f>'Yearly Demand - BTX'!AC7</f>
        <v>2268100.9161408911</v>
      </c>
      <c r="T5" s="571">
        <f>'Yearly Demand - BTX'!AD7</f>
        <v>2251226.7001405223</v>
      </c>
      <c r="U5" s="571">
        <f>'Yearly Demand - BTX'!AE7</f>
        <v>2234478.0249234582</v>
      </c>
      <c r="V5" s="571">
        <f>'Yearly Demand - BTX'!AF7</f>
        <v>2217853.9564914461</v>
      </c>
      <c r="W5" s="571">
        <f>'Yearly Demand - BTX'!AG7</f>
        <v>2201353.5677949917</v>
      </c>
      <c r="X5" s="571">
        <f>'Yearly Demand - BTX'!AH7</f>
        <v>2184975.9386816639</v>
      </c>
      <c r="Y5" s="571">
        <f>'Yearly Demand - BTX'!AI7</f>
        <v>2167171.7969048251</v>
      </c>
      <c r="Z5" s="571">
        <f>'Yearly Demand - BTX'!AJ7</f>
        <v>2149512.73107999</v>
      </c>
      <c r="AA5" s="571">
        <f>'Yearly Demand - BTX'!AK7</f>
        <v>2131997.5590647049</v>
      </c>
      <c r="AB5" s="571">
        <f>'Yearly Demand - BTX'!AL7</f>
        <v>2114625.108349131</v>
      </c>
      <c r="AC5" s="571">
        <f>'Yearly Demand - BTX'!AM7</f>
        <v>2097394.2159775533</v>
      </c>
      <c r="AD5" s="571">
        <f>'Yearly Demand - BTX'!AN7</f>
        <v>2079460.3175428705</v>
      </c>
      <c r="AE5" s="571">
        <f>'Yearly Demand - BTX'!AO7</f>
        <v>2061679.7640114089</v>
      </c>
      <c r="AF5" s="571">
        <f>'Yearly Demand - BTX'!AP7</f>
        <v>2044051.2441981281</v>
      </c>
      <c r="AG5" s="571">
        <f>'Yearly Demand - BTX'!AQ7</f>
        <v>2026573.4581293559</v>
      </c>
      <c r="AH5" s="571">
        <f>'Yearly Demand - BTX'!AR7</f>
        <v>2009245.1169469261</v>
      </c>
      <c r="AI5" s="580"/>
      <c r="AJ5" s="571">
        <f>D5</f>
        <v>2469050.6255606362</v>
      </c>
      <c r="AK5" s="571">
        <f t="shared" si="5"/>
        <v>2457510.1428316855</v>
      </c>
      <c r="AL5" s="571">
        <f t="shared" si="5"/>
        <v>2446023.6009738683</v>
      </c>
      <c r="AM5" s="571">
        <f t="shared" si="5"/>
        <v>2434590.7478644932</v>
      </c>
      <c r="AN5" s="571">
        <f t="shared" si="5"/>
        <v>2423211.3325593029</v>
      </c>
      <c r="AO5" s="571">
        <f t="shared" si="5"/>
        <v>2409385.1510593384</v>
      </c>
      <c r="AP5" s="571">
        <f t="shared" si="5"/>
        <v>2396015.4135206742</v>
      </c>
      <c r="AQ5" s="571">
        <f t="shared" si="5"/>
        <v>2382719.8649848662</v>
      </c>
      <c r="AR5" s="571">
        <f t="shared" si="5"/>
        <v>2369498.0937753101</v>
      </c>
      <c r="AS5" s="571">
        <f t="shared" si="5"/>
        <v>2356349.6904998054</v>
      </c>
      <c r="AT5" s="571">
        <f t="shared" si="5"/>
        <v>2343274.2480378798</v>
      </c>
      <c r="AU5" s="571">
        <f t="shared" si="5"/>
        <v>2328042.8550074371</v>
      </c>
      <c r="AV5" s="571">
        <f t="shared" si="5"/>
        <v>2312910.4667494157</v>
      </c>
      <c r="AW5" s="571">
        <f t="shared" si="5"/>
        <v>2297876.4397281297</v>
      </c>
      <c r="AX5" s="571">
        <f t="shared" si="5"/>
        <v>2282940.1345909052</v>
      </c>
      <c r="AY5" s="571">
        <f t="shared" si="5"/>
        <v>2268100.9161408911</v>
      </c>
      <c r="AZ5" s="571">
        <f t="shared" si="5"/>
        <v>2251226.7001405223</v>
      </c>
      <c r="BA5" s="571">
        <f t="shared" si="5"/>
        <v>2234478.0249234582</v>
      </c>
      <c r="BB5" s="571">
        <f t="shared" si="5"/>
        <v>2217853.9564914461</v>
      </c>
      <c r="BC5" s="571">
        <f t="shared" si="5"/>
        <v>2201353.5677949917</v>
      </c>
      <c r="BD5" s="571">
        <f t="shared" si="5"/>
        <v>2184975.9386816639</v>
      </c>
      <c r="BE5" s="571">
        <f t="shared" si="5"/>
        <v>2167171.7969048251</v>
      </c>
      <c r="BF5" s="571">
        <f t="shared" si="5"/>
        <v>2149512.73107999</v>
      </c>
      <c r="BG5" s="571">
        <f t="shared" si="5"/>
        <v>2131997.5590647049</v>
      </c>
      <c r="BH5" s="571">
        <f t="shared" si="5"/>
        <v>2114625.108349131</v>
      </c>
      <c r="BI5" s="571">
        <f t="shared" si="5"/>
        <v>2097394.2159775533</v>
      </c>
      <c r="BJ5" s="571">
        <f t="shared" si="5"/>
        <v>2079460.3175428705</v>
      </c>
      <c r="BK5" s="571">
        <f t="shared" si="5"/>
        <v>2061679.7640114089</v>
      </c>
      <c r="BL5" s="571">
        <f t="shared" si="5"/>
        <v>2044051.2441981281</v>
      </c>
      <c r="BM5" s="571">
        <f t="shared" si="5"/>
        <v>2026573.4581293559</v>
      </c>
      <c r="BN5" s="571">
        <f t="shared" si="5"/>
        <v>2009245.1169469261</v>
      </c>
      <c r="BQ5" s="649"/>
      <c r="BR5" s="649"/>
      <c r="BS5" s="649"/>
      <c r="BT5" s="649"/>
      <c r="BU5" s="649"/>
      <c r="BV5" s="649"/>
      <c r="BW5" s="649"/>
      <c r="BX5" s="649"/>
      <c r="BY5" s="660"/>
      <c r="BZ5" s="661"/>
      <c r="CA5" s="662"/>
      <c r="CB5" s="661"/>
      <c r="CC5" s="663"/>
      <c r="CD5" s="664"/>
      <c r="CE5" s="664"/>
      <c r="CF5" s="661"/>
      <c r="CG5" s="661"/>
      <c r="CH5" s="661"/>
      <c r="CI5" s="661"/>
      <c r="CJ5" s="661"/>
      <c r="CK5" s="649"/>
      <c r="CL5" s="649"/>
    </row>
    <row r="6" spans="1:90">
      <c r="A6" s="603"/>
      <c r="B6" s="1" t="s">
        <v>717</v>
      </c>
      <c r="C6" s="50" t="s">
        <v>1420</v>
      </c>
      <c r="D6" s="183">
        <f>'Yearly Demand - BTX'!N8</f>
        <v>1125724.5926953687</v>
      </c>
      <c r="E6" s="183">
        <f>'Yearly Demand - BTX'!O8</f>
        <v>1120462.8920704145</v>
      </c>
      <c r="F6" s="183">
        <f>'Yearly Demand - BTX'!P8</f>
        <v>1115225.7849327538</v>
      </c>
      <c r="G6" s="183">
        <f>'Yearly Demand - BTX'!Q8</f>
        <v>1110013.1563310316</v>
      </c>
      <c r="H6" s="183">
        <f>'Yearly Demand - BTX'!R8</f>
        <v>1104824.8918511819</v>
      </c>
      <c r="I6" s="183">
        <f>'Yearly Demand - BTX'!S8</f>
        <v>1098521.0630124977</v>
      </c>
      <c r="J6" s="183">
        <f>'Yearly Demand - BTX'!T8</f>
        <v>1092425.3425807878</v>
      </c>
      <c r="K6" s="183">
        <f>'Yearly Demand - BTX'!U8</f>
        <v>1086363.4474518714</v>
      </c>
      <c r="L6" s="183">
        <f>'Yearly Demand - BTX'!V8</f>
        <v>1080335.1899283105</v>
      </c>
      <c r="M6" s="183">
        <f>'Yearly Demand - BTX'!W8</f>
        <v>1074340.3833542042</v>
      </c>
      <c r="N6" s="183">
        <f>'Yearly Demand - BTX'!X8</f>
        <v>1068378.8421094108</v>
      </c>
      <c r="O6" s="183">
        <f>'Yearly Demand - BTX'!Y8</f>
        <v>1061434.3292922687</v>
      </c>
      <c r="P6" s="183">
        <f>'Yearly Demand - BTX'!Z8</f>
        <v>1054534.9561356727</v>
      </c>
      <c r="Q6" s="183">
        <f>'Yearly Demand - BTX'!AA8</f>
        <v>1047680.4292297025</v>
      </c>
      <c r="R6" s="183">
        <f>'Yearly Demand - BTX'!AB8</f>
        <v>1040870.4570716152</v>
      </c>
      <c r="S6" s="183">
        <f>'Yearly Demand - BTX'!AC8</f>
        <v>1034104.7500534505</v>
      </c>
      <c r="T6" s="183">
        <f>'Yearly Demand - BTX'!AD8</f>
        <v>1026411.2180790886</v>
      </c>
      <c r="U6" s="183">
        <f>'Yearly Demand - BTX'!AE8</f>
        <v>1018774.9244398543</v>
      </c>
      <c r="V6" s="183">
        <f>'Yearly Demand - BTX'!AF8</f>
        <v>1011195.4432940121</v>
      </c>
      <c r="W6" s="183">
        <f>'Yearly Demand - BTX'!AG8</f>
        <v>1003672.3519680034</v>
      </c>
      <c r="X6" s="183">
        <f>'Yearly Demand - BTX'!AH8</f>
        <v>996205.23093287658</v>
      </c>
      <c r="Y6" s="183">
        <f>'Yearly Demand - BTX'!AI8</f>
        <v>988087.71400449378</v>
      </c>
      <c r="Z6" s="183">
        <f>'Yearly Demand - BTX'!AJ8</f>
        <v>980036.34216252156</v>
      </c>
      <c r="AA6" s="183">
        <f>'Yearly Demand - BTX'!AK8</f>
        <v>972050.57642779953</v>
      </c>
      <c r="AB6" s="183">
        <f>'Yearly Demand - BTX'!AL8</f>
        <v>964129.88221300615</v>
      </c>
      <c r="AC6" s="183">
        <f>'Yearly Demand - BTX'!AM8</f>
        <v>956273.72928687173</v>
      </c>
      <c r="AD6" s="183">
        <f>'Yearly Demand - BTX'!AN8</f>
        <v>948097.05186202587</v>
      </c>
      <c r="AE6" s="183">
        <f>'Yearly Demand - BTX'!AO8</f>
        <v>939990.28962115129</v>
      </c>
      <c r="AF6" s="183">
        <f>'Yearly Demand - BTX'!AP8</f>
        <v>931952.84475016093</v>
      </c>
      <c r="AG6" s="183">
        <f>'Yearly Demand - BTX'!AQ8</f>
        <v>923984.12454661389</v>
      </c>
      <c r="AH6" s="183">
        <f>'Yearly Demand - BTX'!AR8</f>
        <v>916083.54137600854</v>
      </c>
      <c r="AI6" s="576"/>
      <c r="AJ6" s="183">
        <f>D6</f>
        <v>1125724.5926953687</v>
      </c>
      <c r="AK6" s="183">
        <f t="shared" si="5"/>
        <v>1120462.8920704145</v>
      </c>
      <c r="AL6" s="183">
        <f t="shared" si="5"/>
        <v>1115225.7849327538</v>
      </c>
      <c r="AM6" s="183">
        <f t="shared" si="5"/>
        <v>1110013.1563310316</v>
      </c>
      <c r="AN6" s="183">
        <f t="shared" si="5"/>
        <v>1104824.8918511819</v>
      </c>
      <c r="AO6" s="183">
        <f t="shared" si="5"/>
        <v>1098521.0630124977</v>
      </c>
      <c r="AP6" s="183">
        <f t="shared" si="5"/>
        <v>1092425.3425807878</v>
      </c>
      <c r="AQ6" s="183">
        <f t="shared" si="5"/>
        <v>1086363.4474518714</v>
      </c>
      <c r="AR6" s="183">
        <f t="shared" si="5"/>
        <v>1080335.1899283105</v>
      </c>
      <c r="AS6" s="183">
        <f t="shared" si="5"/>
        <v>1074340.3833542042</v>
      </c>
      <c r="AT6" s="183">
        <f t="shared" si="5"/>
        <v>1068378.8421094108</v>
      </c>
      <c r="AU6" s="183">
        <f t="shared" si="5"/>
        <v>1061434.3292922687</v>
      </c>
      <c r="AV6" s="183">
        <f t="shared" si="5"/>
        <v>1054534.9561356727</v>
      </c>
      <c r="AW6" s="183">
        <f t="shared" si="5"/>
        <v>1047680.4292297025</v>
      </c>
      <c r="AX6" s="183">
        <f t="shared" si="5"/>
        <v>1040870.4570716152</v>
      </c>
      <c r="AY6" s="183">
        <f t="shared" si="5"/>
        <v>1034104.7500534505</v>
      </c>
      <c r="AZ6" s="183">
        <f t="shared" si="5"/>
        <v>1026411.2180790886</v>
      </c>
      <c r="BA6" s="183">
        <f t="shared" si="5"/>
        <v>1018774.9244398543</v>
      </c>
      <c r="BB6" s="183">
        <f t="shared" si="5"/>
        <v>1011195.4432940121</v>
      </c>
      <c r="BC6" s="183">
        <f t="shared" si="5"/>
        <v>1003672.3519680034</v>
      </c>
      <c r="BD6" s="183">
        <f t="shared" si="5"/>
        <v>996205.23093287658</v>
      </c>
      <c r="BE6" s="183">
        <f t="shared" si="5"/>
        <v>988087.71400449378</v>
      </c>
      <c r="BF6" s="183">
        <f t="shared" si="5"/>
        <v>980036.34216252156</v>
      </c>
      <c r="BG6" s="183">
        <f t="shared" si="5"/>
        <v>972050.57642779953</v>
      </c>
      <c r="BH6" s="183">
        <f t="shared" si="5"/>
        <v>964129.88221300615</v>
      </c>
      <c r="BI6" s="183">
        <f t="shared" si="5"/>
        <v>956273.72928687173</v>
      </c>
      <c r="BJ6" s="183">
        <f t="shared" si="5"/>
        <v>948097.05186202587</v>
      </c>
      <c r="BK6" s="183">
        <f t="shared" si="5"/>
        <v>939990.28962115129</v>
      </c>
      <c r="BL6" s="183">
        <f t="shared" si="5"/>
        <v>931952.84475016093</v>
      </c>
      <c r="BM6" s="183">
        <f t="shared" si="5"/>
        <v>923984.12454661389</v>
      </c>
      <c r="BN6" s="183">
        <f t="shared" si="5"/>
        <v>916083.54137600854</v>
      </c>
    </row>
    <row r="7" spans="1:90" s="62" customFormat="1">
      <c r="A7" s="604"/>
      <c r="B7" s="58" t="s">
        <v>1170</v>
      </c>
      <c r="C7" s="233" t="s">
        <v>1420</v>
      </c>
      <c r="D7" s="528">
        <f>'Yearly Demand - BTX'!N9</f>
        <v>4301306.9285570411</v>
      </c>
      <c r="E7" s="528">
        <f>'Yearly Demand - BTX'!O9</f>
        <v>4281202.3758973898</v>
      </c>
      <c r="F7" s="528">
        <f>'Yearly Demand - BTX'!P9</f>
        <v>4261191.7930576922</v>
      </c>
      <c r="G7" s="528">
        <f>'Yearly Demand - BTX'!Q9</f>
        <v>4241274.7408176782</v>
      </c>
      <c r="H7" s="528">
        <f>'Yearly Demand - BTX'!R9</f>
        <v>4221450.7820100179</v>
      </c>
      <c r="I7" s="528">
        <f>'Yearly Demand - BTX'!S9</f>
        <v>4197364.3377445089</v>
      </c>
      <c r="J7" s="528">
        <f>'Yearly Demand - BTX'!T9</f>
        <v>4174073.0596667309</v>
      </c>
      <c r="K7" s="528">
        <f>'Yearly Demand - BTX'!U9</f>
        <v>4150911.0254645958</v>
      </c>
      <c r="L7" s="528">
        <f>'Yearly Demand - BTX'!V9</f>
        <v>4127877.5179606555</v>
      </c>
      <c r="M7" s="528">
        <f>'Yearly Demand - BTX'!W9</f>
        <v>4104971.8239570959</v>
      </c>
      <c r="N7" s="528">
        <f>'Yearly Demand - BTX'!X9</f>
        <v>4082193.2342136553</v>
      </c>
      <c r="O7" s="528">
        <f>'Yearly Demand - BTX'!Y9</f>
        <v>4055658.7858328968</v>
      </c>
      <c r="P7" s="528">
        <f>'Yearly Demand - BTX'!Z9</f>
        <v>4029296.8126169518</v>
      </c>
      <c r="Q7" s="528">
        <f>'Yearly Demand - BTX'!AA9</f>
        <v>4003106.1934691207</v>
      </c>
      <c r="R7" s="528">
        <f>'Yearly Demand - BTX'!AB9</f>
        <v>3977085.8145798882</v>
      </c>
      <c r="S7" s="528">
        <f>'Yearly Demand - BTX'!AC9</f>
        <v>3951234.5693795495</v>
      </c>
      <c r="T7" s="528">
        <f>'Yearly Demand - BTX'!AD9</f>
        <v>3921838.1765130102</v>
      </c>
      <c r="U7" s="528">
        <f>'Yearly Demand - BTX'!AE9</f>
        <v>3892660.4869146249</v>
      </c>
      <c r="V7" s="528">
        <f>'Yearly Demand - BTX'!AF9</f>
        <v>3863699.8734759334</v>
      </c>
      <c r="W7" s="528">
        <f>'Yearly Demand - BTX'!AG9</f>
        <v>3834954.7211938379</v>
      </c>
      <c r="X7" s="528">
        <f>'Yearly Demand - BTX'!AH9</f>
        <v>3806423.4270805391</v>
      </c>
      <c r="Y7" s="528">
        <f>'Yearly Demand - BTX'!AI9</f>
        <v>3775407.0203738767</v>
      </c>
      <c r="Z7" s="528">
        <f>'Yearly Demand - BTX'!AJ9</f>
        <v>3744643.3489457294</v>
      </c>
      <c r="AA7" s="528">
        <f>'Yearly Demand - BTX'!AK9</f>
        <v>3714130.3533982579</v>
      </c>
      <c r="AB7" s="528">
        <f>'Yearly Demand - BTX'!AL9</f>
        <v>3683865.9911144967</v>
      </c>
      <c r="AC7" s="528">
        <f>'Yearly Demand - BTX'!AM9</f>
        <v>3653848.2361216196</v>
      </c>
      <c r="AD7" s="528">
        <f>'Yearly Demand - BTX'!AN9</f>
        <v>3622605.7817164483</v>
      </c>
      <c r="AE7" s="528">
        <f>'Yearly Demand - BTX'!AO9</f>
        <v>3591630.4678420764</v>
      </c>
      <c r="AF7" s="528">
        <f>'Yearly Demand - BTX'!AP9</f>
        <v>3560920.0102969413</v>
      </c>
      <c r="AG7" s="528">
        <f>'Yearly Demand - BTX'!AQ9</f>
        <v>3530472.1444106842</v>
      </c>
      <c r="AH7" s="528">
        <f>'Yearly Demand - BTX'!AR9</f>
        <v>3500284.6248771548</v>
      </c>
      <c r="AI7" s="579"/>
      <c r="AJ7" s="528">
        <f>D7</f>
        <v>4301306.9285570411</v>
      </c>
      <c r="AK7" s="528">
        <f t="shared" si="5"/>
        <v>4281202.3758973898</v>
      </c>
      <c r="AL7" s="528">
        <f t="shared" si="5"/>
        <v>4261191.7930576922</v>
      </c>
      <c r="AM7" s="528">
        <f t="shared" si="5"/>
        <v>4241274.7408176782</v>
      </c>
      <c r="AN7" s="528">
        <f t="shared" si="5"/>
        <v>4221450.7820100179</v>
      </c>
      <c r="AO7" s="528">
        <f t="shared" si="5"/>
        <v>4197364.3377445089</v>
      </c>
      <c r="AP7" s="528">
        <f t="shared" si="5"/>
        <v>4174073.0596667309</v>
      </c>
      <c r="AQ7" s="528">
        <f t="shared" si="5"/>
        <v>4150911.0254645958</v>
      </c>
      <c r="AR7" s="528">
        <f t="shared" si="5"/>
        <v>4127877.5179606555</v>
      </c>
      <c r="AS7" s="528">
        <f t="shared" si="5"/>
        <v>4104971.8239570959</v>
      </c>
      <c r="AT7" s="528">
        <f t="shared" si="5"/>
        <v>4082193.2342136553</v>
      </c>
      <c r="AU7" s="528">
        <f t="shared" si="5"/>
        <v>4055658.7858328968</v>
      </c>
      <c r="AV7" s="528">
        <f t="shared" si="5"/>
        <v>4029296.8126169518</v>
      </c>
      <c r="AW7" s="528">
        <f t="shared" si="5"/>
        <v>4003106.1934691207</v>
      </c>
      <c r="AX7" s="528">
        <f t="shared" si="5"/>
        <v>3977085.8145798882</v>
      </c>
      <c r="AY7" s="528">
        <f t="shared" si="5"/>
        <v>3951234.5693795495</v>
      </c>
      <c r="AZ7" s="528">
        <f t="shared" si="5"/>
        <v>3921838.1765130102</v>
      </c>
      <c r="BA7" s="528">
        <f t="shared" si="5"/>
        <v>3892660.4869146249</v>
      </c>
      <c r="BB7" s="528">
        <f t="shared" si="5"/>
        <v>3863699.8734759334</v>
      </c>
      <c r="BC7" s="528">
        <f t="shared" si="5"/>
        <v>3834954.7211938379</v>
      </c>
      <c r="BD7" s="528">
        <f t="shared" si="5"/>
        <v>3806423.4270805391</v>
      </c>
      <c r="BE7" s="528">
        <f t="shared" si="5"/>
        <v>3775407.0203738767</v>
      </c>
      <c r="BF7" s="528">
        <f t="shared" si="5"/>
        <v>3744643.3489457294</v>
      </c>
      <c r="BG7" s="528">
        <f t="shared" si="5"/>
        <v>3714130.3533982579</v>
      </c>
      <c r="BH7" s="528">
        <f t="shared" si="5"/>
        <v>3683865.9911144967</v>
      </c>
      <c r="BI7" s="528">
        <f t="shared" si="5"/>
        <v>3653848.2361216196</v>
      </c>
      <c r="BJ7" s="528">
        <f t="shared" si="5"/>
        <v>3622605.7817164483</v>
      </c>
      <c r="BK7" s="528">
        <f t="shared" si="5"/>
        <v>3591630.4678420764</v>
      </c>
      <c r="BL7" s="528">
        <f t="shared" si="5"/>
        <v>3560920.0102969413</v>
      </c>
      <c r="BM7" s="528">
        <f t="shared" si="5"/>
        <v>3530472.1444106842</v>
      </c>
      <c r="BN7" s="528">
        <f t="shared" si="5"/>
        <v>3500284.6248771548</v>
      </c>
      <c r="BQ7" s="623"/>
      <c r="BR7" s="623"/>
      <c r="BS7" s="623"/>
      <c r="BT7" s="623"/>
      <c r="BU7" s="623"/>
      <c r="BV7" s="623"/>
      <c r="BW7" s="623"/>
      <c r="BX7" s="623"/>
      <c r="BY7" s="665"/>
      <c r="BZ7" s="666"/>
      <c r="CA7" s="623"/>
      <c r="CB7" s="667"/>
      <c r="CC7" s="668"/>
      <c r="CD7" s="669"/>
      <c r="CE7" s="667"/>
      <c r="CF7" s="670"/>
      <c r="CG7" s="668"/>
      <c r="CH7" s="623"/>
      <c r="CI7" s="670"/>
      <c r="CJ7" s="623"/>
      <c r="CK7" s="671"/>
      <c r="CL7" s="623"/>
    </row>
    <row r="8" spans="1:90">
      <c r="C8" s="50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178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Y8" s="630"/>
      <c r="BZ8" s="631"/>
      <c r="CA8" s="632"/>
      <c r="CB8" s="633"/>
      <c r="CD8" s="631"/>
      <c r="CE8" s="634"/>
      <c r="CF8" s="635"/>
      <c r="CG8" s="636"/>
      <c r="CH8" s="635"/>
      <c r="CJ8" s="631"/>
    </row>
    <row r="9" spans="1:90" outlineLevel="1">
      <c r="A9" s="54" t="s">
        <v>818</v>
      </c>
      <c r="B9" s="54" t="s">
        <v>819</v>
      </c>
      <c r="C9" s="61"/>
      <c r="D9" s="571">
        <f>'Demand - BTX'!M3</f>
        <v>463262.36467510118</v>
      </c>
      <c r="E9" s="571">
        <f>$D$9*(1+'Demand - BTX'!$L72)^(E3-$D$3)</f>
        <v>460091.04864396557</v>
      </c>
      <c r="F9" s="571">
        <f>$D$9*(1+'Demand - BTX'!$L72)^(F3-$D$3)</f>
        <v>456941.4422230557</v>
      </c>
      <c r="G9" s="571">
        <f>$D$9*(1+'Demand - BTX'!$L72)^(G3-$D$3)</f>
        <v>453813.39679672697</v>
      </c>
      <c r="H9" s="571">
        <f>$D$9*(1+'Demand - BTX'!$L72)^(H3-$D$3)</f>
        <v>450706.76476670027</v>
      </c>
      <c r="I9" s="571">
        <f>$D$9*(1+'Demand - BTX'!$L72)^(I3-$D$3)</f>
        <v>447621.39954509772</v>
      </c>
      <c r="J9" s="571">
        <f>$D$9*(1+'Demand - BTX'!$L72)^(J3-$D$3)</f>
        <v>444557.15554752573</v>
      </c>
      <c r="K9" s="571">
        <f>$D$9*(1+'Demand - BTX'!$L72)^(K3-$D$3)</f>
        <v>441513.88818620518</v>
      </c>
      <c r="L9" s="571">
        <f>$D$9*(1+'Demand - BTX'!$L72)^(L3-$D$3)</f>
        <v>438491.45386314951</v>
      </c>
      <c r="M9" s="571">
        <f>$D$9*(1+'Demand - BTX'!$L72)^(M3-$D$3)</f>
        <v>435489.70996338892</v>
      </c>
      <c r="N9" s="571">
        <f>$D$9*(1+'Demand - BTX'!$L72)^(N3-$D$3)</f>
        <v>432508.51484824053</v>
      </c>
      <c r="O9" s="571">
        <f>$D$9*(1+'Demand - BTX'!$L72)^(O3-$D$3)</f>
        <v>429547.72784862574</v>
      </c>
      <c r="P9" s="571">
        <f>$D$9*(1+'Demand - BTX'!$L72)^(P3-$D$3)</f>
        <v>426607.20925843198</v>
      </c>
      <c r="Q9" s="571">
        <f>$D$9*(1+'Demand - BTX'!$L72)^(Q3-$D$3)</f>
        <v>423686.82032792148</v>
      </c>
      <c r="R9" s="571">
        <f>$D$9*(1+'Demand - BTX'!$L72)^(R3-$D$3)</f>
        <v>420786.42325718357</v>
      </c>
      <c r="S9" s="571">
        <f>$D$9*(1+'Demand - BTX'!$L72)^(S3-$D$3)</f>
        <v>417905.8811896327</v>
      </c>
      <c r="T9" s="571">
        <f>$D$9*(1+'Demand - BTX'!$L72)^(T3-$D$3)</f>
        <v>415045.05820555106</v>
      </c>
      <c r="U9" s="571">
        <f>$D$9*(1+'Demand - BTX'!$L72)^(U3-$D$3)</f>
        <v>412203.81931567495</v>
      </c>
      <c r="V9" s="571">
        <f>$D$9*(1+'Demand - BTX'!$L72)^(V3-$D$3)</f>
        <v>409382.03045482514</v>
      </c>
      <c r="W9" s="571">
        <f>$D$9*(1+'Demand - BTX'!$L72)^(W3-$D$3)</f>
        <v>406579.55847558129</v>
      </c>
      <c r="X9" s="571">
        <f>$D$9*(1+'Demand - BTX'!$L72)^(X3-$D$3)</f>
        <v>403796.27114199882</v>
      </c>
      <c r="Y9" s="571">
        <f>$D$9*(1+'Demand - BTX'!$L72)^(Y3-$D$3)</f>
        <v>401032.03712336993</v>
      </c>
      <c r="Z9" s="571">
        <f>$D$9*(1+'Demand - BTX'!$L72)^(Z3-$D$3)</f>
        <v>398286.72598802601</v>
      </c>
      <c r="AA9" s="571">
        <f>$D$9*(1+'Demand - BTX'!$L72)^(AA3-$D$3)</f>
        <v>395560.20819718373</v>
      </c>
      <c r="AB9" s="571">
        <f>$D$9*(1+'Demand - BTX'!$L72)^(AB3-$D$3)</f>
        <v>392852.35509883228</v>
      </c>
      <c r="AC9" s="571">
        <f>$D$9*(1+'Demand - BTX'!$L72)^(AC3-$D$3)</f>
        <v>390163.0389216633</v>
      </c>
      <c r="AD9" s="571">
        <f>$D$9*(1+'Demand - BTX'!$L72)^(AD3-$D$3)</f>
        <v>387492.13276904152</v>
      </c>
      <c r="AE9" s="571">
        <f>$D$9*(1+'Demand - BTX'!$L72)^(AE3-$D$3)</f>
        <v>384839.51061301725</v>
      </c>
      <c r="AF9" s="571">
        <f>$D$9*(1+'Demand - BTX'!$L72)^(AF3-$D$3)</f>
        <v>382205.04728837957</v>
      </c>
      <c r="AG9" s="571">
        <f>$D$9*(1+'Demand - BTX'!$L72)^(AG3-$D$3)</f>
        <v>379588.61848675087</v>
      </c>
      <c r="AH9" s="571">
        <f>$D$9*(1+'Demand - BTX'!$L72)^(AH3-$D$3)</f>
        <v>376990.10075072048</v>
      </c>
      <c r="AI9" s="178"/>
      <c r="AJ9" s="571">
        <f t="shared" ref="AJ9:AJ15" si="6">D9</f>
        <v>463262.36467510118</v>
      </c>
      <c r="AK9" s="571">
        <f t="shared" ref="AK9:BN16" si="7">E9</f>
        <v>460091.04864396557</v>
      </c>
      <c r="AL9" s="571">
        <f t="shared" si="7"/>
        <v>456941.4422230557</v>
      </c>
      <c r="AM9" s="571">
        <f t="shared" si="7"/>
        <v>453813.39679672697</v>
      </c>
      <c r="AN9" s="571">
        <f t="shared" si="7"/>
        <v>450706.76476670027</v>
      </c>
      <c r="AO9" s="571">
        <f t="shared" si="7"/>
        <v>447621.39954509772</v>
      </c>
      <c r="AP9" s="571">
        <f t="shared" si="7"/>
        <v>444557.15554752573</v>
      </c>
      <c r="AQ9" s="571">
        <f t="shared" si="7"/>
        <v>441513.88818620518</v>
      </c>
      <c r="AR9" s="571">
        <f t="shared" si="7"/>
        <v>438491.45386314951</v>
      </c>
      <c r="AS9" s="571">
        <f t="shared" si="7"/>
        <v>435489.70996338892</v>
      </c>
      <c r="AT9" s="571">
        <f t="shared" si="7"/>
        <v>432508.51484824053</v>
      </c>
      <c r="AU9" s="571">
        <f t="shared" si="7"/>
        <v>429547.72784862574</v>
      </c>
      <c r="AV9" s="571">
        <f t="shared" si="7"/>
        <v>426607.20925843198</v>
      </c>
      <c r="AW9" s="571">
        <f t="shared" si="7"/>
        <v>423686.82032792148</v>
      </c>
      <c r="AX9" s="571">
        <f t="shared" si="7"/>
        <v>420786.42325718357</v>
      </c>
      <c r="AY9" s="571">
        <f t="shared" si="7"/>
        <v>417905.8811896327</v>
      </c>
      <c r="AZ9" s="571">
        <f t="shared" si="7"/>
        <v>415045.05820555106</v>
      </c>
      <c r="BA9" s="571">
        <f t="shared" si="7"/>
        <v>412203.81931567495</v>
      </c>
      <c r="BB9" s="571">
        <f t="shared" si="7"/>
        <v>409382.03045482514</v>
      </c>
      <c r="BC9" s="571">
        <f t="shared" si="7"/>
        <v>406579.55847558129</v>
      </c>
      <c r="BD9" s="571">
        <f t="shared" si="7"/>
        <v>403796.27114199882</v>
      </c>
      <c r="BE9" s="571">
        <f t="shared" si="7"/>
        <v>401032.03712336993</v>
      </c>
      <c r="BF9" s="571">
        <f t="shared" si="7"/>
        <v>398286.72598802601</v>
      </c>
      <c r="BG9" s="571">
        <f t="shared" si="7"/>
        <v>395560.20819718373</v>
      </c>
      <c r="BH9" s="571">
        <f t="shared" si="7"/>
        <v>392852.35509883228</v>
      </c>
      <c r="BI9" s="571">
        <f t="shared" si="7"/>
        <v>390163.0389216633</v>
      </c>
      <c r="BJ9" s="571">
        <f t="shared" si="7"/>
        <v>387492.13276904152</v>
      </c>
      <c r="BK9" s="571">
        <f t="shared" si="7"/>
        <v>384839.51061301725</v>
      </c>
      <c r="BL9" s="571">
        <f t="shared" si="7"/>
        <v>382205.04728837957</v>
      </c>
      <c r="BM9" s="571">
        <f t="shared" si="7"/>
        <v>379588.61848675087</v>
      </c>
      <c r="BN9" s="571">
        <f t="shared" si="7"/>
        <v>376990.10075072048</v>
      </c>
      <c r="BY9" s="630"/>
      <c r="CF9" s="637"/>
      <c r="CG9" s="637"/>
      <c r="CH9" s="637"/>
    </row>
    <row r="10" spans="1:90" outlineLevel="1">
      <c r="B10" s="1" t="s">
        <v>820</v>
      </c>
      <c r="D10" s="99">
        <f>D9*('R&amp;S - Transportation'!$D$19*(D3-$D$3)/10)</f>
        <v>0</v>
      </c>
      <c r="E10" s="99">
        <f>E9*'R&amp;S - Transportation'!$B$9*'R&amp;S - Transportation'!$D$19*(E3-$D$3)/10</f>
        <v>9201.8209728793117</v>
      </c>
      <c r="F10" s="99">
        <f>F9*'R&amp;S - Transportation'!$B$9*'R&amp;S - Transportation'!$D$19*(F3-$D$3)/10</f>
        <v>18277.657688922227</v>
      </c>
      <c r="G10" s="99">
        <f>G9*'R&amp;S - Transportation'!$B$9*'R&amp;S - Transportation'!$D$19*(G3-$D$3)/10</f>
        <v>27228.803807803622</v>
      </c>
      <c r="H10" s="99">
        <f>H9*'R&amp;S - Transportation'!$B$9*'R&amp;S - Transportation'!$D$19*(H3-$D$3)/10</f>
        <v>36056.541181336026</v>
      </c>
      <c r="I10" s="99">
        <f>I9*'R&amp;S - Transportation'!$B$9*'R&amp;S - Transportation'!$D$19*(I3-$D$3)/10</f>
        <v>44762.139954509774</v>
      </c>
      <c r="J10" s="99">
        <f>J9*'R&amp;S - Transportation'!$B$9*'R&amp;S - Transportation'!$D$19*(J3-$D$3)/10</f>
        <v>53346.858665703097</v>
      </c>
      <c r="K10" s="99">
        <f>K9*'R&amp;S - Transportation'!$B$9*'R&amp;S - Transportation'!$D$19*(K3-$D$3)/10</f>
        <v>61811.944346068733</v>
      </c>
      <c r="L10" s="99">
        <f>L9*'R&amp;S - Transportation'!$B$9*'R&amp;S - Transportation'!$D$19*(L3-$D$3)/10</f>
        <v>70158.632618103919</v>
      </c>
      <c r="M10" s="99">
        <f>M9*'R&amp;S - Transportation'!$B$9*'R&amp;S - Transportation'!$D$19*(M3-$D$3)/10</f>
        <v>78388.147793410011</v>
      </c>
      <c r="N10" s="99">
        <f>N9*'R&amp;S - Transportation'!$B$9*'R&amp;S - Transportation'!$D$19*(N3-$D$3)/10</f>
        <v>86501.702969648119</v>
      </c>
      <c r="O10" s="99">
        <f>O9*'R&amp;S - Transportation'!$B$9*('R&amp;S - Transportation'!$D$19+('R&amp;S - Transportation'!$D$20-'R&amp;S - Transportation'!$D$19)*(O3-$N$3)/10)</f>
        <v>107386.93196215644</v>
      </c>
      <c r="P10" s="99">
        <f>P9*'R&amp;S - Transportation'!$B$9*('R&amp;S - Transportation'!$D$19+('R&amp;S - Transportation'!$D$20-'R&amp;S - Transportation'!$D$19)*(P3-$N$3)/10)</f>
        <v>127982.16277752959</v>
      </c>
      <c r="Q10" s="99">
        <f>Q9*'R&amp;S - Transportation'!$B$9*('R&amp;S - Transportation'!$D$19+('R&amp;S - Transportation'!$D$20-'R&amp;S - Transportation'!$D$19)*(Q3-$N$3)/10)</f>
        <v>148290.38711477251</v>
      </c>
      <c r="R10" s="99">
        <f>R9*'R&amp;S - Transportation'!$B$9*('R&amp;S - Transportation'!$D$19+('R&amp;S - Transportation'!$D$20-'R&amp;S - Transportation'!$D$19)*(R3-$N$3)/10)</f>
        <v>168314.56930287345</v>
      </c>
      <c r="S10" s="99">
        <f>S9*'R&amp;S - Transportation'!$B$9*('R&amp;S - Transportation'!$D$19+('R&amp;S - Transportation'!$D$20-'R&amp;S - Transportation'!$D$19)*(S3-$N$3)/10)</f>
        <v>188057.6465353347</v>
      </c>
      <c r="T10" s="99">
        <f>T9*'R&amp;S - Transportation'!$B$9*('R&amp;S - Transportation'!$D$19+('R&amp;S - Transportation'!$D$20-'R&amp;S - Transportation'!$D$19)*(T3-$N$3)/10)</f>
        <v>207522.5291027755</v>
      </c>
      <c r="U10" s="99">
        <f>U9*'R&amp;S - Transportation'!$B$9*('R&amp;S - Transportation'!$D$19+('R&amp;S - Transportation'!$D$20-'R&amp;S - Transportation'!$D$19)*(U3-$N$3)/10)</f>
        <v>226712.10062362123</v>
      </c>
      <c r="V10" s="99">
        <f>V9*'R&amp;S - Transportation'!$B$9*('R&amp;S - Transportation'!$D$19+('R&amp;S - Transportation'!$D$20-'R&amp;S - Transportation'!$D$19)*(V3-$N$3)/10)</f>
        <v>245629.21827289509</v>
      </c>
      <c r="W10" s="99">
        <f>W9*'R&amp;S - Transportation'!$B$9*('R&amp;S - Transportation'!$D$19+('R&amp;S - Transportation'!$D$20-'R&amp;S - Transportation'!$D$19)*(W3-$N$3)/10)</f>
        <v>264276.71300912782</v>
      </c>
      <c r="X10" s="99">
        <f>X9*'R&amp;S - Transportation'!$B$9*('R&amp;S - Transportation'!$D$19+('R&amp;S - Transportation'!$D$20-'R&amp;S - Transportation'!$D$19)*(X3-$N$3)/10)</f>
        <v>282657.38979939913</v>
      </c>
      <c r="Y10" s="99">
        <f>Y9*'R&amp;S - Transportation'!$B$9*('R&amp;S - Transportation'!$D$20+('R&amp;S - Transportation'!$D$21-'R&amp;S - Transportation'!$D$20)*(Y3-$X$3)/10)</f>
        <v>292753.38710006006</v>
      </c>
      <c r="Z10" s="99">
        <f>Z9*'R&amp;S - Transportation'!$B$9*('R&amp;S - Transportation'!$D$20+('R&amp;S - Transportation'!$D$21-'R&amp;S - Transportation'!$D$20)*(Z3-$X$3)/10)</f>
        <v>302697.91175089974</v>
      </c>
      <c r="AA10" s="99">
        <f>AA9*'R&amp;S - Transportation'!$B$9*('R&amp;S - Transportation'!$D$20+('R&amp;S - Transportation'!$D$21-'R&amp;S - Transportation'!$D$20)*(AA3-$X$3)/10)</f>
        <v>312492.56447577511</v>
      </c>
      <c r="AB10" s="99">
        <f>AB9*'R&amp;S - Transportation'!$B$9*('R&amp;S - Transportation'!$D$20+('R&amp;S - Transportation'!$D$21-'R&amp;S - Transportation'!$D$20)*(AB3-$X$3)/10)</f>
        <v>322138.93118104246</v>
      </c>
      <c r="AC10" s="99">
        <f>AC9*'R&amp;S - Transportation'!$B$9*('R&amp;S - Transportation'!$D$20+('R&amp;S - Transportation'!$D$21-'R&amp;S - Transportation'!$D$20)*(AC3-$X$3)/10)</f>
        <v>331638.58308341377</v>
      </c>
      <c r="AD10" s="99">
        <f>AD9*'R&amp;S - Transportation'!$B$9*('R&amp;S - Transportation'!$D$20+('R&amp;S - Transportation'!$D$21-'R&amp;S - Transportation'!$D$20)*(AD3-$X$3)/10)</f>
        <v>340993.07683675655</v>
      </c>
      <c r="AE10" s="99">
        <f>AE9*'R&amp;S - Transportation'!$B$9*('R&amp;S - Transportation'!$D$20+('R&amp;S - Transportation'!$D$21-'R&amp;S - Transportation'!$D$20)*(AE3-$X$3)/10)</f>
        <v>350203.95465784572</v>
      </c>
      <c r="AF10" s="99">
        <f>AF9*'R&amp;S - Transportation'!$B$9*('R&amp;S - Transportation'!$D$20+('R&amp;S - Transportation'!$D$21-'R&amp;S - Transportation'!$D$20)*(AF3-$X$3)/10)</f>
        <v>359272.74445107678</v>
      </c>
      <c r="AG10" s="99">
        <f>AG9*'R&amp;S - Transportation'!$B$9*('R&amp;S - Transportation'!$D$20+('R&amp;S - Transportation'!$D$21-'R&amp;S - Transportation'!$D$20)*(AG3-$X$3)/10)</f>
        <v>368200.95993214834</v>
      </c>
      <c r="AH10" s="99">
        <f>AH9*'R&amp;S - Transportation'!$B$9*('R&amp;S - Transportation'!$D$20+('R&amp;S - Transportation'!$D$21-'R&amp;S - Transportation'!$D$20)*(AH3-$X$3)/10)</f>
        <v>376990.10075072048</v>
      </c>
      <c r="AI10" s="178"/>
      <c r="AJ10" s="99">
        <f t="shared" si="6"/>
        <v>0</v>
      </c>
      <c r="AK10" s="99">
        <f t="shared" si="7"/>
        <v>9201.8209728793117</v>
      </c>
      <c r="AL10" s="99">
        <f t="shared" si="7"/>
        <v>18277.657688922227</v>
      </c>
      <c r="AM10" s="99">
        <f t="shared" si="7"/>
        <v>27228.803807803622</v>
      </c>
      <c r="AN10" s="99">
        <f t="shared" si="7"/>
        <v>36056.541181336026</v>
      </c>
      <c r="AO10" s="99">
        <f t="shared" si="7"/>
        <v>44762.139954509774</v>
      </c>
      <c r="AP10" s="99">
        <f t="shared" si="7"/>
        <v>53346.858665703097</v>
      </c>
      <c r="AQ10" s="99">
        <f t="shared" si="7"/>
        <v>61811.944346068733</v>
      </c>
      <c r="AR10" s="99">
        <f t="shared" si="7"/>
        <v>70158.632618103919</v>
      </c>
      <c r="AS10" s="99">
        <f t="shared" si="7"/>
        <v>78388.147793410011</v>
      </c>
      <c r="AT10" s="99">
        <f t="shared" si="7"/>
        <v>86501.702969648119</v>
      </c>
      <c r="AU10" s="99">
        <f t="shared" si="7"/>
        <v>107386.93196215644</v>
      </c>
      <c r="AV10" s="99">
        <f t="shared" si="7"/>
        <v>127982.16277752959</v>
      </c>
      <c r="AW10" s="99">
        <f t="shared" si="7"/>
        <v>148290.38711477251</v>
      </c>
      <c r="AX10" s="99">
        <f t="shared" si="7"/>
        <v>168314.56930287345</v>
      </c>
      <c r="AY10" s="99">
        <f t="shared" si="7"/>
        <v>188057.6465353347</v>
      </c>
      <c r="AZ10" s="99">
        <f t="shared" si="7"/>
        <v>207522.5291027755</v>
      </c>
      <c r="BA10" s="99">
        <f t="shared" si="7"/>
        <v>226712.10062362123</v>
      </c>
      <c r="BB10" s="99">
        <f t="shared" si="7"/>
        <v>245629.21827289509</v>
      </c>
      <c r="BC10" s="99">
        <f t="shared" si="7"/>
        <v>264276.71300912782</v>
      </c>
      <c r="BD10" s="99">
        <f t="shared" si="7"/>
        <v>282657.38979939913</v>
      </c>
      <c r="BE10" s="99">
        <f t="shared" si="7"/>
        <v>292753.38710006006</v>
      </c>
      <c r="BF10" s="99">
        <f t="shared" si="7"/>
        <v>302697.91175089974</v>
      </c>
      <c r="BG10" s="99">
        <f t="shared" si="7"/>
        <v>312492.56447577511</v>
      </c>
      <c r="BH10" s="99">
        <f t="shared" si="7"/>
        <v>322138.93118104246</v>
      </c>
      <c r="BI10" s="99">
        <f t="shared" si="7"/>
        <v>331638.58308341377</v>
      </c>
      <c r="BJ10" s="99">
        <f t="shared" si="7"/>
        <v>340993.07683675655</v>
      </c>
      <c r="BK10" s="99">
        <f t="shared" si="7"/>
        <v>350203.95465784572</v>
      </c>
      <c r="BL10" s="99">
        <f t="shared" si="7"/>
        <v>359272.74445107678</v>
      </c>
      <c r="BM10" s="99">
        <f t="shared" si="7"/>
        <v>368200.95993214834</v>
      </c>
      <c r="BN10" s="99">
        <f t="shared" si="7"/>
        <v>376990.10075072048</v>
      </c>
      <c r="BR10" s="626"/>
      <c r="BY10" s="630"/>
      <c r="CA10" s="638"/>
      <c r="CC10" s="639"/>
      <c r="CI10" s="626"/>
    </row>
    <row r="11" spans="1:90" outlineLevel="1">
      <c r="B11" s="1" t="s">
        <v>821</v>
      </c>
      <c r="D11" s="99">
        <f>D9-D10</f>
        <v>463262.36467510118</v>
      </c>
      <c r="E11" s="99">
        <f t="shared" ref="E11:AH11" si="8">E9-E10</f>
        <v>450889.22767108626</v>
      </c>
      <c r="F11" s="99">
        <f t="shared" si="8"/>
        <v>438663.78453413345</v>
      </c>
      <c r="G11" s="99">
        <f t="shared" si="8"/>
        <v>426584.59298892337</v>
      </c>
      <c r="H11" s="99">
        <f t="shared" si="8"/>
        <v>414650.22358536423</v>
      </c>
      <c r="I11" s="99">
        <f t="shared" si="8"/>
        <v>402859.25959058793</v>
      </c>
      <c r="J11" s="99">
        <f t="shared" si="8"/>
        <v>391210.29688182264</v>
      </c>
      <c r="K11" s="99">
        <f t="shared" si="8"/>
        <v>379701.94384013646</v>
      </c>
      <c r="L11" s="99">
        <f t="shared" si="8"/>
        <v>368332.82124504558</v>
      </c>
      <c r="M11" s="99">
        <f t="shared" si="8"/>
        <v>357101.56216997892</v>
      </c>
      <c r="N11" s="99">
        <f t="shared" si="8"/>
        <v>346006.81187859242</v>
      </c>
      <c r="O11" s="99">
        <f t="shared" si="8"/>
        <v>322160.79588646931</v>
      </c>
      <c r="P11" s="99">
        <f t="shared" si="8"/>
        <v>298625.04648090235</v>
      </c>
      <c r="Q11" s="99">
        <f t="shared" si="8"/>
        <v>275396.43321314896</v>
      </c>
      <c r="R11" s="99">
        <f t="shared" si="8"/>
        <v>252471.85395431012</v>
      </c>
      <c r="S11" s="99">
        <f t="shared" si="8"/>
        <v>229848.23465429799</v>
      </c>
      <c r="T11" s="99">
        <f t="shared" si="8"/>
        <v>207522.52910277556</v>
      </c>
      <c r="U11" s="99">
        <f t="shared" si="8"/>
        <v>185491.71869205372</v>
      </c>
      <c r="V11" s="99">
        <f t="shared" si="8"/>
        <v>163752.81218193006</v>
      </c>
      <c r="W11" s="99">
        <f t="shared" si="8"/>
        <v>142302.84546645347</v>
      </c>
      <c r="X11" s="99">
        <f t="shared" si="8"/>
        <v>121138.88134259969</v>
      </c>
      <c r="Y11" s="99">
        <f t="shared" si="8"/>
        <v>108278.65002330986</v>
      </c>
      <c r="Z11" s="99">
        <f t="shared" si="8"/>
        <v>95588.814237126266</v>
      </c>
      <c r="AA11" s="99">
        <f t="shared" si="8"/>
        <v>83067.643721408618</v>
      </c>
      <c r="AB11" s="99">
        <f t="shared" si="8"/>
        <v>70713.423917789827</v>
      </c>
      <c r="AC11" s="99">
        <f t="shared" si="8"/>
        <v>58524.455838249531</v>
      </c>
      <c r="AD11" s="99">
        <f t="shared" si="8"/>
        <v>46499.055932284973</v>
      </c>
      <c r="AE11" s="99">
        <f t="shared" si="8"/>
        <v>34635.555955171527</v>
      </c>
      <c r="AF11" s="99">
        <f t="shared" si="8"/>
        <v>22932.302837302792</v>
      </c>
      <c r="AG11" s="99">
        <f t="shared" si="8"/>
        <v>11387.658554602531</v>
      </c>
      <c r="AH11" s="99">
        <f t="shared" si="8"/>
        <v>0</v>
      </c>
      <c r="AI11" s="178"/>
      <c r="AJ11" s="99">
        <f t="shared" si="6"/>
        <v>463262.36467510118</v>
      </c>
      <c r="AK11" s="99">
        <f t="shared" si="7"/>
        <v>450889.22767108626</v>
      </c>
      <c r="AL11" s="99">
        <f t="shared" si="7"/>
        <v>438663.78453413345</v>
      </c>
      <c r="AM11" s="99">
        <f t="shared" si="7"/>
        <v>426584.59298892337</v>
      </c>
      <c r="AN11" s="99">
        <f t="shared" si="7"/>
        <v>414650.22358536423</v>
      </c>
      <c r="AO11" s="99">
        <f t="shared" si="7"/>
        <v>402859.25959058793</v>
      </c>
      <c r="AP11" s="99">
        <f t="shared" si="7"/>
        <v>391210.29688182264</v>
      </c>
      <c r="AQ11" s="99">
        <f t="shared" si="7"/>
        <v>379701.94384013646</v>
      </c>
      <c r="AR11" s="99">
        <f t="shared" si="7"/>
        <v>368332.82124504558</v>
      </c>
      <c r="AS11" s="99">
        <f t="shared" si="7"/>
        <v>357101.56216997892</v>
      </c>
      <c r="AT11" s="99">
        <f t="shared" si="7"/>
        <v>346006.81187859242</v>
      </c>
      <c r="AU11" s="99">
        <f t="shared" si="7"/>
        <v>322160.79588646931</v>
      </c>
      <c r="AV11" s="99">
        <f t="shared" si="7"/>
        <v>298625.04648090235</v>
      </c>
      <c r="AW11" s="99">
        <f t="shared" si="7"/>
        <v>275396.43321314896</v>
      </c>
      <c r="AX11" s="99">
        <f t="shared" si="7"/>
        <v>252471.85395431012</v>
      </c>
      <c r="AY11" s="99">
        <f t="shared" si="7"/>
        <v>229848.23465429799</v>
      </c>
      <c r="AZ11" s="99">
        <f t="shared" si="7"/>
        <v>207522.52910277556</v>
      </c>
      <c r="BA11" s="99">
        <f t="shared" si="7"/>
        <v>185491.71869205372</v>
      </c>
      <c r="BB11" s="99">
        <f t="shared" si="7"/>
        <v>163752.81218193006</v>
      </c>
      <c r="BC11" s="99">
        <f t="shared" si="7"/>
        <v>142302.84546645347</v>
      </c>
      <c r="BD11" s="99">
        <f t="shared" si="7"/>
        <v>121138.88134259969</v>
      </c>
      <c r="BE11" s="99">
        <f t="shared" si="7"/>
        <v>108278.65002330986</v>
      </c>
      <c r="BF11" s="99">
        <f t="shared" si="7"/>
        <v>95588.814237126266</v>
      </c>
      <c r="BG11" s="99">
        <f t="shared" si="7"/>
        <v>83067.643721408618</v>
      </c>
      <c r="BH11" s="99">
        <f t="shared" si="7"/>
        <v>70713.423917789827</v>
      </c>
      <c r="BI11" s="99">
        <f t="shared" si="7"/>
        <v>58524.455838249531</v>
      </c>
      <c r="BJ11" s="99">
        <f t="shared" si="7"/>
        <v>46499.055932284973</v>
      </c>
      <c r="BK11" s="99">
        <f t="shared" si="7"/>
        <v>34635.555955171527</v>
      </c>
      <c r="BL11" s="99">
        <f t="shared" si="7"/>
        <v>22932.302837302792</v>
      </c>
      <c r="BM11" s="99">
        <f t="shared" si="7"/>
        <v>11387.658554602531</v>
      </c>
      <c r="BN11" s="99">
        <f t="shared" si="7"/>
        <v>0</v>
      </c>
    </row>
    <row r="12" spans="1:90" outlineLevel="1">
      <c r="A12" s="1" t="s">
        <v>1213</v>
      </c>
      <c r="C12" s="1"/>
      <c r="D12" s="520">
        <f>D4-D10</f>
        <v>7896082.1468130462</v>
      </c>
      <c r="E12" s="520">
        <f t="shared" ref="E12:AH12" si="9">E4-E10</f>
        <v>7849973.5898266099</v>
      </c>
      <c r="F12" s="520">
        <f t="shared" si="9"/>
        <v>7804163.5212753918</v>
      </c>
      <c r="G12" s="520">
        <f t="shared" si="9"/>
        <v>7758649.8412053995</v>
      </c>
      <c r="H12" s="520">
        <f t="shared" si="9"/>
        <v>7713430.4652391663</v>
      </c>
      <c r="I12" s="520">
        <f t="shared" si="9"/>
        <v>7660508.4118618341</v>
      </c>
      <c r="J12" s="520">
        <f t="shared" si="9"/>
        <v>7609166.9571024897</v>
      </c>
      <c r="K12" s="520">
        <f t="shared" si="9"/>
        <v>7558182.3935552649</v>
      </c>
      <c r="L12" s="520">
        <f t="shared" si="9"/>
        <v>7507552.1690461719</v>
      </c>
      <c r="M12" s="520">
        <f t="shared" si="9"/>
        <v>7457273.7500176951</v>
      </c>
      <c r="N12" s="520">
        <f t="shared" si="9"/>
        <v>7407344.6213912982</v>
      </c>
      <c r="O12" s="520">
        <f t="shared" si="9"/>
        <v>7337749.0381704457</v>
      </c>
      <c r="P12" s="520">
        <f t="shared" si="9"/>
        <v>7268760.07272451</v>
      </c>
      <c r="Q12" s="520">
        <f t="shared" si="9"/>
        <v>7200372.6753121801</v>
      </c>
      <c r="R12" s="520">
        <f t="shared" si="9"/>
        <v>7132581.8369395342</v>
      </c>
      <c r="S12" s="520">
        <f t="shared" si="9"/>
        <v>7065382.5890385555</v>
      </c>
      <c r="T12" s="520">
        <f t="shared" si="9"/>
        <v>6991953.5656298455</v>
      </c>
      <c r="U12" s="520">
        <f t="shared" si="9"/>
        <v>6919201.3356543155</v>
      </c>
      <c r="V12" s="520">
        <f t="shared" si="9"/>
        <v>6847120.054988496</v>
      </c>
      <c r="W12" s="520">
        <f t="shared" si="9"/>
        <v>6775703.9279477056</v>
      </c>
      <c r="X12" s="520">
        <f t="shared" si="9"/>
        <v>6704947.2068956802</v>
      </c>
      <c r="Y12" s="520">
        <f t="shared" si="9"/>
        <v>6637913.1441831347</v>
      </c>
      <c r="Z12" s="520">
        <f t="shared" si="9"/>
        <v>6571494.5104373414</v>
      </c>
      <c r="AA12" s="520">
        <f t="shared" si="9"/>
        <v>6505685.9244149877</v>
      </c>
      <c r="AB12" s="520">
        <f t="shared" si="9"/>
        <v>6440482.050495591</v>
      </c>
      <c r="AC12" s="520">
        <f t="shared" si="9"/>
        <v>6375877.5983026307</v>
      </c>
      <c r="AD12" s="520">
        <f t="shared" si="9"/>
        <v>6309170.074284588</v>
      </c>
      <c r="AE12" s="520">
        <f t="shared" si="9"/>
        <v>6243096.56681679</v>
      </c>
      <c r="AF12" s="520">
        <f t="shared" si="9"/>
        <v>6177651.354794153</v>
      </c>
      <c r="AG12" s="520">
        <f t="shared" si="9"/>
        <v>6112828.7671545055</v>
      </c>
      <c r="AH12" s="520">
        <f t="shared" si="9"/>
        <v>6048623.1824493688</v>
      </c>
      <c r="AI12" s="178"/>
      <c r="AJ12" s="520">
        <f t="shared" si="6"/>
        <v>7896082.1468130462</v>
      </c>
      <c r="AK12" s="520">
        <f t="shared" si="7"/>
        <v>7849973.5898266099</v>
      </c>
      <c r="AL12" s="520">
        <f t="shared" si="7"/>
        <v>7804163.5212753918</v>
      </c>
      <c r="AM12" s="520">
        <f t="shared" si="7"/>
        <v>7758649.8412053995</v>
      </c>
      <c r="AN12" s="520">
        <f t="shared" si="7"/>
        <v>7713430.4652391663</v>
      </c>
      <c r="AO12" s="520">
        <f t="shared" si="7"/>
        <v>7660508.4118618341</v>
      </c>
      <c r="AP12" s="520">
        <f t="shared" si="7"/>
        <v>7609166.9571024897</v>
      </c>
      <c r="AQ12" s="520">
        <f t="shared" si="7"/>
        <v>7558182.3935552649</v>
      </c>
      <c r="AR12" s="520">
        <f t="shared" si="7"/>
        <v>7507552.1690461719</v>
      </c>
      <c r="AS12" s="520">
        <f t="shared" si="7"/>
        <v>7457273.7500176951</v>
      </c>
      <c r="AT12" s="520">
        <f t="shared" si="7"/>
        <v>7407344.6213912982</v>
      </c>
      <c r="AU12" s="520">
        <f t="shared" si="7"/>
        <v>7337749.0381704457</v>
      </c>
      <c r="AV12" s="520">
        <f t="shared" si="7"/>
        <v>7268760.07272451</v>
      </c>
      <c r="AW12" s="520">
        <f t="shared" si="7"/>
        <v>7200372.6753121801</v>
      </c>
      <c r="AX12" s="520">
        <f t="shared" si="7"/>
        <v>7132581.8369395342</v>
      </c>
      <c r="AY12" s="520">
        <f t="shared" si="7"/>
        <v>7065382.5890385555</v>
      </c>
      <c r="AZ12" s="520">
        <f t="shared" si="7"/>
        <v>6991953.5656298455</v>
      </c>
      <c r="BA12" s="520">
        <f t="shared" si="7"/>
        <v>6919201.3356543155</v>
      </c>
      <c r="BB12" s="520">
        <f t="shared" si="7"/>
        <v>6847120.054988496</v>
      </c>
      <c r="BC12" s="520">
        <f t="shared" si="7"/>
        <v>6775703.9279477056</v>
      </c>
      <c r="BD12" s="520">
        <f t="shared" si="7"/>
        <v>6704947.2068956802</v>
      </c>
      <c r="BE12" s="520">
        <f t="shared" si="7"/>
        <v>6637913.1441831347</v>
      </c>
      <c r="BF12" s="520">
        <f t="shared" si="7"/>
        <v>6571494.5104373414</v>
      </c>
      <c r="BG12" s="520">
        <f t="shared" si="7"/>
        <v>6505685.9244149877</v>
      </c>
      <c r="BH12" s="520">
        <f t="shared" si="7"/>
        <v>6440482.050495591</v>
      </c>
      <c r="BI12" s="520">
        <f t="shared" si="7"/>
        <v>6375877.5983026307</v>
      </c>
      <c r="BJ12" s="520">
        <f t="shared" si="7"/>
        <v>6309170.074284588</v>
      </c>
      <c r="BK12" s="520">
        <f t="shared" si="7"/>
        <v>6243096.56681679</v>
      </c>
      <c r="BL12" s="520">
        <f t="shared" si="7"/>
        <v>6177651.354794153</v>
      </c>
      <c r="BM12" s="520">
        <f t="shared" si="7"/>
        <v>6112828.7671545055</v>
      </c>
      <c r="BN12" s="520">
        <f t="shared" si="7"/>
        <v>6048623.1824493688</v>
      </c>
      <c r="BQ12" s="625"/>
      <c r="BS12" s="626"/>
    </row>
    <row r="13" spans="1:90" s="61" customFormat="1" outlineLevel="1">
      <c r="A13" s="602"/>
      <c r="B13" s="54" t="s">
        <v>88</v>
      </c>
      <c r="C13" s="55" t="s">
        <v>1420</v>
      </c>
      <c r="D13" s="571">
        <f>D5</f>
        <v>2469050.6255606362</v>
      </c>
      <c r="E13" s="571">
        <f t="shared" ref="E13:AH13" si="10">E5</f>
        <v>2457510.1428316855</v>
      </c>
      <c r="F13" s="571">
        <f t="shared" si="10"/>
        <v>2446023.6009738683</v>
      </c>
      <c r="G13" s="571">
        <f t="shared" si="10"/>
        <v>2434590.7478644932</v>
      </c>
      <c r="H13" s="571">
        <f t="shared" si="10"/>
        <v>2423211.3325593029</v>
      </c>
      <c r="I13" s="571">
        <f t="shared" si="10"/>
        <v>2409385.1510593384</v>
      </c>
      <c r="J13" s="571">
        <f t="shared" si="10"/>
        <v>2396015.4135206742</v>
      </c>
      <c r="K13" s="571">
        <f t="shared" si="10"/>
        <v>2382719.8649848662</v>
      </c>
      <c r="L13" s="571">
        <f t="shared" si="10"/>
        <v>2369498.0937753101</v>
      </c>
      <c r="M13" s="571">
        <f t="shared" si="10"/>
        <v>2356349.6904998054</v>
      </c>
      <c r="N13" s="571">
        <f t="shared" si="10"/>
        <v>2343274.2480378798</v>
      </c>
      <c r="O13" s="571">
        <f t="shared" si="10"/>
        <v>2328042.8550074371</v>
      </c>
      <c r="P13" s="571">
        <f t="shared" si="10"/>
        <v>2312910.4667494157</v>
      </c>
      <c r="Q13" s="571">
        <f t="shared" si="10"/>
        <v>2297876.4397281297</v>
      </c>
      <c r="R13" s="571">
        <f t="shared" si="10"/>
        <v>2282940.1345909052</v>
      </c>
      <c r="S13" s="571">
        <f t="shared" si="10"/>
        <v>2268100.9161408911</v>
      </c>
      <c r="T13" s="571">
        <f t="shared" si="10"/>
        <v>2251226.7001405223</v>
      </c>
      <c r="U13" s="571">
        <f t="shared" si="10"/>
        <v>2234478.0249234582</v>
      </c>
      <c r="V13" s="571">
        <f t="shared" si="10"/>
        <v>2217853.9564914461</v>
      </c>
      <c r="W13" s="571">
        <f t="shared" si="10"/>
        <v>2201353.5677949917</v>
      </c>
      <c r="X13" s="571">
        <f t="shared" si="10"/>
        <v>2184975.9386816639</v>
      </c>
      <c r="Y13" s="571">
        <f t="shared" si="10"/>
        <v>2167171.7969048251</v>
      </c>
      <c r="Z13" s="571">
        <f t="shared" si="10"/>
        <v>2149512.73107999</v>
      </c>
      <c r="AA13" s="571">
        <f t="shared" si="10"/>
        <v>2131997.5590647049</v>
      </c>
      <c r="AB13" s="571">
        <f t="shared" si="10"/>
        <v>2114625.108349131</v>
      </c>
      <c r="AC13" s="571">
        <f t="shared" si="10"/>
        <v>2097394.2159775533</v>
      </c>
      <c r="AD13" s="571">
        <f t="shared" si="10"/>
        <v>2079460.3175428705</v>
      </c>
      <c r="AE13" s="571">
        <f t="shared" si="10"/>
        <v>2061679.7640114089</v>
      </c>
      <c r="AF13" s="571">
        <f t="shared" si="10"/>
        <v>2044051.2441981281</v>
      </c>
      <c r="AG13" s="571">
        <f t="shared" si="10"/>
        <v>2026573.4581293559</v>
      </c>
      <c r="AH13" s="571">
        <f t="shared" si="10"/>
        <v>2009245.1169469261</v>
      </c>
      <c r="AI13" s="580"/>
      <c r="AJ13" s="571">
        <f t="shared" si="6"/>
        <v>2469050.6255606362</v>
      </c>
      <c r="AK13" s="571">
        <f t="shared" si="7"/>
        <v>2457510.1428316855</v>
      </c>
      <c r="AL13" s="571">
        <f t="shared" si="7"/>
        <v>2446023.6009738683</v>
      </c>
      <c r="AM13" s="571">
        <f t="shared" si="7"/>
        <v>2434590.7478644932</v>
      </c>
      <c r="AN13" s="571">
        <f t="shared" si="7"/>
        <v>2423211.3325593029</v>
      </c>
      <c r="AO13" s="571">
        <f t="shared" si="7"/>
        <v>2409385.1510593384</v>
      </c>
      <c r="AP13" s="571">
        <f t="shared" si="7"/>
        <v>2396015.4135206742</v>
      </c>
      <c r="AQ13" s="571">
        <f t="shared" si="7"/>
        <v>2382719.8649848662</v>
      </c>
      <c r="AR13" s="571">
        <f t="shared" si="7"/>
        <v>2369498.0937753101</v>
      </c>
      <c r="AS13" s="571">
        <f t="shared" si="7"/>
        <v>2356349.6904998054</v>
      </c>
      <c r="AT13" s="571">
        <f t="shared" si="7"/>
        <v>2343274.2480378798</v>
      </c>
      <c r="AU13" s="571">
        <f t="shared" si="7"/>
        <v>2328042.8550074371</v>
      </c>
      <c r="AV13" s="571">
        <f t="shared" si="7"/>
        <v>2312910.4667494157</v>
      </c>
      <c r="AW13" s="571">
        <f t="shared" si="7"/>
        <v>2297876.4397281297</v>
      </c>
      <c r="AX13" s="571">
        <f t="shared" si="7"/>
        <v>2282940.1345909052</v>
      </c>
      <c r="AY13" s="571">
        <f t="shared" si="7"/>
        <v>2268100.9161408911</v>
      </c>
      <c r="AZ13" s="571">
        <f t="shared" si="7"/>
        <v>2251226.7001405223</v>
      </c>
      <c r="BA13" s="571">
        <f t="shared" si="7"/>
        <v>2234478.0249234582</v>
      </c>
      <c r="BB13" s="571">
        <f t="shared" si="7"/>
        <v>2217853.9564914461</v>
      </c>
      <c r="BC13" s="571">
        <f t="shared" si="7"/>
        <v>2201353.5677949917</v>
      </c>
      <c r="BD13" s="571">
        <f t="shared" si="7"/>
        <v>2184975.9386816639</v>
      </c>
      <c r="BE13" s="571">
        <f t="shared" si="7"/>
        <v>2167171.7969048251</v>
      </c>
      <c r="BF13" s="571">
        <f t="shared" si="7"/>
        <v>2149512.73107999</v>
      </c>
      <c r="BG13" s="571">
        <f t="shared" si="7"/>
        <v>2131997.5590647049</v>
      </c>
      <c r="BH13" s="571">
        <f t="shared" si="7"/>
        <v>2114625.108349131</v>
      </c>
      <c r="BI13" s="571">
        <f t="shared" si="7"/>
        <v>2097394.2159775533</v>
      </c>
      <c r="BJ13" s="571">
        <f t="shared" si="7"/>
        <v>2079460.3175428705</v>
      </c>
      <c r="BK13" s="571">
        <f t="shared" si="7"/>
        <v>2061679.7640114089</v>
      </c>
      <c r="BL13" s="571">
        <f t="shared" si="7"/>
        <v>2044051.2441981281</v>
      </c>
      <c r="BM13" s="571">
        <f t="shared" si="7"/>
        <v>2026573.4581293559</v>
      </c>
      <c r="BN13" s="571">
        <f t="shared" si="7"/>
        <v>2009245.1169469261</v>
      </c>
      <c r="BQ13" s="649"/>
      <c r="BR13" s="649"/>
      <c r="BS13" s="649"/>
      <c r="BT13" s="649"/>
      <c r="BU13" s="649"/>
      <c r="BV13" s="649"/>
      <c r="BW13" s="649"/>
      <c r="BX13" s="649"/>
      <c r="BY13" s="649"/>
      <c r="BZ13" s="649"/>
      <c r="CA13" s="649"/>
      <c r="CB13" s="649"/>
      <c r="CC13" s="649"/>
      <c r="CD13" s="649"/>
      <c r="CE13" s="649"/>
      <c r="CF13" s="649"/>
      <c r="CG13" s="649"/>
      <c r="CH13" s="649"/>
      <c r="CI13" s="649"/>
      <c r="CJ13" s="649"/>
      <c r="CK13" s="649"/>
      <c r="CL13" s="649"/>
    </row>
    <row r="14" spans="1:90" ht="14.5" customHeight="1" outlineLevel="1">
      <c r="A14" s="603"/>
      <c r="B14" s="1" t="s">
        <v>717</v>
      </c>
      <c r="C14" s="50" t="s">
        <v>1420</v>
      </c>
      <c r="D14" s="183">
        <f>D6-D10</f>
        <v>1125724.5926953687</v>
      </c>
      <c r="E14" s="183">
        <f t="shared" ref="E14:AH14" si="11">E6-E10</f>
        <v>1111261.0710975351</v>
      </c>
      <c r="F14" s="183">
        <f t="shared" si="11"/>
        <v>1096948.1272438315</v>
      </c>
      <c r="G14" s="183">
        <f t="shared" si="11"/>
        <v>1082784.3525232279</v>
      </c>
      <c r="H14" s="183">
        <f t="shared" si="11"/>
        <v>1068768.3506698459</v>
      </c>
      <c r="I14" s="183">
        <f t="shared" si="11"/>
        <v>1053758.9230579881</v>
      </c>
      <c r="J14" s="183">
        <f t="shared" si="11"/>
        <v>1039078.4839150847</v>
      </c>
      <c r="K14" s="183">
        <f t="shared" si="11"/>
        <v>1024551.5031058026</v>
      </c>
      <c r="L14" s="183">
        <f t="shared" si="11"/>
        <v>1010176.5573102066</v>
      </c>
      <c r="M14" s="183">
        <f t="shared" si="11"/>
        <v>995952.23556079424</v>
      </c>
      <c r="N14" s="183">
        <f t="shared" si="11"/>
        <v>981877.13913976261</v>
      </c>
      <c r="O14" s="183">
        <f t="shared" si="11"/>
        <v>954047.39733011229</v>
      </c>
      <c r="P14" s="183">
        <f t="shared" si="11"/>
        <v>926552.79335814319</v>
      </c>
      <c r="Q14" s="183">
        <f t="shared" si="11"/>
        <v>899390.04211492999</v>
      </c>
      <c r="R14" s="183">
        <f t="shared" si="11"/>
        <v>872555.8877687417</v>
      </c>
      <c r="S14" s="183">
        <f t="shared" si="11"/>
        <v>846047.10351811582</v>
      </c>
      <c r="T14" s="183">
        <f t="shared" si="11"/>
        <v>818888.6889763131</v>
      </c>
      <c r="U14" s="183">
        <f t="shared" si="11"/>
        <v>792062.82381623308</v>
      </c>
      <c r="V14" s="183">
        <f t="shared" si="11"/>
        <v>765566.22502111702</v>
      </c>
      <c r="W14" s="183">
        <f t="shared" si="11"/>
        <v>739395.63895887556</v>
      </c>
      <c r="X14" s="183">
        <f t="shared" si="11"/>
        <v>713547.8411334774</v>
      </c>
      <c r="Y14" s="183">
        <f t="shared" si="11"/>
        <v>695334.32690443378</v>
      </c>
      <c r="Z14" s="183">
        <f t="shared" si="11"/>
        <v>677338.43041162181</v>
      </c>
      <c r="AA14" s="183">
        <f t="shared" si="11"/>
        <v>659558.01195202442</v>
      </c>
      <c r="AB14" s="183">
        <f t="shared" si="11"/>
        <v>641990.95103196369</v>
      </c>
      <c r="AC14" s="183">
        <f t="shared" si="11"/>
        <v>624635.14620345796</v>
      </c>
      <c r="AD14" s="183">
        <f t="shared" si="11"/>
        <v>607103.97502526932</v>
      </c>
      <c r="AE14" s="183">
        <f t="shared" si="11"/>
        <v>589786.33496330562</v>
      </c>
      <c r="AF14" s="183">
        <f t="shared" si="11"/>
        <v>572680.10029908409</v>
      </c>
      <c r="AG14" s="183">
        <f t="shared" si="11"/>
        <v>555783.16461446555</v>
      </c>
      <c r="AH14" s="183">
        <f t="shared" si="11"/>
        <v>539093.44062528806</v>
      </c>
      <c r="AI14" s="576"/>
      <c r="AJ14" s="183">
        <f t="shared" si="6"/>
        <v>1125724.5926953687</v>
      </c>
      <c r="AK14" s="183">
        <f t="shared" si="7"/>
        <v>1111261.0710975351</v>
      </c>
      <c r="AL14" s="183">
        <f t="shared" si="7"/>
        <v>1096948.1272438315</v>
      </c>
      <c r="AM14" s="183">
        <f t="shared" si="7"/>
        <v>1082784.3525232279</v>
      </c>
      <c r="AN14" s="183">
        <f t="shared" si="7"/>
        <v>1068768.3506698459</v>
      </c>
      <c r="AO14" s="183">
        <f t="shared" si="7"/>
        <v>1053758.9230579881</v>
      </c>
      <c r="AP14" s="183">
        <f t="shared" si="7"/>
        <v>1039078.4839150847</v>
      </c>
      <c r="AQ14" s="183">
        <f t="shared" si="7"/>
        <v>1024551.5031058026</v>
      </c>
      <c r="AR14" s="183">
        <f t="shared" si="7"/>
        <v>1010176.5573102066</v>
      </c>
      <c r="AS14" s="183">
        <f t="shared" si="7"/>
        <v>995952.23556079424</v>
      </c>
      <c r="AT14" s="183">
        <f t="shared" si="7"/>
        <v>981877.13913976261</v>
      </c>
      <c r="AU14" s="183">
        <f t="shared" si="7"/>
        <v>954047.39733011229</v>
      </c>
      <c r="AV14" s="183">
        <f t="shared" si="7"/>
        <v>926552.79335814319</v>
      </c>
      <c r="AW14" s="183">
        <f t="shared" si="7"/>
        <v>899390.04211492999</v>
      </c>
      <c r="AX14" s="183">
        <f t="shared" si="7"/>
        <v>872555.8877687417</v>
      </c>
      <c r="AY14" s="183">
        <f t="shared" si="7"/>
        <v>846047.10351811582</v>
      </c>
      <c r="AZ14" s="183">
        <f t="shared" si="7"/>
        <v>818888.6889763131</v>
      </c>
      <c r="BA14" s="183">
        <f t="shared" si="7"/>
        <v>792062.82381623308</v>
      </c>
      <c r="BB14" s="183">
        <f t="shared" si="7"/>
        <v>765566.22502111702</v>
      </c>
      <c r="BC14" s="183">
        <f t="shared" si="7"/>
        <v>739395.63895887556</v>
      </c>
      <c r="BD14" s="183">
        <f t="shared" si="7"/>
        <v>713547.8411334774</v>
      </c>
      <c r="BE14" s="183">
        <f t="shared" si="7"/>
        <v>695334.32690443378</v>
      </c>
      <c r="BF14" s="183">
        <f t="shared" si="7"/>
        <v>677338.43041162181</v>
      </c>
      <c r="BG14" s="183">
        <f t="shared" si="7"/>
        <v>659558.01195202442</v>
      </c>
      <c r="BH14" s="183">
        <f t="shared" si="7"/>
        <v>641990.95103196369</v>
      </c>
      <c r="BI14" s="183">
        <f t="shared" si="7"/>
        <v>624635.14620345796</v>
      </c>
      <c r="BJ14" s="183">
        <f t="shared" si="7"/>
        <v>607103.97502526932</v>
      </c>
      <c r="BK14" s="183">
        <f t="shared" si="7"/>
        <v>589786.33496330562</v>
      </c>
      <c r="BL14" s="183">
        <f t="shared" si="7"/>
        <v>572680.10029908409</v>
      </c>
      <c r="BM14" s="183">
        <f t="shared" si="7"/>
        <v>555783.16461446555</v>
      </c>
      <c r="BN14" s="183">
        <f t="shared" si="7"/>
        <v>539093.44062528806</v>
      </c>
      <c r="BY14" s="630"/>
      <c r="BZ14" s="651"/>
      <c r="CA14" s="651"/>
      <c r="CB14" s="651"/>
      <c r="CC14" s="651"/>
      <c r="CD14" s="651"/>
      <c r="CE14" s="658"/>
      <c r="CF14" s="651"/>
      <c r="CG14" s="651"/>
    </row>
    <row r="15" spans="1:90" s="62" customFormat="1" outlineLevel="1">
      <c r="A15" s="604"/>
      <c r="B15" s="58" t="s">
        <v>1170</v>
      </c>
      <c r="C15" s="233" t="s">
        <v>1420</v>
      </c>
      <c r="D15" s="528">
        <f>D7</f>
        <v>4301306.9285570411</v>
      </c>
      <c r="E15" s="528">
        <f t="shared" ref="E15:AH15" si="12">E7</f>
        <v>4281202.3758973898</v>
      </c>
      <c r="F15" s="528">
        <f t="shared" si="12"/>
        <v>4261191.7930576922</v>
      </c>
      <c r="G15" s="528">
        <f t="shared" si="12"/>
        <v>4241274.7408176782</v>
      </c>
      <c r="H15" s="528">
        <f t="shared" si="12"/>
        <v>4221450.7820100179</v>
      </c>
      <c r="I15" s="528">
        <f t="shared" si="12"/>
        <v>4197364.3377445089</v>
      </c>
      <c r="J15" s="528">
        <f t="shared" si="12"/>
        <v>4174073.0596667309</v>
      </c>
      <c r="K15" s="528">
        <f t="shared" si="12"/>
        <v>4150911.0254645958</v>
      </c>
      <c r="L15" s="528">
        <f t="shared" si="12"/>
        <v>4127877.5179606555</v>
      </c>
      <c r="M15" s="528">
        <f t="shared" si="12"/>
        <v>4104971.8239570959</v>
      </c>
      <c r="N15" s="528">
        <f t="shared" si="12"/>
        <v>4082193.2342136553</v>
      </c>
      <c r="O15" s="528">
        <f t="shared" si="12"/>
        <v>4055658.7858328968</v>
      </c>
      <c r="P15" s="528">
        <f t="shared" si="12"/>
        <v>4029296.8126169518</v>
      </c>
      <c r="Q15" s="528">
        <f t="shared" si="12"/>
        <v>4003106.1934691207</v>
      </c>
      <c r="R15" s="528">
        <f t="shared" si="12"/>
        <v>3977085.8145798882</v>
      </c>
      <c r="S15" s="528">
        <f t="shared" si="12"/>
        <v>3951234.5693795495</v>
      </c>
      <c r="T15" s="528">
        <f t="shared" si="12"/>
        <v>3921838.1765130102</v>
      </c>
      <c r="U15" s="528">
        <f t="shared" si="12"/>
        <v>3892660.4869146249</v>
      </c>
      <c r="V15" s="528">
        <f t="shared" si="12"/>
        <v>3863699.8734759334</v>
      </c>
      <c r="W15" s="528">
        <f t="shared" si="12"/>
        <v>3834954.7211938379</v>
      </c>
      <c r="X15" s="528">
        <f t="shared" si="12"/>
        <v>3806423.4270805391</v>
      </c>
      <c r="Y15" s="528">
        <f t="shared" si="12"/>
        <v>3775407.0203738767</v>
      </c>
      <c r="Z15" s="528">
        <f t="shared" si="12"/>
        <v>3744643.3489457294</v>
      </c>
      <c r="AA15" s="528">
        <f t="shared" si="12"/>
        <v>3714130.3533982579</v>
      </c>
      <c r="AB15" s="528">
        <f t="shared" si="12"/>
        <v>3683865.9911144967</v>
      </c>
      <c r="AC15" s="528">
        <f t="shared" si="12"/>
        <v>3653848.2361216196</v>
      </c>
      <c r="AD15" s="528">
        <f t="shared" si="12"/>
        <v>3622605.7817164483</v>
      </c>
      <c r="AE15" s="528">
        <f t="shared" si="12"/>
        <v>3591630.4678420764</v>
      </c>
      <c r="AF15" s="528">
        <f t="shared" si="12"/>
        <v>3560920.0102969413</v>
      </c>
      <c r="AG15" s="528">
        <f t="shared" si="12"/>
        <v>3530472.1444106842</v>
      </c>
      <c r="AH15" s="528">
        <f t="shared" si="12"/>
        <v>3500284.6248771548</v>
      </c>
      <c r="AI15" s="579"/>
      <c r="AJ15" s="528">
        <f t="shared" si="6"/>
        <v>4301306.9285570411</v>
      </c>
      <c r="AK15" s="528">
        <f t="shared" si="7"/>
        <v>4281202.3758973898</v>
      </c>
      <c r="AL15" s="528">
        <f t="shared" si="7"/>
        <v>4261191.7930576922</v>
      </c>
      <c r="AM15" s="528">
        <f t="shared" si="7"/>
        <v>4241274.7408176782</v>
      </c>
      <c r="AN15" s="528">
        <f t="shared" si="7"/>
        <v>4221450.7820100179</v>
      </c>
      <c r="AO15" s="528">
        <f t="shared" si="7"/>
        <v>4197364.3377445089</v>
      </c>
      <c r="AP15" s="528">
        <f t="shared" si="7"/>
        <v>4174073.0596667309</v>
      </c>
      <c r="AQ15" s="528">
        <f t="shared" si="7"/>
        <v>4150911.0254645958</v>
      </c>
      <c r="AR15" s="528">
        <f t="shared" si="7"/>
        <v>4127877.5179606555</v>
      </c>
      <c r="AS15" s="528">
        <f t="shared" si="7"/>
        <v>4104971.8239570959</v>
      </c>
      <c r="AT15" s="528">
        <f t="shared" si="7"/>
        <v>4082193.2342136553</v>
      </c>
      <c r="AU15" s="528">
        <f t="shared" si="7"/>
        <v>4055658.7858328968</v>
      </c>
      <c r="AV15" s="528">
        <f t="shared" si="7"/>
        <v>4029296.8126169518</v>
      </c>
      <c r="AW15" s="528">
        <f t="shared" si="7"/>
        <v>4003106.1934691207</v>
      </c>
      <c r="AX15" s="528">
        <f t="shared" si="7"/>
        <v>3977085.8145798882</v>
      </c>
      <c r="AY15" s="528">
        <f t="shared" si="7"/>
        <v>3951234.5693795495</v>
      </c>
      <c r="AZ15" s="528">
        <f t="shared" si="7"/>
        <v>3921838.1765130102</v>
      </c>
      <c r="BA15" s="528">
        <f t="shared" si="7"/>
        <v>3892660.4869146249</v>
      </c>
      <c r="BB15" s="528">
        <f t="shared" si="7"/>
        <v>3863699.8734759334</v>
      </c>
      <c r="BC15" s="528">
        <f t="shared" si="7"/>
        <v>3834954.7211938379</v>
      </c>
      <c r="BD15" s="528">
        <f t="shared" si="7"/>
        <v>3806423.4270805391</v>
      </c>
      <c r="BE15" s="528">
        <f t="shared" si="7"/>
        <v>3775407.0203738767</v>
      </c>
      <c r="BF15" s="528">
        <f t="shared" si="7"/>
        <v>3744643.3489457294</v>
      </c>
      <c r="BG15" s="528">
        <f t="shared" si="7"/>
        <v>3714130.3533982579</v>
      </c>
      <c r="BH15" s="528">
        <f t="shared" si="7"/>
        <v>3683865.9911144967</v>
      </c>
      <c r="BI15" s="528">
        <f t="shared" si="7"/>
        <v>3653848.2361216196</v>
      </c>
      <c r="BJ15" s="528">
        <f t="shared" si="7"/>
        <v>3622605.7817164483</v>
      </c>
      <c r="BK15" s="528">
        <f t="shared" si="7"/>
        <v>3591630.4678420764</v>
      </c>
      <c r="BL15" s="528">
        <f t="shared" si="7"/>
        <v>3560920.0102969413</v>
      </c>
      <c r="BM15" s="528">
        <f t="shared" si="7"/>
        <v>3530472.1444106842</v>
      </c>
      <c r="BN15" s="528">
        <f t="shared" si="7"/>
        <v>3500284.6248771548</v>
      </c>
      <c r="BQ15" s="623"/>
      <c r="BR15" s="623"/>
      <c r="BS15" s="623"/>
      <c r="BT15" s="623"/>
      <c r="BU15" s="623"/>
      <c r="BV15" s="623"/>
      <c r="BW15" s="623"/>
      <c r="BX15" s="623"/>
      <c r="BY15" s="659"/>
      <c r="BZ15" s="623"/>
      <c r="CA15" s="651"/>
      <c r="CB15" s="651"/>
      <c r="CC15" s="651"/>
      <c r="CD15" s="651"/>
      <c r="CE15" s="651"/>
      <c r="CF15" s="651"/>
      <c r="CG15" s="651"/>
      <c r="CH15" s="623"/>
      <c r="CI15" s="651"/>
      <c r="CJ15" s="623"/>
      <c r="CK15" s="623"/>
      <c r="CL15" s="623"/>
    </row>
    <row r="16" spans="1:90" s="1" customFormat="1" outlineLevel="1">
      <c r="A16" s="54" t="s">
        <v>1214</v>
      </c>
      <c r="B16" s="54" t="s">
        <v>825</v>
      </c>
      <c r="C16" s="93" t="s">
        <v>1420</v>
      </c>
      <c r="D16" s="572">
        <f>SUM('R&amp;S - Transportation'!G4:I4)</f>
        <v>878653.78062042897</v>
      </c>
      <c r="E16" s="572">
        <f>D16*(1+'Demand - BTX'!$L$72)</f>
        <v>872638.85466750013</v>
      </c>
      <c r="F16" s="572">
        <f>E16*(1+'Demand - BTX'!$L$72)</f>
        <v>866665.10458499624</v>
      </c>
      <c r="G16" s="572">
        <f>F16*(1+'Demand - BTX'!$L$72)</f>
        <v>860732.24849873979</v>
      </c>
      <c r="H16" s="572">
        <f>G16*(1+'Demand - BTX'!$L$72)</f>
        <v>854840.00646415574</v>
      </c>
      <c r="I16" s="572">
        <f>H16*(1+'Demand - BTX'!$L$72)</f>
        <v>848988.10045306175</v>
      </c>
      <c r="J16" s="572">
        <f>I16*(1+'Demand - BTX'!$L$72)</f>
        <v>843176.2543405497</v>
      </c>
      <c r="K16" s="572">
        <f>J16*(1+'Demand - BTX'!$L$72)</f>
        <v>837404.19389195624</v>
      </c>
      <c r="L16" s="572">
        <f>K16*(1+'Demand - BTX'!$L$72)</f>
        <v>831671.64674992312</v>
      </c>
      <c r="M16" s="572">
        <f>L16*(1+'Demand - BTX'!$L$72)</f>
        <v>825978.342421546</v>
      </c>
      <c r="N16" s="572">
        <f>M16*(1+'Demand - BTX'!$L$72)</f>
        <v>820324.01226561086</v>
      </c>
      <c r="O16" s="572">
        <f>N16*(1+'Demand - BTX'!$L$72)</f>
        <v>814708.38947991806</v>
      </c>
      <c r="P16" s="572">
        <f>O16*(1+'Demand - BTX'!$L$72)</f>
        <v>809131.20908869337</v>
      </c>
      <c r="Q16" s="572">
        <f>P16*(1+'Demand - BTX'!$L$72)</f>
        <v>803592.2079300849</v>
      </c>
      <c r="R16" s="572">
        <f>Q16*(1+'Demand - BTX'!$L$72)</f>
        <v>798091.12464374537</v>
      </c>
      <c r="S16" s="572">
        <f>R16*(1+'Demand - BTX'!$L$72)</f>
        <v>792627.69965850015</v>
      </c>
      <c r="T16" s="572">
        <f>S16*(1+'Demand - BTX'!$L$72)</f>
        <v>787201.67518009897</v>
      </c>
      <c r="U16" s="572">
        <f>T16*(1+'Demand - BTX'!$L$72)</f>
        <v>781812.79517905181</v>
      </c>
      <c r="V16" s="572">
        <f>U16*(1+'Demand - BTX'!$L$72)</f>
        <v>776460.80537854834</v>
      </c>
      <c r="W16" s="572">
        <f>V16*(1+'Demand - BTX'!$L$72)</f>
        <v>771145.45324245933</v>
      </c>
      <c r="X16" s="572">
        <f>W16*(1+'Demand - BTX'!$L$72)</f>
        <v>765866.4879634208</v>
      </c>
      <c r="Y16" s="572">
        <f>X16*(1+'Demand - BTX'!$L$72)</f>
        <v>760623.66045099963</v>
      </c>
      <c r="Z16" s="572">
        <f>Y16*(1+'Demand - BTX'!$L$72)</f>
        <v>755416.72331993992</v>
      </c>
      <c r="AA16" s="572">
        <f>Z16*(1+'Demand - BTX'!$L$72)</f>
        <v>750245.43087849021</v>
      </c>
      <c r="AB16" s="572">
        <f>AA16*(1+'Demand - BTX'!$L$72)</f>
        <v>745109.53911681031</v>
      </c>
      <c r="AC16" s="572">
        <f>AB16*(1+'Demand - BTX'!$L$72)</f>
        <v>740008.8056954575</v>
      </c>
      <c r="AD16" s="572">
        <f>AC16*(1+'Demand - BTX'!$L$72)</f>
        <v>734942.98993395187</v>
      </c>
      <c r="AE16" s="572">
        <f>AD16*(1+'Demand - BTX'!$L$72)</f>
        <v>729911.85279941931</v>
      </c>
      <c r="AF16" s="572">
        <f>AE16*(1+'Demand - BTX'!$L$72)</f>
        <v>724915.15689531295</v>
      </c>
      <c r="AG16" s="572">
        <f>AF16*(1+'Demand - BTX'!$L$72)</f>
        <v>719952.66645021155</v>
      </c>
      <c r="AH16" s="572">
        <f>AG16*(1+'Demand - BTX'!$L$72)</f>
        <v>715024.14730669418</v>
      </c>
      <c r="AI16" s="573"/>
      <c r="AJ16" s="572">
        <f>D16</f>
        <v>878653.78062042897</v>
      </c>
      <c r="AK16" s="572">
        <f t="shared" si="7"/>
        <v>872638.85466750013</v>
      </c>
      <c r="AL16" s="572">
        <f t="shared" si="7"/>
        <v>866665.10458499624</v>
      </c>
      <c r="AM16" s="572">
        <f t="shared" si="7"/>
        <v>860732.24849873979</v>
      </c>
      <c r="AN16" s="572">
        <f t="shared" si="7"/>
        <v>854840.00646415574</v>
      </c>
      <c r="AO16" s="572">
        <f t="shared" si="7"/>
        <v>848988.10045306175</v>
      </c>
      <c r="AP16" s="572">
        <f t="shared" si="7"/>
        <v>843176.2543405497</v>
      </c>
      <c r="AQ16" s="572">
        <f t="shared" si="7"/>
        <v>837404.19389195624</v>
      </c>
      <c r="AR16" s="572">
        <f t="shared" si="7"/>
        <v>831671.64674992312</v>
      </c>
      <c r="AS16" s="572">
        <f t="shared" si="7"/>
        <v>825978.342421546</v>
      </c>
      <c r="AT16" s="572">
        <f t="shared" si="7"/>
        <v>820324.01226561086</v>
      </c>
      <c r="AU16" s="572">
        <f t="shared" si="7"/>
        <v>814708.38947991806</v>
      </c>
      <c r="AV16" s="572">
        <f t="shared" si="7"/>
        <v>809131.20908869337</v>
      </c>
      <c r="AW16" s="572">
        <f t="shared" si="7"/>
        <v>803592.2079300849</v>
      </c>
      <c r="AX16" s="572">
        <f t="shared" si="7"/>
        <v>798091.12464374537</v>
      </c>
      <c r="AY16" s="572">
        <f t="shared" si="7"/>
        <v>792627.69965850015</v>
      </c>
      <c r="AZ16" s="572">
        <f t="shared" ref="AZ16:BN16" si="13">T16</f>
        <v>787201.67518009897</v>
      </c>
      <c r="BA16" s="572">
        <f t="shared" si="13"/>
        <v>781812.79517905181</v>
      </c>
      <c r="BB16" s="572">
        <f t="shared" si="13"/>
        <v>776460.80537854834</v>
      </c>
      <c r="BC16" s="572">
        <f t="shared" si="13"/>
        <v>771145.45324245933</v>
      </c>
      <c r="BD16" s="572">
        <f t="shared" si="13"/>
        <v>765866.4879634208</v>
      </c>
      <c r="BE16" s="572">
        <f t="shared" si="13"/>
        <v>760623.66045099963</v>
      </c>
      <c r="BF16" s="572">
        <f t="shared" si="13"/>
        <v>755416.72331993992</v>
      </c>
      <c r="BG16" s="572">
        <f t="shared" si="13"/>
        <v>750245.43087849021</v>
      </c>
      <c r="BH16" s="572">
        <f t="shared" si="13"/>
        <v>745109.53911681031</v>
      </c>
      <c r="BI16" s="572">
        <f t="shared" si="13"/>
        <v>740008.8056954575</v>
      </c>
      <c r="BJ16" s="572">
        <f t="shared" si="13"/>
        <v>734942.98993395187</v>
      </c>
      <c r="BK16" s="572">
        <f t="shared" si="13"/>
        <v>729911.85279941931</v>
      </c>
      <c r="BL16" s="572">
        <f t="shared" si="13"/>
        <v>724915.15689531295</v>
      </c>
      <c r="BM16" s="572">
        <f t="shared" si="13"/>
        <v>719952.66645021155</v>
      </c>
      <c r="BN16" s="572">
        <f t="shared" si="13"/>
        <v>715024.14730669418</v>
      </c>
      <c r="BQ16" s="625"/>
      <c r="BR16" s="625"/>
      <c r="BS16" s="640"/>
      <c r="BT16" s="625"/>
      <c r="BU16" s="625"/>
      <c r="BV16" s="625"/>
      <c r="BW16" s="625"/>
      <c r="BX16" s="625"/>
      <c r="BY16" s="630"/>
      <c r="BZ16" s="641"/>
      <c r="CA16" s="642"/>
      <c r="CB16" s="641"/>
      <c r="CC16" s="642"/>
      <c r="CD16" s="642"/>
      <c r="CE16" s="642"/>
      <c r="CF16" s="642"/>
      <c r="CG16" s="643"/>
      <c r="CH16" s="625"/>
      <c r="CI16" s="644"/>
      <c r="CJ16" s="625"/>
      <c r="CK16" s="625"/>
      <c r="CL16" s="625"/>
    </row>
    <row r="17" spans="1:90" outlineLevel="1">
      <c r="B17" s="1" t="s">
        <v>827</v>
      </c>
      <c r="C17" s="50" t="s">
        <v>1420</v>
      </c>
      <c r="D17" s="99">
        <v>0</v>
      </c>
      <c r="E17" s="99">
        <f>E16*('R&amp;S - Transportation'!$B$8*'R&amp;S - Transportation'!$D$19*(E3-$D$3)/10)</f>
        <v>1745.2777093350007</v>
      </c>
      <c r="F17" s="99">
        <f>F16*('R&amp;S - Transportation'!$B$8*'R&amp;S - Transportation'!$D$19*(F3-$D$3)/10)</f>
        <v>3466.6604183399859</v>
      </c>
      <c r="G17" s="99">
        <f>G16*('R&amp;S - Transportation'!$B$8*'R&amp;S - Transportation'!$D$19*(G3-$D$3)/10)</f>
        <v>5164.3934909924392</v>
      </c>
      <c r="H17" s="99">
        <f>H16*('R&amp;S - Transportation'!$B$8*'R&amp;S - Transportation'!$D$19*(H3-$D$3)/10)</f>
        <v>6838.7200517132478</v>
      </c>
      <c r="I17" s="99">
        <f>I16*('R&amp;S - Transportation'!$B$8*'R&amp;S - Transportation'!$D$19*(I3-$D$3)/10)</f>
        <v>8489.88100453062</v>
      </c>
      <c r="J17" s="99">
        <f>J16*('R&amp;S - Transportation'!$B$8*'R&amp;S - Transportation'!$D$19*(J3-$D$3)/10)</f>
        <v>10118.115052086598</v>
      </c>
      <c r="K17" s="99">
        <f>K16*('R&amp;S - Transportation'!$B$8*'R&amp;S - Transportation'!$D$19*(K3-$D$3)/10)</f>
        <v>11723.658714487388</v>
      </c>
      <c r="L17" s="99">
        <f>L16*('R&amp;S - Transportation'!$B$8*'R&amp;S - Transportation'!$D$19*(L3-$D$3)/10)</f>
        <v>13306.746347998773</v>
      </c>
      <c r="M17" s="99">
        <f>M16*('R&amp;S - Transportation'!$B$8*'R&amp;S - Transportation'!$D$19*(M3-$D$3)/10)</f>
        <v>14867.610163587833</v>
      </c>
      <c r="N17" s="99">
        <f>N16*('R&amp;S - Transportation'!$B$8*'R&amp;S - Transportation'!$D$19*(N3-$D$3)/10)</f>
        <v>16406.480245312221</v>
      </c>
      <c r="O17" s="99">
        <f>O16*('R&amp;S - Transportation'!$B$8*('R&amp;S - Transportation'!$D$19+('R&amp;S - Transportation'!$D$20-'R&amp;S - Transportation'!$D$19)*(O3-$N$3)/10))</f>
        <v>20367.709736997953</v>
      </c>
      <c r="P17" s="99">
        <f>P16*('R&amp;S - Transportation'!$B$8*('R&amp;S - Transportation'!$D$19+('R&amp;S - Transportation'!$D$20-'R&amp;S - Transportation'!$D$19)*(P3-$N$3)/10))</f>
        <v>24273.936272660801</v>
      </c>
      <c r="Q17" s="99">
        <f>Q16*('R&amp;S - Transportation'!$B$8*('R&amp;S - Transportation'!$D$19+('R&amp;S - Transportation'!$D$20-'R&amp;S - Transportation'!$D$19)*(Q3-$N$3)/10))</f>
        <v>28125.727277552967</v>
      </c>
      <c r="R17" s="99">
        <f>R16*('R&amp;S - Transportation'!$B$8*('R&amp;S - Transportation'!$D$19+('R&amp;S - Transportation'!$D$20-'R&amp;S - Transportation'!$D$19)*(R3-$N$3)/10))</f>
        <v>31923.644985749819</v>
      </c>
      <c r="S17" s="99">
        <f>S16*('R&amp;S - Transportation'!$B$8*('R&amp;S - Transportation'!$D$19+('R&amp;S - Transportation'!$D$20-'R&amp;S - Transportation'!$D$19)*(S3-$N$3)/10))</f>
        <v>35668.246484632502</v>
      </c>
      <c r="T17" s="99">
        <f>T16*('R&amp;S - Transportation'!$B$8*('R&amp;S - Transportation'!$D$19+('R&amp;S - Transportation'!$D$20-'R&amp;S - Transportation'!$D$19)*(T3-$N$3)/10))</f>
        <v>39360.083759004949</v>
      </c>
      <c r="U17" s="99">
        <f>U16*('R&amp;S - Transportation'!$B$8*('R&amp;S - Transportation'!$D$19+('R&amp;S - Transportation'!$D$20-'R&amp;S - Transportation'!$D$19)*(U3-$N$3)/10))</f>
        <v>42999.703734847855</v>
      </c>
      <c r="V17" s="99">
        <f>V16*('R&amp;S - Transportation'!$B$8*('R&amp;S - Transportation'!$D$19+('R&amp;S - Transportation'!$D$20-'R&amp;S - Transportation'!$D$19)*(V3-$N$3)/10))</f>
        <v>46587.648322712899</v>
      </c>
      <c r="W17" s="99">
        <f>W16*('R&amp;S - Transportation'!$B$8*('R&amp;S - Transportation'!$D$19+('R&amp;S - Transportation'!$D$20-'R&amp;S - Transportation'!$D$19)*(W3-$N$3)/10))</f>
        <v>50124.454460759851</v>
      </c>
      <c r="X17" s="99">
        <f>X16*('R&amp;S - Transportation'!$B$8*('R&amp;S - Transportation'!$D$19+('R&amp;S - Transportation'!$D$20-'R&amp;S - Transportation'!$D$19)*(X3-$N$3)/10))</f>
        <v>53610.654157439451</v>
      </c>
      <c r="Y17" s="99">
        <f>Y16*('R&amp;S - Transportation'!$B$8*('R&amp;S - Transportation'!$D$20+('R&amp;S - Transportation'!$D$21-'R&amp;S - Transportation'!$D$20)*(Y3-$X$3)/10))</f>
        <v>55525.527212922971</v>
      </c>
      <c r="Z17" s="99">
        <f>Z16*('R&amp;S - Transportation'!$B$8*('R&amp;S - Transportation'!$D$20+('R&amp;S - Transportation'!$D$21-'R&amp;S - Transportation'!$D$20)*(Z3-$X$3)/10))</f>
        <v>57411.670972315442</v>
      </c>
      <c r="AA17" s="99">
        <f>AA16*('R&amp;S - Transportation'!$B$8*('R&amp;S - Transportation'!$D$20+('R&amp;S - Transportation'!$D$21-'R&amp;S - Transportation'!$D$20)*(AA3-$X$3)/10))</f>
        <v>59269.389039400725</v>
      </c>
      <c r="AB17" s="99">
        <f>AB16*('R&amp;S - Transportation'!$B$8*('R&amp;S - Transportation'!$D$20+('R&amp;S - Transportation'!$D$21-'R&amp;S - Transportation'!$D$20)*(AB3-$X$3)/10))</f>
        <v>61098.982207578447</v>
      </c>
      <c r="AC17" s="99">
        <f>AC16*('R&amp;S - Transportation'!$B$8*('R&amp;S - Transportation'!$D$20+('R&amp;S - Transportation'!$D$21-'R&amp;S - Transportation'!$D$20)*(AC3-$X$3)/10))</f>
        <v>62900.748484113894</v>
      </c>
      <c r="AD17" s="99">
        <f>AD16*('R&amp;S - Transportation'!$B$8*('R&amp;S - Transportation'!$D$20+('R&amp;S - Transportation'!$D$21-'R&amp;S - Transportation'!$D$20)*(AD3-$X$3)/10))</f>
        <v>64674.983114187773</v>
      </c>
      <c r="AE17" s="99">
        <f>AE16*('R&amp;S - Transportation'!$B$8*('R&amp;S - Transportation'!$D$20+('R&amp;S - Transportation'!$D$21-'R&amp;S - Transportation'!$D$20)*(AE3-$X$3)/10))</f>
        <v>66421.978604747172</v>
      </c>
      <c r="AF17" s="99">
        <f>AF16*('R&amp;S - Transportation'!$B$8*('R&amp;S - Transportation'!$D$20+('R&amp;S - Transportation'!$D$21-'R&amp;S - Transportation'!$D$20)*(AF3-$X$3)/10))</f>
        <v>68142.024748159412</v>
      </c>
      <c r="AG17" s="99">
        <f>AG16*('R&amp;S - Transportation'!$B$8*('R&amp;S - Transportation'!$D$20+('R&amp;S - Transportation'!$D$21-'R&amp;S - Transportation'!$D$20)*(AG3-$X$3)/10))</f>
        <v>69835.408645670526</v>
      </c>
      <c r="AH17" s="99">
        <f>AH16*('R&amp;S - Transportation'!$B$8*('R&amp;S - Transportation'!$D$20+('R&amp;S - Transportation'!$D$21-'R&amp;S - Transportation'!$D$20)*(AH3-$X$3)/10))</f>
        <v>71502.414730669421</v>
      </c>
      <c r="AI17" s="178"/>
      <c r="AJ17" s="99">
        <v>0</v>
      </c>
      <c r="AK17" s="99">
        <f>AK16*('R&amp;S - Transportation'!$B$8*'R&amp;S - Transportation'!$D$19*(AK3-$D$3)/10)</f>
        <v>1745.2777093350007</v>
      </c>
      <c r="AL17" s="99">
        <f>AL16*('R&amp;S - Transportation'!$B$8*'R&amp;S - Transportation'!$D$19*(AL3-$D$3)/10)</f>
        <v>3466.6604183399859</v>
      </c>
      <c r="AM17" s="99">
        <f>AM16*('R&amp;S - Transportation'!$B$8*'R&amp;S - Transportation'!$D$19*(AM3-$D$3)/10)</f>
        <v>5164.3934909924392</v>
      </c>
      <c r="AN17" s="99">
        <f>AN16*('R&amp;S - Transportation'!$B$8*'R&amp;S - Transportation'!$D$19*(AN3-$D$3)/10)</f>
        <v>6838.7200517132478</v>
      </c>
      <c r="AO17" s="99">
        <f>AO16*('R&amp;S - Transportation'!$B$8*'R&amp;S - Transportation'!$D$19*(AO3-$D$3)/10)</f>
        <v>8489.88100453062</v>
      </c>
      <c r="AP17" s="99">
        <f>AP16*('R&amp;S - Transportation'!$B$8*'R&amp;S - Transportation'!$D$19*(AP3-$D$3)/10)</f>
        <v>10118.115052086598</v>
      </c>
      <c r="AQ17" s="99">
        <f>AQ16*('R&amp;S - Transportation'!$B$8*'R&amp;S - Transportation'!$D$19*(AQ3-$D$3)/10)</f>
        <v>11723.658714487388</v>
      </c>
      <c r="AR17" s="99">
        <f>AR16*('R&amp;S - Transportation'!$B$8*'R&amp;S - Transportation'!$D$19*(AR3-$D$3)/10)</f>
        <v>13306.746347998773</v>
      </c>
      <c r="AS17" s="99">
        <f>AS16*('R&amp;S - Transportation'!$B$8*'R&amp;S - Transportation'!$D$19*(AS3-$D$3)/10)</f>
        <v>14867.610163587833</v>
      </c>
      <c r="AT17" s="99">
        <f>AT16*('R&amp;S - Transportation'!$B$8*'R&amp;S - Transportation'!$D$19*(AT3-$D$3)/10)</f>
        <v>16406.480245312221</v>
      </c>
      <c r="AU17" s="99">
        <f>AU16*('R&amp;S - Transportation'!$B$8*('R&amp;S - Transportation'!$D$19+('R&amp;S - Transportation'!$D$20-'R&amp;S - Transportation'!$D$19)*(AU3-$N$3)/10))</f>
        <v>20367.709736997953</v>
      </c>
      <c r="AV17" s="99">
        <f>AV16*('R&amp;S - Transportation'!$B$8*('R&amp;S - Transportation'!$D$19+('R&amp;S - Transportation'!$D$20-'R&amp;S - Transportation'!$D$19)*(AV3-$N$3)/10))</f>
        <v>24273.936272660801</v>
      </c>
      <c r="AW17" s="99">
        <f>AW16*('R&amp;S - Transportation'!$B$8*('R&amp;S - Transportation'!$D$19+('R&amp;S - Transportation'!$D$20-'R&amp;S - Transportation'!$D$19)*(AW3-$N$3)/10))</f>
        <v>28125.727277552967</v>
      </c>
      <c r="AX17" s="99">
        <f>AX16*('R&amp;S - Transportation'!$B$8*('R&amp;S - Transportation'!$D$19+('R&amp;S - Transportation'!$D$20-'R&amp;S - Transportation'!$D$19)*(AX3-$N$3)/10))</f>
        <v>31923.644985749819</v>
      </c>
      <c r="AY17" s="99">
        <f>AY16*('R&amp;S - Transportation'!$B$8*('R&amp;S - Transportation'!$D$19+('R&amp;S - Transportation'!$D$20-'R&amp;S - Transportation'!$D$19)*(AY3-$N$3)/10))</f>
        <v>35668.246484632502</v>
      </c>
      <c r="AZ17" s="99">
        <f>AZ16*('R&amp;S - Transportation'!$B$8*('R&amp;S - Transportation'!$D$19+('R&amp;S - Transportation'!$D$20-'R&amp;S - Transportation'!$D$19)*(AZ3-$N$3)/10))</f>
        <v>39360.083759004949</v>
      </c>
      <c r="BA17" s="99">
        <f>BA16*('R&amp;S - Transportation'!$B$8*('R&amp;S - Transportation'!$D$19+('R&amp;S - Transportation'!$D$20-'R&amp;S - Transportation'!$D$19)*(BA3-$N$3)/10))</f>
        <v>42999.703734847855</v>
      </c>
      <c r="BB17" s="99">
        <f>BB16*('R&amp;S - Transportation'!$B$8*('R&amp;S - Transportation'!$D$19+('R&amp;S - Transportation'!$D$20-'R&amp;S - Transportation'!$D$19)*(BB3-$N$3)/10))</f>
        <v>46587.648322712899</v>
      </c>
      <c r="BC17" s="99">
        <f>BC16*('R&amp;S - Transportation'!$B$8*('R&amp;S - Transportation'!$D$19+('R&amp;S - Transportation'!$D$20-'R&amp;S - Transportation'!$D$19)*(BC3-$N$3)/10))</f>
        <v>50124.454460759851</v>
      </c>
      <c r="BD17" s="99">
        <f>BD16*('R&amp;S - Transportation'!$B$8*('R&amp;S - Transportation'!$D$19+('R&amp;S - Transportation'!$D$20-'R&amp;S - Transportation'!$D$19)*(BD3-$N$3)/10))</f>
        <v>53610.654157439451</v>
      </c>
      <c r="BE17" s="99">
        <f>BE16*('R&amp;S - Transportation'!$B$8*('R&amp;S - Transportation'!$D$20+('R&amp;S - Transportation'!$D$21-'R&amp;S - Transportation'!$D$20)*(BE3-$X$3)/10))</f>
        <v>55525.527212922971</v>
      </c>
      <c r="BF17" s="99">
        <f>BF16*('R&amp;S - Transportation'!$B$8*('R&amp;S - Transportation'!$D$20+('R&amp;S - Transportation'!$D$21-'R&amp;S - Transportation'!$D$20)*(BF3-$X$3)/10))</f>
        <v>57411.670972315442</v>
      </c>
      <c r="BG17" s="99">
        <f>BG16*('R&amp;S - Transportation'!$B$8*('R&amp;S - Transportation'!$D$20+('R&amp;S - Transportation'!$D$21-'R&amp;S - Transportation'!$D$20)*(BG3-$X$3)/10))</f>
        <v>59269.389039400725</v>
      </c>
      <c r="BH17" s="99">
        <f>BH16*('R&amp;S - Transportation'!$B$8*('R&amp;S - Transportation'!$D$20+('R&amp;S - Transportation'!$D$21-'R&amp;S - Transportation'!$D$20)*(BH3-$X$3)/10))</f>
        <v>61098.982207578447</v>
      </c>
      <c r="BI17" s="99">
        <f>BI16*('R&amp;S - Transportation'!$B$8*('R&amp;S - Transportation'!$D$20+('R&amp;S - Transportation'!$D$21-'R&amp;S - Transportation'!$D$20)*(BI3-$X$3)/10))</f>
        <v>62900.748484113894</v>
      </c>
      <c r="BJ17" s="99">
        <f>BJ16*('R&amp;S - Transportation'!$B$8*('R&amp;S - Transportation'!$D$20+('R&amp;S - Transportation'!$D$21-'R&amp;S - Transportation'!$D$20)*(BJ3-$X$3)/10))</f>
        <v>64674.983114187773</v>
      </c>
      <c r="BK17" s="99">
        <f>BK16*('R&amp;S - Transportation'!$B$8*('R&amp;S - Transportation'!$D$20+('R&amp;S - Transportation'!$D$21-'R&amp;S - Transportation'!$D$20)*(BK3-$X$3)/10))</f>
        <v>66421.978604747172</v>
      </c>
      <c r="BL17" s="99">
        <f>BL16*('R&amp;S - Transportation'!$B$8*('R&amp;S - Transportation'!$D$20+('R&amp;S - Transportation'!$D$21-'R&amp;S - Transportation'!$D$20)*(BL3-$X$3)/10))</f>
        <v>68142.024748159412</v>
      </c>
      <c r="BM17" s="99">
        <f>BM16*('R&amp;S - Transportation'!$B$8*('R&amp;S - Transportation'!$D$20+('R&amp;S - Transportation'!$D$21-'R&amp;S - Transportation'!$D$20)*(BM3-$X$3)/10))</f>
        <v>69835.408645670526</v>
      </c>
      <c r="BN17" s="99">
        <f>BN16*('R&amp;S - Transportation'!$B$8*('R&amp;S - Transportation'!$D$20+('R&amp;S - Transportation'!$D$21-'R&amp;S - Transportation'!$D$20)*(BN3-$X$3)/10))</f>
        <v>71502.414730669421</v>
      </c>
      <c r="BS17" s="626"/>
      <c r="BY17" s="630"/>
      <c r="BZ17" s="642"/>
      <c r="CA17" s="642"/>
      <c r="CB17" s="642"/>
      <c r="CC17" s="642"/>
      <c r="CD17" s="641"/>
      <c r="CE17" s="642"/>
      <c r="CF17" s="642"/>
      <c r="CG17" s="642"/>
    </row>
    <row r="18" spans="1:90" outlineLevel="1">
      <c r="B18" s="1" t="s">
        <v>181</v>
      </c>
      <c r="C18" s="50" t="s">
        <v>1420</v>
      </c>
      <c r="D18" s="99">
        <f>SUM(D16:D17)</f>
        <v>878653.78062042897</v>
      </c>
      <c r="E18" s="99">
        <f t="shared" ref="E18:AH18" si="14">SUM(E16:E17)</f>
        <v>874384.1323768351</v>
      </c>
      <c r="F18" s="99">
        <f t="shared" si="14"/>
        <v>870131.76500333624</v>
      </c>
      <c r="G18" s="99">
        <f t="shared" si="14"/>
        <v>865896.64198973228</v>
      </c>
      <c r="H18" s="99">
        <f t="shared" si="14"/>
        <v>861678.72651586903</v>
      </c>
      <c r="I18" s="99">
        <f t="shared" si="14"/>
        <v>857477.98145759234</v>
      </c>
      <c r="J18" s="99">
        <f t="shared" si="14"/>
        <v>853294.36939263635</v>
      </c>
      <c r="K18" s="99">
        <f t="shared" si="14"/>
        <v>849127.85260644357</v>
      </c>
      <c r="L18" s="99">
        <f t="shared" si="14"/>
        <v>844978.39309792186</v>
      </c>
      <c r="M18" s="99">
        <f t="shared" si="14"/>
        <v>840845.95258513384</v>
      </c>
      <c r="N18" s="99">
        <f t="shared" si="14"/>
        <v>836730.49251092307</v>
      </c>
      <c r="O18" s="99">
        <f>SUM(O16:O17)</f>
        <v>835076.09921691602</v>
      </c>
      <c r="P18" s="99">
        <f t="shared" si="14"/>
        <v>833405.14536135423</v>
      </c>
      <c r="Q18" s="99">
        <f t="shared" si="14"/>
        <v>831717.93520763784</v>
      </c>
      <c r="R18" s="99">
        <f t="shared" si="14"/>
        <v>830014.76962949522</v>
      </c>
      <c r="S18" s="99">
        <f t="shared" si="14"/>
        <v>828295.94614313263</v>
      </c>
      <c r="T18" s="99">
        <f t="shared" si="14"/>
        <v>826561.75893910392</v>
      </c>
      <c r="U18" s="99">
        <f t="shared" si="14"/>
        <v>824812.49891389965</v>
      </c>
      <c r="V18" s="99">
        <f t="shared" si="14"/>
        <v>823048.4537012612</v>
      </c>
      <c r="W18" s="99">
        <f t="shared" si="14"/>
        <v>821269.90770321921</v>
      </c>
      <c r="X18" s="99">
        <f t="shared" si="14"/>
        <v>819477.14212086028</v>
      </c>
      <c r="Y18" s="99">
        <f t="shared" si="14"/>
        <v>816149.18766392255</v>
      </c>
      <c r="Z18" s="99">
        <f t="shared" si="14"/>
        <v>812828.3942922554</v>
      </c>
      <c r="AA18" s="99">
        <f t="shared" si="14"/>
        <v>809514.81991789094</v>
      </c>
      <c r="AB18" s="99">
        <f t="shared" si="14"/>
        <v>806208.5213243888</v>
      </c>
      <c r="AC18" s="99">
        <f t="shared" si="14"/>
        <v>802909.55417957134</v>
      </c>
      <c r="AD18" s="99">
        <f t="shared" si="14"/>
        <v>799617.9730481396</v>
      </c>
      <c r="AE18" s="99">
        <f t="shared" si="14"/>
        <v>796333.83140416653</v>
      </c>
      <c r="AF18" s="99">
        <f t="shared" si="14"/>
        <v>793057.1816434724</v>
      </c>
      <c r="AG18" s="99">
        <f t="shared" si="14"/>
        <v>789788.07509588206</v>
      </c>
      <c r="AH18" s="99">
        <f t="shared" si="14"/>
        <v>786526.56203736365</v>
      </c>
      <c r="AI18" s="178"/>
      <c r="AJ18" s="99">
        <f>SUM(AJ16:AJ17)</f>
        <v>878653.78062042897</v>
      </c>
      <c r="AK18" s="99">
        <f t="shared" ref="AK18:AT18" si="15">SUM(AK16:AK17)</f>
        <v>874384.1323768351</v>
      </c>
      <c r="AL18" s="99">
        <f t="shared" si="15"/>
        <v>870131.76500333624</v>
      </c>
      <c r="AM18" s="99">
        <f t="shared" si="15"/>
        <v>865896.64198973228</v>
      </c>
      <c r="AN18" s="99">
        <f t="shared" si="15"/>
        <v>861678.72651586903</v>
      </c>
      <c r="AO18" s="99">
        <f t="shared" si="15"/>
        <v>857477.98145759234</v>
      </c>
      <c r="AP18" s="99">
        <f t="shared" si="15"/>
        <v>853294.36939263635</v>
      </c>
      <c r="AQ18" s="99">
        <f t="shared" si="15"/>
        <v>849127.85260644357</v>
      </c>
      <c r="AR18" s="99">
        <f t="shared" si="15"/>
        <v>844978.39309792186</v>
      </c>
      <c r="AS18" s="99">
        <f t="shared" si="15"/>
        <v>840845.95258513384</v>
      </c>
      <c r="AT18" s="99">
        <f t="shared" si="15"/>
        <v>836730.49251092307</v>
      </c>
      <c r="AU18" s="99">
        <f>SUM(AU16:AU17)</f>
        <v>835076.09921691602</v>
      </c>
      <c r="AV18" s="99">
        <f t="shared" ref="AV18:BN18" si="16">SUM(AV16:AV17)</f>
        <v>833405.14536135423</v>
      </c>
      <c r="AW18" s="99">
        <f t="shared" si="16"/>
        <v>831717.93520763784</v>
      </c>
      <c r="AX18" s="99">
        <f t="shared" si="16"/>
        <v>830014.76962949522</v>
      </c>
      <c r="AY18" s="99">
        <f t="shared" si="16"/>
        <v>828295.94614313263</v>
      </c>
      <c r="AZ18" s="99">
        <f t="shared" si="16"/>
        <v>826561.75893910392</v>
      </c>
      <c r="BA18" s="99">
        <f t="shared" si="16"/>
        <v>824812.49891389965</v>
      </c>
      <c r="BB18" s="99">
        <f t="shared" si="16"/>
        <v>823048.4537012612</v>
      </c>
      <c r="BC18" s="99">
        <f t="shared" si="16"/>
        <v>821269.90770321921</v>
      </c>
      <c r="BD18" s="99">
        <f t="shared" si="16"/>
        <v>819477.14212086028</v>
      </c>
      <c r="BE18" s="99">
        <f t="shared" si="16"/>
        <v>816149.18766392255</v>
      </c>
      <c r="BF18" s="99">
        <f t="shared" si="16"/>
        <v>812828.3942922554</v>
      </c>
      <c r="BG18" s="99">
        <f t="shared" si="16"/>
        <v>809514.81991789094</v>
      </c>
      <c r="BH18" s="99">
        <f t="shared" si="16"/>
        <v>806208.5213243888</v>
      </c>
      <c r="BI18" s="99">
        <f t="shared" si="16"/>
        <v>802909.55417957134</v>
      </c>
      <c r="BJ18" s="99">
        <f t="shared" si="16"/>
        <v>799617.9730481396</v>
      </c>
      <c r="BK18" s="99">
        <f t="shared" si="16"/>
        <v>796333.83140416653</v>
      </c>
      <c r="BL18" s="99">
        <f t="shared" si="16"/>
        <v>793057.1816434724</v>
      </c>
      <c r="BM18" s="99">
        <f t="shared" si="16"/>
        <v>789788.07509588206</v>
      </c>
      <c r="BN18" s="99">
        <f t="shared" si="16"/>
        <v>786526.56203736365</v>
      </c>
      <c r="BS18" s="626"/>
      <c r="BY18" s="630"/>
      <c r="BZ18" s="642"/>
      <c r="CA18" s="642"/>
      <c r="CB18" s="642"/>
      <c r="CC18" s="642"/>
      <c r="CD18" s="642"/>
      <c r="CE18" s="641"/>
      <c r="CF18" s="642"/>
      <c r="CG18" s="642"/>
    </row>
    <row r="19" spans="1:90" outlineLevel="1">
      <c r="B19" s="57" t="s">
        <v>134</v>
      </c>
      <c r="C19" s="50" t="s">
        <v>1420</v>
      </c>
      <c r="D19" s="99">
        <v>0</v>
      </c>
      <c r="E19" s="99">
        <f>E18*'R&amp;S - Transportation'!$B$15*('R&amp;S - Transportation'!$B$10*'R&amp;S - Transportation'!$B$19*(E$3-$D$3)/10)</f>
        <v>2885.4676368435557</v>
      </c>
      <c r="F19" s="99">
        <f>F18*'R&amp;S - Transportation'!$B$15*('R&amp;S - Transportation'!$B$10*'R&amp;S - Transportation'!$B$19*(F$3-$D$3)/10)</f>
        <v>5742.8696490220191</v>
      </c>
      <c r="G19" s="99">
        <f>G18*'R&amp;S - Transportation'!$B$15*('R&amp;S - Transportation'!$B$10*'R&amp;S - Transportation'!$B$19*(G$3-$D$3)/10)</f>
        <v>8572.3767556983494</v>
      </c>
      <c r="H19" s="99">
        <f>H18*'R&amp;S - Transportation'!$B$15*('R&amp;S - Transportation'!$B$10*'R&amp;S - Transportation'!$B$19*(H$3-$D$3)/10)</f>
        <v>11374.159190009472</v>
      </c>
      <c r="I19" s="99">
        <f>I18*'R&amp;S - Transportation'!$B$15*('R&amp;S - Transportation'!$B$10*'R&amp;S - Transportation'!$B$19*(I$3-$D$3)/10)</f>
        <v>14148.386694050274</v>
      </c>
      <c r="J19" s="99">
        <f>J18*'R&amp;S - Transportation'!$B$15*('R&amp;S - Transportation'!$B$10*'R&amp;S - Transportation'!$B$19*(J$3-$D$3)/10)</f>
        <v>16895.228513974202</v>
      </c>
      <c r="K19" s="99">
        <f>K18*'R&amp;S - Transportation'!$B$15*('R&amp;S - Transportation'!$B$10*'R&amp;S - Transportation'!$B$19*(K$3-$D$3)/10)</f>
        <v>19614.853395208847</v>
      </c>
      <c r="L19" s="99">
        <f>L18*'R&amp;S - Transportation'!$B$15*('R&amp;S - Transportation'!$B$10*'R&amp;S - Transportation'!$B$19*(L$3-$D$3)/10)</f>
        <v>22307.429577785137</v>
      </c>
      <c r="M19" s="99">
        <f>M18*'R&amp;S - Transportation'!$B$15*('R&amp;S - Transportation'!$B$10*'R&amp;S - Transportation'!$B$19*(M$3-$D$3)/10)</f>
        <v>24973.124791778479</v>
      </c>
      <c r="N19" s="99">
        <f>N18*'R&amp;S - Transportation'!$B$15*('R&amp;S - Transportation'!$B$10*'R&amp;S - Transportation'!$B$19*(N$3-$D$3)/10)</f>
        <v>27612.106252860463</v>
      </c>
      <c r="O19" s="99">
        <f>O18*('R&amp;S - Transportation'!$B$15*('R&amp;S - Transportation'!$B$10*('R&amp;S - Transportation'!$B$19+('R&amp;S - Transportation'!$B$20-'R&amp;S - Transportation'!$B$19)*(O3-$N$3)/10)))</f>
        <v>35824.764656405699</v>
      </c>
      <c r="P19" s="99">
        <f>P18*('R&amp;S - Transportation'!$B$15*('R&amp;S - Transportation'!$B$10*('R&amp;S - Transportation'!$B$19+('R&amp;S - Transportation'!$B$20-'R&amp;S - Transportation'!$B$19)*(P3-$N$3)/10)))</f>
        <v>44003.791675079512</v>
      </c>
      <c r="Q19" s="99">
        <f>Q18*('R&amp;S - Transportation'!$B$15*('R&amp;S - Transportation'!$B$10*('R&amp;S - Transportation'!$B$19+('R&amp;S - Transportation'!$B$20-'R&amp;S - Transportation'!$B$19)*(Q3-$N$3)/10)))</f>
        <v>52148.714537518899</v>
      </c>
      <c r="R19" s="99">
        <f>R18*('R&amp;S - Transportation'!$B$15*('R&amp;S - Transportation'!$B$10*('R&amp;S - Transportation'!$B$19+('R&amp;S - Transportation'!$B$20-'R&amp;S - Transportation'!$B$19)*(R3-$N$3)/10)))</f>
        <v>60259.07227510136</v>
      </c>
      <c r="S19" s="99">
        <f>S18*('R&amp;S - Transportation'!$B$15*('R&amp;S - Transportation'!$B$10*('R&amp;S - Transportation'!$B$19+('R&amp;S - Transportation'!$B$20-'R&amp;S - Transportation'!$B$19)*(S3-$N$3)/10)))</f>
        <v>68334.415556808439</v>
      </c>
      <c r="T19" s="99">
        <f>T18*('R&amp;S - Transportation'!$B$15*('R&amp;S - Transportation'!$B$10*('R&amp;S - Transportation'!$B$19+('R&amp;S - Transportation'!$B$20-'R&amp;S - Transportation'!$B$19)*(T3-$N$3)/10)))</f>
        <v>76374.30652597321</v>
      </c>
      <c r="U19" s="99">
        <f>U18*('R&amp;S - Transportation'!$B$15*('R&amp;S - Transportation'!$B$10*('R&amp;S - Transportation'!$B$19+('R&amp;S - Transportation'!$B$20-'R&amp;S - Transportation'!$B$19)*(U3-$N$3)/10)))</f>
        <v>84378.318638891942</v>
      </c>
      <c r="V19" s="99">
        <f>V18*('R&amp;S - Transportation'!$B$15*('R&amp;S - Transportation'!$B$10*('R&amp;S - Transportation'!$B$19+('R&amp;S - Transportation'!$B$20-'R&amp;S - Transportation'!$B$19)*(V3-$N$3)/10)))</f>
        <v>92346.036505281532</v>
      </c>
      <c r="W19" s="99">
        <f>W18*('R&amp;S - Transportation'!$B$15*('R&amp;S - Transportation'!$B$10*('R&amp;S - Transportation'!$B$19+('R&amp;S - Transportation'!$B$20-'R&amp;S - Transportation'!$B$19)*(W3-$N$3)/10)))</f>
        <v>100277.05573056306</v>
      </c>
      <c r="X19" s="99">
        <f>X18*('R&amp;S - Transportation'!$B$15*('R&amp;S - Transportation'!$B$10*('R&amp;S - Transportation'!$B$19+('R&amp;S - Transportation'!$B$20-'R&amp;S - Transportation'!$B$19)*(X3-$N$3)/10)))</f>
        <v>108170.98275995356</v>
      </c>
      <c r="Y19" s="99">
        <f>Y18*('R&amp;S - Transportation'!$B$15*('R&amp;S - Transportation'!$B$10*('R&amp;S - Transportation'!$B$20+('R&amp;S - Transportation'!$B$21-'R&amp;S - Transportation'!$B$20)*(Y3-$X$3)/10)))</f>
        <v>123891.44668738346</v>
      </c>
      <c r="Z19" s="99">
        <f>Z18*('R&amp;S - Transportation'!$B$15*('R&amp;S - Transportation'!$B$10*('R&amp;S - Transportation'!$B$20+('R&amp;S - Transportation'!$B$21-'R&amp;S - Transportation'!$B$20)*(Z3-$X$3)/10)))</f>
        <v>139481.35246055102</v>
      </c>
      <c r="AA19" s="99">
        <f>AA18*('R&amp;S - Transportation'!$B$15*('R&amp;S - Transportation'!$B$10*('R&amp;S - Transportation'!$B$20+('R&amp;S - Transportation'!$B$21-'R&amp;S - Transportation'!$B$20)*(AA3-$X$3)/10)))</f>
        <v>154941.13653228435</v>
      </c>
      <c r="AB19" s="99">
        <f>AB18*('R&amp;S - Transportation'!$B$15*('R&amp;S - Transportation'!$B$10*('R&amp;S - Transportation'!$B$20+('R&amp;S - Transportation'!$B$21-'R&amp;S - Transportation'!$B$20)*(AB3-$X$3)/10)))</f>
        <v>170271.23970371095</v>
      </c>
      <c r="AC19" s="99">
        <f>AC18*('R&amp;S - Transportation'!$B$15*('R&amp;S - Transportation'!$B$10*('R&amp;S - Transportation'!$B$20+('R&amp;S - Transportation'!$B$21-'R&amp;S - Transportation'!$B$20)*(AC3-$X$3)/10)))</f>
        <v>185472.10701548096</v>
      </c>
      <c r="AD19" s="99">
        <f>AD18*('R&amp;S - Transportation'!$B$15*('R&amp;S - Transportation'!$B$10*('R&amp;S - Transportation'!$B$20+('R&amp;S - Transportation'!$B$21-'R&amp;S - Transportation'!$B$20)*(AD3-$X$3)/10)))</f>
        <v>200544.18764047342</v>
      </c>
      <c r="AE19" s="99">
        <f>AE18*('R&amp;S - Transportation'!$B$15*('R&amp;S - Transportation'!$B$10*('R&amp;S - Transportation'!$B$20+('R&amp;S - Transportation'!$B$21-'R&amp;S - Transportation'!$B$20)*(AE3-$X$3)/10)))</f>
        <v>215487.93477796746</v>
      </c>
      <c r="AF19" s="99">
        <f>AF18*('R&amp;S - Transportation'!$B$15*('R&amp;S - Transportation'!$B$10*('R&amp;S - Transportation'!$B$20+('R&amp;S - Transportation'!$B$21-'R&amp;S - Transportation'!$B$20)*(AF3-$X$3)/10)))</f>
        <v>230303.80554926439</v>
      </c>
      <c r="AG19" s="99">
        <f>AG18*('R&amp;S - Transportation'!$B$15*('R&amp;S - Transportation'!$B$10*('R&amp;S - Transportation'!$B$20+('R&amp;S - Transportation'!$B$21-'R&amp;S - Transportation'!$B$20)*(AG3-$X$3)/10)))</f>
        <v>244992.26089474259</v>
      </c>
      <c r="AH19" s="99">
        <f>AH18*('R&amp;S - Transportation'!$B$15*('R&amp;S - Transportation'!$B$10*('R&amp;S - Transportation'!$B$20+('R&amp;S - Transportation'!$B$21-'R&amp;S - Transportation'!$B$20)*(AH3-$X$3)/10)))</f>
        <v>259553.76547233001</v>
      </c>
      <c r="AI19" s="178"/>
      <c r="AJ19" s="99">
        <v>0</v>
      </c>
      <c r="AK19" s="99">
        <f>AK18*'R&amp;S - Transportation'!$B$16*('R&amp;S - Transportation'!$B$10*'R&amp;S - Transportation'!$B$19*(AK$3-$D$3)/10)</f>
        <v>1442.7338184217779</v>
      </c>
      <c r="AL19" s="99">
        <f>AL18*'R&amp;S - Transportation'!$B$16*('R&amp;S - Transportation'!$B$10*'R&amp;S - Transportation'!$B$19*(AL$3-$D$3)/10)</f>
        <v>2871.4348245110095</v>
      </c>
      <c r="AM19" s="99">
        <f>AM18*'R&amp;S - Transportation'!$B$16*('R&amp;S - Transportation'!$B$10*'R&amp;S - Transportation'!$B$19*(AM$3-$D$3)/10)</f>
        <v>4286.1883778491747</v>
      </c>
      <c r="AN19" s="99">
        <f>AN18*'R&amp;S - Transportation'!$B$16*('R&amp;S - Transportation'!$B$10*'R&amp;S - Transportation'!$B$19*(AN$3-$D$3)/10)</f>
        <v>5687.0795950047359</v>
      </c>
      <c r="AO19" s="99">
        <f>AO18*'R&amp;S - Transportation'!$B$16*('R&amp;S - Transportation'!$B$10*'R&amp;S - Transportation'!$B$19*(AO$3-$D$3)/10)</f>
        <v>7074.193347025137</v>
      </c>
      <c r="AP19" s="99">
        <f>AP18*'R&amp;S - Transportation'!$B$16*('R&amp;S - Transportation'!$B$10*'R&amp;S - Transportation'!$B$19*(AP$3-$D$3)/10)</f>
        <v>8447.6142569871008</v>
      </c>
      <c r="AQ19" s="99">
        <f>AQ18*'R&amp;S - Transportation'!$B$16*('R&amp;S - Transportation'!$B$10*'R&amp;S - Transportation'!$B$19*(AQ$3-$D$3)/10)</f>
        <v>9807.4266976044237</v>
      </c>
      <c r="AR19" s="99">
        <f>AR18*'R&amp;S - Transportation'!$B$16*('R&amp;S - Transportation'!$B$10*'R&amp;S - Transportation'!$B$19*(AR$3-$D$3)/10)</f>
        <v>11153.714788892568</v>
      </c>
      <c r="AS19" s="99">
        <f>AS18*'R&amp;S - Transportation'!$B$16*('R&amp;S - Transportation'!$B$10*'R&amp;S - Transportation'!$B$19*(AS$3-$D$3)/10)</f>
        <v>12486.562395889239</v>
      </c>
      <c r="AT19" s="99">
        <f>AT18*'R&amp;S - Transportation'!$B$16*('R&amp;S - Transportation'!$B$10*'R&amp;S - Transportation'!$B$19*(AT$3-$D$3)/10)</f>
        <v>13806.053126430232</v>
      </c>
      <c r="AU19" s="99">
        <f>AU18*('R&amp;S - Transportation'!$B$16*('R&amp;S - Transportation'!$B$10*('R&amp;S - Transportation'!$B$19+('R&amp;S - Transportation'!$B$20-'R&amp;S - Transportation'!$B$19)*(AU3-$N$3)/10)))</f>
        <v>17912.38232820285</v>
      </c>
      <c r="AV19" s="99">
        <f>AV18*('R&amp;S - Transportation'!$B$16*('R&amp;S - Transportation'!$B$10*('R&amp;S - Transportation'!$B$19+('R&amp;S - Transportation'!$B$20-'R&amp;S - Transportation'!$B$19)*(AV3-$N$3)/10)))</f>
        <v>22001.895837539756</v>
      </c>
      <c r="AW19" s="99">
        <f>AW18*('R&amp;S - Transportation'!$B$16*('R&amp;S - Transportation'!$B$10*('R&amp;S - Transportation'!$B$19+('R&amp;S - Transportation'!$B$20-'R&amp;S - Transportation'!$B$19)*(AW3-$N$3)/10)))</f>
        <v>26074.35726875945</v>
      </c>
      <c r="AX19" s="99">
        <f>AX18*('R&amp;S - Transportation'!$B$16*('R&amp;S - Transportation'!$B$10*('R&amp;S - Transportation'!$B$19+('R&amp;S - Transportation'!$B$20-'R&amp;S - Transportation'!$B$19)*(AX3-$N$3)/10)))</f>
        <v>30129.53613755068</v>
      </c>
      <c r="AY19" s="99">
        <f>AY18*('R&amp;S - Transportation'!$B$16*('R&amp;S - Transportation'!$B$10*('R&amp;S - Transportation'!$B$19+('R&amp;S - Transportation'!$B$20-'R&amp;S - Transportation'!$B$19)*(AY3-$N$3)/10)))</f>
        <v>34167.207778404219</v>
      </c>
      <c r="AZ19" s="99">
        <f>AZ18*('R&amp;S - Transportation'!$B$16*('R&amp;S - Transportation'!$B$10*('R&amp;S - Transportation'!$B$19+('R&amp;S - Transportation'!$B$20-'R&amp;S - Transportation'!$B$19)*(AZ3-$N$3)/10)))</f>
        <v>38187.153262986605</v>
      </c>
      <c r="BA19" s="99">
        <f>BA18*('R&amp;S - Transportation'!$B$16*('R&amp;S - Transportation'!$B$10*('R&amp;S - Transportation'!$B$19+('R&amp;S - Transportation'!$B$20-'R&amp;S - Transportation'!$B$19)*(BA3-$N$3)/10)))</f>
        <v>42189.159319445971</v>
      </c>
      <c r="BB19" s="99">
        <f>BB18*('R&amp;S - Transportation'!$B$16*('R&amp;S - Transportation'!$B$10*('R&amp;S - Transportation'!$B$19+('R&amp;S - Transportation'!$B$20-'R&amp;S - Transportation'!$B$19)*(BB3-$N$3)/10)))</f>
        <v>46173.018252640766</v>
      </c>
      <c r="BC19" s="99">
        <f>BC18*('R&amp;S - Transportation'!$B$16*('R&amp;S - Transportation'!$B$10*('R&amp;S - Transportation'!$B$19+('R&amp;S - Transportation'!$B$20-'R&amp;S - Transportation'!$B$19)*(BC3-$N$3)/10)))</f>
        <v>50138.527865281532</v>
      </c>
      <c r="BD19" s="99">
        <f>BD18*('R&amp;S - Transportation'!$B$16*('R&amp;S - Transportation'!$B$10*('R&amp;S - Transportation'!$B$19+('R&amp;S - Transportation'!$B$20-'R&amp;S - Transportation'!$B$19)*(BD3-$N$3)/10)))</f>
        <v>54085.491379976782</v>
      </c>
      <c r="BE19" s="99">
        <f>BE18*('R&amp;S - Transportation'!$B$16*('R&amp;S - Transportation'!$B$10*('R&amp;S - Transportation'!$B$20+('R&amp;S - Transportation'!$B$21-'R&amp;S - Transportation'!$B$20)*(BE3-$X$3)/10)))</f>
        <v>61945.72334369173</v>
      </c>
      <c r="BF19" s="99">
        <f>BF18*('R&amp;S - Transportation'!$B$16*('R&amp;S - Transportation'!$B$10*('R&amp;S - Transportation'!$B$20+('R&amp;S - Transportation'!$B$21-'R&amp;S - Transportation'!$B$20)*(BF3-$X$3)/10)))</f>
        <v>69740.676230275509</v>
      </c>
      <c r="BG19" s="99">
        <f>BG18*('R&amp;S - Transportation'!$B$16*('R&amp;S - Transportation'!$B$10*('R&amp;S - Transportation'!$B$20+('R&amp;S - Transportation'!$B$21-'R&amp;S - Transportation'!$B$20)*(BG3-$X$3)/10)))</f>
        <v>77470.568266142174</v>
      </c>
      <c r="BH19" s="99">
        <f>BH18*('R&amp;S - Transportation'!$B$16*('R&amp;S - Transportation'!$B$10*('R&amp;S - Transportation'!$B$20+('R&amp;S - Transportation'!$B$21-'R&amp;S - Transportation'!$B$20)*(BH3-$X$3)/10)))</f>
        <v>85135.619851855474</v>
      </c>
      <c r="BI19" s="99">
        <f>BI18*('R&amp;S - Transportation'!$B$16*('R&amp;S - Transportation'!$B$10*('R&amp;S - Transportation'!$B$20+('R&amp;S - Transportation'!$B$21-'R&amp;S - Transportation'!$B$20)*(BI3-$X$3)/10)))</f>
        <v>92736.053507740478</v>
      </c>
      <c r="BJ19" s="99">
        <f>BJ18*('R&amp;S - Transportation'!$B$16*('R&amp;S - Transportation'!$B$10*('R&amp;S - Transportation'!$B$20+('R&amp;S - Transportation'!$B$21-'R&amp;S - Transportation'!$B$20)*(BJ3-$X$3)/10)))</f>
        <v>100272.09382023671</v>
      </c>
      <c r="BK19" s="99">
        <f>BK18*('R&amp;S - Transportation'!$B$16*('R&amp;S - Transportation'!$B$10*('R&amp;S - Transportation'!$B$20+('R&amp;S - Transportation'!$B$21-'R&amp;S - Transportation'!$B$20)*(BK3-$X$3)/10)))</f>
        <v>107743.96738898373</v>
      </c>
      <c r="BL19" s="99">
        <f>BL18*('R&amp;S - Transportation'!$B$16*('R&amp;S - Transportation'!$B$10*('R&amp;S - Transportation'!$B$20+('R&amp;S - Transportation'!$B$21-'R&amp;S - Transportation'!$B$20)*(BL3-$X$3)/10)))</f>
        <v>115151.9027746322</v>
      </c>
      <c r="BM19" s="99">
        <f>BM18*('R&amp;S - Transportation'!$B$16*('R&amp;S - Transportation'!$B$10*('R&amp;S - Transportation'!$B$20+('R&amp;S - Transportation'!$B$21-'R&amp;S - Transportation'!$B$20)*(BM3-$X$3)/10)))</f>
        <v>122496.1304473713</v>
      </c>
      <c r="BN19" s="99">
        <f>BN18*('R&amp;S - Transportation'!$B$16*('R&amp;S - Transportation'!$B$10*('R&amp;S - Transportation'!$B$20+('R&amp;S - Transportation'!$B$21-'R&amp;S - Transportation'!$B$20)*(BN3-$X$3)/10)))</f>
        <v>129776.882736165</v>
      </c>
      <c r="BS19" s="640"/>
      <c r="BY19" s="630"/>
      <c r="BZ19" s="642"/>
      <c r="CA19" s="642"/>
      <c r="CB19" s="642"/>
      <c r="CC19" s="642"/>
      <c r="CD19" s="642"/>
      <c r="CE19" s="642"/>
      <c r="CF19" s="641"/>
      <c r="CG19" s="642"/>
    </row>
    <row r="20" spans="1:90" outlineLevel="1">
      <c r="B20" s="57" t="s">
        <v>182</v>
      </c>
      <c r="C20" s="50" t="s">
        <v>1420</v>
      </c>
      <c r="D20" s="99">
        <v>0</v>
      </c>
      <c r="E20" s="99">
        <f>E18*'R&amp;S - Transportation'!$B$15*('R&amp;S - Transportation'!$B$11*'R&amp;S - Transportation'!$B$19*(E$3-$D$3)/10)</f>
        <v>1836.2066779913539</v>
      </c>
      <c r="F20" s="99">
        <f>F18*'R&amp;S - Transportation'!$B$15*('R&amp;S - Transportation'!$B$11*'R&amp;S - Transportation'!$B$19*(F$3-$D$3)/10)</f>
        <v>3654.5534130140127</v>
      </c>
      <c r="G20" s="99">
        <f>G18*'R&amp;S - Transportation'!$B$15*('R&amp;S - Transportation'!$B$11*'R&amp;S - Transportation'!$B$19*(G$3-$D$3)/10)</f>
        <v>5455.1488445353134</v>
      </c>
      <c r="H20" s="99">
        <f>H18*'R&amp;S - Transportation'!$B$15*('R&amp;S - Transportation'!$B$11*'R&amp;S - Transportation'!$B$19*(H$3-$D$3)/10)</f>
        <v>7238.1013027333011</v>
      </c>
      <c r="I20" s="99">
        <f>I18*'R&amp;S - Transportation'!$B$15*('R&amp;S - Transportation'!$B$11*'R&amp;S - Transportation'!$B$19*(I$3-$D$3)/10)</f>
        <v>9003.5188053047204</v>
      </c>
      <c r="J20" s="99">
        <f>J18*'R&amp;S - Transportation'!$B$15*('R&amp;S - Transportation'!$B$11*'R&amp;S - Transportation'!$B$19*(J$3-$D$3)/10)</f>
        <v>10751.509054347218</v>
      </c>
      <c r="K20" s="99">
        <f>K18*'R&amp;S - Transportation'!$B$15*('R&amp;S - Transportation'!$B$11*'R&amp;S - Transportation'!$B$19*(K$3-$D$3)/10)</f>
        <v>12482.179433314721</v>
      </c>
      <c r="L20" s="99">
        <f>L18*'R&amp;S - Transportation'!$B$15*('R&amp;S - Transportation'!$B$11*'R&amp;S - Transportation'!$B$19*(L$3-$D$3)/10)</f>
        <v>14195.637004045089</v>
      </c>
      <c r="M20" s="99">
        <f>M18*'R&amp;S - Transportation'!$B$15*('R&amp;S - Transportation'!$B$11*'R&amp;S - Transportation'!$B$19*(M$3-$D$3)/10)</f>
        <v>15891.988503859029</v>
      </c>
      <c r="N20" s="99">
        <f>N18*'R&amp;S - Transportation'!$B$15*('R&amp;S - Transportation'!$B$11*'R&amp;S - Transportation'!$B$19*(N$3-$D$3)/10)</f>
        <v>17571.340342729385</v>
      </c>
      <c r="O20" s="99">
        <f>O18*('R&amp;S - Transportation'!$B$15*('R&amp;S - Transportation'!$B$11*('R&amp;S - Transportation'!$B$19+('R&amp;S - Transportation'!$B$20-'R&amp;S - Transportation'!$B$19)*(O3-$N$3)/10)))</f>
        <v>22797.577508621809</v>
      </c>
      <c r="P20" s="99">
        <f>P18*('R&amp;S - Transportation'!$B$15*('R&amp;S - Transportation'!$B$11*('R&amp;S - Transportation'!$B$19+('R&amp;S - Transportation'!$B$20-'R&amp;S - Transportation'!$B$19)*(P3-$N$3)/10)))</f>
        <v>28002.412884141508</v>
      </c>
      <c r="Q20" s="99">
        <f>Q18*('R&amp;S - Transportation'!$B$15*('R&amp;S - Transportation'!$B$11*('R&amp;S - Transportation'!$B$19+('R&amp;S - Transportation'!$B$20-'R&amp;S - Transportation'!$B$19)*(Q3-$N$3)/10)))</f>
        <v>33185.545614784751</v>
      </c>
      <c r="R20" s="99">
        <f>R18*('R&amp;S - Transportation'!$B$15*('R&amp;S - Transportation'!$B$11*('R&amp;S - Transportation'!$B$19+('R&amp;S - Transportation'!$B$20-'R&amp;S - Transportation'!$B$19)*(R3-$N$3)/10)))</f>
        <v>38346.68235688268</v>
      </c>
      <c r="S20" s="99">
        <f>S18*('R&amp;S - Transportation'!$B$15*('R&amp;S - Transportation'!$B$11*('R&amp;S - Transportation'!$B$19+('R&amp;S - Transportation'!$B$20-'R&amp;S - Transportation'!$B$19)*(S3-$N$3)/10)))</f>
        <v>43485.537172514465</v>
      </c>
      <c r="T20" s="99">
        <f>T18*('R&amp;S - Transportation'!$B$15*('R&amp;S - Transportation'!$B$11*('R&amp;S - Transportation'!$B$19+('R&amp;S - Transportation'!$B$20-'R&amp;S - Transportation'!$B$19)*(T3-$N$3)/10)))</f>
        <v>48601.831425619312</v>
      </c>
      <c r="U20" s="99">
        <f>U18*('R&amp;S - Transportation'!$B$15*('R&amp;S - Transportation'!$B$11*('R&amp;S - Transportation'!$B$19+('R&amp;S - Transportation'!$B$20-'R&amp;S - Transportation'!$B$19)*(U3-$N$3)/10)))</f>
        <v>53695.293679294868</v>
      </c>
      <c r="V20" s="99">
        <f>V18*('R&amp;S - Transportation'!$B$15*('R&amp;S - Transportation'!$B$11*('R&amp;S - Transportation'!$B$19+('R&amp;S - Transportation'!$B$20-'R&amp;S - Transportation'!$B$19)*(V3-$N$3)/10)))</f>
        <v>58765.659594270066</v>
      </c>
      <c r="W20" s="99">
        <f>W18*('R&amp;S - Transportation'!$B$15*('R&amp;S - Transportation'!$B$11*('R&amp;S - Transportation'!$B$19+('R&amp;S - Transportation'!$B$20-'R&amp;S - Transportation'!$B$19)*(W3-$N$3)/10)))</f>
        <v>63812.671828540129</v>
      </c>
      <c r="X20" s="99">
        <f>X18*('R&amp;S - Transportation'!$B$15*('R&amp;S - Transportation'!$B$11*('R&amp;S - Transportation'!$B$19+('R&amp;S - Transportation'!$B$20-'R&amp;S - Transportation'!$B$19)*(X3-$N$3)/10)))</f>
        <v>68836.079938152267</v>
      </c>
      <c r="Y20" s="99">
        <f>Y18*('R&amp;S - Transportation'!$B$15*('R&amp;S - Transportation'!$B$11*('R&amp;S - Transportation'!$B$20+('R&amp;S - Transportation'!$B$21-'R&amp;S - Transportation'!$B$20)*(Y3-$X$3)/10)))</f>
        <v>78840.01152833493</v>
      </c>
      <c r="Z20" s="99">
        <f>Z18*('R&amp;S - Transportation'!$B$15*('R&amp;S - Transportation'!$B$11*('R&amp;S - Transportation'!$B$20+('R&amp;S - Transportation'!$B$21-'R&amp;S - Transportation'!$B$20)*(Z3-$X$3)/10)))</f>
        <v>88760.8606567143</v>
      </c>
      <c r="AA20" s="99">
        <f>AA18*('R&amp;S - Transportation'!$B$15*('R&amp;S - Transportation'!$B$11*('R&amp;S - Transportation'!$B$20+('R&amp;S - Transportation'!$B$21-'R&amp;S - Transportation'!$B$20)*(AA3-$X$3)/10)))</f>
        <v>98598.905065999119</v>
      </c>
      <c r="AB20" s="99">
        <f>AB18*('R&amp;S - Transportation'!$B$15*('R&amp;S - Transportation'!$B$11*('R&amp;S - Transportation'!$B$20+('R&amp;S - Transportation'!$B$21-'R&amp;S - Transportation'!$B$20)*(AB3-$X$3)/10)))</f>
        <v>108354.42526599785</v>
      </c>
      <c r="AC20" s="99">
        <f>AC18*('R&amp;S - Transportation'!$B$15*('R&amp;S - Transportation'!$B$11*('R&amp;S - Transportation'!$B$20+('R&amp;S - Transportation'!$B$21-'R&amp;S - Transportation'!$B$20)*(AC3-$X$3)/10)))</f>
        <v>118027.70446439699</v>
      </c>
      <c r="AD20" s="99">
        <f>AD18*('R&amp;S - Transportation'!$B$15*('R&amp;S - Transportation'!$B$11*('R&amp;S - Transportation'!$B$20+('R&amp;S - Transportation'!$B$21-'R&amp;S - Transportation'!$B$20)*(AD3-$X$3)/10)))</f>
        <v>127619.02849848308</v>
      </c>
      <c r="AE20" s="99">
        <f>AE18*('R&amp;S - Transportation'!$B$15*('R&amp;S - Transportation'!$B$11*('R&amp;S - Transportation'!$B$20+('R&amp;S - Transportation'!$B$21-'R&amp;S - Transportation'!$B$20)*(AE3-$X$3)/10)))</f>
        <v>137128.68576779749</v>
      </c>
      <c r="AF20" s="99">
        <f>AF18*('R&amp;S - Transportation'!$B$15*('R&amp;S - Transportation'!$B$11*('R&amp;S - Transportation'!$B$20+('R&amp;S - Transportation'!$B$21-'R&amp;S - Transportation'!$B$20)*(AF3-$X$3)/10)))</f>
        <v>146556.96716771368</v>
      </c>
      <c r="AG20" s="99">
        <f>AG18*('R&amp;S - Transportation'!$B$15*('R&amp;S - Transportation'!$B$11*('R&amp;S - Transportation'!$B$20+('R&amp;S - Transportation'!$B$21-'R&amp;S - Transportation'!$B$20)*(AG3-$X$3)/10)))</f>
        <v>155904.1660239271</v>
      </c>
      <c r="AH20" s="99">
        <f>AH18*('R&amp;S - Transportation'!$B$15*('R&amp;S - Transportation'!$B$11*('R&amp;S - Transportation'!$B$20+('R&amp;S - Transportation'!$B$21-'R&amp;S - Transportation'!$B$20)*(AH3-$X$3)/10)))</f>
        <v>165170.57802784635</v>
      </c>
      <c r="AI20" s="178"/>
      <c r="AJ20" s="99">
        <v>0</v>
      </c>
      <c r="AK20" s="99">
        <f>AK18*'R&amp;S - Transportation'!$B$16*('R&amp;S - Transportation'!$B$11*'R&amp;S - Transportation'!$B$19*(AK$3-$D$3)/10)</f>
        <v>918.10333899567695</v>
      </c>
      <c r="AL20" s="99">
        <f>AL18*'R&amp;S - Transportation'!$B$16*('R&amp;S - Transportation'!$B$11*'R&amp;S - Transportation'!$B$19*(AL$3-$D$3)/10)</f>
        <v>1827.2767065070063</v>
      </c>
      <c r="AM20" s="99">
        <f>AM18*'R&amp;S - Transportation'!$B$16*('R&amp;S - Transportation'!$B$11*'R&amp;S - Transportation'!$B$19*(AM$3-$D$3)/10)</f>
        <v>2727.5744222676567</v>
      </c>
      <c r="AN20" s="99">
        <f>AN18*'R&amp;S - Transportation'!$B$16*('R&amp;S - Transportation'!$B$11*'R&amp;S - Transportation'!$B$19*(AN$3-$D$3)/10)</f>
        <v>3619.0506513666505</v>
      </c>
      <c r="AO20" s="99">
        <f>AO18*'R&amp;S - Transportation'!$B$16*('R&amp;S - Transportation'!$B$11*'R&amp;S - Transportation'!$B$19*(AO$3-$D$3)/10)</f>
        <v>4501.7594026523602</v>
      </c>
      <c r="AP20" s="99">
        <f>AP18*'R&amp;S - Transportation'!$B$16*('R&amp;S - Transportation'!$B$11*'R&amp;S - Transportation'!$B$19*(AP$3-$D$3)/10)</f>
        <v>5375.7545271736089</v>
      </c>
      <c r="AQ20" s="99">
        <f>AQ18*'R&amp;S - Transportation'!$B$16*('R&amp;S - Transportation'!$B$11*'R&amp;S - Transportation'!$B$19*(AQ$3-$D$3)/10)</f>
        <v>6241.0897166573604</v>
      </c>
      <c r="AR20" s="99">
        <f>AR18*'R&amp;S - Transportation'!$B$16*('R&amp;S - Transportation'!$B$11*'R&amp;S - Transportation'!$B$19*(AR$3-$D$3)/10)</f>
        <v>7097.8185020225446</v>
      </c>
      <c r="AS20" s="99">
        <f>AS18*'R&amp;S - Transportation'!$B$16*('R&amp;S - Transportation'!$B$11*'R&amp;S - Transportation'!$B$19*(AS$3-$D$3)/10)</f>
        <v>7945.9942519295146</v>
      </c>
      <c r="AT20" s="99">
        <f>AT18*'R&amp;S - Transportation'!$B$16*('R&amp;S - Transportation'!$B$11*'R&amp;S - Transportation'!$B$19*(AT$3-$D$3)/10)</f>
        <v>8785.6701713646926</v>
      </c>
      <c r="AU20" s="99">
        <f>AU18*('R&amp;S - Transportation'!$B$16*('R&amp;S - Transportation'!$B$11*('R&amp;S - Transportation'!$B$19+('R&amp;S - Transportation'!$B$20-'R&amp;S - Transportation'!$B$19)*(AU3-$N$3)/10)))</f>
        <v>11398.788754310905</v>
      </c>
      <c r="AV20" s="99">
        <f>AV18*('R&amp;S - Transportation'!$B$16*('R&amp;S - Transportation'!$B$11*('R&amp;S - Transportation'!$B$19+('R&amp;S - Transportation'!$B$20-'R&amp;S - Transportation'!$B$19)*(AV3-$N$3)/10)))</f>
        <v>14001.206442070754</v>
      </c>
      <c r="AW20" s="99">
        <f>AW18*('R&amp;S - Transportation'!$B$16*('R&amp;S - Transportation'!$B$11*('R&amp;S - Transportation'!$B$19+('R&amp;S - Transportation'!$B$20-'R&amp;S - Transportation'!$B$19)*(AW3-$N$3)/10)))</f>
        <v>16592.772807392375</v>
      </c>
      <c r="AX20" s="99">
        <f>AX18*('R&amp;S - Transportation'!$B$16*('R&amp;S - Transportation'!$B$11*('R&amp;S - Transportation'!$B$19+('R&amp;S - Transportation'!$B$20-'R&amp;S - Transportation'!$B$19)*(AX3-$N$3)/10)))</f>
        <v>19173.34117844134</v>
      </c>
      <c r="AY20" s="99">
        <f>AY18*('R&amp;S - Transportation'!$B$16*('R&amp;S - Transportation'!$B$11*('R&amp;S - Transportation'!$B$19+('R&amp;S - Transportation'!$B$20-'R&amp;S - Transportation'!$B$19)*(AY3-$N$3)/10)))</f>
        <v>21742.768586257233</v>
      </c>
      <c r="AZ20" s="99">
        <f>AZ18*('R&amp;S - Transportation'!$B$16*('R&amp;S - Transportation'!$B$11*('R&amp;S - Transportation'!$B$19+('R&amp;S - Transportation'!$B$20-'R&amp;S - Transportation'!$B$19)*(AZ3-$N$3)/10)))</f>
        <v>24300.915712809656</v>
      </c>
      <c r="BA20" s="99">
        <f>BA18*('R&amp;S - Transportation'!$B$16*('R&amp;S - Transportation'!$B$11*('R&amp;S - Transportation'!$B$19+('R&amp;S - Transportation'!$B$20-'R&amp;S - Transportation'!$B$19)*(BA3-$N$3)/10)))</f>
        <v>26847.646839647434</v>
      </c>
      <c r="BB20" s="99">
        <f>BB18*('R&amp;S - Transportation'!$B$16*('R&amp;S - Transportation'!$B$11*('R&amp;S - Transportation'!$B$19+('R&amp;S - Transportation'!$B$20-'R&amp;S - Transportation'!$B$19)*(BB3-$N$3)/10)))</f>
        <v>29382.829797135033</v>
      </c>
      <c r="BC20" s="99">
        <f>BC18*('R&amp;S - Transportation'!$B$16*('R&amp;S - Transportation'!$B$11*('R&amp;S - Transportation'!$B$19+('R&amp;S - Transportation'!$B$20-'R&amp;S - Transportation'!$B$19)*(BC3-$N$3)/10)))</f>
        <v>31906.335914270065</v>
      </c>
      <c r="BD20" s="99">
        <f>BD18*('R&amp;S - Transportation'!$B$16*('R&amp;S - Transportation'!$B$11*('R&amp;S - Transportation'!$B$19+('R&amp;S - Transportation'!$B$20-'R&amp;S - Transportation'!$B$19)*(BD3-$N$3)/10)))</f>
        <v>34418.039969076133</v>
      </c>
      <c r="BE20" s="99">
        <f>BE18*('R&amp;S - Transportation'!$B$16*('R&amp;S - Transportation'!$B$11*('R&amp;S - Transportation'!$B$20+('R&amp;S - Transportation'!$B$21-'R&amp;S - Transportation'!$B$20)*(BE3-$X$3)/10)))</f>
        <v>39420.005764167465</v>
      </c>
      <c r="BF20" s="99">
        <f>BF18*('R&amp;S - Transportation'!$B$16*('R&amp;S - Transportation'!$B$11*('R&amp;S - Transportation'!$B$20+('R&amp;S - Transportation'!$B$21-'R&amp;S - Transportation'!$B$20)*(BF3-$X$3)/10)))</f>
        <v>44380.43032835715</v>
      </c>
      <c r="BG20" s="99">
        <f>BG18*('R&amp;S - Transportation'!$B$16*('R&amp;S - Transportation'!$B$11*('R&amp;S - Transportation'!$B$20+('R&amp;S - Transportation'!$B$21-'R&amp;S - Transportation'!$B$20)*(BG3-$X$3)/10)))</f>
        <v>49299.452532999559</v>
      </c>
      <c r="BH20" s="99">
        <f>BH18*('R&amp;S - Transportation'!$B$16*('R&amp;S - Transportation'!$B$11*('R&amp;S - Transportation'!$B$20+('R&amp;S - Transportation'!$B$21-'R&amp;S - Transportation'!$B$20)*(BH3-$X$3)/10)))</f>
        <v>54177.212632998926</v>
      </c>
      <c r="BI20" s="99">
        <f>BI18*('R&amp;S - Transportation'!$B$16*('R&amp;S - Transportation'!$B$11*('R&amp;S - Transportation'!$B$20+('R&amp;S - Transportation'!$B$21-'R&amp;S - Transportation'!$B$20)*(BI3-$X$3)/10)))</f>
        <v>59013.852232198493</v>
      </c>
      <c r="BJ20" s="99">
        <f>BJ18*('R&amp;S - Transportation'!$B$16*('R&amp;S - Transportation'!$B$11*('R&amp;S - Transportation'!$B$20+('R&amp;S - Transportation'!$B$21-'R&amp;S - Transportation'!$B$20)*(BJ3-$X$3)/10)))</f>
        <v>63809.51424924154</v>
      </c>
      <c r="BK20" s="99">
        <f>BK18*('R&amp;S - Transportation'!$B$16*('R&amp;S - Transportation'!$B$11*('R&amp;S - Transportation'!$B$20+('R&amp;S - Transportation'!$B$21-'R&amp;S - Transportation'!$B$20)*(BK3-$X$3)/10)))</f>
        <v>68564.342883898746</v>
      </c>
      <c r="BL20" s="99">
        <f>BL18*('R&amp;S - Transportation'!$B$16*('R&amp;S - Transportation'!$B$11*('R&amp;S - Transportation'!$B$20+('R&amp;S - Transportation'!$B$21-'R&amp;S - Transportation'!$B$20)*(BL3-$X$3)/10)))</f>
        <v>73278.48358385684</v>
      </c>
      <c r="BM20" s="99">
        <f>BM18*('R&amp;S - Transportation'!$B$16*('R&amp;S - Transportation'!$B$11*('R&amp;S - Transportation'!$B$20+('R&amp;S - Transportation'!$B$21-'R&amp;S - Transportation'!$B$20)*(BM3-$X$3)/10)))</f>
        <v>77952.08301196355</v>
      </c>
      <c r="BN20" s="99">
        <f>BN18*('R&amp;S - Transportation'!$B$16*('R&amp;S - Transportation'!$B$11*('R&amp;S - Transportation'!$B$20+('R&amp;S - Transportation'!$B$21-'R&amp;S - Transportation'!$B$20)*(BN3-$X$3)/10)))</f>
        <v>82585.289013923175</v>
      </c>
      <c r="BS20" s="626"/>
      <c r="BY20" s="630"/>
      <c r="BZ20" s="642"/>
      <c r="CA20" s="642"/>
      <c r="CB20" s="642"/>
      <c r="CC20" s="642"/>
      <c r="CD20" s="642"/>
      <c r="CE20" s="642"/>
      <c r="CF20" s="641"/>
      <c r="CG20" s="642"/>
    </row>
    <row r="21" spans="1:90" outlineLevel="1">
      <c r="B21" s="1" t="s">
        <v>169</v>
      </c>
      <c r="C21" s="50" t="s">
        <v>1420</v>
      </c>
      <c r="D21" s="99">
        <f>SUM(D19:D20)</f>
        <v>0</v>
      </c>
      <c r="E21" s="99">
        <f t="shared" ref="E21:AG21" si="17">SUM(E19:E20)</f>
        <v>4721.6743148349096</v>
      </c>
      <c r="F21" s="99">
        <f t="shared" si="17"/>
        <v>9397.4230620360322</v>
      </c>
      <c r="G21" s="99">
        <f t="shared" si="17"/>
        <v>14027.525600233663</v>
      </c>
      <c r="H21" s="99">
        <f t="shared" si="17"/>
        <v>18612.260492742775</v>
      </c>
      <c r="I21" s="99">
        <f t="shared" si="17"/>
        <v>23151.905499354994</v>
      </c>
      <c r="J21" s="99">
        <f t="shared" si="17"/>
        <v>27646.73756832142</v>
      </c>
      <c r="K21" s="99">
        <f t="shared" si="17"/>
        <v>32097.032828523566</v>
      </c>
      <c r="L21" s="99">
        <f t="shared" si="17"/>
        <v>36503.066581830222</v>
      </c>
      <c r="M21" s="99">
        <f t="shared" si="17"/>
        <v>40865.113295637508</v>
      </c>
      <c r="N21" s="99">
        <f t="shared" si="17"/>
        <v>45183.446595589849</v>
      </c>
      <c r="O21" s="99">
        <f t="shared" si="17"/>
        <v>58622.342165027512</v>
      </c>
      <c r="P21" s="99">
        <f t="shared" si="17"/>
        <v>72006.20455922102</v>
      </c>
      <c r="Q21" s="99">
        <f t="shared" si="17"/>
        <v>85334.260152303643</v>
      </c>
      <c r="R21" s="99">
        <f t="shared" si="17"/>
        <v>98605.754631984048</v>
      </c>
      <c r="S21" s="99">
        <f t="shared" si="17"/>
        <v>111819.9527293229</v>
      </c>
      <c r="T21" s="99">
        <f t="shared" si="17"/>
        <v>124976.13795159252</v>
      </c>
      <c r="U21" s="99">
        <f t="shared" si="17"/>
        <v>138073.61231818682</v>
      </c>
      <c r="V21" s="99">
        <f t="shared" si="17"/>
        <v>151111.6960995516</v>
      </c>
      <c r="W21" s="99">
        <f t="shared" si="17"/>
        <v>164089.72755910319</v>
      </c>
      <c r="X21" s="99">
        <f t="shared" si="17"/>
        <v>177007.06269810582</v>
      </c>
      <c r="Y21" s="99">
        <f t="shared" si="17"/>
        <v>202731.45821571839</v>
      </c>
      <c r="Z21" s="99">
        <f t="shared" si="17"/>
        <v>228242.21311726532</v>
      </c>
      <c r="AA21" s="99">
        <f t="shared" si="17"/>
        <v>253540.04159828345</v>
      </c>
      <c r="AB21" s="99">
        <f t="shared" si="17"/>
        <v>278625.66496970877</v>
      </c>
      <c r="AC21" s="99">
        <f t="shared" si="17"/>
        <v>303499.81147987791</v>
      </c>
      <c r="AD21" s="99">
        <f t="shared" si="17"/>
        <v>328163.21613895649</v>
      </c>
      <c r="AE21" s="99">
        <f t="shared" si="17"/>
        <v>352616.62054576492</v>
      </c>
      <c r="AF21" s="99">
        <f t="shared" si="17"/>
        <v>376860.7727169781</v>
      </c>
      <c r="AG21" s="99">
        <f t="shared" si="17"/>
        <v>400896.42691866972</v>
      </c>
      <c r="AH21" s="99">
        <f>SUM(AH19:AH20)</f>
        <v>424724.34350017633</v>
      </c>
      <c r="AI21" s="178"/>
      <c r="AJ21" s="99">
        <f>SUM(AJ19:AJ20)</f>
        <v>0</v>
      </c>
      <c r="AK21" s="99">
        <f t="shared" ref="AK21:BM21" si="18">SUM(AK19:AK20)</f>
        <v>2360.8371574174548</v>
      </c>
      <c r="AL21" s="99">
        <f t="shared" si="18"/>
        <v>4698.7115310180161</v>
      </c>
      <c r="AM21" s="99">
        <f t="shared" si="18"/>
        <v>7013.7628001168314</v>
      </c>
      <c r="AN21" s="99">
        <f t="shared" si="18"/>
        <v>9306.1302463713873</v>
      </c>
      <c r="AO21" s="99">
        <f t="shared" si="18"/>
        <v>11575.952749677497</v>
      </c>
      <c r="AP21" s="99">
        <f t="shared" si="18"/>
        <v>13823.36878416071</v>
      </c>
      <c r="AQ21" s="99">
        <f t="shared" si="18"/>
        <v>16048.516414261783</v>
      </c>
      <c r="AR21" s="99">
        <f t="shared" si="18"/>
        <v>18251.533290915111</v>
      </c>
      <c r="AS21" s="99">
        <f t="shared" si="18"/>
        <v>20432.556647818754</v>
      </c>
      <c r="AT21" s="99">
        <f t="shared" si="18"/>
        <v>22591.723297794924</v>
      </c>
      <c r="AU21" s="99">
        <f t="shared" si="18"/>
        <v>29311.171082513756</v>
      </c>
      <c r="AV21" s="99">
        <f t="shared" si="18"/>
        <v>36003.10227961051</v>
      </c>
      <c r="AW21" s="99">
        <f t="shared" si="18"/>
        <v>42667.130076151821</v>
      </c>
      <c r="AX21" s="99">
        <f t="shared" si="18"/>
        <v>49302.877315992024</v>
      </c>
      <c r="AY21" s="99">
        <f t="shared" si="18"/>
        <v>55909.976364661452</v>
      </c>
      <c r="AZ21" s="99">
        <f t="shared" si="18"/>
        <v>62488.068975796261</v>
      </c>
      <c r="BA21" s="99">
        <f t="shared" si="18"/>
        <v>69036.806159093408</v>
      </c>
      <c r="BB21" s="99">
        <f t="shared" si="18"/>
        <v>75555.848049775799</v>
      </c>
      <c r="BC21" s="99">
        <f t="shared" si="18"/>
        <v>82044.863779551597</v>
      </c>
      <c r="BD21" s="99">
        <f t="shared" si="18"/>
        <v>88503.531349052908</v>
      </c>
      <c r="BE21" s="99">
        <f t="shared" si="18"/>
        <v>101365.7291078592</v>
      </c>
      <c r="BF21" s="99">
        <f t="shared" si="18"/>
        <v>114121.10655863266</v>
      </c>
      <c r="BG21" s="99">
        <f t="shared" si="18"/>
        <v>126770.02079914173</v>
      </c>
      <c r="BH21" s="99">
        <f t="shared" si="18"/>
        <v>139312.83248485439</v>
      </c>
      <c r="BI21" s="99">
        <f t="shared" si="18"/>
        <v>151749.90573993896</v>
      </c>
      <c r="BJ21" s="99">
        <f t="shared" si="18"/>
        <v>164081.60806947824</v>
      </c>
      <c r="BK21" s="99">
        <f t="shared" si="18"/>
        <v>176308.31027288246</v>
      </c>
      <c r="BL21" s="99">
        <f t="shared" si="18"/>
        <v>188430.38635848905</v>
      </c>
      <c r="BM21" s="99">
        <f t="shared" si="18"/>
        <v>200448.21345933486</v>
      </c>
      <c r="BN21" s="99">
        <f>SUM(BN19:BN20)</f>
        <v>212362.17175008816</v>
      </c>
      <c r="BY21" s="630"/>
      <c r="BZ21" s="642"/>
      <c r="CA21" s="641"/>
      <c r="CB21" s="642"/>
      <c r="CC21" s="645"/>
      <c r="CD21" s="642"/>
      <c r="CE21" s="642"/>
      <c r="CF21" s="642"/>
      <c r="CG21" s="642"/>
    </row>
    <row r="22" spans="1:90" outlineLevel="1">
      <c r="B22" s="1" t="s">
        <v>172</v>
      </c>
      <c r="C22" s="50" t="s">
        <v>1420</v>
      </c>
      <c r="D22" s="99">
        <v>0</v>
      </c>
      <c r="E22" s="99">
        <v>0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99">
        <v>0</v>
      </c>
      <c r="L22" s="99">
        <v>0</v>
      </c>
      <c r="M22" s="99">
        <v>0</v>
      </c>
      <c r="N22" s="99">
        <v>0</v>
      </c>
      <c r="O22" s="99">
        <v>0</v>
      </c>
      <c r="P22" s="99">
        <v>0</v>
      </c>
      <c r="Q22" s="99">
        <v>0</v>
      </c>
      <c r="R22" s="99">
        <v>0</v>
      </c>
      <c r="S22" s="99">
        <v>0</v>
      </c>
      <c r="T22" s="99">
        <v>0</v>
      </c>
      <c r="U22" s="99">
        <v>0</v>
      </c>
      <c r="V22" s="99">
        <v>0</v>
      </c>
      <c r="W22" s="99">
        <v>0</v>
      </c>
      <c r="X22" s="99">
        <v>0</v>
      </c>
      <c r="Y22" s="99">
        <v>0</v>
      </c>
      <c r="Z22" s="99">
        <v>0</v>
      </c>
      <c r="AA22" s="99">
        <v>0</v>
      </c>
      <c r="AB22" s="99">
        <v>0</v>
      </c>
      <c r="AC22" s="99">
        <v>0</v>
      </c>
      <c r="AD22" s="99">
        <v>0</v>
      </c>
      <c r="AE22" s="99">
        <v>0</v>
      </c>
      <c r="AF22" s="99">
        <v>0</v>
      </c>
      <c r="AG22" s="99">
        <v>0</v>
      </c>
      <c r="AH22" s="99">
        <v>0</v>
      </c>
      <c r="AI22" s="178"/>
      <c r="AJ22" s="99">
        <v>0</v>
      </c>
      <c r="AK22" s="99">
        <v>0</v>
      </c>
      <c r="AL22" s="99">
        <v>0</v>
      </c>
      <c r="AM22" s="99">
        <v>0</v>
      </c>
      <c r="AN22" s="99">
        <v>0</v>
      </c>
      <c r="AO22" s="99">
        <v>0</v>
      </c>
      <c r="AP22" s="99">
        <v>0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99">
        <v>0</v>
      </c>
      <c r="AW22" s="99">
        <v>0</v>
      </c>
      <c r="AX22" s="99">
        <v>0</v>
      </c>
      <c r="AY22" s="99">
        <v>0</v>
      </c>
      <c r="AZ22" s="99">
        <v>0</v>
      </c>
      <c r="BA22" s="99">
        <v>0</v>
      </c>
      <c r="BB22" s="99">
        <v>0</v>
      </c>
      <c r="BC22" s="99">
        <v>0</v>
      </c>
      <c r="BD22" s="99">
        <v>0</v>
      </c>
      <c r="BE22" s="99">
        <v>0</v>
      </c>
      <c r="BF22" s="99">
        <v>0</v>
      </c>
      <c r="BG22" s="99">
        <v>0</v>
      </c>
      <c r="BH22" s="99">
        <v>0</v>
      </c>
      <c r="BI22" s="99">
        <v>0</v>
      </c>
      <c r="BJ22" s="99">
        <v>0</v>
      </c>
      <c r="BK22" s="99">
        <v>0</v>
      </c>
      <c r="BL22" s="99">
        <v>0</v>
      </c>
      <c r="BM22" s="99">
        <v>0</v>
      </c>
      <c r="BN22" s="99">
        <v>0</v>
      </c>
    </row>
    <row r="23" spans="1:90" outlineLevel="1">
      <c r="B23" s="1" t="s">
        <v>200</v>
      </c>
      <c r="C23" s="60" t="s">
        <v>1420</v>
      </c>
      <c r="D23" s="574">
        <f>D18-D21-D22</f>
        <v>878653.78062042897</v>
      </c>
      <c r="E23" s="574">
        <f t="shared" ref="E23:AH23" si="19">E18-E21-E22</f>
        <v>869662.45806200022</v>
      </c>
      <c r="F23" s="574">
        <f t="shared" si="19"/>
        <v>860734.3419413002</v>
      </c>
      <c r="G23" s="574">
        <f t="shared" si="19"/>
        <v>851869.11638949858</v>
      </c>
      <c r="H23" s="574">
        <f t="shared" si="19"/>
        <v>843066.46602312627</v>
      </c>
      <c r="I23" s="574">
        <f t="shared" si="19"/>
        <v>834326.07595823728</v>
      </c>
      <c r="J23" s="574">
        <f t="shared" si="19"/>
        <v>825647.63182431494</v>
      </c>
      <c r="K23" s="574">
        <f t="shared" si="19"/>
        <v>817030.81977792003</v>
      </c>
      <c r="L23" s="574">
        <f t="shared" si="19"/>
        <v>808475.32651609159</v>
      </c>
      <c r="M23" s="574">
        <f t="shared" si="19"/>
        <v>799980.8392894963</v>
      </c>
      <c r="N23" s="574">
        <f t="shared" si="19"/>
        <v>791547.0459153332</v>
      </c>
      <c r="O23" s="574">
        <f t="shared" si="19"/>
        <v>776453.7570518885</v>
      </c>
      <c r="P23" s="574">
        <f t="shared" si="19"/>
        <v>761398.94080213318</v>
      </c>
      <c r="Q23" s="574">
        <f t="shared" si="19"/>
        <v>746383.67505533423</v>
      </c>
      <c r="R23" s="574">
        <f t="shared" si="19"/>
        <v>731409.01499751117</v>
      </c>
      <c r="S23" s="574">
        <f t="shared" si="19"/>
        <v>716475.99341380969</v>
      </c>
      <c r="T23" s="574">
        <f t="shared" si="19"/>
        <v>701585.62098751136</v>
      </c>
      <c r="U23" s="574">
        <f t="shared" si="19"/>
        <v>686738.88659571286</v>
      </c>
      <c r="V23" s="574">
        <f t="shared" si="19"/>
        <v>671936.75760170957</v>
      </c>
      <c r="W23" s="574">
        <f t="shared" si="19"/>
        <v>657180.18014411605</v>
      </c>
      <c r="X23" s="574">
        <f t="shared" si="19"/>
        <v>642470.07942275447</v>
      </c>
      <c r="Y23" s="574">
        <f t="shared" si="19"/>
        <v>613417.72944820416</v>
      </c>
      <c r="Z23" s="574">
        <f t="shared" si="19"/>
        <v>584586.18117499002</v>
      </c>
      <c r="AA23" s="574">
        <f t="shared" si="19"/>
        <v>555974.77831960749</v>
      </c>
      <c r="AB23" s="574">
        <f t="shared" si="19"/>
        <v>527582.85635468003</v>
      </c>
      <c r="AC23" s="574">
        <f t="shared" si="19"/>
        <v>499409.74269969342</v>
      </c>
      <c r="AD23" s="574">
        <f t="shared" si="19"/>
        <v>471454.75690918311</v>
      </c>
      <c r="AE23" s="574">
        <f t="shared" si="19"/>
        <v>443717.21085840161</v>
      </c>
      <c r="AF23" s="574">
        <f t="shared" si="19"/>
        <v>416196.4089264943</v>
      </c>
      <c r="AG23" s="574">
        <f t="shared" si="19"/>
        <v>388891.64817721234</v>
      </c>
      <c r="AH23" s="574">
        <f t="shared" si="19"/>
        <v>361802.21853718732</v>
      </c>
      <c r="AI23" s="178"/>
      <c r="AJ23" s="574">
        <f>AJ18-AJ21-AJ22</f>
        <v>878653.78062042897</v>
      </c>
      <c r="AK23" s="574">
        <f t="shared" ref="AK23:BN23" si="20">AK18-AK21-AK22</f>
        <v>872023.29521941766</v>
      </c>
      <c r="AL23" s="574">
        <f t="shared" si="20"/>
        <v>865433.05347231822</v>
      </c>
      <c r="AM23" s="574">
        <f t="shared" si="20"/>
        <v>858882.87918961549</v>
      </c>
      <c r="AN23" s="574">
        <f t="shared" si="20"/>
        <v>852372.59626949765</v>
      </c>
      <c r="AO23" s="574">
        <f t="shared" si="20"/>
        <v>845902.02870791487</v>
      </c>
      <c r="AP23" s="574">
        <f t="shared" si="20"/>
        <v>839471.00060847565</v>
      </c>
      <c r="AQ23" s="574">
        <f t="shared" si="20"/>
        <v>833079.3361921818</v>
      </c>
      <c r="AR23" s="574">
        <f t="shared" si="20"/>
        <v>826726.85980700678</v>
      </c>
      <c r="AS23" s="574">
        <f t="shared" si="20"/>
        <v>820413.39593731507</v>
      </c>
      <c r="AT23" s="574">
        <f t="shared" si="20"/>
        <v>814138.76921312814</v>
      </c>
      <c r="AU23" s="574">
        <f t="shared" si="20"/>
        <v>805764.92813440226</v>
      </c>
      <c r="AV23" s="574">
        <f t="shared" si="20"/>
        <v>797402.04308174376</v>
      </c>
      <c r="AW23" s="574">
        <f t="shared" si="20"/>
        <v>789050.80513148603</v>
      </c>
      <c r="AX23" s="574">
        <f t="shared" si="20"/>
        <v>780711.89231350319</v>
      </c>
      <c r="AY23" s="574">
        <f t="shared" si="20"/>
        <v>772385.96977847116</v>
      </c>
      <c r="AZ23" s="574">
        <f t="shared" si="20"/>
        <v>764073.6899633077</v>
      </c>
      <c r="BA23" s="574">
        <f t="shared" si="20"/>
        <v>755775.69275480625</v>
      </c>
      <c r="BB23" s="574">
        <f t="shared" si="20"/>
        <v>747492.60565148538</v>
      </c>
      <c r="BC23" s="574">
        <f t="shared" si="20"/>
        <v>739225.04392366763</v>
      </c>
      <c r="BD23" s="574">
        <f t="shared" si="20"/>
        <v>730973.61077180738</v>
      </c>
      <c r="BE23" s="574">
        <f t="shared" si="20"/>
        <v>714783.45855606336</v>
      </c>
      <c r="BF23" s="574">
        <f t="shared" si="20"/>
        <v>698707.28773362271</v>
      </c>
      <c r="BG23" s="574">
        <f t="shared" si="20"/>
        <v>682744.79911874922</v>
      </c>
      <c r="BH23" s="574">
        <f t="shared" si="20"/>
        <v>666895.68883953441</v>
      </c>
      <c r="BI23" s="574">
        <f t="shared" si="20"/>
        <v>651159.64843963238</v>
      </c>
      <c r="BJ23" s="574">
        <f t="shared" si="20"/>
        <v>635536.3649786613</v>
      </c>
      <c r="BK23" s="574">
        <f t="shared" si="20"/>
        <v>620025.52113128407</v>
      </c>
      <c r="BL23" s="574">
        <f t="shared" si="20"/>
        <v>604626.79528498335</v>
      </c>
      <c r="BM23" s="574">
        <f t="shared" si="20"/>
        <v>589339.86163654714</v>
      </c>
      <c r="BN23" s="574">
        <f t="shared" si="20"/>
        <v>574164.39028727543</v>
      </c>
      <c r="BR23" s="626"/>
      <c r="BS23" s="626"/>
    </row>
    <row r="24" spans="1:90" s="61" customFormat="1" outlineLevel="1">
      <c r="A24" s="602"/>
      <c r="B24" s="54" t="s">
        <v>88</v>
      </c>
      <c r="C24" s="55" t="s">
        <v>1420</v>
      </c>
      <c r="D24" s="580">
        <f>D23*'R&amp;S - Transportation'!$G$4/SUM('R&amp;S - Transportation'!$G$4:$I$4)</f>
        <v>239531.49666983372</v>
      </c>
      <c r="E24" s="580">
        <f>E23*'R&amp;S - Transportation'!$G$4/SUM('R&amp;S - Transportation'!$G$4:$I$4)</f>
        <v>237080.35493805746</v>
      </c>
      <c r="F24" s="580">
        <f>F23*'R&amp;S - Transportation'!$G$4/SUM('R&amp;S - Transportation'!$G$4:$I$4)</f>
        <v>234646.44403480808</v>
      </c>
      <c r="G24" s="580">
        <f>G23*'R&amp;S - Transportation'!$G$4/SUM('R&amp;S - Transportation'!$G$4:$I$4)</f>
        <v>232229.67785047638</v>
      </c>
      <c r="H24" s="580">
        <f>H23*'R&amp;S - Transportation'!$G$4/SUM('R&amp;S - Transportation'!$G$4:$I$4)</f>
        <v>229829.9704077683</v>
      </c>
      <c r="I24" s="580">
        <f>I23*'R&amp;S - Transportation'!$G$4/SUM('R&amp;S - Transportation'!$G$4:$I$4)</f>
        <v>227447.23586556592</v>
      </c>
      <c r="J24" s="580">
        <f>J23*'R&amp;S - Transportation'!$G$4/SUM('R&amp;S - Transportation'!$G$4:$I$4)</f>
        <v>225081.38852271822</v>
      </c>
      <c r="K24" s="580">
        <f>K23*'R&amp;S - Transportation'!$G$4/SUM('R&amp;S - Transportation'!$G$4:$I$4)</f>
        <v>222732.34282176167</v>
      </c>
      <c r="L24" s="580">
        <f>L23*'R&amp;S - Transportation'!$G$4/SUM('R&amp;S - Transportation'!$G$4:$I$4)</f>
        <v>220400.01335257367</v>
      </c>
      <c r="M24" s="580">
        <f>M23*'R&amp;S - Transportation'!$G$4/SUM('R&amp;S - Transportation'!$G$4:$I$4)</f>
        <v>218084.31485595717</v>
      </c>
      <c r="N24" s="580">
        <f>N23*'R&amp;S - Transportation'!$G$4/SUM('R&amp;S - Transportation'!$G$4:$I$4)</f>
        <v>215785.16222715843</v>
      </c>
      <c r="O24" s="580">
        <f>O23*'R&amp;S - Transportation'!$G$4/SUM('R&amp;S - Transportation'!$G$4:$I$4)</f>
        <v>211670.55172769842</v>
      </c>
      <c r="P24" s="580">
        <f>P23*'R&amp;S - Transportation'!$G$4/SUM('R&amp;S - Transportation'!$G$4:$I$4)</f>
        <v>207566.42932143403</v>
      </c>
      <c r="Q24" s="580">
        <f>Q23*'R&amp;S - Transportation'!$G$4/SUM('R&amp;S - Transportation'!$G$4:$I$4)</f>
        <v>203473.08885383094</v>
      </c>
      <c r="R24" s="580">
        <f>R23*'R&amp;S - Transportation'!$G$4/SUM('R&amp;S - Transportation'!$G$4:$I$4)</f>
        <v>199390.81798117896</v>
      </c>
      <c r="S24" s="580">
        <f>S23*'R&amp;S - Transportation'!$G$4/SUM('R&amp;S - Transportation'!$G$4:$I$4)</f>
        <v>195319.89825302249</v>
      </c>
      <c r="T24" s="580">
        <f>T23*'R&amp;S - Transportation'!$G$4/SUM('R&amp;S - Transportation'!$G$4:$I$4)</f>
        <v>191260.60519367442</v>
      </c>
      <c r="U24" s="580">
        <f>U23*'R&amp;S - Transportation'!$G$4/SUM('R&amp;S - Transportation'!$G$4:$I$4)</f>
        <v>187213.2083828215</v>
      </c>
      <c r="V24" s="580">
        <f>V23*'R&amp;S - Transportation'!$G$4/SUM('R&amp;S - Transportation'!$G$4:$I$4)</f>
        <v>183177.9715352318</v>
      </c>
      <c r="W24" s="580">
        <f>W23*'R&amp;S - Transportation'!$G$4/SUM('R&amp;S - Transportation'!$G$4:$I$4)</f>
        <v>179155.15257957237</v>
      </c>
      <c r="X24" s="580">
        <f>X23*'R&amp;S - Transportation'!$G$4/SUM('R&amp;S - Transportation'!$G$4:$I$4)</f>
        <v>175145.00373634568</v>
      </c>
      <c r="Y24" s="580">
        <f>Y23*'R&amp;S - Transportation'!$G$4/SUM('R&amp;S - Transportation'!$G$4:$I$4)</f>
        <v>167224.98674596066</v>
      </c>
      <c r="Z24" s="580">
        <f>Z23*'R&amp;S - Transportation'!$G$4/SUM('R&amp;S - Transportation'!$G$4:$I$4)</f>
        <v>159365.16293194934</v>
      </c>
      <c r="AA24" s="580">
        <f>AA23*'R&amp;S - Transportation'!$G$4/SUM('R&amp;S - Transportation'!$G$4:$I$4)</f>
        <v>151565.35338360356</v>
      </c>
      <c r="AB24" s="580">
        <f>AB23*'R&amp;S - Transportation'!$G$4/SUM('R&amp;S - Transportation'!$G$4:$I$4)</f>
        <v>143825.37694283744</v>
      </c>
      <c r="AC24" s="580">
        <f>AC23*'R&amp;S - Transportation'!$G$4/SUM('R&amp;S - Transportation'!$G$4:$I$4)</f>
        <v>136145.05025618369</v>
      </c>
      <c r="AD24" s="580">
        <f>AD23*'R&amp;S - Transportation'!$G$4/SUM('R&amp;S - Transportation'!$G$4:$I$4)</f>
        <v>128524.18782609586</v>
      </c>
      <c r="AE24" s="580">
        <f>AE23*'R&amp;S - Transportation'!$G$4/SUM('R&amp;S - Transportation'!$G$4:$I$4)</f>
        <v>120962.60206156333</v>
      </c>
      <c r="AF24" s="580">
        <f>AF23*'R&amp;S - Transportation'!$G$4/SUM('R&amp;S - Transportation'!$G$4:$I$4)</f>
        <v>113460.10332804735</v>
      </c>
      <c r="AG24" s="580">
        <f>AG23*'R&amp;S - Transportation'!$G$4/SUM('R&amp;S - Transportation'!$G$4:$I$4)</f>
        <v>106016.49999674544</v>
      </c>
      <c r="AH24" s="580">
        <f>AH23*'R&amp;S - Transportation'!$G$4/SUM('R&amp;S - Transportation'!$G$4:$I$4)</f>
        <v>98631.598493191283</v>
      </c>
      <c r="AI24" s="580"/>
      <c r="AJ24" s="580">
        <f>AJ23*'R&amp;S - Transportation'!$G$4/SUM('R&amp;S - Transportation'!$G$4:$I$4)</f>
        <v>239531.49666983372</v>
      </c>
      <c r="AK24" s="580">
        <f>AK23*'R&amp;S - Transportation'!$G$4/SUM('R&amp;S - Transportation'!$G$4:$I$4)</f>
        <v>237723.94729511836</v>
      </c>
      <c r="AL24" s="580">
        <f>AL23*'R&amp;S - Transportation'!$G$4/SUM('R&amp;S - Transportation'!$G$4:$I$4)</f>
        <v>235927.36882027914</v>
      </c>
      <c r="AM24" s="580">
        <f>AM23*'R&amp;S - Transportation'!$G$4/SUM('R&amp;S - Transportation'!$G$4:$I$4)</f>
        <v>234141.71321395357</v>
      </c>
      <c r="AN24" s="580">
        <f>AN23*'R&amp;S - Transportation'!$G$4/SUM('R&amp;S - Transportation'!$G$4:$I$4)</f>
        <v>232366.93246868806</v>
      </c>
      <c r="AO24" s="580">
        <f>AO23*'R&amp;S - Transportation'!$G$4/SUM('R&amp;S - Transportation'!$G$4:$I$4)</f>
        <v>230602.97860368018</v>
      </c>
      <c r="AP24" s="580">
        <f>AP23*'R&amp;S - Transportation'!$G$4/SUM('R&amp;S - Transportation'!$G$4:$I$4)</f>
        <v>228849.8036674764</v>
      </c>
      <c r="AQ24" s="580">
        <f>AQ23*'R&amp;S - Transportation'!$G$4/SUM('R&amp;S - Transportation'!$G$4:$I$4)</f>
        <v>227107.35974062604</v>
      </c>
      <c r="AR24" s="580">
        <f>AR23*'R&amp;S - Transportation'!$G$4/SUM('R&amp;S - Transportation'!$G$4:$I$4)</f>
        <v>225375.59893829236</v>
      </c>
      <c r="AS24" s="580">
        <f>AS23*'R&amp;S - Transportation'!$G$4/SUM('R&amp;S - Transportation'!$G$4:$I$4)</f>
        <v>223654.47341282049</v>
      </c>
      <c r="AT24" s="580">
        <f>AT23*'R&amp;S - Transportation'!$G$4/SUM('R&amp;S - Transportation'!$G$4:$I$4)</f>
        <v>221943.93535626339</v>
      </c>
      <c r="AU24" s="580">
        <f>AU23*'R&amp;S - Transportation'!$G$4/SUM('R&amp;S - Transportation'!$G$4:$I$4)</f>
        <v>219661.12643800411</v>
      </c>
      <c r="AV24" s="580">
        <f>AV23*'R&amp;S - Transportation'!$G$4/SUM('R&amp;S - Transportation'!$G$4:$I$4)</f>
        <v>217381.30426307803</v>
      </c>
      <c r="AW24" s="580">
        <f>AW23*'R&amp;S - Transportation'!$G$4/SUM('R&amp;S - Transportation'!$G$4:$I$4)</f>
        <v>215104.65722713328</v>
      </c>
      <c r="AX24" s="580">
        <f>AX23*'R&amp;S - Transportation'!$G$4/SUM('R&amp;S - Transportation'!$G$4:$I$4)</f>
        <v>212831.37016919759</v>
      </c>
      <c r="AY24" s="580">
        <f>AY23*'R&amp;S - Transportation'!$G$4/SUM('R&amp;S - Transportation'!$G$4:$I$4)</f>
        <v>210561.62441727571</v>
      </c>
      <c r="AZ24" s="580">
        <f>AZ23*'R&amp;S - Transportation'!$G$4/SUM('R&amp;S - Transportation'!$G$4:$I$4)</f>
        <v>208295.59783345036</v>
      </c>
      <c r="BA24" s="580">
        <f>BA23*'R&amp;S - Transportation'!$G$4/SUM('R&amp;S - Transportation'!$G$4:$I$4)</f>
        <v>206033.46485849068</v>
      </c>
      <c r="BB24" s="580">
        <f>BB23*'R&amp;S - Transportation'!$G$4/SUM('R&amp;S - Transportation'!$G$4:$I$4)</f>
        <v>203775.39655597444</v>
      </c>
      <c r="BC24" s="580">
        <f>BC23*'R&amp;S - Transportation'!$G$4/SUM('R&amp;S - Transportation'!$G$4:$I$4)</f>
        <v>201521.56065592734</v>
      </c>
      <c r="BD24" s="580">
        <f>BD23*'R&amp;S - Transportation'!$G$4/SUM('R&amp;S - Transportation'!$G$4:$I$4)</f>
        <v>199272.12159798515</v>
      </c>
      <c r="BE24" s="580">
        <f>BE23*'R&amp;S - Transportation'!$G$4/SUM('R&amp;S - Transportation'!$G$4:$I$4)</f>
        <v>194858.49307093181</v>
      </c>
      <c r="BF24" s="580">
        <f>BF23*'R&amp;S - Transportation'!$G$4/SUM('R&amp;S - Transportation'!$G$4:$I$4)</f>
        <v>190475.93723067804</v>
      </c>
      <c r="BG24" s="580">
        <f>BG23*'R&amp;S - Transportation'!$G$4/SUM('R&amp;S - Transportation'!$G$4:$I$4)</f>
        <v>186124.37251562497</v>
      </c>
      <c r="BH24" s="580">
        <f>BH23*'R&amp;S - Transportation'!$G$4/SUM('R&amp;S - Transportation'!$G$4:$I$4)</f>
        <v>181803.71608666735</v>
      </c>
      <c r="BI24" s="580">
        <f>BI23*'R&amp;S - Transportation'!$G$4/SUM('R&amp;S - Transportation'!$G$4:$I$4)</f>
        <v>177513.88385492764</v>
      </c>
      <c r="BJ24" s="580">
        <f>BJ23*'R&amp;S - Transportation'!$G$4/SUM('R&amp;S - Transportation'!$G$4:$I$4)</f>
        <v>173254.79050912653</v>
      </c>
      <c r="BK24" s="580">
        <f>BK23*'R&amp;S - Transportation'!$G$4/SUM('R&amp;S - Transportation'!$G$4:$I$4)</f>
        <v>169026.3495425937</v>
      </c>
      <c r="BL24" s="580">
        <f>BL23*'R&amp;S - Transportation'!$G$4/SUM('R&amp;S - Transportation'!$G$4:$I$4)</f>
        <v>164828.47327992244</v>
      </c>
      <c r="BM24" s="580">
        <f>BM23*'R&amp;S - Transportation'!$G$4/SUM('R&amp;S - Transportation'!$G$4:$I$4)</f>
        <v>160661.07290327261</v>
      </c>
      <c r="BN24" s="580">
        <f>BN23*'R&amp;S - Transportation'!$G$4/SUM('R&amp;S - Transportation'!$G$4:$I$4)</f>
        <v>156524.05847832526</v>
      </c>
      <c r="BQ24" s="649"/>
      <c r="BR24" s="649"/>
      <c r="BS24" s="649"/>
      <c r="BT24" s="649"/>
      <c r="BU24" s="649"/>
      <c r="BV24" s="649"/>
      <c r="BW24" s="649"/>
      <c r="BX24" s="649"/>
      <c r="BY24" s="649"/>
      <c r="BZ24" s="649"/>
      <c r="CA24" s="649"/>
      <c r="CB24" s="649"/>
      <c r="CC24" s="649"/>
      <c r="CD24" s="649"/>
      <c r="CE24" s="649"/>
      <c r="CF24" s="649"/>
      <c r="CG24" s="649"/>
      <c r="CH24" s="649"/>
      <c r="CI24" s="649"/>
      <c r="CJ24" s="649"/>
      <c r="CK24" s="649"/>
      <c r="CL24" s="649"/>
    </row>
    <row r="25" spans="1:90" outlineLevel="1">
      <c r="A25" s="603"/>
      <c r="B25" s="1" t="s">
        <v>717</v>
      </c>
      <c r="C25" s="50" t="s">
        <v>1420</v>
      </c>
      <c r="D25" s="576">
        <f>D23*'R&amp;S - Transportation'!$H$4/SUM('R&amp;S - Transportation'!$G$4:$I$4)</f>
        <v>164402.51278930038</v>
      </c>
      <c r="E25" s="576">
        <f>E23*'R&amp;S - Transportation'!$H$4/SUM('R&amp;S - Transportation'!$G$4:$I$4)</f>
        <v>162720.17094486987</v>
      </c>
      <c r="F25" s="576">
        <f>F23*'R&amp;S - Transportation'!$H$4/SUM('R&amp;S - Transportation'!$G$4:$I$4)</f>
        <v>161049.65548463783</v>
      </c>
      <c r="G25" s="576">
        <f>G23*'R&amp;S - Transportation'!$H$4/SUM('R&amp;S - Transportation'!$G$4:$I$4)</f>
        <v>159390.90730724882</v>
      </c>
      <c r="H25" s="576">
        <f>H23*'R&amp;S - Transportation'!$H$4/SUM('R&amp;S - Transportation'!$G$4:$I$4)</f>
        <v>157743.867402162</v>
      </c>
      <c r="I25" s="576">
        <f>I23*'R&amp;S - Transportation'!$H$4/SUM('R&amp;S - Transportation'!$G$4:$I$4)</f>
        <v>156108.4768523009</v>
      </c>
      <c r="J25" s="576">
        <f>J23*'R&amp;S - Transportation'!$H$4/SUM('R&amp;S - Transportation'!$G$4:$I$4)</f>
        <v>154484.67683665545</v>
      </c>
      <c r="K25" s="576">
        <f>K23*'R&amp;S - Transportation'!$H$4/SUM('R&amp;S - Transportation'!$G$4:$I$4)</f>
        <v>152872.40863283555</v>
      </c>
      <c r="L25" s="576">
        <f>L23*'R&amp;S - Transportation'!$H$4/SUM('R&amp;S - Transportation'!$G$4:$I$4)</f>
        <v>151271.61361957865</v>
      </c>
      <c r="M25" s="576">
        <f>M23*'R&amp;S - Transportation'!$H$4/SUM('R&amp;S - Transportation'!$G$4:$I$4)</f>
        <v>149682.23327920979</v>
      </c>
      <c r="N25" s="576">
        <f>N23*'R&amp;S - Transportation'!$H$4/SUM('R&amp;S - Transportation'!$G$4:$I$4)</f>
        <v>148104.20920005642</v>
      </c>
      <c r="O25" s="576">
        <f>O23*'R&amp;S - Transportation'!$H$4/SUM('R&amp;S - Transportation'!$G$4:$I$4)</f>
        <v>145280.14508045185</v>
      </c>
      <c r="P25" s="576">
        <f>P23*'R&amp;S - Transportation'!$H$4/SUM('R&amp;S - Transportation'!$G$4:$I$4)</f>
        <v>142463.27946667926</v>
      </c>
      <c r="Q25" s="576">
        <f>Q23*'R&amp;S - Transportation'!$H$4/SUM('R&amp;S - Transportation'!$G$4:$I$4)</f>
        <v>139653.81403966001</v>
      </c>
      <c r="R25" s="576">
        <f>R23*'R&amp;S - Transportation'!$H$4/SUM('R&amp;S - Transportation'!$G$4:$I$4)</f>
        <v>136851.94623237266</v>
      </c>
      <c r="S25" s="576">
        <f>S23*'R&amp;S - Transportation'!$H$4/SUM('R&amp;S - Transportation'!$G$4:$I$4)</f>
        <v>134057.86928642946</v>
      </c>
      <c r="T25" s="576">
        <f>T23*'R&amp;S - Transportation'!$H$4/SUM('R&amp;S - Transportation'!$G$4:$I$4)</f>
        <v>131271.77230802304</v>
      </c>
      <c r="U25" s="576">
        <f>U23*'R&amp;S - Transportation'!$H$4/SUM('R&amp;S - Transportation'!$G$4:$I$4)</f>
        <v>128493.84032325029</v>
      </c>
      <c r="V25" s="576">
        <f>V23*'R&amp;S - Transportation'!$H$4/SUM('R&amp;S - Transportation'!$G$4:$I$4)</f>
        <v>125724.25433281939</v>
      </c>
      <c r="W25" s="576">
        <f>W23*'R&amp;S - Transportation'!$H$4/SUM('R&amp;S - Transportation'!$G$4:$I$4)</f>
        <v>122963.19136614633</v>
      </c>
      <c r="X25" s="576">
        <f>X23*'R&amp;S - Transportation'!$H$4/SUM('R&amp;S - Transportation'!$G$4:$I$4)</f>
        <v>120210.82453484686</v>
      </c>
      <c r="Y25" s="576">
        <f>Y23*'R&amp;S - Transportation'!$H$4/SUM('R&amp;S - Transportation'!$G$4:$I$4)</f>
        <v>114774.91855732107</v>
      </c>
      <c r="Z25" s="576">
        <f>Z23*'R&amp;S - Transportation'!$H$4/SUM('R&amp;S - Transportation'!$G$4:$I$4)</f>
        <v>109380.32618400258</v>
      </c>
      <c r="AA25" s="576">
        <f>AA23*'R&amp;S - Transportation'!$H$4/SUM('R&amp;S - Transportation'!$G$4:$I$4)</f>
        <v>104026.92461947458</v>
      </c>
      <c r="AB25" s="576">
        <f>AB23*'R&amp;S - Transportation'!$H$4/SUM('R&amp;S - Transportation'!$G$4:$I$4)</f>
        <v>98714.589525831805</v>
      </c>
      <c r="AC25" s="576">
        <f>AC23*'R&amp;S - Transportation'!$H$4/SUM('R&amp;S - Transportation'!$G$4:$I$4)</f>
        <v>93443.195058368379</v>
      </c>
      <c r="AD25" s="576">
        <f>AD23*'R&amp;S - Transportation'!$H$4/SUM('R&amp;S - Transportation'!$G$4:$I$4)</f>
        <v>88212.613900789031</v>
      </c>
      <c r="AE25" s="576">
        <f>AE23*'R&amp;S - Transportation'!$H$4/SUM('R&amp;S - Transportation'!$G$4:$I$4)</f>
        <v>83022.717299948752</v>
      </c>
      <c r="AF25" s="576">
        <f>AF23*'R&amp;S - Transportation'!$H$4/SUM('R&amp;S - Transportation'!$G$4:$I$4)</f>
        <v>77873.375100126446</v>
      </c>
      <c r="AG25" s="576">
        <f>AG23*'R&amp;S - Transportation'!$H$4/SUM('R&amp;S - Transportation'!$G$4:$I$4)</f>
        <v>72764.455776837465</v>
      </c>
      <c r="AH25" s="576">
        <f>AH23*'R&amp;S - Transportation'!$H$4/SUM('R&amp;S - Transportation'!$G$4:$I$4)</f>
        <v>67695.826470190266</v>
      </c>
      <c r="AI25" s="576"/>
      <c r="AJ25" s="576">
        <f>AJ23*'R&amp;S - Transportation'!$H$4/SUM('R&amp;S - Transportation'!$G$4:$I$4)</f>
        <v>164402.51278930038</v>
      </c>
      <c r="AK25" s="576">
        <f>AK23*'R&amp;S - Transportation'!$H$4/SUM('R&amp;S - Transportation'!$G$4:$I$4)</f>
        <v>163161.90074735443</v>
      </c>
      <c r="AL25" s="576">
        <f>AL23*'R&amp;S - Transportation'!$H$4/SUM('R&amp;S - Transportation'!$G$4:$I$4)</f>
        <v>161928.81858574689</v>
      </c>
      <c r="AM25" s="576">
        <f>AM23*'R&amp;S - Transportation'!$H$4/SUM('R&amp;S - Transportation'!$G$4:$I$4)</f>
        <v>160703.233338138</v>
      </c>
      <c r="AN25" s="576">
        <f>AN23*'R&amp;S - Transportation'!$H$4/SUM('R&amp;S - Transportation'!$G$4:$I$4)</f>
        <v>159485.11205459796</v>
      </c>
      <c r="AO25" s="576">
        <f>AO23*'R&amp;S - Transportation'!$H$4/SUM('R&amp;S - Transportation'!$G$4:$I$4)</f>
        <v>158274.42180348904</v>
      </c>
      <c r="AP25" s="576">
        <f>AP23*'R&amp;S - Transportation'!$H$4/SUM('R&amp;S - Transportation'!$G$4:$I$4)</f>
        <v>157071.1296733171</v>
      </c>
      <c r="AQ25" s="576">
        <f>AQ23*'R&amp;S - Transportation'!$H$4/SUM('R&amp;S - Transportation'!$G$4:$I$4)</f>
        <v>155875.20277455306</v>
      </c>
      <c r="AR25" s="576">
        <f>AR23*'R&amp;S - Transportation'!$H$4/SUM('R&amp;S - Transportation'!$G$4:$I$4)</f>
        <v>154686.60824142533</v>
      </c>
      <c r="AS25" s="576">
        <f>AS23*'R&amp;S - Transportation'!$H$4/SUM('R&amp;S - Transportation'!$G$4:$I$4)</f>
        <v>153505.31323368193</v>
      </c>
      <c r="AT25" s="576">
        <f>AT23*'R&amp;S - Transportation'!$H$4/SUM('R&amp;S - Transportation'!$G$4:$I$4)</f>
        <v>152331.28493832442</v>
      </c>
      <c r="AU25" s="576">
        <f>AU23*'R&amp;S - Transportation'!$H$4/SUM('R&amp;S - Transportation'!$G$4:$I$4)</f>
        <v>150764.47836967948</v>
      </c>
      <c r="AV25" s="576">
        <f>AV23*'R&amp;S - Transportation'!$H$4/SUM('R&amp;S - Transportation'!$G$4:$I$4)</f>
        <v>149199.72175319475</v>
      </c>
      <c r="AW25" s="576">
        <f>AW23*'R&amp;S - Transportation'!$H$4/SUM('R&amp;S - Transportation'!$G$4:$I$4)</f>
        <v>147637.14439427841</v>
      </c>
      <c r="AX25" s="576">
        <f>AX23*'R&amp;S - Transportation'!$H$4/SUM('R&amp;S - Transportation'!$G$4:$I$4)</f>
        <v>146076.87315725119</v>
      </c>
      <c r="AY25" s="576">
        <f>AY23*'R&amp;S - Transportation'!$H$4/SUM('R&amp;S - Transportation'!$G$4:$I$4)</f>
        <v>144519.03249664218</v>
      </c>
      <c r="AZ25" s="576">
        <f>AZ23*'R&amp;S - Transportation'!$H$4/SUM('R&amp;S - Transportation'!$G$4:$I$4)</f>
        <v>142963.74448814389</v>
      </c>
      <c r="BA25" s="576">
        <f>BA23*'R&amp;S - Transportation'!$H$4/SUM('R&amp;S - Transportation'!$G$4:$I$4)</f>
        <v>141411.12885922921</v>
      </c>
      <c r="BB25" s="576">
        <f>BB23*'R&amp;S - Transportation'!$H$4/SUM('R&amp;S - Transportation'!$G$4:$I$4)</f>
        <v>139861.30301943477</v>
      </c>
      <c r="BC25" s="576">
        <f>BC23*'R&amp;S - Transportation'!$H$4/SUM('R&amp;S - Transportation'!$G$4:$I$4)</f>
        <v>138314.38209031281</v>
      </c>
      <c r="BD25" s="576">
        <f>BD23*'R&amp;S - Transportation'!$H$4/SUM('R&amp;S - Transportation'!$G$4:$I$4)</f>
        <v>136770.47893505538</v>
      </c>
      <c r="BE25" s="576">
        <f>BE23*'R&amp;S - Transportation'!$H$4/SUM('R&amp;S - Transportation'!$G$4:$I$4)</f>
        <v>133741.18370476557</v>
      </c>
      <c r="BF25" s="576">
        <f>BF23*'R&amp;S - Transportation'!$H$4/SUM('R&amp;S - Transportation'!$G$4:$I$4)</f>
        <v>130733.2152221477</v>
      </c>
      <c r="BG25" s="576">
        <f>BG23*'R&amp;S - Transportation'!$H$4/SUM('R&amp;S - Transportation'!$G$4:$I$4)</f>
        <v>127746.51750737458</v>
      </c>
      <c r="BH25" s="576">
        <f>BH23*'R&amp;S - Transportation'!$H$4/SUM('R&amp;S - Transportation'!$G$4:$I$4)</f>
        <v>124781.03370380205</v>
      </c>
      <c r="BI25" s="576">
        <f>BI23*'R&amp;S - Transportation'!$H$4/SUM('R&amp;S - Transportation'!$G$4:$I$4)</f>
        <v>121836.70609700443</v>
      </c>
      <c r="BJ25" s="576">
        <f>BJ23*'R&amp;S - Transportation'!$H$4/SUM('R&amp;S - Transportation'!$G$4:$I$4)</f>
        <v>118913.47613356021</v>
      </c>
      <c r="BK25" s="576">
        <f>BK23*'R&amp;S - Transportation'!$H$4/SUM('R&amp;S - Transportation'!$G$4:$I$4)</f>
        <v>116011.28443959098</v>
      </c>
      <c r="BL25" s="576">
        <f>BL23*'R&amp;S - Transportation'!$H$4/SUM('R&amp;S - Transportation'!$G$4:$I$4)</f>
        <v>113130.07083905564</v>
      </c>
      <c r="BM25" s="576">
        <f>BM23*'R&amp;S - Transportation'!$H$4/SUM('R&amp;S - Transportation'!$G$4:$I$4)</f>
        <v>110269.77437180365</v>
      </c>
      <c r="BN25" s="576">
        <f>BN23*'R&amp;S - Transportation'!$H$4/SUM('R&amp;S - Transportation'!$G$4:$I$4)</f>
        <v>107430.33331138889</v>
      </c>
    </row>
    <row r="26" spans="1:90" s="62" customFormat="1" outlineLevel="1">
      <c r="A26" s="604"/>
      <c r="B26" s="58" t="s">
        <v>1170</v>
      </c>
      <c r="C26" s="233" t="s">
        <v>1420</v>
      </c>
      <c r="D26" s="579">
        <f>D23*'R&amp;S - Transportation'!$I$4/SUM('R&amp;S - Transportation'!$G$4:$I$4)</f>
        <v>474719.77116129483</v>
      </c>
      <c r="E26" s="579">
        <f>E23*'R&amp;S - Transportation'!$I$4/SUM('R&amp;S - Transportation'!$G$4:$I$4)</f>
        <v>469861.93217907281</v>
      </c>
      <c r="F26" s="579">
        <f>F23*'R&amp;S - Transportation'!$I$4/SUM('R&amp;S - Transportation'!$G$4:$I$4)</f>
        <v>465038.24242185423</v>
      </c>
      <c r="G26" s="579">
        <f>G23*'R&amp;S - Transportation'!$I$4/SUM('R&amp;S - Transportation'!$G$4:$I$4)</f>
        <v>460248.53123177332</v>
      </c>
      <c r="H26" s="579">
        <f>H23*'R&amp;S - Transportation'!$I$4/SUM('R&amp;S - Transportation'!$G$4:$I$4)</f>
        <v>455492.62821319595</v>
      </c>
      <c r="I26" s="579">
        <f>I23*'R&amp;S - Transportation'!$I$4/SUM('R&amp;S - Transportation'!$G$4:$I$4)</f>
        <v>450770.36324037035</v>
      </c>
      <c r="J26" s="579">
        <f>J23*'R&amp;S - Transportation'!$I$4/SUM('R&amp;S - Transportation'!$G$4:$I$4)</f>
        <v>446081.56646494125</v>
      </c>
      <c r="K26" s="579">
        <f>K23*'R&amp;S - Transportation'!$I$4/SUM('R&amp;S - Transportation'!$G$4:$I$4)</f>
        <v>441426.0683233228</v>
      </c>
      <c r="L26" s="579">
        <f>L23*'R&amp;S - Transportation'!$I$4/SUM('R&amp;S - Transportation'!$G$4:$I$4)</f>
        <v>436803.69954393915</v>
      </c>
      <c r="M26" s="579">
        <f>M23*'R&amp;S - Transportation'!$I$4/SUM('R&amp;S - Transportation'!$G$4:$I$4)</f>
        <v>432214.29115432926</v>
      </c>
      <c r="N26" s="579">
        <f>N23*'R&amp;S - Transportation'!$I$4/SUM('R&amp;S - Transportation'!$G$4:$I$4)</f>
        <v>427657.67448811833</v>
      </c>
      <c r="O26" s="579">
        <f>O23*'R&amp;S - Transportation'!$I$4/SUM('R&amp;S - Transportation'!$G$4:$I$4)</f>
        <v>419503.06024373817</v>
      </c>
      <c r="P26" s="579">
        <f>P23*'R&amp;S - Transportation'!$I$4/SUM('R&amp;S - Transportation'!$G$4:$I$4)</f>
        <v>411369.23201401986</v>
      </c>
      <c r="Q26" s="579">
        <f>Q23*'R&amp;S - Transportation'!$I$4/SUM('R&amp;S - Transportation'!$G$4:$I$4)</f>
        <v>403256.7721618432</v>
      </c>
      <c r="R26" s="579">
        <f>R23*'R&amp;S - Transportation'!$I$4/SUM('R&amp;S - Transportation'!$G$4:$I$4)</f>
        <v>395166.25078395952</v>
      </c>
      <c r="S26" s="579">
        <f>S23*'R&amp;S - Transportation'!$I$4/SUM('R&amp;S - Transportation'!$G$4:$I$4)</f>
        <v>387098.22587435768</v>
      </c>
      <c r="T26" s="579">
        <f>T23*'R&amp;S - Transportation'!$I$4/SUM('R&amp;S - Transportation'!$G$4:$I$4)</f>
        <v>379053.24348581384</v>
      </c>
      <c r="U26" s="579">
        <f>U23*'R&amp;S - Transportation'!$I$4/SUM('R&amp;S - Transportation'!$G$4:$I$4)</f>
        <v>371031.83788964106</v>
      </c>
      <c r="V26" s="579">
        <f>V23*'R&amp;S - Transportation'!$I$4/SUM('R&amp;S - Transportation'!$G$4:$I$4)</f>
        <v>363034.5317336584</v>
      </c>
      <c r="W26" s="579">
        <f>W23*'R&amp;S - Transportation'!$I$4/SUM('R&amp;S - Transportation'!$G$4:$I$4)</f>
        <v>355061.83619839733</v>
      </c>
      <c r="X26" s="579">
        <f>X23*'R&amp;S - Transportation'!$I$4/SUM('R&amp;S - Transportation'!$G$4:$I$4)</f>
        <v>347114.25115156185</v>
      </c>
      <c r="Y26" s="579">
        <f>Y23*'R&amp;S - Transportation'!$I$4/SUM('R&amp;S - Transportation'!$G$4:$I$4)</f>
        <v>331417.82414492243</v>
      </c>
      <c r="Z26" s="579">
        <f>Z23*'R&amp;S - Transportation'!$I$4/SUM('R&amp;S - Transportation'!$G$4:$I$4)</f>
        <v>315840.69205903809</v>
      </c>
      <c r="AA26" s="579">
        <f>AA23*'R&amp;S - Transportation'!$I$4/SUM('R&amp;S - Transportation'!$G$4:$I$4)</f>
        <v>300382.5003165293</v>
      </c>
      <c r="AB26" s="579">
        <f>AB23*'R&amp;S - Transportation'!$I$4/SUM('R&amp;S - Transportation'!$G$4:$I$4)</f>
        <v>285042.88988601073</v>
      </c>
      <c r="AC26" s="579">
        <f>AC23*'R&amp;S - Transportation'!$I$4/SUM('R&amp;S - Transportation'!$G$4:$I$4)</f>
        <v>269821.49738514132</v>
      </c>
      <c r="AD26" s="579">
        <f>AD23*'R&amp;S - Transportation'!$I$4/SUM('R&amp;S - Transportation'!$G$4:$I$4)</f>
        <v>254717.9551822982</v>
      </c>
      <c r="AE26" s="579">
        <f>AE23*'R&amp;S - Transportation'!$I$4/SUM('R&amp;S - Transportation'!$G$4:$I$4)</f>
        <v>239731.8914968895</v>
      </c>
      <c r="AF26" s="579">
        <f>AF23*'R&amp;S - Transportation'!$I$4/SUM('R&amp;S - Transportation'!$G$4:$I$4)</f>
        <v>224862.93049832049</v>
      </c>
      <c r="AG26" s="579">
        <f>AG23*'R&amp;S - Transportation'!$I$4/SUM('R&amp;S - Transportation'!$G$4:$I$4)</f>
        <v>210110.69240362942</v>
      </c>
      <c r="AH26" s="579">
        <f>AH23*'R&amp;S - Transportation'!$I$4/SUM('R&amp;S - Transportation'!$G$4:$I$4)</f>
        <v>195474.79357380574</v>
      </c>
      <c r="AI26" s="579"/>
      <c r="AJ26" s="579">
        <f>AJ23*'R&amp;S - Transportation'!$I$4/SUM('R&amp;S - Transportation'!$G$4:$I$4)</f>
        <v>474719.77116129483</v>
      </c>
      <c r="AK26" s="579">
        <f>AK23*'R&amp;S - Transportation'!$I$4/SUM('R&amp;S - Transportation'!$G$4:$I$4)</f>
        <v>471137.44717694481</v>
      </c>
      <c r="AL26" s="579">
        <f>AL23*'R&amp;S - Transportation'!$I$4/SUM('R&amp;S - Transportation'!$G$4:$I$4)</f>
        <v>467576.86606629216</v>
      </c>
      <c r="AM26" s="579">
        <f>AM23*'R&amp;S - Transportation'!$I$4/SUM('R&amp;S - Transportation'!$G$4:$I$4)</f>
        <v>464037.93263752386</v>
      </c>
      <c r="AN26" s="579">
        <f>AN23*'R&amp;S - Transportation'!$I$4/SUM('R&amp;S - Transportation'!$G$4:$I$4)</f>
        <v>460520.55174621154</v>
      </c>
      <c r="AO26" s="579">
        <f>AO23*'R&amp;S - Transportation'!$I$4/SUM('R&amp;S - Transportation'!$G$4:$I$4)</f>
        <v>457024.62830074556</v>
      </c>
      <c r="AP26" s="579">
        <f>AP23*'R&amp;S - Transportation'!$I$4/SUM('R&amp;S - Transportation'!$G$4:$I$4)</f>
        <v>453550.06726768211</v>
      </c>
      <c r="AQ26" s="579">
        <f>AQ23*'R&amp;S - Transportation'!$I$4/SUM('R&amp;S - Transportation'!$G$4:$I$4)</f>
        <v>450096.77367700264</v>
      </c>
      <c r="AR26" s="579">
        <f>AR23*'R&amp;S - Transportation'!$I$4/SUM('R&amp;S - Transportation'!$G$4:$I$4)</f>
        <v>446664.65262728906</v>
      </c>
      <c r="AS26" s="579">
        <f>AS23*'R&amp;S - Transportation'!$I$4/SUM('R&amp;S - Transportation'!$G$4:$I$4)</f>
        <v>443253.60929081263</v>
      </c>
      <c r="AT26" s="579">
        <f>AT23*'R&amp;S - Transportation'!$I$4/SUM('R&amp;S - Transportation'!$G$4:$I$4)</f>
        <v>439863.5489185403</v>
      </c>
      <c r="AU26" s="579">
        <f>AU23*'R&amp;S - Transportation'!$I$4/SUM('R&amp;S - Transportation'!$G$4:$I$4)</f>
        <v>435339.32332671864</v>
      </c>
      <c r="AV26" s="579">
        <f>AV23*'R&amp;S - Transportation'!$I$4/SUM('R&amp;S - Transportation'!$G$4:$I$4)</f>
        <v>430821.01706547086</v>
      </c>
      <c r="AW26" s="579">
        <f>AW23*'R&amp;S - Transportation'!$I$4/SUM('R&amp;S - Transportation'!$G$4:$I$4)</f>
        <v>426309.00351007428</v>
      </c>
      <c r="AX26" s="579">
        <f>AX23*'R&amp;S - Transportation'!$I$4/SUM('R&amp;S - Transportation'!$G$4:$I$4)</f>
        <v>421803.64898705442</v>
      </c>
      <c r="AY26" s="579">
        <f>AY23*'R&amp;S - Transportation'!$I$4/SUM('R&amp;S - Transportation'!$G$4:$I$4)</f>
        <v>417305.31286455318</v>
      </c>
      <c r="AZ26" s="579">
        <f>AZ23*'R&amp;S - Transportation'!$I$4/SUM('R&amp;S - Transportation'!$G$4:$I$4)</f>
        <v>412814.34764171339</v>
      </c>
      <c r="BA26" s="579">
        <f>BA23*'R&amp;S - Transportation'!$I$4/SUM('R&amp;S - Transportation'!$G$4:$I$4)</f>
        <v>408331.0990370863</v>
      </c>
      <c r="BB26" s="579">
        <f>BB23*'R&amp;S - Transportation'!$I$4/SUM('R&amp;S - Transportation'!$G$4:$I$4)</f>
        <v>403855.90607607609</v>
      </c>
      <c r="BC26" s="579">
        <f>BC23*'R&amp;S - Transportation'!$I$4/SUM('R&amp;S - Transportation'!$G$4:$I$4)</f>
        <v>399389.10117742739</v>
      </c>
      <c r="BD26" s="579">
        <f>BD23*'R&amp;S - Transportation'!$I$4/SUM('R&amp;S - Transportation'!$G$4:$I$4)</f>
        <v>394931.01023876679</v>
      </c>
      <c r="BE26" s="579">
        <f>BE23*'R&amp;S - Transportation'!$I$4/SUM('R&amp;S - Transportation'!$G$4:$I$4)</f>
        <v>386183.78178036597</v>
      </c>
      <c r="BF26" s="579">
        <f>BF23*'R&amp;S - Transportation'!$I$4/SUM('R&amp;S - Transportation'!$G$4:$I$4)</f>
        <v>377498.13528079691</v>
      </c>
      <c r="BG26" s="579">
        <f>BG23*'R&amp;S - Transportation'!$I$4/SUM('R&amp;S - Transportation'!$G$4:$I$4)</f>
        <v>368873.90909574961</v>
      </c>
      <c r="BH26" s="579">
        <f>BH23*'R&amp;S - Transportation'!$I$4/SUM('R&amp;S - Transportation'!$G$4:$I$4)</f>
        <v>360310.93904906494</v>
      </c>
      <c r="BI26" s="579">
        <f>BI23*'R&amp;S - Transportation'!$I$4/SUM('R&amp;S - Transportation'!$G$4:$I$4)</f>
        <v>351809.0584877003</v>
      </c>
      <c r="BJ26" s="579">
        <f>BJ23*'R&amp;S - Transportation'!$I$4/SUM('R&amp;S - Transportation'!$G$4:$I$4)</f>
        <v>343368.09833597456</v>
      </c>
      <c r="BK26" s="579">
        <f>BK23*'R&amp;S - Transportation'!$I$4/SUM('R&amp;S - Transportation'!$G$4:$I$4)</f>
        <v>334987.88714909938</v>
      </c>
      <c r="BL26" s="579">
        <f>BL23*'R&amp;S - Transportation'!$I$4/SUM('R&amp;S - Transportation'!$G$4:$I$4)</f>
        <v>326668.25116600527</v>
      </c>
      <c r="BM26" s="579">
        <f>BM23*'R&amp;S - Transportation'!$I$4/SUM('R&amp;S - Transportation'!$G$4:$I$4)</f>
        <v>318409.01436147082</v>
      </c>
      <c r="BN26" s="579">
        <f>BN23*'R&amp;S - Transportation'!$I$4/SUM('R&amp;S - Transportation'!$G$4:$I$4)</f>
        <v>310209.99849756126</v>
      </c>
      <c r="BQ26" s="623"/>
      <c r="BR26" s="623"/>
      <c r="BS26" s="623"/>
      <c r="BT26" s="623"/>
      <c r="BU26" s="623"/>
      <c r="BV26" s="623"/>
      <c r="BW26" s="623"/>
      <c r="BX26" s="623"/>
      <c r="BY26" s="623"/>
      <c r="BZ26" s="623"/>
      <c r="CA26" s="623"/>
      <c r="CB26" s="623"/>
      <c r="CC26" s="623"/>
      <c r="CD26" s="623"/>
      <c r="CE26" s="623"/>
      <c r="CF26" s="623"/>
      <c r="CG26" s="623"/>
      <c r="CH26" s="623"/>
      <c r="CI26" s="623"/>
      <c r="CJ26" s="623"/>
      <c r="CK26" s="623"/>
      <c r="CL26" s="623"/>
    </row>
    <row r="27" spans="1:90" s="1" customFormat="1" outlineLevel="1">
      <c r="A27" s="1" t="s">
        <v>385</v>
      </c>
      <c r="B27" s="1" t="s">
        <v>179</v>
      </c>
      <c r="C27" s="60" t="s">
        <v>1420</v>
      </c>
      <c r="D27" s="520">
        <f>SUM('R&amp;S - Packaging and hh goods'!L4:N4)</f>
        <v>2886020.8424498597</v>
      </c>
      <c r="E27" s="520">
        <f>D27*(1+'R&amp;S - Packaging and hh goods'!$E$5)</f>
        <v>2866264.2533941707</v>
      </c>
      <c r="F27" s="520">
        <f>E27*(1+'R&amp;S - Packaging and hh goods'!$E$5)</f>
        <v>2846642.910351045</v>
      </c>
      <c r="G27" s="520">
        <f>F27*(1+'R&amp;S - Packaging and hh goods'!$E$5)</f>
        <v>2827155.8874782803</v>
      </c>
      <c r="H27" s="520">
        <f>G27*(1+'R&amp;S - Packaging and hh goods'!$E$5)</f>
        <v>2807802.2652716348</v>
      </c>
      <c r="I27" s="520">
        <f>H27*(1+'R&amp;S - Packaging and hh goods'!$E$5)</f>
        <v>2788581.1305214386</v>
      </c>
      <c r="J27" s="520">
        <f>I27*(1+'R&amp;S - Packaging and hh goods'!$E$5)</f>
        <v>2769491.5762695041</v>
      </c>
      <c r="K27" s="520">
        <f>J27*(1+'R&amp;S - Packaging and hh goods'!$E$5)</f>
        <v>2750532.7017663312</v>
      </c>
      <c r="L27" s="520">
        <f>K27*(1+'R&amp;S - Packaging and hh goods'!$E$5)</f>
        <v>2731703.6124286042</v>
      </c>
      <c r="M27" s="520">
        <f>L27*(1+'R&amp;S - Packaging and hh goods'!$E$5)</f>
        <v>2713003.4197969805</v>
      </c>
      <c r="N27" s="520">
        <f>M27*(1+'R&amp;S - Packaging and hh goods'!$E$5)</f>
        <v>2694431.2414941695</v>
      </c>
      <c r="O27" s="584">
        <f>N27*(1+'R&amp;S - Packaging and hh goods'!$E$5)</f>
        <v>2675986.2011832953</v>
      </c>
      <c r="P27" s="520">
        <f>O27*(1+'R&amp;S - Packaging and hh goods'!$E$5)</f>
        <v>2657667.4285265482</v>
      </c>
      <c r="Q27" s="520">
        <f>P27*(1+'R&amp;S - Packaging and hh goods'!$E$5)</f>
        <v>2639474.059144116</v>
      </c>
      <c r="R27" s="520">
        <f>Q27*(1+'R&amp;S - Packaging and hh goods'!$E$5)</f>
        <v>2621405.2345733983</v>
      </c>
      <c r="S27" s="520">
        <f>R27*(1+'R&amp;S - Packaging and hh goods'!$E$5)</f>
        <v>2603460.1022284995</v>
      </c>
      <c r="T27" s="520">
        <f>S27*(1+'R&amp;S - Packaging and hh goods'!$E$5)</f>
        <v>2585637.8153599999</v>
      </c>
      <c r="U27" s="520">
        <f>T27*(1+'R&amp;S - Packaging and hh goods'!$E$5)</f>
        <v>2567937.5330150002</v>
      </c>
      <c r="V27" s="520">
        <f>U27*(1+'R&amp;S - Packaging and hh goods'!$E$5)</f>
        <v>2550358.4199974411</v>
      </c>
      <c r="W27" s="520">
        <f>V27*(1+'R&amp;S - Packaging and hh goods'!$E$5)</f>
        <v>2532899.6468286952</v>
      </c>
      <c r="X27" s="520">
        <f>W27*(1+'R&amp;S - Packaging and hh goods'!$E$5)</f>
        <v>2515560.3897084258</v>
      </c>
      <c r="Y27" s="584">
        <f>X27*(1+'R&amp;S - Packaging and hh goods'!$E$5)</f>
        <v>2498339.8304757178</v>
      </c>
      <c r="Z27" s="520">
        <f>Y27*(1+'R&amp;S - Packaging and hh goods'!$E$5)</f>
        <v>2481237.15657047</v>
      </c>
      <c r="AA27" s="520">
        <f>Z27*(1+'R&amp;S - Packaging and hh goods'!$E$5)</f>
        <v>2464251.5609950558</v>
      </c>
      <c r="AB27" s="520">
        <f>AA27*(1+'R&amp;S - Packaging and hh goods'!$E$5)</f>
        <v>2447382.2422762443</v>
      </c>
      <c r="AC27" s="520">
        <f>AB27*(1+'R&amp;S - Packaging and hh goods'!$E$5)</f>
        <v>2430628.4044273817</v>
      </c>
      <c r="AD27" s="520">
        <f>AC27*(1+'R&amp;S - Packaging and hh goods'!$E$5)</f>
        <v>2413989.2569108331</v>
      </c>
      <c r="AE27" s="520">
        <f>AD27*(1+'R&amp;S - Packaging and hh goods'!$E$5)</f>
        <v>2397464.0146006802</v>
      </c>
      <c r="AF27" s="520">
        <f>AE27*(1+'R&amp;S - Packaging and hh goods'!$E$5)</f>
        <v>2381051.8977456749</v>
      </c>
      <c r="AG27" s="520">
        <f>AF27*(1+'R&amp;S - Packaging and hh goods'!$E$5)</f>
        <v>2364752.1319324463</v>
      </c>
      <c r="AH27" s="520">
        <f>AG27*(1+'R&amp;S - Packaging and hh goods'!$E$5)</f>
        <v>2348563.9480489595</v>
      </c>
      <c r="AI27" s="573"/>
      <c r="AJ27" s="520">
        <f>D27</f>
        <v>2886020.8424498597</v>
      </c>
      <c r="AK27" s="520">
        <f t="shared" ref="AK27:BN27" si="21">E27</f>
        <v>2866264.2533941707</v>
      </c>
      <c r="AL27" s="520">
        <f t="shared" si="21"/>
        <v>2846642.910351045</v>
      </c>
      <c r="AM27" s="520">
        <f t="shared" si="21"/>
        <v>2827155.8874782803</v>
      </c>
      <c r="AN27" s="520">
        <f t="shared" si="21"/>
        <v>2807802.2652716348</v>
      </c>
      <c r="AO27" s="520">
        <f t="shared" si="21"/>
        <v>2788581.1305214386</v>
      </c>
      <c r="AP27" s="520">
        <f t="shared" si="21"/>
        <v>2769491.5762695041</v>
      </c>
      <c r="AQ27" s="520">
        <f t="shared" si="21"/>
        <v>2750532.7017663312</v>
      </c>
      <c r="AR27" s="520">
        <f t="shared" si="21"/>
        <v>2731703.6124286042</v>
      </c>
      <c r="AS27" s="520">
        <f t="shared" si="21"/>
        <v>2713003.4197969805</v>
      </c>
      <c r="AT27" s="520">
        <f t="shared" si="21"/>
        <v>2694431.2414941695</v>
      </c>
      <c r="AU27" s="520">
        <f t="shared" si="21"/>
        <v>2675986.2011832953</v>
      </c>
      <c r="AV27" s="520">
        <f t="shared" si="21"/>
        <v>2657667.4285265482</v>
      </c>
      <c r="AW27" s="520">
        <f t="shared" si="21"/>
        <v>2639474.059144116</v>
      </c>
      <c r="AX27" s="520">
        <f t="shared" si="21"/>
        <v>2621405.2345733983</v>
      </c>
      <c r="AY27" s="520">
        <f t="shared" si="21"/>
        <v>2603460.1022284995</v>
      </c>
      <c r="AZ27" s="520">
        <f t="shared" si="21"/>
        <v>2585637.8153599999</v>
      </c>
      <c r="BA27" s="520">
        <f t="shared" si="21"/>
        <v>2567937.5330150002</v>
      </c>
      <c r="BB27" s="520">
        <f t="shared" si="21"/>
        <v>2550358.4199974411</v>
      </c>
      <c r="BC27" s="520">
        <f t="shared" si="21"/>
        <v>2532899.6468286952</v>
      </c>
      <c r="BD27" s="520">
        <f t="shared" si="21"/>
        <v>2515560.3897084258</v>
      </c>
      <c r="BE27" s="520">
        <f t="shared" si="21"/>
        <v>2498339.8304757178</v>
      </c>
      <c r="BF27" s="520">
        <f t="shared" si="21"/>
        <v>2481237.15657047</v>
      </c>
      <c r="BG27" s="520">
        <f t="shared" si="21"/>
        <v>2464251.5609950558</v>
      </c>
      <c r="BH27" s="520">
        <f t="shared" si="21"/>
        <v>2447382.2422762443</v>
      </c>
      <c r="BI27" s="520">
        <f t="shared" si="21"/>
        <v>2430628.4044273817</v>
      </c>
      <c r="BJ27" s="520">
        <f t="shared" si="21"/>
        <v>2413989.2569108331</v>
      </c>
      <c r="BK27" s="520">
        <f t="shared" si="21"/>
        <v>2397464.0146006802</v>
      </c>
      <c r="BL27" s="520">
        <f t="shared" si="21"/>
        <v>2381051.8977456749</v>
      </c>
      <c r="BM27" s="520">
        <f t="shared" si="21"/>
        <v>2364752.1319324463</v>
      </c>
      <c r="BN27" s="520">
        <f t="shared" si="21"/>
        <v>2348563.9480489595</v>
      </c>
      <c r="BQ27" s="625"/>
      <c r="BR27" s="640"/>
      <c r="BS27" s="640"/>
      <c r="BT27" s="625"/>
      <c r="BU27" s="625"/>
      <c r="BV27" s="625"/>
      <c r="BW27" s="625"/>
      <c r="BX27" s="625"/>
      <c r="BY27" s="625"/>
      <c r="BZ27" s="625"/>
      <c r="CA27" s="625"/>
      <c r="CB27" s="625"/>
      <c r="CC27" s="625"/>
      <c r="CD27" s="625"/>
      <c r="CE27" s="625"/>
      <c r="CF27" s="625"/>
      <c r="CG27" s="625"/>
      <c r="CH27" s="625"/>
      <c r="CI27" s="625"/>
      <c r="CJ27" s="625"/>
      <c r="CK27" s="625"/>
      <c r="CL27" s="625"/>
    </row>
    <row r="28" spans="1:90" outlineLevel="1">
      <c r="B28" s="57" t="s">
        <v>146</v>
      </c>
      <c r="C28" s="50" t="s">
        <v>1420</v>
      </c>
      <c r="D28" s="99">
        <v>0</v>
      </c>
      <c r="E28" s="99">
        <f>E27*'R&amp;S - Packaging and hh goods'!$L$4/SUM('R&amp;S - Packaging and hh goods'!$L$4:$N$4)*'R&amp;S - Packaging and hh goods'!$E$7*('R&amp;S - Packaging and hh goods'!$H$14*'R&amp;S - Packaging and hh goods'!$Z$19*(E$3-$D$3)/10)+E27*'R&amp;S - Packaging and hh goods'!$M$4/SUM('R&amp;S - Packaging and hh goods'!$L$4:$N$4)*'R&amp;S - Packaging and hh goods'!$F$7*('R&amp;S - Packaging and hh goods'!$J$14*'R&amp;S - Packaging and hh goods'!$AE$19*(E$3-$D$3)/10)+E27*'R&amp;S - Packaging and hh goods'!$N$4/SUM('R&amp;S - Packaging and hh goods'!$L$4:$N$4)*'R&amp;S - Packaging and hh goods'!$G$7*('R&amp;S - Packaging and hh goods'!$L$14*'R&amp;S - Packaging and hh goods'!$AJ$19*(E$3-$D$3)/10)</f>
        <v>4028.8140604151813</v>
      </c>
      <c r="F28" s="99">
        <f>F27*'R&amp;S - Packaging and hh goods'!$L$4/SUM('R&amp;S - Packaging and hh goods'!$L$4:$N$4)*'R&amp;S - Packaging and hh goods'!$E$7*('R&amp;S - Packaging and hh goods'!$H$14*'R&amp;S - Packaging and hh goods'!$Z$19*(F$3-$D$3)/10)+F27*'R&amp;S - Packaging and hh goods'!$M$4/SUM('R&amp;S - Packaging and hh goods'!$L$4:$N$4)*'R&amp;S - Packaging and hh goods'!$F$7*('R&amp;S - Packaging and hh goods'!$J$14*'R&amp;S - Packaging and hh goods'!$AE$19*(F$3-$D$3)/10)+F27*'R&amp;S - Packaging and hh goods'!$N$4/SUM('R&amp;S - Packaging and hh goods'!$L$4:$N$4)*'R&amp;S - Packaging and hh goods'!$G$7*('R&amp;S - Packaging and hh goods'!$L$14*'R&amp;S - Packaging and hh goods'!$AJ$19*(F$3-$D$3)/10)</f>
        <v>8002.4686967523048</v>
      </c>
      <c r="G28" s="99">
        <f>G27*'R&amp;S - Packaging and hh goods'!$L$4/SUM('R&amp;S - Packaging and hh goods'!$L$4:$N$4)*'R&amp;S - Packaging and hh goods'!$E$7*('R&amp;S - Packaging and hh goods'!$H$14*'R&amp;S - Packaging and hh goods'!$Z$19*(G$3-$D$3)/10)+G27*'R&amp;S - Packaging and hh goods'!$M$4/SUM('R&amp;S - Packaging and hh goods'!$L$4:$N$4)*'R&amp;S - Packaging and hh goods'!$F$7*('R&amp;S - Packaging and hh goods'!$J$14*'R&amp;S - Packaging and hh goods'!$AE$19*(G$3-$D$3)/10)+G27*'R&amp;S - Packaging and hh goods'!$N$4/SUM('R&amp;S - Packaging and hh goods'!$L$4:$N$4)*'R&amp;S - Packaging and hh goods'!$G$7*('R&amp;S - Packaging and hh goods'!$L$14*'R&amp;S - Packaging and hh goods'!$AJ$19*(G$3-$D$3)/10)</f>
        <v>11921.530309325271</v>
      </c>
      <c r="H28" s="99">
        <f>H27*'R&amp;S - Packaging and hh goods'!$L$4/SUM('R&amp;S - Packaging and hh goods'!$L$4:$N$4)*'R&amp;S - Packaging and hh goods'!$E$7*('R&amp;S - Packaging and hh goods'!$H$14*'R&amp;S - Packaging and hh goods'!$Z$19*(H$3-$D$3)/10)+H27*'R&amp;S - Packaging and hh goods'!$M$4/SUM('R&amp;S - Packaging and hh goods'!$L$4:$N$4)*'R&amp;S - Packaging and hh goods'!$F$7*('R&amp;S - Packaging and hh goods'!$J$14*'R&amp;S - Packaging and hh goods'!$AE$19*(H$3-$D$3)/10)+H27*'R&amp;S - Packaging and hh goods'!$N$4/SUM('R&amp;S - Packaging and hh goods'!$L$4:$N$4)*'R&amp;S - Packaging and hh goods'!$G$7*('R&amp;S - Packaging and hh goods'!$L$14*'R&amp;S - Packaging and hh goods'!$AJ$19*(H$3-$D$3)/10)</f>
        <v>15786.560128636276</v>
      </c>
      <c r="I28" s="99">
        <f>I27*'R&amp;S - Packaging and hh goods'!$L$4/SUM('R&amp;S - Packaging and hh goods'!$L$4:$N$4)*'R&amp;S - Packaging and hh goods'!$E$7*('R&amp;S - Packaging and hh goods'!$H$14*'R&amp;S - Packaging and hh goods'!$Z$19*(I$3-$D$3)/10)+I27*'R&amp;S - Packaging and hh goods'!$M$4/SUM('R&amp;S - Packaging and hh goods'!$L$4:$N$4)*'R&amp;S - Packaging and hh goods'!$F$7*('R&amp;S - Packaging and hh goods'!$J$14*'R&amp;S - Packaging and hh goods'!$AE$19*(I$3-$D$3)/10)+I27*'R&amp;S - Packaging and hh goods'!$N$4/SUM('R&amp;S - Packaging and hh goods'!$L$4:$N$4)*'R&amp;S - Packaging and hh goods'!$G$7*('R&amp;S - Packaging and hh goods'!$L$14*'R&amp;S - Packaging and hh goods'!$AJ$19*(I$3-$D$3)/10)</f>
        <v>19598.114259613998</v>
      </c>
      <c r="J28" s="99">
        <f>J27*'R&amp;S - Packaging and hh goods'!$L$4/SUM('R&amp;S - Packaging and hh goods'!$L$4:$N$4)*'R&amp;S - Packaging and hh goods'!$E$7*('R&amp;S - Packaging and hh goods'!$H$14*'R&amp;S - Packaging and hh goods'!$Z$19*(J$3-$D$3)/10)+J27*'R&amp;S - Packaging and hh goods'!$M$4/SUM('R&amp;S - Packaging and hh goods'!$L$4:$N$4)*'R&amp;S - Packaging and hh goods'!$F$7*('R&amp;S - Packaging and hh goods'!$J$14*'R&amp;S - Packaging and hh goods'!$AE$19*(J$3-$D$3)/10)+J27*'R&amp;S - Packaging and hh goods'!$N$4/SUM('R&amp;S - Packaging and hh goods'!$L$4:$N$4)*'R&amp;S - Packaging and hh goods'!$G$7*('R&amp;S - Packaging and hh goods'!$L$14*'R&amp;S - Packaging and hh goods'!$AJ$19*(J$3-$D$3)/10)</f>
        <v>23356.74372548837</v>
      </c>
      <c r="K28" s="99">
        <f>K27*'R&amp;S - Packaging and hh goods'!$L$4/SUM('R&amp;S - Packaging and hh goods'!$L$4:$N$4)*'R&amp;S - Packaging and hh goods'!$E$7*('R&amp;S - Packaging and hh goods'!$H$14*'R&amp;S - Packaging and hh goods'!$Z$19*(K$3-$D$3)/10)+K27*'R&amp;S - Packaging and hh goods'!$M$4/SUM('R&amp;S - Packaging and hh goods'!$L$4:$N$4)*'R&amp;S - Packaging and hh goods'!$F$7*('R&amp;S - Packaging and hh goods'!$J$14*'R&amp;S - Packaging and hh goods'!$AE$19*(K$3-$D$3)/10)+K27*'R&amp;S - Packaging and hh goods'!$N$4/SUM('R&amp;S - Packaging and hh goods'!$L$4:$N$4)*'R&amp;S - Packaging and hh goods'!$G$7*('R&amp;S - Packaging and hh goods'!$L$14*'R&amp;S - Packaging and hh goods'!$AJ$19*(K$3-$D$3)/10)</f>
        <v>27062.994511304823</v>
      </c>
      <c r="L28" s="99">
        <f>L27*'R&amp;S - Packaging and hh goods'!$L$4/SUM('R&amp;S - Packaging and hh goods'!$L$4:$N$4)*'R&amp;S - Packaging and hh goods'!$E$7*('R&amp;S - Packaging and hh goods'!$H$14*'R&amp;S - Packaging and hh goods'!$Z$19*(L$3-$D$3)/10)+L27*'R&amp;S - Packaging and hh goods'!$M$4/SUM('R&amp;S - Packaging and hh goods'!$L$4:$N$4)*'R&amp;S - Packaging and hh goods'!$F$7*('R&amp;S - Packaging and hh goods'!$J$14*'R&amp;S - Packaging and hh goods'!$AE$19*(L$3-$D$3)/10)+L27*'R&amp;S - Packaging and hh goods'!$N$4/SUM('R&amp;S - Packaging and hh goods'!$L$4:$N$4)*'R&amp;S - Packaging and hh goods'!$G$7*('R&amp;S - Packaging and hh goods'!$L$14*'R&amp;S - Packaging and hh goods'!$AJ$19*(L$3-$D$3)/10)</f>
        <v>30717.407607080997</v>
      </c>
      <c r="M28" s="99">
        <f>M27*'R&amp;S - Packaging and hh goods'!$L$4/SUM('R&amp;S - Packaging and hh goods'!$L$4:$N$4)*'R&amp;S - Packaging and hh goods'!$E$7*('R&amp;S - Packaging and hh goods'!$H$14*'R&amp;S - Packaging and hh goods'!$Z$19*(M$3-$D$3)/10)+M27*'R&amp;S - Packaging and hh goods'!$M$4/SUM('R&amp;S - Packaging and hh goods'!$L$4:$N$4)*'R&amp;S - Packaging and hh goods'!$F$7*('R&amp;S - Packaging and hh goods'!$J$14*'R&amp;S - Packaging and hh goods'!$AE$19*(M$3-$D$3)/10)+M27*'R&amp;S - Packaging and hh goods'!$N$4/SUM('R&amp;S - Packaging and hh goods'!$L$4:$N$4)*'R&amp;S - Packaging and hh goods'!$G$7*('R&amp;S - Packaging and hh goods'!$L$14*'R&amp;S - Packaging and hh goods'!$AJ$19*(M$3-$D$3)/10)</f>
        <v>34320.519050608549</v>
      </c>
      <c r="N28" s="99">
        <f>N27*'R&amp;S - Packaging and hh goods'!$L$4/SUM('R&amp;S - Packaging and hh goods'!$L$4:$N$4)*'R&amp;S - Packaging and hh goods'!$E$7*('R&amp;S - Packaging and hh goods'!$H$14*'R&amp;S - Packaging and hh goods'!$Z$19*(N$3-$D$3)/10)+N27*'R&amp;S - Packaging and hh goods'!$M$4/SUM('R&amp;S - Packaging and hh goods'!$L$4:$N$4)*'R&amp;S - Packaging and hh goods'!$F$7*('R&amp;S - Packaging and hh goods'!$J$14*'R&amp;S - Packaging and hh goods'!$AE$19*(N$3-$D$3)/10)+N27*'R&amp;S - Packaging and hh goods'!$N$4/SUM('R&amp;S - Packaging and hh goods'!$L$4:$N$4)*'R&amp;S - Packaging and hh goods'!$G$7*('R&amp;S - Packaging and hh goods'!$L$14*'R&amp;S - Packaging and hh goods'!$AJ$19*(N$3-$D$3)/10)</f>
        <v>37872.859969903155</v>
      </c>
      <c r="O28" s="588">
        <f>O27*'R&amp;S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goods'!$Z$19)*(O$3-$N$3)/10))+O27*'R&amp;S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goods'!$AE$19)*(O$3-$N$3)/10))+O27*'R&amp;S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goods'!$AJ$19)*(O$3-$N$3)/10))</f>
        <v>57756.507817556849</v>
      </c>
      <c r="P28" s="588">
        <f>P27*'R&amp;S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goods'!$Z$19)*(P$3-$N$3)/10))+P27*'R&amp;S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goods'!$AE$19)*(P$3-$N$3)/10))+P27*'R&amp;S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goods'!$AJ$19)*(P$3-$N$3)/10))</f>
        <v>77366.149233735079</v>
      </c>
      <c r="Q28" s="588">
        <f>Q27*'R&amp;S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goods'!$Z$19)*(Q$3-$N$3)/10))+Q27*'R&amp;S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goods'!$AE$19)*(Q$3-$N$3)/10))+Q27*'R&amp;S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goods'!$AJ$19)*(Q$3-$N$3)/10))</f>
        <v>96704.603907306417</v>
      </c>
      <c r="R28" s="588">
        <f>R27*'R&amp;S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goods'!$Z$19)*(R$3-$N$3)/10))+R27*'R&amp;S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goods'!$AE$19)*(R$3-$N$3)/10))+R27*'R&amp;S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goods'!$AJ$19)*(R$3-$N$3)/10))</f>
        <v>115774.66576274084</v>
      </c>
      <c r="S28" s="588">
        <f>S27*'R&amp;S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goods'!$Z$19)*(S$3-$N$3)/10))+S27*'R&amp;S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goods'!$AE$19)*(S$3-$N$3)/10))+S27*'R&amp;S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goods'!$AJ$19)*(S$3-$N$3)/10))</f>
        <v>134579.10318071872</v>
      </c>
      <c r="T28" s="588">
        <f>T27*'R&amp;S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goods'!$Z$19)*(T$3-$N$3)/10))+T27*'R&amp;S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goods'!$AE$19)*(T$3-$N$3)/10))+T27*'R&amp;S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goods'!$AJ$19)*(T$3-$N$3)/10))</f>
        <v>153120.65921692632</v>
      </c>
      <c r="U28" s="588">
        <f>U27*'R&amp;S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goods'!$Z$19)*(U$3-$N$3)/10))+U27*'R&amp;S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goods'!$AE$19)*(U$3-$N$3)/10))+U27*'R&amp;S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goods'!$AJ$19)*(U$3-$N$3)/10))</f>
        <v>171402.05181905319</v>
      </c>
      <c r="V28" s="588">
        <f>V27*'R&amp;S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goods'!$Z$19)*(V$3-$N$3)/10))+V27*'R&amp;S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goods'!$AE$19)*(V$3-$N$3)/10))+V27*'R&amp;S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goods'!$AJ$19)*(V$3-$N$3)/10))</f>
        <v>189425.97404200525</v>
      </c>
      <c r="W28" s="588">
        <f>W27*'R&amp;S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goods'!$Z$19)*(W$3-$N$3)/10))+W27*'R&amp;S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goods'!$AE$19)*(W$3-$N$3)/10))+W27*'R&amp;S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goods'!$AJ$19)*(W$3-$N$3)/10))</f>
        <v>207195.09426134793</v>
      </c>
      <c r="X28" s="588">
        <f>X27*'R&amp;S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goods'!$Z$19)*(X$3-$N$3)/10))+X27*'R&amp;S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goods'!$AE$19)*(X$3-$N$3)/10))+X27*'R&amp;S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goods'!$AJ$19)*(X$3-$N$3)/10))</f>
        <v>224712.05638499334</v>
      </c>
      <c r="Y28" s="588">
        <f>Y27*'R&amp;S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goods'!$Z$20)*(Y$3-$X$3)/10))+Y27*'R&amp;S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goods'!$AE$20)*(Y$3-$X$3)/10))+Y27*'R&amp;S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goods'!$AJ$20)*(Y$3-$X$3)/10))</f>
        <v>238032.97023421459</v>
      </c>
      <c r="Z28" s="588">
        <f>Z27*'R&amp;S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goods'!$Z$20)*(Z$3-$X$3)/10))+Z27*'R&amp;S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goods'!$AE$20)*(Z$3-$X$3)/10))+Z27*'R&amp;S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goods'!$AJ$20)*(Z$3-$X$3)/10))</f>
        <v>251160.97381648875</v>
      </c>
      <c r="AA28" s="588">
        <f>AA27*'R&amp;S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goods'!$Z$20)*(AA$3-$X$3)/10))+AA27*'R&amp;S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goods'!$AE$20)*(AA$3-$X$3)/10))+AA27*'R&amp;S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goods'!$AJ$20)*(AA$3-$X$3)/10))</f>
        <v>264098.08406016591</v>
      </c>
      <c r="AB28" s="588">
        <f>AB27*'R&amp;S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goods'!$Z$20)*(AB$3-$X$3)/10))+AB27*'R&amp;S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goods'!$AE$20)*(AB$3-$X$3)/10))+AB27*'R&amp;S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goods'!$AJ$20)*(AB$3-$X$3)/10))</f>
        <v>276846.29931961204</v>
      </c>
      <c r="AC28" s="588">
        <f>AC27*'R&amp;S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goods'!$Z$20)*(AC$3-$X$3)/10))+AC27*'R&amp;S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goods'!$AE$20)*(AC$3-$X$3)/10))+AC27*'R&amp;S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goods'!$AJ$20)*(AC$3-$X$3)/10))</f>
        <v>289407.59953499155</v>
      </c>
      <c r="AD28" s="588">
        <f>AD27*'R&amp;S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goods'!$Z$20)*(AD$3-$X$3)/10))+AD27*'R&amp;S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goods'!$AE$20)*(AD$3-$X$3)/10))+AD27*'R&amp;S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goods'!$AJ$20)*(AD$3-$X$3)/10))</f>
        <v>301783.94639073306</v>
      </c>
      <c r="AE28" s="588">
        <f>AE27*'R&amp;S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goods'!$Z$20)*(AE$3-$X$3)/10))+AE27*'R&amp;S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goods'!$AE$20)*(AE$3-$X$3)/10))+AE27*'R&amp;S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goods'!$AJ$20)*(AE$3-$X$3)/10))</f>
        <v>313977.28347268753</v>
      </c>
      <c r="AF28" s="588">
        <f>AF27*'R&amp;S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goods'!$Z$20)*(AF$3-$X$3)/10))+AF27*'R&amp;S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goods'!$AE$20)*(AF$3-$X$3)/10))+AF27*'R&amp;S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goods'!$AJ$20)*(AF$3-$X$3)/10))</f>
        <v>325989.53642399074</v>
      </c>
      <c r="AG28" s="588">
        <f>AG27*'R&amp;S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goods'!$Z$20)*(AG$3-$X$3)/10))+AG27*'R&amp;S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goods'!$AE$20)*(AG$3-$X$3)/10))+AG27*'R&amp;S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goods'!$AJ$20)*(AG$3-$X$3)/10))</f>
        <v>337822.61309964029</v>
      </c>
      <c r="AH28" s="588">
        <f>AH27*'R&amp;S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goods'!$Z$20)*(AH$3-$X$3)/10))+AH27*'R&amp;S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goods'!$AE$20)*(AH$3-$X$3)/10))+AH27*'R&amp;S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goods'!$AJ$20)*(AH$3-$X$3)/10))</f>
        <v>349478.40371979668</v>
      </c>
      <c r="AI28" s="178"/>
      <c r="AJ28" s="99">
        <v>0</v>
      </c>
      <c r="AK28" s="99">
        <f>AK27*'R&amp;S - Packaging and hh goods'!$L$4/SUM('R&amp;S - Packaging and hh goods'!$L$4:$N$4)*'R&amp;S - Packaging and hh goods'!$E$7*('R&amp;S - Packaging and hh goods'!$H$15*'R&amp;S - Packaging and hh goods'!$Z$19*(AK$3-$D$3)/10)+AK27*'R&amp;S - Packaging and hh goods'!$M$4/SUM('R&amp;S - Packaging and hh goods'!$L$4:$N$4)*'R&amp;S - Packaging and hh goods'!$F$7*('R&amp;S - Packaging and hh goods'!$J$15*'R&amp;S - Packaging and hh goods'!$AE$19*(AK$3-$D$3)/10)+AK27*'R&amp;S - Packaging and hh goods'!$N$4/SUM('R&amp;S - Packaging and hh goods'!$L$4:$N$4)*'R&amp;S - Packaging and hh goods'!$G$7*('R&amp;S - Packaging and hh goods'!$L$15*'R&amp;S - Packaging and hh goods'!$AJ$19*(AK$3-$D$3)/10)</f>
        <v>2941.034264103082</v>
      </c>
      <c r="AL28" s="99">
        <f>AL27*'R&amp;S - Packaging and hh goods'!$L$4/SUM('R&amp;S - Packaging and hh goods'!$L$4:$N$4)*'R&amp;S - Packaging and hh goods'!$E$7*('R&amp;S - Packaging and hh goods'!$H$15*'R&amp;S - Packaging and hh goods'!$Z$19*(AL$3-$D$3)/10)+AL27*'R&amp;S - Packaging and hh goods'!$M$4/SUM('R&amp;S - Packaging and hh goods'!$L$4:$N$4)*'R&amp;S - Packaging and hh goods'!$F$7*('R&amp;S - Packaging and hh goods'!$J$15*'R&amp;S - Packaging and hh goods'!$AE$19*(AL$3-$D$3)/10)+AL27*'R&amp;S - Packaging and hh goods'!$N$4/SUM('R&amp;S - Packaging and hh goods'!$L$4:$N$4)*'R&amp;S - Packaging and hh goods'!$G$7*('R&amp;S - Packaging and hh goods'!$L$15*'R&amp;S - Packaging and hh goods'!$AJ$19*(AL$3-$D$3)/10)</f>
        <v>5841.8021486291818</v>
      </c>
      <c r="AM28" s="99">
        <f>AM27*'R&amp;S - Packaging and hh goods'!$L$4/SUM('R&amp;S - Packaging and hh goods'!$L$4:$N$4)*'R&amp;S - Packaging and hh goods'!$E$7*('R&amp;S - Packaging and hh goods'!$H$15*'R&amp;S - Packaging and hh goods'!$Z$19*(AM$3-$D$3)/10)+AM27*'R&amp;S - Packaging and hh goods'!$M$4/SUM('R&amp;S - Packaging and hh goods'!$L$4:$N$4)*'R&amp;S - Packaging and hh goods'!$F$7*('R&amp;S - Packaging and hh goods'!$J$15*'R&amp;S - Packaging and hh goods'!$AE$19*(AM$3-$D$3)/10)+AM27*'R&amp;S - Packaging and hh goods'!$N$4/SUM('R&amp;S - Packaging and hh goods'!$L$4:$N$4)*'R&amp;S - Packaging and hh goods'!$G$7*('R&amp;S - Packaging and hh goods'!$L$15*'R&amp;S - Packaging and hh goods'!$AJ$19*(AM$3-$D$3)/10)</f>
        <v>8702.7171258074468</v>
      </c>
      <c r="AN28" s="99">
        <f>AN27*'R&amp;S - Packaging and hh goods'!$L$4/SUM('R&amp;S - Packaging and hh goods'!$L$4:$N$4)*'R&amp;S - Packaging and hh goods'!$E$7*('R&amp;S - Packaging and hh goods'!$H$15*'R&amp;S - Packaging and hh goods'!$Z$19*(AN$3-$D$3)/10)+AN27*'R&amp;S - Packaging and hh goods'!$M$4/SUM('R&amp;S - Packaging and hh goods'!$L$4:$N$4)*'R&amp;S - Packaging and hh goods'!$F$7*('R&amp;S - Packaging and hh goods'!$J$15*'R&amp;S - Packaging and hh goods'!$AE$19*(AN$3-$D$3)/10)+AN27*'R&amp;S - Packaging and hh goods'!$N$4/SUM('R&amp;S - Packaging and hh goods'!$L$4:$N$4)*'R&amp;S - Packaging and hh goods'!$G$7*('R&amp;S - Packaging and hh goods'!$L$15*'R&amp;S - Packaging and hh goods'!$AJ$19*(AN$3-$D$3)/10)</f>
        <v>11524.18889390448</v>
      </c>
      <c r="AO28" s="99">
        <f>AO27*'R&amp;S - Packaging and hh goods'!$L$4/SUM('R&amp;S - Packaging and hh goods'!$L$4:$N$4)*'R&amp;S - Packaging and hh goods'!$E$7*('R&amp;S - Packaging and hh goods'!$H$15*'R&amp;S - Packaging and hh goods'!$Z$19*(AO$3-$D$3)/10)+AO27*'R&amp;S - Packaging and hh goods'!$M$4/SUM('R&amp;S - Packaging and hh goods'!$L$4:$N$4)*'R&amp;S - Packaging and hh goods'!$F$7*('R&amp;S - Packaging and hh goods'!$J$15*'R&amp;S - Packaging and hh goods'!$AE$19*(AO$3-$D$3)/10)+AO27*'R&amp;S - Packaging and hh goods'!$N$4/SUM('R&amp;S - Packaging and hh goods'!$L$4:$N$4)*'R&amp;S - Packaging and hh goods'!$G$7*('R&amp;S - Packaging and hh goods'!$L$15*'R&amp;S - Packaging and hh goods'!$AJ$19*(AO$3-$D$3)/10)</f>
        <v>14306.623409518215</v>
      </c>
      <c r="AP28" s="99">
        <f>AP27*'R&amp;S - Packaging and hh goods'!$L$4/SUM('R&amp;S - Packaging and hh goods'!$L$4:$N$4)*'R&amp;S - Packaging and hh goods'!$E$7*('R&amp;S - Packaging and hh goods'!$H$15*'R&amp;S - Packaging and hh goods'!$Z$19*(AP$3-$D$3)/10)+AP27*'R&amp;S - Packaging and hh goods'!$M$4/SUM('R&amp;S - Packaging and hh goods'!$L$4:$N$4)*'R&amp;S - Packaging and hh goods'!$F$7*('R&amp;S - Packaging and hh goods'!$J$15*'R&amp;S - Packaging and hh goods'!$AE$19*(AP$3-$D$3)/10)+AP27*'R&amp;S - Packaging and hh goods'!$N$4/SUM('R&amp;S - Packaging and hh goods'!$L$4:$N$4)*'R&amp;S - Packaging and hh goods'!$G$7*('R&amp;S - Packaging and hh goods'!$L$15*'R&amp;S - Packaging and hh goods'!$AJ$19*(AP$3-$D$3)/10)</f>
        <v>17050.422919606506</v>
      </c>
      <c r="AQ28" s="99">
        <f>AQ27*'R&amp;S - Packaging and hh goods'!$L$4/SUM('R&amp;S - Packaging and hh goods'!$L$4:$N$4)*'R&amp;S - Packaging and hh goods'!$E$7*('R&amp;S - Packaging and hh goods'!$H$15*'R&amp;S - Packaging and hh goods'!$Z$19*(AQ$3-$D$3)/10)+AQ27*'R&amp;S - Packaging and hh goods'!$M$4/SUM('R&amp;S - Packaging and hh goods'!$L$4:$N$4)*'R&amp;S - Packaging and hh goods'!$F$7*('R&amp;S - Packaging and hh goods'!$J$15*'R&amp;S - Packaging and hh goods'!$AE$19*(AQ$3-$D$3)/10)+AQ27*'R&amp;S - Packaging and hh goods'!$N$4/SUM('R&amp;S - Packaging and hh goods'!$L$4:$N$4)*'R&amp;S - Packaging and hh goods'!$G$7*('R&amp;S - Packaging and hh goods'!$L$15*'R&amp;S - Packaging and hh goods'!$AJ$19*(AQ$3-$D$3)/10)</f>
        <v>19755.985993252521</v>
      </c>
      <c r="AR28" s="99">
        <f>AR27*'R&amp;S - Packaging and hh goods'!$L$4/SUM('R&amp;S - Packaging and hh goods'!$L$4:$N$4)*'R&amp;S - Packaging and hh goods'!$E$7*('R&amp;S - Packaging and hh goods'!$H$15*'R&amp;S - Packaging and hh goods'!$Z$19*(AR$3-$D$3)/10)+AR27*'R&amp;S - Packaging and hh goods'!$M$4/SUM('R&amp;S - Packaging and hh goods'!$L$4:$N$4)*'R&amp;S - Packaging and hh goods'!$F$7*('R&amp;S - Packaging and hh goods'!$J$15*'R&amp;S - Packaging and hh goods'!$AE$19*(AR$3-$D$3)/10)+AR27*'R&amp;S - Packaging and hh goods'!$N$4/SUM('R&amp;S - Packaging and hh goods'!$L$4:$N$4)*'R&amp;S - Packaging and hh goods'!$G$7*('R&amp;S - Packaging and hh goods'!$L$15*'R&amp;S - Packaging and hh goods'!$AJ$19*(AR$3-$D$3)/10)</f>
        <v>22423.707553169123</v>
      </c>
      <c r="AS28" s="99">
        <f>AS27*'R&amp;S - Packaging and hh goods'!$L$4/SUM('R&amp;S - Packaging and hh goods'!$L$4:$N$4)*'R&amp;S - Packaging and hh goods'!$E$7*('R&amp;S - Packaging and hh goods'!$H$15*'R&amp;S - Packaging and hh goods'!$Z$19*(AS$3-$D$3)/10)+AS27*'R&amp;S - Packaging and hh goods'!$M$4/SUM('R&amp;S - Packaging and hh goods'!$L$4:$N$4)*'R&amp;S - Packaging and hh goods'!$F$7*('R&amp;S - Packaging and hh goods'!$J$15*'R&amp;S - Packaging and hh goods'!$AE$19*(AS$3-$D$3)/10)+AS27*'R&amp;S - Packaging and hh goods'!$N$4/SUM('R&amp;S - Packaging and hh goods'!$L$4:$N$4)*'R&amp;S - Packaging and hh goods'!$G$7*('R&amp;S - Packaging and hh goods'!$L$15*'R&amp;S - Packaging and hh goods'!$AJ$19*(AS$3-$D$3)/10)</f>
        <v>25053.978906944238</v>
      </c>
      <c r="AT28" s="99">
        <f>AT27*'R&amp;S - Packaging and hh goods'!$L$4/SUM('R&amp;S - Packaging and hh goods'!$L$4:$N$4)*'R&amp;S - Packaging and hh goods'!$E$7*('R&amp;S - Packaging and hh goods'!$H$15*'R&amp;S - Packaging and hh goods'!$Z$19*(AT$3-$D$3)/10)+AT27*'R&amp;S - Packaging and hh goods'!$M$4/SUM('R&amp;S - Packaging and hh goods'!$L$4:$N$4)*'R&amp;S - Packaging and hh goods'!$F$7*('R&amp;S - Packaging and hh goods'!$J$15*'R&amp;S - Packaging and hh goods'!$AE$19*(AT$3-$D$3)/10)+AT27*'R&amp;S - Packaging and hh goods'!$N$4/SUM('R&amp;S - Packaging and hh goods'!$L$4:$N$4)*'R&amp;S - Packaging and hh goods'!$G$7*('R&amp;S - Packaging and hh goods'!$L$15*'R&amp;S - Packaging and hh goods'!$AJ$19*(AT$3-$D$3)/10)</f>
        <v>27647.1877780293</v>
      </c>
      <c r="AU28" s="588">
        <f>AU27*'R&amp;S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goods'!$Z$19)*(AU$3-$N$3)/10))+AU27*'R&amp;S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goods'!$AE$19)*(AU$3-$N$3)/10))+AU27*'R&amp;S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goods'!$AJ$19)*(AU$3-$N$3)/10))</f>
        <v>42162.250706816507</v>
      </c>
      <c r="AV28" s="588">
        <f>AV27*'R&amp;S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goods'!$Z$19)*(AV$3-$N$3)/10))+AV27*'R&amp;S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goods'!$AE$19)*(AV$3-$N$3)/10))+AV27*'R&amp;S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goods'!$AJ$19)*(AV$3-$N$3)/10))</f>
        <v>56477.288940626604</v>
      </c>
      <c r="AW28" s="588">
        <f>AW27*'R&amp;S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goods'!$Z$19)*(AW$3-$N$3)/10))+AW27*'R&amp;S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goods'!$AE$19)*(AW$3-$N$3)/10))+AW27*'R&amp;S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goods'!$AJ$19)*(AW$3-$N$3)/10))</f>
        <v>70594.360852333688</v>
      </c>
      <c r="AX28" s="588">
        <f>AX27*'R&amp;S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goods'!$Z$19)*(AX$3-$N$3)/10))+AX27*'R&amp;S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goods'!$AE$19)*(AX$3-$N$3)/10))+AX27*'R&amp;S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goods'!$AJ$19)*(AX$3-$N$3)/10))</f>
        <v>84515.506006800817</v>
      </c>
      <c r="AY28" s="588">
        <f>AY27*'R&amp;S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goods'!$Z$19)*(AY$3-$N$3)/10))+AY27*'R&amp;S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goods'!$AE$19)*(AY$3-$N$3)/10))+AY27*'R&amp;S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goods'!$AJ$19)*(AY$3-$N$3)/10))</f>
        <v>98242.745321924682</v>
      </c>
      <c r="AZ28" s="588">
        <f>AZ27*'R&amp;S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goods'!$Z$19)*(AZ$3-$N$3)/10))+AZ27*'R&amp;S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goods'!$AE$19)*(AZ$3-$N$3)/10))+AZ27*'R&amp;S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goods'!$AJ$19)*(AZ$3-$N$3)/10))</f>
        <v>111778.08122835623</v>
      </c>
      <c r="BA28" s="588">
        <f>BA27*'R&amp;S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goods'!$Z$19)*(BA$3-$N$3)/10))+BA27*'R&amp;S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goods'!$AE$19)*(BA$3-$N$3)/10))+BA27*'R&amp;S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goods'!$AJ$19)*(BA$3-$N$3)/10))</f>
        <v>125123.49782790882</v>
      </c>
      <c r="BB28" s="588">
        <f>BB27*'R&amp;S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goods'!$Z$19)*(BB$3-$N$3)/10))+BB27*'R&amp;S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goods'!$AE$19)*(BB$3-$N$3)/10))+BB27*'R&amp;S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goods'!$AJ$19)*(BB$3-$N$3)/10))</f>
        <v>138280.96105066384</v>
      </c>
      <c r="BC28" s="588">
        <f>BC27*'R&amp;S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goods'!$Z$19)*(BC$3-$N$3)/10))+BC27*'R&amp;S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goods'!$AE$19)*(BC$3-$N$3)/10))+BC27*'R&amp;S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goods'!$AJ$19)*(BC$3-$N$3)/10))</f>
        <v>151252.418810784</v>
      </c>
      <c r="BD28" s="588">
        <f>BD27*'R&amp;S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goods'!$Z$19)*(BD$3-$N$3)/10))+BD27*'R&amp;S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goods'!$AE$19)*(BD$3-$N$3)/10))+BD27*'R&amp;S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goods'!$AJ$19)*(BD$3-$N$3)/10))</f>
        <v>164039.80116104515</v>
      </c>
      <c r="BE28" s="588">
        <f>BE27*'R&amp;S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goods'!$Z$20)*(BE$3-$X$3)/10))+BE27*'R&amp;S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goods'!$AE$20)*(BE$3-$X$3)/10))+BE27*'R&amp;S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goods'!$AJ$20)*(BE$3-$X$3)/10))</f>
        <v>173764.06827097666</v>
      </c>
      <c r="BF28" s="588">
        <f>BF27*'R&amp;S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goods'!$Z$20)*(BF$3-$X$3)/10))+BF27*'R&amp;S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goods'!$AE$20)*(BF$3-$X$3)/10))+BF27*'R&amp;S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goods'!$AJ$20)*(BF$3-$X$3)/10))</f>
        <v>183347.51088603679</v>
      </c>
      <c r="BG28" s="588">
        <f>BG27*'R&amp;S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goods'!$Z$20)*(BG$3-$X$3)/10))+BG27*'R&amp;S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goods'!$AE$20)*(BG$3-$X$3)/10))+BG27*'R&amp;S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goods'!$AJ$20)*(BG$3-$X$3)/10))</f>
        <v>192791.60136392113</v>
      </c>
      <c r="BH28" s="588">
        <f>BH27*'R&amp;S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goods'!$Z$20)*(BH$3-$X$3)/10))+BH27*'R&amp;S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goods'!$AE$20)*(BH$3-$X$3)/10))+BH27*'R&amp;S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goods'!$AJ$20)*(BH$3-$X$3)/10))</f>
        <v>202097.79850331679</v>
      </c>
      <c r="BI28" s="588">
        <f>BI27*'R&amp;S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goods'!$Z$20)*(BI$3-$X$3)/10))+BI27*'R&amp;S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goods'!$AE$20)*(BI$3-$X$3)/10))+BI27*'R&amp;S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goods'!$AJ$20)*(BI$3-$X$3)/10))</f>
        <v>211267.54766054382</v>
      </c>
      <c r="BJ28" s="588">
        <f>BJ27*'R&amp;S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goods'!$Z$20)*(BJ$3-$X$3)/10))+BJ27*'R&amp;S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goods'!$AE$20)*(BJ$3-$X$3)/10))+BJ27*'R&amp;S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goods'!$AJ$20)*(BJ$3-$X$3)/10))</f>
        <v>220302.28086523517</v>
      </c>
      <c r="BK28" s="588">
        <f>BK27*'R&amp;S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goods'!$Z$20)*(BK$3-$X$3)/10))+BK27*'R&amp;S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goods'!$AE$20)*(BK$3-$X$3)/10))+BK27*'R&amp;S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goods'!$AJ$20)*(BK$3-$X$3)/10))</f>
        <v>229203.41693506186</v>
      </c>
      <c r="BL28" s="588">
        <f>BL27*'R&amp;S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goods'!$Z$20)*(BL$3-$X$3)/10))+BL27*'R&amp;S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goods'!$AE$20)*(BL$3-$X$3)/10))+BL27*'R&amp;S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goods'!$AJ$20)*(BL$3-$X$3)/10))</f>
        <v>237972.36158951325</v>
      </c>
      <c r="BM28" s="588">
        <f>BM27*'R&amp;S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goods'!$Z$20)*(BM$3-$X$3)/10))+BM27*'R&amp;S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goods'!$AE$20)*(BM$3-$X$3)/10))+BM27*'R&amp;S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goods'!$AJ$20)*(BM$3-$X$3)/10))</f>
        <v>246610.50756273742</v>
      </c>
      <c r="BN28" s="588">
        <f>BN27*'R&amp;S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goods'!$Z$20)*(BN$3-$X$3)/10))+BN27*'R&amp;S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goods'!$AE$20)*(BN$3-$X$3)/10))+BN27*'R&amp;S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goods'!$AJ$20)*(BN$3-$X$3)/10))</f>
        <v>255119.2347154516</v>
      </c>
    </row>
    <row r="29" spans="1:90" outlineLevel="1">
      <c r="B29" s="57" t="s">
        <v>193</v>
      </c>
      <c r="C29" s="50" t="s">
        <v>1420</v>
      </c>
      <c r="D29" s="99">
        <v>0</v>
      </c>
      <c r="E29" s="99">
        <f>E27*'R&amp;S - Packaging and hh goods'!$L$4/SUM('R&amp;S - Packaging and hh goods'!$L$4:$N$4)*'R&amp;S - Packaging and hh goods'!$E$8*('R&amp;S - Packaging and hh goods'!$H$14*'R&amp;S - Packaging and hh goods'!$AA$19*(E$3-$D$3)/10)+E27*'R&amp;S - Packaging and hh goods'!$M$4/SUM('R&amp;S - Packaging and hh goods'!$L$4:$N$4)*'R&amp;S - Packaging and hh goods'!$F$8*('R&amp;S - Packaging and hh goods'!$J$14*'R&amp;S - Packaging and hh goods'!$AF$19*(E$3-$D$3)/10)+E27*'R&amp;S - Packaging and hh goods'!$N$4/SUM('R&amp;S - Packaging and hh goods'!$L$4:$N$4)*'R&amp;S - Packaging and hh goods'!$G$8*('R&amp;S - Packaging and hh goods'!$L$14*'R&amp;S - Packaging and hh goods'!$AK$19*(E$3-$D$3)/10)</f>
        <v>16682.705951374301</v>
      </c>
      <c r="F29" s="99">
        <f>F27*'R&amp;S - Packaging and hh goods'!$L$4/SUM('R&amp;S - Packaging and hh goods'!$L$4:$N$4)*'R&amp;S - Packaging and hh goods'!$E$8*('R&amp;S - Packaging and hh goods'!$H$14*'R&amp;S - Packaging and hh goods'!$AA$19*(F$3-$D$3)/10)+F27*'R&amp;S - Packaging and hh goods'!$M$4/SUM('R&amp;S - Packaging and hh goods'!$L$4:$N$4)*'R&amp;S - Packaging and hh goods'!$F$8*('R&amp;S - Packaging and hh goods'!$J$14*'R&amp;S - Packaging and hh goods'!$AF$19*(F$3-$D$3)/10)+F27*'R&amp;S - Packaging and hh goods'!$N$4/SUM('R&amp;S - Packaging and hh goods'!$L$4:$N$4)*'R&amp;S - Packaging and hh goods'!$G$8*('R&amp;S - Packaging and hh goods'!$L$14*'R&amp;S - Packaging and hh goods'!$AK$19*(F$3-$D$3)/10)</f>
        <v>33137.005121362774</v>
      </c>
      <c r="G29" s="99">
        <f>G27*'R&amp;S - Packaging and hh goods'!$L$4/SUM('R&amp;S - Packaging and hh goods'!$L$4:$N$4)*'R&amp;S - Packaging and hh goods'!$E$8*('R&amp;S - Packaging and hh goods'!$H$14*'R&amp;S - Packaging and hh goods'!$AA$19*(G$3-$D$3)/10)+G27*'R&amp;S - Packaging and hh goods'!$M$4/SUM('R&amp;S - Packaging and hh goods'!$L$4:$N$4)*'R&amp;S - Packaging and hh goods'!$F$8*('R&amp;S - Packaging and hh goods'!$J$14*'R&amp;S - Packaging and hh goods'!$AF$19*(G$3-$D$3)/10)+G27*'R&amp;S - Packaging and hh goods'!$N$4/SUM('R&amp;S - Packaging and hh goods'!$L$4:$N$4)*'R&amp;S - Packaging and hh goods'!$G$8*('R&amp;S - Packaging and hh goods'!$L$14*'R&amp;S - Packaging and hh goods'!$AK$19*(G$3-$D$3)/10)</f>
        <v>49365.242887474997</v>
      </c>
      <c r="H29" s="99">
        <f>H27*'R&amp;S - Packaging and hh goods'!$L$4/SUM('R&amp;S - Packaging and hh goods'!$L$4:$N$4)*'R&amp;S - Packaging and hh goods'!$E$8*('R&amp;S - Packaging and hh goods'!$H$14*'R&amp;S - Packaging and hh goods'!$AA$19*(H$3-$D$3)/10)+H27*'R&amp;S - Packaging and hh goods'!$M$4/SUM('R&amp;S - Packaging and hh goods'!$L$4:$N$4)*'R&amp;S - Packaging and hh goods'!$F$8*('R&amp;S - Packaging and hh goods'!$J$14*'R&amp;S - Packaging and hh goods'!$AF$19*(H$3-$D$3)/10)+H27*'R&amp;S - Packaging and hh goods'!$N$4/SUM('R&amp;S - Packaging and hh goods'!$L$4:$N$4)*'R&amp;S - Packaging and hh goods'!$G$8*('R&amp;S - Packaging and hh goods'!$L$14*'R&amp;S - Packaging and hh goods'!$AK$19*(H$3-$D$3)/10)</f>
        <v>65369.743219816992</v>
      </c>
      <c r="I29" s="99">
        <f>I27*'R&amp;S - Packaging and hh goods'!$L$4/SUM('R&amp;S - Packaging and hh goods'!$L$4:$N$4)*'R&amp;S - Packaging and hh goods'!$E$8*('R&amp;S - Packaging and hh goods'!$H$14*'R&amp;S - Packaging and hh goods'!$AA$19*(I$3-$D$3)/10)+I27*'R&amp;S - Packaging and hh goods'!$M$4/SUM('R&amp;S - Packaging and hh goods'!$L$4:$N$4)*'R&amp;S - Packaging and hh goods'!$F$8*('R&amp;S - Packaging and hh goods'!$J$14*'R&amp;S - Packaging and hh goods'!$AF$19*(I$3-$D$3)/10)+I27*'R&amp;S - Packaging and hh goods'!$N$4/SUM('R&amp;S - Packaging and hh goods'!$L$4:$N$4)*'R&amp;S - Packaging and hh goods'!$G$8*('R&amp;S - Packaging and hh goods'!$L$14*'R&amp;S - Packaging and hh goods'!$AK$19*(I$3-$D$3)/10)</f>
        <v>81152.808864274775</v>
      </c>
      <c r="J29" s="99">
        <f>J27*'R&amp;S - Packaging and hh goods'!$L$4/SUM('R&amp;S - Packaging and hh goods'!$L$4:$N$4)*'R&amp;S - Packaging and hh goods'!$E$8*('R&amp;S - Packaging and hh goods'!$H$14*'R&amp;S - Packaging and hh goods'!$AA$19*(J$3-$D$3)/10)+J27*'R&amp;S - Packaging and hh goods'!$M$4/SUM('R&amp;S - Packaging and hh goods'!$L$4:$N$4)*'R&amp;S - Packaging and hh goods'!$F$8*('R&amp;S - Packaging and hh goods'!$J$14*'R&amp;S - Packaging and hh goods'!$AF$19*(J$3-$D$3)/10)+J27*'R&amp;S - Packaging and hh goods'!$N$4/SUM('R&amp;S - Packaging and hh goods'!$L$4:$N$4)*'R&amp;S - Packaging and hh goods'!$G$8*('R&amp;S - Packaging and hh goods'!$L$14*'R&amp;S - Packaging and hh goods'!$AK$19*(J$3-$D$3)/10)</f>
        <v>96716.721524193199</v>
      </c>
      <c r="K29" s="99">
        <f>K27*'R&amp;S - Packaging and hh goods'!$L$4/SUM('R&amp;S - Packaging and hh goods'!$L$4:$N$4)*'R&amp;S - Packaging and hh goods'!$E$8*('R&amp;S - Packaging and hh goods'!$H$14*'R&amp;S - Packaging and hh goods'!$AA$19*(K$3-$D$3)/10)+K27*'R&amp;S - Packaging and hh goods'!$M$4/SUM('R&amp;S - Packaging and hh goods'!$L$4:$N$4)*'R&amp;S - Packaging and hh goods'!$F$8*('R&amp;S - Packaging and hh goods'!$J$14*'R&amp;S - Packaging and hh goods'!$AF$19*(K$3-$D$3)/10)+K27*'R&amp;S - Packaging and hh goods'!$N$4/SUM('R&amp;S - Packaging and hh goods'!$L$4:$N$4)*'R&amp;S - Packaging and hh goods'!$G$8*('R&amp;S - Packaging and hh goods'!$L$14*'R&amp;S - Packaging and hh goods'!$AK$19*(K$3-$D$3)/10)</f>
        <v>112063.74204056173</v>
      </c>
      <c r="L29" s="99">
        <f>L27*'R&amp;S - Packaging and hh goods'!$L$4/SUM('R&amp;S - Packaging and hh goods'!$L$4:$N$4)*'R&amp;S - Packaging and hh goods'!$E$8*('R&amp;S - Packaging and hh goods'!$H$14*'R&amp;S - Packaging and hh goods'!$AA$19*(L$3-$D$3)/10)+L27*'R&amp;S - Packaging and hh goods'!$M$4/SUM('R&amp;S - Packaging and hh goods'!$L$4:$N$4)*'R&amp;S - Packaging and hh goods'!$F$8*('R&amp;S - Packaging and hh goods'!$J$14*'R&amp;S - Packaging and hh goods'!$AF$19*(L$3-$D$3)/10)+L27*'R&amp;S - Packaging and hh goods'!$N$4/SUM('R&amp;S - Packaging and hh goods'!$L$4:$N$4)*'R&amp;S - Packaging and hh goods'!$G$8*('R&amp;S - Packaging and hh goods'!$L$14*'R&amp;S - Packaging and hh goods'!$AK$19*(L$3-$D$3)/10)</f>
        <v>127196.11057071987</v>
      </c>
      <c r="M29" s="99">
        <f>M27*'R&amp;S - Packaging and hh goods'!$L$4/SUM('R&amp;S - Packaging and hh goods'!$L$4:$N$4)*'R&amp;S - Packaging and hh goods'!$E$8*('R&amp;S - Packaging and hh goods'!$H$14*'R&amp;S - Packaging and hh goods'!$AA$19*(M$3-$D$3)/10)+M27*'R&amp;S - Packaging and hh goods'!$M$4/SUM('R&amp;S - Packaging and hh goods'!$L$4:$N$4)*'R&amp;S - Packaging and hh goods'!$F$8*('R&amp;S - Packaging and hh goods'!$J$14*'R&amp;S - Packaging and hh goods'!$AF$19*(M$3-$D$3)/10)+M27*'R&amp;S - Packaging and hh goods'!$N$4/SUM('R&amp;S - Packaging and hh goods'!$L$4:$N$4)*'R&amp;S - Packaging and hh goods'!$G$8*('R&amp;S - Packaging and hh goods'!$L$14*'R&amp;S - Packaging and hh goods'!$AK$19*(M$3-$D$3)/10)</f>
        <v>142116.04676559294</v>
      </c>
      <c r="N29" s="99">
        <f>N27*'R&amp;S - Packaging and hh goods'!$L$4/SUM('R&amp;S - Packaging and hh goods'!$L$4:$N$4)*'R&amp;S - Packaging and hh goods'!$E$8*('R&amp;S - Packaging and hh goods'!$H$14*'R&amp;S - Packaging and hh goods'!$AA$19*(N$3-$D$3)/10)+N27*'R&amp;S - Packaging and hh goods'!$M$4/SUM('R&amp;S - Packaging and hh goods'!$L$4:$N$4)*'R&amp;S - Packaging and hh goods'!$F$8*('R&amp;S - Packaging and hh goods'!$J$14*'R&amp;S - Packaging and hh goods'!$AF$19*(N$3-$D$3)/10)+N27*'R&amp;S - Packaging and hh goods'!$N$4/SUM('R&amp;S - Packaging and hh goods'!$L$4:$N$4)*'R&amp;S - Packaging and hh goods'!$G$8*('R&amp;S - Packaging and hh goods'!$L$14*'R&amp;S - Packaging and hh goods'!$AK$19*(N$3-$D$3)/10)</f>
        <v>156825.74994547101</v>
      </c>
      <c r="O29" s="588">
        <f>O27*'R&amp;S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goods'!$AA$19)*(O$3-$N$3)/10))+O27*'R&amp;S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goods'!$AF$19)*(O$3-$N$3)/10))+O27*'R&amp;S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goods'!$AK$19)*(O$3-$N$3)/10))</f>
        <v>175211.55165967936</v>
      </c>
      <c r="P29" s="588">
        <f>P27*'R&amp;S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goods'!$AA$19)*(P$3-$N$3)/10))+P27*'R&amp;S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goods'!$AF$19)*(P$3-$N$3)/10))+P27*'R&amp;S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goods'!$AK$19)*(P$3-$N$3)/10))</f>
        <v>193338.27987580217</v>
      </c>
      <c r="Q29" s="588">
        <f>Q27*'R&amp;S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goods'!$AA$19)*(Q$3-$N$3)/10))+Q27*'R&amp;S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goods'!$AF$19)*(Q$3-$N$3)/10))+Q27*'R&amp;S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goods'!$AK$19)*(Q$3-$N$3)/10))</f>
        <v>211208.62002520924</v>
      </c>
      <c r="R29" s="588">
        <f>R27*'R&amp;S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goods'!$AA$19)*(R$3-$N$3)/10))+R27*'R&amp;S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goods'!$AF$19)*(R$3-$N$3)/10))+R27*'R&amp;S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goods'!$AK$19)*(R$3-$N$3)/10))</f>
        <v>228825.23291322822</v>
      </c>
      <c r="S29" s="588">
        <f>S27*'R&amp;S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goods'!$AA$19)*(S$3-$N$3)/10))+S27*'R&amp;S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goods'!$AF$19)*(S$3-$N$3)/10))+S27*'R&amp;S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goods'!$AK$19)*(S$3-$N$3)/10))</f>
        <v>246190.75493046007</v>
      </c>
      <c r="T29" s="588">
        <f>T27*'R&amp;S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goods'!$AA$19)*(T$3-$N$3)/10))+T27*'R&amp;S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goods'!$AF$19)*(T$3-$N$3)/10))+T27*'R&amp;S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goods'!$AK$19)*(T$3-$N$3)/10))</f>
        <v>263307.7982623541</v>
      </c>
      <c r="U29" s="588">
        <f>U27*'R&amp;S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goods'!$AA$19)*(U$3-$N$3)/10))+U27*'R&amp;S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goods'!$AF$19)*(U$3-$N$3)/10))+U27*'R&amp;S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goods'!$AK$19)*(U$3-$N$3)/10))</f>
        <v>280178.9510970593</v>
      </c>
      <c r="V29" s="588">
        <f>V27*'R&amp;S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goods'!$AA$19)*(V$3-$N$3)/10))+V27*'R&amp;S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goods'!$AF$19)*(V$3-$N$3)/10))+V27*'R&amp;S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goods'!$AK$19)*(V$3-$N$3)/10))</f>
        <v>296806.77783156285</v>
      </c>
      <c r="W29" s="588">
        <f>W27*'R&amp;S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goods'!$AA$19)*(W$3-$N$3)/10))+W27*'R&amp;S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goods'!$AF$19)*(W$3-$N$3)/10))+W27*'R&amp;S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goods'!$AK$19)*(W$3-$N$3)/10))</f>
        <v>313193.81927613227</v>
      </c>
      <c r="X29" s="588">
        <f>X27*'R&amp;S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goods'!$AA$19)*(X$3-$N$3)/10))+X27*'R&amp;S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goods'!$AF$19)*(X$3-$N$3)/10))+X27*'R&amp;S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goods'!$AK$19)*(X$3-$N$3)/10))</f>
        <v>329342.5928570719</v>
      </c>
      <c r="Y29" s="588">
        <f>Y27*'R&amp;S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goods'!$AA$20)*(Y$3-$X$3)/10))+Y27*'R&amp;S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goods'!$AF$20)*(Y$3-$X$3)/10))+Y27*'R&amp;S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goods'!$AK$20)*(Y$3-$X$3)/10))</f>
        <v>339670.52141290909</v>
      </c>
      <c r="Z29" s="588">
        <f>Z27*'R&amp;S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goods'!$AA$20)*(Z$3-$X$3)/10))+Z27*'R&amp;S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goods'!$AF$20)*(Z$3-$X$3)/10))+Z27*'R&amp;S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goods'!$AK$20)*(Z$3-$X$3)/10))</f>
        <v>349841.61411145021</v>
      </c>
      <c r="AA29" s="588">
        <f>AA27*'R&amp;S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goods'!$AA$20)*(AA$3-$X$3)/10))+AA27*'R&amp;S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goods'!$AF$20)*(AA$3-$X$3)/10))+AA27*'R&amp;S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goods'!$AK$20)*(AA$3-$X$3)/10))</f>
        <v>359857.5342365976</v>
      </c>
      <c r="AB29" s="588">
        <f>AB27*'R&amp;S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goods'!$AA$20)*(AB$3-$X$3)/10))+AB27*'R&amp;S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goods'!$AF$20)*(AB$3-$X$3)/10))+AB27*'R&amp;S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goods'!$AK$20)*(AB$3-$X$3)/10))</f>
        <v>369719.92964956188</v>
      </c>
      <c r="AC29" s="588">
        <f>AC27*'R&amp;S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goods'!$AA$20)*(AC$3-$X$3)/10))+AC27*'R&amp;S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goods'!$AF$20)*(AC$3-$X$3)/10))+AC27*'R&amp;S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goods'!$AK$20)*(AC$3-$X$3)/10))</f>
        <v>379430.43292207248</v>
      </c>
      <c r="AD29" s="588">
        <f>AD27*'R&amp;S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goods'!$AA$20)*(AD$3-$X$3)/10))+AD27*'R&amp;S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goods'!$AF$20)*(AD$3-$X$3)/10))+AD27*'R&amp;S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goods'!$AK$20)*(AD$3-$X$3)/10))</f>
        <v>388990.66146848648</v>
      </c>
      <c r="AE29" s="588">
        <f>AE27*'R&amp;S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goods'!$AA$20)*(AE$3-$X$3)/10))+AE27*'R&amp;S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goods'!$AF$20)*(AE$3-$X$3)/10))+AE27*'R&amp;S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goods'!$AK$20)*(AE$3-$X$3)/10))</f>
        <v>398402.21767680568</v>
      </c>
      <c r="AF29" s="588">
        <f>AF27*'R&amp;S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goods'!$AA$20)*(AF$3-$X$3)/10))+AF27*'R&amp;S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goods'!$AF$20)*(AF$3-$X$3)/10))+AF27*'R&amp;S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goods'!$AK$20)*(AF$3-$X$3)/10))</f>
        <v>407666.68903860927</v>
      </c>
      <c r="AG29" s="588">
        <f>AG27*'R&amp;S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goods'!$AA$20)*(AG$3-$X$3)/10))+AG27*'R&amp;S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goods'!$AF$20)*(AG$3-$X$3)/10))+AG27*'R&amp;S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goods'!$AK$20)*(AG$3-$X$3)/10))</f>
        <v>416785.64827791293</v>
      </c>
      <c r="AH29" s="588">
        <f>AH27*'R&amp;S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goods'!$AA$20)*(AH$3-$X$3)/10))+AH27*'R&amp;S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goods'!$AF$20)*(AH$3-$X$3)/10))+AH27*'R&amp;S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goods'!$AK$20)*(AH$3-$X$3)/10))</f>
        <v>425760.65347896109</v>
      </c>
      <c r="AI29" s="178"/>
      <c r="AJ29" s="99">
        <v>0</v>
      </c>
      <c r="AK29" s="99">
        <f>AK27*'R&amp;S - Packaging and hh goods'!$L$4/SUM('R&amp;S - Packaging and hh goods'!$L$4:$N$4)*'R&amp;S - Packaging and hh goods'!$E$8*('R&amp;S - Packaging and hh goods'!$H$15*'R&amp;S - Packaging and hh goods'!$AA$19*(AK$3-$D$3)/10)+AK27*'R&amp;S - Packaging and hh goods'!$M$4/SUM('R&amp;S - Packaging and hh goods'!$L$4:$N$4)*'R&amp;S - Packaging and hh goods'!$F$8*('R&amp;S - Packaging and hh goods'!$J$15*'R&amp;S - Packaging and hh goods'!$AF$19*(AK$3-$D$3)/10)+AK27*'R&amp;S - Packaging and hh goods'!$N$4/SUM('R&amp;S - Packaging and hh goods'!$L$4:$N$4)*'R&amp;S - Packaging and hh goods'!$G$8*('R&amp;S - Packaging and hh goods'!$L$15*'R&amp;S - Packaging and hh goods'!$AK$19*(AK$3-$D$3)/10)</f>
        <v>12178.37534450324</v>
      </c>
      <c r="AL29" s="99">
        <f>AL27*'R&amp;S - Packaging and hh goods'!$L$4/SUM('R&amp;S - Packaging and hh goods'!$L$4:$N$4)*'R&amp;S - Packaging and hh goods'!$E$8*('R&amp;S - Packaging and hh goods'!$H$15*'R&amp;S - Packaging and hh goods'!$AA$19*(AL$3-$D$3)/10)+AL27*'R&amp;S - Packaging and hh goods'!$M$4/SUM('R&amp;S - Packaging and hh goods'!$L$4:$N$4)*'R&amp;S - Packaging and hh goods'!$F$8*('R&amp;S - Packaging and hh goods'!$J$15*'R&amp;S - Packaging and hh goods'!$AF$19*(AL$3-$D$3)/10)+AL27*'R&amp;S - Packaging and hh goods'!$N$4/SUM('R&amp;S - Packaging and hh goods'!$L$4:$N$4)*'R&amp;S - Packaging and hh goods'!$G$8*('R&amp;S - Packaging and hh goods'!$L$15*'R&amp;S - Packaging and hh goods'!$AK$19*(AL$3-$D$3)/10)</f>
        <v>24190.013738594829</v>
      </c>
      <c r="AM29" s="99">
        <f>AM27*'R&amp;S - Packaging and hh goods'!$L$4/SUM('R&amp;S - Packaging and hh goods'!$L$4:$N$4)*'R&amp;S - Packaging and hh goods'!$E$8*('R&amp;S - Packaging and hh goods'!$H$15*'R&amp;S - Packaging and hh goods'!$AA$19*(AM$3-$D$3)/10)+AM27*'R&amp;S - Packaging and hh goods'!$M$4/SUM('R&amp;S - Packaging and hh goods'!$L$4:$N$4)*'R&amp;S - Packaging and hh goods'!$F$8*('R&amp;S - Packaging and hh goods'!$J$15*'R&amp;S - Packaging and hh goods'!$AF$19*(AM$3-$D$3)/10)+AM27*'R&amp;S - Packaging and hh goods'!$N$4/SUM('R&amp;S - Packaging and hh goods'!$L$4:$N$4)*'R&amp;S - Packaging and hh goods'!$G$8*('R&amp;S - Packaging and hh goods'!$L$15*'R&amp;S - Packaging and hh goods'!$AK$19*(AM$3-$D$3)/10)</f>
        <v>36036.627307856746</v>
      </c>
      <c r="AN29" s="99">
        <f>AN27*'R&amp;S - Packaging and hh goods'!$L$4/SUM('R&amp;S - Packaging and hh goods'!$L$4:$N$4)*'R&amp;S - Packaging and hh goods'!$E$8*('R&amp;S - Packaging and hh goods'!$H$15*'R&amp;S - Packaging and hh goods'!$AA$19*(AN$3-$D$3)/10)+AN27*'R&amp;S - Packaging and hh goods'!$M$4/SUM('R&amp;S - Packaging and hh goods'!$L$4:$N$4)*'R&amp;S - Packaging and hh goods'!$F$8*('R&amp;S - Packaging and hh goods'!$J$15*'R&amp;S - Packaging and hh goods'!$AF$19*(AN$3-$D$3)/10)+AN27*'R&amp;S - Packaging and hh goods'!$N$4/SUM('R&amp;S - Packaging and hh goods'!$L$4:$N$4)*'R&amp;S - Packaging and hh goods'!$G$8*('R&amp;S - Packaging and hh goods'!$L$15*'R&amp;S - Packaging and hh goods'!$AK$19*(AN$3-$D$3)/10)</f>
        <v>47719.912550466412</v>
      </c>
      <c r="AO29" s="99">
        <f>AO27*'R&amp;S - Packaging and hh goods'!$L$4/SUM('R&amp;S - Packaging and hh goods'!$L$4:$N$4)*'R&amp;S - Packaging and hh goods'!$E$8*('R&amp;S - Packaging and hh goods'!$H$15*'R&amp;S - Packaging and hh goods'!$AA$19*(AO$3-$D$3)/10)+AO27*'R&amp;S - Packaging and hh goods'!$M$4/SUM('R&amp;S - Packaging and hh goods'!$L$4:$N$4)*'R&amp;S - Packaging and hh goods'!$F$8*('R&amp;S - Packaging and hh goods'!$J$15*'R&amp;S - Packaging and hh goods'!$AF$19*(AO$3-$D$3)/10)+AO27*'R&amp;S - Packaging and hh goods'!$N$4/SUM('R&amp;S - Packaging and hh goods'!$L$4:$N$4)*'R&amp;S - Packaging and hh goods'!$G$8*('R&amp;S - Packaging and hh goods'!$L$15*'R&amp;S - Packaging and hh goods'!$AK$19*(AO$3-$D$3)/10)</f>
        <v>59241.550470920578</v>
      </c>
      <c r="AP29" s="99">
        <f>AP27*'R&amp;S - Packaging and hh goods'!$L$4/SUM('R&amp;S - Packaging and hh goods'!$L$4:$N$4)*'R&amp;S - Packaging and hh goods'!$E$8*('R&amp;S - Packaging and hh goods'!$H$15*'R&amp;S - Packaging and hh goods'!$AA$19*(AP$3-$D$3)/10)+AP27*'R&amp;S - Packaging and hh goods'!$M$4/SUM('R&amp;S - Packaging and hh goods'!$L$4:$N$4)*'R&amp;S - Packaging and hh goods'!$F$8*('R&amp;S - Packaging and hh goods'!$J$15*'R&amp;S - Packaging and hh goods'!$AF$19*(AP$3-$D$3)/10)+AP27*'R&amp;S - Packaging and hh goods'!$N$4/SUM('R&amp;S - Packaging and hh goods'!$L$4:$N$4)*'R&amp;S - Packaging and hh goods'!$G$8*('R&amp;S - Packaging and hh goods'!$L$15*'R&amp;S - Packaging and hh goods'!$AK$19*(AP$3-$D$3)/10)</f>
        <v>70603.206712661035</v>
      </c>
      <c r="AQ29" s="99">
        <f>AQ27*'R&amp;S - Packaging and hh goods'!$L$4/SUM('R&amp;S - Packaging and hh goods'!$L$4:$N$4)*'R&amp;S - Packaging and hh goods'!$E$8*('R&amp;S - Packaging and hh goods'!$H$15*'R&amp;S - Packaging and hh goods'!$AA$19*(AQ$3-$D$3)/10)+AQ27*'R&amp;S - Packaging and hh goods'!$M$4/SUM('R&amp;S - Packaging and hh goods'!$L$4:$N$4)*'R&amp;S - Packaging and hh goods'!$F$8*('R&amp;S - Packaging and hh goods'!$J$15*'R&amp;S - Packaging and hh goods'!$AF$19*(AQ$3-$D$3)/10)+AQ27*'R&amp;S - Packaging and hh goods'!$N$4/SUM('R&amp;S - Packaging and hh goods'!$L$4:$N$4)*'R&amp;S - Packaging and hh goods'!$G$8*('R&amp;S - Packaging and hh goods'!$L$15*'R&amp;S - Packaging and hh goods'!$AK$19*(AQ$3-$D$3)/10)</f>
        <v>81806.53168961007</v>
      </c>
      <c r="AR29" s="99">
        <f>AR27*'R&amp;S - Packaging and hh goods'!$L$4/SUM('R&amp;S - Packaging and hh goods'!$L$4:$N$4)*'R&amp;S - Packaging and hh goods'!$E$8*('R&amp;S - Packaging and hh goods'!$H$15*'R&amp;S - Packaging and hh goods'!$AA$19*(AR$3-$D$3)/10)+AR27*'R&amp;S - Packaging and hh goods'!$M$4/SUM('R&amp;S - Packaging and hh goods'!$L$4:$N$4)*'R&amp;S - Packaging and hh goods'!$F$8*('R&amp;S - Packaging and hh goods'!$J$15*'R&amp;S - Packaging and hh goods'!$AF$19*(AR$3-$D$3)/10)+AR27*'R&amp;S - Packaging and hh goods'!$N$4/SUM('R&amp;S - Packaging and hh goods'!$L$4:$N$4)*'R&amp;S - Packaging and hh goods'!$G$8*('R&amp;S - Packaging and hh goods'!$L$15*'R&amp;S - Packaging and hh goods'!$AK$19*(AR$3-$D$3)/10)</f>
        <v>92853.160716625513</v>
      </c>
      <c r="AS29" s="99">
        <f>AS27*'R&amp;S - Packaging and hh goods'!$L$4/SUM('R&amp;S - Packaging and hh goods'!$L$4:$N$4)*'R&amp;S - Packaging and hh goods'!$E$8*('R&amp;S - Packaging and hh goods'!$H$15*'R&amp;S - Packaging and hh goods'!$AA$19*(AS$3-$D$3)/10)+AS27*'R&amp;S - Packaging and hh goods'!$M$4/SUM('R&amp;S - Packaging and hh goods'!$L$4:$N$4)*'R&amp;S - Packaging and hh goods'!$F$8*('R&amp;S - Packaging and hh goods'!$J$15*'R&amp;S - Packaging and hh goods'!$AF$19*(AS$3-$D$3)/10)+AS27*'R&amp;S - Packaging and hh goods'!$N$4/SUM('R&amp;S - Packaging and hh goods'!$L$4:$N$4)*'R&amp;S - Packaging and hh goods'!$G$8*('R&amp;S - Packaging and hh goods'!$L$15*'R&amp;S - Packaging and hh goods'!$AK$19*(AS$3-$D$3)/10)</f>
        <v>103744.71413888285</v>
      </c>
      <c r="AT29" s="99">
        <f>AT27*'R&amp;S - Packaging and hh goods'!$L$4/SUM('R&amp;S - Packaging and hh goods'!$L$4:$N$4)*'R&amp;S - Packaging and hh goods'!$E$8*('R&amp;S - Packaging and hh goods'!$H$15*'R&amp;S - Packaging and hh goods'!$AA$19*(AT$3-$D$3)/10)+AT27*'R&amp;S - Packaging and hh goods'!$M$4/SUM('R&amp;S - Packaging and hh goods'!$L$4:$N$4)*'R&amp;S - Packaging and hh goods'!$F$8*('R&amp;S - Packaging and hh goods'!$J$15*'R&amp;S - Packaging and hh goods'!$AF$19*(AT$3-$D$3)/10)+AT27*'R&amp;S - Packaging and hh goods'!$N$4/SUM('R&amp;S - Packaging and hh goods'!$L$4:$N$4)*'R&amp;S - Packaging and hh goods'!$G$8*('R&amp;S - Packaging and hh goods'!$L$15*'R&amp;S - Packaging and hh goods'!$AK$19*(AT$3-$D$3)/10)</f>
        <v>114482.79746019382</v>
      </c>
      <c r="AU29" s="588">
        <f>AU27*'R&amp;S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goods'!$AA$19)*(AU$3-$N$3)/10))+AU27*'R&amp;S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goods'!$AF$19)*(AU$3-$N$3)/10))+AU27*'R&amp;S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goods'!$AK$19)*(AU$3-$N$3)/10))</f>
        <v>127904.43271156591</v>
      </c>
      <c r="AV29" s="588">
        <f>AV27*'R&amp;S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goods'!$AA$19)*(AV$3-$N$3)/10))+AV27*'R&amp;S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goods'!$AF$19)*(AV$3-$N$3)/10))+AV27*'R&amp;S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goods'!$AK$19)*(AV$3-$N$3)/10))</f>
        <v>141136.94430933558</v>
      </c>
      <c r="AW29" s="588">
        <f>AW27*'R&amp;S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goods'!$AA$19)*(AW$3-$N$3)/10))+AW27*'R&amp;S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goods'!$AF$19)*(AW$3-$N$3)/10))+AW27*'R&amp;S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goods'!$AK$19)*(AW$3-$N$3)/10))</f>
        <v>154182.29261840275</v>
      </c>
      <c r="AX29" s="588">
        <f>AX27*'R&amp;S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goods'!$AA$19)*(AX$3-$N$3)/10))+AX27*'R&amp;S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goods'!$AF$19)*(AX$3-$N$3)/10))+AX27*'R&amp;S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goods'!$AK$19)*(AX$3-$N$3)/10))</f>
        <v>167042.42002665662</v>
      </c>
      <c r="AY29" s="588">
        <f>AY27*'R&amp;S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goods'!$AA$19)*(AY$3-$N$3)/10))+AY27*'R&amp;S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goods'!$AF$19)*(AY$3-$N$3)/10))+AY27*'R&amp;S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goods'!$AK$19)*(AY$3-$N$3)/10))</f>
        <v>179719.25109923584</v>
      </c>
      <c r="AZ29" s="588">
        <f>AZ27*'R&amp;S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goods'!$AA$19)*(AZ$3-$N$3)/10))+AZ27*'R&amp;S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goods'!$AF$19)*(AZ$3-$N$3)/10))+AZ27*'R&amp;S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goods'!$AK$19)*(AZ$3-$N$3)/10))</f>
        <v>192214.69273151853</v>
      </c>
      <c r="BA29" s="588">
        <f>BA27*'R&amp;S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goods'!$AA$19)*(BA$3-$N$3)/10))+BA27*'R&amp;S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goods'!$AF$19)*(BA$3-$N$3)/10))+BA27*'R&amp;S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goods'!$AK$19)*(BA$3-$N$3)/10))</f>
        <v>204530.63430085327</v>
      </c>
      <c r="BB29" s="588">
        <f>BB27*'R&amp;S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goods'!$AA$19)*(BB$3-$N$3)/10))+BB27*'R&amp;S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goods'!$AF$19)*(BB$3-$N$3)/10))+BB27*'R&amp;S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goods'!$AK$19)*(BB$3-$N$3)/10))</f>
        <v>216668.9478170409</v>
      </c>
      <c r="BC29" s="588">
        <f>BC27*'R&amp;S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goods'!$AA$19)*(BC$3-$N$3)/10))+BC27*'R&amp;S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goods'!$AF$19)*(BC$3-$N$3)/10))+BC27*'R&amp;S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goods'!$AK$19)*(BC$3-$N$3)/10))</f>
        <v>228631.48807157658</v>
      </c>
      <c r="BD29" s="588">
        <f>BD27*'R&amp;S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goods'!$AA$19)*(BD$3-$N$3)/10))+BD27*'R&amp;S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goods'!$AF$19)*(BD$3-$N$3)/10))+BD27*'R&amp;S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goods'!$AK$19)*(BD$3-$N$3)/10))</f>
        <v>240420.09278566253</v>
      </c>
      <c r="BE29" s="588">
        <f>BE27*'R&amp;S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goods'!$AA$20)*(BE$3-$X$3)/10))+BE27*'R&amp;S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goods'!$AF$20)*(BE$3-$X$3)/10))+BE27*'R&amp;S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goods'!$AK$20)*(BE$3-$X$3)/10))</f>
        <v>247959.48063142365</v>
      </c>
      <c r="BF29" s="588">
        <f>BF27*'R&amp;S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goods'!$AA$20)*(BF$3-$X$3)/10))+BF27*'R&amp;S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goods'!$AF$20)*(BF$3-$X$3)/10))+BF27*'R&amp;S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goods'!$AK$20)*(BF$3-$X$3)/10))</f>
        <v>255384.37830135867</v>
      </c>
      <c r="BG29" s="588">
        <f>BG27*'R&amp;S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goods'!$AA$20)*(BG$3-$X$3)/10))+BG27*'R&amp;S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goods'!$AF$20)*(BG$3-$X$3)/10))+BG27*'R&amp;S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goods'!$AK$20)*(BG$3-$X$3)/10))</f>
        <v>262695.99999271624</v>
      </c>
      <c r="BH29" s="588">
        <f>BH27*'R&amp;S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goods'!$AA$20)*(BH$3-$X$3)/10))+BH27*'R&amp;S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goods'!$AF$20)*(BH$3-$X$3)/10))+BH27*'R&amp;S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goods'!$AK$20)*(BH$3-$X$3)/10))</f>
        <v>269895.54864418018</v>
      </c>
      <c r="BI29" s="588">
        <f>BI27*'R&amp;S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goods'!$AA$20)*(BI$3-$X$3)/10))+BI27*'R&amp;S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goods'!$AF$20)*(BI$3-$X$3)/10))+BI27*'R&amp;S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goods'!$AK$20)*(BI$3-$X$3)/10))</f>
        <v>276984.21603311284</v>
      </c>
      <c r="BJ29" s="588">
        <f>BJ27*'R&amp;S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goods'!$AA$20)*(BJ$3-$X$3)/10))+BJ27*'R&amp;S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goods'!$AF$20)*(BJ$3-$X$3)/10))+BJ27*'R&amp;S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goods'!$AK$20)*(BJ$3-$X$3)/10))</f>
        <v>283963.18287199514</v>
      </c>
      <c r="BK29" s="588">
        <f>BK27*'R&amp;S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goods'!$AA$20)*(BK$3-$X$3)/10))+BK27*'R&amp;S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goods'!$AF$20)*(BK$3-$X$3)/10))+BK27*'R&amp;S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goods'!$AK$20)*(BK$3-$X$3)/10))</f>
        <v>290833.61890406813</v>
      </c>
      <c r="BL29" s="588">
        <f>BL27*'R&amp;S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goods'!$AA$20)*(BL$3-$X$3)/10))+BL27*'R&amp;S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goods'!$AF$20)*(BL$3-$X$3)/10))+BL27*'R&amp;S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goods'!$AK$20)*(BL$3-$X$3)/10))</f>
        <v>297596.68299818475</v>
      </c>
      <c r="BM29" s="588">
        <f>BM27*'R&amp;S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goods'!$AA$20)*(BM$3-$X$3)/10))+BM27*'R&amp;S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goods'!$AF$20)*(BM$3-$X$3)/10))+BM27*'R&amp;S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goods'!$AK$20)*(BM$3-$X$3)/10))</f>
        <v>304253.5232428764</v>
      </c>
      <c r="BN29" s="588">
        <f>BN27*'R&amp;S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goods'!$AA$20)*(BN$3-$X$3)/10))+BN27*'R&amp;S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goods'!$AF$20)*(BN$3-$X$3)/10))+BN27*'R&amp;S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goods'!$AK$20)*(BN$3-$X$3)/10))</f>
        <v>310805.27703964163</v>
      </c>
      <c r="BQ29" s="625"/>
      <c r="BS29" s="626"/>
      <c r="BV29" s="626"/>
      <c r="BW29" s="181"/>
    </row>
    <row r="30" spans="1:90" outlineLevel="1">
      <c r="B30" s="1" t="s">
        <v>169</v>
      </c>
      <c r="C30" s="50" t="s">
        <v>1420</v>
      </c>
      <c r="D30" s="99">
        <f>SUM(D28:D29)</f>
        <v>0</v>
      </c>
      <c r="E30" s="99">
        <f t="shared" ref="E30:Y30" si="22">SUM(E28:E29)</f>
        <v>20711.520011789482</v>
      </c>
      <c r="F30" s="99">
        <f t="shared" si="22"/>
        <v>41139.473818115075</v>
      </c>
      <c r="G30" s="99">
        <f t="shared" si="22"/>
        <v>61286.77319680027</v>
      </c>
      <c r="H30" s="99">
        <f t="shared" si="22"/>
        <v>81156.303348453264</v>
      </c>
      <c r="I30" s="99">
        <f t="shared" si="22"/>
        <v>100750.92312388877</v>
      </c>
      <c r="J30" s="99">
        <f t="shared" si="22"/>
        <v>120073.46524968157</v>
      </c>
      <c r="K30" s="99">
        <f t="shared" si="22"/>
        <v>139126.73655186655</v>
      </c>
      <c r="L30" s="99">
        <f t="shared" si="22"/>
        <v>157913.51817780087</v>
      </c>
      <c r="M30" s="99">
        <f t="shared" si="22"/>
        <v>176436.5658162015</v>
      </c>
      <c r="N30" s="99">
        <f t="shared" si="22"/>
        <v>194698.60991537417</v>
      </c>
      <c r="O30" s="588">
        <f t="shared" si="22"/>
        <v>232968.05947723621</v>
      </c>
      <c r="P30" s="588">
        <f t="shared" ref="P30:X30" si="23">SUM(P28:P29)</f>
        <v>270704.42910953728</v>
      </c>
      <c r="Q30" s="588">
        <f t="shared" si="23"/>
        <v>307913.22393251566</v>
      </c>
      <c r="R30" s="588">
        <f t="shared" si="23"/>
        <v>344599.89867596905</v>
      </c>
      <c r="S30" s="588">
        <f t="shared" si="23"/>
        <v>380769.85811117879</v>
      </c>
      <c r="T30" s="588">
        <f t="shared" si="23"/>
        <v>416428.45747928042</v>
      </c>
      <c r="U30" s="588">
        <f t="shared" si="23"/>
        <v>451581.00291611248</v>
      </c>
      <c r="V30" s="588">
        <f t="shared" si="23"/>
        <v>486232.75187356811</v>
      </c>
      <c r="W30" s="588">
        <f t="shared" si="23"/>
        <v>520388.91353748017</v>
      </c>
      <c r="X30" s="588">
        <f t="shared" si="23"/>
        <v>554054.64924206526</v>
      </c>
      <c r="Y30" s="588">
        <f t="shared" si="22"/>
        <v>577703.49164712371</v>
      </c>
      <c r="Z30" s="588">
        <f t="shared" ref="Z30:AH30" si="24">SUM(Z28:Z29)</f>
        <v>601002.5879279389</v>
      </c>
      <c r="AA30" s="588">
        <f t="shared" si="24"/>
        <v>623955.61829676351</v>
      </c>
      <c r="AB30" s="588">
        <f t="shared" si="24"/>
        <v>646566.22896917397</v>
      </c>
      <c r="AC30" s="588">
        <f t="shared" si="24"/>
        <v>668838.03245706402</v>
      </c>
      <c r="AD30" s="588">
        <f t="shared" si="24"/>
        <v>690774.60785921954</v>
      </c>
      <c r="AE30" s="588">
        <f t="shared" si="24"/>
        <v>712379.50114949327</v>
      </c>
      <c r="AF30" s="588">
        <f t="shared" si="24"/>
        <v>733656.22546260001</v>
      </c>
      <c r="AG30" s="588">
        <f t="shared" si="24"/>
        <v>754608.26137755322</v>
      </c>
      <c r="AH30" s="588">
        <f t="shared" si="24"/>
        <v>775239.05719875777</v>
      </c>
      <c r="AI30" s="178"/>
      <c r="AJ30" s="99">
        <f>SUM(AJ28:AJ29)</f>
        <v>0</v>
      </c>
      <c r="AK30" s="99">
        <f t="shared" ref="AK30:BN30" si="25">SUM(AK28:AK29)</f>
        <v>15119.409608606322</v>
      </c>
      <c r="AL30" s="99">
        <f t="shared" si="25"/>
        <v>30031.815887224009</v>
      </c>
      <c r="AM30" s="99">
        <f t="shared" si="25"/>
        <v>44739.344433664191</v>
      </c>
      <c r="AN30" s="99">
        <f t="shared" si="25"/>
        <v>59244.101444370892</v>
      </c>
      <c r="AO30" s="99">
        <f t="shared" si="25"/>
        <v>73548.173880438786</v>
      </c>
      <c r="AP30" s="99">
        <f t="shared" si="25"/>
        <v>87653.629632267548</v>
      </c>
      <c r="AQ30" s="99">
        <f t="shared" si="25"/>
        <v>101562.51768286258</v>
      </c>
      <c r="AR30" s="99">
        <f t="shared" si="25"/>
        <v>115276.86826979464</v>
      </c>
      <c r="AS30" s="99">
        <f t="shared" si="25"/>
        <v>128798.69304582708</v>
      </c>
      <c r="AT30" s="99">
        <f t="shared" si="25"/>
        <v>142129.9852382231</v>
      </c>
      <c r="AU30" s="588">
        <f t="shared" si="25"/>
        <v>170066.68341838242</v>
      </c>
      <c r="AV30" s="588">
        <f t="shared" si="25"/>
        <v>197614.23324996218</v>
      </c>
      <c r="AW30" s="588">
        <f t="shared" si="25"/>
        <v>224776.65347073643</v>
      </c>
      <c r="AX30" s="588">
        <f t="shared" si="25"/>
        <v>251557.92603345745</v>
      </c>
      <c r="AY30" s="588">
        <f t="shared" si="25"/>
        <v>277961.99642116053</v>
      </c>
      <c r="AZ30" s="588">
        <f t="shared" si="25"/>
        <v>303992.77395987476</v>
      </c>
      <c r="BA30" s="588">
        <f t="shared" si="25"/>
        <v>329654.13212876208</v>
      </c>
      <c r="BB30" s="588">
        <f t="shared" si="25"/>
        <v>354949.90886770474</v>
      </c>
      <c r="BC30" s="588">
        <f t="shared" si="25"/>
        <v>379883.90688236058</v>
      </c>
      <c r="BD30" s="588">
        <f t="shared" si="25"/>
        <v>404459.89394670771</v>
      </c>
      <c r="BE30" s="588">
        <f t="shared" si="25"/>
        <v>421723.5489024003</v>
      </c>
      <c r="BF30" s="588">
        <f t="shared" si="25"/>
        <v>438731.88918739546</v>
      </c>
      <c r="BG30" s="588">
        <f t="shared" si="25"/>
        <v>455487.60135663737</v>
      </c>
      <c r="BH30" s="588">
        <f t="shared" si="25"/>
        <v>471993.347147497</v>
      </c>
      <c r="BI30" s="588">
        <f t="shared" si="25"/>
        <v>488251.76369365666</v>
      </c>
      <c r="BJ30" s="588">
        <f t="shared" si="25"/>
        <v>504265.46373723028</v>
      </c>
      <c r="BK30" s="588">
        <f t="shared" si="25"/>
        <v>520037.03583913</v>
      </c>
      <c r="BL30" s="588">
        <f t="shared" si="25"/>
        <v>535569.04458769807</v>
      </c>
      <c r="BM30" s="588">
        <f t="shared" si="25"/>
        <v>550864.03080561385</v>
      </c>
      <c r="BN30" s="588">
        <f t="shared" si="25"/>
        <v>565924.51175509323</v>
      </c>
      <c r="BS30" s="626"/>
      <c r="BV30" s="626"/>
      <c r="BW30" s="181"/>
    </row>
    <row r="31" spans="1:90" outlineLevel="1">
      <c r="B31" s="57" t="s">
        <v>194</v>
      </c>
      <c r="C31" s="50" t="s">
        <v>1420</v>
      </c>
      <c r="D31" s="99">
        <v>0</v>
      </c>
      <c r="E31" s="99">
        <f>E27*'R&amp;S - Packaging and hh goods'!$L$4/SUM('R&amp;S - Packaging and hh goods'!$L$4:$N$4)*'R&amp;S - Packaging and hh goods'!$E$9*('R&amp;S - Packaging and hh goods'!$I$14*'R&amp;S - Packaging and hh goods'!$AB$19*(E$3-$D$3)/10)+E27*'R&amp;S - Packaging and hh goods'!$M$4/SUM('R&amp;S - Packaging and hh goods'!$L$4:$N$4)*'R&amp;S - Packaging and hh goods'!$F$9*('R&amp;S - Packaging and hh goods'!$K$14*'R&amp;S - Packaging and hh goods'!$AG$19*(E$3-$D$3)/10)+E27*'R&amp;S - Packaging and hh goods'!$N$4/SUM('R&amp;S - Packaging and hh goods'!$L$4:$N$4)*'R&amp;S - Packaging and hh goods'!$G$9*('R&amp;S - Packaging and hh goods'!$M$14*'R&amp;S - Packaging and hh goods'!$AL$19*(E$3-$D$3)/10)</f>
        <v>13980.278037511494</v>
      </c>
      <c r="F31" s="99">
        <f>F27*'R&amp;S - Packaging and hh goods'!$L$4/SUM('R&amp;S - Packaging and hh goods'!$L$4:$N$4)*'R&amp;S - Packaging and hh goods'!$E$9*('R&amp;S - Packaging and hh goods'!$I$14*'R&amp;S - Packaging and hh goods'!$AB$19*(F$3-$D$3)/10)+F27*'R&amp;S - Packaging and hh goods'!$M$4/SUM('R&amp;S - Packaging and hh goods'!$L$4:$N$4)*'R&amp;S - Packaging and hh goods'!$F$9*('R&amp;S - Packaging and hh goods'!$K$14*'R&amp;S - Packaging and hh goods'!$AG$19*(F$3-$D$3)/10)+F27*'R&amp;S - Packaging and hh goods'!$N$4/SUM('R&amp;S - Packaging and hh goods'!$L$4:$N$4)*'R&amp;S - Packaging and hh goods'!$G$9*('R&amp;S - Packaging and hh goods'!$M$14*'R&amp;S - Packaging and hh goods'!$AL$19*(F$3-$D$3)/10)</f>
        <v>27769.148858547782</v>
      </c>
      <c r="G31" s="99">
        <f>G27*'R&amp;S - Packaging and hh goods'!$L$4/SUM('R&amp;S - Packaging and hh goods'!$L$4:$N$4)*'R&amp;S - Packaging and hh goods'!$E$9*('R&amp;S - Packaging and hh goods'!$I$14*'R&amp;S - Packaging and hh goods'!$AB$19*(G$3-$D$3)/10)+G27*'R&amp;S - Packaging and hh goods'!$M$4/SUM('R&amp;S - Packaging and hh goods'!$L$4:$N$4)*'R&amp;S - Packaging and hh goods'!$F$9*('R&amp;S - Packaging and hh goods'!$K$14*'R&amp;S - Packaging and hh goods'!$AG$19*(G$3-$D$3)/10)+G27*'R&amp;S - Packaging and hh goods'!$N$4/SUM('R&amp;S - Packaging and hh goods'!$L$4:$N$4)*'R&amp;S - Packaging and hh goods'!$G$9*('R&amp;S - Packaging and hh goods'!$M$14*'R&amp;S - Packaging and hh goods'!$AL$19*(G$3-$D$3)/10)</f>
        <v>41368.577913425033</v>
      </c>
      <c r="H31" s="99">
        <f>H27*'R&amp;S - Packaging and hh goods'!$L$4/SUM('R&amp;S - Packaging and hh goods'!$L$4:$N$4)*'R&amp;S - Packaging and hh goods'!$E$9*('R&amp;S - Packaging and hh goods'!$I$14*'R&amp;S - Packaging and hh goods'!$AB$19*(H$3-$D$3)/10)+H27*'R&amp;S - Packaging and hh goods'!$M$4/SUM('R&amp;S - Packaging and hh goods'!$L$4:$N$4)*'R&amp;S - Packaging and hh goods'!$F$9*('R&amp;S - Packaging and hh goods'!$K$14*'R&amp;S - Packaging and hh goods'!$AG$19*(H$3-$D$3)/10)+H27*'R&amp;S - Packaging and hh goods'!$N$4/SUM('R&amp;S - Packaging and hh goods'!$L$4:$N$4)*'R&amp;S - Packaging and hh goods'!$G$9*('R&amp;S - Packaging and hh goods'!$M$14*'R&amp;S - Packaging and hh goods'!$AL$19*(H$3-$D$3)/10)</f>
        <v>54780.51271283652</v>
      </c>
      <c r="I31" s="99">
        <f>I27*'R&amp;S - Packaging and hh goods'!$L$4/SUM('R&amp;S - Packaging and hh goods'!$L$4:$N$4)*'R&amp;S - Packaging and hh goods'!$E$9*('R&amp;S - Packaging and hh goods'!$I$14*'R&amp;S - Packaging and hh goods'!$AB$19*(I$3-$D$3)/10)+I27*'R&amp;S - Packaging and hh goods'!$M$4/SUM('R&amp;S - Packaging and hh goods'!$L$4:$N$4)*'R&amp;S - Packaging and hh goods'!$F$9*('R&amp;S - Packaging and hh goods'!$K$14*'R&amp;S - Packaging and hh goods'!$AG$19*(I$3-$D$3)/10)+I27*'R&amp;S - Packaging and hh goods'!$N$4/SUM('R&amp;S - Packaging and hh goods'!$L$4:$N$4)*'R&amp;S - Packaging and hh goods'!$G$9*('R&amp;S - Packaging and hh goods'!$M$14*'R&amp;S - Packaging and hh goods'!$AL$19*(I$3-$D$3)/10)</f>
        <v>68006.882981362316</v>
      </c>
      <c r="J31" s="99">
        <f>J27*'R&amp;S - Packaging and hh goods'!$L$4/SUM('R&amp;S - Packaging and hh goods'!$L$4:$N$4)*'R&amp;S - Packaging and hh goods'!$E$9*('R&amp;S - Packaging and hh goods'!$I$14*'R&amp;S - Packaging and hh goods'!$AB$19*(J$3-$D$3)/10)+J27*'R&amp;S - Packaging and hh goods'!$M$4/SUM('R&amp;S - Packaging and hh goods'!$L$4:$N$4)*'R&amp;S - Packaging and hh goods'!$F$9*('R&amp;S - Packaging and hh goods'!$K$14*'R&amp;S - Packaging and hh goods'!$AG$19*(J$3-$D$3)/10)+J27*'R&amp;S - Packaging and hh goods'!$N$4/SUM('R&amp;S - Packaging and hh goods'!$L$4:$N$4)*'R&amp;S - Packaging and hh goods'!$G$9*('R&amp;S - Packaging and hh goods'!$M$14*'R&amp;S - Packaging and hh goods'!$AL$19*(J$3-$D$3)/10)</f>
        <v>81049.600809717987</v>
      </c>
      <c r="K31" s="99">
        <f>K27*'R&amp;S - Packaging and hh goods'!$L$4/SUM('R&amp;S - Packaging and hh goods'!$L$4:$N$4)*'R&amp;S - Packaging and hh goods'!$E$9*('R&amp;S - Packaging and hh goods'!$I$14*'R&amp;S - Packaging and hh goods'!$AB$19*(K$3-$D$3)/10)+K27*'R&amp;S - Packaging and hh goods'!$M$4/SUM('R&amp;S - Packaging and hh goods'!$L$4:$N$4)*'R&amp;S - Packaging and hh goods'!$F$9*('R&amp;S - Packaging and hh goods'!$K$14*'R&amp;S - Packaging and hh goods'!$AG$19*(K$3-$D$3)/10)+K27*'R&amp;S - Packaging and hh goods'!$N$4/SUM('R&amp;S - Packaging and hh goods'!$L$4:$N$4)*'R&amp;S - Packaging and hh goods'!$G$9*('R&amp;S - Packaging and hh goods'!$M$14*'R&amp;S - Packaging and hh goods'!$AL$19*(K$3-$D$3)/10)</f>
        <v>93910.560805752117</v>
      </c>
      <c r="L31" s="99">
        <f>L27*'R&amp;S - Packaging and hh goods'!$L$4/SUM('R&amp;S - Packaging and hh goods'!$L$4:$N$4)*'R&amp;S - Packaging and hh goods'!$E$9*('R&amp;S - Packaging and hh goods'!$I$14*'R&amp;S - Packaging and hh goods'!$AB$19*(L$3-$D$3)/10)+L27*'R&amp;S - Packaging and hh goods'!$M$4/SUM('R&amp;S - Packaging and hh goods'!$L$4:$N$4)*'R&amp;S - Packaging and hh goods'!$F$9*('R&amp;S - Packaging and hh goods'!$K$14*'R&amp;S - Packaging and hh goods'!$AG$19*(L$3-$D$3)/10)+L27*'R&amp;S - Packaging and hh goods'!$N$4/SUM('R&amp;S - Packaging and hh goods'!$L$4:$N$4)*'R&amp;S - Packaging and hh goods'!$G$9*('R&amp;S - Packaging and hh goods'!$M$14*'R&amp;S - Packaging and hh goods'!$AL$19*(L$3-$D$3)/10)</f>
        <v>106591.6402442033</v>
      </c>
      <c r="M31" s="99">
        <f>M27*'R&amp;S - Packaging and hh goods'!$L$4/SUM('R&amp;S - Packaging and hh goods'!$L$4:$N$4)*'R&amp;S - Packaging and hh goods'!$E$9*('R&amp;S - Packaging and hh goods'!$I$14*'R&amp;S - Packaging and hh goods'!$AB$19*(M$3-$D$3)/10)+M27*'R&amp;S - Packaging and hh goods'!$M$4/SUM('R&amp;S - Packaging and hh goods'!$L$4:$N$4)*'R&amp;S - Packaging and hh goods'!$F$9*('R&amp;S - Packaging and hh goods'!$K$14*'R&amp;S - Packaging and hh goods'!$AG$19*(M$3-$D$3)/10)+M27*'R&amp;S - Packaging and hh goods'!$N$4/SUM('R&amp;S - Packaging and hh goods'!$L$4:$N$4)*'R&amp;S - Packaging and hh goods'!$G$9*('R&amp;S - Packaging and hh goods'!$M$14*'R&amp;S - Packaging and hh goods'!$AL$19*(M$3-$D$3)/10)</f>
        <v>119094.69921522554</v>
      </c>
      <c r="N31" s="99">
        <f>N27*'R&amp;S - Packaging and hh goods'!$L$4/SUM('R&amp;S - Packaging and hh goods'!$L$4:$N$4)*'R&amp;S - Packaging and hh goods'!$E$9*('R&amp;S - Packaging and hh goods'!$I$14*'R&amp;S - Packaging and hh goods'!$AB$19*(N$3-$D$3)/10)+N27*'R&amp;S - Packaging and hh goods'!$M$4/SUM('R&amp;S - Packaging and hh goods'!$L$4:$N$4)*'R&amp;S - Packaging and hh goods'!$F$9*('R&amp;S - Packaging and hh goods'!$K$14*'R&amp;S - Packaging and hh goods'!$AG$19*(N$3-$D$3)/10)+N27*'R&amp;S - Packaging and hh goods'!$N$4/SUM('R&amp;S - Packaging and hh goods'!$L$4:$N$4)*'R&amp;S - Packaging and hh goods'!$G$9*('R&amp;S - Packaging and hh goods'!$M$14*'R&amp;S - Packaging and hh goods'!$AL$19*(N$3-$D$3)/10)</f>
        <v>131421.5807716928</v>
      </c>
      <c r="O31" s="588">
        <f>O27*'R&amp;S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goods'!$AB$19)*(O$3-$N$3)/10))+O27*'R&amp;S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goods'!$AG$19)*(O$3-$N$3)/10))+O27*'R&amp;S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goods'!$AL$19)*(O$3-$N$3)/10))</f>
        <v>147047.04658729708</v>
      </c>
      <c r="P31" s="588">
        <f>P27*'R&amp;S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goods'!$AB$19)*(P$3-$N$3)/10))+P27*'R&amp;S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goods'!$AG$19)*(P$3-$N$3)/10))+P27*'R&amp;S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goods'!$AL$19)*(P$3-$N$3)/10))</f>
        <v>162452.42180297693</v>
      </c>
      <c r="Q31" s="588">
        <f>Q27*'R&amp;S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goods'!$AB$19)*(Q$3-$N$3)/10))+Q27*'R&amp;S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goods'!$AG$19)*(Q$3-$N$3)/10))+Q27*'R&amp;S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goods'!$AL$19)*(Q$3-$N$3)/10))</f>
        <v>177639.98748234505</v>
      </c>
      <c r="R31" s="588">
        <f>R27*'R&amp;S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goods'!$AB$19)*(R$3-$N$3)/10))+R27*'R&amp;S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goods'!$AG$19)*(R$3-$N$3)/10))+R27*'R&amp;S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goods'!$AL$19)*(R$3-$N$3)/10))</f>
        <v>192612.0037724305</v>
      </c>
      <c r="S31" s="588">
        <f>S27*'R&amp;S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goods'!$AB$19)*(S$3-$N$3)/10))+S27*'R&amp;S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goods'!$AG$19)*(S$3-$N$3)/10))+S27*'R&amp;S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goods'!$AL$19)*(S$3-$N$3)/10))</f>
        <v>207370.71008315601</v>
      </c>
      <c r="T31" s="588">
        <f>T27*'R&amp;S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goods'!$AB$19)*(T$3-$N$3)/10))+T27*'R&amp;S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goods'!$AG$19)*(T$3-$N$3)/10))+T27*'R&amp;S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goods'!$AL$19)*(T$3-$N$3)/10))</f>
        <v>221918.32526533856</v>
      </c>
      <c r="U31" s="588">
        <f>U27*'R&amp;S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goods'!$AB$19)*(U$3-$N$3)/10))+U27*'R&amp;S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goods'!$AG$19)*(U$3-$N$3)/10))+U27*'R&amp;S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goods'!$AL$19)*(U$3-$N$3)/10))</f>
        <v>236257.04778722464</v>
      </c>
      <c r="V31" s="588">
        <f>V27*'R&amp;S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goods'!$AB$19)*(V$3-$N$3)/10))+V27*'R&amp;S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goods'!$AG$19)*(V$3-$N$3)/10))+V27*'R&amp;S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goods'!$AL$19)*(V$3-$N$3)/10))</f>
        <v>250389.05590957182</v>
      </c>
      <c r="W31" s="588">
        <f>W27*'R&amp;S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goods'!$AB$19)*(W$3-$N$3)/10))+W27*'R&amp;S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goods'!$AG$19)*(W$3-$N$3)/10))+W27*'R&amp;S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goods'!$AL$19)*(W$3-$N$3)/10))</f>
        <v>264316.50785928871</v>
      </c>
      <c r="X31" s="588">
        <f>X27*'R&amp;S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goods'!$AB$19)*(X$3-$N$3)/10))+X27*'R&amp;S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goods'!$AG$19)*(X$3-$N$3)/10))+X27*'R&amp;S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goods'!$AL$19)*(X$3-$N$3)/10))</f>
        <v>278041.54200164409</v>
      </c>
      <c r="Y31" s="588">
        <f>Y27*'R&amp;S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goods'!$AB$20)*(Y$3-$X$3)/10))+Y27*'R&amp;S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goods'!$AG$20)*(Y$3-$X$3)/10))+Y27*'R&amp;S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goods'!$AL$20)*(Y$3-$X$3)/10))</f>
        <v>286828.05944874766</v>
      </c>
      <c r="Z31" s="588">
        <f>Z27*'R&amp;S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goods'!$AB$20)*(Z$3-$X$3)/10))+Z27*'R&amp;S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goods'!$AG$20)*(Z$3-$X$3)/10))+Z27*'R&amp;S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goods'!$AL$20)*(Z$3-$X$3)/10))</f>
        <v>295481.24894717912</v>
      </c>
      <c r="AA31" s="588">
        <f>AA27*'R&amp;S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goods'!$AB$20)*(AA$3-$X$3)/10))+AA27*'R&amp;S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goods'!$AG$20)*(AA$3-$X$3)/10))+AA27*'R&amp;S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goods'!$AL$20)*(AA$3-$X$3)/10))</f>
        <v>304002.52416293637</v>
      </c>
      <c r="AB31" s="588">
        <f>AB27*'R&amp;S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goods'!$AB$20)*(AB$3-$X$3)/10))+AB27*'R&amp;S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goods'!$AG$20)*(AB$3-$X$3)/10))+AB27*'R&amp;S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goods'!$AL$20)*(AB$3-$X$3)/10))</f>
        <v>312393.28565526393</v>
      </c>
      <c r="AC31" s="588">
        <f>AC27*'R&amp;S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goods'!$AB$20)*(AC$3-$X$3)/10))+AC27*'R&amp;S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goods'!$AG$20)*(AC$3-$X$3)/10))+AC27*'R&amp;S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goods'!$AL$20)*(AC$3-$X$3)/10))</f>
        <v>320654.9209898531</v>
      </c>
      <c r="AD31" s="588">
        <f>AD27*'R&amp;S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goods'!$AB$20)*(AD$3-$X$3)/10))+AD27*'R&amp;S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goods'!$AG$20)*(AD$3-$X$3)/10))+AD27*'R&amp;S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goods'!$AL$20)*(AD$3-$X$3)/10))</f>
        <v>328788.80485110567</v>
      </c>
      <c r="AE31" s="588">
        <f>AE27*'R&amp;S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goods'!$AB$20)*(AE$3-$X$3)/10))+AE27*'R&amp;S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goods'!$AG$20)*(AE$3-$X$3)/10))+AE27*'R&amp;S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goods'!$AL$20)*(AE$3-$X$3)/10))</f>
        <v>336796.29915346997</v>
      </c>
      <c r="AF31" s="588">
        <f>AF27*'R&amp;S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goods'!$AB$20)*(AF$3-$X$3)/10))+AF27*'R&amp;S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goods'!$AG$20)*(AF$3-$X$3)/10))+AF27*'R&amp;S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goods'!$AL$20)*(AF$3-$X$3)/10))</f>
        <v>344678.7531518563</v>
      </c>
      <c r="AG31" s="588">
        <f>AG27*'R&amp;S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goods'!$AB$20)*(AG$3-$X$3)/10))+AG27*'R&amp;S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goods'!$AG$20)*(AG$3-$X$3)/10))+AG27*'R&amp;S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goods'!$AL$20)*(AG$3-$X$3)/10))</f>
        <v>352437.5035511388</v>
      </c>
      <c r="AH31" s="588">
        <f>AH27*'R&amp;S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goods'!$AB$20)*(AH$3-$X$3)/10))+AH27*'R&amp;S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goods'!$AG$20)*(AH$3-$X$3)/10))+AH27*'R&amp;S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goods'!$AL$20)*(AH$3-$X$3)/10))</f>
        <v>360073.87461475184</v>
      </c>
      <c r="AI31" s="178"/>
      <c r="AJ31" s="99">
        <v>0</v>
      </c>
      <c r="AK31" s="99">
        <f>AK27*'R&amp;S - Packaging and hh goods'!$L$4/SUM('R&amp;S - Packaging and hh goods'!$L$4:$N$4)*'R&amp;S - Packaging and hh goods'!$E$9*('R&amp;S - Packaging and hh goods'!$I$15*'R&amp;S - Packaging and hh goods'!$AB$19*(AK$3-$D$3)/10)+AK27*'R&amp;S - Packaging and hh goods'!$M$4/SUM('R&amp;S - Packaging and hh goods'!$L$4:$N$4)*'R&amp;S - Packaging and hh goods'!$F$9*('R&amp;S - Packaging and hh goods'!$K$15*'R&amp;S - Packaging and hh goods'!$AG$19*(AK$3-$D$3)/10)+AK27*'R&amp;S - Packaging and hh goods'!$N$4/SUM('R&amp;S - Packaging and hh goods'!$L$4:$N$4)*'R&amp;S - Packaging and hh goods'!$G$9*('R&amp;S - Packaging and hh goods'!$M$15*'R&amp;S - Packaging and hh goods'!$AL$19*(AK$3-$D$3)/10)</f>
        <v>11418.01350354436</v>
      </c>
      <c r="AL31" s="99">
        <f>AL27*'R&amp;S - Packaging and hh goods'!$L$4/SUM('R&amp;S - Packaging and hh goods'!$L$4:$N$4)*'R&amp;S - Packaging and hh goods'!$E$9*('R&amp;S - Packaging and hh goods'!$I$15*'R&amp;S - Packaging and hh goods'!$AB$19*(AL$3-$D$3)/10)+AL27*'R&amp;S - Packaging and hh goods'!$M$4/SUM('R&amp;S - Packaging and hh goods'!$L$4:$N$4)*'R&amp;S - Packaging and hh goods'!$F$9*('R&amp;S - Packaging and hh goods'!$K$15*'R&amp;S - Packaging and hh goods'!$AG$19*(AL$3-$D$3)/10)+AL27*'R&amp;S - Packaging and hh goods'!$N$4/SUM('R&amp;S - Packaging and hh goods'!$L$4:$N$4)*'R&amp;S - Packaging and hh goods'!$G$9*('R&amp;S - Packaging and hh goods'!$M$15*'R&amp;S - Packaging and hh goods'!$AL$19*(AL$3-$D$3)/10)</f>
        <v>22679.700346308033</v>
      </c>
      <c r="AM31" s="99">
        <f>AM27*'R&amp;S - Packaging and hh goods'!$L$4/SUM('R&amp;S - Packaging and hh goods'!$L$4:$N$4)*'R&amp;S - Packaging and hh goods'!$E$9*('R&amp;S - Packaging and hh goods'!$I$15*'R&amp;S - Packaging and hh goods'!$AB$19*(AM$3-$D$3)/10)+AM27*'R&amp;S - Packaging and hh goods'!$M$4/SUM('R&amp;S - Packaging and hh goods'!$L$4:$N$4)*'R&amp;S - Packaging and hh goods'!$F$9*('R&amp;S - Packaging and hh goods'!$K$15*'R&amp;S - Packaging and hh goods'!$AG$19*(AM$3-$D$3)/10)+AM27*'R&amp;S - Packaging and hh goods'!$N$4/SUM('R&amp;S - Packaging and hh goods'!$L$4:$N$4)*'R&amp;S - Packaging and hh goods'!$G$9*('R&amp;S - Packaging and hh goods'!$M$15*'R&amp;S - Packaging and hh goods'!$AL$19*(AM$3-$D$3)/10)</f>
        <v>33786.665756612689</v>
      </c>
      <c r="AN31" s="99">
        <f>AN27*'R&amp;S - Packaging and hh goods'!$L$4/SUM('R&amp;S - Packaging and hh goods'!$L$4:$N$4)*'R&amp;S - Packaging and hh goods'!$E$9*('R&amp;S - Packaging and hh goods'!$I$15*'R&amp;S - Packaging and hh goods'!$AB$19*(AN$3-$D$3)/10)+AN27*'R&amp;S - Packaging and hh goods'!$M$4/SUM('R&amp;S - Packaging and hh goods'!$L$4:$N$4)*'R&amp;S - Packaging and hh goods'!$F$9*('R&amp;S - Packaging and hh goods'!$K$15*'R&amp;S - Packaging and hh goods'!$AG$19*(AN$3-$D$3)/10)+AN27*'R&amp;S - Packaging and hh goods'!$N$4/SUM('R&amp;S - Packaging and hh goods'!$L$4:$N$4)*'R&amp;S - Packaging and hh goods'!$G$9*('R&amp;S - Packaging and hh goods'!$M$15*'R&amp;S - Packaging and hh goods'!$AL$19*(AN$3-$D$3)/10)</f>
        <v>44740.50031107878</v>
      </c>
      <c r="AO31" s="99">
        <f>AO27*'R&amp;S - Packaging and hh goods'!$L$4/SUM('R&amp;S - Packaging and hh goods'!$L$4:$N$4)*'R&amp;S - Packaging and hh goods'!$E$9*('R&amp;S - Packaging and hh goods'!$I$15*'R&amp;S - Packaging and hh goods'!$AB$19*(AO$3-$D$3)/10)+AO27*'R&amp;S - Packaging and hh goods'!$M$4/SUM('R&amp;S - Packaging and hh goods'!$L$4:$N$4)*'R&amp;S - Packaging and hh goods'!$F$9*('R&amp;S - Packaging and hh goods'!$K$15*'R&amp;S - Packaging and hh goods'!$AG$19*(AO$3-$D$3)/10)+AO27*'R&amp;S - Packaging and hh goods'!$N$4/SUM('R&amp;S - Packaging and hh goods'!$L$4:$N$4)*'R&amp;S - Packaging and hh goods'!$G$9*('R&amp;S - Packaging and hh goods'!$M$15*'R&amp;S - Packaging and hh goods'!$AL$19*(AO$3-$D$3)/10)</f>
        <v>55542.780060000485</v>
      </c>
      <c r="AP31" s="99">
        <f>AP27*'R&amp;S - Packaging and hh goods'!$L$4/SUM('R&amp;S - Packaging and hh goods'!$L$4:$N$4)*'R&amp;S - Packaging and hh goods'!$E$9*('R&amp;S - Packaging and hh goods'!$I$15*'R&amp;S - Packaging and hh goods'!$AB$19*(AP$3-$D$3)/10)+AP27*'R&amp;S - Packaging and hh goods'!$M$4/SUM('R&amp;S - Packaging and hh goods'!$L$4:$N$4)*'R&amp;S - Packaging and hh goods'!$F$9*('R&amp;S - Packaging and hh goods'!$K$15*'R&amp;S - Packaging and hh goods'!$AG$19*(AP$3-$D$3)/10)+AP27*'R&amp;S - Packaging and hh goods'!$N$4/SUM('R&amp;S - Packaging and hh goods'!$L$4:$N$4)*'R&amp;S - Packaging and hh goods'!$G$9*('R&amp;S - Packaging and hh goods'!$M$15*'R&amp;S - Packaging and hh goods'!$AL$19*(AP$3-$D$3)/10)</f>
        <v>66195.06665169062</v>
      </c>
      <c r="AQ31" s="99">
        <f>AQ27*'R&amp;S - Packaging and hh goods'!$L$4/SUM('R&amp;S - Packaging and hh goods'!$L$4:$N$4)*'R&amp;S - Packaging and hh goods'!$E$9*('R&amp;S - Packaging and hh goods'!$I$15*'R&amp;S - Packaging and hh goods'!$AB$19*(AQ$3-$D$3)/10)+AQ27*'R&amp;S - Packaging and hh goods'!$M$4/SUM('R&amp;S - Packaging and hh goods'!$L$4:$N$4)*'R&amp;S - Packaging and hh goods'!$F$9*('R&amp;S - Packaging and hh goods'!$K$15*'R&amp;S - Packaging and hh goods'!$AG$19*(AQ$3-$D$3)/10)+AQ27*'R&amp;S - Packaging and hh goods'!$N$4/SUM('R&amp;S - Packaging and hh goods'!$L$4:$N$4)*'R&amp;S - Packaging and hh goods'!$G$9*('R&amp;S - Packaging and hh goods'!$M$15*'R&amp;S - Packaging and hh goods'!$AL$19*(AQ$3-$D$3)/10)</f>
        <v>76698.90745580387</v>
      </c>
      <c r="AR31" s="99">
        <f>AR27*'R&amp;S - Packaging and hh goods'!$L$4/SUM('R&amp;S - Packaging and hh goods'!$L$4:$N$4)*'R&amp;S - Packaging and hh goods'!$E$9*('R&amp;S - Packaging and hh goods'!$I$15*'R&amp;S - Packaging and hh goods'!$AB$19*(AR$3-$D$3)/10)+AR27*'R&amp;S - Packaging and hh goods'!$M$4/SUM('R&amp;S - Packaging and hh goods'!$L$4:$N$4)*'R&amp;S - Packaging and hh goods'!$F$9*('R&amp;S - Packaging and hh goods'!$K$15*'R&amp;S - Packaging and hh goods'!$AG$19*(AR$3-$D$3)/10)+AR27*'R&amp;S - Packaging and hh goods'!$N$4/SUM('R&amp;S - Packaging and hh goods'!$L$4:$N$4)*'R&amp;S - Packaging and hh goods'!$G$9*('R&amp;S - Packaging and hh goods'!$M$15*'R&amp;S - Packaging and hh goods'!$AL$19*(AR$3-$D$3)/10)</f>
        <v>87055.835685646685</v>
      </c>
      <c r="AS31" s="99">
        <f>AS27*'R&amp;S - Packaging and hh goods'!$L$4/SUM('R&amp;S - Packaging and hh goods'!$L$4:$N$4)*'R&amp;S - Packaging and hh goods'!$E$9*('R&amp;S - Packaging and hh goods'!$I$15*'R&amp;S - Packaging and hh goods'!$AB$19*(AS$3-$D$3)/10)+AS27*'R&amp;S - Packaging and hh goods'!$M$4/SUM('R&amp;S - Packaging and hh goods'!$L$4:$N$4)*'R&amp;S - Packaging and hh goods'!$F$9*('R&amp;S - Packaging and hh goods'!$K$15*'R&amp;S - Packaging and hh goods'!$AG$19*(AS$3-$D$3)/10)+AS27*'R&amp;S - Packaging and hh goods'!$N$4/SUM('R&amp;S - Packaging and hh goods'!$L$4:$N$4)*'R&amp;S - Packaging and hh goods'!$G$9*('R&amp;S - Packaging and hh goods'!$M$15*'R&amp;S - Packaging and hh goods'!$AL$19*(AS$3-$D$3)/10)</f>
        <v>97267.370519481425</v>
      </c>
      <c r="AT31" s="99">
        <f>AT27*'R&amp;S - Packaging and hh goods'!$L$4/SUM('R&amp;S - Packaging and hh goods'!$L$4:$N$4)*'R&amp;S - Packaging and hh goods'!$E$9*('R&amp;S - Packaging and hh goods'!$I$15*'R&amp;S - Packaging and hh goods'!$AB$19*(AT$3-$D$3)/10)+AT27*'R&amp;S - Packaging and hh goods'!$M$4/SUM('R&amp;S - Packaging and hh goods'!$L$4:$N$4)*'R&amp;S - Packaging and hh goods'!$F$9*('R&amp;S - Packaging and hh goods'!$K$15*'R&amp;S - Packaging and hh goods'!$AG$19*(AT$3-$D$3)/10)+AT27*'R&amp;S - Packaging and hh goods'!$N$4/SUM('R&amp;S - Packaging and hh goods'!$L$4:$N$4)*'R&amp;S - Packaging and hh goods'!$G$9*('R&amp;S - Packaging and hh goods'!$M$15*'R&amp;S - Packaging and hh goods'!$AL$19*(AT$3-$D$3)/10)</f>
        <v>107335.01722083334</v>
      </c>
      <c r="AU31" s="588">
        <f>AU27*'R&amp;S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goods'!$AB$19)*(AU$3-$N$3)/10))+AU27*'R&amp;S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goods'!$AG$19)*(AU$3-$N$3)/10))+AU27*'R&amp;S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goods'!$AL$19)*(AU$3-$N$3)/10))</f>
        <v>120096.26086172667</v>
      </c>
      <c r="AV31" s="588">
        <f>AV27*'R&amp;S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goods'!$AB$19)*(AV$3-$N$3)/10))+AV27*'R&amp;S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goods'!$AG$19)*(AV$3-$N$3)/10))+AV27*'R&amp;S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goods'!$AL$19)*(AV$3-$N$3)/10))</f>
        <v>132677.75738563368</v>
      </c>
      <c r="AW31" s="588">
        <f>AW27*'R&amp;S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goods'!$AB$19)*(AW$3-$N$3)/10))+AW27*'R&amp;S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goods'!$AG$19)*(AW$3-$N$3)/10))+AW27*'R&amp;S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goods'!$AL$19)*(AW$3-$N$3)/10))</f>
        <v>145081.36972869528</v>
      </c>
      <c r="AX31" s="588">
        <f>AX27*'R&amp;S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goods'!$AB$19)*(AX$3-$N$3)/10))+AX27*'R&amp;S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goods'!$AG$19)*(AX$3-$N$3)/10))+AX27*'R&amp;S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goods'!$AL$19)*(AX$3-$N$3)/10))</f>
        <v>157308.94374455372</v>
      </c>
      <c r="AY31" s="588">
        <f>AY27*'R&amp;S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goods'!$AB$19)*(AY$3-$N$3)/10))+AY27*'R&amp;S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goods'!$AG$19)*(AY$3-$N$3)/10))+AY27*'R&amp;S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goods'!$AL$19)*(AY$3-$N$3)/10))</f>
        <v>169362.30835093171</v>
      </c>
      <c r="AZ31" s="588">
        <f>AZ27*'R&amp;S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goods'!$AB$19)*(AZ$3-$N$3)/10))+AZ27*'R&amp;S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goods'!$AG$19)*(AZ$3-$N$3)/10))+AZ27*'R&amp;S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goods'!$AL$19)*(AZ$3-$N$3)/10))</f>
        <v>181243.27567500426</v>
      </c>
      <c r="BA31" s="588">
        <f>BA27*'R&amp;S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goods'!$AB$19)*(BA$3-$N$3)/10))+BA27*'R&amp;S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goods'!$AG$19)*(BA$3-$N$3)/10))+BA27*'R&amp;S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goods'!$AL$19)*(BA$3-$N$3)/10))</f>
        <v>192953.64119757473</v>
      </c>
      <c r="BB31" s="588">
        <f>BB27*'R&amp;S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goods'!$AB$19)*(BB$3-$N$3)/10))+BB27*'R&amp;S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goods'!$AG$19)*(BB$3-$N$3)/10))+BB27*'R&amp;S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goods'!$AL$19)*(BB$3-$N$3)/10))</f>
        <v>204495.1838960633</v>
      </c>
      <c r="BC31" s="588">
        <f>BC27*'R&amp;S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goods'!$AB$19)*(BC$3-$N$3)/10))+BC27*'R&amp;S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goods'!$AG$19)*(BC$3-$N$3)/10))+BC27*'R&amp;S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goods'!$AL$19)*(BC$3-$N$3)/10))</f>
        <v>215869.66638631804</v>
      </c>
      <c r="BD31" s="588">
        <f>BD27*'R&amp;S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goods'!$AB$19)*(BD$3-$N$3)/10))+BD27*'R&amp;S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goods'!$AG$19)*(BD$3-$N$3)/10))+BD27*'R&amp;S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goods'!$AL$19)*(BD$3-$N$3)/10))</f>
        <v>227078.83506325752</v>
      </c>
      <c r="BE31" s="588">
        <f>BE27*'R&amp;S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goods'!$AB$20)*(BE$3-$X$3)/10))+BE27*'R&amp;S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goods'!$AG$20)*(BE$3-$X$3)/10))+BE27*'R&amp;S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goods'!$AL$20)*(BE$3-$X$3)/10))</f>
        <v>234254.16785380614</v>
      </c>
      <c r="BF31" s="588">
        <f>BF27*'R&amp;S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goods'!$AB$20)*(BF$3-$X$3)/10))+BF27*'R&amp;S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goods'!$AG$20)*(BF$3-$X$3)/10))+BF27*'R&amp;S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goods'!$AL$20)*(BF$3-$X$3)/10))</f>
        <v>241320.62003444385</v>
      </c>
      <c r="BG31" s="588">
        <f>BG27*'R&amp;S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goods'!$AB$20)*(BG$3-$X$3)/10))+BG27*'R&amp;S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goods'!$AG$20)*(BG$3-$X$3)/10))+BG27*'R&amp;S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goods'!$AL$20)*(BG$3-$X$3)/10))</f>
        <v>248279.34606106897</v>
      </c>
      <c r="BH31" s="588">
        <f>BH27*'R&amp;S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goods'!$AB$20)*(BH$3-$X$3)/10))+BH27*'R&amp;S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goods'!$AG$20)*(BH$3-$X$3)/10))+BH27*'R&amp;S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goods'!$AL$20)*(BH$3-$X$3)/10))</f>
        <v>255131.48968606937</v>
      </c>
      <c r="BI31" s="588">
        <f>BI27*'R&amp;S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goods'!$AB$20)*(BI$3-$X$3)/10))+BI27*'R&amp;S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goods'!$AG$20)*(BI$3-$X$3)/10))+BI27*'R&amp;S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goods'!$AL$20)*(BI$3-$X$3)/10))</f>
        <v>261878.18405076652</v>
      </c>
      <c r="BJ31" s="588">
        <f>BJ27*'R&amp;S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goods'!$AB$20)*(BJ$3-$X$3)/10))+BJ27*'R&amp;S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goods'!$AG$20)*(BJ$3-$X$3)/10))+BJ27*'R&amp;S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goods'!$AL$20)*(BJ$3-$X$3)/10))</f>
        <v>268520.55177709513</v>
      </c>
      <c r="BK31" s="588">
        <f>BK27*'R&amp;S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goods'!$AB$20)*(BK$3-$X$3)/10))+BK27*'R&amp;S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goods'!$AG$20)*(BK$3-$X$3)/10))+BK27*'R&amp;S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goods'!$AL$20)*(BK$3-$X$3)/10))</f>
        <v>275059.70505852415</v>
      </c>
      <c r="BL31" s="588">
        <f>BL27*'R&amp;S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goods'!$AB$20)*(BL$3-$X$3)/10))+BL27*'R&amp;S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goods'!$AG$20)*(BL$3-$X$3)/10))+BL27*'R&amp;S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goods'!$AL$20)*(BL$3-$X$3)/10))</f>
        <v>281496.7457502273</v>
      </c>
      <c r="BM31" s="588">
        <f>BM27*'R&amp;S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goods'!$AB$20)*(BM$3-$X$3)/10))+BM27*'R&amp;S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goods'!$AG$20)*(BM$3-$X$3)/10))+BM27*'R&amp;S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goods'!$AL$20)*(BM$3-$X$3)/10))</f>
        <v>287832.76545850595</v>
      </c>
      <c r="BN31" s="588">
        <f>BN27*'R&amp;S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goods'!$AB$20)*(BN$3-$X$3)/10))+BN27*'R&amp;S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goods'!$AG$20)*(BN$3-$X$3)/10))+BN27*'R&amp;S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goods'!$AL$20)*(BN$3-$X$3)/10))</f>
        <v>294068.84562947426</v>
      </c>
      <c r="BS31" s="626"/>
      <c r="BV31" s="626"/>
      <c r="BW31" s="181"/>
    </row>
    <row r="32" spans="1:90" outlineLevel="1">
      <c r="B32" s="57" t="s">
        <v>185</v>
      </c>
      <c r="C32" s="50" t="s">
        <v>1420</v>
      </c>
      <c r="D32" s="99">
        <v>0</v>
      </c>
      <c r="E32" s="99">
        <f>E31*'R&amp;S - Packaging and hh goods'!$L$4/SUM('R&amp;S - Packaging and hh goods'!$L$4:$N$4)*'R&amp;S - Packaging and hh goods'!$E$10*('R&amp;S - Packaging and hh goods'!$I$14*'R&amp;S - Packaging and hh goods'!$AC$19*(E$3-$D$3)/10)+E31*'R&amp;S - Packaging and hh goods'!$M$4/SUM('R&amp;S - Packaging and hh goods'!$L$4:$N$4)*'R&amp;S - Packaging and hh goods'!$F$10*('R&amp;S - Packaging and hh goods'!$K$14*'R&amp;S - Packaging and hh goods'!$AH$19*(E$3-$D$3)/10)+E31*'R&amp;S - Packaging and hh goods'!$N$4/SUM('R&amp;S - Packaging and hh goods'!$L$4:$N$4)*'R&amp;S - Packaging and hh goods'!$G$10*('R&amp;S - Packaging and hh goods'!$M$14*'R&amp;S - Packaging and hh goods'!$AM$19*(E$3-$D$3)/10)</f>
        <v>26.876770330653464</v>
      </c>
      <c r="F32" s="99">
        <f>F27*'R&amp;S - Packaging and hh goods'!$L$4/SUM('R&amp;S - Packaging and hh goods'!$L$4:$N$4)*'R&amp;S - Packaging and hh goods'!$E$10*('R&amp;S - Packaging and hh goods'!$I$14*'R&amp;S - Packaging and hh goods'!$AC$19*(F$3-$D$3)/10)+F27*'R&amp;S - Packaging and hh goods'!$M$4/SUM('R&amp;S - Packaging and hh goods'!$L$4:$N$4)*'R&amp;S - Packaging and hh goods'!$F$10*('R&amp;S - Packaging and hh goods'!$K$14*'R&amp;S - Packaging and hh goods'!$AH$19*(F$3-$D$3)/10)+F27*'R&amp;S - Packaging and hh goods'!$N$4/SUM('R&amp;S - Packaging and hh goods'!$L$4:$N$4)*'R&amp;S - Packaging and hh goods'!$G$10*('R&amp;S - Packaging and hh goods'!$M$14*'R&amp;S - Packaging and hh goods'!$AM$19*(F$3-$D$3)/10)</f>
        <v>10945.214037889997</v>
      </c>
      <c r="G32" s="99">
        <f>G27*'R&amp;S - Packaging and hh goods'!$L$4/SUM('R&amp;S - Packaging and hh goods'!$L$4:$N$4)*'R&amp;S - Packaging and hh goods'!$E$10*('R&amp;S - Packaging and hh goods'!$I$14*'R&amp;S - Packaging and hh goods'!$AC$19*(G$3-$D$3)/10)+G27*'R&amp;S - Packaging and hh goods'!$M$4/SUM('R&amp;S - Packaging and hh goods'!$L$4:$N$4)*'R&amp;S - Packaging and hh goods'!$F$10*('R&amp;S - Packaging and hh goods'!$K$14*'R&amp;S - Packaging and hh goods'!$AH$19*(G$3-$D$3)/10)+G27*'R&amp;S - Packaging and hh goods'!$N$4/SUM('R&amp;S - Packaging and hh goods'!$L$4:$N$4)*'R&amp;S - Packaging and hh goods'!$G$10*('R&amp;S - Packaging and hh goods'!$M$14*'R&amp;S - Packaging and hh goods'!$AM$19*(G$3-$D$3)/10)</f>
        <v>16305.430966285825</v>
      </c>
      <c r="H32" s="99">
        <f>H27*'R&amp;S - Packaging and hh goods'!$L$4/SUM('R&amp;S - Packaging and hh goods'!$L$4:$N$4)*'R&amp;S - Packaging and hh goods'!$E$10*('R&amp;S - Packaging and hh goods'!$I$14*'R&amp;S - Packaging and hh goods'!$AC$19*(H$3-$D$3)/10)+H27*'R&amp;S - Packaging and hh goods'!$M$4/SUM('R&amp;S - Packaging and hh goods'!$L$4:$N$4)*'R&amp;S - Packaging and hh goods'!$F$10*('R&amp;S - Packaging and hh goods'!$K$14*'R&amp;S - Packaging and hh goods'!$AH$19*(H$3-$D$3)/10)+H27*'R&amp;S - Packaging and hh goods'!$N$4/SUM('R&amp;S - Packaging and hh goods'!$L$4:$N$4)*'R&amp;S - Packaging and hh goods'!$G$10*('R&amp;S - Packaging and hh goods'!$M$14*'R&amp;S - Packaging and hh goods'!$AM$19*(H$3-$D$3)/10)</f>
        <v>21591.747006779005</v>
      </c>
      <c r="I32" s="99">
        <f>I27*'R&amp;S - Packaging and hh goods'!$L$4/SUM('R&amp;S - Packaging and hh goods'!$L$4:$N$4)*'R&amp;S - Packaging and hh goods'!$E$10*('R&amp;S - Packaging and hh goods'!$I$14*'R&amp;S - Packaging and hh goods'!$AC$19*(I$3-$D$3)/10)+I27*'R&amp;S - Packaging and hh goods'!$M$4/SUM('R&amp;S - Packaging and hh goods'!$L$4:$N$4)*'R&amp;S - Packaging and hh goods'!$F$10*('R&amp;S - Packaging and hh goods'!$K$14*'R&amp;S - Packaging and hh goods'!$AH$19*(I$3-$D$3)/10)+I27*'R&amp;S - Packaging and hh goods'!$N$4/SUM('R&amp;S - Packaging and hh goods'!$L$4:$N$4)*'R&amp;S - Packaging and hh goods'!$G$10*('R&amp;S - Packaging and hh goods'!$M$14*'R&amp;S - Packaging and hh goods'!$AM$19*(I$3-$D$3)/10)</f>
        <v>26804.922760591799</v>
      </c>
      <c r="J32" s="99">
        <f>J27*'R&amp;S - Packaging and hh goods'!$L$4/SUM('R&amp;S - Packaging and hh goods'!$L$4:$N$4)*'R&amp;S - Packaging and hh goods'!$E$10*('R&amp;S - Packaging and hh goods'!$I$14*'R&amp;S - Packaging and hh goods'!$AC$19*(J$3-$D$3)/10)+J27*'R&amp;S - Packaging and hh goods'!$M$4/SUM('R&amp;S - Packaging and hh goods'!$L$4:$N$4)*'R&amp;S - Packaging and hh goods'!$F$10*('R&amp;S - Packaging and hh goods'!$K$14*'R&amp;S - Packaging and hh goods'!$AH$19*(J$3-$D$3)/10)+J27*'R&amp;S - Packaging and hh goods'!$N$4/SUM('R&amp;S - Packaging and hh goods'!$L$4:$N$4)*'R&amp;S - Packaging and hh goods'!$G$10*('R&amp;S - Packaging and hh goods'!$M$14*'R&amp;S - Packaging and hh goods'!$AM$19*(J$3-$D$3)/10)</f>
        <v>31945.711878556216</v>
      </c>
      <c r="K32" s="99">
        <f>K27*'R&amp;S - Packaging and hh goods'!$L$4/SUM('R&amp;S - Packaging and hh goods'!$L$4:$N$4)*'R&amp;S - Packaging and hh goods'!$E$10*('R&amp;S - Packaging and hh goods'!$I$14*'R&amp;S - Packaging and hh goods'!$AC$19*(K$3-$D$3)/10)+K27*'R&amp;S - Packaging and hh goods'!$M$4/SUM('R&amp;S - Packaging and hh goods'!$L$4:$N$4)*'R&amp;S - Packaging and hh goods'!$F$10*('R&amp;S - Packaging and hh goods'!$K$14*'R&amp;S - Packaging and hh goods'!$AH$19*(K$3-$D$3)/10)+K27*'R&amp;S - Packaging and hh goods'!$N$4/SUM('R&amp;S - Packaging and hh goods'!$L$4:$N$4)*'R&amp;S - Packaging and hh goods'!$G$10*('R&amp;S - Packaging and hh goods'!$M$14*'R&amp;S - Packaging and hh goods'!$AM$19*(K$3-$D$3)/10)</f>
        <v>37014.861120629743</v>
      </c>
      <c r="L32" s="99">
        <f>L27*'R&amp;S - Packaging and hh goods'!$L$4/SUM('R&amp;S - Packaging and hh goods'!$L$4:$N$4)*'R&amp;S - Packaging and hh goods'!$E$10*('R&amp;S - Packaging and hh goods'!$I$14*'R&amp;S - Packaging and hh goods'!$AC$19*(L$3-$D$3)/10)+L27*'R&amp;S - Packaging and hh goods'!$M$4/SUM('R&amp;S - Packaging and hh goods'!$L$4:$N$4)*'R&amp;S - Packaging and hh goods'!$F$10*('R&amp;S - Packaging and hh goods'!$K$14*'R&amp;S - Packaging and hh goods'!$AH$19*(L$3-$D$3)/10)+L27*'R&amp;S - Packaging and hh goods'!$N$4/SUM('R&amp;S - Packaging and hh goods'!$L$4:$N$4)*'R&amp;S - Packaging and hh goods'!$G$10*('R&amp;S - Packaging and hh goods'!$M$14*'R&amp;S - Packaging and hh goods'!$AM$19*(L$3-$D$3)/10)</f>
        <v>42013.110414922034</v>
      </c>
      <c r="M32" s="99">
        <f>M27*'R&amp;S - Packaging and hh goods'!$L$4/SUM('R&amp;S - Packaging and hh goods'!$L$4:$N$4)*'R&amp;S - Packaging and hh goods'!$E$10*('R&amp;S - Packaging and hh goods'!$I$14*'R&amp;S - Packaging and hh goods'!$AC$19*(M$3-$D$3)/10)+M27*'R&amp;S - Packaging and hh goods'!$M$4/SUM('R&amp;S - Packaging and hh goods'!$L$4:$N$4)*'R&amp;S - Packaging and hh goods'!$F$10*('R&amp;S - Packaging and hh goods'!$K$14*'R&amp;S - Packaging and hh goods'!$AH$19*(M$3-$D$3)/10)+M27*'R&amp;S - Packaging and hh goods'!$N$4/SUM('R&amp;S - Packaging and hh goods'!$L$4:$N$4)*'R&amp;S - Packaging and hh goods'!$G$10*('R&amp;S - Packaging and hh goods'!$M$14*'R&amp;S - Packaging and hh goods'!$AM$19*(M$3-$D$3)/10)</f>
        <v>46941.192916236265</v>
      </c>
      <c r="N32" s="99">
        <f>N27*'R&amp;S - Packaging and hh goods'!$L$4/SUM('R&amp;S - Packaging and hh goods'!$L$4:$N$4)*'R&amp;S - Packaging and hh goods'!$E$10*('R&amp;S - Packaging and hh goods'!$I$14*'R&amp;S - Packaging and hh goods'!$AC$19*(N$3-$D$3)/10)+N27*'R&amp;S - Packaging and hh goods'!$M$4/SUM('R&amp;S - Packaging and hh goods'!$L$4:$N$4)*'R&amp;S - Packaging and hh goods'!$F$10*('R&amp;S - Packaging and hh goods'!$K$14*'R&amp;S - Packaging and hh goods'!$AH$19*(N$3-$D$3)/10)+N27*'R&amp;S - Packaging and hh goods'!$N$4/SUM('R&amp;S - Packaging and hh goods'!$L$4:$N$4)*'R&amp;S - Packaging and hh goods'!$G$10*('R&amp;S - Packaging and hh goods'!$M$14*'R&amp;S - Packaging and hh goods'!$AM$19*(N$3-$D$3)/10)</f>
        <v>51799.835064129169</v>
      </c>
      <c r="O32" s="588">
        <f>O27*'R&amp;S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goods'!$AC$19)*(O$3-$N$3)/10))+O27*'R&amp;S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goods'!$AH$19)*(O$3-$N$3)/10))+O27*'R&amp;S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goods'!$AM$19)*(O$3-$N$3)/10))</f>
        <v>56984.451658606864</v>
      </c>
      <c r="P32" s="588">
        <f>P27*'R&amp;S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goods'!$AC$19)*(P$3-$N$3)/10))+P27*'R&amp;S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goods'!$AH$19)*(P$3-$N$3)/10))+P27*'R&amp;S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goods'!$AM$19)*(P$3-$N$3)/10))</f>
        <v>62095.657002214721</v>
      </c>
      <c r="Q32" s="588">
        <f>Q27*'R&amp;S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goods'!$AC$19)*(Q$3-$N$3)/10))+Q27*'R&amp;S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goods'!$AH$19)*(Q$3-$N$3)/10))+Q27*'R&amp;S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goods'!$AM$19)*(Q$3-$N$3)/10))</f>
        <v>67134.213221503465</v>
      </c>
      <c r="R32" s="588">
        <f>R27*'R&amp;S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goods'!$AC$19)*(R$3-$N$3)/10))+R27*'R&amp;S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goods'!$AH$19)*(R$3-$N$3)/10))+R27*'R&amp;S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goods'!$AM$19)*(R$3-$N$3)/10))</f>
        <v>72100.875448804305</v>
      </c>
      <c r="S32" s="588">
        <f>S27*'R&amp;S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goods'!$AC$19)*(S$3-$N$3)/10))+S27*'R&amp;S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goods'!$AH$19)*(S$3-$N$3)/10))+S27*'R&amp;S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goods'!$AM$19)*(S$3-$N$3)/10))</f>
        <v>76996.391882273369</v>
      </c>
      <c r="T32" s="588">
        <f>T27*'R&amp;S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goods'!$AC$19)*(T$3-$N$3)/10))+T27*'R&amp;S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goods'!$AH$19)*(T$3-$N$3)/10))+T27*'R&amp;S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goods'!$AM$19)*(T$3-$N$3)/10))</f>
        <v>81821.503845441679</v>
      </c>
      <c r="U32" s="588">
        <f>U27*'R&amp;S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goods'!$AC$19)*(U$3-$N$3)/10))+U27*'R&amp;S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goods'!$AH$19)*(U$3-$N$3)/10))+U27*'R&amp;S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goods'!$AM$19)*(U$3-$N$3)/10))</f>
        <v>86576.945846274903</v>
      </c>
      <c r="V32" s="588">
        <f>V27*'R&amp;S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goods'!$AC$19)*(V$3-$N$3)/10))+V27*'R&amp;S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goods'!$AH$19)*(V$3-$N$3)/10))+V27*'R&amp;S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goods'!$AM$19)*(V$3-$N$3)/10))</f>
        <v>91263.445635746466</v>
      </c>
      <c r="W32" s="588">
        <f>W27*'R&amp;S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goods'!$AC$19)*(W$3-$N$3)/10))+W27*'R&amp;S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goods'!$AH$19)*(W$3-$N$3)/10))+W27*'R&amp;S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goods'!$AM$19)*(W$3-$N$3)/10))</f>
        <v>95881.724265928438</v>
      </c>
      <c r="X32" s="588">
        <f>X27*'R&amp;S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goods'!$AC$19)*(X$3-$N$3)/10))+X27*'R&amp;S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goods'!$AH$19)*(X$3-$N$3)/10))+X27*'R&amp;S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goods'!$AM$19)*(X$3-$N$3)/10))</f>
        <v>100432.49614760332</v>
      </c>
      <c r="Y32" s="588">
        <f>Y27*'R&amp;S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goods'!$AC$20)*(Y$3-$X$3)/10))+Y27*'R&amp;S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goods'!$AH$20)*(Y$3-$X$3)/10))+Y27*'R&amp;S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goods'!$AM$20)*(Y$3-$X$3)/10))</f>
        <v>103149.95806055158</v>
      </c>
      <c r="Z32" s="588">
        <f>Z27*'R&amp;S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goods'!$AC$20)*(Z$3-$X$3)/10))+Z27*'R&amp;S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goods'!$AH$20)*(Z$3-$X$3)/10))+Z27*'R&amp;S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goods'!$AM$20)*(Z$3-$X$3)/10))</f>
        <v>105825.50806162661</v>
      </c>
      <c r="AA32" s="588">
        <f>AA27*'R&amp;S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goods'!$AC$20)*(AA$3-$X$3)/10))+AA27*'R&amp;S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goods'!$AH$20)*(AA$3-$X$3)/10))+AA27*'R&amp;S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goods'!$AM$20)*(AA$3-$X$3)/10))</f>
        <v>108459.59262956902</v>
      </c>
      <c r="AB32" s="588">
        <f>AB27*'R&amp;S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goods'!$AC$20)*(AB$3-$X$3)/10))+AB27*'R&amp;S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goods'!$AH$20)*(AB$3-$X$3)/10))+AB27*'R&amp;S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goods'!$AM$20)*(AB$3-$X$3)/10))</f>
        <v>111052.65409437058</v>
      </c>
      <c r="AC32" s="588">
        <f>AC27*'R&amp;S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goods'!$AC$20)*(AC$3-$X$3)/10))+AC27*'R&amp;S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goods'!$AH$20)*(AC$3-$X$3)/10))+AC27*'R&amp;S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goods'!$AM$20)*(AC$3-$X$3)/10))</f>
        <v>113605.13067315292</v>
      </c>
      <c r="AD32" s="588">
        <f>AD27*'R&amp;S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goods'!$AC$20)*(AD$3-$X$3)/10))+AD27*'R&amp;S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goods'!$AH$20)*(AD$3-$X$3)/10))+AD27*'R&amp;S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goods'!$AM$20)*(AD$3-$X$3)/10))</f>
        <v>116117.45650574908</v>
      </c>
      <c r="AE32" s="588">
        <f>AE27*'R&amp;S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goods'!$AC$20)*(AE$3-$X$3)/10))+AE27*'R&amp;S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goods'!$AH$20)*(AE$3-$X$3)/10))+AE27*'R&amp;S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goods'!$AM$20)*(AE$3-$X$3)/10))</f>
        <v>118590.0616899905</v>
      </c>
      <c r="AF32" s="588">
        <f>AF27*'R&amp;S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goods'!$AC$20)*(AF$3-$X$3)/10))+AF27*'R&amp;S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goods'!$AH$20)*(AF$3-$X$3)/10))+AF27*'R&amp;S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goods'!$AM$20)*(AF$3-$X$3)/10))</f>
        <v>121023.37231670227</v>
      </c>
      <c r="AG32" s="588">
        <f>AG27*'R&amp;S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goods'!$AC$20)*(AG$3-$X$3)/10))+AG27*'R&amp;S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goods'!$AH$20)*(AG$3-$X$3)/10))+AG27*'R&amp;S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goods'!$AM$20)*(AG$3-$X$3)/10))</f>
        <v>123417.8105044085</v>
      </c>
      <c r="AH32" s="588">
        <f>AH27*'R&amp;S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goods'!$AC$20)*(AH$3-$X$3)/10))+AH27*'R&amp;S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goods'!$AH$20)*(AH$3-$X$3)/10))+AH27*'R&amp;S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goods'!$AM$20)*(AH$3-$X$3)/10))</f>
        <v>125773.79443375045</v>
      </c>
      <c r="AI32" s="178"/>
      <c r="AJ32" s="99">
        <v>0</v>
      </c>
      <c r="AK32" s="99">
        <f>AK31*'R&amp;S - Packaging and hh goods'!$L$4/SUM('R&amp;S - Packaging and hh goods'!$L$4:$N$4)*'R&amp;S - Packaging and hh goods'!$E$10*('R&amp;S - Packaging and hh goods'!$I$15*'R&amp;S - Packaging and hh goods'!$AC$19*(AK$3-$D$3)/10)+AK31*'R&amp;S - Packaging and hh goods'!$M$4/SUM('R&amp;S - Packaging and hh goods'!$L$4:$N$4)*'R&amp;S - Packaging and hh goods'!$F$10*('R&amp;S - Packaging and hh goods'!$K$15*'R&amp;S - Packaging and hh goods'!$AH$19*(AK$3-$D$3)/10)+AK31*'R&amp;S - Packaging and hh goods'!$N$4/SUM('R&amp;S - Packaging and hh goods'!$L$4:$N$4)*'R&amp;S - Packaging and hh goods'!$G$10*('R&amp;S - Packaging and hh goods'!$M$15*'R&amp;S - Packaging and hh goods'!$AM$19*(AK$3-$D$3)/10)</f>
        <v>17.88931136844969</v>
      </c>
      <c r="AL32" s="99">
        <f>AL27*'R&amp;S - Packaging and hh goods'!$L$4/SUM('R&amp;S - Packaging and hh goods'!$L$4:$N$4)*'R&amp;S - Packaging and hh goods'!$E$10*('R&amp;S - Packaging and hh goods'!$I$15*'R&amp;S - Packaging and hh goods'!$AC$19*(AL$3-$D$3)/10)+AL27*'R&amp;S - Packaging and hh goods'!$M$4/SUM('R&amp;S - Packaging and hh goods'!$L$4:$N$4)*'R&amp;S - Packaging and hh goods'!$F$10*('R&amp;S - Packaging and hh goods'!$K$15*'R&amp;S - Packaging and hh goods'!$AH$19*(AL$3-$D$3)/10)+AL27*'R&amp;S - Packaging and hh goods'!$N$4/SUM('R&amp;S - Packaging and hh goods'!$L$4:$N$4)*'R&amp;S - Packaging and hh goods'!$G$10*('R&amp;S - Packaging and hh goods'!$M$15*'R&amp;S - Packaging and hh goods'!$AM$19*(AL$3-$D$3)/10)</f>
        <v>8920.0247244850034</v>
      </c>
      <c r="AM32" s="99">
        <f>AM27*'R&amp;S - Packaging and hh goods'!$L$4/SUM('R&amp;S - Packaging and hh goods'!$L$4:$N$4)*'R&amp;S - Packaging and hh goods'!$E$10*('R&amp;S - Packaging and hh goods'!$I$15*'R&amp;S - Packaging and hh goods'!$AC$19*(AM$3-$D$3)/10)+AM27*'R&amp;S - Packaging and hh goods'!$M$4/SUM('R&amp;S - Packaging and hh goods'!$L$4:$N$4)*'R&amp;S - Packaging and hh goods'!$F$10*('R&amp;S - Packaging and hh goods'!$K$15*'R&amp;S - Packaging and hh goods'!$AH$19*(AM$3-$D$3)/10)+AM27*'R&amp;S - Packaging and hh goods'!$N$4/SUM('R&amp;S - Packaging and hh goods'!$L$4:$N$4)*'R&amp;S - Packaging and hh goods'!$G$10*('R&amp;S - Packaging and hh goods'!$M$15*'R&amp;S - Packaging and hh goods'!$AM$19*(AM$3-$D$3)/10)</f>
        <v>13288.442497255321</v>
      </c>
      <c r="AN32" s="99">
        <f>AN27*'R&amp;S - Packaging and hh goods'!$L$4/SUM('R&amp;S - Packaging and hh goods'!$L$4:$N$4)*'R&amp;S - Packaging and hh goods'!$E$10*('R&amp;S - Packaging and hh goods'!$I$15*'R&amp;S - Packaging and hh goods'!$AC$19*(AN$3-$D$3)/10)+AN27*'R&amp;S - Packaging and hh goods'!$M$4/SUM('R&amp;S - Packaging and hh goods'!$L$4:$N$4)*'R&amp;S - Packaging and hh goods'!$F$10*('R&amp;S - Packaging and hh goods'!$K$15*'R&amp;S - Packaging and hh goods'!$AH$19*(AN$3-$D$3)/10)+AN27*'R&amp;S - Packaging and hh goods'!$N$4/SUM('R&amp;S - Packaging and hh goods'!$L$4:$N$4)*'R&amp;S - Packaging and hh goods'!$G$10*('R&amp;S - Packaging and hh goods'!$M$15*'R&amp;S - Packaging and hh goods'!$AM$19*(AN$3-$D$3)/10)</f>
        <v>17596.633238834562</v>
      </c>
      <c r="AO32" s="99">
        <f>AO27*'R&amp;S - Packaging and hh goods'!$L$4/SUM('R&amp;S - Packaging and hh goods'!$L$4:$N$4)*'R&amp;S - Packaging and hh goods'!$E$10*('R&amp;S - Packaging and hh goods'!$I$15*'R&amp;S - Packaging and hh goods'!$AC$19*(AO$3-$D$3)/10)+AO27*'R&amp;S - Packaging and hh goods'!$M$4/SUM('R&amp;S - Packaging and hh goods'!$L$4:$N$4)*'R&amp;S - Packaging and hh goods'!$F$10*('R&amp;S - Packaging and hh goods'!$K$15*'R&amp;S - Packaging and hh goods'!$AH$19*(AO$3-$D$3)/10)+AO27*'R&amp;S - Packaging and hh goods'!$N$4/SUM('R&amp;S - Packaging and hh goods'!$L$4:$N$4)*'R&amp;S - Packaging and hh goods'!$G$10*('R&amp;S - Packaging and hh goods'!$M$15*'R&amp;S - Packaging and hh goods'!$AM$19*(AO$3-$D$3)/10)</f>
        <v>21845.216816653785</v>
      </c>
      <c r="AP32" s="99">
        <f>AP27*'R&amp;S - Packaging and hh goods'!$L$4/SUM('R&amp;S - Packaging and hh goods'!$L$4:$N$4)*'R&amp;S - Packaging and hh goods'!$E$10*('R&amp;S - Packaging and hh goods'!$I$15*'R&amp;S - Packaging and hh goods'!$AC$19*(AP$3-$D$3)/10)+AP27*'R&amp;S - Packaging and hh goods'!$M$4/SUM('R&amp;S - Packaging and hh goods'!$L$4:$N$4)*'R&amp;S - Packaging and hh goods'!$F$10*('R&amp;S - Packaging and hh goods'!$K$15*'R&amp;S - Packaging and hh goods'!$AH$19*(AP$3-$D$3)/10)+AP27*'R&amp;S - Packaging and hh goods'!$N$4/SUM('R&amp;S - Packaging and hh goods'!$L$4:$N$4)*'R&amp;S - Packaging and hh goods'!$G$10*('R&amp;S - Packaging and hh goods'!$M$15*'R&amp;S - Packaging and hh goods'!$AM$19*(AP$3-$D$3)/10)</f>
        <v>26034.807433782189</v>
      </c>
      <c r="AQ32" s="99">
        <f>AQ27*'R&amp;S - Packaging and hh goods'!$L$4/SUM('R&amp;S - Packaging and hh goods'!$L$4:$N$4)*'R&amp;S - Packaging and hh goods'!$E$10*('R&amp;S - Packaging and hh goods'!$I$15*'R&amp;S - Packaging and hh goods'!$AC$19*(AQ$3-$D$3)/10)+AQ27*'R&amp;S - Packaging and hh goods'!$M$4/SUM('R&amp;S - Packaging and hh goods'!$L$4:$N$4)*'R&amp;S - Packaging and hh goods'!$F$10*('R&amp;S - Packaging and hh goods'!$K$15*'R&amp;S - Packaging and hh goods'!$AH$19*(AQ$3-$D$3)/10)+AQ27*'R&amp;S - Packaging and hh goods'!$N$4/SUM('R&amp;S - Packaging and hh goods'!$L$4:$N$4)*'R&amp;S - Packaging and hh goods'!$G$10*('R&amp;S - Packaging and hh goods'!$M$15*'R&amp;S - Packaging and hh goods'!$AM$19*(AQ$3-$D$3)/10)</f>
        <v>30166.013677430681</v>
      </c>
      <c r="AR32" s="99">
        <f>AR27*'R&amp;S - Packaging and hh goods'!$L$4/SUM('R&amp;S - Packaging and hh goods'!$L$4:$N$4)*'R&amp;S - Packaging and hh goods'!$E$10*('R&amp;S - Packaging and hh goods'!$I$15*'R&amp;S - Packaging and hh goods'!$AC$19*(AR$3-$D$3)/10)+AR27*'R&amp;S - Packaging and hh goods'!$M$4/SUM('R&amp;S - Packaging and hh goods'!$L$4:$N$4)*'R&amp;S - Packaging and hh goods'!$F$10*('R&amp;S - Packaging and hh goods'!$K$15*'R&amp;S - Packaging and hh goods'!$AH$19*(AR$3-$D$3)/10)+AR27*'R&amp;S - Packaging and hh goods'!$N$4/SUM('R&amp;S - Packaging and hh goods'!$L$4:$N$4)*'R&amp;S - Packaging and hh goods'!$G$10*('R&amp;S - Packaging and hh goods'!$M$15*'R&amp;S - Packaging and hh goods'!$AM$19*(AR$3-$D$3)/10)</f>
        <v>34239.438567056866</v>
      </c>
      <c r="AS32" s="99">
        <f>AS27*'R&amp;S - Packaging and hh goods'!$L$4/SUM('R&amp;S - Packaging and hh goods'!$L$4:$N$4)*'R&amp;S - Packaging and hh goods'!$E$10*('R&amp;S - Packaging and hh goods'!$I$15*'R&amp;S - Packaging and hh goods'!$AC$19*(AS$3-$D$3)/10)+AS27*'R&amp;S - Packaging and hh goods'!$M$4/SUM('R&amp;S - Packaging and hh goods'!$L$4:$N$4)*'R&amp;S - Packaging and hh goods'!$F$10*('R&amp;S - Packaging and hh goods'!$K$15*'R&amp;S - Packaging and hh goods'!$AH$19*(AS$3-$D$3)/10)+AS27*'R&amp;S - Packaging and hh goods'!$N$4/SUM('R&amp;S - Packaging and hh goods'!$L$4:$N$4)*'R&amp;S - Packaging and hh goods'!$G$10*('R&amp;S - Packaging and hh goods'!$M$15*'R&amp;S - Packaging and hh goods'!$AM$19*(AS$3-$D$3)/10)</f>
        <v>38255.679602074488</v>
      </c>
      <c r="AT32" s="99">
        <f>AT27*'R&amp;S - Packaging and hh goods'!$L$4/SUM('R&amp;S - Packaging and hh goods'!$L$4:$N$4)*'R&amp;S - Packaging and hh goods'!$E$10*('R&amp;S - Packaging and hh goods'!$I$15*'R&amp;S - Packaging and hh goods'!$AC$19*(AT$3-$D$3)/10)+AT27*'R&amp;S - Packaging and hh goods'!$M$4/SUM('R&amp;S - Packaging and hh goods'!$L$4:$N$4)*'R&amp;S - Packaging and hh goods'!$F$10*('R&amp;S - Packaging and hh goods'!$K$15*'R&amp;S - Packaging and hh goods'!$AH$19*(AT$3-$D$3)/10)+AT27*'R&amp;S - Packaging and hh goods'!$N$4/SUM('R&amp;S - Packaging and hh goods'!$L$4:$N$4)*'R&amp;S - Packaging and hh goods'!$G$10*('R&amp;S - Packaging and hh goods'!$M$15*'R&amp;S - Packaging and hh goods'!$AM$19*(AT$3-$D$3)/10)</f>
        <v>42215.328809170722</v>
      </c>
      <c r="AU32" s="588">
        <f>AU27*'R&amp;S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goods'!$AC$19)*(AU$3-$N$3)/10))+AU27*'R&amp;S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goods'!$AH$19)*(AU$3-$N$3)/10))+AU27*'R&amp;S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goods'!$AM$19)*(AU$3-$N$3)/10))</f>
        <v>46445.722671889314</v>
      </c>
      <c r="AV32" s="588">
        <f>AV27*'R&amp;S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goods'!$AC$19)*(AV$3-$N$3)/10))+AV27*'R&amp;S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goods'!$AH$19)*(AV$3-$N$3)/10))+AV27*'R&amp;S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goods'!$AM$19)*(AV$3-$N$3)/10))</f>
        <v>50616.218921074877</v>
      </c>
      <c r="AW32" s="588">
        <f>AW27*'R&amp;S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goods'!$AC$19)*(AW$3-$N$3)/10))+AW27*'R&amp;S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goods'!$AH$19)*(AW$3-$N$3)/10))+AW27*'R&amp;S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goods'!$AM$19)*(AW$3-$N$3)/10))</f>
        <v>54727.439382164033</v>
      </c>
      <c r="AX32" s="588">
        <f>AX27*'R&amp;S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goods'!$AC$19)*(AX$3-$N$3)/10))+AX27*'R&amp;S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goods'!$AH$19)*(AX$3-$N$3)/10))+AX27*'R&amp;S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goods'!$AM$19)*(AX$3-$N$3)/10))</f>
        <v>58780.000173986686</v>
      </c>
      <c r="AY32" s="588">
        <f>AY27*'R&amp;S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goods'!$AC$19)*(AY$3-$N$3)/10))+AY27*'R&amp;S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goods'!$AH$19)*(AY$3-$N$3)/10))+AY27*'R&amp;S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goods'!$AM$19)*(AY$3-$N$3)/10))</f>
        <v>62774.511757756358</v>
      </c>
      <c r="AZ32" s="588">
        <f>AZ27*'R&amp;S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goods'!$AC$19)*(AZ$3-$N$3)/10))+AZ27*'R&amp;S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goods'!$AH$19)*(AZ$3-$N$3)/10))+AZ27*'R&amp;S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goods'!$AM$19)*(AZ$3-$N$3)/10))</f>
        <v>66711.578985656874</v>
      </c>
      <c r="BA32" s="588">
        <f>BA27*'R&amp;S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goods'!$AC$19)*(BA$3-$N$3)/10))+BA27*'R&amp;S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goods'!$AH$19)*(BA$3-$N$3)/10))+BA27*'R&amp;S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goods'!$AM$19)*(BA$3-$N$3)/10))</f>
        <v>70591.801149029357</v>
      </c>
      <c r="BB32" s="588">
        <f>BB27*'R&amp;S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goods'!$AC$19)*(BB$3-$N$3)/10))+BB27*'R&amp;S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goods'!$AH$19)*(BB$3-$N$3)/10))+BB27*'R&amp;S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goods'!$AM$19)*(BB$3-$N$3)/10))</f>
        <v>74415.772026162056</v>
      </c>
      <c r="BC32" s="588">
        <f>BC27*'R&amp;S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goods'!$AC$19)*(BC$3-$N$3)/10))+BC27*'R&amp;S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goods'!$AH$19)*(BC$3-$N$3)/10))+BC27*'R&amp;S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goods'!$AM$19)*(BC$3-$N$3)/10))</f>
        <v>78184.079929686588</v>
      </c>
      <c r="BD32" s="588">
        <f>BD27*'R&amp;S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goods'!$AC$19)*(BD$3-$N$3)/10))+BD27*'R&amp;S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goods'!$AH$19)*(BD$3-$N$3)/10))+BD27*'R&amp;S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goods'!$AM$19)*(BD$3-$N$3)/10))</f>
        <v>81897.307753583576</v>
      </c>
      <c r="BE32" s="588">
        <f>BE27*'R&amp;S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goods'!$AC$20)*(BE$3-$X$3)/10))+BE27*'R&amp;S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goods'!$AH$20)*(BE$3-$X$3)/10))+BE27*'R&amp;S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goods'!$AM$20)*(BE$3-$X$3)/10))</f>
        <v>84115.11332071654</v>
      </c>
      <c r="BF32" s="588">
        <f>BF27*'R&amp;S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goods'!$AC$20)*(BF$3-$X$3)/10))+BF27*'R&amp;S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goods'!$AH$20)*(BF$3-$X$3)/10))+BF27*'R&amp;S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goods'!$AM$20)*(BF$3-$X$3)/10))</f>
        <v>86298.716490814812</v>
      </c>
      <c r="BG32" s="588">
        <f>BG27*'R&amp;S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goods'!$AC$20)*(BG$3-$X$3)/10))+BG27*'R&amp;S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goods'!$AH$20)*(BG$3-$X$3)/10))+BG27*'R&amp;S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goods'!$AM$20)*(BG$3-$X$3)/10))</f>
        <v>88448.481604991539</v>
      </c>
      <c r="BH32" s="588">
        <f>BH27*'R&amp;S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goods'!$AC$20)*(BH$3-$X$3)/10))+BH27*'R&amp;S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goods'!$AH$20)*(BH$3-$X$3)/10))+BH27*'R&amp;S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goods'!$AM$20)*(BH$3-$X$3)/10))</f>
        <v>90564.769618889681</v>
      </c>
      <c r="BI32" s="588">
        <f>BI27*'R&amp;S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goods'!$AC$20)*(BI$3-$X$3)/10))+BI27*'R&amp;S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goods'!$AH$20)*(BI$3-$X$3)/10))+BI27*'R&amp;S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goods'!$AM$20)*(BI$3-$X$3)/10))</f>
        <v>92647.938131959323</v>
      </c>
      <c r="BJ32" s="588">
        <f>BJ27*'R&amp;S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goods'!$AC$20)*(BJ$3-$X$3)/10))+BJ27*'R&amp;S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goods'!$AH$20)*(BJ$3-$X$3)/10))+BJ27*'R&amp;S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goods'!$AM$20)*(BJ$3-$X$3)/10))</f>
        <v>94698.341416493</v>
      </c>
      <c r="BK32" s="588">
        <f>BK27*'R&amp;S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goods'!$AC$20)*(BK$3-$X$3)/10))+BK27*'R&amp;S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goods'!$AH$20)*(BK$3-$X$3)/10))+BK27*'R&amp;S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goods'!$AM$20)*(BK$3-$X$3)/10))</f>
        <v>96716.330446420281</v>
      </c>
      <c r="BL32" s="588">
        <f>BL27*'R&amp;S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goods'!$AC$20)*(BL$3-$X$3)/10))+BL27*'R&amp;S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goods'!$AH$20)*(BL$3-$X$3)/10))+BL27*'R&amp;S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goods'!$AM$20)*(BL$3-$X$3)/10))</f>
        <v>98702.252925864625</v>
      </c>
      <c r="BM32" s="588">
        <f>BM27*'R&amp;S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goods'!$AC$20)*(BM$3-$X$3)/10))+BM27*'R&amp;S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goods'!$AH$20)*(BM$3-$X$3)/10))+BM27*'R&amp;S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goods'!$AM$20)*(BM$3-$X$3)/10))</f>
        <v>100656.45331746341</v>
      </c>
      <c r="BN32" s="588">
        <f>BN27*'R&amp;S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goods'!$AC$20)*(BN$3-$X$3)/10))+BN27*'R&amp;S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goods'!$AH$20)*(BN$3-$X$3)/10))+BN27*'R&amp;S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goods'!$AM$20)*(BN$3-$X$3)/10))</f>
        <v>102579.27287045366</v>
      </c>
      <c r="BS32" s="626"/>
      <c r="BV32" s="626"/>
      <c r="BW32" s="181"/>
    </row>
    <row r="33" spans="1:90" outlineLevel="1">
      <c r="B33" s="1" t="s">
        <v>172</v>
      </c>
      <c r="C33" s="50" t="s">
        <v>1420</v>
      </c>
      <c r="D33" s="99">
        <f>SUM(D31:D32)</f>
        <v>0</v>
      </c>
      <c r="E33" s="99">
        <f t="shared" ref="E33:Y33" si="26">SUM(E31:E32)</f>
        <v>14007.154807842147</v>
      </c>
      <c r="F33" s="99">
        <f t="shared" si="26"/>
        <v>38714.362896437779</v>
      </c>
      <c r="G33" s="99">
        <f t="shared" si="26"/>
        <v>57674.008879710862</v>
      </c>
      <c r="H33" s="99">
        <f t="shared" si="26"/>
        <v>76372.259719615526</v>
      </c>
      <c r="I33" s="99">
        <f t="shared" si="26"/>
        <v>94811.805741954115</v>
      </c>
      <c r="J33" s="99">
        <f t="shared" si="26"/>
        <v>112995.31268827421</v>
      </c>
      <c r="K33" s="99">
        <f t="shared" si="26"/>
        <v>130925.42192638185</v>
      </c>
      <c r="L33" s="99">
        <f t="shared" si="26"/>
        <v>148604.75065912533</v>
      </c>
      <c r="M33" s="99">
        <f t="shared" si="26"/>
        <v>166035.89213146182</v>
      </c>
      <c r="N33" s="99">
        <f t="shared" si="26"/>
        <v>183221.41583582197</v>
      </c>
      <c r="O33" s="588">
        <f t="shared" si="26"/>
        <v>204031.49824590393</v>
      </c>
      <c r="P33" s="588">
        <f t="shared" ref="P33:X33" si="27">SUM(P31:P32)</f>
        <v>224548.07880519165</v>
      </c>
      <c r="Q33" s="588">
        <f t="shared" si="27"/>
        <v>244774.2007038485</v>
      </c>
      <c r="R33" s="588">
        <f t="shared" si="27"/>
        <v>264712.87922123482</v>
      </c>
      <c r="S33" s="588">
        <f t="shared" si="27"/>
        <v>284367.10196542938</v>
      </c>
      <c r="T33" s="588">
        <f t="shared" si="27"/>
        <v>303739.82911078027</v>
      </c>
      <c r="U33" s="588">
        <f t="shared" si="27"/>
        <v>322833.99363349954</v>
      </c>
      <c r="V33" s="588">
        <f t="shared" si="27"/>
        <v>341652.50154531829</v>
      </c>
      <c r="W33" s="588">
        <f t="shared" si="27"/>
        <v>360198.23212521715</v>
      </c>
      <c r="X33" s="588">
        <f t="shared" si="27"/>
        <v>378474.03814924741</v>
      </c>
      <c r="Y33" s="588">
        <f t="shared" si="26"/>
        <v>389978.01750929921</v>
      </c>
      <c r="Z33" s="588">
        <f t="shared" ref="Z33:AH33" si="28">SUM(Z31:Z32)</f>
        <v>401306.75700880575</v>
      </c>
      <c r="AA33" s="588">
        <f t="shared" si="28"/>
        <v>412462.11679250537</v>
      </c>
      <c r="AB33" s="588">
        <f t="shared" si="28"/>
        <v>423445.93974963448</v>
      </c>
      <c r="AC33" s="588">
        <f t="shared" si="28"/>
        <v>434260.05166300602</v>
      </c>
      <c r="AD33" s="588">
        <f t="shared" si="28"/>
        <v>444906.26135685475</v>
      </c>
      <c r="AE33" s="588">
        <f t="shared" si="28"/>
        <v>455386.36084346048</v>
      </c>
      <c r="AF33" s="588">
        <f t="shared" si="28"/>
        <v>465702.12546855857</v>
      </c>
      <c r="AG33" s="588">
        <f t="shared" si="28"/>
        <v>475855.31405554729</v>
      </c>
      <c r="AH33" s="588">
        <f t="shared" si="28"/>
        <v>485847.66904850228</v>
      </c>
      <c r="AI33" s="178"/>
      <c r="AJ33" s="99">
        <f>SUM(AJ31:AJ32)</f>
        <v>0</v>
      </c>
      <c r="AK33" s="99">
        <f t="shared" ref="AK33:BN33" si="29">SUM(AK31:AK32)</f>
        <v>11435.90281491281</v>
      </c>
      <c r="AL33" s="99">
        <f t="shared" si="29"/>
        <v>31599.725070793036</v>
      </c>
      <c r="AM33" s="99">
        <f t="shared" si="29"/>
        <v>47075.108253868006</v>
      </c>
      <c r="AN33" s="99">
        <f t="shared" si="29"/>
        <v>62337.133549913342</v>
      </c>
      <c r="AO33" s="99">
        <f t="shared" si="29"/>
        <v>77387.996876654273</v>
      </c>
      <c r="AP33" s="99">
        <f t="shared" si="29"/>
        <v>92229.874085472809</v>
      </c>
      <c r="AQ33" s="99">
        <f t="shared" si="29"/>
        <v>106864.92113323454</v>
      </c>
      <c r="AR33" s="99">
        <f t="shared" si="29"/>
        <v>121295.27425270356</v>
      </c>
      <c r="AS33" s="99">
        <f t="shared" si="29"/>
        <v>135523.05012155592</v>
      </c>
      <c r="AT33" s="99">
        <f t="shared" si="29"/>
        <v>149550.34603000406</v>
      </c>
      <c r="AU33" s="588">
        <f t="shared" si="29"/>
        <v>166541.98353361597</v>
      </c>
      <c r="AV33" s="588">
        <f t="shared" si="29"/>
        <v>183293.97630670856</v>
      </c>
      <c r="AW33" s="588">
        <f t="shared" si="29"/>
        <v>199808.80911085932</v>
      </c>
      <c r="AX33" s="588">
        <f t="shared" si="29"/>
        <v>216088.9439185404</v>
      </c>
      <c r="AY33" s="588">
        <f t="shared" si="29"/>
        <v>232136.82010868806</v>
      </c>
      <c r="AZ33" s="588">
        <f t="shared" si="29"/>
        <v>247954.85466066113</v>
      </c>
      <c r="BA33" s="588">
        <f t="shared" si="29"/>
        <v>263545.44234660408</v>
      </c>
      <c r="BB33" s="588">
        <f t="shared" si="29"/>
        <v>278910.95592222537</v>
      </c>
      <c r="BC33" s="588">
        <f t="shared" si="29"/>
        <v>294053.74631600466</v>
      </c>
      <c r="BD33" s="588">
        <f t="shared" si="29"/>
        <v>308976.14281684108</v>
      </c>
      <c r="BE33" s="588">
        <f t="shared" si="29"/>
        <v>318369.28117452271</v>
      </c>
      <c r="BF33" s="588">
        <f t="shared" si="29"/>
        <v>327619.33652525867</v>
      </c>
      <c r="BG33" s="588">
        <f t="shared" si="29"/>
        <v>336727.82766606053</v>
      </c>
      <c r="BH33" s="588">
        <f t="shared" si="29"/>
        <v>345696.25930495904</v>
      </c>
      <c r="BI33" s="588">
        <f t="shared" si="29"/>
        <v>354526.12218272581</v>
      </c>
      <c r="BJ33" s="588">
        <f t="shared" si="29"/>
        <v>363218.89319358813</v>
      </c>
      <c r="BK33" s="588">
        <f t="shared" si="29"/>
        <v>371776.03550494445</v>
      </c>
      <c r="BL33" s="588">
        <f t="shared" si="29"/>
        <v>380198.9986760919</v>
      </c>
      <c r="BM33" s="588">
        <f t="shared" si="29"/>
        <v>388489.21877596935</v>
      </c>
      <c r="BN33" s="588">
        <f t="shared" si="29"/>
        <v>396648.11849992792</v>
      </c>
      <c r="BS33" s="640"/>
      <c r="BV33" s="626"/>
      <c r="BW33" s="181"/>
    </row>
    <row r="34" spans="1:90" outlineLevel="1">
      <c r="B34" s="1" t="s">
        <v>200</v>
      </c>
      <c r="C34" s="60" t="s">
        <v>1420</v>
      </c>
      <c r="D34" s="520">
        <f>D27-D30-D33</f>
        <v>2886020.8424498597</v>
      </c>
      <c r="E34" s="520">
        <f t="shared" ref="E34:AG34" si="30">E27-E30-E33</f>
        <v>2831545.5785745387</v>
      </c>
      <c r="F34" s="520">
        <f t="shared" si="30"/>
        <v>2766789.0736364922</v>
      </c>
      <c r="G34" s="520">
        <f t="shared" si="30"/>
        <v>2708195.1054017693</v>
      </c>
      <c r="H34" s="520">
        <f t="shared" si="30"/>
        <v>2650273.7022035662</v>
      </c>
      <c r="I34" s="520">
        <f t="shared" si="30"/>
        <v>2593018.4016555957</v>
      </c>
      <c r="J34" s="520">
        <f t="shared" si="30"/>
        <v>2536422.7983315485</v>
      </c>
      <c r="K34" s="520">
        <f t="shared" si="30"/>
        <v>2480480.5432880828</v>
      </c>
      <c r="L34" s="520">
        <f t="shared" si="30"/>
        <v>2425185.343591678</v>
      </c>
      <c r="M34" s="520">
        <f t="shared" si="30"/>
        <v>2370530.961849317</v>
      </c>
      <c r="N34" s="520">
        <f t="shared" si="30"/>
        <v>2316511.2157429731</v>
      </c>
      <c r="O34" s="584">
        <f t="shared" si="30"/>
        <v>2238986.6434601555</v>
      </c>
      <c r="P34" s="520">
        <f t="shared" si="30"/>
        <v>2162414.9206118193</v>
      </c>
      <c r="Q34" s="520">
        <f t="shared" si="30"/>
        <v>2086786.6345077516</v>
      </c>
      <c r="R34" s="520">
        <f t="shared" si="30"/>
        <v>2012092.4566761944</v>
      </c>
      <c r="S34" s="520">
        <f t="shared" si="30"/>
        <v>1938323.1421518913</v>
      </c>
      <c r="T34" s="520">
        <f t="shared" si="30"/>
        <v>1865469.5287699392</v>
      </c>
      <c r="U34" s="520">
        <f t="shared" si="30"/>
        <v>1793522.536465388</v>
      </c>
      <c r="V34" s="520">
        <f t="shared" si="30"/>
        <v>1722473.1665785545</v>
      </c>
      <c r="W34" s="520">
        <f t="shared" si="30"/>
        <v>1652312.5011659979</v>
      </c>
      <c r="X34" s="520">
        <f>X27-X30-X33</f>
        <v>1583031.7023171131</v>
      </c>
      <c r="Y34" s="584">
        <f t="shared" si="30"/>
        <v>1530658.3213192946</v>
      </c>
      <c r="Z34" s="520">
        <f t="shared" si="30"/>
        <v>1478927.8116337252</v>
      </c>
      <c r="AA34" s="520">
        <f t="shared" si="30"/>
        <v>1427833.8259057871</v>
      </c>
      <c r="AB34" s="520">
        <f t="shared" si="30"/>
        <v>1377370.073557436</v>
      </c>
      <c r="AC34" s="520">
        <f t="shared" si="30"/>
        <v>1327530.3203073118</v>
      </c>
      <c r="AD34" s="520">
        <f t="shared" si="30"/>
        <v>1278308.3876947588</v>
      </c>
      <c r="AE34" s="520">
        <f t="shared" si="30"/>
        <v>1229698.1526077264</v>
      </c>
      <c r="AF34" s="520">
        <f t="shared" si="30"/>
        <v>1181693.5468145162</v>
      </c>
      <c r="AG34" s="520">
        <f t="shared" si="30"/>
        <v>1134288.5564993457</v>
      </c>
      <c r="AH34" s="520">
        <f>AH27-AH30-AH33</f>
        <v>1087477.2218016994</v>
      </c>
      <c r="AI34" s="178"/>
      <c r="AJ34" s="520">
        <f>AJ27-AJ30-AJ33</f>
        <v>2886020.8424498597</v>
      </c>
      <c r="AK34" s="520">
        <f t="shared" ref="AK34:BC34" si="31">AK27-AK30-AK33</f>
        <v>2839708.9409706518</v>
      </c>
      <c r="AL34" s="520">
        <f t="shared" si="31"/>
        <v>2785011.3693930279</v>
      </c>
      <c r="AM34" s="520">
        <f t="shared" si="31"/>
        <v>2735341.4347907482</v>
      </c>
      <c r="AN34" s="520">
        <f t="shared" si="31"/>
        <v>2686221.0302773505</v>
      </c>
      <c r="AO34" s="520">
        <f t="shared" si="31"/>
        <v>2637644.9597643455</v>
      </c>
      <c r="AP34" s="520">
        <f t="shared" si="31"/>
        <v>2589608.0725517636</v>
      </c>
      <c r="AQ34" s="520">
        <f t="shared" si="31"/>
        <v>2542105.2629502341</v>
      </c>
      <c r="AR34" s="520">
        <f t="shared" si="31"/>
        <v>2495131.4699061061</v>
      </c>
      <c r="AS34" s="520">
        <f t="shared" si="31"/>
        <v>2448681.6766295973</v>
      </c>
      <c r="AT34" s="520">
        <f t="shared" si="31"/>
        <v>2402750.9102259423</v>
      </c>
      <c r="AU34" s="584">
        <f t="shared" si="31"/>
        <v>2339377.5342312967</v>
      </c>
      <c r="AV34" s="520">
        <f t="shared" si="31"/>
        <v>2276759.2189698773</v>
      </c>
      <c r="AW34" s="520">
        <f t="shared" si="31"/>
        <v>2214888.5965625201</v>
      </c>
      <c r="AX34" s="520">
        <f t="shared" si="31"/>
        <v>2153758.3646214004</v>
      </c>
      <c r="AY34" s="520">
        <f t="shared" si="31"/>
        <v>2093361.2856986509</v>
      </c>
      <c r="AZ34" s="520">
        <f t="shared" si="31"/>
        <v>2033690.1867394641</v>
      </c>
      <c r="BA34" s="520">
        <f t="shared" si="31"/>
        <v>1974737.958539634</v>
      </c>
      <c r="BB34" s="520">
        <f t="shared" si="31"/>
        <v>1916497.5552075109</v>
      </c>
      <c r="BC34" s="520">
        <f t="shared" si="31"/>
        <v>1858961.9936303301</v>
      </c>
      <c r="BD34" s="520">
        <f>BD27-BD30-BD33</f>
        <v>1802124.352944877</v>
      </c>
      <c r="BE34" s="584">
        <f t="shared" ref="BE34:BM34" si="32">BE27-BE30-BE33</f>
        <v>1758247.0003987947</v>
      </c>
      <c r="BF34" s="520">
        <f t="shared" si="32"/>
        <v>1714885.9308578158</v>
      </c>
      <c r="BG34" s="520">
        <f t="shared" si="32"/>
        <v>1672036.1319723579</v>
      </c>
      <c r="BH34" s="520">
        <f t="shared" si="32"/>
        <v>1629692.6358237884</v>
      </c>
      <c r="BI34" s="520">
        <f t="shared" si="32"/>
        <v>1587850.518550999</v>
      </c>
      <c r="BJ34" s="520">
        <f t="shared" si="32"/>
        <v>1546504.8999800147</v>
      </c>
      <c r="BK34" s="520">
        <f t="shared" si="32"/>
        <v>1505650.9432566059</v>
      </c>
      <c r="BL34" s="520">
        <f t="shared" si="32"/>
        <v>1465283.854481885</v>
      </c>
      <c r="BM34" s="520">
        <f t="shared" si="32"/>
        <v>1425398.882350863</v>
      </c>
      <c r="BN34" s="520">
        <f>BN27-BN30-BN33</f>
        <v>1385991.3177939383</v>
      </c>
      <c r="BS34" s="626"/>
    </row>
    <row r="35" spans="1:90" s="61" customFormat="1" outlineLevel="1">
      <c r="A35" s="602"/>
      <c r="B35" s="54" t="s">
        <v>88</v>
      </c>
      <c r="C35" s="55" t="s">
        <v>1420</v>
      </c>
      <c r="D35" s="580">
        <f>D27*'R&amp;S - Packaging and hh goods'!$L$4/SUM('R&amp;S - Packaging and hh goods'!$L$4:$N$4)</f>
        <v>416037.85495538352</v>
      </c>
      <c r="E35" s="580">
        <f>E27*'R&amp;S - Packaging and hh goods'!$L$4/SUM('R&amp;S - Packaging and hh goods'!$L$4:$N$4)-E27*'R&amp;S - Packaging and hh goods'!$L$4/SUM('R&amp;S - Packaging and hh goods'!$L$4:$N$4)*'R&amp;S - Packaging and hh goods'!$E$7*('R&amp;S - Packaging and hh goods'!$H$14*'R&amp;S - Packaging and hh goods'!$Z$19*(E$3-$D$3)/10)-E27*'R&amp;S - Packaging and hh goods'!$L$4/SUM('R&amp;S - Packaging and hh goods'!$L$4:$N$4)*'R&amp;S - Packaging and hh goods'!$E$8*('R&amp;S - Packaging and hh goods'!$H$14*'R&amp;S - Packaging and hh goods'!$AA$19*(E$3-$D$3)/10)-E27*'R&amp;S - Packaging and hh goods'!$L$4/SUM('R&amp;S - Packaging and hh goods'!$L$4:$N$4)*'R&amp;S - Packaging and hh goods'!$E$9*('R&amp;S - Packaging and hh goods'!$H$14*'R&amp;S - Packaging and hh goods'!$AB$19*(E$3-$D$3)/10)-E31*'R&amp;S - Packaging and hh goods'!$L$4/SUM('R&amp;S - Packaging and hh goods'!$L$4:$N$4)*'R&amp;S - Packaging and hh goods'!$E$10*('R&amp;S - Packaging and hh goods'!$H$14*'R&amp;S - Packaging and hh goods'!$AC$19*(E$3-$D$3)/10)</f>
        <v>408325.10535096249</v>
      </c>
      <c r="F35" s="580">
        <f>F27*'R&amp;S - Packaging and hh goods'!$L$4/SUM('R&amp;S - Packaging and hh goods'!$L$4:$N$4)-F27*'R&amp;S - Packaging and hh goods'!$L$4/SUM('R&amp;S - Packaging and hh goods'!$L$4:$N$4)*'R&amp;S - Packaging and hh goods'!$E$7*('R&amp;S - Packaging and hh goods'!$H$14*'R&amp;S - Packaging and hh goods'!$Z$19*(F$3-$D$3)/10)-F27*'R&amp;S - Packaging and hh goods'!$L$4/SUM('R&amp;S - Packaging and hh goods'!$L$4:$N$4)*'R&amp;S - Packaging and hh goods'!$E$8*('R&amp;S - Packaging and hh goods'!$H$14*'R&amp;S - Packaging and hh goods'!$AA$19*(F$3-$D$3)/10)-F27*'R&amp;S - Packaging and hh goods'!$L$4/SUM('R&amp;S - Packaging and hh goods'!$L$4:$N$4)*'R&amp;S - Packaging and hh goods'!$E$9*('R&amp;S - Packaging and hh goods'!$H$14*'R&amp;S - Packaging and hh goods'!$AB$19*(F$3-$D$3)/10)-F31*'R&amp;S - Packaging and hh goods'!$L$4/SUM('R&amp;S - Packaging and hh goods'!$L$4:$N$4)*'R&amp;S - Packaging and hh goods'!$E$10*('R&amp;S - Packaging and hh goods'!$H$14*'R&amp;S - Packaging and hh goods'!$AC$19*(F$3-$D$3)/10)</f>
        <v>400685.03064755799</v>
      </c>
      <c r="G35" s="580">
        <f>G27*'R&amp;S - Packaging and hh goods'!$L$4/SUM('R&amp;S - Packaging and hh goods'!$L$4:$N$4)-G27*'R&amp;S - Packaging and hh goods'!$L$4/SUM('R&amp;S - Packaging and hh goods'!$L$4:$N$4)*'R&amp;S - Packaging and hh goods'!$E$7*('R&amp;S - Packaging and hh goods'!$H$14*'R&amp;S - Packaging and hh goods'!$Z$19*(G$3-$D$3)/10)-G27*'R&amp;S - Packaging and hh goods'!$L$4/SUM('R&amp;S - Packaging and hh goods'!$L$4:$N$4)*'R&amp;S - Packaging and hh goods'!$E$8*('R&amp;S - Packaging and hh goods'!$H$14*'R&amp;S - Packaging and hh goods'!$AA$19*(G$3-$D$3)/10)-G27*'R&amp;S - Packaging and hh goods'!$L$4/SUM('R&amp;S - Packaging and hh goods'!$L$4:$N$4)*'R&amp;S - Packaging and hh goods'!$E$9*('R&amp;S - Packaging and hh goods'!$H$14*'R&amp;S - Packaging and hh goods'!$AB$19*(G$3-$D$3)/10)-G31*'R&amp;S - Packaging and hh goods'!$L$4/SUM('R&amp;S - Packaging and hh goods'!$L$4:$N$4)*'R&amp;S - Packaging and hh goods'!$E$10*('R&amp;S - Packaging and hh goods'!$H$14*'R&amp;S - Packaging and hh goods'!$AC$19*(G$3-$D$3)/10)</f>
        <v>393117.08918103692</v>
      </c>
      <c r="H35" s="580">
        <f>H27*'R&amp;S - Packaging and hh goods'!$L$4/SUM('R&amp;S - Packaging and hh goods'!$L$4:$N$4)-H27*'R&amp;S - Packaging and hh goods'!$L$4/SUM('R&amp;S - Packaging and hh goods'!$L$4:$N$4)*'R&amp;S - Packaging and hh goods'!$E$7*('R&amp;S - Packaging and hh goods'!$H$14*'R&amp;S - Packaging and hh goods'!$Z$19*(H$3-$D$3)/10)-H27*'R&amp;S - Packaging and hh goods'!$L$4/SUM('R&amp;S - Packaging and hh goods'!$L$4:$N$4)*'R&amp;S - Packaging and hh goods'!$E$8*('R&amp;S - Packaging and hh goods'!$H$14*'R&amp;S - Packaging and hh goods'!$AA$19*(H$3-$D$3)/10)-H27*'R&amp;S - Packaging and hh goods'!$L$4/SUM('R&amp;S - Packaging and hh goods'!$L$4:$N$4)*'R&amp;S - Packaging and hh goods'!$E$9*('R&amp;S - Packaging and hh goods'!$H$14*'R&amp;S - Packaging and hh goods'!$AB$19*(H$3-$D$3)/10)-H31*'R&amp;S - Packaging and hh goods'!$L$4/SUM('R&amp;S - Packaging and hh goods'!$L$4:$N$4)*'R&amp;S - Packaging and hh goods'!$E$10*('R&amp;S - Packaging and hh goods'!$H$14*'R&amp;S - Packaging and hh goods'!$AC$19*(H$3-$D$3)/10)</f>
        <v>385620.74266843626</v>
      </c>
      <c r="I35" s="580">
        <f>I27*'R&amp;S - Packaging and hh goods'!$L$4/SUM('R&amp;S - Packaging and hh goods'!$L$4:$N$4)-I27*'R&amp;S - Packaging and hh goods'!$L$4/SUM('R&amp;S - Packaging and hh goods'!$L$4:$N$4)*'R&amp;S - Packaging and hh goods'!$E$7*('R&amp;S - Packaging and hh goods'!$H$14*'R&amp;S - Packaging and hh goods'!$Z$19*(I$3-$D$3)/10)-I27*'R&amp;S - Packaging and hh goods'!$L$4/SUM('R&amp;S - Packaging and hh goods'!$L$4:$N$4)*'R&amp;S - Packaging and hh goods'!$E$8*('R&amp;S - Packaging and hh goods'!$H$14*'R&amp;S - Packaging and hh goods'!$AA$19*(I$3-$D$3)/10)-I27*'R&amp;S - Packaging and hh goods'!$L$4/SUM('R&amp;S - Packaging and hh goods'!$L$4:$N$4)*'R&amp;S - Packaging and hh goods'!$E$9*('R&amp;S - Packaging and hh goods'!$H$14*'R&amp;S - Packaging and hh goods'!$AB$19*(I$3-$D$3)/10)-I31*'R&amp;S - Packaging and hh goods'!$L$4/SUM('R&amp;S - Packaging and hh goods'!$L$4:$N$4)*'R&amp;S - Packaging and hh goods'!$E$10*('R&amp;S - Packaging and hh goods'!$H$14*'R&amp;S - Packaging and hh goods'!$AC$19*(I$3-$D$3)/10)</f>
        <v>378195.45619135967</v>
      </c>
      <c r="J35" s="580">
        <f>J27*'R&amp;S - Packaging and hh goods'!$L$4/SUM('R&amp;S - Packaging and hh goods'!$L$4:$N$4)-J27*'R&amp;S - Packaging and hh goods'!$L$4/SUM('R&amp;S - Packaging and hh goods'!$L$4:$N$4)*'R&amp;S - Packaging and hh goods'!$E$7*('R&amp;S - Packaging and hh goods'!$H$14*'R&amp;S - Packaging and hh goods'!$Z$19*(J$3-$D$3)/10)-J27*'R&amp;S - Packaging and hh goods'!$L$4/SUM('R&amp;S - Packaging and hh goods'!$L$4:$N$4)*'R&amp;S - Packaging and hh goods'!$E$8*('R&amp;S - Packaging and hh goods'!$H$14*'R&amp;S - Packaging and hh goods'!$AA$19*(J$3-$D$3)/10)-J27*'R&amp;S - Packaging and hh goods'!$L$4/SUM('R&amp;S - Packaging and hh goods'!$L$4:$N$4)*'R&amp;S - Packaging and hh goods'!$E$9*('R&amp;S - Packaging and hh goods'!$H$14*'R&amp;S - Packaging and hh goods'!$AB$19*(J$3-$D$3)/10)-J31*'R&amp;S - Packaging and hh goods'!$L$4/SUM('R&amp;S - Packaging and hh goods'!$L$4:$N$4)*'R&amp;S - Packaging and hh goods'!$E$10*('R&amp;S - Packaging and hh goods'!$H$14*'R&amp;S - Packaging and hh goods'!$AC$19*(J$3-$D$3)/10)</f>
        <v>370840.69817941595</v>
      </c>
      <c r="K35" s="580">
        <f>K27*'R&amp;S - Packaging and hh goods'!$L$4/SUM('R&amp;S - Packaging and hh goods'!$L$4:$N$4)-K27*'R&amp;S - Packaging and hh goods'!$L$4/SUM('R&amp;S - Packaging and hh goods'!$L$4:$N$4)*'R&amp;S - Packaging and hh goods'!$E$7*('R&amp;S - Packaging and hh goods'!$H$14*'R&amp;S - Packaging and hh goods'!$Z$19*(K$3-$D$3)/10)-K27*'R&amp;S - Packaging and hh goods'!$L$4/SUM('R&amp;S - Packaging and hh goods'!$L$4:$N$4)*'R&amp;S - Packaging and hh goods'!$E$8*('R&amp;S - Packaging and hh goods'!$H$14*'R&amp;S - Packaging and hh goods'!$AA$19*(K$3-$D$3)/10)-K27*'R&amp;S - Packaging and hh goods'!$L$4/SUM('R&amp;S - Packaging and hh goods'!$L$4:$N$4)*'R&amp;S - Packaging and hh goods'!$E$9*('R&amp;S - Packaging and hh goods'!$H$14*'R&amp;S - Packaging and hh goods'!$AB$19*(K$3-$D$3)/10)-K31*'R&amp;S - Packaging and hh goods'!$L$4/SUM('R&amp;S - Packaging and hh goods'!$L$4:$N$4)*'R&amp;S - Packaging and hh goods'!$E$10*('R&amp;S - Packaging and hh goods'!$H$14*'R&amp;S - Packaging and hh goods'!$AC$19*(K$3-$D$3)/10)</f>
        <v>363555.9403936966</v>
      </c>
      <c r="L35" s="580">
        <f>L27*'R&amp;S - Packaging and hh goods'!$L$4/SUM('R&amp;S - Packaging and hh goods'!$L$4:$N$4)-L27*'R&amp;S - Packaging and hh goods'!$L$4/SUM('R&amp;S - Packaging and hh goods'!$L$4:$N$4)*'R&amp;S - Packaging and hh goods'!$E$7*('R&amp;S - Packaging and hh goods'!$H$14*'R&amp;S - Packaging and hh goods'!$Z$19*(L$3-$D$3)/10)-L27*'R&amp;S - Packaging and hh goods'!$L$4/SUM('R&amp;S - Packaging and hh goods'!$L$4:$N$4)*'R&amp;S - Packaging and hh goods'!$E$8*('R&amp;S - Packaging and hh goods'!$H$14*'R&amp;S - Packaging and hh goods'!$AA$19*(L$3-$D$3)/10)-L27*'R&amp;S - Packaging and hh goods'!$L$4/SUM('R&amp;S - Packaging and hh goods'!$L$4:$N$4)*'R&amp;S - Packaging and hh goods'!$E$9*('R&amp;S - Packaging and hh goods'!$H$14*'R&amp;S - Packaging and hh goods'!$AB$19*(L$3-$D$3)/10)-L31*'R&amp;S - Packaging and hh goods'!$L$4/SUM('R&amp;S - Packaging and hh goods'!$L$4:$N$4)*'R&amp;S - Packaging and hh goods'!$E$10*('R&amp;S - Packaging and hh goods'!$H$14*'R&amp;S - Packaging and hh goods'!$AC$19*(L$3-$D$3)/10)</f>
        <v>356340.65791029303</v>
      </c>
      <c r="M35" s="580">
        <f>M27*'R&amp;S - Packaging and hh goods'!$L$4/SUM('R&amp;S - Packaging and hh goods'!$L$4:$N$4)-M27*'R&amp;S - Packaging and hh goods'!$L$4/SUM('R&amp;S - Packaging and hh goods'!$L$4:$N$4)*'R&amp;S - Packaging and hh goods'!$E$7*('R&amp;S - Packaging and hh goods'!$H$14*'R&amp;S - Packaging and hh goods'!$Z$19*(M$3-$D$3)/10)-M27*'R&amp;S - Packaging and hh goods'!$L$4/SUM('R&amp;S - Packaging and hh goods'!$L$4:$N$4)*'R&amp;S - Packaging and hh goods'!$E$8*('R&amp;S - Packaging and hh goods'!$H$14*'R&amp;S - Packaging and hh goods'!$AA$19*(M$3-$D$3)/10)-M27*'R&amp;S - Packaging and hh goods'!$L$4/SUM('R&amp;S - Packaging and hh goods'!$L$4:$N$4)*'R&amp;S - Packaging and hh goods'!$E$9*('R&amp;S - Packaging and hh goods'!$H$14*'R&amp;S - Packaging and hh goods'!$AB$19*(M$3-$D$3)/10)-M31*'R&amp;S - Packaging and hh goods'!$L$4/SUM('R&amp;S - Packaging and hh goods'!$L$4:$N$4)*'R&amp;S - Packaging and hh goods'!$E$10*('R&amp;S - Packaging and hh goods'!$H$14*'R&amp;S - Packaging and hh goods'!$AC$19*(M$3-$D$3)/10)</f>
        <v>349194.32910385559</v>
      </c>
      <c r="N35" s="580">
        <f>N27*'R&amp;S - Packaging and hh goods'!$L$4/SUM('R&amp;S - Packaging and hh goods'!$L$4:$N$4)-N27*'R&amp;S - Packaging and hh goods'!$L$4/SUM('R&amp;S - Packaging and hh goods'!$L$4:$N$4)*'R&amp;S - Packaging and hh goods'!$E$7*('R&amp;S - Packaging and hh goods'!$H$14*'R&amp;S - Packaging and hh goods'!$Z$19*(N$3-$D$3)/10)-N27*'R&amp;S - Packaging and hh goods'!$L$4/SUM('R&amp;S - Packaging and hh goods'!$L$4:$N$4)*'R&amp;S - Packaging and hh goods'!$E$8*('R&amp;S - Packaging and hh goods'!$H$14*'R&amp;S - Packaging and hh goods'!$AA$19*(N$3-$D$3)/10)-N27*'R&amp;S - Packaging and hh goods'!$L$4/SUM('R&amp;S - Packaging and hh goods'!$L$4:$N$4)*'R&amp;S - Packaging and hh goods'!$E$9*('R&amp;S - Packaging and hh goods'!$H$14*'R&amp;S - Packaging and hh goods'!$AB$19*(N$3-$D$3)/10)-N31*'R&amp;S - Packaging and hh goods'!$L$4/SUM('R&amp;S - Packaging and hh goods'!$L$4:$N$4)*'R&amp;S - Packaging and hh goods'!$E$10*('R&amp;S - Packaging and hh goods'!$H$14*'R&amp;S - Packaging and hh goods'!$AC$19*(N$3-$D$3)/10)</f>
        <v>342116.43563119235</v>
      </c>
      <c r="O35" s="580">
        <f>O27*'R&amp;S - Packaging and hh goods'!$L$4/SUM('R&amp;S - Packaging and hh goods'!$L$4:$N$4)-O27*'R&amp;S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goods'!$Z$19)*(O$3-$N$3)/10))-O27*'R&amp;S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goods'!$AA$19)*(O$3-$N$3)/10))-O27*'R&amp;S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goods'!$AB$19)*(O$3-$N$3)/10))-O27*'R&amp;S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goods'!$AC$19)*(O$3-$N$3)/10))</f>
        <v>317604.35427571868</v>
      </c>
      <c r="P35" s="580">
        <f>P27*'R&amp;S - Packaging and hh goods'!$L$4/SUM('R&amp;S - Packaging and hh goods'!$L$4:$N$4)-P27*'R&amp;S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goods'!$Z$19)*(P$3-$N$3)/10))-P27*'R&amp;S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goods'!$AA$19)*(P$3-$N$3)/10))-P27*'R&amp;S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goods'!$AB$19)*(P$3-$N$3)/10))-P27*'R&amp;S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goods'!$AC$19)*(P$3-$N$3)/10))</f>
        <v>305634.1798538767</v>
      </c>
      <c r="Q35" s="580">
        <f>Q27*'R&amp;S - Packaging and hh goods'!$L$4/SUM('R&amp;S - Packaging and hh goods'!$L$4:$N$4)-Q27*'R&amp;S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goods'!$Z$19)*(Q$3-$N$3)/10))-Q27*'R&amp;S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goods'!$AA$19)*(Q$3-$N$3)/10))-Q27*'R&amp;S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goods'!$AB$19)*(Q$3-$N$3)/10))-Q27*'R&amp;S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goods'!$AC$19)*(Q$3-$N$3)/10))</f>
        <v>293813.00813677657</v>
      </c>
      <c r="R35" s="580">
        <f>R27*'R&amp;S - Packaging and hh goods'!$L$4/SUM('R&amp;S - Packaging and hh goods'!$L$4:$N$4)-R27*'R&amp;S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goods'!$Z$19)*(R$3-$N$3)/10))-R27*'R&amp;S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goods'!$AA$19)*(R$3-$N$3)/10))-R27*'R&amp;S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goods'!$AB$19)*(R$3-$N$3)/10))-R27*'R&amp;S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goods'!$AC$19)*(R$3-$N$3)/10))</f>
        <v>282139.36004568497</v>
      </c>
      <c r="S35" s="580">
        <f>S27*'R&amp;S - Packaging and hh goods'!$L$4/SUM('R&amp;S - Packaging and hh goods'!$L$4:$N$4)-S27*'R&amp;S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goods'!$Z$19)*(S$3-$N$3)/10))-S27*'R&amp;S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goods'!$AA$19)*(S$3-$N$3)/10))-S27*'R&amp;S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goods'!$AB$19)*(S$3-$N$3)/10))-S27*'R&amp;S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goods'!$AC$19)*(S$3-$N$3)/10))</f>
        <v>270611.76976964553</v>
      </c>
      <c r="T35" s="580">
        <f>T27*'R&amp;S - Packaging and hh goods'!$L$4/SUM('R&amp;S - Packaging and hh goods'!$L$4:$N$4)-T27*'R&amp;S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goods'!$Z$19)*(T$3-$N$3)/10))-T27*'R&amp;S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goods'!$AA$19)*(T$3-$N$3)/10))-T27*'R&amp;S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goods'!$AB$19)*(T$3-$N$3)/10))-T27*'R&amp;S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goods'!$AC$19)*(T$3-$N$3)/10))</f>
        <v>259228.7846531395</v>
      </c>
      <c r="U35" s="580">
        <f>U27*'R&amp;S - Packaging and hh goods'!$L$4/SUM('R&amp;S - Packaging and hh goods'!$L$4:$N$4)-U27*'R&amp;S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goods'!$Z$19)*(U$3-$N$3)/10))-U27*'R&amp;S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goods'!$AA$19)*(U$3-$N$3)/10))-U27*'R&amp;S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goods'!$AB$19)*(U$3-$N$3)/10))-U27*'R&amp;S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goods'!$AC$19)*(U$3-$N$3)/10))</f>
        <v>247988.96508466275</v>
      </c>
      <c r="V35" s="580">
        <f>V27*'R&amp;S - Packaging and hh goods'!$L$4/SUM('R&amp;S - Packaging and hh goods'!$L$4:$N$4)-V27*'R&amp;S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goods'!$Z$19)*(V$3-$N$3)/10))-V27*'R&amp;S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goods'!$AA$19)*(V$3-$N$3)/10))-V27*'R&amp;S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goods'!$AB$19)*(V$3-$N$3)/10))-V27*'R&amp;S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goods'!$AC$19)*(V$3-$N$3)/10))</f>
        <v>236890.884386213</v>
      </c>
      <c r="W35" s="580">
        <f>W27*'R&amp;S - Packaging and hh goods'!$L$4/SUM('R&amp;S - Packaging and hh goods'!$L$4:$N$4)-W27*'R&amp;S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goods'!$Z$19)*(W$3-$N$3)/10))-W27*'R&amp;S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goods'!$AA$19)*(W$3-$N$3)/10))-W27*'R&amp;S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goods'!$AB$19)*(W$3-$N$3)/10))-W27*'R&amp;S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goods'!$AC$19)*(W$3-$N$3)/10))</f>
        <v>225933.12870367736</v>
      </c>
      <c r="X35" s="580">
        <f>X27*'R&amp;S - Packaging and hh goods'!$L$4/SUM('R&amp;S - Packaging and hh goods'!$L$4:$N$4)-X27*'R&amp;S - Packaging and hh goods'!$L$4/SUM('R&amp;S - Packaging and hh goods'!$L$4:$N$4)*('R&amp;S - Packaging and hh goods'!$E$7*'R&amp;S - Packaging and hh goods'!$H$14*('R&amp;S - Packaging and hh goods'!$Z$19+('R&amp;S - Packaging and hh goods'!$Z$20-'R&amp;S - Packaging and hh goods'!$Z$19)*(X$3-$N$3)/10))-X27*'R&amp;S - Packaging and hh goods'!$L$4/SUM('R&amp;S - Packaging and hh goods'!$L$4:$N$4)*('R&amp;S - Packaging and hh goods'!$E$8*'R&amp;S - Packaging and hh goods'!$H$14*('R&amp;S - Packaging and hh goods'!$AA$19+('R&amp;S - Packaging and hh goods'!$AA$20-'R&amp;S - Packaging and hh goods'!$AA$19)*(X$3-$N$3)/10))-X27*'R&amp;S - Packaging and hh goods'!$L$4/SUM('R&amp;S - Packaging and hh goods'!$L$4:$N$4)*('R&amp;S - Packaging and hh goods'!$E$9*'R&amp;S - Packaging and hh goods'!$I$14*('R&amp;S - Packaging and hh goods'!$AB$19+('R&amp;S - Packaging and hh goods'!$AB$20-'R&amp;S - Packaging and hh goods'!$AB$19)*(X$3-$N$3)/10))-X27*'R&amp;S - Packaging and hh goods'!$L$4/SUM('R&amp;S - Packaging and hh goods'!$L$4:$N$4)*('R&amp;S - Packaging and hh goods'!$E$10*'R&amp;S - Packaging and hh goods'!$I$14*('R&amp;S - Packaging and hh goods'!$AC$19+('R&amp;S - Packaging and hh goods'!$AC$20-'R&amp;S - Packaging and hh goods'!$AC$19)*(X$3-$N$3)/10))</f>
        <v>215114.29689811496</v>
      </c>
      <c r="Y35" s="580">
        <f>Y27*'R&amp;S - Packaging and hh goods'!$L$4/SUM('R&amp;S - Packaging and hh goods'!$L$4:$N$4)-Y27*'R&amp;S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goods'!$Z$20)*(Y$3-$X$3)/10))-Y27*'R&amp;S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goods'!$AA$20)*(Y$3-$X$3)/10))-Y27*'R&amp;S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goods'!$AB$20)*(Y$3-$X$3)/10))-Y27*'R&amp;S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goods'!$AC$20)*(Y$3-$X$3)/10))</f>
        <v>207151.78204130416</v>
      </c>
      <c r="Z35" s="580">
        <f>Z27*'R&amp;S - Packaging and hh goods'!$L$4/SUM('R&amp;S - Packaging and hh goods'!$L$4:$N$4)-Z27*'R&amp;S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goods'!$Z$20)*(Z$3-$X$3)/10))-Z27*'R&amp;S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goods'!$AA$20)*(Z$3-$X$3)/10))-Z27*'R&amp;S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goods'!$AB$20)*(Z$3-$X$3)/10))-Z27*'R&amp;S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goods'!$AC$20)*(Z$3-$X$3)/10))</f>
        <v>199288.20303161233</v>
      </c>
      <c r="AA35" s="580">
        <f>AA27*'R&amp;S - Packaging and hh goods'!$L$4/SUM('R&amp;S - Packaging and hh goods'!$L$4:$N$4)-AA27*'R&amp;S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goods'!$Z$20)*(AA$3-$X$3)/10))-AA27*'R&amp;S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goods'!$AA$20)*(AA$3-$X$3)/10))-AA27*'R&amp;S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goods'!$AB$20)*(AA$3-$X$3)/10))-AA27*'R&amp;S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goods'!$AC$20)*(AA$3-$X$3)/10))</f>
        <v>191522.57845846796</v>
      </c>
      <c r="AB35" s="580">
        <f>AB27*'R&amp;S - Packaging and hh goods'!$L$4/SUM('R&amp;S - Packaging and hh goods'!$L$4:$N$4)-AB27*'R&amp;S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goods'!$Z$20)*(AB$3-$X$3)/10))-AB27*'R&amp;S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goods'!$AA$20)*(AB$3-$X$3)/10))-AB27*'R&amp;S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goods'!$AB$20)*(AB$3-$X$3)/10))-AB27*'R&amp;S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goods'!$AC$20)*(AB$3-$X$3)/10))</f>
        <v>183853.93571164188</v>
      </c>
      <c r="AC35" s="580">
        <f>AC27*'R&amp;S - Packaging and hh goods'!$L$4/SUM('R&amp;S - Packaging and hh goods'!$L$4:$N$4)-AC27*'R&amp;S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goods'!$Z$20)*(AC$3-$X$3)/10))-AC27*'R&amp;S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goods'!$AA$20)*(AC$3-$X$3)/10))-AC27*'R&amp;S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goods'!$AB$20)*(AC$3-$X$3)/10))-AC27*'R&amp;S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goods'!$AC$20)*(AC$3-$X$3)/10))</f>
        <v>176281.31090675166</v>
      </c>
      <c r="AD35" s="580">
        <f>AD27*'R&amp;S - Packaging and hh goods'!$L$4/SUM('R&amp;S - Packaging and hh goods'!$L$4:$N$4)-AD27*'R&amp;S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goods'!$Z$20)*(AD$3-$X$3)/10))-AD27*'R&amp;S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goods'!$AA$20)*(AD$3-$X$3)/10))-AD27*'R&amp;S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goods'!$AB$20)*(AD$3-$X$3)/10))-AD27*'R&amp;S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goods'!$AC$20)*(AD$3-$X$3)/10))</f>
        <v>168803.74881137194</v>
      </c>
      <c r="AE35" s="580">
        <f>AE27*'R&amp;S - Packaging and hh goods'!$L$4/SUM('R&amp;S - Packaging and hh goods'!$L$4:$N$4)-AE27*'R&amp;S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goods'!$Z$20)*(AE$3-$X$3)/10))-AE27*'R&amp;S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goods'!$AA$20)*(AE$3-$X$3)/10))-AE27*'R&amp;S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goods'!$AB$20)*(AE$3-$X$3)/10))-AE27*'R&amp;S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goods'!$AC$20)*(AE$3-$X$3)/10))</f>
        <v>161420.30277174932</v>
      </c>
      <c r="AF35" s="580">
        <f>AF27*'R&amp;S - Packaging and hh goods'!$L$4/SUM('R&amp;S - Packaging and hh goods'!$L$4:$N$4)-AF27*'R&amp;S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goods'!$Z$20)*(AF$3-$X$3)/10))-AF27*'R&amp;S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goods'!$AA$20)*(AF$3-$X$3)/10))-AF27*'R&amp;S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goods'!$AB$20)*(AF$3-$X$3)/10))-AF27*'R&amp;S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goods'!$AC$20)*(AF$3-$X$3)/10))</f>
        <v>154130.03464011394</v>
      </c>
      <c r="AG35" s="580">
        <f>AG27*'R&amp;S - Packaging and hh goods'!$L$4/SUM('R&amp;S - Packaging and hh goods'!$L$4:$N$4)-AG27*'R&amp;S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goods'!$Z$20)*(AG$3-$X$3)/10))-AG27*'R&amp;S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goods'!$AA$20)*(AG$3-$X$3)/10))-AG27*'R&amp;S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goods'!$AB$20)*(AG$3-$X$3)/10))-AG27*'R&amp;S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goods'!$AC$20)*(AG$3-$X$3)/10))</f>
        <v>146932.01470258451</v>
      </c>
      <c r="AH35" s="580">
        <f>AH27*'R&amp;S - Packaging and hh goods'!$L$4/SUM('R&amp;S - Packaging and hh goods'!$L$4:$N$4)-AH27*'R&amp;S - Packaging and hh goods'!$L$4/SUM('R&amp;S - Packaging and hh goods'!$L$4:$N$4)*('R&amp;S - Packaging and hh goods'!$E7*'R&amp;S - Packaging and hh goods'!$H$14*('R&amp;S - Packaging and hh goods'!$Z$20+('R&amp;S - Packaging and hh goods'!$Z$21-'R&amp;S - Packaging and hh goods'!$Z$20)*(AH$3-$X$3)/10))-AH27*'R&amp;S - Packaging and hh goods'!$L$4/SUM('R&amp;S - Packaging and hh goods'!$L$4:$N$4)*('R&amp;S - Packaging and hh goods'!$E8*'R&amp;S - Packaging and hh goods'!$H$14*('R&amp;S - Packaging and hh goods'!$AA$20+('R&amp;S - Packaging and hh goods'!$AA$21-'R&amp;S - Packaging and hh goods'!$AA$20)*(AH$3-$X$3)/10))-AH27*'R&amp;S - Packaging and hh goods'!$L$4/SUM('R&amp;S - Packaging and hh goods'!$L$4:$N$4)*('R&amp;S - Packaging and hh goods'!$E9*'R&amp;S - Packaging and hh goods'!$I$14*('R&amp;S - Packaging and hh goods'!$AB$20+('R&amp;S - Packaging and hh goods'!$AB$21-'R&amp;S - Packaging and hh goods'!$AB$20)*(AH$3-$X$3)/10))-AH27*'R&amp;S - Packaging and hh goods'!$L$4/SUM('R&amp;S - Packaging and hh goods'!$L$4:$N$4)*('R&amp;S - Packaging and hh goods'!$E10*'R&amp;S - Packaging and hh goods'!$I$14*('R&amp;S - Packaging and hh goods'!$AC$20+('R&amp;S - Packaging and hh goods'!$AC$21-'R&amp;S - Packaging and hh goods'!$AC$20)*(AH$3-$X$3)/10))</f>
        <v>139825.32160766231</v>
      </c>
      <c r="AI35" s="580"/>
      <c r="AJ35" s="580">
        <f>AJ27*'R&amp;S - Packaging and hh goods'!$L$4/SUM('R&amp;S - Packaging and hh goods'!$L$4:$N$4)</f>
        <v>416037.85495538352</v>
      </c>
      <c r="AK35" s="580">
        <f>AK27*'R&amp;S - Packaging and hh goods'!$L$4/SUM('R&amp;S - Packaging and hh goods'!$L$4:$N$4)-AK27*'R&amp;S - Packaging and hh goods'!$L$4/SUM('R&amp;S - Packaging and hh goods'!$L$4:$N$4)*'R&amp;S - Packaging and hh goods'!$E$7*('R&amp;S - Packaging and hh goods'!$H$15*'R&amp;S - Packaging and hh goods'!$Z$19*(AK$3-$D$3)/10)-AK27*'R&amp;S - Packaging and hh goods'!$L$4/SUM('R&amp;S - Packaging and hh goods'!$L$4:$N$4)*'R&amp;S - Packaging and hh goods'!$E$8*('R&amp;S - Packaging and hh goods'!$H$15*'R&amp;S - Packaging and hh goods'!$AA$19*(AK$3-$D$3)/10)-AK27*'R&amp;S - Packaging and hh goods'!$L$4/SUM('R&amp;S - Packaging and hh goods'!$L$4:$N$4)*'R&amp;S - Packaging and hh goods'!$E$9*('R&amp;S - Packaging and hh goods'!$H$15*'R&amp;S - Packaging and hh goods'!$AB$19*(AK$3-$D$3)/10)-AK31*'R&amp;S - Packaging and hh goods'!$L$4/SUM('R&amp;S - Packaging and hh goods'!$L$4:$N$4)*'R&amp;S - Packaging and hh goods'!$E$10*('R&amp;S - Packaging and hh goods'!$H$15*'R&amp;S - Packaging and hh goods'!$AC$19*(AK$3-$D$3)/10)</f>
        <v>409639.48255166312</v>
      </c>
      <c r="AL35" s="580">
        <f>AL27*'R&amp;S - Packaging and hh goods'!$L$4/SUM('R&amp;S - Packaging and hh goods'!$L$4:$N$4)-AL27*'R&amp;S - Packaging and hh goods'!$L$4/SUM('R&amp;S - Packaging and hh goods'!$L$4:$N$4)*'R&amp;S - Packaging and hh goods'!$E$7*('R&amp;S - Packaging and hh goods'!$H$15*'R&amp;S - Packaging and hh goods'!$Z$19*(AL$3-$D$3)/10)-AL27*'R&amp;S - Packaging and hh goods'!$L$4/SUM('R&amp;S - Packaging and hh goods'!$L$4:$N$4)*'R&amp;S - Packaging and hh goods'!$E$8*('R&amp;S - Packaging and hh goods'!$H$15*'R&amp;S - Packaging and hh goods'!$AA$19*(AL$3-$D$3)/10)-AL27*'R&amp;S - Packaging and hh goods'!$L$4/SUM('R&amp;S - Packaging and hh goods'!$L$4:$N$4)*'R&amp;S - Packaging and hh goods'!$E$9*('R&amp;S - Packaging and hh goods'!$H$15*'R&amp;S - Packaging and hh goods'!$AB$19*(AL$3-$D$3)/10)-AL31*'R&amp;S - Packaging and hh goods'!$L$4/SUM('R&amp;S - Packaging and hh goods'!$L$4:$N$4)*'R&amp;S - Packaging and hh goods'!$E$10*('R&amp;S - Packaging and hh goods'!$H$15*'R&amp;S - Packaging and hh goods'!$AC$19*(AL$3-$D$3)/10)</f>
        <v>403301.21075316297</v>
      </c>
      <c r="AM35" s="580">
        <f>AM27*'R&amp;S - Packaging and hh goods'!$L$4/SUM('R&amp;S - Packaging and hh goods'!$L$4:$N$4)-AM27*'R&amp;S - Packaging and hh goods'!$L$4/SUM('R&amp;S - Packaging and hh goods'!$L$4:$N$4)*'R&amp;S - Packaging and hh goods'!$E$7*('R&amp;S - Packaging and hh goods'!$H$15*'R&amp;S - Packaging and hh goods'!$Z$19*(AM$3-$D$3)/10)-AM27*'R&amp;S - Packaging and hh goods'!$L$4/SUM('R&amp;S - Packaging and hh goods'!$L$4:$N$4)*'R&amp;S - Packaging and hh goods'!$E$8*('R&amp;S - Packaging and hh goods'!$H$15*'R&amp;S - Packaging and hh goods'!$AA$19*(AM$3-$D$3)/10)-AM27*'R&amp;S - Packaging and hh goods'!$L$4/SUM('R&amp;S - Packaging and hh goods'!$L$4:$N$4)*'R&amp;S - Packaging and hh goods'!$E$9*('R&amp;S - Packaging and hh goods'!$H$15*'R&amp;S - Packaging and hh goods'!$AB$19*(AM$3-$D$3)/10)-AM31*'R&amp;S - Packaging and hh goods'!$L$4/SUM('R&amp;S - Packaging and hh goods'!$L$4:$N$4)*'R&amp;S - Packaging and hh goods'!$E$10*('R&amp;S - Packaging and hh goods'!$H$15*'R&amp;S - Packaging and hh goods'!$AC$19*(AM$3-$D$3)/10)</f>
        <v>397022.57134731876</v>
      </c>
      <c r="AN35" s="580">
        <f>AN27*'R&amp;S - Packaging and hh goods'!$L$4/SUM('R&amp;S - Packaging and hh goods'!$L$4:$N$4)-AN27*'R&amp;S - Packaging and hh goods'!$L$4/SUM('R&amp;S - Packaging and hh goods'!$L$4:$N$4)*'R&amp;S - Packaging and hh goods'!$E$7*('R&amp;S - Packaging and hh goods'!$H$15*'R&amp;S - Packaging and hh goods'!$Z$19*(AN$3-$D$3)/10)-AN27*'R&amp;S - Packaging and hh goods'!$L$4/SUM('R&amp;S - Packaging and hh goods'!$L$4:$N$4)*'R&amp;S - Packaging and hh goods'!$E$8*('R&amp;S - Packaging and hh goods'!$H$15*'R&amp;S - Packaging and hh goods'!$AA$19*(AN$3-$D$3)/10)-AN27*'R&amp;S - Packaging and hh goods'!$L$4/SUM('R&amp;S - Packaging and hh goods'!$L$4:$N$4)*'R&amp;S - Packaging and hh goods'!$E$9*('R&amp;S - Packaging and hh goods'!$H$15*'R&amp;S - Packaging and hh goods'!$AB$19*(AN$3-$D$3)/10)-AN31*'R&amp;S - Packaging and hh goods'!$L$4/SUM('R&amp;S - Packaging and hh goods'!$L$4:$N$4)*'R&amp;S - Packaging and hh goods'!$E$10*('R&amp;S - Packaging and hh goods'!$H$15*'R&amp;S - Packaging and hh goods'!$AC$19*(AN$3-$D$3)/10)</f>
        <v>390803.09934040421</v>
      </c>
      <c r="AO35" s="580">
        <f>AO27*'R&amp;S - Packaging and hh goods'!$L$4/SUM('R&amp;S - Packaging and hh goods'!$L$4:$N$4)-AO27*'R&amp;S - Packaging and hh goods'!$L$4/SUM('R&amp;S - Packaging and hh goods'!$L$4:$N$4)*'R&amp;S - Packaging and hh goods'!$E$7*('R&amp;S - Packaging and hh goods'!$H$15*'R&amp;S - Packaging and hh goods'!$Z$19*(AO$3-$D$3)/10)-AO27*'R&amp;S - Packaging and hh goods'!$L$4/SUM('R&amp;S - Packaging and hh goods'!$L$4:$N$4)*'R&amp;S - Packaging and hh goods'!$E$8*('R&amp;S - Packaging and hh goods'!$H$15*'R&amp;S - Packaging and hh goods'!$AA$19*(AO$3-$D$3)/10)-AO27*'R&amp;S - Packaging and hh goods'!$L$4/SUM('R&amp;S - Packaging and hh goods'!$L$4:$N$4)*'R&amp;S - Packaging and hh goods'!$E$9*('R&amp;S - Packaging and hh goods'!$H$15*'R&amp;S - Packaging and hh goods'!$AB$19*(AO$3-$D$3)/10)-AO31*'R&amp;S - Packaging and hh goods'!$L$4/SUM('R&amp;S - Packaging and hh goods'!$L$4:$N$4)*'R&amp;S - Packaging and hh goods'!$E$10*('R&amp;S - Packaging and hh goods'!$H$15*'R&amp;S - Packaging and hh goods'!$AC$19*(AO$3-$D$3)/10)</f>
        <v>384642.33293796901</v>
      </c>
      <c r="AP35" s="580">
        <f>AP27*'R&amp;S - Packaging and hh goods'!$L$4/SUM('R&amp;S - Packaging and hh goods'!$L$4:$N$4)-AP27*'R&amp;S - Packaging and hh goods'!$L$4/SUM('R&amp;S - Packaging and hh goods'!$L$4:$N$4)*'R&amp;S - Packaging and hh goods'!$E$7*('R&amp;S - Packaging and hh goods'!$H$15*'R&amp;S - Packaging and hh goods'!$Z$19*(AP$3-$D$3)/10)-AP27*'R&amp;S - Packaging and hh goods'!$L$4/SUM('R&amp;S - Packaging and hh goods'!$L$4:$N$4)*'R&amp;S - Packaging and hh goods'!$E$8*('R&amp;S - Packaging and hh goods'!$H$15*'R&amp;S - Packaging and hh goods'!$AA$19*(AP$3-$D$3)/10)-AP27*'R&amp;S - Packaging and hh goods'!$L$4/SUM('R&amp;S - Packaging and hh goods'!$L$4:$N$4)*'R&amp;S - Packaging and hh goods'!$E$9*('R&amp;S - Packaging and hh goods'!$H$15*'R&amp;S - Packaging and hh goods'!$AB$19*(AP$3-$D$3)/10)-AP31*'R&amp;S - Packaging and hh goods'!$L$4/SUM('R&amp;S - Packaging and hh goods'!$L$4:$N$4)*'R&amp;S - Packaging and hh goods'!$E$10*('R&amp;S - Packaging and hh goods'!$H$15*'R&amp;S - Packaging and hh goods'!$AC$19*(AP$3-$D$3)/10)</f>
        <v>378539.813525379</v>
      </c>
      <c r="AQ35" s="580">
        <f>AQ27*'R&amp;S - Packaging and hh goods'!$L$4/SUM('R&amp;S - Packaging and hh goods'!$L$4:$N$4)-AQ27*'R&amp;S - Packaging and hh goods'!$L$4/SUM('R&amp;S - Packaging and hh goods'!$L$4:$N$4)*'R&amp;S - Packaging and hh goods'!$E$7*('R&amp;S - Packaging and hh goods'!$H$15*'R&amp;S - Packaging and hh goods'!$Z$19*(AQ$3-$D$3)/10)-AQ27*'R&amp;S - Packaging and hh goods'!$L$4/SUM('R&amp;S - Packaging and hh goods'!$L$4:$N$4)*'R&amp;S - Packaging and hh goods'!$E$8*('R&amp;S - Packaging and hh goods'!$H$15*'R&amp;S - Packaging and hh goods'!$AA$19*(AQ$3-$D$3)/10)-AQ27*'R&amp;S - Packaging and hh goods'!$L$4/SUM('R&amp;S - Packaging and hh goods'!$L$4:$N$4)*'R&amp;S - Packaging and hh goods'!$E$9*('R&amp;S - Packaging and hh goods'!$H$15*'R&amp;S - Packaging and hh goods'!$AB$19*(AQ$3-$D$3)/10)-AQ31*'R&amp;S - Packaging and hh goods'!$L$4/SUM('R&amp;S - Packaging and hh goods'!$L$4:$N$4)*'R&amp;S - Packaging and hh goods'!$E$10*('R&amp;S - Packaging and hh goods'!$H$15*'R&amp;S - Packaging and hh goods'!$AC$19*(AQ$3-$D$3)/10)</f>
        <v>372495.08564845356</v>
      </c>
      <c r="AR35" s="580">
        <f>AR27*'R&amp;S - Packaging and hh goods'!$L$4/SUM('R&amp;S - Packaging and hh goods'!$L$4:$N$4)-AR27*'R&amp;S - Packaging and hh goods'!$L$4/SUM('R&amp;S - Packaging and hh goods'!$L$4:$N$4)*'R&amp;S - Packaging and hh goods'!$E$7*('R&amp;S - Packaging and hh goods'!$H$15*'R&amp;S - Packaging and hh goods'!$Z$19*(AR$3-$D$3)/10)-AR27*'R&amp;S - Packaging and hh goods'!$L$4/SUM('R&amp;S - Packaging and hh goods'!$L$4:$N$4)*'R&amp;S - Packaging and hh goods'!$E$8*('R&amp;S - Packaging and hh goods'!$H$15*'R&amp;S - Packaging and hh goods'!$AA$19*(AR$3-$D$3)/10)-AR27*'R&amp;S - Packaging and hh goods'!$L$4/SUM('R&amp;S - Packaging and hh goods'!$L$4:$N$4)*'R&amp;S - Packaging and hh goods'!$E$9*('R&amp;S - Packaging and hh goods'!$H$15*'R&amp;S - Packaging and hh goods'!$AB$19*(AR$3-$D$3)/10)-AR31*'R&amp;S - Packaging and hh goods'!$L$4/SUM('R&amp;S - Packaging and hh goods'!$L$4:$N$4)*'R&amp;S - Packaging and hh goods'!$E$10*('R&amp;S - Packaging and hh goods'!$H$15*'R&amp;S - Packaging and hh goods'!$AC$19*(AR$3-$D$3)/10)</f>
        <v>366507.6969942032</v>
      </c>
      <c r="AS35" s="580">
        <f>AS27*'R&amp;S - Packaging and hh goods'!$L$4/SUM('R&amp;S - Packaging and hh goods'!$L$4:$N$4)-AS27*'R&amp;S - Packaging and hh goods'!$L$4/SUM('R&amp;S - Packaging and hh goods'!$L$4:$N$4)*'R&amp;S - Packaging and hh goods'!$E$7*('R&amp;S - Packaging and hh goods'!$H$15*'R&amp;S - Packaging and hh goods'!$Z$19*(AS$3-$D$3)/10)-AS27*'R&amp;S - Packaging and hh goods'!$L$4/SUM('R&amp;S - Packaging and hh goods'!$L$4:$N$4)*'R&amp;S - Packaging and hh goods'!$E$8*('R&amp;S - Packaging and hh goods'!$H$15*'R&amp;S - Packaging and hh goods'!$AA$19*(AS$3-$D$3)/10)-AS27*'R&amp;S - Packaging and hh goods'!$L$4/SUM('R&amp;S - Packaging and hh goods'!$L$4:$N$4)*'R&amp;S - Packaging and hh goods'!$E$9*('R&amp;S - Packaging and hh goods'!$H$15*'R&amp;S - Packaging and hh goods'!$AB$19*(AS$3-$D$3)/10)-AS31*'R&amp;S - Packaging and hh goods'!$L$4/SUM('R&amp;S - Packaging and hh goods'!$L$4:$N$4)*'R&amp;S - Packaging and hh goods'!$E$10*('R&amp;S - Packaging and hh goods'!$H$15*'R&amp;S - Packaging and hh goods'!$AC$19*(AS$3-$D$3)/10)</f>
        <v>360577.19837166357</v>
      </c>
      <c r="AT35" s="580">
        <f>AT27*'R&amp;S - Packaging and hh goods'!$L$4/SUM('R&amp;S - Packaging and hh goods'!$L$4:$N$4)-AT27*'R&amp;S - Packaging and hh goods'!$L$4/SUM('R&amp;S - Packaging and hh goods'!$L$4:$N$4)*'R&amp;S - Packaging and hh goods'!$E$7*('R&amp;S - Packaging and hh goods'!$H$15*'R&amp;S - Packaging and hh goods'!$Z$19*(AT$3-$D$3)/10)-AT27*'R&amp;S - Packaging and hh goods'!$L$4/SUM('R&amp;S - Packaging and hh goods'!$L$4:$N$4)*'R&amp;S - Packaging and hh goods'!$E$8*('R&amp;S - Packaging and hh goods'!$H$15*'R&amp;S - Packaging and hh goods'!$AA$19*(AT$3-$D$3)/10)-AT27*'R&amp;S - Packaging and hh goods'!$L$4/SUM('R&amp;S - Packaging and hh goods'!$L$4:$N$4)*'R&amp;S - Packaging and hh goods'!$E$9*('R&amp;S - Packaging and hh goods'!$H$15*'R&amp;S - Packaging and hh goods'!$AB$19*(AT$3-$D$3)/10)-AT31*'R&amp;S - Packaging and hh goods'!$L$4/SUM('R&amp;S - Packaging and hh goods'!$L$4:$N$4)*'R&amp;S - Packaging and hh goods'!$E$10*('R&amp;S - Packaging and hh goods'!$H$15*'R&amp;S - Packaging and hh goods'!$AC$19*(AT$3-$D$3)/10)</f>
        <v>354703.1436928293</v>
      </c>
      <c r="AU35" s="580">
        <f>AU27*'R&amp;S - Packaging and hh goods'!$L$4/SUM('R&amp;S - Packaging and hh goods'!$L$4:$N$4)-AU27*'R&amp;S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goods'!$Z$19)*(AU$3-$N$3)/10))-AU27*'R&amp;S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goods'!$AA$19)*(AU$3-$N$3)/10))-AU27*'R&amp;S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goods'!$AB$19)*(AU$3-$N$3)/10))-AU27*'R&amp;S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goods'!$AC$19)*(AU$3-$N$3)/10))</f>
        <v>333332.9358840292</v>
      </c>
      <c r="AV35" s="580">
        <f>AV27*'R&amp;S - Packaging and hh goods'!$L$4/SUM('R&amp;S - Packaging and hh goods'!$L$4:$N$4)-AV27*'R&amp;S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goods'!$Z$19)*(AV$3-$N$3)/10))-AV27*'R&amp;S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goods'!$AA$19)*(AV$3-$N$3)/10))-AV27*'R&amp;S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goods'!$AB$19)*(AV$3-$N$3)/10))-AV27*'R&amp;S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goods'!$AC$19)*(AV$3-$N$3)/10))</f>
        <v>323631.09050193336</v>
      </c>
      <c r="AW35" s="580">
        <f>AW27*'R&amp;S - Packaging and hh goods'!$L$4/SUM('R&amp;S - Packaging and hh goods'!$L$4:$N$4)-AW27*'R&amp;S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goods'!$Z$19)*(AW$3-$N$3)/10))-AW27*'R&amp;S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goods'!$AA$19)*(AW$3-$N$3)/10))-AW27*'R&amp;S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goods'!$AB$19)*(AW$3-$N$3)/10))-AW27*'R&amp;S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goods'!$AC$19)*(AW$3-$N$3)/10))</f>
        <v>314046.45452774683</v>
      </c>
      <c r="AX35" s="580">
        <f>AX27*'R&amp;S - Packaging and hh goods'!$L$4/SUM('R&amp;S - Packaging and hh goods'!$L$4:$N$4)-AX27*'R&amp;S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goods'!$Z$19)*(AX$3-$N$3)/10))-AX27*'R&amp;S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goods'!$AA$19)*(AX$3-$N$3)/10))-AX27*'R&amp;S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goods'!$AB$19)*(AX$3-$N$3)/10))-AX27*'R&amp;S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goods'!$AC$19)*(AX$3-$N$3)/10))</f>
        <v>304577.87787264847</v>
      </c>
      <c r="AY35" s="580">
        <f>AY27*'R&amp;S - Packaging and hh goods'!$L$4/SUM('R&amp;S - Packaging and hh goods'!$L$4:$N$4)-AY27*'R&amp;S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goods'!$Z$19)*(AY$3-$N$3)/10))-AY27*'R&amp;S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goods'!$AA$19)*(AY$3-$N$3)/10))-AY27*'R&amp;S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goods'!$AB$19)*(AY$3-$N$3)/10))-AY27*'R&amp;S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goods'!$AC$19)*(AY$3-$N$3)/10))</f>
        <v>295224.22070122859</v>
      </c>
      <c r="AZ35" s="580">
        <f>AZ27*'R&amp;S - Packaging and hh goods'!$L$4/SUM('R&amp;S - Packaging and hh goods'!$L$4:$N$4)-AZ27*'R&amp;S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goods'!$Z$19)*(AZ$3-$N$3)/10))-AZ27*'R&amp;S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goods'!$AA$19)*(AZ$3-$N$3)/10))-AZ27*'R&amp;S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goods'!$AB$19)*(AZ$3-$N$3)/10))-AZ27*'R&amp;S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goods'!$AC$19)*(AZ$3-$N$3)/10))</f>
        <v>285984.35334500321</v>
      </c>
      <c r="BA35" s="580">
        <f>BA27*'R&amp;S - Packaging and hh goods'!$L$4/SUM('R&amp;S - Packaging and hh goods'!$L$4:$N$4)-BA27*'R&amp;S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goods'!$Z$19)*(BA$3-$N$3)/10))-BA27*'R&amp;S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goods'!$AA$19)*(BA$3-$N$3)/10))-BA27*'R&amp;S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goods'!$AB$19)*(BA$3-$N$3)/10))-BA27*'R&amp;S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goods'!$AC$19)*(BA$3-$N$3)/10))</f>
        <v>276857.15621663188</v>
      </c>
      <c r="BB35" s="580">
        <f>BB27*'R&amp;S - Packaging and hh goods'!$L$4/SUM('R&amp;S - Packaging and hh goods'!$L$4:$N$4)-BB27*'R&amp;S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goods'!$Z$19)*(BB$3-$N$3)/10))-BB27*'R&amp;S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goods'!$AA$19)*(BB$3-$N$3)/10))-BB27*'R&amp;S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goods'!$AB$19)*(BB$3-$N$3)/10))-BB27*'R&amp;S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goods'!$AC$19)*(BB$3-$N$3)/10))</f>
        <v>267841.51972483314</v>
      </c>
      <c r="BC35" s="580">
        <f>BC27*'R&amp;S - Packaging and hh goods'!$L$4/SUM('R&amp;S - Packaging and hh goods'!$L$4:$N$4)-BC27*'R&amp;S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goods'!$Z$19)*(BC$3-$N$3)/10))-BC27*'R&amp;S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goods'!$AA$19)*(BC$3-$N$3)/10))-BC27*'R&amp;S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goods'!$AB$19)*(BC$3-$N$3)/10))-BC27*'R&amp;S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goods'!$AC$19)*(BC$3-$N$3)/10))</f>
        <v>258936.34418999319</v>
      </c>
      <c r="BD35" s="580">
        <f>BD27*'R&amp;S - Packaging and hh goods'!$L$4/SUM('R&amp;S - Packaging and hh goods'!$L$4:$N$4)-BD27*'R&amp;S - Packaging and hh goods'!$L$4/SUM('R&amp;S - Packaging and hh goods'!$L$4:$N$4)*('R&amp;S - Packaging and hh goods'!$E$7*'R&amp;S - Packaging and hh goods'!$H$15*('R&amp;S - Packaging and hh goods'!$Z$19+('R&amp;S - Packaging and hh goods'!$Z$20-'R&amp;S - Packaging and hh goods'!$Z$19)*(BD$3-$N$3)/10))-BD27*'R&amp;S - Packaging and hh goods'!$L$4/SUM('R&amp;S - Packaging and hh goods'!$L$4:$N$4)*('R&amp;S - Packaging and hh goods'!$E$8*'R&amp;S - Packaging and hh goods'!$H$15*('R&amp;S - Packaging and hh goods'!$AA$19+('R&amp;S - Packaging and hh goods'!$AA$20-'R&amp;S - Packaging and hh goods'!$AA$19)*(BD$3-$N$3)/10))-BD27*'R&amp;S - Packaging and hh goods'!$L$4/SUM('R&amp;S - Packaging and hh goods'!$L$4:$N$4)*('R&amp;S - Packaging and hh goods'!$E$9*'R&amp;S - Packaging and hh goods'!$I$15*('R&amp;S - Packaging and hh goods'!$AB$19+('R&amp;S - Packaging and hh goods'!$AB$20-'R&amp;S - Packaging and hh goods'!$AB$19)*(BD$3-$N$3)/10))-BD27*'R&amp;S - Packaging and hh goods'!$L$4/SUM('R&amp;S - Packaging and hh goods'!$L$4:$N$4)*('R&amp;S - Packaging and hh goods'!$E$10*'R&amp;S - Packaging and hh goods'!$I$15*('R&amp;S - Packaging and hh goods'!$AC$19+('R&amp;S - Packaging and hh goods'!$AC$20-'R&amp;S - Packaging and hh goods'!$AC$19)*(BD$3-$N$3)/10))</f>
        <v>250140.5397604609</v>
      </c>
      <c r="BE35" s="580">
        <f>BE27*'R&amp;S - Packaging and hh goods'!$L$4/SUM('R&amp;S - Packaging and hh goods'!$L$4:$N$4)-BE27*'R&amp;S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goods'!$Z$20)*(BE$3-$X$3)/10))-BE27*'R&amp;S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goods'!$AA$20)*(BE$3-$X$3)/10))-BE27*'R&amp;S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goods'!$AB$20)*(BE$3-$X$3)/10))-BE27*'R&amp;S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goods'!$AC$20)*(BE$3-$X$3)/10))</f>
        <v>243517.2057085612</v>
      </c>
      <c r="BF35" s="580">
        <f>BF27*'R&amp;S - Packaging and hh goods'!$L$4/SUM('R&amp;S - Packaging and hh goods'!$L$4:$N$4)-BF27*'R&amp;S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goods'!$Z$20)*(BF$3-$X$3)/10))-BF27*'R&amp;S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goods'!$AA$20)*(BF$3-$X$3)/10))-BF27*'R&amp;S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goods'!$AB$20)*(BF$3-$X$3)/10))-BF27*'R&amp;S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goods'!$AC$20)*(BF$3-$X$3)/10))</f>
        <v>236972.83105437236</v>
      </c>
      <c r="BG35" s="580">
        <f>BG27*'R&amp;S - Packaging and hh goods'!$L$4/SUM('R&amp;S - Packaging and hh goods'!$L$4:$N$4)-BG27*'R&amp;S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goods'!$Z$20)*(BG$3-$X$3)/10))-BG27*'R&amp;S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goods'!$AA$20)*(BG$3-$X$3)/10))-BG27*'R&amp;S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goods'!$AB$20)*(BG$3-$X$3)/10))-BG27*'R&amp;S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goods'!$AC$20)*(BG$3-$X$3)/10))</f>
        <v>230506.64513221086</v>
      </c>
      <c r="BH35" s="580">
        <f>BH27*'R&amp;S - Packaging and hh goods'!$L$4/SUM('R&amp;S - Packaging and hh goods'!$L$4:$N$4)-BH27*'R&amp;S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goods'!$Z$20)*(BH$3-$X$3)/10))-BH27*'R&amp;S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goods'!$AA$20)*(BH$3-$X$3)/10))-BH27*'R&amp;S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goods'!$AB$20)*(BH$3-$X$3)/10))-BH27*'R&amp;S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goods'!$AC$20)*(BH$3-$X$3)/10))</f>
        <v>224117.88412752448</v>
      </c>
      <c r="BI35" s="580">
        <f>BI27*'R&amp;S - Packaging and hh goods'!$L$4/SUM('R&amp;S - Packaging and hh goods'!$L$4:$N$4)-BI27*'R&amp;S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goods'!$Z$20)*(BI$3-$X$3)/10))-BI27*'R&amp;S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goods'!$AA$20)*(BI$3-$X$3)/10))-BI27*'R&amp;S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goods'!$AB$20)*(BI$3-$X$3)/10))-BI27*'R&amp;S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goods'!$AC$20)*(BI$3-$X$3)/10))</f>
        <v>217805.79101920631</v>
      </c>
      <c r="BJ35" s="580">
        <f>BJ27*'R&amp;S - Packaging and hh goods'!$L$4/SUM('R&amp;S - Packaging and hh goods'!$L$4:$N$4)-BJ27*'R&amp;S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goods'!$Z$20)*(BJ$3-$X$3)/10))-BJ27*'R&amp;S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goods'!$AA$20)*(BJ$3-$X$3)/10))-BJ27*'R&amp;S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goods'!$AB$20)*(BJ$3-$X$3)/10))-BJ27*'R&amp;S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goods'!$AC$20)*(BJ$3-$X$3)/10))</f>
        <v>211569.61552237932</v>
      </c>
      <c r="BK35" s="580">
        <f>BK27*'R&amp;S - Packaging and hh goods'!$L$4/SUM('R&amp;S - Packaging and hh goods'!$L$4:$N$4)-BK27*'R&amp;S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goods'!$Z$20)*(BK$3-$X$3)/10))-BK27*'R&amp;S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goods'!$AA$20)*(BK$3-$X$3)/10))-BK27*'R&amp;S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goods'!$AB$20)*(BK$3-$X$3)/10))-BK27*'R&amp;S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goods'!$AC$20)*(BK$3-$X$3)/10))</f>
        <v>205408.61403164413</v>
      </c>
      <c r="BL35" s="580">
        <f>BL27*'R&amp;S - Packaging and hh goods'!$L$4/SUM('R&amp;S - Packaging and hh goods'!$L$4:$N$4)-BL27*'R&amp;S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goods'!$Z$20)*(BL$3-$X$3)/10))-BL27*'R&amp;S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goods'!$AA$20)*(BL$3-$X$3)/10))-BL27*'R&amp;S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goods'!$AB$20)*(BL$3-$X$3)/10))-BL27*'R&amp;S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goods'!$AC$20)*(BL$3-$X$3)/10))</f>
        <v>199322.0495647894</v>
      </c>
      <c r="BM35" s="580">
        <f>BM27*'R&amp;S - Packaging and hh goods'!$L$4/SUM('R&amp;S - Packaging and hh goods'!$L$4:$N$4)-BM27*'R&amp;S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goods'!$Z$20)*(BM$3-$X$3)/10))-BM27*'R&amp;S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goods'!$AA$20)*(BM$3-$X$3)/10))-BM27*'R&amp;S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goods'!$AB$20)*(BM$3-$X$3)/10))-BM27*'R&amp;S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goods'!$AC$20)*(BM$3-$X$3)/10))</f>
        <v>193309.1917069593</v>
      </c>
      <c r="BN35" s="580">
        <f>BN27*'R&amp;S - Packaging and hh goods'!$L$4/SUM('R&amp;S - Packaging and hh goods'!$L$4:$N$4)-BN27*'R&amp;S - Packaging and hh goods'!$L$4/SUM('R&amp;S - Packaging and hh goods'!$L$4:$N$4)*('R&amp;S - Packaging and hh goods'!$E7*'R&amp;S - Packaging and hh goods'!$H$15*('R&amp;S - Packaging and hh goods'!$Z$20+('R&amp;S - Packaging and hh goods'!$Z$21-'R&amp;S - Packaging and hh goods'!$Z$20)*(BN$3-$X$3)/10))-BN27*'R&amp;S - Packaging and hh goods'!$L$4/SUM('R&amp;S - Packaging and hh goods'!$L$4:$N$4)*('R&amp;S - Packaging and hh goods'!$E8*'R&amp;S - Packaging and hh goods'!$H$15*('R&amp;S - Packaging and hh goods'!$AA$20+('R&amp;S - Packaging and hh goods'!$AA$21-'R&amp;S - Packaging and hh goods'!$AA$20)*(BN$3-$X$3)/10))-BN27*'R&amp;S - Packaging and hh goods'!$L$4/SUM('R&amp;S - Packaging and hh goods'!$L$4:$N$4)*('R&amp;S - Packaging and hh goods'!$E9*'R&amp;S - Packaging and hh goods'!$I$15*('R&amp;S - Packaging and hh goods'!$AB$20+('R&amp;S - Packaging and hh goods'!$AB$21-'R&amp;S - Packaging and hh goods'!$AB$20)*(BN$3-$X$3)/10))-BN27*'R&amp;S - Packaging and hh goods'!$L$4/SUM('R&amp;S - Packaging and hh goods'!$L$4:$N$4)*('R&amp;S - Packaging and hh goods'!$E10*'R&amp;S - Packaging and hh goods'!$I$15*('R&amp;S - Packaging and hh goods'!$AC$20+('R&amp;S - Packaging and hh goods'!$AC$21-'R&amp;S - Packaging and hh goods'!$AC$20)*(BN$3-$X$3)/10))</f>
        <v>187369.316555275</v>
      </c>
      <c r="BQ35" s="649"/>
      <c r="BR35" s="649"/>
      <c r="BS35" s="649"/>
      <c r="BT35" s="649"/>
      <c r="BU35" s="649"/>
      <c r="BV35" s="649"/>
      <c r="BW35" s="649"/>
      <c r="BX35" s="649"/>
      <c r="BY35" s="649"/>
      <c r="BZ35" s="649"/>
      <c r="CA35" s="649"/>
      <c r="CB35" s="649"/>
      <c r="CC35" s="649"/>
      <c r="CD35" s="649"/>
      <c r="CE35" s="649"/>
      <c r="CF35" s="649"/>
      <c r="CG35" s="649"/>
      <c r="CH35" s="649"/>
      <c r="CI35" s="649"/>
      <c r="CJ35" s="649"/>
      <c r="CK35" s="649"/>
      <c r="CL35" s="649"/>
    </row>
    <row r="36" spans="1:90" outlineLevel="1">
      <c r="A36" s="603"/>
      <c r="B36" s="1" t="s">
        <v>717</v>
      </c>
      <c r="C36" s="50" t="s">
        <v>1420</v>
      </c>
      <c r="D36" s="576">
        <f>D27*'R&amp;S - Packaging and hh goods'!$M$4/SUM('R&amp;S - Packaging and hh goods'!$L$4:$N$4)</f>
        <v>127406.95685615994</v>
      </c>
      <c r="E36" s="576">
        <f>E27*'R&amp;S - Packaging and hh goods'!$M$4/SUM('R&amp;S - Packaging and hh goods'!$L$4:$N$4)-E27*'R&amp;S - Packaging and hh goods'!$M$4/SUM('R&amp;S - Packaging and hh goods'!$L$4:$N$4)*'R&amp;S - Packaging and hh goods'!$F$7*('R&amp;S - Packaging and hh goods'!$J$14*'R&amp;S - Packaging and hh goods'!$AE$19*(E$3-$D$3)/10)-E27*'R&amp;S - Packaging and hh goods'!$M$4/SUM('R&amp;S - Packaging and hh goods'!$L$4:$N$4)*'R&amp;S - Packaging and hh goods'!$F$8*('R&amp;S - Packaging and hh goods'!$J$14*'R&amp;S - Packaging and hh goods'!$AF$19*(E$3-$D$3)/10)-E27*'R&amp;S - Packaging and hh goods'!$M$4/SUM('R&amp;S - Packaging and hh goods'!$L$4:$N$4)*'R&amp;S - Packaging and hh goods'!$F$9*('R&amp;S - Packaging and hh goods'!$J$14*'R&amp;S - Packaging and hh goods'!$AG$19*(E$3-$D$3)/10)-+E31*'R&amp;S - Packaging and hh goods'!$M$4/SUM('R&amp;S - Packaging and hh goods'!$L$4:$N$4)*'R&amp;S - Packaging and hh goods'!$F$10*('R&amp;S - Packaging and hh goods'!$J$14*'R&amp;S - Packaging and hh goods'!$AH$19*(E$3-$D$3)/10)</f>
        <v>125346.26362971326</v>
      </c>
      <c r="F36" s="576">
        <f>F27*'R&amp;S - Packaging and hh goods'!$M$4/SUM('R&amp;S - Packaging and hh goods'!$L$4:$N$4)-F27*'R&amp;S - Packaging and hh goods'!$M$4/SUM('R&amp;S - Packaging and hh goods'!$L$4:$N$4)*'R&amp;S - Packaging and hh goods'!$F$7*('R&amp;S - Packaging and hh goods'!$J$14*'R&amp;S - Packaging and hh goods'!$AE$19*(F$3-$D$3)/10)-F27*'R&amp;S - Packaging and hh goods'!$M$4/SUM('R&amp;S - Packaging and hh goods'!$L$4:$N$4)*'R&amp;S - Packaging and hh goods'!$F$8*('R&amp;S - Packaging and hh goods'!$J$14*'R&amp;S - Packaging and hh goods'!$AF$19*(F$3-$D$3)/10)-F27*'R&amp;S - Packaging and hh goods'!$M$4/SUM('R&amp;S - Packaging and hh goods'!$L$4:$N$4)*'R&amp;S - Packaging and hh goods'!$F$9*('R&amp;S - Packaging and hh goods'!$J$14*'R&amp;S - Packaging and hh goods'!$AG$19*(F$3-$D$3)/10)-+F31*'R&amp;S - Packaging and hh goods'!$M$4/SUM('R&amp;S - Packaging and hh goods'!$L$4:$N$4)*'R&amp;S - Packaging and hh goods'!$F$10*('R&amp;S - Packaging and hh goods'!$J$14*'R&amp;S - Packaging and hh goods'!$AH$19*(F$3-$D$3)/10)</f>
        <v>123306.5096022689</v>
      </c>
      <c r="G36" s="576">
        <f>G27*'R&amp;S - Packaging and hh goods'!$M$4/SUM('R&amp;S - Packaging and hh goods'!$L$4:$N$4)-G27*'R&amp;S - Packaging and hh goods'!$M$4/SUM('R&amp;S - Packaging and hh goods'!$L$4:$N$4)*'R&amp;S - Packaging and hh goods'!$F$7*('R&amp;S - Packaging and hh goods'!$J$14*'R&amp;S - Packaging and hh goods'!$AE$19*(G$3-$D$3)/10)-G27*'R&amp;S - Packaging and hh goods'!$M$4/SUM('R&amp;S - Packaging and hh goods'!$L$4:$N$4)*'R&amp;S - Packaging and hh goods'!$F$8*('R&amp;S - Packaging and hh goods'!$J$14*'R&amp;S - Packaging and hh goods'!$AF$19*(G$3-$D$3)/10)-G27*'R&amp;S - Packaging and hh goods'!$M$4/SUM('R&amp;S - Packaging and hh goods'!$L$4:$N$4)*'R&amp;S - Packaging and hh goods'!$F$9*('R&amp;S - Packaging and hh goods'!$J$14*'R&amp;S - Packaging and hh goods'!$AG$19*(G$3-$D$3)/10)-+G31*'R&amp;S - Packaging and hh goods'!$M$4/SUM('R&amp;S - Packaging and hh goods'!$L$4:$N$4)*'R&amp;S - Packaging and hh goods'!$F$10*('R&amp;S - Packaging and hh goods'!$J$14*'R&amp;S - Packaging and hh goods'!$AH$19*(G$3-$D$3)/10)</f>
        <v>121287.51358367284</v>
      </c>
      <c r="H36" s="576">
        <f>H27*'R&amp;S - Packaging and hh goods'!$M$4/SUM('R&amp;S - Packaging and hh goods'!$L$4:$N$4)-H27*'R&amp;S - Packaging and hh goods'!$M$4/SUM('R&amp;S - Packaging and hh goods'!$L$4:$N$4)*'R&amp;S - Packaging and hh goods'!$F$7*('R&amp;S - Packaging and hh goods'!$J$14*'R&amp;S - Packaging and hh goods'!$AE$19*(H$3-$D$3)/10)-H27*'R&amp;S - Packaging and hh goods'!$M$4/SUM('R&amp;S - Packaging and hh goods'!$L$4:$N$4)*'R&amp;S - Packaging and hh goods'!$F$8*('R&amp;S - Packaging and hh goods'!$J$14*'R&amp;S - Packaging and hh goods'!$AF$19*(H$3-$D$3)/10)-H27*'R&amp;S - Packaging and hh goods'!$M$4/SUM('R&amp;S - Packaging and hh goods'!$L$4:$N$4)*'R&amp;S - Packaging and hh goods'!$F$9*('R&amp;S - Packaging and hh goods'!$J$14*'R&amp;S - Packaging and hh goods'!$AG$19*(H$3-$D$3)/10)-+H31*'R&amp;S - Packaging and hh goods'!$M$4/SUM('R&amp;S - Packaging and hh goods'!$L$4:$N$4)*'R&amp;S - Packaging and hh goods'!$F$10*('R&amp;S - Packaging and hh goods'!$J$14*'R&amp;S - Packaging and hh goods'!$AH$19*(H$3-$D$3)/10)</f>
        <v>119289.09582213398</v>
      </c>
      <c r="I36" s="576">
        <f>I27*'R&amp;S - Packaging and hh goods'!$M$4/SUM('R&amp;S - Packaging and hh goods'!$L$4:$N$4)-I27*'R&amp;S - Packaging and hh goods'!$M$4/SUM('R&amp;S - Packaging and hh goods'!$L$4:$N$4)*'R&amp;S - Packaging and hh goods'!$F$7*('R&amp;S - Packaging and hh goods'!$J$14*'R&amp;S - Packaging and hh goods'!$AE$19*(I$3-$D$3)/10)-I27*'R&amp;S - Packaging and hh goods'!$M$4/SUM('R&amp;S - Packaging and hh goods'!$L$4:$N$4)*'R&amp;S - Packaging and hh goods'!$F$8*('R&amp;S - Packaging and hh goods'!$J$14*'R&amp;S - Packaging and hh goods'!$AF$19*(I$3-$D$3)/10)-I27*'R&amp;S - Packaging and hh goods'!$M$4/SUM('R&amp;S - Packaging and hh goods'!$L$4:$N$4)*'R&amp;S - Packaging and hh goods'!$F$9*('R&amp;S - Packaging and hh goods'!$J$14*'R&amp;S - Packaging and hh goods'!$AG$19*(I$3-$D$3)/10)-+I31*'R&amp;S - Packaging and hh goods'!$M$4/SUM('R&amp;S - Packaging and hh goods'!$L$4:$N$4)*'R&amp;S - Packaging and hh goods'!$F$10*('R&amp;S - Packaging and hh goods'!$J$14*'R&amp;S - Packaging and hh goods'!$AH$19*(I$3-$D$3)/10)</f>
        <v>117311.07799344047</v>
      </c>
      <c r="J36" s="576">
        <f>J27*'R&amp;S - Packaging and hh goods'!$M$4/SUM('R&amp;S - Packaging and hh goods'!$L$4:$N$4)-J27*'R&amp;S - Packaging and hh goods'!$M$4/SUM('R&amp;S - Packaging and hh goods'!$L$4:$N$4)*'R&amp;S - Packaging and hh goods'!$F$7*('R&amp;S - Packaging and hh goods'!$J$14*'R&amp;S - Packaging and hh goods'!$AE$19*(J$3-$D$3)/10)-J27*'R&amp;S - Packaging and hh goods'!$M$4/SUM('R&amp;S - Packaging and hh goods'!$L$4:$N$4)*'R&amp;S - Packaging and hh goods'!$F$8*('R&amp;S - Packaging and hh goods'!$J$14*'R&amp;S - Packaging and hh goods'!$AF$19*(J$3-$D$3)/10)-J27*'R&amp;S - Packaging and hh goods'!$M$4/SUM('R&amp;S - Packaging and hh goods'!$L$4:$N$4)*'R&amp;S - Packaging and hh goods'!$F$9*('R&amp;S - Packaging and hh goods'!$J$14*'R&amp;S - Packaging and hh goods'!$AG$19*(J$3-$D$3)/10)-+J31*'R&amp;S - Packaging and hh goods'!$M$4/SUM('R&amp;S - Packaging and hh goods'!$L$4:$N$4)*'R&amp;S - Packaging and hh goods'!$F$10*('R&amp;S - Packaging and hh goods'!$J$14*'R&amp;S - Packaging and hh goods'!$AH$19*(J$3-$D$3)/10)</f>
        <v>115353.28319025329</v>
      </c>
      <c r="K36" s="576">
        <f>K27*'R&amp;S - Packaging and hh goods'!$M$4/SUM('R&amp;S - Packaging and hh goods'!$L$4:$N$4)-K27*'R&amp;S - Packaging and hh goods'!$M$4/SUM('R&amp;S - Packaging and hh goods'!$L$4:$N$4)*'R&amp;S - Packaging and hh goods'!$F$7*('R&amp;S - Packaging and hh goods'!$J$14*'R&amp;S - Packaging and hh goods'!$AE$19*(K$3-$D$3)/10)-K27*'R&amp;S - Packaging and hh goods'!$M$4/SUM('R&amp;S - Packaging and hh goods'!$L$4:$N$4)*'R&amp;S - Packaging and hh goods'!$F$8*('R&amp;S - Packaging and hh goods'!$J$14*'R&amp;S - Packaging and hh goods'!$AF$19*(K$3-$D$3)/10)-K27*'R&amp;S - Packaging and hh goods'!$M$4/SUM('R&amp;S - Packaging and hh goods'!$L$4:$N$4)*'R&amp;S - Packaging and hh goods'!$F$9*('R&amp;S - Packaging and hh goods'!$J$14*'R&amp;S - Packaging and hh goods'!$AG$19*(K$3-$D$3)/10)-+K31*'R&amp;S - Packaging and hh goods'!$M$4/SUM('R&amp;S - Packaging and hh goods'!$L$4:$N$4)*'R&amp;S - Packaging and hh goods'!$F$10*('R&amp;S - Packaging and hh goods'!$J$14*'R&amp;S - Packaging and hh goods'!$AH$19*(K$3-$D$3)/10)</f>
        <v>113415.53591147678</v>
      </c>
      <c r="L36" s="576">
        <f>L27*'R&amp;S - Packaging and hh goods'!$M$4/SUM('R&amp;S - Packaging and hh goods'!$L$4:$N$4)-L27*'R&amp;S - Packaging and hh goods'!$M$4/SUM('R&amp;S - Packaging and hh goods'!$L$4:$N$4)*'R&amp;S - Packaging and hh goods'!$F$7*('R&amp;S - Packaging and hh goods'!$J$14*'R&amp;S - Packaging and hh goods'!$AE$19*(L$3-$D$3)/10)-L27*'R&amp;S - Packaging and hh goods'!$M$4/SUM('R&amp;S - Packaging and hh goods'!$L$4:$N$4)*'R&amp;S - Packaging and hh goods'!$F$8*('R&amp;S - Packaging and hh goods'!$J$14*'R&amp;S - Packaging and hh goods'!$AF$19*(L$3-$D$3)/10)-L27*'R&amp;S - Packaging and hh goods'!$M$4/SUM('R&amp;S - Packaging and hh goods'!$L$4:$N$4)*'R&amp;S - Packaging and hh goods'!$F$9*('R&amp;S - Packaging and hh goods'!$J$14*'R&amp;S - Packaging and hh goods'!$AG$19*(L$3-$D$3)/10)-+L31*'R&amp;S - Packaging and hh goods'!$M$4/SUM('R&amp;S - Packaging and hh goods'!$L$4:$N$4)*'R&amp;S - Packaging and hh goods'!$F$10*('R&amp;S - Packaging and hh goods'!$J$14*'R&amp;S - Packaging and hh goods'!$AH$19*(L$3-$D$3)/10)</f>
        <v>111497.66205170532</v>
      </c>
      <c r="M36" s="576">
        <f>M27*'R&amp;S - Packaging and hh goods'!$M$4/SUM('R&amp;S - Packaging and hh goods'!$L$4:$N$4)-M27*'R&amp;S - Packaging and hh goods'!$M$4/SUM('R&amp;S - Packaging and hh goods'!$L$4:$N$4)*'R&amp;S - Packaging and hh goods'!$F$7*('R&amp;S - Packaging and hh goods'!$J$14*'R&amp;S - Packaging and hh goods'!$AE$19*(M$3-$D$3)/10)-M27*'R&amp;S - Packaging and hh goods'!$M$4/SUM('R&amp;S - Packaging and hh goods'!$L$4:$N$4)*'R&amp;S - Packaging and hh goods'!$F$8*('R&amp;S - Packaging and hh goods'!$J$14*'R&amp;S - Packaging and hh goods'!$AF$19*(M$3-$D$3)/10)-M27*'R&amp;S - Packaging and hh goods'!$M$4/SUM('R&amp;S - Packaging and hh goods'!$L$4:$N$4)*'R&amp;S - Packaging and hh goods'!$F$9*('R&amp;S - Packaging and hh goods'!$J$14*'R&amp;S - Packaging and hh goods'!$AG$19*(M$3-$D$3)/10)-+M31*'R&amp;S - Packaging and hh goods'!$M$4/SUM('R&amp;S - Packaging and hh goods'!$L$4:$N$4)*'R&amp;S - Packaging and hh goods'!$F$10*('R&amp;S - Packaging and hh goods'!$J$14*'R&amp;S - Packaging and hh goods'!$AH$19*(M$3-$D$3)/10)</f>
        <v>109599.48889074611</v>
      </c>
      <c r="N36" s="576">
        <f>N27*'R&amp;S - Packaging and hh goods'!$M$4/SUM('R&amp;S - Packaging and hh goods'!$L$4:$N$4)-N27*'R&amp;S - Packaging and hh goods'!$M$4/SUM('R&amp;S - Packaging and hh goods'!$L$4:$N$4)*'R&amp;S - Packaging and hh goods'!$F$7*('R&amp;S - Packaging and hh goods'!$J$14*'R&amp;S - Packaging and hh goods'!$AE$19*(N$3-$D$3)/10)-N27*'R&amp;S - Packaging and hh goods'!$M$4/SUM('R&amp;S - Packaging and hh goods'!$L$4:$N$4)*'R&amp;S - Packaging and hh goods'!$F$8*('R&amp;S - Packaging and hh goods'!$J$14*'R&amp;S - Packaging and hh goods'!$AF$19*(N$3-$D$3)/10)-N27*'R&amp;S - Packaging and hh goods'!$M$4/SUM('R&amp;S - Packaging and hh goods'!$L$4:$N$4)*'R&amp;S - Packaging and hh goods'!$F$9*('R&amp;S - Packaging and hh goods'!$J$14*'R&amp;S - Packaging and hh goods'!$AG$19*(N$3-$D$3)/10)-+N31*'R&amp;S - Packaging and hh goods'!$M$4/SUM('R&amp;S - Packaging and hh goods'!$L$4:$N$4)*'R&amp;S - Packaging and hh goods'!$F$10*('R&amp;S - Packaging and hh goods'!$J$14*'R&amp;S - Packaging and hh goods'!$AH$19*(N$3-$D$3)/10)</f>
        <v>107720.84508321677</v>
      </c>
      <c r="O36" s="576">
        <f>O27*'R&amp;S - Packaging and hh goods'!$M$4/SUM('R&amp;S - Packaging and hh goods'!$L$4:$N$4)-O27*'R&amp;S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goods'!$AE$19)*(O$3-$N$3)/10))-O27*'R&amp;S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goods'!$AF$19)*(O$3-$N$3)/10))-O27*'R&amp;S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goods'!$AG$19)*(O$3-$N$3)/10))-O27*'R&amp;S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goods'!$AH$19)*(O$3-$N$3)/10))</f>
        <v>103558.97300534559</v>
      </c>
      <c r="P36" s="576">
        <f>P27*'R&amp;S - Packaging and hh goods'!$M$4/SUM('R&amp;S - Packaging and hh goods'!$L$4:$N$4)-P27*'R&amp;S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goods'!$AE$19)*(P$3-$N$3)/10))-P27*'R&amp;S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goods'!$AF$19)*(P$3-$N$3)/10))-P27*'R&amp;S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goods'!$AG$19)*(P$3-$N$3)/10))-P27*'R&amp;S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goods'!$AH$19)*(P$3-$N$3)/10))</f>
        <v>100635.82464184993</v>
      </c>
      <c r="Q36" s="576">
        <f>Q27*'R&amp;S - Packaging and hh goods'!$M$4/SUM('R&amp;S - Packaging and hh goods'!$L$4:$N$4)-Q27*'R&amp;S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goods'!$AE$19)*(Q$3-$N$3)/10))-Q27*'R&amp;S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goods'!$AF$19)*(Q$3-$N$3)/10))-Q27*'R&amp;S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goods'!$AG$19)*(Q$3-$N$3)/10))-Q27*'R&amp;S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goods'!$AH$19)*(Q$3-$N$3)/10))</f>
        <v>97747.844750555145</v>
      </c>
      <c r="R36" s="576">
        <f>R27*'R&amp;S - Packaging and hh goods'!$M$4/SUM('R&amp;S - Packaging and hh goods'!$L$4:$N$4)-R27*'R&amp;S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goods'!$AE$19)*(R$3-$N$3)/10))-R27*'R&amp;S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goods'!$AF$19)*(R$3-$N$3)/10))-R27*'R&amp;S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goods'!$AG$19)*(R$3-$N$3)/10))-R27*'R&amp;S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goods'!$AH$19)*(R$3-$N$3)/10))</f>
        <v>94894.688817682516</v>
      </c>
      <c r="S36" s="576">
        <f>S27*'R&amp;S - Packaging and hh goods'!$M$4/SUM('R&amp;S - Packaging and hh goods'!$L$4:$N$4)-S27*'R&amp;S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goods'!$AE$19)*(S$3-$N$3)/10))-S27*'R&amp;S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goods'!$AF$19)*(S$3-$N$3)/10))-S27*'R&amp;S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goods'!$AG$19)*(S$3-$N$3)/10))-S27*'R&amp;S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goods'!$AH$19)*(S$3-$N$3)/10))</f>
        <v>92076.015398190299</v>
      </c>
      <c r="T36" s="576">
        <f>T27*'R&amp;S - Packaging and hh goods'!$M$4/SUM('R&amp;S - Packaging and hh goods'!$L$4:$N$4)-T27*'R&amp;S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goods'!$AE$19)*(T$3-$N$3)/10))-T27*'R&amp;S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goods'!$AF$19)*(T$3-$N$3)/10))-T27*'R&amp;S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goods'!$AG$19)*(T$3-$N$3)/10))-T27*'R&amp;S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goods'!$AH$19)*(T$3-$N$3)/10))</f>
        <v>89291.486089903687</v>
      </c>
      <c r="U36" s="576">
        <f>U27*'R&amp;S - Packaging and hh goods'!$M$4/SUM('R&amp;S - Packaging and hh goods'!$L$4:$N$4)-U27*'R&amp;S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goods'!$AE$19)*(U$3-$N$3)/10))-U27*'R&amp;S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goods'!$AF$19)*(U$3-$N$3)/10))-U27*'R&amp;S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goods'!$AG$19)*(U$3-$N$3)/10))-U27*'R&amp;S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goods'!$AH$19)*(U$3-$N$3)/10))</f>
        <v>86540.765507855001</v>
      </c>
      <c r="V36" s="576">
        <f>V27*'R&amp;S - Packaging and hh goods'!$M$4/SUM('R&amp;S - Packaging and hh goods'!$L$4:$N$4)-V27*'R&amp;S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goods'!$AE$19)*(V$3-$N$3)/10))-V27*'R&amp;S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goods'!$AF$19)*(V$3-$N$3)/10))-V27*'R&amp;S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goods'!$AG$19)*(V$3-$N$3)/10))-V27*'R&amp;S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goods'!$AH$19)*(V$3-$N$3)/10))</f>
        <v>83823.521258832901</v>
      </c>
      <c r="W36" s="576">
        <f>W27*'R&amp;S - Packaging and hh goods'!$M$4/SUM('R&amp;S - Packaging and hh goods'!$L$4:$N$4)-W27*'R&amp;S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goods'!$AE$19)*(W$3-$N$3)/10))-W27*'R&amp;S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goods'!$AF$19)*(W$3-$N$3)/10))-W27*'R&amp;S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goods'!$AG$19)*(W$3-$N$3)/10))-W27*'R&amp;S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goods'!$AH$19)*(W$3-$N$3)/10))</f>
        <v>81139.423916138607</v>
      </c>
      <c r="X36" s="576">
        <f>X27*'R&amp;S - Packaging and hh goods'!$M$4/SUM('R&amp;S - Packaging and hh goods'!$L$4:$N$4)-X27*'R&amp;S - Packaging and hh goods'!$M$4/SUM('R&amp;S - Packaging and hh goods'!$L$4:$N$4)*('R&amp;S - Packaging and hh goods'!$F$7*'R&amp;S - Packaging and hh goods'!$J$14*('R&amp;S - Packaging and hh goods'!$AE$19+('R&amp;S - Packaging and hh goods'!$AE$20-'R&amp;S - Packaging and hh goods'!$AE$19)*(X$3-$N$3)/10))-X27*'R&amp;S - Packaging and hh goods'!$M$4/SUM('R&amp;S - Packaging and hh goods'!$L$4:$N$4)*('R&amp;S - Packaging and hh goods'!$F$8*'R&amp;S - Packaging and hh goods'!$J$14*('R&amp;S - Packaging and hh goods'!$AF$19+('R&amp;S - Packaging and hh goods'!$AF$20-'R&amp;S - Packaging and hh goods'!$AF$19)*(X$3-$N$3)/10))-X27*'R&amp;S - Packaging and hh goods'!$M$4/SUM('R&amp;S - Packaging and hh goods'!$L$4:$N$4)*('R&amp;S - Packaging and hh goods'!$F$9*'R&amp;S - Packaging and hh goods'!$K$14*('R&amp;S - Packaging and hh goods'!$AG$19+('R&amp;S - Packaging and hh goods'!$AG$20-'R&amp;S - Packaging and hh goods'!$AG$19)*(X$3-$N$3)/10))-X27*'R&amp;S - Packaging and hh goods'!$M$4/SUM('R&amp;S - Packaging and hh goods'!$L$4:$N$4)*('R&amp;S - Packaging and hh goods'!$F$10*'R&amp;S - Packaging and hh goods'!$K$14*('R&amp;S - Packaging and hh goods'!$AH$19+('R&amp;S - Packaging and hh goods'!$AH$20-'R&amp;S - Packaging and hh goods'!$AH$19)*(X$3-$N$3)/10))</f>
        <v>78488.146994547162</v>
      </c>
      <c r="Y36" s="576">
        <f>Y27*'R&amp;S - Packaging and hh goods'!$M$4/SUM('R&amp;S - Packaging and hh goods'!$L$4:$N$4)-Y27*'R&amp;S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goods'!$AE$20)*(Y$3-$X$3)/10))-Y27*'R&amp;S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goods'!$AF$20)*(Y$3-$X$3)/10))-Y27*'R&amp;S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goods'!$AG$20)*(Y$3-$X$3)/10))-Y27*'R&amp;S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goods'!$AH$20)*(Y$3-$X$3)/10))</f>
        <v>76464.482114880971</v>
      </c>
      <c r="Z36" s="576">
        <f>Z27*'R&amp;S - Packaging and hh goods'!$M$4/SUM('R&amp;S - Packaging and hh goods'!$L$4:$N$4)-Z27*'R&amp;S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goods'!$AE$20)*(Z$3-$X$3)/10))-Z27*'R&amp;S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goods'!$AF$20)*(Z$3-$X$3)/10))-Z27*'R&amp;S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goods'!$AG$20)*(Z$3-$X$3)/10))-Z27*'R&amp;S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goods'!$AH$20)*(Z$3-$X$3)/10))</f>
        <v>74464.845551605802</v>
      </c>
      <c r="AA36" s="576">
        <f>AA27*'R&amp;S - Packaging and hh goods'!$M$4/SUM('R&amp;S - Packaging and hh goods'!$L$4:$N$4)-AA27*'R&amp;S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goods'!$AE$20)*(AA$3-$X$3)/10))-AA27*'R&amp;S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goods'!$AF$20)*(AA$3-$X$3)/10))-AA27*'R&amp;S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goods'!$AG$20)*(AA$3-$X$3)/10))-AA27*'R&amp;S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goods'!$AH$20)*(AA$3-$X$3)/10))</f>
        <v>72489.003161388537</v>
      </c>
      <c r="AB36" s="576">
        <f>AB27*'R&amp;S - Packaging and hh goods'!$M$4/SUM('R&amp;S - Packaging and hh goods'!$L$4:$N$4)-AB27*'R&amp;S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goods'!$AE$20)*(AB$3-$X$3)/10))-AB27*'R&amp;S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goods'!$AF$20)*(AB$3-$X$3)/10))-AB27*'R&amp;S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goods'!$AG$20)*(AB$3-$X$3)/10))-AB27*'R&amp;S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goods'!$AH$20)*(AB$3-$X$3)/10))</f>
        <v>70536.722880580695</v>
      </c>
      <c r="AC36" s="576">
        <f>AC27*'R&amp;S - Packaging and hh goods'!$M$4/SUM('R&amp;S - Packaging and hh goods'!$L$4:$N$4)-AC27*'R&amp;S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goods'!$AE$20)*(AC$3-$X$3)/10))-AC27*'R&amp;S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goods'!$AF$20)*(AC$3-$X$3)/10))-AC27*'R&amp;S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goods'!$AG$20)*(AC$3-$X$3)/10))-AC27*'R&amp;S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goods'!$AH$20)*(AC$3-$X$3)/10))</f>
        <v>68607.774707717545</v>
      </c>
      <c r="AD36" s="576">
        <f>AD27*'R&amp;S - Packaging and hh goods'!$M$4/SUM('R&amp;S - Packaging and hh goods'!$L$4:$N$4)-AD27*'R&amp;S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goods'!$AE$20)*(AD$3-$X$3)/10))-AD27*'R&amp;S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goods'!$AF$20)*(AD$3-$X$3)/10))-AD27*'R&amp;S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goods'!$AG$20)*(AD$3-$X$3)/10))-AD27*'R&amp;S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goods'!$AH$20)*(AD$3-$X$3)/10))</f>
        <v>66701.930686159292</v>
      </c>
      <c r="AE36" s="576">
        <f>AE27*'R&amp;S - Packaging and hh goods'!$M$4/SUM('R&amp;S - Packaging and hh goods'!$L$4:$N$4)-AE27*'R&amp;S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goods'!$AE$20)*(AE$3-$X$3)/10))-AE27*'R&amp;S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goods'!$AF$20)*(AE$3-$X$3)/10))-AE27*'R&amp;S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goods'!$AG$20)*(AE$3-$X$3)/10))-AE27*'R&amp;S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goods'!$AH$20)*(AE$3-$X$3)/10))</f>
        <v>64818.964886873422</v>
      </c>
      <c r="AF36" s="576">
        <f>AF27*'R&amp;S - Packaging and hh goods'!$M$4/SUM('R&amp;S - Packaging and hh goods'!$L$4:$N$4)-AF27*'R&amp;S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goods'!$AE$20)*(AF$3-$X$3)/10))-AF27*'R&amp;S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goods'!$AF$20)*(AF$3-$X$3)/10))-AF27*'R&amp;S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goods'!$AG$20)*(AF$3-$X$3)/10))-AF27*'R&amp;S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goods'!$AH$20)*(AF$3-$X$3)/10))</f>
        <v>62958.653391356813</v>
      </c>
      <c r="AG36" s="576">
        <f>AG27*'R&amp;S - Packaging and hh goods'!$M$4/SUM('R&amp;S - Packaging and hh goods'!$L$4:$N$4)-AG27*'R&amp;S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goods'!$AE$20)*(AG$3-$X$3)/10))-AG27*'R&amp;S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goods'!$AF$20)*(AG$3-$X$3)/10))-AG27*'R&amp;S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goods'!$AG$20)*(AG$3-$X$3)/10))-AG27*'R&amp;S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goods'!$AH$20)*(AG$3-$X$3)/10))</f>
        <v>61120.774274696705</v>
      </c>
      <c r="AH36" s="576">
        <f>AH27*'R&amp;S - Packaging and hh goods'!$M$4/SUM('R&amp;S - Packaging and hh goods'!$L$4:$N$4)-AH27*'R&amp;S - Packaging and hh goods'!$M$4/SUM('R&amp;S - Packaging and hh goods'!$L$4:$N$4)*('R&amp;S - Packaging and hh goods'!$F7*'R&amp;S - Packaging and hh goods'!$J$14*('R&amp;S - Packaging and hh goods'!$AE$20+('R&amp;S - Packaging and hh goods'!$AE$21-'R&amp;S - Packaging and hh goods'!$AE$20)*(AH$3-$X$3)/10))-AH27*'R&amp;S - Packaging and hh goods'!$M$4/SUM('R&amp;S - Packaging and hh goods'!$L$4:$N$4)*('R&amp;S - Packaging and hh goods'!$F8*'R&amp;S - Packaging and hh goods'!$J$14*('R&amp;S - Packaging and hh goods'!$AF$20+('R&amp;S - Packaging and hh goods'!$AF$21-'R&amp;S - Packaging and hh goods'!$AF$20)*(AH$3-$X$3)/10))-AH27*'R&amp;S - Packaging and hh goods'!$M$4/SUM('R&amp;S - Packaging and hh goods'!$L$4:$N$4)*('R&amp;S - Packaging and hh goods'!$F9*'R&amp;S - Packaging and hh goods'!$K$14*('R&amp;S - Packaging and hh goods'!$AG$20+('R&amp;S - Packaging and hh goods'!$AG$21-'R&amp;S - Packaging and hh goods'!$AG$20)*(AH$3-$X$3)/10))-AH27*'R&amp;S - Packaging and hh goods'!$M$4/SUM('R&amp;S - Packaging and hh goods'!$L$4:$N$4)*('R&amp;S - Packaging and hh goods'!$F10*'R&amp;S - Packaging and hh goods'!$K$14*('R&amp;S - Packaging and hh goods'!$AH$20+('R&amp;S - Packaging and hh goods'!$AH$21-'R&amp;S - Packaging and hh goods'!$AH$20)*(AH$3-$X$3)/10))</f>
        <v>59305.107588769359</v>
      </c>
      <c r="AI36" s="576"/>
      <c r="AJ36" s="576">
        <f>AJ27*'R&amp;S - Packaging and hh goods'!$M$4/SUM('R&amp;S - Packaging and hh goods'!$L$4:$N$4)</f>
        <v>127406.95685615994</v>
      </c>
      <c r="AK36" s="576">
        <f>AK27*'R&amp;S - Packaging and hh goods'!$M$4/SUM('R&amp;S - Packaging and hh goods'!$L$4:$N$4)-AK27*'R&amp;S - Packaging and hh goods'!$M$4/SUM('R&amp;S - Packaging and hh goods'!$L$4:$N$4)*'R&amp;S - Packaging and hh goods'!$F$7*('R&amp;S - Packaging and hh goods'!$J$15*'R&amp;S - Packaging and hh goods'!$AE$19*(AK$3-$D$3)/10)-AK27*'R&amp;S - Packaging and hh goods'!$M$4/SUM('R&amp;S - Packaging and hh goods'!$L$4:$N$4)*'R&amp;S - Packaging and hh goods'!$F$8*('R&amp;S - Packaging and hh goods'!$J$15*'R&amp;S - Packaging and hh goods'!$AF$19*(AK$3-$D$3)/10)-AK27*'R&amp;S - Packaging and hh goods'!$M$4/SUM('R&amp;S - Packaging and hh goods'!$L$4:$N$4)*'R&amp;S - Packaging and hh goods'!$F$9*('R&amp;S - Packaging and hh goods'!$J$15*'R&amp;S - Packaging and hh goods'!$AG$19*(AK$3-$D$3)/10)-+AK31*'R&amp;S - Packaging and hh goods'!$M$4/SUM('R&amp;S - Packaging and hh goods'!$L$4:$N$4)*'R&amp;S - Packaging and hh goods'!$F$10*('R&amp;S - Packaging and hh goods'!$J$15*'R&amp;S - Packaging and hh goods'!$AH$19*(AK$3-$D$3)/10)</f>
        <v>125667.25026852082</v>
      </c>
      <c r="AL36" s="576">
        <f>AL27*'R&amp;S - Packaging and hh goods'!$M$4/SUM('R&amp;S - Packaging and hh goods'!$L$4:$N$4)-AL27*'R&amp;S - Packaging and hh goods'!$M$4/SUM('R&amp;S - Packaging and hh goods'!$L$4:$N$4)*'R&amp;S - Packaging and hh goods'!$F$7*('R&amp;S - Packaging and hh goods'!$J$15*'R&amp;S - Packaging and hh goods'!$AE$19*(AL$3-$D$3)/10)-AL27*'R&amp;S - Packaging and hh goods'!$M$4/SUM('R&amp;S - Packaging and hh goods'!$L$4:$N$4)*'R&amp;S - Packaging and hh goods'!$F$8*('R&amp;S - Packaging and hh goods'!$J$15*'R&amp;S - Packaging and hh goods'!$AF$19*(AL$3-$D$3)/10)-AL27*'R&amp;S - Packaging and hh goods'!$M$4/SUM('R&amp;S - Packaging and hh goods'!$L$4:$N$4)*'R&amp;S - Packaging and hh goods'!$F$9*('R&amp;S - Packaging and hh goods'!$J$15*'R&amp;S - Packaging and hh goods'!$AG$19*(AL$3-$D$3)/10)-+AL31*'R&amp;S - Packaging and hh goods'!$M$4/SUM('R&amp;S - Packaging and hh goods'!$L$4:$N$4)*'R&amp;S - Packaging and hh goods'!$F$10*('R&amp;S - Packaging and hh goods'!$J$15*'R&amp;S - Packaging and hh goods'!$AH$19*(AL$3-$D$3)/10)</f>
        <v>123944.61457162122</v>
      </c>
      <c r="AM36" s="576">
        <f>AM27*'R&amp;S - Packaging and hh goods'!$M$4/SUM('R&amp;S - Packaging and hh goods'!$L$4:$N$4)-AM27*'R&amp;S - Packaging and hh goods'!$M$4/SUM('R&amp;S - Packaging and hh goods'!$L$4:$N$4)*'R&amp;S - Packaging and hh goods'!$F$7*('R&amp;S - Packaging and hh goods'!$J$15*'R&amp;S - Packaging and hh goods'!$AE$19*(AM$3-$D$3)/10)-AM27*'R&amp;S - Packaging and hh goods'!$M$4/SUM('R&amp;S - Packaging and hh goods'!$L$4:$N$4)*'R&amp;S - Packaging and hh goods'!$F$8*('R&amp;S - Packaging and hh goods'!$J$15*'R&amp;S - Packaging and hh goods'!$AF$19*(AM$3-$D$3)/10)-AM27*'R&amp;S - Packaging and hh goods'!$M$4/SUM('R&amp;S - Packaging and hh goods'!$L$4:$N$4)*'R&amp;S - Packaging and hh goods'!$F$9*('R&amp;S - Packaging and hh goods'!$J$15*'R&amp;S - Packaging and hh goods'!$AG$19*(AM$3-$D$3)/10)-+AM31*'R&amp;S - Packaging and hh goods'!$M$4/SUM('R&amp;S - Packaging and hh goods'!$L$4:$N$4)*'R&amp;S - Packaging and hh goods'!$F$10*('R&amp;S - Packaging and hh goods'!$J$15*'R&amp;S - Packaging and hh goods'!$AH$19*(AM$3-$D$3)/10)</f>
        <v>122238.90289149762</v>
      </c>
      <c r="AN36" s="576">
        <f>AN27*'R&amp;S - Packaging and hh goods'!$M$4/SUM('R&amp;S - Packaging and hh goods'!$L$4:$N$4)-AN27*'R&amp;S - Packaging and hh goods'!$M$4/SUM('R&amp;S - Packaging and hh goods'!$L$4:$N$4)*'R&amp;S - Packaging and hh goods'!$F$7*('R&amp;S - Packaging and hh goods'!$J$15*'R&amp;S - Packaging and hh goods'!$AE$19*(AN$3-$D$3)/10)-AN27*'R&amp;S - Packaging and hh goods'!$M$4/SUM('R&amp;S - Packaging and hh goods'!$L$4:$N$4)*'R&amp;S - Packaging and hh goods'!$F$8*('R&amp;S - Packaging and hh goods'!$J$15*'R&amp;S - Packaging and hh goods'!$AF$19*(AN$3-$D$3)/10)-AN27*'R&amp;S - Packaging and hh goods'!$M$4/SUM('R&amp;S - Packaging and hh goods'!$L$4:$N$4)*'R&amp;S - Packaging and hh goods'!$F$9*('R&amp;S - Packaging and hh goods'!$J$15*'R&amp;S - Packaging and hh goods'!$AG$19*(AN$3-$D$3)/10)-+AN31*'R&amp;S - Packaging and hh goods'!$M$4/SUM('R&amp;S - Packaging and hh goods'!$L$4:$N$4)*'R&amp;S - Packaging and hh goods'!$F$10*('R&amp;S - Packaging and hh goods'!$J$15*'R&amp;S - Packaging and hh goods'!$AH$19*(AN$3-$D$3)/10)</f>
        <v>120549.9695286651</v>
      </c>
      <c r="AO36" s="576">
        <f>AO27*'R&amp;S - Packaging and hh goods'!$M$4/SUM('R&amp;S - Packaging and hh goods'!$L$4:$N$4)-AO27*'R&amp;S - Packaging and hh goods'!$M$4/SUM('R&amp;S - Packaging and hh goods'!$L$4:$N$4)*'R&amp;S - Packaging and hh goods'!$F$7*('R&amp;S - Packaging and hh goods'!$J$15*'R&amp;S - Packaging and hh goods'!$AE$19*(AO$3-$D$3)/10)-AO27*'R&amp;S - Packaging and hh goods'!$M$4/SUM('R&amp;S - Packaging and hh goods'!$L$4:$N$4)*'R&amp;S - Packaging and hh goods'!$F$8*('R&amp;S - Packaging and hh goods'!$J$15*'R&amp;S - Packaging and hh goods'!$AF$19*(AO$3-$D$3)/10)-AO27*'R&amp;S - Packaging and hh goods'!$M$4/SUM('R&amp;S - Packaging and hh goods'!$L$4:$N$4)*'R&amp;S - Packaging and hh goods'!$F$9*('R&amp;S - Packaging and hh goods'!$J$15*'R&amp;S - Packaging and hh goods'!$AG$19*(AO$3-$D$3)/10)-+AO31*'R&amp;S - Packaging and hh goods'!$M$4/SUM('R&amp;S - Packaging and hh goods'!$L$4:$N$4)*'R&amp;S - Packaging and hh goods'!$F$10*('R&amp;S - Packaging and hh goods'!$J$15*'R&amp;S - Packaging and hh goods'!$AH$19*(AO$3-$D$3)/10)</f>
        <v>118877.66994916947</v>
      </c>
      <c r="AP36" s="576">
        <f>AP27*'R&amp;S - Packaging and hh goods'!$M$4/SUM('R&amp;S - Packaging and hh goods'!$L$4:$N$4)-AP27*'R&amp;S - Packaging and hh goods'!$M$4/SUM('R&amp;S - Packaging and hh goods'!$L$4:$N$4)*'R&amp;S - Packaging and hh goods'!$F$7*('R&amp;S - Packaging and hh goods'!$J$15*'R&amp;S - Packaging and hh goods'!$AE$19*(AP$3-$D$3)/10)-AP27*'R&amp;S - Packaging and hh goods'!$M$4/SUM('R&amp;S - Packaging and hh goods'!$L$4:$N$4)*'R&amp;S - Packaging and hh goods'!$F$8*('R&amp;S - Packaging and hh goods'!$J$15*'R&amp;S - Packaging and hh goods'!$AF$19*(AP$3-$D$3)/10)-AP27*'R&amp;S - Packaging and hh goods'!$M$4/SUM('R&amp;S - Packaging and hh goods'!$L$4:$N$4)*'R&amp;S - Packaging and hh goods'!$F$9*('R&amp;S - Packaging and hh goods'!$J$15*'R&amp;S - Packaging and hh goods'!$AG$19*(AP$3-$D$3)/10)-+AP31*'R&amp;S - Packaging and hh goods'!$M$4/SUM('R&amp;S - Packaging and hh goods'!$L$4:$N$4)*'R&amp;S - Packaging and hh goods'!$F$10*('R&amp;S - Packaging and hh goods'!$J$15*'R&amp;S - Packaging and hh goods'!$AH$19*(AP$3-$D$3)/10)</f>
        <v>117221.86077570521</v>
      </c>
      <c r="AQ36" s="576">
        <f>AQ27*'R&amp;S - Packaging and hh goods'!$M$4/SUM('R&amp;S - Packaging and hh goods'!$L$4:$N$4)-AQ27*'R&amp;S - Packaging and hh goods'!$M$4/SUM('R&amp;S - Packaging and hh goods'!$L$4:$N$4)*'R&amp;S - Packaging and hh goods'!$F$7*('R&amp;S - Packaging and hh goods'!$J$15*'R&amp;S - Packaging and hh goods'!$AE$19*(AQ$3-$D$3)/10)-AQ27*'R&amp;S - Packaging and hh goods'!$M$4/SUM('R&amp;S - Packaging and hh goods'!$L$4:$N$4)*'R&amp;S - Packaging and hh goods'!$F$8*('R&amp;S - Packaging and hh goods'!$J$15*'R&amp;S - Packaging and hh goods'!$AF$19*(AQ$3-$D$3)/10)-AQ27*'R&amp;S - Packaging and hh goods'!$M$4/SUM('R&amp;S - Packaging and hh goods'!$L$4:$N$4)*'R&amp;S - Packaging and hh goods'!$F$9*('R&amp;S - Packaging and hh goods'!$J$15*'R&amp;S - Packaging and hh goods'!$AG$19*(AQ$3-$D$3)/10)-+AQ31*'R&amp;S - Packaging and hh goods'!$M$4/SUM('R&amp;S - Packaging and hh goods'!$L$4:$N$4)*'R&amp;S - Packaging and hh goods'!$F$10*('R&amp;S - Packaging and hh goods'!$J$15*'R&amp;S - Packaging and hh goods'!$AH$19*(AQ$3-$D$3)/10)</f>
        <v>115582.39977879869</v>
      </c>
      <c r="AR36" s="576">
        <f>AR27*'R&amp;S - Packaging and hh goods'!$M$4/SUM('R&amp;S - Packaging and hh goods'!$L$4:$N$4)-AR27*'R&amp;S - Packaging and hh goods'!$M$4/SUM('R&amp;S - Packaging and hh goods'!$L$4:$N$4)*'R&amp;S - Packaging and hh goods'!$F$7*('R&amp;S - Packaging and hh goods'!$J$15*'R&amp;S - Packaging and hh goods'!$AE$19*(AR$3-$D$3)/10)-AR27*'R&amp;S - Packaging and hh goods'!$M$4/SUM('R&amp;S - Packaging and hh goods'!$L$4:$N$4)*'R&amp;S - Packaging and hh goods'!$F$8*('R&amp;S - Packaging and hh goods'!$J$15*'R&amp;S - Packaging and hh goods'!$AF$19*(AR$3-$D$3)/10)-AR27*'R&amp;S - Packaging and hh goods'!$M$4/SUM('R&amp;S - Packaging and hh goods'!$L$4:$N$4)*'R&amp;S - Packaging and hh goods'!$F$9*('R&amp;S - Packaging and hh goods'!$J$15*'R&amp;S - Packaging and hh goods'!$AG$19*(AR$3-$D$3)/10)-+AR31*'R&amp;S - Packaging and hh goods'!$M$4/SUM('R&amp;S - Packaging and hh goods'!$L$4:$N$4)*'R&amp;S - Packaging and hh goods'!$F$10*('R&amp;S - Packaging and hh goods'!$J$15*'R&amp;S - Packaging and hh goods'!$AH$19*(AR$3-$D$3)/10)</f>
        <v>113959.14586805606</v>
      </c>
      <c r="AS36" s="576">
        <f>AS27*'R&amp;S - Packaging and hh goods'!$M$4/SUM('R&amp;S - Packaging and hh goods'!$L$4:$N$4)-AS27*'R&amp;S - Packaging and hh goods'!$M$4/SUM('R&amp;S - Packaging and hh goods'!$L$4:$N$4)*'R&amp;S - Packaging and hh goods'!$F$7*('R&amp;S - Packaging and hh goods'!$J$15*'R&amp;S - Packaging and hh goods'!$AE$19*(AS$3-$D$3)/10)-AS27*'R&amp;S - Packaging and hh goods'!$M$4/SUM('R&amp;S - Packaging and hh goods'!$L$4:$N$4)*'R&amp;S - Packaging and hh goods'!$F$8*('R&amp;S - Packaging and hh goods'!$J$15*'R&amp;S - Packaging and hh goods'!$AF$19*(AS$3-$D$3)/10)-AS27*'R&amp;S - Packaging and hh goods'!$M$4/SUM('R&amp;S - Packaging and hh goods'!$L$4:$N$4)*'R&amp;S - Packaging and hh goods'!$F$9*('R&amp;S - Packaging and hh goods'!$J$15*'R&amp;S - Packaging and hh goods'!$AG$19*(AS$3-$D$3)/10)-+AS31*'R&amp;S - Packaging and hh goods'!$M$4/SUM('R&amp;S - Packaging and hh goods'!$L$4:$N$4)*'R&amp;S - Packaging and hh goods'!$F$10*('R&amp;S - Packaging and hh goods'!$J$15*'R&amp;S - Packaging and hh goods'!$AH$19*(AS$3-$D$3)/10)</f>
        <v>112351.95908347593</v>
      </c>
      <c r="AT36" s="576">
        <f>AT27*'R&amp;S - Packaging and hh goods'!$M$4/SUM('R&amp;S - Packaging and hh goods'!$L$4:$N$4)-AT27*'R&amp;S - Packaging and hh goods'!$M$4/SUM('R&amp;S - Packaging and hh goods'!$L$4:$N$4)*'R&amp;S - Packaging and hh goods'!$F$7*('R&amp;S - Packaging and hh goods'!$J$15*'R&amp;S - Packaging and hh goods'!$AE$19*(AT$3-$D$3)/10)-AT27*'R&amp;S - Packaging and hh goods'!$M$4/SUM('R&amp;S - Packaging and hh goods'!$L$4:$N$4)*'R&amp;S - Packaging and hh goods'!$F$8*('R&amp;S - Packaging and hh goods'!$J$15*'R&amp;S - Packaging and hh goods'!$AF$19*(AT$3-$D$3)/10)-AT27*'R&amp;S - Packaging and hh goods'!$M$4/SUM('R&amp;S - Packaging and hh goods'!$L$4:$N$4)*'R&amp;S - Packaging and hh goods'!$F$9*('R&amp;S - Packaging and hh goods'!$J$15*'R&amp;S - Packaging and hh goods'!$AG$19*(AT$3-$D$3)/10)-+AT31*'R&amp;S - Packaging and hh goods'!$M$4/SUM('R&amp;S - Packaging and hh goods'!$L$4:$N$4)*'R&amp;S - Packaging and hh goods'!$F$10*('R&amp;S - Packaging and hh goods'!$J$15*'R&amp;S - Packaging and hh goods'!$AH$19*(AT$3-$D$3)/10)</f>
        <v>110760.70058682545</v>
      </c>
      <c r="AU36" s="576">
        <f>AU27*'R&amp;S - Packaging and hh goods'!$M$4/SUM('R&amp;S - Packaging and hh goods'!$L$4:$N$4)-AU27*'R&amp;S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goods'!$AE$19)*(AU$3-$N$3)/10))-AU27*'R&amp;S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goods'!$AF$19)*(AU$3-$N$3)/10))-AU27*'R&amp;S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goods'!$AG$19)*(AU$3-$N$3)/10))-AU27*'R&amp;S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goods'!$AH$19)*(AU$3-$N$3)/10))</f>
        <v>106702.96455500502</v>
      </c>
      <c r="AV36" s="576">
        <f>AV27*'R&amp;S - Packaging and hh goods'!$M$4/SUM('R&amp;S - Packaging and hh goods'!$L$4:$N$4)-AV27*'R&amp;S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goods'!$AE$19)*(AV$3-$N$3)/10))-AV27*'R&amp;S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goods'!$AF$19)*(AV$3-$N$3)/10))-AV27*'R&amp;S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goods'!$AG$19)*(AV$3-$N$3)/10))-AV27*'R&amp;S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goods'!$AH$19)*(AV$3-$N$3)/10))</f>
        <v>104271.11648636675</v>
      </c>
      <c r="AW36" s="576">
        <f>AW27*'R&amp;S - Packaging and hh goods'!$M$4/SUM('R&amp;S - Packaging and hh goods'!$L$4:$N$4)-AW27*'R&amp;S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goods'!$AE$19)*(AW$3-$N$3)/10))-AW27*'R&amp;S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goods'!$AF$19)*(AW$3-$N$3)/10))-AW27*'R&amp;S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goods'!$AG$19)*(AW$3-$N$3)/10))-AW27*'R&amp;S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goods'!$AH$19)*(AW$3-$N$3)/10))</f>
        <v>101867.56304893494</v>
      </c>
      <c r="AX36" s="576">
        <f>AX27*'R&amp;S - Packaging and hh goods'!$M$4/SUM('R&amp;S - Packaging and hh goods'!$L$4:$N$4)-AX27*'R&amp;S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goods'!$AE$19)*(AX$3-$N$3)/10))-AX27*'R&amp;S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goods'!$AF$19)*(AX$3-$N$3)/10))-AX27*'R&amp;S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goods'!$AG$19)*(AX$3-$N$3)/10))-AX27*'R&amp;S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goods'!$AH$19)*(AX$3-$N$3)/10))</f>
        <v>99492.030816739629</v>
      </c>
      <c r="AY36" s="576">
        <f>AY27*'R&amp;S - Packaging and hh goods'!$M$4/SUM('R&amp;S - Packaging and hh goods'!$L$4:$N$4)-AY27*'R&amp;S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goods'!$AE$19)*(AY$3-$N$3)/10))-AY27*'R&amp;S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goods'!$AF$19)*(AY$3-$N$3)/10))-AY27*'R&amp;S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goods'!$AG$19)*(AY$3-$N$3)/10))-AY27*'R&amp;S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goods'!$AH$19)*(AY$3-$N$3)/10))</f>
        <v>97144.248781393253</v>
      </c>
      <c r="AZ36" s="576">
        <f>AZ27*'R&amp;S - Packaging and hh goods'!$M$4/SUM('R&amp;S - Packaging and hh goods'!$L$4:$N$4)-AZ27*'R&amp;S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goods'!$AE$19)*(AZ$3-$N$3)/10))-AZ27*'R&amp;S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goods'!$AF$19)*(AZ$3-$N$3)/10))-AZ27*'R&amp;S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goods'!$AG$19)*(AZ$3-$N$3)/10))-AZ27*'R&amp;S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goods'!$AH$19)*(AZ$3-$N$3)/10))</f>
        <v>94823.948331804364</v>
      </c>
      <c r="BA36" s="576">
        <f>BA27*'R&amp;S - Packaging and hh goods'!$M$4/SUM('R&amp;S - Packaging and hh goods'!$L$4:$N$4)-BA27*'R&amp;S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goods'!$AE$19)*(BA$3-$N$3)/10))-BA27*'R&amp;S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goods'!$AF$19)*(BA$3-$N$3)/10))-BA27*'R&amp;S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goods'!$AG$19)*(BA$3-$N$3)/10))-BA27*'R&amp;S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goods'!$AH$19)*(BA$3-$N$3)/10))</f>
        <v>92530.863234055665</v>
      </c>
      <c r="BB36" s="576">
        <f>BB27*'R&amp;S - Packaging and hh goods'!$M$4/SUM('R&amp;S - Packaging and hh goods'!$L$4:$N$4)-BB27*'R&amp;S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goods'!$AE$19)*(BB$3-$N$3)/10))-BB27*'R&amp;S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goods'!$AF$19)*(BB$3-$N$3)/10))-BB27*'R&amp;S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goods'!$AG$19)*(BB$3-$N$3)/10))-BB27*'R&amp;S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goods'!$AH$19)*(BB$3-$N$3)/10))</f>
        <v>90264.729611445437</v>
      </c>
      <c r="BC36" s="576">
        <f>BC27*'R&amp;S - Packaging and hh goods'!$M$4/SUM('R&amp;S - Packaging and hh goods'!$L$4:$N$4)-BC27*'R&amp;S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goods'!$AE$19)*(BC$3-$N$3)/10))-BC27*'R&amp;S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goods'!$AF$19)*(BC$3-$N$3)/10))-BC27*'R&amp;S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goods'!$AG$19)*(BC$3-$N$3)/10))-BC27*'R&amp;S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goods'!$AH$19)*(BC$3-$N$3)/10))</f>
        <v>88025.285924690877</v>
      </c>
      <c r="BD36" s="576">
        <f>BD27*'R&amp;S - Packaging and hh goods'!$M$4/SUM('R&amp;S - Packaging and hh goods'!$L$4:$N$4)-BD27*'R&amp;S - Packaging and hh goods'!$M$4/SUM('R&amp;S - Packaging and hh goods'!$L$4:$N$4)*('R&amp;S - Packaging and hh goods'!$F$7*'R&amp;S - Packaging and hh goods'!$J$15*('R&amp;S - Packaging and hh goods'!$AE$19+('R&amp;S - Packaging and hh goods'!$AE$20-'R&amp;S - Packaging and hh goods'!$AE$19)*(BD$3-$N$3)/10))-BD27*'R&amp;S - Packaging and hh goods'!$M$4/SUM('R&amp;S - Packaging and hh goods'!$L$4:$N$4)*('R&amp;S - Packaging and hh goods'!$F$8*'R&amp;S - Packaging and hh goods'!$J$15*('R&amp;S - Packaging and hh goods'!$AF$19+('R&amp;S - Packaging and hh goods'!$AF$20-'R&amp;S - Packaging and hh goods'!$AF$19)*(BD$3-$N$3)/10))-BD27*'R&amp;S - Packaging and hh goods'!$M$4/SUM('R&amp;S - Packaging and hh goods'!$L$4:$N$4)*('R&amp;S - Packaging and hh goods'!$F$9*'R&amp;S - Packaging and hh goods'!$K$15*('R&amp;S - Packaging and hh goods'!$AG$19+('R&amp;S - Packaging and hh goods'!$AG$20-'R&amp;S - Packaging and hh goods'!$AG$19)*(BD$3-$N$3)/10))-BD27*'R&amp;S - Packaging and hh goods'!$M$4/SUM('R&amp;S - Packaging and hh goods'!$L$4:$N$4)*('R&amp;S - Packaging and hh goods'!$F$10*'R&amp;S - Packaging and hh goods'!$K$15*('R&amp;S - Packaging and hh goods'!$AH$19+('R&amp;S - Packaging and hh goods'!$AH$20-'R&amp;S - Packaging and hh goods'!$AH$19)*(BD$3-$N$3)/10))</f>
        <v>85812.272952291518</v>
      </c>
      <c r="BE36" s="576">
        <f>BE27*'R&amp;S - Packaging and hh goods'!$M$4/SUM('R&amp;S - Packaging and hh goods'!$L$4:$N$4)-BE27*'R&amp;S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goods'!$AE$20)*(BE$3-$X$3)/10))-BE27*'R&amp;S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goods'!$AF$20)*(BE$3-$X$3)/10))-BE27*'R&amp;S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goods'!$AG$20)*(BE$3-$X$3)/10))-BE27*'R&amp;S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goods'!$AH$20)*(BE$3-$X$3)/10))</f>
        <v>84084.104923002946</v>
      </c>
      <c r="BF36" s="576">
        <f>BF27*'R&amp;S - Packaging and hh goods'!$M$4/SUM('R&amp;S - Packaging and hh goods'!$L$4:$N$4)-BF27*'R&amp;S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goods'!$AE$20)*(BF$3-$X$3)/10))-BF27*'R&amp;S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goods'!$AF$20)*(BF$3-$X$3)/10))-BF27*'R&amp;S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goods'!$AG$20)*(BF$3-$X$3)/10))-BF27*'R&amp;S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goods'!$AH$20)*(BF$3-$X$3)/10))</f>
        <v>82375.576267958691</v>
      </c>
      <c r="BG36" s="576">
        <f>BG27*'R&amp;S - Packaging and hh goods'!$M$4/SUM('R&amp;S - Packaging and hh goods'!$L$4:$N$4)-BG27*'R&amp;S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goods'!$AE$20)*(BG$3-$X$3)/10))-BG27*'R&amp;S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goods'!$AF$20)*(BG$3-$X$3)/10))-BG27*'R&amp;S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goods'!$AG$20)*(BG$3-$X$3)/10))-BG27*'R&amp;S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goods'!$AH$20)*(BG$3-$X$3)/10))</f>
        <v>80686.499086139695</v>
      </c>
      <c r="BH36" s="576">
        <f>BH27*'R&amp;S - Packaging and hh goods'!$M$4/SUM('R&amp;S - Packaging and hh goods'!$L$4:$N$4)-BH27*'R&amp;S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goods'!$AE$20)*(BH$3-$X$3)/10))-BH27*'R&amp;S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goods'!$AF$20)*(BH$3-$X$3)/10))-BH27*'R&amp;S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goods'!$AG$20)*(BH$3-$X$3)/10))-BH27*'R&amp;S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goods'!$AH$20)*(BH$3-$X$3)/10))</f>
        <v>79016.687128773832</v>
      </c>
      <c r="BI36" s="576">
        <f>BI27*'R&amp;S - Packaging and hh goods'!$M$4/SUM('R&amp;S - Packaging and hh goods'!$L$4:$N$4)-BI27*'R&amp;S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goods'!$AE$20)*(BI$3-$X$3)/10))-BI27*'R&amp;S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goods'!$AF$20)*(BI$3-$X$3)/10))-BI27*'R&amp;S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goods'!$AG$20)*(BI$3-$X$3)/10))-BI27*'R&amp;S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goods'!$AH$20)*(BI$3-$X$3)/10))</f>
        <v>77365.955785520287</v>
      </c>
      <c r="BJ36" s="576">
        <f>BJ27*'R&amp;S - Packaging and hh goods'!$M$4/SUM('R&amp;S - Packaging and hh goods'!$L$4:$N$4)-BJ27*'R&amp;S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goods'!$AE$20)*(BJ$3-$X$3)/10))-BJ27*'R&amp;S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goods'!$AF$20)*(BJ$3-$X$3)/10))-BJ27*'R&amp;S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goods'!$AG$20)*(BJ$3-$X$3)/10))-BJ27*'R&amp;S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goods'!$AH$20)*(BJ$3-$X$3)/10))</f>
        <v>75734.122070765341</v>
      </c>
      <c r="BK36" s="576">
        <f>BK27*'R&amp;S - Packaging and hh goods'!$M$4/SUM('R&amp;S - Packaging and hh goods'!$L$4:$N$4)-BK27*'R&amp;S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goods'!$AE$20)*(BK$3-$X$3)/10))-BK27*'R&amp;S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goods'!$AF$20)*(BK$3-$X$3)/10))-BK27*'R&amp;S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goods'!$AG$20)*(BK$3-$X$3)/10))-BK27*'R&amp;S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goods'!$AH$20)*(BK$3-$X$3)/10))</f>
        <v>74121.004610029311</v>
      </c>
      <c r="BL36" s="576">
        <f>BL27*'R&amp;S - Packaging and hh goods'!$M$4/SUM('R&amp;S - Packaging and hh goods'!$L$4:$N$4)-BL27*'R&amp;S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goods'!$AE$20)*(BL$3-$X$3)/10))-BL27*'R&amp;S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goods'!$AF$20)*(BL$3-$X$3)/10))-BL27*'R&amp;S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goods'!$AG$20)*(BL$3-$X$3)/10))-BL27*'R&amp;S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goods'!$AH$20)*(BL$3-$X$3)/10))</f>
        <v>72526.423626483171</v>
      </c>
      <c r="BM36" s="576">
        <f>BM27*'R&amp;S - Packaging and hh goods'!$M$4/SUM('R&amp;S - Packaging and hh goods'!$L$4:$N$4)-BM27*'R&amp;S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goods'!$AE$20)*(BM$3-$X$3)/10))-BM27*'R&amp;S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goods'!$AF$20)*(BM$3-$X$3)/10))-BM27*'R&amp;S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goods'!$AG$20)*(BM$3-$X$3)/10))-BM27*'R&amp;S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goods'!$AH$20)*(BM$3-$X$3)/10))</f>
        <v>70950.20092757442</v>
      </c>
      <c r="BN36" s="576">
        <f>BN27*'R&amp;S - Packaging and hh goods'!$M$4/SUM('R&amp;S - Packaging and hh goods'!$L$4:$N$4)-BN27*'R&amp;S - Packaging and hh goods'!$M$4/SUM('R&amp;S - Packaging and hh goods'!$L$4:$N$4)*('R&amp;S - Packaging and hh goods'!$F7*'R&amp;S - Packaging and hh goods'!$J$15*('R&amp;S - Packaging and hh goods'!$AE$20+('R&amp;S - Packaging and hh goods'!$AE$21-'R&amp;S - Packaging and hh goods'!$AE$20)*(BN$3-$X$3)/10))-BN27*'R&amp;S - Packaging and hh goods'!$M$4/SUM('R&amp;S - Packaging and hh goods'!$L$4:$N$4)*('R&amp;S - Packaging and hh goods'!$F8*'R&amp;S - Packaging and hh goods'!$J$15*('R&amp;S - Packaging and hh goods'!$AF$20+('R&amp;S - Packaging and hh goods'!$AF$21-'R&amp;S - Packaging and hh goods'!$AF$20)*(BN$3-$X$3)/10))-BN27*'R&amp;S - Packaging and hh goods'!$M$4/SUM('R&amp;S - Packaging and hh goods'!$L$4:$N$4)*('R&amp;S - Packaging and hh goods'!$F9*'R&amp;S - Packaging and hh goods'!$K$15*('R&amp;S - Packaging and hh goods'!$AG$20+('R&amp;S - Packaging and hh goods'!$AG$21-'R&amp;S - Packaging and hh goods'!$AG$20)*(BN$3-$X$3)/10))-BN27*'R&amp;S - Packaging and hh goods'!$M$4/SUM('R&amp;S - Packaging and hh goods'!$L$4:$N$4)*('R&amp;S - Packaging and hh goods'!$F10*'R&amp;S - Packaging and hh goods'!$K$15*('R&amp;S - Packaging and hh goods'!$AH$20+('R&amp;S - Packaging and hh goods'!$AH$21-'R&amp;S - Packaging and hh goods'!$AH$20)*(BN$3-$X$3)/10))</f>
        <v>69392.159891761272</v>
      </c>
    </row>
    <row r="37" spans="1:90" s="62" customFormat="1" outlineLevel="1">
      <c r="A37" s="604"/>
      <c r="B37" s="58" t="s">
        <v>1170</v>
      </c>
      <c r="C37" s="233" t="s">
        <v>1420</v>
      </c>
      <c r="D37" s="579">
        <f>D27*'R&amp;S - Packaging and hh goods'!$N$4/SUM('R&amp;S - Packaging and hh goods'!$L$4:$N$4)</f>
        <v>2342576.0306383162</v>
      </c>
      <c r="E37" s="579">
        <f>E27*'R&amp;S - Packaging and hh goods'!$N$4/SUM('R&amp;S - Packaging and hh goods'!$L$4:$N$4)-E27*'R&amp;S - Packaging and hh goods'!$N$4/SUM('R&amp;S - Packaging and hh goods'!$L$4:$N$4)*'R&amp;S - Packaging and hh goods'!$G$7*('R&amp;S - Packaging and hh goods'!$L$14*'R&amp;S - Packaging and hh goods'!$AJ$19*(E$3-$D$3)/10)-E27*'R&amp;S - Packaging and hh goods'!$N$4/SUM('R&amp;S - Packaging and hh goods'!$L$4:$N$4)*'R&amp;S - Packaging and hh goods'!$G$8*('R&amp;S - Packaging and hh goods'!$L$14*'R&amp;S - Packaging and hh goods'!$AK$19*(E$3-$D$3)/10)-E27*'R&amp;S - Packaging and hh goods'!$N$4/SUM('R&amp;S - Packaging and hh goods'!$L$4:$N$4)*'R&amp;S - Packaging and hh goods'!$G$9*('R&amp;S - Packaging and hh goods'!$L$14*'R&amp;S - Packaging and hh goods'!$AL$19*(E$3-$D$3)/10)-E31*'R&amp;S - Packaging and hh goods'!$N$4/SUM('R&amp;S - Packaging and hh goods'!$L$4:$N$4)*'R&amp;S - Packaging and hh goods'!$G$10*('R&amp;S - Packaging and hh goods'!$L$14*'R&amp;S - Packaging and hh goods'!$AM$19*(E$3-$D$3)/10)</f>
        <v>2297874.2095938632</v>
      </c>
      <c r="F37" s="579">
        <f>F27*'R&amp;S - Packaging and hh goods'!$N$4/SUM('R&amp;S - Packaging and hh goods'!$L$4:$N$4)-F27*'R&amp;S - Packaging and hh goods'!$N$4/SUM('R&amp;S - Packaging and hh goods'!$L$4:$N$4)*'R&amp;S - Packaging and hh goods'!$G$7*('R&amp;S - Packaging and hh goods'!$L$14*'R&amp;S - Packaging and hh goods'!$AJ$19*(F$3-$D$3)/10)-F27*'R&amp;S - Packaging and hh goods'!$N$4/SUM('R&amp;S - Packaging and hh goods'!$L$4:$N$4)*'R&amp;S - Packaging and hh goods'!$G$8*('R&amp;S - Packaging and hh goods'!$L$14*'R&amp;S - Packaging and hh goods'!$AK$19*(F$3-$D$3)/10)-F27*'R&amp;S - Packaging and hh goods'!$N$4/SUM('R&amp;S - Packaging and hh goods'!$L$4:$N$4)*'R&amp;S - Packaging and hh goods'!$G$9*('R&amp;S - Packaging and hh goods'!$L$14*'R&amp;S - Packaging and hh goods'!$AL$19*(F$3-$D$3)/10)-F31*'R&amp;S - Packaging and hh goods'!$N$4/SUM('R&amp;S - Packaging and hh goods'!$L$4:$N$4)*'R&amp;S - Packaging and hh goods'!$G$10*('R&amp;S - Packaging and hh goods'!$L$14*'R&amp;S - Packaging and hh goods'!$AM$19*(F$3-$D$3)/10)</f>
        <v>2253635.9762953771</v>
      </c>
      <c r="G37" s="579">
        <f>G27*'R&amp;S - Packaging and hh goods'!$N$4/SUM('R&amp;S - Packaging and hh goods'!$L$4:$N$4)-G27*'R&amp;S - Packaging and hh goods'!$N$4/SUM('R&amp;S - Packaging and hh goods'!$L$4:$N$4)*'R&amp;S - Packaging and hh goods'!$G$7*('R&amp;S - Packaging and hh goods'!$L$14*'R&amp;S - Packaging and hh goods'!$AJ$19*(G$3-$D$3)/10)-G27*'R&amp;S - Packaging and hh goods'!$N$4/SUM('R&amp;S - Packaging and hh goods'!$L$4:$N$4)*'R&amp;S - Packaging and hh goods'!$G$8*('R&amp;S - Packaging and hh goods'!$L$14*'R&amp;S - Packaging and hh goods'!$AK$19*(G$3-$D$3)/10)-G27*'R&amp;S - Packaging and hh goods'!$N$4/SUM('R&amp;S - Packaging and hh goods'!$L$4:$N$4)*'R&amp;S - Packaging and hh goods'!$G$9*('R&amp;S - Packaging and hh goods'!$L$14*'R&amp;S - Packaging and hh goods'!$AL$19*(G$3-$D$3)/10)-G31*'R&amp;S - Packaging and hh goods'!$N$4/SUM('R&amp;S - Packaging and hh goods'!$L$4:$N$4)*'R&amp;S - Packaging and hh goods'!$G$10*('R&amp;S - Packaging and hh goods'!$L$14*'R&amp;S - Packaging and hh goods'!$AM$19*(G$3-$D$3)/10)</f>
        <v>2209857.343119415</v>
      </c>
      <c r="H37" s="579">
        <f>H27*'R&amp;S - Packaging and hh goods'!$N$4/SUM('R&amp;S - Packaging and hh goods'!$L$4:$N$4)-H27*'R&amp;S - Packaging and hh goods'!$N$4/SUM('R&amp;S - Packaging and hh goods'!$L$4:$N$4)*'R&amp;S - Packaging and hh goods'!$G$7*('R&amp;S - Packaging and hh goods'!$L$14*'R&amp;S - Packaging and hh goods'!$AJ$19*(H$3-$D$3)/10)-H27*'R&amp;S - Packaging and hh goods'!$N$4/SUM('R&amp;S - Packaging and hh goods'!$L$4:$N$4)*'R&amp;S - Packaging and hh goods'!$G$8*('R&amp;S - Packaging and hh goods'!$L$14*'R&amp;S - Packaging and hh goods'!$AK$19*(H$3-$D$3)/10)-H27*'R&amp;S - Packaging and hh goods'!$N$4/SUM('R&amp;S - Packaging and hh goods'!$L$4:$N$4)*'R&amp;S - Packaging and hh goods'!$G$9*('R&amp;S - Packaging and hh goods'!$L$14*'R&amp;S - Packaging and hh goods'!$AL$19*(H$3-$D$3)/10)-H31*'R&amp;S - Packaging and hh goods'!$N$4/SUM('R&amp;S - Packaging and hh goods'!$L$4:$N$4)*'R&amp;S - Packaging and hh goods'!$G$10*('R&amp;S - Packaging and hh goods'!$L$14*'R&amp;S - Packaging and hh goods'!$AM$19*(H$3-$D$3)/10)</f>
        <v>2166534.3535016202</v>
      </c>
      <c r="I37" s="579">
        <f>I27*'R&amp;S - Packaging and hh goods'!$N$4/SUM('R&amp;S - Packaging and hh goods'!$L$4:$N$4)-I27*'R&amp;S - Packaging and hh goods'!$N$4/SUM('R&amp;S - Packaging and hh goods'!$L$4:$N$4)*'R&amp;S - Packaging and hh goods'!$G$7*('R&amp;S - Packaging and hh goods'!$L$14*'R&amp;S - Packaging and hh goods'!$AJ$19*(I$3-$D$3)/10)-I27*'R&amp;S - Packaging and hh goods'!$N$4/SUM('R&amp;S - Packaging and hh goods'!$L$4:$N$4)*'R&amp;S - Packaging and hh goods'!$G$8*('R&amp;S - Packaging and hh goods'!$L$14*'R&amp;S - Packaging and hh goods'!$AK$19*(I$3-$D$3)/10)-I27*'R&amp;S - Packaging and hh goods'!$N$4/SUM('R&amp;S - Packaging and hh goods'!$L$4:$N$4)*'R&amp;S - Packaging and hh goods'!$G$9*('R&amp;S - Packaging and hh goods'!$L$14*'R&amp;S - Packaging and hh goods'!$AL$19*(I$3-$D$3)/10)-I31*'R&amp;S - Packaging and hh goods'!$N$4/SUM('R&amp;S - Packaging and hh goods'!$L$4:$N$4)*'R&amp;S - Packaging and hh goods'!$G$10*('R&amp;S - Packaging and hh goods'!$L$14*'R&amp;S - Packaging and hh goods'!$AM$19*(I$3-$D$3)/10)</f>
        <v>2123663.0817107516</v>
      </c>
      <c r="J37" s="579">
        <f>J27*'R&amp;S - Packaging and hh goods'!$N$4/SUM('R&amp;S - Packaging and hh goods'!$L$4:$N$4)-J27*'R&amp;S - Packaging and hh goods'!$N$4/SUM('R&amp;S - Packaging and hh goods'!$L$4:$N$4)*'R&amp;S - Packaging and hh goods'!$G$7*('R&amp;S - Packaging and hh goods'!$L$14*'R&amp;S - Packaging and hh goods'!$AJ$19*(J$3-$D$3)/10)-J27*'R&amp;S - Packaging and hh goods'!$N$4/SUM('R&amp;S - Packaging and hh goods'!$L$4:$N$4)*'R&amp;S - Packaging and hh goods'!$G$8*('R&amp;S - Packaging and hh goods'!$L$14*'R&amp;S - Packaging and hh goods'!$AK$19*(J$3-$D$3)/10)-J27*'R&amp;S - Packaging and hh goods'!$N$4/SUM('R&amp;S - Packaging and hh goods'!$L$4:$N$4)*'R&amp;S - Packaging and hh goods'!$G$9*('R&amp;S - Packaging and hh goods'!$L$14*'R&amp;S - Packaging and hh goods'!$AL$19*(J$3-$D$3)/10)-J31*'R&amp;S - Packaging and hh goods'!$N$4/SUM('R&amp;S - Packaging and hh goods'!$L$4:$N$4)*'R&amp;S - Packaging and hh goods'!$G$10*('R&amp;S - Packaging and hh goods'!$L$14*'R&amp;S - Packaging and hh goods'!$AM$19*(J$3-$D$3)/10)</f>
        <v>2081239.6326242762</v>
      </c>
      <c r="K37" s="579">
        <f>K27*'R&amp;S - Packaging and hh goods'!$N$4/SUM('R&amp;S - Packaging and hh goods'!$L$4:$N$4)-K27*'R&amp;S - Packaging and hh goods'!$N$4/SUM('R&amp;S - Packaging and hh goods'!$L$4:$N$4)*'R&amp;S - Packaging and hh goods'!$G$7*('R&amp;S - Packaging and hh goods'!$L$14*'R&amp;S - Packaging and hh goods'!$AJ$19*(K$3-$D$3)/10)-K27*'R&amp;S - Packaging and hh goods'!$N$4/SUM('R&amp;S - Packaging and hh goods'!$L$4:$N$4)*'R&amp;S - Packaging and hh goods'!$G$8*('R&amp;S - Packaging and hh goods'!$L$14*'R&amp;S - Packaging and hh goods'!$AK$19*(K$3-$D$3)/10)-K27*'R&amp;S - Packaging and hh goods'!$N$4/SUM('R&amp;S - Packaging and hh goods'!$L$4:$N$4)*'R&amp;S - Packaging and hh goods'!$G$9*('R&amp;S - Packaging and hh goods'!$L$14*'R&amp;S - Packaging and hh goods'!$AL$19*(K$3-$D$3)/10)-K31*'R&amp;S - Packaging and hh goods'!$N$4/SUM('R&amp;S - Packaging and hh goods'!$L$4:$N$4)*'R&amp;S - Packaging and hh goods'!$G$10*('R&amp;S - Packaging and hh goods'!$L$14*'R&amp;S - Packaging and hh goods'!$AM$19*(K$3-$D$3)/10)</f>
        <v>2039260.1415054908</v>
      </c>
      <c r="L37" s="579">
        <f>L27*'R&amp;S - Packaging and hh goods'!$N$4/SUM('R&amp;S - Packaging and hh goods'!$L$4:$N$4)-L27*'R&amp;S - Packaging and hh goods'!$N$4/SUM('R&amp;S - Packaging and hh goods'!$L$4:$N$4)*'R&amp;S - Packaging and hh goods'!$G$7*('R&amp;S - Packaging and hh goods'!$L$14*'R&amp;S - Packaging and hh goods'!$AJ$19*(L$3-$D$3)/10)-L27*'R&amp;S - Packaging and hh goods'!$N$4/SUM('R&amp;S - Packaging and hh goods'!$L$4:$N$4)*'R&amp;S - Packaging and hh goods'!$G$8*('R&amp;S - Packaging and hh goods'!$L$14*'R&amp;S - Packaging and hh goods'!$AK$19*(L$3-$D$3)/10)-L27*'R&amp;S - Packaging and hh goods'!$N$4/SUM('R&amp;S - Packaging and hh goods'!$L$4:$N$4)*'R&amp;S - Packaging and hh goods'!$G$9*('R&amp;S - Packaging and hh goods'!$L$14*'R&amp;S - Packaging and hh goods'!$AL$19*(L$3-$D$3)/10)-L31*'R&amp;S - Packaging and hh goods'!$N$4/SUM('R&amp;S - Packaging and hh goods'!$L$4:$N$4)*'R&amp;S - Packaging and hh goods'!$G$10*('R&amp;S - Packaging and hh goods'!$L$14*'R&amp;S - Packaging and hh goods'!$AM$19*(L$3-$D$3)/10)</f>
        <v>1997720.7737821948</v>
      </c>
      <c r="M37" s="579">
        <f>M27*'R&amp;S - Packaging and hh goods'!$N$4/SUM('R&amp;S - Packaging and hh goods'!$L$4:$N$4)-M27*'R&amp;S - Packaging and hh goods'!$N$4/SUM('R&amp;S - Packaging and hh goods'!$L$4:$N$4)*'R&amp;S - Packaging and hh goods'!$G$7*('R&amp;S - Packaging and hh goods'!$L$14*'R&amp;S - Packaging and hh goods'!$AJ$19*(M$3-$D$3)/10)-M27*'R&amp;S - Packaging and hh goods'!$N$4/SUM('R&amp;S - Packaging and hh goods'!$L$4:$N$4)*'R&amp;S - Packaging and hh goods'!$G$8*('R&amp;S - Packaging and hh goods'!$L$14*'R&amp;S - Packaging and hh goods'!$AK$19*(M$3-$D$3)/10)-M27*'R&amp;S - Packaging and hh goods'!$N$4/SUM('R&amp;S - Packaging and hh goods'!$L$4:$N$4)*'R&amp;S - Packaging and hh goods'!$G$9*('R&amp;S - Packaging and hh goods'!$L$14*'R&amp;S - Packaging and hh goods'!$AL$19*(M$3-$D$3)/10)-M31*'R&amp;S - Packaging and hh goods'!$N$4/SUM('R&amp;S - Packaging and hh goods'!$L$4:$N$4)*'R&amp;S - Packaging and hh goods'!$G$10*('R&amp;S - Packaging and hh goods'!$L$14*'R&amp;S - Packaging and hh goods'!$AM$19*(M$3-$D$3)/10)</f>
        <v>1956617.7248268719</v>
      </c>
      <c r="N37" s="579">
        <f>N27*'R&amp;S - Packaging and hh goods'!$N$4/SUM('R&amp;S - Packaging and hh goods'!$L$4:$N$4)-N27*'R&amp;S - Packaging and hh goods'!$N$4/SUM('R&amp;S - Packaging and hh goods'!$L$4:$N$4)*'R&amp;S - Packaging and hh goods'!$G$7*('R&amp;S - Packaging and hh goods'!$L$14*'R&amp;S - Packaging and hh goods'!$AJ$19*(N$3-$D$3)/10)-N27*'R&amp;S - Packaging and hh goods'!$N$4/SUM('R&amp;S - Packaging and hh goods'!$L$4:$N$4)*'R&amp;S - Packaging and hh goods'!$G$8*('R&amp;S - Packaging and hh goods'!$L$14*'R&amp;S - Packaging and hh goods'!$AK$19*(N$3-$D$3)/10)-N27*'R&amp;S - Packaging and hh goods'!$N$4/SUM('R&amp;S - Packaging and hh goods'!$L$4:$N$4)*'R&amp;S - Packaging and hh goods'!$G$9*('R&amp;S - Packaging and hh goods'!$L$14*'R&amp;S - Packaging and hh goods'!$AL$19*(N$3-$D$3)/10)-N31*'R&amp;S - Packaging and hh goods'!$N$4/SUM('R&amp;S - Packaging and hh goods'!$L$4:$N$4)*'R&amp;S - Packaging and hh goods'!$G$10*('R&amp;S - Packaging and hh goods'!$L$14*'R&amp;S - Packaging and hh goods'!$AM$19*(N$3-$D$3)/10)</f>
        <v>1915947.2197383912</v>
      </c>
      <c r="O37" s="579">
        <f>O27*'R&amp;S - Packaging and hh goods'!$N$4/SUM('R&amp;S - Packaging and hh goods'!$L$4:$N$4)-O27*'R&amp;S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goods'!$AJ$19)*(O$3-$N$3)/10))-O27*'R&amp;S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goods'!$AK$19)*(O$3-$N$3)/10))-O27*'R&amp;S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goods'!$AL$19)*(O$3-$N$3)/10))-O27*'R&amp;S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goods'!$AM$19)*(O$3-$N$3)/10))</f>
        <v>1817823.3161790909</v>
      </c>
      <c r="P37" s="579">
        <f>P27*'R&amp;S - Packaging and hh goods'!$N$4/SUM('R&amp;S - Packaging and hh goods'!$L$4:$N$4)-P27*'R&amp;S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goods'!$AJ$19)*(P$3-$N$3)/10))-P27*'R&amp;S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goods'!$AK$19)*(P$3-$N$3)/10))-P27*'R&amp;S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goods'!$AL$19)*(P$3-$N$3)/10))-P27*'R&amp;S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goods'!$AM$19)*(P$3-$N$3)/10))</f>
        <v>1756144.9161160924</v>
      </c>
      <c r="Q37" s="579">
        <f>Q27*'R&amp;S - Packaging and hh goods'!$N$4/SUM('R&amp;S - Packaging and hh goods'!$L$4:$N$4)-Q27*'R&amp;S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goods'!$AJ$19)*(Q$3-$N$3)/10))-Q27*'R&amp;S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goods'!$AK$19)*(Q$3-$N$3)/10))-Q27*'R&amp;S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goods'!$AL$19)*(Q$3-$N$3)/10))-Q27*'R&amp;S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goods'!$AM$19)*(Q$3-$N$3)/10))</f>
        <v>1695225.7816204205</v>
      </c>
      <c r="R37" s="579">
        <f>R27*'R&amp;S - Packaging and hh goods'!$N$4/SUM('R&amp;S - Packaging and hh goods'!$L$4:$N$4)-R27*'R&amp;S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goods'!$AJ$19)*(R$3-$N$3)/10))-R27*'R&amp;S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goods'!$AK$19)*(R$3-$N$3)/10))-R27*'R&amp;S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goods'!$AL$19)*(R$3-$N$3)/10))-R27*'R&amp;S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goods'!$AM$19)*(R$3-$N$3)/10))</f>
        <v>1635058.4078128266</v>
      </c>
      <c r="S37" s="579">
        <f>S27*'R&amp;S - Packaging and hh goods'!$N$4/SUM('R&amp;S - Packaging and hh goods'!$L$4:$N$4)-S27*'R&amp;S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goods'!$AJ$19)*(S$3-$N$3)/10))-S27*'R&amp;S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goods'!$AK$19)*(S$3-$N$3)/10))-S27*'R&amp;S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goods'!$AL$19)*(S$3-$N$3)/10))-S27*'R&amp;S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goods'!$AM$19)*(S$3-$N$3)/10))</f>
        <v>1575635.3569840556</v>
      </c>
      <c r="T37" s="579">
        <f>T27*'R&amp;S - Packaging and hh goods'!$N$4/SUM('R&amp;S - Packaging and hh goods'!$L$4:$N$4)-T27*'R&amp;S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goods'!$AJ$19)*(T$3-$N$3)/10))-T27*'R&amp;S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goods'!$AK$19)*(T$3-$N$3)/10))-T27*'R&amp;S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goods'!$AL$19)*(T$3-$N$3)/10))-T27*'R&amp;S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goods'!$AM$19)*(T$3-$N$3)/10))</f>
        <v>1516949.2580268963</v>
      </c>
      <c r="U37" s="579">
        <f>U27*'R&amp;S - Packaging and hh goods'!$N$4/SUM('R&amp;S - Packaging and hh goods'!$L$4:$N$4)-U27*'R&amp;S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goods'!$AJ$19)*(U$3-$N$3)/10))-U27*'R&amp;S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goods'!$AK$19)*(U$3-$N$3)/10))-U27*'R&amp;S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goods'!$AL$19)*(U$3-$N$3)/10))-U27*'R&amp;S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goods'!$AM$19)*(U$3-$N$3)/10))</f>
        <v>1458992.8058728701</v>
      </c>
      <c r="V37" s="579">
        <f>V27*'R&amp;S - Packaging and hh goods'!$N$4/SUM('R&amp;S - Packaging and hh goods'!$L$4:$N$4)-V27*'R&amp;S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goods'!$AJ$19)*(V$3-$N$3)/10))-V27*'R&amp;S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goods'!$AK$19)*(V$3-$N$3)/10))-V27*'R&amp;S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goods'!$AL$19)*(V$3-$N$3)/10))-V27*'R&amp;S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goods'!$AM$19)*(V$3-$N$3)/10))</f>
        <v>1401758.7609335089</v>
      </c>
      <c r="W37" s="579">
        <f>W27*'R&amp;S - Packaging and hh goods'!$N$4/SUM('R&amp;S - Packaging and hh goods'!$L$4:$N$4)-W27*'R&amp;S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goods'!$AJ$19)*(W$3-$N$3)/10))-W27*'R&amp;S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goods'!$AK$19)*(W$3-$N$3)/10))-W27*'R&amp;S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goods'!$AL$19)*(W$3-$N$3)/10))-W27*'R&amp;S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goods'!$AM$19)*(W$3-$N$3)/10))</f>
        <v>1345239.9485461821</v>
      </c>
      <c r="X37" s="579">
        <f>X27*'R&amp;S - Packaging and hh goods'!$N$4/SUM('R&amp;S - Packaging and hh goods'!$L$4:$N$4)-X27*'R&amp;S - Packaging and hh goods'!$N$4/SUM('R&amp;S - Packaging and hh goods'!$L$4:$N$4)*('R&amp;S - Packaging and hh goods'!$G$7*'R&amp;S - Packaging and hh goods'!$L$14*('R&amp;S - Packaging and hh goods'!$AJ$19+('R&amp;S - Packaging and hh goods'!$AJ$20-'R&amp;S - Packaging and hh goods'!$AJ$19)*(X$3-$N$3)/10))-X27*'R&amp;S - Packaging and hh goods'!$N$4/SUM('R&amp;S - Packaging and hh goods'!$L$4:$N$4)*('R&amp;S - Packaging and hh goods'!$G$8*'R&amp;S - Packaging and hh goods'!$L$14*('R&amp;S - Packaging and hh goods'!$AK$19+('R&amp;S - Packaging and hh goods'!$AK$20-'R&amp;S - Packaging and hh goods'!$AK$19)*(X$3-$N$3)/10))-X27*'R&amp;S - Packaging and hh goods'!$N$4/SUM('R&amp;S - Packaging and hh goods'!$L$4:$N$4)*('R&amp;S - Packaging and hh goods'!$G$9*'R&amp;S - Packaging and hh goods'!$M$14*('R&amp;S - Packaging and hh goods'!$AL$19+('R&amp;S - Packaging and hh goods'!$AL$20-'R&amp;S - Packaging and hh goods'!$AL$19)*(X$3-$N$3)/10))-X27*'R&amp;S - Packaging and hh goods'!$N$4/SUM('R&amp;S - Packaging and hh goods'!$L$4:$N$4)*('R&amp;S - Packaging and hh goods'!$G$10*'R&amp;S - Packaging and hh goods'!$M$14*('R&amp;S - Packaging and hh goods'!$AM$19+('R&amp;S - Packaging and hh goods'!$AM$20-'R&amp;S - Packaging and hh goods'!$AM$19)*(X$3-$N$3)/10))</f>
        <v>1289429.2584244511</v>
      </c>
      <c r="Y37" s="579">
        <f>Y27*'R&amp;S - Packaging and hh goods'!$N$4/SUM('R&amp;S - Packaging and hh goods'!$L$4:$N$4)-Y27*'R&amp;S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goods'!$AJ$20)*(Y$3-$X$3)/10))-Y27*'R&amp;S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goods'!$AK$20)*(Y$3-$X$3)/10))-Y27*'R&amp;S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goods'!$AL$20)*(Y$3-$X$3)/10))-Y27*'R&amp;S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goods'!$AM$20)*(Y$3-$X$3)/10))</f>
        <v>1247042.0571631098</v>
      </c>
      <c r="Z37" s="579">
        <f>Z27*'R&amp;S - Packaging and hh goods'!$N$4/SUM('R&amp;S - Packaging and hh goods'!$L$4:$N$4)-Z27*'R&amp;S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goods'!$AJ$20)*(Z$3-$X$3)/10))-Z27*'R&amp;S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goods'!$AK$20)*(Z$3-$X$3)/10))-Z27*'R&amp;S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goods'!$AL$20)*(Z$3-$X$3)/10))-Z27*'R&amp;S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goods'!$AM$20)*(Z$3-$X$3)/10))</f>
        <v>1205174.7630505068</v>
      </c>
      <c r="AA37" s="579">
        <f>AA27*'R&amp;S - Packaging and hh goods'!$N$4/SUM('R&amp;S - Packaging and hh goods'!$L$4:$N$4)-AA27*'R&amp;S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goods'!$AJ$20)*(AA$3-$X$3)/10))-AA27*'R&amp;S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goods'!$AK$20)*(AA$3-$X$3)/10))-AA27*'R&amp;S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goods'!$AL$20)*(AA$3-$X$3)/10))-AA27*'R&amp;S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goods'!$AM$20)*(AA$3-$X$3)/10))</f>
        <v>1163822.2442859302</v>
      </c>
      <c r="AB37" s="579">
        <f>AB27*'R&amp;S - Packaging and hh goods'!$N$4/SUM('R&amp;S - Packaging and hh goods'!$L$4:$N$4)-AB27*'R&amp;S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goods'!$AJ$20)*(AB$3-$X$3)/10))-AB27*'R&amp;S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goods'!$AK$20)*(AB$3-$X$3)/10))-AB27*'R&amp;S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goods'!$AL$20)*(AB$3-$X$3)/10))-AB27*'R&amp;S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goods'!$AM$20)*(AB$3-$X$3)/10))</f>
        <v>1122979.4149652133</v>
      </c>
      <c r="AC37" s="579">
        <f>AC27*'R&amp;S - Packaging and hh goods'!$N$4/SUM('R&amp;S - Packaging and hh goods'!$L$4:$N$4)-AC27*'R&amp;S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goods'!$AJ$20)*(AC$3-$X$3)/10))-AC27*'R&amp;S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goods'!$AK$20)*(AC$3-$X$3)/10))-AC27*'R&amp;S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goods'!$AL$20)*(AC$3-$X$3)/10))-AC27*'R&amp;S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goods'!$AM$20)*(AC$3-$X$3)/10))</f>
        <v>1082641.2346928418</v>
      </c>
      <c r="AD37" s="579">
        <f>AD27*'R&amp;S - Packaging and hh goods'!$N$4/SUM('R&amp;S - Packaging and hh goods'!$L$4:$N$4)-AD27*'R&amp;S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goods'!$AJ$20)*(AD$3-$X$3)/10))-AD27*'R&amp;S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goods'!$AK$20)*(AD$3-$X$3)/10))-AD27*'R&amp;S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goods'!$AL$20)*(AD$3-$X$3)/10))-AD27*'R&amp;S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goods'!$AM$20)*(AD$3-$X$3)/10))</f>
        <v>1042802.7081972274</v>
      </c>
      <c r="AE37" s="579">
        <f>AE27*'R&amp;S - Packaging and hh goods'!$N$4/SUM('R&amp;S - Packaging and hh goods'!$L$4:$N$4)-AE27*'R&amp;S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goods'!$AJ$20)*(AE$3-$X$3)/10))-AE27*'R&amp;S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goods'!$AK$20)*(AE$3-$X$3)/10))-AE27*'R&amp;S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goods'!$AL$20)*(AE$3-$X$3)/10))-AE27*'R&amp;S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goods'!$AM$20)*(AE$3-$X$3)/10))</f>
        <v>1003458.8849491039</v>
      </c>
      <c r="AF37" s="579">
        <f>AF27*'R&amp;S - Packaging and hh goods'!$N$4/SUM('R&amp;S - Packaging and hh goods'!$L$4:$N$4)-AF27*'R&amp;S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goods'!$AJ$20)*(AF$3-$X$3)/10))-AF27*'R&amp;S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goods'!$AK$20)*(AF$3-$X$3)/10))-AF27*'R&amp;S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goods'!$AL$20)*(AF$3-$X$3)/10))-AF27*'R&amp;S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goods'!$AM$20)*(AF$3-$X$3)/10))</f>
        <v>964604.85878304578</v>
      </c>
      <c r="AG37" s="579">
        <f>AG27*'R&amp;S - Packaging and hh goods'!$N$4/SUM('R&amp;S - Packaging and hh goods'!$L$4:$N$4)-AG27*'R&amp;S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goods'!$AJ$20)*(AG$3-$X$3)/10))-AG27*'R&amp;S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goods'!$AK$20)*(AG$3-$X$3)/10))-AG27*'R&amp;S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goods'!$AL$20)*(AG$3-$X$3)/10))-AG27*'R&amp;S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goods'!$AM$20)*(AG$3-$X$3)/10))</f>
        <v>926235.7675220645</v>
      </c>
      <c r="AH37" s="579">
        <f>AH27*'R&amp;S - Packaging and hh goods'!$N$4/SUM('R&amp;S - Packaging and hh goods'!$L$4:$N$4)-AH27*'R&amp;S - Packaging and hh goods'!$N$4/SUM('R&amp;S - Packaging and hh goods'!$L$4:$N$4)*('R&amp;S - Packaging and hh goods'!$G7*'R&amp;S - Packaging and hh goods'!$L$14*('R&amp;S - Packaging and hh goods'!$AJ$20+('R&amp;S - Packaging and hh goods'!$AJ$21-'R&amp;S - Packaging and hh goods'!$AJ$20)*(AH$3-$X$3)/10))-AH27*'R&amp;S - Packaging and hh goods'!$N$4/SUM('R&amp;S - Packaging and hh goods'!$L$4:$N$4)*('R&amp;S - Packaging and hh goods'!$G8*'R&amp;S - Packaging and hh goods'!$L$14*('R&amp;S - Packaging and hh goods'!$AK$20+('R&amp;S - Packaging and hh goods'!$AK$21-'R&amp;S - Packaging and hh goods'!$AK$20)*(AH$3-$X$3)/10))-AH27*'R&amp;S - Packaging and hh goods'!$N$4/SUM('R&amp;S - Packaging and hh goods'!$L$4:$N$4)*('R&amp;S - Packaging and hh goods'!$G9*'R&amp;S - Packaging and hh goods'!$M$14*('R&amp;S - Packaging and hh goods'!$AL$20+('R&amp;S - Packaging and hh goods'!$AL$21-'R&amp;S - Packaging and hh goods'!$AL$20)*(AH$3-$X$3)/10))-AH27*'R&amp;S - Packaging and hh goods'!$N$4/SUM('R&amp;S - Packaging and hh goods'!$L$4:$N$4)*('R&amp;S - Packaging and hh goods'!$G10*'R&amp;S - Packaging and hh goods'!$M$14*('R&amp;S - Packaging and hh goods'!$AM$20+('R&amp;S - Packaging and hh goods'!$AM$21-'R&amp;S - Packaging and hh goods'!$AM$20)*(AH$3-$X$3)/10))</f>
        <v>888346.7926052676</v>
      </c>
      <c r="AI37" s="579"/>
      <c r="AJ37" s="579">
        <f>AJ27*'R&amp;S - Packaging and hh goods'!$N$4/SUM('R&amp;S - Packaging and hh goods'!$L$4:$N$4)</f>
        <v>2342576.0306383162</v>
      </c>
      <c r="AK37" s="579">
        <f>AK27*'R&amp;S - Packaging and hh goods'!$N$4/SUM('R&amp;S - Packaging and hh goods'!$L$4:$N$4)-AK27*'R&amp;S - Packaging and hh goods'!$N$4/SUM('R&amp;S - Packaging and hh goods'!$L$4:$N$4)*'R&amp;S - Packaging and hh goods'!$G$7*('R&amp;S - Packaging and hh goods'!$L$15*'R&amp;S - Packaging and hh goods'!$AJ$19*(AK$3-$D$3)/10)-AK27*'R&amp;S - Packaging and hh goods'!$N$4/SUM('R&amp;S - Packaging and hh goods'!$L$4:$N$4)*'R&amp;S - Packaging and hh goods'!$G$8*('R&amp;S - Packaging and hh goods'!$L$15*'R&amp;S - Packaging and hh goods'!$AK$19*(AK$3-$D$3)/10)-AK27*'R&amp;S - Packaging and hh goods'!$N$4/SUM('R&amp;S - Packaging and hh goods'!$L$4:$N$4)*'R&amp;S - Packaging and hh goods'!$G$9*('R&amp;S - Packaging and hh goods'!$L$15*'R&amp;S - Packaging and hh goods'!$AL$19*(AK$3-$D$3)/10)-AK31*'R&amp;S - Packaging and hh goods'!$N$4/SUM('R&amp;S - Packaging and hh goods'!$L$4:$N$4)*'R&amp;S - Packaging and hh goods'!$G$10*('R&amp;S - Packaging and hh goods'!$L$15*'R&amp;S - Packaging and hh goods'!$AM$19*(AK$3-$D$3)/10)</f>
        <v>2305616.483859722</v>
      </c>
      <c r="AL37" s="579">
        <f>AL27*'R&amp;S - Packaging and hh goods'!$N$4/SUM('R&amp;S - Packaging and hh goods'!$L$4:$N$4)-AL27*'R&amp;S - Packaging and hh goods'!$N$4/SUM('R&amp;S - Packaging and hh goods'!$L$4:$N$4)*'R&amp;S - Packaging and hh goods'!$G$7*('R&amp;S - Packaging and hh goods'!$L$15*'R&amp;S - Packaging and hh goods'!$AJ$19*(AL$3-$D$3)/10)-AL27*'R&amp;S - Packaging and hh goods'!$N$4/SUM('R&amp;S - Packaging and hh goods'!$L$4:$N$4)*'R&amp;S - Packaging and hh goods'!$G$8*('R&amp;S - Packaging and hh goods'!$L$15*'R&amp;S - Packaging and hh goods'!$AK$19*(AL$3-$D$3)/10)-AL27*'R&amp;S - Packaging and hh goods'!$N$4/SUM('R&amp;S - Packaging and hh goods'!$L$4:$N$4)*'R&amp;S - Packaging and hh goods'!$G$9*('R&amp;S - Packaging and hh goods'!$L$15*'R&amp;S - Packaging and hh goods'!$AL$19*(AL$3-$D$3)/10)-AL31*'R&amp;S - Packaging and hh goods'!$N$4/SUM('R&amp;S - Packaging and hh goods'!$L$4:$N$4)*'R&amp;S - Packaging and hh goods'!$G$10*('R&amp;S - Packaging and hh goods'!$L$15*'R&amp;S - Packaging and hh goods'!$AM$19*(AL$3-$D$3)/10)</f>
        <v>2269030.1326995557</v>
      </c>
      <c r="AM37" s="579">
        <f>AM27*'R&amp;S - Packaging and hh goods'!$N$4/SUM('R&amp;S - Packaging and hh goods'!$L$4:$N$4)-AM27*'R&amp;S - Packaging and hh goods'!$N$4/SUM('R&amp;S - Packaging and hh goods'!$L$4:$N$4)*'R&amp;S - Packaging and hh goods'!$G$7*('R&amp;S - Packaging and hh goods'!$L$15*'R&amp;S - Packaging and hh goods'!$AJ$19*(AM$3-$D$3)/10)-AM27*'R&amp;S - Packaging and hh goods'!$N$4/SUM('R&amp;S - Packaging and hh goods'!$L$4:$N$4)*'R&amp;S - Packaging and hh goods'!$G$8*('R&amp;S - Packaging and hh goods'!$L$15*'R&amp;S - Packaging and hh goods'!$AK$19*(AM$3-$D$3)/10)-AM27*'R&amp;S - Packaging and hh goods'!$N$4/SUM('R&amp;S - Packaging and hh goods'!$L$4:$N$4)*'R&amp;S - Packaging and hh goods'!$G$9*('R&amp;S - Packaging and hh goods'!$L$15*'R&amp;S - Packaging and hh goods'!$AL$19*(AM$3-$D$3)/10)-AM31*'R&amp;S - Packaging and hh goods'!$N$4/SUM('R&amp;S - Packaging and hh goods'!$L$4:$N$4)*'R&amp;S - Packaging and hh goods'!$G$10*('R&amp;S - Packaging and hh goods'!$L$15*'R&amp;S - Packaging and hh goods'!$AM$19*(AM$3-$D$3)/10)</f>
        <v>2232813.7574377656</v>
      </c>
      <c r="AN37" s="579">
        <f>AN27*'R&amp;S - Packaging and hh goods'!$N$4/SUM('R&amp;S - Packaging and hh goods'!$L$4:$N$4)-AN27*'R&amp;S - Packaging and hh goods'!$N$4/SUM('R&amp;S - Packaging and hh goods'!$L$4:$N$4)*'R&amp;S - Packaging and hh goods'!$G$7*('R&amp;S - Packaging and hh goods'!$L$15*'R&amp;S - Packaging and hh goods'!$AJ$19*(AN$3-$D$3)/10)-AN27*'R&amp;S - Packaging and hh goods'!$N$4/SUM('R&amp;S - Packaging and hh goods'!$L$4:$N$4)*'R&amp;S - Packaging and hh goods'!$G$8*('R&amp;S - Packaging and hh goods'!$L$15*'R&amp;S - Packaging and hh goods'!$AK$19*(AN$3-$D$3)/10)-AN27*'R&amp;S - Packaging and hh goods'!$N$4/SUM('R&amp;S - Packaging and hh goods'!$L$4:$N$4)*'R&amp;S - Packaging and hh goods'!$G$9*('R&amp;S - Packaging and hh goods'!$L$15*'R&amp;S - Packaging and hh goods'!$AL$19*(AN$3-$D$3)/10)-AN31*'R&amp;S - Packaging and hh goods'!$N$4/SUM('R&amp;S - Packaging and hh goods'!$L$4:$N$4)*'R&amp;S - Packaging and hh goods'!$G$10*('R&amp;S - Packaging and hh goods'!$L$15*'R&amp;S - Packaging and hh goods'!$AM$19*(AN$3-$D$3)/10)</f>
        <v>2196964.1638673167</v>
      </c>
      <c r="AO37" s="579">
        <f>AO27*'R&amp;S - Packaging and hh goods'!$N$4/SUM('R&amp;S - Packaging and hh goods'!$L$4:$N$4)-AO27*'R&amp;S - Packaging and hh goods'!$N$4/SUM('R&amp;S - Packaging and hh goods'!$L$4:$N$4)*'R&amp;S - Packaging and hh goods'!$G$7*('R&amp;S - Packaging and hh goods'!$L$15*'R&amp;S - Packaging and hh goods'!$AJ$19*(AO$3-$D$3)/10)-AO27*'R&amp;S - Packaging and hh goods'!$N$4/SUM('R&amp;S - Packaging and hh goods'!$L$4:$N$4)*'R&amp;S - Packaging and hh goods'!$G$8*('R&amp;S - Packaging and hh goods'!$L$15*'R&amp;S - Packaging and hh goods'!$AK$19*(AO$3-$D$3)/10)-AO27*'R&amp;S - Packaging and hh goods'!$N$4/SUM('R&amp;S - Packaging and hh goods'!$L$4:$N$4)*'R&amp;S - Packaging and hh goods'!$G$9*('R&amp;S - Packaging and hh goods'!$L$15*'R&amp;S - Packaging and hh goods'!$AL$19*(AO$3-$D$3)/10)-AO31*'R&amp;S - Packaging and hh goods'!$N$4/SUM('R&amp;S - Packaging and hh goods'!$L$4:$N$4)*'R&amp;S - Packaging and hh goods'!$G$10*('R&amp;S - Packaging and hh goods'!$L$15*'R&amp;S - Packaging and hh goods'!$AM$19*(AO$3-$D$3)/10)</f>
        <v>2161478.1831031712</v>
      </c>
      <c r="AP37" s="579">
        <f>AP27*'R&amp;S - Packaging and hh goods'!$N$4/SUM('R&amp;S - Packaging and hh goods'!$L$4:$N$4)-AP27*'R&amp;S - Packaging and hh goods'!$N$4/SUM('R&amp;S - Packaging and hh goods'!$L$4:$N$4)*'R&amp;S - Packaging and hh goods'!$G$7*('R&amp;S - Packaging and hh goods'!$L$15*'R&amp;S - Packaging and hh goods'!$AJ$19*(AP$3-$D$3)/10)-AP27*'R&amp;S - Packaging and hh goods'!$N$4/SUM('R&amp;S - Packaging and hh goods'!$L$4:$N$4)*'R&amp;S - Packaging and hh goods'!$G$8*('R&amp;S - Packaging and hh goods'!$L$15*'R&amp;S - Packaging and hh goods'!$AK$19*(AP$3-$D$3)/10)-AP27*'R&amp;S - Packaging and hh goods'!$N$4/SUM('R&amp;S - Packaging and hh goods'!$L$4:$N$4)*'R&amp;S - Packaging and hh goods'!$G$9*('R&amp;S - Packaging and hh goods'!$L$15*'R&amp;S - Packaging and hh goods'!$AL$19*(AP$3-$D$3)/10)-AP31*'R&amp;S - Packaging and hh goods'!$N$4/SUM('R&amp;S - Packaging and hh goods'!$L$4:$N$4)*'R&amp;S - Packaging and hh goods'!$G$10*('R&amp;S - Packaging and hh goods'!$L$15*'R&amp;S - Packaging and hh goods'!$AM$19*(AP$3-$D$3)/10)</f>
        <v>2126352.6713926271</v>
      </c>
      <c r="AQ37" s="579">
        <f>AQ27*'R&amp;S - Packaging and hh goods'!$N$4/SUM('R&amp;S - Packaging and hh goods'!$L$4:$N$4)-AQ27*'R&amp;S - Packaging and hh goods'!$N$4/SUM('R&amp;S - Packaging and hh goods'!$L$4:$N$4)*'R&amp;S - Packaging and hh goods'!$G$7*('R&amp;S - Packaging and hh goods'!$L$15*'R&amp;S - Packaging and hh goods'!$AJ$19*(AQ$3-$D$3)/10)-AQ27*'R&amp;S - Packaging and hh goods'!$N$4/SUM('R&amp;S - Packaging and hh goods'!$L$4:$N$4)*'R&amp;S - Packaging and hh goods'!$G$8*('R&amp;S - Packaging and hh goods'!$L$15*'R&amp;S - Packaging and hh goods'!$AK$19*(AQ$3-$D$3)/10)-AQ27*'R&amp;S - Packaging and hh goods'!$N$4/SUM('R&amp;S - Packaging and hh goods'!$L$4:$N$4)*'R&amp;S - Packaging and hh goods'!$G$9*('R&amp;S - Packaging and hh goods'!$L$15*'R&amp;S - Packaging and hh goods'!$AL$19*(AQ$3-$D$3)/10)-AQ31*'R&amp;S - Packaging and hh goods'!$N$4/SUM('R&amp;S - Packaging and hh goods'!$L$4:$N$4)*'R&amp;S - Packaging and hh goods'!$G$10*('R&amp;S - Packaging and hh goods'!$L$15*'R&amp;S - Packaging and hh goods'!$AM$19*(AQ$3-$D$3)/10)</f>
        <v>2091584.5099270139</v>
      </c>
      <c r="AR37" s="579">
        <f>AR27*'R&amp;S - Packaging and hh goods'!$N$4/SUM('R&amp;S - Packaging and hh goods'!$L$4:$N$4)-AR27*'R&amp;S - Packaging and hh goods'!$N$4/SUM('R&amp;S - Packaging and hh goods'!$L$4:$N$4)*'R&amp;S - Packaging and hh goods'!$G$7*('R&amp;S - Packaging and hh goods'!$L$15*'R&amp;S - Packaging and hh goods'!$AJ$19*(AR$3-$D$3)/10)-AR27*'R&amp;S - Packaging and hh goods'!$N$4/SUM('R&amp;S - Packaging and hh goods'!$L$4:$N$4)*'R&amp;S - Packaging and hh goods'!$G$8*('R&amp;S - Packaging and hh goods'!$L$15*'R&amp;S - Packaging and hh goods'!$AK$19*(AR$3-$D$3)/10)-AR27*'R&amp;S - Packaging and hh goods'!$N$4/SUM('R&amp;S - Packaging and hh goods'!$L$4:$N$4)*'R&amp;S - Packaging and hh goods'!$G$9*('R&amp;S - Packaging and hh goods'!$L$15*'R&amp;S - Packaging and hh goods'!$AL$19*(AR$3-$D$3)/10)-AR31*'R&amp;S - Packaging and hh goods'!$N$4/SUM('R&amp;S - Packaging and hh goods'!$L$4:$N$4)*'R&amp;S - Packaging and hh goods'!$G$10*('R&amp;S - Packaging and hh goods'!$L$15*'R&amp;S - Packaging and hh goods'!$AM$19*(AR$3-$D$3)/10)</f>
        <v>2057170.6046547571</v>
      </c>
      <c r="AS37" s="579">
        <f>AS27*'R&amp;S - Packaging and hh goods'!$N$4/SUM('R&amp;S - Packaging and hh goods'!$L$4:$N$4)-AS27*'R&amp;S - Packaging and hh goods'!$N$4/SUM('R&amp;S - Packaging and hh goods'!$L$4:$N$4)*'R&amp;S - Packaging and hh goods'!$G$7*('R&amp;S - Packaging and hh goods'!$L$15*'R&amp;S - Packaging and hh goods'!$AJ$19*(AS$3-$D$3)/10)-AS27*'R&amp;S - Packaging and hh goods'!$N$4/SUM('R&amp;S - Packaging and hh goods'!$L$4:$N$4)*'R&amp;S - Packaging and hh goods'!$G$8*('R&amp;S - Packaging and hh goods'!$L$15*'R&amp;S - Packaging and hh goods'!$AK$19*(AS$3-$D$3)/10)-AS27*'R&amp;S - Packaging and hh goods'!$N$4/SUM('R&amp;S - Packaging and hh goods'!$L$4:$N$4)*'R&amp;S - Packaging and hh goods'!$G$9*('R&amp;S - Packaging and hh goods'!$L$15*'R&amp;S - Packaging and hh goods'!$AL$19*(AS$3-$D$3)/10)-AS31*'R&amp;S - Packaging and hh goods'!$N$4/SUM('R&amp;S - Packaging and hh goods'!$L$4:$N$4)*'R&amp;S - Packaging and hh goods'!$G$10*('R&amp;S - Packaging and hh goods'!$L$15*'R&amp;S - Packaging and hh goods'!$AM$19*(AS$3-$D$3)/10)</f>
        <v>2023107.8860957604</v>
      </c>
      <c r="AT37" s="579">
        <f>AT27*'R&amp;S - Packaging and hh goods'!$N$4/SUM('R&amp;S - Packaging and hh goods'!$L$4:$N$4)-AT27*'R&amp;S - Packaging and hh goods'!$N$4/SUM('R&amp;S - Packaging and hh goods'!$L$4:$N$4)*'R&amp;S - Packaging and hh goods'!$G$7*('R&amp;S - Packaging and hh goods'!$L$15*'R&amp;S - Packaging and hh goods'!$AJ$19*(AT$3-$D$3)/10)-AT27*'R&amp;S - Packaging and hh goods'!$N$4/SUM('R&amp;S - Packaging and hh goods'!$L$4:$N$4)*'R&amp;S - Packaging and hh goods'!$G$8*('R&amp;S - Packaging and hh goods'!$L$15*'R&amp;S - Packaging and hh goods'!$AK$19*(AT$3-$D$3)/10)-AT27*'R&amp;S - Packaging and hh goods'!$N$4/SUM('R&amp;S - Packaging and hh goods'!$L$4:$N$4)*'R&amp;S - Packaging and hh goods'!$G$9*('R&amp;S - Packaging and hh goods'!$L$15*'R&amp;S - Packaging and hh goods'!$AL$19*(AT$3-$D$3)/10)-AT31*'R&amp;S - Packaging and hh goods'!$N$4/SUM('R&amp;S - Packaging and hh goods'!$L$4:$N$4)*'R&amp;S - Packaging and hh goods'!$G$10*('R&amp;S - Packaging and hh goods'!$L$15*'R&amp;S - Packaging and hh goods'!$AM$19*(AT$3-$D$3)/10)</f>
        <v>1989393.3091571361</v>
      </c>
      <c r="AU37" s="579">
        <f>AU27*'R&amp;S - Packaging and hh goods'!$N$4/SUM('R&amp;S - Packaging and hh goods'!$L$4:$N$4)-AU27*'R&amp;S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goods'!$AJ$19)*(AU$3-$N$3)/10))-AU27*'R&amp;S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goods'!$AK$19)*(AU$3-$N$3)/10))-AU27*'R&amp;S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goods'!$AL$19)*(AU$3-$N$3)/10))-AU27*'R&amp;S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goods'!$AM$19)*(AU$3-$N$3)/10))</f>
        <v>1899341.6337922628</v>
      </c>
      <c r="AV37" s="579">
        <f>AV27*'R&amp;S - Packaging and hh goods'!$N$4/SUM('R&amp;S - Packaging and hh goods'!$L$4:$N$4)-AV27*'R&amp;S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goods'!$AJ$19)*(AV$3-$N$3)/10))-AV27*'R&amp;S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goods'!$AK$19)*(AV$3-$N$3)/10))-AV27*'R&amp;S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goods'!$AL$19)*(AV$3-$N$3)/10))-AV27*'R&amp;S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goods'!$AM$19)*(AV$3-$N$3)/10))</f>
        <v>1848857.0119815776</v>
      </c>
      <c r="AW37" s="579">
        <f>AW27*'R&amp;S - Packaging and hh goods'!$N$4/SUM('R&amp;S - Packaging and hh goods'!$L$4:$N$4)-AW27*'R&amp;S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goods'!$AJ$19)*(AW$3-$N$3)/10))-AW27*'R&amp;S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goods'!$AK$19)*(AW$3-$N$3)/10))-AW27*'R&amp;S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goods'!$AL$19)*(AW$3-$N$3)/10))-AW27*'R&amp;S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goods'!$AM$19)*(AW$3-$N$3)/10))</f>
        <v>1798974.5789858387</v>
      </c>
      <c r="AX37" s="579">
        <f>AX27*'R&amp;S - Packaging and hh goods'!$N$4/SUM('R&amp;S - Packaging and hh goods'!$L$4:$N$4)-AX27*'R&amp;S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goods'!$AJ$19)*(AX$3-$N$3)/10))-AX27*'R&amp;S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goods'!$AK$19)*(AX$3-$N$3)/10))-AX27*'R&amp;S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goods'!$AL$19)*(AX$3-$N$3)/10))-AX27*'R&amp;S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goods'!$AM$19)*(AX$3-$N$3)/10))</f>
        <v>1749688.4559320116</v>
      </c>
      <c r="AY37" s="579">
        <f>AY27*'R&amp;S - Packaging and hh goods'!$N$4/SUM('R&amp;S - Packaging and hh goods'!$L$4:$N$4)-AY27*'R&amp;S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goods'!$AJ$19)*(AY$3-$N$3)/10))-AY27*'R&amp;S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goods'!$AK$19)*(AY$3-$N$3)/10))-AY27*'R&amp;S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goods'!$AL$19)*(AY$3-$N$3)/10))-AY27*'R&amp;S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goods'!$AM$19)*(AY$3-$N$3)/10))</f>
        <v>1700992.8162160292</v>
      </c>
      <c r="AZ37" s="579">
        <f>AZ27*'R&amp;S - Packaging and hh goods'!$N$4/SUM('R&amp;S - Packaging and hh goods'!$L$4:$N$4)-AZ27*'R&amp;S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goods'!$AJ$19)*(AZ$3-$N$3)/10))-AZ27*'R&amp;S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goods'!$AK$19)*(AZ$3-$N$3)/10))-AZ27*'R&amp;S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goods'!$AL$19)*(AZ$3-$N$3)/10))-AZ27*'R&amp;S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goods'!$AM$19)*(AZ$3-$N$3)/10))</f>
        <v>1652881.8850626564</v>
      </c>
      <c r="BA37" s="579">
        <f>BA27*'R&amp;S - Packaging and hh goods'!$N$4/SUM('R&amp;S - Packaging and hh goods'!$L$4:$N$4)-BA27*'R&amp;S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goods'!$AJ$19)*(BA$3-$N$3)/10))-BA27*'R&amp;S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goods'!$AK$19)*(BA$3-$N$3)/10))-BA27*'R&amp;S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goods'!$AL$19)*(BA$3-$N$3)/10))-BA27*'R&amp;S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goods'!$AM$19)*(BA$3-$N$3)/10))</f>
        <v>1605349.9390889462</v>
      </c>
      <c r="BB37" s="579">
        <f>BB27*'R&amp;S - Packaging and hh goods'!$N$4/SUM('R&amp;S - Packaging and hh goods'!$L$4:$N$4)-BB27*'R&amp;S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goods'!$AJ$19)*(BB$3-$N$3)/10))-BB27*'R&amp;S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goods'!$AK$19)*(BB$3-$N$3)/10))-BB27*'R&amp;S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goods'!$AL$19)*(BB$3-$N$3)/10))-BB27*'R&amp;S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goods'!$AM$19)*(BB$3-$N$3)/10))</f>
        <v>1558391.3058712324</v>
      </c>
      <c r="BC37" s="579">
        <f>BC27*'R&amp;S - Packaging and hh goods'!$N$4/SUM('R&amp;S - Packaging and hh goods'!$L$4:$N$4)-BC27*'R&amp;S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goods'!$AJ$19)*(BC$3-$N$3)/10))-BC27*'R&amp;S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goods'!$AK$19)*(BC$3-$N$3)/10))-BC27*'R&amp;S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goods'!$AL$19)*(BC$3-$N$3)/10))-BC27*'R&amp;S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goods'!$AM$19)*(BC$3-$N$3)/10))</f>
        <v>1512000.3635156462</v>
      </c>
      <c r="BD37" s="579">
        <f>BD27*'R&amp;S - Packaging and hh goods'!$N$4/SUM('R&amp;S - Packaging and hh goods'!$L$4:$N$4)-BD27*'R&amp;S - Packaging and hh goods'!$N$4/SUM('R&amp;S - Packaging and hh goods'!$L$4:$N$4)*('R&amp;S - Packaging and hh goods'!$G$7*'R&amp;S - Packaging and hh goods'!$L$15*('R&amp;S - Packaging and hh goods'!$AJ$19+('R&amp;S - Packaging and hh goods'!$AJ$20-'R&amp;S - Packaging and hh goods'!$AJ$19)*(BD$3-$N$3)/10))-BD27*'R&amp;S - Packaging and hh goods'!$N$4/SUM('R&amp;S - Packaging and hh goods'!$L$4:$N$4)*('R&amp;S - Packaging and hh goods'!$G$8*'R&amp;S - Packaging and hh goods'!$L$15*('R&amp;S - Packaging and hh goods'!$AK$19+('R&amp;S - Packaging and hh goods'!$AK$20-'R&amp;S - Packaging and hh goods'!$AK$19)*(BD$3-$N$3)/10))-BD27*'R&amp;S - Packaging and hh goods'!$N$4/SUM('R&amp;S - Packaging and hh goods'!$L$4:$N$4)*('R&amp;S - Packaging and hh goods'!$G$9*'R&amp;S - Packaging and hh goods'!$M$15*('R&amp;S - Packaging and hh goods'!$AL$19+('R&amp;S - Packaging and hh goods'!$AL$20-'R&amp;S - Packaging and hh goods'!$AL$19)*(BD$3-$N$3)/10))-BD27*'R&amp;S - Packaging and hh goods'!$N$4/SUM('R&amp;S - Packaging and hh goods'!$L$4:$N$4)*('R&amp;S - Packaging and hh goods'!$G$10*'R&amp;S - Packaging and hh goods'!$M$15*('R&amp;S - Packaging and hh goods'!$AM$19+('R&amp;S - Packaging and hh goods'!$AM$20-'R&amp;S - Packaging and hh goods'!$AM$19)*(BD$3-$N$3)/10))</f>
        <v>1466171.5402321245</v>
      </c>
      <c r="BE37" s="579">
        <f>BE27*'R&amp;S - Packaging and hh goods'!$N$4/SUM('R&amp;S - Packaging and hh goods'!$L$4:$N$4)-BE27*'R&amp;S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goods'!$AJ$20)*(BE$3-$X$3)/10))-BE27*'R&amp;S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goods'!$AK$20)*(BE$3-$X$3)/10))-BE27*'R&amp;S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goods'!$AL$20)*(BE$3-$X$3)/10))-BE27*'R&amp;S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goods'!$AM$20)*(BE$3-$X$3)/10))</f>
        <v>1430645.6897672308</v>
      </c>
      <c r="BF37" s="579">
        <f>BF27*'R&amp;S - Packaging and hh goods'!$N$4/SUM('R&amp;S - Packaging and hh goods'!$L$4:$N$4)-BF27*'R&amp;S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goods'!$AJ$20)*(BF$3-$X$3)/10))-BF27*'R&amp;S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goods'!$AK$20)*(BF$3-$X$3)/10))-BF27*'R&amp;S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goods'!$AL$20)*(BF$3-$X$3)/10))-BF27*'R&amp;S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goods'!$AM$20)*(BF$3-$X$3)/10))</f>
        <v>1395537.5235354844</v>
      </c>
      <c r="BG37" s="579">
        <f>BG27*'R&amp;S - Packaging and hh goods'!$N$4/SUM('R&amp;S - Packaging and hh goods'!$L$4:$N$4)-BG27*'R&amp;S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goods'!$AJ$20)*(BG$3-$X$3)/10))-BG27*'R&amp;S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goods'!$AK$20)*(BG$3-$X$3)/10))-BG27*'R&amp;S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goods'!$AL$20)*(BG$3-$X$3)/10))-BG27*'R&amp;S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goods'!$AM$20)*(BG$3-$X$3)/10))</f>
        <v>1360842.9877540073</v>
      </c>
      <c r="BH37" s="579">
        <f>BH27*'R&amp;S - Packaging and hh goods'!$N$4/SUM('R&amp;S - Packaging and hh goods'!$L$4:$N$4)-BH27*'R&amp;S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goods'!$AJ$20)*(BH$3-$X$3)/10))-BH27*'R&amp;S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goods'!$AK$20)*(BH$3-$X$3)/10))-BH27*'R&amp;S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goods'!$AL$20)*(BH$3-$X$3)/10))-BH27*'R&amp;S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goods'!$AM$20)*(BH$3-$X$3)/10))</f>
        <v>1326558.06456749</v>
      </c>
      <c r="BI37" s="579">
        <f>BI27*'R&amp;S - Packaging and hh goods'!$N$4/SUM('R&amp;S - Packaging and hh goods'!$L$4:$N$4)-BI27*'R&amp;S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goods'!$AJ$20)*(BI$3-$X$3)/10))-BI27*'R&amp;S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goods'!$AK$20)*(BI$3-$X$3)/10))-BI27*'R&amp;S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goods'!$AL$20)*(BI$3-$X$3)/10))-BI27*'R&amp;S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goods'!$AM$20)*(BI$3-$X$3)/10))</f>
        <v>1292678.771746272</v>
      </c>
      <c r="BJ37" s="579">
        <f>BJ27*'R&amp;S - Packaging and hh goods'!$N$4/SUM('R&amp;S - Packaging and hh goods'!$L$4:$N$4)-BJ27*'R&amp;S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goods'!$AJ$20)*(BJ$3-$X$3)/10))-BJ27*'R&amp;S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goods'!$AK$20)*(BJ$3-$X$3)/10))-BJ27*'R&amp;S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goods'!$AL$20)*(BJ$3-$X$3)/10))-BJ27*'R&amp;S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goods'!$AM$20)*(BJ$3-$X$3)/10))</f>
        <v>1259201.1623868698</v>
      </c>
      <c r="BK37" s="579">
        <f>BK27*'R&amp;S - Packaging and hh goods'!$N$4/SUM('R&amp;S - Packaging and hh goods'!$L$4:$N$4)-BK27*'R&amp;S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goods'!$AJ$20)*(BK$3-$X$3)/10))-BK27*'R&amp;S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goods'!$AK$20)*(BK$3-$X$3)/10))-BK27*'R&amp;S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goods'!$AL$20)*(BK$3-$X$3)/10))-BK27*'R&amp;S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goods'!$AM$20)*(BK$3-$X$3)/10))</f>
        <v>1226121.3246149323</v>
      </c>
      <c r="BL37" s="579">
        <f>BL27*'R&amp;S - Packaging and hh goods'!$N$4/SUM('R&amp;S - Packaging and hh goods'!$L$4:$N$4)-BL27*'R&amp;S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goods'!$AJ$20)*(BL$3-$X$3)/10))-BL27*'R&amp;S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goods'!$AK$20)*(BL$3-$X$3)/10))-BL27*'R&amp;S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goods'!$AL$20)*(BL$3-$X$3)/10))-BL27*'R&amp;S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goods'!$AM$20)*(BL$3-$X$3)/10))</f>
        <v>1193435.3812906125</v>
      </c>
      <c r="BM37" s="579">
        <f>BM27*'R&amp;S - Packaging and hh goods'!$N$4/SUM('R&amp;S - Packaging and hh goods'!$L$4:$N$4)-BM27*'R&amp;S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goods'!$AJ$20)*(BM$3-$X$3)/10))-BM27*'R&amp;S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goods'!$AK$20)*(BM$3-$X$3)/10))-BM27*'R&amp;S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goods'!$AL$20)*(BM$3-$X$3)/10))-BM27*'R&amp;S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goods'!$AM$20)*(BM$3-$X$3)/10))</f>
        <v>1161139.4897163294</v>
      </c>
      <c r="BN37" s="579">
        <f>BN27*'R&amp;S - Packaging and hh goods'!$N$4/SUM('R&amp;S - Packaging and hh goods'!$L$4:$N$4)-BN27*'R&amp;S - Packaging and hh goods'!$N$4/SUM('R&amp;S - Packaging and hh goods'!$L$4:$N$4)*('R&amp;S - Packaging and hh goods'!$G7*'R&amp;S - Packaging and hh goods'!$L$15*('R&amp;S - Packaging and hh goods'!$AJ$20+('R&amp;S - Packaging and hh goods'!$AJ$21-'R&amp;S - Packaging and hh goods'!$AJ$20)*(BN$3-$X$3)/10))-BN27*'R&amp;S - Packaging and hh goods'!$N$4/SUM('R&amp;S - Packaging and hh goods'!$L$4:$N$4)*('R&amp;S - Packaging and hh goods'!$G8*'R&amp;S - Packaging and hh goods'!$L$15*('R&amp;S - Packaging and hh goods'!$AK$20+('R&amp;S - Packaging and hh goods'!$AK$21-'R&amp;S - Packaging and hh goods'!$AK$20)*(BN$3-$X$3)/10))-BN27*'R&amp;S - Packaging and hh goods'!$N$4/SUM('R&amp;S - Packaging and hh goods'!$L$4:$N$4)*('R&amp;S - Packaging and hh goods'!$G9*'R&amp;S - Packaging and hh goods'!$M$15*('R&amp;S - Packaging and hh goods'!$AL$20+('R&amp;S - Packaging and hh goods'!$AL$21-'R&amp;S - Packaging and hh goods'!$AL$20)*(BN$3-$X$3)/10))-BN27*'R&amp;S - Packaging and hh goods'!$N$4/SUM('R&amp;S - Packaging and hh goods'!$L$4:$N$4)*('R&amp;S - Packaging and hh goods'!$G10*'R&amp;S - Packaging and hh goods'!$M$15*('R&amp;S - Packaging and hh goods'!$AM$20+('R&amp;S - Packaging and hh goods'!$AM$21-'R&amp;S - Packaging and hh goods'!$AM$20)*(BN$3-$X$3)/10))</f>
        <v>1129229.8413469023</v>
      </c>
      <c r="BQ37" s="623"/>
      <c r="BR37" s="623"/>
      <c r="BS37" s="623"/>
      <c r="BT37" s="623"/>
      <c r="BU37" s="623"/>
      <c r="BV37" s="623"/>
      <c r="BW37" s="623"/>
      <c r="BX37" s="623"/>
      <c r="BY37" s="623"/>
      <c r="BZ37" s="623"/>
      <c r="CA37" s="623"/>
      <c r="CB37" s="623"/>
      <c r="CC37" s="623"/>
      <c r="CD37" s="623"/>
      <c r="CE37" s="623"/>
      <c r="CF37" s="623"/>
      <c r="CG37" s="623"/>
      <c r="CH37" s="623"/>
      <c r="CI37" s="623"/>
      <c r="CJ37" s="623"/>
      <c r="CK37" s="623"/>
      <c r="CL37" s="623"/>
    </row>
    <row r="38" spans="1:90" s="1" customFormat="1" outlineLevel="1">
      <c r="A38" s="54" t="s">
        <v>260</v>
      </c>
      <c r="B38" s="54" t="s">
        <v>179</v>
      </c>
      <c r="C38" s="93" t="s">
        <v>1420</v>
      </c>
      <c r="D38" s="572">
        <f>SUM('R&amp;S - Buildings'!L4:N4)</f>
        <v>804756.09449362266</v>
      </c>
      <c r="E38" s="572">
        <f>D38*(1+'R&amp;S - Buildings'!$E$5)</f>
        <v>799247.04368736607</v>
      </c>
      <c r="F38" s="572">
        <f>E38*(1+'R&amp;S - Buildings'!$E$5)</f>
        <v>793775.70572478173</v>
      </c>
      <c r="G38" s="572">
        <f>F38*(1+'R&amp;S - Buildings'!$E$5)</f>
        <v>788341.82243824191</v>
      </c>
      <c r="H38" s="572">
        <f>G38*(1+'R&amp;S - Buildings'!$E$5)</f>
        <v>782945.13742743502</v>
      </c>
      <c r="I38" s="572">
        <f>H38*(1+'R&amp;S - Buildings'!$E$5)</f>
        <v>777585.39604726771</v>
      </c>
      <c r="J38" s="572">
        <f>I38*(1+'R&amp;S - Buildings'!$E$5)</f>
        <v>772262.34539584885</v>
      </c>
      <c r="K38" s="572">
        <f>J38*(1+'R&amp;S - Buildings'!$E$5)</f>
        <v>766975.73430255649</v>
      </c>
      <c r="L38" s="572">
        <f>K38*(1+'R&amp;S - Buildings'!$E$5)</f>
        <v>761725.31331618619</v>
      </c>
      <c r="M38" s="572">
        <f>L38*(1+'R&amp;S - Buildings'!$E$5)</f>
        <v>756510.8346931804</v>
      </c>
      <c r="N38" s="572">
        <f>M38*(1+'R&amp;S - Buildings'!$E$5)</f>
        <v>751332.05238593894</v>
      </c>
      <c r="O38" s="572">
        <f>N38*(1+'R&amp;S - Buildings'!$E$5)</f>
        <v>746188.72203120869</v>
      </c>
      <c r="P38" s="572">
        <f>O38*(1+'R&amp;S - Buildings'!$E$5)</f>
        <v>741080.60093855357</v>
      </c>
      <c r="Q38" s="572">
        <f>P38*(1+'R&amp;S - Buildings'!$E$5)</f>
        <v>736007.4480789029</v>
      </c>
      <c r="R38" s="572">
        <f>Q38*(1+'R&amp;S - Buildings'!$E$5)</f>
        <v>730969.02407317818</v>
      </c>
      <c r="S38" s="572">
        <f>R38*(1+'R&amp;S - Buildings'!$E$5)</f>
        <v>725965.09118099825</v>
      </c>
      <c r="T38" s="572">
        <f>S38*(1+'R&amp;S - Buildings'!$E$5)</f>
        <v>720995.41328946105</v>
      </c>
      <c r="U38" s="572">
        <f>T38*(1+'R&amp;S - Buildings'!$E$5)</f>
        <v>716059.75590200268</v>
      </c>
      <c r="V38" s="572">
        <f>U38*(1+'R&amp;S - Buildings'!$E$5)</f>
        <v>711157.88612733257</v>
      </c>
      <c r="W38" s="572">
        <f>V38*(1+'R&amp;S - Buildings'!$E$5)</f>
        <v>706289.57266844448</v>
      </c>
      <c r="X38" s="572">
        <f>W38*(1+'R&amp;S - Buildings'!$E$5)</f>
        <v>701454.58581170242</v>
      </c>
      <c r="Y38" s="572">
        <f>X38*(1+'R&amp;S - Buildings'!$E$5)</f>
        <v>696652.6974160017</v>
      </c>
      <c r="Z38" s="572">
        <f>Y38*(1+'R&amp;S - Buildings'!$E$5)</f>
        <v>691883.68090200389</v>
      </c>
      <c r="AA38" s="572">
        <f>Z38*(1+'R&amp;S - Buildings'!$E$5)</f>
        <v>687147.3112414456</v>
      </c>
      <c r="AB38" s="572">
        <f>AA38*(1+'R&amp;S - Buildings'!$E$5)</f>
        <v>682443.36494652042</v>
      </c>
      <c r="AC38" s="572">
        <f>AB38*(1+'R&amp;S - Buildings'!$E$5)</f>
        <v>677771.62005933351</v>
      </c>
      <c r="AD38" s="572">
        <f>AC38*(1+'R&amp;S - Buildings'!$E$5)</f>
        <v>673131.85614142846</v>
      </c>
      <c r="AE38" s="572">
        <f>AD38*(1+'R&amp;S - Buildings'!$E$5)</f>
        <v>668523.85426338576</v>
      </c>
      <c r="AF38" s="572">
        <f>AE38*(1+'R&amp;S - Buildings'!$E$5)</f>
        <v>663947.3969944925</v>
      </c>
      <c r="AG38" s="572">
        <f>AF38*(1+'R&amp;S - Buildings'!$E$5)</f>
        <v>659402.26839248301</v>
      </c>
      <c r="AH38" s="572">
        <f>AG38*(1+'R&amp;S - Buildings'!$E$5)</f>
        <v>654888.25399334903</v>
      </c>
      <c r="AI38" s="573"/>
      <c r="AJ38" s="572">
        <f>D38</f>
        <v>804756.09449362266</v>
      </c>
      <c r="AK38" s="572">
        <f t="shared" ref="AK38:BN38" si="33">E38</f>
        <v>799247.04368736607</v>
      </c>
      <c r="AL38" s="572">
        <f t="shared" si="33"/>
        <v>793775.70572478173</v>
      </c>
      <c r="AM38" s="572">
        <f t="shared" si="33"/>
        <v>788341.82243824191</v>
      </c>
      <c r="AN38" s="572">
        <f t="shared" si="33"/>
        <v>782945.13742743502</v>
      </c>
      <c r="AO38" s="572">
        <f t="shared" si="33"/>
        <v>777585.39604726771</v>
      </c>
      <c r="AP38" s="572">
        <f t="shared" si="33"/>
        <v>772262.34539584885</v>
      </c>
      <c r="AQ38" s="572">
        <f t="shared" si="33"/>
        <v>766975.73430255649</v>
      </c>
      <c r="AR38" s="572">
        <f t="shared" si="33"/>
        <v>761725.31331618619</v>
      </c>
      <c r="AS38" s="572">
        <f t="shared" si="33"/>
        <v>756510.8346931804</v>
      </c>
      <c r="AT38" s="572">
        <f t="shared" si="33"/>
        <v>751332.05238593894</v>
      </c>
      <c r="AU38" s="572">
        <f t="shared" si="33"/>
        <v>746188.72203120869</v>
      </c>
      <c r="AV38" s="572">
        <f t="shared" si="33"/>
        <v>741080.60093855357</v>
      </c>
      <c r="AW38" s="572">
        <f t="shared" si="33"/>
        <v>736007.4480789029</v>
      </c>
      <c r="AX38" s="572">
        <f t="shared" si="33"/>
        <v>730969.02407317818</v>
      </c>
      <c r="AY38" s="572">
        <f t="shared" si="33"/>
        <v>725965.09118099825</v>
      </c>
      <c r="AZ38" s="572">
        <f t="shared" si="33"/>
        <v>720995.41328946105</v>
      </c>
      <c r="BA38" s="572">
        <f t="shared" si="33"/>
        <v>716059.75590200268</v>
      </c>
      <c r="BB38" s="572">
        <f t="shared" si="33"/>
        <v>711157.88612733257</v>
      </c>
      <c r="BC38" s="572">
        <f t="shared" si="33"/>
        <v>706289.57266844448</v>
      </c>
      <c r="BD38" s="572">
        <f t="shared" si="33"/>
        <v>701454.58581170242</v>
      </c>
      <c r="BE38" s="572">
        <f t="shared" si="33"/>
        <v>696652.6974160017</v>
      </c>
      <c r="BF38" s="572">
        <f t="shared" si="33"/>
        <v>691883.68090200389</v>
      </c>
      <c r="BG38" s="572">
        <f t="shared" si="33"/>
        <v>687147.3112414456</v>
      </c>
      <c r="BH38" s="572">
        <f t="shared" si="33"/>
        <v>682443.36494652042</v>
      </c>
      <c r="BI38" s="572">
        <f t="shared" si="33"/>
        <v>677771.62005933351</v>
      </c>
      <c r="BJ38" s="572">
        <f t="shared" si="33"/>
        <v>673131.85614142846</v>
      </c>
      <c r="BK38" s="572">
        <f t="shared" si="33"/>
        <v>668523.85426338576</v>
      </c>
      <c r="BL38" s="572">
        <f t="shared" si="33"/>
        <v>663947.3969944925</v>
      </c>
      <c r="BM38" s="572">
        <f t="shared" si="33"/>
        <v>659402.26839248301</v>
      </c>
      <c r="BN38" s="572">
        <f t="shared" si="33"/>
        <v>654888.25399334903</v>
      </c>
      <c r="BQ38" s="625"/>
      <c r="BR38" s="625"/>
      <c r="BS38" s="625"/>
      <c r="BT38" s="625"/>
      <c r="BU38" s="625"/>
      <c r="BV38" s="625"/>
      <c r="BW38" s="625"/>
      <c r="BX38" s="625"/>
      <c r="BY38" s="625"/>
      <c r="BZ38" s="625"/>
      <c r="CA38" s="625"/>
      <c r="CB38" s="625"/>
      <c r="CC38" s="625"/>
      <c r="CD38" s="625"/>
      <c r="CE38" s="625"/>
      <c r="CF38" s="625"/>
      <c r="CG38" s="625"/>
      <c r="CH38" s="625"/>
      <c r="CI38" s="625"/>
      <c r="CJ38" s="625"/>
      <c r="CK38" s="625"/>
      <c r="CL38" s="625"/>
    </row>
    <row r="39" spans="1:90" outlineLevel="1">
      <c r="B39" s="1" t="s">
        <v>169</v>
      </c>
      <c r="C39" s="50" t="s">
        <v>1420</v>
      </c>
      <c r="D39" s="99">
        <v>0</v>
      </c>
      <c r="E39" s="99">
        <f>E38*'R&amp;S - Buildings'!$E$7*'R&amp;S - Buildings'!$B$11*'R&amp;S - Buildings'!$B$15*('Yearly BTX'!E$3-'Yearly BTX'!$D$3)/10</f>
        <v>14506.333842925695</v>
      </c>
      <c r="F39" s="99">
        <f>F38*'R&amp;S - Buildings'!$E$7*'R&amp;S - Buildings'!$B$11*'R&amp;S - Buildings'!$B$15*('Yearly BTX'!F$3-'Yearly BTX'!$D$3)/10</f>
        <v>28814.058117809578</v>
      </c>
      <c r="G39" s="99">
        <f>G38*'R&amp;S - Buildings'!$E$7*'R&amp;S - Buildings'!$B$11*'R&amp;S - Buildings'!$B$15*('Yearly BTX'!G$3-'Yearly BTX'!$D$3)/10</f>
        <v>42925.212231762278</v>
      </c>
      <c r="H39" s="99">
        <f>H38*'R&amp;S - Buildings'!$E$7*'R&amp;S - Buildings'!$B$11*'R&amp;S - Buildings'!$B$15*('Yearly BTX'!H$3-'Yearly BTX'!$D$3)/10</f>
        <v>56841.816977231785</v>
      </c>
      <c r="I39" s="99">
        <f>I38*'R&amp;S - Buildings'!$E$7*'R&amp;S - Buildings'!$B$11*'R&amp;S - Buildings'!$B$15*('Yearly BTX'!I$3-'Yearly BTX'!$D$3)/10</f>
        <v>70565.874691289559</v>
      </c>
      <c r="J39" s="99">
        <f>J38*'R&amp;S - Buildings'!$E$7*'R&amp;S - Buildings'!$B$11*'R&amp;S - Buildings'!$B$15*('Yearly BTX'!J$3-'Yearly BTX'!$D$3)/10</f>
        <v>84099.369413607958</v>
      </c>
      <c r="K39" s="99">
        <f>K38*'R&amp;S - Buildings'!$E$7*'R&amp;S - Buildings'!$B$11*'R&amp;S - Buildings'!$B$15*('Yearly BTX'!K$3-'Yearly BTX'!$D$3)/10</f>
        <v>97444.267043139815</v>
      </c>
      <c r="L39" s="99">
        <f>L38*'R&amp;S - Buildings'!$E$7*'R&amp;S - Buildings'!$B$11*'R&amp;S - Buildings'!$B$15*('Yearly BTX'!L$3-'Yearly BTX'!$D$3)/10</f>
        <v>110602.51549351025</v>
      </c>
      <c r="M39" s="99">
        <f>M38*'R&amp;S - Buildings'!$E$7*'R&amp;S - Buildings'!$B$11*'R&amp;S - Buildings'!$B$15*('Yearly BTX'!M$3-'Yearly BTX'!$D$3)/10</f>
        <v>123576.04484713104</v>
      </c>
      <c r="N39" s="99">
        <f>N38*'R&amp;S - Buildings'!$E$7*'R&amp;S - Buildings'!$B$11*'R&amp;S - Buildings'!$B$15*('Yearly BTX'!N$3-'Yearly BTX'!$D$3)/10</f>
        <v>136366.76750804792</v>
      </c>
      <c r="O39" s="99">
        <f>O38*'R&amp;S - Buildings'!$E$7*('R&amp;S - Buildings'!$B$11*('R&amp;S - Buildings'!$B$15+('R&amp;S - Buildings'!$B$16-'R&amp;S - Buildings'!$B$15)*('Yearly BTX'!O$3-'Yearly BTX'!$N$3)/10))</f>
        <v>148976.57835353081</v>
      </c>
      <c r="P39" s="99">
        <f>P38*'R&amp;S - Buildings'!$E$7*('R&amp;S - Buildings'!$B$11*('R&amp;S - Buildings'!$B$15+('R&amp;S - Buildings'!$B$16-'R&amp;S - Buildings'!$B$15)*('Yearly BTX'!P$3-'Yearly BTX'!$N$3)/10))</f>
        <v>161407.35488441697</v>
      </c>
      <c r="Q39" s="99">
        <f>Q38*'R&amp;S - Buildings'!$E$7*('R&amp;S - Buildings'!$B$11*('R&amp;S - Buildings'!$B$15+('R&amp;S - Buildings'!$B$16-'R&amp;S - Buildings'!$B$15)*('Yearly BTX'!Q$3-'Yearly BTX'!$N$3)/10))</f>
        <v>173660.95737421719</v>
      </c>
      <c r="R39" s="99">
        <f>R38*'R&amp;S - Buildings'!$E$7*('R&amp;S - Buildings'!$B$11*('R&amp;S - Buildings'!$B$15+('R&amp;S - Buildings'!$B$16-'R&amp;S - Buildings'!$B$15)*('Yearly BTX'!R$3-'Yearly BTX'!$N$3)/10))</f>
        <v>185739.22901699459</v>
      </c>
      <c r="S39" s="99">
        <f>S38*'R&amp;S - Buildings'!$E$7*('R&amp;S - Buildings'!$B$11*('R&amp;S - Buildings'!$B$15+('R&amp;S - Buildings'!$B$16-'R&amp;S - Buildings'!$B$15)*('Yearly BTX'!S$3-'Yearly BTX'!$N$3)/10))</f>
        <v>197643.9960740268</v>
      </c>
      <c r="T39" s="99">
        <f>T38*'R&amp;S - Buildings'!$E$7*('R&amp;S - Buildings'!$B$11*('R&amp;S - Buildings'!$B$15+('R&amp;S - Buildings'!$B$16-'R&amp;S - Buildings'!$B$15)*('Yearly BTX'!T$3-'Yearly BTX'!$N$3)/10))</f>
        <v>209377.06801925952</v>
      </c>
      <c r="U39" s="99">
        <f>U38*'R&amp;S - Buildings'!$E$7*('R&amp;S - Buildings'!$B$11*('R&amp;S - Buildings'!$B$15+('R&amp;S - Buildings'!$B$16-'R&amp;S - Buildings'!$B$15)*('Yearly BTX'!U$3-'Yearly BTX'!$N$3)/10))</f>
        <v>220940.23768356294</v>
      </c>
      <c r="V39" s="99">
        <f>V38*'R&amp;S - Buildings'!$E$7*('R&amp;S - Buildings'!$B$11*('R&amp;S - Buildings'!$B$15+('R&amp;S - Buildings'!$B$16-'R&amp;S - Buildings'!$B$15)*('Yearly BTX'!V$3-'Yearly BTX'!$N$3)/10))</f>
        <v>232335.28139779961</v>
      </c>
      <c r="W39" s="99">
        <f>W38*'R&amp;S - Buildings'!$E$7*('R&amp;S - Buildings'!$B$11*('R&amp;S - Buildings'!$B$15+('R&amp;S - Buildings'!$B$16-'R&amp;S - Buildings'!$B$15)*('Yearly BTX'!W$3-'Yearly BTX'!$N$3)/10))</f>
        <v>243563.95913471308</v>
      </c>
      <c r="X39" s="99">
        <f>X38*'R&amp;S - Buildings'!$E$7*('R&amp;S - Buildings'!$B$11*('R&amp;S - Buildings'!$B$15+('R&amp;S - Buildings'!$B$16-'R&amp;S - Buildings'!$B$15)*('Yearly BTX'!X$3-'Yearly BTX'!$N$3)/10))</f>
        <v>254628.01464964802</v>
      </c>
      <c r="Y39" s="99">
        <f>Y38*'R&amp;S - Buildings'!$E$7*('R&amp;S - Buildings'!$B$11*('R&amp;S - Buildings'!$B$16+('R&amp;S - Buildings'!$B$17-'R&amp;S - Buildings'!$B$16)*('Yearly BTX'!Y$3-'Yearly BTX'!$X$3)/10))</f>
        <v>265912.33460368792</v>
      </c>
      <c r="Z39" s="99">
        <f>Z38*'R&amp;S - Buildings'!$E$7*('R&amp;S - Buildings'!$B$11*('R&amp;S - Buildings'!$B$16+('R&amp;S - Buildings'!$B$17-'R&amp;S - Buildings'!$B$16)*('Yearly BTX'!Z$3-'Yearly BTX'!$X$3)/10))</f>
        <v>277030.22583316237</v>
      </c>
      <c r="AA39" s="99">
        <f>AA38*'R&amp;S - Buildings'!$E$7*('R&amp;S - Buildings'!$B$11*('R&amp;S - Buildings'!$B$16+('R&amp;S - Buildings'!$B$17-'R&amp;S - Buildings'!$B$16)*('Yearly BTX'!AA$3-'Yearly BTX'!$X$3)/10))</f>
        <v>287983.43814128987</v>
      </c>
      <c r="AB39" s="99">
        <f>AB38*'R&amp;S - Buildings'!$E$7*('R&amp;S - Buildings'!$B$11*('R&amp;S - Buildings'!$B$16+('R&amp;S - Buildings'!$B$17-'R&amp;S - Buildings'!$B$16)*('Yearly BTX'!AB$3-'Yearly BTX'!$X$3)/10))</f>
        <v>298773.70517358667</v>
      </c>
      <c r="AC39" s="99">
        <f>AC38*'R&amp;S - Buildings'!$E$7*('R&amp;S - Buildings'!$B$11*('R&amp;S - Buildings'!$B$16+('R&amp;S - Buildings'!$B$17-'R&amp;S - Buildings'!$B$16)*('Yearly BTX'!AC$3-'Yearly BTX'!$X$3)/10))</f>
        <v>309402.7445570858</v>
      </c>
      <c r="AD39" s="99">
        <f>AD38*'R&amp;S - Buildings'!$E$7*('R&amp;S - Buildings'!$B$11*('R&amp;S - Buildings'!$B$16+('R&amp;S - Buildings'!$B$17-'R&amp;S - Buildings'!$B$16)*('Yearly BTX'!AD$3-'Yearly BTX'!$X$3)/10))</f>
        <v>319872.2580384069</v>
      </c>
      <c r="AE39" s="99">
        <f>AE38*'R&amp;S - Buildings'!$E$7*('R&amp;S - Buildings'!$B$11*('R&amp;S - Buildings'!$B$16+('R&amp;S - Buildings'!$B$17-'R&amp;S - Buildings'!$B$16)*('Yearly BTX'!AE$3-'Yearly BTX'!$X$3)/10))</f>
        <v>330183.93162068626</v>
      </c>
      <c r="AF39" s="99">
        <f>AF38*'R&amp;S - Buildings'!$E$7*('R&amp;S - Buildings'!$B$11*('R&amp;S - Buildings'!$B$16+('R&amp;S - Buildings'!$B$17-'R&amp;S - Buildings'!$B$16)*('Yearly BTX'!AF$3-'Yearly BTX'!$X$3)/10))</f>
        <v>340339.43569937686</v>
      </c>
      <c r="AG39" s="99">
        <f>AG38*'R&amp;S - Buildings'!$E$7*('R&amp;S - Buildings'!$B$11*('R&amp;S - Buildings'!$B$16+('R&amp;S - Buildings'!$B$17-'R&amp;S - Buildings'!$B$16)*('Yearly BTX'!AG$3-'Yearly BTX'!$X$3)/10))</f>
        <v>350340.42519692623</v>
      </c>
      <c r="AH39" s="99">
        <f>AH38*'R&amp;S - Buildings'!$E$7*('R&amp;S - Buildings'!$B$11*('R&amp;S - Buildings'!$B$16+('R&amp;S - Buildings'!$B$17-'R&amp;S - Buildings'!$B$16)*('Yearly BTX'!AH$3-'Yearly BTX'!$X$3)/10))</f>
        <v>360188.53969634202</v>
      </c>
      <c r="AI39" s="178"/>
      <c r="AJ39" s="99">
        <v>0</v>
      </c>
      <c r="AK39" s="99">
        <f>AK38*'R&amp;S - Buildings'!$E$7*'R&amp;S - Buildings'!$B$12*'R&amp;S - Buildings'!$B$15*('Yearly BTX'!AK$3-'Yearly BTX'!$D$3)/10</f>
        <v>5802.5335371702777</v>
      </c>
      <c r="AL39" s="99">
        <f>AL38*'R&amp;S - Buildings'!$E$7*'R&amp;S - Buildings'!$B$12*'R&amp;S - Buildings'!$B$15*('Yearly BTX'!AL$3-'Yearly BTX'!$D$3)/10</f>
        <v>11525.623247123831</v>
      </c>
      <c r="AM39" s="99">
        <f>AM38*'R&amp;S - Buildings'!$E$7*'R&amp;S - Buildings'!$B$12*'R&amp;S - Buildings'!$B$15*('Yearly BTX'!AM$3-'Yearly BTX'!$D$3)/10</f>
        <v>17170.084892704912</v>
      </c>
      <c r="AN39" s="99">
        <f>AN38*'R&amp;S - Buildings'!$E$7*'R&amp;S - Buildings'!$B$12*'R&amp;S - Buildings'!$B$15*('Yearly BTX'!AN$3-'Yearly BTX'!$D$3)/10</f>
        <v>22736.726790892713</v>
      </c>
      <c r="AO39" s="99">
        <f>AO38*'R&amp;S - Buildings'!$E$7*'R&amp;S - Buildings'!$B$12*'R&amp;S - Buildings'!$B$15*('Yearly BTX'!AO$3-'Yearly BTX'!$D$3)/10</f>
        <v>28226.349876515822</v>
      </c>
      <c r="AP39" s="99">
        <f>AP38*'R&amp;S - Buildings'!$E$7*'R&amp;S - Buildings'!$B$12*'R&amp;S - Buildings'!$B$15*('Yearly BTX'!AP$3-'Yearly BTX'!$D$3)/10</f>
        <v>33639.747765443179</v>
      </c>
      <c r="AQ39" s="99">
        <f>AQ38*'R&amp;S - Buildings'!$E$7*'R&amp;S - Buildings'!$B$12*'R&amp;S - Buildings'!$B$15*('Yearly BTX'!AQ$3-'Yearly BTX'!$D$3)/10</f>
        <v>38977.706817255923</v>
      </c>
      <c r="AR39" s="99">
        <f>AR38*'R&amp;S - Buildings'!$E$7*'R&amp;S - Buildings'!$B$12*'R&amp;S - Buildings'!$B$15*('Yearly BTX'!AR$3-'Yearly BTX'!$D$3)/10</f>
        <v>44241.006197404095</v>
      </c>
      <c r="AS39" s="99">
        <f>AS38*'R&amp;S - Buildings'!$E$7*'R&amp;S - Buildings'!$B$12*'R&amp;S - Buildings'!$B$15*('Yearly BTX'!AS$3-'Yearly BTX'!$D$3)/10</f>
        <v>49430.417938852413</v>
      </c>
      <c r="AT39" s="99">
        <f>AT38*'R&amp;S - Buildings'!$E$7*'R&amp;S - Buildings'!$B$12*'R&amp;S - Buildings'!$B$15*('Yearly BTX'!AT$3-'Yearly BTX'!$D$3)/10</f>
        <v>54546.70700321917</v>
      </c>
      <c r="AU39" s="99">
        <f>AU38*'R&amp;S - Buildings'!$E$7*('R&amp;S - Buildings'!$B$12*('R&amp;S - Buildings'!$B$15+('R&amp;S - Buildings'!$B$16-'R&amp;S - Buildings'!$B$15)*('Yearly BTX'!AU$3-'Yearly BTX'!$N$3)/10))</f>
        <v>59590.631341412329</v>
      </c>
      <c r="AV39" s="99">
        <f>AV38*'R&amp;S - Buildings'!$E$7*('R&amp;S - Buildings'!$B$12*('R&amp;S - Buildings'!$B$15+('R&amp;S - Buildings'!$B$16-'R&amp;S - Buildings'!$B$15)*('Yearly BTX'!AV$3-'Yearly BTX'!$N$3)/10))</f>
        <v>64562.941953766785</v>
      </c>
      <c r="AW39" s="99">
        <f>AW38*'R&amp;S - Buildings'!$E$7*('R&amp;S - Buildings'!$B$12*('R&amp;S - Buildings'!$B$15+('R&amp;S - Buildings'!$B$16-'R&amp;S - Buildings'!$B$15)*('Yearly BTX'!AW$3-'Yearly BTX'!$N$3)/10))</f>
        <v>69464.382949686871</v>
      </c>
      <c r="AX39" s="99">
        <f>AX38*'R&amp;S - Buildings'!$E$7*('R&amp;S - Buildings'!$B$12*('R&amp;S - Buildings'!$B$15+('R&amp;S - Buildings'!$B$16-'R&amp;S - Buildings'!$B$15)*('Yearly BTX'!AX$3-'Yearly BTX'!$N$3)/10))</f>
        <v>74295.691606797831</v>
      </c>
      <c r="AY39" s="99">
        <f>AY38*'R&amp;S - Buildings'!$E$7*('R&amp;S - Buildings'!$B$12*('R&amp;S - Buildings'!$B$15+('R&amp;S - Buildings'!$B$16-'R&amp;S - Buildings'!$B$15)*('Yearly BTX'!AY$3-'Yearly BTX'!$N$3)/10))</f>
        <v>79057.598429610705</v>
      </c>
      <c r="AZ39" s="99">
        <f>AZ38*'R&amp;S - Buildings'!$E$7*('R&amp;S - Buildings'!$B$12*('R&amp;S - Buildings'!$B$15+('R&amp;S - Buildings'!$B$16-'R&amp;S - Buildings'!$B$15)*('Yearly BTX'!AZ$3-'Yearly BTX'!$N$3)/10))</f>
        <v>83750.827207703798</v>
      </c>
      <c r="BA39" s="99">
        <f>BA38*'R&amp;S - Buildings'!$E$7*('R&amp;S - Buildings'!$B$12*('R&amp;S - Buildings'!$B$15+('R&amp;S - Buildings'!$B$16-'R&amp;S - Buildings'!$B$15)*('Yearly BTX'!BA$3-'Yearly BTX'!$N$3)/10))</f>
        <v>88376.095073425182</v>
      </c>
      <c r="BB39" s="99">
        <f>BB38*'R&amp;S - Buildings'!$E$7*('R&amp;S - Buildings'!$B$12*('R&amp;S - Buildings'!$B$15+('R&amp;S - Buildings'!$B$16-'R&amp;S - Buildings'!$B$15)*('Yearly BTX'!BB$3-'Yearly BTX'!$N$3)/10))</f>
        <v>92934.112559119836</v>
      </c>
      <c r="BC39" s="99">
        <f>BC38*'R&amp;S - Buildings'!$E$7*('R&amp;S - Buildings'!$B$12*('R&amp;S - Buildings'!$B$15+('R&amp;S - Buildings'!$B$16-'R&amp;S - Buildings'!$B$15)*('Yearly BTX'!BC$3-'Yearly BTX'!$N$3)/10))</f>
        <v>97425.583653885216</v>
      </c>
      <c r="BD39" s="99">
        <f>BD38*'R&amp;S - Buildings'!$E$7*('R&amp;S - Buildings'!$B$12*('R&amp;S - Buildings'!$B$15+('R&amp;S - Buildings'!$B$16-'R&amp;S - Buildings'!$B$15)*('Yearly BTX'!BD$3-'Yearly BTX'!$N$3)/10))</f>
        <v>101851.2058598592</v>
      </c>
      <c r="BE39" s="99">
        <f>BE38*'R&amp;S - Buildings'!$E$7*('R&amp;S - Buildings'!$B$12*('R&amp;S - Buildings'!$B$16+('R&amp;S - Buildings'!$B$17-'R&amp;S - Buildings'!$B$16)*('Yearly BTX'!BE$3-'Yearly BTX'!$X$3)/10))</f>
        <v>106364.93384147515</v>
      </c>
      <c r="BF39" s="99">
        <f>BF38*'R&amp;S - Buildings'!$E$7*('R&amp;S - Buildings'!$B$12*('R&amp;S - Buildings'!$B$16+('R&amp;S - Buildings'!$B$17-'R&amp;S - Buildings'!$B$16)*('Yearly BTX'!BF$3-'Yearly BTX'!$X$3)/10))</f>
        <v>110812.09033326495</v>
      </c>
      <c r="BG39" s="99">
        <f>BG38*'R&amp;S - Buildings'!$E$7*('R&amp;S - Buildings'!$B$12*('R&amp;S - Buildings'!$B$16+('R&amp;S - Buildings'!$B$17-'R&amp;S - Buildings'!$B$16)*('Yearly BTX'!BG$3-'Yearly BTX'!$X$3)/10))</f>
        <v>115193.37525651594</v>
      </c>
      <c r="BH39" s="99">
        <f>BH38*'R&amp;S - Buildings'!$E$7*('R&amp;S - Buildings'!$B$12*('R&amp;S - Buildings'!$B$16+('R&amp;S - Buildings'!$B$17-'R&amp;S - Buildings'!$B$16)*('Yearly BTX'!BH$3-'Yearly BTX'!$X$3)/10))</f>
        <v>119509.48206943467</v>
      </c>
      <c r="BI39" s="99">
        <f>BI38*'R&amp;S - Buildings'!$E$7*('R&amp;S - Buildings'!$B$12*('R&amp;S - Buildings'!$B$16+('R&amp;S - Buildings'!$B$17-'R&amp;S - Buildings'!$B$16)*('Yearly BTX'!BI$3-'Yearly BTX'!$X$3)/10))</f>
        <v>123761.09782283433</v>
      </c>
      <c r="BJ39" s="99">
        <f>BJ38*'R&amp;S - Buildings'!$E$7*('R&amp;S - Buildings'!$B$12*('R&amp;S - Buildings'!$B$16+('R&amp;S - Buildings'!$B$17-'R&amp;S - Buildings'!$B$16)*('Yearly BTX'!BJ$3-'Yearly BTX'!$X$3)/10))</f>
        <v>127948.90321536273</v>
      </c>
      <c r="BK39" s="99">
        <f>BK38*'R&amp;S - Buildings'!$E$7*('R&amp;S - Buildings'!$B$12*('R&amp;S - Buildings'!$B$16+('R&amp;S - Buildings'!$B$17-'R&amp;S - Buildings'!$B$16)*('Yearly BTX'!BK$3-'Yearly BTX'!$X$3)/10))</f>
        <v>132073.57264827448</v>
      </c>
      <c r="BL39" s="99">
        <f>BL38*'R&amp;S - Buildings'!$E$7*('R&amp;S - Buildings'!$B$12*('R&amp;S - Buildings'!$B$16+('R&amp;S - Buildings'!$B$17-'R&amp;S - Buildings'!$B$16)*('Yearly BTX'!BL$3-'Yearly BTX'!$X$3)/10))</f>
        <v>136135.77427975074</v>
      </c>
      <c r="BM39" s="99">
        <f>BM38*'R&amp;S - Buildings'!$E$7*('R&amp;S - Buildings'!$B$12*('R&amp;S - Buildings'!$B$16+('R&amp;S - Buildings'!$B$17-'R&amp;S - Buildings'!$B$16)*('Yearly BTX'!BM$3-'Yearly BTX'!$X$3)/10))</f>
        <v>140136.17007877049</v>
      </c>
      <c r="BN39" s="99">
        <f>BN38*'R&amp;S - Buildings'!$E$7*('R&amp;S - Buildings'!$B$12*('R&amp;S - Buildings'!$B$16+('R&amp;S - Buildings'!$B$17-'R&amp;S - Buildings'!$B$16)*('Yearly BTX'!BN$3-'Yearly BTX'!$X$3)/10))</f>
        <v>144075.41587853679</v>
      </c>
    </row>
    <row r="40" spans="1:90" outlineLevel="1">
      <c r="B40" s="1" t="s">
        <v>172</v>
      </c>
      <c r="C40" s="50" t="s">
        <v>1420</v>
      </c>
      <c r="D40" s="99">
        <v>0</v>
      </c>
      <c r="E40" s="99">
        <f>E38*'R&amp;S - Buildings'!$E$8*'R&amp;S - Buildings'!$C$11*'R&amp;S - Buildings'!$B$15*('Yearly BTX'!E$3-'Yearly BTX'!$D$3)/10</f>
        <v>4724.5449415247258</v>
      </c>
      <c r="F40" s="99">
        <f>F38*'R&amp;S - Buildings'!$E$8*'R&amp;S - Buildings'!$C$11*'R&amp;S - Buildings'!$B$15*('Yearly BTX'!F$3-'Yearly BTX'!$D$3)/10</f>
        <v>9384.4050467434154</v>
      </c>
      <c r="G40" s="99">
        <f>G38*'R&amp;S - Buildings'!$E$8*'R&amp;S - Buildings'!$C$11*'R&amp;S - Buildings'!$B$15*('Yearly BTX'!G$3-'Yearly BTX'!$D$3)/10</f>
        <v>13980.244526934574</v>
      </c>
      <c r="H40" s="99">
        <f>H38*'R&amp;S - Buildings'!$E$8*'R&amp;S - Buildings'!$C$11*'R&amp;S - Buildings'!$B$15*('Yearly BTX'!H$3-'Yearly BTX'!$D$3)/10</f>
        <v>18512.721530796654</v>
      </c>
      <c r="I40" s="99">
        <f>I38*'R&amp;S - Buildings'!$E$8*'R&amp;S - Buildings'!$C$11*'R&amp;S - Buildings'!$B$15*('Yearly BTX'!I$3-'Yearly BTX'!$D$3)/10</f>
        <v>22982.488196325688</v>
      </c>
      <c r="J40" s="99">
        <f>J38*'R&amp;S - Buildings'!$E$8*'R&amp;S - Buildings'!$C$11*'R&amp;S - Buildings'!$B$15*('Yearly BTX'!J$3-'Yearly BTX'!$D$3)/10</f>
        <v>27390.190702266736</v>
      </c>
      <c r="K40" s="99">
        <f>K38*'R&amp;S - Buildings'!$E$8*'R&amp;S - Buildings'!$C$11*'R&amp;S - Buildings'!$B$15*('Yearly BTX'!K$3-'Yearly BTX'!$D$3)/10</f>
        <v>31736.469319142558</v>
      </c>
      <c r="L40" s="99">
        <f>L38*'R&amp;S - Buildings'!$E$8*'R&amp;S - Buildings'!$C$11*'R&amp;S - Buildings'!$B$15*('Yearly BTX'!L$3-'Yearly BTX'!$D$3)/10</f>
        <v>36021.958459862988</v>
      </c>
      <c r="M40" s="99">
        <f>M38*'R&amp;S - Buildings'!$E$8*'R&amp;S - Buildings'!$C$11*'R&amp;S - Buildings'!$B$15*('Yearly BTX'!M$3-'Yearly BTX'!$D$3)/10</f>
        <v>40247.286729918131</v>
      </c>
      <c r="N40" s="99">
        <f>N38*'R&amp;S - Buildings'!$E$8*'R&amp;S - Buildings'!$C$11*'R&amp;S - Buildings'!$B$15*('Yearly BTX'!N$3-'Yearly BTX'!$D$3)/10</f>
        <v>44413.076977159035</v>
      </c>
      <c r="O40" s="99">
        <f>O38*'R&amp;S - Buildings'!$E$8*'R&amp;S - Buildings'!$C$11*('R&amp;S - Buildings'!$B$15+('R&amp;S - Buildings'!$B$16-'R&amp;S - Buildings'!$B$15)*('Yearly BTX'!O$3-'Yearly BTX'!$N$3)/10)</f>
        <v>48519.946341168819</v>
      </c>
      <c r="P40" s="99">
        <f>P38*'R&amp;S - Buildings'!$E$8*'R&amp;S - Buildings'!$C$11*('R&amp;S - Buildings'!$B$15+('R&amp;S - Buildings'!$B$16-'R&amp;S - Buildings'!$B$15)*('Yearly BTX'!P$3-'Yearly BTX'!$N$3)/10)</f>
        <v>52568.506302227703</v>
      </c>
      <c r="Q40" s="99">
        <f>Q38*'R&amp;S - Buildings'!$E$8*'R&amp;S - Buildings'!$C$11*('R&amp;S - Buildings'!$B$15+('R&amp;S - Buildings'!$B$16-'R&amp;S - Buildings'!$B$15)*('Yearly BTX'!Q$3-'Yearly BTX'!$N$3)/10)</f>
        <v>56559.362729875196</v>
      </c>
      <c r="R40" s="99">
        <f>R38*'R&amp;S - Buildings'!$E$8*'R&amp;S - Buildings'!$C$11*('R&amp;S - Buildings'!$B$15+('R&amp;S - Buildings'!$B$16-'R&amp;S - Buildings'!$B$15)*('Yearly BTX'!R$3-'Yearly BTX'!$N$3)/10)</f>
        <v>60493.115931072483</v>
      </c>
      <c r="S40" s="99">
        <f>S38*'R&amp;S - Buildings'!$E$8*'R&amp;S - Buildings'!$C$11*('R&amp;S - Buildings'!$B$15+('R&amp;S - Buildings'!$B$16-'R&amp;S - Buildings'!$B$15)*('Yearly BTX'!S$3-'Yearly BTX'!$N$3)/10)</f>
        <v>64370.360697968594</v>
      </c>
      <c r="T40" s="99">
        <f>T38*'R&amp;S - Buildings'!$E$8*'R&amp;S - Buildings'!$C$11*('R&amp;S - Buildings'!$B$15+('R&amp;S - Buildings'!$B$16-'R&amp;S - Buildings'!$B$15)*('Yearly BTX'!T$3-'Yearly BTX'!$N$3)/10)</f>
        <v>68191.686355272992</v>
      </c>
      <c r="U40" s="99">
        <f>U38*'R&amp;S - Buildings'!$E$8*'R&amp;S - Buildings'!$C$11*('R&amp;S - Buildings'!$B$15+('R&amp;S - Buildings'!$B$16-'R&amp;S - Buildings'!$B$15)*('Yearly BTX'!U$3-'Yearly BTX'!$N$3)/10)</f>
        <v>71957.676807238138</v>
      </c>
      <c r="V40" s="99">
        <f>V38*'R&amp;S - Buildings'!$E$8*'R&amp;S - Buildings'!$C$11*('R&amp;S - Buildings'!$B$15+('R&amp;S - Buildings'!$B$16-'R&amp;S - Buildings'!$B$15)*('Yearly BTX'!V$3-'Yearly BTX'!$N$3)/10)</f>
        <v>75668.910584255063</v>
      </c>
      <c r="W40" s="99">
        <f>W38*'R&amp;S - Buildings'!$E$8*'R&amp;S - Buildings'!$C$11*('R&amp;S - Buildings'!$B$15+('R&amp;S - Buildings'!$B$16-'R&amp;S - Buildings'!$B$15)*('Yearly BTX'!W$3-'Yearly BTX'!$N$3)/10)</f>
        <v>79325.960889064998</v>
      </c>
      <c r="X40" s="99">
        <f>X38*'R&amp;S - Buildings'!$E$8*'R&amp;S - Buildings'!$C$11*('R&amp;S - Buildings'!$B$15+('R&amp;S - Buildings'!$B$16-'R&amp;S - Buildings'!$B$15)*('Yearly BTX'!X$3-'Yearly BTX'!$N$3)/10)</f>
        <v>82929.395642590011</v>
      </c>
      <c r="Y40" s="99">
        <f>Y38*'R&amp;S - Buildings'!$E$8*'R&amp;S - Buildings'!$C$11*('R&amp;S - Buildings'!$B$16+('R&amp;S - Buildings'!$B$17-'R&amp;S - Buildings'!$B$16)*('Yearly BTX'!Y$3-'Yearly BTX'!$X$3)/10)</f>
        <v>86604.567973151323</v>
      </c>
      <c r="Z40" s="99">
        <f>Z38*'R&amp;S - Buildings'!$E$8*'R&amp;S - Buildings'!$C$11*('R&amp;S - Buildings'!$B$16+('R&amp;S - Buildings'!$B$17-'R&amp;S - Buildings'!$B$16)*('Yearly BTX'!Z$3-'Yearly BTX'!$X$3)/10)</f>
        <v>90225.536395455463</v>
      </c>
      <c r="AA40" s="99">
        <f>AA38*'R&amp;S - Buildings'!$E$8*'R&amp;S - Buildings'!$C$11*('R&amp;S - Buildings'!$B$16+('R&amp;S - Buildings'!$B$17-'R&amp;S - Buildings'!$B$16)*('Yearly BTX'!AA$3-'Yearly BTX'!$X$3)/10)</f>
        <v>93792.870800147008</v>
      </c>
      <c r="AB40" s="99">
        <f>AB38*'R&amp;S - Buildings'!$E$8*'R&amp;S - Buildings'!$C$11*('R&amp;S - Buildings'!$B$16+('R&amp;S - Buildings'!$B$17-'R&amp;S - Buildings'!$B$16)*('Yearly BTX'!AB$3-'Yearly BTX'!$X$3)/10)</f>
        <v>97307.135815494068</v>
      </c>
      <c r="AC40" s="99">
        <f>AC38*'R&amp;S - Buildings'!$E$8*'R&amp;S - Buildings'!$C$11*('R&amp;S - Buildings'!$B$16+('R&amp;S - Buildings'!$B$17-'R&amp;S - Buildings'!$B$16)*('Yearly BTX'!AC$3-'Yearly BTX'!$X$3)/10)</f>
        <v>100768.89085273026</v>
      </c>
      <c r="AD40" s="99">
        <f>AD38*'R&amp;S - Buildings'!$E$8*'R&amp;S - Buildings'!$C$11*('R&amp;S - Buildings'!$B$16+('R&amp;S - Buildings'!$B$17-'R&amp;S - Buildings'!$B$16)*('Yearly BTX'!AD$3-'Yearly BTX'!$X$3)/10)</f>
        <v>104178.69015102246</v>
      </c>
      <c r="AE40" s="99">
        <f>AE38*'R&amp;S - Buildings'!$E$8*'R&amp;S - Buildings'!$C$11*('R&amp;S - Buildings'!$B$16+('R&amp;S - Buildings'!$B$17-'R&amp;S - Buildings'!$B$16)*('Yearly BTX'!AE$3-'Yearly BTX'!$X$3)/10)</f>
        <v>107537.08282206736</v>
      </c>
      <c r="AF40" s="99">
        <f>AF38*'R&amp;S - Buildings'!$E$8*'R&amp;S - Buildings'!$C$11*('R&amp;S - Buildings'!$B$16+('R&amp;S - Buildings'!$B$17-'R&amp;S - Buildings'!$B$16)*('Yearly BTX'!AF$3-'Yearly BTX'!$X$3)/10)</f>
        <v>110844.61289431989</v>
      </c>
      <c r="AG40" s="99">
        <f>AG38*'R&amp;S - Buildings'!$E$8*'R&amp;S - Buildings'!$C$11*('R&amp;S - Buildings'!$B$16+('R&amp;S - Buildings'!$B$17-'R&amp;S - Buildings'!$B$16)*('Yearly BTX'!AG$3-'Yearly BTX'!$X$3)/10)</f>
        <v>114101.81935685634</v>
      </c>
      <c r="AH40" s="99">
        <f>AH38*'R&amp;S - Buildings'!$E$8*'R&amp;S - Buildings'!$C$11*('R&amp;S - Buildings'!$B$16+('R&amp;S - Buildings'!$B$17-'R&amp;S - Buildings'!$B$16)*('Yearly BTX'!AH$3-'Yearly BTX'!$X$3)/10)</f>
        <v>117309.23620287504</v>
      </c>
      <c r="AI40" s="178"/>
      <c r="AJ40" s="99">
        <v>0</v>
      </c>
      <c r="AK40" s="99">
        <f>AK38*'R&amp;S - Buildings'!$E$8*'R&amp;S - Buildings'!$C$12*'R&amp;S - Buildings'!$B$15*('Yearly BTX'!AK$3-'Yearly BTX'!$D$3)/10</f>
        <v>2362.2724707623629</v>
      </c>
      <c r="AL40" s="99">
        <f>AL38*'R&amp;S - Buildings'!$E$8*'R&amp;S - Buildings'!$C$12*'R&amp;S - Buildings'!$B$15*('Yearly BTX'!AL$3-'Yearly BTX'!$D$3)/10</f>
        <v>4692.2025233717077</v>
      </c>
      <c r="AM40" s="99">
        <f>AM38*'R&amp;S - Buildings'!$E$8*'R&amp;S - Buildings'!$C$12*'R&amp;S - Buildings'!$B$15*('Yearly BTX'!AM$3-'Yearly BTX'!$D$3)/10</f>
        <v>6990.1222634672868</v>
      </c>
      <c r="AN40" s="99">
        <f>AN38*'R&amp;S - Buildings'!$E$8*'R&amp;S - Buildings'!$C$12*'R&amp;S - Buildings'!$B$15*('Yearly BTX'!AN$3-'Yearly BTX'!$D$3)/10</f>
        <v>9256.3607653983272</v>
      </c>
      <c r="AO40" s="99">
        <f>AO38*'R&amp;S - Buildings'!$E$8*'R&amp;S - Buildings'!$C$12*'R&amp;S - Buildings'!$B$15*('Yearly BTX'!AO$3-'Yearly BTX'!$D$3)/10</f>
        <v>11491.244098162844</v>
      </c>
      <c r="AP40" s="99">
        <f>AP38*'R&amp;S - Buildings'!$E$8*'R&amp;S - Buildings'!$C$12*'R&amp;S - Buildings'!$B$15*('Yearly BTX'!AP$3-'Yearly BTX'!$D$3)/10</f>
        <v>13695.095351133368</v>
      </c>
      <c r="AQ40" s="99">
        <f>AQ38*'R&amp;S - Buildings'!$E$8*'R&amp;S - Buildings'!$C$12*'R&amp;S - Buildings'!$B$15*('Yearly BTX'!AQ$3-'Yearly BTX'!$D$3)/10</f>
        <v>15868.234659571279</v>
      </c>
      <c r="AR40" s="99">
        <f>AR38*'R&amp;S - Buildings'!$E$8*'R&amp;S - Buildings'!$C$12*'R&amp;S - Buildings'!$B$15*('Yearly BTX'!AR$3-'Yearly BTX'!$D$3)/10</f>
        <v>18010.979229931494</v>
      </c>
      <c r="AS40" s="99">
        <f>AS38*'R&amp;S - Buildings'!$E$8*'R&amp;S - Buildings'!$C$12*'R&amp;S - Buildings'!$B$15*('Yearly BTX'!AS$3-'Yearly BTX'!$D$3)/10</f>
        <v>20123.643364959065</v>
      </c>
      <c r="AT40" s="99">
        <f>AT38*'R&amp;S - Buildings'!$E$8*'R&amp;S - Buildings'!$C$12*'R&amp;S - Buildings'!$B$15*('Yearly BTX'!AT$3-'Yearly BTX'!$D$3)/10</f>
        <v>22206.538488579517</v>
      </c>
      <c r="AU40" s="99">
        <f>AU38*'R&amp;S - Buildings'!$E$8*'R&amp;S - Buildings'!$C$12*('R&amp;S - Buildings'!$B$15+('R&amp;S - Buildings'!$B$16-'R&amp;S - Buildings'!$B$15)*('Yearly BTX'!AU$3-'Yearly BTX'!$N$3)/10)</f>
        <v>24259.97317058441</v>
      </c>
      <c r="AV40" s="99">
        <f>AV38*'R&amp;S - Buildings'!$E$8*'R&amp;S - Buildings'!$C$12*('R&amp;S - Buildings'!$B$15+('R&amp;S - Buildings'!$B$16-'R&amp;S - Buildings'!$B$15)*('Yearly BTX'!AV$3-'Yearly BTX'!$N$3)/10)</f>
        <v>26284.253151113851</v>
      </c>
      <c r="AW40" s="99">
        <f>AW38*'R&amp;S - Buildings'!$E$8*'R&amp;S - Buildings'!$C$12*('R&amp;S - Buildings'!$B$15+('R&amp;S - Buildings'!$B$16-'R&amp;S - Buildings'!$B$15)*('Yearly BTX'!AW$3-'Yearly BTX'!$N$3)/10)</f>
        <v>28279.681364937598</v>
      </c>
      <c r="AX40" s="99">
        <f>AX38*'R&amp;S - Buildings'!$E$8*'R&amp;S - Buildings'!$C$12*('R&amp;S - Buildings'!$B$15+('R&amp;S - Buildings'!$B$16-'R&amp;S - Buildings'!$B$15)*('Yearly BTX'!AX$3-'Yearly BTX'!$N$3)/10)</f>
        <v>30246.557965536242</v>
      </c>
      <c r="AY40" s="99">
        <f>AY38*'R&amp;S - Buildings'!$E$8*'R&amp;S - Buildings'!$C$12*('R&amp;S - Buildings'!$B$15+('R&amp;S - Buildings'!$B$16-'R&amp;S - Buildings'!$B$15)*('Yearly BTX'!AY$3-'Yearly BTX'!$N$3)/10)</f>
        <v>32185.180348984297</v>
      </c>
      <c r="AZ40" s="99">
        <f>AZ38*'R&amp;S - Buildings'!$E$8*'R&amp;S - Buildings'!$C$12*('R&amp;S - Buildings'!$B$15+('R&amp;S - Buildings'!$B$16-'R&amp;S - Buildings'!$B$15)*('Yearly BTX'!AZ$3-'Yearly BTX'!$N$3)/10)</f>
        <v>34095.843177636496</v>
      </c>
      <c r="BA40" s="99">
        <f>BA38*'R&amp;S - Buildings'!$E$8*'R&amp;S - Buildings'!$C$12*('R&amp;S - Buildings'!$B$15+('R&amp;S - Buildings'!$B$16-'R&amp;S - Buildings'!$B$15)*('Yearly BTX'!BA$3-'Yearly BTX'!$N$3)/10)</f>
        <v>35978.838403619069</v>
      </c>
      <c r="BB40" s="99">
        <f>BB38*'R&amp;S - Buildings'!$E$8*'R&amp;S - Buildings'!$C$12*('R&amp;S - Buildings'!$B$15+('R&amp;S - Buildings'!$B$16-'R&amp;S - Buildings'!$B$15)*('Yearly BTX'!BB$3-'Yearly BTX'!$N$3)/10)</f>
        <v>37834.455292127532</v>
      </c>
      <c r="BC40" s="99">
        <f>BC38*'R&amp;S - Buildings'!$E$8*'R&amp;S - Buildings'!$C$12*('R&amp;S - Buildings'!$B$15+('R&amp;S - Buildings'!$B$16-'R&amp;S - Buildings'!$B$15)*('Yearly BTX'!BC$3-'Yearly BTX'!$N$3)/10)</f>
        <v>39662.980444532499</v>
      </c>
      <c r="BD40" s="99">
        <f>BD38*'R&amp;S - Buildings'!$E$8*'R&amp;S - Buildings'!$C$12*('R&amp;S - Buildings'!$B$15+('R&amp;S - Buildings'!$B$16-'R&amp;S - Buildings'!$B$15)*('Yearly BTX'!BD$3-'Yearly BTX'!$N$3)/10)</f>
        <v>41464.697821295005</v>
      </c>
      <c r="BE40" s="99">
        <f>BE38*'R&amp;S - Buildings'!$E$8*'R&amp;S - Buildings'!$C$12*('R&amp;S - Buildings'!$B$16+('R&amp;S - Buildings'!$B$17-'R&amp;S - Buildings'!$B$16)*('Yearly BTX'!BE$3-'Yearly BTX'!$X$3)/10)</f>
        <v>43302.283986575661</v>
      </c>
      <c r="BF40" s="99">
        <f>BF38*'R&amp;S - Buildings'!$E$8*'R&amp;S - Buildings'!$C$12*('R&amp;S - Buildings'!$B$16+('R&amp;S - Buildings'!$B$17-'R&amp;S - Buildings'!$B$16)*('Yearly BTX'!BF$3-'Yearly BTX'!$X$3)/10)</f>
        <v>45112.768197727732</v>
      </c>
      <c r="BG40" s="99">
        <f>BG38*'R&amp;S - Buildings'!$E$8*'R&amp;S - Buildings'!$C$12*('R&amp;S - Buildings'!$B$16+('R&amp;S - Buildings'!$B$17-'R&amp;S - Buildings'!$B$16)*('Yearly BTX'!BG$3-'Yearly BTX'!$X$3)/10)</f>
        <v>46896.435400073504</v>
      </c>
      <c r="BH40" s="99">
        <f>BH38*'R&amp;S - Buildings'!$E$8*'R&amp;S - Buildings'!$C$12*('R&amp;S - Buildings'!$B$16+('R&amp;S - Buildings'!$B$17-'R&amp;S - Buildings'!$B$16)*('Yearly BTX'!BH$3-'Yearly BTX'!$X$3)/10)</f>
        <v>48653.567907747034</v>
      </c>
      <c r="BI40" s="99">
        <f>BI38*'R&amp;S - Buildings'!$E$8*'R&amp;S - Buildings'!$C$12*('R&amp;S - Buildings'!$B$16+('R&amp;S - Buildings'!$B$17-'R&amp;S - Buildings'!$B$16)*('Yearly BTX'!BI$3-'Yearly BTX'!$X$3)/10)</f>
        <v>50384.445426365128</v>
      </c>
      <c r="BJ40" s="99">
        <f>BJ38*'R&amp;S - Buildings'!$E$8*'R&amp;S - Buildings'!$C$12*('R&amp;S - Buildings'!$B$16+('R&amp;S - Buildings'!$B$17-'R&amp;S - Buildings'!$B$16)*('Yearly BTX'!BJ$3-'Yearly BTX'!$X$3)/10)</f>
        <v>52089.345075511228</v>
      </c>
      <c r="BK40" s="99">
        <f>BK38*'R&amp;S - Buildings'!$E$8*'R&amp;S - Buildings'!$C$12*('R&amp;S - Buildings'!$B$16+('R&amp;S - Buildings'!$B$17-'R&amp;S - Buildings'!$B$16)*('Yearly BTX'!BK$3-'Yearly BTX'!$X$3)/10)</f>
        <v>53768.541411033679</v>
      </c>
      <c r="BL40" s="99">
        <f>BL38*'R&amp;S - Buildings'!$E$8*'R&amp;S - Buildings'!$C$12*('R&amp;S - Buildings'!$B$16+('R&amp;S - Buildings'!$B$17-'R&amp;S - Buildings'!$B$16)*('Yearly BTX'!BL$3-'Yearly BTX'!$X$3)/10)</f>
        <v>55422.306447159943</v>
      </c>
      <c r="BM40" s="99">
        <f>BM38*'R&amp;S - Buildings'!$E$8*'R&amp;S - Buildings'!$C$12*('R&amp;S - Buildings'!$B$16+('R&amp;S - Buildings'!$B$17-'R&amp;S - Buildings'!$B$16)*('Yearly BTX'!BM$3-'Yearly BTX'!$X$3)/10)</f>
        <v>57050.909678428172</v>
      </c>
      <c r="BN40" s="99">
        <f>BN38*'R&amp;S - Buildings'!$E$8*'R&amp;S - Buildings'!$C$12*('R&amp;S - Buildings'!$B$16+('R&amp;S - Buildings'!$B$17-'R&amp;S - Buildings'!$B$16)*('Yearly BTX'!BN$3-'Yearly BTX'!$X$3)/10)</f>
        <v>58654.618101437518</v>
      </c>
    </row>
    <row r="41" spans="1:90" outlineLevel="1">
      <c r="B41" s="1" t="s">
        <v>200</v>
      </c>
      <c r="C41" s="60" t="s">
        <v>1420</v>
      </c>
      <c r="D41" s="574">
        <f>D38-D39-D40</f>
        <v>804756.09449362266</v>
      </c>
      <c r="E41" s="574">
        <f t="shared" ref="E41:AG41" si="34">E38-E39-E40</f>
        <v>780016.1649029156</v>
      </c>
      <c r="F41" s="574">
        <f t="shared" si="34"/>
        <v>755577.24256022868</v>
      </c>
      <c r="G41" s="574">
        <f t="shared" si="34"/>
        <v>731436.3656795451</v>
      </c>
      <c r="H41" s="574">
        <f t="shared" si="34"/>
        <v>707590.59891940665</v>
      </c>
      <c r="I41" s="574">
        <f t="shared" si="34"/>
        <v>684037.03315965249</v>
      </c>
      <c r="J41" s="574">
        <f t="shared" si="34"/>
        <v>660772.78527997411</v>
      </c>
      <c r="K41" s="574">
        <f t="shared" si="34"/>
        <v>637794.99794027419</v>
      </c>
      <c r="L41" s="574">
        <f t="shared" si="34"/>
        <v>615100.83936281293</v>
      </c>
      <c r="M41" s="574">
        <f t="shared" si="34"/>
        <v>592687.50311613129</v>
      </c>
      <c r="N41" s="574">
        <f t="shared" si="34"/>
        <v>570552.20790073194</v>
      </c>
      <c r="O41" s="574">
        <f t="shared" si="34"/>
        <v>548692.19733650901</v>
      </c>
      <c r="P41" s="574">
        <f t="shared" si="34"/>
        <v>527104.73975190893</v>
      </c>
      <c r="Q41" s="574">
        <f t="shared" si="34"/>
        <v>505787.12797481049</v>
      </c>
      <c r="R41" s="574">
        <f t="shared" si="34"/>
        <v>484736.67912511108</v>
      </c>
      <c r="S41" s="574">
        <f t="shared" si="34"/>
        <v>463950.73440900288</v>
      </c>
      <c r="T41" s="574">
        <f t="shared" si="34"/>
        <v>443426.65891492856</v>
      </c>
      <c r="U41" s="574">
        <f t="shared" si="34"/>
        <v>423161.84141120163</v>
      </c>
      <c r="V41" s="574">
        <f t="shared" si="34"/>
        <v>403153.6941452779</v>
      </c>
      <c r="W41" s="574">
        <f t="shared" si="34"/>
        <v>383399.65264466644</v>
      </c>
      <c r="X41" s="574">
        <f t="shared" si="34"/>
        <v>363897.17551946442</v>
      </c>
      <c r="Y41" s="574">
        <f t="shared" si="34"/>
        <v>344135.79483916244</v>
      </c>
      <c r="Z41" s="574">
        <f t="shared" si="34"/>
        <v>324627.91867338604</v>
      </c>
      <c r="AA41" s="574">
        <f t="shared" si="34"/>
        <v>305371.00230000872</v>
      </c>
      <c r="AB41" s="574">
        <f t="shared" si="34"/>
        <v>286362.5239574397</v>
      </c>
      <c r="AC41" s="574">
        <f t="shared" si="34"/>
        <v>267599.98464951746</v>
      </c>
      <c r="AD41" s="574">
        <f t="shared" si="34"/>
        <v>249080.90795199911</v>
      </c>
      <c r="AE41" s="574">
        <f t="shared" si="34"/>
        <v>230802.83982063213</v>
      </c>
      <c r="AF41" s="574">
        <f t="shared" si="34"/>
        <v>212763.34840079577</v>
      </c>
      <c r="AG41" s="574">
        <f t="shared" si="34"/>
        <v>194960.02383870044</v>
      </c>
      <c r="AH41" s="574">
        <f>AH38-AH39-AH40</f>
        <v>177390.47809413198</v>
      </c>
      <c r="AI41" s="178"/>
      <c r="AJ41" s="574">
        <f>AJ38-AJ39-AJ40</f>
        <v>804756.09449362266</v>
      </c>
      <c r="AK41" s="574">
        <f t="shared" ref="AK41:BM41" si="35">AK38-AK39-AK40</f>
        <v>791082.23767943343</v>
      </c>
      <c r="AL41" s="574">
        <f t="shared" si="35"/>
        <v>777557.87995428627</v>
      </c>
      <c r="AM41" s="574">
        <f t="shared" si="35"/>
        <v>764181.61528206966</v>
      </c>
      <c r="AN41" s="574">
        <f t="shared" si="35"/>
        <v>750952.049871144</v>
      </c>
      <c r="AO41" s="574">
        <f t="shared" si="35"/>
        <v>737867.80207258905</v>
      </c>
      <c r="AP41" s="574">
        <f t="shared" si="35"/>
        <v>724927.5022792723</v>
      </c>
      <c r="AQ41" s="574">
        <f t="shared" si="35"/>
        <v>712129.79282572924</v>
      </c>
      <c r="AR41" s="574">
        <f t="shared" si="35"/>
        <v>699473.32788885059</v>
      </c>
      <c r="AS41" s="574">
        <f t="shared" si="35"/>
        <v>686956.7733893689</v>
      </c>
      <c r="AT41" s="574">
        <f t="shared" si="35"/>
        <v>674578.8068941402</v>
      </c>
      <c r="AU41" s="574">
        <f t="shared" si="35"/>
        <v>662338.11751921196</v>
      </c>
      <c r="AV41" s="574">
        <f t="shared" si="35"/>
        <v>650233.40583367296</v>
      </c>
      <c r="AW41" s="574">
        <f t="shared" si="35"/>
        <v>638263.38376427849</v>
      </c>
      <c r="AX41" s="574">
        <f t="shared" si="35"/>
        <v>626426.77450084407</v>
      </c>
      <c r="AY41" s="574">
        <f t="shared" si="35"/>
        <v>614722.31240240321</v>
      </c>
      <c r="AZ41" s="574">
        <f t="shared" si="35"/>
        <v>603148.74290412071</v>
      </c>
      <c r="BA41" s="574">
        <f t="shared" si="35"/>
        <v>591704.82242495846</v>
      </c>
      <c r="BB41" s="574">
        <f t="shared" si="35"/>
        <v>580389.31827608519</v>
      </c>
      <c r="BC41" s="574">
        <f t="shared" si="35"/>
        <v>569201.00857002684</v>
      </c>
      <c r="BD41" s="574">
        <f t="shared" si="35"/>
        <v>558138.68213054817</v>
      </c>
      <c r="BE41" s="574">
        <f t="shared" si="35"/>
        <v>546985.47958795086</v>
      </c>
      <c r="BF41" s="574">
        <f t="shared" si="35"/>
        <v>535958.82237101125</v>
      </c>
      <c r="BG41" s="574">
        <f t="shared" si="35"/>
        <v>525057.50058485614</v>
      </c>
      <c r="BH41" s="574">
        <f t="shared" si="35"/>
        <v>514280.31496933865</v>
      </c>
      <c r="BI41" s="574">
        <f t="shared" si="35"/>
        <v>503626.07681013411</v>
      </c>
      <c r="BJ41" s="574">
        <f t="shared" si="35"/>
        <v>493093.60785055452</v>
      </c>
      <c r="BK41" s="574">
        <f t="shared" si="35"/>
        <v>482681.74020407762</v>
      </c>
      <c r="BL41" s="574">
        <f t="shared" si="35"/>
        <v>472389.31626758177</v>
      </c>
      <c r="BM41" s="574">
        <f t="shared" si="35"/>
        <v>462215.18863528431</v>
      </c>
      <c r="BN41" s="574">
        <f>BN38-BN39-BN40</f>
        <v>452158.22001337475</v>
      </c>
    </row>
    <row r="42" spans="1:90" s="61" customFormat="1" outlineLevel="1">
      <c r="A42" s="602"/>
      <c r="B42" s="54" t="s">
        <v>88</v>
      </c>
      <c r="C42" s="55" t="s">
        <v>1420</v>
      </c>
      <c r="D42" s="580">
        <f>D$41*'R&amp;S - Buildings'!$L$4/SUM('R&amp;S - Buildings'!$L$4:$N$4)</f>
        <v>510418.95118389581</v>
      </c>
      <c r="E42" s="580">
        <f>E$41*'R&amp;S - Buildings'!$L$4/SUM('R&amp;S - Buildings'!$L$4:$N$4)</f>
        <v>494727.57711359707</v>
      </c>
      <c r="F42" s="580">
        <f>F$41*'R&amp;S - Buildings'!$L$4/SUM('R&amp;S - Buildings'!$L$4:$N$4)</f>
        <v>479227.11778738588</v>
      </c>
      <c r="G42" s="580">
        <f>G$41*'R&amp;S - Buildings'!$L$4/SUM('R&amp;S - Buildings'!$L$4:$N$4)</f>
        <v>463915.69468365476</v>
      </c>
      <c r="H42" s="580">
        <f>H$41*'R&amp;S - Buildings'!$L$4/SUM('R&amp;S - Buildings'!$L$4:$N$4)</f>
        <v>448791.4460533362</v>
      </c>
      <c r="I42" s="580">
        <f>I$41*'R&amp;S - Buildings'!$L$4/SUM('R&amp;S - Buildings'!$L$4:$N$4)</f>
        <v>433852.52677829878</v>
      </c>
      <c r="J42" s="580">
        <f>J$41*'R&amp;S - Buildings'!$L$4/SUM('R&amp;S - Buildings'!$L$4:$N$4)</f>
        <v>419097.10823089484</v>
      </c>
      <c r="K42" s="580">
        <f>K$41*'R&amp;S - Buildings'!$L$4/SUM('R&amp;S - Buildings'!$L$4:$N$4)</f>
        <v>404523.37813465239</v>
      </c>
      <c r="L42" s="580">
        <f>L$41*'R&amp;S - Buildings'!$L$4/SUM('R&amp;S - Buildings'!$L$4:$N$4)</f>
        <v>390129.54042610101</v>
      </c>
      <c r="M42" s="580">
        <f>M$41*'R&amp;S - Buildings'!$L$4/SUM('R&amp;S - Buildings'!$L$4:$N$4)</f>
        <v>375913.81511772453</v>
      </c>
      <c r="N42" s="580">
        <f>N$41*'R&amp;S - Buildings'!$L$4/SUM('R&amp;S - Buildings'!$L$4:$N$4)</f>
        <v>361874.43816202803</v>
      </c>
      <c r="O42" s="580">
        <f>O$41*'R&amp;S - Buildings'!$L$4/SUM('R&amp;S - Buildings'!$L$4:$N$4)</f>
        <v>348009.6613167153</v>
      </c>
      <c r="P42" s="580">
        <f>P$41*'R&amp;S - Buildings'!$L$4/SUM('R&amp;S - Buildings'!$L$4:$N$4)</f>
        <v>334317.75201096258</v>
      </c>
      <c r="Q42" s="580">
        <f>Q$41*'R&amp;S - Buildings'!$L$4/SUM('R&amp;S - Buildings'!$L$4:$N$4)</f>
        <v>320796.99321278452</v>
      </c>
      <c r="R42" s="580">
        <f>R$41*'R&amp;S - Buildings'!$L$4/SUM('R&amp;S - Buildings'!$L$4:$N$4)</f>
        <v>307445.68329748081</v>
      </c>
      <c r="S42" s="580">
        <f>S$41*'R&amp;S - Buildings'!$L$4/SUM('R&amp;S - Buildings'!$L$4:$N$4)</f>
        <v>294262.13591715525</v>
      </c>
      <c r="T42" s="580">
        <f>T$41*'R&amp;S - Buildings'!$L$4/SUM('R&amp;S - Buildings'!$L$4:$N$4)</f>
        <v>281244.67987130047</v>
      </c>
      <c r="U42" s="580">
        <f>U$41*'R&amp;S - Buildings'!$L$4/SUM('R&amp;S - Buildings'!$L$4:$N$4)</f>
        <v>268391.65897843748</v>
      </c>
      <c r="V42" s="580">
        <f>V$41*'R&amp;S - Buildings'!$L$4/SUM('R&amp;S - Buildings'!$L$4:$N$4)</f>
        <v>255701.43194880342</v>
      </c>
      <c r="W42" s="580">
        <f>W$41*'R&amp;S - Buildings'!$L$4/SUM('R&amp;S - Buildings'!$L$4:$N$4)</f>
        <v>243172.37225807851</v>
      </c>
      <c r="X42" s="580">
        <f>X$41*'R&amp;S - Buildings'!$L$4/SUM('R&amp;S - Buildings'!$L$4:$N$4)</f>
        <v>230802.86802214329</v>
      </c>
      <c r="Y42" s="580">
        <f>Y$41*'R&amp;S - Buildings'!$L$4/SUM('R&amp;S - Buildings'!$L$4:$N$4)</f>
        <v>218269.15343482821</v>
      </c>
      <c r="Z42" s="580">
        <f>Z$41*'R&amp;S - Buildings'!$L$4/SUM('R&amp;S - Buildings'!$L$4:$N$4)</f>
        <v>205896.22484131905</v>
      </c>
      <c r="AA42" s="580">
        <f>AA$41*'R&amp;S - Buildings'!$L$4/SUM('R&amp;S - Buildings'!$L$4:$N$4)</f>
        <v>193682.46824402356</v>
      </c>
      <c r="AB42" s="580">
        <f>AB$41*'R&amp;S - Buildings'!$L$4/SUM('R&amp;S - Buildings'!$L$4:$N$4)</f>
        <v>181626.28420813769</v>
      </c>
      <c r="AC42" s="580">
        <f>AC$41*'R&amp;S - Buildings'!$L$4/SUM('R&amp;S - Buildings'!$L$4:$N$4)</f>
        <v>169726.08773789872</v>
      </c>
      <c r="AD42" s="580">
        <f>AD$41*'R&amp;S - Buildings'!$L$4/SUM('R&amp;S - Buildings'!$L$4:$N$4)</f>
        <v>157980.3081538507</v>
      </c>
      <c r="AE42" s="580">
        <f>AE$41*'R&amp;S - Buildings'!$L$4/SUM('R&amp;S - Buildings'!$L$4:$N$4)</f>
        <v>146387.38897111305</v>
      </c>
      <c r="AF42" s="580">
        <f>AF$41*'R&amp;S - Buildings'!$L$4/SUM('R&amp;S - Buildings'!$L$4:$N$4)</f>
        <v>134945.78777864552</v>
      </c>
      <c r="AG42" s="580">
        <f>AG$41*'R&amp;S - Buildings'!$L$4/SUM('R&amp;S - Buildings'!$L$4:$N$4)</f>
        <v>123653.97611950038</v>
      </c>
      <c r="AH42" s="580">
        <f>AH$41*'R&amp;S - Buildings'!$L$4/SUM('R&amp;S - Buildings'!$L$4:$N$4)</f>
        <v>112510.43937205525</v>
      </c>
      <c r="AI42" s="580"/>
      <c r="AJ42" s="580">
        <f>AJ$41*'R&amp;S - Buildings'!$L$4/SUM('R&amp;S - Buildings'!$L$4:$N$4)</f>
        <v>510418.95118389581</v>
      </c>
      <c r="AK42" s="580">
        <f>AK$41*'R&amp;S - Buildings'!$L$4/SUM('R&amp;S - Buildings'!$L$4:$N$4)</f>
        <v>501746.26675007504</v>
      </c>
      <c r="AL42" s="580">
        <f>AL$41*'R&amp;S - Buildings'!$L$4/SUM('R&amp;S - Buildings'!$L$4:$N$4)</f>
        <v>493168.402559001</v>
      </c>
      <c r="AM42" s="580">
        <f>AM$41*'R&amp;S - Buildings'!$L$4/SUM('R&amp;S - Buildings'!$L$4:$N$4)</f>
        <v>484684.46682807989</v>
      </c>
      <c r="AN42" s="580">
        <f>AN$41*'R&amp;S - Buildings'!$L$4/SUM('R&amp;S - Buildings'!$L$4:$N$4)</f>
        <v>476293.57554081053</v>
      </c>
      <c r="AO42" s="580">
        <f>AO$41*'R&amp;S - Buildings'!$L$4/SUM('R&amp;S - Buildings'!$L$4:$N$4)</f>
        <v>467994.85238224798</v>
      </c>
      <c r="AP42" s="580">
        <f>AP$41*'R&amp;S - Buildings'!$L$4/SUM('R&amp;S - Buildings'!$L$4:$N$4)</f>
        <v>459787.42867498676</v>
      </c>
      <c r="AQ42" s="580">
        <f>AQ$41*'R&amp;S - Buildings'!$L$4/SUM('R&amp;S - Buildings'!$L$4:$N$4)</f>
        <v>451670.44331566006</v>
      </c>
      <c r="AR42" s="580">
        <f>AR$41*'R&amp;S - Buildings'!$L$4/SUM('R&amp;S - Buildings'!$L$4:$N$4)</f>
        <v>443643.04271195008</v>
      </c>
      <c r="AS42" s="580">
        <f>AS$41*'R&amp;S - Buildings'!$L$4/SUM('R&amp;S - Buildings'!$L$4:$N$4)</f>
        <v>435704.3807201059</v>
      </c>
      <c r="AT42" s="580">
        <f>AT$41*'R&amp;S - Buildings'!$L$4/SUM('R&amp;S - Buildings'!$L$4:$N$4)</f>
        <v>427853.61858296482</v>
      </c>
      <c r="AU42" s="580">
        <f>AU$41*'R&amp;S - Buildings'!$L$4/SUM('R&amp;S - Buildings'!$L$4:$N$4)</f>
        <v>420089.92486847349</v>
      </c>
      <c r="AV42" s="580">
        <f>AV$41*'R&amp;S - Buildings'!$L$4/SUM('R&amp;S - Buildings'!$L$4:$N$4)</f>
        <v>412412.47540870402</v>
      </c>
      <c r="AW42" s="580">
        <f>AW$41*'R&amp;S - Buildings'!$L$4/SUM('R&amp;S - Buildings'!$L$4:$N$4)</f>
        <v>404820.45323936234</v>
      </c>
      <c r="AX42" s="580">
        <f>AX$41*'R&amp;S - Buildings'!$L$4/SUM('R&amp;S - Buildings'!$L$4:$N$4)</f>
        <v>397313.04853978392</v>
      </c>
      <c r="AY42" s="580">
        <f>AY$41*'R&amp;S - Buildings'!$L$4/SUM('R&amp;S - Buildings'!$L$4:$N$4)</f>
        <v>389889.45857341407</v>
      </c>
      <c r="AZ42" s="580">
        <f>AZ$41*'R&amp;S - Buildings'!$L$4/SUM('R&amp;S - Buildings'!$L$4:$N$4)</f>
        <v>382548.88762876735</v>
      </c>
      <c r="BA42" s="580">
        <f>BA$41*'R&amp;S - Buildings'!$L$4/SUM('R&amp;S - Buildings'!$L$4:$N$4)</f>
        <v>375290.54696086422</v>
      </c>
      <c r="BB42" s="580">
        <f>BB$41*'R&amp;S - Buildings'!$L$4/SUM('R&amp;S - Buildings'!$L$4:$N$4)</f>
        <v>368113.65473314008</v>
      </c>
      <c r="BC42" s="580">
        <f>BC$41*'R&amp;S - Buildings'!$L$4/SUM('R&amp;S - Buildings'!$L$4:$N$4)</f>
        <v>361017.43595982314</v>
      </c>
      <c r="BD42" s="580">
        <f>BD$41*'R&amp;S - Buildings'!$L$4/SUM('R&amp;S - Buildings'!$L$4:$N$4)</f>
        <v>354001.12244877667</v>
      </c>
      <c r="BE42" s="580">
        <f>BE$41*'R&amp;S - Buildings'!$L$4/SUM('R&amp;S - Buildings'!$L$4:$N$4)</f>
        <v>346927.17049850756</v>
      </c>
      <c r="BF42" s="580">
        <f>BF$41*'R&amp;S - Buildings'!$L$4/SUM('R&amp;S - Buildings'!$L$4:$N$4)</f>
        <v>339933.48029815429</v>
      </c>
      <c r="BG42" s="580">
        <f>BG$41*'R&amp;S - Buildings'!$L$4/SUM('R&amp;S - Buildings'!$L$4:$N$4)</f>
        <v>333019.28446828783</v>
      </c>
      <c r="BH42" s="580">
        <f>BH$41*'R&amp;S - Buildings'!$L$4/SUM('R&amp;S - Buildings'!$L$4:$N$4)</f>
        <v>326183.82237458607</v>
      </c>
      <c r="BI42" s="580">
        <f>BI$41*'R&amp;S - Buildings'!$L$4/SUM('R&amp;S - Buildings'!$L$4:$N$4)</f>
        <v>319426.3400714462</v>
      </c>
      <c r="BJ42" s="580">
        <f>BJ$41*'R&amp;S - Buildings'!$L$4/SUM('R&amp;S - Buildings'!$L$4:$N$4)</f>
        <v>312746.09024605248</v>
      </c>
      <c r="BK42" s="580">
        <f>BK$41*'R&amp;S - Buildings'!$L$4/SUM('R&amp;S - Buildings'!$L$4:$N$4)</f>
        <v>306142.3321628978</v>
      </c>
      <c r="BL42" s="580">
        <f>BL$41*'R&amp;S - Buildings'!$L$4/SUM('R&amp;S - Buildings'!$L$4:$N$4)</f>
        <v>299614.33160875237</v>
      </c>
      <c r="BM42" s="580">
        <f>BM$41*'R&amp;S - Buildings'!$L$4/SUM('R&amp;S - Buildings'!$L$4:$N$4)</f>
        <v>293161.3608380793</v>
      </c>
      <c r="BN42" s="580">
        <f>BN$41*'R&amp;S - Buildings'!$L$4/SUM('R&amp;S - Buildings'!$L$4:$N$4)</f>
        <v>286782.69851889001</v>
      </c>
      <c r="BQ42" s="649"/>
      <c r="BR42" s="649"/>
      <c r="BS42" s="649"/>
      <c r="BT42" s="649"/>
      <c r="BU42" s="649"/>
      <c r="BV42" s="649"/>
      <c r="BW42" s="649"/>
      <c r="BX42" s="649"/>
      <c r="BY42" s="649"/>
      <c r="BZ42" s="649"/>
      <c r="CA42" s="649"/>
      <c r="CB42" s="649"/>
      <c r="CC42" s="649"/>
      <c r="CD42" s="649"/>
      <c r="CE42" s="649"/>
      <c r="CF42" s="649"/>
      <c r="CG42" s="649"/>
      <c r="CH42" s="649"/>
      <c r="CI42" s="649"/>
      <c r="CJ42" s="649"/>
      <c r="CK42" s="649"/>
      <c r="CL42" s="649"/>
    </row>
    <row r="43" spans="1:90" outlineLevel="1">
      <c r="A43" s="603"/>
      <c r="B43" s="1" t="s">
        <v>717</v>
      </c>
      <c r="C43" s="50" t="s">
        <v>1420</v>
      </c>
      <c r="D43" s="576">
        <f>D$41*'R&amp;S - Buildings'!$M$4/SUM('R&amp;S - Buildings'!$L$4:$N$4)</f>
        <v>124794.36789497873</v>
      </c>
      <c r="E43" s="576">
        <f>E$41*'R&amp;S - Buildings'!$M$4/SUM('R&amp;S - Buildings'!$L$4:$N$4)</f>
        <v>120957.92118005046</v>
      </c>
      <c r="F43" s="576">
        <f>F$41*'R&amp;S - Buildings'!$M$4/SUM('R&amp;S - Buildings'!$L$4:$N$4)</f>
        <v>117168.15197338276</v>
      </c>
      <c r="G43" s="576">
        <f>G$41*'R&amp;S - Buildings'!$M$4/SUM('R&amp;S - Buildings'!$L$4:$N$4)</f>
        <v>113424.60098772535</v>
      </c>
      <c r="H43" s="576">
        <f>H$41*'R&amp;S - Buildings'!$M$4/SUM('R&amp;S - Buildings'!$L$4:$N$4)</f>
        <v>109726.81303661321</v>
      </c>
      <c r="I43" s="576">
        <f>I$41*'R&amp;S - Buildings'!$M$4/SUM('R&amp;S - Buildings'!$L$4:$N$4)</f>
        <v>106074.33699974534</v>
      </c>
      <c r="J43" s="576">
        <f>J$41*'R&amp;S - Buildings'!$M$4/SUM('R&amp;S - Buildings'!$L$4:$N$4)</f>
        <v>102466.72578864494</v>
      </c>
      <c r="K43" s="576">
        <f>K$41*'R&amp;S - Buildings'!$M$4/SUM('R&amp;S - Buildings'!$L$4:$N$4)</f>
        <v>98903.536312599521</v>
      </c>
      <c r="L43" s="576">
        <f>L$41*'R&amp;S - Buildings'!$M$4/SUM('R&amp;S - Buildings'!$L$4:$N$4)</f>
        <v>95384.329444878022</v>
      </c>
      <c r="M43" s="576">
        <f>M$41*'R&amp;S - Buildings'!$M$4/SUM('R&amp;S - Buildings'!$L$4:$N$4)</f>
        <v>91908.66998922365</v>
      </c>
      <c r="N43" s="576">
        <f>N$41*'R&amp;S - Buildings'!$M$4/SUM('R&amp;S - Buildings'!$L$4:$N$4)</f>
        <v>88476.126646619115</v>
      </c>
      <c r="O43" s="576">
        <f>O$41*'R&amp;S - Buildings'!$M$4/SUM('R&amp;S - Buildings'!$L$4:$N$4)</f>
        <v>85086.271982323204</v>
      </c>
      <c r="P43" s="576">
        <f>P$41*'R&amp;S - Buildings'!$M$4/SUM('R&amp;S - Buildings'!$L$4:$N$4)</f>
        <v>81738.682393175739</v>
      </c>
      <c r="Q43" s="576">
        <f>Q$41*'R&amp;S - Buildings'!$M$4/SUM('R&amp;S - Buildings'!$L$4:$N$4)</f>
        <v>78432.938075169033</v>
      </c>
      <c r="R43" s="576">
        <f>R$41*'R&amp;S - Buildings'!$M$4/SUM('R&amp;S - Buildings'!$L$4:$N$4)</f>
        <v>75168.622991284152</v>
      </c>
      <c r="S43" s="576">
        <f>S$41*'R&amp;S - Buildings'!$M$4/SUM('R&amp;S - Buildings'!$L$4:$N$4)</f>
        <v>71945.324839589011</v>
      </c>
      <c r="T43" s="576">
        <f>T$41*'R&amp;S - Buildings'!$M$4/SUM('R&amp;S - Buildings'!$L$4:$N$4)</f>
        <v>68762.63502159706</v>
      </c>
      <c r="U43" s="576">
        <f>U$41*'R&amp;S - Buildings'!$M$4/SUM('R&amp;S - Buildings'!$L$4:$N$4)</f>
        <v>65620.148610884018</v>
      </c>
      <c r="V43" s="576">
        <f>V$41*'R&amp;S - Buildings'!$M$4/SUM('R&amp;S - Buildings'!$L$4:$N$4)</f>
        <v>62517.464321960768</v>
      </c>
      <c r="W43" s="576">
        <f>W$41*'R&amp;S - Buildings'!$M$4/SUM('R&amp;S - Buildings'!$L$4:$N$4)</f>
        <v>59454.184479400319</v>
      </c>
      <c r="X43" s="576">
        <f>X$41*'R&amp;S - Buildings'!$M$4/SUM('R&amp;S - Buildings'!$L$4:$N$4)</f>
        <v>56429.91498721674</v>
      </c>
      <c r="Y43" s="576">
        <f>Y$41*'R&amp;S - Buildings'!$M$4/SUM('R&amp;S - Buildings'!$L$4:$N$4)</f>
        <v>53365.497050398153</v>
      </c>
      <c r="Z43" s="576">
        <f>Z$41*'R&amp;S - Buildings'!$M$4/SUM('R&amp;S - Buildings'!$L$4:$N$4)</f>
        <v>50340.390323355066</v>
      </c>
      <c r="AA43" s="576">
        <f>AA$41*'R&amp;S - Buildings'!$M$4/SUM('R&amp;S - Buildings'!$L$4:$N$4)</f>
        <v>47354.200193370118</v>
      </c>
      <c r="AB43" s="576">
        <f>AB$41*'R&amp;S - Buildings'!$M$4/SUM('R&amp;S - Buildings'!$L$4:$N$4)</f>
        <v>44406.535608240229</v>
      </c>
      <c r="AC43" s="576">
        <f>AC$41*'R&amp;S - Buildings'!$M$4/SUM('R&amp;S - Buildings'!$L$4:$N$4)</f>
        <v>41497.009046021187</v>
      </c>
      <c r="AD43" s="576">
        <f>AD$41*'R&amp;S - Buildings'!$M$4/SUM('R&amp;S - Buildings'!$L$4:$N$4)</f>
        <v>38625.236485019792</v>
      </c>
      <c r="AE43" s="576">
        <f>AE$41*'R&amp;S - Buildings'!$M$4/SUM('R&amp;S - Buildings'!$L$4:$N$4)</f>
        <v>35790.837374031296</v>
      </c>
      <c r="AF43" s="576">
        <f>AF$41*'R&amp;S - Buildings'!$M$4/SUM('R&amp;S - Buildings'!$L$4:$N$4)</f>
        <v>32993.434602820336</v>
      </c>
      <c r="AG43" s="576">
        <f>AG$41*'R&amp;S - Buildings'!$M$4/SUM('R&amp;S - Buildings'!$L$4:$N$4)</f>
        <v>30232.654472843398</v>
      </c>
      <c r="AH43" s="576">
        <f>AH$41*'R&amp;S - Buildings'!$M$4/SUM('R&amp;S - Buildings'!$L$4:$N$4)</f>
        <v>27508.126668210898</v>
      </c>
      <c r="AI43" s="576"/>
      <c r="AJ43" s="576">
        <f>AJ$41*'R&amp;S - Buildings'!$M$4/SUM('R&amp;S - Buildings'!$L$4:$N$4)</f>
        <v>124794.36789497873</v>
      </c>
      <c r="AK43" s="576">
        <f>AK$41*'R&amp;S - Buildings'!$M$4/SUM('R&amp;S - Buildings'!$L$4:$N$4)</f>
        <v>122673.94864063693</v>
      </c>
      <c r="AL43" s="576">
        <f>AL$41*'R&amp;S - Buildings'!$M$4/SUM('R&amp;S - Buildings'!$L$4:$N$4)</f>
        <v>120576.71236613899</v>
      </c>
      <c r="AM43" s="576">
        <f>AM$41*'R&amp;S - Buildings'!$M$4/SUM('R&amp;S - Buildings'!$L$4:$N$4)</f>
        <v>118502.44103599695</v>
      </c>
      <c r="AN43" s="576">
        <f>AN$41*'R&amp;S - Buildings'!$M$4/SUM('R&amp;S - Buildings'!$L$4:$N$4)</f>
        <v>116450.91851348583</v>
      </c>
      <c r="AO43" s="576">
        <f>AO$41*'R&amp;S - Buildings'!$M$4/SUM('R&amp;S - Buildings'!$L$4:$N$4)</f>
        <v>114421.9305448649</v>
      </c>
      <c r="AP43" s="576">
        <f>AP$41*'R&amp;S - Buildings'!$M$4/SUM('R&amp;S - Buildings'!$L$4:$N$4)</f>
        <v>112415.26474372596</v>
      </c>
      <c r="AQ43" s="576">
        <f>AQ$41*'R&amp;S - Buildings'!$M$4/SUM('R&amp;S - Buildings'!$L$4:$N$4)</f>
        <v>110430.71057546776</v>
      </c>
      <c r="AR43" s="576">
        <f>AR$41*'R&amp;S - Buildings'!$M$4/SUM('R&amp;S - Buildings'!$L$4:$N$4)</f>
        <v>108468.05934189547</v>
      </c>
      <c r="AS43" s="576">
        <f>AS$41*'R&amp;S - Buildings'!$M$4/SUM('R&amp;S - Buildings'!$L$4:$N$4)</f>
        <v>106527.10416594402</v>
      </c>
      <c r="AT43" s="576">
        <f>AT$41*'R&amp;S - Buildings'!$M$4/SUM('R&amp;S - Buildings'!$L$4:$N$4)</f>
        <v>104607.63997652491</v>
      </c>
      <c r="AU43" s="576">
        <f>AU$41*'R&amp;S - Buildings'!$M$4/SUM('R&amp;S - Buildings'!$L$4:$N$4)</f>
        <v>102709.46349349481</v>
      </c>
      <c r="AV43" s="576">
        <f>AV$41*'R&amp;S - Buildings'!$M$4/SUM('R&amp;S - Buildings'!$L$4:$N$4)</f>
        <v>100832.37321274543</v>
      </c>
      <c r="AW43" s="576">
        <f>AW$41*'R&amp;S - Buildings'!$M$4/SUM('R&amp;S - Buildings'!$L$4:$N$4)</f>
        <v>98976.169391413758</v>
      </c>
      <c r="AX43" s="576">
        <f>AX$41*'R&amp;S - Buildings'!$M$4/SUM('R&amp;S - Buildings'!$L$4:$N$4)</f>
        <v>97140.654033211191</v>
      </c>
      <c r="AY43" s="576">
        <f>AY$41*'R&amp;S - Buildings'!$M$4/SUM('R&amp;S - Buildings'!$L$4:$N$4)</f>
        <v>95325.630873871531</v>
      </c>
      <c r="AZ43" s="576">
        <f>AZ$41*'R&amp;S - Buildings'!$M$4/SUM('R&amp;S - Buildings'!$L$4:$N$4)</f>
        <v>93530.905366715742</v>
      </c>
      <c r="BA43" s="576">
        <f>BA$41*'R&amp;S - Buildings'!$M$4/SUM('R&amp;S - Buildings'!$L$4:$N$4)</f>
        <v>91756.284668333727</v>
      </c>
      <c r="BB43" s="576">
        <f>BB$41*'R&amp;S - Buildings'!$M$4/SUM('R&amp;S - Buildings'!$L$4:$N$4)</f>
        <v>90001.577624381258</v>
      </c>
      <c r="BC43" s="576">
        <f>BC$41*'R&amp;S - Buildings'!$M$4/SUM('R&amp;S - Buildings'!$L$4:$N$4)</f>
        <v>88266.594755491809</v>
      </c>
      <c r="BD43" s="576">
        <f>BD$41*'R&amp;S - Buildings'!$M$4/SUM('R&amp;S - Buildings'!$L$4:$N$4)</f>
        <v>86551.148243301912</v>
      </c>
      <c r="BE43" s="576">
        <f>BE$41*'R&amp;S - Buildings'!$M$4/SUM('R&amp;S - Buildings'!$L$4:$N$4)</f>
        <v>84821.609478909086</v>
      </c>
      <c r="BF43" s="576">
        <f>BF$41*'R&amp;S - Buildings'!$M$4/SUM('R&amp;S - Buildings'!$L$4:$N$4)</f>
        <v>83111.694230303925</v>
      </c>
      <c r="BG43" s="576">
        <f>BG$41*'R&amp;S - Buildings'!$M$4/SUM('R&amp;S - Buildings'!$L$4:$N$4)</f>
        <v>81421.21487782507</v>
      </c>
      <c r="BH43" s="576">
        <f>BH$41*'R&amp;S - Buildings'!$M$4/SUM('R&amp;S - Buildings'!$L$4:$N$4)</f>
        <v>79749.985450949302</v>
      </c>
      <c r="BI43" s="576">
        <f>BI$41*'R&amp;S - Buildings'!$M$4/SUM('R&amp;S - Buildings'!$L$4:$N$4)</f>
        <v>78097.821614505025</v>
      </c>
      <c r="BJ43" s="576">
        <f>BJ$41*'R&amp;S - Buildings'!$M$4/SUM('R&amp;S - Buildings'!$L$4:$N$4)</f>
        <v>76464.540654997312</v>
      </c>
      <c r="BK43" s="576">
        <f>BK$41*'R&amp;S - Buildings'!$M$4/SUM('R&amp;S - Buildings'!$L$4:$N$4)</f>
        <v>74849.961467043671</v>
      </c>
      <c r="BL43" s="576">
        <f>BL$41*'R&amp;S - Buildings'!$M$4/SUM('R&amp;S - Buildings'!$L$4:$N$4)</f>
        <v>73253.904539919225</v>
      </c>
      <c r="BM43" s="576">
        <f>BM$41*'R&amp;S - Buildings'!$M$4/SUM('R&amp;S - Buildings'!$L$4:$N$4)</f>
        <v>71676.191944211198</v>
      </c>
      <c r="BN43" s="576">
        <f>BN$41*'R&amp;S - Buildings'!$M$4/SUM('R&amp;S - Buildings'!$L$4:$N$4)</f>
        <v>70116.647318580799</v>
      </c>
    </row>
    <row r="44" spans="1:90" s="62" customFormat="1" outlineLevel="1">
      <c r="A44" s="604"/>
      <c r="B44" s="58" t="s">
        <v>1170</v>
      </c>
      <c r="C44" s="233" t="s">
        <v>1420</v>
      </c>
      <c r="D44" s="579">
        <f>D$41*'R&amp;S - Buildings'!$N$4/SUM('R&amp;S - Buildings'!$L$4:$N$4)</f>
        <v>169542.77541474818</v>
      </c>
      <c r="E44" s="579">
        <f>E$41*'R&amp;S - Buildings'!$N$4/SUM('R&amp;S - Buildings'!$L$4:$N$4)</f>
        <v>164330.66660926814</v>
      </c>
      <c r="F44" s="579">
        <f>F$41*'R&amp;S - Buildings'!$N$4/SUM('R&amp;S - Buildings'!$L$4:$N$4)</f>
        <v>159181.97279946008</v>
      </c>
      <c r="G44" s="579">
        <f>G$41*'R&amp;S - Buildings'!$N$4/SUM('R&amp;S - Buildings'!$L$4:$N$4)</f>
        <v>154096.070008165</v>
      </c>
      <c r="H44" s="579">
        <f>H$41*'R&amp;S - Buildings'!$N$4/SUM('R&amp;S - Buildings'!$L$4:$N$4)</f>
        <v>149072.33982945723</v>
      </c>
      <c r="I44" s="579">
        <f>I$41*'R&amp;S - Buildings'!$N$4/SUM('R&amp;S - Buildings'!$L$4:$N$4)</f>
        <v>144110.1693816084</v>
      </c>
      <c r="J44" s="579">
        <f>J$41*'R&amp;S - Buildings'!$N$4/SUM('R&amp;S - Buildings'!$L$4:$N$4)</f>
        <v>139208.95126043441</v>
      </c>
      <c r="K44" s="579">
        <f>K$41*'R&amp;S - Buildings'!$N$4/SUM('R&amp;S - Buildings'!$L$4:$N$4)</f>
        <v>134368.08349302236</v>
      </c>
      <c r="L44" s="579">
        <f>L$41*'R&amp;S - Buildings'!$N$4/SUM('R&amp;S - Buildings'!$L$4:$N$4)</f>
        <v>129586.96949183391</v>
      </c>
      <c r="M44" s="579">
        <f>M$41*'R&amp;S - Buildings'!$N$4/SUM('R&amp;S - Buildings'!$L$4:$N$4)</f>
        <v>124865.01800918317</v>
      </c>
      <c r="N44" s="579">
        <f>N$41*'R&amp;S - Buildings'!$N$4/SUM('R&amp;S - Buildings'!$L$4:$N$4)</f>
        <v>120201.64309208481</v>
      </c>
      <c r="O44" s="579">
        <f>O$41*'R&amp;S - Buildings'!$N$4/SUM('R&amp;S - Buildings'!$L$4:$N$4)</f>
        <v>115596.26403747058</v>
      </c>
      <c r="P44" s="579">
        <f>P$41*'R&amp;S - Buildings'!$N$4/SUM('R&amp;S - Buildings'!$L$4:$N$4)</f>
        <v>111048.30534777064</v>
      </c>
      <c r="Q44" s="579">
        <f>Q$41*'R&amp;S - Buildings'!$N$4/SUM('R&amp;S - Buildings'!$L$4:$N$4)</f>
        <v>106557.19668685696</v>
      </c>
      <c r="R44" s="579">
        <f>R$41*'R&amp;S - Buildings'!$N$4/SUM('R&amp;S - Buildings'!$L$4:$N$4)</f>
        <v>102122.37283634616</v>
      </c>
      <c r="S44" s="579">
        <f>S$41*'R&amp;S - Buildings'!$N$4/SUM('R&amp;S - Buildings'!$L$4:$N$4)</f>
        <v>97743.27365225862</v>
      </c>
      <c r="T44" s="579">
        <f>T$41*'R&amp;S - Buildings'!$N$4/SUM('R&amp;S - Buildings'!$L$4:$N$4)</f>
        <v>93419.344022031059</v>
      </c>
      <c r="U44" s="579">
        <f>U$41*'R&amp;S - Buildings'!$N$4/SUM('R&amp;S - Buildings'!$L$4:$N$4)</f>
        <v>89150.033821880148</v>
      </c>
      <c r="V44" s="579">
        <f>V$41*'R&amp;S - Buildings'!$N$4/SUM('R&amp;S - Buildings'!$L$4:$N$4)</f>
        <v>84934.797874513752</v>
      </c>
      <c r="W44" s="579">
        <f>W$41*'R&amp;S - Buildings'!$N$4/SUM('R&amp;S - Buildings'!$L$4:$N$4)</f>
        <v>80773.095907187642</v>
      </c>
      <c r="X44" s="579">
        <f>X$41*'R&amp;S - Buildings'!$N$4/SUM('R&amp;S - Buildings'!$L$4:$N$4)</f>
        <v>76664.392510104401</v>
      </c>
      <c r="Y44" s="579">
        <f>Y$41*'R&amp;S - Buildings'!$N$4/SUM('R&amp;S - Buildings'!$L$4:$N$4)</f>
        <v>72501.144353936092</v>
      </c>
      <c r="Z44" s="579">
        <f>Z$41*'R&amp;S - Buildings'!$N$4/SUM('R&amp;S - Buildings'!$L$4:$N$4)</f>
        <v>68391.30350871195</v>
      </c>
      <c r="AA44" s="579">
        <f>AA$41*'R&amp;S - Buildings'!$N$4/SUM('R&amp;S - Buildings'!$L$4:$N$4)</f>
        <v>64334.33386261508</v>
      </c>
      <c r="AB44" s="579">
        <f>AB$41*'R&amp;S - Buildings'!$N$4/SUM('R&amp;S - Buildings'!$L$4:$N$4)</f>
        <v>60329.704141061811</v>
      </c>
      <c r="AC44" s="579">
        <f>AC$41*'R&amp;S - Buildings'!$N$4/SUM('R&amp;S - Buildings'!$L$4:$N$4)</f>
        <v>56376.887865597557</v>
      </c>
      <c r="AD44" s="579">
        <f>AD$41*'R&amp;S - Buildings'!$N$4/SUM('R&amp;S - Buildings'!$L$4:$N$4)</f>
        <v>52475.363313128662</v>
      </c>
      <c r="AE44" s="579">
        <f>AE$41*'R&amp;S - Buildings'!$N$4/SUM('R&amp;S - Buildings'!$L$4:$N$4)</f>
        <v>48624.613475487793</v>
      </c>
      <c r="AF44" s="579">
        <f>AF$41*'R&amp;S - Buildings'!$N$4/SUM('R&amp;S - Buildings'!$L$4:$N$4)</f>
        <v>44824.126019329946</v>
      </c>
      <c r="AG44" s="579">
        <f>AG$41*'R&amp;S - Buildings'!$N$4/SUM('R&amp;S - Buildings'!$L$4:$N$4)</f>
        <v>41073.393246356682</v>
      </c>
      <c r="AH44" s="579">
        <f>AH$41*'R&amp;S - Buildings'!$N$4/SUM('R&amp;S - Buildings'!$L$4:$N$4)</f>
        <v>37371.912053865854</v>
      </c>
      <c r="AI44" s="579"/>
      <c r="AJ44" s="579">
        <f>AJ$41*'R&amp;S - Buildings'!$N$4/SUM('R&amp;S - Buildings'!$L$4:$N$4)</f>
        <v>169542.77541474818</v>
      </c>
      <c r="AK44" s="579">
        <f>AK$41*'R&amp;S - Buildings'!$N$4/SUM('R&amp;S - Buildings'!$L$4:$N$4)</f>
        <v>166662.02228872152</v>
      </c>
      <c r="AL44" s="579">
        <f>AL$41*'R&amp;S - Buildings'!$N$4/SUM('R&amp;S - Buildings'!$L$4:$N$4)</f>
        <v>163812.76502914631</v>
      </c>
      <c r="AM44" s="579">
        <f>AM$41*'R&amp;S - Buildings'!$N$4/SUM('R&amp;S - Buildings'!$L$4:$N$4)</f>
        <v>160994.7074179929</v>
      </c>
      <c r="AN44" s="579">
        <f>AN$41*'R&amp;S - Buildings'!$N$4/SUM('R&amp;S - Buildings'!$L$4:$N$4)</f>
        <v>158207.55581684766</v>
      </c>
      <c r="AO44" s="579">
        <f>AO$41*'R&amp;S - Buildings'!$N$4/SUM('R&amp;S - Buildings'!$L$4:$N$4)</f>
        <v>155451.01914547622</v>
      </c>
      <c r="AP44" s="579">
        <f>AP$41*'R&amp;S - Buildings'!$N$4/SUM('R&amp;S - Buildings'!$L$4:$N$4)</f>
        <v>152724.80886055966</v>
      </c>
      <c r="AQ44" s="579">
        <f>AQ$41*'R&amp;S - Buildings'!$N$4/SUM('R&amp;S - Buildings'!$L$4:$N$4)</f>
        <v>150028.63893460151</v>
      </c>
      <c r="AR44" s="579">
        <f>AR$41*'R&amp;S - Buildings'!$N$4/SUM('R&amp;S - Buildings'!$L$4:$N$4)</f>
        <v>147362.22583500508</v>
      </c>
      <c r="AS44" s="579">
        <f>AS$41*'R&amp;S - Buildings'!$N$4/SUM('R&amp;S - Buildings'!$L$4:$N$4)</f>
        <v>144725.28850331905</v>
      </c>
      <c r="AT44" s="579">
        <f>AT$41*'R&amp;S - Buildings'!$N$4/SUM('R&amp;S - Buildings'!$L$4:$N$4)</f>
        <v>142117.54833465049</v>
      </c>
      <c r="AU44" s="579">
        <f>AU$41*'R&amp;S - Buildings'!$N$4/SUM('R&amp;S - Buildings'!$L$4:$N$4)</f>
        <v>139538.72915724371</v>
      </c>
      <c r="AV44" s="579">
        <f>AV$41*'R&amp;S - Buildings'!$N$4/SUM('R&amp;S - Buildings'!$L$4:$N$4)</f>
        <v>136988.55721222356</v>
      </c>
      <c r="AW44" s="579">
        <f>AW$41*'R&amp;S - Buildings'!$N$4/SUM('R&amp;S - Buildings'!$L$4:$N$4)</f>
        <v>134466.76113350247</v>
      </c>
      <c r="AX44" s="579">
        <f>AX$41*'R&amp;S - Buildings'!$N$4/SUM('R&amp;S - Buildings'!$L$4:$N$4)</f>
        <v>131973.071927849</v>
      </c>
      <c r="AY44" s="579">
        <f>AY$41*'R&amp;S - Buildings'!$N$4/SUM('R&amp;S - Buildings'!$L$4:$N$4)</f>
        <v>129507.22295511766</v>
      </c>
      <c r="AZ44" s="579">
        <f>AZ$41*'R&amp;S - Buildings'!$N$4/SUM('R&amp;S - Buildings'!$L$4:$N$4)</f>
        <v>127068.94990863767</v>
      </c>
      <c r="BA44" s="579">
        <f>BA$41*'R&amp;S - Buildings'!$N$4/SUM('R&amp;S - Buildings'!$L$4:$N$4)</f>
        <v>124657.9907957605</v>
      </c>
      <c r="BB44" s="579">
        <f>BB$41*'R&amp;S - Buildings'!$N$4/SUM('R&amp;S - Buildings'!$L$4:$N$4)</f>
        <v>122274.08591856385</v>
      </c>
      <c r="BC44" s="579">
        <f>BC$41*'R&amp;S - Buildings'!$N$4/SUM('R&amp;S - Buildings'!$L$4:$N$4)</f>
        <v>119916.97785471193</v>
      </c>
      <c r="BD44" s="579">
        <f>BD$41*'R&amp;S - Buildings'!$N$4/SUM('R&amp;S - Buildings'!$L$4:$N$4)</f>
        <v>117586.41143846961</v>
      </c>
      <c r="BE44" s="579">
        <f>BE$41*'R&amp;S - Buildings'!$N$4/SUM('R&amp;S - Buildings'!$L$4:$N$4)</f>
        <v>115236.69961053421</v>
      </c>
      <c r="BF44" s="579">
        <f>BF$41*'R&amp;S - Buildings'!$N$4/SUM('R&amp;S - Buildings'!$L$4:$N$4)</f>
        <v>112913.64784255307</v>
      </c>
      <c r="BG44" s="579">
        <f>BG$41*'R&amp;S - Buildings'!$N$4/SUM('R&amp;S - Buildings'!$L$4:$N$4)</f>
        <v>110617.00123874329</v>
      </c>
      <c r="BH44" s="579">
        <f>BH$41*'R&amp;S - Buildings'!$N$4/SUM('R&amp;S - Buildings'!$L$4:$N$4)</f>
        <v>108346.5071438033</v>
      </c>
      <c r="BI44" s="579">
        <f>BI$41*'R&amp;S - Buildings'!$N$4/SUM('R&amp;S - Buildings'!$L$4:$N$4)</f>
        <v>106101.91512418292</v>
      </c>
      <c r="BJ44" s="579">
        <f>BJ$41*'R&amp;S - Buildings'!$N$4/SUM('R&amp;S - Buildings'!$L$4:$N$4)</f>
        <v>103882.97694950475</v>
      </c>
      <c r="BK44" s="579">
        <f>BK$41*'R&amp;S - Buildings'!$N$4/SUM('R&amp;S - Buildings'!$L$4:$N$4)</f>
        <v>101689.44657413622</v>
      </c>
      <c r="BL44" s="579">
        <f>BL$41*'R&amp;S - Buildings'!$N$4/SUM('R&amp;S - Buildings'!$L$4:$N$4)</f>
        <v>99521.080118910177</v>
      </c>
      <c r="BM44" s="579">
        <f>BM$41*'R&amp;S - Buildings'!$N$4/SUM('R&amp;S - Buildings'!$L$4:$N$4)</f>
        <v>97377.635852993815</v>
      </c>
      <c r="BN44" s="579">
        <f>BN$41*'R&amp;S - Buildings'!$N$4/SUM('R&amp;S - Buildings'!$L$4:$N$4)</f>
        <v>95258.874175903984</v>
      </c>
      <c r="BQ44" s="623"/>
      <c r="BR44" s="623"/>
      <c r="BS44" s="623"/>
      <c r="BT44" s="623"/>
      <c r="BU44" s="623"/>
      <c r="BV44" s="623"/>
      <c r="BW44" s="623"/>
      <c r="BX44" s="623"/>
      <c r="BY44" s="623"/>
      <c r="BZ44" s="623"/>
      <c r="CA44" s="623"/>
      <c r="CB44" s="623"/>
      <c r="CC44" s="623"/>
      <c r="CD44" s="623"/>
      <c r="CE44" s="623"/>
      <c r="CF44" s="623"/>
      <c r="CG44" s="623"/>
      <c r="CH44" s="623"/>
      <c r="CI44" s="623"/>
      <c r="CJ44" s="623"/>
      <c r="CK44" s="623"/>
      <c r="CL44" s="623"/>
    </row>
    <row r="45" spans="1:90" outlineLevel="1">
      <c r="A45" s="1" t="s">
        <v>261</v>
      </c>
      <c r="B45" s="54" t="s">
        <v>179</v>
      </c>
      <c r="C45" s="55" t="s">
        <v>1420</v>
      </c>
      <c r="D45" s="520">
        <f>SUM('R&amp;S - Apparel'!G4:I4)</f>
        <v>111056.034375</v>
      </c>
      <c r="E45" s="520">
        <f>D45*(1+'Demand - BTX'!$L$75)</f>
        <v>110295.78746304809</v>
      </c>
      <c r="F45" s="520">
        <f>E45*(1+'Demand - BTX'!$L$75)</f>
        <v>109540.74490915188</v>
      </c>
      <c r="G45" s="520">
        <f>F45*(1+'Demand - BTX'!$L$75)</f>
        <v>108790.8710862771</v>
      </c>
      <c r="H45" s="520">
        <f>G45*(1+'Demand - BTX'!$L$75)</f>
        <v>108046.13061127848</v>
      </c>
      <c r="I45" s="520">
        <f>H45*(1+'Demand - BTX'!$L$75)</f>
        <v>107306.48834323016</v>
      </c>
      <c r="J45" s="520">
        <f>I45*(1+'Demand - BTX'!$L$75)</f>
        <v>106571.90938176755</v>
      </c>
      <c r="K45" s="520">
        <f>J45*(1+'Demand - BTX'!$L$75)</f>
        <v>105842.35906544051</v>
      </c>
      <c r="L45" s="520">
        <f>K45*(1+'Demand - BTX'!$L$75)</f>
        <v>105117.8029700779</v>
      </c>
      <c r="M45" s="520">
        <f>L45*(1+'Demand - BTX'!$L$75)</f>
        <v>104398.20690716318</v>
      </c>
      <c r="N45" s="520">
        <f>M45*(1+'Demand - BTX'!$L$75)</f>
        <v>103683.5369222213</v>
      </c>
      <c r="O45" s="520">
        <f>N45*(1+'Demand - BTX'!$L$75)</f>
        <v>102973.75929321644</v>
      </c>
      <c r="P45" s="520">
        <f>O45*(1+'Demand - BTX'!$L$75)</f>
        <v>102268.84052896089</v>
      </c>
      <c r="Q45" s="520">
        <f>P45*(1+'Demand - BTX'!$L$75)</f>
        <v>101568.74736753474</v>
      </c>
      <c r="R45" s="520">
        <f>Q45*(1+'Demand - BTX'!$L$75)</f>
        <v>100873.4467747164</v>
      </c>
      <c r="S45" s="520">
        <f>R45*(1+'Demand - BTX'!$L$75)</f>
        <v>100182.90594242385</v>
      </c>
      <c r="T45" s="520">
        <f>S45*(1+'Demand - BTX'!$L$75)</f>
        <v>99497.092287166583</v>
      </c>
      <c r="U45" s="520">
        <f>T45*(1+'Demand - BTX'!$L$75)</f>
        <v>98815.973448508143</v>
      </c>
      <c r="V45" s="520">
        <f>U45*(1+'Demand - BTX'!$L$75)</f>
        <v>98139.517287539173</v>
      </c>
      <c r="W45" s="520">
        <f>V45*(1+'Demand - BTX'!$L$75)</f>
        <v>97467.691885360953</v>
      </c>
      <c r="X45" s="520">
        <f>W45*(1+'Demand - BTX'!$L$75)</f>
        <v>96800.465541579251</v>
      </c>
      <c r="Y45" s="520">
        <f>X45*(1+'Demand - BTX'!$L$75)</f>
        <v>96137.806772808559</v>
      </c>
      <c r="Z45" s="520">
        <f>Y45*(1+'Demand - BTX'!$L$75)</f>
        <v>95479.684311186516</v>
      </c>
      <c r="AA45" s="520">
        <f>Z45*(1+'Demand - BTX'!$L$75)</f>
        <v>94826.067102898523</v>
      </c>
      <c r="AB45" s="520">
        <f>AA45*(1+'Demand - BTX'!$L$75)</f>
        <v>94176.924306712463</v>
      </c>
      <c r="AC45" s="520">
        <f>AB45*(1+'Demand - BTX'!$L$75)</f>
        <v>93532.225292523421</v>
      </c>
      <c r="AD45" s="520">
        <f>AC45*(1+'Demand - BTX'!$L$75)</f>
        <v>92891.939639908422</v>
      </c>
      <c r="AE45" s="520">
        <f>AD45*(1+'Demand - BTX'!$L$75)</f>
        <v>92256.037136690997</v>
      </c>
      <c r="AF45" s="520">
        <f>AE45*(1+'Demand - BTX'!$L$75)</f>
        <v>91624.48777751562</v>
      </c>
      <c r="AG45" s="520">
        <f>AF45*(1+'Demand - BTX'!$L$75)</f>
        <v>90997.26176243191</v>
      </c>
      <c r="AH45" s="520">
        <f>AG45*(1+'Demand - BTX'!$L$75)</f>
        <v>90374.329495488462</v>
      </c>
      <c r="AI45" s="178"/>
      <c r="AJ45" s="520">
        <f>D45</f>
        <v>111056.034375</v>
      </c>
      <c r="AK45" s="520">
        <f>AJ45*(1+'Demand - BTX'!$L$75)</f>
        <v>110295.78746304809</v>
      </c>
      <c r="AL45" s="520">
        <f>AK45*(1+'Demand - BTX'!$L$75)</f>
        <v>109540.74490915188</v>
      </c>
      <c r="AM45" s="520">
        <f>AL45*(1+'Demand - BTX'!$L$75)</f>
        <v>108790.8710862771</v>
      </c>
      <c r="AN45" s="520">
        <f>AM45*(1+'Demand - BTX'!$L$75)</f>
        <v>108046.13061127848</v>
      </c>
      <c r="AO45" s="520">
        <f>AN45*(1+'Demand - BTX'!$L$75)</f>
        <v>107306.48834323016</v>
      </c>
      <c r="AP45" s="520">
        <f>AO45*(1+'Demand - BTX'!$L$75)</f>
        <v>106571.90938176755</v>
      </c>
      <c r="AQ45" s="520">
        <f>AP45*(1+'Demand - BTX'!$L$75)</f>
        <v>105842.35906544051</v>
      </c>
      <c r="AR45" s="520">
        <f>AQ45*(1+'Demand - BTX'!$L$75)</f>
        <v>105117.8029700779</v>
      </c>
      <c r="AS45" s="520">
        <f>AR45*(1+'Demand - BTX'!$L$75)</f>
        <v>104398.20690716318</v>
      </c>
      <c r="AT45" s="520">
        <f>AS45*(1+'Demand - BTX'!$L$75)</f>
        <v>103683.5369222213</v>
      </c>
      <c r="AU45" s="520">
        <f>AT45*(1+'Demand - BTX'!$L$75)</f>
        <v>102973.75929321644</v>
      </c>
      <c r="AV45" s="520">
        <f>AU45*(1+'Demand - BTX'!$L$75)</f>
        <v>102268.84052896089</v>
      </c>
      <c r="AW45" s="520">
        <f>AV45*(1+'Demand - BTX'!$L$75)</f>
        <v>101568.74736753474</v>
      </c>
      <c r="AX45" s="520">
        <f>AW45*(1+'Demand - BTX'!$L$75)</f>
        <v>100873.4467747164</v>
      </c>
      <c r="AY45" s="520">
        <f>AX45*(1+'Demand - BTX'!$L$75)</f>
        <v>100182.90594242385</v>
      </c>
      <c r="AZ45" s="520">
        <f>AY45*(1+'Demand - BTX'!$L$75)</f>
        <v>99497.092287166583</v>
      </c>
      <c r="BA45" s="520">
        <f>AZ45*(1+'Demand - BTX'!$L$75)</f>
        <v>98815.973448508143</v>
      </c>
      <c r="BB45" s="520">
        <f>BA45*(1+'Demand - BTX'!$L$75)</f>
        <v>98139.517287539173</v>
      </c>
      <c r="BC45" s="520">
        <f>BB45*(1+'Demand - BTX'!$L$75)</f>
        <v>97467.691885360953</v>
      </c>
      <c r="BD45" s="520">
        <f>BC45*(1+'Demand - BTX'!$L$75)</f>
        <v>96800.465541579251</v>
      </c>
      <c r="BE45" s="520">
        <f>BD45*(1+'Demand - BTX'!$L$75)</f>
        <v>96137.806772808559</v>
      </c>
      <c r="BF45" s="520">
        <f>BE45*(1+'Demand - BTX'!$L$75)</f>
        <v>95479.684311186516</v>
      </c>
      <c r="BG45" s="520">
        <f>BF45*(1+'Demand - BTX'!$L$75)</f>
        <v>94826.067102898523</v>
      </c>
      <c r="BH45" s="520">
        <f>BG45*(1+'Demand - BTX'!$L$75)</f>
        <v>94176.924306712463</v>
      </c>
      <c r="BI45" s="520">
        <f>BH45*(1+'Demand - BTX'!$L$75)</f>
        <v>93532.225292523421</v>
      </c>
      <c r="BJ45" s="520">
        <f>BI45*(1+'Demand - BTX'!$L$75)</f>
        <v>92891.939639908422</v>
      </c>
      <c r="BK45" s="520">
        <f>BJ45*(1+'Demand - BTX'!$L$75)</f>
        <v>92256.037136690997</v>
      </c>
      <c r="BL45" s="520">
        <f>BK45*(1+'Demand - BTX'!$L$75)</f>
        <v>91624.48777751562</v>
      </c>
      <c r="BM45" s="520">
        <f>BL45*(1+'Demand - BTX'!$L$75)</f>
        <v>90997.26176243191</v>
      </c>
      <c r="BN45" s="520">
        <f>BM45*(1+'Demand - BTX'!$L$75)</f>
        <v>90374.329495488462</v>
      </c>
    </row>
    <row r="46" spans="1:90" outlineLevel="1">
      <c r="B46" s="57" t="s">
        <v>201</v>
      </c>
      <c r="C46" s="50" t="s">
        <v>1420</v>
      </c>
      <c r="D46" s="99">
        <f>D45*'R&amp;S - Apparel'!$C$7*'R&amp;S - Apparel'!$B$13*'R&amp;S - Apparel'!$B$17*(D$3-$D$3)/10</f>
        <v>0</v>
      </c>
      <c r="E46" s="99">
        <f>E45*'R&amp;S - Apparel'!$C$7*'R&amp;S - Apparel'!$B$13*'R&amp;S - Apparel'!$B$17*(E$3-$D$3)/10</f>
        <v>1930.1762806033414</v>
      </c>
      <c r="F46" s="99">
        <f>F45*'R&amp;S - Apparel'!$C$7*'R&amp;S - Apparel'!$B$13*'R&amp;S - Apparel'!$B$17*(F$3-$D$3)/10</f>
        <v>3833.9260718203159</v>
      </c>
      <c r="G46" s="99">
        <f>G45*'R&amp;S - Apparel'!$C$7*'R&amp;S - Apparel'!$B$13*'R&amp;S - Apparel'!$B$17*(G$3-$D$3)/10</f>
        <v>5711.5207320295467</v>
      </c>
      <c r="H46" s="99">
        <f>H45*'R&amp;S - Apparel'!$C$7*'R&amp;S - Apparel'!$B$13*'R&amp;S - Apparel'!$B$17*(H$3-$D$3)/10</f>
        <v>7563.2291427894934</v>
      </c>
      <c r="I46" s="99">
        <f>I45*'R&amp;S - Apparel'!$C$7*'R&amp;S - Apparel'!$B$13*'R&amp;S - Apparel'!$B$17*(I$3-$D$3)/10</f>
        <v>9389.3177300326388</v>
      </c>
      <c r="J46" s="99">
        <f>J45*'R&amp;S - Apparel'!$C$7*'R&amp;S - Apparel'!$B$13*'R&amp;S - Apparel'!$B$17*(J$3-$D$3)/10</f>
        <v>11190.05048508559</v>
      </c>
      <c r="K46" s="99">
        <f>K45*'R&amp;S - Apparel'!$C$7*'R&amp;S - Apparel'!$B$13*'R&amp;S - Apparel'!$B$17*(K$3-$D$3)/10</f>
        <v>12965.688985516461</v>
      </c>
      <c r="L46" s="99">
        <f>L45*'R&amp;S - Apparel'!$C$7*'R&amp;S - Apparel'!$B$13*'R&amp;S - Apparel'!$B$17*(L$3-$D$3)/10</f>
        <v>14716.492415810906</v>
      </c>
      <c r="M46" s="99">
        <f>M45*'R&amp;S - Apparel'!$C$7*'R&amp;S - Apparel'!$B$13*'R&amp;S - Apparel'!$B$17*(M$3-$D$3)/10</f>
        <v>16442.7175878782</v>
      </c>
      <c r="N46" s="99">
        <f>N45*'R&amp;S - Apparel'!$C$7*'R&amp;S - Apparel'!$B$13*'R&amp;S - Apparel'!$B$17*(N$3-$D$3)/10</f>
        <v>18144.618961388725</v>
      </c>
      <c r="O46" s="99">
        <f>O45*'R&amp;S - Apparel'!$C$7*'R&amp;S - Apparel'!$B$13*('R&amp;S - Apparel'!$B$17+('R&amp;S - Apparel'!$B$18-'R&amp;S - Apparel'!$B$17)*(O$3-$N$3)/10)</f>
        <v>18535.27667277896</v>
      </c>
      <c r="P46" s="99">
        <f>P45*'R&amp;S - Apparel'!$C$7*'R&amp;S - Apparel'!$B$13*('R&amp;S - Apparel'!$B$17+('R&amp;S - Apparel'!$B$18-'R&amp;S - Apparel'!$B$17)*(P$3-$N$3)/10)</f>
        <v>18919.735497857764</v>
      </c>
      <c r="Q46" s="99">
        <f>Q45*'R&amp;S - Apparel'!$C$7*'R&amp;S - Apparel'!$B$13*('R&amp;S - Apparel'!$B$17+('R&amp;S - Apparel'!$B$18-'R&amp;S - Apparel'!$B$17)*(Q$3-$N$3)/10)</f>
        <v>19298.0619998316</v>
      </c>
      <c r="R46" s="99">
        <f>R45*'R&amp;S - Apparel'!$C$7*'R&amp;S - Apparel'!$B$13*('R&amp;S - Apparel'!$B$17+('R&amp;S - Apparel'!$B$18-'R&amp;S - Apparel'!$B$17)*(R$3-$N$3)/10)</f>
        <v>19670.322121069697</v>
      </c>
      <c r="S46" s="99">
        <f>S45*'R&amp;S - Apparel'!$C$7*'R&amp;S - Apparel'!$B$13*('R&amp;S - Apparel'!$B$17+('R&amp;S - Apparel'!$B$18-'R&amp;S - Apparel'!$B$17)*(S$3-$N$3)/10)</f>
        <v>20036.581188484772</v>
      </c>
      <c r="T46" s="99">
        <f>T45*'R&amp;S - Apparel'!$C$7*'R&amp;S - Apparel'!$B$13*('R&amp;S - Apparel'!$B$17+('R&amp;S - Apparel'!$B$18-'R&amp;S - Apparel'!$B$17)*(T$3-$N$3)/10)</f>
        <v>20396.903918869149</v>
      </c>
      <c r="U46" s="99">
        <f>U45*'R&amp;S - Apparel'!$C$7*'R&amp;S - Apparel'!$B$13*('R&amp;S - Apparel'!$B$17+('R&amp;S - Apparel'!$B$18-'R&amp;S - Apparel'!$B$17)*(U$3-$N$3)/10)</f>
        <v>20751.354424186709</v>
      </c>
      <c r="V46" s="99">
        <f>V45*'R&amp;S - Apparel'!$C$7*'R&amp;S - Apparel'!$B$13*('R&amp;S - Apparel'!$B$17+('R&amp;S - Apparel'!$B$18-'R&amp;S - Apparel'!$B$17)*(V$3-$N$3)/10)</f>
        <v>21099.99621682092</v>
      </c>
      <c r="W46" s="99">
        <f>W45*'R&amp;S - Apparel'!$C$7*'R&amp;S - Apparel'!$B$13*('R&amp;S - Apparel'!$B$17+('R&amp;S - Apparel'!$B$18-'R&amp;S - Apparel'!$B$17)*(W$3-$N$3)/10)</f>
        <v>21442.892214779411</v>
      </c>
      <c r="X46" s="99">
        <f>X45*'R&amp;S - Apparel'!$C$7*'R&amp;S - Apparel'!$B$13*('R&amp;S - Apparel'!$B$17+('R&amp;S - Apparel'!$B$18-'R&amp;S - Apparel'!$B$17)*(X$3-$N$3)/10)</f>
        <v>21780.104746855333</v>
      </c>
      <c r="Y46" s="99">
        <f>Y45*'R&amp;S - Apparel'!$C$7*'R&amp;S - Apparel'!$B$13*('R&amp;S - Apparel'!$B$18+('R&amp;S - Apparel'!$B$19-'R&amp;S - Apparel'!$B$18)*(Y$3-$X$3)/10)</f>
        <v>21871.351040813948</v>
      </c>
      <c r="Z46" s="99">
        <f>Z45*'R&amp;S - Apparel'!$C$7*'R&amp;S - Apparel'!$B$13*('R&amp;S - Apparel'!$B$18+('R&amp;S - Apparel'!$B$19-'R&amp;S - Apparel'!$B$18)*(Z$3-$X$3)/10)</f>
        <v>21960.327391572901</v>
      </c>
      <c r="AA46" s="99">
        <f>AA45*'R&amp;S - Apparel'!$C$7*'R&amp;S - Apparel'!$B$13*('R&amp;S - Apparel'!$B$18+('R&amp;S - Apparel'!$B$19-'R&amp;S - Apparel'!$B$18)*(AA$3-$X$3)/10)</f>
        <v>22047.060601423909</v>
      </c>
      <c r="AB46" s="99">
        <f>AB45*'R&amp;S - Apparel'!$C$7*'R&amp;S - Apparel'!$B$13*('R&amp;S - Apparel'!$B$18+('R&amp;S - Apparel'!$B$19-'R&amp;S - Apparel'!$B$18)*(AB$3-$X$3)/10)</f>
        <v>22131.577212077431</v>
      </c>
      <c r="AC46" s="99">
        <f>AC45*'R&amp;S - Apparel'!$C$7*'R&amp;S - Apparel'!$B$13*('R&amp;S - Apparel'!$B$18+('R&amp;S - Apparel'!$B$19-'R&amp;S - Apparel'!$B$18)*(AC$3-$X$3)/10)</f>
        <v>22213.903506974311</v>
      </c>
      <c r="AD46" s="99">
        <f>AD45*'R&amp;S - Apparel'!$C$7*'R&amp;S - Apparel'!$B$13*('R&amp;S - Apparel'!$B$18+('R&amp;S - Apparel'!$B$19-'R&amp;S - Apparel'!$B$18)*(AD$3-$X$3)/10)</f>
        <v>22294.065513578022</v>
      </c>
      <c r="AE46" s="99">
        <f>AE45*'R&amp;S - Apparel'!$C$7*'R&amp;S - Apparel'!$B$13*('R&amp;S - Apparel'!$B$18+('R&amp;S - Apparel'!$B$19-'R&amp;S - Apparel'!$B$18)*(AE$3-$X$3)/10)</f>
        <v>22372.089005647566</v>
      </c>
      <c r="AF46" s="99">
        <f>AF45*'R&amp;S - Apparel'!$C$7*'R&amp;S - Apparel'!$B$13*('R&amp;S - Apparel'!$B$18+('R&amp;S - Apparel'!$B$19-'R&amp;S - Apparel'!$B$18)*(AF$3-$X$3)/10)</f>
        <v>22447.999505491327</v>
      </c>
      <c r="AG46" s="99">
        <f>AG45*'R&amp;S - Apparel'!$C$7*'R&amp;S - Apparel'!$B$13*('R&amp;S - Apparel'!$B$18+('R&amp;S - Apparel'!$B$19-'R&amp;S - Apparel'!$B$18)*(AG$3-$X$3)/10)</f>
        <v>22521.822286201899</v>
      </c>
      <c r="AH46" s="99">
        <f>AH45*'R&amp;S - Apparel'!$C$7*'R&amp;S - Apparel'!$B$13*('R&amp;S - Apparel'!$B$18+('R&amp;S - Apparel'!$B$19-'R&amp;S - Apparel'!$B$18)*(AH$3-$X$3)/10)</f>
        <v>22593.582373872116</v>
      </c>
      <c r="AI46" s="178"/>
      <c r="AJ46" s="99">
        <f>AJ45*'R&amp;S - Apparel'!$C$7*'R&amp;S - Apparel'!$B$14*'R&amp;S - Apparel'!$B$17*(AJ$3-$D$3)/10</f>
        <v>0</v>
      </c>
      <c r="AK46" s="99">
        <f>AK45*'R&amp;S - Apparel'!$C$7*'R&amp;S - Apparel'!$B$14*'R&amp;S - Apparel'!$B$17*(AK$3-$D$3)/10</f>
        <v>965.08814030167071</v>
      </c>
      <c r="AL46" s="99">
        <f>AL45*'R&amp;S - Apparel'!$C$7*'R&amp;S - Apparel'!$B$14*'R&amp;S - Apparel'!$B$17*(AL$3-$D$3)/10</f>
        <v>1916.9630359101579</v>
      </c>
      <c r="AM46" s="99">
        <f>AM45*'R&amp;S - Apparel'!$C$7*'R&amp;S - Apparel'!$B$14*'R&amp;S - Apparel'!$B$17*(AM$3-$D$3)/10</f>
        <v>2855.7603660147734</v>
      </c>
      <c r="AN46" s="99">
        <f>AN45*'R&amp;S - Apparel'!$C$7*'R&amp;S - Apparel'!$B$14*'R&amp;S - Apparel'!$B$17*(AN$3-$D$3)/10</f>
        <v>3781.6145713947467</v>
      </c>
      <c r="AO46" s="99">
        <f>AO45*'R&amp;S - Apparel'!$C$7*'R&amp;S - Apparel'!$B$14*'R&amp;S - Apparel'!$B$17*(AO$3-$D$3)/10</f>
        <v>4694.6588650163194</v>
      </c>
      <c r="AP46" s="99">
        <f>AP45*'R&amp;S - Apparel'!$C$7*'R&amp;S - Apparel'!$B$14*'R&amp;S - Apparel'!$B$17*(AP$3-$D$3)/10</f>
        <v>5595.0252425427952</v>
      </c>
      <c r="AQ46" s="99">
        <f>AQ45*'R&amp;S - Apparel'!$C$7*'R&amp;S - Apparel'!$B$14*'R&amp;S - Apparel'!$B$17*(AQ$3-$D$3)/10</f>
        <v>6482.8444927582304</v>
      </c>
      <c r="AR46" s="99">
        <f>AR45*'R&amp;S - Apparel'!$C$7*'R&amp;S - Apparel'!$B$14*'R&amp;S - Apparel'!$B$17*(AR$3-$D$3)/10</f>
        <v>7358.246207905453</v>
      </c>
      <c r="AS46" s="99">
        <f>AS45*'R&amp;S - Apparel'!$C$7*'R&amp;S - Apparel'!$B$14*'R&amp;S - Apparel'!$B$17*(AS$3-$D$3)/10</f>
        <v>8221.3587939391</v>
      </c>
      <c r="AT46" s="99">
        <f>AT45*'R&amp;S - Apparel'!$C$7*'R&amp;S - Apparel'!$B$14*'R&amp;S - Apparel'!$B$17*(AT$3-$D$3)/10</f>
        <v>9072.3094806943627</v>
      </c>
      <c r="AU46" s="99">
        <f>AU45*'R&amp;S - Apparel'!$C$7*'R&amp;S - Apparel'!$B$14*('R&amp;S - Apparel'!$B$17+('R&amp;S - Apparel'!$B$18-'R&amp;S - Apparel'!$B$17)*(AU$3-$N$3)/10)</f>
        <v>9267.6383363894802</v>
      </c>
      <c r="AV46" s="99">
        <f>AV45*'R&amp;S - Apparel'!$C$7*'R&amp;S - Apparel'!$B$14*('R&amp;S - Apparel'!$B$17+('R&amp;S - Apparel'!$B$18-'R&amp;S - Apparel'!$B$17)*(AV$3-$N$3)/10)</f>
        <v>9459.8677489288821</v>
      </c>
      <c r="AW46" s="99">
        <f>AW45*'R&amp;S - Apparel'!$C$7*'R&amp;S - Apparel'!$B$14*('R&amp;S - Apparel'!$B$17+('R&amp;S - Apparel'!$B$18-'R&amp;S - Apparel'!$B$17)*(AW$3-$N$3)/10)</f>
        <v>9649.0309999157998</v>
      </c>
      <c r="AX46" s="99">
        <f>AX45*'R&amp;S - Apparel'!$C$7*'R&amp;S - Apparel'!$B$14*('R&amp;S - Apparel'!$B$17+('R&amp;S - Apparel'!$B$18-'R&amp;S - Apparel'!$B$17)*(AX$3-$N$3)/10)</f>
        <v>9835.1610605348487</v>
      </c>
      <c r="AY46" s="99">
        <f>AY45*'R&amp;S - Apparel'!$C$7*'R&amp;S - Apparel'!$B$14*('R&amp;S - Apparel'!$B$17+('R&amp;S - Apparel'!$B$18-'R&amp;S - Apparel'!$B$17)*(AY$3-$N$3)/10)</f>
        <v>10018.290594242386</v>
      </c>
      <c r="AZ46" s="99">
        <f>AZ45*'R&amp;S - Apparel'!$C$7*'R&amp;S - Apparel'!$B$14*('R&amp;S - Apparel'!$B$17+('R&amp;S - Apparel'!$B$18-'R&amp;S - Apparel'!$B$17)*(AZ$3-$N$3)/10)</f>
        <v>10198.451959434575</v>
      </c>
      <c r="BA46" s="99">
        <f>BA45*'R&amp;S - Apparel'!$C$7*'R&amp;S - Apparel'!$B$14*('R&amp;S - Apparel'!$B$17+('R&amp;S - Apparel'!$B$18-'R&amp;S - Apparel'!$B$17)*(BA$3-$N$3)/10)</f>
        <v>10375.677212093355</v>
      </c>
      <c r="BB46" s="99">
        <f>BB45*'R&amp;S - Apparel'!$C$7*'R&amp;S - Apparel'!$B$14*('R&amp;S - Apparel'!$B$17+('R&amp;S - Apparel'!$B$18-'R&amp;S - Apparel'!$B$17)*(BB$3-$N$3)/10)</f>
        <v>10549.99810841046</v>
      </c>
      <c r="BC46" s="99">
        <f>BC45*'R&amp;S - Apparel'!$C$7*'R&amp;S - Apparel'!$B$14*('R&amp;S - Apparel'!$B$17+('R&amp;S - Apparel'!$B$18-'R&amp;S - Apparel'!$B$17)*(BC$3-$N$3)/10)</f>
        <v>10721.446107389706</v>
      </c>
      <c r="BD46" s="99">
        <f>BD45*'R&amp;S - Apparel'!$C$7*'R&amp;S - Apparel'!$B$14*('R&amp;S - Apparel'!$B$17+('R&amp;S - Apparel'!$B$18-'R&amp;S - Apparel'!$B$17)*(BD$3-$N$3)/10)</f>
        <v>10890.052373427667</v>
      </c>
      <c r="BE46" s="99">
        <f>BE45*'R&amp;S - Apparel'!$C$7*'R&amp;S - Apparel'!$B$14*('R&amp;S - Apparel'!$B$18+('R&amp;S - Apparel'!$B$19-'R&amp;S - Apparel'!$B$18)*(BE$3-$X$3)/10)</f>
        <v>10935.675520406974</v>
      </c>
      <c r="BF46" s="99">
        <f>BF45*'R&amp;S - Apparel'!$C$7*'R&amp;S - Apparel'!$B$14*('R&amp;S - Apparel'!$B$18+('R&amp;S - Apparel'!$B$19-'R&amp;S - Apparel'!$B$18)*(BF$3-$X$3)/10)</f>
        <v>10980.16369578645</v>
      </c>
      <c r="BG46" s="99">
        <f>BG45*'R&amp;S - Apparel'!$C$7*'R&amp;S - Apparel'!$B$14*('R&amp;S - Apparel'!$B$18+('R&amp;S - Apparel'!$B$19-'R&amp;S - Apparel'!$B$18)*(BG$3-$X$3)/10)</f>
        <v>11023.530300711955</v>
      </c>
      <c r="BH46" s="99">
        <f>BH45*'R&amp;S - Apparel'!$C$7*'R&amp;S - Apparel'!$B$14*('R&amp;S - Apparel'!$B$18+('R&amp;S - Apparel'!$B$19-'R&amp;S - Apparel'!$B$18)*(BH$3-$X$3)/10)</f>
        <v>11065.788606038715</v>
      </c>
      <c r="BI46" s="99">
        <f>BI45*'R&amp;S - Apparel'!$C$7*'R&amp;S - Apparel'!$B$14*('R&amp;S - Apparel'!$B$18+('R&amp;S - Apparel'!$B$19-'R&amp;S - Apparel'!$B$18)*(BI$3-$X$3)/10)</f>
        <v>11106.951753487156</v>
      </c>
      <c r="BJ46" s="99">
        <f>BJ45*'R&amp;S - Apparel'!$C$7*'R&amp;S - Apparel'!$B$14*('R&amp;S - Apparel'!$B$18+('R&amp;S - Apparel'!$B$19-'R&amp;S - Apparel'!$B$18)*(BJ$3-$X$3)/10)</f>
        <v>11147.032756789011</v>
      </c>
      <c r="BK46" s="99">
        <f>BK45*'R&amp;S - Apparel'!$C$7*'R&amp;S - Apparel'!$B$14*('R&amp;S - Apparel'!$B$18+('R&amp;S - Apparel'!$B$19-'R&amp;S - Apparel'!$B$18)*(BK$3-$X$3)/10)</f>
        <v>11186.044502823783</v>
      </c>
      <c r="BL46" s="99">
        <f>BL45*'R&amp;S - Apparel'!$C$7*'R&amp;S - Apparel'!$B$14*('R&amp;S - Apparel'!$B$18+('R&amp;S - Apparel'!$B$19-'R&amp;S - Apparel'!$B$18)*(BL$3-$X$3)/10)</f>
        <v>11223.999752745663</v>
      </c>
      <c r="BM46" s="99">
        <f>BM45*'R&amp;S - Apparel'!$C$7*'R&amp;S - Apparel'!$B$14*('R&amp;S - Apparel'!$B$18+('R&amp;S - Apparel'!$B$19-'R&amp;S - Apparel'!$B$18)*(BM$3-$X$3)/10)</f>
        <v>11260.91114310095</v>
      </c>
      <c r="BN46" s="99">
        <f>BN45*'R&amp;S - Apparel'!$C$7*'R&amp;S - Apparel'!$B$14*('R&amp;S - Apparel'!$B$18+('R&amp;S - Apparel'!$B$19-'R&amp;S - Apparel'!$B$18)*(BN$3-$X$3)/10)</f>
        <v>11296.791186936058</v>
      </c>
    </row>
    <row r="47" spans="1:90" outlineLevel="1">
      <c r="B47" s="57" t="s">
        <v>205</v>
      </c>
      <c r="C47" s="50" t="s">
        <v>1420</v>
      </c>
      <c r="D47" s="99">
        <f>D45*'R&amp;S - Apparel'!$C$8*'R&amp;S - Apparel'!$B$13*'R&amp;S - Apparel'!$C$17*(D$3-$D$3)/10</f>
        <v>0</v>
      </c>
      <c r="E47" s="99">
        <f>E45*'R&amp;S - Apparel'!$C$8*'R&amp;S - Apparel'!$B$13*'R&amp;S - Apparel'!$C$17*(E$3-$D$3)/10</f>
        <v>750.01135474872706</v>
      </c>
      <c r="F47" s="99">
        <f>F45*'R&amp;S - Apparel'!$C$8*'R&amp;S - Apparel'!$B$13*'R&amp;S - Apparel'!$C$17*(F$3-$D$3)/10</f>
        <v>1489.7541307644656</v>
      </c>
      <c r="G47" s="99">
        <f>G45*'R&amp;S - Apparel'!$C$8*'R&amp;S - Apparel'!$B$13*'R&amp;S - Apparel'!$C$17*(G$3-$D$3)/10</f>
        <v>2219.3337701600531</v>
      </c>
      <c r="H47" s="99">
        <f>H45*'R&amp;S - Apparel'!$C$8*'R&amp;S - Apparel'!$B$13*'R&amp;S - Apparel'!$C$17*(H$3-$D$3)/10</f>
        <v>2938.8547526267748</v>
      </c>
      <c r="I47" s="99">
        <f>I45*'R&amp;S - Apparel'!$C$8*'R&amp;S - Apparel'!$B$13*'R&amp;S - Apparel'!$C$17*(I$3-$D$3)/10</f>
        <v>3648.4206036698256</v>
      </c>
      <c r="J47" s="99">
        <f>J45*'R&amp;S - Apparel'!$C$8*'R&amp;S - Apparel'!$B$13*'R&amp;S - Apparel'!$C$17*(J$3-$D$3)/10</f>
        <v>4348.133902776116</v>
      </c>
      <c r="K47" s="99">
        <f>K45*'R&amp;S - Apparel'!$C$8*'R&amp;S - Apparel'!$B$13*'R&amp;S - Apparel'!$C$17*(K$3-$D$3)/10</f>
        <v>5038.0962915149694</v>
      </c>
      <c r="L47" s="99">
        <f>L45*'R&amp;S - Apparel'!$C$8*'R&amp;S - Apparel'!$B$13*'R&amp;S - Apparel'!$C$17*(L$3-$D$3)/10</f>
        <v>5718.4084815722381</v>
      </c>
      <c r="M47" s="99">
        <f>M45*'R&amp;S - Apparel'!$C$8*'R&amp;S - Apparel'!$B$13*'R&amp;S - Apparel'!$C$17*(M$3-$D$3)/10</f>
        <v>6389.1702627183886</v>
      </c>
      <c r="N47" s="99">
        <f>N45*'R&amp;S - Apparel'!$C$8*'R&amp;S - Apparel'!$B$13*'R&amp;S - Apparel'!$C$17*(N$3-$D$3)/10</f>
        <v>7050.4805107110487</v>
      </c>
      <c r="O47" s="99">
        <f>O45*'R&amp;S - Apparel'!$C$8*'R&amp;S - Apparel'!$B$13*('R&amp;S - Apparel'!$C$17+('R&amp;S - Apparel'!$C$18-'R&amp;S - Apparel'!$C$17)*(O$3-$N$3)/10)</f>
        <v>8052.5479767295265</v>
      </c>
      <c r="P47" s="99">
        <f>P45*'R&amp;S - Apparel'!$C$8*'R&amp;S - Apparel'!$B$13*('R&amp;S - Apparel'!$C$17+('R&amp;S - Apparel'!$C$18-'R&amp;S - Apparel'!$C$17)*(P$3-$N$3)/10)</f>
        <v>9040.5655027601424</v>
      </c>
      <c r="Q47" s="99">
        <f>Q45*'R&amp;S - Apparel'!$C$8*'R&amp;S - Apparel'!$B$13*('R&amp;S - Apparel'!$C$17+('R&amp;S - Apparel'!$C$18-'R&amp;S - Apparel'!$C$17)*(Q$3-$N$3)/10)</f>
        <v>10014.678490438928</v>
      </c>
      <c r="R47" s="99">
        <f>R45*'R&amp;S - Apparel'!$C$8*'R&amp;S - Apparel'!$B$13*('R&amp;S - Apparel'!$C$17+('R&amp;S - Apparel'!$C$18-'R&amp;S - Apparel'!$C$17)*(R$3-$N$3)/10)</f>
        <v>10975.031009089145</v>
      </c>
      <c r="S47" s="99">
        <f>S45*'R&amp;S - Apparel'!$C$8*'R&amp;S - Apparel'!$B$13*('R&amp;S - Apparel'!$C$17+('R&amp;S - Apparel'!$C$18-'R&amp;S - Apparel'!$C$17)*(S$3-$N$3)/10)</f>
        <v>11921.765807148438</v>
      </c>
      <c r="T47" s="99">
        <f>T45*'R&amp;S - Apparel'!$C$8*'R&amp;S - Apparel'!$B$13*('R&amp;S - Apparel'!$C$17+('R&amp;S - Apparel'!$C$18-'R&amp;S - Apparel'!$C$17)*(T$3-$N$3)/10)</f>
        <v>12855.024323501924</v>
      </c>
      <c r="U47" s="99">
        <f>U45*'R&amp;S - Apparel'!$C$8*'R&amp;S - Apparel'!$B$13*('R&amp;S - Apparel'!$C$17+('R&amp;S - Apparel'!$C$18-'R&amp;S - Apparel'!$C$17)*(U$3-$N$3)/10)</f>
        <v>13774.946698722038</v>
      </c>
      <c r="V47" s="99">
        <f>V45*'R&amp;S - Apparel'!$C$8*'R&amp;S - Apparel'!$B$13*('R&amp;S - Apparel'!$C$17+('R&amp;S - Apparel'!$C$18-'R&amp;S - Apparel'!$C$17)*(V$3-$N$3)/10)</f>
        <v>14681.671786215862</v>
      </c>
      <c r="W47" s="99">
        <f>W45*'R&amp;S - Apparel'!$C$8*'R&amp;S - Apparel'!$B$13*('R&amp;S - Apparel'!$C$17+('R&amp;S - Apparel'!$C$18-'R&amp;S - Apparel'!$C$17)*(W$3-$N$3)/10)</f>
        <v>15575.337163280679</v>
      </c>
      <c r="X47" s="99">
        <f>X45*'R&amp;S - Apparel'!$C$8*'R&amp;S - Apparel'!$B$13*('R&amp;S - Apparel'!$C$17+('R&amp;S - Apparel'!$C$18-'R&amp;S - Apparel'!$C$17)*(X$3-$N$3)/10)</f>
        <v>16456.079142068473</v>
      </c>
      <c r="Y47" s="99">
        <f>Y45*'R&amp;S - Apparel'!$C$8*'R&amp;S - Apparel'!$B$13*('R&amp;S - Apparel'!$C$18+('R&amp;S - Apparel'!$C$19-'R&amp;S - Apparel'!$C$18)*(Y$3-$X$3)/10)</f>
        <v>17977.769866515202</v>
      </c>
      <c r="Z47" s="99">
        <f>Z45*'R&amp;S - Apparel'!$C$8*'R&amp;S - Apparel'!$B$13*('R&amp;S - Apparel'!$C$18+('R&amp;S - Apparel'!$C$19-'R&amp;S - Apparel'!$C$18)*(Z$3-$X$3)/10)</f>
        <v>19477.855599482049</v>
      </c>
      <c r="AA47" s="99">
        <f>AA45*'R&amp;S - Apparel'!$C$8*'R&amp;S - Apparel'!$B$13*('R&amp;S - Apparel'!$C$18+('R&amp;S - Apparel'!$C$19-'R&amp;S - Apparel'!$C$18)*(AA$3-$X$3)/10)</f>
        <v>20956.560829740574</v>
      </c>
      <c r="AB47" s="99">
        <f>AB45*'R&amp;S - Apparel'!$C$8*'R&amp;S - Apparel'!$B$13*('R&amp;S - Apparel'!$C$18+('R&amp;S - Apparel'!$C$19-'R&amp;S - Apparel'!$C$18)*(AB$3-$X$3)/10)</f>
        <v>22414.107984997565</v>
      </c>
      <c r="AC47" s="99">
        <f>AC45*'R&amp;S - Apparel'!$C$8*'R&amp;S - Apparel'!$B$13*('R&amp;S - Apparel'!$C$18+('R&amp;S - Apparel'!$C$19-'R&amp;S - Apparel'!$C$18)*(AC$3-$X$3)/10)</f>
        <v>23850.717449593474</v>
      </c>
      <c r="AD47" s="99">
        <f>AD45*'R&amp;S - Apparel'!$C$8*'R&amp;S - Apparel'!$B$13*('R&amp;S - Apparel'!$C$18+('R&amp;S - Apparel'!$C$19-'R&amp;S - Apparel'!$C$18)*(AD$3-$X$3)/10)</f>
        <v>25266.607582055094</v>
      </c>
      <c r="AE47" s="99">
        <f>AE45*'R&amp;S - Apparel'!$C$8*'R&amp;S - Apparel'!$B$13*('R&amp;S - Apparel'!$C$18+('R&amp;S - Apparel'!$C$19-'R&amp;S - Apparel'!$C$18)*(AE$3-$X$3)/10)</f>
        <v>26661.994732503699</v>
      </c>
      <c r="AF47" s="99">
        <f>AF45*'R&amp;S - Apparel'!$C$8*'R&amp;S - Apparel'!$B$13*('R&amp;S - Apparel'!$C$18+('R&amp;S - Apparel'!$C$19-'R&amp;S - Apparel'!$C$18)*(AF$3-$X$3)/10)</f>
        <v>28037.093259919784</v>
      </c>
      <c r="AG47" s="99">
        <f>AG45*'R&amp;S - Apparel'!$C$8*'R&amp;S - Apparel'!$B$13*('R&amp;S - Apparel'!$C$18+('R&amp;S - Apparel'!$C$19-'R&amp;S - Apparel'!$C$18)*(AG$3-$X$3)/10)</f>
        <v>29392.115549265509</v>
      </c>
      <c r="AH47" s="99">
        <f>AH45*'R&amp;S - Apparel'!$C$8*'R&amp;S - Apparel'!$B$13*('R&amp;S - Apparel'!$C$18+('R&amp;S - Apparel'!$C$19-'R&amp;S - Apparel'!$C$18)*(AH$3-$X$3)/10)</f>
        <v>30727.272028466079</v>
      </c>
      <c r="AI47" s="178"/>
      <c r="AJ47" s="99">
        <f>AJ45*'R&amp;S - Apparel'!$C$8*'R&amp;S - Apparel'!$B$14*'R&amp;S - Apparel'!$C$17*(AJ$3-$D$3)/10</f>
        <v>0</v>
      </c>
      <c r="AK47" s="99">
        <f>AK45*'R&amp;S - Apparel'!$C$8*'R&amp;S - Apparel'!$B$14*'R&amp;S - Apparel'!$C$17*(AK$3-$D$3)/10</f>
        <v>375.00567737436353</v>
      </c>
      <c r="AL47" s="99">
        <f>AL45*'R&amp;S - Apparel'!$C$8*'R&amp;S - Apparel'!$B$14*'R&amp;S - Apparel'!$C$17*(AL$3-$D$3)/10</f>
        <v>744.87706538223279</v>
      </c>
      <c r="AM47" s="99">
        <f>AM45*'R&amp;S - Apparel'!$C$8*'R&amp;S - Apparel'!$B$14*'R&amp;S - Apparel'!$C$17*(AM$3-$D$3)/10</f>
        <v>1109.6668850800265</v>
      </c>
      <c r="AN47" s="99">
        <f>AN45*'R&amp;S - Apparel'!$C$8*'R&amp;S - Apparel'!$B$14*'R&amp;S - Apparel'!$C$17*(AN$3-$D$3)/10</f>
        <v>1469.4273763133874</v>
      </c>
      <c r="AO47" s="99">
        <f>AO45*'R&amp;S - Apparel'!$C$8*'R&amp;S - Apparel'!$B$14*'R&amp;S - Apparel'!$C$17*(AO$3-$D$3)/10</f>
        <v>1824.2103018349128</v>
      </c>
      <c r="AP47" s="99">
        <f>AP45*'R&amp;S - Apparel'!$C$8*'R&amp;S - Apparel'!$B$14*'R&amp;S - Apparel'!$C$17*(AP$3-$D$3)/10</f>
        <v>2174.066951388058</v>
      </c>
      <c r="AQ47" s="99">
        <f>AQ45*'R&amp;S - Apparel'!$C$8*'R&amp;S - Apparel'!$B$14*'R&amp;S - Apparel'!$C$17*(AQ$3-$D$3)/10</f>
        <v>2519.0481457574847</v>
      </c>
      <c r="AR47" s="99">
        <f>AR45*'R&amp;S - Apparel'!$C$8*'R&amp;S - Apparel'!$B$14*'R&amp;S - Apparel'!$C$17*(AR$3-$D$3)/10</f>
        <v>2859.204240786119</v>
      </c>
      <c r="AS47" s="99">
        <f>AS45*'R&amp;S - Apparel'!$C$8*'R&amp;S - Apparel'!$B$14*'R&amp;S - Apparel'!$C$17*(AS$3-$D$3)/10</f>
        <v>3194.5851313591943</v>
      </c>
      <c r="AT47" s="99">
        <f>AT45*'R&amp;S - Apparel'!$C$8*'R&amp;S - Apparel'!$B$14*'R&amp;S - Apparel'!$C$17*(AT$3-$D$3)/10</f>
        <v>3525.2402553555244</v>
      </c>
      <c r="AU47" s="99">
        <f>AU45*'R&amp;S - Apparel'!$C$8*'R&amp;S - Apparel'!$B$14*('R&amp;S - Apparel'!$C$17+('R&amp;S - Apparel'!$C$18-'R&amp;S - Apparel'!$C$17)*(AU$3-$N$3)/10)</f>
        <v>4026.2739883647632</v>
      </c>
      <c r="AV47" s="99">
        <f>AV45*'R&amp;S - Apparel'!$C$8*'R&amp;S - Apparel'!$B$14*('R&amp;S - Apparel'!$C$17+('R&amp;S - Apparel'!$C$18-'R&amp;S - Apparel'!$C$17)*(AV$3-$N$3)/10)</f>
        <v>4520.2827513800712</v>
      </c>
      <c r="AW47" s="99">
        <f>AW45*'R&amp;S - Apparel'!$C$8*'R&amp;S - Apparel'!$B$14*('R&amp;S - Apparel'!$C$17+('R&amp;S - Apparel'!$C$18-'R&amp;S - Apparel'!$C$17)*(AW$3-$N$3)/10)</f>
        <v>5007.3392452194639</v>
      </c>
      <c r="AX47" s="99">
        <f>AX45*'R&amp;S - Apparel'!$C$8*'R&amp;S - Apparel'!$B$14*('R&amp;S - Apparel'!$C$17+('R&amp;S - Apparel'!$C$18-'R&amp;S - Apparel'!$C$17)*(AX$3-$N$3)/10)</f>
        <v>5487.5155045445727</v>
      </c>
      <c r="AY47" s="99">
        <f>AY45*'R&amp;S - Apparel'!$C$8*'R&amp;S - Apparel'!$B$14*('R&amp;S - Apparel'!$C$17+('R&amp;S - Apparel'!$C$18-'R&amp;S - Apparel'!$C$17)*(AY$3-$N$3)/10)</f>
        <v>5960.8829035742192</v>
      </c>
      <c r="AZ47" s="99">
        <f>AZ45*'R&amp;S - Apparel'!$C$8*'R&amp;S - Apparel'!$B$14*('R&amp;S - Apparel'!$C$17+('R&amp;S - Apparel'!$C$18-'R&amp;S - Apparel'!$C$17)*(AZ$3-$N$3)/10)</f>
        <v>6427.5121617509622</v>
      </c>
      <c r="BA47" s="99">
        <f>BA45*'R&amp;S - Apparel'!$C$8*'R&amp;S - Apparel'!$B$14*('R&amp;S - Apparel'!$C$17+('R&amp;S - Apparel'!$C$18-'R&amp;S - Apparel'!$C$17)*(BA$3-$N$3)/10)</f>
        <v>6887.4733493610192</v>
      </c>
      <c r="BB47" s="99">
        <f>BB45*'R&amp;S - Apparel'!$C$8*'R&amp;S - Apparel'!$B$14*('R&amp;S - Apparel'!$C$17+('R&amp;S - Apparel'!$C$18-'R&amp;S - Apparel'!$C$17)*(BB$3-$N$3)/10)</f>
        <v>7340.835893107931</v>
      </c>
      <c r="BC47" s="99">
        <f>BC45*'R&amp;S - Apparel'!$C$8*'R&amp;S - Apparel'!$B$14*('R&amp;S - Apparel'!$C$17+('R&amp;S - Apparel'!$C$18-'R&amp;S - Apparel'!$C$17)*(BC$3-$N$3)/10)</f>
        <v>7787.6685816403397</v>
      </c>
      <c r="BD47" s="99">
        <f>BD45*'R&amp;S - Apparel'!$C$8*'R&amp;S - Apparel'!$B$14*('R&amp;S - Apparel'!$C$17+('R&amp;S - Apparel'!$C$18-'R&amp;S - Apparel'!$C$17)*(BD$3-$N$3)/10)</f>
        <v>8228.0395710342364</v>
      </c>
      <c r="BE47" s="99">
        <f>BE45*'R&amp;S - Apparel'!$C$8*'R&amp;S - Apparel'!$B$14*('R&amp;S - Apparel'!$C$18+('R&amp;S - Apparel'!$C$19-'R&amp;S - Apparel'!$C$18)*(BE$3-$X$3)/10)</f>
        <v>8988.884933257601</v>
      </c>
      <c r="BF47" s="99">
        <f>BF45*'R&amp;S - Apparel'!$C$8*'R&amp;S - Apparel'!$B$14*('R&amp;S - Apparel'!$C$18+('R&amp;S - Apparel'!$C$19-'R&amp;S - Apparel'!$C$18)*(BF$3-$X$3)/10)</f>
        <v>9738.9277997410245</v>
      </c>
      <c r="BG47" s="99">
        <f>BG45*'R&amp;S - Apparel'!$C$8*'R&amp;S - Apparel'!$B$14*('R&amp;S - Apparel'!$C$18+('R&amp;S - Apparel'!$C$19-'R&amp;S - Apparel'!$C$18)*(BG$3-$X$3)/10)</f>
        <v>10478.280414870287</v>
      </c>
      <c r="BH47" s="99">
        <f>BH45*'R&amp;S - Apparel'!$C$8*'R&amp;S - Apparel'!$B$14*('R&amp;S - Apparel'!$C$18+('R&amp;S - Apparel'!$C$19-'R&amp;S - Apparel'!$C$18)*(BH$3-$X$3)/10)</f>
        <v>11207.053992498782</v>
      </c>
      <c r="BI47" s="99">
        <f>BI45*'R&amp;S - Apparel'!$C$8*'R&amp;S - Apparel'!$B$14*('R&amp;S - Apparel'!$C$18+('R&amp;S - Apparel'!$C$19-'R&amp;S - Apparel'!$C$18)*(BI$3-$X$3)/10)</f>
        <v>11925.358724796737</v>
      </c>
      <c r="BJ47" s="99">
        <f>BJ45*'R&amp;S - Apparel'!$C$8*'R&amp;S - Apparel'!$B$14*('R&amp;S - Apparel'!$C$18+('R&amp;S - Apparel'!$C$19-'R&amp;S - Apparel'!$C$18)*(BJ$3-$X$3)/10)</f>
        <v>12633.303791027547</v>
      </c>
      <c r="BK47" s="99">
        <f>BK45*'R&amp;S - Apparel'!$C$8*'R&amp;S - Apparel'!$B$14*('R&amp;S - Apparel'!$C$18+('R&amp;S - Apparel'!$C$19-'R&amp;S - Apparel'!$C$18)*(BK$3-$X$3)/10)</f>
        <v>13330.99736625185</v>
      </c>
      <c r="BL47" s="99">
        <f>BL45*'R&amp;S - Apparel'!$C$8*'R&amp;S - Apparel'!$B$14*('R&amp;S - Apparel'!$C$18+('R&amp;S - Apparel'!$C$19-'R&amp;S - Apparel'!$C$18)*(BL$3-$X$3)/10)</f>
        <v>14018.546629959892</v>
      </c>
      <c r="BM47" s="99">
        <f>BM45*'R&amp;S - Apparel'!$C$8*'R&amp;S - Apparel'!$B$14*('R&amp;S - Apparel'!$C$18+('R&amp;S - Apparel'!$C$19-'R&amp;S - Apparel'!$C$18)*(BM$3-$X$3)/10)</f>
        <v>14696.057774632754</v>
      </c>
      <c r="BN47" s="99">
        <f>BN45*'R&amp;S - Apparel'!$C$8*'R&amp;S - Apparel'!$B$14*('R&amp;S - Apparel'!$C$18+('R&amp;S - Apparel'!$C$19-'R&amp;S - Apparel'!$C$18)*(BN$3-$X$3)/10)</f>
        <v>15363.63601423304</v>
      </c>
    </row>
    <row r="48" spans="1:90" outlineLevel="1">
      <c r="B48" s="1" t="s">
        <v>169</v>
      </c>
      <c r="C48" s="50" t="s">
        <v>1420</v>
      </c>
      <c r="D48" s="99">
        <f>SUM(D46:D47)</f>
        <v>0</v>
      </c>
      <c r="E48" s="99">
        <f>SUM(E46:E47)</f>
        <v>2680.1876353520684</v>
      </c>
      <c r="F48" s="99">
        <f t="shared" ref="F48:AH48" si="36">SUM(F46:F47)</f>
        <v>5323.680202584781</v>
      </c>
      <c r="G48" s="99">
        <f t="shared" si="36"/>
        <v>7930.8545021895998</v>
      </c>
      <c r="H48" s="99">
        <f t="shared" si="36"/>
        <v>10502.083895416268</v>
      </c>
      <c r="I48" s="99">
        <f t="shared" si="36"/>
        <v>13037.738333702464</v>
      </c>
      <c r="J48" s="99">
        <f t="shared" si="36"/>
        <v>15538.184387861707</v>
      </c>
      <c r="K48" s="99">
        <f t="shared" si="36"/>
        <v>18003.785277031431</v>
      </c>
      <c r="L48" s="99">
        <f t="shared" si="36"/>
        <v>20434.900897383144</v>
      </c>
      <c r="M48" s="99">
        <f t="shared" si="36"/>
        <v>22831.887850596588</v>
      </c>
      <c r="N48" s="99">
        <f t="shared" si="36"/>
        <v>25195.099472099773</v>
      </c>
      <c r="O48" s="99">
        <f>SUM(O46:O47)</f>
        <v>26587.824649508486</v>
      </c>
      <c r="P48" s="99">
        <f t="shared" si="36"/>
        <v>27960.301000617907</v>
      </c>
      <c r="Q48" s="99">
        <f t="shared" si="36"/>
        <v>29312.740490270528</v>
      </c>
      <c r="R48" s="99">
        <f t="shared" si="36"/>
        <v>30645.353130158845</v>
      </c>
      <c r="S48" s="99">
        <f t="shared" si="36"/>
        <v>31958.346995633212</v>
      </c>
      <c r="T48" s="99">
        <f t="shared" si="36"/>
        <v>33251.928242371076</v>
      </c>
      <c r="U48" s="99">
        <f t="shared" si="36"/>
        <v>34526.30112290875</v>
      </c>
      <c r="V48" s="99">
        <f t="shared" si="36"/>
        <v>35781.668003036786</v>
      </c>
      <c r="W48" s="99">
        <f t="shared" si="36"/>
        <v>37018.229378060088</v>
      </c>
      <c r="X48" s="99">
        <f t="shared" si="36"/>
        <v>38236.183888923806</v>
      </c>
      <c r="Y48" s="99">
        <f t="shared" si="36"/>
        <v>39849.120907329154</v>
      </c>
      <c r="Z48" s="99">
        <f t="shared" si="36"/>
        <v>41438.18299105495</v>
      </c>
      <c r="AA48" s="99">
        <f t="shared" si="36"/>
        <v>43003.621431164487</v>
      </c>
      <c r="AB48" s="99">
        <f t="shared" si="36"/>
        <v>44545.685197074999</v>
      </c>
      <c r="AC48" s="99">
        <f t="shared" si="36"/>
        <v>46064.620956567785</v>
      </c>
      <c r="AD48" s="99">
        <f t="shared" si="36"/>
        <v>47560.673095633116</v>
      </c>
      <c r="AE48" s="99">
        <f t="shared" si="36"/>
        <v>49034.083738151268</v>
      </c>
      <c r="AF48" s="99">
        <f t="shared" si="36"/>
        <v>50485.092765411115</v>
      </c>
      <c r="AG48" s="99">
        <f t="shared" si="36"/>
        <v>51913.937835467412</v>
      </c>
      <c r="AH48" s="99">
        <f t="shared" si="36"/>
        <v>53320.854402338198</v>
      </c>
      <c r="AI48" s="178"/>
      <c r="AJ48" s="99">
        <f>SUM(AJ46:AJ47)</f>
        <v>0</v>
      </c>
      <c r="AK48" s="99">
        <f>SUM(AK46:AK47)</f>
        <v>1340.0938176760342</v>
      </c>
      <c r="AL48" s="99">
        <f t="shared" ref="AL48:AT48" si="37">SUM(AL46:AL47)</f>
        <v>2661.8401012923905</v>
      </c>
      <c r="AM48" s="99">
        <f t="shared" si="37"/>
        <v>3965.4272510947999</v>
      </c>
      <c r="AN48" s="99">
        <f t="shared" si="37"/>
        <v>5251.0419477081341</v>
      </c>
      <c r="AO48" s="99">
        <f t="shared" si="37"/>
        <v>6518.869166851232</v>
      </c>
      <c r="AP48" s="99">
        <f t="shared" si="37"/>
        <v>7769.0921939308537</v>
      </c>
      <c r="AQ48" s="99">
        <f t="shared" si="37"/>
        <v>9001.8926385157156</v>
      </c>
      <c r="AR48" s="99">
        <f t="shared" si="37"/>
        <v>10217.450448691572</v>
      </c>
      <c r="AS48" s="99">
        <f t="shared" si="37"/>
        <v>11415.943925298294</v>
      </c>
      <c r="AT48" s="99">
        <f t="shared" si="37"/>
        <v>12597.549736049887</v>
      </c>
      <c r="AU48" s="99">
        <f>SUM(AU46:AU47)</f>
        <v>13293.912324754243</v>
      </c>
      <c r="AV48" s="99">
        <f t="shared" ref="AV48:BN48" si="38">SUM(AV46:AV47)</f>
        <v>13980.150500308953</v>
      </c>
      <c r="AW48" s="99">
        <f t="shared" si="38"/>
        <v>14656.370245135264</v>
      </c>
      <c r="AX48" s="99">
        <f t="shared" si="38"/>
        <v>15322.676565079422</v>
      </c>
      <c r="AY48" s="99">
        <f t="shared" si="38"/>
        <v>15979.173497816606</v>
      </c>
      <c r="AZ48" s="99">
        <f t="shared" si="38"/>
        <v>16625.964121185538</v>
      </c>
      <c r="BA48" s="99">
        <f t="shared" si="38"/>
        <v>17263.150561454375</v>
      </c>
      <c r="BB48" s="99">
        <f t="shared" si="38"/>
        <v>17890.834001518393</v>
      </c>
      <c r="BC48" s="99">
        <f t="shared" si="38"/>
        <v>18509.114689030044</v>
      </c>
      <c r="BD48" s="99">
        <f t="shared" si="38"/>
        <v>19118.091944461903</v>
      </c>
      <c r="BE48" s="99">
        <f t="shared" si="38"/>
        <v>19924.560453664577</v>
      </c>
      <c r="BF48" s="99">
        <f t="shared" si="38"/>
        <v>20719.091495527475</v>
      </c>
      <c r="BG48" s="99">
        <f t="shared" si="38"/>
        <v>21501.810715582244</v>
      </c>
      <c r="BH48" s="99">
        <f t="shared" si="38"/>
        <v>22272.8425985375</v>
      </c>
      <c r="BI48" s="99">
        <f t="shared" si="38"/>
        <v>23032.310478283893</v>
      </c>
      <c r="BJ48" s="99">
        <f t="shared" si="38"/>
        <v>23780.336547816558</v>
      </c>
      <c r="BK48" s="99">
        <f t="shared" si="38"/>
        <v>24517.041869075634</v>
      </c>
      <c r="BL48" s="99">
        <f t="shared" si="38"/>
        <v>25242.546382705557</v>
      </c>
      <c r="BM48" s="99">
        <f t="shared" si="38"/>
        <v>25956.968917733706</v>
      </c>
      <c r="BN48" s="99">
        <f t="shared" si="38"/>
        <v>26660.427201169099</v>
      </c>
    </row>
    <row r="49" spans="1:90" outlineLevel="1">
      <c r="B49" s="1" t="s">
        <v>172</v>
      </c>
      <c r="C49" s="50" t="s">
        <v>1420</v>
      </c>
      <c r="D49" s="99">
        <f>D45*'R&amp;S - Apparel'!$C$10*'R&amp;S - Apparel'!$B$13*'R&amp;S - Apparel'!$D$17*(D$3-$D$3)/10</f>
        <v>0</v>
      </c>
      <c r="E49" s="99">
        <f>E45*'R&amp;S - Apparel'!$C$10*'R&amp;S - Apparel'!$B$13*'R&amp;S - Apparel'!$D$17*(E$3-$D$3)/10</f>
        <v>727.95219725611764</v>
      </c>
      <c r="F49" s="99">
        <f>F45*'R&amp;S - Apparel'!$C$10*'R&amp;S - Apparel'!$B$13*'R&amp;S - Apparel'!$D$17*(F$3-$D$3)/10</f>
        <v>1445.9378328008049</v>
      </c>
      <c r="G49" s="99">
        <f>G45*'R&amp;S - Apparel'!$C$10*'R&amp;S - Apparel'!$B$13*'R&amp;S - Apparel'!$D$17*(G$3-$D$3)/10</f>
        <v>2154.0592475082872</v>
      </c>
      <c r="H49" s="99">
        <f>H45*'R&amp;S - Apparel'!$C$10*'R&amp;S - Apparel'!$B$13*'R&amp;S - Apparel'!$D$17*(H$3-$D$3)/10</f>
        <v>2852.4178481377521</v>
      </c>
      <c r="I49" s="99">
        <f>I45*'R&amp;S - Apparel'!$C$10*'R&amp;S - Apparel'!$B$13*'R&amp;S - Apparel'!$D$17*(I$3-$D$3)/10</f>
        <v>3541.1141153265953</v>
      </c>
      <c r="J49" s="99">
        <f>J45*'R&amp;S - Apparel'!$C$10*'R&amp;S - Apparel'!$B$13*'R&amp;S - Apparel'!$D$17*(J$3-$D$3)/10</f>
        <v>4220.2476115179943</v>
      </c>
      <c r="K49" s="99">
        <f>K45*'R&amp;S - Apparel'!$C$10*'R&amp;S - Apparel'!$B$13*'R&amp;S - Apparel'!$D$17*(K$3-$D$3)/10</f>
        <v>4889.9169888233519</v>
      </c>
      <c r="L49" s="99">
        <f>L45*'R&amp;S - Apparel'!$C$10*'R&amp;S - Apparel'!$B$13*'R&amp;S - Apparel'!$D$17*(L$3-$D$3)/10</f>
        <v>5550.2199968201139</v>
      </c>
      <c r="M49" s="99">
        <f>M45*'R&amp;S - Apparel'!$C$10*'R&amp;S - Apparel'!$B$13*'R&amp;S - Apparel'!$D$17*(M$3-$D$3)/10</f>
        <v>6201.2534902854941</v>
      </c>
      <c r="N49" s="99">
        <f>N45*'R&amp;S - Apparel'!$C$10*'R&amp;S - Apparel'!$B$13*'R&amp;S - Apparel'!$D$17*(N$3-$D$3)/10</f>
        <v>6843.1134368666071</v>
      </c>
      <c r="O49" s="99">
        <f>O45*'R&amp;S - Apparel'!$C$10*'R&amp;S - Apparel'!$B$13*('R&amp;S - Apparel'!$D$17+('R&amp;S - Apparel'!$D$18-'R&amp;S - Apparel'!$D$17)*(O$3-$N$3)/10)</f>
        <v>7475.8949246875136</v>
      </c>
      <c r="P49" s="99">
        <f>P45*'R&amp;S - Apparel'!$C$10*'R&amp;S - Apparel'!$B$13*('R&amp;S - Apparel'!$D$17+('R&amp;S - Apparel'!$D$18-'R&amp;S - Apparel'!$D$17)*(P$3-$N$3)/10)</f>
        <v>8099.692169893704</v>
      </c>
      <c r="Q49" s="99">
        <f>Q45*'R&amp;S - Apparel'!$C$10*'R&amp;S - Apparel'!$B$13*('R&amp;S - Apparel'!$D$17+('R&amp;S - Apparel'!$D$18-'R&amp;S - Apparel'!$D$17)*(Q$3-$N$3)/10)</f>
        <v>8714.5985241344824</v>
      </c>
      <c r="R49" s="99">
        <f>R45*'R&amp;S - Apparel'!$C$10*'R&amp;S - Apparel'!$B$13*('R&amp;S - Apparel'!$D$17+('R&amp;S - Apparel'!$D$18-'R&amp;S - Apparel'!$D$17)*(R$3-$N$3)/10)</f>
        <v>9320.7064819837979</v>
      </c>
      <c r="S49" s="99">
        <f>S45*'R&amp;S - Apparel'!$C$10*'R&amp;S - Apparel'!$B$13*('R&amp;S - Apparel'!$D$17+('R&amp;S - Apparel'!$D$18-'R&amp;S - Apparel'!$D$17)*(S$3-$N$3)/10)</f>
        <v>9918.1076882999623</v>
      </c>
      <c r="T49" s="99">
        <f>T45*'R&amp;S - Apparel'!$C$10*'R&amp;S - Apparel'!$B$13*('R&amp;S - Apparel'!$D$17+('R&amp;S - Apparel'!$D$18-'R&amp;S - Apparel'!$D$17)*(T$3-$N$3)/10)</f>
        <v>10506.892945524793</v>
      </c>
      <c r="U49" s="99">
        <f>U45*'R&amp;S - Apparel'!$C$10*'R&amp;S - Apparel'!$B$13*('R&amp;S - Apparel'!$D$17+('R&amp;S - Apparel'!$D$18-'R&amp;S - Apparel'!$D$17)*(U$3-$N$3)/10)</f>
        <v>11087.152220922617</v>
      </c>
      <c r="V49" s="99">
        <f>V45*'R&amp;S - Apparel'!$C$10*'R&amp;S - Apparel'!$B$13*('R&amp;S - Apparel'!$D$17+('R&amp;S - Apparel'!$D$18-'R&amp;S - Apparel'!$D$17)*(V$3-$N$3)/10)</f>
        <v>11658.974653759657</v>
      </c>
      <c r="W49" s="99">
        <f>W45*'R&amp;S - Apparel'!$C$10*'R&amp;S - Apparel'!$B$13*('R&amp;S - Apparel'!$D$17+('R&amp;S - Apparel'!$D$18-'R&amp;S - Apparel'!$D$17)*(W$3-$N$3)/10)</f>
        <v>12222.448562424264</v>
      </c>
      <c r="X49" s="99">
        <f>X45*'R&amp;S - Apparel'!$C$10*'R&amp;S - Apparel'!$B$13*('R&amp;S - Apparel'!$D$17+('R&amp;S - Apparel'!$D$18-'R&amp;S - Apparel'!$D$17)*(X$3-$N$3)/10)</f>
        <v>12777.661451488462</v>
      </c>
      <c r="Y49" s="99">
        <f>Y45*'R&amp;S - Apparel'!$C$10*'R&amp;S - Apparel'!$B$13*('R&amp;S - Apparel'!$D$18+('R&amp;S - Apparel'!$D$19-'R&amp;S - Apparel'!$D$18)*(Y$3-$X$3)/10)</f>
        <v>13343.927580065829</v>
      </c>
      <c r="Z49" s="99">
        <f>Z45*'R&amp;S - Apparel'!$C$10*'R&amp;S - Apparel'!$B$13*('R&amp;S - Apparel'!$D$18+('R&amp;S - Apparel'!$D$19-'R&amp;S - Apparel'!$D$18)*(Z$3-$X$3)/10)</f>
        <v>13901.842035708756</v>
      </c>
      <c r="AA49" s="99">
        <f>AA45*'R&amp;S - Apparel'!$C$10*'R&amp;S - Apparel'!$B$13*('R&amp;S - Apparel'!$D$18+('R&amp;S - Apparel'!$D$19-'R&amp;S - Apparel'!$D$18)*(AA$3-$X$3)/10)</f>
        <v>14451.492626481735</v>
      </c>
      <c r="AB49" s="99">
        <f>AB45*'R&amp;S - Apparel'!$C$10*'R&amp;S - Apparel'!$B$13*('R&amp;S - Apparel'!$D$18+('R&amp;S - Apparel'!$D$19-'R&amp;S - Apparel'!$D$18)*(AB$3-$X$3)/10)</f>
        <v>14992.966349628625</v>
      </c>
      <c r="AC49" s="99">
        <f>AC45*'R&amp;S - Apparel'!$C$10*'R&amp;S - Apparel'!$B$13*('R&amp;S - Apparel'!$D$18+('R&amp;S - Apparel'!$D$19-'R&amp;S - Apparel'!$D$18)*(AC$3-$X$3)/10)</f>
        <v>15526.349398558888</v>
      </c>
      <c r="AD49" s="99">
        <f>AD45*'R&amp;S - Apparel'!$C$10*'R&amp;S - Apparel'!$B$13*('R&amp;S - Apparel'!$D$18+('R&amp;S - Apparel'!$D$19-'R&amp;S - Apparel'!$D$18)*(AD$3-$X$3)/10)</f>
        <v>16051.727169776179</v>
      </c>
      <c r="AE49" s="99">
        <f>AE45*'R&amp;S - Apparel'!$C$10*'R&amp;S - Apparel'!$B$13*('R&amp;S - Apparel'!$D$18+('R&amp;S - Apparel'!$D$19-'R&amp;S - Apparel'!$D$18)*(AE$3-$X$3)/10)</f>
        <v>16569.184269749701</v>
      </c>
      <c r="AF49" s="99">
        <f>AF45*'R&amp;S - Apparel'!$C$10*'R&amp;S - Apparel'!$B$13*('R&amp;S - Apparel'!$D$18+('R&amp;S - Apparel'!$D$19-'R&amp;S - Apparel'!$D$18)*(AF$3-$X$3)/10)</f>
        <v>17078.804521728911</v>
      </c>
      <c r="AG49" s="99">
        <f>AG45*'R&amp;S - Apparel'!$C$10*'R&amp;S - Apparel'!$B$13*('R&amp;S - Apparel'!$D$18+('R&amp;S - Apparel'!$D$19-'R&amp;S - Apparel'!$D$18)*(AG$3-$X$3)/10)</f>
        <v>17580.670972501845</v>
      </c>
      <c r="AH49" s="99">
        <f>AH45*'R&amp;S - Apparel'!$C$10*'R&amp;S - Apparel'!$B$13*('R&amp;S - Apparel'!$D$18+('R&amp;S - Apparel'!$D$19-'R&amp;S - Apparel'!$D$18)*(AH$3-$X$3)/10)</f>
        <v>18074.865899097695</v>
      </c>
      <c r="AI49" s="178"/>
      <c r="AJ49" s="99">
        <f>AJ45*'R&amp;S - Apparel'!$C$10*'R&amp;S - Apparel'!$B$14*'R&amp;S - Apparel'!$D$17*(AJ$3-$D$3)/10</f>
        <v>0</v>
      </c>
      <c r="AK49" s="99">
        <f>AK45*'R&amp;S - Apparel'!$C$10*'R&amp;S - Apparel'!$B$14*'R&amp;S - Apparel'!$D$17*(AK$3-$D$3)/10</f>
        <v>363.97609862805882</v>
      </c>
      <c r="AL49" s="99">
        <f>AL45*'R&amp;S - Apparel'!$C$10*'R&amp;S - Apparel'!$B$14*'R&amp;S - Apparel'!$D$17*(AL$3-$D$3)/10</f>
        <v>722.96891640040246</v>
      </c>
      <c r="AM49" s="99">
        <f>AM45*'R&amp;S - Apparel'!$C$10*'R&amp;S - Apparel'!$B$14*'R&amp;S - Apparel'!$D$17*(AM$3-$D$3)/10</f>
        <v>1077.0296237541436</v>
      </c>
      <c r="AN49" s="99">
        <f>AN45*'R&amp;S - Apparel'!$C$10*'R&amp;S - Apparel'!$B$14*'R&amp;S - Apparel'!$D$17*(AN$3-$D$3)/10</f>
        <v>1426.2089240688761</v>
      </c>
      <c r="AO49" s="99">
        <f>AO45*'R&amp;S - Apparel'!$C$10*'R&amp;S - Apparel'!$B$14*'R&amp;S - Apparel'!$D$17*(AO$3-$D$3)/10</f>
        <v>1770.5570576632977</v>
      </c>
      <c r="AP49" s="99">
        <f>AP45*'R&amp;S - Apparel'!$C$10*'R&amp;S - Apparel'!$B$14*'R&amp;S - Apparel'!$D$17*(AP$3-$D$3)/10</f>
        <v>2110.1238057589972</v>
      </c>
      <c r="AQ49" s="99">
        <f>AQ45*'R&amp;S - Apparel'!$C$10*'R&amp;S - Apparel'!$B$14*'R&amp;S - Apparel'!$D$17*(AQ$3-$D$3)/10</f>
        <v>2444.9584944116759</v>
      </c>
      <c r="AR49" s="99">
        <f>AR45*'R&amp;S - Apparel'!$C$10*'R&amp;S - Apparel'!$B$14*'R&amp;S - Apparel'!$D$17*(AR$3-$D$3)/10</f>
        <v>2775.109998410057</v>
      </c>
      <c r="AS49" s="99">
        <f>AS45*'R&amp;S - Apparel'!$C$10*'R&amp;S - Apparel'!$B$14*'R&amp;S - Apparel'!$D$17*(AS$3-$D$3)/10</f>
        <v>3100.626745142747</v>
      </c>
      <c r="AT49" s="99">
        <f>AT45*'R&amp;S - Apparel'!$C$10*'R&amp;S - Apparel'!$B$14*'R&amp;S - Apparel'!$D$17*(AT$3-$D$3)/10</f>
        <v>3421.5567184333036</v>
      </c>
      <c r="AU49" s="99">
        <f>AU45*'R&amp;S - Apparel'!$C$10*'R&amp;S - Apparel'!$B$14*('R&amp;S - Apparel'!$D$17+('R&amp;S - Apparel'!$D$18-'R&amp;S - Apparel'!$D$17)*(AU$3-$N$3)/10)</f>
        <v>3737.9474623437568</v>
      </c>
      <c r="AV49" s="99">
        <f>AV45*'R&amp;S - Apparel'!$C$10*'R&amp;S - Apparel'!$B$14*('R&amp;S - Apparel'!$D$17+('R&amp;S - Apparel'!$D$18-'R&amp;S - Apparel'!$D$17)*(AV$3-$N$3)/10)</f>
        <v>4049.846084946852</v>
      </c>
      <c r="AW49" s="99">
        <f>AW45*'R&amp;S - Apparel'!$C$10*'R&amp;S - Apparel'!$B$14*('R&amp;S - Apparel'!$D$17+('R&amp;S - Apparel'!$D$18-'R&amp;S - Apparel'!$D$17)*(AW$3-$N$3)/10)</f>
        <v>4357.2992620672412</v>
      </c>
      <c r="AX49" s="99">
        <f>AX45*'R&amp;S - Apparel'!$C$10*'R&amp;S - Apparel'!$B$14*('R&amp;S - Apparel'!$D$17+('R&amp;S - Apparel'!$D$18-'R&amp;S - Apparel'!$D$17)*(AX$3-$N$3)/10)</f>
        <v>4660.3532409918989</v>
      </c>
      <c r="AY49" s="99">
        <f>AY45*'R&amp;S - Apparel'!$C$10*'R&amp;S - Apparel'!$B$14*('R&amp;S - Apparel'!$D$17+('R&amp;S - Apparel'!$D$18-'R&amp;S - Apparel'!$D$17)*(AY$3-$N$3)/10)</f>
        <v>4959.0538441499812</v>
      </c>
      <c r="AZ49" s="99">
        <f>AZ45*'R&amp;S - Apparel'!$C$10*'R&amp;S - Apparel'!$B$14*('R&amp;S - Apparel'!$D$17+('R&amp;S - Apparel'!$D$18-'R&amp;S - Apparel'!$D$17)*(AZ$3-$N$3)/10)</f>
        <v>5253.4464727623963</v>
      </c>
      <c r="BA49" s="99">
        <f>BA45*'R&amp;S - Apparel'!$C$10*'R&amp;S - Apparel'!$B$14*('R&amp;S - Apparel'!$D$17+('R&amp;S - Apparel'!$D$18-'R&amp;S - Apparel'!$D$17)*(BA$3-$N$3)/10)</f>
        <v>5543.5761104613084</v>
      </c>
      <c r="BB49" s="99">
        <f>BB45*'R&amp;S - Apparel'!$C$10*'R&amp;S - Apparel'!$B$14*('R&amp;S - Apparel'!$D$17+('R&amp;S - Apparel'!$D$18-'R&amp;S - Apparel'!$D$17)*(BB$3-$N$3)/10)</f>
        <v>5829.4873268798283</v>
      </c>
      <c r="BC49" s="99">
        <f>BC45*'R&amp;S - Apparel'!$C$10*'R&amp;S - Apparel'!$B$14*('R&amp;S - Apparel'!$D$17+('R&amp;S - Apparel'!$D$18-'R&amp;S - Apparel'!$D$17)*(BC$3-$N$3)/10)</f>
        <v>6111.2242812121322</v>
      </c>
      <c r="BD49" s="99">
        <f>BD45*'R&amp;S - Apparel'!$C$10*'R&amp;S - Apparel'!$B$14*('R&amp;S - Apparel'!$D$17+('R&amp;S - Apparel'!$D$18-'R&amp;S - Apparel'!$D$17)*(BD$3-$N$3)/10)</f>
        <v>6388.8307257442311</v>
      </c>
      <c r="BE49" s="99">
        <f>BE45*'R&amp;S - Apparel'!$C$10*'R&amp;S - Apparel'!$B$14*('R&amp;S - Apparel'!$D$18+('R&amp;S - Apparel'!$D$19-'R&amp;S - Apparel'!$D$18)*(BE$3-$X$3)/10)</f>
        <v>6671.9637900329144</v>
      </c>
      <c r="BF49" s="99">
        <f>BF45*'R&amp;S - Apparel'!$C$10*'R&amp;S - Apparel'!$B$14*('R&amp;S - Apparel'!$D$18+('R&amp;S - Apparel'!$D$19-'R&amp;S - Apparel'!$D$18)*(BF$3-$X$3)/10)</f>
        <v>6950.9210178543781</v>
      </c>
      <c r="BG49" s="99">
        <f>BG45*'R&amp;S - Apparel'!$C$10*'R&amp;S - Apparel'!$B$14*('R&amp;S - Apparel'!$D$18+('R&amp;S - Apparel'!$D$19-'R&amp;S - Apparel'!$D$18)*(BG$3-$X$3)/10)</f>
        <v>7225.7463132408675</v>
      </c>
      <c r="BH49" s="99">
        <f>BH45*'R&amp;S - Apparel'!$C$10*'R&amp;S - Apparel'!$B$14*('R&amp;S - Apparel'!$D$18+('R&amp;S - Apparel'!$D$19-'R&amp;S - Apparel'!$D$18)*(BH$3-$X$3)/10)</f>
        <v>7496.4831748143124</v>
      </c>
      <c r="BI49" s="99">
        <f>BI45*'R&amp;S - Apparel'!$C$10*'R&amp;S - Apparel'!$B$14*('R&amp;S - Apparel'!$D$18+('R&amp;S - Apparel'!$D$19-'R&amp;S - Apparel'!$D$18)*(BI$3-$X$3)/10)</f>
        <v>7763.1746992794442</v>
      </c>
      <c r="BJ49" s="99">
        <f>BJ45*'R&amp;S - Apparel'!$C$10*'R&amp;S - Apparel'!$B$14*('R&amp;S - Apparel'!$D$18+('R&amp;S - Apparel'!$D$19-'R&amp;S - Apparel'!$D$18)*(BJ$3-$X$3)/10)</f>
        <v>8025.8635848880895</v>
      </c>
      <c r="BK49" s="99">
        <f>BK45*'R&amp;S - Apparel'!$C$10*'R&amp;S - Apparel'!$B$14*('R&amp;S - Apparel'!$D$18+('R&amp;S - Apparel'!$D$19-'R&amp;S - Apparel'!$D$18)*(BK$3-$X$3)/10)</f>
        <v>8284.5921348748507</v>
      </c>
      <c r="BL49" s="99">
        <f>BL45*'R&amp;S - Apparel'!$C$10*'R&amp;S - Apparel'!$B$14*('R&amp;S - Apparel'!$D$18+('R&amp;S - Apparel'!$D$19-'R&amp;S - Apparel'!$D$18)*(BL$3-$X$3)/10)</f>
        <v>8539.4022608644555</v>
      </c>
      <c r="BM49" s="99">
        <f>BM45*'R&amp;S - Apparel'!$C$10*'R&amp;S - Apparel'!$B$14*('R&amp;S - Apparel'!$D$18+('R&amp;S - Apparel'!$D$19-'R&amp;S - Apparel'!$D$18)*(BM$3-$X$3)/10)</f>
        <v>8790.3354862509223</v>
      </c>
      <c r="BN49" s="99">
        <f>BN45*'R&amp;S - Apparel'!$C$10*'R&amp;S - Apparel'!$B$14*('R&amp;S - Apparel'!$D$18+('R&amp;S - Apparel'!$D$19-'R&amp;S - Apparel'!$D$18)*(BN$3-$X$3)/10)</f>
        <v>9037.4329495488473</v>
      </c>
    </row>
    <row r="50" spans="1:90" outlineLevel="1">
      <c r="B50" s="1" t="s">
        <v>200</v>
      </c>
      <c r="C50" s="50" t="s">
        <v>1420</v>
      </c>
      <c r="D50" s="520">
        <f>D45-D48-D49</f>
        <v>111056.034375</v>
      </c>
      <c r="E50" s="520">
        <f t="shared" ref="E50:AG50" si="39">E45-E48-E49</f>
        <v>106887.64763043991</v>
      </c>
      <c r="F50" s="520">
        <f t="shared" si="39"/>
        <v>102771.12687376629</v>
      </c>
      <c r="G50" s="520">
        <f t="shared" si="39"/>
        <v>98705.957336579217</v>
      </c>
      <c r="H50" s="520">
        <f t="shared" si="39"/>
        <v>94691.628867724459</v>
      </c>
      <c r="I50" s="520">
        <f t="shared" si="39"/>
        <v>90727.635894201099</v>
      </c>
      <c r="J50" s="520">
        <f t="shared" si="39"/>
        <v>86813.47738238785</v>
      </c>
      <c r="K50" s="520">
        <f t="shared" si="39"/>
        <v>82948.656799585733</v>
      </c>
      <c r="L50" s="520">
        <f t="shared" si="39"/>
        <v>79132.682075874647</v>
      </c>
      <c r="M50" s="520">
        <f t="shared" si="39"/>
        <v>75365.065566281104</v>
      </c>
      <c r="N50" s="520">
        <f t="shared" si="39"/>
        <v>71645.324013254925</v>
      </c>
      <c r="O50" s="520">
        <f t="shared" si="39"/>
        <v>68910.039719020438</v>
      </c>
      <c r="P50" s="520">
        <f t="shared" si="39"/>
        <v>66208.847358449275</v>
      </c>
      <c r="Q50" s="520">
        <f t="shared" si="39"/>
        <v>63541.408353129729</v>
      </c>
      <c r="R50" s="520">
        <f t="shared" si="39"/>
        <v>60907.387162573752</v>
      </c>
      <c r="S50" s="520">
        <f t="shared" si="39"/>
        <v>58306.451258490677</v>
      </c>
      <c r="T50" s="520">
        <f t="shared" si="39"/>
        <v>55738.271099270707</v>
      </c>
      <c r="U50" s="520">
        <f t="shared" si="39"/>
        <v>53202.520104676776</v>
      </c>
      <c r="V50" s="520">
        <f t="shared" si="39"/>
        <v>50698.874630742728</v>
      </c>
      <c r="W50" s="520">
        <f t="shared" si="39"/>
        <v>48227.013944876599</v>
      </c>
      <c r="X50" s="520">
        <f t="shared" si="39"/>
        <v>45786.620201166981</v>
      </c>
      <c r="Y50" s="520">
        <f t="shared" si="39"/>
        <v>42944.758285413576</v>
      </c>
      <c r="Z50" s="520">
        <f t="shared" si="39"/>
        <v>40139.659284422814</v>
      </c>
      <c r="AA50" s="520">
        <f t="shared" si="39"/>
        <v>37370.953045252303</v>
      </c>
      <c r="AB50" s="520">
        <f t="shared" si="39"/>
        <v>34638.27276000884</v>
      </c>
      <c r="AC50" s="520">
        <f t="shared" si="39"/>
        <v>31941.254937396749</v>
      </c>
      <c r="AD50" s="520">
        <f t="shared" si="39"/>
        <v>29279.539374499127</v>
      </c>
      <c r="AE50" s="520">
        <f t="shared" si="39"/>
        <v>26652.769128790027</v>
      </c>
      <c r="AF50" s="520">
        <f t="shared" si="39"/>
        <v>24060.590490375595</v>
      </c>
      <c r="AG50" s="520">
        <f t="shared" si="39"/>
        <v>21502.652954462654</v>
      </c>
      <c r="AH50" s="520">
        <f>AH45-AH48-AH49</f>
        <v>18978.609194052569</v>
      </c>
      <c r="AI50" s="178"/>
      <c r="AJ50" s="520">
        <f>AJ45-AJ48-AJ49</f>
        <v>111056.034375</v>
      </c>
      <c r="AK50" s="520">
        <f t="shared" ref="AK50:BM50" si="40">AK45-AK48-AK49</f>
        <v>108591.717546744</v>
      </c>
      <c r="AL50" s="520">
        <f t="shared" si="40"/>
        <v>106155.93589145908</v>
      </c>
      <c r="AM50" s="520">
        <f t="shared" si="40"/>
        <v>103748.41421142814</v>
      </c>
      <c r="AN50" s="520">
        <f t="shared" si="40"/>
        <v>101368.87973950147</v>
      </c>
      <c r="AO50" s="520">
        <f t="shared" si="40"/>
        <v>99017.062118715621</v>
      </c>
      <c r="AP50" s="520">
        <f t="shared" si="40"/>
        <v>96692.69338207769</v>
      </c>
      <c r="AQ50" s="520">
        <f t="shared" si="40"/>
        <v>94395.507932513123</v>
      </c>
      <c r="AR50" s="520">
        <f t="shared" si="40"/>
        <v>92125.242522976274</v>
      </c>
      <c r="AS50" s="520">
        <f t="shared" si="40"/>
        <v>89881.636236722145</v>
      </c>
      <c r="AT50" s="520">
        <f t="shared" si="40"/>
        <v>87664.430467738115</v>
      </c>
      <c r="AU50" s="520">
        <f t="shared" si="40"/>
        <v>85941.89950611844</v>
      </c>
      <c r="AV50" s="520">
        <f t="shared" si="40"/>
        <v>84238.843943705084</v>
      </c>
      <c r="AW50" s="520">
        <f t="shared" si="40"/>
        <v>82555.07786033224</v>
      </c>
      <c r="AX50" s="520">
        <f t="shared" si="40"/>
        <v>80890.416968645077</v>
      </c>
      <c r="AY50" s="520">
        <f t="shared" si="40"/>
        <v>79244.678600457264</v>
      </c>
      <c r="AZ50" s="520">
        <f t="shared" si="40"/>
        <v>77617.681693218648</v>
      </c>
      <c r="BA50" s="520">
        <f t="shared" si="40"/>
        <v>76009.246776592467</v>
      </c>
      <c r="BB50" s="520">
        <f t="shared" si="40"/>
        <v>74419.195959140954</v>
      </c>
      <c r="BC50" s="520">
        <f t="shared" si="40"/>
        <v>72847.352915118783</v>
      </c>
      <c r="BD50" s="520">
        <f t="shared" si="40"/>
        <v>71293.542871373109</v>
      </c>
      <c r="BE50" s="520">
        <f t="shared" si="40"/>
        <v>69541.282529111064</v>
      </c>
      <c r="BF50" s="520">
        <f t="shared" si="40"/>
        <v>67809.671797804665</v>
      </c>
      <c r="BG50" s="520">
        <f t="shared" si="40"/>
        <v>66098.510074075399</v>
      </c>
      <c r="BH50" s="520">
        <f t="shared" si="40"/>
        <v>64407.598533360644</v>
      </c>
      <c r="BI50" s="520">
        <f t="shared" si="40"/>
        <v>62736.740114960085</v>
      </c>
      <c r="BJ50" s="520">
        <f t="shared" si="40"/>
        <v>61085.739507203769</v>
      </c>
      <c r="BK50" s="520">
        <f t="shared" si="40"/>
        <v>59454.40313274051</v>
      </c>
      <c r="BL50" s="520">
        <f t="shared" si="40"/>
        <v>57842.539133945611</v>
      </c>
      <c r="BM50" s="520">
        <f t="shared" si="40"/>
        <v>56249.957358447282</v>
      </c>
      <c r="BN50" s="520">
        <f>BN45-BN48-BN49</f>
        <v>54676.469344770514</v>
      </c>
    </row>
    <row r="51" spans="1:90" s="61" customFormat="1" outlineLevel="1">
      <c r="A51" s="602"/>
      <c r="B51" s="54" t="s">
        <v>88</v>
      </c>
      <c r="C51" s="55" t="s">
        <v>1420</v>
      </c>
      <c r="D51" s="580">
        <f>D$50*'R&amp;S - Apparel'!$G$4/SUM('R&amp;S - Apparel'!$G$4:$I$4)</f>
        <v>0</v>
      </c>
      <c r="E51" s="580">
        <f>E$50*'R&amp;S - Apparel'!$G$4/SUM('R&amp;S - Apparel'!$G$4:$I$4)</f>
        <v>0</v>
      </c>
      <c r="F51" s="580">
        <f>F$50*'R&amp;S - Apparel'!$G$4/SUM('R&amp;S - Apparel'!$G$4:$I$4)</f>
        <v>0</v>
      </c>
      <c r="G51" s="580">
        <f>G$50*'R&amp;S - Apparel'!$G$4/SUM('R&amp;S - Apparel'!$G$4:$I$4)</f>
        <v>0</v>
      </c>
      <c r="H51" s="580">
        <f>H$50*'R&amp;S - Apparel'!$G$4/SUM('R&amp;S - Apparel'!$G$4:$I$4)</f>
        <v>0</v>
      </c>
      <c r="I51" s="580">
        <f>I$50*'R&amp;S - Apparel'!$G$4/SUM('R&amp;S - Apparel'!$G$4:$I$4)</f>
        <v>0</v>
      </c>
      <c r="J51" s="580">
        <f>J$50*'R&amp;S - Apparel'!$G$4/SUM('R&amp;S - Apparel'!$G$4:$I$4)</f>
        <v>0</v>
      </c>
      <c r="K51" s="580">
        <f>K$50*'R&amp;S - Apparel'!$G$4/SUM('R&amp;S - Apparel'!$G$4:$I$4)</f>
        <v>0</v>
      </c>
      <c r="L51" s="580">
        <f>L$50*'R&amp;S - Apparel'!$G$4/SUM('R&amp;S - Apparel'!$G$4:$I$4)</f>
        <v>0</v>
      </c>
      <c r="M51" s="580">
        <f>M$50*'R&amp;S - Apparel'!$G$4/SUM('R&amp;S - Apparel'!$G$4:$I$4)</f>
        <v>0</v>
      </c>
      <c r="N51" s="580">
        <f>N$50*'R&amp;S - Apparel'!$G$4/SUM('R&amp;S - Apparel'!$G$4:$I$4)</f>
        <v>0</v>
      </c>
      <c r="O51" s="580">
        <f>O$50*'R&amp;S - Apparel'!$G$4/SUM('R&amp;S - Apparel'!$G$4:$I$4)</f>
        <v>0</v>
      </c>
      <c r="P51" s="580">
        <f>P$50*'R&amp;S - Apparel'!$G$4/SUM('R&amp;S - Apparel'!$G$4:$I$4)</f>
        <v>0</v>
      </c>
      <c r="Q51" s="580">
        <f>Q$50*'R&amp;S - Apparel'!$G$4/SUM('R&amp;S - Apparel'!$G$4:$I$4)</f>
        <v>0</v>
      </c>
      <c r="R51" s="580">
        <f>R$50*'R&amp;S - Apparel'!$G$4/SUM('R&amp;S - Apparel'!$G$4:$I$4)</f>
        <v>0</v>
      </c>
      <c r="S51" s="580">
        <f>S$50*'R&amp;S - Apparel'!$G$4/SUM('R&amp;S - Apparel'!$G$4:$I$4)</f>
        <v>0</v>
      </c>
      <c r="T51" s="580">
        <f>T$50*'R&amp;S - Apparel'!$G$4/SUM('R&amp;S - Apparel'!$G$4:$I$4)</f>
        <v>0</v>
      </c>
      <c r="U51" s="580">
        <f>U$50*'R&amp;S - Apparel'!$G$4/SUM('R&amp;S - Apparel'!$G$4:$I$4)</f>
        <v>0</v>
      </c>
      <c r="V51" s="580">
        <f>V$50*'R&amp;S - Apparel'!$G$4/SUM('R&amp;S - Apparel'!$G$4:$I$4)</f>
        <v>0</v>
      </c>
      <c r="W51" s="580">
        <f>W$50*'R&amp;S - Apparel'!$G$4/SUM('R&amp;S - Apparel'!$G$4:$I$4)</f>
        <v>0</v>
      </c>
      <c r="X51" s="580">
        <f>X$50*'R&amp;S - Apparel'!$G$4/SUM('R&amp;S - Apparel'!$G$4:$I$4)</f>
        <v>0</v>
      </c>
      <c r="Y51" s="580">
        <f>Y$50*'R&amp;S - Apparel'!$G$4/SUM('R&amp;S - Apparel'!$G$4:$I$4)</f>
        <v>0</v>
      </c>
      <c r="Z51" s="580">
        <f>Z$50*'R&amp;S - Apparel'!$G$4/SUM('R&amp;S - Apparel'!$G$4:$I$4)</f>
        <v>0</v>
      </c>
      <c r="AA51" s="580">
        <f>AA$50*'R&amp;S - Apparel'!$G$4/SUM('R&amp;S - Apparel'!$G$4:$I$4)</f>
        <v>0</v>
      </c>
      <c r="AB51" s="580">
        <f>AB$50*'R&amp;S - Apparel'!$G$4/SUM('R&amp;S - Apparel'!$G$4:$I$4)</f>
        <v>0</v>
      </c>
      <c r="AC51" s="580">
        <f>AC$50*'R&amp;S - Apparel'!$G$4/SUM('R&amp;S - Apparel'!$G$4:$I$4)</f>
        <v>0</v>
      </c>
      <c r="AD51" s="580">
        <f>AD$50*'R&amp;S - Apparel'!$G$4/SUM('R&amp;S - Apparel'!$G$4:$I$4)</f>
        <v>0</v>
      </c>
      <c r="AE51" s="580">
        <f>AE$50*'R&amp;S - Apparel'!$G$4/SUM('R&amp;S - Apparel'!$G$4:$I$4)</f>
        <v>0</v>
      </c>
      <c r="AF51" s="580">
        <f>AF$50*'R&amp;S - Apparel'!$G$4/SUM('R&amp;S - Apparel'!$G$4:$I$4)</f>
        <v>0</v>
      </c>
      <c r="AG51" s="580">
        <f>AG$50*'R&amp;S - Apparel'!$G$4/SUM('R&amp;S - Apparel'!$G$4:$I$4)</f>
        <v>0</v>
      </c>
      <c r="AH51" s="580">
        <f>AH$50*'R&amp;S - Apparel'!$G$4/SUM('R&amp;S - Apparel'!$G$4:$I$4)</f>
        <v>0</v>
      </c>
      <c r="AI51" s="580"/>
      <c r="AJ51" s="580">
        <f>AJ$50*'R&amp;S - Apparel'!$G$4/SUM('R&amp;S - Apparel'!$G$4:$I$4)</f>
        <v>0</v>
      </c>
      <c r="AK51" s="580">
        <f>AK$50*'R&amp;S - Apparel'!$G$4/SUM('R&amp;S - Apparel'!$G$4:$I$4)</f>
        <v>0</v>
      </c>
      <c r="AL51" s="580">
        <f>AL$50*'R&amp;S - Apparel'!$G$4/SUM('R&amp;S - Apparel'!$G$4:$I$4)</f>
        <v>0</v>
      </c>
      <c r="AM51" s="580">
        <f>AM$50*'R&amp;S - Apparel'!$G$4/SUM('R&amp;S - Apparel'!$G$4:$I$4)</f>
        <v>0</v>
      </c>
      <c r="AN51" s="580">
        <f>AN$50*'R&amp;S - Apparel'!$G$4/SUM('R&amp;S - Apparel'!$G$4:$I$4)</f>
        <v>0</v>
      </c>
      <c r="AO51" s="580">
        <f>AO$50*'R&amp;S - Apparel'!$G$4/SUM('R&amp;S - Apparel'!$G$4:$I$4)</f>
        <v>0</v>
      </c>
      <c r="AP51" s="580">
        <f>AP$50*'R&amp;S - Apparel'!$G$4/SUM('R&amp;S - Apparel'!$G$4:$I$4)</f>
        <v>0</v>
      </c>
      <c r="AQ51" s="580">
        <f>AQ$50*'R&amp;S - Apparel'!$G$4/SUM('R&amp;S - Apparel'!$G$4:$I$4)</f>
        <v>0</v>
      </c>
      <c r="AR51" s="580">
        <f>AR$50*'R&amp;S - Apparel'!$G$4/SUM('R&amp;S - Apparel'!$G$4:$I$4)</f>
        <v>0</v>
      </c>
      <c r="AS51" s="580">
        <f>AS$50*'R&amp;S - Apparel'!$G$4/SUM('R&amp;S - Apparel'!$G$4:$I$4)</f>
        <v>0</v>
      </c>
      <c r="AT51" s="580">
        <f>AT$50*'R&amp;S - Apparel'!$G$4/SUM('R&amp;S - Apparel'!$G$4:$I$4)</f>
        <v>0</v>
      </c>
      <c r="AU51" s="580">
        <f>AU$50*'R&amp;S - Apparel'!$G$4/SUM('R&amp;S - Apparel'!$G$4:$I$4)</f>
        <v>0</v>
      </c>
      <c r="AV51" s="580">
        <f>AV$50*'R&amp;S - Apparel'!$G$4/SUM('R&amp;S - Apparel'!$G$4:$I$4)</f>
        <v>0</v>
      </c>
      <c r="AW51" s="580">
        <f>AW$50*'R&amp;S - Apparel'!$G$4/SUM('R&amp;S - Apparel'!$G$4:$I$4)</f>
        <v>0</v>
      </c>
      <c r="AX51" s="580">
        <f>AX$50*'R&amp;S - Apparel'!$G$4/SUM('R&amp;S - Apparel'!$G$4:$I$4)</f>
        <v>0</v>
      </c>
      <c r="AY51" s="580">
        <f>AY$50*'R&amp;S - Apparel'!$G$4/SUM('R&amp;S - Apparel'!$G$4:$I$4)</f>
        <v>0</v>
      </c>
      <c r="AZ51" s="580">
        <f>AZ$50*'R&amp;S - Apparel'!$G$4/SUM('R&amp;S - Apparel'!$G$4:$I$4)</f>
        <v>0</v>
      </c>
      <c r="BA51" s="580">
        <f>BA$50*'R&amp;S - Apparel'!$G$4/SUM('R&amp;S - Apparel'!$G$4:$I$4)</f>
        <v>0</v>
      </c>
      <c r="BB51" s="580">
        <f>BB$50*'R&amp;S - Apparel'!$G$4/SUM('R&amp;S - Apparel'!$G$4:$I$4)</f>
        <v>0</v>
      </c>
      <c r="BC51" s="580">
        <f>BC$50*'R&amp;S - Apparel'!$G$4/SUM('R&amp;S - Apparel'!$G$4:$I$4)</f>
        <v>0</v>
      </c>
      <c r="BD51" s="580">
        <f>BD$50*'R&amp;S - Apparel'!$G$4/SUM('R&amp;S - Apparel'!$G$4:$I$4)</f>
        <v>0</v>
      </c>
      <c r="BE51" s="580">
        <f>BE$50*'R&amp;S - Apparel'!$G$4/SUM('R&amp;S - Apparel'!$G$4:$I$4)</f>
        <v>0</v>
      </c>
      <c r="BF51" s="580">
        <f>BF$50*'R&amp;S - Apparel'!$G$4/SUM('R&amp;S - Apparel'!$G$4:$I$4)</f>
        <v>0</v>
      </c>
      <c r="BG51" s="580">
        <f>BG$50*'R&amp;S - Apparel'!$G$4/SUM('R&amp;S - Apparel'!$G$4:$I$4)</f>
        <v>0</v>
      </c>
      <c r="BH51" s="580">
        <f>BH$50*'R&amp;S - Apparel'!$G$4/SUM('R&amp;S - Apparel'!$G$4:$I$4)</f>
        <v>0</v>
      </c>
      <c r="BI51" s="580">
        <f>BI$50*'R&amp;S - Apparel'!$G$4/SUM('R&amp;S - Apparel'!$G$4:$I$4)</f>
        <v>0</v>
      </c>
      <c r="BJ51" s="580">
        <f>BJ$50*'R&amp;S - Apparel'!$G$4/SUM('R&amp;S - Apparel'!$G$4:$I$4)</f>
        <v>0</v>
      </c>
      <c r="BK51" s="580">
        <f>BK$50*'R&amp;S - Apparel'!$G$4/SUM('R&amp;S - Apparel'!$G$4:$I$4)</f>
        <v>0</v>
      </c>
      <c r="BL51" s="580">
        <f>BL$50*'R&amp;S - Apparel'!$G$4/SUM('R&amp;S - Apparel'!$G$4:$I$4)</f>
        <v>0</v>
      </c>
      <c r="BM51" s="580">
        <f>BM$50*'R&amp;S - Apparel'!$G$4/SUM('R&amp;S - Apparel'!$G$4:$I$4)</f>
        <v>0</v>
      </c>
      <c r="BN51" s="580">
        <f>BN$50*'R&amp;S - Apparel'!$G$4/SUM('R&amp;S - Apparel'!$G$4:$I$4)</f>
        <v>0</v>
      </c>
      <c r="BQ51" s="649"/>
      <c r="BR51" s="649"/>
      <c r="BS51" s="649"/>
      <c r="BT51" s="649"/>
      <c r="BU51" s="649"/>
      <c r="BV51" s="649"/>
      <c r="BW51" s="649"/>
      <c r="BX51" s="649"/>
      <c r="BY51" s="649"/>
      <c r="BZ51" s="649"/>
      <c r="CA51" s="649"/>
      <c r="CB51" s="649"/>
      <c r="CC51" s="649"/>
      <c r="CD51" s="649"/>
      <c r="CE51" s="649"/>
      <c r="CF51" s="649"/>
      <c r="CG51" s="649"/>
      <c r="CH51" s="649"/>
      <c r="CI51" s="649"/>
      <c r="CJ51" s="649"/>
      <c r="CK51" s="649"/>
      <c r="CL51" s="649"/>
    </row>
    <row r="52" spans="1:90" outlineLevel="1">
      <c r="A52" s="603"/>
      <c r="B52" s="1" t="s">
        <v>717</v>
      </c>
      <c r="C52" s="50" t="s">
        <v>1420</v>
      </c>
      <c r="D52" s="576">
        <f>D$50*'R&amp;S - Apparel'!$H$4/SUM('R&amp;S - Apparel'!$G$4:$I$4)</f>
        <v>10419.151641332546</v>
      </c>
      <c r="E52" s="576">
        <f>E$50*'R&amp;S - Apparel'!$H$4/SUM('R&amp;S - Apparel'!$G$4:$I$4)</f>
        <v>10028.078307625714</v>
      </c>
      <c r="F52" s="576">
        <f>F$50*'R&amp;S - Apparel'!$H$4/SUM('R&amp;S - Apparel'!$G$4:$I$4)</f>
        <v>9641.8709822889577</v>
      </c>
      <c r="G52" s="576">
        <f>G$50*'R&amp;S - Apparel'!$H$4/SUM('R&amp;S - Apparel'!$G$4:$I$4)</f>
        <v>9260.48137033274</v>
      </c>
      <c r="H52" s="576">
        <f>H$50*'R&amp;S - Apparel'!$H$4/SUM('R&amp;S - Apparel'!$G$4:$I$4)</f>
        <v>8883.8616099522842</v>
      </c>
      <c r="I52" s="576">
        <f>I$50*'R&amp;S - Apparel'!$H$4/SUM('R&amp;S - Apparel'!$G$4:$I$4)</f>
        <v>8511.9642688599924</v>
      </c>
      <c r="J52" s="576">
        <f>J$50*'R&amp;S - Apparel'!$H$4/SUM('R&amp;S - Apparel'!$G$4:$I$4)</f>
        <v>8144.742340647731</v>
      </c>
      <c r="K52" s="576">
        <f>K$50*'R&amp;S - Apparel'!$H$4/SUM('R&amp;S - Apparel'!$G$4:$I$4)</f>
        <v>7782.1492411788086</v>
      </c>
      <c r="L52" s="576">
        <f>L$50*'R&amp;S - Apparel'!$H$4/SUM('R&amp;S - Apparel'!$G$4:$I$4)</f>
        <v>7424.1388050094056</v>
      </c>
      <c r="M52" s="576">
        <f>M$50*'R&amp;S - Apparel'!$H$4/SUM('R&amp;S - Apparel'!$G$4:$I$4)</f>
        <v>7070.6652818391967</v>
      </c>
      <c r="N52" s="576">
        <f>N$50*'R&amp;S - Apparel'!$H$4/SUM('R&amp;S - Apparel'!$G$4:$I$4)</f>
        <v>6721.6833329909477</v>
      </c>
      <c r="O52" s="576">
        <f>O$50*'R&amp;S - Apparel'!$H$4/SUM('R&amp;S - Apparel'!$G$4:$I$4)</f>
        <v>6465.0620516335439</v>
      </c>
      <c r="P52" s="576">
        <f>P$50*'R&amp;S - Apparel'!$H$4/SUM('R&amp;S - Apparel'!$G$4:$I$4)</f>
        <v>6211.6392369653513</v>
      </c>
      <c r="Q52" s="576">
        <f>Q$50*'R&amp;S - Apparel'!$H$4/SUM('R&amp;S - Apparel'!$G$4:$I$4)</f>
        <v>5961.3831239424117</v>
      </c>
      <c r="R52" s="576">
        <f>R$50*'R&amp;S - Apparel'!$H$4/SUM('R&amp;S - Apparel'!$G$4:$I$4)</f>
        <v>5714.262232535325</v>
      </c>
      <c r="S52" s="576">
        <f>S$50*'R&amp;S - Apparel'!$H$4/SUM('R&amp;S - Apparel'!$G$4:$I$4)</f>
        <v>5470.2453653156508</v>
      </c>
      <c r="T52" s="576">
        <f>T$50*'R&amp;S - Apparel'!$H$4/SUM('R&amp;S - Apparel'!$G$4:$I$4)</f>
        <v>5229.3016050619708</v>
      </c>
      <c r="U52" s="576">
        <f>U$50*'R&amp;S - Apparel'!$H$4/SUM('R&amp;S - Apparel'!$G$4:$I$4)</f>
        <v>4991.40031238551</v>
      </c>
      <c r="V52" s="576">
        <f>V$50*'R&amp;S - Apparel'!$H$4/SUM('R&amp;S - Apparel'!$G$4:$I$4)</f>
        <v>4756.5111233751104</v>
      </c>
      <c r="W52" s="576">
        <f>W$50*'R&amp;S - Apparel'!$H$4/SUM('R&amp;S - Apparel'!$G$4:$I$4)</f>
        <v>4524.6039472614539</v>
      </c>
      <c r="X52" s="576">
        <f>X$50*'R&amp;S - Apparel'!$H$4/SUM('R&amp;S - Apparel'!$G$4:$I$4)</f>
        <v>4295.6489641003254</v>
      </c>
      <c r="Y52" s="576">
        <f>Y$50*'R&amp;S - Apparel'!$H$4/SUM('R&amp;S - Apparel'!$G$4:$I$4)</f>
        <v>4029.0286907347208</v>
      </c>
      <c r="Z52" s="576">
        <f>Z$50*'R&amp;S - Apparel'!$H$4/SUM('R&amp;S - Apparel'!$G$4:$I$4)</f>
        <v>3765.8574724866066</v>
      </c>
      <c r="AA52" s="576">
        <f>AA$50*'R&amp;S - Apparel'!$H$4/SUM('R&amp;S - Apparel'!$G$4:$I$4)</f>
        <v>3506.1005820252362</v>
      </c>
      <c r="AB52" s="576">
        <f>AB$50*'R&amp;S - Apparel'!$H$4/SUM('R&amp;S - Apparel'!$G$4:$I$4)</f>
        <v>3249.7236058485955</v>
      </c>
      <c r="AC52" s="576">
        <f>AC$50*'R&amp;S - Apparel'!$H$4/SUM('R&amp;S - Apparel'!$G$4:$I$4)</f>
        <v>2996.6924416141046</v>
      </c>
      <c r="AD52" s="576">
        <f>AD$50*'R&amp;S - Apparel'!$H$4/SUM('R&amp;S - Apparel'!$G$4:$I$4)</f>
        <v>2746.9732954911619</v>
      </c>
      <c r="AE52" s="576">
        <f>AE$50*'R&amp;S - Apparel'!$H$4/SUM('R&amp;S - Apparel'!$G$4:$I$4)</f>
        <v>2500.5326795353626</v>
      </c>
      <c r="AF52" s="576">
        <f>AF$50*'R&amp;S - Apparel'!$H$4/SUM('R&amp;S - Apparel'!$G$4:$I$4)</f>
        <v>2257.3374090841894</v>
      </c>
      <c r="AG52" s="576">
        <f>AG$50*'R&amp;S - Apparel'!$H$4/SUM('R&amp;S - Apparel'!$G$4:$I$4)</f>
        <v>2017.3546001740503</v>
      </c>
      <c r="AH52" s="576">
        <f>AH$50*'R&amp;S - Apparel'!$H$4/SUM('R&amp;S - Apparel'!$G$4:$I$4)</f>
        <v>1780.5516669784456</v>
      </c>
      <c r="AI52" s="576"/>
      <c r="AJ52" s="576">
        <f>AJ$50*'R&amp;S - Apparel'!$H$4/SUM('R&amp;S - Apparel'!$G$4:$I$4)</f>
        <v>10419.151641332546</v>
      </c>
      <c r="AK52" s="576">
        <f>AK$50*'R&amp;S - Apparel'!$H$4/SUM('R&amp;S - Apparel'!$G$4:$I$4)</f>
        <v>10187.952221414607</v>
      </c>
      <c r="AL52" s="576">
        <f>AL$50*'R&amp;S - Apparel'!$H$4/SUM('R&amp;S - Apparel'!$G$4:$I$4)</f>
        <v>9959.4299391773911</v>
      </c>
      <c r="AM52" s="576">
        <f>AM$50*'R&amp;S - Apparel'!$H$4/SUM('R&amp;S - Apparel'!$G$4:$I$4)</f>
        <v>9733.5589758820843</v>
      </c>
      <c r="AN52" s="576">
        <f>AN$50*'R&amp;S - Apparel'!$H$4/SUM('R&amp;S - Apparel'!$G$4:$I$4)</f>
        <v>9510.3137408229504</v>
      </c>
      <c r="AO52" s="576">
        <f>AO$50*'R&amp;S - Apparel'!$H$4/SUM('R&amp;S - Apparel'!$G$4:$I$4)</f>
        <v>9289.6688694152072</v>
      </c>
      <c r="AP52" s="576">
        <f>AP$50*'R&amp;S - Apparel'!$H$4/SUM('R&amp;S - Apparel'!$G$4:$I$4)</f>
        <v>9071.5992212984111</v>
      </c>
      <c r="AQ52" s="576">
        <f>AQ$50*'R&amp;S - Apparel'!$H$4/SUM('R&amp;S - Apparel'!$G$4:$I$4)</f>
        <v>8856.0798784551735</v>
      </c>
      <c r="AR52" s="576">
        <f>AR$50*'R&amp;S - Apparel'!$H$4/SUM('R&amp;S - Apparel'!$G$4:$I$4)</f>
        <v>8643.0861433451701</v>
      </c>
      <c r="AS52" s="576">
        <f>AS$50*'R&amp;S - Apparel'!$H$4/SUM('R&amp;S - Apparel'!$G$4:$I$4)</f>
        <v>8432.5935370542411</v>
      </c>
      <c r="AT52" s="576">
        <f>AT$50*'R&amp;S - Apparel'!$H$4/SUM('R&amp;S - Apparel'!$G$4:$I$4)</f>
        <v>8224.5777974585326</v>
      </c>
      <c r="AU52" s="576">
        <f>AU$50*'R&amp;S - Apparel'!$H$4/SUM('R&amp;S - Apparel'!$G$4:$I$4)</f>
        <v>8062.9718892608425</v>
      </c>
      <c r="AV52" s="576">
        <f>AV$50*'R&amp;S - Apparel'!$H$4/SUM('R&amp;S - Apparel'!$G$4:$I$4)</f>
        <v>7903.1931410076622</v>
      </c>
      <c r="AW52" s="576">
        <f>AW$50*'R&amp;S - Apparel'!$H$4/SUM('R&amp;S - Apparel'!$G$4:$I$4)</f>
        <v>7745.2241098791437</v>
      </c>
      <c r="AX52" s="576">
        <f>AX$50*'R&amp;S - Apparel'!$H$4/SUM('R&amp;S - Apparel'!$G$4:$I$4)</f>
        <v>7589.0475062439173</v>
      </c>
      <c r="AY52" s="576">
        <f>AY$50*'R&amp;S - Apparel'!$H$4/SUM('R&amp;S - Apparel'!$G$4:$I$4)</f>
        <v>7434.6461923791749</v>
      </c>
      <c r="AZ52" s="576">
        <f>AZ$50*'R&amp;S - Apparel'!$H$4/SUM('R&amp;S - Apparel'!$G$4:$I$4)</f>
        <v>7282.0031812010784</v>
      </c>
      <c r="BA52" s="576">
        <f>BA$50*'R&amp;S - Apparel'!$H$4/SUM('R&amp;S - Apparel'!$G$4:$I$4)</f>
        <v>7131.1016350054515</v>
      </c>
      <c r="BB52" s="576">
        <f>BB$50*'R&amp;S - Apparel'!$H$4/SUM('R&amp;S - Apparel'!$G$4:$I$4)</f>
        <v>6981.9248642186349</v>
      </c>
      <c r="BC52" s="576">
        <f>BC$50*'R&amp;S - Apparel'!$H$4/SUM('R&amp;S - Apparel'!$G$4:$I$4)</f>
        <v>6834.4563261584699</v>
      </c>
      <c r="BD52" s="576">
        <f>BD$50*'R&amp;S - Apparel'!$H$4/SUM('R&amp;S - Apparel'!$G$4:$I$4)</f>
        <v>6688.6796238052639</v>
      </c>
      <c r="BE52" s="576">
        <f>BE$50*'R&amp;S - Apparel'!$H$4/SUM('R&amp;S - Apparel'!$G$4:$I$4)</f>
        <v>6524.2845387126945</v>
      </c>
      <c r="BF52" s="576">
        <f>BF$50*'R&amp;S - Apparel'!$H$4/SUM('R&amp;S - Apparel'!$G$4:$I$4)</f>
        <v>6361.8267767839861</v>
      </c>
      <c r="BG52" s="576">
        <f>BG$50*'R&amp;S - Apparel'!$H$4/SUM('R&amp;S - Apparel'!$G$4:$I$4)</f>
        <v>6201.2875176368698</v>
      </c>
      <c r="BH52" s="576">
        <f>BH$50*'R&amp;S - Apparel'!$H$4/SUM('R&amp;S - Apparel'!$G$4:$I$4)</f>
        <v>6042.6481077755698</v>
      </c>
      <c r="BI52" s="576">
        <f>BI$50*'R&amp;S - Apparel'!$H$4/SUM('R&amp;S - Apparel'!$G$4:$I$4)</f>
        <v>5885.8900591878792</v>
      </c>
      <c r="BJ52" s="576">
        <f>BJ$50*'R&amp;S - Apparel'!$H$4/SUM('R&amp;S - Apparel'!$G$4:$I$4)</f>
        <v>5730.9950479536428</v>
      </c>
      <c r="BK52" s="576">
        <f>BK$50*'R&amp;S - Apparel'!$H$4/SUM('R&amp;S - Apparel'!$G$4:$I$4)</f>
        <v>5577.9449128645356</v>
      </c>
      <c r="BL52" s="576">
        <f>BL$50*'R&amp;S - Apparel'!$H$4/SUM('R&amp;S - Apparel'!$G$4:$I$4)</f>
        <v>5426.7216540550235</v>
      </c>
      <c r="BM52" s="576">
        <f>BM$50*'R&amp;S - Apparel'!$H$4/SUM('R&amp;S - Apparel'!$G$4:$I$4)</f>
        <v>5277.3074316444754</v>
      </c>
      <c r="BN52" s="576">
        <f>BN$50*'R&amp;S - Apparel'!$H$4/SUM('R&amp;S - Apparel'!$G$4:$I$4)</f>
        <v>5129.6845643902852</v>
      </c>
    </row>
    <row r="53" spans="1:90" s="62" customFormat="1" outlineLevel="1">
      <c r="A53" s="604"/>
      <c r="B53" s="58" t="s">
        <v>1170</v>
      </c>
      <c r="C53" s="233" t="s">
        <v>1420</v>
      </c>
      <c r="D53" s="579">
        <f>D$50*'R&amp;S - Apparel'!$I$4/SUM('R&amp;S - Apparel'!$G$4:$I$4)</f>
        <v>100636.88273366746</v>
      </c>
      <c r="E53" s="579">
        <f>E$50*'R&amp;S - Apparel'!$I$4/SUM('R&amp;S - Apparel'!$G$4:$I$4)</f>
        <v>96859.569322814204</v>
      </c>
      <c r="F53" s="579">
        <f>F$50*'R&amp;S - Apparel'!$I$4/SUM('R&amp;S - Apparel'!$G$4:$I$4)</f>
        <v>93129.25589147734</v>
      </c>
      <c r="G53" s="579">
        <f>G$50*'R&amp;S - Apparel'!$I$4/SUM('R&amp;S - Apparel'!$G$4:$I$4)</f>
        <v>89445.475966246478</v>
      </c>
      <c r="H53" s="579">
        <f>H$50*'R&amp;S - Apparel'!$I$4/SUM('R&amp;S - Apparel'!$G$4:$I$4)</f>
        <v>85807.767257772182</v>
      </c>
      <c r="I53" s="579">
        <f>I$50*'R&amp;S - Apparel'!$I$4/SUM('R&amp;S - Apparel'!$G$4:$I$4)</f>
        <v>82215.671625341114</v>
      </c>
      <c r="J53" s="579">
        <f>J$50*'R&amp;S - Apparel'!$I$4/SUM('R&amp;S - Apparel'!$G$4:$I$4)</f>
        <v>78668.735041740118</v>
      </c>
      <c r="K53" s="579">
        <f>K$50*'R&amp;S - Apparel'!$I$4/SUM('R&amp;S - Apparel'!$G$4:$I$4)</f>
        <v>75166.507558406927</v>
      </c>
      <c r="L53" s="579">
        <f>L$50*'R&amp;S - Apparel'!$I$4/SUM('R&amp;S - Apparel'!$G$4:$I$4)</f>
        <v>71708.543270865237</v>
      </c>
      <c r="M53" s="579">
        <f>M$50*'R&amp;S - Apparel'!$I$4/SUM('R&amp;S - Apparel'!$G$4:$I$4)</f>
        <v>68294.400284441916</v>
      </c>
      <c r="N53" s="579">
        <f>N$50*'R&amp;S - Apparel'!$I$4/SUM('R&amp;S - Apparel'!$G$4:$I$4)</f>
        <v>64923.640680263983</v>
      </c>
      <c r="O53" s="579">
        <f>O$50*'R&amp;S - Apparel'!$I$4/SUM('R&amp;S - Apparel'!$G$4:$I$4)</f>
        <v>62444.977667386891</v>
      </c>
      <c r="P53" s="579">
        <f>P$50*'R&amp;S - Apparel'!$I$4/SUM('R&amp;S - Apparel'!$G$4:$I$4)</f>
        <v>59997.208121483927</v>
      </c>
      <c r="Q53" s="579">
        <f>Q$50*'R&amp;S - Apparel'!$I$4/SUM('R&amp;S - Apparel'!$G$4:$I$4)</f>
        <v>57580.025229187318</v>
      </c>
      <c r="R53" s="579">
        <f>R$50*'R&amp;S - Apparel'!$I$4/SUM('R&amp;S - Apparel'!$G$4:$I$4)</f>
        <v>55193.12493003843</v>
      </c>
      <c r="S53" s="579">
        <f>S$50*'R&amp;S - Apparel'!$I$4/SUM('R&amp;S - Apparel'!$G$4:$I$4)</f>
        <v>52836.205893175029</v>
      </c>
      <c r="T53" s="579">
        <f>T$50*'R&amp;S - Apparel'!$I$4/SUM('R&amp;S - Apparel'!$G$4:$I$4)</f>
        <v>50508.969494208737</v>
      </c>
      <c r="U53" s="579">
        <f>U$50*'R&amp;S - Apparel'!$I$4/SUM('R&amp;S - Apparel'!$G$4:$I$4)</f>
        <v>48211.119792291262</v>
      </c>
      <c r="V53" s="579">
        <f>V$50*'R&amp;S - Apparel'!$I$4/SUM('R&amp;S - Apparel'!$G$4:$I$4)</f>
        <v>45942.363507367612</v>
      </c>
      <c r="W53" s="579">
        <f>W$50*'R&amp;S - Apparel'!$I$4/SUM('R&amp;S - Apparel'!$G$4:$I$4)</f>
        <v>43702.409997615141</v>
      </c>
      <c r="X53" s="579">
        <f>X$50*'R&amp;S - Apparel'!$I$4/SUM('R&amp;S - Apparel'!$G$4:$I$4)</f>
        <v>41490.971237066653</v>
      </c>
      <c r="Y53" s="579">
        <f>Y$50*'R&amp;S - Apparel'!$I$4/SUM('R&amp;S - Apparel'!$G$4:$I$4)</f>
        <v>38915.729594678858</v>
      </c>
      <c r="Z53" s="579">
        <f>Z$50*'R&amp;S - Apparel'!$I$4/SUM('R&amp;S - Apparel'!$G$4:$I$4)</f>
        <v>36373.80181193621</v>
      </c>
      <c r="AA53" s="579">
        <f>AA$50*'R&amp;S - Apparel'!$I$4/SUM('R&amp;S - Apparel'!$G$4:$I$4)</f>
        <v>33864.852463227071</v>
      </c>
      <c r="AB53" s="579">
        <f>AB$50*'R&amp;S - Apparel'!$I$4/SUM('R&amp;S - Apparel'!$G$4:$I$4)</f>
        <v>31388.549154160246</v>
      </c>
      <c r="AC53" s="579">
        <f>AC$50*'R&amp;S - Apparel'!$I$4/SUM('R&amp;S - Apparel'!$G$4:$I$4)</f>
        <v>28944.562495782644</v>
      </c>
      <c r="AD53" s="579">
        <f>AD$50*'R&amp;S - Apparel'!$I$4/SUM('R&amp;S - Apparel'!$G$4:$I$4)</f>
        <v>26532.566079007964</v>
      </c>
      <c r="AE53" s="579">
        <f>AE$50*'R&amp;S - Apparel'!$I$4/SUM('R&amp;S - Apparel'!$G$4:$I$4)</f>
        <v>24152.236449254666</v>
      </c>
      <c r="AF53" s="579">
        <f>AF$50*'R&amp;S - Apparel'!$I$4/SUM('R&amp;S - Apparel'!$G$4:$I$4)</f>
        <v>21803.253081291405</v>
      </c>
      <c r="AG53" s="579">
        <f>AG$50*'R&amp;S - Apparel'!$I$4/SUM('R&amp;S - Apparel'!$G$4:$I$4)</f>
        <v>19485.298354288603</v>
      </c>
      <c r="AH53" s="579">
        <f>AH$50*'R&amp;S - Apparel'!$I$4/SUM('R&amp;S - Apparel'!$G$4:$I$4)</f>
        <v>17198.057527074125</v>
      </c>
      <c r="AI53" s="579"/>
      <c r="AJ53" s="579">
        <f>AJ$50*'R&amp;S - Apparel'!$I$4/SUM('R&amp;S - Apparel'!$G$4:$I$4)</f>
        <v>100636.88273366746</v>
      </c>
      <c r="AK53" s="579">
        <f>AK$50*'R&amp;S - Apparel'!$I$4/SUM('R&amp;S - Apparel'!$G$4:$I$4)</f>
        <v>98403.765325329397</v>
      </c>
      <c r="AL53" s="579">
        <f>AL$50*'R&amp;S - Apparel'!$I$4/SUM('R&amp;S - Apparel'!$G$4:$I$4)</f>
        <v>96196.505952281703</v>
      </c>
      <c r="AM53" s="579">
        <f>AM$50*'R&amp;S - Apparel'!$I$4/SUM('R&amp;S - Apparel'!$G$4:$I$4)</f>
        <v>94014.855235546056</v>
      </c>
      <c r="AN53" s="579">
        <f>AN$50*'R&amp;S - Apparel'!$I$4/SUM('R&amp;S - Apparel'!$G$4:$I$4)</f>
        <v>91858.565998678518</v>
      </c>
      <c r="AO53" s="579">
        <f>AO$50*'R&amp;S - Apparel'!$I$4/SUM('R&amp;S - Apparel'!$G$4:$I$4)</f>
        <v>89727.39324930041</v>
      </c>
      <c r="AP53" s="579">
        <f>AP$50*'R&amp;S - Apparel'!$I$4/SUM('R&amp;S - Apparel'!$G$4:$I$4)</f>
        <v>87621.094160779277</v>
      </c>
      <c r="AQ53" s="579">
        <f>AQ$50*'R&amp;S - Apparel'!$I$4/SUM('R&amp;S - Apparel'!$G$4:$I$4)</f>
        <v>85539.428054057949</v>
      </c>
      <c r="AR53" s="579">
        <f>AR$50*'R&amp;S - Apparel'!$I$4/SUM('R&amp;S - Apparel'!$G$4:$I$4)</f>
        <v>83482.156379631109</v>
      </c>
      <c r="AS53" s="579">
        <f>AS$50*'R&amp;S - Apparel'!$I$4/SUM('R&amp;S - Apparel'!$G$4:$I$4)</f>
        <v>81449.042699667902</v>
      </c>
      <c r="AT53" s="579">
        <f>AT$50*'R&amp;S - Apparel'!$I$4/SUM('R&amp;S - Apparel'!$G$4:$I$4)</f>
        <v>79439.852670279593</v>
      </c>
      <c r="AU53" s="579">
        <f>AU$50*'R&amp;S - Apparel'!$I$4/SUM('R&amp;S - Apparel'!$G$4:$I$4)</f>
        <v>77878.927616857603</v>
      </c>
      <c r="AV53" s="579">
        <f>AV$50*'R&amp;S - Apparel'!$I$4/SUM('R&amp;S - Apparel'!$G$4:$I$4)</f>
        <v>76335.650802697433</v>
      </c>
      <c r="AW53" s="579">
        <f>AW$50*'R&amp;S - Apparel'!$I$4/SUM('R&amp;S - Apparel'!$G$4:$I$4)</f>
        <v>74809.853750453098</v>
      </c>
      <c r="AX53" s="579">
        <f>AX$50*'R&amp;S - Apparel'!$I$4/SUM('R&amp;S - Apparel'!$G$4:$I$4)</f>
        <v>73301.369462401155</v>
      </c>
      <c r="AY53" s="579">
        <f>AY$50*'R&amp;S - Apparel'!$I$4/SUM('R&amp;S - Apparel'!$G$4:$I$4)</f>
        <v>71810.032408078085</v>
      </c>
      <c r="AZ53" s="579">
        <f>AZ$50*'R&amp;S - Apparel'!$I$4/SUM('R&amp;S - Apparel'!$G$4:$I$4)</f>
        <v>70335.678512017577</v>
      </c>
      <c r="BA53" s="579">
        <f>BA$50*'R&amp;S - Apparel'!$I$4/SUM('R&amp;S - Apparel'!$G$4:$I$4)</f>
        <v>68878.145141587025</v>
      </c>
      <c r="BB53" s="579">
        <f>BB$50*'R&amp;S - Apparel'!$I$4/SUM('R&amp;S - Apparel'!$G$4:$I$4)</f>
        <v>67437.271094922311</v>
      </c>
      <c r="BC53" s="579">
        <f>BC$50*'R&amp;S - Apparel'!$I$4/SUM('R&amp;S - Apparel'!$G$4:$I$4)</f>
        <v>66012.896588960313</v>
      </c>
      <c r="BD53" s="579">
        <f>BD$50*'R&amp;S - Apparel'!$I$4/SUM('R&amp;S - Apparel'!$G$4:$I$4)</f>
        <v>64604.863247567846</v>
      </c>
      <c r="BE53" s="579">
        <f>BE$50*'R&amp;S - Apparel'!$I$4/SUM('R&amp;S - Apparel'!$G$4:$I$4)</f>
        <v>63016.997990398369</v>
      </c>
      <c r="BF53" s="579">
        <f>BF$50*'R&amp;S - Apparel'!$I$4/SUM('R&amp;S - Apparel'!$G$4:$I$4)</f>
        <v>61447.845021020679</v>
      </c>
      <c r="BG53" s="579">
        <f>BG$50*'R&amp;S - Apparel'!$I$4/SUM('R&amp;S - Apparel'!$G$4:$I$4)</f>
        <v>59897.22255643853</v>
      </c>
      <c r="BH53" s="579">
        <f>BH$50*'R&amp;S - Apparel'!$I$4/SUM('R&amp;S - Apparel'!$G$4:$I$4)</f>
        <v>58364.950425585077</v>
      </c>
      <c r="BI53" s="579">
        <f>BI$50*'R&amp;S - Apparel'!$I$4/SUM('R&amp;S - Apparel'!$G$4:$I$4)</f>
        <v>56850.850055772207</v>
      </c>
      <c r="BJ53" s="579">
        <f>BJ$50*'R&amp;S - Apparel'!$I$4/SUM('R&amp;S - Apparel'!$G$4:$I$4)</f>
        <v>55354.744459250127</v>
      </c>
      <c r="BK53" s="579">
        <f>BK$50*'R&amp;S - Apparel'!$I$4/SUM('R&amp;S - Apparel'!$G$4:$I$4)</f>
        <v>53876.458219875974</v>
      </c>
      <c r="BL53" s="579">
        <f>BL$50*'R&amp;S - Apparel'!$I$4/SUM('R&amp;S - Apparel'!$G$4:$I$4)</f>
        <v>52415.817479890589</v>
      </c>
      <c r="BM53" s="579">
        <f>BM$50*'R&amp;S - Apparel'!$I$4/SUM('R&amp;S - Apparel'!$G$4:$I$4)</f>
        <v>50972.649926802813</v>
      </c>
      <c r="BN53" s="579">
        <f>BN$50*'R&amp;S - Apparel'!$I$4/SUM('R&amp;S - Apparel'!$G$4:$I$4)</f>
        <v>49546.784780380229</v>
      </c>
      <c r="BQ53" s="623"/>
      <c r="BR53" s="623"/>
      <c r="BS53" s="623"/>
      <c r="BT53" s="623"/>
      <c r="BU53" s="623"/>
      <c r="BV53" s="623"/>
      <c r="BW53" s="623"/>
      <c r="BX53" s="623"/>
      <c r="BY53" s="623"/>
      <c r="BZ53" s="623"/>
      <c r="CA53" s="623"/>
      <c r="CB53" s="623"/>
      <c r="CC53" s="623"/>
      <c r="CD53" s="623"/>
      <c r="CE53" s="623"/>
      <c r="CF53" s="623"/>
      <c r="CG53" s="623"/>
      <c r="CH53" s="623"/>
      <c r="CI53" s="623"/>
      <c r="CJ53" s="623"/>
      <c r="CK53" s="623"/>
      <c r="CL53" s="623"/>
    </row>
    <row r="54" spans="1:90" outlineLevel="1">
      <c r="A54" s="54" t="s">
        <v>307</v>
      </c>
      <c r="B54" s="54" t="s">
        <v>828</v>
      </c>
      <c r="C54" s="55" t="s">
        <v>1420</v>
      </c>
      <c r="D54" s="99">
        <f>D4-D16-D27-D38-D45-D9</f>
        <v>2752333.0301990337</v>
      </c>
      <c r="E54" s="99">
        <f t="shared" ref="E54:AH54" si="41">E4-E16-E27-E38-E45-E9</f>
        <v>2750638.4229434384</v>
      </c>
      <c r="F54" s="99">
        <f t="shared" si="41"/>
        <v>2748875.271171283</v>
      </c>
      <c r="G54" s="99">
        <f t="shared" si="41"/>
        <v>2747044.4187149368</v>
      </c>
      <c r="H54" s="99">
        <f t="shared" si="41"/>
        <v>2745146.7018792983</v>
      </c>
      <c r="I54" s="99">
        <f t="shared" si="41"/>
        <v>2735188.0369062484</v>
      </c>
      <c r="J54" s="99">
        <f t="shared" si="41"/>
        <v>2726454.5748329964</v>
      </c>
      <c r="K54" s="99">
        <f t="shared" si="41"/>
        <v>2717725.4606888434</v>
      </c>
      <c r="L54" s="99">
        <f t="shared" si="41"/>
        <v>2709000.9723363351</v>
      </c>
      <c r="M54" s="99">
        <f t="shared" si="41"/>
        <v>2700281.3840288469</v>
      </c>
      <c r="N54" s="99">
        <f t="shared" si="41"/>
        <v>2691566.9664447652</v>
      </c>
      <c r="O54" s="99">
        <f t="shared" si="41"/>
        <v>2675731.1702963379</v>
      </c>
      <c r="P54" s="99">
        <f t="shared" si="41"/>
        <v>2659986.9471608521</v>
      </c>
      <c r="Q54" s="99">
        <f t="shared" si="41"/>
        <v>2644333.7795783924</v>
      </c>
      <c r="R54" s="99">
        <f t="shared" si="41"/>
        <v>2628771.1529201861</v>
      </c>
      <c r="S54" s="99">
        <f t="shared" si="41"/>
        <v>2613298.5553738363</v>
      </c>
      <c r="T54" s="99">
        <f t="shared" si="41"/>
        <v>2591099.0404103436</v>
      </c>
      <c r="U54" s="99">
        <f t="shared" si="41"/>
        <v>2569083.5594176995</v>
      </c>
      <c r="V54" s="99">
        <f t="shared" si="41"/>
        <v>2547250.6140157054</v>
      </c>
      <c r="W54" s="99">
        <f t="shared" si="41"/>
        <v>2525598.7178562917</v>
      </c>
      <c r="X54" s="99">
        <f t="shared" si="41"/>
        <v>2504126.3965279525</v>
      </c>
      <c r="Y54" s="99">
        <f t="shared" si="41"/>
        <v>2477880.4990442973</v>
      </c>
      <c r="Z54" s="99">
        <f t="shared" si="41"/>
        <v>2451888.4510966148</v>
      </c>
      <c r="AA54" s="99">
        <f t="shared" si="41"/>
        <v>2426147.9104756885</v>
      </c>
      <c r="AB54" s="99">
        <f t="shared" si="41"/>
        <v>2400656.5559315137</v>
      </c>
      <c r="AC54" s="99">
        <f t="shared" si="41"/>
        <v>2375412.086989685</v>
      </c>
      <c r="AD54" s="99">
        <f t="shared" si="41"/>
        <v>2347714.9757261812</v>
      </c>
      <c r="AE54" s="99">
        <f t="shared" si="41"/>
        <v>2320305.2520614425</v>
      </c>
      <c r="AF54" s="99">
        <f t="shared" si="41"/>
        <v>2293180.1125438535</v>
      </c>
      <c r="AG54" s="99">
        <f t="shared" si="41"/>
        <v>2266336.78006233</v>
      </c>
      <c r="AH54" s="99">
        <f t="shared" si="41"/>
        <v>2239772.5036048773</v>
      </c>
      <c r="AI54" s="178"/>
      <c r="AJ54" s="99">
        <f>AJ4-AJ16-AJ27-AJ38-AJ45-AJ9</f>
        <v>2752333.0301990337</v>
      </c>
      <c r="AK54" s="99">
        <f t="shared" ref="AK54:BN54" si="42">AK4-AK16-AK27-AK38-AK45-AK9</f>
        <v>2750638.4229434384</v>
      </c>
      <c r="AL54" s="99">
        <f t="shared" si="42"/>
        <v>2748875.271171283</v>
      </c>
      <c r="AM54" s="99">
        <f t="shared" si="42"/>
        <v>2747044.4187149368</v>
      </c>
      <c r="AN54" s="99">
        <f t="shared" si="42"/>
        <v>2745146.7018792983</v>
      </c>
      <c r="AO54" s="99">
        <f t="shared" si="42"/>
        <v>2735188.0369062484</v>
      </c>
      <c r="AP54" s="99">
        <f t="shared" si="42"/>
        <v>2726454.5748329964</v>
      </c>
      <c r="AQ54" s="99">
        <f t="shared" si="42"/>
        <v>2717725.4606888434</v>
      </c>
      <c r="AR54" s="99">
        <f t="shared" si="42"/>
        <v>2709000.9723363351</v>
      </c>
      <c r="AS54" s="99">
        <f t="shared" si="42"/>
        <v>2700281.3840288469</v>
      </c>
      <c r="AT54" s="99">
        <f t="shared" si="42"/>
        <v>2691566.9664447652</v>
      </c>
      <c r="AU54" s="99">
        <f t="shared" si="42"/>
        <v>2675731.1702963379</v>
      </c>
      <c r="AV54" s="99">
        <f t="shared" si="42"/>
        <v>2659986.9471608521</v>
      </c>
      <c r="AW54" s="99">
        <f t="shared" si="42"/>
        <v>2644333.7795783924</v>
      </c>
      <c r="AX54" s="99">
        <f t="shared" si="42"/>
        <v>2628771.1529201861</v>
      </c>
      <c r="AY54" s="99">
        <f t="shared" si="42"/>
        <v>2613298.5553738363</v>
      </c>
      <c r="AZ54" s="99">
        <f t="shared" si="42"/>
        <v>2591099.0404103436</v>
      </c>
      <c r="BA54" s="99">
        <f t="shared" si="42"/>
        <v>2569083.5594176995</v>
      </c>
      <c r="BB54" s="99">
        <f t="shared" si="42"/>
        <v>2547250.6140157054</v>
      </c>
      <c r="BC54" s="99">
        <f t="shared" si="42"/>
        <v>2525598.7178562917</v>
      </c>
      <c r="BD54" s="99">
        <f t="shared" si="42"/>
        <v>2504126.3965279525</v>
      </c>
      <c r="BE54" s="99">
        <f t="shared" si="42"/>
        <v>2477880.4990442973</v>
      </c>
      <c r="BF54" s="99">
        <f t="shared" si="42"/>
        <v>2451888.4510966148</v>
      </c>
      <c r="BG54" s="99">
        <f t="shared" si="42"/>
        <v>2426147.9104756885</v>
      </c>
      <c r="BH54" s="99">
        <f t="shared" si="42"/>
        <v>2400656.5559315137</v>
      </c>
      <c r="BI54" s="99">
        <f t="shared" si="42"/>
        <v>2375412.086989685</v>
      </c>
      <c r="BJ54" s="99">
        <f t="shared" si="42"/>
        <v>2347714.9757261812</v>
      </c>
      <c r="BK54" s="99">
        <f t="shared" si="42"/>
        <v>2320305.2520614425</v>
      </c>
      <c r="BL54" s="99">
        <f t="shared" si="42"/>
        <v>2293180.1125438535</v>
      </c>
      <c r="BM54" s="99">
        <f t="shared" si="42"/>
        <v>2266336.78006233</v>
      </c>
      <c r="BN54" s="99">
        <f t="shared" si="42"/>
        <v>2239772.5036048773</v>
      </c>
    </row>
    <row r="55" spans="1:90" outlineLevel="1">
      <c r="B55" s="1" t="s">
        <v>169</v>
      </c>
      <c r="C55" s="50" t="s">
        <v>1420</v>
      </c>
      <c r="D55" s="99">
        <v>0</v>
      </c>
      <c r="E55" s="99">
        <f>E54*'R&amp;S - Others'!$D$7*'R&amp;S - Others'!$B$11*'R&amp;S - Others'!$B$15*(E$3-$D$3)/10</f>
        <v>13615.66019357002</v>
      </c>
      <c r="F55" s="99">
        <f>F54*'R&amp;S - Others'!$D$7*'R&amp;S - Others'!$B$11*'R&amp;S - Others'!$B$15*(F$3-$D$3)/10</f>
        <v>27213.865184595703</v>
      </c>
      <c r="G55" s="99">
        <f>G54*'R&amp;S - Others'!$D$7*'R&amp;S - Others'!$B$11*'R&amp;S - Others'!$B$15*(G$3-$D$3)/10</f>
        <v>40793.609617916816</v>
      </c>
      <c r="H55" s="99">
        <f>H54*'R&amp;S - Others'!$D$7*'R&amp;S - Others'!$B$11*'R&amp;S - Others'!$B$15*(H$3-$D$3)/10</f>
        <v>54353.904697210106</v>
      </c>
      <c r="I55" s="99">
        <f>I54*'R&amp;S - Others'!$D$7*'R&amp;S - Others'!$B$11*'R&amp;S - Others'!$B$15*(I$3-$D$3)/10</f>
        <v>67695.903913429647</v>
      </c>
      <c r="J55" s="99">
        <f>J54*'R&amp;S - Others'!$D$7*'R&amp;S - Others'!$B$11*'R&amp;S - Others'!$B$15*(J$3-$D$3)/10</f>
        <v>80975.700872539979</v>
      </c>
      <c r="K55" s="99">
        <f>K54*'R&amp;S - Others'!$D$7*'R&amp;S - Others'!$B$11*'R&amp;S - Others'!$B$15*(K$3-$D$3)/10</f>
        <v>94169.187212868434</v>
      </c>
      <c r="L55" s="99">
        <f>L54*'R&amp;S - Others'!$D$7*'R&amp;S - Others'!$B$11*'R&amp;S - Others'!$B$15*(L$3-$D$3)/10</f>
        <v>107276.43850451887</v>
      </c>
      <c r="M55" s="99">
        <f>M54*'R&amp;S - Others'!$D$7*'R&amp;S - Others'!$B$11*'R&amp;S - Others'!$B$15*(M$3-$D$3)/10</f>
        <v>120297.53565848511</v>
      </c>
      <c r="N55" s="99">
        <f>N54*'R&amp;S - Others'!$D$7*'R&amp;S - Others'!$B$11*'R&amp;S - Others'!$B$15*(N$3-$D$3)/10</f>
        <v>133232.56483901586</v>
      </c>
      <c r="O55" s="99">
        <f>O54*'R&amp;S - Others'!$D$7*'R&amp;S - Others'!$B$11*('R&amp;S - Others'!$B$15+('R&amp;S - Others'!$B$16-'R&amp;S - Others'!$B$15)*(O$3-$N$3)/10)</f>
        <v>145693.56222263561</v>
      </c>
      <c r="P55" s="99">
        <f>P54*'R&amp;S - Others'!$D$7*'R&amp;S - Others'!$B$11*('R&amp;S - Others'!$B$15+('R&amp;S - Others'!$B$16-'R&amp;S - Others'!$B$15)*(P$3-$N$3)/10)</f>
        <v>158003.22466135462</v>
      </c>
      <c r="Q55" s="99">
        <f>Q54*'R&amp;S - Others'!$D$7*'R&amp;S - Others'!$B$11*('R&amp;S - Others'!$B$15+('R&amp;S - Others'!$B$16-'R&amp;S - Others'!$B$15)*(Q$3-$N$3)/10)</f>
        <v>170162.87871586956</v>
      </c>
      <c r="R55" s="99">
        <f>R54*'R&amp;S - Others'!$D$7*'R&amp;S - Others'!$B$11*('R&amp;S - Others'!$B$15+('R&amp;S - Others'!$B$16-'R&amp;S - Others'!$B$15)*(R$3-$N$3)/10)</f>
        <v>182173.84089736888</v>
      </c>
      <c r="S55" s="99">
        <f>S54*'R&amp;S - Others'!$D$7*'R&amp;S - Others'!$B$11*('R&amp;S - Others'!$B$15+('R&amp;S - Others'!$B$16-'R&amp;S - Others'!$B$15)*(S$3-$N$3)/10)</f>
        <v>194037.41773650734</v>
      </c>
      <c r="T55" s="99">
        <f>T54*'R&amp;S - Others'!$D$7*'R&amp;S - Others'!$B$11*('R&amp;S - Others'!$B$15+('R&amp;S - Others'!$B$16-'R&amp;S - Others'!$B$15)*(T$3-$N$3)/10)</f>
        <v>205215.04400049921</v>
      </c>
      <c r="U55" s="99">
        <f>U54*'R&amp;S - Others'!$D$7*'R&amp;S - Others'!$B$11*('R&amp;S - Others'!$B$15+('R&amp;S - Others'!$B$16-'R&amp;S - Others'!$B$15)*(U$3-$N$3)/10)</f>
        <v>216188.38152499942</v>
      </c>
      <c r="V55" s="99">
        <f>V54*'R&amp;S - Others'!$D$7*'R&amp;S - Others'!$B$11*('R&amp;S - Others'!$B$15+('R&amp;S - Others'!$B$16-'R&amp;S - Others'!$B$15)*(V$3-$N$3)/10)</f>
        <v>226960.02970879938</v>
      </c>
      <c r="W55" s="99">
        <f>W54*'R&amp;S - Others'!$D$7*'R&amp;S - Others'!$B$11*('R&amp;S - Others'!$B$15+('R&amp;S - Others'!$B$16-'R&amp;S - Others'!$B$15)*(W$3-$N$3)/10)</f>
        <v>237532.55941438422</v>
      </c>
      <c r="X55" s="99">
        <f>X54*'R&amp;S - Others'!$D$7*'R&amp;S - Others'!$B$11*('R&amp;S - Others'!$B$15+('R&amp;S - Others'!$B$16-'R&amp;S - Others'!$B$15)*(X$3-$N$3)/10)</f>
        <v>247908.5132562673</v>
      </c>
      <c r="Y55" s="99">
        <f>Y54*'R&amp;S - Others'!$D$7*'R&amp;S - Others'!$B$11*('R&amp;S - Others'!$B$16+('R&amp;S - Others'!$B$17-'R&amp;S - Others'!$B$16)*(Y$3-$X$3)/10)</f>
        <v>257947.35995051134</v>
      </c>
      <c r="Z55" s="99">
        <f>Z54*'R&amp;S - Others'!$D$7*'R&amp;S - Others'!$B$11*('R&amp;S - Others'!$B$16+('R&amp;S - Others'!$B$17-'R&amp;S - Others'!$B$16)*(Z$3-$X$3)/10)</f>
        <v>267746.21885975031</v>
      </c>
      <c r="AA55" s="99">
        <f>AA54*'R&amp;S - Others'!$D$7*'R&amp;S - Others'!$B$11*('R&amp;S - Others'!$B$16+('R&amp;S - Others'!$B$17-'R&amp;S - Others'!$B$16)*(AA$3-$X$3)/10)</f>
        <v>277308.70616737119</v>
      </c>
      <c r="AB55" s="99">
        <f>AB54*'R&amp;S - Others'!$D$7*'R&amp;S - Others'!$B$11*('R&amp;S - Others'!$B$16+('R&amp;S - Others'!$B$17-'R&amp;S - Others'!$B$16)*(AB$3-$X$3)/10)</f>
        <v>286638.39277822274</v>
      </c>
      <c r="AC55" s="99">
        <f>AC54*'R&amp;S - Others'!$D$7*'R&amp;S - Others'!$B$11*('R&amp;S - Others'!$B$16+('R&amp;S - Others'!$B$17-'R&amp;S - Others'!$B$16)*(AC$3-$X$3)/10)</f>
        <v>295738.80483021575</v>
      </c>
      <c r="AD55" s="99">
        <f>AD54*'R&amp;S - Others'!$D$7*'R&amp;S - Others'!$B$11*('R&amp;S - Others'!$B$16+('R&amp;S - Others'!$B$17-'R&amp;S - Others'!$B$16)*(AD$3-$X$3)/10)</f>
        <v>304263.86085411313</v>
      </c>
      <c r="AE55" s="99">
        <f>AE54*'R&amp;S - Others'!$D$7*'R&amp;S - Others'!$B$11*('R&amp;S - Others'!$B$16+('R&amp;S - Others'!$B$17-'R&amp;S - Others'!$B$16)*(AE$3-$X$3)/10)</f>
        <v>312545.11745267629</v>
      </c>
      <c r="AF55" s="99">
        <f>AF54*'R&amp;S - Others'!$D$7*'R&amp;S - Others'!$B$11*('R&amp;S - Others'!$B$16+('R&amp;S - Others'!$B$17-'R&amp;S - Others'!$B$16)*(AF$3-$X$3)/10)</f>
        <v>320586.5797336307</v>
      </c>
      <c r="AG55" s="99">
        <f>AG54*'R&amp;S - Others'!$D$7*'R&amp;S - Others'!$B$11*('R&amp;S - Others'!$B$16+('R&amp;S - Others'!$B$17-'R&amp;S - Others'!$B$16)*(AG$3-$X$3)/10)</f>
        <v>328392.19943103159</v>
      </c>
      <c r="AH55" s="99">
        <f>AH54*'R&amp;S - Others'!$D$7*'R&amp;S - Others'!$B$11*('R&amp;S - Others'!$B$16+('R&amp;S - Others'!$B$17-'R&amp;S - Others'!$B$16)*(AH$3-$X$3)/10)</f>
        <v>335965.87554073159</v>
      </c>
      <c r="AI55" s="178"/>
      <c r="AJ55" s="99">
        <v>0</v>
      </c>
      <c r="AK55" s="99">
        <f>AK54*'R&amp;S - Others'!$D$7*'R&amp;S - Others'!$B$12*'R&amp;S - Others'!$B$15*(AK$3-$D$3)/10</f>
        <v>6807.83009678501</v>
      </c>
      <c r="AL55" s="99">
        <f>AL54*'R&amp;S - Others'!$D$7*'R&amp;S - Others'!$B$12*'R&amp;S - Others'!$B$15*(AL$3-$D$3)/10</f>
        <v>13606.932592297851</v>
      </c>
      <c r="AM55" s="99">
        <f>AM54*'R&amp;S - Others'!$D$7*'R&amp;S - Others'!$B$12*'R&amp;S - Others'!$B$15*(AM$3-$D$3)/10</f>
        <v>20396.804808958408</v>
      </c>
      <c r="AN55" s="99">
        <f>AN54*'R&amp;S - Others'!$D$7*'R&amp;S - Others'!$B$12*'R&amp;S - Others'!$B$15*(AN$3-$D$3)/10</f>
        <v>27176.952348605053</v>
      </c>
      <c r="AO55" s="99">
        <f>AO54*'R&amp;S - Others'!$D$7*'R&amp;S - Others'!$B$12*'R&amp;S - Others'!$B$15*(AO$3-$D$3)/10</f>
        <v>33847.951956714824</v>
      </c>
      <c r="AP55" s="99">
        <f>AP54*'R&amp;S - Others'!$D$7*'R&amp;S - Others'!$B$12*'R&amp;S - Others'!$B$15*(AP$3-$D$3)/10</f>
        <v>40487.85043626999</v>
      </c>
      <c r="AQ55" s="99">
        <f>AQ54*'R&amp;S - Others'!$D$7*'R&amp;S - Others'!$B$12*'R&amp;S - Others'!$B$15*(AQ$3-$D$3)/10</f>
        <v>47084.593606434217</v>
      </c>
      <c r="AR55" s="99">
        <f>AR54*'R&amp;S - Others'!$D$7*'R&amp;S - Others'!$B$12*'R&amp;S - Others'!$B$15*(AR$3-$D$3)/10</f>
        <v>53638.219252259434</v>
      </c>
      <c r="AS55" s="99">
        <f>AS54*'R&amp;S - Others'!$D$7*'R&amp;S - Others'!$B$12*'R&amp;S - Others'!$B$15*(AS$3-$D$3)/10</f>
        <v>60148.767829242555</v>
      </c>
      <c r="AT55" s="99">
        <f>AT54*'R&amp;S - Others'!$D$7*'R&amp;S - Others'!$B$12*'R&amp;S - Others'!$B$15*(AT$3-$D$3)/10</f>
        <v>66616.28241950793</v>
      </c>
      <c r="AU55" s="99">
        <f>AU54*'R&amp;S - Others'!$D$7*'R&amp;S - Others'!$B$12*('R&amp;S - Others'!$B$15+('R&amp;S - Others'!$B$16-'R&amp;S - Others'!$B$15)*(AU$3-$N$3)/10)</f>
        <v>72846.781111317803</v>
      </c>
      <c r="AV55" s="99">
        <f>AV54*'R&amp;S - Others'!$D$7*'R&amp;S - Others'!$B$12*('R&amp;S - Others'!$B$15+('R&amp;S - Others'!$B$16-'R&amp;S - Others'!$B$15)*(AV$3-$N$3)/10)</f>
        <v>79001.612330677308</v>
      </c>
      <c r="AW55" s="99">
        <f>AW54*'R&amp;S - Others'!$D$7*'R&amp;S - Others'!$B$12*('R&amp;S - Others'!$B$15+('R&amp;S - Others'!$B$16-'R&amp;S - Others'!$B$15)*(AW$3-$N$3)/10)</f>
        <v>85081.439357934782</v>
      </c>
      <c r="AX55" s="99">
        <f>AX54*'R&amp;S - Others'!$D$7*'R&amp;S - Others'!$B$12*('R&amp;S - Others'!$B$15+('R&amp;S - Others'!$B$16-'R&amp;S - Others'!$B$15)*(AX$3-$N$3)/10)</f>
        <v>91086.920448684439</v>
      </c>
      <c r="AY55" s="99">
        <f>AY54*'R&amp;S - Others'!$D$7*'R&amp;S - Others'!$B$12*('R&amp;S - Others'!$B$15+('R&amp;S - Others'!$B$16-'R&amp;S - Others'!$B$15)*(AY$3-$N$3)/10)</f>
        <v>97018.708868253671</v>
      </c>
      <c r="AZ55" s="99">
        <f>AZ54*'R&amp;S - Others'!$D$7*'R&amp;S - Others'!$B$12*('R&amp;S - Others'!$B$15+('R&amp;S - Others'!$B$16-'R&amp;S - Others'!$B$15)*(AZ$3-$N$3)/10)</f>
        <v>102607.52200024961</v>
      </c>
      <c r="BA55" s="99">
        <f>BA54*'R&amp;S - Others'!$D$7*'R&amp;S - Others'!$B$12*('R&amp;S - Others'!$B$15+('R&amp;S - Others'!$B$16-'R&amp;S - Others'!$B$15)*(BA$3-$N$3)/10)</f>
        <v>108094.19076249971</v>
      </c>
      <c r="BB55" s="99">
        <f>BB54*'R&amp;S - Others'!$D$7*'R&amp;S - Others'!$B$12*('R&amp;S - Others'!$B$15+('R&amp;S - Others'!$B$16-'R&amp;S - Others'!$B$15)*(BB$3-$N$3)/10)</f>
        <v>113480.01485439969</v>
      </c>
      <c r="BC55" s="99">
        <f>BC54*'R&amp;S - Others'!$D$7*'R&amp;S - Others'!$B$12*('R&amp;S - Others'!$B$15+('R&amp;S - Others'!$B$16-'R&amp;S - Others'!$B$15)*(BC$3-$N$3)/10)</f>
        <v>118766.27970719211</v>
      </c>
      <c r="BD55" s="99">
        <f>BD54*'R&amp;S - Others'!$D$7*'R&amp;S - Others'!$B$12*('R&amp;S - Others'!$B$15+('R&amp;S - Others'!$B$16-'R&amp;S - Others'!$B$15)*(BD$3-$N$3)/10)</f>
        <v>123954.25662813365</v>
      </c>
      <c r="BE55" s="99">
        <f>BE54*'R&amp;S - Others'!$D$7*'R&amp;S - Others'!$B$12*('R&amp;S - Others'!$B$16+('R&amp;S - Others'!$B$17-'R&amp;S - Others'!$B$16)*(BE$3-$X$3)/10)</f>
        <v>128973.67997525567</v>
      </c>
      <c r="BF55" s="99">
        <f>BF54*'R&amp;S - Others'!$D$7*'R&amp;S - Others'!$B$12*('R&amp;S - Others'!$B$16+('R&amp;S - Others'!$B$17-'R&amp;S - Others'!$B$16)*(BF$3-$X$3)/10)</f>
        <v>133873.10942987516</v>
      </c>
      <c r="BG55" s="99">
        <f>BG54*'R&amp;S - Others'!$D$7*'R&amp;S - Others'!$B$12*('R&amp;S - Others'!$B$16+('R&amp;S - Others'!$B$17-'R&amp;S - Others'!$B$16)*(BG$3-$X$3)/10)</f>
        <v>138654.35308368559</v>
      </c>
      <c r="BH55" s="99">
        <f>BH54*'R&amp;S - Others'!$D$7*'R&amp;S - Others'!$B$12*('R&amp;S - Others'!$B$16+('R&amp;S - Others'!$B$17-'R&amp;S - Others'!$B$16)*(BH$3-$X$3)/10)</f>
        <v>143319.19638911137</v>
      </c>
      <c r="BI55" s="99">
        <f>BI54*'R&amp;S - Others'!$D$7*'R&amp;S - Others'!$B$12*('R&amp;S - Others'!$B$16+('R&amp;S - Others'!$B$17-'R&amp;S - Others'!$B$16)*(BI$3-$X$3)/10)</f>
        <v>147869.40241510788</v>
      </c>
      <c r="BJ55" s="99">
        <f>BJ54*'R&amp;S - Others'!$D$7*'R&amp;S - Others'!$B$12*('R&amp;S - Others'!$B$16+('R&amp;S - Others'!$B$17-'R&amp;S - Others'!$B$16)*(BJ$3-$X$3)/10)</f>
        <v>152131.93042705656</v>
      </c>
      <c r="BK55" s="99">
        <f>BK54*'R&amp;S - Others'!$D$7*'R&amp;S - Others'!$B$12*('R&amp;S - Others'!$B$16+('R&amp;S - Others'!$B$17-'R&amp;S - Others'!$B$16)*(BK$3-$X$3)/10)</f>
        <v>156272.55872633815</v>
      </c>
      <c r="BL55" s="99">
        <f>BL54*'R&amp;S - Others'!$D$7*'R&amp;S - Others'!$B$12*('R&amp;S - Others'!$B$16+('R&amp;S - Others'!$B$17-'R&amp;S - Others'!$B$16)*(BL$3-$X$3)/10)</f>
        <v>160293.28986681535</v>
      </c>
      <c r="BM55" s="99">
        <f>BM54*'R&amp;S - Others'!$D$7*'R&amp;S - Others'!$B$12*('R&amp;S - Others'!$B$16+('R&amp;S - Others'!$B$17-'R&amp;S - Others'!$B$16)*(BM$3-$X$3)/10)</f>
        <v>164196.0997155158</v>
      </c>
      <c r="BN55" s="99">
        <f>BN54*'R&amp;S - Others'!$D$7*'R&amp;S - Others'!$B$12*('R&amp;S - Others'!$B$16+('R&amp;S - Others'!$B$17-'R&amp;S - Others'!$B$16)*(BN$3-$X$3)/10)</f>
        <v>167982.9377703658</v>
      </c>
    </row>
    <row r="56" spans="1:90" outlineLevel="1">
      <c r="B56" s="1" t="s">
        <v>172</v>
      </c>
      <c r="C56" s="50" t="s">
        <v>1420</v>
      </c>
      <c r="D56" s="99">
        <v>0</v>
      </c>
      <c r="E56" s="99">
        <f>E54*'R&amp;S - Others'!$D$8*'R&amp;S - Others'!$B$11*'R&amp;S - Others'!$C$15*(E$3-$D$3)/10</f>
        <v>4538.5533978566737</v>
      </c>
      <c r="F56" s="99">
        <f>F54*'R&amp;S - Others'!$D$8*'R&amp;S - Others'!$B$11*'R&amp;S - Others'!$C$15*(F$3-$D$3)/10</f>
        <v>9071.2883948652343</v>
      </c>
      <c r="G56" s="99">
        <f>G54*'R&amp;S - Others'!$D$8*'R&amp;S - Others'!$B$11*'R&amp;S - Others'!$C$15*(G$3-$D$3)/10</f>
        <v>13597.869872638938</v>
      </c>
      <c r="H56" s="99">
        <f>H54*'R&amp;S - Others'!$D$8*'R&amp;S - Others'!$B$11*'R&amp;S - Others'!$C$15*(H$3-$D$3)/10</f>
        <v>18117.968232403371</v>
      </c>
      <c r="I56" s="99">
        <f>I54*'R&amp;S - Others'!$D$8*'R&amp;S - Others'!$B$11*'R&amp;S - Others'!$C$15*(I$3-$D$3)/10</f>
        <v>22565.30130447655</v>
      </c>
      <c r="J56" s="99">
        <f>J54*'R&amp;S - Others'!$D$8*'R&amp;S - Others'!$B$11*'R&amp;S - Others'!$C$15*(J$3-$D$3)/10</f>
        <v>26991.900290846668</v>
      </c>
      <c r="K56" s="99">
        <f>K54*'R&amp;S - Others'!$D$8*'R&amp;S - Others'!$B$11*'R&amp;S - Others'!$C$15*(K$3-$D$3)/10</f>
        <v>31389.729070956142</v>
      </c>
      <c r="L56" s="99">
        <f>L54*'R&amp;S - Others'!$D$8*'R&amp;S - Others'!$B$11*'R&amp;S - Others'!$C$15*(L$3-$D$3)/10</f>
        <v>35758.812834839628</v>
      </c>
      <c r="M56" s="99">
        <f>M54*'R&amp;S - Others'!$D$8*'R&amp;S - Others'!$B$11*'R&amp;S - Others'!$C$15*(M$3-$D$3)/10</f>
        <v>40099.17855282838</v>
      </c>
      <c r="N56" s="99">
        <f>N54*'R&amp;S - Others'!$D$8*'R&amp;S - Others'!$B$11*'R&amp;S - Others'!$C$15*(N$3-$D$3)/10</f>
        <v>44410.854946338637</v>
      </c>
      <c r="O56" s="99">
        <f>O54*'R&amp;S - Others'!$D$8*'R&amp;S - Others'!$B$11*'R&amp;S - Others'!$C$15*(O$3-$D$3)/10</f>
        <v>48564.520740878528</v>
      </c>
      <c r="P56" s="99">
        <f>P54*'R&amp;S - Others'!$D$8*'R&amp;S - Others'!$B$11*'R&amp;S - Others'!$C$15*(P$3-$D$3)/10</f>
        <v>52667.741553784872</v>
      </c>
      <c r="Q56" s="99">
        <f>Q54*'R&amp;S - Others'!$D$8*'R&amp;S - Others'!$B$11*'R&amp;S - Others'!$C$15*(Q$3-$D$3)/10</f>
        <v>56720.959571956519</v>
      </c>
      <c r="R56" s="99">
        <f>R54*'R&amp;S - Others'!$D$8*'R&amp;S - Others'!$B$11*'R&amp;S - Others'!$C$15*(R$3-$D$3)/10</f>
        <v>60724.613632456305</v>
      </c>
      <c r="S56" s="99">
        <f>S54*'R&amp;S - Others'!$D$8*'R&amp;S - Others'!$B$11*'R&amp;S - Others'!$C$15*(S$3-$D$3)/10</f>
        <v>64679.139245502454</v>
      </c>
      <c r="T56" s="99">
        <f>T54*'R&amp;S - Others'!$D$8*'R&amp;S - Others'!$B$11*'R&amp;S - Others'!$C$15*(T$3-$D$3)/10</f>
        <v>68405.014666833071</v>
      </c>
      <c r="U56" s="99">
        <f>U54*'R&amp;S - Others'!$D$8*'R&amp;S - Others'!$B$11*'R&amp;S - Others'!$C$15*(U$3-$D$3)/10</f>
        <v>72062.793841666484</v>
      </c>
      <c r="V56" s="99">
        <f>V54*'R&amp;S - Others'!$D$8*'R&amp;S - Others'!$B$11*'R&amp;S - Others'!$C$15*(V$3-$D$3)/10</f>
        <v>75653.343236266461</v>
      </c>
      <c r="W56" s="99">
        <f>W54*'R&amp;S - Others'!$D$8*'R&amp;S - Others'!$B$11*'R&amp;S - Others'!$C$15*(W$3-$D$3)/10</f>
        <v>79177.519804794749</v>
      </c>
      <c r="X56" s="99">
        <f>X54*'R&amp;S - Others'!$D$8*'R&amp;S - Others'!$B$11*'R&amp;S - Others'!$C$15*(X$3-$D$3)/10</f>
        <v>82636.171085422451</v>
      </c>
      <c r="Y56" s="99">
        <f>Y54*'R&amp;S - Others'!$D$8*'R&amp;S - Others'!$B$11*('R&amp;S - Others'!$C$16+('R&amp;S - Others'!$C$17-'R&amp;S - Others'!$C$16)*(Y$3-$X$3)/10)</f>
        <v>85982.453316837127</v>
      </c>
      <c r="Z56" s="99">
        <f>Z54*'R&amp;S - Others'!$D$8*'R&amp;S - Others'!$B$11*('R&amp;S - Others'!$C$16+('R&amp;S - Others'!$C$17-'R&amp;S - Others'!$C$16)*(Z$3-$X$3)/10)</f>
        <v>89248.739619916785</v>
      </c>
      <c r="AA56" s="99">
        <f>AA54*'R&amp;S - Others'!$D$8*'R&amp;S - Others'!$B$11*('R&amp;S - Others'!$C$16+('R&amp;S - Others'!$C$17-'R&amp;S - Others'!$C$16)*(AA$3-$X$3)/10)</f>
        <v>92436.235389123744</v>
      </c>
      <c r="AB56" s="99">
        <f>AB54*'R&amp;S - Others'!$D$8*'R&amp;S - Others'!$B$11*('R&amp;S - Others'!$C$16+('R&amp;S - Others'!$C$17-'R&amp;S - Others'!$C$16)*(AB$3-$X$3)/10)</f>
        <v>95546.130926074256</v>
      </c>
      <c r="AC56" s="99">
        <f>AC54*'R&amp;S - Others'!$D$8*'R&amp;S - Others'!$B$11*('R&amp;S - Others'!$C$16+('R&amp;S - Others'!$C$17-'R&amp;S - Others'!$C$16)*(AC$3-$X$3)/10)</f>
        <v>98579.601610071943</v>
      </c>
      <c r="AD56" s="99">
        <f>AD54*'R&amp;S - Others'!$D$8*'R&amp;S - Others'!$B$11*('R&amp;S - Others'!$C$16+('R&amp;S - Others'!$C$17-'R&amp;S - Others'!$C$16)*(AD$3-$X$3)/10)</f>
        <v>101421.28695137105</v>
      </c>
      <c r="AE56" s="99">
        <f>AE54*'R&amp;S - Others'!$D$8*'R&amp;S - Others'!$B$11*('R&amp;S - Others'!$C$16+('R&amp;S - Others'!$C$17-'R&amp;S - Others'!$C$16)*(AE$3-$X$3)/10)</f>
        <v>104181.70581755877</v>
      </c>
      <c r="AF56" s="99">
        <f>AF54*'R&amp;S - Others'!$D$8*'R&amp;S - Others'!$B$11*('R&amp;S - Others'!$C$16+('R&amp;S - Others'!$C$17-'R&amp;S - Others'!$C$16)*(AF$3-$X$3)/10)</f>
        <v>106862.19324454357</v>
      </c>
      <c r="AG56" s="99">
        <f>AG54*'R&amp;S - Others'!$D$8*'R&amp;S - Others'!$B$11*('R&amp;S - Others'!$C$16+('R&amp;S - Others'!$C$17-'R&amp;S - Others'!$C$16)*(AG$3-$X$3)/10)</f>
        <v>109464.06647701054</v>
      </c>
      <c r="AH56" s="99">
        <f>AH54*'R&amp;S - Others'!$D$8*'R&amp;S - Others'!$B$11*('R&amp;S - Others'!$C$16+('R&amp;S - Others'!$C$17-'R&amp;S - Others'!$C$16)*(AH$3-$X$3)/10)</f>
        <v>111988.62518024386</v>
      </c>
      <c r="AI56" s="178"/>
      <c r="AJ56" s="99">
        <v>0</v>
      </c>
      <c r="AK56" s="99">
        <f>AK54*'R&amp;S - Others'!$D$8*'R&amp;S - Others'!$B$12*'R&amp;S - Others'!$C$15*(AK$3-$D$3)/10</f>
        <v>2269.2766989283368</v>
      </c>
      <c r="AL56" s="99">
        <f>AL54*'R&amp;S - Others'!$D$8*'R&amp;S - Others'!$B$12*'R&amp;S - Others'!$C$15*(AL$3-$D$3)/10</f>
        <v>4535.6441974326171</v>
      </c>
      <c r="AM56" s="99">
        <f>AM54*'R&amp;S - Others'!$D$8*'R&amp;S - Others'!$B$12*'R&amp;S - Others'!$C$15*(AM$3-$D$3)/10</f>
        <v>6798.9349363194688</v>
      </c>
      <c r="AN56" s="99">
        <f>AN54*'R&amp;S - Others'!$D$8*'R&amp;S - Others'!$B$12*'R&amp;S - Others'!$C$15*(AN$3-$D$3)/10</f>
        <v>9058.9841162016855</v>
      </c>
      <c r="AO56" s="99">
        <f>AO54*'R&amp;S - Others'!$D$8*'R&amp;S - Others'!$B$12*'R&amp;S - Others'!$C$15*(AO$3-$D$3)/10</f>
        <v>11282.650652238275</v>
      </c>
      <c r="AP56" s="99">
        <f>AP54*'R&amp;S - Others'!$D$8*'R&amp;S - Others'!$B$12*'R&amp;S - Others'!$C$15*(AP$3-$D$3)/10</f>
        <v>13495.950145423334</v>
      </c>
      <c r="AQ56" s="99">
        <f>AQ54*'R&amp;S - Others'!$D$8*'R&amp;S - Others'!$B$12*'R&amp;S - Others'!$C$15*(AQ$3-$D$3)/10</f>
        <v>15694.864535478071</v>
      </c>
      <c r="AR56" s="99">
        <f>AR54*'R&amp;S - Others'!$D$8*'R&amp;S - Others'!$B$12*'R&amp;S - Others'!$C$15*(AR$3-$D$3)/10</f>
        <v>17879.406417419814</v>
      </c>
      <c r="AS56" s="99">
        <f>AS54*'R&amp;S - Others'!$D$8*'R&amp;S - Others'!$B$12*'R&amp;S - Others'!$C$15*(AS$3-$D$3)/10</f>
        <v>20049.58927641419</v>
      </c>
      <c r="AT56" s="99">
        <f>AT54*'R&amp;S - Others'!$D$8*'R&amp;S - Others'!$B$12*'R&amp;S - Others'!$C$15*(AT$3-$D$3)/10</f>
        <v>22205.427473169319</v>
      </c>
      <c r="AU56" s="99">
        <f>AU54*'R&amp;S - Others'!$D$8*'R&amp;S - Others'!$B$12*'R&amp;S - Others'!$C$15*(AU$3-$D$3)/10</f>
        <v>24282.260370439264</v>
      </c>
      <c r="AV56" s="99">
        <f>AV54*'R&amp;S - Others'!$D$8*'R&amp;S - Others'!$B$12*'R&amp;S - Others'!$C$15*(AV$3-$D$3)/10</f>
        <v>26333.870776892436</v>
      </c>
      <c r="AW56" s="99">
        <f>AW54*'R&amp;S - Others'!$D$8*'R&amp;S - Others'!$B$12*'R&amp;S - Others'!$C$15*(AW$3-$D$3)/10</f>
        <v>28360.479785978259</v>
      </c>
      <c r="AX56" s="99">
        <f>AX54*'R&amp;S - Others'!$D$8*'R&amp;S - Others'!$B$12*'R&amp;S - Others'!$C$15*(AX$3-$D$3)/10</f>
        <v>30362.306816228152</v>
      </c>
      <c r="AY56" s="99">
        <f>AY54*'R&amp;S - Others'!$D$8*'R&amp;S - Others'!$B$12*'R&amp;S - Others'!$C$15*(AY$3-$D$3)/10</f>
        <v>32339.569622751227</v>
      </c>
      <c r="AZ56" s="99">
        <f>AZ54*'R&amp;S - Others'!$D$8*'R&amp;S - Others'!$B$12*'R&amp;S - Others'!$C$15*(AZ$3-$D$3)/10</f>
        <v>34202.507333416535</v>
      </c>
      <c r="BA56" s="99">
        <f>BA54*'R&amp;S - Others'!$D$8*'R&amp;S - Others'!$B$12*'R&amp;S - Others'!$C$15*(BA$3-$D$3)/10</f>
        <v>36031.396920833242</v>
      </c>
      <c r="BB56" s="99">
        <f>BB54*'R&amp;S - Others'!$D$8*'R&amp;S - Others'!$B$12*'R&amp;S - Others'!$C$15*(BB$3-$D$3)/10</f>
        <v>37826.67161813323</v>
      </c>
      <c r="BC56" s="99">
        <f>BC54*'R&amp;S - Others'!$D$8*'R&amp;S - Others'!$B$12*'R&amp;S - Others'!$C$15*(BC$3-$D$3)/10</f>
        <v>39588.759902397374</v>
      </c>
      <c r="BD56" s="99">
        <f>BD54*'R&amp;S - Others'!$D$8*'R&amp;S - Others'!$B$12*'R&amp;S - Others'!$C$15*(BD$3-$D$3)/10</f>
        <v>41318.085542711226</v>
      </c>
      <c r="BE56" s="99">
        <f>BE54*'R&amp;S - Others'!$D$8*'R&amp;S - Others'!$B$12*('R&amp;S - Others'!$C$16+('R&amp;S - Others'!$C$17-'R&amp;S - Others'!$C$16)*(BE$3-$X$3)/10)</f>
        <v>42991.226658418564</v>
      </c>
      <c r="BF56" s="99">
        <f>BF54*'R&amp;S - Others'!$D$8*'R&amp;S - Others'!$B$12*('R&amp;S - Others'!$C$16+('R&amp;S - Others'!$C$17-'R&amp;S - Others'!$C$16)*(BF$3-$X$3)/10)</f>
        <v>44624.369809958393</v>
      </c>
      <c r="BG56" s="99">
        <f>BG54*'R&amp;S - Others'!$D$8*'R&amp;S - Others'!$B$12*('R&amp;S - Others'!$C$16+('R&amp;S - Others'!$C$17-'R&amp;S - Others'!$C$16)*(BG$3-$X$3)/10)</f>
        <v>46218.117694561872</v>
      </c>
      <c r="BH56" s="99">
        <f>BH54*'R&amp;S - Others'!$D$8*'R&amp;S - Others'!$B$12*('R&amp;S - Others'!$C$16+('R&amp;S - Others'!$C$17-'R&amp;S - Others'!$C$16)*(BH$3-$X$3)/10)</f>
        <v>47773.065463037128</v>
      </c>
      <c r="BI56" s="99">
        <f>BI54*'R&amp;S - Others'!$D$8*'R&amp;S - Others'!$B$12*('R&amp;S - Others'!$C$16+('R&amp;S - Others'!$C$17-'R&amp;S - Others'!$C$16)*(BI$3-$X$3)/10)</f>
        <v>49289.800805035971</v>
      </c>
      <c r="BJ56" s="99">
        <f>BJ54*'R&amp;S - Others'!$D$8*'R&amp;S - Others'!$B$12*('R&amp;S - Others'!$C$16+('R&amp;S - Others'!$C$17-'R&amp;S - Others'!$C$16)*(BJ$3-$X$3)/10)</f>
        <v>50710.643475685523</v>
      </c>
      <c r="BK56" s="99">
        <f>BK54*'R&amp;S - Others'!$D$8*'R&amp;S - Others'!$B$12*('R&amp;S - Others'!$C$16+('R&amp;S - Others'!$C$17-'R&amp;S - Others'!$C$16)*(BK$3-$X$3)/10)</f>
        <v>52090.852908779387</v>
      </c>
      <c r="BL56" s="99">
        <f>BL54*'R&amp;S - Others'!$D$8*'R&amp;S - Others'!$B$12*('R&amp;S - Others'!$C$16+('R&amp;S - Others'!$C$17-'R&amp;S - Others'!$C$16)*(BL$3-$X$3)/10)</f>
        <v>53431.096622271783</v>
      </c>
      <c r="BM56" s="99">
        <f>BM54*'R&amp;S - Others'!$D$8*'R&amp;S - Others'!$B$12*('R&amp;S - Others'!$C$16+('R&amp;S - Others'!$C$17-'R&amp;S - Others'!$C$16)*(BM$3-$X$3)/10)</f>
        <v>54732.033238505268</v>
      </c>
      <c r="BN56" s="99">
        <f>BN54*'R&amp;S - Others'!$D$8*'R&amp;S - Others'!$B$12*('R&amp;S - Others'!$C$16+('R&amp;S - Others'!$C$17-'R&amp;S - Others'!$C$16)*(BN$3-$X$3)/10)</f>
        <v>55994.312590121932</v>
      </c>
    </row>
    <row r="57" spans="1:90" outlineLevel="1">
      <c r="A57" s="158"/>
      <c r="B57" s="158" t="s">
        <v>200</v>
      </c>
      <c r="C57" s="159" t="s">
        <v>1420</v>
      </c>
      <c r="D57" s="541">
        <f>D54-D55-D56</f>
        <v>2752333.0301990337</v>
      </c>
      <c r="E57" s="541">
        <f t="shared" ref="E57:AH57" si="43">E54-E55-E56</f>
        <v>2732484.2093520118</v>
      </c>
      <c r="F57" s="541">
        <f t="shared" si="43"/>
        <v>2712590.1175918221</v>
      </c>
      <c r="G57" s="541">
        <f t="shared" si="43"/>
        <v>2692652.939224381</v>
      </c>
      <c r="H57" s="541">
        <f t="shared" si="43"/>
        <v>2672674.8289496847</v>
      </c>
      <c r="I57" s="541">
        <f t="shared" si="43"/>
        <v>2644926.8316883426</v>
      </c>
      <c r="J57" s="541">
        <f t="shared" si="43"/>
        <v>2618486.9736696095</v>
      </c>
      <c r="K57" s="541">
        <f t="shared" si="43"/>
        <v>2592166.5444050184</v>
      </c>
      <c r="L57" s="541">
        <f t="shared" si="43"/>
        <v>2565965.7209969764</v>
      </c>
      <c r="M57" s="541">
        <f t="shared" si="43"/>
        <v>2539884.6698175333</v>
      </c>
      <c r="N57" s="541">
        <f t="shared" si="43"/>
        <v>2513923.5466594109</v>
      </c>
      <c r="O57" s="541">
        <f t="shared" si="43"/>
        <v>2481473.0873328238</v>
      </c>
      <c r="P57" s="541">
        <f t="shared" si="43"/>
        <v>2449315.9809457129</v>
      </c>
      <c r="Q57" s="541">
        <f t="shared" si="43"/>
        <v>2417449.9412905662</v>
      </c>
      <c r="R57" s="541">
        <f t="shared" si="43"/>
        <v>2385872.6983903609</v>
      </c>
      <c r="S57" s="541">
        <f t="shared" si="43"/>
        <v>2354581.9983918262</v>
      </c>
      <c r="T57" s="541">
        <f t="shared" si="43"/>
        <v>2317478.9817430112</v>
      </c>
      <c r="U57" s="541">
        <f t="shared" si="43"/>
        <v>2280832.3840510333</v>
      </c>
      <c r="V57" s="541">
        <f t="shared" si="43"/>
        <v>2244637.2410706393</v>
      </c>
      <c r="W57" s="541">
        <f t="shared" si="43"/>
        <v>2208888.6386371125</v>
      </c>
      <c r="X57" s="541">
        <f t="shared" si="43"/>
        <v>2173581.7121862629</v>
      </c>
      <c r="Y57" s="541">
        <f t="shared" si="43"/>
        <v>2133950.6857769489</v>
      </c>
      <c r="Z57" s="541">
        <f t="shared" si="43"/>
        <v>2094893.4926169477</v>
      </c>
      <c r="AA57" s="541">
        <f t="shared" si="43"/>
        <v>2056402.9689191938</v>
      </c>
      <c r="AB57" s="541">
        <f t="shared" si="43"/>
        <v>2018472.0322272165</v>
      </c>
      <c r="AC57" s="541">
        <f t="shared" si="43"/>
        <v>1981093.6805493971</v>
      </c>
      <c r="AD57" s="541">
        <f t="shared" si="43"/>
        <v>1942029.8279206972</v>
      </c>
      <c r="AE57" s="541">
        <f t="shared" si="43"/>
        <v>1903578.4287912073</v>
      </c>
      <c r="AF57" s="541">
        <f t="shared" si="43"/>
        <v>1865731.3395656792</v>
      </c>
      <c r="AG57" s="541">
        <f t="shared" si="43"/>
        <v>1828480.514154288</v>
      </c>
      <c r="AH57" s="541">
        <f t="shared" si="43"/>
        <v>1791818.0028839018</v>
      </c>
      <c r="AI57" s="178"/>
      <c r="AJ57" s="541">
        <f>AJ54-AJ55-AJ56</f>
        <v>2752333.0301990337</v>
      </c>
      <c r="AK57" s="541">
        <f t="shared" ref="AK57:BN57" si="44">AK54-AK55-AK56</f>
        <v>2741561.3161477251</v>
      </c>
      <c r="AL57" s="541">
        <f t="shared" si="44"/>
        <v>2730732.6943815523</v>
      </c>
      <c r="AM57" s="541">
        <f t="shared" si="44"/>
        <v>2719848.6789696589</v>
      </c>
      <c r="AN57" s="541">
        <f t="shared" si="44"/>
        <v>2708910.7654144913</v>
      </c>
      <c r="AO57" s="541">
        <f t="shared" si="44"/>
        <v>2690057.4342972953</v>
      </c>
      <c r="AP57" s="541">
        <f t="shared" si="44"/>
        <v>2672470.7742513032</v>
      </c>
      <c r="AQ57" s="541">
        <f t="shared" si="44"/>
        <v>2654946.0025469312</v>
      </c>
      <c r="AR57" s="541">
        <f t="shared" si="44"/>
        <v>2637483.346666656</v>
      </c>
      <c r="AS57" s="541">
        <f t="shared" si="44"/>
        <v>2620083.0269231899</v>
      </c>
      <c r="AT57" s="541">
        <f t="shared" si="44"/>
        <v>2602745.2565520881</v>
      </c>
      <c r="AU57" s="541">
        <f t="shared" si="44"/>
        <v>2578602.1288145809</v>
      </c>
      <c r="AV57" s="541">
        <f t="shared" si="44"/>
        <v>2554651.464053282</v>
      </c>
      <c r="AW57" s="541">
        <f t="shared" si="44"/>
        <v>2530891.8604344791</v>
      </c>
      <c r="AX57" s="541">
        <f t="shared" si="44"/>
        <v>2507321.9256552733</v>
      </c>
      <c r="AY57" s="541">
        <f t="shared" si="44"/>
        <v>2483940.2768828315</v>
      </c>
      <c r="AZ57" s="541">
        <f t="shared" si="44"/>
        <v>2454289.0110766776</v>
      </c>
      <c r="BA57" s="541">
        <f t="shared" si="44"/>
        <v>2424957.9717343664</v>
      </c>
      <c r="BB57" s="541">
        <f t="shared" si="44"/>
        <v>2395943.9275431726</v>
      </c>
      <c r="BC57" s="541">
        <f t="shared" si="44"/>
        <v>2367243.6782467025</v>
      </c>
      <c r="BD57" s="541">
        <f t="shared" si="44"/>
        <v>2338854.0543571073</v>
      </c>
      <c r="BE57" s="541">
        <f t="shared" si="44"/>
        <v>2305915.5924106226</v>
      </c>
      <c r="BF57" s="541">
        <f t="shared" si="44"/>
        <v>2273390.9718567808</v>
      </c>
      <c r="BG57" s="541">
        <f t="shared" si="44"/>
        <v>2241275.4396974412</v>
      </c>
      <c r="BH57" s="541">
        <f t="shared" si="44"/>
        <v>2209564.2940793652</v>
      </c>
      <c r="BI57" s="541">
        <f t="shared" si="44"/>
        <v>2178252.883769541</v>
      </c>
      <c r="BJ57" s="541">
        <f t="shared" si="44"/>
        <v>2144872.4018234387</v>
      </c>
      <c r="BK57" s="541">
        <f t="shared" si="44"/>
        <v>2111941.8404263249</v>
      </c>
      <c r="BL57" s="541">
        <f t="shared" si="44"/>
        <v>2079455.7260547664</v>
      </c>
      <c r="BM57" s="541">
        <f t="shared" si="44"/>
        <v>2047408.6471083087</v>
      </c>
      <c r="BN57" s="541">
        <f t="shared" si="44"/>
        <v>2015795.2532443895</v>
      </c>
    </row>
    <row r="58" spans="1:90" s="61" customFormat="1" outlineLevel="1">
      <c r="A58" s="602"/>
      <c r="B58" s="54" t="s">
        <v>88</v>
      </c>
      <c r="C58" s="55" t="s">
        <v>1420</v>
      </c>
      <c r="D58" s="580">
        <f>D5-D24-D35-D42-D51</f>
        <v>1303062.3227515232</v>
      </c>
      <c r="E58" s="580">
        <f>E$57*$D58/SUM($D$58:$D$60)</f>
        <v>1293665.1130704954</v>
      </c>
      <c r="F58" s="580">
        <f t="shared" ref="F58:AH60" si="45">F$57*$D58/SUM($D$58:$D$60)</f>
        <v>1284246.4703649688</v>
      </c>
      <c r="G58" s="580">
        <f t="shared" si="45"/>
        <v>1274807.4287709685</v>
      </c>
      <c r="H58" s="580">
        <f t="shared" si="45"/>
        <v>1265349.0084079178</v>
      </c>
      <c r="I58" s="580">
        <f t="shared" si="45"/>
        <v>1252212.0190369575</v>
      </c>
      <c r="J58" s="580">
        <f t="shared" si="45"/>
        <v>1239694.3540505299</v>
      </c>
      <c r="K58" s="580">
        <f t="shared" si="45"/>
        <v>1227233.2313168268</v>
      </c>
      <c r="L58" s="580">
        <f t="shared" si="45"/>
        <v>1214828.7346830685</v>
      </c>
      <c r="M58" s="580">
        <f t="shared" si="45"/>
        <v>1202480.9429163036</v>
      </c>
      <c r="N58" s="580">
        <f t="shared" si="45"/>
        <v>1190189.9297749125</v>
      </c>
      <c r="O58" s="580">
        <f t="shared" si="45"/>
        <v>1174826.6105688065</v>
      </c>
      <c r="P58" s="580">
        <f t="shared" si="45"/>
        <v>1159602.176140998</v>
      </c>
      <c r="Q58" s="580">
        <f t="shared" si="45"/>
        <v>1144515.5441112525</v>
      </c>
      <c r="R58" s="580">
        <f t="shared" si="45"/>
        <v>1129565.6397834849</v>
      </c>
      <c r="S58" s="580">
        <f t="shared" si="45"/>
        <v>1114751.3960952261</v>
      </c>
      <c r="T58" s="580">
        <f t="shared" si="45"/>
        <v>1097185.3739151277</v>
      </c>
      <c r="U58" s="580">
        <f t="shared" si="45"/>
        <v>1079835.4383566405</v>
      </c>
      <c r="V58" s="580">
        <f t="shared" si="45"/>
        <v>1062699.2391515083</v>
      </c>
      <c r="W58" s="580">
        <f t="shared" si="45"/>
        <v>1045774.4497415641</v>
      </c>
      <c r="X58" s="580">
        <f t="shared" si="45"/>
        <v>1029058.7670514741</v>
      </c>
      <c r="Y58" s="580">
        <f t="shared" si="45"/>
        <v>1010295.8859759185</v>
      </c>
      <c r="Z58" s="580">
        <f t="shared" si="45"/>
        <v>991804.68004959729</v>
      </c>
      <c r="AA58" s="580">
        <f t="shared" si="45"/>
        <v>973581.75765495864</v>
      </c>
      <c r="AB58" s="580">
        <f t="shared" si="45"/>
        <v>955623.76567954186</v>
      </c>
      <c r="AC58" s="580">
        <f t="shared" si="45"/>
        <v>937927.38910610054</v>
      </c>
      <c r="AD58" s="580">
        <f t="shared" si="45"/>
        <v>919433.03032630717</v>
      </c>
      <c r="AE58" s="580">
        <f t="shared" si="45"/>
        <v>901228.63103560952</v>
      </c>
      <c r="AF58" s="580">
        <f t="shared" si="45"/>
        <v>883310.33573686273</v>
      </c>
      <c r="AG58" s="580">
        <f t="shared" si="45"/>
        <v>865674.33509581082</v>
      </c>
      <c r="AH58" s="580">
        <f t="shared" si="45"/>
        <v>848316.86542563827</v>
      </c>
      <c r="AI58" s="580"/>
      <c r="AJ58" s="580">
        <f>AJ5-AJ24-AJ35-AJ42-AJ51</f>
        <v>1303062.3227515232</v>
      </c>
      <c r="AK58" s="580">
        <f>AK$57*$D58/SUM($D$58:$D$60)</f>
        <v>1297962.5711670655</v>
      </c>
      <c r="AL58" s="580">
        <f t="shared" ref="AL58:BN60" si="46">AL$57*$D58/SUM($D$58:$D$60)</f>
        <v>1292835.8772401295</v>
      </c>
      <c r="AM58" s="580">
        <f t="shared" si="46"/>
        <v>1287682.9577903855</v>
      </c>
      <c r="AN58" s="580">
        <f t="shared" si="46"/>
        <v>1282504.5208473019</v>
      </c>
      <c r="AO58" s="580">
        <f t="shared" si="46"/>
        <v>1273578.6150184565</v>
      </c>
      <c r="AP58" s="580">
        <f t="shared" si="46"/>
        <v>1265252.4009166281</v>
      </c>
      <c r="AQ58" s="580">
        <f t="shared" si="46"/>
        <v>1256955.4871811788</v>
      </c>
      <c r="AR58" s="580">
        <f t="shared" si="46"/>
        <v>1248687.9815112285</v>
      </c>
      <c r="AS58" s="580">
        <f t="shared" si="46"/>
        <v>1240449.9882114495</v>
      </c>
      <c r="AT58" s="580">
        <f>AT$57*$D58/SUM($D$58:$D$60)</f>
        <v>1232241.6082359103</v>
      </c>
      <c r="AU58" s="580">
        <f t="shared" si="46"/>
        <v>1220811.305375414</v>
      </c>
      <c r="AV58" s="580">
        <f t="shared" si="46"/>
        <v>1209472.122030641</v>
      </c>
      <c r="AW58" s="580">
        <f t="shared" si="46"/>
        <v>1198223.3945185733</v>
      </c>
      <c r="AX58" s="580">
        <f t="shared" si="46"/>
        <v>1187064.4636684528</v>
      </c>
      <c r="AY58" s="580">
        <f t="shared" si="46"/>
        <v>1175994.6747930218</v>
      </c>
      <c r="AZ58" s="580">
        <f t="shared" si="46"/>
        <v>1161956.6035022463</v>
      </c>
      <c r="BA58" s="580">
        <f t="shared" si="46"/>
        <v>1148070.1399693997</v>
      </c>
      <c r="BB58" s="580">
        <f t="shared" si="46"/>
        <v>1134333.7543643997</v>
      </c>
      <c r="BC58" s="580">
        <f t="shared" si="46"/>
        <v>1120745.9315604486</v>
      </c>
      <c r="BD58" s="580">
        <f t="shared" si="46"/>
        <v>1107305.170997784</v>
      </c>
      <c r="BE58" s="580">
        <f t="shared" si="46"/>
        <v>1091710.8122261839</v>
      </c>
      <c r="BF58" s="580">
        <f t="shared" si="46"/>
        <v>1076312.3821886545</v>
      </c>
      <c r="BG58" s="580">
        <f t="shared" si="46"/>
        <v>1061107.6306296021</v>
      </c>
      <c r="BH58" s="580">
        <f t="shared" si="46"/>
        <v>1046094.3315074338</v>
      </c>
      <c r="BI58" s="580">
        <f t="shared" si="46"/>
        <v>1031270.2827461562</v>
      </c>
      <c r="BJ58" s="580">
        <f t="shared" si="46"/>
        <v>1015466.6543836001</v>
      </c>
      <c r="BK58" s="580">
        <f t="shared" si="46"/>
        <v>999876.03604170133</v>
      </c>
      <c r="BL58" s="580">
        <f t="shared" si="46"/>
        <v>984495.83633995464</v>
      </c>
      <c r="BM58" s="580">
        <f t="shared" si="46"/>
        <v>969323.4932146197</v>
      </c>
      <c r="BN58" s="580">
        <f t="shared" si="46"/>
        <v>954356.47360384325</v>
      </c>
      <c r="BQ58" s="649"/>
      <c r="BR58" s="649"/>
      <c r="BS58" s="649"/>
      <c r="BT58" s="649"/>
      <c r="BU58" s="649"/>
      <c r="BV58" s="649"/>
      <c r="BW58" s="649"/>
      <c r="BX58" s="649"/>
      <c r="BY58" s="649"/>
      <c r="BZ58" s="649"/>
      <c r="CA58" s="649"/>
      <c r="CB58" s="649"/>
      <c r="CC58" s="649"/>
      <c r="CD58" s="649"/>
      <c r="CE58" s="649"/>
      <c r="CF58" s="649"/>
      <c r="CG58" s="649"/>
      <c r="CH58" s="649"/>
      <c r="CI58" s="649"/>
      <c r="CJ58" s="649"/>
      <c r="CK58" s="649"/>
      <c r="CL58" s="649"/>
    </row>
    <row r="59" spans="1:90" outlineLevel="1">
      <c r="A59" s="603"/>
      <c r="B59" s="1" t="s">
        <v>717</v>
      </c>
      <c r="C59" s="50" t="s">
        <v>1420</v>
      </c>
      <c r="D59" s="576">
        <f>D6-D9-D25-D36-D43-D52</f>
        <v>235439.23883849592</v>
      </c>
      <c r="E59" s="576">
        <f t="shared" ref="E59:T60" si="47">E$57*$D59/SUM($D$58:$D$60)</f>
        <v>233741.33701455622</v>
      </c>
      <c r="F59" s="576">
        <f t="shared" si="47"/>
        <v>232039.56263986745</v>
      </c>
      <c r="G59" s="576">
        <f t="shared" si="47"/>
        <v>230334.10256366502</v>
      </c>
      <c r="H59" s="576">
        <f t="shared" si="47"/>
        <v>228625.14110264377</v>
      </c>
      <c r="I59" s="576">
        <f t="shared" si="47"/>
        <v>226251.53032123676</v>
      </c>
      <c r="J59" s="576">
        <f t="shared" si="47"/>
        <v>223989.81999089991</v>
      </c>
      <c r="K59" s="576">
        <f t="shared" si="47"/>
        <v>221738.32579889451</v>
      </c>
      <c r="L59" s="576">
        <f t="shared" si="47"/>
        <v>219497.06289486101</v>
      </c>
      <c r="M59" s="576">
        <f t="shared" si="47"/>
        <v>217266.04551054689</v>
      </c>
      <c r="N59" s="576">
        <f t="shared" si="47"/>
        <v>215045.28697272605</v>
      </c>
      <c r="O59" s="576">
        <f t="shared" si="47"/>
        <v>212269.41960493926</v>
      </c>
      <c r="P59" s="576">
        <f t="shared" si="47"/>
        <v>209518.64614549259</v>
      </c>
      <c r="Q59" s="576">
        <f t="shared" si="47"/>
        <v>206792.77102831518</v>
      </c>
      <c r="R59" s="576">
        <f t="shared" si="47"/>
        <v>204091.60007571973</v>
      </c>
      <c r="S59" s="576">
        <f t="shared" si="47"/>
        <v>201414.94048927209</v>
      </c>
      <c r="T59" s="576">
        <f t="shared" si="47"/>
        <v>198241.08547152471</v>
      </c>
      <c r="U59" s="576">
        <f t="shared" si="45"/>
        <v>195106.27330600857</v>
      </c>
      <c r="V59" s="576">
        <f t="shared" si="45"/>
        <v>192010.07934275904</v>
      </c>
      <c r="W59" s="576">
        <f t="shared" si="45"/>
        <v>188952.08321578565</v>
      </c>
      <c r="X59" s="576">
        <f t="shared" si="45"/>
        <v>185931.86880201116</v>
      </c>
      <c r="Y59" s="576">
        <f t="shared" si="45"/>
        <v>182541.7635386512</v>
      </c>
      <c r="Z59" s="576">
        <f t="shared" si="45"/>
        <v>179200.74494538386</v>
      </c>
      <c r="AA59" s="576">
        <f t="shared" si="45"/>
        <v>175908.20021970474</v>
      </c>
      <c r="AB59" s="576">
        <f t="shared" si="45"/>
        <v>172663.52351626652</v>
      </c>
      <c r="AC59" s="576">
        <f t="shared" si="45"/>
        <v>169466.11587282192</v>
      </c>
      <c r="AD59" s="576">
        <f t="shared" si="45"/>
        <v>166124.52761729923</v>
      </c>
      <c r="AE59" s="576">
        <f t="shared" si="45"/>
        <v>162835.32967359413</v>
      </c>
      <c r="AF59" s="576">
        <f t="shared" si="45"/>
        <v>159597.82542474725</v>
      </c>
      <c r="AG59" s="576">
        <f t="shared" si="45"/>
        <v>156411.32659457863</v>
      </c>
      <c r="AH59" s="576">
        <f t="shared" si="45"/>
        <v>153275.15315455588</v>
      </c>
      <c r="AI59" s="576"/>
      <c r="AJ59" s="576">
        <f>AJ6-AJ9-AJ25-AJ36-AJ43-AJ52</f>
        <v>235439.23883849592</v>
      </c>
      <c r="AK59" s="576">
        <f t="shared" ref="AK59:AZ60" si="48">AK$57*$D59/SUM($D$58:$D$60)</f>
        <v>234517.8081361065</v>
      </c>
      <c r="AL59" s="576">
        <f t="shared" si="48"/>
        <v>233591.50945120014</v>
      </c>
      <c r="AM59" s="576">
        <f t="shared" si="48"/>
        <v>232660.47229982121</v>
      </c>
      <c r="AN59" s="576">
        <f t="shared" si="48"/>
        <v>231724.82460978723</v>
      </c>
      <c r="AO59" s="576">
        <f t="shared" si="48"/>
        <v>230112.07866694551</v>
      </c>
      <c r="AP59" s="576">
        <f t="shared" si="48"/>
        <v>228607.68591740954</v>
      </c>
      <c r="AQ59" s="576">
        <f t="shared" si="48"/>
        <v>227108.5872016566</v>
      </c>
      <c r="AR59" s="576">
        <f t="shared" si="48"/>
        <v>225614.80197892388</v>
      </c>
      <c r="AS59" s="576">
        <f t="shared" si="48"/>
        <v>224126.34909513465</v>
      </c>
      <c r="AT59" s="576">
        <f t="shared" si="48"/>
        <v>222643.24679082021</v>
      </c>
      <c r="AU59" s="576">
        <f t="shared" si="48"/>
        <v>220578.00266689667</v>
      </c>
      <c r="AV59" s="576">
        <f t="shared" si="48"/>
        <v>218529.22215261843</v>
      </c>
      <c r="AW59" s="576">
        <f t="shared" si="48"/>
        <v>216496.78533275044</v>
      </c>
      <c r="AX59" s="576">
        <f t="shared" si="48"/>
        <v>214480.57310733965</v>
      </c>
      <c r="AY59" s="576">
        <f t="shared" si="48"/>
        <v>212480.46718651848</v>
      </c>
      <c r="AZ59" s="576">
        <f t="shared" si="48"/>
        <v>209944.04758343945</v>
      </c>
      <c r="BA59" s="576">
        <f t="shared" si="46"/>
        <v>207435.02069558628</v>
      </c>
      <c r="BB59" s="576">
        <f t="shared" si="46"/>
        <v>204953.1101109841</v>
      </c>
      <c r="BC59" s="576">
        <f t="shared" si="46"/>
        <v>202498.04207426932</v>
      </c>
      <c r="BD59" s="576">
        <f t="shared" si="46"/>
        <v>200069.54546207187</v>
      </c>
      <c r="BE59" s="576">
        <f t="shared" si="46"/>
        <v>197251.93352190984</v>
      </c>
      <c r="BF59" s="576">
        <f t="shared" si="46"/>
        <v>194469.72227687252</v>
      </c>
      <c r="BG59" s="576">
        <f t="shared" si="46"/>
        <v>191722.50514743183</v>
      </c>
      <c r="BH59" s="576">
        <f t="shared" si="46"/>
        <v>189009.87992908148</v>
      </c>
      <c r="BI59" s="576">
        <f t="shared" si="46"/>
        <v>186331.44874745529</v>
      </c>
      <c r="BJ59" s="576">
        <f t="shared" si="46"/>
        <v>183476.0256663014</v>
      </c>
      <c r="BK59" s="576">
        <f t="shared" si="46"/>
        <v>180659.08955254187</v>
      </c>
      <c r="BL59" s="576">
        <f t="shared" si="46"/>
        <v>177880.17219169223</v>
      </c>
      <c r="BM59" s="576">
        <f t="shared" si="46"/>
        <v>175138.81066626465</v>
      </c>
      <c r="BN59" s="576">
        <f>BN$57*$D59/SUM($D$58:$D$60)</f>
        <v>172434.54729887538</v>
      </c>
    </row>
    <row r="60" spans="1:90" s="62" customFormat="1" outlineLevel="1">
      <c r="A60" s="604"/>
      <c r="B60" s="58" t="s">
        <v>1170</v>
      </c>
      <c r="C60" s="233" t="s">
        <v>1420</v>
      </c>
      <c r="D60" s="579">
        <f>D7-D26-D37-D44-D53</f>
        <v>1213831.4686090143</v>
      </c>
      <c r="E60" s="579">
        <f t="shared" si="47"/>
        <v>1205077.7592669602</v>
      </c>
      <c r="F60" s="579">
        <f t="shared" si="45"/>
        <v>1196304.0845869861</v>
      </c>
      <c r="G60" s="579">
        <f t="shared" si="45"/>
        <v>1187511.4078897478</v>
      </c>
      <c r="H60" s="579">
        <f t="shared" si="45"/>
        <v>1178700.6794391235</v>
      </c>
      <c r="I60" s="579">
        <f t="shared" si="45"/>
        <v>1166463.2823301484</v>
      </c>
      <c r="J60" s="579">
        <f t="shared" si="45"/>
        <v>1154802.79962818</v>
      </c>
      <c r="K60" s="579">
        <f t="shared" si="45"/>
        <v>1143194.9872892974</v>
      </c>
      <c r="L60" s="579">
        <f t="shared" si="45"/>
        <v>1131639.9234190471</v>
      </c>
      <c r="M60" s="579">
        <f t="shared" si="45"/>
        <v>1120137.6813906829</v>
      </c>
      <c r="N60" s="579">
        <f t="shared" si="45"/>
        <v>1108688.3299117726</v>
      </c>
      <c r="O60" s="579">
        <f t="shared" si="45"/>
        <v>1094377.0571590783</v>
      </c>
      <c r="P60" s="579">
        <f t="shared" si="45"/>
        <v>1080195.1586592225</v>
      </c>
      <c r="Q60" s="579">
        <f t="shared" si="45"/>
        <v>1066141.6261509988</v>
      </c>
      <c r="R60" s="579">
        <f t="shared" si="45"/>
        <v>1052215.4585311566</v>
      </c>
      <c r="S60" s="579">
        <f t="shared" si="45"/>
        <v>1038415.6618073281</v>
      </c>
      <c r="T60" s="579">
        <f t="shared" si="45"/>
        <v>1022052.5223563588</v>
      </c>
      <c r="U60" s="579">
        <f t="shared" si="45"/>
        <v>1005890.6723883844</v>
      </c>
      <c r="V60" s="579">
        <f t="shared" si="45"/>
        <v>989927.92257637216</v>
      </c>
      <c r="W60" s="579">
        <f t="shared" si="45"/>
        <v>974162.10567976278</v>
      </c>
      <c r="X60" s="579">
        <f t="shared" si="45"/>
        <v>958591.07633277797</v>
      </c>
      <c r="Y60" s="579">
        <f t="shared" si="45"/>
        <v>941113.03626237938</v>
      </c>
      <c r="Z60" s="579">
        <f t="shared" si="45"/>
        <v>923888.06762196671</v>
      </c>
      <c r="AA60" s="579">
        <f t="shared" si="45"/>
        <v>906913.01104453055</v>
      </c>
      <c r="AB60" s="579">
        <f t="shared" si="45"/>
        <v>890184.7430314084</v>
      </c>
      <c r="AC60" s="579">
        <f t="shared" si="45"/>
        <v>873700.1755704747</v>
      </c>
      <c r="AD60" s="579">
        <f t="shared" si="45"/>
        <v>856472.269977091</v>
      </c>
      <c r="AE60" s="579">
        <f t="shared" si="45"/>
        <v>839514.46808200388</v>
      </c>
      <c r="AF60" s="579">
        <f t="shared" si="45"/>
        <v>822823.17840406939</v>
      </c>
      <c r="AG60" s="579">
        <f t="shared" si="45"/>
        <v>806394.85246389871</v>
      </c>
      <c r="AH60" s="579">
        <f t="shared" si="45"/>
        <v>790225.98430370772</v>
      </c>
      <c r="AI60" s="579"/>
      <c r="AJ60" s="579">
        <f>AJ7-AJ26-AJ37-AJ44-AJ53</f>
        <v>1213831.4686090143</v>
      </c>
      <c r="AK60" s="579">
        <f t="shared" si="48"/>
        <v>1209080.9368445533</v>
      </c>
      <c r="AL60" s="579">
        <f t="shared" si="46"/>
        <v>1204305.3076902227</v>
      </c>
      <c r="AM60" s="579">
        <f t="shared" si="46"/>
        <v>1199505.2488794522</v>
      </c>
      <c r="AN60" s="579">
        <f t="shared" si="46"/>
        <v>1194681.4199574024</v>
      </c>
      <c r="AO60" s="579">
        <f t="shared" si="46"/>
        <v>1186366.7406118934</v>
      </c>
      <c r="AP60" s="579">
        <f t="shared" si="46"/>
        <v>1178610.687417266</v>
      </c>
      <c r="AQ60" s="579">
        <f t="shared" si="46"/>
        <v>1170881.9281640961</v>
      </c>
      <c r="AR60" s="579">
        <f t="shared" si="46"/>
        <v>1163180.5631765039</v>
      </c>
      <c r="AS60" s="579">
        <f t="shared" si="46"/>
        <v>1155506.6896166061</v>
      </c>
      <c r="AT60" s="579">
        <f t="shared" si="46"/>
        <v>1147860.4015253577</v>
      </c>
      <c r="AU60" s="579">
        <f t="shared" si="46"/>
        <v>1137212.8207722707</v>
      </c>
      <c r="AV60" s="579">
        <f t="shared" si="46"/>
        <v>1126650.1198700229</v>
      </c>
      <c r="AW60" s="579">
        <f t="shared" si="46"/>
        <v>1116171.6805831557</v>
      </c>
      <c r="AX60" s="579">
        <f t="shared" si="46"/>
        <v>1105776.8888794812</v>
      </c>
      <c r="AY60" s="579">
        <f t="shared" si="46"/>
        <v>1095465.1349032915</v>
      </c>
      <c r="AZ60" s="579">
        <f t="shared" si="46"/>
        <v>1082388.3599909919</v>
      </c>
      <c r="BA60" s="579">
        <f t="shared" si="46"/>
        <v>1069452.8110693805</v>
      </c>
      <c r="BB60" s="579">
        <f t="shared" si="46"/>
        <v>1056657.0630677892</v>
      </c>
      <c r="BC60" s="579">
        <f t="shared" si="46"/>
        <v>1043999.7046119848</v>
      </c>
      <c r="BD60" s="579">
        <f t="shared" si="46"/>
        <v>1031479.3378972516</v>
      </c>
      <c r="BE60" s="579">
        <f t="shared" si="46"/>
        <v>1016952.846662529</v>
      </c>
      <c r="BF60" s="579">
        <f t="shared" si="46"/>
        <v>1002608.8673912539</v>
      </c>
      <c r="BG60" s="579">
        <f t="shared" si="46"/>
        <v>988445.30392040743</v>
      </c>
      <c r="BH60" s="579">
        <f t="shared" si="46"/>
        <v>974460.08264285012</v>
      </c>
      <c r="BI60" s="579">
        <f t="shared" si="46"/>
        <v>960651.15227592981</v>
      </c>
      <c r="BJ60" s="579">
        <f t="shared" si="46"/>
        <v>945929.72177353734</v>
      </c>
      <c r="BK60" s="579">
        <f t="shared" si="46"/>
        <v>931406.71483208169</v>
      </c>
      <c r="BL60" s="579">
        <f t="shared" si="46"/>
        <v>917079.71752311965</v>
      </c>
      <c r="BM60" s="579">
        <f t="shared" si="46"/>
        <v>902946.34322742443</v>
      </c>
      <c r="BN60" s="579">
        <f t="shared" si="46"/>
        <v>889004.23234167125</v>
      </c>
      <c r="BQ60" s="623"/>
      <c r="BR60" s="623"/>
      <c r="BS60" s="623"/>
      <c r="BT60" s="623"/>
      <c r="BU60" s="623"/>
      <c r="BV60" s="623"/>
      <c r="BW60" s="623"/>
      <c r="BX60" s="623"/>
      <c r="BY60" s="623"/>
      <c r="BZ60" s="623"/>
      <c r="CA60" s="623"/>
      <c r="CB60" s="623"/>
      <c r="CC60" s="623"/>
      <c r="CD60" s="623"/>
      <c r="CE60" s="623"/>
      <c r="CF60" s="623"/>
      <c r="CG60" s="623"/>
      <c r="CH60" s="623"/>
      <c r="CI60" s="623"/>
      <c r="CJ60" s="623"/>
      <c r="CK60" s="623"/>
      <c r="CL60" s="623"/>
    </row>
    <row r="61" spans="1:90" s="61" customFormat="1" outlineLevel="2">
      <c r="B61" s="54" t="s">
        <v>198</v>
      </c>
      <c r="C61" s="55" t="s">
        <v>1420</v>
      </c>
      <c r="D61" s="571">
        <f>SUM('Demand - Wind'!D39:D40)</f>
        <v>0</v>
      </c>
      <c r="E61" s="571">
        <f>SUM('Demand - Wind'!E39:E40)</f>
        <v>619.8182880041312</v>
      </c>
      <c r="F61" s="571">
        <f>SUM('Demand - Wind'!F39:F40)</f>
        <v>651.84248112759497</v>
      </c>
      <c r="G61" s="571">
        <f>SUM('Demand - Wind'!G39:G40)</f>
        <v>685.5212703884356</v>
      </c>
      <c r="H61" s="571">
        <f>SUM('Demand - Wind'!H39:H40)</f>
        <v>720.94014391643805</v>
      </c>
      <c r="I61" s="571">
        <f>SUM('Demand - Wind'!I39:I40)</f>
        <v>758.18900676232317</v>
      </c>
      <c r="J61" s="571">
        <f>SUM('Demand - Wind'!J39:J40)</f>
        <v>797.36240910710899</v>
      </c>
      <c r="K61" s="571">
        <f>SUM('Demand - Wind'!K39:K40)</f>
        <v>838.55978626237072</v>
      </c>
      <c r="L61" s="571">
        <f>SUM('Demand - Wind'!L39:L40)</f>
        <v>881.885711070605</v>
      </c>
      <c r="M61" s="571">
        <f>SUM('Demand - Wind'!M39:M40)</f>
        <v>927.4501593463865</v>
      </c>
      <c r="N61" s="571">
        <f>SUM('Demand - Wind'!N39:N40)</f>
        <v>975.36878903208719</v>
      </c>
      <c r="O61" s="571">
        <f>SUM('Demand - Wind'!O39:O40)</f>
        <v>1025.7632337767577</v>
      </c>
      <c r="P61" s="571">
        <f>SUM('Demand - Wind'!P39:P40)</f>
        <v>1078.7614116833674</v>
      </c>
      <c r="Q61" s="571">
        <f>SUM('Demand - Wind'!Q39:Q40)</f>
        <v>1134.4978500081056</v>
      </c>
      <c r="R61" s="571">
        <f>SUM('Demand - Wind'!R39:R40)</f>
        <v>1193.1140266359421</v>
      </c>
      <c r="S61" s="571">
        <f>SUM('Demand - Wind'!S39:S40)</f>
        <v>1254.7587291992313</v>
      </c>
      <c r="T61" s="571">
        <f>SUM('Demand - Wind'!T39:T40)</f>
        <v>1319.588432750927</v>
      </c>
      <c r="U61" s="571">
        <f>SUM('Demand - Wind'!U39:U40)</f>
        <v>1387.767696951051</v>
      </c>
      <c r="V61" s="571">
        <f>SUM('Demand - Wind'!V39:V40)</f>
        <v>1459.4695837746376</v>
      </c>
      <c r="W61" s="571">
        <f>SUM('Demand - Wind'!W39:W40)</f>
        <v>1534.8760968014149</v>
      </c>
      <c r="X61" s="571">
        <f>SUM('Demand - Wind'!X39:X40)</f>
        <v>1614.178643202283</v>
      </c>
      <c r="Y61" s="571">
        <f>SUM('Demand - Wind'!Y39:Y40)</f>
        <v>1697.5785195953056</v>
      </c>
      <c r="Z61" s="571">
        <f>SUM('Demand - Wind'!Z39:Z40)</f>
        <v>1785.2874230044281</v>
      </c>
      <c r="AA61" s="571">
        <f>SUM('Demand - Wind'!AA39:AA40)</f>
        <v>1877.5279882179548</v>
      </c>
      <c r="AB61" s="571">
        <f>SUM('Demand - Wind'!AB39:AB40)</f>
        <v>1974.5343529107563</v>
      </c>
      <c r="AC61" s="571">
        <f>SUM('Demand - Wind'!AC39:AC40)</f>
        <v>2076.5527519646826</v>
      </c>
      <c r="AD61" s="571">
        <f>SUM('Demand - Wind'!AD39:AD40)</f>
        <v>2183.8421424957478</v>
      </c>
      <c r="AE61" s="571">
        <f>SUM('Demand - Wind'!AE39:AE40)</f>
        <v>2296.6748611747053</v>
      </c>
      <c r="AF61" s="571">
        <f>SUM('Demand - Wind'!AF39:AF40)</f>
        <v>2415.337315509335</v>
      </c>
      <c r="AG61" s="571">
        <f>SUM('Demand - Wind'!AG39:AG40)</f>
        <v>2540.1307108433839</v>
      </c>
      <c r="AH61" s="571">
        <f>SUM('Demand - Wind'!AH39:AH40)</f>
        <v>2671.3718149173355</v>
      </c>
      <c r="AI61" s="580"/>
      <c r="AJ61" s="571">
        <f>D61</f>
        <v>0</v>
      </c>
      <c r="AK61" s="571">
        <f t="shared" ref="AK61:BN62" si="49">E61</f>
        <v>619.8182880041312</v>
      </c>
      <c r="AL61" s="571">
        <f t="shared" si="49"/>
        <v>651.84248112759497</v>
      </c>
      <c r="AM61" s="571">
        <f t="shared" si="49"/>
        <v>685.5212703884356</v>
      </c>
      <c r="AN61" s="571">
        <f t="shared" si="49"/>
        <v>720.94014391643805</v>
      </c>
      <c r="AO61" s="571">
        <f t="shared" si="49"/>
        <v>758.18900676232317</v>
      </c>
      <c r="AP61" s="571">
        <f t="shared" si="49"/>
        <v>797.36240910710899</v>
      </c>
      <c r="AQ61" s="571">
        <f t="shared" si="49"/>
        <v>838.55978626237072</v>
      </c>
      <c r="AR61" s="571">
        <f t="shared" si="49"/>
        <v>881.885711070605</v>
      </c>
      <c r="AS61" s="571">
        <f t="shared" si="49"/>
        <v>927.4501593463865</v>
      </c>
      <c r="AT61" s="571">
        <f t="shared" si="49"/>
        <v>975.36878903208719</v>
      </c>
      <c r="AU61" s="571">
        <f t="shared" si="49"/>
        <v>1025.7632337767577</v>
      </c>
      <c r="AV61" s="571">
        <f t="shared" si="49"/>
        <v>1078.7614116833674</v>
      </c>
      <c r="AW61" s="571">
        <f t="shared" si="49"/>
        <v>1134.4978500081056</v>
      </c>
      <c r="AX61" s="571">
        <f t="shared" si="49"/>
        <v>1193.1140266359421</v>
      </c>
      <c r="AY61" s="571">
        <f t="shared" si="49"/>
        <v>1254.7587291992313</v>
      </c>
      <c r="AZ61" s="571">
        <f t="shared" si="49"/>
        <v>1319.588432750927</v>
      </c>
      <c r="BA61" s="571">
        <f t="shared" si="49"/>
        <v>1387.767696951051</v>
      </c>
      <c r="BB61" s="571">
        <f t="shared" si="49"/>
        <v>1459.4695837746376</v>
      </c>
      <c r="BC61" s="571">
        <f t="shared" si="49"/>
        <v>1534.8760968014149</v>
      </c>
      <c r="BD61" s="571">
        <f t="shared" si="49"/>
        <v>1614.178643202283</v>
      </c>
      <c r="BE61" s="571">
        <f t="shared" si="49"/>
        <v>1697.5785195953056</v>
      </c>
      <c r="BF61" s="571">
        <f t="shared" si="49"/>
        <v>1785.2874230044281</v>
      </c>
      <c r="BG61" s="571">
        <f t="shared" si="49"/>
        <v>1877.5279882179548</v>
      </c>
      <c r="BH61" s="571">
        <f t="shared" si="49"/>
        <v>1974.5343529107563</v>
      </c>
      <c r="BI61" s="571">
        <f t="shared" si="49"/>
        <v>2076.5527519646826</v>
      </c>
      <c r="BJ61" s="571">
        <f t="shared" si="49"/>
        <v>2183.8421424957478</v>
      </c>
      <c r="BK61" s="571">
        <f t="shared" si="49"/>
        <v>2296.6748611747053</v>
      </c>
      <c r="BL61" s="571">
        <f t="shared" si="49"/>
        <v>2415.337315509335</v>
      </c>
      <c r="BM61" s="571">
        <f t="shared" si="49"/>
        <v>2540.1307108433839</v>
      </c>
      <c r="BN61" s="571">
        <f t="shared" si="49"/>
        <v>2671.3718149173355</v>
      </c>
      <c r="BQ61" s="649"/>
      <c r="BR61" s="649"/>
      <c r="BS61" s="649"/>
      <c r="BT61" s="649"/>
      <c r="BU61" s="649"/>
      <c r="BV61" s="649"/>
      <c r="BW61" s="649"/>
      <c r="BX61" s="649"/>
      <c r="BY61" s="649"/>
      <c r="BZ61" s="649"/>
      <c r="CA61" s="649"/>
      <c r="CB61" s="649"/>
      <c r="CC61" s="649"/>
      <c r="CD61" s="649"/>
      <c r="CE61" s="649"/>
      <c r="CF61" s="649"/>
      <c r="CG61" s="649"/>
      <c r="CH61" s="649"/>
      <c r="CI61" s="649"/>
      <c r="CJ61" s="649"/>
      <c r="CK61" s="649"/>
      <c r="CL61" s="649"/>
    </row>
    <row r="62" spans="1:90" outlineLevel="2">
      <c r="B62" s="1" t="s">
        <v>199</v>
      </c>
      <c r="C62" s="50" t="s">
        <v>1420</v>
      </c>
      <c r="D62" s="99">
        <v>0</v>
      </c>
      <c r="E62" s="99">
        <v>0</v>
      </c>
      <c r="F62" s="99">
        <v>0</v>
      </c>
      <c r="G62" s="99">
        <v>0</v>
      </c>
      <c r="H62" s="99">
        <v>0</v>
      </c>
      <c r="I62" s="99">
        <v>0</v>
      </c>
      <c r="J62" s="99">
        <v>0</v>
      </c>
      <c r="K62" s="99">
        <v>0</v>
      </c>
      <c r="L62" s="99">
        <v>0</v>
      </c>
      <c r="M62" s="99">
        <v>0</v>
      </c>
      <c r="N62" s="99">
        <v>0</v>
      </c>
      <c r="O62" s="99">
        <v>0</v>
      </c>
      <c r="P62" s="99">
        <v>0</v>
      </c>
      <c r="Q62" s="99">
        <v>0</v>
      </c>
      <c r="R62" s="99">
        <v>0</v>
      </c>
      <c r="S62" s="99">
        <v>0</v>
      </c>
      <c r="T62" s="99">
        <v>0</v>
      </c>
      <c r="U62" s="99">
        <v>0</v>
      </c>
      <c r="V62" s="99">
        <v>0</v>
      </c>
      <c r="W62" s="99">
        <v>0</v>
      </c>
      <c r="X62" s="99">
        <v>0</v>
      </c>
      <c r="Y62" s="99">
        <v>0</v>
      </c>
      <c r="Z62" s="99">
        <v>0</v>
      </c>
      <c r="AA62" s="99">
        <v>0</v>
      </c>
      <c r="AB62" s="99">
        <v>0</v>
      </c>
      <c r="AC62" s="99">
        <v>0</v>
      </c>
      <c r="AD62" s="99">
        <v>0</v>
      </c>
      <c r="AE62" s="99">
        <v>0</v>
      </c>
      <c r="AF62" s="99">
        <v>0</v>
      </c>
      <c r="AG62" s="99">
        <v>0</v>
      </c>
      <c r="AH62" s="99">
        <v>0</v>
      </c>
      <c r="AI62" s="178"/>
      <c r="AJ62" s="99">
        <f>D62</f>
        <v>0</v>
      </c>
      <c r="AK62" s="99">
        <f t="shared" si="49"/>
        <v>0</v>
      </c>
      <c r="AL62" s="99">
        <f t="shared" si="49"/>
        <v>0</v>
      </c>
      <c r="AM62" s="99">
        <f t="shared" si="49"/>
        <v>0</v>
      </c>
      <c r="AN62" s="99">
        <f t="shared" si="49"/>
        <v>0</v>
      </c>
      <c r="AO62" s="99">
        <f t="shared" si="49"/>
        <v>0</v>
      </c>
      <c r="AP62" s="99">
        <f t="shared" si="49"/>
        <v>0</v>
      </c>
      <c r="AQ62" s="99">
        <f t="shared" si="49"/>
        <v>0</v>
      </c>
      <c r="AR62" s="99">
        <f t="shared" si="49"/>
        <v>0</v>
      </c>
      <c r="AS62" s="99">
        <f t="shared" si="49"/>
        <v>0</v>
      </c>
      <c r="AT62" s="99">
        <f t="shared" si="49"/>
        <v>0</v>
      </c>
      <c r="AU62" s="99">
        <f t="shared" si="49"/>
        <v>0</v>
      </c>
      <c r="AV62" s="99">
        <f t="shared" si="49"/>
        <v>0</v>
      </c>
      <c r="AW62" s="99">
        <f t="shared" si="49"/>
        <v>0</v>
      </c>
      <c r="AX62" s="99">
        <f t="shared" si="49"/>
        <v>0</v>
      </c>
      <c r="AY62" s="99">
        <f t="shared" si="49"/>
        <v>0</v>
      </c>
      <c r="AZ62" s="99">
        <f t="shared" si="49"/>
        <v>0</v>
      </c>
      <c r="BA62" s="99">
        <f t="shared" si="49"/>
        <v>0</v>
      </c>
      <c r="BB62" s="99">
        <f t="shared" si="49"/>
        <v>0</v>
      </c>
      <c r="BC62" s="99">
        <f t="shared" si="49"/>
        <v>0</v>
      </c>
      <c r="BD62" s="99">
        <f t="shared" si="49"/>
        <v>0</v>
      </c>
      <c r="BE62" s="99">
        <f t="shared" si="49"/>
        <v>0</v>
      </c>
      <c r="BF62" s="99">
        <f t="shared" si="49"/>
        <v>0</v>
      </c>
      <c r="BG62" s="99">
        <f t="shared" si="49"/>
        <v>0</v>
      </c>
      <c r="BH62" s="99">
        <f t="shared" si="49"/>
        <v>0</v>
      </c>
      <c r="BI62" s="99">
        <f t="shared" si="49"/>
        <v>0</v>
      </c>
      <c r="BJ62" s="99">
        <f t="shared" si="49"/>
        <v>0</v>
      </c>
      <c r="BK62" s="99">
        <f t="shared" si="49"/>
        <v>0</v>
      </c>
      <c r="BL62" s="99">
        <f t="shared" si="49"/>
        <v>0</v>
      </c>
      <c r="BM62" s="99">
        <f t="shared" si="49"/>
        <v>0</v>
      </c>
      <c r="BN62" s="99">
        <f t="shared" si="49"/>
        <v>0</v>
      </c>
    </row>
    <row r="63" spans="1:90" s="168" customFormat="1" ht="15.65" customHeight="1" outlineLevel="1">
      <c r="A63" s="165" t="s">
        <v>197</v>
      </c>
      <c r="B63" s="166" t="s">
        <v>230</v>
      </c>
      <c r="C63" s="167" t="s">
        <v>1420</v>
      </c>
      <c r="D63" s="581">
        <f>D61+D62</f>
        <v>0</v>
      </c>
      <c r="E63" s="581">
        <f t="shared" ref="E63:AH63" si="50">E61+E62</f>
        <v>619.8182880041312</v>
      </c>
      <c r="F63" s="581">
        <f t="shared" si="50"/>
        <v>651.84248112759497</v>
      </c>
      <c r="G63" s="581">
        <f t="shared" si="50"/>
        <v>685.5212703884356</v>
      </c>
      <c r="H63" s="581">
        <f t="shared" si="50"/>
        <v>720.94014391643805</v>
      </c>
      <c r="I63" s="581">
        <f t="shared" si="50"/>
        <v>758.18900676232317</v>
      </c>
      <c r="J63" s="581">
        <f t="shared" si="50"/>
        <v>797.36240910710899</v>
      </c>
      <c r="K63" s="581">
        <f t="shared" si="50"/>
        <v>838.55978626237072</v>
      </c>
      <c r="L63" s="581">
        <f t="shared" si="50"/>
        <v>881.885711070605</v>
      </c>
      <c r="M63" s="581">
        <f t="shared" si="50"/>
        <v>927.4501593463865</v>
      </c>
      <c r="N63" s="581">
        <f t="shared" si="50"/>
        <v>975.36878903208719</v>
      </c>
      <c r="O63" s="581">
        <f t="shared" si="50"/>
        <v>1025.7632337767577</v>
      </c>
      <c r="P63" s="581">
        <f t="shared" si="50"/>
        <v>1078.7614116833674</v>
      </c>
      <c r="Q63" s="581">
        <f t="shared" si="50"/>
        <v>1134.4978500081056</v>
      </c>
      <c r="R63" s="581">
        <f t="shared" si="50"/>
        <v>1193.1140266359421</v>
      </c>
      <c r="S63" s="581">
        <f t="shared" si="50"/>
        <v>1254.7587291992313</v>
      </c>
      <c r="T63" s="581">
        <f t="shared" si="50"/>
        <v>1319.588432750927</v>
      </c>
      <c r="U63" s="581">
        <f t="shared" si="50"/>
        <v>1387.767696951051</v>
      </c>
      <c r="V63" s="581">
        <f t="shared" si="50"/>
        <v>1459.4695837746376</v>
      </c>
      <c r="W63" s="581">
        <f t="shared" si="50"/>
        <v>1534.8760968014149</v>
      </c>
      <c r="X63" s="581">
        <f t="shared" si="50"/>
        <v>1614.178643202283</v>
      </c>
      <c r="Y63" s="581">
        <f t="shared" si="50"/>
        <v>1697.5785195953056</v>
      </c>
      <c r="Z63" s="581">
        <f t="shared" si="50"/>
        <v>1785.2874230044281</v>
      </c>
      <c r="AA63" s="581">
        <f t="shared" si="50"/>
        <v>1877.5279882179548</v>
      </c>
      <c r="AB63" s="581">
        <f t="shared" si="50"/>
        <v>1974.5343529107563</v>
      </c>
      <c r="AC63" s="581">
        <f t="shared" si="50"/>
        <v>2076.5527519646826</v>
      </c>
      <c r="AD63" s="581">
        <f t="shared" si="50"/>
        <v>2183.8421424957478</v>
      </c>
      <c r="AE63" s="581">
        <f t="shared" si="50"/>
        <v>2296.6748611747053</v>
      </c>
      <c r="AF63" s="581">
        <f t="shared" si="50"/>
        <v>2415.337315509335</v>
      </c>
      <c r="AG63" s="581">
        <f t="shared" si="50"/>
        <v>2540.1307108433839</v>
      </c>
      <c r="AH63" s="581">
        <f t="shared" si="50"/>
        <v>2671.3718149173355</v>
      </c>
      <c r="AI63" s="582"/>
      <c r="AJ63" s="581">
        <f>AJ61+AJ62</f>
        <v>0</v>
      </c>
      <c r="AK63" s="581">
        <f t="shared" ref="AK63:BN63" si="51">AK61+AK62</f>
        <v>619.8182880041312</v>
      </c>
      <c r="AL63" s="581">
        <f t="shared" si="51"/>
        <v>651.84248112759497</v>
      </c>
      <c r="AM63" s="581">
        <f t="shared" si="51"/>
        <v>685.5212703884356</v>
      </c>
      <c r="AN63" s="581">
        <f t="shared" si="51"/>
        <v>720.94014391643805</v>
      </c>
      <c r="AO63" s="581">
        <f t="shared" si="51"/>
        <v>758.18900676232317</v>
      </c>
      <c r="AP63" s="581">
        <f t="shared" si="51"/>
        <v>797.36240910710899</v>
      </c>
      <c r="AQ63" s="581">
        <f t="shared" si="51"/>
        <v>838.55978626237072</v>
      </c>
      <c r="AR63" s="581">
        <f t="shared" si="51"/>
        <v>881.885711070605</v>
      </c>
      <c r="AS63" s="581">
        <f t="shared" si="51"/>
        <v>927.4501593463865</v>
      </c>
      <c r="AT63" s="581">
        <f t="shared" si="51"/>
        <v>975.36878903208719</v>
      </c>
      <c r="AU63" s="581">
        <f t="shared" si="51"/>
        <v>1025.7632337767577</v>
      </c>
      <c r="AV63" s="581">
        <f t="shared" si="51"/>
        <v>1078.7614116833674</v>
      </c>
      <c r="AW63" s="581">
        <f t="shared" si="51"/>
        <v>1134.4978500081056</v>
      </c>
      <c r="AX63" s="581">
        <f t="shared" si="51"/>
        <v>1193.1140266359421</v>
      </c>
      <c r="AY63" s="581">
        <f t="shared" si="51"/>
        <v>1254.7587291992313</v>
      </c>
      <c r="AZ63" s="581">
        <f t="shared" si="51"/>
        <v>1319.588432750927</v>
      </c>
      <c r="BA63" s="581">
        <f t="shared" si="51"/>
        <v>1387.767696951051</v>
      </c>
      <c r="BB63" s="581">
        <f t="shared" si="51"/>
        <v>1459.4695837746376</v>
      </c>
      <c r="BC63" s="581">
        <f t="shared" si="51"/>
        <v>1534.8760968014149</v>
      </c>
      <c r="BD63" s="581">
        <f t="shared" si="51"/>
        <v>1614.178643202283</v>
      </c>
      <c r="BE63" s="581">
        <f t="shared" si="51"/>
        <v>1697.5785195953056</v>
      </c>
      <c r="BF63" s="581">
        <f t="shared" si="51"/>
        <v>1785.2874230044281</v>
      </c>
      <c r="BG63" s="581">
        <f t="shared" si="51"/>
        <v>1877.5279882179548</v>
      </c>
      <c r="BH63" s="581">
        <f t="shared" si="51"/>
        <v>1974.5343529107563</v>
      </c>
      <c r="BI63" s="581">
        <f t="shared" si="51"/>
        <v>2076.5527519646826</v>
      </c>
      <c r="BJ63" s="581">
        <f t="shared" si="51"/>
        <v>2183.8421424957478</v>
      </c>
      <c r="BK63" s="581">
        <f t="shared" si="51"/>
        <v>2296.6748611747053</v>
      </c>
      <c r="BL63" s="581">
        <f t="shared" si="51"/>
        <v>2415.337315509335</v>
      </c>
      <c r="BM63" s="581">
        <f t="shared" si="51"/>
        <v>2540.1307108433839</v>
      </c>
      <c r="BN63" s="581">
        <f t="shared" si="51"/>
        <v>2671.3718149173355</v>
      </c>
      <c r="BQ63" s="650"/>
      <c r="BR63" s="650"/>
      <c r="BS63" s="650"/>
      <c r="BT63" s="650"/>
      <c r="BU63" s="650"/>
      <c r="BV63" s="650"/>
      <c r="BW63" s="650"/>
      <c r="BX63" s="650"/>
      <c r="BY63" s="650"/>
      <c r="BZ63" s="650"/>
      <c r="CA63" s="650"/>
      <c r="CB63" s="650"/>
      <c r="CC63" s="650"/>
      <c r="CD63" s="650"/>
      <c r="CE63" s="650"/>
      <c r="CF63" s="650"/>
      <c r="CG63" s="650"/>
      <c r="CH63" s="650"/>
      <c r="CI63" s="650"/>
      <c r="CJ63" s="650"/>
      <c r="CK63" s="650"/>
      <c r="CL63" s="650"/>
    </row>
    <row r="64" spans="1:90" outlineLevel="1">
      <c r="A64" s="603"/>
      <c r="B64" s="54" t="s">
        <v>88</v>
      </c>
      <c r="C64" s="50" t="s">
        <v>1420</v>
      </c>
      <c r="D64" s="576">
        <f>'Demand - Wind'!D39</f>
        <v>0</v>
      </c>
      <c r="E64" s="576">
        <f>'Demand - Wind'!E39</f>
        <v>303.83249411967216</v>
      </c>
      <c r="F64" s="576">
        <f>'Demand - Wind'!F39</f>
        <v>319.53062800372305</v>
      </c>
      <c r="G64" s="576">
        <f>'Demand - Wind'!G39</f>
        <v>336.03983842570369</v>
      </c>
      <c r="H64" s="576">
        <f>'Demand - Wind'!H39</f>
        <v>353.4020313315873</v>
      </c>
      <c r="I64" s="576">
        <f>'Demand - Wind'!I39</f>
        <v>371.66127782466822</v>
      </c>
      <c r="J64" s="576">
        <f>'Demand - Wind'!J39</f>
        <v>390.86392603289653</v>
      </c>
      <c r="K64" s="576">
        <f>'Demand - Wind'!K39</f>
        <v>411.05871875606408</v>
      </c>
      <c r="L64" s="576">
        <f>'Demand - Wind'!L39</f>
        <v>432.29691719147303</v>
      </c>
      <c r="M64" s="576">
        <f>'Demand - Wind'!M39</f>
        <v>454.6324310521502</v>
      </c>
      <c r="N64" s="576">
        <f>'Demand - Wind'!N39</f>
        <v>478.12195540788588</v>
      </c>
      <c r="O64" s="576">
        <f>'Demand - Wind'!O39</f>
        <v>502.82511459644979</v>
      </c>
      <c r="P64" s="576">
        <f>'Demand - Wind'!P39</f>
        <v>528.80461357027821</v>
      </c>
      <c r="Q64" s="576">
        <f>'Demand - Wind'!Q39</f>
        <v>556.12639706279685</v>
      </c>
      <c r="R64" s="576">
        <f>'Demand - Wind'!R39</f>
        <v>584.85981697840293</v>
      </c>
      <c r="S64" s="576">
        <f>'Demand - Wind'!S39</f>
        <v>615.07780843099567</v>
      </c>
      <c r="T64" s="576">
        <f>'Demand - Wind'!T39</f>
        <v>646.85707487790546</v>
      </c>
      <c r="U64" s="576">
        <f>'Demand - Wind'!U39</f>
        <v>680.27828281914265</v>
      </c>
      <c r="V64" s="576">
        <f>'Demand - Wind'!V39</f>
        <v>715.42626655619483</v>
      </c>
      <c r="W64" s="576">
        <f>'Demand - Wind'!W39</f>
        <v>752.39024353010529</v>
      </c>
      <c r="X64" s="576">
        <f>'Demand - Wind'!X39</f>
        <v>791.26404078543283</v>
      </c>
      <c r="Y64" s="576">
        <f>'Demand - Wind'!Y39</f>
        <v>832.14633313495369</v>
      </c>
      <c r="Z64" s="576">
        <f>'Demand - Wind'!Z39</f>
        <v>875.14089362962159</v>
      </c>
      <c r="AA64" s="576">
        <f>'Demand - Wind'!AA39</f>
        <v>920.35685696958569</v>
      </c>
      <c r="AB64" s="576">
        <f>'Demand - Wind'!AB39</f>
        <v>967.90899652488054</v>
      </c>
      <c r="AC64" s="576">
        <f>'Demand - Wind'!AC39</f>
        <v>1017.918015668962</v>
      </c>
      <c r="AD64" s="576">
        <f>'Demand - Wind'!AD39</f>
        <v>1070.5108541645823</v>
      </c>
      <c r="AE64" s="576">
        <f>'Demand - Wind'!AE39</f>
        <v>1125.8210103797574</v>
      </c>
      <c r="AF64" s="576">
        <f>'Demand - Wind'!AF39</f>
        <v>1183.9888801516347</v>
      </c>
      <c r="AG64" s="576">
        <f>'Demand - Wind'!AG39</f>
        <v>1245.1621131585214</v>
      </c>
      <c r="AH64" s="576">
        <f>'Demand - Wind'!AH39</f>
        <v>1309.4959877045762</v>
      </c>
      <c r="AI64" s="576"/>
      <c r="AJ64" s="576">
        <f>D64</f>
        <v>0</v>
      </c>
      <c r="AK64" s="576">
        <f t="shared" ref="AK64:BN66" si="52">E64</f>
        <v>303.83249411967216</v>
      </c>
      <c r="AL64" s="576">
        <f t="shared" si="52"/>
        <v>319.53062800372305</v>
      </c>
      <c r="AM64" s="576">
        <f t="shared" si="52"/>
        <v>336.03983842570369</v>
      </c>
      <c r="AN64" s="576">
        <f t="shared" si="52"/>
        <v>353.4020313315873</v>
      </c>
      <c r="AO64" s="576">
        <f t="shared" si="52"/>
        <v>371.66127782466822</v>
      </c>
      <c r="AP64" s="576">
        <f t="shared" si="52"/>
        <v>390.86392603289653</v>
      </c>
      <c r="AQ64" s="576">
        <f t="shared" si="52"/>
        <v>411.05871875606408</v>
      </c>
      <c r="AR64" s="576">
        <f t="shared" si="52"/>
        <v>432.29691719147303</v>
      </c>
      <c r="AS64" s="576">
        <f t="shared" si="52"/>
        <v>454.6324310521502</v>
      </c>
      <c r="AT64" s="576">
        <f t="shared" si="52"/>
        <v>478.12195540788588</v>
      </c>
      <c r="AU64" s="576">
        <f t="shared" si="52"/>
        <v>502.82511459644979</v>
      </c>
      <c r="AV64" s="576">
        <f t="shared" si="52"/>
        <v>528.80461357027821</v>
      </c>
      <c r="AW64" s="576">
        <f t="shared" si="52"/>
        <v>556.12639706279685</v>
      </c>
      <c r="AX64" s="576">
        <f t="shared" si="52"/>
        <v>584.85981697840293</v>
      </c>
      <c r="AY64" s="576">
        <f t="shared" si="52"/>
        <v>615.07780843099567</v>
      </c>
      <c r="AZ64" s="576">
        <f t="shared" si="52"/>
        <v>646.85707487790546</v>
      </c>
      <c r="BA64" s="576">
        <f t="shared" si="52"/>
        <v>680.27828281914265</v>
      </c>
      <c r="BB64" s="576">
        <f t="shared" si="52"/>
        <v>715.42626655619483</v>
      </c>
      <c r="BC64" s="576">
        <f t="shared" si="52"/>
        <v>752.39024353010529</v>
      </c>
      <c r="BD64" s="576">
        <f t="shared" si="52"/>
        <v>791.26404078543283</v>
      </c>
      <c r="BE64" s="576">
        <f t="shared" si="52"/>
        <v>832.14633313495369</v>
      </c>
      <c r="BF64" s="576">
        <f t="shared" si="52"/>
        <v>875.14089362962159</v>
      </c>
      <c r="BG64" s="576">
        <f t="shared" si="52"/>
        <v>920.35685696958569</v>
      </c>
      <c r="BH64" s="576">
        <f t="shared" si="52"/>
        <v>967.90899652488054</v>
      </c>
      <c r="BI64" s="576">
        <f t="shared" si="52"/>
        <v>1017.918015668962</v>
      </c>
      <c r="BJ64" s="576">
        <f t="shared" si="52"/>
        <v>1070.5108541645823</v>
      </c>
      <c r="BK64" s="576">
        <f t="shared" si="52"/>
        <v>1125.8210103797574</v>
      </c>
      <c r="BL64" s="576">
        <f t="shared" si="52"/>
        <v>1183.9888801516347</v>
      </c>
      <c r="BM64" s="576">
        <f t="shared" si="52"/>
        <v>1245.1621131585214</v>
      </c>
      <c r="BN64" s="576">
        <f t="shared" si="52"/>
        <v>1309.4959877045762</v>
      </c>
    </row>
    <row r="65" spans="1:90" outlineLevel="1">
      <c r="A65" s="603"/>
      <c r="B65" s="1" t="s">
        <v>717</v>
      </c>
      <c r="C65" s="50" t="s">
        <v>1420</v>
      </c>
      <c r="D65" s="576">
        <v>0</v>
      </c>
      <c r="E65" s="576">
        <v>0</v>
      </c>
      <c r="F65" s="576">
        <v>0</v>
      </c>
      <c r="G65" s="576">
        <v>0</v>
      </c>
      <c r="H65" s="576">
        <v>0</v>
      </c>
      <c r="I65" s="576">
        <v>0</v>
      </c>
      <c r="J65" s="576">
        <v>0</v>
      </c>
      <c r="K65" s="576">
        <v>0</v>
      </c>
      <c r="L65" s="576">
        <v>0</v>
      </c>
      <c r="M65" s="576">
        <v>0</v>
      </c>
      <c r="N65" s="576">
        <v>0</v>
      </c>
      <c r="O65" s="576">
        <v>0</v>
      </c>
      <c r="P65" s="576">
        <v>0</v>
      </c>
      <c r="Q65" s="576">
        <v>0</v>
      </c>
      <c r="R65" s="576">
        <v>0</v>
      </c>
      <c r="S65" s="576">
        <v>0</v>
      </c>
      <c r="T65" s="576">
        <v>0</v>
      </c>
      <c r="U65" s="576">
        <v>0</v>
      </c>
      <c r="V65" s="576">
        <v>0</v>
      </c>
      <c r="W65" s="576">
        <v>0</v>
      </c>
      <c r="X65" s="576">
        <v>0</v>
      </c>
      <c r="Y65" s="576">
        <v>0</v>
      </c>
      <c r="Z65" s="576">
        <v>0</v>
      </c>
      <c r="AA65" s="576">
        <v>0</v>
      </c>
      <c r="AB65" s="576">
        <v>0</v>
      </c>
      <c r="AC65" s="576">
        <v>0</v>
      </c>
      <c r="AD65" s="576">
        <v>0</v>
      </c>
      <c r="AE65" s="576">
        <v>0</v>
      </c>
      <c r="AF65" s="576">
        <v>0</v>
      </c>
      <c r="AG65" s="576">
        <v>0</v>
      </c>
      <c r="AH65" s="576">
        <v>0</v>
      </c>
      <c r="AI65" s="576"/>
      <c r="AJ65" s="576">
        <f t="shared" ref="AJ65:AJ66" si="53">D65</f>
        <v>0</v>
      </c>
      <c r="AK65" s="576">
        <f t="shared" si="52"/>
        <v>0</v>
      </c>
      <c r="AL65" s="576">
        <f t="shared" si="52"/>
        <v>0</v>
      </c>
      <c r="AM65" s="576">
        <f t="shared" si="52"/>
        <v>0</v>
      </c>
      <c r="AN65" s="576">
        <f t="shared" si="52"/>
        <v>0</v>
      </c>
      <c r="AO65" s="576">
        <f t="shared" si="52"/>
        <v>0</v>
      </c>
      <c r="AP65" s="576">
        <f t="shared" si="52"/>
        <v>0</v>
      </c>
      <c r="AQ65" s="576">
        <f t="shared" si="52"/>
        <v>0</v>
      </c>
      <c r="AR65" s="576">
        <f t="shared" si="52"/>
        <v>0</v>
      </c>
      <c r="AS65" s="576">
        <f t="shared" si="52"/>
        <v>0</v>
      </c>
      <c r="AT65" s="576">
        <f t="shared" si="52"/>
        <v>0</v>
      </c>
      <c r="AU65" s="576">
        <f t="shared" si="52"/>
        <v>0</v>
      </c>
      <c r="AV65" s="576">
        <f t="shared" si="52"/>
        <v>0</v>
      </c>
      <c r="AW65" s="576">
        <f t="shared" si="52"/>
        <v>0</v>
      </c>
      <c r="AX65" s="576">
        <f t="shared" si="52"/>
        <v>0</v>
      </c>
      <c r="AY65" s="576">
        <f t="shared" si="52"/>
        <v>0</v>
      </c>
      <c r="AZ65" s="576">
        <f t="shared" si="52"/>
        <v>0</v>
      </c>
      <c r="BA65" s="576">
        <f t="shared" si="52"/>
        <v>0</v>
      </c>
      <c r="BB65" s="576">
        <f t="shared" si="52"/>
        <v>0</v>
      </c>
      <c r="BC65" s="576">
        <f t="shared" si="52"/>
        <v>0</v>
      </c>
      <c r="BD65" s="576">
        <f t="shared" si="52"/>
        <v>0</v>
      </c>
      <c r="BE65" s="576">
        <f t="shared" si="52"/>
        <v>0</v>
      </c>
      <c r="BF65" s="576">
        <f t="shared" si="52"/>
        <v>0</v>
      </c>
      <c r="BG65" s="576">
        <f t="shared" si="52"/>
        <v>0</v>
      </c>
      <c r="BH65" s="576">
        <f t="shared" si="52"/>
        <v>0</v>
      </c>
      <c r="BI65" s="576">
        <f t="shared" si="52"/>
        <v>0</v>
      </c>
      <c r="BJ65" s="576">
        <f t="shared" si="52"/>
        <v>0</v>
      </c>
      <c r="BK65" s="576">
        <f t="shared" si="52"/>
        <v>0</v>
      </c>
      <c r="BL65" s="576">
        <f t="shared" si="52"/>
        <v>0</v>
      </c>
      <c r="BM65" s="576">
        <f t="shared" si="52"/>
        <v>0</v>
      </c>
      <c r="BN65" s="576">
        <f t="shared" si="52"/>
        <v>0</v>
      </c>
    </row>
    <row r="66" spans="1:90" s="62" customFormat="1" outlineLevel="1">
      <c r="A66" s="604"/>
      <c r="B66" s="58" t="s">
        <v>1170</v>
      </c>
      <c r="C66" s="233" t="s">
        <v>1420</v>
      </c>
      <c r="D66" s="579">
        <f>'Demand - Wind'!D40</f>
        <v>0</v>
      </c>
      <c r="E66" s="579">
        <f>'Demand - Wind'!E40</f>
        <v>315.98579388445904</v>
      </c>
      <c r="F66" s="579">
        <f>'Demand - Wind'!F40</f>
        <v>332.31185312387197</v>
      </c>
      <c r="G66" s="579">
        <f>'Demand - Wind'!G40</f>
        <v>349.48143196273185</v>
      </c>
      <c r="H66" s="579">
        <f>'Demand - Wind'!H40</f>
        <v>367.53811258485081</v>
      </c>
      <c r="I66" s="579">
        <f>'Demand - Wind'!I40</f>
        <v>386.52772893765496</v>
      </c>
      <c r="J66" s="579">
        <f>'Demand - Wind'!J40</f>
        <v>406.4984830742124</v>
      </c>
      <c r="K66" s="579">
        <f>'Demand - Wind'!K40</f>
        <v>427.50106750630664</v>
      </c>
      <c r="L66" s="579">
        <f>'Demand - Wind'!L40</f>
        <v>449.58879387913197</v>
      </c>
      <c r="M66" s="579">
        <f>'Demand - Wind'!M40</f>
        <v>472.81772829423625</v>
      </c>
      <c r="N66" s="579">
        <f>'Demand - Wind'!N40</f>
        <v>497.24683362420132</v>
      </c>
      <c r="O66" s="579">
        <f>'Demand - Wind'!O40</f>
        <v>522.93811918030781</v>
      </c>
      <c r="P66" s="579">
        <f>'Demand - Wind'!P40</f>
        <v>549.95679811308935</v>
      </c>
      <c r="Q66" s="579">
        <f>'Demand - Wind'!Q40</f>
        <v>578.37145294530876</v>
      </c>
      <c r="R66" s="579">
        <f>'Demand - Wind'!R40</f>
        <v>608.25420965753904</v>
      </c>
      <c r="S66" s="579">
        <f>'Demand - Wind'!S40</f>
        <v>639.68092076823552</v>
      </c>
      <c r="T66" s="579">
        <f>'Demand - Wind'!T40</f>
        <v>672.73135787302169</v>
      </c>
      <c r="U66" s="579">
        <f>'Demand - Wind'!U40</f>
        <v>707.48941413190835</v>
      </c>
      <c r="V66" s="579">
        <f>'Demand - Wind'!V40</f>
        <v>744.04331721844267</v>
      </c>
      <c r="W66" s="579">
        <f>'Demand - Wind'!W40</f>
        <v>782.48585327130957</v>
      </c>
      <c r="X66" s="579">
        <f>'Demand - Wind'!X40</f>
        <v>822.91460241685013</v>
      </c>
      <c r="Y66" s="579">
        <f>'Demand - Wind'!Y40</f>
        <v>865.43218646035189</v>
      </c>
      <c r="Z66" s="579">
        <f>'Demand - Wind'!Z40</f>
        <v>910.14652937480651</v>
      </c>
      <c r="AA66" s="579">
        <f>'Demand - Wind'!AA40</f>
        <v>957.17113124836919</v>
      </c>
      <c r="AB66" s="579">
        <f>'Demand - Wind'!AB40</f>
        <v>1006.6253563858758</v>
      </c>
      <c r="AC66" s="579">
        <f>'Demand - Wind'!AC40</f>
        <v>1058.6347362957206</v>
      </c>
      <c r="AD66" s="579">
        <f>'Demand - Wind'!AD40</f>
        <v>1113.3312883311655</v>
      </c>
      <c r="AE66" s="579">
        <f>'Demand - Wind'!AE40</f>
        <v>1170.8538507949477</v>
      </c>
      <c r="AF66" s="579">
        <f>'Demand - Wind'!AF40</f>
        <v>1231.3484353577001</v>
      </c>
      <c r="AG66" s="579">
        <f>'Demand - Wind'!AG40</f>
        <v>1294.9685976848623</v>
      </c>
      <c r="AH66" s="579">
        <f>'Demand - Wind'!AH40</f>
        <v>1361.8758272127593</v>
      </c>
      <c r="AI66" s="579"/>
      <c r="AJ66" s="579">
        <f t="shared" si="53"/>
        <v>0</v>
      </c>
      <c r="AK66" s="579">
        <f t="shared" si="52"/>
        <v>315.98579388445904</v>
      </c>
      <c r="AL66" s="579">
        <f t="shared" si="52"/>
        <v>332.31185312387197</v>
      </c>
      <c r="AM66" s="579">
        <f t="shared" si="52"/>
        <v>349.48143196273185</v>
      </c>
      <c r="AN66" s="579">
        <f t="shared" si="52"/>
        <v>367.53811258485081</v>
      </c>
      <c r="AO66" s="579">
        <f t="shared" si="52"/>
        <v>386.52772893765496</v>
      </c>
      <c r="AP66" s="579">
        <f t="shared" si="52"/>
        <v>406.4984830742124</v>
      </c>
      <c r="AQ66" s="579">
        <f t="shared" si="52"/>
        <v>427.50106750630664</v>
      </c>
      <c r="AR66" s="579">
        <f t="shared" si="52"/>
        <v>449.58879387913197</v>
      </c>
      <c r="AS66" s="579">
        <f t="shared" si="52"/>
        <v>472.81772829423625</v>
      </c>
      <c r="AT66" s="579">
        <f t="shared" si="52"/>
        <v>497.24683362420132</v>
      </c>
      <c r="AU66" s="579">
        <f t="shared" si="52"/>
        <v>522.93811918030781</v>
      </c>
      <c r="AV66" s="579">
        <f t="shared" si="52"/>
        <v>549.95679811308935</v>
      </c>
      <c r="AW66" s="579">
        <f t="shared" si="52"/>
        <v>578.37145294530876</v>
      </c>
      <c r="AX66" s="579">
        <f t="shared" si="52"/>
        <v>608.25420965753904</v>
      </c>
      <c r="AY66" s="579">
        <f t="shared" si="52"/>
        <v>639.68092076823552</v>
      </c>
      <c r="AZ66" s="579">
        <f t="shared" si="52"/>
        <v>672.73135787302169</v>
      </c>
      <c r="BA66" s="579">
        <f t="shared" si="52"/>
        <v>707.48941413190835</v>
      </c>
      <c r="BB66" s="579">
        <f t="shared" si="52"/>
        <v>744.04331721844267</v>
      </c>
      <c r="BC66" s="579">
        <f t="shared" si="52"/>
        <v>782.48585327130957</v>
      </c>
      <c r="BD66" s="579">
        <f t="shared" si="52"/>
        <v>822.91460241685013</v>
      </c>
      <c r="BE66" s="579">
        <f t="shared" si="52"/>
        <v>865.43218646035189</v>
      </c>
      <c r="BF66" s="579">
        <f t="shared" si="52"/>
        <v>910.14652937480651</v>
      </c>
      <c r="BG66" s="579">
        <f t="shared" si="52"/>
        <v>957.17113124836919</v>
      </c>
      <c r="BH66" s="579">
        <f t="shared" si="52"/>
        <v>1006.6253563858758</v>
      </c>
      <c r="BI66" s="579">
        <f t="shared" si="52"/>
        <v>1058.6347362957206</v>
      </c>
      <c r="BJ66" s="579">
        <f t="shared" si="52"/>
        <v>1113.3312883311655</v>
      </c>
      <c r="BK66" s="579">
        <f t="shared" si="52"/>
        <v>1170.8538507949477</v>
      </c>
      <c r="BL66" s="579">
        <f t="shared" si="52"/>
        <v>1231.3484353577001</v>
      </c>
      <c r="BM66" s="579">
        <f t="shared" si="52"/>
        <v>1294.9685976848623</v>
      </c>
      <c r="BN66" s="579">
        <f t="shared" si="52"/>
        <v>1361.8758272127593</v>
      </c>
      <c r="BQ66" s="623"/>
      <c r="BR66" s="623"/>
      <c r="BS66" s="623"/>
      <c r="BT66" s="623"/>
      <c r="BU66" s="623"/>
      <c r="BV66" s="623"/>
      <c r="BW66" s="623"/>
      <c r="BX66" s="623"/>
      <c r="BY66" s="623"/>
      <c r="BZ66" s="623"/>
      <c r="CA66" s="623"/>
      <c r="CB66" s="623"/>
      <c r="CC66" s="623"/>
      <c r="CD66" s="623"/>
      <c r="CE66" s="623"/>
      <c r="CF66" s="623"/>
      <c r="CG66" s="623"/>
      <c r="CH66" s="623"/>
      <c r="CI66" s="623"/>
      <c r="CJ66" s="623"/>
      <c r="CK66" s="623"/>
      <c r="CL66" s="623"/>
    </row>
    <row r="67" spans="1:90" outlineLevel="1">
      <c r="A67" s="1" t="s">
        <v>78</v>
      </c>
      <c r="B67" s="1" t="s">
        <v>169</v>
      </c>
      <c r="C67" s="50" t="s">
        <v>1420</v>
      </c>
      <c r="D67" s="520">
        <f t="shared" ref="D67:AH67" si="54">D21+D30+D39+D48+D55</f>
        <v>0</v>
      </c>
      <c r="E67" s="520">
        <f t="shared" si="54"/>
        <v>56235.375998472184</v>
      </c>
      <c r="F67" s="520">
        <f t="shared" si="54"/>
        <v>111888.50038514117</v>
      </c>
      <c r="G67" s="520">
        <f t="shared" si="54"/>
        <v>166963.97514890262</v>
      </c>
      <c r="H67" s="520">
        <f t="shared" si="54"/>
        <v>221466.36941105418</v>
      </c>
      <c r="I67" s="520">
        <f t="shared" si="54"/>
        <v>275202.34556166548</v>
      </c>
      <c r="J67" s="520">
        <f t="shared" si="54"/>
        <v>328333.45749201265</v>
      </c>
      <c r="K67" s="520">
        <f t="shared" si="54"/>
        <v>380841.0089134298</v>
      </c>
      <c r="L67" s="520">
        <f t="shared" si="54"/>
        <v>432730.43965504336</v>
      </c>
      <c r="M67" s="520">
        <f t="shared" si="54"/>
        <v>484007.14746805176</v>
      </c>
      <c r="N67" s="520">
        <f t="shared" si="54"/>
        <v>534676.48833012755</v>
      </c>
      <c r="O67" s="520">
        <f t="shared" si="54"/>
        <v>612848.36686793866</v>
      </c>
      <c r="P67" s="520">
        <f t="shared" si="54"/>
        <v>690081.51421514782</v>
      </c>
      <c r="Q67" s="520">
        <f t="shared" si="54"/>
        <v>766384.06066517672</v>
      </c>
      <c r="R67" s="520">
        <f t="shared" si="54"/>
        <v>841764.07635247544</v>
      </c>
      <c r="S67" s="520">
        <f t="shared" si="54"/>
        <v>916229.57164666906</v>
      </c>
      <c r="T67" s="520">
        <f t="shared" si="54"/>
        <v>989248.63569300273</v>
      </c>
      <c r="U67" s="520">
        <f t="shared" si="54"/>
        <v>1061309.5355657705</v>
      </c>
      <c r="V67" s="520">
        <f t="shared" si="54"/>
        <v>1132421.4270827554</v>
      </c>
      <c r="W67" s="520">
        <f t="shared" si="54"/>
        <v>1202593.3890237408</v>
      </c>
      <c r="X67" s="520">
        <f t="shared" si="54"/>
        <v>1271834.4237350102</v>
      </c>
      <c r="Y67" s="520">
        <f t="shared" si="54"/>
        <v>1344143.7653243705</v>
      </c>
      <c r="Z67" s="520">
        <f t="shared" si="54"/>
        <v>1415459.4287291719</v>
      </c>
      <c r="AA67" s="520">
        <f t="shared" si="54"/>
        <v>1485791.4256348724</v>
      </c>
      <c r="AB67" s="520">
        <f t="shared" si="54"/>
        <v>1555149.677087767</v>
      </c>
      <c r="AC67" s="520">
        <f t="shared" si="54"/>
        <v>1623544.0142808114</v>
      </c>
      <c r="AD67" s="520">
        <f t="shared" si="54"/>
        <v>1690634.615986329</v>
      </c>
      <c r="AE67" s="520">
        <f t="shared" si="54"/>
        <v>1756759.2545067719</v>
      </c>
      <c r="AF67" s="520">
        <f t="shared" si="54"/>
        <v>1821928.1063779967</v>
      </c>
      <c r="AG67" s="520">
        <f t="shared" si="54"/>
        <v>1886151.2507596482</v>
      </c>
      <c r="AH67" s="520">
        <f t="shared" si="54"/>
        <v>1949438.6703383462</v>
      </c>
      <c r="AI67" s="178"/>
      <c r="AJ67" s="520">
        <f t="shared" ref="AJ67:BN67" si="55">AJ21+AJ30+AJ39+AJ48+AJ55</f>
        <v>0</v>
      </c>
      <c r="AK67" s="520">
        <f t="shared" si="55"/>
        <v>31430.704217655104</v>
      </c>
      <c r="AL67" s="520">
        <f t="shared" si="55"/>
        <v>62524.923358956104</v>
      </c>
      <c r="AM67" s="520">
        <f t="shared" si="55"/>
        <v>93285.424186539152</v>
      </c>
      <c r="AN67" s="520">
        <f t="shared" si="55"/>
        <v>123714.95277794817</v>
      </c>
      <c r="AO67" s="520">
        <f t="shared" si="55"/>
        <v>153717.29763019818</v>
      </c>
      <c r="AP67" s="520">
        <f t="shared" si="55"/>
        <v>183373.68881207227</v>
      </c>
      <c r="AQ67" s="520">
        <f t="shared" si="55"/>
        <v>212675.22715933021</v>
      </c>
      <c r="AR67" s="520">
        <f t="shared" si="55"/>
        <v>241625.07745906487</v>
      </c>
      <c r="AS67" s="520">
        <f t="shared" si="55"/>
        <v>270226.37938703911</v>
      </c>
      <c r="AT67" s="520">
        <f t="shared" si="55"/>
        <v>298482.24769479502</v>
      </c>
      <c r="AU67" s="520">
        <f t="shared" si="55"/>
        <v>345109.17927838053</v>
      </c>
      <c r="AV67" s="520">
        <f t="shared" si="55"/>
        <v>391162.04031432571</v>
      </c>
      <c r="AW67" s="520">
        <f t="shared" si="55"/>
        <v>436645.97609964514</v>
      </c>
      <c r="AX67" s="520">
        <f t="shared" si="55"/>
        <v>481566.09197001113</v>
      </c>
      <c r="AY67" s="520">
        <f t="shared" si="55"/>
        <v>525927.45358150301</v>
      </c>
      <c r="AZ67" s="520">
        <f t="shared" si="55"/>
        <v>569465.15626481001</v>
      </c>
      <c r="BA67" s="520">
        <f t="shared" si="55"/>
        <v>612424.37468523474</v>
      </c>
      <c r="BB67" s="520">
        <f t="shared" si="55"/>
        <v>654810.71833251847</v>
      </c>
      <c r="BC67" s="520">
        <f t="shared" si="55"/>
        <v>696629.74871201941</v>
      </c>
      <c r="BD67" s="520">
        <f t="shared" si="55"/>
        <v>737886.97972821537</v>
      </c>
      <c r="BE67" s="520">
        <f t="shared" si="55"/>
        <v>778352.45228065492</v>
      </c>
      <c r="BF67" s="520">
        <f t="shared" si="55"/>
        <v>818257.28700469562</v>
      </c>
      <c r="BG67" s="520">
        <f t="shared" si="55"/>
        <v>857607.16121156281</v>
      </c>
      <c r="BH67" s="520">
        <f t="shared" si="55"/>
        <v>896407.70068943489</v>
      </c>
      <c r="BI67" s="520">
        <f t="shared" si="55"/>
        <v>934664.48014982161</v>
      </c>
      <c r="BJ67" s="520">
        <f t="shared" si="55"/>
        <v>972208.24199694442</v>
      </c>
      <c r="BK67" s="520">
        <f t="shared" si="55"/>
        <v>1009208.5193557006</v>
      </c>
      <c r="BL67" s="520">
        <f t="shared" si="55"/>
        <v>1045671.0414754588</v>
      </c>
      <c r="BM67" s="520">
        <f t="shared" si="55"/>
        <v>1081601.4829769686</v>
      </c>
      <c r="BN67" s="520">
        <f t="shared" si="55"/>
        <v>1117005.4643552531</v>
      </c>
    </row>
    <row r="68" spans="1:90" outlineLevel="1">
      <c r="B68" s="1" t="s">
        <v>172</v>
      </c>
      <c r="C68" s="50" t="s">
        <v>1420</v>
      </c>
      <c r="D68" s="520">
        <f t="shared" ref="D68:AH68" si="56">D22+D33+D40+D49+D56</f>
        <v>0</v>
      </c>
      <c r="E68" s="520">
        <f t="shared" si="56"/>
        <v>23998.205344479666</v>
      </c>
      <c r="F68" s="520">
        <f t="shared" si="56"/>
        <v>58615.994170847232</v>
      </c>
      <c r="G68" s="520">
        <f t="shared" si="56"/>
        <v>87406.182526792662</v>
      </c>
      <c r="H68" s="520">
        <f t="shared" si="56"/>
        <v>115855.3673309533</v>
      </c>
      <c r="I68" s="520">
        <f t="shared" si="56"/>
        <v>143900.70935808294</v>
      </c>
      <c r="J68" s="520">
        <f t="shared" si="56"/>
        <v>171597.65129290562</v>
      </c>
      <c r="K68" s="520">
        <f t="shared" si="56"/>
        <v>198941.53730530391</v>
      </c>
      <c r="L68" s="520">
        <f t="shared" si="56"/>
        <v>225935.74195064805</v>
      </c>
      <c r="M68" s="520">
        <f t="shared" si="56"/>
        <v>252583.61090449381</v>
      </c>
      <c r="N68" s="520">
        <f t="shared" si="56"/>
        <v>278888.46119618625</v>
      </c>
      <c r="O68" s="520">
        <f t="shared" si="56"/>
        <v>308591.86025263881</v>
      </c>
      <c r="P68" s="520">
        <f t="shared" si="56"/>
        <v>337884.01883109793</v>
      </c>
      <c r="Q68" s="520">
        <f t="shared" si="56"/>
        <v>366769.12152981473</v>
      </c>
      <c r="R68" s="520">
        <f t="shared" si="56"/>
        <v>395251.31526674738</v>
      </c>
      <c r="S68" s="520">
        <f t="shared" si="56"/>
        <v>423334.70959720039</v>
      </c>
      <c r="T68" s="520">
        <f t="shared" si="56"/>
        <v>450843.42307841114</v>
      </c>
      <c r="U68" s="520">
        <f t="shared" si="56"/>
        <v>477941.6165033268</v>
      </c>
      <c r="V68" s="520">
        <f t="shared" si="56"/>
        <v>504633.73001959949</v>
      </c>
      <c r="W68" s="520">
        <f t="shared" si="56"/>
        <v>530924.16138150124</v>
      </c>
      <c r="X68" s="520">
        <f t="shared" si="56"/>
        <v>556817.26632874832</v>
      </c>
      <c r="Y68" s="520">
        <f t="shared" si="56"/>
        <v>575908.96637935354</v>
      </c>
      <c r="Z68" s="520">
        <f t="shared" si="56"/>
        <v>594682.87505988684</v>
      </c>
      <c r="AA68" s="520">
        <f t="shared" si="56"/>
        <v>613142.71560825792</v>
      </c>
      <c r="AB68" s="520">
        <f t="shared" si="56"/>
        <v>631292.17284083134</v>
      </c>
      <c r="AC68" s="520">
        <f t="shared" si="56"/>
        <v>649134.89352436701</v>
      </c>
      <c r="AD68" s="520">
        <f t="shared" si="56"/>
        <v>666557.96562902443</v>
      </c>
      <c r="AE68" s="520">
        <f t="shared" si="56"/>
        <v>683674.33375283633</v>
      </c>
      <c r="AF68" s="520">
        <f t="shared" si="56"/>
        <v>700487.73612915096</v>
      </c>
      <c r="AG68" s="520">
        <f t="shared" si="56"/>
        <v>717001.87086191599</v>
      </c>
      <c r="AH68" s="520">
        <f t="shared" si="56"/>
        <v>733220.39633071877</v>
      </c>
      <c r="AI68" s="178"/>
      <c r="AJ68" s="520">
        <f t="shared" ref="AJ68:BN68" si="57">AJ22+AJ33+AJ40+AJ49+AJ56</f>
        <v>0</v>
      </c>
      <c r="AK68" s="520">
        <f t="shared" si="57"/>
        <v>16431.428083231567</v>
      </c>
      <c r="AL68" s="520">
        <f t="shared" si="57"/>
        <v>41550.540707997759</v>
      </c>
      <c r="AM68" s="520">
        <f t="shared" si="57"/>
        <v>61941.195077408905</v>
      </c>
      <c r="AN68" s="520">
        <f t="shared" si="57"/>
        <v>82078.687355582224</v>
      </c>
      <c r="AO68" s="520">
        <f t="shared" si="57"/>
        <v>101932.44868471869</v>
      </c>
      <c r="AP68" s="520">
        <f t="shared" si="57"/>
        <v>121531.04338778851</v>
      </c>
      <c r="AQ68" s="520">
        <f t="shared" si="57"/>
        <v>140872.97882269556</v>
      </c>
      <c r="AR68" s="520">
        <f t="shared" si="57"/>
        <v>159960.7698984649</v>
      </c>
      <c r="AS68" s="520">
        <f t="shared" si="57"/>
        <v>178796.90950807193</v>
      </c>
      <c r="AT68" s="520">
        <f t="shared" si="57"/>
        <v>197383.86871018619</v>
      </c>
      <c r="AU68" s="520">
        <f t="shared" si="57"/>
        <v>218822.16453698342</v>
      </c>
      <c r="AV68" s="520">
        <f t="shared" si="57"/>
        <v>239961.94631966169</v>
      </c>
      <c r="AW68" s="520">
        <f t="shared" si="57"/>
        <v>260806.26952384243</v>
      </c>
      <c r="AX68" s="520">
        <f t="shared" si="57"/>
        <v>281358.16194129671</v>
      </c>
      <c r="AY68" s="520">
        <f t="shared" si="57"/>
        <v>301620.62392457353</v>
      </c>
      <c r="AZ68" s="520">
        <f t="shared" si="57"/>
        <v>321506.65164447657</v>
      </c>
      <c r="BA68" s="520">
        <f t="shared" si="57"/>
        <v>341099.25378151773</v>
      </c>
      <c r="BB68" s="520">
        <f t="shared" si="57"/>
        <v>360401.57015936601</v>
      </c>
      <c r="BC68" s="520">
        <f t="shared" si="57"/>
        <v>379416.71094414662</v>
      </c>
      <c r="BD68" s="520">
        <f t="shared" si="57"/>
        <v>398147.75690659159</v>
      </c>
      <c r="BE68" s="520">
        <f t="shared" si="57"/>
        <v>411334.75560954981</v>
      </c>
      <c r="BF68" s="520">
        <f t="shared" si="57"/>
        <v>424307.39555079915</v>
      </c>
      <c r="BG68" s="520">
        <f t="shared" si="57"/>
        <v>437068.1270739368</v>
      </c>
      <c r="BH68" s="520">
        <f t="shared" si="57"/>
        <v>449619.37585055752</v>
      </c>
      <c r="BI68" s="520">
        <f t="shared" si="57"/>
        <v>461963.54311340634</v>
      </c>
      <c r="BJ68" s="520">
        <f t="shared" si="57"/>
        <v>474044.74532967299</v>
      </c>
      <c r="BK68" s="520">
        <f t="shared" si="57"/>
        <v>485920.02195963234</v>
      </c>
      <c r="BL68" s="520">
        <f t="shared" si="57"/>
        <v>497591.80400638806</v>
      </c>
      <c r="BM68" s="520">
        <f t="shared" si="57"/>
        <v>509062.49717915372</v>
      </c>
      <c r="BN68" s="520">
        <f t="shared" si="57"/>
        <v>520334.48214103619</v>
      </c>
    </row>
    <row r="69" spans="1:90" outlineLevel="1">
      <c r="B69" s="1" t="s">
        <v>249</v>
      </c>
      <c r="C69" s="50" t="s">
        <v>1420</v>
      </c>
      <c r="D69" s="520">
        <f t="shared" ref="D69:AH69" si="58">D17+D63</f>
        <v>0</v>
      </c>
      <c r="E69" s="520">
        <f t="shared" si="58"/>
        <v>2365.0959973391318</v>
      </c>
      <c r="F69" s="520">
        <f t="shared" si="58"/>
        <v>4118.5028994675813</v>
      </c>
      <c r="G69" s="520">
        <f t="shared" si="58"/>
        <v>5849.9147613808746</v>
      </c>
      <c r="H69" s="520">
        <f t="shared" si="58"/>
        <v>7559.6601956296854</v>
      </c>
      <c r="I69" s="520">
        <f t="shared" si="58"/>
        <v>9248.0700112929426</v>
      </c>
      <c r="J69" s="520">
        <f t="shared" si="58"/>
        <v>10915.477461193706</v>
      </c>
      <c r="K69" s="520">
        <f t="shared" si="58"/>
        <v>12562.218500749759</v>
      </c>
      <c r="L69" s="520">
        <f t="shared" si="58"/>
        <v>14188.632059069378</v>
      </c>
      <c r="M69" s="520">
        <f t="shared" si="58"/>
        <v>15795.06032293422</v>
      </c>
      <c r="N69" s="520">
        <f t="shared" si="58"/>
        <v>17381.849034344308</v>
      </c>
      <c r="O69" s="520">
        <f t="shared" si="58"/>
        <v>21393.47297077471</v>
      </c>
      <c r="P69" s="520">
        <f t="shared" si="58"/>
        <v>25352.69768434417</v>
      </c>
      <c r="Q69" s="520">
        <f t="shared" si="58"/>
        <v>29260.225127561072</v>
      </c>
      <c r="R69" s="520">
        <f t="shared" si="58"/>
        <v>33116.759012385759</v>
      </c>
      <c r="S69" s="520">
        <f t="shared" si="58"/>
        <v>36923.005213831733</v>
      </c>
      <c r="T69" s="520">
        <f t="shared" si="58"/>
        <v>40679.672191755875</v>
      </c>
      <c r="U69" s="520">
        <f t="shared" si="58"/>
        <v>44387.471431798906</v>
      </c>
      <c r="V69" s="520">
        <f t="shared" si="58"/>
        <v>48047.11790648754</v>
      </c>
      <c r="W69" s="520">
        <f t="shared" si="58"/>
        <v>51659.330557561269</v>
      </c>
      <c r="X69" s="520">
        <f t="shared" si="58"/>
        <v>55224.832800641736</v>
      </c>
      <c r="Y69" s="520">
        <f t="shared" si="58"/>
        <v>57223.105732518277</v>
      </c>
      <c r="Z69" s="520">
        <f t="shared" si="58"/>
        <v>59196.958395319867</v>
      </c>
      <c r="AA69" s="520">
        <f t="shared" si="58"/>
        <v>61146.917027618678</v>
      </c>
      <c r="AB69" s="520">
        <f t="shared" si="58"/>
        <v>63073.516560489203</v>
      </c>
      <c r="AC69" s="520">
        <f t="shared" si="58"/>
        <v>64977.30123607858</v>
      </c>
      <c r="AD69" s="520">
        <f t="shared" si="58"/>
        <v>66858.825256683514</v>
      </c>
      <c r="AE69" s="520">
        <f t="shared" si="58"/>
        <v>68718.653465921874</v>
      </c>
      <c r="AF69" s="520">
        <f t="shared" si="58"/>
        <v>70557.362063668741</v>
      </c>
      <c r="AG69" s="520">
        <f t="shared" si="58"/>
        <v>72375.539356513909</v>
      </c>
      <c r="AH69" s="520">
        <f t="shared" si="58"/>
        <v>74173.786545586758</v>
      </c>
      <c r="AI69" s="178"/>
      <c r="AJ69" s="520">
        <f t="shared" ref="AJ69:BN69" si="59">AJ17+AJ63</f>
        <v>0</v>
      </c>
      <c r="AK69" s="520">
        <f t="shared" si="59"/>
        <v>2365.0959973391318</v>
      </c>
      <c r="AL69" s="520">
        <f t="shared" si="59"/>
        <v>4118.5028994675813</v>
      </c>
      <c r="AM69" s="520">
        <f t="shared" si="59"/>
        <v>5849.9147613808746</v>
      </c>
      <c r="AN69" s="520">
        <f t="shared" si="59"/>
        <v>7559.6601956296854</v>
      </c>
      <c r="AO69" s="520">
        <f t="shared" si="59"/>
        <v>9248.0700112929426</v>
      </c>
      <c r="AP69" s="520">
        <f t="shared" si="59"/>
        <v>10915.477461193706</v>
      </c>
      <c r="AQ69" s="520">
        <f t="shared" si="59"/>
        <v>12562.218500749759</v>
      </c>
      <c r="AR69" s="520">
        <f t="shared" si="59"/>
        <v>14188.632059069378</v>
      </c>
      <c r="AS69" s="520">
        <f t="shared" si="59"/>
        <v>15795.06032293422</v>
      </c>
      <c r="AT69" s="520">
        <f t="shared" si="59"/>
        <v>17381.849034344308</v>
      </c>
      <c r="AU69" s="520">
        <f t="shared" si="59"/>
        <v>21393.47297077471</v>
      </c>
      <c r="AV69" s="520">
        <f t="shared" si="59"/>
        <v>25352.69768434417</v>
      </c>
      <c r="AW69" s="520">
        <f t="shared" si="59"/>
        <v>29260.225127561072</v>
      </c>
      <c r="AX69" s="520">
        <f t="shared" si="59"/>
        <v>33116.759012385759</v>
      </c>
      <c r="AY69" s="520">
        <f t="shared" si="59"/>
        <v>36923.005213831733</v>
      </c>
      <c r="AZ69" s="520">
        <f t="shared" si="59"/>
        <v>40679.672191755875</v>
      </c>
      <c r="BA69" s="520">
        <f t="shared" si="59"/>
        <v>44387.471431798906</v>
      </c>
      <c r="BB69" s="520">
        <f t="shared" si="59"/>
        <v>48047.11790648754</v>
      </c>
      <c r="BC69" s="520">
        <f t="shared" si="59"/>
        <v>51659.330557561269</v>
      </c>
      <c r="BD69" s="520">
        <f t="shared" si="59"/>
        <v>55224.832800641736</v>
      </c>
      <c r="BE69" s="520">
        <f t="shared" si="59"/>
        <v>57223.105732518277</v>
      </c>
      <c r="BF69" s="520">
        <f t="shared" si="59"/>
        <v>59196.958395319867</v>
      </c>
      <c r="BG69" s="520">
        <f t="shared" si="59"/>
        <v>61146.917027618678</v>
      </c>
      <c r="BH69" s="520">
        <f t="shared" si="59"/>
        <v>63073.516560489203</v>
      </c>
      <c r="BI69" s="520">
        <f t="shared" si="59"/>
        <v>64977.30123607858</v>
      </c>
      <c r="BJ69" s="520">
        <f t="shared" si="59"/>
        <v>66858.825256683514</v>
      </c>
      <c r="BK69" s="520">
        <f t="shared" si="59"/>
        <v>68718.653465921874</v>
      </c>
      <c r="BL69" s="520">
        <f t="shared" si="59"/>
        <v>70557.362063668741</v>
      </c>
      <c r="BM69" s="520">
        <f t="shared" si="59"/>
        <v>72375.539356513909</v>
      </c>
      <c r="BN69" s="520">
        <f t="shared" si="59"/>
        <v>74173.786545586758</v>
      </c>
    </row>
    <row r="70" spans="1:90">
      <c r="A70" s="63" t="s">
        <v>1215</v>
      </c>
      <c r="B70" s="63"/>
      <c r="C70" s="64" t="s">
        <v>1420</v>
      </c>
      <c r="D70" s="589">
        <f t="shared" ref="D70:AH70" si="60">D12+D69-D67-D68</f>
        <v>7896082.1468130462</v>
      </c>
      <c r="E70" s="589">
        <f t="shared" si="60"/>
        <v>7772105.1044809977</v>
      </c>
      <c r="F70" s="589">
        <f t="shared" si="60"/>
        <v>7637777.5296188714</v>
      </c>
      <c r="G70" s="589">
        <f t="shared" si="60"/>
        <v>7510129.598291086</v>
      </c>
      <c r="H70" s="589">
        <f t="shared" si="60"/>
        <v>7383668.3886927888</v>
      </c>
      <c r="I70" s="589">
        <f t="shared" si="60"/>
        <v>7250653.4269533781</v>
      </c>
      <c r="J70" s="589">
        <f t="shared" si="60"/>
        <v>7120151.3257787656</v>
      </c>
      <c r="K70" s="589">
        <f t="shared" si="60"/>
        <v>6990962.0658372818</v>
      </c>
      <c r="L70" s="589">
        <f t="shared" si="60"/>
        <v>6863074.6194995502</v>
      </c>
      <c r="M70" s="589">
        <f t="shared" si="60"/>
        <v>6736478.0519680837</v>
      </c>
      <c r="N70" s="589">
        <f t="shared" si="60"/>
        <v>6611161.5208993284</v>
      </c>
      <c r="O70" s="589">
        <f t="shared" si="60"/>
        <v>6437702.2840206418</v>
      </c>
      <c r="P70" s="589">
        <f t="shared" si="60"/>
        <v>6266147.2373626083</v>
      </c>
      <c r="Q70" s="589">
        <f t="shared" si="60"/>
        <v>6096479.7182447491</v>
      </c>
      <c r="R70" s="589">
        <f t="shared" si="60"/>
        <v>5928683.2043326981</v>
      </c>
      <c r="S70" s="589">
        <f t="shared" si="60"/>
        <v>5762741.313008518</v>
      </c>
      <c r="T70" s="589">
        <f t="shared" si="60"/>
        <v>5592541.1790501876</v>
      </c>
      <c r="U70" s="589">
        <f t="shared" si="60"/>
        <v>5424337.6550170174</v>
      </c>
      <c r="V70" s="589">
        <f t="shared" si="60"/>
        <v>5258112.0157926288</v>
      </c>
      <c r="W70" s="589">
        <f t="shared" si="60"/>
        <v>5093845.7081000246</v>
      </c>
      <c r="X70" s="589">
        <f t="shared" si="60"/>
        <v>4931520.3496325631</v>
      </c>
      <c r="Y70" s="589">
        <f t="shared" si="60"/>
        <v>4775083.5182119291</v>
      </c>
      <c r="Z70" s="589">
        <f t="shared" si="60"/>
        <v>4620549.1650436027</v>
      </c>
      <c r="AA70" s="589">
        <f t="shared" si="60"/>
        <v>4467898.7001994764</v>
      </c>
      <c r="AB70" s="589">
        <f t="shared" si="60"/>
        <v>4317113.7171274815</v>
      </c>
      <c r="AC70" s="589">
        <f t="shared" si="60"/>
        <v>4168175.991733531</v>
      </c>
      <c r="AD70" s="589">
        <f t="shared" si="60"/>
        <v>4018836.3179259188</v>
      </c>
      <c r="AE70" s="589">
        <f t="shared" si="60"/>
        <v>3871381.6320231045</v>
      </c>
      <c r="AF70" s="589">
        <f t="shared" si="60"/>
        <v>3725792.8743506745</v>
      </c>
      <c r="AG70" s="589">
        <f t="shared" si="60"/>
        <v>3582051.1848894553</v>
      </c>
      <c r="AH70" s="589">
        <f t="shared" si="60"/>
        <v>3440137.9023258905</v>
      </c>
      <c r="AI70" s="178"/>
      <c r="AJ70" s="589">
        <f t="shared" ref="AJ70:BN70" si="61">AJ12+AJ69-AJ67-AJ68</f>
        <v>7896082.1468130462</v>
      </c>
      <c r="AK70" s="589">
        <f t="shared" si="61"/>
        <v>7804476.5535230627</v>
      </c>
      <c r="AL70" s="589">
        <f t="shared" si="61"/>
        <v>7704206.5601079054</v>
      </c>
      <c r="AM70" s="589">
        <f t="shared" si="61"/>
        <v>7609273.1367028328</v>
      </c>
      <c r="AN70" s="589">
        <f t="shared" si="61"/>
        <v>7515196.4853012655</v>
      </c>
      <c r="AO70" s="589">
        <f t="shared" si="61"/>
        <v>7414106.7355582099</v>
      </c>
      <c r="AP70" s="589">
        <f t="shared" si="61"/>
        <v>7315177.7023638226</v>
      </c>
      <c r="AQ70" s="589">
        <f t="shared" si="61"/>
        <v>7217196.4060739893</v>
      </c>
      <c r="AR70" s="589">
        <f t="shared" si="61"/>
        <v>7120154.9537477111</v>
      </c>
      <c r="AS70" s="589">
        <f t="shared" si="61"/>
        <v>7024045.5214455184</v>
      </c>
      <c r="AT70" s="589">
        <f t="shared" si="61"/>
        <v>6928860.3540206607</v>
      </c>
      <c r="AU70" s="589">
        <f t="shared" si="61"/>
        <v>6795211.1673258562</v>
      </c>
      <c r="AV70" s="589">
        <f t="shared" si="61"/>
        <v>6662988.7837748658</v>
      </c>
      <c r="AW70" s="589">
        <f t="shared" si="61"/>
        <v>6532180.654816254</v>
      </c>
      <c r="AX70" s="589">
        <f t="shared" si="61"/>
        <v>6402774.3420406124</v>
      </c>
      <c r="AY70" s="589">
        <f t="shared" si="61"/>
        <v>6274757.5167463105</v>
      </c>
      <c r="AZ70" s="589">
        <f t="shared" si="61"/>
        <v>6141661.4299123148</v>
      </c>
      <c r="BA70" s="589">
        <f t="shared" si="61"/>
        <v>6010065.1786193624</v>
      </c>
      <c r="BB70" s="589">
        <f t="shared" si="61"/>
        <v>5879954.8844030984</v>
      </c>
      <c r="BC70" s="589">
        <f t="shared" si="61"/>
        <v>5751316.7988491012</v>
      </c>
      <c r="BD70" s="589">
        <f t="shared" si="61"/>
        <v>5624137.3030615151</v>
      </c>
      <c r="BE70" s="589">
        <f t="shared" si="61"/>
        <v>5505449.0420254488</v>
      </c>
      <c r="BF70" s="589">
        <f t="shared" si="61"/>
        <v>5388126.7862771666</v>
      </c>
      <c r="BG70" s="589">
        <f t="shared" si="61"/>
        <v>5272157.553157107</v>
      </c>
      <c r="BH70" s="589">
        <f t="shared" si="61"/>
        <v>5157528.490516088</v>
      </c>
      <c r="BI70" s="589">
        <f t="shared" si="61"/>
        <v>5044226.8762754807</v>
      </c>
      <c r="BJ70" s="589">
        <f t="shared" si="61"/>
        <v>4929775.9122146545</v>
      </c>
      <c r="BK70" s="589">
        <f t="shared" si="61"/>
        <v>4816686.678967379</v>
      </c>
      <c r="BL70" s="589">
        <f t="shared" si="61"/>
        <v>4704945.8713759743</v>
      </c>
      <c r="BM70" s="589">
        <f t="shared" si="61"/>
        <v>4594540.3263548976</v>
      </c>
      <c r="BN70" s="589">
        <f t="shared" si="61"/>
        <v>4485457.0224986654</v>
      </c>
    </row>
    <row r="71" spans="1:90" s="61" customFormat="1">
      <c r="A71" s="602"/>
      <c r="B71" s="54" t="s">
        <v>88</v>
      </c>
      <c r="C71" s="55" t="s">
        <v>1420</v>
      </c>
      <c r="D71" s="580">
        <f>D24+D35+D42+D51+D58+D64</f>
        <v>2469050.6255606366</v>
      </c>
      <c r="E71" s="580">
        <f t="shared" ref="E71:AH71" si="62">E24+E35+E42+E51+E58+E64</f>
        <v>2434101.9829672319</v>
      </c>
      <c r="F71" s="580">
        <f t="shared" si="62"/>
        <v>2399124.5934627242</v>
      </c>
      <c r="G71" s="580">
        <f t="shared" si="62"/>
        <v>2364405.9303245624</v>
      </c>
      <c r="H71" s="580">
        <f t="shared" si="62"/>
        <v>2329944.56956879</v>
      </c>
      <c r="I71" s="580">
        <f t="shared" si="62"/>
        <v>2292078.8991500065</v>
      </c>
      <c r="J71" s="580">
        <f t="shared" si="62"/>
        <v>2255104.412909592</v>
      </c>
      <c r="K71" s="580">
        <f t="shared" si="62"/>
        <v>2218455.9513856932</v>
      </c>
      <c r="L71" s="580">
        <f t="shared" si="62"/>
        <v>2182131.2432892271</v>
      </c>
      <c r="M71" s="580">
        <f t="shared" si="62"/>
        <v>2146128.0344248931</v>
      </c>
      <c r="N71" s="580">
        <f t="shared" si="62"/>
        <v>2110444.0877506994</v>
      </c>
      <c r="O71" s="580">
        <f t="shared" si="62"/>
        <v>2052614.0030035353</v>
      </c>
      <c r="P71" s="580">
        <f t="shared" si="62"/>
        <v>2007649.3419408416</v>
      </c>
      <c r="Q71" s="580">
        <f t="shared" si="62"/>
        <v>1963154.7607117074</v>
      </c>
      <c r="R71" s="580">
        <f t="shared" si="62"/>
        <v>1919126.3609248081</v>
      </c>
      <c r="S71" s="580">
        <f t="shared" si="62"/>
        <v>1875560.2778434802</v>
      </c>
      <c r="T71" s="580">
        <f t="shared" si="62"/>
        <v>1829566.30070812</v>
      </c>
      <c r="U71" s="580">
        <f t="shared" si="62"/>
        <v>1784109.5490853812</v>
      </c>
      <c r="V71" s="580">
        <f t="shared" si="62"/>
        <v>1739184.9532883128</v>
      </c>
      <c r="W71" s="580">
        <f t="shared" si="62"/>
        <v>1694787.4935264224</v>
      </c>
      <c r="X71" s="580">
        <f t="shared" si="62"/>
        <v>1650912.1997488635</v>
      </c>
      <c r="Y71" s="580">
        <f t="shared" si="62"/>
        <v>1603773.9545311464</v>
      </c>
      <c r="Z71" s="580">
        <f t="shared" si="62"/>
        <v>1557229.4117481075</v>
      </c>
      <c r="AA71" s="580">
        <f t="shared" si="62"/>
        <v>1511272.5145980234</v>
      </c>
      <c r="AB71" s="580">
        <f t="shared" si="62"/>
        <v>1465897.2715386839</v>
      </c>
      <c r="AC71" s="580">
        <f t="shared" si="62"/>
        <v>1421097.7560226035</v>
      </c>
      <c r="AD71" s="580">
        <f t="shared" si="62"/>
        <v>1375811.7859717903</v>
      </c>
      <c r="AE71" s="580">
        <f t="shared" si="62"/>
        <v>1331124.7458504152</v>
      </c>
      <c r="AF71" s="580">
        <f t="shared" si="62"/>
        <v>1287030.2503638212</v>
      </c>
      <c r="AG71" s="580">
        <f t="shared" si="62"/>
        <v>1243521.9880277996</v>
      </c>
      <c r="AH71" s="580">
        <f t="shared" si="62"/>
        <v>1200593.7208862517</v>
      </c>
      <c r="AI71" s="580"/>
      <c r="AJ71" s="580">
        <f>AJ24+AJ35+AJ42+AJ51+AJ58+AJ64</f>
        <v>2469050.6255606366</v>
      </c>
      <c r="AK71" s="580">
        <f t="shared" ref="AK71:BN71" si="63">AK24+AK35+AK42+AK51+AK58+AK64</f>
        <v>2447376.1002580416</v>
      </c>
      <c r="AL71" s="580">
        <f t="shared" si="63"/>
        <v>2425552.3900005766</v>
      </c>
      <c r="AM71" s="580">
        <f t="shared" si="63"/>
        <v>2403867.7490181634</v>
      </c>
      <c r="AN71" s="580">
        <f t="shared" si="63"/>
        <v>2382321.5302285366</v>
      </c>
      <c r="AO71" s="580">
        <f t="shared" si="63"/>
        <v>2357190.4402201781</v>
      </c>
      <c r="AP71" s="580">
        <f t="shared" si="63"/>
        <v>2332820.3107105033</v>
      </c>
      <c r="AQ71" s="580">
        <f t="shared" si="63"/>
        <v>2308639.4346046746</v>
      </c>
      <c r="AR71" s="580">
        <f t="shared" si="63"/>
        <v>2284646.6170728654</v>
      </c>
      <c r="AS71" s="580">
        <f t="shared" si="63"/>
        <v>2260840.6731470916</v>
      </c>
      <c r="AT71" s="580">
        <f t="shared" si="63"/>
        <v>2237220.4278233759</v>
      </c>
      <c r="AU71" s="580">
        <f t="shared" si="63"/>
        <v>2194398.1176805175</v>
      </c>
      <c r="AV71" s="580">
        <f t="shared" si="63"/>
        <v>2163425.7968179267</v>
      </c>
      <c r="AW71" s="580">
        <f t="shared" si="63"/>
        <v>2132751.0859098788</v>
      </c>
      <c r="AX71" s="580">
        <f t="shared" si="63"/>
        <v>2102371.6200670609</v>
      </c>
      <c r="AY71" s="580">
        <f t="shared" si="63"/>
        <v>2072285.0562933711</v>
      </c>
      <c r="AZ71" s="580">
        <f t="shared" si="63"/>
        <v>2039432.2993843451</v>
      </c>
      <c r="BA71" s="580">
        <f t="shared" si="63"/>
        <v>2006931.5862882056</v>
      </c>
      <c r="BB71" s="580">
        <f t="shared" si="63"/>
        <v>1974779.7516449036</v>
      </c>
      <c r="BC71" s="580">
        <f t="shared" si="63"/>
        <v>1942973.6626097222</v>
      </c>
      <c r="BD71" s="580">
        <f t="shared" si="63"/>
        <v>1911510.2188457921</v>
      </c>
      <c r="BE71" s="580">
        <f t="shared" si="63"/>
        <v>1877845.8278373193</v>
      </c>
      <c r="BF71" s="580">
        <f t="shared" si="63"/>
        <v>1844569.7716654886</v>
      </c>
      <c r="BG71" s="580">
        <f t="shared" si="63"/>
        <v>1811678.2896026955</v>
      </c>
      <c r="BH71" s="580">
        <f t="shared" si="63"/>
        <v>1779167.6630927369</v>
      </c>
      <c r="BI71" s="580">
        <f t="shared" si="63"/>
        <v>1747034.2157074052</v>
      </c>
      <c r="BJ71" s="580">
        <f t="shared" si="63"/>
        <v>1714107.661515323</v>
      </c>
      <c r="BK71" s="580">
        <f t="shared" si="63"/>
        <v>1681579.1527892167</v>
      </c>
      <c r="BL71" s="580">
        <f t="shared" si="63"/>
        <v>1649444.6796735704</v>
      </c>
      <c r="BM71" s="580">
        <f t="shared" si="63"/>
        <v>1617700.2807760895</v>
      </c>
      <c r="BN71" s="580">
        <f t="shared" si="63"/>
        <v>1586342.0431440379</v>
      </c>
      <c r="BQ71" s="649"/>
      <c r="BR71" s="649"/>
      <c r="BS71" s="649"/>
      <c r="BT71" s="649"/>
      <c r="BU71" s="649"/>
      <c r="BV71" s="649"/>
      <c r="BW71" s="649"/>
      <c r="BX71" s="649"/>
      <c r="BY71" s="649"/>
      <c r="BZ71" s="649"/>
      <c r="CA71" s="649"/>
      <c r="CB71" s="649"/>
      <c r="CC71" s="649"/>
      <c r="CD71" s="649"/>
      <c r="CE71" s="649"/>
      <c r="CF71" s="649"/>
      <c r="CG71" s="649"/>
      <c r="CH71" s="649"/>
      <c r="CI71" s="649"/>
      <c r="CJ71" s="649"/>
      <c r="CK71" s="649"/>
      <c r="CL71" s="649"/>
    </row>
    <row r="72" spans="1:90">
      <c r="A72" s="603"/>
      <c r="B72" s="1" t="s">
        <v>717</v>
      </c>
      <c r="C72" s="50" t="s">
        <v>1420</v>
      </c>
      <c r="D72" s="576">
        <f>D25+D36+D43+D52+D59+D65+D11</f>
        <v>1125724.5926953687</v>
      </c>
      <c r="E72" s="576">
        <f t="shared" ref="E72:AH72" si="64">E25+E36+E43+E52+E59+E65+E11</f>
        <v>1103682.9987479018</v>
      </c>
      <c r="F72" s="576">
        <f t="shared" si="64"/>
        <v>1081869.5352165794</v>
      </c>
      <c r="G72" s="576">
        <f t="shared" si="64"/>
        <v>1060282.1988015682</v>
      </c>
      <c r="H72" s="576">
        <f t="shared" si="64"/>
        <v>1038919.0025588695</v>
      </c>
      <c r="I72" s="576">
        <f t="shared" si="64"/>
        <v>1017116.6460261714</v>
      </c>
      <c r="J72" s="576">
        <f t="shared" si="64"/>
        <v>995649.54502892389</v>
      </c>
      <c r="K72" s="576">
        <f t="shared" si="64"/>
        <v>974413.89973712177</v>
      </c>
      <c r="L72" s="576">
        <f t="shared" si="64"/>
        <v>953407.62806107802</v>
      </c>
      <c r="M72" s="576">
        <f t="shared" si="64"/>
        <v>932628.66512154462</v>
      </c>
      <c r="N72" s="576">
        <f t="shared" si="64"/>
        <v>912074.96311420179</v>
      </c>
      <c r="O72" s="576">
        <f t="shared" si="64"/>
        <v>874820.66761116276</v>
      </c>
      <c r="P72" s="576">
        <f t="shared" si="64"/>
        <v>839193.11836506519</v>
      </c>
      <c r="Q72" s="576">
        <f t="shared" si="64"/>
        <v>803985.18423079071</v>
      </c>
      <c r="R72" s="576">
        <f t="shared" si="64"/>
        <v>769192.97430390446</v>
      </c>
      <c r="S72" s="576">
        <f t="shared" si="64"/>
        <v>734812.63003309444</v>
      </c>
      <c r="T72" s="576">
        <f t="shared" si="64"/>
        <v>700318.80959888594</v>
      </c>
      <c r="U72" s="576">
        <f t="shared" si="64"/>
        <v>666244.14675243711</v>
      </c>
      <c r="V72" s="576">
        <f t="shared" si="64"/>
        <v>632584.64256167726</v>
      </c>
      <c r="W72" s="576">
        <f t="shared" si="64"/>
        <v>599336.3323911858</v>
      </c>
      <c r="X72" s="576">
        <f t="shared" si="64"/>
        <v>566495.28562532202</v>
      </c>
      <c r="Y72" s="576">
        <f t="shared" si="64"/>
        <v>539454.33997529605</v>
      </c>
      <c r="Z72" s="576">
        <f t="shared" si="64"/>
        <v>512740.97871396015</v>
      </c>
      <c r="AA72" s="576">
        <f t="shared" si="64"/>
        <v>486352.07249737188</v>
      </c>
      <c r="AB72" s="576">
        <f t="shared" si="64"/>
        <v>460284.51905455766</v>
      </c>
      <c r="AC72" s="576">
        <f t="shared" si="64"/>
        <v>434535.24296479265</v>
      </c>
      <c r="AD72" s="576">
        <f t="shared" si="64"/>
        <v>408910.33791704348</v>
      </c>
      <c r="AE72" s="576">
        <f t="shared" si="64"/>
        <v>383603.9378691545</v>
      </c>
      <c r="AF72" s="576">
        <f t="shared" si="64"/>
        <v>358612.9287654378</v>
      </c>
      <c r="AG72" s="576">
        <f t="shared" si="64"/>
        <v>333934.22427373275</v>
      </c>
      <c r="AH72" s="576">
        <f t="shared" si="64"/>
        <v>309564.76554870489</v>
      </c>
      <c r="AI72" s="576"/>
      <c r="AJ72" s="576">
        <f>AJ25+AJ36+AJ43+AJ52+AJ59+AJ65+AJ11</f>
        <v>1125724.5926953687</v>
      </c>
      <c r="AK72" s="576">
        <f t="shared" ref="AK72:BN72" si="65">AK25+AK36+AK43+AK52+AK59+AK65+AK11</f>
        <v>1107098.0876851196</v>
      </c>
      <c r="AL72" s="576">
        <f t="shared" si="65"/>
        <v>1088664.869448018</v>
      </c>
      <c r="AM72" s="576">
        <f t="shared" si="65"/>
        <v>1070423.2015302593</v>
      </c>
      <c r="AN72" s="576">
        <f t="shared" si="65"/>
        <v>1052371.3620327234</v>
      </c>
      <c r="AO72" s="576">
        <f t="shared" si="65"/>
        <v>1033835.029424472</v>
      </c>
      <c r="AP72" s="576">
        <f t="shared" si="65"/>
        <v>1015597.8372132789</v>
      </c>
      <c r="AQ72" s="576">
        <f t="shared" si="65"/>
        <v>997554.92404906778</v>
      </c>
      <c r="AR72" s="576">
        <f t="shared" si="65"/>
        <v>979704.52281869156</v>
      </c>
      <c r="AS72" s="576">
        <f t="shared" si="65"/>
        <v>962044.88128526974</v>
      </c>
      <c r="AT72" s="576">
        <f t="shared" si="65"/>
        <v>944574.26196854585</v>
      </c>
      <c r="AU72" s="576">
        <f t="shared" si="65"/>
        <v>910978.67686080607</v>
      </c>
      <c r="AV72" s="576">
        <f t="shared" si="65"/>
        <v>879360.67322683544</v>
      </c>
      <c r="AW72" s="576">
        <f t="shared" si="65"/>
        <v>848119.31949040573</v>
      </c>
      <c r="AX72" s="576">
        <f t="shared" si="65"/>
        <v>817251.03257509577</v>
      </c>
      <c r="AY72" s="576">
        <f t="shared" si="65"/>
        <v>786752.2601851027</v>
      </c>
      <c r="AZ72" s="576">
        <f t="shared" si="65"/>
        <v>756067.17805408011</v>
      </c>
      <c r="BA72" s="576">
        <f t="shared" si="65"/>
        <v>725756.11778426403</v>
      </c>
      <c r="BB72" s="576">
        <f t="shared" si="65"/>
        <v>695815.45741239423</v>
      </c>
      <c r="BC72" s="576">
        <f t="shared" si="65"/>
        <v>666241.60663737683</v>
      </c>
      <c r="BD72" s="576">
        <f t="shared" si="65"/>
        <v>637031.00655912561</v>
      </c>
      <c r="BE72" s="576">
        <f t="shared" si="65"/>
        <v>614701.76619061001</v>
      </c>
      <c r="BF72" s="576">
        <f t="shared" si="65"/>
        <v>592640.84901119303</v>
      </c>
      <c r="BG72" s="576">
        <f t="shared" si="65"/>
        <v>570845.66785781668</v>
      </c>
      <c r="BH72" s="576">
        <f t="shared" si="65"/>
        <v>549313.65823817207</v>
      </c>
      <c r="BI72" s="576">
        <f t="shared" si="65"/>
        <v>528042.27814192243</v>
      </c>
      <c r="BJ72" s="576">
        <f t="shared" si="65"/>
        <v>506818.2155058629</v>
      </c>
      <c r="BK72" s="576">
        <f t="shared" si="65"/>
        <v>485854.84093724185</v>
      </c>
      <c r="BL72" s="576">
        <f t="shared" si="65"/>
        <v>465149.59568850807</v>
      </c>
      <c r="BM72" s="576">
        <f t="shared" si="65"/>
        <v>444699.94389610091</v>
      </c>
      <c r="BN72" s="576">
        <f t="shared" si="65"/>
        <v>424503.37238499662</v>
      </c>
    </row>
    <row r="73" spans="1:90" s="62" customFormat="1">
      <c r="A73" s="604"/>
      <c r="B73" s="58" t="s">
        <v>1170</v>
      </c>
      <c r="C73" s="233" t="s">
        <v>1420</v>
      </c>
      <c r="D73" s="579">
        <f t="shared" ref="D73" si="66">D26+D37+D44+D53+D60+D66</f>
        <v>4301306.9285570411</v>
      </c>
      <c r="E73" s="579">
        <f t="shared" ref="E73:AH73" si="67">E26+E37+E44+E53+E60+E66</f>
        <v>4234320.1227658633</v>
      </c>
      <c r="F73" s="579">
        <f t="shared" si="67"/>
        <v>4167621.8438482787</v>
      </c>
      <c r="G73" s="579">
        <f t="shared" si="67"/>
        <v>4101508.3096473105</v>
      </c>
      <c r="H73" s="579">
        <f t="shared" si="67"/>
        <v>4035975.3063537548</v>
      </c>
      <c r="I73" s="579">
        <f t="shared" si="67"/>
        <v>3967609.0960171577</v>
      </c>
      <c r="J73" s="579">
        <f t="shared" si="67"/>
        <v>3900408.1835026462</v>
      </c>
      <c r="K73" s="579">
        <f t="shared" si="67"/>
        <v>3833843.2892370461</v>
      </c>
      <c r="L73" s="579">
        <f t="shared" si="67"/>
        <v>3767909.4983017594</v>
      </c>
      <c r="M73" s="579">
        <f t="shared" si="67"/>
        <v>3702601.9333938034</v>
      </c>
      <c r="N73" s="579">
        <f t="shared" si="67"/>
        <v>3637915.7547442554</v>
      </c>
      <c r="O73" s="579">
        <f t="shared" si="67"/>
        <v>3510267.6134059457</v>
      </c>
      <c r="P73" s="579">
        <f t="shared" si="67"/>
        <v>3419304.7770567024</v>
      </c>
      <c r="Q73" s="579">
        <f t="shared" si="67"/>
        <v>3329339.7733022519</v>
      </c>
      <c r="R73" s="579">
        <f t="shared" si="67"/>
        <v>3240363.8691039854</v>
      </c>
      <c r="S73" s="579">
        <f t="shared" si="67"/>
        <v>3152368.4051319431</v>
      </c>
      <c r="T73" s="579">
        <f t="shared" si="67"/>
        <v>3062656.0687431814</v>
      </c>
      <c r="U73" s="579">
        <f t="shared" si="67"/>
        <v>2973983.9591791988</v>
      </c>
      <c r="V73" s="579">
        <f t="shared" si="67"/>
        <v>2886342.4199426393</v>
      </c>
      <c r="W73" s="579">
        <f t="shared" si="67"/>
        <v>2799721.882182416</v>
      </c>
      <c r="X73" s="579">
        <f t="shared" si="67"/>
        <v>2714112.8642583792</v>
      </c>
      <c r="Y73" s="579">
        <f t="shared" si="67"/>
        <v>2631855.2237054869</v>
      </c>
      <c r="Z73" s="579">
        <f t="shared" si="67"/>
        <v>2550578.7745815348</v>
      </c>
      <c r="AA73" s="579">
        <f t="shared" si="67"/>
        <v>2470274.1131040808</v>
      </c>
      <c r="AB73" s="579">
        <f t="shared" si="67"/>
        <v>2390931.9265342406</v>
      </c>
      <c r="AC73" s="579">
        <f t="shared" si="67"/>
        <v>2312542.9927461343</v>
      </c>
      <c r="AD73" s="579">
        <f t="shared" si="67"/>
        <v>2234114.1940370845</v>
      </c>
      <c r="AE73" s="579">
        <f t="shared" si="67"/>
        <v>2156652.9483035346</v>
      </c>
      <c r="AF73" s="579">
        <f t="shared" si="67"/>
        <v>2080149.6952214148</v>
      </c>
      <c r="AG73" s="579">
        <f t="shared" si="67"/>
        <v>2004594.9725879226</v>
      </c>
      <c r="AH73" s="579">
        <f t="shared" si="67"/>
        <v>1929979.4158909339</v>
      </c>
      <c r="AI73" s="579"/>
      <c r="AJ73" s="579">
        <f t="shared" ref="AJ73:BN73" si="68">AJ26+AJ37+AJ44+AJ53+AJ60+AJ66</f>
        <v>4301306.9285570411</v>
      </c>
      <c r="AK73" s="579">
        <f t="shared" si="68"/>
        <v>4251216.6412891559</v>
      </c>
      <c r="AL73" s="579">
        <f t="shared" si="68"/>
        <v>4201253.8892906224</v>
      </c>
      <c r="AM73" s="579">
        <f t="shared" si="68"/>
        <v>4151715.9830402434</v>
      </c>
      <c r="AN73" s="579">
        <f t="shared" si="68"/>
        <v>4102599.7954990421</v>
      </c>
      <c r="AO73" s="579">
        <f t="shared" si="68"/>
        <v>4050434.4921395238</v>
      </c>
      <c r="AP73" s="579">
        <f t="shared" si="68"/>
        <v>3999265.8275819882</v>
      </c>
      <c r="AQ73" s="579">
        <f t="shared" si="68"/>
        <v>3948558.7798242783</v>
      </c>
      <c r="AR73" s="579">
        <f t="shared" si="68"/>
        <v>3898309.7914670655</v>
      </c>
      <c r="AS73" s="579">
        <f t="shared" si="68"/>
        <v>3848515.3339344603</v>
      </c>
      <c r="AT73" s="579">
        <f t="shared" si="68"/>
        <v>3799171.907439589</v>
      </c>
      <c r="AU73" s="579">
        <f t="shared" si="68"/>
        <v>3689834.372784534</v>
      </c>
      <c r="AV73" s="579">
        <f t="shared" si="68"/>
        <v>3620202.3137301058</v>
      </c>
      <c r="AW73" s="579">
        <f t="shared" si="68"/>
        <v>3551310.2494159695</v>
      </c>
      <c r="AX73" s="579">
        <f t="shared" si="68"/>
        <v>3483151.6893984554</v>
      </c>
      <c r="AY73" s="579">
        <f t="shared" si="68"/>
        <v>3415720.2002678378</v>
      </c>
      <c r="AZ73" s="579">
        <f t="shared" si="68"/>
        <v>3346161.9524738905</v>
      </c>
      <c r="BA73" s="579">
        <f t="shared" si="68"/>
        <v>3277377.4745468926</v>
      </c>
      <c r="BB73" s="579">
        <f t="shared" si="68"/>
        <v>3209359.6753458022</v>
      </c>
      <c r="BC73" s="579">
        <f t="shared" si="68"/>
        <v>3142101.5296020019</v>
      </c>
      <c r="BD73" s="579">
        <f t="shared" si="68"/>
        <v>3075596.0776565974</v>
      </c>
      <c r="BE73" s="579">
        <f t="shared" si="68"/>
        <v>3012901.4479975183</v>
      </c>
      <c r="BF73" s="579">
        <f t="shared" si="68"/>
        <v>2950916.1656004833</v>
      </c>
      <c r="BG73" s="579">
        <f t="shared" si="68"/>
        <v>2889633.595696595</v>
      </c>
      <c r="BH73" s="579">
        <f t="shared" si="68"/>
        <v>2829047.1691851793</v>
      </c>
      <c r="BI73" s="579">
        <f t="shared" si="68"/>
        <v>2769150.3824261529</v>
      </c>
      <c r="BJ73" s="579">
        <f t="shared" si="68"/>
        <v>2708850.035193468</v>
      </c>
      <c r="BK73" s="579">
        <f t="shared" si="68"/>
        <v>2649252.6852409206</v>
      </c>
      <c r="BL73" s="579">
        <f t="shared" si="68"/>
        <v>2590351.5960138957</v>
      </c>
      <c r="BM73" s="579">
        <f t="shared" si="68"/>
        <v>2532140.1016827063</v>
      </c>
      <c r="BN73" s="579">
        <f t="shared" si="68"/>
        <v>2474611.6069696322</v>
      </c>
      <c r="BQ73" s="623"/>
      <c r="BR73" s="623"/>
      <c r="BS73" s="623"/>
      <c r="BT73" s="623"/>
      <c r="BU73" s="623"/>
      <c r="BV73" s="623"/>
      <c r="BW73" s="623"/>
      <c r="BX73" s="623"/>
      <c r="BY73" s="623"/>
      <c r="BZ73" s="623"/>
      <c r="CA73" s="623"/>
      <c r="CB73" s="623"/>
      <c r="CC73" s="623"/>
      <c r="CD73" s="623"/>
      <c r="CE73" s="623"/>
      <c r="CF73" s="623"/>
      <c r="CG73" s="623"/>
      <c r="CH73" s="623"/>
      <c r="CI73" s="623"/>
      <c r="CJ73" s="623"/>
      <c r="CK73" s="623"/>
      <c r="CL73" s="623"/>
    </row>
    <row r="74" spans="1:90">
      <c r="A74" s="443"/>
      <c r="C74" s="50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576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</row>
    <row r="75" spans="1:90" outlineLevel="1">
      <c r="A75" s="54" t="s">
        <v>386</v>
      </c>
      <c r="B75" s="54" t="s">
        <v>200</v>
      </c>
      <c r="C75" s="93" t="s">
        <v>1420</v>
      </c>
      <c r="D75" s="572">
        <f t="shared" ref="D75:AH75" si="69">D34</f>
        <v>2886020.8424498597</v>
      </c>
      <c r="E75" s="572">
        <f t="shared" si="69"/>
        <v>2831545.5785745387</v>
      </c>
      <c r="F75" s="572">
        <f t="shared" si="69"/>
        <v>2766789.0736364922</v>
      </c>
      <c r="G75" s="572">
        <f t="shared" si="69"/>
        <v>2708195.1054017693</v>
      </c>
      <c r="H75" s="572">
        <f t="shared" si="69"/>
        <v>2650273.7022035662</v>
      </c>
      <c r="I75" s="572">
        <f t="shared" si="69"/>
        <v>2593018.4016555957</v>
      </c>
      <c r="J75" s="572">
        <f t="shared" si="69"/>
        <v>2536422.7983315485</v>
      </c>
      <c r="K75" s="572">
        <f t="shared" si="69"/>
        <v>2480480.5432880828</v>
      </c>
      <c r="L75" s="572">
        <f t="shared" si="69"/>
        <v>2425185.343591678</v>
      </c>
      <c r="M75" s="572">
        <f t="shared" si="69"/>
        <v>2370530.961849317</v>
      </c>
      <c r="N75" s="572">
        <f t="shared" si="69"/>
        <v>2316511.2157429731</v>
      </c>
      <c r="O75" s="572">
        <f t="shared" si="69"/>
        <v>2238986.6434601555</v>
      </c>
      <c r="P75" s="572">
        <f t="shared" si="69"/>
        <v>2162414.9206118193</v>
      </c>
      <c r="Q75" s="572">
        <f t="shared" si="69"/>
        <v>2086786.6345077516</v>
      </c>
      <c r="R75" s="572">
        <f t="shared" si="69"/>
        <v>2012092.4566761944</v>
      </c>
      <c r="S75" s="572">
        <f t="shared" si="69"/>
        <v>1938323.1421518913</v>
      </c>
      <c r="T75" s="572">
        <f t="shared" si="69"/>
        <v>1865469.5287699392</v>
      </c>
      <c r="U75" s="572">
        <f t="shared" si="69"/>
        <v>1793522.536465388</v>
      </c>
      <c r="V75" s="572">
        <f t="shared" si="69"/>
        <v>1722473.1665785545</v>
      </c>
      <c r="W75" s="572">
        <f t="shared" si="69"/>
        <v>1652312.5011659979</v>
      </c>
      <c r="X75" s="572">
        <f t="shared" si="69"/>
        <v>1583031.7023171131</v>
      </c>
      <c r="Y75" s="572">
        <f t="shared" si="69"/>
        <v>1530658.3213192946</v>
      </c>
      <c r="Z75" s="572">
        <f t="shared" si="69"/>
        <v>1478927.8116337252</v>
      </c>
      <c r="AA75" s="572">
        <f t="shared" si="69"/>
        <v>1427833.8259057871</v>
      </c>
      <c r="AB75" s="572">
        <f t="shared" si="69"/>
        <v>1377370.073557436</v>
      </c>
      <c r="AC75" s="572">
        <f t="shared" si="69"/>
        <v>1327530.3203073118</v>
      </c>
      <c r="AD75" s="572">
        <f t="shared" si="69"/>
        <v>1278308.3876947588</v>
      </c>
      <c r="AE75" s="572">
        <f t="shared" si="69"/>
        <v>1229698.1526077264</v>
      </c>
      <c r="AF75" s="572">
        <f t="shared" si="69"/>
        <v>1181693.5468145162</v>
      </c>
      <c r="AG75" s="572">
        <f t="shared" si="69"/>
        <v>1134288.5564993457</v>
      </c>
      <c r="AH75" s="572">
        <f t="shared" si="69"/>
        <v>1087477.2218016994</v>
      </c>
      <c r="AI75" s="178"/>
      <c r="AJ75" s="572">
        <f t="shared" ref="AJ75:BN75" si="70">AJ34</f>
        <v>2886020.8424498597</v>
      </c>
      <c r="AK75" s="572">
        <f t="shared" si="70"/>
        <v>2839708.9409706518</v>
      </c>
      <c r="AL75" s="572">
        <f t="shared" si="70"/>
        <v>2785011.3693930279</v>
      </c>
      <c r="AM75" s="572">
        <f t="shared" si="70"/>
        <v>2735341.4347907482</v>
      </c>
      <c r="AN75" s="572">
        <f t="shared" si="70"/>
        <v>2686221.0302773505</v>
      </c>
      <c r="AO75" s="572">
        <f t="shared" si="70"/>
        <v>2637644.9597643455</v>
      </c>
      <c r="AP75" s="572">
        <f t="shared" si="70"/>
        <v>2589608.0725517636</v>
      </c>
      <c r="AQ75" s="572">
        <f t="shared" si="70"/>
        <v>2542105.2629502341</v>
      </c>
      <c r="AR75" s="572">
        <f t="shared" si="70"/>
        <v>2495131.4699061061</v>
      </c>
      <c r="AS75" s="572">
        <f t="shared" si="70"/>
        <v>2448681.6766295973</v>
      </c>
      <c r="AT75" s="572">
        <f t="shared" si="70"/>
        <v>2402750.9102259423</v>
      </c>
      <c r="AU75" s="572">
        <f t="shared" si="70"/>
        <v>2339377.5342312967</v>
      </c>
      <c r="AV75" s="572">
        <f t="shared" si="70"/>
        <v>2276759.2189698773</v>
      </c>
      <c r="AW75" s="572">
        <f t="shared" si="70"/>
        <v>2214888.5965625201</v>
      </c>
      <c r="AX75" s="572">
        <f t="shared" si="70"/>
        <v>2153758.3646214004</v>
      </c>
      <c r="AY75" s="572">
        <f t="shared" si="70"/>
        <v>2093361.2856986509</v>
      </c>
      <c r="AZ75" s="572">
        <f t="shared" si="70"/>
        <v>2033690.1867394641</v>
      </c>
      <c r="BA75" s="572">
        <f t="shared" si="70"/>
        <v>1974737.958539634</v>
      </c>
      <c r="BB75" s="572">
        <f t="shared" si="70"/>
        <v>1916497.5552075109</v>
      </c>
      <c r="BC75" s="572">
        <f t="shared" si="70"/>
        <v>1858961.9936303301</v>
      </c>
      <c r="BD75" s="572">
        <f t="shared" si="70"/>
        <v>1802124.352944877</v>
      </c>
      <c r="BE75" s="572">
        <f t="shared" si="70"/>
        <v>1758247.0003987947</v>
      </c>
      <c r="BF75" s="572">
        <f t="shared" si="70"/>
        <v>1714885.9308578158</v>
      </c>
      <c r="BG75" s="572">
        <f t="shared" si="70"/>
        <v>1672036.1319723579</v>
      </c>
      <c r="BH75" s="572">
        <f t="shared" si="70"/>
        <v>1629692.6358237884</v>
      </c>
      <c r="BI75" s="572">
        <f t="shared" si="70"/>
        <v>1587850.518550999</v>
      </c>
      <c r="BJ75" s="572">
        <f t="shared" si="70"/>
        <v>1546504.8999800147</v>
      </c>
      <c r="BK75" s="572">
        <f t="shared" si="70"/>
        <v>1505650.9432566059</v>
      </c>
      <c r="BL75" s="572">
        <f t="shared" si="70"/>
        <v>1465283.854481885</v>
      </c>
      <c r="BM75" s="572">
        <f t="shared" si="70"/>
        <v>1425398.882350863</v>
      </c>
      <c r="BN75" s="572">
        <f t="shared" si="70"/>
        <v>1385991.3177939383</v>
      </c>
    </row>
    <row r="76" spans="1:90" outlineLevel="1">
      <c r="A76"/>
      <c r="B76" t="s">
        <v>266</v>
      </c>
      <c r="C76" s="50" t="s">
        <v>1420</v>
      </c>
      <c r="D76" s="99">
        <f>'BTX Recycling HC'!C74</f>
        <v>0</v>
      </c>
      <c r="E76" s="99">
        <f>'BTX Recycling HC'!D74</f>
        <v>7513.904859147995</v>
      </c>
      <c r="F76" s="99">
        <f>'BTX Recycling HC'!E74</f>
        <v>13194.083235382306</v>
      </c>
      <c r="G76" s="99">
        <f>'BTX Recycling HC'!F74</f>
        <v>18249.871146315389</v>
      </c>
      <c r="H76" s="99">
        <f>'BTX Recycling HC'!G74</f>
        <v>22329.004785585857</v>
      </c>
      <c r="I76" s="99">
        <f>'BTX Recycling HC'!H74</f>
        <v>25469.236555809475</v>
      </c>
      <c r="J76" s="99">
        <f>'BTX Recycling HC'!I74</f>
        <v>27708.013829782431</v>
      </c>
      <c r="K76" s="99">
        <f>'BTX Recycling HC'!J74</f>
        <v>29082.480582002114</v>
      </c>
      <c r="L76" s="99">
        <f>'BTX Recycling HC'!K74</f>
        <v>29629.47901309951</v>
      </c>
      <c r="M76" s="99">
        <f>'BTX Recycling HC'!L74</f>
        <v>29385.551167208672</v>
      </c>
      <c r="N76" s="99">
        <f>'BTX Recycling HC'!M74</f>
        <v>28386.940542302356</v>
      </c>
      <c r="O76" s="99">
        <f>'BTX Recycling HC'!N74</f>
        <v>27568.117942797981</v>
      </c>
      <c r="P76" s="99">
        <f>'BTX Recycling HC'!O74</f>
        <v>25636.794483557314</v>
      </c>
      <c r="Q76" s="99">
        <f>'BTX Recycling HC'!P74</f>
        <v>22668.686906267365</v>
      </c>
      <c r="R76" s="99">
        <f>'BTX Recycling HC'!Q74</f>
        <v>18738.875910962408</v>
      </c>
      <c r="S76" s="99">
        <f>'BTX Recycling HC'!R74</f>
        <v>13921.809606374329</v>
      </c>
      <c r="T76" s="99">
        <f>'BTX Recycling HC'!S74</f>
        <v>8291.3069451818883</v>
      </c>
      <c r="U76" s="99">
        <f>'BTX Recycling HC'!T74</f>
        <v>1920.5611442166555</v>
      </c>
      <c r="V76" s="99">
        <f>'BTX Recycling HC'!U74</f>
        <v>-5117.856910317525</v>
      </c>
      <c r="W76" s="99">
        <f>'BTX Recycling HC'!V74</f>
        <v>-12751.995272551692</v>
      </c>
      <c r="X76" s="99">
        <f>'BTX Recycling HC'!W74</f>
        <v>-20910.517561531306</v>
      </c>
      <c r="Y76" s="99">
        <f>'BTX Recycling HC'!X74</f>
        <v>-24175.190489728062</v>
      </c>
      <c r="Z76" s="99">
        <f>'BTX Recycling HC'!Y74</f>
        <v>-28441.501567141357</v>
      </c>
      <c r="AA76" s="99">
        <f>'BTX Recycling HC'!Z74</f>
        <v>-33625.608965794905</v>
      </c>
      <c r="AB76" s="99">
        <f>'BTX Recycling HC'!AA74</f>
        <v>-39644.381781545555</v>
      </c>
      <c r="AC76" s="99">
        <f>'BTX Recycling HC'!AB74</f>
        <v>-46415.396164793201</v>
      </c>
      <c r="AD76" s="99">
        <f>'BTX Recycling HC'!AC74</f>
        <v>-53856.931468154682</v>
      </c>
      <c r="AE76" s="99">
        <f>'BTX Recycling HC'!AD74</f>
        <v>-61887.966411035741</v>
      </c>
      <c r="AF76" s="99">
        <f>'BTX Recycling HC'!AE74</f>
        <v>-70428.175261036493</v>
      </c>
      <c r="AG76" s="99">
        <f>'BTX Recycling HC'!AF74</f>
        <v>-79397.924032124763</v>
      </c>
      <c r="AH76" s="99">
        <f>'BTX Recycling HC'!AG74</f>
        <v>-88718.266699514512</v>
      </c>
      <c r="AI76" s="178"/>
      <c r="AJ76" s="99">
        <f>D76</f>
        <v>0</v>
      </c>
      <c r="AK76" s="99">
        <f t="shared" ref="AK76:AZ77" si="71">E76</f>
        <v>7513.904859147995</v>
      </c>
      <c r="AL76" s="99">
        <f t="shared" si="71"/>
        <v>13194.083235382306</v>
      </c>
      <c r="AM76" s="99">
        <f t="shared" si="71"/>
        <v>18249.871146315389</v>
      </c>
      <c r="AN76" s="99">
        <f t="shared" si="71"/>
        <v>22329.004785585857</v>
      </c>
      <c r="AO76" s="99">
        <f t="shared" si="71"/>
        <v>25469.236555809475</v>
      </c>
      <c r="AP76" s="99">
        <f t="shared" si="71"/>
        <v>27708.013829782431</v>
      </c>
      <c r="AQ76" s="99">
        <f t="shared" si="71"/>
        <v>29082.480582002114</v>
      </c>
      <c r="AR76" s="99">
        <f t="shared" si="71"/>
        <v>29629.47901309951</v>
      </c>
      <c r="AS76" s="99">
        <f t="shared" si="71"/>
        <v>29385.551167208672</v>
      </c>
      <c r="AT76" s="99">
        <f t="shared" si="71"/>
        <v>28386.940542302356</v>
      </c>
      <c r="AU76" s="99">
        <f t="shared" si="71"/>
        <v>27568.117942797981</v>
      </c>
      <c r="AV76" s="99">
        <f t="shared" si="71"/>
        <v>25636.794483557314</v>
      </c>
      <c r="AW76" s="99">
        <f t="shared" si="71"/>
        <v>22668.686906267365</v>
      </c>
      <c r="AX76" s="99">
        <f t="shared" si="71"/>
        <v>18738.875910962408</v>
      </c>
      <c r="AY76" s="99">
        <f t="shared" si="71"/>
        <v>13921.809606374329</v>
      </c>
      <c r="AZ76" s="99">
        <f t="shared" si="71"/>
        <v>8291.3069451818883</v>
      </c>
      <c r="BA76" s="99">
        <f t="shared" ref="BA76:BN77" si="72">U76</f>
        <v>1920.5611442166555</v>
      </c>
      <c r="BB76" s="99">
        <f t="shared" si="72"/>
        <v>-5117.856910317525</v>
      </c>
      <c r="BC76" s="99">
        <f t="shared" si="72"/>
        <v>-12751.995272551692</v>
      </c>
      <c r="BD76" s="99">
        <f t="shared" si="72"/>
        <v>-20910.517561531306</v>
      </c>
      <c r="BE76" s="99">
        <f t="shared" si="72"/>
        <v>-24175.190489728062</v>
      </c>
      <c r="BF76" s="99">
        <f t="shared" si="72"/>
        <v>-28441.501567141357</v>
      </c>
      <c r="BG76" s="99">
        <f t="shared" si="72"/>
        <v>-33625.608965794905</v>
      </c>
      <c r="BH76" s="99">
        <f t="shared" si="72"/>
        <v>-39644.381781545555</v>
      </c>
      <c r="BI76" s="99">
        <f t="shared" si="72"/>
        <v>-46415.396164793201</v>
      </c>
      <c r="BJ76" s="99">
        <f t="shared" si="72"/>
        <v>-53856.931468154682</v>
      </c>
      <c r="BK76" s="99">
        <f t="shared" si="72"/>
        <v>-61887.966411035741</v>
      </c>
      <c r="BL76" s="99">
        <f t="shared" si="72"/>
        <v>-70428.175261036493</v>
      </c>
      <c r="BM76" s="99">
        <f t="shared" si="72"/>
        <v>-79397.924032124763</v>
      </c>
      <c r="BN76" s="99">
        <f t="shared" si="72"/>
        <v>-88718.266699514512</v>
      </c>
    </row>
    <row r="77" spans="1:90" outlineLevel="1">
      <c r="A77"/>
      <c r="B77" s="160" t="s">
        <v>269</v>
      </c>
      <c r="C77" s="50" t="s">
        <v>1420</v>
      </c>
      <c r="D77" s="99">
        <f>'BTX Recycling HC'!C169</f>
        <v>0</v>
      </c>
      <c r="E77" s="99">
        <f>'BTX Recycling HC'!D169</f>
        <v>25.304370628570041</v>
      </c>
      <c r="F77" s="99">
        <f>'BTX Recycling HC'!E169</f>
        <v>50.364532404760041</v>
      </c>
      <c r="G77" s="99">
        <f>'BTX Recycling HC'!F169</f>
        <v>75.046182216941645</v>
      </c>
      <c r="H77" s="99">
        <f>'BTX Recycling HC'!G169</f>
        <v>99.216208935293764</v>
      </c>
      <c r="I77" s="99">
        <f>'BTX Recycling HC'!H169</f>
        <v>122.74268682322156</v>
      </c>
      <c r="J77" s="99">
        <f>'BTX Recycling HC'!I169</f>
        <v>145.49486897788466</v>
      </c>
      <c r="K77" s="99">
        <f>'BTX Recycling HC'!J169</f>
        <v>167.34318079972331</v>
      </c>
      <c r="L77" s="99">
        <f>'BTX Recycling HC'!K169</f>
        <v>188.15921349087125</v>
      </c>
      <c r="M77" s="99">
        <f>'BTX Recycling HC'!L169</f>
        <v>207.81571758234259</v>
      </c>
      <c r="N77" s="99">
        <f>'BTX Recycling HC'!M169</f>
        <v>226.18659648988103</v>
      </c>
      <c r="O77" s="99">
        <f>'BTX Recycling HC'!N169</f>
        <v>235.84139689219893</v>
      </c>
      <c r="P77" s="99">
        <f>'BTX Recycling HC'!O169</f>
        <v>244.14466368287509</v>
      </c>
      <c r="Q77" s="99">
        <f>'BTX Recycling HC'!P169</f>
        <v>249.20231006232603</v>
      </c>
      <c r="R77" s="99">
        <f>'BTX Recycling HC'!Q169</f>
        <v>252.70046405863565</v>
      </c>
      <c r="S77" s="99">
        <f>'BTX Recycling HC'!R169</f>
        <v>254.57637375223493</v>
      </c>
      <c r="T77" s="99">
        <f>'BTX Recycling HC'!S169</f>
        <v>254.76930763058277</v>
      </c>
      <c r="U77" s="99">
        <f>'BTX Recycling HC'!T169</f>
        <v>253.22055458311462</v>
      </c>
      <c r="V77" s="99">
        <f>'BTX Recycling HC'!U169</f>
        <v>249.87342376261989</v>
      </c>
      <c r="W77" s="99">
        <f>'BTX Recycling HC'!V169</f>
        <v>244.67324431440676</v>
      </c>
      <c r="X77" s="99">
        <f>'BTX Recycling HC'!W169</f>
        <v>237.56736497460423</v>
      </c>
      <c r="Y77" s="99">
        <f>'BTX Recycling HC'!X169</f>
        <v>234.65345623681225</v>
      </c>
      <c r="Z77" s="99">
        <f>'BTX Recycling HC'!Y169</f>
        <v>229.20324881970066</v>
      </c>
      <c r="AA77" s="99">
        <f>'BTX Recycling HC'!Z169</f>
        <v>216.82679466218013</v>
      </c>
      <c r="AB77" s="99">
        <f>'BTX Recycling HC'!AA169</f>
        <v>201.83093642800475</v>
      </c>
      <c r="AC77" s="99">
        <f>'BTX Recycling HC'!AB169</f>
        <v>184.21707926125629</v>
      </c>
      <c r="AD77" s="99">
        <f>'BTX Recycling HC'!AC169</f>
        <v>163.9960627453284</v>
      </c>
      <c r="AE77" s="99">
        <f>'BTX Recycling HC'!AD169</f>
        <v>141.18827211843364</v>
      </c>
      <c r="AF77" s="99">
        <f>'BTX Recycling HC'!AE169</f>
        <v>115.8237473269819</v>
      </c>
      <c r="AG77" s="99">
        <f>'BTX Recycling HC'!AF169</f>
        <v>87.942289935305155</v>
      </c>
      <c r="AH77" s="99">
        <f>'BTX Recycling HC'!AG169</f>
        <v>57.593567910099978</v>
      </c>
      <c r="AI77" s="178"/>
      <c r="AJ77" s="99">
        <f>D77</f>
        <v>0</v>
      </c>
      <c r="AK77" s="99">
        <f t="shared" si="71"/>
        <v>25.304370628570041</v>
      </c>
      <c r="AL77" s="99">
        <f t="shared" si="71"/>
        <v>50.364532404760041</v>
      </c>
      <c r="AM77" s="99">
        <f t="shared" si="71"/>
        <v>75.046182216941645</v>
      </c>
      <c r="AN77" s="99">
        <f t="shared" si="71"/>
        <v>99.216208935293764</v>
      </c>
      <c r="AO77" s="99">
        <f t="shared" si="71"/>
        <v>122.74268682322156</v>
      </c>
      <c r="AP77" s="99">
        <f t="shared" si="71"/>
        <v>145.49486897788466</v>
      </c>
      <c r="AQ77" s="99">
        <f t="shared" si="71"/>
        <v>167.34318079972331</v>
      </c>
      <c r="AR77" s="99">
        <f t="shared" si="71"/>
        <v>188.15921349087125</v>
      </c>
      <c r="AS77" s="99">
        <f t="shared" si="71"/>
        <v>207.81571758234259</v>
      </c>
      <c r="AT77" s="99">
        <f t="shared" si="71"/>
        <v>226.18659648988103</v>
      </c>
      <c r="AU77" s="99">
        <f t="shared" si="71"/>
        <v>235.84139689219893</v>
      </c>
      <c r="AV77" s="99">
        <f t="shared" si="71"/>
        <v>244.14466368287509</v>
      </c>
      <c r="AW77" s="99">
        <f t="shared" si="71"/>
        <v>249.20231006232603</v>
      </c>
      <c r="AX77" s="99">
        <f t="shared" si="71"/>
        <v>252.70046405863565</v>
      </c>
      <c r="AY77" s="99">
        <f t="shared" si="71"/>
        <v>254.57637375223493</v>
      </c>
      <c r="AZ77" s="99">
        <f t="shared" si="71"/>
        <v>254.76930763058277</v>
      </c>
      <c r="BA77" s="99">
        <f t="shared" si="72"/>
        <v>253.22055458311462</v>
      </c>
      <c r="BB77" s="99">
        <f t="shared" si="72"/>
        <v>249.87342376261989</v>
      </c>
      <c r="BC77" s="99">
        <f t="shared" si="72"/>
        <v>244.67324431440676</v>
      </c>
      <c r="BD77" s="99">
        <f t="shared" si="72"/>
        <v>237.56736497460423</v>
      </c>
      <c r="BE77" s="99">
        <f t="shared" si="72"/>
        <v>234.65345623681225</v>
      </c>
      <c r="BF77" s="99">
        <f t="shared" si="72"/>
        <v>229.20324881970066</v>
      </c>
      <c r="BG77" s="99">
        <f t="shared" si="72"/>
        <v>216.82679466218013</v>
      </c>
      <c r="BH77" s="99">
        <f t="shared" si="72"/>
        <v>201.83093642800475</v>
      </c>
      <c r="BI77" s="99">
        <f t="shared" si="72"/>
        <v>184.21707926125629</v>
      </c>
      <c r="BJ77" s="99">
        <f t="shared" si="72"/>
        <v>163.9960627453284</v>
      </c>
      <c r="BK77" s="99">
        <f t="shared" si="72"/>
        <v>141.18827211843364</v>
      </c>
      <c r="BL77" s="99">
        <f t="shared" si="72"/>
        <v>115.8237473269819</v>
      </c>
      <c r="BM77" s="99">
        <f t="shared" si="72"/>
        <v>87.942289935305155</v>
      </c>
      <c r="BN77" s="99">
        <f t="shared" si="72"/>
        <v>57.593567910099978</v>
      </c>
    </row>
    <row r="78" spans="1:90" outlineLevel="1">
      <c r="A78" s="58"/>
      <c r="B78" s="58" t="s">
        <v>267</v>
      </c>
      <c r="C78" s="59" t="s">
        <v>1420</v>
      </c>
      <c r="D78" s="577">
        <f>D75-D76-D77</f>
        <v>2886020.8424498597</v>
      </c>
      <c r="E78" s="577">
        <f t="shared" ref="E78:AG78" si="73">E75-E76-E77</f>
        <v>2824006.3693447621</v>
      </c>
      <c r="F78" s="577">
        <f t="shared" si="73"/>
        <v>2753544.6258687056</v>
      </c>
      <c r="G78" s="577">
        <f t="shared" si="73"/>
        <v>2689870.188073237</v>
      </c>
      <c r="H78" s="577">
        <f t="shared" si="73"/>
        <v>2627845.4812090453</v>
      </c>
      <c r="I78" s="577">
        <f t="shared" si="73"/>
        <v>2567426.4224129631</v>
      </c>
      <c r="J78" s="577">
        <f t="shared" si="73"/>
        <v>2508569.2896327879</v>
      </c>
      <c r="K78" s="577">
        <f t="shared" si="73"/>
        <v>2451230.7195252809</v>
      </c>
      <c r="L78" s="577">
        <f t="shared" si="73"/>
        <v>2395367.7053650878</v>
      </c>
      <c r="M78" s="577">
        <f t="shared" si="73"/>
        <v>2340937.5949645261</v>
      </c>
      <c r="N78" s="577">
        <f t="shared" si="73"/>
        <v>2287898.0886041806</v>
      </c>
      <c r="O78" s="577">
        <f t="shared" si="73"/>
        <v>2211182.6841204655</v>
      </c>
      <c r="P78" s="577">
        <f t="shared" si="73"/>
        <v>2136533.9814645792</v>
      </c>
      <c r="Q78" s="577">
        <f t="shared" si="73"/>
        <v>2063868.7452914219</v>
      </c>
      <c r="R78" s="577">
        <f t="shared" si="73"/>
        <v>1993100.8803011733</v>
      </c>
      <c r="S78" s="577">
        <f t="shared" si="73"/>
        <v>1924146.7561717648</v>
      </c>
      <c r="T78" s="577">
        <f t="shared" si="73"/>
        <v>1856923.4525171267</v>
      </c>
      <c r="U78" s="577">
        <f t="shared" si="73"/>
        <v>1791348.7547665883</v>
      </c>
      <c r="V78" s="577">
        <f t="shared" si="73"/>
        <v>1727341.1500651094</v>
      </c>
      <c r="W78" s="577">
        <f t="shared" si="73"/>
        <v>1664819.8231942351</v>
      </c>
      <c r="X78" s="577">
        <f t="shared" si="73"/>
        <v>1603704.6525136698</v>
      </c>
      <c r="Y78" s="577">
        <f t="shared" si="73"/>
        <v>1554598.8583527859</v>
      </c>
      <c r="Z78" s="577">
        <f t="shared" si="73"/>
        <v>1507140.1099520468</v>
      </c>
      <c r="AA78" s="577">
        <f t="shared" si="73"/>
        <v>1461242.6080769196</v>
      </c>
      <c r="AB78" s="577">
        <f t="shared" si="73"/>
        <v>1416812.6244025535</v>
      </c>
      <c r="AC78" s="577">
        <f t="shared" si="73"/>
        <v>1373761.4993928438</v>
      </c>
      <c r="AD78" s="577">
        <f t="shared" si="73"/>
        <v>1332001.3231001683</v>
      </c>
      <c r="AE78" s="577">
        <f t="shared" si="73"/>
        <v>1291444.9307466438</v>
      </c>
      <c r="AF78" s="577">
        <f t="shared" si="73"/>
        <v>1252005.8983282256</v>
      </c>
      <c r="AG78" s="577">
        <f t="shared" si="73"/>
        <v>1213598.5382415352</v>
      </c>
      <c r="AH78" s="577">
        <f>AH75-AH76-AH77</f>
        <v>1176137.8949333038</v>
      </c>
      <c r="AI78" s="178"/>
      <c r="AJ78" s="577">
        <f>AJ75-AJ76-AJ77</f>
        <v>2886020.8424498597</v>
      </c>
      <c r="AK78" s="577">
        <f t="shared" ref="AK78:BM78" si="74">AK75-AK76-AK77</f>
        <v>2832169.7317408752</v>
      </c>
      <c r="AL78" s="577">
        <f t="shared" si="74"/>
        <v>2771766.9216252412</v>
      </c>
      <c r="AM78" s="577">
        <f t="shared" si="74"/>
        <v>2717016.5174622159</v>
      </c>
      <c r="AN78" s="577">
        <f t="shared" si="74"/>
        <v>2663792.8092828295</v>
      </c>
      <c r="AO78" s="577">
        <f t="shared" si="74"/>
        <v>2612052.9805217129</v>
      </c>
      <c r="AP78" s="577">
        <f t="shared" si="74"/>
        <v>2561754.5638530031</v>
      </c>
      <c r="AQ78" s="577">
        <f t="shared" si="74"/>
        <v>2512855.4391874322</v>
      </c>
      <c r="AR78" s="577">
        <f t="shared" si="74"/>
        <v>2465313.831679516</v>
      </c>
      <c r="AS78" s="577">
        <f t="shared" si="74"/>
        <v>2419088.3097448065</v>
      </c>
      <c r="AT78" s="577">
        <f t="shared" si="74"/>
        <v>2374137.7830871497</v>
      </c>
      <c r="AU78" s="577">
        <f t="shared" si="74"/>
        <v>2311573.5748916068</v>
      </c>
      <c r="AV78" s="577">
        <f t="shared" si="74"/>
        <v>2250878.2798226373</v>
      </c>
      <c r="AW78" s="577">
        <f t="shared" si="74"/>
        <v>2191970.7073461902</v>
      </c>
      <c r="AX78" s="577">
        <f t="shared" si="74"/>
        <v>2134766.7882463792</v>
      </c>
      <c r="AY78" s="577">
        <f t="shared" si="74"/>
        <v>2079184.8997185244</v>
      </c>
      <c r="AZ78" s="577">
        <f t="shared" si="74"/>
        <v>2025144.1104866515</v>
      </c>
      <c r="BA78" s="577">
        <f t="shared" si="74"/>
        <v>1972564.1768408343</v>
      </c>
      <c r="BB78" s="577">
        <f t="shared" si="74"/>
        <v>1921365.5386940658</v>
      </c>
      <c r="BC78" s="577">
        <f t="shared" si="74"/>
        <v>1871469.3156585672</v>
      </c>
      <c r="BD78" s="577">
        <f t="shared" si="74"/>
        <v>1822797.3031414337</v>
      </c>
      <c r="BE78" s="577">
        <f t="shared" si="74"/>
        <v>1782187.537432286</v>
      </c>
      <c r="BF78" s="577">
        <f t="shared" si="74"/>
        <v>1743098.2291761374</v>
      </c>
      <c r="BG78" s="577">
        <f t="shared" si="74"/>
        <v>1705444.9141434904</v>
      </c>
      <c r="BH78" s="577">
        <f t="shared" si="74"/>
        <v>1669135.1866689059</v>
      </c>
      <c r="BI78" s="577">
        <f t="shared" si="74"/>
        <v>1634081.697636531</v>
      </c>
      <c r="BJ78" s="577">
        <f t="shared" si="74"/>
        <v>1600197.8353854241</v>
      </c>
      <c r="BK78" s="577">
        <f t="shared" si="74"/>
        <v>1567397.7213955233</v>
      </c>
      <c r="BL78" s="577">
        <f t="shared" si="74"/>
        <v>1535596.2059955944</v>
      </c>
      <c r="BM78" s="577">
        <f t="shared" si="74"/>
        <v>1504708.8640930525</v>
      </c>
      <c r="BN78" s="577">
        <f>BN75-BN76-BN77</f>
        <v>1474651.9909255428</v>
      </c>
    </row>
    <row r="79" spans="1:90" s="61" customFormat="1" outlineLevel="1">
      <c r="A79" s="602"/>
      <c r="B79" s="54" t="s">
        <v>88</v>
      </c>
      <c r="C79" s="55" t="s">
        <v>1420</v>
      </c>
      <c r="D79" s="580">
        <f>D35-'Overall recycling rates'!$G$60/SUM('Overall recycling rates'!$G$60:$G$62)*('BTX Recycling HC'!C75+'BTX Recycling HC'!C170)-'Overall recycling rates'!$E$60/SUM('Overall recycling rates'!$E$60:$E$62)*('BTX Recycling HC'!C76+'BTX Recycling HC'!C171)-'Overall recycling rates'!$H$60/SUM('Overall recycling rates'!$H$60:$H$62)*('BTX Recycling HC'!C77+'BTX Recycling HC'!C172)-'Overall recycling rates'!$I$60/SUM('Overall recycling rates'!$I$60:$I$62)*('BTX Recycling HC'!C78+'BTX Recycling HC'!C173)</f>
        <v>416037.85495538352</v>
      </c>
      <c r="E79" s="580">
        <f>E35-'Overall recycling rates'!$G$60/SUM('Overall recycling rates'!$G$60:$G$62)*('BTX Recycling HC'!D75+'BTX Recycling HC'!D170)-'Overall recycling rates'!$E$60/SUM('Overall recycling rates'!$E$60:$E$62)*('BTX Recycling HC'!D76+'BTX Recycling HC'!D171)-'Overall recycling rates'!$H$60/SUM('Overall recycling rates'!$H$60:$H$62)*('BTX Recycling HC'!D77+'BTX Recycling HC'!D172)-'Overall recycling rates'!$I$60/SUM('Overall recycling rates'!$I$60:$I$62)*('BTX Recycling HC'!D78+'BTX Recycling HC'!D173)</f>
        <v>404514.32804864459</v>
      </c>
      <c r="F79" s="580">
        <f>F35-'Overall recycling rates'!$G$60/SUM('Overall recycling rates'!$G$60:$G$62)*('BTX Recycling HC'!E75+'BTX Recycling HC'!E170)-'Overall recycling rates'!$E$60/SUM('Overall recycling rates'!$E$60:$E$62)*('BTX Recycling HC'!E76+'BTX Recycling HC'!E171)-'Overall recycling rates'!$H$60/SUM('Overall recycling rates'!$H$60:$H$62)*('BTX Recycling HC'!E77+'BTX Recycling HC'!E172)-'Overall recycling rates'!$I$60/SUM('Overall recycling rates'!$I$60:$I$62)*('BTX Recycling HC'!E78+'BTX Recycling HC'!E173)</f>
        <v>393176.07169029751</v>
      </c>
      <c r="G79" s="580">
        <f>G35-'Overall recycling rates'!$G$60/SUM('Overall recycling rates'!$G$60:$G$62)*('BTX Recycling HC'!F75+'BTX Recycling HC'!F170)-'Overall recycling rates'!$E$60/SUM('Overall recycling rates'!$E$60:$E$62)*('BTX Recycling HC'!F76+'BTX Recycling HC'!F171)-'Overall recycling rates'!$H$60/SUM('Overall recycling rates'!$H$60:$H$62)*('BTX Recycling HC'!F77+'BTX Recycling HC'!F172)-'Overall recycling rates'!$I$60/SUM('Overall recycling rates'!$I$60:$I$62)*('BTX Recycling HC'!F78+'BTX Recycling HC'!F173)</f>
        <v>381873.22709821368</v>
      </c>
      <c r="H79" s="580">
        <f>H35-'Overall recycling rates'!$G$60/SUM('Overall recycling rates'!$G$60:$G$62)*('BTX Recycling HC'!G75+'BTX Recycling HC'!G170)-'Overall recycling rates'!$E$60/SUM('Overall recycling rates'!$E$60:$E$62)*('BTX Recycling HC'!G76+'BTX Recycling HC'!G171)-'Overall recycling rates'!$H$60/SUM('Overall recycling rates'!$H$60:$H$62)*('BTX Recycling HC'!G77+'BTX Recycling HC'!G172)-'Overall recycling rates'!$I$60/SUM('Overall recycling rates'!$I$60:$I$62)*('BTX Recycling HC'!G78+'BTX Recycling HC'!G173)</f>
        <v>370700.3176892834</v>
      </c>
      <c r="I79" s="580">
        <f>I35-'Overall recycling rates'!$G$60/SUM('Overall recycling rates'!$G$60:$G$62)*('BTX Recycling HC'!H75+'BTX Recycling HC'!H170)-'Overall recycling rates'!$E$60/SUM('Overall recycling rates'!$E$60:$E$62)*('BTX Recycling HC'!H76+'BTX Recycling HC'!H171)-'Overall recycling rates'!$H$60/SUM('Overall recycling rates'!$H$60:$H$62)*('BTX Recycling HC'!H77+'BTX Recycling HC'!H172)-'Overall recycling rates'!$I$60/SUM('Overall recycling rates'!$I$60:$I$62)*('BTX Recycling HC'!H78+'BTX Recycling HC'!H173)</f>
        <v>359688.28750959726</v>
      </c>
      <c r="J79" s="580">
        <f>J35-'Overall recycling rates'!$G$60/SUM('Overall recycling rates'!$G$60:$G$62)*('BTX Recycling HC'!I75+'BTX Recycling HC'!I170)-'Overall recycling rates'!$E$60/SUM('Overall recycling rates'!$E$60:$E$62)*('BTX Recycling HC'!I76+'BTX Recycling HC'!I171)-'Overall recycling rates'!$H$60/SUM('Overall recycling rates'!$H$60:$H$62)*('BTX Recycling HC'!I77+'BTX Recycling HC'!I172)-'Overall recycling rates'!$I$60/SUM('Overall recycling rates'!$I$60:$I$62)*('BTX Recycling HC'!I78+'BTX Recycling HC'!I173)</f>
        <v>348866.11790503678</v>
      </c>
      <c r="K79" s="580">
        <f>K35-'Overall recycling rates'!$G$60/SUM('Overall recycling rates'!$G$60:$G$62)*('BTX Recycling HC'!J75+'BTX Recycling HC'!J170)-'Overall recycling rates'!$E$60/SUM('Overall recycling rates'!$E$60:$E$62)*('BTX Recycling HC'!J76+'BTX Recycling HC'!J171)-'Overall recycling rates'!$H$60/SUM('Overall recycling rates'!$H$60:$H$62)*('BTX Recycling HC'!J77+'BTX Recycling HC'!J172)-'Overall recycling rates'!$I$60/SUM('Overall recycling rates'!$I$60:$I$62)*('BTX Recycling HC'!J78+'BTX Recycling HC'!J173)</f>
        <v>338260.84766582208</v>
      </c>
      <c r="L79" s="580">
        <f>L35-'Overall recycling rates'!$G$60/SUM('Overall recycling rates'!$G$60:$G$62)*('BTX Recycling HC'!K75+'BTX Recycling HC'!K170)-'Overall recycling rates'!$E$60/SUM('Overall recycling rates'!$E$60:$E$62)*('BTX Recycling HC'!K76+'BTX Recycling HC'!K171)-'Overall recycling rates'!$H$60/SUM('Overall recycling rates'!$H$60:$H$62)*('BTX Recycling HC'!K77+'BTX Recycling HC'!K172)-'Overall recycling rates'!$I$60/SUM('Overall recycling rates'!$I$60:$I$62)*('BTX Recycling HC'!K78+'BTX Recycling HC'!K173)</f>
        <v>327897.59304098308</v>
      </c>
      <c r="M79" s="580">
        <f>M35-'Overall recycling rates'!$G$60/SUM('Overall recycling rates'!$G$60:$G$62)*('BTX Recycling HC'!L75+'BTX Recycling HC'!L170)-'Overall recycling rates'!$E$60/SUM('Overall recycling rates'!$E$60:$E$62)*('BTX Recycling HC'!L76+'BTX Recycling HC'!L171)-'Overall recycling rates'!$H$60/SUM('Overall recycling rates'!$H$60:$H$62)*('BTX Recycling HC'!L77+'BTX Recycling HC'!L172)-'Overall recycling rates'!$I$60/SUM('Overall recycling rates'!$I$60:$I$62)*('BTX Recycling HC'!L78+'BTX Recycling HC'!L173)</f>
        <v>317799.56762341928</v>
      </c>
      <c r="N79" s="580">
        <f>N35-'Overall recycling rates'!$G$60/SUM('Overall recycling rates'!$G$60:$G$62)*('BTX Recycling HC'!M75+'BTX Recycling HC'!M170)-'Overall recycling rates'!$E$60/SUM('Overall recycling rates'!$E$60:$E$62)*('BTX Recycling HC'!M76+'BTX Recycling HC'!M171)-'Overall recycling rates'!$H$60/SUM('Overall recycling rates'!$H$60:$H$62)*('BTX Recycling HC'!M77+'BTX Recycling HC'!M172)-'Overall recycling rates'!$I$60/SUM('Overall recycling rates'!$I$60:$I$62)*('BTX Recycling HC'!M78+'BTX Recycling HC'!M173)</f>
        <v>307988.10210620234</v>
      </c>
      <c r="O79" s="580">
        <f>O35-'Overall recycling rates'!$G$60/SUM('Overall recycling rates'!$G$60:$G$62)*('BTX Recycling HC'!N75+'BTX Recycling HC'!N170)-'Overall recycling rates'!$E$60/SUM('Overall recycling rates'!$E$60:$E$62)*('BTX Recycling HC'!N76+'BTX Recycling HC'!N171)-'Overall recycling rates'!$H$60/SUM('Overall recycling rates'!$H$60:$H$62)*('BTX Recycling HC'!N77+'BTX Recycling HC'!N172)-'Overall recycling rates'!$I$60/SUM('Overall recycling rates'!$I$60:$I$62)*('BTX Recycling HC'!N78+'BTX Recycling HC'!N173)</f>
        <v>280722.89200639882</v>
      </c>
      <c r="P79" s="580">
        <f>P35-'Overall recycling rates'!$G$60/SUM('Overall recycling rates'!$G$60:$G$62)*('BTX Recycling HC'!O75+'BTX Recycling HC'!O170)-'Overall recycling rates'!$E$60/SUM('Overall recycling rates'!$E$60:$E$62)*('BTX Recycling HC'!O76+'BTX Recycling HC'!O171)-'Overall recycling rates'!$H$60/SUM('Overall recycling rates'!$H$60:$H$62)*('BTX Recycling HC'!O77+'BTX Recycling HC'!O172)-'Overall recycling rates'!$I$60/SUM('Overall recycling rates'!$I$60:$I$62)*('BTX Recycling HC'!O78+'BTX Recycling HC'!O173)</f>
        <v>266362.7012242034</v>
      </c>
      <c r="Q79" s="580">
        <f>Q35-'Overall recycling rates'!$G$60/SUM('Overall recycling rates'!$G$60:$G$62)*('BTX Recycling HC'!P75+'BTX Recycling HC'!P170)-'Overall recycling rates'!$E$60/SUM('Overall recycling rates'!$E$60:$E$62)*('BTX Recycling HC'!P76+'BTX Recycling HC'!P171)-'Overall recycling rates'!$H$60/SUM('Overall recycling rates'!$H$60:$H$62)*('BTX Recycling HC'!P77+'BTX Recycling HC'!P172)-'Overall recycling rates'!$I$60/SUM('Overall recycling rates'!$I$60:$I$62)*('BTX Recycling HC'!P78+'BTX Recycling HC'!P173)</f>
        <v>252536.53765866085</v>
      </c>
      <c r="R79" s="580">
        <f>R35-'Overall recycling rates'!$G$60/SUM('Overall recycling rates'!$G$60:$G$62)*('BTX Recycling HC'!Q75+'BTX Recycling HC'!Q170)-'Overall recycling rates'!$E$60/SUM('Overall recycling rates'!$E$60:$E$62)*('BTX Recycling HC'!Q76+'BTX Recycling HC'!Q171)-'Overall recycling rates'!$H$60/SUM('Overall recycling rates'!$H$60:$H$62)*('BTX Recycling HC'!Q77+'BTX Recycling HC'!Q172)-'Overall recycling rates'!$I$60/SUM('Overall recycling rates'!$I$60:$I$62)*('BTX Recycling HC'!Q78+'BTX Recycling HC'!Q173)</f>
        <v>239258.59391910079</v>
      </c>
      <c r="S79" s="580">
        <f>S35-'Overall recycling rates'!$G$60/SUM('Overall recycling rates'!$G$60:$G$62)*('BTX Recycling HC'!R75+'BTX Recycling HC'!R170)-'Overall recycling rates'!$E$60/SUM('Overall recycling rates'!$E$60:$E$62)*('BTX Recycling HC'!R76+'BTX Recycling HC'!R171)-'Overall recycling rates'!$H$60/SUM('Overall recycling rates'!$H$60:$H$62)*('BTX Recycling HC'!R77+'BTX Recycling HC'!R172)-'Overall recycling rates'!$I$60/SUM('Overall recycling rates'!$I$60:$I$62)*('BTX Recycling HC'!R78+'BTX Recycling HC'!R173)</f>
        <v>226540.43086215513</v>
      </c>
      <c r="T79" s="580">
        <f>T35-'Overall recycling rates'!$G$60/SUM('Overall recycling rates'!$G$60:$G$62)*('BTX Recycling HC'!S75+'BTX Recycling HC'!S170)-'Overall recycling rates'!$E$60/SUM('Overall recycling rates'!$E$60:$E$62)*('BTX Recycling HC'!S76+'BTX Recycling HC'!S171)-'Overall recycling rates'!$H$60/SUM('Overall recycling rates'!$H$60:$H$62)*('BTX Recycling HC'!S77+'BTX Recycling HC'!S172)-'Overall recycling rates'!$I$60/SUM('Overall recycling rates'!$I$60:$I$62)*('BTX Recycling HC'!S78+'BTX Recycling HC'!S173)</f>
        <v>214389.84262383342</v>
      </c>
      <c r="U79" s="580">
        <f>U35-'Overall recycling rates'!$G$60/SUM('Overall recycling rates'!$G$60:$G$62)*('BTX Recycling HC'!T75+'BTX Recycling HC'!T170)-'Overall recycling rates'!$E$60/SUM('Overall recycling rates'!$E$60:$E$62)*('BTX Recycling HC'!T76+'BTX Recycling HC'!T171)-'Overall recycling rates'!$H$60/SUM('Overall recycling rates'!$H$60:$H$62)*('BTX Recycling HC'!T77+'BTX Recycling HC'!T172)-'Overall recycling rates'!$I$60/SUM('Overall recycling rates'!$I$60:$I$62)*('BTX Recycling HC'!T78+'BTX Recycling HC'!T173)</f>
        <v>202810.89759441203</v>
      </c>
      <c r="V79" s="580">
        <f>V35-'Overall recycling rates'!$G$60/SUM('Overall recycling rates'!$G$60:$G$62)*('BTX Recycling HC'!U75+'BTX Recycling HC'!U170)-'Overall recycling rates'!$E$60/SUM('Overall recycling rates'!$E$60:$E$62)*('BTX Recycling HC'!U76+'BTX Recycling HC'!U171)-'Overall recycling rates'!$H$60/SUM('Overall recycling rates'!$H$60:$H$62)*('BTX Recycling HC'!U77+'BTX Recycling HC'!U172)-'Overall recycling rates'!$I$60/SUM('Overall recycling rates'!$I$60:$I$62)*('BTX Recycling HC'!U78+'BTX Recycling HC'!U173)</f>
        <v>191803.97912426741</v>
      </c>
      <c r="W79" s="580">
        <f>W35-'Overall recycling rates'!$G$60/SUM('Overall recycling rates'!$G$60:$G$62)*('BTX Recycling HC'!V75+'BTX Recycling HC'!V170)-'Overall recycling rates'!$E$60/SUM('Overall recycling rates'!$E$60:$E$62)*('BTX Recycling HC'!V76+'BTX Recycling HC'!V171)-'Overall recycling rates'!$H$60/SUM('Overall recycling rates'!$H$60:$H$62)*('BTX Recycling HC'!V77+'BTX Recycling HC'!V172)-'Overall recycling rates'!$I$60/SUM('Overall recycling rates'!$I$60:$I$62)*('BTX Recycling HC'!V78+'BTX Recycling HC'!V173)</f>
        <v>181365.82596202</v>
      </c>
      <c r="X79" s="580">
        <f>X35-'Overall recycling rates'!$G$60/SUM('Overall recycling rates'!$G$60:$G$62)*('BTX Recycling HC'!W75+'BTX Recycling HC'!W170)-'Overall recycling rates'!$E$60/SUM('Overall recycling rates'!$E$60:$E$62)*('BTX Recycling HC'!W76+'BTX Recycling HC'!W171)-'Overall recycling rates'!$H$60/SUM('Overall recycling rates'!$H$60:$H$62)*('BTX Recycling HC'!W77+'BTX Recycling HC'!W172)-'Overall recycling rates'!$I$60/SUM('Overall recycling rates'!$I$60:$I$62)*('BTX Recycling HC'!W78+'BTX Recycling HC'!W173)</f>
        <v>171489.57242635911</v>
      </c>
      <c r="Y79" s="580">
        <f>Y35-'Overall recycling rates'!$G$60/SUM('Overall recycling rates'!$G$60:$G$62)*('BTX Recycling HC'!X75+'BTX Recycling HC'!X170)-'Overall recycling rates'!$E$60/SUM('Overall recycling rates'!$E$60:$E$62)*('BTX Recycling HC'!X76+'BTX Recycling HC'!X171)-'Overall recycling rates'!$H$60/SUM('Overall recycling rates'!$H$60:$H$62)*('BTX Recycling HC'!X77+'BTX Recycling HC'!X172)-'Overall recycling rates'!$I$60/SUM('Overall recycling rates'!$I$60:$I$62)*('BTX Recycling HC'!X78+'BTX Recycling HC'!X173)</f>
        <v>162598.4396659894</v>
      </c>
      <c r="Z79" s="580">
        <f>Z35-'Overall recycling rates'!$G$60/SUM('Overall recycling rates'!$G$60:$G$62)*('BTX Recycling HC'!Y75+'BTX Recycling HC'!Y170)-'Overall recycling rates'!$E$60/SUM('Overall recycling rates'!$E$60:$E$62)*('BTX Recycling HC'!Y76+'BTX Recycling HC'!Y171)-'Overall recycling rates'!$H$60/SUM('Overall recycling rates'!$H$60:$H$62)*('BTX Recycling HC'!Y77+'BTX Recycling HC'!Y172)-'Overall recycling rates'!$I$60/SUM('Overall recycling rates'!$I$60:$I$62)*('BTX Recycling HC'!Y78+'BTX Recycling HC'!Y173)</f>
        <v>154336.25813059945</v>
      </c>
      <c r="AA79" s="580">
        <f>AA35-'Overall recycling rates'!$G$60/SUM('Overall recycling rates'!$G$60:$G$62)*('BTX Recycling HC'!Z75+'BTX Recycling HC'!Z170)-'Overall recycling rates'!$E$60/SUM('Overall recycling rates'!$E$60:$E$62)*('BTX Recycling HC'!Z76+'BTX Recycling HC'!Z171)-'Overall recycling rates'!$H$60/SUM('Overall recycling rates'!$H$60:$H$62)*('BTX Recycling HC'!Z77+'BTX Recycling HC'!Z172)-'Overall recycling rates'!$I$60/SUM('Overall recycling rates'!$I$60:$I$62)*('BTX Recycling HC'!Z78+'BTX Recycling HC'!Z173)</f>
        <v>146706.90147790249</v>
      </c>
      <c r="AB79" s="580">
        <f>AB35-'Overall recycling rates'!$G$60/SUM('Overall recycling rates'!$G$60:$G$62)*('BTX Recycling HC'!AA75+'BTX Recycling HC'!AA170)-'Overall recycling rates'!$E$60/SUM('Overall recycling rates'!$E$60:$E$62)*('BTX Recycling HC'!AA76+'BTX Recycling HC'!AA171)-'Overall recycling rates'!$H$60/SUM('Overall recycling rates'!$H$60:$H$62)*('BTX Recycling HC'!AA77+'BTX Recycling HC'!AA172)-'Overall recycling rates'!$I$60/SUM('Overall recycling rates'!$I$60:$I$62)*('BTX Recycling HC'!AA78+'BTX Recycling HC'!AA173)</f>
        <v>139704.96358478011</v>
      </c>
      <c r="AC79" s="580">
        <f>AC35-'Overall recycling rates'!$G$60/SUM('Overall recycling rates'!$G$60:$G$62)*('BTX Recycling HC'!AB75+'BTX Recycling HC'!AB170)-'Overall recycling rates'!$E$60/SUM('Overall recycling rates'!$E$60:$E$62)*('BTX Recycling HC'!AB76+'BTX Recycling HC'!AB171)-'Overall recycling rates'!$H$60/SUM('Overall recycling rates'!$H$60:$H$62)*('BTX Recycling HC'!AB77+'BTX Recycling HC'!AB172)-'Overall recycling rates'!$I$60/SUM('Overall recycling rates'!$I$60:$I$62)*('BTX Recycling HC'!AB78+'BTX Recycling HC'!AB173)</f>
        <v>133323.48045779683</v>
      </c>
      <c r="AD79" s="580">
        <f>AD35-'Overall recycling rates'!$G$60/SUM('Overall recycling rates'!$G$60:$G$62)*('BTX Recycling HC'!AC75+'BTX Recycling HC'!AC170)-'Overall recycling rates'!$E$60/SUM('Overall recycling rates'!$E$60:$E$62)*('BTX Recycling HC'!AC76+'BTX Recycling HC'!AC171)-'Overall recycling rates'!$H$60/SUM('Overall recycling rates'!$H$60:$H$62)*('BTX Recycling HC'!AC77+'BTX Recycling HC'!AC172)-'Overall recycling rates'!$I$60/SUM('Overall recycling rates'!$I$60:$I$62)*('BTX Recycling HC'!AC78+'BTX Recycling HC'!AC173)</f>
        <v>127551.40717204523</v>
      </c>
      <c r="AE79" s="580">
        <f>AE35-'Overall recycling rates'!$G$60/SUM('Overall recycling rates'!$G$60:$G$62)*('BTX Recycling HC'!AD75+'BTX Recycling HC'!AD170)-'Overall recycling rates'!$E$60/SUM('Overall recycling rates'!$E$60:$E$62)*('BTX Recycling HC'!AD76+'BTX Recycling HC'!AD171)-'Overall recycling rates'!$H$60/SUM('Overall recycling rates'!$H$60:$H$62)*('BTX Recycling HC'!AD77+'BTX Recycling HC'!AD172)-'Overall recycling rates'!$I$60/SUM('Overall recycling rates'!$I$60:$I$62)*('BTX Recycling HC'!AD78+'BTX Recycling HC'!AD173)</f>
        <v>122373.66341241436</v>
      </c>
      <c r="AF79" s="580">
        <f>AF35-'Overall recycling rates'!$G$60/SUM('Overall recycling rates'!$G$60:$G$62)*('BTX Recycling HC'!AE75+'BTX Recycling HC'!AE170)-'Overall recycling rates'!$E$60/SUM('Overall recycling rates'!$E$60:$E$62)*('BTX Recycling HC'!AE76+'BTX Recycling HC'!AE171)-'Overall recycling rates'!$H$60/SUM('Overall recycling rates'!$H$60:$H$62)*('BTX Recycling HC'!AE77+'BTX Recycling HC'!AE172)-'Overall recycling rates'!$I$60/SUM('Overall recycling rates'!$I$60:$I$62)*('BTX Recycling HC'!AE78+'BTX Recycling HC'!AE173)</f>
        <v>117771.17872116357</v>
      </c>
      <c r="AG79" s="580">
        <f>AG35-'Overall recycling rates'!$G$60/SUM('Overall recycling rates'!$G$60:$G$62)*('BTX Recycling HC'!AF75+'BTX Recycling HC'!AF170)-'Overall recycling rates'!$E$60/SUM('Overall recycling rates'!$E$60:$E$62)*('BTX Recycling HC'!AF76+'BTX Recycling HC'!AF171)-'Overall recycling rates'!$H$60/SUM('Overall recycling rates'!$H$60:$H$62)*('BTX Recycling HC'!AF77+'BTX Recycling HC'!AF172)-'Overall recycling rates'!$I$60/SUM('Overall recycling rates'!$I$60:$I$62)*('BTX Recycling HC'!AF78+'BTX Recycling HC'!AF173)</f>
        <v>113720.93745322265</v>
      </c>
      <c r="AH79" s="580">
        <f>AH35-'Overall recycling rates'!$G$60/SUM('Overall recycling rates'!$G$60:$G$62)*('BTX Recycling HC'!AG75+'BTX Recycling HC'!AG170)-'Overall recycling rates'!$E$60/SUM('Overall recycling rates'!$E$60:$E$62)*('BTX Recycling HC'!AG76+'BTX Recycling HC'!AG171)-'Overall recycling rates'!$H$60/SUM('Overall recycling rates'!$H$60:$H$62)*('BTX Recycling HC'!AG77+'BTX Recycling HC'!AG172)-'Overall recycling rates'!$I$60/SUM('Overall recycling rates'!$I$60:$I$62)*('BTX Recycling HC'!AG78+'BTX Recycling HC'!AG173)</f>
        <v>110196.02344063183</v>
      </c>
      <c r="AI79" s="580"/>
      <c r="AJ79" s="580">
        <f>AJ35-'Overall recycling rates'!$G$60/SUM('Overall recycling rates'!$G$60:$G$62)*('BTX Recycling HC'!C75+'BTX Recycling HC'!C170)-'Overall recycling rates'!$E$60/SUM('Overall recycling rates'!$E$60:$E$62)*('BTX Recycling HC'!C76+'BTX Recycling HC'!C171)-'Overall recycling rates'!$H$60/SUM('Overall recycling rates'!$H$60:$H$62)*('BTX Recycling HC'!C77+'BTX Recycling HC'!C172)-'Overall recycling rates'!$I$60/SUM('Overall recycling rates'!$I$60:$I$62)*('BTX Recycling HC'!C78+'BTX Recycling HC'!C173)</f>
        <v>416037.85495538352</v>
      </c>
      <c r="AK79" s="580">
        <f>AK35-'Overall recycling rates'!$G$60/SUM('Overall recycling rates'!$G$60:$G$62)*('BTX Recycling HC'!D75+'BTX Recycling HC'!D170)-'Overall recycling rates'!$E$60/SUM('Overall recycling rates'!$E$60:$E$62)*('BTX Recycling HC'!D76+'BTX Recycling HC'!D171)-'Overall recycling rates'!$H$60/SUM('Overall recycling rates'!$H$60:$H$62)*('BTX Recycling HC'!D77+'BTX Recycling HC'!D172)-'Overall recycling rates'!$I$60/SUM('Overall recycling rates'!$I$60:$I$62)*('BTX Recycling HC'!D78+'BTX Recycling HC'!D173)</f>
        <v>405828.70524934522</v>
      </c>
      <c r="AL79" s="580">
        <f>AL35-'Overall recycling rates'!$G$60/SUM('Overall recycling rates'!$G$60:$G$62)*('BTX Recycling HC'!E75+'BTX Recycling HC'!E170)-'Overall recycling rates'!$E$60/SUM('Overall recycling rates'!$E$60:$E$62)*('BTX Recycling HC'!E76+'BTX Recycling HC'!E171)-'Overall recycling rates'!$H$60/SUM('Overall recycling rates'!$H$60:$H$62)*('BTX Recycling HC'!E77+'BTX Recycling HC'!E172)-'Overall recycling rates'!$I$60/SUM('Overall recycling rates'!$I$60:$I$62)*('BTX Recycling HC'!E78+'BTX Recycling HC'!E173)</f>
        <v>395792.2517959025</v>
      </c>
      <c r="AM79" s="580">
        <f>AM35-'Overall recycling rates'!$G$60/SUM('Overall recycling rates'!$G$60:$G$62)*('BTX Recycling HC'!F75+'BTX Recycling HC'!F170)-'Overall recycling rates'!$E$60/SUM('Overall recycling rates'!$E$60:$E$62)*('BTX Recycling HC'!F76+'BTX Recycling HC'!F171)-'Overall recycling rates'!$H$60/SUM('Overall recycling rates'!$H$60:$H$62)*('BTX Recycling HC'!F77+'BTX Recycling HC'!F172)-'Overall recycling rates'!$I$60/SUM('Overall recycling rates'!$I$60:$I$62)*('BTX Recycling HC'!F78+'BTX Recycling HC'!F173)</f>
        <v>385778.70926449553</v>
      </c>
      <c r="AN79" s="580">
        <f>AN35-'Overall recycling rates'!$G$60/SUM('Overall recycling rates'!$G$60:$G$62)*('BTX Recycling HC'!G75+'BTX Recycling HC'!G170)-'Overall recycling rates'!$E$60/SUM('Overall recycling rates'!$E$60:$E$62)*('BTX Recycling HC'!G76+'BTX Recycling HC'!G171)-'Overall recycling rates'!$H$60/SUM('Overall recycling rates'!$H$60:$H$62)*('BTX Recycling HC'!G77+'BTX Recycling HC'!G172)-'Overall recycling rates'!$I$60/SUM('Overall recycling rates'!$I$60:$I$62)*('BTX Recycling HC'!G78+'BTX Recycling HC'!G173)</f>
        <v>375882.67436125135</v>
      </c>
      <c r="AO79" s="580">
        <f>AO35-'Overall recycling rates'!$G$60/SUM('Overall recycling rates'!$G$60:$G$62)*('BTX Recycling HC'!H75+'BTX Recycling HC'!H170)-'Overall recycling rates'!$E$60/SUM('Overall recycling rates'!$E$60:$E$62)*('BTX Recycling HC'!H76+'BTX Recycling HC'!H171)-'Overall recycling rates'!$H$60/SUM('Overall recycling rates'!$H$60:$H$62)*('BTX Recycling HC'!H77+'BTX Recycling HC'!H172)-'Overall recycling rates'!$I$60/SUM('Overall recycling rates'!$I$60:$I$62)*('BTX Recycling HC'!H78+'BTX Recycling HC'!H173)</f>
        <v>366135.1642562066</v>
      </c>
      <c r="AP79" s="580">
        <f>AP35-'Overall recycling rates'!$G$60/SUM('Overall recycling rates'!$G$60:$G$62)*('BTX Recycling HC'!I75+'BTX Recycling HC'!I170)-'Overall recycling rates'!$E$60/SUM('Overall recycling rates'!$E$60:$E$62)*('BTX Recycling HC'!I76+'BTX Recycling HC'!I171)-'Overall recycling rates'!$H$60/SUM('Overall recycling rates'!$H$60:$H$62)*('BTX Recycling HC'!I77+'BTX Recycling HC'!I172)-'Overall recycling rates'!$I$60/SUM('Overall recycling rates'!$I$60:$I$62)*('BTX Recycling HC'!I78+'BTX Recycling HC'!I173)</f>
        <v>356565.23325099982</v>
      </c>
      <c r="AQ79" s="580">
        <f>AQ35-'Overall recycling rates'!$G$60/SUM('Overall recycling rates'!$G$60:$G$62)*('BTX Recycling HC'!J75+'BTX Recycling HC'!J170)-'Overall recycling rates'!$E$60/SUM('Overall recycling rates'!$E$60:$E$62)*('BTX Recycling HC'!J76+'BTX Recycling HC'!J171)-'Overall recycling rates'!$H$60/SUM('Overall recycling rates'!$H$60:$H$62)*('BTX Recycling HC'!J77+'BTX Recycling HC'!J172)-'Overall recycling rates'!$I$60/SUM('Overall recycling rates'!$I$60:$I$62)*('BTX Recycling HC'!J78+'BTX Recycling HC'!J173)</f>
        <v>347199.99292057904</v>
      </c>
      <c r="AR79" s="580">
        <f>AR35-'Overall recycling rates'!$G$60/SUM('Overall recycling rates'!$G$60:$G$62)*('BTX Recycling HC'!K75+'BTX Recycling HC'!K170)-'Overall recycling rates'!$E$60/SUM('Overall recycling rates'!$E$60:$E$62)*('BTX Recycling HC'!K76+'BTX Recycling HC'!K171)-'Overall recycling rates'!$H$60/SUM('Overall recycling rates'!$H$60:$H$62)*('BTX Recycling HC'!K77+'BTX Recycling HC'!K172)-'Overall recycling rates'!$I$60/SUM('Overall recycling rates'!$I$60:$I$62)*('BTX Recycling HC'!K78+'BTX Recycling HC'!K173)</f>
        <v>338064.63212489325</v>
      </c>
      <c r="AS79" s="580">
        <f>AS35-'Overall recycling rates'!$G$60/SUM('Overall recycling rates'!$G$60:$G$62)*('BTX Recycling HC'!L75+'BTX Recycling HC'!L170)-'Overall recycling rates'!$E$60/SUM('Overall recycling rates'!$E$60:$E$62)*('BTX Recycling HC'!L76+'BTX Recycling HC'!L171)-'Overall recycling rates'!$H$60/SUM('Overall recycling rates'!$H$60:$H$62)*('BTX Recycling HC'!L77+'BTX Recycling HC'!L172)-'Overall recycling rates'!$I$60/SUM('Overall recycling rates'!$I$60:$I$62)*('BTX Recycling HC'!L78+'BTX Recycling HC'!L173)</f>
        <v>329182.43689122726</v>
      </c>
      <c r="AT79" s="580">
        <f>AT35-'Overall recycling rates'!$G$60/SUM('Overall recycling rates'!$G$60:$G$62)*('BTX Recycling HC'!M75+'BTX Recycling HC'!M170)-'Overall recycling rates'!$E$60/SUM('Overall recycling rates'!$E$60:$E$62)*('BTX Recycling HC'!M76+'BTX Recycling HC'!M171)-'Overall recycling rates'!$H$60/SUM('Overall recycling rates'!$H$60:$H$62)*('BTX Recycling HC'!M77+'BTX Recycling HC'!M172)-'Overall recycling rates'!$I$60/SUM('Overall recycling rates'!$I$60:$I$62)*('BTX Recycling HC'!M78+'BTX Recycling HC'!M173)</f>
        <v>320574.81016783928</v>
      </c>
      <c r="AU79" s="580">
        <f>AU35-'Overall recycling rates'!$G$60/SUM('Overall recycling rates'!$G$60:$G$62)*('BTX Recycling HC'!N75+'BTX Recycling HC'!N170)-'Overall recycling rates'!$E$60/SUM('Overall recycling rates'!$E$60:$E$62)*('BTX Recycling HC'!N76+'BTX Recycling HC'!N171)-'Overall recycling rates'!$H$60/SUM('Overall recycling rates'!$H$60:$H$62)*('BTX Recycling HC'!N77+'BTX Recycling HC'!N172)-'Overall recycling rates'!$I$60/SUM('Overall recycling rates'!$I$60:$I$62)*('BTX Recycling HC'!N78+'BTX Recycling HC'!N173)</f>
        <v>296451.47361470928</v>
      </c>
      <c r="AV79" s="580">
        <f>AV35-'Overall recycling rates'!$G$60/SUM('Overall recycling rates'!$G$60:$G$62)*('BTX Recycling HC'!O75+'BTX Recycling HC'!O170)-'Overall recycling rates'!$E$60/SUM('Overall recycling rates'!$E$60:$E$62)*('BTX Recycling HC'!O76+'BTX Recycling HC'!O171)-'Overall recycling rates'!$H$60/SUM('Overall recycling rates'!$H$60:$H$62)*('BTX Recycling HC'!O77+'BTX Recycling HC'!O172)-'Overall recycling rates'!$I$60/SUM('Overall recycling rates'!$I$60:$I$62)*('BTX Recycling HC'!O78+'BTX Recycling HC'!O173)</f>
        <v>284359.61187226005</v>
      </c>
      <c r="AW79" s="580">
        <f>AW35-'Overall recycling rates'!$G$60/SUM('Overall recycling rates'!$G$60:$G$62)*('BTX Recycling HC'!P75+'BTX Recycling HC'!P170)-'Overall recycling rates'!$E$60/SUM('Overall recycling rates'!$E$60:$E$62)*('BTX Recycling HC'!P76+'BTX Recycling HC'!P171)-'Overall recycling rates'!$H$60/SUM('Overall recycling rates'!$H$60:$H$62)*('BTX Recycling HC'!P77+'BTX Recycling HC'!P172)-'Overall recycling rates'!$I$60/SUM('Overall recycling rates'!$I$60:$I$62)*('BTX Recycling HC'!P78+'BTX Recycling HC'!P173)</f>
        <v>272769.98404963105</v>
      </c>
      <c r="AX79" s="580">
        <f>AX35-'Overall recycling rates'!$G$60/SUM('Overall recycling rates'!$G$60:$G$62)*('BTX Recycling HC'!Q75+'BTX Recycling HC'!Q170)-'Overall recycling rates'!$E$60/SUM('Overall recycling rates'!$E$60:$E$62)*('BTX Recycling HC'!Q76+'BTX Recycling HC'!Q171)-'Overall recycling rates'!$H$60/SUM('Overall recycling rates'!$H$60:$H$62)*('BTX Recycling HC'!Q77+'BTX Recycling HC'!Q172)-'Overall recycling rates'!$I$60/SUM('Overall recycling rates'!$I$60:$I$62)*('BTX Recycling HC'!Q78+'BTX Recycling HC'!Q173)</f>
        <v>261697.1117460643</v>
      </c>
      <c r="AY79" s="580">
        <f>AY35-'Overall recycling rates'!$G$60/SUM('Overall recycling rates'!$G$60:$G$62)*('BTX Recycling HC'!R75+'BTX Recycling HC'!R170)-'Overall recycling rates'!$E$60/SUM('Overall recycling rates'!$E$60:$E$62)*('BTX Recycling HC'!R76+'BTX Recycling HC'!R171)-'Overall recycling rates'!$H$60/SUM('Overall recycling rates'!$H$60:$H$62)*('BTX Recycling HC'!R77+'BTX Recycling HC'!R172)-'Overall recycling rates'!$I$60/SUM('Overall recycling rates'!$I$60:$I$62)*('BTX Recycling HC'!R78+'BTX Recycling HC'!R173)</f>
        <v>251152.8817937382</v>
      </c>
      <c r="AZ79" s="580">
        <f>AZ35-'Overall recycling rates'!$G$60/SUM('Overall recycling rates'!$G$60:$G$62)*('BTX Recycling HC'!S75+'BTX Recycling HC'!S170)-'Overall recycling rates'!$E$60/SUM('Overall recycling rates'!$E$60:$E$62)*('BTX Recycling HC'!S76+'BTX Recycling HC'!S171)-'Overall recycling rates'!$H$60/SUM('Overall recycling rates'!$H$60:$H$62)*('BTX Recycling HC'!S77+'BTX Recycling HC'!S172)-'Overall recycling rates'!$I$60/SUM('Overall recycling rates'!$I$60:$I$62)*('BTX Recycling HC'!S78+'BTX Recycling HC'!S173)</f>
        <v>241145.41131569713</v>
      </c>
      <c r="BA79" s="580">
        <f>BA35-'Overall recycling rates'!$G$60/SUM('Overall recycling rates'!$G$60:$G$62)*('BTX Recycling HC'!T75+'BTX Recycling HC'!T170)-'Overall recycling rates'!$E$60/SUM('Overall recycling rates'!$E$60:$E$62)*('BTX Recycling HC'!T76+'BTX Recycling HC'!T171)-'Overall recycling rates'!$H$60/SUM('Overall recycling rates'!$H$60:$H$62)*('BTX Recycling HC'!T77+'BTX Recycling HC'!T172)-'Overall recycling rates'!$I$60/SUM('Overall recycling rates'!$I$60:$I$62)*('BTX Recycling HC'!T78+'BTX Recycling HC'!T173)</f>
        <v>231679.08872638116</v>
      </c>
      <c r="BB79" s="580">
        <f>BB35-'Overall recycling rates'!$G$60/SUM('Overall recycling rates'!$G$60:$G$62)*('BTX Recycling HC'!U75+'BTX Recycling HC'!U170)-'Overall recycling rates'!$E$60/SUM('Overall recycling rates'!$E$60:$E$62)*('BTX Recycling HC'!U76+'BTX Recycling HC'!U171)-'Overall recycling rates'!$H$60/SUM('Overall recycling rates'!$H$60:$H$62)*('BTX Recycling HC'!U77+'BTX Recycling HC'!U172)-'Overall recycling rates'!$I$60/SUM('Overall recycling rates'!$I$60:$I$62)*('BTX Recycling HC'!U78+'BTX Recycling HC'!U173)</f>
        <v>222754.61446288752</v>
      </c>
      <c r="BC79" s="580">
        <f>BC35-'Overall recycling rates'!$G$60/SUM('Overall recycling rates'!$G$60:$G$62)*('BTX Recycling HC'!V75+'BTX Recycling HC'!V170)-'Overall recycling rates'!$E$60/SUM('Overall recycling rates'!$E$60:$E$62)*('BTX Recycling HC'!V76+'BTX Recycling HC'!V171)-'Overall recycling rates'!$H$60/SUM('Overall recycling rates'!$H$60:$H$62)*('BTX Recycling HC'!V77+'BTX Recycling HC'!V172)-'Overall recycling rates'!$I$60/SUM('Overall recycling rates'!$I$60:$I$62)*('BTX Recycling HC'!V78+'BTX Recycling HC'!V173)</f>
        <v>214369.04144833583</v>
      </c>
      <c r="BD79" s="580">
        <f>BD35-'Overall recycling rates'!$G$60/SUM('Overall recycling rates'!$G$60:$G$62)*('BTX Recycling HC'!W75+'BTX Recycling HC'!W170)-'Overall recycling rates'!$E$60/SUM('Overall recycling rates'!$E$60:$E$62)*('BTX Recycling HC'!W76+'BTX Recycling HC'!W171)-'Overall recycling rates'!$H$60/SUM('Overall recycling rates'!$H$60:$H$62)*('BTX Recycling HC'!W77+'BTX Recycling HC'!W172)-'Overall recycling rates'!$I$60/SUM('Overall recycling rates'!$I$60:$I$62)*('BTX Recycling HC'!W78+'BTX Recycling HC'!W173)</f>
        <v>206515.81528870505</v>
      </c>
      <c r="BE79" s="580">
        <f>BE35-'Overall recycling rates'!$G$60/SUM('Overall recycling rates'!$G$60:$G$62)*('BTX Recycling HC'!X75+'BTX Recycling HC'!X170)-'Overall recycling rates'!$E$60/SUM('Overall recycling rates'!$E$60:$E$62)*('BTX Recycling HC'!X76+'BTX Recycling HC'!X171)-'Overall recycling rates'!$H$60/SUM('Overall recycling rates'!$H$60:$H$62)*('BTX Recycling HC'!X77+'BTX Recycling HC'!X172)-'Overall recycling rates'!$I$60/SUM('Overall recycling rates'!$I$60:$I$62)*('BTX Recycling HC'!X78+'BTX Recycling HC'!X173)</f>
        <v>198963.86333324644</v>
      </c>
      <c r="BF79" s="580">
        <f>BF35-'Overall recycling rates'!$G$60/SUM('Overall recycling rates'!$G$60:$G$62)*('BTX Recycling HC'!Y75+'BTX Recycling HC'!Y170)-'Overall recycling rates'!$E$60/SUM('Overall recycling rates'!$E$60:$E$62)*('BTX Recycling HC'!Y76+'BTX Recycling HC'!Y171)-'Overall recycling rates'!$H$60/SUM('Overall recycling rates'!$H$60:$H$62)*('BTX Recycling HC'!Y77+'BTX Recycling HC'!Y172)-'Overall recycling rates'!$I$60/SUM('Overall recycling rates'!$I$60:$I$62)*('BTX Recycling HC'!Y78+'BTX Recycling HC'!Y173)</f>
        <v>192020.88615335949</v>
      </c>
      <c r="BG79" s="580">
        <f>BG35-'Overall recycling rates'!$G$60/SUM('Overall recycling rates'!$G$60:$G$62)*('BTX Recycling HC'!Z75+'BTX Recycling HC'!Z170)-'Overall recycling rates'!$E$60/SUM('Overall recycling rates'!$E$60:$E$62)*('BTX Recycling HC'!Z76+'BTX Recycling HC'!Z171)-'Overall recycling rates'!$H$60/SUM('Overall recycling rates'!$H$60:$H$62)*('BTX Recycling HC'!Z77+'BTX Recycling HC'!Z172)-'Overall recycling rates'!$I$60/SUM('Overall recycling rates'!$I$60:$I$62)*('BTX Recycling HC'!Z78+'BTX Recycling HC'!Z173)</f>
        <v>185690.96815164539</v>
      </c>
      <c r="BH79" s="580">
        <f>BH35-'Overall recycling rates'!$G$60/SUM('Overall recycling rates'!$G$60:$G$62)*('BTX Recycling HC'!AA75+'BTX Recycling HC'!AA170)-'Overall recycling rates'!$E$60/SUM('Overall recycling rates'!$E$60:$E$62)*('BTX Recycling HC'!AA76+'BTX Recycling HC'!AA171)-'Overall recycling rates'!$H$60/SUM('Overall recycling rates'!$H$60:$H$62)*('BTX Recycling HC'!AA77+'BTX Recycling HC'!AA172)-'Overall recycling rates'!$I$60/SUM('Overall recycling rates'!$I$60:$I$62)*('BTX Recycling HC'!AA78+'BTX Recycling HC'!AA173)</f>
        <v>179968.91200066271</v>
      </c>
      <c r="BI79" s="580">
        <f>BI35-'Overall recycling rates'!$G$60/SUM('Overall recycling rates'!$G$60:$G$62)*('BTX Recycling HC'!AB75+'BTX Recycling HC'!AB170)-'Overall recycling rates'!$E$60/SUM('Overall recycling rates'!$E$60:$E$62)*('BTX Recycling HC'!AB76+'BTX Recycling HC'!AB171)-'Overall recycling rates'!$H$60/SUM('Overall recycling rates'!$H$60:$H$62)*('BTX Recycling HC'!AB77+'BTX Recycling HC'!AB172)-'Overall recycling rates'!$I$60/SUM('Overall recycling rates'!$I$60:$I$62)*('BTX Recycling HC'!AB78+'BTX Recycling HC'!AB173)</f>
        <v>174847.96057025148</v>
      </c>
      <c r="BJ79" s="580">
        <f>BJ35-'Overall recycling rates'!$G$60/SUM('Overall recycling rates'!$G$60:$G$62)*('BTX Recycling HC'!AC75+'BTX Recycling HC'!AC170)-'Overall recycling rates'!$E$60/SUM('Overall recycling rates'!$E$60:$E$62)*('BTX Recycling HC'!AC76+'BTX Recycling HC'!AC171)-'Overall recycling rates'!$H$60/SUM('Overall recycling rates'!$H$60:$H$62)*('BTX Recycling HC'!AC77+'BTX Recycling HC'!AC172)-'Overall recycling rates'!$I$60/SUM('Overall recycling rates'!$I$60:$I$62)*('BTX Recycling HC'!AC78+'BTX Recycling HC'!AC173)</f>
        <v>170317.27388305261</v>
      </c>
      <c r="BK79" s="580">
        <f>BK35-'Overall recycling rates'!$G$60/SUM('Overall recycling rates'!$G$60:$G$62)*('BTX Recycling HC'!AD75+'BTX Recycling HC'!AD170)-'Overall recycling rates'!$E$60/SUM('Overall recycling rates'!$E$60:$E$62)*('BTX Recycling HC'!AD76+'BTX Recycling HC'!AD171)-'Overall recycling rates'!$H$60/SUM('Overall recycling rates'!$H$60:$H$62)*('BTX Recycling HC'!AD77+'BTX Recycling HC'!AD172)-'Overall recycling rates'!$I$60/SUM('Overall recycling rates'!$I$60:$I$62)*('BTX Recycling HC'!AD78+'BTX Recycling HC'!AD173)</f>
        <v>166361.97467230915</v>
      </c>
      <c r="BL79" s="580">
        <f>BL35-'Overall recycling rates'!$G$60/SUM('Overall recycling rates'!$G$60:$G$62)*('BTX Recycling HC'!AE75+'BTX Recycling HC'!AE170)-'Overall recycling rates'!$E$60/SUM('Overall recycling rates'!$E$60:$E$62)*('BTX Recycling HC'!AE76+'BTX Recycling HC'!AE171)-'Overall recycling rates'!$H$60/SUM('Overall recycling rates'!$H$60:$H$62)*('BTX Recycling HC'!AE77+'BTX Recycling HC'!AE172)-'Overall recycling rates'!$I$60/SUM('Overall recycling rates'!$I$60:$I$62)*('BTX Recycling HC'!AE78+'BTX Recycling HC'!AE173)</f>
        <v>162963.19364583903</v>
      </c>
      <c r="BM79" s="580">
        <f>BM35-'Overall recycling rates'!$G$60/SUM('Overall recycling rates'!$G$60:$G$62)*('BTX Recycling HC'!AF75+'BTX Recycling HC'!AF170)-'Overall recycling rates'!$E$60/SUM('Overall recycling rates'!$E$60:$E$62)*('BTX Recycling HC'!AF76+'BTX Recycling HC'!AF171)-'Overall recycling rates'!$H$60/SUM('Overall recycling rates'!$H$60:$H$62)*('BTX Recycling HC'!AF77+'BTX Recycling HC'!AF172)-'Overall recycling rates'!$I$60/SUM('Overall recycling rates'!$I$60:$I$62)*('BTX Recycling HC'!AF78+'BTX Recycling HC'!AF173)</f>
        <v>160098.11445759743</v>
      </c>
      <c r="BN79" s="580">
        <f>BN35-'Overall recycling rates'!$G$60/SUM('Overall recycling rates'!$G$60:$G$62)*('BTX Recycling HC'!AG75+'BTX Recycling HC'!AG170)-'Overall recycling rates'!$E$60/SUM('Overall recycling rates'!$E$60:$E$62)*('BTX Recycling HC'!AG76+'BTX Recycling HC'!AG171)-'Overall recycling rates'!$H$60/SUM('Overall recycling rates'!$H$60:$H$62)*('BTX Recycling HC'!AG77+'BTX Recycling HC'!AG172)-'Overall recycling rates'!$I$60/SUM('Overall recycling rates'!$I$60:$I$62)*('BTX Recycling HC'!AG78+'BTX Recycling HC'!AG173)</f>
        <v>157740.01838824456</v>
      </c>
      <c r="BQ79" s="649"/>
      <c r="BR79" s="649"/>
      <c r="BS79" s="649"/>
      <c r="BT79" s="649"/>
      <c r="BU79" s="649"/>
      <c r="BV79" s="649"/>
      <c r="BW79" s="649"/>
      <c r="BX79" s="649"/>
      <c r="BY79" s="649"/>
      <c r="BZ79" s="649"/>
      <c r="CA79" s="649"/>
      <c r="CB79" s="649"/>
      <c r="CC79" s="649"/>
      <c r="CD79" s="649"/>
      <c r="CE79" s="649"/>
      <c r="CF79" s="649"/>
      <c r="CG79" s="649"/>
      <c r="CH79" s="649"/>
      <c r="CI79" s="649"/>
      <c r="CJ79" s="649"/>
      <c r="CK79" s="649"/>
      <c r="CL79" s="649"/>
    </row>
    <row r="80" spans="1:90" outlineLevel="1">
      <c r="A80" s="603"/>
      <c r="B80" s="1" t="s">
        <v>717</v>
      </c>
      <c r="C80" s="50" t="s">
        <v>1420</v>
      </c>
      <c r="D80" s="576">
        <f>D36-'Overall recycling rates'!$G$61/SUM('Overall recycling rates'!$G$60:$G$62)*('BTX Recycling HC'!C75+'BTX Recycling HC'!C170)-'Overall recycling rates'!$E$61/SUM('Overall recycling rates'!$E$60:$E$62)*('BTX Recycling HC'!C76+'BTX Recycling HC'!C171)-'Overall recycling rates'!$H$61/SUM('Overall recycling rates'!$H$60:$H$62)*('BTX Recycling HC'!C77+'BTX Recycling HC'!C172)-'Overall recycling rates'!$I$61/SUM('Overall recycling rates'!$I$60:$I$62)*('BTX Recycling HC'!C78+'BTX Recycling HC'!C173)</f>
        <v>127406.95685615994</v>
      </c>
      <c r="E80" s="576">
        <f>E36-'Overall recycling rates'!$G$61/SUM('Overall recycling rates'!$G$60:$G$62)*('BTX Recycling HC'!D75+'BTX Recycling HC'!D170)-'Overall recycling rates'!$E$61/SUM('Overall recycling rates'!$E$60:$E$62)*('BTX Recycling HC'!D76+'BTX Recycling HC'!D171)-'Overall recycling rates'!$H$61/SUM('Overall recycling rates'!$H$60:$H$62)*('BTX Recycling HC'!D77+'BTX Recycling HC'!D172)-'Overall recycling rates'!$I$61/SUM('Overall recycling rates'!$I$60:$I$62)*('BTX Recycling HC'!D78+'BTX Recycling HC'!D173)</f>
        <v>124624.2135210491</v>
      </c>
      <c r="F80" s="576">
        <f>F36-'Overall recycling rates'!$G$61/SUM('Overall recycling rates'!$G$60:$G$62)*('BTX Recycling HC'!E75+'BTX Recycling HC'!E170)-'Overall recycling rates'!$E$61/SUM('Overall recycling rates'!$E$60:$E$62)*('BTX Recycling HC'!E76+'BTX Recycling HC'!E171)-'Overall recycling rates'!$H$61/SUM('Overall recycling rates'!$H$60:$H$62)*('BTX Recycling HC'!E77+'BTX Recycling HC'!E172)-'Overall recycling rates'!$I$61/SUM('Overall recycling rates'!$I$60:$I$62)*('BTX Recycling HC'!E78+'BTX Recycling HC'!E173)</f>
        <v>122025.37692248428</v>
      </c>
      <c r="G80" s="576">
        <f>G36-'Overall recycling rates'!$G$61/SUM('Overall recycling rates'!$G$60:$G$62)*('BTX Recycling HC'!F75+'BTX Recycling HC'!F170)-'Overall recycling rates'!$E$61/SUM('Overall recycling rates'!$E$60:$E$62)*('BTX Recycling HC'!F76+'BTX Recycling HC'!F171)-'Overall recycling rates'!$H$61/SUM('Overall recycling rates'!$H$60:$H$62)*('BTX Recycling HC'!F77+'BTX Recycling HC'!F172)-'Overall recycling rates'!$I$61/SUM('Overall recycling rates'!$I$60:$I$62)*('BTX Recycling HC'!F78+'BTX Recycling HC'!F173)</f>
        <v>119501.60622992844</v>
      </c>
      <c r="H80" s="576">
        <f>H36-'Overall recycling rates'!$G$61/SUM('Overall recycling rates'!$G$60:$G$62)*('BTX Recycling HC'!G75+'BTX Recycling HC'!G170)-'Overall recycling rates'!$E$61/SUM('Overall recycling rates'!$E$60:$E$62)*('BTX Recycling HC'!G76+'BTX Recycling HC'!G171)-'Overall recycling rates'!$H$61/SUM('Overall recycling rates'!$H$60:$H$62)*('BTX Recycling HC'!G77+'BTX Recycling HC'!G172)-'Overall recycling rates'!$I$61/SUM('Overall recycling rates'!$I$60:$I$62)*('BTX Recycling HC'!G78+'BTX Recycling HC'!G173)</f>
        <v>117085.15942620947</v>
      </c>
      <c r="I80" s="576">
        <f>I36-'Overall recycling rates'!$G$61/SUM('Overall recycling rates'!$G$60:$G$62)*('BTX Recycling HC'!H75+'BTX Recycling HC'!H170)-'Overall recycling rates'!$E$61/SUM('Overall recycling rates'!$E$60:$E$62)*('BTX Recycling HC'!H76+'BTX Recycling HC'!H171)-'Overall recycling rates'!$H$61/SUM('Overall recycling rates'!$H$60:$H$62)*('BTX Recycling HC'!H77+'BTX Recycling HC'!H172)-'Overall recycling rates'!$I$61/SUM('Overall recycling rates'!$I$60:$I$62)*('BTX Recycling HC'!H78+'BTX Recycling HC'!H173)</f>
        <v>114773.02119193329</v>
      </c>
      <c r="J80" s="576">
        <f>J36-'Overall recycling rates'!$G$61/SUM('Overall recycling rates'!$G$60:$G$62)*('BTX Recycling HC'!I75+'BTX Recycling HC'!I170)-'Overall recycling rates'!$E$61/SUM('Overall recycling rates'!$E$60:$E$62)*('BTX Recycling HC'!I76+'BTX Recycling HC'!I171)-'Overall recycling rates'!$H$61/SUM('Overall recycling rates'!$H$60:$H$62)*('BTX Recycling HC'!I77+'BTX Recycling HC'!I172)-'Overall recycling rates'!$I$61/SUM('Overall recycling rates'!$I$60:$I$62)*('BTX Recycling HC'!I78+'BTX Recycling HC'!I173)</f>
        <v>112562.1774741207</v>
      </c>
      <c r="K80" s="576">
        <f>K36-'Overall recycling rates'!$G$61/SUM('Overall recycling rates'!$G$60:$G$62)*('BTX Recycling HC'!J75+'BTX Recycling HC'!J170)-'Overall recycling rates'!$E$61/SUM('Overall recycling rates'!$E$60:$E$62)*('BTX Recycling HC'!J76+'BTX Recycling HC'!J171)-'Overall recycling rates'!$H$61/SUM('Overall recycling rates'!$H$60:$H$62)*('BTX Recycling HC'!J77+'BTX Recycling HC'!J172)-'Overall recycling rates'!$I$61/SUM('Overall recycling rates'!$I$60:$I$62)*('BTX Recycling HC'!J78+'BTX Recycling HC'!J173)</f>
        <v>110449.61560622494</v>
      </c>
      <c r="L80" s="576">
        <f>L36-'Overall recycling rates'!$G$61/SUM('Overall recycling rates'!$G$60:$G$62)*('BTX Recycling HC'!K75+'BTX Recycling HC'!K170)-'Overall recycling rates'!$E$61/SUM('Overall recycling rates'!$E$60:$E$62)*('BTX Recycling HC'!K76+'BTX Recycling HC'!K171)-'Overall recycling rates'!$H$61/SUM('Overall recycling rates'!$H$60:$H$62)*('BTX Recycling HC'!K77+'BTX Recycling HC'!K172)-'Overall recycling rates'!$I$61/SUM('Overall recycling rates'!$I$60:$I$62)*('BTX Recycling HC'!K78+'BTX Recycling HC'!K173)</f>
        <v>108432.32442708548</v>
      </c>
      <c r="M80" s="576">
        <f>M36-'Overall recycling rates'!$G$61/SUM('Overall recycling rates'!$G$60:$G$62)*('BTX Recycling HC'!L75+'BTX Recycling HC'!L170)-'Overall recycling rates'!$E$61/SUM('Overall recycling rates'!$E$60:$E$62)*('BTX Recycling HC'!L76+'BTX Recycling HC'!L171)-'Overall recycling rates'!$H$61/SUM('Overall recycling rates'!$H$60:$H$62)*('BTX Recycling HC'!L77+'BTX Recycling HC'!L172)-'Overall recycling rates'!$I$61/SUM('Overall recycling rates'!$I$60:$I$62)*('BTX Recycling HC'!L78+'BTX Recycling HC'!L173)</f>
        <v>106507.29439882492</v>
      </c>
      <c r="N80" s="576">
        <f>N36-'Overall recycling rates'!$G$61/SUM('Overall recycling rates'!$G$60:$G$62)*('BTX Recycling HC'!M75+'BTX Recycling HC'!M170)-'Overall recycling rates'!$E$61/SUM('Overall recycling rates'!$E$60:$E$62)*('BTX Recycling HC'!M76+'BTX Recycling HC'!M171)-'Overall recycling rates'!$H$61/SUM('Overall recycling rates'!$H$60:$H$62)*('BTX Recycling HC'!M77+'BTX Recycling HC'!M172)-'Overall recycling rates'!$I$61/SUM('Overall recycling rates'!$I$60:$I$62)*('BTX Recycling HC'!M78+'BTX Recycling HC'!M173)</f>
        <v>104671.51772369373</v>
      </c>
      <c r="O80" s="576">
        <f>O36-'Overall recycling rates'!$G$61/SUM('Overall recycling rates'!$G$60:$G$62)*('BTX Recycling HC'!N75+'BTX Recycling HC'!N170)-'Overall recycling rates'!$E$61/SUM('Overall recycling rates'!$E$60:$E$62)*('BTX Recycling HC'!N76+'BTX Recycling HC'!N171)-'Overall recycling rates'!$H$61/SUM('Overall recycling rates'!$H$60:$H$62)*('BTX Recycling HC'!N77+'BTX Recycling HC'!N172)-'Overall recycling rates'!$I$61/SUM('Overall recycling rates'!$I$60:$I$62)*('BTX Recycling HC'!N78+'BTX Recycling HC'!N173)</f>
        <v>100537.76898459041</v>
      </c>
      <c r="P80" s="576">
        <f>P36-'Overall recycling rates'!$G$61/SUM('Overall recycling rates'!$G$60:$G$62)*('BTX Recycling HC'!O75+'BTX Recycling HC'!O170)-'Overall recycling rates'!$E$61/SUM('Overall recycling rates'!$E$60:$E$62)*('BTX Recycling HC'!O76+'BTX Recycling HC'!O171)-'Overall recycling rates'!$H$61/SUM('Overall recycling rates'!$H$60:$H$62)*('BTX Recycling HC'!O77+'BTX Recycling HC'!O172)-'Overall recycling rates'!$I$61/SUM('Overall recycling rates'!$I$60:$I$62)*('BTX Recycling HC'!O78+'BTX Recycling HC'!O173)</f>
        <v>97746.200577955809</v>
      </c>
      <c r="Q80" s="576">
        <f>Q36-'Overall recycling rates'!$G$61/SUM('Overall recycling rates'!$G$60:$G$62)*('BTX Recycling HC'!P75+'BTX Recycling HC'!P170)-'Overall recycling rates'!$E$61/SUM('Overall recycling rates'!$E$60:$E$62)*('BTX Recycling HC'!P76+'BTX Recycling HC'!P171)-'Overall recycling rates'!$H$61/SUM('Overall recycling rates'!$H$60:$H$62)*('BTX Recycling HC'!P77+'BTX Recycling HC'!P172)-'Overall recycling rates'!$I$61/SUM('Overall recycling rates'!$I$60:$I$62)*('BTX Recycling HC'!P78+'BTX Recycling HC'!P173)</f>
        <v>95087.270048110047</v>
      </c>
      <c r="R80" s="576">
        <f>R36-'Overall recycling rates'!$G$61/SUM('Overall recycling rates'!$G$60:$G$62)*('BTX Recycling HC'!Q75+'BTX Recycling HC'!Q170)-'Overall recycling rates'!$E$61/SUM('Overall recycling rates'!$E$60:$E$62)*('BTX Recycling HC'!Q76+'BTX Recycling HC'!Q171)-'Overall recycling rates'!$H$61/SUM('Overall recycling rates'!$H$60:$H$62)*('BTX Recycling HC'!Q77+'BTX Recycling HC'!Q172)-'Overall recycling rates'!$I$61/SUM('Overall recycling rates'!$I$60:$I$62)*('BTX Recycling HC'!Q78+'BTX Recycling HC'!Q173)</f>
        <v>92553.976066392381</v>
      </c>
      <c r="S80" s="576">
        <f>S36-'Overall recycling rates'!$G$61/SUM('Overall recycling rates'!$G$60:$G$62)*('BTX Recycling HC'!R75+'BTX Recycling HC'!R170)-'Overall recycling rates'!$E$61/SUM('Overall recycling rates'!$E$60:$E$62)*('BTX Recycling HC'!R76+'BTX Recycling HC'!R171)-'Overall recycling rates'!$H$61/SUM('Overall recycling rates'!$H$60:$H$62)*('BTX Recycling HC'!R77+'BTX Recycling HC'!R172)-'Overall recycling rates'!$I$61/SUM('Overall recycling rates'!$I$60:$I$62)*('BTX Recycling HC'!R78+'BTX Recycling HC'!R173)</f>
        <v>90139.642109567212</v>
      </c>
      <c r="T80" s="576">
        <f>T36-'Overall recycling rates'!$G$61/SUM('Overall recycling rates'!$G$60:$G$62)*('BTX Recycling HC'!S75+'BTX Recycling HC'!S170)-'Overall recycling rates'!$E$61/SUM('Overall recycling rates'!$E$60:$E$62)*('BTX Recycling HC'!S76+'BTX Recycling HC'!S171)-'Overall recycling rates'!$H$61/SUM('Overall recycling rates'!$H$60:$H$62)*('BTX Recycling HC'!S77+'BTX Recycling HC'!S172)-'Overall recycling rates'!$I$61/SUM('Overall recycling rates'!$I$60:$I$62)*('BTX Recycling HC'!S78+'BTX Recycling HC'!S173)</f>
        <v>87837.595229172701</v>
      </c>
      <c r="U80" s="576">
        <f>U36-'Overall recycling rates'!$G$61/SUM('Overall recycling rates'!$G$60:$G$62)*('BTX Recycling HC'!T75+'BTX Recycling HC'!T170)-'Overall recycling rates'!$E$61/SUM('Overall recycling rates'!$E$60:$E$62)*('BTX Recycling HC'!T76+'BTX Recycling HC'!T171)-'Overall recycling rates'!$H$61/SUM('Overall recycling rates'!$H$60:$H$62)*('BTX Recycling HC'!T77+'BTX Recycling HC'!T172)-'Overall recycling rates'!$I$61/SUM('Overall recycling rates'!$I$60:$I$62)*('BTX Recycling HC'!T78+'BTX Recycling HC'!T173)</f>
        <v>85641.166288860637</v>
      </c>
      <c r="V80" s="576">
        <f>V36-'Overall recycling rates'!$G$61/SUM('Overall recycling rates'!$G$60:$G$62)*('BTX Recycling HC'!U75+'BTX Recycling HC'!U170)-'Overall recycling rates'!$E$61/SUM('Overall recycling rates'!$E$60:$E$62)*('BTX Recycling HC'!U76+'BTX Recycling HC'!U171)-'Overall recycling rates'!$H$61/SUM('Overall recycling rates'!$H$60:$H$62)*('BTX Recycling HC'!U77+'BTX Recycling HC'!U172)-'Overall recycling rates'!$I$61/SUM('Overall recycling rates'!$I$60:$I$62)*('BTX Recycling HC'!U78+'BTX Recycling HC'!U173)</f>
        <v>83543.690199332341</v>
      </c>
      <c r="W80" s="576">
        <f>W36-'Overall recycling rates'!$G$61/SUM('Overall recycling rates'!$G$60:$G$62)*('BTX Recycling HC'!V75+'BTX Recycling HC'!V170)-'Overall recycling rates'!$E$61/SUM('Overall recycling rates'!$E$60:$E$62)*('BTX Recycling HC'!V76+'BTX Recycling HC'!V171)-'Overall recycling rates'!$H$61/SUM('Overall recycling rates'!$H$60:$H$62)*('BTX Recycling HC'!V77+'BTX Recycling HC'!V172)-'Overall recycling rates'!$I$61/SUM('Overall recycling rates'!$I$60:$I$62)*('BTX Recycling HC'!V78+'BTX Recycling HC'!V173)</f>
        <v>81538.50615088726</v>
      </c>
      <c r="X80" s="576">
        <f>X36-'Overall recycling rates'!$G$61/SUM('Overall recycling rates'!$G$60:$G$62)*('BTX Recycling HC'!W75+'BTX Recycling HC'!W170)-'Overall recycling rates'!$E$61/SUM('Overall recycling rates'!$E$60:$E$62)*('BTX Recycling HC'!W76+'BTX Recycling HC'!W171)-'Overall recycling rates'!$H$61/SUM('Overall recycling rates'!$H$60:$H$62)*('BTX Recycling HC'!W77+'BTX Recycling HC'!W172)-'Overall recycling rates'!$I$61/SUM('Overall recycling rates'!$I$60:$I$62)*('BTX Recycling HC'!W78+'BTX Recycling HC'!W173)</f>
        <v>79618.957843600525</v>
      </c>
      <c r="Y80" s="576">
        <f>Y36-'Overall recycling rates'!$G$61/SUM('Overall recycling rates'!$G$60:$G$62)*('BTX Recycling HC'!X75+'BTX Recycling HC'!X170)-'Overall recycling rates'!$E$61/SUM('Overall recycling rates'!$E$60:$E$62)*('BTX Recycling HC'!X76+'BTX Recycling HC'!X171)-'Overall recycling rates'!$H$61/SUM('Overall recycling rates'!$H$60:$H$62)*('BTX Recycling HC'!X77+'BTX Recycling HC'!X172)-'Overall recycling rates'!$I$61/SUM('Overall recycling rates'!$I$60:$I$62)*('BTX Recycling HC'!X78+'BTX Recycling HC'!X173)</f>
        <v>77867.802363414652</v>
      </c>
      <c r="Z80" s="576">
        <f>Z36-'Overall recycling rates'!$G$61/SUM('Overall recycling rates'!$G$60:$G$62)*('BTX Recycling HC'!Y75+'BTX Recycling HC'!Y170)-'Overall recycling rates'!$E$61/SUM('Overall recycling rates'!$E$60:$E$62)*('BTX Recycling HC'!Y76+'BTX Recycling HC'!Y171)-'Overall recycling rates'!$H$61/SUM('Overall recycling rates'!$H$60:$H$62)*('BTX Recycling HC'!Y77+'BTX Recycling HC'!Y172)-'Overall recycling rates'!$I$61/SUM('Overall recycling rates'!$I$60:$I$62)*('BTX Recycling HC'!Y78+'BTX Recycling HC'!Y173)</f>
        <v>76237.219468445881</v>
      </c>
      <c r="AA80" s="576">
        <f>AA36-'Overall recycling rates'!$G$61/SUM('Overall recycling rates'!$G$60:$G$62)*('BTX Recycling HC'!Z75+'BTX Recycling HC'!Z170)-'Overall recycling rates'!$E$61/SUM('Overall recycling rates'!$E$60:$E$62)*('BTX Recycling HC'!Z76+'BTX Recycling HC'!Z171)-'Overall recycling rates'!$H$61/SUM('Overall recycling rates'!$H$60:$H$62)*('BTX Recycling HC'!Z77+'BTX Recycling HC'!Z172)-'Overall recycling rates'!$I$61/SUM('Overall recycling rates'!$I$60:$I$62)*('BTX Recycling HC'!Z78+'BTX Recycling HC'!Z173)</f>
        <v>74720.655112065084</v>
      </c>
      <c r="AB80" s="576">
        <f>AB36-'Overall recycling rates'!$G$61/SUM('Overall recycling rates'!$G$60:$G$62)*('BTX Recycling HC'!AA75+'BTX Recycling HC'!AA170)-'Overall recycling rates'!$E$61/SUM('Overall recycling rates'!$E$60:$E$62)*('BTX Recycling HC'!AA76+'BTX Recycling HC'!AA171)-'Overall recycling rates'!$H$61/SUM('Overall recycling rates'!$H$60:$H$62)*('BTX Recycling HC'!AA77+'BTX Recycling HC'!AA172)-'Overall recycling rates'!$I$61/SUM('Overall recycling rates'!$I$60:$I$62)*('BTX Recycling HC'!AA78+'BTX Recycling HC'!AA173)</f>
        <v>73309.609748545889</v>
      </c>
      <c r="AC80" s="576">
        <f>AC36-'Overall recycling rates'!$G$61/SUM('Overall recycling rates'!$G$60:$G$62)*('BTX Recycling HC'!AB75+'BTX Recycling HC'!AB170)-'Overall recycling rates'!$E$61/SUM('Overall recycling rates'!$E$60:$E$62)*('BTX Recycling HC'!AB76+'BTX Recycling HC'!AB171)-'Overall recycling rates'!$H$61/SUM('Overall recycling rates'!$H$60:$H$62)*('BTX Recycling HC'!AB77+'BTX Recycling HC'!AB172)-'Overall recycling rates'!$I$61/SUM('Overall recycling rates'!$I$60:$I$62)*('BTX Recycling HC'!AB78+'BTX Recycling HC'!AB173)</f>
        <v>71996.536834306389</v>
      </c>
      <c r="AD80" s="576">
        <f>AD36-'Overall recycling rates'!$G$61/SUM('Overall recycling rates'!$G$60:$G$62)*('BTX Recycling HC'!AC75+'BTX Recycling HC'!AC170)-'Overall recycling rates'!$E$61/SUM('Overall recycling rates'!$E$60:$E$62)*('BTX Recycling HC'!AC76+'BTX Recycling HC'!AC171)-'Overall recycling rates'!$H$61/SUM('Overall recycling rates'!$H$60:$H$62)*('BTX Recycling HC'!AC77+'BTX Recycling HC'!AC172)-'Overall recycling rates'!$I$61/SUM('Overall recycling rates'!$I$60:$I$62)*('BTX Recycling HC'!AC78+'BTX Recycling HC'!AC173)</f>
        <v>70773.89161805762</v>
      </c>
      <c r="AE80" s="576">
        <f>AE36-'Overall recycling rates'!$G$61/SUM('Overall recycling rates'!$G$60:$G$62)*('BTX Recycling HC'!AD75+'BTX Recycling HC'!AD170)-'Overall recycling rates'!$E$61/SUM('Overall recycling rates'!$E$60:$E$62)*('BTX Recycling HC'!AD76+'BTX Recycling HC'!AD171)-'Overall recycling rates'!$H$61/SUM('Overall recycling rates'!$H$60:$H$62)*('BTX Recycling HC'!AD77+'BTX Recycling HC'!AD172)-'Overall recycling rates'!$I$61/SUM('Overall recycling rates'!$I$60:$I$62)*('BTX Recycling HC'!AD78+'BTX Recycling HC'!AD173)</f>
        <v>69634.131249483267</v>
      </c>
      <c r="AF80" s="576">
        <f>AF36-'Overall recycling rates'!$G$61/SUM('Overall recycling rates'!$G$60:$G$62)*('BTX Recycling HC'!AE75+'BTX Recycling HC'!AE170)-'Overall recycling rates'!$E$61/SUM('Overall recycling rates'!$E$60:$E$62)*('BTX Recycling HC'!AE76+'BTX Recycling HC'!AE171)-'Overall recycling rates'!$H$61/SUM('Overall recycling rates'!$H$60:$H$62)*('BTX Recycling HC'!AE77+'BTX Recycling HC'!AE172)-'Overall recycling rates'!$I$61/SUM('Overall recycling rates'!$I$60:$I$62)*('BTX Recycling HC'!AE78+'BTX Recycling HC'!AE173)</f>
        <v>68569.714883205073</v>
      </c>
      <c r="AG80" s="576">
        <f>AG36-'Overall recycling rates'!$G$61/SUM('Overall recycling rates'!$G$60:$G$62)*('BTX Recycling HC'!AF75+'BTX Recycling HC'!AF170)-'Overall recycling rates'!$E$61/SUM('Overall recycling rates'!$E$60:$E$62)*('BTX Recycling HC'!AF76+'BTX Recycling HC'!AF171)-'Overall recycling rates'!$H$61/SUM('Overall recycling rates'!$H$60:$H$62)*('BTX Recycling HC'!AF77+'BTX Recycling HC'!AF172)-'Overall recycling rates'!$I$61/SUM('Overall recycling rates'!$I$60:$I$62)*('BTX Recycling HC'!AF78+'BTX Recycling HC'!AF173)</f>
        <v>67573.103778101286</v>
      </c>
      <c r="AH80" s="576">
        <f>AH36-'Overall recycling rates'!$G$61/SUM('Overall recycling rates'!$G$60:$G$62)*('BTX Recycling HC'!AG75+'BTX Recycling HC'!AG170)-'Overall recycling rates'!$E$61/SUM('Overall recycling rates'!$E$60:$E$62)*('BTX Recycling HC'!AG76+'BTX Recycling HC'!AG171)-'Overall recycling rates'!$H$61/SUM('Overall recycling rates'!$H$60:$H$62)*('BTX Recycling HC'!AG77+'BTX Recycling HC'!AG172)-'Overall recycling rates'!$I$61/SUM('Overall recycling rates'!$I$60:$I$62)*('BTX Recycling HC'!AG78+'BTX Recycling HC'!AG173)</f>
        <v>66636.761392044878</v>
      </c>
      <c r="AI80" s="576"/>
      <c r="AJ80" s="576">
        <f>AJ36-'Overall recycling rates'!$G$61/SUM('Overall recycling rates'!$G$60:$G$62)*('BTX Recycling HC'!C75+'BTX Recycling HC'!C170)-'Overall recycling rates'!$E$61/SUM('Overall recycling rates'!$E$60:$E$62)*('BTX Recycling HC'!C76+'BTX Recycling HC'!C171)-'Overall recycling rates'!$H$61/SUM('Overall recycling rates'!$H$60:$H$62)*('BTX Recycling HC'!C77+'BTX Recycling HC'!C172)-'Overall recycling rates'!$I$61/SUM('Overall recycling rates'!$I$60:$I$62)*('BTX Recycling HC'!C78+'BTX Recycling HC'!C173)</f>
        <v>127406.95685615994</v>
      </c>
      <c r="AK80" s="576">
        <f>AK36-'Overall recycling rates'!$G$61/SUM('Overall recycling rates'!$G$60:$G$62)*('BTX Recycling HC'!D75+'BTX Recycling HC'!D170)-'Overall recycling rates'!$E$61/SUM('Overall recycling rates'!$E$60:$E$62)*('BTX Recycling HC'!D76+'BTX Recycling HC'!D171)-'Overall recycling rates'!$H$61/SUM('Overall recycling rates'!$H$60:$H$62)*('BTX Recycling HC'!D77+'BTX Recycling HC'!D172)-'Overall recycling rates'!$I$61/SUM('Overall recycling rates'!$I$60:$I$62)*('BTX Recycling HC'!D78+'BTX Recycling HC'!D173)</f>
        <v>124945.20015985666</v>
      </c>
      <c r="AL80" s="576">
        <f>AL36-'Overall recycling rates'!$G$61/SUM('Overall recycling rates'!$G$60:$G$62)*('BTX Recycling HC'!E75+'BTX Recycling HC'!E170)-'Overall recycling rates'!$E$61/SUM('Overall recycling rates'!$E$60:$E$62)*('BTX Recycling HC'!E76+'BTX Recycling HC'!E171)-'Overall recycling rates'!$H$61/SUM('Overall recycling rates'!$H$60:$H$62)*('BTX Recycling HC'!E77+'BTX Recycling HC'!E172)-'Overall recycling rates'!$I$61/SUM('Overall recycling rates'!$I$60:$I$62)*('BTX Recycling HC'!E78+'BTX Recycling HC'!E173)</f>
        <v>122663.48189183661</v>
      </c>
      <c r="AM80" s="576">
        <f>AM36-'Overall recycling rates'!$G$61/SUM('Overall recycling rates'!$G$60:$G$62)*('BTX Recycling HC'!F75+'BTX Recycling HC'!F170)-'Overall recycling rates'!$E$61/SUM('Overall recycling rates'!$E$60:$E$62)*('BTX Recycling HC'!F76+'BTX Recycling HC'!F171)-'Overall recycling rates'!$H$61/SUM('Overall recycling rates'!$H$60:$H$62)*('BTX Recycling HC'!F77+'BTX Recycling HC'!F172)-'Overall recycling rates'!$I$61/SUM('Overall recycling rates'!$I$60:$I$62)*('BTX Recycling HC'!F78+'BTX Recycling HC'!F173)</f>
        <v>120452.99553775322</v>
      </c>
      <c r="AN80" s="576">
        <f>AN36-'Overall recycling rates'!$G$61/SUM('Overall recycling rates'!$G$60:$G$62)*('BTX Recycling HC'!G75+'BTX Recycling HC'!G170)-'Overall recycling rates'!$E$61/SUM('Overall recycling rates'!$E$60:$E$62)*('BTX Recycling HC'!G76+'BTX Recycling HC'!G171)-'Overall recycling rates'!$H$61/SUM('Overall recycling rates'!$H$60:$H$62)*('BTX Recycling HC'!G77+'BTX Recycling HC'!G172)-'Overall recycling rates'!$I$61/SUM('Overall recycling rates'!$I$60:$I$62)*('BTX Recycling HC'!G78+'BTX Recycling HC'!G173)</f>
        <v>118346.03313274059</v>
      </c>
      <c r="AO80" s="576">
        <f>AO36-'Overall recycling rates'!$G$61/SUM('Overall recycling rates'!$G$60:$G$62)*('BTX Recycling HC'!H75+'BTX Recycling HC'!H170)-'Overall recycling rates'!$E$61/SUM('Overall recycling rates'!$E$60:$E$62)*('BTX Recycling HC'!H76+'BTX Recycling HC'!H171)-'Overall recycling rates'!$H$61/SUM('Overall recycling rates'!$H$60:$H$62)*('BTX Recycling HC'!H77+'BTX Recycling HC'!H172)-'Overall recycling rates'!$I$61/SUM('Overall recycling rates'!$I$60:$I$62)*('BTX Recycling HC'!H78+'BTX Recycling HC'!H173)</f>
        <v>116339.6131476623</v>
      </c>
      <c r="AP80" s="576">
        <f>AP36-'Overall recycling rates'!$G$61/SUM('Overall recycling rates'!$G$60:$G$62)*('BTX Recycling HC'!I75+'BTX Recycling HC'!I170)-'Overall recycling rates'!$E$61/SUM('Overall recycling rates'!$E$60:$E$62)*('BTX Recycling HC'!I76+'BTX Recycling HC'!I171)-'Overall recycling rates'!$H$61/SUM('Overall recycling rates'!$H$60:$H$62)*('BTX Recycling HC'!I77+'BTX Recycling HC'!I172)-'Overall recycling rates'!$I$61/SUM('Overall recycling rates'!$I$60:$I$62)*('BTX Recycling HC'!I78+'BTX Recycling HC'!I173)</f>
        <v>114430.75505957262</v>
      </c>
      <c r="AQ80" s="576">
        <f>AQ36-'Overall recycling rates'!$G$61/SUM('Overall recycling rates'!$G$60:$G$62)*('BTX Recycling HC'!J75+'BTX Recycling HC'!J170)-'Overall recycling rates'!$E$61/SUM('Overall recycling rates'!$E$60:$E$62)*('BTX Recycling HC'!J76+'BTX Recycling HC'!J171)-'Overall recycling rates'!$H$61/SUM('Overall recycling rates'!$H$60:$H$62)*('BTX Recycling HC'!J77+'BTX Recycling HC'!J172)-'Overall recycling rates'!$I$61/SUM('Overall recycling rates'!$I$60:$I$62)*('BTX Recycling HC'!J78+'BTX Recycling HC'!J173)</f>
        <v>112616.47947354685</v>
      </c>
      <c r="AR80" s="576">
        <f>AR36-'Overall recycling rates'!$G$61/SUM('Overall recycling rates'!$G$60:$G$62)*('BTX Recycling HC'!K75+'BTX Recycling HC'!K170)-'Overall recycling rates'!$E$61/SUM('Overall recycling rates'!$E$60:$E$62)*('BTX Recycling HC'!K76+'BTX Recycling HC'!K171)-'Overall recycling rates'!$H$61/SUM('Overall recycling rates'!$H$60:$H$62)*('BTX Recycling HC'!K77+'BTX Recycling HC'!K172)-'Overall recycling rates'!$I$61/SUM('Overall recycling rates'!$I$60:$I$62)*('BTX Recycling HC'!K78+'BTX Recycling HC'!K173)</f>
        <v>110893.80824343621</v>
      </c>
      <c r="AS80" s="576">
        <f>AS36-'Overall recycling rates'!$G$61/SUM('Overall recycling rates'!$G$60:$G$62)*('BTX Recycling HC'!L75+'BTX Recycling HC'!L170)-'Overall recycling rates'!$E$61/SUM('Overall recycling rates'!$E$60:$E$62)*('BTX Recycling HC'!L76+'BTX Recycling HC'!L171)-'Overall recycling rates'!$H$61/SUM('Overall recycling rates'!$H$60:$H$62)*('BTX Recycling HC'!L77+'BTX Recycling HC'!L172)-'Overall recycling rates'!$I$61/SUM('Overall recycling rates'!$I$60:$I$62)*('BTX Recycling HC'!L78+'BTX Recycling HC'!L173)</f>
        <v>109259.76459155473</v>
      </c>
      <c r="AT80" s="576">
        <f>AT36-'Overall recycling rates'!$G$61/SUM('Overall recycling rates'!$G$60:$G$62)*('BTX Recycling HC'!M75+'BTX Recycling HC'!M170)-'Overall recycling rates'!$E$61/SUM('Overall recycling rates'!$E$60:$E$62)*('BTX Recycling HC'!M76+'BTX Recycling HC'!M171)-'Overall recycling rates'!$H$61/SUM('Overall recycling rates'!$H$60:$H$62)*('BTX Recycling HC'!M77+'BTX Recycling HC'!M172)-'Overall recycling rates'!$I$61/SUM('Overall recycling rates'!$I$60:$I$62)*('BTX Recycling HC'!M78+'BTX Recycling HC'!M173)</f>
        <v>107711.37322730241</v>
      </c>
      <c r="AU80" s="576">
        <f>AU36-'Overall recycling rates'!$G$61/SUM('Overall recycling rates'!$G$60:$G$62)*('BTX Recycling HC'!N75+'BTX Recycling HC'!N170)-'Overall recycling rates'!$E$61/SUM('Overall recycling rates'!$E$60:$E$62)*('BTX Recycling HC'!N76+'BTX Recycling HC'!N171)-'Overall recycling rates'!$H$61/SUM('Overall recycling rates'!$H$60:$H$62)*('BTX Recycling HC'!N77+'BTX Recycling HC'!N172)-'Overall recycling rates'!$I$61/SUM('Overall recycling rates'!$I$60:$I$62)*('BTX Recycling HC'!N78+'BTX Recycling HC'!N173)</f>
        <v>103681.76053424984</v>
      </c>
      <c r="AV80" s="576">
        <f>AV36-'Overall recycling rates'!$G$61/SUM('Overall recycling rates'!$G$60:$G$62)*('BTX Recycling HC'!O75+'BTX Recycling HC'!O170)-'Overall recycling rates'!$E$61/SUM('Overall recycling rates'!$E$60:$E$62)*('BTX Recycling HC'!O76+'BTX Recycling HC'!O171)-'Overall recycling rates'!$H$61/SUM('Overall recycling rates'!$H$60:$H$62)*('BTX Recycling HC'!O77+'BTX Recycling HC'!O172)-'Overall recycling rates'!$I$61/SUM('Overall recycling rates'!$I$60:$I$62)*('BTX Recycling HC'!O78+'BTX Recycling HC'!O173)</f>
        <v>101381.49242247263</v>
      </c>
      <c r="AW80" s="576">
        <f>AW36-'Overall recycling rates'!$G$61/SUM('Overall recycling rates'!$G$60:$G$62)*('BTX Recycling HC'!P75+'BTX Recycling HC'!P170)-'Overall recycling rates'!$E$61/SUM('Overall recycling rates'!$E$60:$E$62)*('BTX Recycling HC'!P76+'BTX Recycling HC'!P171)-'Overall recycling rates'!$H$61/SUM('Overall recycling rates'!$H$60:$H$62)*('BTX Recycling HC'!P77+'BTX Recycling HC'!P172)-'Overall recycling rates'!$I$61/SUM('Overall recycling rates'!$I$60:$I$62)*('BTX Recycling HC'!P78+'BTX Recycling HC'!P173)</f>
        <v>99206.988346489845</v>
      </c>
      <c r="AX80" s="576">
        <f>AX36-'Overall recycling rates'!$G$61/SUM('Overall recycling rates'!$G$60:$G$62)*('BTX Recycling HC'!Q75+'BTX Recycling HC'!Q170)-'Overall recycling rates'!$E$61/SUM('Overall recycling rates'!$E$60:$E$62)*('BTX Recycling HC'!Q76+'BTX Recycling HC'!Q171)-'Overall recycling rates'!$H$61/SUM('Overall recycling rates'!$H$60:$H$62)*('BTX Recycling HC'!Q77+'BTX Recycling HC'!Q172)-'Overall recycling rates'!$I$61/SUM('Overall recycling rates'!$I$60:$I$62)*('BTX Recycling HC'!Q78+'BTX Recycling HC'!Q173)</f>
        <v>97151.318065449494</v>
      </c>
      <c r="AY80" s="576">
        <f>AY36-'Overall recycling rates'!$G$61/SUM('Overall recycling rates'!$G$60:$G$62)*('BTX Recycling HC'!R75+'BTX Recycling HC'!R170)-'Overall recycling rates'!$E$61/SUM('Overall recycling rates'!$E$60:$E$62)*('BTX Recycling HC'!R76+'BTX Recycling HC'!R171)-'Overall recycling rates'!$H$61/SUM('Overall recycling rates'!$H$60:$H$62)*('BTX Recycling HC'!R77+'BTX Recycling HC'!R172)-'Overall recycling rates'!$I$61/SUM('Overall recycling rates'!$I$60:$I$62)*('BTX Recycling HC'!R78+'BTX Recycling HC'!R173)</f>
        <v>95207.875492770167</v>
      </c>
      <c r="AZ80" s="576">
        <f>AZ36-'Overall recycling rates'!$G$61/SUM('Overall recycling rates'!$G$60:$G$62)*('BTX Recycling HC'!S75+'BTX Recycling HC'!S170)-'Overall recycling rates'!$E$61/SUM('Overall recycling rates'!$E$60:$E$62)*('BTX Recycling HC'!S76+'BTX Recycling HC'!S171)-'Overall recycling rates'!$H$61/SUM('Overall recycling rates'!$H$60:$H$62)*('BTX Recycling HC'!S77+'BTX Recycling HC'!S172)-'Overall recycling rates'!$I$61/SUM('Overall recycling rates'!$I$60:$I$62)*('BTX Recycling HC'!S78+'BTX Recycling HC'!S173)</f>
        <v>93370.057471073378</v>
      </c>
      <c r="BA80" s="576">
        <f>BA36-'Overall recycling rates'!$G$61/SUM('Overall recycling rates'!$G$60:$G$62)*('BTX Recycling HC'!T75+'BTX Recycling HC'!T170)-'Overall recycling rates'!$E$61/SUM('Overall recycling rates'!$E$60:$E$62)*('BTX Recycling HC'!T76+'BTX Recycling HC'!T171)-'Overall recycling rates'!$H$61/SUM('Overall recycling rates'!$H$60:$H$62)*('BTX Recycling HC'!T77+'BTX Recycling HC'!T172)-'Overall recycling rates'!$I$61/SUM('Overall recycling rates'!$I$60:$I$62)*('BTX Recycling HC'!T78+'BTX Recycling HC'!T173)</f>
        <v>91631.264015061301</v>
      </c>
      <c r="BB80" s="576">
        <f>BB36-'Overall recycling rates'!$G$61/SUM('Overall recycling rates'!$G$60:$G$62)*('BTX Recycling HC'!U75+'BTX Recycling HC'!U170)-'Overall recycling rates'!$E$61/SUM('Overall recycling rates'!$E$60:$E$62)*('BTX Recycling HC'!U76+'BTX Recycling HC'!U171)-'Overall recycling rates'!$H$61/SUM('Overall recycling rates'!$H$60:$H$62)*('BTX Recycling HC'!U77+'BTX Recycling HC'!U172)-'Overall recycling rates'!$I$61/SUM('Overall recycling rates'!$I$60:$I$62)*('BTX Recycling HC'!U78+'BTX Recycling HC'!U173)</f>
        <v>89984.898551944876</v>
      </c>
      <c r="BC80" s="576">
        <f>BC36-'Overall recycling rates'!$G$61/SUM('Overall recycling rates'!$G$60:$G$62)*('BTX Recycling HC'!V75+'BTX Recycling HC'!V170)-'Overall recycling rates'!$E$61/SUM('Overall recycling rates'!$E$60:$E$62)*('BTX Recycling HC'!V76+'BTX Recycling HC'!V171)-'Overall recycling rates'!$H$61/SUM('Overall recycling rates'!$H$60:$H$62)*('BTX Recycling HC'!V77+'BTX Recycling HC'!V172)-'Overall recycling rates'!$I$61/SUM('Overall recycling rates'!$I$60:$I$62)*('BTX Recycling HC'!V78+'BTX Recycling HC'!V173)</f>
        <v>88424.368159439531</v>
      </c>
      <c r="BD80" s="576">
        <f>BD36-'Overall recycling rates'!$G$61/SUM('Overall recycling rates'!$G$60:$G$62)*('BTX Recycling HC'!W75+'BTX Recycling HC'!W170)-'Overall recycling rates'!$E$61/SUM('Overall recycling rates'!$E$60:$E$62)*('BTX Recycling HC'!W76+'BTX Recycling HC'!W171)-'Overall recycling rates'!$H$61/SUM('Overall recycling rates'!$H$60:$H$62)*('BTX Recycling HC'!W77+'BTX Recycling HC'!W172)-'Overall recycling rates'!$I$61/SUM('Overall recycling rates'!$I$60:$I$62)*('BTX Recycling HC'!W78+'BTX Recycling HC'!W173)</f>
        <v>86943.083801344881</v>
      </c>
      <c r="BE80" s="576">
        <f>BE36-'Overall recycling rates'!$G$61/SUM('Overall recycling rates'!$G$60:$G$62)*('BTX Recycling HC'!X75+'BTX Recycling HC'!X170)-'Overall recycling rates'!$E$61/SUM('Overall recycling rates'!$E$60:$E$62)*('BTX Recycling HC'!X76+'BTX Recycling HC'!X171)-'Overall recycling rates'!$H$61/SUM('Overall recycling rates'!$H$60:$H$62)*('BTX Recycling HC'!X77+'BTX Recycling HC'!X172)-'Overall recycling rates'!$I$61/SUM('Overall recycling rates'!$I$60:$I$62)*('BTX Recycling HC'!X78+'BTX Recycling HC'!X173)</f>
        <v>85487.425171536626</v>
      </c>
      <c r="BF80" s="576">
        <f>BF36-'Overall recycling rates'!$G$61/SUM('Overall recycling rates'!$G$60:$G$62)*('BTX Recycling HC'!Y75+'BTX Recycling HC'!Y170)-'Overall recycling rates'!$E$61/SUM('Overall recycling rates'!$E$60:$E$62)*('BTX Recycling HC'!Y76+'BTX Recycling HC'!Y171)-'Overall recycling rates'!$H$61/SUM('Overall recycling rates'!$H$60:$H$62)*('BTX Recycling HC'!Y77+'BTX Recycling HC'!Y172)-'Overall recycling rates'!$I$61/SUM('Overall recycling rates'!$I$60:$I$62)*('BTX Recycling HC'!Y78+'BTX Recycling HC'!Y173)</f>
        <v>84147.95018479877</v>
      </c>
      <c r="BG80" s="576">
        <f>BG36-'Overall recycling rates'!$G$61/SUM('Overall recycling rates'!$G$60:$G$62)*('BTX Recycling HC'!Z75+'BTX Recycling HC'!Z170)-'Overall recycling rates'!$E$61/SUM('Overall recycling rates'!$E$60:$E$62)*('BTX Recycling HC'!Z76+'BTX Recycling HC'!Z171)-'Overall recycling rates'!$H$61/SUM('Overall recycling rates'!$H$60:$H$62)*('BTX Recycling HC'!Z77+'BTX Recycling HC'!Z172)-'Overall recycling rates'!$I$61/SUM('Overall recycling rates'!$I$60:$I$62)*('BTX Recycling HC'!Z78+'BTX Recycling HC'!Z173)</f>
        <v>82918.151036816242</v>
      </c>
      <c r="BH80" s="576">
        <f>BH36-'Overall recycling rates'!$G$61/SUM('Overall recycling rates'!$G$60:$G$62)*('BTX Recycling HC'!AA75+'BTX Recycling HC'!AA170)-'Overall recycling rates'!$E$61/SUM('Overall recycling rates'!$E$60:$E$62)*('BTX Recycling HC'!AA76+'BTX Recycling HC'!AA171)-'Overall recycling rates'!$H$61/SUM('Overall recycling rates'!$H$60:$H$62)*('BTX Recycling HC'!AA77+'BTX Recycling HC'!AA172)-'Overall recycling rates'!$I$61/SUM('Overall recycling rates'!$I$60:$I$62)*('BTX Recycling HC'!AA78+'BTX Recycling HC'!AA173)</f>
        <v>81789.573996739025</v>
      </c>
      <c r="BI80" s="576">
        <f>BI36-'Overall recycling rates'!$G$61/SUM('Overall recycling rates'!$G$60:$G$62)*('BTX Recycling HC'!AB75+'BTX Recycling HC'!AB170)-'Overall recycling rates'!$E$61/SUM('Overall recycling rates'!$E$60:$E$62)*('BTX Recycling HC'!AB76+'BTX Recycling HC'!AB171)-'Overall recycling rates'!$H$61/SUM('Overall recycling rates'!$H$60:$H$62)*('BTX Recycling HC'!AB77+'BTX Recycling HC'!AB172)-'Overall recycling rates'!$I$61/SUM('Overall recycling rates'!$I$60:$I$62)*('BTX Recycling HC'!AB78+'BTX Recycling HC'!AB173)</f>
        <v>80754.717912109132</v>
      </c>
      <c r="BJ80" s="576">
        <f>BJ36-'Overall recycling rates'!$G$61/SUM('Overall recycling rates'!$G$60:$G$62)*('BTX Recycling HC'!AC75+'BTX Recycling HC'!AC170)-'Overall recycling rates'!$E$61/SUM('Overall recycling rates'!$E$60:$E$62)*('BTX Recycling HC'!AC76+'BTX Recycling HC'!AC171)-'Overall recycling rates'!$H$61/SUM('Overall recycling rates'!$H$60:$H$62)*('BTX Recycling HC'!AC77+'BTX Recycling HC'!AC172)-'Overall recycling rates'!$I$61/SUM('Overall recycling rates'!$I$60:$I$62)*('BTX Recycling HC'!AC78+'BTX Recycling HC'!AC173)</f>
        <v>79806.083002663669</v>
      </c>
      <c r="BK80" s="576">
        <f>BK36-'Overall recycling rates'!$G$61/SUM('Overall recycling rates'!$G$60:$G$62)*('BTX Recycling HC'!AD75+'BTX Recycling HC'!AD170)-'Overall recycling rates'!$E$61/SUM('Overall recycling rates'!$E$60:$E$62)*('BTX Recycling HC'!AD76+'BTX Recycling HC'!AD171)-'Overall recycling rates'!$H$61/SUM('Overall recycling rates'!$H$60:$H$62)*('BTX Recycling HC'!AD77+'BTX Recycling HC'!AD172)-'Overall recycling rates'!$I$61/SUM('Overall recycling rates'!$I$60:$I$62)*('BTX Recycling HC'!AD78+'BTX Recycling HC'!AD173)</f>
        <v>78936.170972639156</v>
      </c>
      <c r="BL80" s="576">
        <f>BL36-'Overall recycling rates'!$G$61/SUM('Overall recycling rates'!$G$60:$G$62)*('BTX Recycling HC'!AE75+'BTX Recycling HC'!AE170)-'Overall recycling rates'!$E$61/SUM('Overall recycling rates'!$E$60:$E$62)*('BTX Recycling HC'!AE76+'BTX Recycling HC'!AE171)-'Overall recycling rates'!$H$61/SUM('Overall recycling rates'!$H$60:$H$62)*('BTX Recycling HC'!AE77+'BTX Recycling HC'!AE172)-'Overall recycling rates'!$I$61/SUM('Overall recycling rates'!$I$60:$I$62)*('BTX Recycling HC'!AE78+'BTX Recycling HC'!AE173)</f>
        <v>78137.485118331431</v>
      </c>
      <c r="BM80" s="576">
        <f>BM36-'Overall recycling rates'!$G$61/SUM('Overall recycling rates'!$G$60:$G$62)*('BTX Recycling HC'!AF75+'BTX Recycling HC'!AF170)-'Overall recycling rates'!$E$61/SUM('Overall recycling rates'!$E$60:$E$62)*('BTX Recycling HC'!AF76+'BTX Recycling HC'!AF171)-'Overall recycling rates'!$H$61/SUM('Overall recycling rates'!$H$60:$H$62)*('BTX Recycling HC'!AF77+'BTX Recycling HC'!AF172)-'Overall recycling rates'!$I$61/SUM('Overall recycling rates'!$I$60:$I$62)*('BTX Recycling HC'!AF78+'BTX Recycling HC'!AF173)</f>
        <v>77402.530430979008</v>
      </c>
      <c r="BN80" s="576">
        <f>BN36-'Overall recycling rates'!$G$61/SUM('Overall recycling rates'!$G$60:$G$62)*('BTX Recycling HC'!AG75+'BTX Recycling HC'!AG170)-'Overall recycling rates'!$E$61/SUM('Overall recycling rates'!$E$60:$E$62)*('BTX Recycling HC'!AG76+'BTX Recycling HC'!AG171)-'Overall recycling rates'!$H$61/SUM('Overall recycling rates'!$H$60:$H$62)*('BTX Recycling HC'!AG77+'BTX Recycling HC'!AG172)-'Overall recycling rates'!$I$61/SUM('Overall recycling rates'!$I$60:$I$62)*('BTX Recycling HC'!AG78+'BTX Recycling HC'!AG173)</f>
        <v>76723.813695036792</v>
      </c>
    </row>
    <row r="81" spans="1:90" s="62" customFormat="1" outlineLevel="1">
      <c r="A81" s="604"/>
      <c r="B81" s="58" t="s">
        <v>1170</v>
      </c>
      <c r="C81" s="233" t="s">
        <v>1420</v>
      </c>
      <c r="D81" s="579">
        <f>D37-'Overall recycling rates'!$G$62/SUM('Overall recycling rates'!$G$60:$G$62)*('BTX Recycling HC'!C75+'BTX Recycling HC'!C170)-'Overall recycling rates'!$E$62/SUM('Overall recycling rates'!$E$60:$E$62)*('BTX Recycling HC'!C76+'BTX Recycling HC'!C171)-'Overall recycling rates'!$H$62/SUM('Overall recycling rates'!$H$60:$H$62)*('BTX Recycling HC'!C77+'BTX Recycling HC'!C172)-'Overall recycling rates'!$I$62/SUM('Overall recycling rates'!$I$60:$I$62)*('BTX Recycling HC'!C78+'BTX Recycling HC'!C173)</f>
        <v>2342576.0306383162</v>
      </c>
      <c r="E81" s="579">
        <f>E37-'Overall recycling rates'!$G$62/SUM('Overall recycling rates'!$G$60:$G$62)*('BTX Recycling HC'!D75+'BTX Recycling HC'!D170)-'Overall recycling rates'!$E$62/SUM('Overall recycling rates'!$E$60:$E$62)*('BTX Recycling HC'!D76+'BTX Recycling HC'!D171)-'Overall recycling rates'!$H$62/SUM('Overall recycling rates'!$H$60:$H$62)*('BTX Recycling HC'!D77+'BTX Recycling HC'!D172)-'Overall recycling rates'!$I$62/SUM('Overall recycling rates'!$I$60:$I$62)*('BTX Recycling HC'!D78+'BTX Recycling HC'!D173)</f>
        <v>2294867.8277750686</v>
      </c>
      <c r="F81" s="579">
        <f>F37-'Overall recycling rates'!$G$62/SUM('Overall recycling rates'!$G$60:$G$62)*('BTX Recycling HC'!E75+'BTX Recycling HC'!E170)-'Overall recycling rates'!$E$62/SUM('Overall recycling rates'!$E$60:$E$62)*('BTX Recycling HC'!E76+'BTX Recycling HC'!E171)-'Overall recycling rates'!$H$62/SUM('Overall recycling rates'!$H$60:$H$62)*('BTX Recycling HC'!E77+'BTX Recycling HC'!E172)-'Overall recycling rates'!$I$62/SUM('Overall recycling rates'!$I$60:$I$62)*('BTX Recycling HC'!E78+'BTX Recycling HC'!E173)</f>
        <v>2249181.6201646351</v>
      </c>
      <c r="G81" s="579">
        <f>G37-'Overall recycling rates'!$G$62/SUM('Overall recycling rates'!$G$60:$G$62)*('BTX Recycling HC'!F75+'BTX Recycling HC'!F170)-'Overall recycling rates'!$E$62/SUM('Overall recycling rates'!$E$60:$E$62)*('BTX Recycling HC'!F76+'BTX Recycling HC'!F171)-'Overall recycling rates'!$H$62/SUM('Overall recycling rates'!$H$60:$H$62)*('BTX Recycling HC'!F77+'BTX Recycling HC'!F172)-'Overall recycling rates'!$I$62/SUM('Overall recycling rates'!$I$60:$I$62)*('BTX Recycling HC'!F78+'BTX Recycling HC'!F173)</f>
        <v>2204562.1952274502</v>
      </c>
      <c r="H81" s="579">
        <f>H37-'Overall recycling rates'!$G$62/SUM('Overall recycling rates'!$G$60:$G$62)*('BTX Recycling HC'!G75+'BTX Recycling HC'!G170)-'Overall recycling rates'!$E$62/SUM('Overall recycling rates'!$E$60:$E$62)*('BTX Recycling HC'!G76+'BTX Recycling HC'!G171)-'Overall recycling rates'!$H$62/SUM('Overall recycling rates'!$H$60:$H$62)*('BTX Recycling HC'!G77+'BTX Recycling HC'!G172)-'Overall recycling rates'!$I$62/SUM('Overall recycling rates'!$I$60:$I$62)*('BTX Recycling HC'!G78+'BTX Recycling HC'!G173)</f>
        <v>2161230.4938821769</v>
      </c>
      <c r="I81" s="579">
        <f>I37-'Overall recycling rates'!$G$62/SUM('Overall recycling rates'!$G$60:$G$62)*('BTX Recycling HC'!H75+'BTX Recycling HC'!H170)-'Overall recycling rates'!$E$62/SUM('Overall recycling rates'!$E$60:$E$62)*('BTX Recycling HC'!H76+'BTX Recycling HC'!H171)-'Overall recycling rates'!$H$62/SUM('Overall recycling rates'!$H$60:$H$62)*('BTX Recycling HC'!H77+'BTX Recycling HC'!H172)-'Overall recycling rates'!$I$62/SUM('Overall recycling rates'!$I$60:$I$62)*('BTX Recycling HC'!H78+'BTX Recycling HC'!H173)</f>
        <v>2119116.3279513889</v>
      </c>
      <c r="J81" s="579">
        <f>J37-'Overall recycling rates'!$G$62/SUM('Overall recycling rates'!$G$60:$G$62)*('BTX Recycling HC'!I75+'BTX Recycling HC'!I170)-'Overall recycling rates'!$E$62/SUM('Overall recycling rates'!$E$60:$E$62)*('BTX Recycling HC'!I76+'BTX Recycling HC'!I171)-'Overall recycling rates'!$H$62/SUM('Overall recycling rates'!$H$60:$H$62)*('BTX Recycling HC'!I77+'BTX Recycling HC'!I172)-'Overall recycling rates'!$I$62/SUM('Overall recycling rates'!$I$60:$I$62)*('BTX Recycling HC'!I78+'BTX Recycling HC'!I173)</f>
        <v>2078151.8099160278</v>
      </c>
      <c r="K81" s="579">
        <f>K37-'Overall recycling rates'!$G$62/SUM('Overall recycling rates'!$G$60:$G$62)*('BTX Recycling HC'!J75+'BTX Recycling HC'!J170)-'Overall recycling rates'!$E$62/SUM('Overall recycling rates'!$E$60:$E$62)*('BTX Recycling HC'!J76+'BTX Recycling HC'!J171)-'Overall recycling rates'!$H$62/SUM('Overall recycling rates'!$H$60:$H$62)*('BTX Recycling HC'!J77+'BTX Recycling HC'!J172)-'Overall recycling rates'!$I$62/SUM('Overall recycling rates'!$I$60:$I$62)*('BTX Recycling HC'!J78+'BTX Recycling HC'!J173)</f>
        <v>2038271.3307758153</v>
      </c>
      <c r="L81" s="579">
        <f>L37-'Overall recycling rates'!$G$62/SUM('Overall recycling rates'!$G$60:$G$62)*('BTX Recycling HC'!K75+'BTX Recycling HC'!K170)-'Overall recycling rates'!$E$62/SUM('Overall recycling rates'!$E$60:$E$62)*('BTX Recycling HC'!K76+'BTX Recycling HC'!K171)-'Overall recycling rates'!$H$62/SUM('Overall recycling rates'!$H$60:$H$62)*('BTX Recycling HC'!K77+'BTX Recycling HC'!K172)-'Overall recycling rates'!$I$62/SUM('Overall recycling rates'!$I$60:$I$62)*('BTX Recycling HC'!K78+'BTX Recycling HC'!K173)</f>
        <v>1999411.5380495342</v>
      </c>
      <c r="M81" s="579">
        <f>M37-'Overall recycling rates'!$G$62/SUM('Overall recycling rates'!$G$60:$G$62)*('BTX Recycling HC'!L75+'BTX Recycling HC'!L170)-'Overall recycling rates'!$E$62/SUM('Overall recycling rates'!$E$60:$E$62)*('BTX Recycling HC'!L76+'BTX Recycling HC'!L171)-'Overall recycling rates'!$H$62/SUM('Overall recycling rates'!$H$60:$H$62)*('BTX Recycling HC'!L77+'BTX Recycling HC'!L172)-'Overall recycling rates'!$I$62/SUM('Overall recycling rates'!$I$60:$I$62)*('BTX Recycling HC'!L78+'BTX Recycling HC'!L173)</f>
        <v>1961511.3139144385</v>
      </c>
      <c r="N81" s="579">
        <f>N37-'Overall recycling rates'!$G$62/SUM('Overall recycling rates'!$G$60:$G$62)*('BTX Recycling HC'!M75+'BTX Recycling HC'!M170)-'Overall recycling rates'!$E$62/SUM('Overall recycling rates'!$E$60:$E$62)*('BTX Recycling HC'!M76+'BTX Recycling HC'!M171)-'Overall recycling rates'!$H$62/SUM('Overall recycling rates'!$H$60:$H$62)*('BTX Recycling HC'!M77+'BTX Recycling HC'!M172)-'Overall recycling rates'!$I$62/SUM('Overall recycling rates'!$I$60:$I$62)*('BTX Recycling HC'!M78+'BTX Recycling HC'!M173)</f>
        <v>1924511.7534841122</v>
      </c>
      <c r="O81" s="579">
        <f>O37-'Overall recycling rates'!$G$62/SUM('Overall recycling rates'!$G$60:$G$62)*('BTX Recycling HC'!N75+'BTX Recycling HC'!N170)-'Overall recycling rates'!$E$62/SUM('Overall recycling rates'!$E$60:$E$62)*('BTX Recycling HC'!N76+'BTX Recycling HC'!N171)-'Overall recycling rates'!$H$62/SUM('Overall recycling rates'!$H$60:$H$62)*('BTX Recycling HC'!N77+'BTX Recycling HC'!N172)-'Overall recycling rates'!$I$62/SUM('Overall recycling rates'!$I$60:$I$62)*('BTX Recycling HC'!N78+'BTX Recycling HC'!N173)</f>
        <v>1829922.023129476</v>
      </c>
      <c r="P81" s="579">
        <f>P37-'Overall recycling rates'!$G$62/SUM('Overall recycling rates'!$G$60:$G$62)*('BTX Recycling HC'!O75+'BTX Recycling HC'!O170)-'Overall recycling rates'!$E$62/SUM('Overall recycling rates'!$E$60:$E$62)*('BTX Recycling HC'!O76+'BTX Recycling HC'!O171)-'Overall recycling rates'!$H$62/SUM('Overall recycling rates'!$H$60:$H$62)*('BTX Recycling HC'!O77+'BTX Recycling HC'!O172)-'Overall recycling rates'!$I$62/SUM('Overall recycling rates'!$I$60:$I$62)*('BTX Recycling HC'!O78+'BTX Recycling HC'!O173)</f>
        <v>1772425.0796624199</v>
      </c>
      <c r="Q81" s="579">
        <f>Q37-'Overall recycling rates'!$G$62/SUM('Overall recycling rates'!$G$60:$G$62)*('BTX Recycling HC'!P75+'BTX Recycling HC'!P170)-'Overall recycling rates'!$E$62/SUM('Overall recycling rates'!$E$60:$E$62)*('BTX Recycling HC'!P76+'BTX Recycling HC'!P171)-'Overall recycling rates'!$H$62/SUM('Overall recycling rates'!$H$60:$H$62)*('BTX Recycling HC'!P77+'BTX Recycling HC'!P172)-'Overall recycling rates'!$I$62/SUM('Overall recycling rates'!$I$60:$I$62)*('BTX Recycling HC'!P78+'BTX Recycling HC'!P173)</f>
        <v>1716244.9375846519</v>
      </c>
      <c r="R81" s="579">
        <f>R37-'Overall recycling rates'!$G$62/SUM('Overall recycling rates'!$G$60:$G$62)*('BTX Recycling HC'!Q75+'BTX Recycling HC'!Q170)-'Overall recycling rates'!$E$62/SUM('Overall recycling rates'!$E$60:$E$62)*('BTX Recycling HC'!Q76+'BTX Recycling HC'!Q171)-'Overall recycling rates'!$H$62/SUM('Overall recycling rates'!$H$60:$H$62)*('BTX Recycling HC'!Q77+'BTX Recycling HC'!Q172)-'Overall recycling rates'!$I$62/SUM('Overall recycling rates'!$I$60:$I$62)*('BTX Recycling HC'!Q78+'BTX Recycling HC'!Q173)</f>
        <v>1661288.31031568</v>
      </c>
      <c r="S81" s="579">
        <f>S37-'Overall recycling rates'!$G$62/SUM('Overall recycling rates'!$G$60:$G$62)*('BTX Recycling HC'!R75+'BTX Recycling HC'!R170)-'Overall recycling rates'!$E$62/SUM('Overall recycling rates'!$E$60:$E$62)*('BTX Recycling HC'!R76+'BTX Recycling HC'!R171)-'Overall recycling rates'!$H$62/SUM('Overall recycling rates'!$H$60:$H$62)*('BTX Recycling HC'!R77+'BTX Recycling HC'!R172)-'Overall recycling rates'!$I$62/SUM('Overall recycling rates'!$I$60:$I$62)*('BTX Recycling HC'!R78+'BTX Recycling HC'!R173)</f>
        <v>1607466.6832000425</v>
      </c>
      <c r="T81" s="579">
        <f>T37-'Overall recycling rates'!$G$62/SUM('Overall recycling rates'!$G$60:$G$62)*('BTX Recycling HC'!S75+'BTX Recycling HC'!S170)-'Overall recycling rates'!$E$62/SUM('Overall recycling rates'!$E$60:$E$62)*('BTX Recycling HC'!S76+'BTX Recycling HC'!S171)-'Overall recycling rates'!$H$62/SUM('Overall recycling rates'!$H$60:$H$62)*('BTX Recycling HC'!S77+'BTX Recycling HC'!S172)-'Overall recycling rates'!$I$62/SUM('Overall recycling rates'!$I$60:$I$62)*('BTX Recycling HC'!S78+'BTX Recycling HC'!S173)</f>
        <v>1554696.014664121</v>
      </c>
      <c r="U81" s="579">
        <f>U37-'Overall recycling rates'!$G$62/SUM('Overall recycling rates'!$G$60:$G$62)*('BTX Recycling HC'!T75+'BTX Recycling HC'!T170)-'Overall recycling rates'!$E$62/SUM('Overall recycling rates'!$E$60:$E$62)*('BTX Recycling HC'!T76+'BTX Recycling HC'!T171)-'Overall recycling rates'!$H$62/SUM('Overall recycling rates'!$H$60:$H$62)*('BTX Recycling HC'!T77+'BTX Recycling HC'!T172)-'Overall recycling rates'!$I$62/SUM('Overall recycling rates'!$I$60:$I$62)*('BTX Recycling HC'!T78+'BTX Recycling HC'!T173)</f>
        <v>1502896.6908833156</v>
      </c>
      <c r="V81" s="579">
        <f>V37-'Overall recycling rates'!$G$62/SUM('Overall recycling rates'!$G$60:$G$62)*('BTX Recycling HC'!U75+'BTX Recycling HC'!U170)-'Overall recycling rates'!$E$62/SUM('Overall recycling rates'!$E$60:$E$62)*('BTX Recycling HC'!U76+'BTX Recycling HC'!U171)-'Overall recycling rates'!$H$62/SUM('Overall recycling rates'!$H$60:$H$62)*('BTX Recycling HC'!U77+'BTX Recycling HC'!U172)-'Overall recycling rates'!$I$62/SUM('Overall recycling rates'!$I$60:$I$62)*('BTX Recycling HC'!U78+'BTX Recycling HC'!U173)</f>
        <v>1451993.4807415102</v>
      </c>
      <c r="W81" s="579">
        <f>W37-'Overall recycling rates'!$G$62/SUM('Overall recycling rates'!$G$60:$G$62)*('BTX Recycling HC'!V75+'BTX Recycling HC'!V170)-'Overall recycling rates'!$E$62/SUM('Overall recycling rates'!$E$60:$E$62)*('BTX Recycling HC'!V76+'BTX Recycling HC'!V171)-'Overall recycling rates'!$H$62/SUM('Overall recycling rates'!$H$60:$H$62)*('BTX Recycling HC'!V77+'BTX Recycling HC'!V172)-'Overall recycling rates'!$I$62/SUM('Overall recycling rates'!$I$60:$I$62)*('BTX Recycling HC'!V78+'BTX Recycling HC'!V173)</f>
        <v>1401915.4910813281</v>
      </c>
      <c r="X81" s="579">
        <f>X37-'Overall recycling rates'!$G$62/SUM('Overall recycling rates'!$G$60:$G$62)*('BTX Recycling HC'!W75+'BTX Recycling HC'!W170)-'Overall recycling rates'!$E$62/SUM('Overall recycling rates'!$E$60:$E$62)*('BTX Recycling HC'!W76+'BTX Recycling HC'!W171)-'Overall recycling rates'!$H$62/SUM('Overall recycling rates'!$H$60:$H$62)*('BTX Recycling HC'!W77+'BTX Recycling HC'!W172)-'Overall recycling rates'!$I$62/SUM('Overall recycling rates'!$I$60:$I$62)*('BTX Recycling HC'!W78+'BTX Recycling HC'!W173)</f>
        <v>1352596.1222437106</v>
      </c>
      <c r="Y81" s="579">
        <f>Y37-'Overall recycling rates'!$G$62/SUM('Overall recycling rates'!$G$60:$G$62)*('BTX Recycling HC'!X75+'BTX Recycling HC'!X170)-'Overall recycling rates'!$E$62/SUM('Overall recycling rates'!$E$60:$E$62)*('BTX Recycling HC'!X76+'BTX Recycling HC'!X171)-'Overall recycling rates'!$H$62/SUM('Overall recycling rates'!$H$60:$H$62)*('BTX Recycling HC'!X77+'BTX Recycling HC'!X172)-'Overall recycling rates'!$I$62/SUM('Overall recycling rates'!$I$60:$I$62)*('BTX Recycling HC'!X78+'BTX Recycling HC'!X173)</f>
        <v>1314132.6163233821</v>
      </c>
      <c r="Z81" s="579">
        <f>Z37-'Overall recycling rates'!$G$62/SUM('Overall recycling rates'!$G$60:$G$62)*('BTX Recycling HC'!Y75+'BTX Recycling HC'!Y170)-'Overall recycling rates'!$E$62/SUM('Overall recycling rates'!$E$60:$E$62)*('BTX Recycling HC'!Y76+'BTX Recycling HC'!Y171)-'Overall recycling rates'!$H$62/SUM('Overall recycling rates'!$H$60:$H$62)*('BTX Recycling HC'!Y77+'BTX Recycling HC'!Y172)-'Overall recycling rates'!$I$62/SUM('Overall recycling rates'!$I$60:$I$62)*('BTX Recycling HC'!Y78+'BTX Recycling HC'!Y173)</f>
        <v>1276566.6323530015</v>
      </c>
      <c r="AA81" s="579">
        <f>AA37-'Overall recycling rates'!$G$62/SUM('Overall recycling rates'!$G$60:$G$62)*('BTX Recycling HC'!Z75+'BTX Recycling HC'!Z170)-'Overall recycling rates'!$E$62/SUM('Overall recycling rates'!$E$60:$E$62)*('BTX Recycling HC'!Z76+'BTX Recycling HC'!Z171)-'Overall recycling rates'!$H$62/SUM('Overall recycling rates'!$H$60:$H$62)*('BTX Recycling HC'!Z77+'BTX Recycling HC'!Z172)-'Overall recycling rates'!$I$62/SUM('Overall recycling rates'!$I$60:$I$62)*('BTX Recycling HC'!Z78+'BTX Recycling HC'!Z173)</f>
        <v>1239815.0514869518</v>
      </c>
      <c r="AB81" s="579">
        <f>AB37-'Overall recycling rates'!$G$62/SUM('Overall recycling rates'!$G$60:$G$62)*('BTX Recycling HC'!AA75+'BTX Recycling HC'!AA170)-'Overall recycling rates'!$E$62/SUM('Overall recycling rates'!$E$60:$E$62)*('BTX Recycling HC'!AA76+'BTX Recycling HC'!AA171)-'Overall recycling rates'!$H$62/SUM('Overall recycling rates'!$H$60:$H$62)*('BTX Recycling HC'!AA77+'BTX Recycling HC'!AA172)-'Overall recycling rates'!$I$62/SUM('Overall recycling rates'!$I$60:$I$62)*('BTX Recycling HC'!AA78+'BTX Recycling HC'!AA173)</f>
        <v>1203798.0510692275</v>
      </c>
      <c r="AC81" s="579">
        <f>AC37-'Overall recycling rates'!$G$62/SUM('Overall recycling rates'!$G$60:$G$62)*('BTX Recycling HC'!AB75+'BTX Recycling HC'!AB170)-'Overall recycling rates'!$E$62/SUM('Overall recycling rates'!$E$60:$E$62)*('BTX Recycling HC'!AB76+'BTX Recycling HC'!AB171)-'Overall recycling rates'!$H$62/SUM('Overall recycling rates'!$H$60:$H$62)*('BTX Recycling HC'!AB77+'BTX Recycling HC'!AB172)-'Overall recycling rates'!$I$62/SUM('Overall recycling rates'!$I$60:$I$62)*('BTX Recycling HC'!AB78+'BTX Recycling HC'!AB173)</f>
        <v>1168441.4821007398</v>
      </c>
      <c r="AD81" s="579">
        <f>AD37-'Overall recycling rates'!$G$62/SUM('Overall recycling rates'!$G$60:$G$62)*('BTX Recycling HC'!AC75+'BTX Recycling HC'!AC170)-'Overall recycling rates'!$E$62/SUM('Overall recycling rates'!$E$60:$E$62)*('BTX Recycling HC'!AC76+'BTX Recycling HC'!AC171)-'Overall recycling rates'!$H$62/SUM('Overall recycling rates'!$H$60:$H$62)*('BTX Recycling HC'!AC77+'BTX Recycling HC'!AC172)-'Overall recycling rates'!$I$62/SUM('Overall recycling rates'!$I$60:$I$62)*('BTX Recycling HC'!AC78+'BTX Recycling HC'!AC173)</f>
        <v>1133676.0243100652</v>
      </c>
      <c r="AE81" s="579">
        <f>AE37-'Overall recycling rates'!$G$62/SUM('Overall recycling rates'!$G$60:$G$62)*('BTX Recycling HC'!AD75+'BTX Recycling HC'!AD170)-'Overall recycling rates'!$E$62/SUM('Overall recycling rates'!$E$60:$E$62)*('BTX Recycling HC'!AD76+'BTX Recycling HC'!AD171)-'Overall recycling rates'!$H$62/SUM('Overall recycling rates'!$H$60:$H$62)*('BTX Recycling HC'!AD77+'BTX Recycling HC'!AD172)-'Overall recycling rates'!$I$62/SUM('Overall recycling rates'!$I$60:$I$62)*('BTX Recycling HC'!AD78+'BTX Recycling HC'!AD173)</f>
        <v>1099437.1360847466</v>
      </c>
      <c r="AF81" s="579">
        <f>AF37-'Overall recycling rates'!$G$62/SUM('Overall recycling rates'!$G$60:$G$62)*('BTX Recycling HC'!AE75+'BTX Recycling HC'!AE170)-'Overall recycling rates'!$E$62/SUM('Overall recycling rates'!$E$60:$E$62)*('BTX Recycling HC'!AE76+'BTX Recycling HC'!AE171)-'Overall recycling rates'!$H$62/SUM('Overall recycling rates'!$H$60:$H$62)*('BTX Recycling HC'!AE77+'BTX Recycling HC'!AE172)-'Overall recycling rates'!$I$62/SUM('Overall recycling rates'!$I$60:$I$62)*('BTX Recycling HC'!AE78+'BTX Recycling HC'!AE173)</f>
        <v>1065665.0047238574</v>
      </c>
      <c r="AG81" s="579">
        <f>AG37-'Overall recycling rates'!$G$62/SUM('Overall recycling rates'!$G$60:$G$62)*('BTX Recycling HC'!AF75+'BTX Recycling HC'!AF170)-'Overall recycling rates'!$E$62/SUM('Overall recycling rates'!$E$60:$E$62)*('BTX Recycling HC'!AF76+'BTX Recycling HC'!AF171)-'Overall recycling rates'!$H$62/SUM('Overall recycling rates'!$H$60:$H$62)*('BTX Recycling HC'!AF77+'BTX Recycling HC'!AF172)-'Overall recycling rates'!$I$62/SUM('Overall recycling rates'!$I$60:$I$62)*('BTX Recycling HC'!AF78+'BTX Recycling HC'!AF173)</f>
        <v>1032304.4970102113</v>
      </c>
      <c r="AH81" s="579">
        <f>AH37-'Overall recycling rates'!$G$62/SUM('Overall recycling rates'!$G$60:$G$62)*('BTX Recycling HC'!AG75+'BTX Recycling HC'!AG170)-'Overall recycling rates'!$E$62/SUM('Overall recycling rates'!$E$60:$E$62)*('BTX Recycling HC'!AG76+'BTX Recycling HC'!AG171)-'Overall recycling rates'!$H$62/SUM('Overall recycling rates'!$H$60:$H$62)*('BTX Recycling HC'!AG77+'BTX Recycling HC'!AG172)-'Overall recycling rates'!$I$62/SUM('Overall recycling rates'!$I$60:$I$62)*('BTX Recycling HC'!AG78+'BTX Recycling HC'!AG173)</f>
        <v>999305.11010062695</v>
      </c>
      <c r="AI81" s="579"/>
      <c r="AJ81" s="579">
        <f>AJ37-'Overall recycling rates'!$G$62/SUM('Overall recycling rates'!$G$60:$G$62)*('BTX Recycling HC'!C75+'BTX Recycling HC'!C170)-'Overall recycling rates'!$E$62/SUM('Overall recycling rates'!$E$60:$E$62)*('BTX Recycling HC'!C76+'BTX Recycling HC'!C171)-'Overall recycling rates'!$H$62/SUM('Overall recycling rates'!$H$60:$H$62)*('BTX Recycling HC'!C77+'BTX Recycling HC'!C172)-'Overall recycling rates'!$I$62/SUM('Overall recycling rates'!$I$60:$I$62)*('BTX Recycling HC'!C78+'BTX Recycling HC'!C173)</f>
        <v>2342576.0306383162</v>
      </c>
      <c r="AK81" s="579">
        <f>AK37-'Overall recycling rates'!$G$62/SUM('Overall recycling rates'!$G$60:$G$62)*('BTX Recycling HC'!D75+'BTX Recycling HC'!D170)-'Overall recycling rates'!$E$62/SUM('Overall recycling rates'!$E$60:$E$62)*('BTX Recycling HC'!D76+'BTX Recycling HC'!D171)-'Overall recycling rates'!$H$62/SUM('Overall recycling rates'!$H$60:$H$62)*('BTX Recycling HC'!D77+'BTX Recycling HC'!D172)-'Overall recycling rates'!$I$62/SUM('Overall recycling rates'!$I$60:$I$62)*('BTX Recycling HC'!D78+'BTX Recycling HC'!D173)</f>
        <v>2302610.1020409274</v>
      </c>
      <c r="AL81" s="579">
        <f>AL37-'Overall recycling rates'!$G$62/SUM('Overall recycling rates'!$G$60:$G$62)*('BTX Recycling HC'!E75+'BTX Recycling HC'!E170)-'Overall recycling rates'!$E$62/SUM('Overall recycling rates'!$E$60:$E$62)*('BTX Recycling HC'!E76+'BTX Recycling HC'!E171)-'Overall recycling rates'!$H$62/SUM('Overall recycling rates'!$H$60:$H$62)*('BTX Recycling HC'!E77+'BTX Recycling HC'!E172)-'Overall recycling rates'!$I$62/SUM('Overall recycling rates'!$I$60:$I$62)*('BTX Recycling HC'!E78+'BTX Recycling HC'!E173)</f>
        <v>2264575.7765688137</v>
      </c>
      <c r="AM81" s="579">
        <f>AM37-'Overall recycling rates'!$G$62/SUM('Overall recycling rates'!$G$60:$G$62)*('BTX Recycling HC'!F75+'BTX Recycling HC'!F170)-'Overall recycling rates'!$E$62/SUM('Overall recycling rates'!$E$60:$E$62)*('BTX Recycling HC'!F76+'BTX Recycling HC'!F171)-'Overall recycling rates'!$H$62/SUM('Overall recycling rates'!$H$60:$H$62)*('BTX Recycling HC'!F77+'BTX Recycling HC'!F172)-'Overall recycling rates'!$I$62/SUM('Overall recycling rates'!$I$60:$I$62)*('BTX Recycling HC'!F78+'BTX Recycling HC'!F173)</f>
        <v>2227518.6095458008</v>
      </c>
      <c r="AN81" s="579">
        <f>AN37-'Overall recycling rates'!$G$62/SUM('Overall recycling rates'!$G$60:$G$62)*('BTX Recycling HC'!G75+'BTX Recycling HC'!G170)-'Overall recycling rates'!$E$62/SUM('Overall recycling rates'!$E$60:$E$62)*('BTX Recycling HC'!G76+'BTX Recycling HC'!G171)-'Overall recycling rates'!$H$62/SUM('Overall recycling rates'!$H$60:$H$62)*('BTX Recycling HC'!G77+'BTX Recycling HC'!G172)-'Overall recycling rates'!$I$62/SUM('Overall recycling rates'!$I$60:$I$62)*('BTX Recycling HC'!G78+'BTX Recycling HC'!G173)</f>
        <v>2191660.3042478734</v>
      </c>
      <c r="AO81" s="579">
        <f>AO37-'Overall recycling rates'!$G$62/SUM('Overall recycling rates'!$G$60:$G$62)*('BTX Recycling HC'!H75+'BTX Recycling HC'!H170)-'Overall recycling rates'!$E$62/SUM('Overall recycling rates'!$E$60:$E$62)*('BTX Recycling HC'!H76+'BTX Recycling HC'!H171)-'Overall recycling rates'!$H$62/SUM('Overall recycling rates'!$H$60:$H$62)*('BTX Recycling HC'!H77+'BTX Recycling HC'!H172)-'Overall recycling rates'!$I$62/SUM('Overall recycling rates'!$I$60:$I$62)*('BTX Recycling HC'!H78+'BTX Recycling HC'!H173)</f>
        <v>2156931.4293438084</v>
      </c>
      <c r="AP81" s="579">
        <f>AP37-'Overall recycling rates'!$G$62/SUM('Overall recycling rates'!$G$60:$G$62)*('BTX Recycling HC'!I75+'BTX Recycling HC'!I170)-'Overall recycling rates'!$E$62/SUM('Overall recycling rates'!$E$60:$E$62)*('BTX Recycling HC'!I76+'BTX Recycling HC'!I171)-'Overall recycling rates'!$H$62/SUM('Overall recycling rates'!$H$60:$H$62)*('BTX Recycling HC'!I77+'BTX Recycling HC'!I172)-'Overall recycling rates'!$I$62/SUM('Overall recycling rates'!$I$60:$I$62)*('BTX Recycling HC'!I78+'BTX Recycling HC'!I173)</f>
        <v>2123264.8486843789</v>
      </c>
      <c r="AQ81" s="579">
        <f>AQ37-'Overall recycling rates'!$G$62/SUM('Overall recycling rates'!$G$60:$G$62)*('BTX Recycling HC'!J75+'BTX Recycling HC'!J170)-'Overall recycling rates'!$E$62/SUM('Overall recycling rates'!$E$60:$E$62)*('BTX Recycling HC'!J76+'BTX Recycling HC'!J171)-'Overall recycling rates'!$H$62/SUM('Overall recycling rates'!$H$60:$H$62)*('BTX Recycling HC'!J77+'BTX Recycling HC'!J172)-'Overall recycling rates'!$I$62/SUM('Overall recycling rates'!$I$60:$I$62)*('BTX Recycling HC'!J78+'BTX Recycling HC'!J173)</f>
        <v>2090595.6991973384</v>
      </c>
      <c r="AR81" s="579">
        <f>AR37-'Overall recycling rates'!$G$62/SUM('Overall recycling rates'!$G$60:$G$62)*('BTX Recycling HC'!K75+'BTX Recycling HC'!K170)-'Overall recycling rates'!$E$62/SUM('Overall recycling rates'!$E$60:$E$62)*('BTX Recycling HC'!K76+'BTX Recycling HC'!K171)-'Overall recycling rates'!$H$62/SUM('Overall recycling rates'!$H$60:$H$62)*('BTX Recycling HC'!K77+'BTX Recycling HC'!K172)-'Overall recycling rates'!$I$62/SUM('Overall recycling rates'!$I$60:$I$62)*('BTX Recycling HC'!K78+'BTX Recycling HC'!K173)</f>
        <v>2058861.3689220964</v>
      </c>
      <c r="AS81" s="579">
        <f>AS37-'Overall recycling rates'!$G$62/SUM('Overall recycling rates'!$G$60:$G$62)*('BTX Recycling HC'!L75+'BTX Recycling HC'!L170)-'Overall recycling rates'!$E$62/SUM('Overall recycling rates'!$E$60:$E$62)*('BTX Recycling HC'!L76+'BTX Recycling HC'!L171)-'Overall recycling rates'!$H$62/SUM('Overall recycling rates'!$H$60:$H$62)*('BTX Recycling HC'!L77+'BTX Recycling HC'!L172)-'Overall recycling rates'!$I$62/SUM('Overall recycling rates'!$I$60:$I$62)*('BTX Recycling HC'!L78+'BTX Recycling HC'!L173)</f>
        <v>2028001.475183327</v>
      </c>
      <c r="AT81" s="579">
        <f>AT37-'Overall recycling rates'!$G$62/SUM('Overall recycling rates'!$G$60:$G$62)*('BTX Recycling HC'!M75+'BTX Recycling HC'!M170)-'Overall recycling rates'!$E$62/SUM('Overall recycling rates'!$E$60:$E$62)*('BTX Recycling HC'!M76+'BTX Recycling HC'!M171)-'Overall recycling rates'!$H$62/SUM('Overall recycling rates'!$H$60:$H$62)*('BTX Recycling HC'!M77+'BTX Recycling HC'!M172)-'Overall recycling rates'!$I$62/SUM('Overall recycling rates'!$I$60:$I$62)*('BTX Recycling HC'!M78+'BTX Recycling HC'!M173)</f>
        <v>1997957.8429028571</v>
      </c>
      <c r="AU81" s="579">
        <f>AU37-'Overall recycling rates'!$G$62/SUM('Overall recycling rates'!$G$60:$G$62)*('BTX Recycling HC'!N75+'BTX Recycling HC'!N170)-'Overall recycling rates'!$E$62/SUM('Overall recycling rates'!$E$60:$E$62)*('BTX Recycling HC'!N76+'BTX Recycling HC'!N171)-'Overall recycling rates'!$H$62/SUM('Overall recycling rates'!$H$60:$H$62)*('BTX Recycling HC'!N77+'BTX Recycling HC'!N172)-'Overall recycling rates'!$I$62/SUM('Overall recycling rates'!$I$60:$I$62)*('BTX Recycling HC'!N78+'BTX Recycling HC'!N173)</f>
        <v>1911440.3407426479</v>
      </c>
      <c r="AV81" s="579">
        <f>AV37-'Overall recycling rates'!$G$62/SUM('Overall recycling rates'!$G$60:$G$62)*('BTX Recycling HC'!O75+'BTX Recycling HC'!O170)-'Overall recycling rates'!$E$62/SUM('Overall recycling rates'!$E$60:$E$62)*('BTX Recycling HC'!O76+'BTX Recycling HC'!O171)-'Overall recycling rates'!$H$62/SUM('Overall recycling rates'!$H$60:$H$62)*('BTX Recycling HC'!O77+'BTX Recycling HC'!O172)-'Overall recycling rates'!$I$62/SUM('Overall recycling rates'!$I$60:$I$62)*('BTX Recycling HC'!O78+'BTX Recycling HC'!O173)</f>
        <v>1865137.1755279051</v>
      </c>
      <c r="AW81" s="579">
        <f>AW37-'Overall recycling rates'!$G$62/SUM('Overall recycling rates'!$G$60:$G$62)*('BTX Recycling HC'!P75+'BTX Recycling HC'!P170)-'Overall recycling rates'!$E$62/SUM('Overall recycling rates'!$E$60:$E$62)*('BTX Recycling HC'!P76+'BTX Recycling HC'!P171)-'Overall recycling rates'!$H$62/SUM('Overall recycling rates'!$H$60:$H$62)*('BTX Recycling HC'!P77+'BTX Recycling HC'!P172)-'Overall recycling rates'!$I$62/SUM('Overall recycling rates'!$I$60:$I$62)*('BTX Recycling HC'!P78+'BTX Recycling HC'!P173)</f>
        <v>1819993.73495007</v>
      </c>
      <c r="AX81" s="579">
        <f>AX37-'Overall recycling rates'!$G$62/SUM('Overall recycling rates'!$G$60:$G$62)*('BTX Recycling HC'!Q75+'BTX Recycling HC'!Q170)-'Overall recycling rates'!$E$62/SUM('Overall recycling rates'!$E$60:$E$62)*('BTX Recycling HC'!Q76+'BTX Recycling HC'!Q171)-'Overall recycling rates'!$H$62/SUM('Overall recycling rates'!$H$60:$H$62)*('BTX Recycling HC'!Q77+'BTX Recycling HC'!Q172)-'Overall recycling rates'!$I$62/SUM('Overall recycling rates'!$I$60:$I$62)*('BTX Recycling HC'!Q78+'BTX Recycling HC'!Q173)</f>
        <v>1775918.358434865</v>
      </c>
      <c r="AY81" s="579">
        <f>AY37-'Overall recycling rates'!$G$62/SUM('Overall recycling rates'!$G$60:$G$62)*('BTX Recycling HC'!R75+'BTX Recycling HC'!R170)-'Overall recycling rates'!$E$62/SUM('Overall recycling rates'!$E$60:$E$62)*('BTX Recycling HC'!R76+'BTX Recycling HC'!R171)-'Overall recycling rates'!$H$62/SUM('Overall recycling rates'!$H$60:$H$62)*('BTX Recycling HC'!R77+'BTX Recycling HC'!R172)-'Overall recycling rates'!$I$62/SUM('Overall recycling rates'!$I$60:$I$62)*('BTX Recycling HC'!R78+'BTX Recycling HC'!R173)</f>
        <v>1732824.1424320161</v>
      </c>
      <c r="AZ81" s="579">
        <f>AZ37-'Overall recycling rates'!$G$62/SUM('Overall recycling rates'!$G$60:$G$62)*('BTX Recycling HC'!S75+'BTX Recycling HC'!S170)-'Overall recycling rates'!$E$62/SUM('Overall recycling rates'!$E$60:$E$62)*('BTX Recycling HC'!S76+'BTX Recycling HC'!S171)-'Overall recycling rates'!$H$62/SUM('Overall recycling rates'!$H$60:$H$62)*('BTX Recycling HC'!S77+'BTX Recycling HC'!S172)-'Overall recycling rates'!$I$62/SUM('Overall recycling rates'!$I$60:$I$62)*('BTX Recycling HC'!S78+'BTX Recycling HC'!S173)</f>
        <v>1690628.6416998811</v>
      </c>
      <c r="BA81" s="579">
        <f>BA37-'Overall recycling rates'!$G$62/SUM('Overall recycling rates'!$G$60:$G$62)*('BTX Recycling HC'!T75+'BTX Recycling HC'!T170)-'Overall recycling rates'!$E$62/SUM('Overall recycling rates'!$E$60:$E$62)*('BTX Recycling HC'!T76+'BTX Recycling HC'!T171)-'Overall recycling rates'!$H$62/SUM('Overall recycling rates'!$H$60:$H$62)*('BTX Recycling HC'!T77+'BTX Recycling HC'!T172)-'Overall recycling rates'!$I$62/SUM('Overall recycling rates'!$I$60:$I$62)*('BTX Recycling HC'!T78+'BTX Recycling HC'!T173)</f>
        <v>1649253.8240993917</v>
      </c>
      <c r="BB81" s="579">
        <f>BB37-'Overall recycling rates'!$G$62/SUM('Overall recycling rates'!$G$60:$G$62)*('BTX Recycling HC'!U75+'BTX Recycling HC'!U170)-'Overall recycling rates'!$E$62/SUM('Overall recycling rates'!$E$60:$E$62)*('BTX Recycling HC'!U76+'BTX Recycling HC'!U171)-'Overall recycling rates'!$H$62/SUM('Overall recycling rates'!$H$60:$H$62)*('BTX Recycling HC'!U77+'BTX Recycling HC'!U172)-'Overall recycling rates'!$I$62/SUM('Overall recycling rates'!$I$60:$I$62)*('BTX Recycling HC'!U78+'BTX Recycling HC'!U173)</f>
        <v>1608626.0256792337</v>
      </c>
      <c r="BC81" s="579">
        <f>BC37-'Overall recycling rates'!$G$62/SUM('Overall recycling rates'!$G$60:$G$62)*('BTX Recycling HC'!V75+'BTX Recycling HC'!V170)-'Overall recycling rates'!$E$62/SUM('Overall recycling rates'!$E$60:$E$62)*('BTX Recycling HC'!V76+'BTX Recycling HC'!V171)-'Overall recycling rates'!$H$62/SUM('Overall recycling rates'!$H$60:$H$62)*('BTX Recycling HC'!V77+'BTX Recycling HC'!V172)-'Overall recycling rates'!$I$62/SUM('Overall recycling rates'!$I$60:$I$62)*('BTX Recycling HC'!V78+'BTX Recycling HC'!V173)</f>
        <v>1568675.9060507922</v>
      </c>
      <c r="BD81" s="579">
        <f>BD37-'Overall recycling rates'!$G$62/SUM('Overall recycling rates'!$G$60:$G$62)*('BTX Recycling HC'!W75+'BTX Recycling HC'!W170)-'Overall recycling rates'!$E$62/SUM('Overall recycling rates'!$E$60:$E$62)*('BTX Recycling HC'!W76+'BTX Recycling HC'!W171)-'Overall recycling rates'!$H$62/SUM('Overall recycling rates'!$H$60:$H$62)*('BTX Recycling HC'!W77+'BTX Recycling HC'!W172)-'Overall recycling rates'!$I$62/SUM('Overall recycling rates'!$I$60:$I$62)*('BTX Recycling HC'!W78+'BTX Recycling HC'!W173)</f>
        <v>1529338.404051384</v>
      </c>
      <c r="BE81" s="579">
        <f>BE37-'Overall recycling rates'!$G$62/SUM('Overall recycling rates'!$G$60:$G$62)*('BTX Recycling HC'!X75+'BTX Recycling HC'!X170)-'Overall recycling rates'!$E$62/SUM('Overall recycling rates'!$E$60:$E$62)*('BTX Recycling HC'!X76+'BTX Recycling HC'!X171)-'Overall recycling rates'!$H$62/SUM('Overall recycling rates'!$H$60:$H$62)*('BTX Recycling HC'!X77+'BTX Recycling HC'!X172)-'Overall recycling rates'!$I$62/SUM('Overall recycling rates'!$I$60:$I$62)*('BTX Recycling HC'!X78+'BTX Recycling HC'!X173)</f>
        <v>1497736.2489275031</v>
      </c>
      <c r="BF81" s="579">
        <f>BF37-'Overall recycling rates'!$G$62/SUM('Overall recycling rates'!$G$60:$G$62)*('BTX Recycling HC'!Y75+'BTX Recycling HC'!Y170)-'Overall recycling rates'!$E$62/SUM('Overall recycling rates'!$E$60:$E$62)*('BTX Recycling HC'!Y76+'BTX Recycling HC'!Y171)-'Overall recycling rates'!$H$62/SUM('Overall recycling rates'!$H$60:$H$62)*('BTX Recycling HC'!Y77+'BTX Recycling HC'!Y172)-'Overall recycling rates'!$I$62/SUM('Overall recycling rates'!$I$60:$I$62)*('BTX Recycling HC'!Y78+'BTX Recycling HC'!Y173)</f>
        <v>1466929.3928379791</v>
      </c>
      <c r="BG81" s="579">
        <f>BG37-'Overall recycling rates'!$G$62/SUM('Overall recycling rates'!$G$60:$G$62)*('BTX Recycling HC'!Z75+'BTX Recycling HC'!Z170)-'Overall recycling rates'!$E$62/SUM('Overall recycling rates'!$E$60:$E$62)*('BTX Recycling HC'!Z76+'BTX Recycling HC'!Z171)-'Overall recycling rates'!$H$62/SUM('Overall recycling rates'!$H$60:$H$62)*('BTX Recycling HC'!Z77+'BTX Recycling HC'!Z172)-'Overall recycling rates'!$I$62/SUM('Overall recycling rates'!$I$60:$I$62)*('BTX Recycling HC'!Z78+'BTX Recycling HC'!Z173)</f>
        <v>1436835.7949550289</v>
      </c>
      <c r="BH81" s="579">
        <f>BH37-'Overall recycling rates'!$G$62/SUM('Overall recycling rates'!$G$60:$G$62)*('BTX Recycling HC'!AA75+'BTX Recycling HC'!AA170)-'Overall recycling rates'!$E$62/SUM('Overall recycling rates'!$E$60:$E$62)*('BTX Recycling HC'!AA76+'BTX Recycling HC'!AA171)-'Overall recycling rates'!$H$62/SUM('Overall recycling rates'!$H$60:$H$62)*('BTX Recycling HC'!AA77+'BTX Recycling HC'!AA172)-'Overall recycling rates'!$I$62/SUM('Overall recycling rates'!$I$60:$I$62)*('BTX Recycling HC'!AA78+'BTX Recycling HC'!AA173)</f>
        <v>1407376.7006715043</v>
      </c>
      <c r="BI81" s="579">
        <f>BI37-'Overall recycling rates'!$G$62/SUM('Overall recycling rates'!$G$60:$G$62)*('BTX Recycling HC'!AB75+'BTX Recycling HC'!AB170)-'Overall recycling rates'!$E$62/SUM('Overall recycling rates'!$E$60:$E$62)*('BTX Recycling HC'!AB76+'BTX Recycling HC'!AB171)-'Overall recycling rates'!$H$62/SUM('Overall recycling rates'!$H$60:$H$62)*('BTX Recycling HC'!AB77+'BTX Recycling HC'!AB172)-'Overall recycling rates'!$I$62/SUM('Overall recycling rates'!$I$60:$I$62)*('BTX Recycling HC'!AB78+'BTX Recycling HC'!AB173)</f>
        <v>1378479.0191541701</v>
      </c>
      <c r="BJ81" s="579">
        <f>BJ37-'Overall recycling rates'!$G$62/SUM('Overall recycling rates'!$G$60:$G$62)*('BTX Recycling HC'!AC75+'BTX Recycling HC'!AC170)-'Overall recycling rates'!$E$62/SUM('Overall recycling rates'!$E$60:$E$62)*('BTX Recycling HC'!AC76+'BTX Recycling HC'!AC171)-'Overall recycling rates'!$H$62/SUM('Overall recycling rates'!$H$60:$H$62)*('BTX Recycling HC'!AC77+'BTX Recycling HC'!AC172)-'Overall recycling rates'!$I$62/SUM('Overall recycling rates'!$I$60:$I$62)*('BTX Recycling HC'!AC78+'BTX Recycling HC'!AC173)</f>
        <v>1350074.4784997075</v>
      </c>
      <c r="BK81" s="579">
        <f>BK37-'Overall recycling rates'!$G$62/SUM('Overall recycling rates'!$G$60:$G$62)*('BTX Recycling HC'!AD75+'BTX Recycling HC'!AD170)-'Overall recycling rates'!$E$62/SUM('Overall recycling rates'!$E$60:$E$62)*('BTX Recycling HC'!AD76+'BTX Recycling HC'!AD171)-'Overall recycling rates'!$H$62/SUM('Overall recycling rates'!$H$60:$H$62)*('BTX Recycling HC'!AD77+'BTX Recycling HC'!AD172)-'Overall recycling rates'!$I$62/SUM('Overall recycling rates'!$I$60:$I$62)*('BTX Recycling HC'!AD78+'BTX Recycling HC'!AD173)</f>
        <v>1322099.5757505749</v>
      </c>
      <c r="BL81" s="579">
        <f>BL37-'Overall recycling rates'!$G$62/SUM('Overall recycling rates'!$G$60:$G$62)*('BTX Recycling HC'!AE75+'BTX Recycling HC'!AE170)-'Overall recycling rates'!$E$62/SUM('Overall recycling rates'!$E$60:$E$62)*('BTX Recycling HC'!AE76+'BTX Recycling HC'!AE171)-'Overall recycling rates'!$H$62/SUM('Overall recycling rates'!$H$60:$H$62)*('BTX Recycling HC'!AE77+'BTX Recycling HC'!AE172)-'Overall recycling rates'!$I$62/SUM('Overall recycling rates'!$I$60:$I$62)*('BTX Recycling HC'!AE78+'BTX Recycling HC'!AE173)</f>
        <v>1294495.5272314241</v>
      </c>
      <c r="BM81" s="579">
        <f>BM37-'Overall recycling rates'!$G$62/SUM('Overall recycling rates'!$G$60:$G$62)*('BTX Recycling HC'!AF75+'BTX Recycling HC'!AF170)-'Overall recycling rates'!$E$62/SUM('Overall recycling rates'!$E$60:$E$62)*('BTX Recycling HC'!AF76+'BTX Recycling HC'!AF171)-'Overall recycling rates'!$H$62/SUM('Overall recycling rates'!$H$60:$H$62)*('BTX Recycling HC'!AF77+'BTX Recycling HC'!AF172)-'Overall recycling rates'!$I$62/SUM('Overall recycling rates'!$I$60:$I$62)*('BTX Recycling HC'!AF78+'BTX Recycling HC'!AF173)</f>
        <v>1267208.2192044763</v>
      </c>
      <c r="BN81" s="579">
        <f>BN37-'Overall recycling rates'!$G$62/SUM('Overall recycling rates'!$G$60:$G$62)*('BTX Recycling HC'!AG75+'BTX Recycling HC'!AG170)-'Overall recycling rates'!$E$62/SUM('Overall recycling rates'!$E$60:$E$62)*('BTX Recycling HC'!AG76+'BTX Recycling HC'!AG171)-'Overall recycling rates'!$H$62/SUM('Overall recycling rates'!$H$60:$H$62)*('BTX Recycling HC'!AG77+'BTX Recycling HC'!AG172)-'Overall recycling rates'!$I$62/SUM('Overall recycling rates'!$I$60:$I$62)*('BTX Recycling HC'!AG78+'BTX Recycling HC'!AG173)</f>
        <v>1240188.1588422619</v>
      </c>
      <c r="BQ81" s="623"/>
      <c r="BR81" s="623"/>
      <c r="BS81" s="623"/>
      <c r="BT81" s="623"/>
      <c r="BU81" s="623"/>
      <c r="BV81" s="623"/>
      <c r="BW81" s="623"/>
      <c r="BX81" s="623"/>
      <c r="BY81" s="623"/>
      <c r="BZ81" s="623"/>
      <c r="CA81" s="623"/>
      <c r="CB81" s="623"/>
      <c r="CC81" s="623"/>
      <c r="CD81" s="623"/>
      <c r="CE81" s="623"/>
      <c r="CF81" s="623"/>
      <c r="CG81" s="623"/>
      <c r="CH81" s="623"/>
      <c r="CI81" s="623"/>
      <c r="CJ81" s="623"/>
      <c r="CK81" s="623"/>
      <c r="CL81" s="623"/>
    </row>
    <row r="82" spans="1:90" outlineLevel="1">
      <c r="A82" s="54" t="s">
        <v>262</v>
      </c>
      <c r="B82" s="54" t="s">
        <v>200</v>
      </c>
      <c r="C82" s="93" t="s">
        <v>1420</v>
      </c>
      <c r="D82" s="572">
        <f t="shared" ref="D82:AH82" si="75">D23</f>
        <v>878653.78062042897</v>
      </c>
      <c r="E82" s="572">
        <f t="shared" si="75"/>
        <v>869662.45806200022</v>
      </c>
      <c r="F82" s="572">
        <f t="shared" si="75"/>
        <v>860734.3419413002</v>
      </c>
      <c r="G82" s="572">
        <f t="shared" si="75"/>
        <v>851869.11638949858</v>
      </c>
      <c r="H82" s="572">
        <f t="shared" si="75"/>
        <v>843066.46602312627</v>
      </c>
      <c r="I82" s="572">
        <f t="shared" si="75"/>
        <v>834326.07595823728</v>
      </c>
      <c r="J82" s="572">
        <f t="shared" si="75"/>
        <v>825647.63182431494</v>
      </c>
      <c r="K82" s="572">
        <f t="shared" si="75"/>
        <v>817030.81977792003</v>
      </c>
      <c r="L82" s="572">
        <f t="shared" si="75"/>
        <v>808475.32651609159</v>
      </c>
      <c r="M82" s="572">
        <f t="shared" si="75"/>
        <v>799980.8392894963</v>
      </c>
      <c r="N82" s="572">
        <f t="shared" si="75"/>
        <v>791547.0459153332</v>
      </c>
      <c r="O82" s="572">
        <f t="shared" si="75"/>
        <v>776453.7570518885</v>
      </c>
      <c r="P82" s="572">
        <f t="shared" si="75"/>
        <v>761398.94080213318</v>
      </c>
      <c r="Q82" s="572">
        <f t="shared" si="75"/>
        <v>746383.67505533423</v>
      </c>
      <c r="R82" s="572">
        <f t="shared" si="75"/>
        <v>731409.01499751117</v>
      </c>
      <c r="S82" s="572">
        <f t="shared" si="75"/>
        <v>716475.99341380969</v>
      </c>
      <c r="T82" s="572">
        <f t="shared" si="75"/>
        <v>701585.62098751136</v>
      </c>
      <c r="U82" s="572">
        <f t="shared" si="75"/>
        <v>686738.88659571286</v>
      </c>
      <c r="V82" s="572">
        <f t="shared" si="75"/>
        <v>671936.75760170957</v>
      </c>
      <c r="W82" s="572">
        <f t="shared" si="75"/>
        <v>657180.18014411605</v>
      </c>
      <c r="X82" s="572">
        <f t="shared" si="75"/>
        <v>642470.07942275447</v>
      </c>
      <c r="Y82" s="572">
        <f t="shared" si="75"/>
        <v>613417.72944820416</v>
      </c>
      <c r="Z82" s="572">
        <f t="shared" si="75"/>
        <v>584586.18117499002</v>
      </c>
      <c r="AA82" s="572">
        <f t="shared" si="75"/>
        <v>555974.77831960749</v>
      </c>
      <c r="AB82" s="572">
        <f t="shared" si="75"/>
        <v>527582.85635468003</v>
      </c>
      <c r="AC82" s="572">
        <f t="shared" si="75"/>
        <v>499409.74269969342</v>
      </c>
      <c r="AD82" s="572">
        <f t="shared" si="75"/>
        <v>471454.75690918311</v>
      </c>
      <c r="AE82" s="572">
        <f t="shared" si="75"/>
        <v>443717.21085840161</v>
      </c>
      <c r="AF82" s="572">
        <f t="shared" si="75"/>
        <v>416196.4089264943</v>
      </c>
      <c r="AG82" s="572">
        <f t="shared" si="75"/>
        <v>388891.64817721234</v>
      </c>
      <c r="AH82" s="572">
        <f t="shared" si="75"/>
        <v>361802.21853718732</v>
      </c>
      <c r="AI82" s="178"/>
      <c r="AJ82" s="572">
        <f t="shared" ref="AJ82:BN82" si="76">AJ23</f>
        <v>878653.78062042897</v>
      </c>
      <c r="AK82" s="572">
        <f t="shared" si="76"/>
        <v>872023.29521941766</v>
      </c>
      <c r="AL82" s="572">
        <f t="shared" si="76"/>
        <v>865433.05347231822</v>
      </c>
      <c r="AM82" s="572">
        <f t="shared" si="76"/>
        <v>858882.87918961549</v>
      </c>
      <c r="AN82" s="572">
        <f t="shared" si="76"/>
        <v>852372.59626949765</v>
      </c>
      <c r="AO82" s="572">
        <f t="shared" si="76"/>
        <v>845902.02870791487</v>
      </c>
      <c r="AP82" s="572">
        <f t="shared" si="76"/>
        <v>839471.00060847565</v>
      </c>
      <c r="AQ82" s="572">
        <f t="shared" si="76"/>
        <v>833079.3361921818</v>
      </c>
      <c r="AR82" s="572">
        <f t="shared" si="76"/>
        <v>826726.85980700678</v>
      </c>
      <c r="AS82" s="572">
        <f t="shared" si="76"/>
        <v>820413.39593731507</v>
      </c>
      <c r="AT82" s="572">
        <f t="shared" si="76"/>
        <v>814138.76921312814</v>
      </c>
      <c r="AU82" s="572">
        <f t="shared" si="76"/>
        <v>805764.92813440226</v>
      </c>
      <c r="AV82" s="572">
        <f t="shared" si="76"/>
        <v>797402.04308174376</v>
      </c>
      <c r="AW82" s="572">
        <f t="shared" si="76"/>
        <v>789050.80513148603</v>
      </c>
      <c r="AX82" s="572">
        <f t="shared" si="76"/>
        <v>780711.89231350319</v>
      </c>
      <c r="AY82" s="572">
        <f t="shared" si="76"/>
        <v>772385.96977847116</v>
      </c>
      <c r="AZ82" s="572">
        <f t="shared" si="76"/>
        <v>764073.6899633077</v>
      </c>
      <c r="BA82" s="572">
        <f t="shared" si="76"/>
        <v>755775.69275480625</v>
      </c>
      <c r="BB82" s="572">
        <f t="shared" si="76"/>
        <v>747492.60565148538</v>
      </c>
      <c r="BC82" s="572">
        <f t="shared" si="76"/>
        <v>739225.04392366763</v>
      </c>
      <c r="BD82" s="572">
        <f t="shared" si="76"/>
        <v>730973.61077180738</v>
      </c>
      <c r="BE82" s="572">
        <f t="shared" si="76"/>
        <v>714783.45855606336</v>
      </c>
      <c r="BF82" s="572">
        <f t="shared" si="76"/>
        <v>698707.28773362271</v>
      </c>
      <c r="BG82" s="572">
        <f t="shared" si="76"/>
        <v>682744.79911874922</v>
      </c>
      <c r="BH82" s="572">
        <f t="shared" si="76"/>
        <v>666895.68883953441</v>
      </c>
      <c r="BI82" s="572">
        <f t="shared" si="76"/>
        <v>651159.64843963238</v>
      </c>
      <c r="BJ82" s="572">
        <f t="shared" si="76"/>
        <v>635536.3649786613</v>
      </c>
      <c r="BK82" s="572">
        <f t="shared" si="76"/>
        <v>620025.52113128407</v>
      </c>
      <c r="BL82" s="572">
        <f t="shared" si="76"/>
        <v>604626.79528498335</v>
      </c>
      <c r="BM82" s="572">
        <f t="shared" si="76"/>
        <v>589339.86163654714</v>
      </c>
      <c r="BN82" s="572">
        <f t="shared" si="76"/>
        <v>574164.39028727543</v>
      </c>
    </row>
    <row r="83" spans="1:90" outlineLevel="1">
      <c r="A83"/>
      <c r="B83" t="s">
        <v>266</v>
      </c>
      <c r="C83" s="50" t="s">
        <v>1420</v>
      </c>
      <c r="D83" s="99">
        <f>'BTX Recycling HC'!C149</f>
        <v>0</v>
      </c>
      <c r="E83" s="99">
        <f>'BTX Recycling HC'!D149</f>
        <v>92.597619879824066</v>
      </c>
      <c r="F83" s="99">
        <f>'BTX Recycling HC'!E149</f>
        <v>201.60113948799787</v>
      </c>
      <c r="G83" s="99">
        <f>'BTX Recycling HC'!F149</f>
        <v>328.03011329891251</v>
      </c>
      <c r="H83" s="99">
        <f>'BTX Recycling HC'!G149</f>
        <v>472.89460911247284</v>
      </c>
      <c r="I83" s="99">
        <f>'BTX Recycling HC'!H149</f>
        <v>637.19526130397196</v>
      </c>
      <c r="J83" s="99">
        <f>'BTX Recycling HC'!I149</f>
        <v>821.92332383688336</v>
      </c>
      <c r="K83" s="99">
        <f>'BTX Recycling HC'!J149</f>
        <v>1028.0607230394858</v>
      </c>
      <c r="L83" s="99">
        <f>'BTX Recycling HC'!K149</f>
        <v>1256.5801101462478</v>
      </c>
      <c r="M83" s="99">
        <f>'BTX Recycling HC'!L149</f>
        <v>1508.4449136048772</v>
      </c>
      <c r="N83" s="99">
        <f>'BTX Recycling HC'!M149</f>
        <v>1784.6093911499504</v>
      </c>
      <c r="O83" s="99">
        <f>'BTX Recycling HC'!N149</f>
        <v>2054.094226576447</v>
      </c>
      <c r="P83" s="99">
        <f>'BTX Recycling HC'!O149</f>
        <v>2343.5988233727176</v>
      </c>
      <c r="Q83" s="99">
        <f>'BTX Recycling HC'!P149</f>
        <v>2643.9836296303197</v>
      </c>
      <c r="R83" s="99">
        <f>'BTX Recycling HC'!Q149</f>
        <v>2963.2644786800256</v>
      </c>
      <c r="S83" s="99">
        <f>'BTX Recycling HC'!R149</f>
        <v>3301.7891013778944</v>
      </c>
      <c r="T83" s="99">
        <f>'BTX Recycling HC'!S149</f>
        <v>3659.8884242274416</v>
      </c>
      <c r="U83" s="99">
        <f>'BTX Recycling HC'!T149</f>
        <v>4037.8765769268539</v>
      </c>
      <c r="V83" s="99">
        <f>'BTX Recycling HC'!U149</f>
        <v>4436.0509009630259</v>
      </c>
      <c r="W83" s="99">
        <f>'BTX Recycling HC'!V149</f>
        <v>4854.6919592414306</v>
      </c>
      <c r="X83" s="99">
        <f>'BTX Recycling HC'!W149</f>
        <v>5294.0635467410348</v>
      </c>
      <c r="Y83" s="99">
        <f>'BTX Recycling HC'!X149</f>
        <v>5826.339961309176</v>
      </c>
      <c r="Z83" s="99">
        <f>'BTX Recycling HC'!Y149</f>
        <v>6388.0376116654143</v>
      </c>
      <c r="AA83" s="99">
        <f>'BTX Recycling HC'!Z149</f>
        <v>6917.9504017429426</v>
      </c>
      <c r="AB83" s="99">
        <f>'BTX Recycling HC'!AA149</f>
        <v>7465.7870967865556</v>
      </c>
      <c r="AC83" s="99">
        <f>'BTX Recycling HC'!AB149</f>
        <v>8030.6940755296819</v>
      </c>
      <c r="AD83" s="99">
        <f>'BTX Recycling HC'!AC149</f>
        <v>8611.7316531391898</v>
      </c>
      <c r="AE83" s="99">
        <f>'BTX Recycling HC'!AD149</f>
        <v>9207.8732779754919</v>
      </c>
      <c r="AF83" s="99">
        <f>'BTX Recycling HC'!AE149</f>
        <v>9818.0047454602882</v>
      </c>
      <c r="AG83" s="99">
        <f>'BTX Recycling HC'!AF149</f>
        <v>10440.923428902977</v>
      </c>
      <c r="AH83" s="99">
        <f>'BTX Recycling HC'!AG149</f>
        <v>11075.337527137588</v>
      </c>
      <c r="AI83" s="178"/>
      <c r="AJ83" s="99">
        <f>D83</f>
        <v>0</v>
      </c>
      <c r="AK83" s="99">
        <f t="shared" ref="AK83:BN83" si="77">E83</f>
        <v>92.597619879824066</v>
      </c>
      <c r="AL83" s="99">
        <f t="shared" si="77"/>
        <v>201.60113948799787</v>
      </c>
      <c r="AM83" s="99">
        <f t="shared" si="77"/>
        <v>328.03011329891251</v>
      </c>
      <c r="AN83" s="99">
        <f t="shared" si="77"/>
        <v>472.89460911247284</v>
      </c>
      <c r="AO83" s="99">
        <f t="shared" si="77"/>
        <v>637.19526130397196</v>
      </c>
      <c r="AP83" s="99">
        <f t="shared" si="77"/>
        <v>821.92332383688336</v>
      </c>
      <c r="AQ83" s="99">
        <f t="shared" si="77"/>
        <v>1028.0607230394858</v>
      </c>
      <c r="AR83" s="99">
        <f t="shared" si="77"/>
        <v>1256.5801101462478</v>
      </c>
      <c r="AS83" s="99">
        <f t="shared" si="77"/>
        <v>1508.4449136048772</v>
      </c>
      <c r="AT83" s="99">
        <f t="shared" si="77"/>
        <v>1784.6093911499504</v>
      </c>
      <c r="AU83" s="99">
        <f t="shared" si="77"/>
        <v>2054.094226576447</v>
      </c>
      <c r="AV83" s="99">
        <f t="shared" si="77"/>
        <v>2343.5988233727176</v>
      </c>
      <c r="AW83" s="99">
        <f t="shared" si="77"/>
        <v>2643.9836296303197</v>
      </c>
      <c r="AX83" s="99">
        <f t="shared" si="77"/>
        <v>2963.2644786800256</v>
      </c>
      <c r="AY83" s="99">
        <f t="shared" si="77"/>
        <v>3301.7891013778944</v>
      </c>
      <c r="AZ83" s="99">
        <f t="shared" si="77"/>
        <v>3659.8884242274416</v>
      </c>
      <c r="BA83" s="99">
        <f t="shared" si="77"/>
        <v>4037.8765769268539</v>
      </c>
      <c r="BB83" s="99">
        <f t="shared" si="77"/>
        <v>4436.0509009630259</v>
      </c>
      <c r="BC83" s="99">
        <f t="shared" si="77"/>
        <v>4854.6919592414306</v>
      </c>
      <c r="BD83" s="99">
        <f t="shared" si="77"/>
        <v>5294.0635467410348</v>
      </c>
      <c r="BE83" s="99">
        <f t="shared" si="77"/>
        <v>5826.339961309176</v>
      </c>
      <c r="BF83" s="99">
        <f t="shared" si="77"/>
        <v>6388.0376116654143</v>
      </c>
      <c r="BG83" s="99">
        <f t="shared" si="77"/>
        <v>6917.9504017429426</v>
      </c>
      <c r="BH83" s="99">
        <f t="shared" si="77"/>
        <v>7465.7870967865556</v>
      </c>
      <c r="BI83" s="99">
        <f t="shared" si="77"/>
        <v>8030.6940755296819</v>
      </c>
      <c r="BJ83" s="99">
        <f t="shared" si="77"/>
        <v>8611.7316531391898</v>
      </c>
      <c r="BK83" s="99">
        <f t="shared" si="77"/>
        <v>9207.8732779754919</v>
      </c>
      <c r="BL83" s="99">
        <f t="shared" si="77"/>
        <v>9818.0047454602882</v>
      </c>
      <c r="BM83" s="99">
        <f t="shared" si="77"/>
        <v>10440.923428902977</v>
      </c>
      <c r="BN83" s="99">
        <f t="shared" si="77"/>
        <v>11075.337527137588</v>
      </c>
    </row>
    <row r="84" spans="1:90" outlineLevel="1">
      <c r="A84" s="58"/>
      <c r="B84" s="58" t="s">
        <v>267</v>
      </c>
      <c r="C84" s="59" t="s">
        <v>1420</v>
      </c>
      <c r="D84" s="577">
        <f>D82-D83</f>
        <v>878653.78062042897</v>
      </c>
      <c r="E84" s="577">
        <f t="shared" ref="E84:AG84" si="78">E82-E83</f>
        <v>869569.86044212035</v>
      </c>
      <c r="F84" s="577">
        <f t="shared" si="78"/>
        <v>860532.74080181215</v>
      </c>
      <c r="G84" s="577">
        <f t="shared" si="78"/>
        <v>851541.08627619967</v>
      </c>
      <c r="H84" s="577">
        <f t="shared" si="78"/>
        <v>842593.57141401374</v>
      </c>
      <c r="I84" s="577">
        <f t="shared" si="78"/>
        <v>833688.88069693337</v>
      </c>
      <c r="J84" s="577">
        <f t="shared" si="78"/>
        <v>824825.70850047807</v>
      </c>
      <c r="K84" s="577">
        <f t="shared" si="78"/>
        <v>816002.75905488059</v>
      </c>
      <c r="L84" s="577">
        <f t="shared" si="78"/>
        <v>807218.74640594539</v>
      </c>
      <c r="M84" s="577">
        <f t="shared" si="78"/>
        <v>798472.39437589142</v>
      </c>
      <c r="N84" s="577">
        <f t="shared" si="78"/>
        <v>789762.43652418326</v>
      </c>
      <c r="O84" s="577">
        <f t="shared" si="78"/>
        <v>774399.662825312</v>
      </c>
      <c r="P84" s="577">
        <f t="shared" si="78"/>
        <v>759055.34197876044</v>
      </c>
      <c r="Q84" s="577">
        <f t="shared" si="78"/>
        <v>743739.69142570393</v>
      </c>
      <c r="R84" s="577">
        <f t="shared" si="78"/>
        <v>728445.75051883119</v>
      </c>
      <c r="S84" s="577">
        <f t="shared" si="78"/>
        <v>713174.20431243174</v>
      </c>
      <c r="T84" s="577">
        <f t="shared" si="78"/>
        <v>697925.73256328388</v>
      </c>
      <c r="U84" s="577">
        <f t="shared" si="78"/>
        <v>682701.01001878595</v>
      </c>
      <c r="V84" s="577">
        <f t="shared" si="78"/>
        <v>667500.70670074655</v>
      </c>
      <c r="W84" s="577">
        <f t="shared" si="78"/>
        <v>652325.48818487464</v>
      </c>
      <c r="X84" s="577">
        <f t="shared" si="78"/>
        <v>637176.01587601344</v>
      </c>
      <c r="Y84" s="577">
        <f t="shared" si="78"/>
        <v>607591.38948689494</v>
      </c>
      <c r="Z84" s="577">
        <f t="shared" si="78"/>
        <v>578198.14356332459</v>
      </c>
      <c r="AA84" s="577">
        <f t="shared" si="78"/>
        <v>549056.82791786455</v>
      </c>
      <c r="AB84" s="577">
        <f t="shared" si="78"/>
        <v>520117.06925789348</v>
      </c>
      <c r="AC84" s="577">
        <f t="shared" si="78"/>
        <v>491379.04862416373</v>
      </c>
      <c r="AD84" s="577">
        <f t="shared" si="78"/>
        <v>462843.02525604394</v>
      </c>
      <c r="AE84" s="577">
        <f t="shared" si="78"/>
        <v>434509.33758042613</v>
      </c>
      <c r="AF84" s="577">
        <f t="shared" si="78"/>
        <v>406378.40418103401</v>
      </c>
      <c r="AG84" s="577">
        <f t="shared" si="78"/>
        <v>378450.72474830935</v>
      </c>
      <c r="AH84" s="577">
        <f>AH82-AH83</f>
        <v>350726.88101004972</v>
      </c>
      <c r="AI84" s="178"/>
      <c r="AJ84" s="577">
        <f>AJ82-AJ83</f>
        <v>878653.78062042897</v>
      </c>
      <c r="AK84" s="577">
        <f t="shared" ref="AK84:BN84" si="79">AK82-AK83</f>
        <v>871930.69759953779</v>
      </c>
      <c r="AL84" s="577">
        <f t="shared" si="79"/>
        <v>865231.45233283017</v>
      </c>
      <c r="AM84" s="577">
        <f t="shared" si="79"/>
        <v>858554.84907631658</v>
      </c>
      <c r="AN84" s="577">
        <f t="shared" si="79"/>
        <v>851899.70166038512</v>
      </c>
      <c r="AO84" s="577">
        <f t="shared" si="79"/>
        <v>845264.83344661095</v>
      </c>
      <c r="AP84" s="577">
        <f t="shared" si="79"/>
        <v>838649.07728463877</v>
      </c>
      <c r="AQ84" s="577">
        <f t="shared" si="79"/>
        <v>832051.27546914236</v>
      </c>
      <c r="AR84" s="577">
        <f t="shared" si="79"/>
        <v>825470.27969686058</v>
      </c>
      <c r="AS84" s="577">
        <f t="shared" si="79"/>
        <v>818904.95102371019</v>
      </c>
      <c r="AT84" s="577">
        <f t="shared" si="79"/>
        <v>812354.15982197819</v>
      </c>
      <c r="AU84" s="577">
        <f t="shared" si="79"/>
        <v>803710.83390782576</v>
      </c>
      <c r="AV84" s="577">
        <f t="shared" si="79"/>
        <v>795058.44425837102</v>
      </c>
      <c r="AW84" s="577">
        <f t="shared" si="79"/>
        <v>786406.82150185574</v>
      </c>
      <c r="AX84" s="577">
        <f t="shared" si="79"/>
        <v>777748.62783482322</v>
      </c>
      <c r="AY84" s="577">
        <f t="shared" si="79"/>
        <v>769084.18067709322</v>
      </c>
      <c r="AZ84" s="577">
        <f t="shared" si="79"/>
        <v>760413.80153908022</v>
      </c>
      <c r="BA84" s="577">
        <f t="shared" si="79"/>
        <v>751737.81617787934</v>
      </c>
      <c r="BB84" s="577">
        <f t="shared" si="79"/>
        <v>743056.55475052237</v>
      </c>
      <c r="BC84" s="577">
        <f t="shared" si="79"/>
        <v>734370.35196442623</v>
      </c>
      <c r="BD84" s="577">
        <f t="shared" si="79"/>
        <v>725679.54722506634</v>
      </c>
      <c r="BE84" s="577">
        <f t="shared" si="79"/>
        <v>708957.11859475414</v>
      </c>
      <c r="BF84" s="577">
        <f t="shared" si="79"/>
        <v>692319.25012195727</v>
      </c>
      <c r="BG84" s="577">
        <f t="shared" si="79"/>
        <v>675826.84871700627</v>
      </c>
      <c r="BH84" s="577">
        <f t="shared" si="79"/>
        <v>659429.90174274787</v>
      </c>
      <c r="BI84" s="577">
        <f t="shared" si="79"/>
        <v>643128.95436410268</v>
      </c>
      <c r="BJ84" s="577">
        <f t="shared" si="79"/>
        <v>626924.63332552207</v>
      </c>
      <c r="BK84" s="577">
        <f t="shared" si="79"/>
        <v>610817.64785330859</v>
      </c>
      <c r="BL84" s="577">
        <f t="shared" si="79"/>
        <v>594808.79053952312</v>
      </c>
      <c r="BM84" s="577">
        <f t="shared" si="79"/>
        <v>578898.93820764415</v>
      </c>
      <c r="BN84" s="577">
        <f t="shared" si="79"/>
        <v>563089.05276013783</v>
      </c>
    </row>
    <row r="85" spans="1:90" s="61" customFormat="1" outlineLevel="1">
      <c r="A85" s="602"/>
      <c r="B85" s="54" t="s">
        <v>88</v>
      </c>
      <c r="C85" s="55" t="s">
        <v>1420</v>
      </c>
      <c r="D85" s="580">
        <f>D24-'Overall recycling rates'!$G$60/SUM('Overall recycling rates'!$G$60:$G$62)*('BTX Recycling HC'!C150)-'Overall recycling rates'!$E$60/SUM('Overall recycling rates'!$E$60:$E$62)*('BTX Recycling HC'!C151)-'Overall recycling rates'!$H$60/SUM('Overall recycling rates'!$H$60:$H$62)*('BTX Recycling HC'!C152)-'Overall recycling rates'!$I$60/SUM('Overall recycling rates'!$I$60:$I$62)*('BTX Recycling HC'!C153)</f>
        <v>239531.49666983372</v>
      </c>
      <c r="E85" s="580">
        <f>E24-'Overall recycling rates'!$G$60/SUM('Overall recycling rates'!$G$60:$G$62)*('BTX Recycling HC'!D150)-'Overall recycling rates'!$E$60/SUM('Overall recycling rates'!$E$60:$E$62)*('BTX Recycling HC'!D151)-'Overall recycling rates'!$H$60/SUM('Overall recycling rates'!$H$60:$H$62)*('BTX Recycling HC'!D152)-'Overall recycling rates'!$I$60/SUM('Overall recycling rates'!$I$60:$I$62)*('BTX Recycling HC'!D153)</f>
        <v>237012.62988017543</v>
      </c>
      <c r="F85" s="580">
        <f>F24-'Overall recycling rates'!$G$60/SUM('Overall recycling rates'!$G$60:$G$62)*('BTX Recycling HC'!E150)-'Overall recycling rates'!$E$60/SUM('Overall recycling rates'!$E$60:$E$62)*('BTX Recycling HC'!E151)-'Overall recycling rates'!$H$60/SUM('Overall recycling rates'!$H$60:$H$62)*('BTX Recycling HC'!E152)-'Overall recycling rates'!$I$60/SUM('Overall recycling rates'!$I$60:$I$62)*('BTX Recycling HC'!E153)</f>
        <v>234500.25965304478</v>
      </c>
      <c r="G85" s="580">
        <f>G24-'Overall recycling rates'!$G$60/SUM('Overall recycling rates'!$G$60:$G$62)*('BTX Recycling HC'!F150)-'Overall recycling rates'!$E$60/SUM('Overall recycling rates'!$E$60:$E$62)*('BTX Recycling HC'!F151)-'Overall recycling rates'!$H$60/SUM('Overall recycling rates'!$H$60:$H$62)*('BTX Recycling HC'!F152)-'Overall recycling rates'!$I$60/SUM('Overall recycling rates'!$I$60:$I$62)*('BTX Recycling HC'!F153)</f>
        <v>231993.92868139964</v>
      </c>
      <c r="H85" s="580">
        <f>H24-'Overall recycling rates'!$G$60/SUM('Overall recycling rates'!$G$60:$G$62)*('BTX Recycling HC'!G150)-'Overall recycling rates'!$E$60/SUM('Overall recycling rates'!$E$60:$E$62)*('BTX Recycling HC'!G151)-'Overall recycling rates'!$H$60/SUM('Overall recycling rates'!$H$60:$H$62)*('BTX Recycling HC'!G152)-'Overall recycling rates'!$I$60/SUM('Overall recycling rates'!$I$60:$I$62)*('BTX Recycling HC'!G153)</f>
        <v>229493.21782907809</v>
      </c>
      <c r="I85" s="580">
        <f>I24-'Overall recycling rates'!$G$60/SUM('Overall recycling rates'!$G$60:$G$62)*('BTX Recycling HC'!H150)-'Overall recycling rates'!$E$60/SUM('Overall recycling rates'!$E$60:$E$62)*('BTX Recycling HC'!H151)-'Overall recycling rates'!$H$60/SUM('Overall recycling rates'!$H$60:$H$62)*('BTX Recycling HC'!H152)-'Overall recycling rates'!$I$60/SUM('Overall recycling rates'!$I$60:$I$62)*('BTX Recycling HC'!H153)</f>
        <v>226997.74573404703</v>
      </c>
      <c r="J85" s="580">
        <f>J24-'Overall recycling rates'!$G$60/SUM('Overall recycling rates'!$G$60:$G$62)*('BTX Recycling HC'!I150)-'Overall recycling rates'!$E$60/SUM('Overall recycling rates'!$E$60:$E$62)*('BTX Recycling HC'!I151)-'Overall recycling rates'!$H$60/SUM('Overall recycling rates'!$H$60:$H$62)*('BTX Recycling HC'!I152)-'Overall recycling rates'!$I$60/SUM('Overall recycling rates'!$I$60:$I$62)*('BTX Recycling HC'!I153)</f>
        <v>224507.16841419053</v>
      </c>
      <c r="K85" s="580">
        <f>K24-'Overall recycling rates'!$G$60/SUM('Overall recycling rates'!$G$60:$G$62)*('BTX Recycling HC'!J150)-'Overall recycling rates'!$E$60/SUM('Overall recycling rates'!$E$60:$E$62)*('BTX Recycling HC'!J151)-'Overall recycling rates'!$H$60/SUM('Overall recycling rates'!$H$60:$H$62)*('BTX Recycling HC'!J152)-'Overall recycling rates'!$I$60/SUM('Overall recycling rates'!$I$60:$I$62)*('BTX Recycling HC'!J153)</f>
        <v>222021.17887562345</v>
      </c>
      <c r="L85" s="580">
        <f>L24-'Overall recycling rates'!$G$60/SUM('Overall recycling rates'!$G$60:$G$62)*('BTX Recycling HC'!K150)-'Overall recycling rates'!$E$60/SUM('Overall recycling rates'!$E$60:$E$62)*('BTX Recycling HC'!K151)-'Overall recycling rates'!$H$60/SUM('Overall recycling rates'!$H$60:$H$62)*('BTX Recycling HC'!K152)-'Overall recycling rates'!$I$60/SUM('Overall recycling rates'!$I$60:$I$62)*('BTX Recycling HC'!K153)</f>
        <v>219539.50672352081</v>
      </c>
      <c r="M85" s="580">
        <f>M24-'Overall recycling rates'!$G$60/SUM('Overall recycling rates'!$G$60:$G$62)*('BTX Recycling HC'!L150)-'Overall recycling rates'!$E$60/SUM('Overall recycling rates'!$E$60:$E$62)*('BTX Recycling HC'!L151)-'Overall recycling rates'!$H$60/SUM('Overall recycling rates'!$H$60:$H$62)*('BTX Recycling HC'!L152)-'Overall recycling rates'!$I$60/SUM('Overall recycling rates'!$I$60:$I$62)*('BTX Recycling HC'!L153)</f>
        <v>217061.91777544841</v>
      </c>
      <c r="N85" s="580">
        <f>N24-'Overall recycling rates'!$G$60/SUM('Overall recycling rates'!$G$60:$G$62)*('BTX Recycling HC'!M150)-'Overall recycling rates'!$E$60/SUM('Overall recycling rates'!$E$60:$E$62)*('BTX Recycling HC'!M151)-'Overall recycling rates'!$H$60/SUM('Overall recycling rates'!$H$60:$H$62)*('BTX Recycling HC'!M152)-'Overall recycling rates'!$I$60/SUM('Overall recycling rates'!$I$60:$I$62)*('BTX Recycling HC'!M153)</f>
        <v>214588.21367718198</v>
      </c>
      <c r="O85" s="580">
        <f>O24-'Overall recycling rates'!$G$60/SUM('Overall recycling rates'!$G$60:$G$62)*('BTX Recycling HC'!N150)-'Overall recycling rates'!$E$60/SUM('Overall recycling rates'!$E$60:$E$62)*('BTX Recycling HC'!N151)-'Overall recycling rates'!$H$60/SUM('Overall recycling rates'!$H$60:$H$62)*('BTX Recycling HC'!N152)-'Overall recycling rates'!$I$60/SUM('Overall recycling rates'!$I$60:$I$62)*('BTX Recycling HC'!N153)</f>
        <v>210307.75882125844</v>
      </c>
      <c r="P85" s="580">
        <f>P24-'Overall recycling rates'!$G$60/SUM('Overall recycling rates'!$G$60:$G$62)*('BTX Recycling HC'!O150)-'Overall recycling rates'!$E$60/SUM('Overall recycling rates'!$E$60:$E$62)*('BTX Recycling HC'!O151)-'Overall recycling rates'!$H$60/SUM('Overall recycling rates'!$H$60:$H$62)*('BTX Recycling HC'!O152)-'Overall recycling rates'!$I$60/SUM('Overall recycling rates'!$I$60:$I$62)*('BTX Recycling HC'!O153)</f>
        <v>206028.61403259338</v>
      </c>
      <c r="Q85" s="580">
        <f>Q24-'Overall recycling rates'!$G$60/SUM('Overall recycling rates'!$G$60:$G$62)*('BTX Recycling HC'!P150)-'Overall recycling rates'!$E$60/SUM('Overall recycling rates'!$E$60:$E$62)*('BTX Recycling HC'!P151)-'Overall recycling rates'!$H$60/SUM('Overall recycling rates'!$H$60:$H$62)*('BTX Recycling HC'!P152)-'Overall recycling rates'!$I$60/SUM('Overall recycling rates'!$I$60:$I$62)*('BTX Recycling HC'!P153)</f>
        <v>201757.532098628</v>
      </c>
      <c r="R85" s="580">
        <f>R24-'Overall recycling rates'!$G$60/SUM('Overall recycling rates'!$G$60:$G$62)*('BTX Recycling HC'!Q150)-'Overall recycling rates'!$E$60/SUM('Overall recycling rates'!$E$60:$E$62)*('BTX Recycling HC'!Q151)-'Overall recycling rates'!$H$60/SUM('Overall recycling rates'!$H$60:$H$62)*('BTX Recycling HC'!Q152)-'Overall recycling rates'!$I$60/SUM('Overall recycling rates'!$I$60:$I$62)*('BTX Recycling HC'!Q153)</f>
        <v>197489.84893591495</v>
      </c>
      <c r="S85" s="580">
        <f>S24-'Overall recycling rates'!$G$60/SUM('Overall recycling rates'!$G$60:$G$62)*('BTX Recycling HC'!R150)-'Overall recycling rates'!$E$60/SUM('Overall recycling rates'!$E$60:$E$62)*('BTX Recycling HC'!R151)-'Overall recycling rates'!$H$60/SUM('Overall recycling rates'!$H$60:$H$62)*('BTX Recycling HC'!R152)-'Overall recycling rates'!$I$60/SUM('Overall recycling rates'!$I$60:$I$62)*('BTX Recycling HC'!R153)</f>
        <v>193226.0562305596</v>
      </c>
      <c r="T85" s="580">
        <f>T24-'Overall recycling rates'!$G$60/SUM('Overall recycling rates'!$G$60:$G$62)*('BTX Recycling HC'!S150)-'Overall recycling rates'!$E$60/SUM('Overall recycling rates'!$E$60:$E$62)*('BTX Recycling HC'!S151)-'Overall recycling rates'!$H$60/SUM('Overall recycling rates'!$H$60:$H$62)*('BTX Recycling HC'!S152)-'Overall recycling rates'!$I$60/SUM('Overall recycling rates'!$I$60:$I$62)*('BTX Recycling HC'!S153)</f>
        <v>188966.66091715402</v>
      </c>
      <c r="U85" s="580">
        <f>U24-'Overall recycling rates'!$G$60/SUM('Overall recycling rates'!$G$60:$G$62)*('BTX Recycling HC'!T150)-'Overall recycling rates'!$E$60/SUM('Overall recycling rates'!$E$60:$E$62)*('BTX Recycling HC'!T151)-'Overall recycling rates'!$H$60/SUM('Overall recycling rates'!$H$60:$H$62)*('BTX Recycling HC'!T152)-'Overall recycling rates'!$I$60/SUM('Overall recycling rates'!$I$60:$I$62)*('BTX Recycling HC'!T153)</f>
        <v>184712.18461271751</v>
      </c>
      <c r="V85" s="580">
        <f>V24-'Overall recycling rates'!$G$60/SUM('Overall recycling rates'!$G$60:$G$62)*('BTX Recycling HC'!U150)-'Overall recycling rates'!$E$60/SUM('Overall recycling rates'!$E$60:$E$62)*('BTX Recycling HC'!U151)-'Overall recycling rates'!$H$60/SUM('Overall recycling rates'!$H$60:$H$62)*('BTX Recycling HC'!U152)-'Overall recycling rates'!$I$60/SUM('Overall recycling rates'!$I$60:$I$62)*('BTX Recycling HC'!U153)</f>
        <v>180463.16304943807</v>
      </c>
      <c r="W85" s="580">
        <f>W24-'Overall recycling rates'!$G$60/SUM('Overall recycling rates'!$G$60:$G$62)*('BTX Recycling HC'!V150)-'Overall recycling rates'!$E$60/SUM('Overall recycling rates'!$E$60:$E$62)*('BTX Recycling HC'!V151)-'Overall recycling rates'!$H$60/SUM('Overall recycling rates'!$H$60:$H$62)*('BTX Recycling HC'!V152)-'Overall recycling rates'!$I$60/SUM('Overall recycling rates'!$I$60:$I$62)*('BTX Recycling HC'!V153)</f>
        <v>176220.14550628542</v>
      </c>
      <c r="X85" s="580">
        <f>X24-'Overall recycling rates'!$G$60/SUM('Overall recycling rates'!$G$60:$G$62)*('BTX Recycling HC'!W150)-'Overall recycling rates'!$E$60/SUM('Overall recycling rates'!$E$60:$E$62)*('BTX Recycling HC'!W151)-'Overall recycling rates'!$H$60/SUM('Overall recycling rates'!$H$60:$H$62)*('BTX Recycling HC'!W152)-'Overall recycling rates'!$I$60/SUM('Overall recycling rates'!$I$60:$I$62)*('BTX Recycling HC'!W153)</f>
        <v>171983.69423956636</v>
      </c>
      <c r="Y85" s="580">
        <f>Y24-'Overall recycling rates'!$G$60/SUM('Overall recycling rates'!$G$60:$G$62)*('BTX Recycling HC'!X150)-'Overall recycling rates'!$E$60/SUM('Overall recycling rates'!$E$60:$E$62)*('BTX Recycling HC'!X151)-'Overall recycling rates'!$H$60/SUM('Overall recycling rates'!$H$60:$H$62)*('BTX Recycling HC'!X152)-'Overall recycling rates'!$I$60/SUM('Overall recycling rates'!$I$60:$I$62)*('BTX Recycling HC'!X153)</f>
        <v>163788.77540226764</v>
      </c>
      <c r="Z85" s="580">
        <f>Z24-'Overall recycling rates'!$G$60/SUM('Overall recycling rates'!$G$60:$G$62)*('BTX Recycling HC'!Y150)-'Overall recycling rates'!$E$60/SUM('Overall recycling rates'!$E$60:$E$62)*('BTX Recycling HC'!Y151)-'Overall recycling rates'!$H$60/SUM('Overall recycling rates'!$H$60:$H$62)*('BTX Recycling HC'!Y152)-'Overall recycling rates'!$I$60/SUM('Overall recycling rates'!$I$60:$I$62)*('BTX Recycling HC'!Y153)</f>
        <v>155644.89123487604</v>
      </c>
      <c r="AA85" s="580">
        <f>AA24-'Overall recycling rates'!$G$60/SUM('Overall recycling rates'!$G$60:$G$62)*('BTX Recycling HC'!Z150)-'Overall recycling rates'!$E$60/SUM('Overall recycling rates'!$E$60:$E$62)*('BTX Recycling HC'!Z151)-'Overall recycling rates'!$H$60/SUM('Overall recycling rates'!$H$60:$H$62)*('BTX Recycling HC'!Z152)-'Overall recycling rates'!$I$60/SUM('Overall recycling rates'!$I$60:$I$62)*('BTX Recycling HC'!Z153)</f>
        <v>147588.04247975716</v>
      </c>
      <c r="AB85" s="580">
        <f>AB24-'Overall recycling rates'!$G$60/SUM('Overall recycling rates'!$G$60:$G$62)*('BTX Recycling HC'!AA150)-'Overall recycling rates'!$E$60/SUM('Overall recycling rates'!$E$60:$E$62)*('BTX Recycling HC'!AA151)-'Overall recycling rates'!$H$60/SUM('Overall recycling rates'!$H$60:$H$62)*('BTX Recycling HC'!AA152)-'Overall recycling rates'!$I$60/SUM('Overall recycling rates'!$I$60:$I$62)*('BTX Recycling HC'!AA153)</f>
        <v>139588.86346902637</v>
      </c>
      <c r="AC85" s="580">
        <f>AC24-'Overall recycling rates'!$G$60/SUM('Overall recycling rates'!$G$60:$G$62)*('BTX Recycling HC'!AB150)-'Overall recycling rates'!$E$60/SUM('Overall recycling rates'!$E$60:$E$62)*('BTX Recycling HC'!AB151)-'Overall recycling rates'!$H$60/SUM('Overall recycling rates'!$H$60:$H$62)*('BTX Recycling HC'!AB152)-'Overall recycling rates'!$I$60/SUM('Overall recycling rates'!$I$60:$I$62)*('BTX Recycling HC'!AB153)</f>
        <v>131648.06381147573</v>
      </c>
      <c r="AD85" s="580">
        <f>AD24-'Overall recycling rates'!$G$60/SUM('Overall recycling rates'!$G$60:$G$62)*('BTX Recycling HC'!AC150)-'Overall recycling rates'!$E$60/SUM('Overall recycling rates'!$E$60:$E$62)*('BTX Recycling HC'!AC151)-'Overall recycling rates'!$H$60/SUM('Overall recycling rates'!$H$60:$H$62)*('BTX Recycling HC'!AC152)-'Overall recycling rates'!$I$60/SUM('Overall recycling rates'!$I$60:$I$62)*('BTX Recycling HC'!AC153)</f>
        <v>123766.37283692458</v>
      </c>
      <c r="AE85" s="580">
        <f>AE24-'Overall recycling rates'!$G$60/SUM('Overall recycling rates'!$G$60:$G$62)*('BTX Recycling HC'!AD150)-'Overall recycling rates'!$E$60/SUM('Overall recycling rates'!$E$60:$E$62)*('BTX Recycling HC'!AD151)-'Overall recycling rates'!$H$60/SUM('Overall recycling rates'!$H$60:$H$62)*('BTX Recycling HC'!AD152)-'Overall recycling rates'!$I$60/SUM('Overall recycling rates'!$I$60:$I$62)*('BTX Recycling HC'!AD153)</f>
        <v>115944.53680053998</v>
      </c>
      <c r="AF85" s="580">
        <f>AF24-'Overall recycling rates'!$G$60/SUM('Overall recycling rates'!$G$60:$G$62)*('BTX Recycling HC'!AE150)-'Overall recycling rates'!$E$60/SUM('Overall recycling rates'!$E$60:$E$62)*('BTX Recycling HC'!AE151)-'Overall recycling rates'!$H$60/SUM('Overall recycling rates'!$H$60:$H$62)*('BTX Recycling HC'!AE152)-'Overall recycling rates'!$I$60/SUM('Overall recycling rates'!$I$60:$I$62)*('BTX Recycling HC'!AE153)</f>
        <v>108183.31604038604</v>
      </c>
      <c r="AG85" s="580">
        <f>AG24-'Overall recycling rates'!$G$60/SUM('Overall recycling rates'!$G$60:$G$62)*('BTX Recycling HC'!AF150)-'Overall recycling rates'!$E$60/SUM('Overall recycling rates'!$E$60:$E$62)*('BTX Recycling HC'!AF151)-'Overall recycling rates'!$H$60/SUM('Overall recycling rates'!$H$60:$H$62)*('BTX Recycling HC'!AF152)-'Overall recycling rates'!$I$60/SUM('Overall recycling rates'!$I$60:$I$62)*('BTX Recycling HC'!AF153)</f>
        <v>100483.48208920463</v>
      </c>
      <c r="AH85" s="580">
        <f>AH24-'Overall recycling rates'!$G$60/SUM('Overall recycling rates'!$G$60:$G$62)*('BTX Recycling HC'!AG150)-'Overall recycling rates'!$E$60/SUM('Overall recycling rates'!$E$60:$E$62)*('BTX Recycling HC'!AG151)-'Overall recycling rates'!$H$60/SUM('Overall recycling rates'!$H$60:$H$62)*('BTX Recycling HC'!AG152)-'Overall recycling rates'!$I$60/SUM('Overall recycling rates'!$I$60:$I$62)*('BTX Recycling HC'!AG153)</f>
        <v>92845.814741418944</v>
      </c>
      <c r="AI85" s="580"/>
      <c r="AJ85" s="580">
        <f>AJ24-'Overall recycling rates'!$G$60/SUM('Overall recycling rates'!$G$60:$G$62)*('BTX Recycling HC'!C150)-'Overall recycling rates'!$E$60/SUM('Overall recycling rates'!$E$60:$E$62)*('BTX Recycling HC'!C151)-'Overall recycling rates'!$H$60/SUM('Overall recycling rates'!$H$60:$H$62)*('BTX Recycling HC'!C152)-'Overall recycling rates'!$I$60/SUM('Overall recycling rates'!$I$60:$I$62)*('BTX Recycling HC'!C153)</f>
        <v>239531.49666983372</v>
      </c>
      <c r="AK85" s="580">
        <f>AK24-'Overall recycling rates'!$G$60/SUM('Overall recycling rates'!$G$60:$G$62)*('BTX Recycling HC'!D150)-'Overall recycling rates'!$E$60/SUM('Overall recycling rates'!$E$60:$E$62)*('BTX Recycling HC'!D151)-'Overall recycling rates'!$H$60/SUM('Overall recycling rates'!$H$60:$H$62)*('BTX Recycling HC'!D152)-'Overall recycling rates'!$I$60/SUM('Overall recycling rates'!$I$60:$I$62)*('BTX Recycling HC'!D153)</f>
        <v>237656.22223723633</v>
      </c>
      <c r="AL85" s="580">
        <f>AL24-'Overall recycling rates'!$G$60/SUM('Overall recycling rates'!$G$60:$G$62)*('BTX Recycling HC'!E150)-'Overall recycling rates'!$E$60/SUM('Overall recycling rates'!$E$60:$E$62)*('BTX Recycling HC'!E151)-'Overall recycling rates'!$H$60/SUM('Overall recycling rates'!$H$60:$H$62)*('BTX Recycling HC'!E152)-'Overall recycling rates'!$I$60/SUM('Overall recycling rates'!$I$60:$I$62)*('BTX Recycling HC'!E153)</f>
        <v>235781.18443851583</v>
      </c>
      <c r="AM85" s="580">
        <f>AM24-'Overall recycling rates'!$G$60/SUM('Overall recycling rates'!$G$60:$G$62)*('BTX Recycling HC'!F150)-'Overall recycling rates'!$E$60/SUM('Overall recycling rates'!$E$60:$E$62)*('BTX Recycling HC'!F151)-'Overall recycling rates'!$H$60/SUM('Overall recycling rates'!$H$60:$H$62)*('BTX Recycling HC'!F152)-'Overall recycling rates'!$I$60/SUM('Overall recycling rates'!$I$60:$I$62)*('BTX Recycling HC'!F153)</f>
        <v>233905.96404487683</v>
      </c>
      <c r="AN85" s="580">
        <f>AN24-'Overall recycling rates'!$G$60/SUM('Overall recycling rates'!$G$60:$G$62)*('BTX Recycling HC'!G150)-'Overall recycling rates'!$E$60/SUM('Overall recycling rates'!$E$60:$E$62)*('BTX Recycling HC'!G151)-'Overall recycling rates'!$H$60/SUM('Overall recycling rates'!$H$60:$H$62)*('BTX Recycling HC'!G152)-'Overall recycling rates'!$I$60/SUM('Overall recycling rates'!$I$60:$I$62)*('BTX Recycling HC'!G153)</f>
        <v>232030.17988999785</v>
      </c>
      <c r="AO85" s="580">
        <f>AO24-'Overall recycling rates'!$G$60/SUM('Overall recycling rates'!$G$60:$G$62)*('BTX Recycling HC'!H150)-'Overall recycling rates'!$E$60/SUM('Overall recycling rates'!$E$60:$E$62)*('BTX Recycling HC'!H151)-'Overall recycling rates'!$H$60/SUM('Overall recycling rates'!$H$60:$H$62)*('BTX Recycling HC'!H152)-'Overall recycling rates'!$I$60/SUM('Overall recycling rates'!$I$60:$I$62)*('BTX Recycling HC'!H153)</f>
        <v>230153.48847216129</v>
      </c>
      <c r="AP85" s="580">
        <f>AP24-'Overall recycling rates'!$G$60/SUM('Overall recycling rates'!$G$60:$G$62)*('BTX Recycling HC'!I150)-'Overall recycling rates'!$E$60/SUM('Overall recycling rates'!$E$60:$E$62)*('BTX Recycling HC'!I151)-'Overall recycling rates'!$H$60/SUM('Overall recycling rates'!$H$60:$H$62)*('BTX Recycling HC'!I152)-'Overall recycling rates'!$I$60/SUM('Overall recycling rates'!$I$60:$I$62)*('BTX Recycling HC'!I153)</f>
        <v>228275.58355894871</v>
      </c>
      <c r="AQ85" s="580">
        <f>AQ24-'Overall recycling rates'!$G$60/SUM('Overall recycling rates'!$G$60:$G$62)*('BTX Recycling HC'!J150)-'Overall recycling rates'!$E$60/SUM('Overall recycling rates'!$E$60:$E$62)*('BTX Recycling HC'!J151)-'Overall recycling rates'!$H$60/SUM('Overall recycling rates'!$H$60:$H$62)*('BTX Recycling HC'!J152)-'Overall recycling rates'!$I$60/SUM('Overall recycling rates'!$I$60:$I$62)*('BTX Recycling HC'!J153)</f>
        <v>226396.19579448781</v>
      </c>
      <c r="AR85" s="580">
        <f>AR24-'Overall recycling rates'!$G$60/SUM('Overall recycling rates'!$G$60:$G$62)*('BTX Recycling HC'!K150)-'Overall recycling rates'!$E$60/SUM('Overall recycling rates'!$E$60:$E$62)*('BTX Recycling HC'!K151)-'Overall recycling rates'!$H$60/SUM('Overall recycling rates'!$H$60:$H$62)*('BTX Recycling HC'!K152)-'Overall recycling rates'!$I$60/SUM('Overall recycling rates'!$I$60:$I$62)*('BTX Recycling HC'!K153)</f>
        <v>224515.0923092395</v>
      </c>
      <c r="AS85" s="580">
        <f>AS24-'Overall recycling rates'!$G$60/SUM('Overall recycling rates'!$G$60:$G$62)*('BTX Recycling HC'!L150)-'Overall recycling rates'!$E$60/SUM('Overall recycling rates'!$E$60:$E$62)*('BTX Recycling HC'!L151)-'Overall recycling rates'!$H$60/SUM('Overall recycling rates'!$H$60:$H$62)*('BTX Recycling HC'!L152)-'Overall recycling rates'!$I$60/SUM('Overall recycling rates'!$I$60:$I$62)*('BTX Recycling HC'!L153)</f>
        <v>222632.07633231173</v>
      </c>
      <c r="AT85" s="580">
        <f>AT24-'Overall recycling rates'!$G$60/SUM('Overall recycling rates'!$G$60:$G$62)*('BTX Recycling HC'!M150)-'Overall recycling rates'!$E$60/SUM('Overall recycling rates'!$E$60:$E$62)*('BTX Recycling HC'!M151)-'Overall recycling rates'!$H$60/SUM('Overall recycling rates'!$H$60:$H$62)*('BTX Recycling HC'!M152)-'Overall recycling rates'!$I$60/SUM('Overall recycling rates'!$I$60:$I$62)*('BTX Recycling HC'!M153)</f>
        <v>220746.98680628694</v>
      </c>
      <c r="AU85" s="580">
        <f>AU24-'Overall recycling rates'!$G$60/SUM('Overall recycling rates'!$G$60:$G$62)*('BTX Recycling HC'!N150)-'Overall recycling rates'!$E$60/SUM('Overall recycling rates'!$E$60:$E$62)*('BTX Recycling HC'!N151)-'Overall recycling rates'!$H$60/SUM('Overall recycling rates'!$H$60:$H$62)*('BTX Recycling HC'!N152)-'Overall recycling rates'!$I$60/SUM('Overall recycling rates'!$I$60:$I$62)*('BTX Recycling HC'!N153)</f>
        <v>218298.33353156413</v>
      </c>
      <c r="AV85" s="580">
        <f>AV24-'Overall recycling rates'!$G$60/SUM('Overall recycling rates'!$G$60:$G$62)*('BTX Recycling HC'!O150)-'Overall recycling rates'!$E$60/SUM('Overall recycling rates'!$E$60:$E$62)*('BTX Recycling HC'!O151)-'Overall recycling rates'!$H$60/SUM('Overall recycling rates'!$H$60:$H$62)*('BTX Recycling HC'!O152)-'Overall recycling rates'!$I$60/SUM('Overall recycling rates'!$I$60:$I$62)*('BTX Recycling HC'!O153)</f>
        <v>215843.48897423738</v>
      </c>
      <c r="AW85" s="580">
        <f>AW24-'Overall recycling rates'!$G$60/SUM('Overall recycling rates'!$G$60:$G$62)*('BTX Recycling HC'!P150)-'Overall recycling rates'!$E$60/SUM('Overall recycling rates'!$E$60:$E$62)*('BTX Recycling HC'!P151)-'Overall recycling rates'!$H$60/SUM('Overall recycling rates'!$H$60:$H$62)*('BTX Recycling HC'!P152)-'Overall recycling rates'!$I$60/SUM('Overall recycling rates'!$I$60:$I$62)*('BTX Recycling HC'!P153)</f>
        <v>213389.10047193035</v>
      </c>
      <c r="AX85" s="580">
        <f>AX24-'Overall recycling rates'!$G$60/SUM('Overall recycling rates'!$G$60:$G$62)*('BTX Recycling HC'!Q150)-'Overall recycling rates'!$E$60/SUM('Overall recycling rates'!$E$60:$E$62)*('BTX Recycling HC'!Q151)-'Overall recycling rates'!$H$60/SUM('Overall recycling rates'!$H$60:$H$62)*('BTX Recycling HC'!Q152)-'Overall recycling rates'!$I$60/SUM('Overall recycling rates'!$I$60:$I$62)*('BTX Recycling HC'!Q153)</f>
        <v>210930.40112393358</v>
      </c>
      <c r="AY85" s="580">
        <f>AY24-'Overall recycling rates'!$G$60/SUM('Overall recycling rates'!$G$60:$G$62)*('BTX Recycling HC'!R150)-'Overall recycling rates'!$E$60/SUM('Overall recycling rates'!$E$60:$E$62)*('BTX Recycling HC'!R151)-'Overall recycling rates'!$H$60/SUM('Overall recycling rates'!$H$60:$H$62)*('BTX Recycling HC'!R152)-'Overall recycling rates'!$I$60/SUM('Overall recycling rates'!$I$60:$I$62)*('BTX Recycling HC'!R153)</f>
        <v>208467.78239481282</v>
      </c>
      <c r="AZ85" s="580">
        <f>AZ24-'Overall recycling rates'!$G$60/SUM('Overall recycling rates'!$G$60:$G$62)*('BTX Recycling HC'!S150)-'Overall recycling rates'!$E$60/SUM('Overall recycling rates'!$E$60:$E$62)*('BTX Recycling HC'!S151)-'Overall recycling rates'!$H$60/SUM('Overall recycling rates'!$H$60:$H$62)*('BTX Recycling HC'!S152)-'Overall recycling rates'!$I$60/SUM('Overall recycling rates'!$I$60:$I$62)*('BTX Recycling HC'!S153)</f>
        <v>206001.65355692996</v>
      </c>
      <c r="BA85" s="580">
        <f>BA24-'Overall recycling rates'!$G$60/SUM('Overall recycling rates'!$G$60:$G$62)*('BTX Recycling HC'!T150)-'Overall recycling rates'!$E$60/SUM('Overall recycling rates'!$E$60:$E$62)*('BTX Recycling HC'!T151)-'Overall recycling rates'!$H$60/SUM('Overall recycling rates'!$H$60:$H$62)*('BTX Recycling HC'!T152)-'Overall recycling rates'!$I$60/SUM('Overall recycling rates'!$I$60:$I$62)*('BTX Recycling HC'!T153)</f>
        <v>203532.44108838669</v>
      </c>
      <c r="BB85" s="580">
        <f>BB24-'Overall recycling rates'!$G$60/SUM('Overall recycling rates'!$G$60:$G$62)*('BTX Recycling HC'!U150)-'Overall recycling rates'!$E$60/SUM('Overall recycling rates'!$E$60:$E$62)*('BTX Recycling HC'!U151)-'Overall recycling rates'!$H$60/SUM('Overall recycling rates'!$H$60:$H$62)*('BTX Recycling HC'!U152)-'Overall recycling rates'!$I$60/SUM('Overall recycling rates'!$I$60:$I$62)*('BTX Recycling HC'!U153)</f>
        <v>201060.5880701807</v>
      </c>
      <c r="BC85" s="580">
        <f>BC24-'Overall recycling rates'!$G$60/SUM('Overall recycling rates'!$G$60:$G$62)*('BTX Recycling HC'!V150)-'Overall recycling rates'!$E$60/SUM('Overall recycling rates'!$E$60:$E$62)*('BTX Recycling HC'!V151)-'Overall recycling rates'!$H$60/SUM('Overall recycling rates'!$H$60:$H$62)*('BTX Recycling HC'!V152)-'Overall recycling rates'!$I$60/SUM('Overall recycling rates'!$I$60:$I$62)*('BTX Recycling HC'!V153)</f>
        <v>198586.55358264039</v>
      </c>
      <c r="BD85" s="580">
        <f>BD24-'Overall recycling rates'!$G$60/SUM('Overall recycling rates'!$G$60:$G$62)*('BTX Recycling HC'!W150)-'Overall recycling rates'!$E$60/SUM('Overall recycling rates'!$E$60:$E$62)*('BTX Recycling HC'!W151)-'Overall recycling rates'!$H$60/SUM('Overall recycling rates'!$H$60:$H$62)*('BTX Recycling HC'!W152)-'Overall recycling rates'!$I$60/SUM('Overall recycling rates'!$I$60:$I$62)*('BTX Recycling HC'!W153)</f>
        <v>196110.81210120584</v>
      </c>
      <c r="BE85" s="580">
        <f>BE24-'Overall recycling rates'!$G$60/SUM('Overall recycling rates'!$G$60:$G$62)*('BTX Recycling HC'!X150)-'Overall recycling rates'!$E$60/SUM('Overall recycling rates'!$E$60:$E$62)*('BTX Recycling HC'!X151)-'Overall recycling rates'!$H$60/SUM('Overall recycling rates'!$H$60:$H$62)*('BTX Recycling HC'!X152)-'Overall recycling rates'!$I$60/SUM('Overall recycling rates'!$I$60:$I$62)*('BTX Recycling HC'!X153)</f>
        <v>191422.28172723879</v>
      </c>
      <c r="BF85" s="580">
        <f>BF24-'Overall recycling rates'!$G$60/SUM('Overall recycling rates'!$G$60:$G$62)*('BTX Recycling HC'!Y150)-'Overall recycling rates'!$E$60/SUM('Overall recycling rates'!$E$60:$E$62)*('BTX Recycling HC'!Y151)-'Overall recycling rates'!$H$60/SUM('Overall recycling rates'!$H$60:$H$62)*('BTX Recycling HC'!Y152)-'Overall recycling rates'!$I$60/SUM('Overall recycling rates'!$I$60:$I$62)*('BTX Recycling HC'!Y153)</f>
        <v>186755.66553360474</v>
      </c>
      <c r="BG85" s="580">
        <f>BG24-'Overall recycling rates'!$G$60/SUM('Overall recycling rates'!$G$60:$G$62)*('BTX Recycling HC'!Z150)-'Overall recycling rates'!$E$60/SUM('Overall recycling rates'!$E$60:$E$62)*('BTX Recycling HC'!Z151)-'Overall recycling rates'!$H$60/SUM('Overall recycling rates'!$H$60:$H$62)*('BTX Recycling HC'!Z152)-'Overall recycling rates'!$I$60/SUM('Overall recycling rates'!$I$60:$I$62)*('BTX Recycling HC'!Z153)</f>
        <v>182147.06161177857</v>
      </c>
      <c r="BH85" s="580">
        <f>BH24-'Overall recycling rates'!$G$60/SUM('Overall recycling rates'!$G$60:$G$62)*('BTX Recycling HC'!AA150)-'Overall recycling rates'!$E$60/SUM('Overall recycling rates'!$E$60:$E$62)*('BTX Recycling HC'!AA151)-'Overall recycling rates'!$H$60/SUM('Overall recycling rates'!$H$60:$H$62)*('BTX Recycling HC'!AA152)-'Overall recycling rates'!$I$60/SUM('Overall recycling rates'!$I$60:$I$62)*('BTX Recycling HC'!AA153)</f>
        <v>177567.20261285629</v>
      </c>
      <c r="BI85" s="580">
        <f>BI24-'Overall recycling rates'!$G$60/SUM('Overall recycling rates'!$G$60:$G$62)*('BTX Recycling HC'!AB150)-'Overall recycling rates'!$E$60/SUM('Overall recycling rates'!$E$60:$E$62)*('BTX Recycling HC'!AB151)-'Overall recycling rates'!$H$60/SUM('Overall recycling rates'!$H$60:$H$62)*('BTX Recycling HC'!AB152)-'Overall recycling rates'!$I$60/SUM('Overall recycling rates'!$I$60:$I$62)*('BTX Recycling HC'!AB153)</f>
        <v>173016.89741021968</v>
      </c>
      <c r="BJ85" s="580">
        <f>BJ24-'Overall recycling rates'!$G$60/SUM('Overall recycling rates'!$G$60:$G$62)*('BTX Recycling HC'!AC150)-'Overall recycling rates'!$E$60/SUM('Overall recycling rates'!$E$60:$E$62)*('BTX Recycling HC'!AC151)-'Overall recycling rates'!$H$60/SUM('Overall recycling rates'!$H$60:$H$62)*('BTX Recycling HC'!AC152)-'Overall recycling rates'!$I$60/SUM('Overall recycling rates'!$I$60:$I$62)*('BTX Recycling HC'!AC153)</f>
        <v>168496.97551995525</v>
      </c>
      <c r="BK85" s="580">
        <f>BK24-'Overall recycling rates'!$G$60/SUM('Overall recycling rates'!$G$60:$G$62)*('BTX Recycling HC'!AD150)-'Overall recycling rates'!$E$60/SUM('Overall recycling rates'!$E$60:$E$62)*('BTX Recycling HC'!AD151)-'Overall recycling rates'!$H$60/SUM('Overall recycling rates'!$H$60:$H$62)*('BTX Recycling HC'!AD152)-'Overall recycling rates'!$I$60/SUM('Overall recycling rates'!$I$60:$I$62)*('BTX Recycling HC'!AD153)</f>
        <v>164008.28428157035</v>
      </c>
      <c r="BL85" s="580">
        <f>BL24-'Overall recycling rates'!$G$60/SUM('Overall recycling rates'!$G$60:$G$62)*('BTX Recycling HC'!AE150)-'Overall recycling rates'!$E$60/SUM('Overall recycling rates'!$E$60:$E$62)*('BTX Recycling HC'!AE151)-'Overall recycling rates'!$H$60/SUM('Overall recycling rates'!$H$60:$H$62)*('BTX Recycling HC'!AE152)-'Overall recycling rates'!$I$60/SUM('Overall recycling rates'!$I$60:$I$62)*('BTX Recycling HC'!AE153)</f>
        <v>159551.68599226113</v>
      </c>
      <c r="BM85" s="580">
        <f>BM24-'Overall recycling rates'!$G$60/SUM('Overall recycling rates'!$G$60:$G$62)*('BTX Recycling HC'!AF150)-'Overall recycling rates'!$E$60/SUM('Overall recycling rates'!$E$60:$E$62)*('BTX Recycling HC'!AF151)-'Overall recycling rates'!$H$60/SUM('Overall recycling rates'!$H$60:$H$62)*('BTX Recycling HC'!AF152)-'Overall recycling rates'!$I$60/SUM('Overall recycling rates'!$I$60:$I$62)*('BTX Recycling HC'!AF153)</f>
        <v>155128.0549957318</v>
      </c>
      <c r="BN85" s="580">
        <f>BN24-'Overall recycling rates'!$G$60/SUM('Overall recycling rates'!$G$60:$G$62)*('BTX Recycling HC'!AG150)-'Overall recycling rates'!$E$60/SUM('Overall recycling rates'!$E$60:$E$62)*('BTX Recycling HC'!AG151)-'Overall recycling rates'!$H$60/SUM('Overall recycling rates'!$H$60:$H$62)*('BTX Recycling HC'!AG152)-'Overall recycling rates'!$I$60/SUM('Overall recycling rates'!$I$60:$I$62)*('BTX Recycling HC'!AG153)</f>
        <v>150738.27472655292</v>
      </c>
      <c r="BQ85" s="649"/>
      <c r="BR85" s="649"/>
      <c r="BS85" s="649"/>
      <c r="BT85" s="649"/>
      <c r="BU85" s="649"/>
      <c r="BV85" s="649"/>
      <c r="BW85" s="649"/>
      <c r="BX85" s="649"/>
      <c r="BY85" s="649"/>
      <c r="BZ85" s="649"/>
      <c r="CA85" s="649"/>
      <c r="CB85" s="649"/>
      <c r="CC85" s="649"/>
      <c r="CD85" s="649"/>
      <c r="CE85" s="649"/>
      <c r="CF85" s="649"/>
      <c r="CG85" s="649"/>
      <c r="CH85" s="649"/>
      <c r="CI85" s="649"/>
      <c r="CJ85" s="649"/>
      <c r="CK85" s="649"/>
      <c r="CL85" s="649"/>
    </row>
    <row r="86" spans="1:90" outlineLevel="1">
      <c r="A86" s="603"/>
      <c r="B86" s="1" t="s">
        <v>717</v>
      </c>
      <c r="C86" s="50" t="s">
        <v>1420</v>
      </c>
      <c r="D86" s="576">
        <f>D25-'Overall recycling rates'!$G$61/SUM('Overall recycling rates'!$G$60:$G$62)*('BTX Recycling HC'!C150)-'Overall recycling rates'!$E$61/SUM('Overall recycling rates'!$E$60:$E$62)*('BTX Recycling HC'!C151)-'Overall recycling rates'!$H$61/SUM('Overall recycling rates'!$H$60:$H$62)*('BTX Recycling HC'!C152)-'Overall recycling rates'!$I$61/SUM('Overall recycling rates'!$I$60:$I$62)*('BTX Recycling HC'!C153)</f>
        <v>164402.51278930038</v>
      </c>
      <c r="E86" s="576">
        <f>E25-'Overall recycling rates'!$G$61/SUM('Overall recycling rates'!$G$60:$G$62)*('BTX Recycling HC'!D150)-'Overall recycling rates'!$E$61/SUM('Overall recycling rates'!$E$60:$E$62)*('BTX Recycling HC'!D151)-'Overall recycling rates'!$H$61/SUM('Overall recycling rates'!$H$60:$H$62)*('BTX Recycling HC'!D152)-'Overall recycling rates'!$I$61/SUM('Overall recycling rates'!$I$60:$I$62)*('BTX Recycling HC'!D153)</f>
        <v>162705.8342801714</v>
      </c>
      <c r="F86" s="576">
        <f>F25-'Overall recycling rates'!$G$61/SUM('Overall recycling rates'!$G$60:$G$62)*('BTX Recycling HC'!E150)-'Overall recycling rates'!$E$61/SUM('Overall recycling rates'!$E$60:$E$62)*('BTX Recycling HC'!E151)-'Overall recycling rates'!$H$61/SUM('Overall recycling rates'!$H$60:$H$62)*('BTX Recycling HC'!E152)-'Overall recycling rates'!$I$61/SUM('Overall recycling rates'!$I$60:$I$62)*('BTX Recycling HC'!E153)</f>
        <v>161017.83153490594</v>
      </c>
      <c r="G86" s="576">
        <f>G25-'Overall recycling rates'!$G$61/SUM('Overall recycling rates'!$G$60:$G$62)*('BTX Recycling HC'!F150)-'Overall recycling rates'!$E$61/SUM('Overall recycling rates'!$E$60:$E$62)*('BTX Recycling HC'!F151)-'Overall recycling rates'!$H$61/SUM('Overall recycling rates'!$H$60:$H$62)*('BTX Recycling HC'!F152)-'Overall recycling rates'!$I$61/SUM('Overall recycling rates'!$I$60:$I$62)*('BTX Recycling HC'!F153)</f>
        <v>159338.10683196591</v>
      </c>
      <c r="H86" s="576">
        <f>H25-'Overall recycling rates'!$G$61/SUM('Overall recycling rates'!$G$60:$G$62)*('BTX Recycling HC'!G150)-'Overall recycling rates'!$E$61/SUM('Overall recycling rates'!$E$60:$E$62)*('BTX Recycling HC'!G151)-'Overall recycling rates'!$H$61/SUM('Overall recycling rates'!$H$60:$H$62)*('BTX Recycling HC'!G152)-'Overall recycling rates'!$I$61/SUM('Overall recycling rates'!$I$60:$I$62)*('BTX Recycling HC'!G153)</f>
        <v>157666.24899773466</v>
      </c>
      <c r="I86" s="576">
        <f>I25-'Overall recycling rates'!$G$61/SUM('Overall recycling rates'!$G$60:$G$62)*('BTX Recycling HC'!H150)-'Overall recycling rates'!$E$61/SUM('Overall recycling rates'!$E$60:$E$62)*('BTX Recycling HC'!H151)-'Overall recycling rates'!$H$61/SUM('Overall recycling rates'!$H$60:$H$62)*('BTX Recycling HC'!H152)-'Overall recycling rates'!$I$61/SUM('Overall recycling rates'!$I$60:$I$62)*('BTX Recycling HC'!H153)</f>
        <v>156001.8335754943</v>
      </c>
      <c r="J86" s="576">
        <f>J25-'Overall recycling rates'!$G$61/SUM('Overall recycling rates'!$G$60:$G$62)*('BTX Recycling HC'!I150)-'Overall recycling rates'!$E$61/SUM('Overall recycling rates'!$E$60:$E$62)*('BTX Recycling HC'!I151)-'Overall recycling rates'!$H$61/SUM('Overall recycling rates'!$H$60:$H$62)*('BTX Recycling HC'!I152)-'Overall recycling rates'!$I$61/SUM('Overall recycling rates'!$I$60:$I$62)*('BTX Recycling HC'!I153)</f>
        <v>154344.42299321631</v>
      </c>
      <c r="K86" s="576">
        <f>K25-'Overall recycling rates'!$G$61/SUM('Overall recycling rates'!$G$60:$G$62)*('BTX Recycling HC'!J150)-'Overall recycling rates'!$E$61/SUM('Overall recycling rates'!$E$60:$E$62)*('BTX Recycling HC'!J151)-'Overall recycling rates'!$H$61/SUM('Overall recycling rates'!$H$60:$H$62)*('BTX Recycling HC'!J152)-'Overall recycling rates'!$I$61/SUM('Overall recycling rates'!$I$60:$I$62)*('BTX Recycling HC'!J153)</f>
        <v>152693.5667301706</v>
      </c>
      <c r="L86" s="576">
        <f>L25-'Overall recycling rates'!$G$61/SUM('Overall recycling rates'!$G$60:$G$62)*('BTX Recycling HC'!K150)-'Overall recycling rates'!$E$61/SUM('Overall recycling rates'!$E$60:$E$62)*('BTX Recycling HC'!K151)-'Overall recycling rates'!$H$61/SUM('Overall recycling rates'!$H$60:$H$62)*('BTX Recycling HC'!K152)-'Overall recycling rates'!$I$61/SUM('Overall recycling rates'!$I$60:$I$62)*('BTX Recycling HC'!K153)</f>
        <v>151048.80148236133</v>
      </c>
      <c r="M86" s="576">
        <f>M25-'Overall recycling rates'!$G$61/SUM('Overall recycling rates'!$G$60:$G$62)*('BTX Recycling HC'!L150)-'Overall recycling rates'!$E$61/SUM('Overall recycling rates'!$E$60:$E$62)*('BTX Recycling HC'!L151)-'Overall recycling rates'!$H$61/SUM('Overall recycling rates'!$H$60:$H$62)*('BTX Recycling HC'!L152)-'Overall recycling rates'!$I$61/SUM('Overall recycling rates'!$I$60:$I$62)*('BTX Recycling HC'!L153)</f>
        <v>149409.65132679386</v>
      </c>
      <c r="N86" s="576">
        <f>N25-'Overall recycling rates'!$G$61/SUM('Overall recycling rates'!$G$60:$G$62)*('BTX Recycling HC'!M150)-'Overall recycling rates'!$E$61/SUM('Overall recycling rates'!$E$60:$E$62)*('BTX Recycling HC'!M151)-'Overall recycling rates'!$H$61/SUM('Overall recycling rates'!$H$60:$H$62)*('BTX Recycling HC'!M152)-'Overall recycling rates'!$I$61/SUM('Overall recycling rates'!$I$60:$I$62)*('BTX Recycling HC'!M153)</f>
        <v>147775.62788458122</v>
      </c>
      <c r="O86" s="576">
        <f>O25-'Overall recycling rates'!$G$61/SUM('Overall recycling rates'!$G$60:$G$62)*('BTX Recycling HC'!N150)-'Overall recycling rates'!$E$61/SUM('Overall recycling rates'!$E$60:$E$62)*('BTX Recycling HC'!N151)-'Overall recycling rates'!$H$61/SUM('Overall recycling rates'!$H$60:$H$62)*('BTX Recycling HC'!N152)-'Overall recycling rates'!$I$61/SUM('Overall recycling rates'!$I$60:$I$62)*('BTX Recycling HC'!N153)</f>
        <v>144894.75390802967</v>
      </c>
      <c r="P86" s="576">
        <f>P25-'Overall recycling rates'!$G$61/SUM('Overall recycling rates'!$G$60:$G$62)*('BTX Recycling HC'!O150)-'Overall recycling rates'!$E$61/SUM('Overall recycling rates'!$E$60:$E$62)*('BTX Recycling HC'!O151)-'Overall recycling rates'!$H$61/SUM('Overall recycling rates'!$H$60:$H$62)*('BTX Recycling HC'!O152)-'Overall recycling rates'!$I$61/SUM('Overall recycling rates'!$I$60:$I$62)*('BTX Recycling HC'!O153)</f>
        <v>142015.34129199045</v>
      </c>
      <c r="Q86" s="576">
        <f>Q25-'Overall recycling rates'!$G$61/SUM('Overall recycling rates'!$G$60:$G$62)*('BTX Recycling HC'!P150)-'Overall recycling rates'!$E$61/SUM('Overall recycling rates'!$E$60:$E$62)*('BTX Recycling HC'!P151)-'Overall recycling rates'!$H$61/SUM('Overall recycling rates'!$H$60:$H$62)*('BTX Recycling HC'!P152)-'Overall recycling rates'!$I$61/SUM('Overall recycling rates'!$I$60:$I$62)*('BTX Recycling HC'!P153)</f>
        <v>139139.11568765991</v>
      </c>
      <c r="R86" s="576">
        <f>R25-'Overall recycling rates'!$G$61/SUM('Overall recycling rates'!$G$60:$G$62)*('BTX Recycling HC'!Q150)-'Overall recycling rates'!$E$61/SUM('Overall recycling rates'!$E$60:$E$62)*('BTX Recycling HC'!Q151)-'Overall recycling rates'!$H$61/SUM('Overall recycling rates'!$H$60:$H$62)*('BTX Recycling HC'!Q152)-'Overall recycling rates'!$I$61/SUM('Overall recycling rates'!$I$60:$I$62)*('BTX Recycling HC'!Q153)</f>
        <v>136264.59374129985</v>
      </c>
      <c r="S86" s="576">
        <f>S25-'Overall recycling rates'!$G$61/SUM('Overall recycling rates'!$G$60:$G$62)*('BTX Recycling HC'!R150)-'Overall recycling rates'!$E$61/SUM('Overall recycling rates'!$E$60:$E$62)*('BTX Recycling HC'!R151)-'Overall recycling rates'!$H$61/SUM('Overall recycling rates'!$H$60:$H$62)*('BTX Recycling HC'!R152)-'Overall recycling rates'!$I$61/SUM('Overall recycling rates'!$I$60:$I$62)*('BTX Recycling HC'!R153)</f>
        <v>133391.6906644</v>
      </c>
      <c r="T86" s="576">
        <f>T25-'Overall recycling rates'!$G$61/SUM('Overall recycling rates'!$G$60:$G$62)*('BTX Recycling HC'!S150)-'Overall recycling rates'!$E$61/SUM('Overall recycling rates'!$E$60:$E$62)*('BTX Recycling HC'!S151)-'Overall recycling rates'!$H$61/SUM('Overall recycling rates'!$H$60:$H$62)*('BTX Recycling HC'!S152)-'Overall recycling rates'!$I$61/SUM('Overall recycling rates'!$I$60:$I$62)*('BTX Recycling HC'!S153)</f>
        <v>130520.31579872654</v>
      </c>
      <c r="U86" s="576">
        <f>U25-'Overall recycling rates'!$G$61/SUM('Overall recycling rates'!$G$60:$G$62)*('BTX Recycling HC'!T150)-'Overall recycling rates'!$E$61/SUM('Overall recycling rates'!$E$60:$E$62)*('BTX Recycling HC'!T151)-'Overall recycling rates'!$H$61/SUM('Overall recycling rates'!$H$60:$H$62)*('BTX Recycling HC'!T152)-'Overall recycling rates'!$I$61/SUM('Overall recycling rates'!$I$60:$I$62)*('BTX Recycling HC'!T153)</f>
        <v>127650.37297995151</v>
      </c>
      <c r="V86" s="576">
        <f>V25-'Overall recycling rates'!$G$61/SUM('Overall recycling rates'!$G$60:$G$62)*('BTX Recycling HC'!U150)-'Overall recycling rates'!$E$61/SUM('Overall recycling rates'!$E$60:$E$62)*('BTX Recycling HC'!U151)-'Overall recycling rates'!$H$61/SUM('Overall recycling rates'!$H$60:$H$62)*('BTX Recycling HC'!U152)-'Overall recycling rates'!$I$61/SUM('Overall recycling rates'!$I$60:$I$62)*('BTX Recycling HC'!U153)</f>
        <v>124781.76090027871</v>
      </c>
      <c r="W86" s="576">
        <f>W25-'Overall recycling rates'!$G$61/SUM('Overall recycling rates'!$G$60:$G$62)*('BTX Recycling HC'!V150)-'Overall recycling rates'!$E$61/SUM('Overall recycling rates'!$E$60:$E$62)*('BTX Recycling HC'!V151)-'Overall recycling rates'!$H$61/SUM('Overall recycling rates'!$H$60:$H$62)*('BTX Recycling HC'!V152)-'Overall recycling rates'!$I$61/SUM('Overall recycling rates'!$I$60:$I$62)*('BTX Recycling HC'!V153)</f>
        <v>121914.37347004868</v>
      </c>
      <c r="X86" s="576">
        <f>X25-'Overall recycling rates'!$G$61/SUM('Overall recycling rates'!$G$60:$G$62)*('BTX Recycling HC'!W150)-'Overall recycling rates'!$E$61/SUM('Overall recycling rates'!$E$60:$E$62)*('BTX Recycling HC'!W151)-'Overall recycling rates'!$H$61/SUM('Overall recycling rates'!$H$60:$H$62)*('BTX Recycling HC'!W152)-'Overall recycling rates'!$I$61/SUM('Overall recycling rates'!$I$60:$I$62)*('BTX Recycling HC'!W153)</f>
        <v>119048.10017830349</v>
      </c>
      <c r="Y86" s="576">
        <f>Y25-'Overall recycling rates'!$G$61/SUM('Overall recycling rates'!$G$60:$G$62)*('BTX Recycling HC'!X150)-'Overall recycling rates'!$E$61/SUM('Overall recycling rates'!$E$60:$E$62)*('BTX Recycling HC'!X151)-'Overall recycling rates'!$H$61/SUM('Overall recycling rates'!$H$60:$H$62)*('BTX Recycling HC'!X152)-'Overall recycling rates'!$I$61/SUM('Overall recycling rates'!$I$60:$I$62)*('BTX Recycling HC'!X153)</f>
        <v>113474.56331279312</v>
      </c>
      <c r="Z86" s="576">
        <f>Z25-'Overall recycling rates'!$G$61/SUM('Overall recycling rates'!$G$60:$G$62)*('BTX Recycling HC'!Y150)-'Overall recycling rates'!$E$61/SUM('Overall recycling rates'!$E$60:$E$62)*('BTX Recycling HC'!Y151)-'Overall recycling rates'!$H$61/SUM('Overall recycling rates'!$H$60:$H$62)*('BTX Recycling HC'!Y152)-'Overall recycling rates'!$I$61/SUM('Overall recycling rates'!$I$60:$I$62)*('BTX Recycling HC'!Y153)</f>
        <v>107931.81882968333</v>
      </c>
      <c r="AA86" s="576">
        <f>AA25-'Overall recycling rates'!$G$61/SUM('Overall recycling rates'!$G$60:$G$62)*('BTX Recycling HC'!Z150)-'Overall recycling rates'!$E$61/SUM('Overall recycling rates'!$E$60:$E$62)*('BTX Recycling HC'!Z151)-'Overall recycling rates'!$H$61/SUM('Overall recycling rates'!$H$60:$H$62)*('BTX Recycling HC'!Z152)-'Overall recycling rates'!$I$61/SUM('Overall recycling rates'!$I$60:$I$62)*('BTX Recycling HC'!Z153)</f>
        <v>102433.36466327231</v>
      </c>
      <c r="AB86" s="576">
        <f>AB25-'Overall recycling rates'!$G$61/SUM('Overall recycling rates'!$G$60:$G$62)*('BTX Recycling HC'!AA150)-'Overall recycling rates'!$E$61/SUM('Overall recycling rates'!$E$60:$E$62)*('BTX Recycling HC'!AA151)-'Overall recycling rates'!$H$61/SUM('Overall recycling rates'!$H$60:$H$62)*('BTX Recycling HC'!AA152)-'Overall recycling rates'!$I$61/SUM('Overall recycling rates'!$I$60:$I$62)*('BTX Recycling HC'!AA153)</f>
        <v>96967.918324528466</v>
      </c>
      <c r="AC86" s="576">
        <f>AC25-'Overall recycling rates'!$G$61/SUM('Overall recycling rates'!$G$60:$G$62)*('BTX Recycling HC'!AB150)-'Overall recycling rates'!$E$61/SUM('Overall recycling rates'!$E$60:$E$62)*('BTX Recycling HC'!AB151)-'Overall recycling rates'!$H$61/SUM('Overall recycling rates'!$H$60:$H$62)*('BTX Recycling HC'!AB152)-'Overall recycling rates'!$I$61/SUM('Overall recycling rates'!$I$60:$I$62)*('BTX Recycling HC'!AB153)</f>
        <v>91535.356467275007</v>
      </c>
      <c r="AD86" s="576">
        <f>AD25-'Overall recycling rates'!$G$61/SUM('Overall recycling rates'!$G$60:$G$62)*('BTX Recycling HC'!AC150)-'Overall recycling rates'!$E$61/SUM('Overall recycling rates'!$E$60:$E$62)*('BTX Recycling HC'!AC151)-'Overall recycling rates'!$H$61/SUM('Overall recycling rates'!$H$60:$H$62)*('BTX Recycling HC'!AC152)-'Overall recycling rates'!$I$61/SUM('Overall recycling rates'!$I$60:$I$62)*('BTX Recycling HC'!AC153)</f>
        <v>86135.587428130239</v>
      </c>
      <c r="AE86" s="576">
        <f>AE25-'Overall recycling rates'!$G$61/SUM('Overall recycling rates'!$G$60:$G$62)*('BTX Recycling HC'!AD150)-'Overall recycling rates'!$E$61/SUM('Overall recycling rates'!$E$60:$E$62)*('BTX Recycling HC'!AD151)-'Overall recycling rates'!$H$61/SUM('Overall recycling rates'!$H$60:$H$62)*('BTX Recycling HC'!AD152)-'Overall recycling rates'!$I$61/SUM('Overall recycling rates'!$I$60:$I$62)*('BTX Recycling HC'!AD153)</f>
        <v>80768.553043059161</v>
      </c>
      <c r="AF86" s="576">
        <f>AF25-'Overall recycling rates'!$G$61/SUM('Overall recycling rates'!$G$60:$G$62)*('BTX Recycling HC'!AE150)-'Overall recycling rates'!$E$61/SUM('Overall recycling rates'!$E$60:$E$62)*('BTX Recycling HC'!AE151)-'Overall recycling rates'!$H$61/SUM('Overall recycling rates'!$H$60:$H$62)*('BTX Recycling HC'!AE152)-'Overall recycling rates'!$I$61/SUM('Overall recycling rates'!$I$60:$I$62)*('BTX Recycling HC'!AE153)</f>
        <v>75434.230477018835</v>
      </c>
      <c r="AG86" s="576">
        <f>AG25-'Overall recycling rates'!$G$61/SUM('Overall recycling rates'!$G$60:$G$62)*('BTX Recycling HC'!AF150)-'Overall recycling rates'!$E$61/SUM('Overall recycling rates'!$E$60:$E$62)*('BTX Recycling HC'!AF151)-'Overall recycling rates'!$H$61/SUM('Overall recycling rates'!$H$60:$H$62)*('BTX Recycling HC'!AF152)-'Overall recycling rates'!$I$61/SUM('Overall recycling rates'!$I$60:$I$62)*('BTX Recycling HC'!AF153)</f>
        <v>70132.634066298022</v>
      </c>
      <c r="AH86" s="576">
        <f>AH25-'Overall recycling rates'!$G$61/SUM('Overall recycling rates'!$G$60:$G$62)*('BTX Recycling HC'!AG150)-'Overall recycling rates'!$E$61/SUM('Overall recycling rates'!$E$60:$E$62)*('BTX Recycling HC'!AG151)-'Overall recycling rates'!$H$61/SUM('Overall recycling rates'!$H$60:$H$62)*('BTX Recycling HC'!AG152)-'Overall recycling rates'!$I$61/SUM('Overall recycling rates'!$I$60:$I$62)*('BTX Recycling HC'!AG153)</f>
        <v>64863.817173155971</v>
      </c>
      <c r="AI86" s="576"/>
      <c r="AJ86" s="576">
        <f>AJ25-'Overall recycling rates'!$G$61/SUM('Overall recycling rates'!$G$60:$G$62)*('BTX Recycling HC'!C150)-'Overall recycling rates'!$E$61/SUM('Overall recycling rates'!$E$60:$E$62)*('BTX Recycling HC'!C151)-'Overall recycling rates'!$H$61/SUM('Overall recycling rates'!$H$60:$H$62)*('BTX Recycling HC'!C152)-'Overall recycling rates'!$I$61/SUM('Overall recycling rates'!$I$60:$I$62)*('BTX Recycling HC'!C153)</f>
        <v>164402.51278930038</v>
      </c>
      <c r="AK86" s="576">
        <f>AK25-'Overall recycling rates'!$G$61/SUM('Overall recycling rates'!$G$60:$G$62)*('BTX Recycling HC'!D150)-'Overall recycling rates'!$E$61/SUM('Overall recycling rates'!$E$60:$E$62)*('BTX Recycling HC'!D151)-'Overall recycling rates'!$H$61/SUM('Overall recycling rates'!$H$60:$H$62)*('BTX Recycling HC'!D152)-'Overall recycling rates'!$I$61/SUM('Overall recycling rates'!$I$60:$I$62)*('BTX Recycling HC'!D153)</f>
        <v>163147.56408265597</v>
      </c>
      <c r="AL86" s="576">
        <f>AL25-'Overall recycling rates'!$G$61/SUM('Overall recycling rates'!$G$60:$G$62)*('BTX Recycling HC'!E150)-'Overall recycling rates'!$E$61/SUM('Overall recycling rates'!$E$60:$E$62)*('BTX Recycling HC'!E151)-'Overall recycling rates'!$H$61/SUM('Overall recycling rates'!$H$60:$H$62)*('BTX Recycling HC'!E152)-'Overall recycling rates'!$I$61/SUM('Overall recycling rates'!$I$60:$I$62)*('BTX Recycling HC'!E153)</f>
        <v>161896.99463601501</v>
      </c>
      <c r="AM86" s="576">
        <f>AM25-'Overall recycling rates'!$G$61/SUM('Overall recycling rates'!$G$60:$G$62)*('BTX Recycling HC'!F150)-'Overall recycling rates'!$E$61/SUM('Overall recycling rates'!$E$60:$E$62)*('BTX Recycling HC'!F151)-'Overall recycling rates'!$H$61/SUM('Overall recycling rates'!$H$60:$H$62)*('BTX Recycling HC'!F152)-'Overall recycling rates'!$I$61/SUM('Overall recycling rates'!$I$60:$I$62)*('BTX Recycling HC'!F153)</f>
        <v>160650.43286285509</v>
      </c>
      <c r="AN86" s="576">
        <f>AN25-'Overall recycling rates'!$G$61/SUM('Overall recycling rates'!$G$60:$G$62)*('BTX Recycling HC'!G150)-'Overall recycling rates'!$E$61/SUM('Overall recycling rates'!$E$60:$E$62)*('BTX Recycling HC'!G151)-'Overall recycling rates'!$H$61/SUM('Overall recycling rates'!$H$60:$H$62)*('BTX Recycling HC'!G152)-'Overall recycling rates'!$I$61/SUM('Overall recycling rates'!$I$60:$I$62)*('BTX Recycling HC'!G153)</f>
        <v>159407.49365017063</v>
      </c>
      <c r="AO86" s="576">
        <f>AO25-'Overall recycling rates'!$G$61/SUM('Overall recycling rates'!$G$60:$G$62)*('BTX Recycling HC'!H150)-'Overall recycling rates'!$E$61/SUM('Overall recycling rates'!$E$60:$E$62)*('BTX Recycling HC'!H151)-'Overall recycling rates'!$H$61/SUM('Overall recycling rates'!$H$60:$H$62)*('BTX Recycling HC'!H152)-'Overall recycling rates'!$I$61/SUM('Overall recycling rates'!$I$60:$I$62)*('BTX Recycling HC'!H153)</f>
        <v>158167.77852668244</v>
      </c>
      <c r="AP86" s="576">
        <f>AP25-'Overall recycling rates'!$G$61/SUM('Overall recycling rates'!$G$60:$G$62)*('BTX Recycling HC'!I150)-'Overall recycling rates'!$E$61/SUM('Overall recycling rates'!$E$60:$E$62)*('BTX Recycling HC'!I151)-'Overall recycling rates'!$H$61/SUM('Overall recycling rates'!$H$60:$H$62)*('BTX Recycling HC'!I152)-'Overall recycling rates'!$I$61/SUM('Overall recycling rates'!$I$60:$I$62)*('BTX Recycling HC'!I153)</f>
        <v>156930.87582987797</v>
      </c>
      <c r="AQ86" s="576">
        <f>AQ25-'Overall recycling rates'!$G$61/SUM('Overall recycling rates'!$G$60:$G$62)*('BTX Recycling HC'!J150)-'Overall recycling rates'!$E$61/SUM('Overall recycling rates'!$E$60:$E$62)*('BTX Recycling HC'!J151)-'Overall recycling rates'!$H$61/SUM('Overall recycling rates'!$H$60:$H$62)*('BTX Recycling HC'!J152)-'Overall recycling rates'!$I$61/SUM('Overall recycling rates'!$I$60:$I$62)*('BTX Recycling HC'!J153)</f>
        <v>155696.36087188812</v>
      </c>
      <c r="AR86" s="576">
        <f>AR25-'Overall recycling rates'!$G$61/SUM('Overall recycling rates'!$G$60:$G$62)*('BTX Recycling HC'!K150)-'Overall recycling rates'!$E$61/SUM('Overall recycling rates'!$E$60:$E$62)*('BTX Recycling HC'!K151)-'Overall recycling rates'!$H$61/SUM('Overall recycling rates'!$H$60:$H$62)*('BTX Recycling HC'!K152)-'Overall recycling rates'!$I$61/SUM('Overall recycling rates'!$I$60:$I$62)*('BTX Recycling HC'!K153)</f>
        <v>154463.79610420801</v>
      </c>
      <c r="AS86" s="576">
        <f>AS25-'Overall recycling rates'!$G$61/SUM('Overall recycling rates'!$G$60:$G$62)*('BTX Recycling HC'!L150)-'Overall recycling rates'!$E$61/SUM('Overall recycling rates'!$E$60:$E$62)*('BTX Recycling HC'!L151)-'Overall recycling rates'!$H$61/SUM('Overall recycling rates'!$H$60:$H$62)*('BTX Recycling HC'!L152)-'Overall recycling rates'!$I$61/SUM('Overall recycling rates'!$I$60:$I$62)*('BTX Recycling HC'!L153)</f>
        <v>153232.73128126599</v>
      </c>
      <c r="AT86" s="576">
        <f>AT25-'Overall recycling rates'!$G$61/SUM('Overall recycling rates'!$G$60:$G$62)*('BTX Recycling HC'!M150)-'Overall recycling rates'!$E$61/SUM('Overall recycling rates'!$E$60:$E$62)*('BTX Recycling HC'!M151)-'Overall recycling rates'!$H$61/SUM('Overall recycling rates'!$H$60:$H$62)*('BTX Recycling HC'!M152)-'Overall recycling rates'!$I$61/SUM('Overall recycling rates'!$I$60:$I$62)*('BTX Recycling HC'!M153)</f>
        <v>152002.70362284922</v>
      </c>
      <c r="AU86" s="576">
        <f>AU25-'Overall recycling rates'!$G$61/SUM('Overall recycling rates'!$G$60:$G$62)*('BTX Recycling HC'!N150)-'Overall recycling rates'!$E$61/SUM('Overall recycling rates'!$E$60:$E$62)*('BTX Recycling HC'!N151)-'Overall recycling rates'!$H$61/SUM('Overall recycling rates'!$H$60:$H$62)*('BTX Recycling HC'!N152)-'Overall recycling rates'!$I$61/SUM('Overall recycling rates'!$I$60:$I$62)*('BTX Recycling HC'!N153)</f>
        <v>150379.08719725729</v>
      </c>
      <c r="AV86" s="576">
        <f>AV25-'Overall recycling rates'!$G$61/SUM('Overall recycling rates'!$G$60:$G$62)*('BTX Recycling HC'!O150)-'Overall recycling rates'!$E$61/SUM('Overall recycling rates'!$E$60:$E$62)*('BTX Recycling HC'!O151)-'Overall recycling rates'!$H$61/SUM('Overall recycling rates'!$H$60:$H$62)*('BTX Recycling HC'!O152)-'Overall recycling rates'!$I$61/SUM('Overall recycling rates'!$I$60:$I$62)*('BTX Recycling HC'!O153)</f>
        <v>148751.78357850594</v>
      </c>
      <c r="AW86" s="576">
        <f>AW25-'Overall recycling rates'!$G$61/SUM('Overall recycling rates'!$G$60:$G$62)*('BTX Recycling HC'!P150)-'Overall recycling rates'!$E$61/SUM('Overall recycling rates'!$E$60:$E$62)*('BTX Recycling HC'!P151)-'Overall recycling rates'!$H$61/SUM('Overall recycling rates'!$H$60:$H$62)*('BTX Recycling HC'!P152)-'Overall recycling rates'!$I$61/SUM('Overall recycling rates'!$I$60:$I$62)*('BTX Recycling HC'!P153)</f>
        <v>147122.44604227832</v>
      </c>
      <c r="AX86" s="576">
        <f>AX25-'Overall recycling rates'!$G$61/SUM('Overall recycling rates'!$G$60:$G$62)*('BTX Recycling HC'!Q150)-'Overall recycling rates'!$E$61/SUM('Overall recycling rates'!$E$60:$E$62)*('BTX Recycling HC'!Q151)-'Overall recycling rates'!$H$61/SUM('Overall recycling rates'!$H$60:$H$62)*('BTX Recycling HC'!Q152)-'Overall recycling rates'!$I$61/SUM('Overall recycling rates'!$I$60:$I$62)*('BTX Recycling HC'!Q153)</f>
        <v>145489.52066617837</v>
      </c>
      <c r="AY86" s="576">
        <f>AY25-'Overall recycling rates'!$G$61/SUM('Overall recycling rates'!$G$60:$G$62)*('BTX Recycling HC'!R150)-'Overall recycling rates'!$E$61/SUM('Overall recycling rates'!$E$60:$E$62)*('BTX Recycling HC'!R151)-'Overall recycling rates'!$H$61/SUM('Overall recycling rates'!$H$60:$H$62)*('BTX Recycling HC'!R152)-'Overall recycling rates'!$I$61/SUM('Overall recycling rates'!$I$60:$I$62)*('BTX Recycling HC'!R153)</f>
        <v>143852.85387461272</v>
      </c>
      <c r="AZ86" s="576">
        <f>AZ25-'Overall recycling rates'!$G$61/SUM('Overall recycling rates'!$G$60:$G$62)*('BTX Recycling HC'!S150)-'Overall recycling rates'!$E$61/SUM('Overall recycling rates'!$E$60:$E$62)*('BTX Recycling HC'!S151)-'Overall recycling rates'!$H$61/SUM('Overall recycling rates'!$H$60:$H$62)*('BTX Recycling HC'!S152)-'Overall recycling rates'!$I$61/SUM('Overall recycling rates'!$I$60:$I$62)*('BTX Recycling HC'!S153)</f>
        <v>142212.28797884739</v>
      </c>
      <c r="BA86" s="576">
        <f>BA25-'Overall recycling rates'!$G$61/SUM('Overall recycling rates'!$G$60:$G$62)*('BTX Recycling HC'!T150)-'Overall recycling rates'!$E$61/SUM('Overall recycling rates'!$E$60:$E$62)*('BTX Recycling HC'!T151)-'Overall recycling rates'!$H$61/SUM('Overall recycling rates'!$H$60:$H$62)*('BTX Recycling HC'!T152)-'Overall recycling rates'!$I$61/SUM('Overall recycling rates'!$I$60:$I$62)*('BTX Recycling HC'!T153)</f>
        <v>140567.66151593043</v>
      </c>
      <c r="BB86" s="576">
        <f>BB25-'Overall recycling rates'!$G$61/SUM('Overall recycling rates'!$G$60:$G$62)*('BTX Recycling HC'!U150)-'Overall recycling rates'!$E$61/SUM('Overall recycling rates'!$E$60:$E$62)*('BTX Recycling HC'!U151)-'Overall recycling rates'!$H$61/SUM('Overall recycling rates'!$H$60:$H$62)*('BTX Recycling HC'!U152)-'Overall recycling rates'!$I$61/SUM('Overall recycling rates'!$I$60:$I$62)*('BTX Recycling HC'!U153)</f>
        <v>138918.80958689406</v>
      </c>
      <c r="BC86" s="576">
        <f>BC25-'Overall recycling rates'!$G$61/SUM('Overall recycling rates'!$G$60:$G$62)*('BTX Recycling HC'!V150)-'Overall recycling rates'!$E$61/SUM('Overall recycling rates'!$E$60:$E$62)*('BTX Recycling HC'!V151)-'Overall recycling rates'!$H$61/SUM('Overall recycling rates'!$H$60:$H$62)*('BTX Recycling HC'!V152)-'Overall recycling rates'!$I$61/SUM('Overall recycling rates'!$I$60:$I$62)*('BTX Recycling HC'!V153)</f>
        <v>137265.56419421517</v>
      </c>
      <c r="BD86" s="576">
        <f>BD25-'Overall recycling rates'!$G$61/SUM('Overall recycling rates'!$G$60:$G$62)*('BTX Recycling HC'!W150)-'Overall recycling rates'!$E$61/SUM('Overall recycling rates'!$E$60:$E$62)*('BTX Recycling HC'!W151)-'Overall recycling rates'!$H$61/SUM('Overall recycling rates'!$H$60:$H$62)*('BTX Recycling HC'!W152)-'Overall recycling rates'!$I$61/SUM('Overall recycling rates'!$I$60:$I$62)*('BTX Recycling HC'!W153)</f>
        <v>135607.75457851202</v>
      </c>
      <c r="BE86" s="576">
        <f>BE25-'Overall recycling rates'!$G$61/SUM('Overall recycling rates'!$G$60:$G$62)*('BTX Recycling HC'!X150)-'Overall recycling rates'!$E$61/SUM('Overall recycling rates'!$E$60:$E$62)*('BTX Recycling HC'!X151)-'Overall recycling rates'!$H$61/SUM('Overall recycling rates'!$H$60:$H$62)*('BTX Recycling HC'!X152)-'Overall recycling rates'!$I$61/SUM('Overall recycling rates'!$I$60:$I$62)*('BTX Recycling HC'!X153)</f>
        <v>132440.82846023765</v>
      </c>
      <c r="BF86" s="576">
        <f>BF25-'Overall recycling rates'!$G$61/SUM('Overall recycling rates'!$G$60:$G$62)*('BTX Recycling HC'!Y150)-'Overall recycling rates'!$E$61/SUM('Overall recycling rates'!$E$60:$E$62)*('BTX Recycling HC'!Y151)-'Overall recycling rates'!$H$61/SUM('Overall recycling rates'!$H$60:$H$62)*('BTX Recycling HC'!Y152)-'Overall recycling rates'!$I$61/SUM('Overall recycling rates'!$I$60:$I$62)*('BTX Recycling HC'!Y153)</f>
        <v>129284.70786782845</v>
      </c>
      <c r="BG86" s="576">
        <f>BG25-'Overall recycling rates'!$G$61/SUM('Overall recycling rates'!$G$60:$G$62)*('BTX Recycling HC'!Z150)-'Overall recycling rates'!$E$61/SUM('Overall recycling rates'!$E$60:$E$62)*('BTX Recycling HC'!Z151)-'Overall recycling rates'!$H$61/SUM('Overall recycling rates'!$H$60:$H$62)*('BTX Recycling HC'!Z152)-'Overall recycling rates'!$I$61/SUM('Overall recycling rates'!$I$60:$I$62)*('BTX Recycling HC'!Z153)</f>
        <v>126152.95755117231</v>
      </c>
      <c r="BH86" s="576">
        <f>BH25-'Overall recycling rates'!$G$61/SUM('Overall recycling rates'!$G$60:$G$62)*('BTX Recycling HC'!AA150)-'Overall recycling rates'!$E$61/SUM('Overall recycling rates'!$E$60:$E$62)*('BTX Recycling HC'!AA151)-'Overall recycling rates'!$H$61/SUM('Overall recycling rates'!$H$60:$H$62)*('BTX Recycling HC'!AA152)-'Overall recycling rates'!$I$61/SUM('Overall recycling rates'!$I$60:$I$62)*('BTX Recycling HC'!AA153)</f>
        <v>123034.36250249871</v>
      </c>
      <c r="BI86" s="576">
        <f>BI25-'Overall recycling rates'!$G$61/SUM('Overall recycling rates'!$G$60:$G$62)*('BTX Recycling HC'!AB150)-'Overall recycling rates'!$E$61/SUM('Overall recycling rates'!$E$60:$E$62)*('BTX Recycling HC'!AB151)-'Overall recycling rates'!$H$61/SUM('Overall recycling rates'!$H$60:$H$62)*('BTX Recycling HC'!AB152)-'Overall recycling rates'!$I$61/SUM('Overall recycling rates'!$I$60:$I$62)*('BTX Recycling HC'!AB153)</f>
        <v>119928.86750591105</v>
      </c>
      <c r="BJ86" s="576">
        <f>BJ25-'Overall recycling rates'!$G$61/SUM('Overall recycling rates'!$G$60:$G$62)*('BTX Recycling HC'!AC150)-'Overall recycling rates'!$E$61/SUM('Overall recycling rates'!$E$60:$E$62)*('BTX Recycling HC'!AC151)-'Overall recycling rates'!$H$61/SUM('Overall recycling rates'!$H$60:$H$62)*('BTX Recycling HC'!AC152)-'Overall recycling rates'!$I$61/SUM('Overall recycling rates'!$I$60:$I$62)*('BTX Recycling HC'!AC153)</f>
        <v>116836.44966090142</v>
      </c>
      <c r="BK86" s="576">
        <f>BK25-'Overall recycling rates'!$G$61/SUM('Overall recycling rates'!$G$60:$G$62)*('BTX Recycling HC'!AD150)-'Overall recycling rates'!$E$61/SUM('Overall recycling rates'!$E$60:$E$62)*('BTX Recycling HC'!AD151)-'Overall recycling rates'!$H$61/SUM('Overall recycling rates'!$H$60:$H$62)*('BTX Recycling HC'!AD152)-'Overall recycling rates'!$I$61/SUM('Overall recycling rates'!$I$60:$I$62)*('BTX Recycling HC'!AD153)</f>
        <v>113757.12018270139</v>
      </c>
      <c r="BL86" s="576">
        <f>BL25-'Overall recycling rates'!$G$61/SUM('Overall recycling rates'!$G$60:$G$62)*('BTX Recycling HC'!AE150)-'Overall recycling rates'!$E$61/SUM('Overall recycling rates'!$E$60:$E$62)*('BTX Recycling HC'!AE151)-'Overall recycling rates'!$H$61/SUM('Overall recycling rates'!$H$60:$H$62)*('BTX Recycling HC'!AE152)-'Overall recycling rates'!$I$61/SUM('Overall recycling rates'!$I$60:$I$62)*('BTX Recycling HC'!AE153)</f>
        <v>110690.92621594803</v>
      </c>
      <c r="BM86" s="576">
        <f>BM25-'Overall recycling rates'!$G$61/SUM('Overall recycling rates'!$G$60:$G$62)*('BTX Recycling HC'!AF150)-'Overall recycling rates'!$E$61/SUM('Overall recycling rates'!$E$60:$E$62)*('BTX Recycling HC'!AF151)-'Overall recycling rates'!$H$61/SUM('Overall recycling rates'!$H$60:$H$62)*('BTX Recycling HC'!AF152)-'Overall recycling rates'!$I$61/SUM('Overall recycling rates'!$I$60:$I$62)*('BTX Recycling HC'!AF153)</f>
        <v>107637.95266126421</v>
      </c>
      <c r="BN86" s="576">
        <f>BN25-'Overall recycling rates'!$G$61/SUM('Overall recycling rates'!$G$60:$G$62)*('BTX Recycling HC'!AG150)-'Overall recycling rates'!$E$61/SUM('Overall recycling rates'!$E$60:$E$62)*('BTX Recycling HC'!AG151)-'Overall recycling rates'!$H$61/SUM('Overall recycling rates'!$H$60:$H$62)*('BTX Recycling HC'!AG152)-'Overall recycling rates'!$I$61/SUM('Overall recycling rates'!$I$60:$I$62)*('BTX Recycling HC'!AG153)</f>
        <v>104598.3240143546</v>
      </c>
    </row>
    <row r="87" spans="1:90" s="62" customFormat="1" outlineLevel="1">
      <c r="A87" s="604"/>
      <c r="B87" s="58" t="s">
        <v>1170</v>
      </c>
      <c r="C87" s="233" t="s">
        <v>1420</v>
      </c>
      <c r="D87" s="579">
        <f>D26-'Overall recycling rates'!$G$62/SUM('Overall recycling rates'!$G$60:$G$62)*('BTX Recycling HC'!C150)-'Overall recycling rates'!$E$62/SUM('Overall recycling rates'!$E$60:$E$62)*('BTX Recycling HC'!C151)-'Overall recycling rates'!$H$62/SUM('Overall recycling rates'!$H$60:$H$62)*('BTX Recycling HC'!C152)-'Overall recycling rates'!$I$62/SUM('Overall recycling rates'!$I$60:$I$62)*('BTX Recycling HC'!C153)</f>
        <v>474719.77116129483</v>
      </c>
      <c r="E87" s="579">
        <f>E26-'Overall recycling rates'!$G$62/SUM('Overall recycling rates'!$G$60:$G$62)*('BTX Recycling HC'!D150)-'Overall recycling rates'!$E$62/SUM('Overall recycling rates'!$E$60:$E$62)*('BTX Recycling HC'!D151)-'Overall recycling rates'!$H$62/SUM('Overall recycling rates'!$H$60:$H$62)*('BTX Recycling HC'!D152)-'Overall recycling rates'!$I$62/SUM('Overall recycling rates'!$I$60:$I$62)*('BTX Recycling HC'!D153)</f>
        <v>469851.39628177352</v>
      </c>
      <c r="F87" s="579">
        <f>F26-'Overall recycling rates'!$G$62/SUM('Overall recycling rates'!$G$60:$G$62)*('BTX Recycling HC'!E150)-'Overall recycling rates'!$E$62/SUM('Overall recycling rates'!$E$60:$E$62)*('BTX Recycling HC'!E151)-'Overall recycling rates'!$H$62/SUM('Overall recycling rates'!$H$60:$H$62)*('BTX Recycling HC'!E152)-'Overall recycling rates'!$I$62/SUM('Overall recycling rates'!$I$60:$I$62)*('BTX Recycling HC'!E153)</f>
        <v>465014.64961386146</v>
      </c>
      <c r="G87" s="579">
        <f>G26-'Overall recycling rates'!$G$62/SUM('Overall recycling rates'!$G$60:$G$62)*('BTX Recycling HC'!F150)-'Overall recycling rates'!$E$62/SUM('Overall recycling rates'!$E$60:$E$62)*('BTX Recycling HC'!F151)-'Overall recycling rates'!$H$62/SUM('Overall recycling rates'!$H$60:$H$62)*('BTX Recycling HC'!F152)-'Overall recycling rates'!$I$62/SUM('Overall recycling rates'!$I$60:$I$62)*('BTX Recycling HC'!F153)</f>
        <v>460209.05076283403</v>
      </c>
      <c r="H87" s="579">
        <f>H26-'Overall recycling rates'!$G$62/SUM('Overall recycling rates'!$G$60:$G$62)*('BTX Recycling HC'!G150)-'Overall recycling rates'!$E$62/SUM('Overall recycling rates'!$E$60:$E$62)*('BTX Recycling HC'!G151)-'Overall recycling rates'!$H$62/SUM('Overall recycling rates'!$H$60:$H$62)*('BTX Recycling HC'!G152)-'Overall recycling rates'!$I$62/SUM('Overall recycling rates'!$I$60:$I$62)*('BTX Recycling HC'!G153)</f>
        <v>455434.10458720103</v>
      </c>
      <c r="I87" s="579">
        <f>I26-'Overall recycling rates'!$G$62/SUM('Overall recycling rates'!$G$60:$G$62)*('BTX Recycling HC'!H150)-'Overall recycling rates'!$E$62/SUM('Overall recycling rates'!$E$60:$E$62)*('BTX Recycling HC'!H151)-'Overall recycling rates'!$H$62/SUM('Overall recycling rates'!$H$60:$H$62)*('BTX Recycling HC'!H152)-'Overall recycling rates'!$I$62/SUM('Overall recycling rates'!$I$60:$I$62)*('BTX Recycling HC'!H153)</f>
        <v>450689.30138739187</v>
      </c>
      <c r="J87" s="579">
        <f>J26-'Overall recycling rates'!$G$62/SUM('Overall recycling rates'!$G$60:$G$62)*('BTX Recycling HC'!I150)-'Overall recycling rates'!$E$62/SUM('Overall recycling rates'!$E$60:$E$62)*('BTX Recycling HC'!I151)-'Overall recycling rates'!$H$62/SUM('Overall recycling rates'!$H$60:$H$62)*('BTX Recycling HC'!I152)-'Overall recycling rates'!$I$62/SUM('Overall recycling rates'!$I$60:$I$62)*('BTX Recycling HC'!I153)</f>
        <v>445974.11709307123</v>
      </c>
      <c r="K87" s="579">
        <f>K26-'Overall recycling rates'!$G$62/SUM('Overall recycling rates'!$G$60:$G$62)*('BTX Recycling HC'!J150)-'Overall recycling rates'!$E$62/SUM('Overall recycling rates'!$E$60:$E$62)*('BTX Recycling HC'!J151)-'Overall recycling rates'!$H$62/SUM('Overall recycling rates'!$H$60:$H$62)*('BTX Recycling HC'!J152)-'Overall recycling rates'!$I$62/SUM('Overall recycling rates'!$I$60:$I$62)*('BTX Recycling HC'!J153)</f>
        <v>441288.01344908652</v>
      </c>
      <c r="L87" s="579">
        <f>L26-'Overall recycling rates'!$G$62/SUM('Overall recycling rates'!$G$60:$G$62)*('BTX Recycling HC'!K150)-'Overall recycling rates'!$E$62/SUM('Overall recycling rates'!$E$60:$E$62)*('BTX Recycling HC'!K151)-'Overall recycling rates'!$H$62/SUM('Overall recycling rates'!$H$60:$H$62)*('BTX Recycling HC'!K152)-'Overall recycling rates'!$I$62/SUM('Overall recycling rates'!$I$60:$I$62)*('BTX Recycling HC'!K153)</f>
        <v>436630.43820006307</v>
      </c>
      <c r="M87" s="579">
        <f>M26-'Overall recycling rates'!$G$62/SUM('Overall recycling rates'!$G$60:$G$62)*('BTX Recycling HC'!L150)-'Overall recycling rates'!$E$62/SUM('Overall recycling rates'!$E$60:$E$62)*('BTX Recycling HC'!L151)-'Overall recycling rates'!$H$62/SUM('Overall recycling rates'!$H$60:$H$62)*('BTX Recycling HC'!L152)-'Overall recycling rates'!$I$62/SUM('Overall recycling rates'!$I$60:$I$62)*('BTX Recycling HC'!L153)</f>
        <v>432000.82527364907</v>
      </c>
      <c r="N87" s="579">
        <f>N26-'Overall recycling rates'!$G$62/SUM('Overall recycling rates'!$G$60:$G$62)*('BTX Recycling HC'!M150)-'Overall recycling rates'!$E$62/SUM('Overall recycling rates'!$E$60:$E$62)*('BTX Recycling HC'!M151)-'Overall recycling rates'!$H$62/SUM('Overall recycling rates'!$H$60:$H$62)*('BTX Recycling HC'!M152)-'Overall recycling rates'!$I$62/SUM('Overall recycling rates'!$I$60:$I$62)*('BTX Recycling HC'!M153)</f>
        <v>427398.59496242</v>
      </c>
      <c r="O87" s="579">
        <f>O26-'Overall recycling rates'!$G$62/SUM('Overall recycling rates'!$G$60:$G$62)*('BTX Recycling HC'!N150)-'Overall recycling rates'!$E$62/SUM('Overall recycling rates'!$E$60:$E$62)*('BTX Recycling HC'!N151)-'Overall recycling rates'!$H$62/SUM('Overall recycling rates'!$H$60:$H$62)*('BTX Recycling HC'!N152)-'Overall recycling rates'!$I$62/SUM('Overall recycling rates'!$I$60:$I$62)*('BTX Recycling HC'!N153)</f>
        <v>419197.15009602386</v>
      </c>
      <c r="P87" s="579">
        <f>P26-'Overall recycling rates'!$G$62/SUM('Overall recycling rates'!$G$60:$G$62)*('BTX Recycling HC'!O150)-'Overall recycling rates'!$E$62/SUM('Overall recycling rates'!$E$60:$E$62)*('BTX Recycling HC'!O151)-'Overall recycling rates'!$H$62/SUM('Overall recycling rates'!$H$60:$H$62)*('BTX Recycling HC'!O152)-'Overall recycling rates'!$I$62/SUM('Overall recycling rates'!$I$60:$I$62)*('BTX Recycling HC'!O153)</f>
        <v>411011.38665417657</v>
      </c>
      <c r="Q87" s="579">
        <f>Q26-'Overall recycling rates'!$G$62/SUM('Overall recycling rates'!$G$60:$G$62)*('BTX Recycling HC'!P150)-'Overall recycling rates'!$E$62/SUM('Overall recycling rates'!$E$60:$E$62)*('BTX Recycling HC'!P151)-'Overall recycling rates'!$H$62/SUM('Overall recycling rates'!$H$60:$H$62)*('BTX Recycling HC'!P152)-'Overall recycling rates'!$I$62/SUM('Overall recycling rates'!$I$60:$I$62)*('BTX Recycling HC'!P153)</f>
        <v>402843.04363941588</v>
      </c>
      <c r="R87" s="579">
        <f>R26-'Overall recycling rates'!$G$62/SUM('Overall recycling rates'!$G$60:$G$62)*('BTX Recycling HC'!Q150)-'Overall recycling rates'!$E$62/SUM('Overall recycling rates'!$E$60:$E$62)*('BTX Recycling HC'!Q151)-'Overall recycling rates'!$H$62/SUM('Overall recycling rates'!$H$60:$H$62)*('BTX Recycling HC'!Q152)-'Overall recycling rates'!$I$62/SUM('Overall recycling rates'!$I$60:$I$62)*('BTX Recycling HC'!Q153)</f>
        <v>394691.30784161633</v>
      </c>
      <c r="S87" s="579">
        <f>S26-'Overall recycling rates'!$G$62/SUM('Overall recycling rates'!$G$60:$G$62)*('BTX Recycling HC'!R150)-'Overall recycling rates'!$E$62/SUM('Overall recycling rates'!$E$60:$E$62)*('BTX Recycling HC'!R151)-'Overall recycling rates'!$H$62/SUM('Overall recycling rates'!$H$60:$H$62)*('BTX Recycling HC'!R152)-'Overall recycling rates'!$I$62/SUM('Overall recycling rates'!$I$60:$I$62)*('BTX Recycling HC'!R153)</f>
        <v>386556.45741747215</v>
      </c>
      <c r="T87" s="579">
        <f>T26-'Overall recycling rates'!$G$62/SUM('Overall recycling rates'!$G$60:$G$62)*('BTX Recycling HC'!S150)-'Overall recycling rates'!$E$62/SUM('Overall recycling rates'!$E$60:$E$62)*('BTX Recycling HC'!S151)-'Overall recycling rates'!$H$62/SUM('Overall recycling rates'!$H$60:$H$62)*('BTX Recycling HC'!S152)-'Overall recycling rates'!$I$62/SUM('Overall recycling rates'!$I$60:$I$62)*('BTX Recycling HC'!S153)</f>
        <v>378438.75584740331</v>
      </c>
      <c r="U87" s="579">
        <f>U26-'Overall recycling rates'!$G$62/SUM('Overall recycling rates'!$G$60:$G$62)*('BTX Recycling HC'!T150)-'Overall recycling rates'!$E$62/SUM('Overall recycling rates'!$E$60:$E$62)*('BTX Recycling HC'!T151)-'Overall recycling rates'!$H$62/SUM('Overall recycling rates'!$H$60:$H$62)*('BTX Recycling HC'!T152)-'Overall recycling rates'!$I$62/SUM('Overall recycling rates'!$I$60:$I$62)*('BTX Recycling HC'!T153)</f>
        <v>370338.45242611697</v>
      </c>
      <c r="V87" s="579">
        <f>V26-'Overall recycling rates'!$G$62/SUM('Overall recycling rates'!$G$60:$G$62)*('BTX Recycling HC'!U150)-'Overall recycling rates'!$E$62/SUM('Overall recycling rates'!$E$60:$E$62)*('BTX Recycling HC'!U151)-'Overall recycling rates'!$H$62/SUM('Overall recycling rates'!$H$60:$H$62)*('BTX Recycling HC'!U152)-'Overall recycling rates'!$I$62/SUM('Overall recycling rates'!$I$60:$I$62)*('BTX Recycling HC'!U153)</f>
        <v>362255.78275102982</v>
      </c>
      <c r="W87" s="579">
        <f>W26-'Overall recycling rates'!$G$62/SUM('Overall recycling rates'!$G$60:$G$62)*('BTX Recycling HC'!V150)-'Overall recycling rates'!$E$62/SUM('Overall recycling rates'!$E$60:$E$62)*('BTX Recycling HC'!V151)-'Overall recycling rates'!$H$62/SUM('Overall recycling rates'!$H$60:$H$62)*('BTX Recycling HC'!V152)-'Overall recycling rates'!$I$62/SUM('Overall recycling rates'!$I$60:$I$62)*('BTX Recycling HC'!V153)</f>
        <v>354190.96920854051</v>
      </c>
      <c r="X87" s="579">
        <f>X26-'Overall recycling rates'!$G$62/SUM('Overall recycling rates'!$G$60:$G$62)*('BTX Recycling HC'!W150)-'Overall recycling rates'!$E$62/SUM('Overall recycling rates'!$E$60:$E$62)*('BTX Recycling HC'!W151)-'Overall recycling rates'!$H$62/SUM('Overall recycling rates'!$H$60:$H$62)*('BTX Recycling HC'!W152)-'Overall recycling rates'!$I$62/SUM('Overall recycling rates'!$I$60:$I$62)*('BTX Recycling HC'!W153)</f>
        <v>346144.2214581435</v>
      </c>
      <c r="Y87" s="579">
        <f>Y26-'Overall recycling rates'!$G$62/SUM('Overall recycling rates'!$G$60:$G$62)*('BTX Recycling HC'!X150)-'Overall recycling rates'!$E$62/SUM('Overall recycling rates'!$E$60:$E$62)*('BTX Recycling HC'!X151)-'Overall recycling rates'!$H$62/SUM('Overall recycling rates'!$H$60:$H$62)*('BTX Recycling HC'!X152)-'Overall recycling rates'!$I$62/SUM('Overall recycling rates'!$I$60:$I$62)*('BTX Recycling HC'!X153)</f>
        <v>330328.05077183421</v>
      </c>
      <c r="Z87" s="579">
        <f>Z26-'Overall recycling rates'!$G$62/SUM('Overall recycling rates'!$G$60:$G$62)*('BTX Recycling HC'!Y150)-'Overall recycling rates'!$E$62/SUM('Overall recycling rates'!$E$60:$E$62)*('BTX Recycling HC'!Y151)-'Overall recycling rates'!$H$62/SUM('Overall recycling rates'!$H$60:$H$62)*('BTX Recycling HC'!Y152)-'Overall recycling rates'!$I$62/SUM('Overall recycling rates'!$I$60:$I$62)*('BTX Recycling HC'!Y153)</f>
        <v>314621.43349876523</v>
      </c>
      <c r="AA87" s="579">
        <f>AA26-'Overall recycling rates'!$G$62/SUM('Overall recycling rates'!$G$60:$G$62)*('BTX Recycling HC'!Z150)-'Overall recycling rates'!$E$62/SUM('Overall recycling rates'!$E$60:$E$62)*('BTX Recycling HC'!Z151)-'Overall recycling rates'!$H$62/SUM('Overall recycling rates'!$H$60:$H$62)*('BTX Recycling HC'!Z152)-'Overall recycling rates'!$I$62/SUM('Overall recycling rates'!$I$60:$I$62)*('BTX Recycling HC'!Z153)</f>
        <v>299035.42077483505</v>
      </c>
      <c r="AB87" s="579">
        <f>AB26-'Overall recycling rates'!$G$62/SUM('Overall recycling rates'!$G$60:$G$62)*('BTX Recycling HC'!AA150)-'Overall recycling rates'!$E$62/SUM('Overall recycling rates'!$E$60:$E$62)*('BTX Recycling HC'!AA151)-'Overall recycling rates'!$H$62/SUM('Overall recycling rates'!$H$60:$H$62)*('BTX Recycling HC'!AA152)-'Overall recycling rates'!$I$62/SUM('Overall recycling rates'!$I$60:$I$62)*('BTX Recycling HC'!AA153)</f>
        <v>283560.28746433859</v>
      </c>
      <c r="AC87" s="579">
        <f>AC26-'Overall recycling rates'!$G$62/SUM('Overall recycling rates'!$G$60:$G$62)*('BTX Recycling HC'!AB150)-'Overall recycling rates'!$E$62/SUM('Overall recycling rates'!$E$60:$E$62)*('BTX Recycling HC'!AB151)-'Overall recycling rates'!$H$62/SUM('Overall recycling rates'!$H$60:$H$62)*('BTX Recycling HC'!AB152)-'Overall recycling rates'!$I$62/SUM('Overall recycling rates'!$I$60:$I$62)*('BTX Recycling HC'!AB153)</f>
        <v>268195.62834541296</v>
      </c>
      <c r="AD87" s="579">
        <f>AD26-'Overall recycling rates'!$G$62/SUM('Overall recycling rates'!$G$60:$G$62)*('BTX Recycling HC'!AC150)-'Overall recycling rates'!$E$62/SUM('Overall recycling rates'!$E$60:$E$62)*('BTX Recycling HC'!AC151)-'Overall recycling rates'!$H$62/SUM('Overall recycling rates'!$H$60:$H$62)*('BTX Recycling HC'!AC152)-'Overall recycling rates'!$I$62/SUM('Overall recycling rates'!$I$60:$I$62)*('BTX Recycling HC'!AC153)</f>
        <v>252941.06499098908</v>
      </c>
      <c r="AE87" s="579">
        <f>AE26-'Overall recycling rates'!$G$62/SUM('Overall recycling rates'!$G$60:$G$62)*('BTX Recycling HC'!AD150)-'Overall recycling rates'!$E$62/SUM('Overall recycling rates'!$E$60:$E$62)*('BTX Recycling HC'!AD151)-'Overall recycling rates'!$H$62/SUM('Overall recycling rates'!$H$60:$H$62)*('BTX Recycling HC'!AD152)-'Overall recycling rates'!$I$62/SUM('Overall recycling rates'!$I$60:$I$62)*('BTX Recycling HC'!AD153)</f>
        <v>237796.24773682695</v>
      </c>
      <c r="AF87" s="579">
        <f>AF26-'Overall recycling rates'!$G$62/SUM('Overall recycling rates'!$G$60:$G$62)*('BTX Recycling HC'!AE150)-'Overall recycling rates'!$E$62/SUM('Overall recycling rates'!$E$60:$E$62)*('BTX Recycling HC'!AE151)-'Overall recycling rates'!$H$62/SUM('Overall recycling rates'!$H$60:$H$62)*('BTX Recycling HC'!AE152)-'Overall recycling rates'!$I$62/SUM('Overall recycling rates'!$I$60:$I$62)*('BTX Recycling HC'!AE153)</f>
        <v>222760.85766362911</v>
      </c>
      <c r="AG87" s="579">
        <f>AG26-'Overall recycling rates'!$G$62/SUM('Overall recycling rates'!$G$60:$G$62)*('BTX Recycling HC'!AF150)-'Overall recycling rates'!$E$62/SUM('Overall recycling rates'!$E$60:$E$62)*('BTX Recycling HC'!AF151)-'Overall recycling rates'!$H$62/SUM('Overall recycling rates'!$H$60:$H$62)*('BTX Recycling HC'!AF152)-'Overall recycling rates'!$I$62/SUM('Overall recycling rates'!$I$60:$I$62)*('BTX Recycling HC'!AF153)</f>
        <v>207834.6085928067</v>
      </c>
      <c r="AH87" s="579">
        <f>AH26-'Overall recycling rates'!$G$62/SUM('Overall recycling rates'!$G$60:$G$62)*('BTX Recycling HC'!AG150)-'Overall recycling rates'!$E$62/SUM('Overall recycling rates'!$E$60:$E$62)*('BTX Recycling HC'!AG151)-'Overall recycling rates'!$H$62/SUM('Overall recycling rates'!$H$60:$H$62)*('BTX Recycling HC'!AG152)-'Overall recycling rates'!$I$62/SUM('Overall recycling rates'!$I$60:$I$62)*('BTX Recycling HC'!AG153)</f>
        <v>193017.24909547478</v>
      </c>
      <c r="AI87" s="579"/>
      <c r="AJ87" s="579">
        <f>AJ26-'Overall recycling rates'!$G$62/SUM('Overall recycling rates'!$G$60:$G$62)*('BTX Recycling HC'!C150)-'Overall recycling rates'!$E$62/SUM('Overall recycling rates'!$E$60:$E$62)*('BTX Recycling HC'!C151)-'Overall recycling rates'!$H$62/SUM('Overall recycling rates'!$H$60:$H$62)*('BTX Recycling HC'!C152)-'Overall recycling rates'!$I$62/SUM('Overall recycling rates'!$I$60:$I$62)*('BTX Recycling HC'!C153)</f>
        <v>474719.77116129483</v>
      </c>
      <c r="AK87" s="579">
        <f>AK26-'Overall recycling rates'!$G$62/SUM('Overall recycling rates'!$G$60:$G$62)*('BTX Recycling HC'!D150)-'Overall recycling rates'!$E$62/SUM('Overall recycling rates'!$E$60:$E$62)*('BTX Recycling HC'!D151)-'Overall recycling rates'!$H$62/SUM('Overall recycling rates'!$H$60:$H$62)*('BTX Recycling HC'!D152)-'Overall recycling rates'!$I$62/SUM('Overall recycling rates'!$I$60:$I$62)*('BTX Recycling HC'!D153)</f>
        <v>471126.91127964552</v>
      </c>
      <c r="AL87" s="579">
        <f>AL26-'Overall recycling rates'!$G$62/SUM('Overall recycling rates'!$G$60:$G$62)*('BTX Recycling HC'!E150)-'Overall recycling rates'!$E$62/SUM('Overall recycling rates'!$E$60:$E$62)*('BTX Recycling HC'!E151)-'Overall recycling rates'!$H$62/SUM('Overall recycling rates'!$H$60:$H$62)*('BTX Recycling HC'!E152)-'Overall recycling rates'!$I$62/SUM('Overall recycling rates'!$I$60:$I$62)*('BTX Recycling HC'!E153)</f>
        <v>467553.27325829939</v>
      </c>
      <c r="AM87" s="579">
        <f>AM26-'Overall recycling rates'!$G$62/SUM('Overall recycling rates'!$G$60:$G$62)*('BTX Recycling HC'!F150)-'Overall recycling rates'!$E$62/SUM('Overall recycling rates'!$E$60:$E$62)*('BTX Recycling HC'!F151)-'Overall recycling rates'!$H$62/SUM('Overall recycling rates'!$H$60:$H$62)*('BTX Recycling HC'!F152)-'Overall recycling rates'!$I$62/SUM('Overall recycling rates'!$I$60:$I$62)*('BTX Recycling HC'!F153)</f>
        <v>463998.45216858457</v>
      </c>
      <c r="AN87" s="579">
        <f>AN26-'Overall recycling rates'!$G$62/SUM('Overall recycling rates'!$G$60:$G$62)*('BTX Recycling HC'!G150)-'Overall recycling rates'!$E$62/SUM('Overall recycling rates'!$E$60:$E$62)*('BTX Recycling HC'!G151)-'Overall recycling rates'!$H$62/SUM('Overall recycling rates'!$H$60:$H$62)*('BTX Recycling HC'!G152)-'Overall recycling rates'!$I$62/SUM('Overall recycling rates'!$I$60:$I$62)*('BTX Recycling HC'!G153)</f>
        <v>460462.02812021662</v>
      </c>
      <c r="AO87" s="579">
        <f>AO26-'Overall recycling rates'!$G$62/SUM('Overall recycling rates'!$G$60:$G$62)*('BTX Recycling HC'!H150)-'Overall recycling rates'!$E$62/SUM('Overall recycling rates'!$E$60:$E$62)*('BTX Recycling HC'!H151)-'Overall recycling rates'!$H$62/SUM('Overall recycling rates'!$H$60:$H$62)*('BTX Recycling HC'!H152)-'Overall recycling rates'!$I$62/SUM('Overall recycling rates'!$I$60:$I$62)*('BTX Recycling HC'!H153)</f>
        <v>456943.56644776708</v>
      </c>
      <c r="AP87" s="579">
        <f>AP26-'Overall recycling rates'!$G$62/SUM('Overall recycling rates'!$G$60:$G$62)*('BTX Recycling HC'!I150)-'Overall recycling rates'!$E$62/SUM('Overall recycling rates'!$E$60:$E$62)*('BTX Recycling HC'!I151)-'Overall recycling rates'!$H$62/SUM('Overall recycling rates'!$H$60:$H$62)*('BTX Recycling HC'!I152)-'Overall recycling rates'!$I$62/SUM('Overall recycling rates'!$I$60:$I$62)*('BTX Recycling HC'!I153)</f>
        <v>453442.61789581209</v>
      </c>
      <c r="AQ87" s="579">
        <f>AQ26-'Overall recycling rates'!$G$62/SUM('Overall recycling rates'!$G$60:$G$62)*('BTX Recycling HC'!J150)-'Overall recycling rates'!$E$62/SUM('Overall recycling rates'!$E$60:$E$62)*('BTX Recycling HC'!J151)-'Overall recycling rates'!$H$62/SUM('Overall recycling rates'!$H$60:$H$62)*('BTX Recycling HC'!J152)-'Overall recycling rates'!$I$62/SUM('Overall recycling rates'!$I$60:$I$62)*('BTX Recycling HC'!J153)</f>
        <v>449958.71880276635</v>
      </c>
      <c r="AR87" s="579">
        <f>AR26-'Overall recycling rates'!$G$62/SUM('Overall recycling rates'!$G$60:$G$62)*('BTX Recycling HC'!K150)-'Overall recycling rates'!$E$62/SUM('Overall recycling rates'!$E$60:$E$62)*('BTX Recycling HC'!K151)-'Overall recycling rates'!$H$62/SUM('Overall recycling rates'!$H$60:$H$62)*('BTX Recycling HC'!K152)-'Overall recycling rates'!$I$62/SUM('Overall recycling rates'!$I$60:$I$62)*('BTX Recycling HC'!K153)</f>
        <v>446491.39128341299</v>
      </c>
      <c r="AS87" s="579">
        <f>AS26-'Overall recycling rates'!$G$62/SUM('Overall recycling rates'!$G$60:$G$62)*('BTX Recycling HC'!L150)-'Overall recycling rates'!$E$62/SUM('Overall recycling rates'!$E$60:$E$62)*('BTX Recycling HC'!L151)-'Overall recycling rates'!$H$62/SUM('Overall recycling rates'!$H$60:$H$62)*('BTX Recycling HC'!L152)-'Overall recycling rates'!$I$62/SUM('Overall recycling rates'!$I$60:$I$62)*('BTX Recycling HC'!L153)</f>
        <v>443040.14341013244</v>
      </c>
      <c r="AT87" s="579">
        <f>AT26-'Overall recycling rates'!$G$62/SUM('Overall recycling rates'!$G$60:$G$62)*('BTX Recycling HC'!M150)-'Overall recycling rates'!$E$62/SUM('Overall recycling rates'!$E$60:$E$62)*('BTX Recycling HC'!M151)-'Overall recycling rates'!$H$62/SUM('Overall recycling rates'!$H$60:$H$62)*('BTX Recycling HC'!M152)-'Overall recycling rates'!$I$62/SUM('Overall recycling rates'!$I$60:$I$62)*('BTX Recycling HC'!M153)</f>
        <v>439604.46939284197</v>
      </c>
      <c r="AU87" s="579">
        <f>AU26-'Overall recycling rates'!$G$62/SUM('Overall recycling rates'!$G$60:$G$62)*('BTX Recycling HC'!N150)-'Overall recycling rates'!$E$62/SUM('Overall recycling rates'!$E$60:$E$62)*('BTX Recycling HC'!N151)-'Overall recycling rates'!$H$62/SUM('Overall recycling rates'!$H$60:$H$62)*('BTX Recycling HC'!N152)-'Overall recycling rates'!$I$62/SUM('Overall recycling rates'!$I$60:$I$62)*('BTX Recycling HC'!N153)</f>
        <v>435033.41317900433</v>
      </c>
      <c r="AV87" s="579">
        <f>AV26-'Overall recycling rates'!$G$62/SUM('Overall recycling rates'!$G$60:$G$62)*('BTX Recycling HC'!O150)-'Overall recycling rates'!$E$62/SUM('Overall recycling rates'!$E$60:$E$62)*('BTX Recycling HC'!O151)-'Overall recycling rates'!$H$62/SUM('Overall recycling rates'!$H$60:$H$62)*('BTX Recycling HC'!O152)-'Overall recycling rates'!$I$62/SUM('Overall recycling rates'!$I$60:$I$62)*('BTX Recycling HC'!O153)</f>
        <v>430463.17170562758</v>
      </c>
      <c r="AW87" s="579">
        <f>AW26-'Overall recycling rates'!$G$62/SUM('Overall recycling rates'!$G$60:$G$62)*('BTX Recycling HC'!P150)-'Overall recycling rates'!$E$62/SUM('Overall recycling rates'!$E$60:$E$62)*('BTX Recycling HC'!P151)-'Overall recycling rates'!$H$62/SUM('Overall recycling rates'!$H$60:$H$62)*('BTX Recycling HC'!P152)-'Overall recycling rates'!$I$62/SUM('Overall recycling rates'!$I$60:$I$62)*('BTX Recycling HC'!P153)</f>
        <v>425895.27498764696</v>
      </c>
      <c r="AX87" s="579">
        <f>AX26-'Overall recycling rates'!$G$62/SUM('Overall recycling rates'!$G$60:$G$62)*('BTX Recycling HC'!Q150)-'Overall recycling rates'!$E$62/SUM('Overall recycling rates'!$E$60:$E$62)*('BTX Recycling HC'!Q151)-'Overall recycling rates'!$H$62/SUM('Overall recycling rates'!$H$60:$H$62)*('BTX Recycling HC'!Q152)-'Overall recycling rates'!$I$62/SUM('Overall recycling rates'!$I$60:$I$62)*('BTX Recycling HC'!Q153)</f>
        <v>421328.70604471123</v>
      </c>
      <c r="AY87" s="579">
        <f>AY26-'Overall recycling rates'!$G$62/SUM('Overall recycling rates'!$G$60:$G$62)*('BTX Recycling HC'!R150)-'Overall recycling rates'!$E$62/SUM('Overall recycling rates'!$E$60:$E$62)*('BTX Recycling HC'!R151)-'Overall recycling rates'!$H$62/SUM('Overall recycling rates'!$H$60:$H$62)*('BTX Recycling HC'!R152)-'Overall recycling rates'!$I$62/SUM('Overall recycling rates'!$I$60:$I$62)*('BTX Recycling HC'!R153)</f>
        <v>416763.54440766765</v>
      </c>
      <c r="AZ87" s="579">
        <f>AZ26-'Overall recycling rates'!$G$62/SUM('Overall recycling rates'!$G$60:$G$62)*('BTX Recycling HC'!S150)-'Overall recycling rates'!$E$62/SUM('Overall recycling rates'!$E$60:$E$62)*('BTX Recycling HC'!S151)-'Overall recycling rates'!$H$62/SUM('Overall recycling rates'!$H$60:$H$62)*('BTX Recycling HC'!S152)-'Overall recycling rates'!$I$62/SUM('Overall recycling rates'!$I$60:$I$62)*('BTX Recycling HC'!S153)</f>
        <v>412199.86000330286</v>
      </c>
      <c r="BA87" s="579">
        <f>BA26-'Overall recycling rates'!$G$62/SUM('Overall recycling rates'!$G$60:$G$62)*('BTX Recycling HC'!T150)-'Overall recycling rates'!$E$62/SUM('Overall recycling rates'!$E$60:$E$62)*('BTX Recycling HC'!T151)-'Overall recycling rates'!$H$62/SUM('Overall recycling rates'!$H$60:$H$62)*('BTX Recycling HC'!T152)-'Overall recycling rates'!$I$62/SUM('Overall recycling rates'!$I$60:$I$62)*('BTX Recycling HC'!T153)</f>
        <v>407637.71357356221</v>
      </c>
      <c r="BB87" s="579">
        <f>BB26-'Overall recycling rates'!$G$62/SUM('Overall recycling rates'!$G$60:$G$62)*('BTX Recycling HC'!U150)-'Overall recycling rates'!$E$62/SUM('Overall recycling rates'!$E$60:$E$62)*('BTX Recycling HC'!U151)-'Overall recycling rates'!$H$62/SUM('Overall recycling rates'!$H$60:$H$62)*('BTX Recycling HC'!U152)-'Overall recycling rates'!$I$62/SUM('Overall recycling rates'!$I$60:$I$62)*('BTX Recycling HC'!U153)</f>
        <v>403077.15709344752</v>
      </c>
      <c r="BC87" s="579">
        <f>BC26-'Overall recycling rates'!$G$62/SUM('Overall recycling rates'!$G$60:$G$62)*('BTX Recycling HC'!V150)-'Overall recycling rates'!$E$62/SUM('Overall recycling rates'!$E$60:$E$62)*('BTX Recycling HC'!V151)-'Overall recycling rates'!$H$62/SUM('Overall recycling rates'!$H$60:$H$62)*('BTX Recycling HC'!V152)-'Overall recycling rates'!$I$62/SUM('Overall recycling rates'!$I$60:$I$62)*('BTX Recycling HC'!V153)</f>
        <v>398518.23418757058</v>
      </c>
      <c r="BD87" s="579">
        <f>BD26-'Overall recycling rates'!$G$62/SUM('Overall recycling rates'!$G$60:$G$62)*('BTX Recycling HC'!W150)-'Overall recycling rates'!$E$62/SUM('Overall recycling rates'!$E$60:$E$62)*('BTX Recycling HC'!W151)-'Overall recycling rates'!$H$62/SUM('Overall recycling rates'!$H$60:$H$62)*('BTX Recycling HC'!W152)-'Overall recycling rates'!$I$62/SUM('Overall recycling rates'!$I$60:$I$62)*('BTX Recycling HC'!W153)</f>
        <v>393960.98054534843</v>
      </c>
      <c r="BE87" s="579">
        <f>BE26-'Overall recycling rates'!$G$62/SUM('Overall recycling rates'!$G$60:$G$62)*('BTX Recycling HC'!X150)-'Overall recycling rates'!$E$62/SUM('Overall recycling rates'!$E$60:$E$62)*('BTX Recycling HC'!X151)-'Overall recycling rates'!$H$62/SUM('Overall recycling rates'!$H$60:$H$62)*('BTX Recycling HC'!X152)-'Overall recycling rates'!$I$62/SUM('Overall recycling rates'!$I$60:$I$62)*('BTX Recycling HC'!X153)</f>
        <v>385094.00840727775</v>
      </c>
      <c r="BF87" s="579">
        <f>BF26-'Overall recycling rates'!$G$62/SUM('Overall recycling rates'!$G$60:$G$62)*('BTX Recycling HC'!Y150)-'Overall recycling rates'!$E$62/SUM('Overall recycling rates'!$E$60:$E$62)*('BTX Recycling HC'!Y151)-'Overall recycling rates'!$H$62/SUM('Overall recycling rates'!$H$60:$H$62)*('BTX Recycling HC'!Y152)-'Overall recycling rates'!$I$62/SUM('Overall recycling rates'!$I$60:$I$62)*('BTX Recycling HC'!Y153)</f>
        <v>376278.87672052404</v>
      </c>
      <c r="BG87" s="579">
        <f>BG26-'Overall recycling rates'!$G$62/SUM('Overall recycling rates'!$G$60:$G$62)*('BTX Recycling HC'!Z150)-'Overall recycling rates'!$E$62/SUM('Overall recycling rates'!$E$60:$E$62)*('BTX Recycling HC'!Z151)-'Overall recycling rates'!$H$62/SUM('Overall recycling rates'!$H$60:$H$62)*('BTX Recycling HC'!Z152)-'Overall recycling rates'!$I$62/SUM('Overall recycling rates'!$I$60:$I$62)*('BTX Recycling HC'!Z153)</f>
        <v>367526.82955405535</v>
      </c>
      <c r="BH87" s="579">
        <f>BH26-'Overall recycling rates'!$G$62/SUM('Overall recycling rates'!$G$60:$G$62)*('BTX Recycling HC'!AA150)-'Overall recycling rates'!$E$62/SUM('Overall recycling rates'!$E$60:$E$62)*('BTX Recycling HC'!AA151)-'Overall recycling rates'!$H$62/SUM('Overall recycling rates'!$H$60:$H$62)*('BTX Recycling HC'!AA152)-'Overall recycling rates'!$I$62/SUM('Overall recycling rates'!$I$60:$I$62)*('BTX Recycling HC'!AA153)</f>
        <v>358828.3366273928</v>
      </c>
      <c r="BI87" s="579">
        <f>BI26-'Overall recycling rates'!$G$62/SUM('Overall recycling rates'!$G$60:$G$62)*('BTX Recycling HC'!AB150)-'Overall recycling rates'!$E$62/SUM('Overall recycling rates'!$E$60:$E$62)*('BTX Recycling HC'!AB151)-'Overall recycling rates'!$H$62/SUM('Overall recycling rates'!$H$60:$H$62)*('BTX Recycling HC'!AB152)-'Overall recycling rates'!$I$62/SUM('Overall recycling rates'!$I$60:$I$62)*('BTX Recycling HC'!AB153)</f>
        <v>350183.18944797193</v>
      </c>
      <c r="BJ87" s="579">
        <f>BJ26-'Overall recycling rates'!$G$62/SUM('Overall recycling rates'!$G$60:$G$62)*('BTX Recycling HC'!AC150)-'Overall recycling rates'!$E$62/SUM('Overall recycling rates'!$E$60:$E$62)*('BTX Recycling HC'!AC151)-'Overall recycling rates'!$H$62/SUM('Overall recycling rates'!$H$60:$H$62)*('BTX Recycling HC'!AC152)-'Overall recycling rates'!$I$62/SUM('Overall recycling rates'!$I$60:$I$62)*('BTX Recycling HC'!AC153)</f>
        <v>341591.20814466546</v>
      </c>
      <c r="BK87" s="579">
        <f>BK26-'Overall recycling rates'!$G$62/SUM('Overall recycling rates'!$G$60:$G$62)*('BTX Recycling HC'!AD150)-'Overall recycling rates'!$E$62/SUM('Overall recycling rates'!$E$60:$E$62)*('BTX Recycling HC'!AD151)-'Overall recycling rates'!$H$62/SUM('Overall recycling rates'!$H$60:$H$62)*('BTX Recycling HC'!AD152)-'Overall recycling rates'!$I$62/SUM('Overall recycling rates'!$I$60:$I$62)*('BTX Recycling HC'!AD153)</f>
        <v>333052.24338903686</v>
      </c>
      <c r="BL87" s="579">
        <f>BL26-'Overall recycling rates'!$G$62/SUM('Overall recycling rates'!$G$60:$G$62)*('BTX Recycling HC'!AE150)-'Overall recycling rates'!$E$62/SUM('Overall recycling rates'!$E$60:$E$62)*('BTX Recycling HC'!AE151)-'Overall recycling rates'!$H$62/SUM('Overall recycling rates'!$H$60:$H$62)*('BTX Recycling HC'!AE152)-'Overall recycling rates'!$I$62/SUM('Overall recycling rates'!$I$60:$I$62)*('BTX Recycling HC'!AE153)</f>
        <v>324566.17833131389</v>
      </c>
      <c r="BM87" s="579">
        <f>BM26-'Overall recycling rates'!$G$62/SUM('Overall recycling rates'!$G$60:$G$62)*('BTX Recycling HC'!AF150)-'Overall recycling rates'!$E$62/SUM('Overall recycling rates'!$E$60:$E$62)*('BTX Recycling HC'!AF151)-'Overall recycling rates'!$H$62/SUM('Overall recycling rates'!$H$60:$H$62)*('BTX Recycling HC'!AF152)-'Overall recycling rates'!$I$62/SUM('Overall recycling rates'!$I$60:$I$62)*('BTX Recycling HC'!AF153)</f>
        <v>316132.93055064807</v>
      </c>
      <c r="BN87" s="579">
        <f>BN26-'Overall recycling rates'!$G$62/SUM('Overall recycling rates'!$G$60:$G$62)*('BTX Recycling HC'!AG150)-'Overall recycling rates'!$E$62/SUM('Overall recycling rates'!$E$60:$E$62)*('BTX Recycling HC'!AG151)-'Overall recycling rates'!$H$62/SUM('Overall recycling rates'!$H$60:$H$62)*('BTX Recycling HC'!AG152)-'Overall recycling rates'!$I$62/SUM('Overall recycling rates'!$I$60:$I$62)*('BTX Recycling HC'!AG153)</f>
        <v>307752.45401923032</v>
      </c>
      <c r="BQ87" s="623"/>
      <c r="BR87" s="623"/>
      <c r="BS87" s="623"/>
      <c r="BT87" s="623"/>
      <c r="BU87" s="623"/>
      <c r="BV87" s="623"/>
      <c r="BW87" s="623"/>
      <c r="BX87" s="623"/>
      <c r="BY87" s="623"/>
      <c r="BZ87" s="623"/>
      <c r="CA87" s="623"/>
      <c r="CB87" s="623"/>
      <c r="CC87" s="623"/>
      <c r="CD87" s="623"/>
      <c r="CE87" s="623"/>
      <c r="CF87" s="623"/>
      <c r="CG87" s="623"/>
      <c r="CH87" s="623"/>
      <c r="CI87" s="623"/>
      <c r="CJ87" s="623"/>
      <c r="CK87" s="623"/>
      <c r="CL87" s="623"/>
    </row>
    <row r="88" spans="1:90" outlineLevel="1">
      <c r="A88" s="54" t="s">
        <v>519</v>
      </c>
      <c r="B88" s="54" t="s">
        <v>200</v>
      </c>
      <c r="C88" s="50" t="s">
        <v>1420</v>
      </c>
      <c r="D88" s="520">
        <f t="shared" ref="D88:AH88" si="80">D50</f>
        <v>111056.034375</v>
      </c>
      <c r="E88" s="520">
        <f t="shared" si="80"/>
        <v>106887.64763043991</v>
      </c>
      <c r="F88" s="520">
        <f t="shared" si="80"/>
        <v>102771.12687376629</v>
      </c>
      <c r="G88" s="520">
        <f t="shared" si="80"/>
        <v>98705.957336579217</v>
      </c>
      <c r="H88" s="520">
        <f t="shared" si="80"/>
        <v>94691.628867724459</v>
      </c>
      <c r="I88" s="520">
        <f t="shared" si="80"/>
        <v>90727.635894201099</v>
      </c>
      <c r="J88" s="520">
        <f t="shared" si="80"/>
        <v>86813.47738238785</v>
      </c>
      <c r="K88" s="520">
        <f t="shared" si="80"/>
        <v>82948.656799585733</v>
      </c>
      <c r="L88" s="520">
        <f t="shared" si="80"/>
        <v>79132.682075874647</v>
      </c>
      <c r="M88" s="520">
        <f t="shared" si="80"/>
        <v>75365.065566281104</v>
      </c>
      <c r="N88" s="520">
        <f t="shared" si="80"/>
        <v>71645.324013254925</v>
      </c>
      <c r="O88" s="520">
        <f t="shared" si="80"/>
        <v>68910.039719020438</v>
      </c>
      <c r="P88" s="520">
        <f t="shared" si="80"/>
        <v>66208.847358449275</v>
      </c>
      <c r="Q88" s="520">
        <f t="shared" si="80"/>
        <v>63541.408353129729</v>
      </c>
      <c r="R88" s="520">
        <f t="shared" si="80"/>
        <v>60907.387162573752</v>
      </c>
      <c r="S88" s="520">
        <f t="shared" si="80"/>
        <v>58306.451258490677</v>
      </c>
      <c r="T88" s="520">
        <f t="shared" si="80"/>
        <v>55738.271099270707</v>
      </c>
      <c r="U88" s="520">
        <f t="shared" si="80"/>
        <v>53202.520104676776</v>
      </c>
      <c r="V88" s="520">
        <f t="shared" si="80"/>
        <v>50698.874630742728</v>
      </c>
      <c r="W88" s="520">
        <f t="shared" si="80"/>
        <v>48227.013944876599</v>
      </c>
      <c r="X88" s="520">
        <f t="shared" si="80"/>
        <v>45786.620201166981</v>
      </c>
      <c r="Y88" s="520">
        <f t="shared" si="80"/>
        <v>42944.758285413576</v>
      </c>
      <c r="Z88" s="520">
        <f t="shared" si="80"/>
        <v>40139.659284422814</v>
      </c>
      <c r="AA88" s="520">
        <f t="shared" si="80"/>
        <v>37370.953045252303</v>
      </c>
      <c r="AB88" s="520">
        <f t="shared" si="80"/>
        <v>34638.27276000884</v>
      </c>
      <c r="AC88" s="520">
        <f t="shared" si="80"/>
        <v>31941.254937396749</v>
      </c>
      <c r="AD88" s="520">
        <f t="shared" si="80"/>
        <v>29279.539374499127</v>
      </c>
      <c r="AE88" s="520">
        <f t="shared" si="80"/>
        <v>26652.769128790027</v>
      </c>
      <c r="AF88" s="520">
        <f t="shared" si="80"/>
        <v>24060.590490375595</v>
      </c>
      <c r="AG88" s="520">
        <f t="shared" si="80"/>
        <v>21502.652954462654</v>
      </c>
      <c r="AH88" s="520">
        <f t="shared" si="80"/>
        <v>18978.609194052569</v>
      </c>
      <c r="AI88" s="178"/>
      <c r="AJ88" s="520">
        <f t="shared" ref="AJ88:BN88" si="81">AJ50</f>
        <v>111056.034375</v>
      </c>
      <c r="AK88" s="520">
        <f t="shared" si="81"/>
        <v>108591.717546744</v>
      </c>
      <c r="AL88" s="520">
        <f t="shared" si="81"/>
        <v>106155.93589145908</v>
      </c>
      <c r="AM88" s="520">
        <f t="shared" si="81"/>
        <v>103748.41421142814</v>
      </c>
      <c r="AN88" s="520">
        <f t="shared" si="81"/>
        <v>101368.87973950147</v>
      </c>
      <c r="AO88" s="520">
        <f t="shared" si="81"/>
        <v>99017.062118715621</v>
      </c>
      <c r="AP88" s="520">
        <f t="shared" si="81"/>
        <v>96692.69338207769</v>
      </c>
      <c r="AQ88" s="520">
        <f t="shared" si="81"/>
        <v>94395.507932513123</v>
      </c>
      <c r="AR88" s="520">
        <f t="shared" si="81"/>
        <v>92125.242522976274</v>
      </c>
      <c r="AS88" s="520">
        <f t="shared" si="81"/>
        <v>89881.636236722145</v>
      </c>
      <c r="AT88" s="520">
        <f t="shared" si="81"/>
        <v>87664.430467738115</v>
      </c>
      <c r="AU88" s="520">
        <f t="shared" si="81"/>
        <v>85941.89950611844</v>
      </c>
      <c r="AV88" s="520">
        <f t="shared" si="81"/>
        <v>84238.843943705084</v>
      </c>
      <c r="AW88" s="520">
        <f t="shared" si="81"/>
        <v>82555.07786033224</v>
      </c>
      <c r="AX88" s="520">
        <f t="shared" si="81"/>
        <v>80890.416968645077</v>
      </c>
      <c r="AY88" s="520">
        <f t="shared" si="81"/>
        <v>79244.678600457264</v>
      </c>
      <c r="AZ88" s="520">
        <f t="shared" si="81"/>
        <v>77617.681693218648</v>
      </c>
      <c r="BA88" s="520">
        <f t="shared" si="81"/>
        <v>76009.246776592467</v>
      </c>
      <c r="BB88" s="520">
        <f t="shared" si="81"/>
        <v>74419.195959140954</v>
      </c>
      <c r="BC88" s="520">
        <f t="shared" si="81"/>
        <v>72847.352915118783</v>
      </c>
      <c r="BD88" s="520">
        <f t="shared" si="81"/>
        <v>71293.542871373109</v>
      </c>
      <c r="BE88" s="520">
        <f t="shared" si="81"/>
        <v>69541.282529111064</v>
      </c>
      <c r="BF88" s="520">
        <f t="shared" si="81"/>
        <v>67809.671797804665</v>
      </c>
      <c r="BG88" s="520">
        <f t="shared" si="81"/>
        <v>66098.510074075399</v>
      </c>
      <c r="BH88" s="520">
        <f t="shared" si="81"/>
        <v>64407.598533360644</v>
      </c>
      <c r="BI88" s="520">
        <f t="shared" si="81"/>
        <v>62736.740114960085</v>
      </c>
      <c r="BJ88" s="520">
        <f t="shared" si="81"/>
        <v>61085.739507203769</v>
      </c>
      <c r="BK88" s="520">
        <f t="shared" si="81"/>
        <v>59454.40313274051</v>
      </c>
      <c r="BL88" s="520">
        <f t="shared" si="81"/>
        <v>57842.539133945611</v>
      </c>
      <c r="BM88" s="520">
        <f t="shared" si="81"/>
        <v>56249.957358447282</v>
      </c>
      <c r="BN88" s="520">
        <f t="shared" si="81"/>
        <v>54676.469344770514</v>
      </c>
    </row>
    <row r="89" spans="1:90" outlineLevel="1">
      <c r="A89"/>
      <c r="B89" t="s">
        <v>266</v>
      </c>
      <c r="C89" s="50" t="s">
        <v>1420</v>
      </c>
      <c r="D89" s="99">
        <f>'BTX Recycling HC'!C211</f>
        <v>0</v>
      </c>
      <c r="E89" s="99">
        <f>'BTX Recycling HC'!D211</f>
        <v>139.97581628488709</v>
      </c>
      <c r="F89" s="99">
        <f>'BTX Recycling HC'!E211</f>
        <v>331.19767139118858</v>
      </c>
      <c r="G89" s="99">
        <f>'BTX Recycling HC'!F211</f>
        <v>577.79894899130204</v>
      </c>
      <c r="H89" s="99">
        <f>'BTX Recycling HC'!G211</f>
        <v>883.87502926869797</v>
      </c>
      <c r="I89" s="99">
        <f>'BTX Recycling HC'!H211</f>
        <v>1253.4835014300218</v>
      </c>
      <c r="J89" s="99">
        <f>'BTX Recycling HC'!I211</f>
        <v>1638.403464076865</v>
      </c>
      <c r="K89" s="99">
        <f>'BTX Recycling HC'!J211</f>
        <v>2063.4210617783674</v>
      </c>
      <c r="L89" s="99">
        <f>'BTX Recycling HC'!K211</f>
        <v>2525.4847318253337</v>
      </c>
      <c r="M89" s="99">
        <f>'BTX Recycling HC'!L211</f>
        <v>3021.0228666685116</v>
      </c>
      <c r="N89" s="99">
        <f>'BTX Recycling HC'!M211</f>
        <v>3545.9496984628768</v>
      </c>
      <c r="O89" s="99">
        <f>'BTX Recycling HC'!N211</f>
        <v>3973.4813613083229</v>
      </c>
      <c r="P89" s="99">
        <f>'BTX Recycling HC'!O211</f>
        <v>4409.9313526629385</v>
      </c>
      <c r="Q89" s="99">
        <f>'BTX Recycling HC'!P211</f>
        <v>4851.1257821587715</v>
      </c>
      <c r="R89" s="99">
        <f>'BTX Recycling HC'!Q211</f>
        <v>5292.5646818035821</v>
      </c>
      <c r="S89" s="99">
        <f>'BTX Recycling HC'!R211</f>
        <v>5729.4258075839907</v>
      </c>
      <c r="T89" s="99">
        <f>'BTX Recycling HC'!S211</f>
        <v>6241.4415749378059</v>
      </c>
      <c r="U89" s="99">
        <f>'BTX Recycling HC'!T211</f>
        <v>6758.5360162590341</v>
      </c>
      <c r="V89" s="99">
        <f>'BTX Recycling HC'!U211</f>
        <v>7277.1250428922913</v>
      </c>
      <c r="W89" s="99">
        <f>'BTX Recycling HC'!V211</f>
        <v>7793.4030019883412</v>
      </c>
      <c r="X89" s="99">
        <f>'BTX Recycling HC'!W211</f>
        <v>8303.3452961607709</v>
      </c>
      <c r="Y89" s="99">
        <f>'BTX Recycling HC'!X211</f>
        <v>8985.5854737175778</v>
      </c>
      <c r="Z89" s="99">
        <f>'BTX Recycling HC'!Y211</f>
        <v>9658.5654021938335</v>
      </c>
      <c r="AA89" s="99">
        <f>'BTX Recycling HC'!Z211</f>
        <v>10315.858743336479</v>
      </c>
      <c r="AB89" s="99">
        <f>'BTX Recycling HC'!AA211</f>
        <v>10950.711306978319</v>
      </c>
      <c r="AC89" s="99">
        <f>'BTX Recycling HC'!AB211</f>
        <v>11556.044983921269</v>
      </c>
      <c r="AD89" s="99">
        <f>'BTX Recycling HC'!AC211</f>
        <v>12003.539494644547</v>
      </c>
      <c r="AE89" s="99">
        <f>'BTX Recycling HC'!AD211</f>
        <v>12383.146395784213</v>
      </c>
      <c r="AF89" s="99">
        <f>'BTX Recycling HC'!AE211</f>
        <v>12684.851701471891</v>
      </c>
      <c r="AG89" s="99">
        <f>'BTX Recycling HC'!AF211</f>
        <v>12898.272640940231</v>
      </c>
      <c r="AH89" s="99">
        <f>'BTX Recycling HC'!AG211</f>
        <v>13012.662224394182</v>
      </c>
      <c r="AI89" s="178"/>
      <c r="AJ89" s="99">
        <f>D89</f>
        <v>0</v>
      </c>
      <c r="AK89" s="99">
        <f>E89</f>
        <v>139.97581628488709</v>
      </c>
      <c r="AL89" s="99">
        <f>F89</f>
        <v>331.19767139118858</v>
      </c>
      <c r="AM89" s="99">
        <f t="shared" ref="AM89:BB90" si="82">G89</f>
        <v>577.79894899130204</v>
      </c>
      <c r="AN89" s="99">
        <f t="shared" si="82"/>
        <v>883.87502926869797</v>
      </c>
      <c r="AO89" s="99">
        <f t="shared" si="82"/>
        <v>1253.4835014300218</v>
      </c>
      <c r="AP89" s="99">
        <f t="shared" si="82"/>
        <v>1638.403464076865</v>
      </c>
      <c r="AQ89" s="99">
        <f t="shared" si="82"/>
        <v>2063.4210617783674</v>
      </c>
      <c r="AR89" s="99">
        <f t="shared" si="82"/>
        <v>2525.4847318253337</v>
      </c>
      <c r="AS89" s="99">
        <f t="shared" si="82"/>
        <v>3021.0228666685116</v>
      </c>
      <c r="AT89" s="99">
        <f t="shared" si="82"/>
        <v>3545.9496984628768</v>
      </c>
      <c r="AU89" s="99">
        <f t="shared" si="82"/>
        <v>3973.4813613083229</v>
      </c>
      <c r="AV89" s="99">
        <f t="shared" si="82"/>
        <v>4409.9313526629385</v>
      </c>
      <c r="AW89" s="99">
        <f t="shared" si="82"/>
        <v>4851.1257821587715</v>
      </c>
      <c r="AX89" s="99">
        <f t="shared" si="82"/>
        <v>5292.5646818035821</v>
      </c>
      <c r="AY89" s="99">
        <f t="shared" si="82"/>
        <v>5729.4258075839907</v>
      </c>
      <c r="AZ89" s="99">
        <f t="shared" si="82"/>
        <v>6241.4415749378059</v>
      </c>
      <c r="BA89" s="99">
        <f t="shared" si="82"/>
        <v>6758.5360162590341</v>
      </c>
      <c r="BB89" s="99">
        <f t="shared" si="82"/>
        <v>7277.1250428922913</v>
      </c>
      <c r="BC89" s="99">
        <f t="shared" ref="BC89:BN90" si="83">W89</f>
        <v>7793.4030019883412</v>
      </c>
      <c r="BD89" s="99">
        <f t="shared" si="83"/>
        <v>8303.3452961607709</v>
      </c>
      <c r="BE89" s="99">
        <f t="shared" si="83"/>
        <v>8985.5854737175778</v>
      </c>
      <c r="BF89" s="99">
        <f t="shared" si="83"/>
        <v>9658.5654021938335</v>
      </c>
      <c r="BG89" s="99">
        <f t="shared" si="83"/>
        <v>10315.858743336479</v>
      </c>
      <c r="BH89" s="99">
        <f t="shared" si="83"/>
        <v>10950.711306978319</v>
      </c>
      <c r="BI89" s="99">
        <f t="shared" si="83"/>
        <v>11556.044983921269</v>
      </c>
      <c r="BJ89" s="99">
        <f t="shared" si="83"/>
        <v>12003.539494644547</v>
      </c>
      <c r="BK89" s="99">
        <f t="shared" si="83"/>
        <v>12383.146395784213</v>
      </c>
      <c r="BL89" s="99">
        <f t="shared" si="83"/>
        <v>12684.851701471891</v>
      </c>
      <c r="BM89" s="99">
        <f t="shared" si="83"/>
        <v>12898.272640940231</v>
      </c>
      <c r="BN89" s="99">
        <f t="shared" si="83"/>
        <v>13012.662224394182</v>
      </c>
    </row>
    <row r="90" spans="1:90" outlineLevel="1">
      <c r="A90"/>
      <c r="B90" t="s">
        <v>268</v>
      </c>
      <c r="C90" s="50" t="s">
        <v>1420</v>
      </c>
      <c r="D90" s="99">
        <f>'BTX Recycling HC'!C84</f>
        <v>0</v>
      </c>
      <c r="E90" s="99">
        <f>'BTX Recycling HC'!D84</f>
        <v>-412.99926487022458</v>
      </c>
      <c r="F90" s="99">
        <f>'BTX Recycling HC'!E84</f>
        <v>-1145.93276590405</v>
      </c>
      <c r="G90" s="99">
        <f>'BTX Recycling HC'!F84</f>
        <v>-1926.1476417518061</v>
      </c>
      <c r="H90" s="99">
        <f>'BTX Recycling HC'!G84</f>
        <v>-2827.6323617516973</v>
      </c>
      <c r="I90" s="99">
        <f>'BTX Recycling HC'!H84</f>
        <v>-3838.2790395880365</v>
      </c>
      <c r="J90" s="99">
        <f>'BTX Recycling HC'!I84</f>
        <v>-4946.4257175993189</v>
      </c>
      <c r="K90" s="99">
        <f>'BTX Recycling HC'!J84</f>
        <v>-6140.8520216009128</v>
      </c>
      <c r="L90" s="99">
        <f>'BTX Recycling HC'!K84</f>
        <v>-7410.7748432256849</v>
      </c>
      <c r="M90" s="99">
        <f>'BTX Recycling HC'!L84</f>
        <v>-8745.8440496440817</v>
      </c>
      <c r="N90" s="99">
        <f>'BTX Recycling HC'!M84</f>
        <v>-10136.138220525369</v>
      </c>
      <c r="O90" s="99">
        <f>'BTX Recycling HC'!N84</f>
        <v>-12855.40337383376</v>
      </c>
      <c r="P90" s="99">
        <f>'BTX Recycling HC'!O84</f>
        <v>-15435.714923084124</v>
      </c>
      <c r="Q90" s="99">
        <f>'BTX Recycling HC'!P84</f>
        <v>-17880.135490858298</v>
      </c>
      <c r="R90" s="99">
        <f>'BTX Recycling HC'!Q84</f>
        <v>-20191.779258725583</v>
      </c>
      <c r="S90" s="99">
        <f>'BTX Recycling HC'!R84</f>
        <v>-22373.81126351584</v>
      </c>
      <c r="T90" s="99">
        <f>'BTX Recycling HC'!S84</f>
        <v>-24429.446698534259</v>
      </c>
      <c r="U90" s="99">
        <f>'BTX Recycling HC'!T84</f>
        <v>-26361.950219691964</v>
      </c>
      <c r="V90" s="99">
        <f>'BTX Recycling HC'!U84</f>
        <v>-28174.63525652622</v>
      </c>
      <c r="W90" s="99">
        <f>'BTX Recycling HC'!V84</f>
        <v>-29870.863328084353</v>
      </c>
      <c r="X90" s="99">
        <f>'BTX Recycling HC'!W84</f>
        <v>-31454.043363645695</v>
      </c>
      <c r="Y90" s="99">
        <f>'BTX Recycling HC'!X84</f>
        <v>-32796.337711014035</v>
      </c>
      <c r="Z90" s="99">
        <f>'BTX Recycling HC'!Y84</f>
        <v>-34052.958622931292</v>
      </c>
      <c r="AA90" s="99">
        <f>'BTX Recycling HC'!Z84</f>
        <v>-35226.3313331924</v>
      </c>
      <c r="AB90" s="99">
        <f>'BTX Recycling HC'!AA84</f>
        <v>-36318.917162593672</v>
      </c>
      <c r="AC90" s="99">
        <f>'BTX Recycling HC'!AB84</f>
        <v>-37333.213011476342</v>
      </c>
      <c r="AD90" s="99">
        <f>'BTX Recycling HC'!AC84</f>
        <v>-38271.75085586193</v>
      </c>
      <c r="AE90" s="99">
        <f>'BTX Recycling HC'!AD84</f>
        <v>-39137.097247160338</v>
      </c>
      <c r="AF90" s="99">
        <f>'BTX Recycling HC'!AE84</f>
        <v>-39931.852815431499</v>
      </c>
      <c r="AG90" s="99">
        <f>'BTX Recycling HC'!AF84</f>
        <v>-40658.651776181956</v>
      </c>
      <c r="AH90" s="99">
        <f>'BTX Recycling HC'!AG84</f>
        <v>-41320.161440677351</v>
      </c>
      <c r="AI90" s="178"/>
      <c r="AJ90" s="99">
        <f>D90</f>
        <v>0</v>
      </c>
      <c r="AK90" s="99">
        <f t="shared" ref="AK90:AZ90" si="84">E90</f>
        <v>-412.99926487022458</v>
      </c>
      <c r="AL90" s="99">
        <f t="shared" si="84"/>
        <v>-1145.93276590405</v>
      </c>
      <c r="AM90" s="99">
        <f t="shared" si="84"/>
        <v>-1926.1476417518061</v>
      </c>
      <c r="AN90" s="99">
        <f t="shared" si="84"/>
        <v>-2827.6323617516973</v>
      </c>
      <c r="AO90" s="99">
        <f t="shared" si="84"/>
        <v>-3838.2790395880365</v>
      </c>
      <c r="AP90" s="99">
        <f t="shared" si="84"/>
        <v>-4946.4257175993189</v>
      </c>
      <c r="AQ90" s="99">
        <f t="shared" si="84"/>
        <v>-6140.8520216009128</v>
      </c>
      <c r="AR90" s="99">
        <f t="shared" si="84"/>
        <v>-7410.7748432256849</v>
      </c>
      <c r="AS90" s="99">
        <f t="shared" si="84"/>
        <v>-8745.8440496440817</v>
      </c>
      <c r="AT90" s="99">
        <f t="shared" si="84"/>
        <v>-10136.138220525369</v>
      </c>
      <c r="AU90" s="99">
        <f t="shared" si="84"/>
        <v>-12855.40337383376</v>
      </c>
      <c r="AV90" s="99">
        <f t="shared" si="84"/>
        <v>-15435.714923084124</v>
      </c>
      <c r="AW90" s="99">
        <f t="shared" si="84"/>
        <v>-17880.135490858298</v>
      </c>
      <c r="AX90" s="99">
        <f t="shared" si="84"/>
        <v>-20191.779258725583</v>
      </c>
      <c r="AY90" s="99">
        <f t="shared" si="84"/>
        <v>-22373.81126351584</v>
      </c>
      <c r="AZ90" s="99">
        <f t="shared" si="84"/>
        <v>-24429.446698534259</v>
      </c>
      <c r="BA90" s="99">
        <f t="shared" si="82"/>
        <v>-26361.950219691964</v>
      </c>
      <c r="BB90" s="99">
        <f t="shared" si="82"/>
        <v>-28174.63525652622</v>
      </c>
      <c r="BC90" s="99">
        <f t="shared" si="83"/>
        <v>-29870.863328084353</v>
      </c>
      <c r="BD90" s="99">
        <f t="shared" si="83"/>
        <v>-31454.043363645695</v>
      </c>
      <c r="BE90" s="99">
        <f t="shared" si="83"/>
        <v>-32796.337711014035</v>
      </c>
      <c r="BF90" s="99">
        <f t="shared" si="83"/>
        <v>-34052.958622931292</v>
      </c>
      <c r="BG90" s="99">
        <f t="shared" si="83"/>
        <v>-35226.3313331924</v>
      </c>
      <c r="BH90" s="99">
        <f t="shared" si="83"/>
        <v>-36318.917162593672</v>
      </c>
      <c r="BI90" s="99">
        <f t="shared" si="83"/>
        <v>-37333.213011476342</v>
      </c>
      <c r="BJ90" s="99">
        <f t="shared" si="83"/>
        <v>-38271.75085586193</v>
      </c>
      <c r="BK90" s="99">
        <f t="shared" si="83"/>
        <v>-39137.097247160338</v>
      </c>
      <c r="BL90" s="99">
        <f t="shared" si="83"/>
        <v>-39931.852815431499</v>
      </c>
      <c r="BM90" s="99">
        <f t="shared" si="83"/>
        <v>-40658.651776181956</v>
      </c>
      <c r="BN90" s="99">
        <f t="shared" si="83"/>
        <v>-41320.161440677351</v>
      </c>
    </row>
    <row r="91" spans="1:90" outlineLevel="1">
      <c r="A91" s="58"/>
      <c r="B91" s="58" t="s">
        <v>267</v>
      </c>
      <c r="C91" s="50" t="s">
        <v>1420</v>
      </c>
      <c r="D91" s="577">
        <f>IF(D88-D89-D90&lt;0,0,D88-D89-D90)</f>
        <v>111056.034375</v>
      </c>
      <c r="E91" s="577">
        <f t="shared" ref="E91:AG91" si="85">IF(E88-E89-E90&lt;0,0,E88-E89-E90)</f>
        <v>107160.67107902525</v>
      </c>
      <c r="F91" s="577">
        <f t="shared" si="85"/>
        <v>103585.86196827915</v>
      </c>
      <c r="G91" s="577">
        <f t="shared" si="85"/>
        <v>100054.30602933973</v>
      </c>
      <c r="H91" s="577">
        <f t="shared" si="85"/>
        <v>96635.38620020746</v>
      </c>
      <c r="I91" s="577">
        <f t="shared" si="85"/>
        <v>93312.431432359124</v>
      </c>
      <c r="J91" s="577">
        <f t="shared" si="85"/>
        <v>90121.499635910295</v>
      </c>
      <c r="K91" s="577">
        <f t="shared" si="85"/>
        <v>87026.087759408285</v>
      </c>
      <c r="L91" s="577">
        <f t="shared" si="85"/>
        <v>84017.972187275009</v>
      </c>
      <c r="M91" s="577">
        <f t="shared" si="85"/>
        <v>81089.886749256664</v>
      </c>
      <c r="N91" s="577">
        <f t="shared" si="85"/>
        <v>78235.512535317423</v>
      </c>
      <c r="O91" s="577">
        <f t="shared" si="85"/>
        <v>77791.961731545874</v>
      </c>
      <c r="P91" s="577">
        <f t="shared" si="85"/>
        <v>77234.630928870465</v>
      </c>
      <c r="Q91" s="577">
        <f t="shared" si="85"/>
        <v>76570.418061829259</v>
      </c>
      <c r="R91" s="577">
        <f t="shared" si="85"/>
        <v>75806.60173949576</v>
      </c>
      <c r="S91" s="577">
        <f t="shared" si="85"/>
        <v>74950.836714422534</v>
      </c>
      <c r="T91" s="577">
        <f t="shared" si="85"/>
        <v>73926.276222867164</v>
      </c>
      <c r="U91" s="577">
        <f t="shared" si="85"/>
        <v>72805.934308109703</v>
      </c>
      <c r="V91" s="577">
        <f t="shared" si="85"/>
        <v>71596.384844376647</v>
      </c>
      <c r="W91" s="577">
        <f t="shared" si="85"/>
        <v>70304.474270972612</v>
      </c>
      <c r="X91" s="577">
        <f t="shared" si="85"/>
        <v>68937.318268651899</v>
      </c>
      <c r="Y91" s="577">
        <f t="shared" si="85"/>
        <v>66755.510522710043</v>
      </c>
      <c r="Z91" s="577">
        <f t="shared" si="85"/>
        <v>64534.052505160274</v>
      </c>
      <c r="AA91" s="577">
        <f t="shared" si="85"/>
        <v>62281.425635108222</v>
      </c>
      <c r="AB91" s="577">
        <f t="shared" si="85"/>
        <v>60006.47861562419</v>
      </c>
      <c r="AC91" s="577">
        <f t="shared" si="85"/>
        <v>57718.422964951824</v>
      </c>
      <c r="AD91" s="577">
        <f t="shared" si="85"/>
        <v>55547.750735716509</v>
      </c>
      <c r="AE91" s="577">
        <f t="shared" si="85"/>
        <v>53406.719980166148</v>
      </c>
      <c r="AF91" s="577">
        <f t="shared" si="85"/>
        <v>51307.591604335204</v>
      </c>
      <c r="AG91" s="577">
        <f t="shared" si="85"/>
        <v>49263.032089704378</v>
      </c>
      <c r="AH91" s="577">
        <f>IF(AH88-AH89-AH90&lt;0,0,AH88-AH89-AH90)</f>
        <v>47286.108410335743</v>
      </c>
      <c r="AI91" s="178"/>
      <c r="AJ91" s="577">
        <f>IF(AJ88-AJ89-AJ90&lt;0,0,AJ88-AJ89-AJ90)</f>
        <v>111056.034375</v>
      </c>
      <c r="AK91" s="577">
        <f t="shared" ref="AK91:BN91" si="86">IF(AK88-AK89-AK90&lt;0,0,AK88-AK89-AK90)</f>
        <v>108864.74099532934</v>
      </c>
      <c r="AL91" s="577">
        <f t="shared" si="86"/>
        <v>106970.67098597196</v>
      </c>
      <c r="AM91" s="577">
        <f t="shared" si="86"/>
        <v>105096.76290418865</v>
      </c>
      <c r="AN91" s="577">
        <f t="shared" si="86"/>
        <v>103312.63707198447</v>
      </c>
      <c r="AO91" s="577">
        <f t="shared" si="86"/>
        <v>101601.85765687365</v>
      </c>
      <c r="AP91" s="577">
        <f t="shared" si="86"/>
        <v>100000.71563560015</v>
      </c>
      <c r="AQ91" s="577">
        <f t="shared" si="86"/>
        <v>98472.93889233566</v>
      </c>
      <c r="AR91" s="577">
        <f t="shared" si="86"/>
        <v>97010.532634376636</v>
      </c>
      <c r="AS91" s="577">
        <f t="shared" si="86"/>
        <v>95606.457419697719</v>
      </c>
      <c r="AT91" s="577">
        <f t="shared" si="86"/>
        <v>94254.618989800598</v>
      </c>
      <c r="AU91" s="577">
        <f t="shared" si="86"/>
        <v>94823.821518643876</v>
      </c>
      <c r="AV91" s="577">
        <f t="shared" si="86"/>
        <v>95264.627514126274</v>
      </c>
      <c r="AW91" s="577">
        <f t="shared" si="86"/>
        <v>95584.087569031763</v>
      </c>
      <c r="AX91" s="577">
        <f t="shared" si="86"/>
        <v>95789.63154556707</v>
      </c>
      <c r="AY91" s="577">
        <f t="shared" si="86"/>
        <v>95889.064056389121</v>
      </c>
      <c r="AZ91" s="577">
        <f t="shared" si="86"/>
        <v>95805.686816815098</v>
      </c>
      <c r="BA91" s="577">
        <f t="shared" si="86"/>
        <v>95612.660980025394</v>
      </c>
      <c r="BB91" s="577">
        <f t="shared" si="86"/>
        <v>95316.706172774881</v>
      </c>
      <c r="BC91" s="577">
        <f t="shared" si="86"/>
        <v>94924.813241214797</v>
      </c>
      <c r="BD91" s="577">
        <f t="shared" si="86"/>
        <v>94444.240938858042</v>
      </c>
      <c r="BE91" s="577">
        <f t="shared" si="86"/>
        <v>93352.034766407523</v>
      </c>
      <c r="BF91" s="577">
        <f t="shared" si="86"/>
        <v>92204.065018542125</v>
      </c>
      <c r="BG91" s="577">
        <f t="shared" si="86"/>
        <v>91008.982663931325</v>
      </c>
      <c r="BH91" s="577">
        <f t="shared" si="86"/>
        <v>89775.804388976001</v>
      </c>
      <c r="BI91" s="577">
        <f t="shared" si="86"/>
        <v>88513.908142515167</v>
      </c>
      <c r="BJ91" s="577">
        <f t="shared" si="86"/>
        <v>87353.950868421147</v>
      </c>
      <c r="BK91" s="577">
        <f t="shared" si="86"/>
        <v>86208.353984116635</v>
      </c>
      <c r="BL91" s="577">
        <f t="shared" si="86"/>
        <v>85089.540247905214</v>
      </c>
      <c r="BM91" s="577">
        <f t="shared" si="86"/>
        <v>84010.336493689014</v>
      </c>
      <c r="BN91" s="577">
        <f t="shared" si="86"/>
        <v>82983.968561053684</v>
      </c>
    </row>
    <row r="92" spans="1:90" s="61" customFormat="1" outlineLevel="1">
      <c r="A92" s="602"/>
      <c r="B92" s="54" t="s">
        <v>88</v>
      </c>
      <c r="C92" s="55" t="s">
        <v>1420</v>
      </c>
      <c r="D92" s="580">
        <f>D51</f>
        <v>0</v>
      </c>
      <c r="E92" s="580">
        <f t="shared" ref="E92:AH92" si="87">E51</f>
        <v>0</v>
      </c>
      <c r="F92" s="580">
        <f t="shared" si="87"/>
        <v>0</v>
      </c>
      <c r="G92" s="580">
        <f t="shared" si="87"/>
        <v>0</v>
      </c>
      <c r="H92" s="580">
        <f t="shared" si="87"/>
        <v>0</v>
      </c>
      <c r="I92" s="580">
        <f t="shared" si="87"/>
        <v>0</v>
      </c>
      <c r="J92" s="580">
        <f t="shared" si="87"/>
        <v>0</v>
      </c>
      <c r="K92" s="580">
        <f t="shared" si="87"/>
        <v>0</v>
      </c>
      <c r="L92" s="580">
        <f t="shared" si="87"/>
        <v>0</v>
      </c>
      <c r="M92" s="580">
        <f t="shared" si="87"/>
        <v>0</v>
      </c>
      <c r="N92" s="580">
        <f t="shared" si="87"/>
        <v>0</v>
      </c>
      <c r="O92" s="580">
        <f t="shared" si="87"/>
        <v>0</v>
      </c>
      <c r="P92" s="580">
        <f t="shared" si="87"/>
        <v>0</v>
      </c>
      <c r="Q92" s="580">
        <f t="shared" si="87"/>
        <v>0</v>
      </c>
      <c r="R92" s="580">
        <f t="shared" si="87"/>
        <v>0</v>
      </c>
      <c r="S92" s="580">
        <f t="shared" si="87"/>
        <v>0</v>
      </c>
      <c r="T92" s="580">
        <f t="shared" si="87"/>
        <v>0</v>
      </c>
      <c r="U92" s="580">
        <f t="shared" si="87"/>
        <v>0</v>
      </c>
      <c r="V92" s="580">
        <f t="shared" si="87"/>
        <v>0</v>
      </c>
      <c r="W92" s="580">
        <f t="shared" si="87"/>
        <v>0</v>
      </c>
      <c r="X92" s="580">
        <f t="shared" si="87"/>
        <v>0</v>
      </c>
      <c r="Y92" s="580">
        <f t="shared" si="87"/>
        <v>0</v>
      </c>
      <c r="Z92" s="580">
        <f t="shared" si="87"/>
        <v>0</v>
      </c>
      <c r="AA92" s="580">
        <f t="shared" si="87"/>
        <v>0</v>
      </c>
      <c r="AB92" s="580">
        <f t="shared" si="87"/>
        <v>0</v>
      </c>
      <c r="AC92" s="580">
        <f t="shared" si="87"/>
        <v>0</v>
      </c>
      <c r="AD92" s="580">
        <f t="shared" si="87"/>
        <v>0</v>
      </c>
      <c r="AE92" s="580">
        <f t="shared" si="87"/>
        <v>0</v>
      </c>
      <c r="AF92" s="580">
        <f t="shared" si="87"/>
        <v>0</v>
      </c>
      <c r="AG92" s="580">
        <f t="shared" si="87"/>
        <v>0</v>
      </c>
      <c r="AH92" s="580">
        <f t="shared" si="87"/>
        <v>0</v>
      </c>
      <c r="AI92" s="580"/>
      <c r="AJ92" s="580">
        <f>AJ51</f>
        <v>0</v>
      </c>
      <c r="AK92" s="580">
        <f t="shared" ref="AK92:BN92" si="88">AK51</f>
        <v>0</v>
      </c>
      <c r="AL92" s="580">
        <f t="shared" si="88"/>
        <v>0</v>
      </c>
      <c r="AM92" s="580">
        <f t="shared" si="88"/>
        <v>0</v>
      </c>
      <c r="AN92" s="580">
        <f t="shared" si="88"/>
        <v>0</v>
      </c>
      <c r="AO92" s="580">
        <f t="shared" si="88"/>
        <v>0</v>
      </c>
      <c r="AP92" s="580">
        <f t="shared" si="88"/>
        <v>0</v>
      </c>
      <c r="AQ92" s="580">
        <f t="shared" si="88"/>
        <v>0</v>
      </c>
      <c r="AR92" s="580">
        <f t="shared" si="88"/>
        <v>0</v>
      </c>
      <c r="AS92" s="580">
        <f t="shared" si="88"/>
        <v>0</v>
      </c>
      <c r="AT92" s="580">
        <f t="shared" si="88"/>
        <v>0</v>
      </c>
      <c r="AU92" s="580">
        <f t="shared" si="88"/>
        <v>0</v>
      </c>
      <c r="AV92" s="580">
        <f t="shared" si="88"/>
        <v>0</v>
      </c>
      <c r="AW92" s="580">
        <f t="shared" si="88"/>
        <v>0</v>
      </c>
      <c r="AX92" s="580">
        <f t="shared" si="88"/>
        <v>0</v>
      </c>
      <c r="AY92" s="580">
        <f t="shared" si="88"/>
        <v>0</v>
      </c>
      <c r="AZ92" s="580">
        <f t="shared" si="88"/>
        <v>0</v>
      </c>
      <c r="BA92" s="580">
        <f t="shared" si="88"/>
        <v>0</v>
      </c>
      <c r="BB92" s="580">
        <f t="shared" si="88"/>
        <v>0</v>
      </c>
      <c r="BC92" s="580">
        <f t="shared" si="88"/>
        <v>0</v>
      </c>
      <c r="BD92" s="580">
        <f t="shared" si="88"/>
        <v>0</v>
      </c>
      <c r="BE92" s="580">
        <f t="shared" si="88"/>
        <v>0</v>
      </c>
      <c r="BF92" s="580">
        <f t="shared" si="88"/>
        <v>0</v>
      </c>
      <c r="BG92" s="580">
        <f t="shared" si="88"/>
        <v>0</v>
      </c>
      <c r="BH92" s="580">
        <f t="shared" si="88"/>
        <v>0</v>
      </c>
      <c r="BI92" s="580">
        <f t="shared" si="88"/>
        <v>0</v>
      </c>
      <c r="BJ92" s="580">
        <f t="shared" si="88"/>
        <v>0</v>
      </c>
      <c r="BK92" s="580">
        <f t="shared" si="88"/>
        <v>0</v>
      </c>
      <c r="BL92" s="580">
        <f t="shared" si="88"/>
        <v>0</v>
      </c>
      <c r="BM92" s="580">
        <f t="shared" si="88"/>
        <v>0</v>
      </c>
      <c r="BN92" s="580">
        <f t="shared" si="88"/>
        <v>0</v>
      </c>
      <c r="BQ92" s="649"/>
      <c r="BR92" s="649"/>
      <c r="BS92" s="649"/>
      <c r="BT92" s="649"/>
      <c r="BU92" s="649"/>
      <c r="BV92" s="649"/>
      <c r="BW92" s="649"/>
      <c r="BX92" s="649"/>
      <c r="BY92" s="649"/>
      <c r="BZ92" s="649"/>
      <c r="CA92" s="649"/>
      <c r="CB92" s="649"/>
      <c r="CC92" s="649"/>
      <c r="CD92" s="649"/>
      <c r="CE92" s="649"/>
      <c r="CF92" s="649"/>
      <c r="CG92" s="649"/>
      <c r="CH92" s="649"/>
      <c r="CI92" s="649"/>
      <c r="CJ92" s="649"/>
      <c r="CK92" s="649"/>
      <c r="CL92" s="649"/>
    </row>
    <row r="93" spans="1:90" outlineLevel="1">
      <c r="A93" s="603"/>
      <c r="B93" s="1" t="s">
        <v>717</v>
      </c>
      <c r="C93" s="50" t="s">
        <v>1420</v>
      </c>
      <c r="D93" s="576">
        <f>D52-'Overall recycling rates'!$G$61/SUM('Overall recycling rates'!$G$61:$G$62)*('BTX Recycling HC'!C212+'BTX Recycling HC'!C85)-'Overall recycling rates'!$E$61/SUM('Overall recycling rates'!$E$61:$E$62)*('BTX Recycling HC'!C213+'BTX Recycling HC'!C86)-'Overall recycling rates'!$H$61/SUM('Overall recycling rates'!$H$61:$H$62)*('BTX Recycling HC'!C214+'BTX Recycling HC'!C87)-'Overall recycling rates'!$I$61/SUM('Overall recycling rates'!$I$61:$I$62)*('BTX Recycling HC'!C215+'BTX Recycling HC'!C88)</f>
        <v>10419.151641332546</v>
      </c>
      <c r="E93" s="576">
        <f>E52-'Overall recycling rates'!$G$61/SUM('Overall recycling rates'!$G$61:$G$62)*('BTX Recycling HC'!D212+'BTX Recycling HC'!D85)-'Overall recycling rates'!$E$61/SUM('Overall recycling rates'!$E$61:$E$62)*('BTX Recycling HC'!D213+'BTX Recycling HC'!D86)-'Overall recycling rates'!$H$61/SUM('Overall recycling rates'!$H$61:$H$62)*('BTX Recycling HC'!D214+'BTX Recycling HC'!D87)-'Overall recycling rates'!$I$61/SUM('Overall recycling rates'!$I$61:$I$62)*('BTX Recycling HC'!D215+'BTX Recycling HC'!D88)</f>
        <v>9537.37667074606</v>
      </c>
      <c r="F93" s="576">
        <f>F52-'Overall recycling rates'!$G$61/SUM('Overall recycling rates'!$G$61:$G$62)*('BTX Recycling HC'!E212+'BTX Recycling HC'!E85)-'Overall recycling rates'!$E$61/SUM('Overall recycling rates'!$E$61:$E$62)*('BTX Recycling HC'!E213+'BTX Recycling HC'!E86)-'Overall recycling rates'!$H$61/SUM('Overall recycling rates'!$H$61:$H$62)*('BTX Recycling HC'!E214+'BTX Recycling HC'!E87)-'Overall recycling rates'!$I$61/SUM('Overall recycling rates'!$I$61:$I$62)*('BTX Recycling HC'!E215+'BTX Recycling HC'!E88)</f>
        <v>8753.567725552457</v>
      </c>
      <c r="G93" s="576">
        <f>G52-'Overall recycling rates'!$G$61/SUM('Overall recycling rates'!$G$61:$G$62)*('BTX Recycling HC'!F212+'BTX Recycling HC'!F85)-'Overall recycling rates'!$E$61/SUM('Overall recycling rates'!$E$61:$E$62)*('BTX Recycling HC'!F213+'BTX Recycling HC'!F86)-'Overall recycling rates'!$H$61/SUM('Overall recycling rates'!$H$61:$H$62)*('BTX Recycling HC'!F214+'BTX Recycling HC'!F87)-'Overall recycling rates'!$I$61/SUM('Overall recycling rates'!$I$61:$I$62)*('BTX Recycling HC'!F215+'BTX Recycling HC'!F88)</f>
        <v>8005.0717131970705</v>
      </c>
      <c r="H93" s="576">
        <f>H52-'Overall recycling rates'!$G$61/SUM('Overall recycling rates'!$G$61:$G$62)*('BTX Recycling HC'!G212+'BTX Recycling HC'!G85)-'Overall recycling rates'!$E$61/SUM('Overall recycling rates'!$E$61:$E$62)*('BTX Recycling HC'!G213+'BTX Recycling HC'!G86)-'Overall recycling rates'!$H$61/SUM('Overall recycling rates'!$H$61:$H$62)*('BTX Recycling HC'!G214+'BTX Recycling HC'!G87)-'Overall recycling rates'!$I$61/SUM('Overall recycling rates'!$I$61:$I$62)*('BTX Recycling HC'!G215+'BTX Recycling HC'!G88)</f>
        <v>7314.3749883871023</v>
      </c>
      <c r="I93" s="576">
        <f>I52-'Overall recycling rates'!$G$61/SUM('Overall recycling rates'!$G$61:$G$62)*('BTX Recycling HC'!H212+'BTX Recycling HC'!H85)-'Overall recycling rates'!$E$61/SUM('Overall recycling rates'!$E$61:$E$62)*('BTX Recycling HC'!H213+'BTX Recycling HC'!H86)-'Overall recycling rates'!$H$61/SUM('Overall recycling rates'!$H$61:$H$62)*('BTX Recycling HC'!H214+'BTX Recycling HC'!H87)-'Overall recycling rates'!$I$61/SUM('Overall recycling rates'!$I$61:$I$62)*('BTX Recycling HC'!H215+'BTX Recycling HC'!H88)</f>
        <v>6681.9530695717294</v>
      </c>
      <c r="J93" s="576">
        <f>J52-'Overall recycling rates'!$G$61/SUM('Overall recycling rates'!$G$61:$G$62)*('BTX Recycling HC'!I212+'BTX Recycling HC'!I85)-'Overall recycling rates'!$E$61/SUM('Overall recycling rates'!$E$61:$E$62)*('BTX Recycling HC'!I213+'BTX Recycling HC'!I86)-'Overall recycling rates'!$H$61/SUM('Overall recycling rates'!$H$61:$H$62)*('BTX Recycling HC'!I214+'BTX Recycling HC'!I87)-'Overall recycling rates'!$I$61/SUM('Overall recycling rates'!$I$61:$I$62)*('BTX Recycling HC'!I215+'BTX Recycling HC'!I88)</f>
        <v>6108.7155952474195</v>
      </c>
      <c r="K93" s="576">
        <f>K52-'Overall recycling rates'!$G$61/SUM('Overall recycling rates'!$G$61:$G$62)*('BTX Recycling HC'!J212+'BTX Recycling HC'!J85)-'Overall recycling rates'!$E$61/SUM('Overall recycling rates'!$E$61:$E$62)*('BTX Recycling HC'!J213+'BTX Recycling HC'!J86)-'Overall recycling rates'!$H$61/SUM('Overall recycling rates'!$H$61:$H$62)*('BTX Recycling HC'!J214+'BTX Recycling HC'!J87)-'Overall recycling rates'!$I$61/SUM('Overall recycling rates'!$I$61:$I$62)*('BTX Recycling HC'!J215+'BTX Recycling HC'!J88)</f>
        <v>5594.1089248218741</v>
      </c>
      <c r="L93" s="576">
        <f>L52-'Overall recycling rates'!$G$61/SUM('Overall recycling rates'!$G$61:$G$62)*('BTX Recycling HC'!K212+'BTX Recycling HC'!K85)-'Overall recycling rates'!$E$61/SUM('Overall recycling rates'!$E$61:$E$62)*('BTX Recycling HC'!K213+'BTX Recycling HC'!K86)-'Overall recycling rates'!$H$61/SUM('Overall recycling rates'!$H$61:$H$62)*('BTX Recycling HC'!K214+'BTX Recycling HC'!K87)-'Overall recycling rates'!$I$61/SUM('Overall recycling rates'!$I$61:$I$62)*('BTX Recycling HC'!K215+'BTX Recycling HC'!K88)</f>
        <v>5137.5251346311516</v>
      </c>
      <c r="M93" s="576">
        <f>M52-'Overall recycling rates'!$G$61/SUM('Overall recycling rates'!$G$61:$G$62)*('BTX Recycling HC'!L212+'BTX Recycling HC'!L85)-'Overall recycling rates'!$E$61/SUM('Overall recycling rates'!$E$61:$E$62)*('BTX Recycling HC'!L213+'BTX Recycling HC'!L86)-'Overall recycling rates'!$H$61/SUM('Overall recycling rates'!$H$61:$H$62)*('BTX Recycling HC'!L214+'BTX Recycling HC'!L87)-'Overall recycling rates'!$I$61/SUM('Overall recycling rates'!$I$61:$I$62)*('BTX Recycling HC'!L215+'BTX Recycling HC'!L88)</f>
        <v>4737.9956190160674</v>
      </c>
      <c r="N93" s="576">
        <f>N52-'Overall recycling rates'!$G$61/SUM('Overall recycling rates'!$G$61:$G$62)*('BTX Recycling HC'!M212+'BTX Recycling HC'!M85)-'Overall recycling rates'!$E$61/SUM('Overall recycling rates'!$E$61:$E$62)*('BTX Recycling HC'!M213+'BTX Recycling HC'!M86)-'Overall recycling rates'!$H$61/SUM('Overall recycling rates'!$H$61:$H$62)*('BTX Recycling HC'!M214+'BTX Recycling HC'!M87)-'Overall recycling rates'!$I$61/SUM('Overall recycling rates'!$I$61:$I$62)*('BTX Recycling HC'!M215+'BTX Recycling HC'!M88)</f>
        <v>4394.2259160587701</v>
      </c>
      <c r="O93" s="576">
        <f>O52-'Overall recycling rates'!$G$61/SUM('Overall recycling rates'!$G$61:$G$62)*('BTX Recycling HC'!N212+'BTX Recycling HC'!N85)-'Overall recycling rates'!$E$61/SUM('Overall recycling rates'!$E$61:$E$62)*('BTX Recycling HC'!N213+'BTX Recycling HC'!N86)-'Overall recycling rates'!$H$61/SUM('Overall recycling rates'!$H$61:$H$62)*('BTX Recycling HC'!N214+'BTX Recycling HC'!N87)-'Overall recycling rates'!$I$61/SUM('Overall recycling rates'!$I$61:$I$62)*('BTX Recycling HC'!N215+'BTX Recycling HC'!N88)</f>
        <v>4683.1680436838888</v>
      </c>
      <c r="P93" s="576">
        <f>P52-'Overall recycling rates'!$G$61/SUM('Overall recycling rates'!$G$61:$G$62)*('BTX Recycling HC'!O212+'BTX Recycling HC'!O85)-'Overall recycling rates'!$E$61/SUM('Overall recycling rates'!$E$61:$E$62)*('BTX Recycling HC'!O213+'BTX Recycling HC'!O86)-'Overall recycling rates'!$H$61/SUM('Overall recycling rates'!$H$61:$H$62)*('BTX Recycling HC'!O214+'BTX Recycling HC'!O87)-'Overall recycling rates'!$I$61/SUM('Overall recycling rates'!$I$61:$I$62)*('BTX Recycling HC'!O215+'BTX Recycling HC'!O88)</f>
        <v>4989.2520866444574</v>
      </c>
      <c r="Q93" s="576">
        <f>Q52-'Overall recycling rates'!$G$61/SUM('Overall recycling rates'!$G$61:$G$62)*('BTX Recycling HC'!P212+'BTX Recycling HC'!P85)-'Overall recycling rates'!$E$61/SUM('Overall recycling rates'!$E$61:$E$62)*('BTX Recycling HC'!P213+'BTX Recycling HC'!P86)-'Overall recycling rates'!$H$61/SUM('Overall recycling rates'!$H$61:$H$62)*('BTX Recycling HC'!P214+'BTX Recycling HC'!P87)-'Overall recycling rates'!$I$61/SUM('Overall recycling rates'!$I$61:$I$62)*('BTX Recycling HC'!P215+'BTX Recycling HC'!P88)</f>
        <v>5308.2971481809018</v>
      </c>
      <c r="R93" s="576">
        <f>R52-'Overall recycling rates'!$G$61/SUM('Overall recycling rates'!$G$61:$G$62)*('BTX Recycling HC'!Q212+'BTX Recycling HC'!Q85)-'Overall recycling rates'!$E$61/SUM('Overall recycling rates'!$E$61:$E$62)*('BTX Recycling HC'!Q213+'BTX Recycling HC'!Q86)-'Overall recycling rates'!$H$61/SUM('Overall recycling rates'!$H$61:$H$62)*('BTX Recycling HC'!Q214+'BTX Recycling HC'!Q87)-'Overall recycling rates'!$I$61/SUM('Overall recycling rates'!$I$61:$I$62)*('BTX Recycling HC'!Q215+'BTX Recycling HC'!Q88)</f>
        <v>5636.3716250363068</v>
      </c>
      <c r="S93" s="576">
        <f>S52-'Overall recycling rates'!$G$61/SUM('Overall recycling rates'!$G$61:$G$62)*('BTX Recycling HC'!R212+'BTX Recycling HC'!R85)-'Overall recycling rates'!$E$61/SUM('Overall recycling rates'!$E$61:$E$62)*('BTX Recycling HC'!R213+'BTX Recycling HC'!R86)-'Overall recycling rates'!$H$61/SUM('Overall recycling rates'!$H$61:$H$62)*('BTX Recycling HC'!R214+'BTX Recycling HC'!R87)-'Overall recycling rates'!$I$61/SUM('Overall recycling rates'!$I$61:$I$62)*('BTX Recycling HC'!R215+'BTX Recycling HC'!R88)</f>
        <v>5969.8012086975714</v>
      </c>
      <c r="T93" s="576">
        <f>T52-'Overall recycling rates'!$G$61/SUM('Overall recycling rates'!$G$61:$G$62)*('BTX Recycling HC'!S212+'BTX Recycling HC'!S85)-'Overall recycling rates'!$E$61/SUM('Overall recycling rates'!$E$61:$E$62)*('BTX Recycling HC'!S213+'BTX Recycling HC'!S86)-'Overall recycling rates'!$H$61/SUM('Overall recycling rates'!$H$61:$H$62)*('BTX Recycling HC'!S214+'BTX Recycling HC'!S87)-'Overall recycling rates'!$I$61/SUM('Overall recycling rates'!$I$61:$I$62)*('BTX Recycling HC'!S215+'BTX Recycling HC'!S88)</f>
        <v>6300.9297983671049</v>
      </c>
      <c r="U93" s="576">
        <f>U52-'Overall recycling rates'!$G$61/SUM('Overall recycling rates'!$G$61:$G$62)*('BTX Recycling HC'!T212+'BTX Recycling HC'!T85)-'Overall recycling rates'!$E$61/SUM('Overall recycling rates'!$E$61:$E$62)*('BTX Recycling HC'!T213+'BTX Recycling HC'!T86)-'Overall recycling rates'!$H$61/SUM('Overall recycling rates'!$H$61:$H$62)*('BTX Recycling HC'!T214+'BTX Recycling HC'!T87)-'Overall recycling rates'!$I$61/SUM('Overall recycling rates'!$I$61:$I$62)*('BTX Recycling HC'!T215+'BTX Recycling HC'!T88)</f>
        <v>6629.2605184909771</v>
      </c>
      <c r="V93" s="576">
        <f>V52-'Overall recycling rates'!$G$61/SUM('Overall recycling rates'!$G$61:$G$62)*('BTX Recycling HC'!U212+'BTX Recycling HC'!U85)-'Overall recycling rates'!$E$61/SUM('Overall recycling rates'!$E$61:$E$62)*('BTX Recycling HC'!U213+'BTX Recycling HC'!U86)-'Overall recycling rates'!$H$61/SUM('Overall recycling rates'!$H$61:$H$62)*('BTX Recycling HC'!U214+'BTX Recycling HC'!U87)-'Overall recycling rates'!$I$61/SUM('Overall recycling rates'!$I$61:$I$62)*('BTX Recycling HC'!U215+'BTX Recycling HC'!U88)</f>
        <v>6951.6248499307749</v>
      </c>
      <c r="W93" s="576">
        <f>W52-'Overall recycling rates'!$G$61/SUM('Overall recycling rates'!$G$61:$G$62)*('BTX Recycling HC'!V212+'BTX Recycling HC'!V85)-'Overall recycling rates'!$E$61/SUM('Overall recycling rates'!$E$61:$E$62)*('BTX Recycling HC'!V213+'BTX Recycling HC'!V86)-'Overall recycling rates'!$H$61/SUM('Overall recycling rates'!$H$61:$H$62)*('BTX Recycling HC'!V214+'BTX Recycling HC'!V87)-'Overall recycling rates'!$I$61/SUM('Overall recycling rates'!$I$61:$I$62)*('BTX Recycling HC'!V215+'BTX Recycling HC'!V88)</f>
        <v>7265.1099525014724</v>
      </c>
      <c r="X93" s="576">
        <f>X52-'Overall recycling rates'!$G$61/SUM('Overall recycling rates'!$G$61:$G$62)*('BTX Recycling HC'!W212+'BTX Recycling HC'!W85)-'Overall recycling rates'!$E$61/SUM('Overall recycling rates'!$E$61:$E$62)*('BTX Recycling HC'!W213+'BTX Recycling HC'!W86)-'Overall recycling rates'!$H$61/SUM('Overall recycling rates'!$H$61:$H$62)*('BTX Recycling HC'!W214+'BTX Recycling HC'!W87)-'Overall recycling rates'!$I$61/SUM('Overall recycling rates'!$I$61:$I$62)*('BTX Recycling HC'!W215+'BTX Recycling HC'!W88)</f>
        <v>7567.064784527337</v>
      </c>
      <c r="Y93" s="576">
        <f>Y52-'Overall recycling rates'!$G$61/SUM('Overall recycling rates'!$G$61:$G$62)*('BTX Recycling HC'!X212+'BTX Recycling HC'!X85)-'Overall recycling rates'!$E$61/SUM('Overall recycling rates'!$E$61:$E$62)*('BTX Recycling HC'!X213+'BTX Recycling HC'!X86)-'Overall recycling rates'!$H$61/SUM('Overall recycling rates'!$H$61:$H$62)*('BTX Recycling HC'!X214+'BTX Recycling HC'!X87)-'Overall recycling rates'!$I$61/SUM('Overall recycling rates'!$I$61:$I$62)*('BTX Recycling HC'!X215+'BTX Recycling HC'!X88)</f>
        <v>7735.4915185880254</v>
      </c>
      <c r="Z93" s="576">
        <f>Z52-'Overall recycling rates'!$G$61/SUM('Overall recycling rates'!$G$61:$G$62)*('BTX Recycling HC'!Y212+'BTX Recycling HC'!Y85)-'Overall recycling rates'!$E$61/SUM('Overall recycling rates'!$E$61:$E$62)*('BTX Recycling HC'!Y213+'BTX Recycling HC'!Y86)-'Overall recycling rates'!$H$61/SUM('Overall recycling rates'!$H$61:$H$62)*('BTX Recycling HC'!Y214+'BTX Recycling HC'!Y87)-'Overall recycling rates'!$I$61/SUM('Overall recycling rates'!$I$61:$I$62)*('BTX Recycling HC'!Y215+'BTX Recycling HC'!Y88)</f>
        <v>7894.150113668893</v>
      </c>
      <c r="AA93" s="576">
        <f>AA52-'Overall recycling rates'!$G$61/SUM('Overall recycling rates'!$G$61:$G$62)*('BTX Recycling HC'!Z212+'BTX Recycling HC'!Z85)-'Overall recycling rates'!$E$61/SUM('Overall recycling rates'!$E$61:$E$62)*('BTX Recycling HC'!Z213+'BTX Recycling HC'!Z86)-'Overall recycling rates'!$H$61/SUM('Overall recycling rates'!$H$61:$H$62)*('BTX Recycling HC'!Z214+'BTX Recycling HC'!Z87)-'Overall recycling rates'!$I$61/SUM('Overall recycling rates'!$I$61:$I$62)*('BTX Recycling HC'!Z215+'BTX Recycling HC'!Z88)</f>
        <v>8041.4799994229897</v>
      </c>
      <c r="AB93" s="576">
        <f>AB52-'Overall recycling rates'!$G$61/SUM('Overall recycling rates'!$G$61:$G$62)*('BTX Recycling HC'!AA212+'BTX Recycling HC'!AA85)-'Overall recycling rates'!$E$61/SUM('Overall recycling rates'!$E$61:$E$62)*('BTX Recycling HC'!AA213+'BTX Recycling HC'!AA86)-'Overall recycling rates'!$H$61/SUM('Overall recycling rates'!$H$61:$H$62)*('BTX Recycling HC'!AA214+'BTX Recycling HC'!AA87)-'Overall recycling rates'!$I$61/SUM('Overall recycling rates'!$I$61:$I$62)*('BTX Recycling HC'!AA215+'BTX Recycling HC'!AA88)</f>
        <v>8176.1732079140675</v>
      </c>
      <c r="AC93" s="576">
        <f>AC52-'Overall recycling rates'!$G$61/SUM('Overall recycling rates'!$G$61:$G$62)*('BTX Recycling HC'!AB212+'BTX Recycling HC'!AB85)-'Overall recycling rates'!$E$61/SUM('Overall recycling rates'!$E$61:$E$62)*('BTX Recycling HC'!AB213+'BTX Recycling HC'!AB86)-'Overall recycling rates'!$H$61/SUM('Overall recycling rates'!$H$61:$H$62)*('BTX Recycling HC'!AB214+'BTX Recycling HC'!AB87)-'Overall recycling rates'!$I$61/SUM('Overall recycling rates'!$I$61:$I$62)*('BTX Recycling HC'!AB215+'BTX Recycling HC'!AB88)</f>
        <v>8297.1812749144192</v>
      </c>
      <c r="AD93" s="576">
        <f>AD52-'Overall recycling rates'!$G$61/SUM('Overall recycling rates'!$G$61:$G$62)*('BTX Recycling HC'!AC212+'BTX Recycling HC'!AC85)-'Overall recycling rates'!$E$61/SUM('Overall recycling rates'!$E$61:$E$62)*('BTX Recycling HC'!AC213+'BTX Recycling HC'!AC86)-'Overall recycling rates'!$H$61/SUM('Overall recycling rates'!$H$61:$H$62)*('BTX Recycling HC'!AC214+'BTX Recycling HC'!AC87)-'Overall recycling rates'!$I$61/SUM('Overall recycling rates'!$I$61:$I$62)*('BTX Recycling HC'!AC215+'BTX Recycling HC'!AC88)</f>
        <v>8413.5546133039916</v>
      </c>
      <c r="AE93" s="576">
        <f>AE52-'Overall recycling rates'!$G$61/SUM('Overall recycling rates'!$G$61:$G$62)*('BTX Recycling HC'!AD212+'BTX Recycling HC'!AD85)-'Overall recycling rates'!$E$61/SUM('Overall recycling rates'!$E$61:$E$62)*('BTX Recycling HC'!AD213+'BTX Recycling HC'!AD86)-'Overall recycling rates'!$H$61/SUM('Overall recycling rates'!$H$61:$H$62)*('BTX Recycling HC'!AD214+'BTX Recycling HC'!AD87)-'Overall recycling rates'!$I$61/SUM('Overall recycling rates'!$I$61:$I$62)*('BTX Recycling HC'!AD215+'BTX Recycling HC'!AD88)</f>
        <v>8517.6715870015996</v>
      </c>
      <c r="AF93" s="576">
        <f>AF52-'Overall recycling rates'!$G$61/SUM('Overall recycling rates'!$G$61:$G$62)*('BTX Recycling HC'!AE212+'BTX Recycling HC'!AE85)-'Overall recycling rates'!$E$61/SUM('Overall recycling rates'!$E$61:$E$62)*('BTX Recycling HC'!AE213+'BTX Recycling HC'!AE86)-'Overall recycling rates'!$H$61/SUM('Overall recycling rates'!$H$61:$H$62)*('BTX Recycling HC'!AE214+'BTX Recycling HC'!AE87)-'Overall recycling rates'!$I$61/SUM('Overall recycling rates'!$I$61:$I$62)*('BTX Recycling HC'!AE215+'BTX Recycling HC'!AE88)</f>
        <v>8609.6947953600375</v>
      </c>
      <c r="AG93" s="576">
        <f>AG52-'Overall recycling rates'!$G$61/SUM('Overall recycling rates'!$G$61:$G$62)*('BTX Recycling HC'!AF212+'BTX Recycling HC'!AF85)-'Overall recycling rates'!$E$61/SUM('Overall recycling rates'!$E$61:$E$62)*('BTX Recycling HC'!AF213+'BTX Recycling HC'!AF86)-'Overall recycling rates'!$H$61/SUM('Overall recycling rates'!$H$61:$H$62)*('BTX Recycling HC'!AF214+'BTX Recycling HC'!AF87)-'Overall recycling rates'!$I$61/SUM('Overall recycling rates'!$I$61:$I$62)*('BTX Recycling HC'!AF215+'BTX Recycling HC'!AF88)</f>
        <v>8690.1031944704901</v>
      </c>
      <c r="AH93" s="576">
        <f>AH52-'Overall recycling rates'!$G$61/SUM('Overall recycling rates'!$G$61:$G$62)*('BTX Recycling HC'!AG212+'BTX Recycling HC'!AG85)-'Overall recycling rates'!$E$61/SUM('Overall recycling rates'!$E$61:$E$62)*('BTX Recycling HC'!AG213+'BTX Recycling HC'!AG86)-'Overall recycling rates'!$H$61/SUM('Overall recycling rates'!$H$61:$H$62)*('BTX Recycling HC'!AG214+'BTX Recycling HC'!AG87)-'Overall recycling rates'!$I$61/SUM('Overall recycling rates'!$I$61:$I$62)*('BTX Recycling HC'!AG215+'BTX Recycling HC'!AG88)</f>
        <v>8759.6993312717277</v>
      </c>
      <c r="AI93" s="576"/>
      <c r="AJ93" s="576">
        <f>AJ52-'Overall recycling rates'!$G$61/SUM('Overall recycling rates'!$G$61:$G$62)*('BTX Recycling HC'!C212+'BTX Recycling HC'!C85)-'Overall recycling rates'!$E$61/SUM('Overall recycling rates'!$E$61:$E$62)*('BTX Recycling HC'!C213+'BTX Recycling HC'!C86)-'Overall recycling rates'!$H$61/SUM('Overall recycling rates'!$H$61:$H$62)*('BTX Recycling HC'!C214+'BTX Recycling HC'!C87)-'Overall recycling rates'!$I$61/SUM('Overall recycling rates'!$I$61:$I$62)*('BTX Recycling HC'!C215+'BTX Recycling HC'!C88)</f>
        <v>10419.151641332546</v>
      </c>
      <c r="AK93" s="576">
        <f>AK52-'Overall recycling rates'!$G$61/SUM('Overall recycling rates'!$G$61:$G$62)*('BTX Recycling HC'!D212+'BTX Recycling HC'!D85)-'Overall recycling rates'!$E$61/SUM('Overall recycling rates'!$E$61:$E$62)*('BTX Recycling HC'!D213+'BTX Recycling HC'!D86)-'Overall recycling rates'!$H$61/SUM('Overall recycling rates'!$H$61:$H$62)*('BTX Recycling HC'!D214+'BTX Recycling HC'!D87)-'Overall recycling rates'!$I$61/SUM('Overall recycling rates'!$I$61:$I$62)*('BTX Recycling HC'!D215+'BTX Recycling HC'!D88)</f>
        <v>9697.2505845349533</v>
      </c>
      <c r="AL93" s="576">
        <f>AL52-'Overall recycling rates'!$G$61/SUM('Overall recycling rates'!$G$61:$G$62)*('BTX Recycling HC'!E212+'BTX Recycling HC'!E85)-'Overall recycling rates'!$E$61/SUM('Overall recycling rates'!$E$61:$E$62)*('BTX Recycling HC'!E213+'BTX Recycling HC'!E86)-'Overall recycling rates'!$H$61/SUM('Overall recycling rates'!$H$61:$H$62)*('BTX Recycling HC'!E214+'BTX Recycling HC'!E87)-'Overall recycling rates'!$I$61/SUM('Overall recycling rates'!$I$61:$I$62)*('BTX Recycling HC'!E215+'BTX Recycling HC'!E88)</f>
        <v>9071.1266824408922</v>
      </c>
      <c r="AM93" s="576">
        <f>AM52-'Overall recycling rates'!$G$61/SUM('Overall recycling rates'!$G$61:$G$62)*('BTX Recycling HC'!F212+'BTX Recycling HC'!F85)-'Overall recycling rates'!$E$61/SUM('Overall recycling rates'!$E$61:$E$62)*('BTX Recycling HC'!F213+'BTX Recycling HC'!F86)-'Overall recycling rates'!$H$61/SUM('Overall recycling rates'!$H$61:$H$62)*('BTX Recycling HC'!F214+'BTX Recycling HC'!F87)-'Overall recycling rates'!$I$61/SUM('Overall recycling rates'!$I$61:$I$62)*('BTX Recycling HC'!F215+'BTX Recycling HC'!F88)</f>
        <v>8478.149318746413</v>
      </c>
      <c r="AN93" s="576">
        <f>AN52-'Overall recycling rates'!$G$61/SUM('Overall recycling rates'!$G$61:$G$62)*('BTX Recycling HC'!G212+'BTX Recycling HC'!G85)-'Overall recycling rates'!$E$61/SUM('Overall recycling rates'!$E$61:$E$62)*('BTX Recycling HC'!G213+'BTX Recycling HC'!G86)-'Overall recycling rates'!$H$61/SUM('Overall recycling rates'!$H$61:$H$62)*('BTX Recycling HC'!G214+'BTX Recycling HC'!G87)-'Overall recycling rates'!$I$61/SUM('Overall recycling rates'!$I$61:$I$62)*('BTX Recycling HC'!G215+'BTX Recycling HC'!G88)</f>
        <v>7940.8271192577686</v>
      </c>
      <c r="AO93" s="576">
        <f>AO52-'Overall recycling rates'!$G$61/SUM('Overall recycling rates'!$G$61:$G$62)*('BTX Recycling HC'!H212+'BTX Recycling HC'!H85)-'Overall recycling rates'!$E$61/SUM('Overall recycling rates'!$E$61:$E$62)*('BTX Recycling HC'!H213+'BTX Recycling HC'!H86)-'Overall recycling rates'!$H$61/SUM('Overall recycling rates'!$H$61:$H$62)*('BTX Recycling HC'!H214+'BTX Recycling HC'!H87)-'Overall recycling rates'!$I$61/SUM('Overall recycling rates'!$I$61:$I$62)*('BTX Recycling HC'!H215+'BTX Recycling HC'!H88)</f>
        <v>7459.6576701269441</v>
      </c>
      <c r="AP93" s="576">
        <f>AP52-'Overall recycling rates'!$G$61/SUM('Overall recycling rates'!$G$61:$G$62)*('BTX Recycling HC'!I212+'BTX Recycling HC'!I85)-'Overall recycling rates'!$E$61/SUM('Overall recycling rates'!$E$61:$E$62)*('BTX Recycling HC'!I213+'BTX Recycling HC'!I86)-'Overall recycling rates'!$H$61/SUM('Overall recycling rates'!$H$61:$H$62)*('BTX Recycling HC'!I214+'BTX Recycling HC'!I87)-'Overall recycling rates'!$I$61/SUM('Overall recycling rates'!$I$61:$I$62)*('BTX Recycling HC'!I215+'BTX Recycling HC'!I88)</f>
        <v>7035.5724758981005</v>
      </c>
      <c r="AQ93" s="576">
        <f>AQ52-'Overall recycling rates'!$G$61/SUM('Overall recycling rates'!$G$61:$G$62)*('BTX Recycling HC'!J212+'BTX Recycling HC'!J85)-'Overall recycling rates'!$E$61/SUM('Overall recycling rates'!$E$61:$E$62)*('BTX Recycling HC'!J213+'BTX Recycling HC'!J86)-'Overall recycling rates'!$H$61/SUM('Overall recycling rates'!$H$61:$H$62)*('BTX Recycling HC'!J214+'BTX Recycling HC'!J87)-'Overall recycling rates'!$I$61/SUM('Overall recycling rates'!$I$61:$I$62)*('BTX Recycling HC'!J215+'BTX Recycling HC'!J88)</f>
        <v>6668.0395620982399</v>
      </c>
      <c r="AR93" s="576">
        <f>AR52-'Overall recycling rates'!$G$61/SUM('Overall recycling rates'!$G$61:$G$62)*('BTX Recycling HC'!K212+'BTX Recycling HC'!K85)-'Overall recycling rates'!$E$61/SUM('Overall recycling rates'!$E$61:$E$62)*('BTX Recycling HC'!K213+'BTX Recycling HC'!K86)-'Overall recycling rates'!$H$61/SUM('Overall recycling rates'!$H$61:$H$62)*('BTX Recycling HC'!K214+'BTX Recycling HC'!K87)-'Overall recycling rates'!$I$61/SUM('Overall recycling rates'!$I$61:$I$62)*('BTX Recycling HC'!K215+'BTX Recycling HC'!K88)</f>
        <v>6356.4724729669151</v>
      </c>
      <c r="AS93" s="576">
        <f>AS52-'Overall recycling rates'!$G$61/SUM('Overall recycling rates'!$G$61:$G$62)*('BTX Recycling HC'!L212+'BTX Recycling HC'!L85)-'Overall recycling rates'!$E$61/SUM('Overall recycling rates'!$E$61:$E$62)*('BTX Recycling HC'!L213+'BTX Recycling HC'!L86)-'Overall recycling rates'!$H$61/SUM('Overall recycling rates'!$H$61:$H$62)*('BTX Recycling HC'!L214+'BTX Recycling HC'!L87)-'Overall recycling rates'!$I$61/SUM('Overall recycling rates'!$I$61:$I$62)*('BTX Recycling HC'!L215+'BTX Recycling HC'!L88)</f>
        <v>6099.9238742311109</v>
      </c>
      <c r="AT93" s="576">
        <f>AT52-'Overall recycling rates'!$G$61/SUM('Overall recycling rates'!$G$61:$G$62)*('BTX Recycling HC'!M212+'BTX Recycling HC'!M85)-'Overall recycling rates'!$E$61/SUM('Overall recycling rates'!$E$61:$E$62)*('BTX Recycling HC'!M213+'BTX Recycling HC'!M86)-'Overall recycling rates'!$H$61/SUM('Overall recycling rates'!$H$61:$H$62)*('BTX Recycling HC'!M214+'BTX Recycling HC'!M87)-'Overall recycling rates'!$I$61/SUM('Overall recycling rates'!$I$61:$I$62)*('BTX Recycling HC'!M215+'BTX Recycling HC'!M88)</f>
        <v>5897.1203805263549</v>
      </c>
      <c r="AU93" s="576">
        <f>AU52-'Overall recycling rates'!$G$61/SUM('Overall recycling rates'!$G$61:$G$62)*('BTX Recycling HC'!N212+'BTX Recycling HC'!N85)-'Overall recycling rates'!$E$61/SUM('Overall recycling rates'!$E$61:$E$62)*('BTX Recycling HC'!N213+'BTX Recycling HC'!N86)-'Overall recycling rates'!$H$61/SUM('Overall recycling rates'!$H$61:$H$62)*('BTX Recycling HC'!N214+'BTX Recycling HC'!N87)-'Overall recycling rates'!$I$61/SUM('Overall recycling rates'!$I$61:$I$62)*('BTX Recycling HC'!N215+'BTX Recycling HC'!N88)</f>
        <v>6281.0778813111883</v>
      </c>
      <c r="AV93" s="576">
        <f>AV52-'Overall recycling rates'!$G$61/SUM('Overall recycling rates'!$G$61:$G$62)*('BTX Recycling HC'!O212+'BTX Recycling HC'!O85)-'Overall recycling rates'!$E$61/SUM('Overall recycling rates'!$E$61:$E$62)*('BTX Recycling HC'!O213+'BTX Recycling HC'!O86)-'Overall recycling rates'!$H$61/SUM('Overall recycling rates'!$H$61:$H$62)*('BTX Recycling HC'!O214+'BTX Recycling HC'!O87)-'Overall recycling rates'!$I$61/SUM('Overall recycling rates'!$I$61:$I$62)*('BTX Recycling HC'!O215+'BTX Recycling HC'!O88)</f>
        <v>6680.8059906867693</v>
      </c>
      <c r="AW93" s="576">
        <f>AW52-'Overall recycling rates'!$G$61/SUM('Overall recycling rates'!$G$61:$G$62)*('BTX Recycling HC'!P212+'BTX Recycling HC'!P85)-'Overall recycling rates'!$E$61/SUM('Overall recycling rates'!$E$61:$E$62)*('BTX Recycling HC'!P213+'BTX Recycling HC'!P86)-'Overall recycling rates'!$H$61/SUM('Overall recycling rates'!$H$61:$H$62)*('BTX Recycling HC'!P214+'BTX Recycling HC'!P87)-'Overall recycling rates'!$I$61/SUM('Overall recycling rates'!$I$61:$I$62)*('BTX Recycling HC'!P215+'BTX Recycling HC'!P88)</f>
        <v>7092.1381341176339</v>
      </c>
      <c r="AX93" s="576">
        <f>AX52-'Overall recycling rates'!$G$61/SUM('Overall recycling rates'!$G$61:$G$62)*('BTX Recycling HC'!Q212+'BTX Recycling HC'!Q85)-'Overall recycling rates'!$E$61/SUM('Overall recycling rates'!$E$61:$E$62)*('BTX Recycling HC'!Q213+'BTX Recycling HC'!Q86)-'Overall recycling rates'!$H$61/SUM('Overall recycling rates'!$H$61:$H$62)*('BTX Recycling HC'!Q214+'BTX Recycling HC'!Q87)-'Overall recycling rates'!$I$61/SUM('Overall recycling rates'!$I$61:$I$62)*('BTX Recycling HC'!Q215+'BTX Recycling HC'!Q88)</f>
        <v>7511.1568987448991</v>
      </c>
      <c r="AY93" s="576">
        <f>AY52-'Overall recycling rates'!$G$61/SUM('Overall recycling rates'!$G$61:$G$62)*('BTX Recycling HC'!R212+'BTX Recycling HC'!R85)-'Overall recycling rates'!$E$61/SUM('Overall recycling rates'!$E$61:$E$62)*('BTX Recycling HC'!R213+'BTX Recycling HC'!R86)-'Overall recycling rates'!$H$61/SUM('Overall recycling rates'!$H$61:$H$62)*('BTX Recycling HC'!R214+'BTX Recycling HC'!R87)-'Overall recycling rates'!$I$61/SUM('Overall recycling rates'!$I$61:$I$62)*('BTX Recycling HC'!R215+'BTX Recycling HC'!R88)</f>
        <v>7934.2020357610936</v>
      </c>
      <c r="AZ93" s="576">
        <f>AZ52-'Overall recycling rates'!$G$61/SUM('Overall recycling rates'!$G$61:$G$62)*('BTX Recycling HC'!S212+'BTX Recycling HC'!S85)-'Overall recycling rates'!$E$61/SUM('Overall recycling rates'!$E$61:$E$62)*('BTX Recycling HC'!S213+'BTX Recycling HC'!S86)-'Overall recycling rates'!$H$61/SUM('Overall recycling rates'!$H$61:$H$62)*('BTX Recycling HC'!S214+'BTX Recycling HC'!S87)-'Overall recycling rates'!$I$61/SUM('Overall recycling rates'!$I$61:$I$62)*('BTX Recycling HC'!S215+'BTX Recycling HC'!S88)</f>
        <v>8353.6313745062107</v>
      </c>
      <c r="BA93" s="576">
        <f>BA52-'Overall recycling rates'!$G$61/SUM('Overall recycling rates'!$G$61:$G$62)*('BTX Recycling HC'!T212+'BTX Recycling HC'!T85)-'Overall recycling rates'!$E$61/SUM('Overall recycling rates'!$E$61:$E$62)*('BTX Recycling HC'!T213+'BTX Recycling HC'!T86)-'Overall recycling rates'!$H$61/SUM('Overall recycling rates'!$H$61:$H$62)*('BTX Recycling HC'!T214+'BTX Recycling HC'!T87)-'Overall recycling rates'!$I$61/SUM('Overall recycling rates'!$I$61:$I$62)*('BTX Recycling HC'!T215+'BTX Recycling HC'!T88)</f>
        <v>8768.9618411109204</v>
      </c>
      <c r="BB93" s="576">
        <f>BB52-'Overall recycling rates'!$G$61/SUM('Overall recycling rates'!$G$61:$G$62)*('BTX Recycling HC'!U212+'BTX Recycling HC'!U85)-'Overall recycling rates'!$E$61/SUM('Overall recycling rates'!$E$61:$E$62)*('BTX Recycling HC'!U213+'BTX Recycling HC'!U86)-'Overall recycling rates'!$H$61/SUM('Overall recycling rates'!$H$61:$H$62)*('BTX Recycling HC'!U214+'BTX Recycling HC'!U87)-'Overall recycling rates'!$I$61/SUM('Overall recycling rates'!$I$61:$I$62)*('BTX Recycling HC'!U215+'BTX Recycling HC'!U88)</f>
        <v>9177.0385907742984</v>
      </c>
      <c r="BC93" s="576">
        <f>BC52-'Overall recycling rates'!$G$61/SUM('Overall recycling rates'!$G$61:$G$62)*('BTX Recycling HC'!V212+'BTX Recycling HC'!V85)-'Overall recycling rates'!$E$61/SUM('Overall recycling rates'!$E$61:$E$62)*('BTX Recycling HC'!V213+'BTX Recycling HC'!V86)-'Overall recycling rates'!$H$61/SUM('Overall recycling rates'!$H$61:$H$62)*('BTX Recycling HC'!V214+'BTX Recycling HC'!V87)-'Overall recycling rates'!$I$61/SUM('Overall recycling rates'!$I$61:$I$62)*('BTX Recycling HC'!V215+'BTX Recycling HC'!V88)</f>
        <v>9574.9623313984885</v>
      </c>
      <c r="BD93" s="576">
        <f>BD52-'Overall recycling rates'!$G$61/SUM('Overall recycling rates'!$G$61:$G$62)*('BTX Recycling HC'!W212+'BTX Recycling HC'!W85)-'Overall recycling rates'!$E$61/SUM('Overall recycling rates'!$E$61:$E$62)*('BTX Recycling HC'!W213+'BTX Recycling HC'!W86)-'Overall recycling rates'!$H$61/SUM('Overall recycling rates'!$H$61:$H$62)*('BTX Recycling HC'!W214+'BTX Recycling HC'!W87)-'Overall recycling rates'!$I$61/SUM('Overall recycling rates'!$I$61:$I$62)*('BTX Recycling HC'!W215+'BTX Recycling HC'!W88)</f>
        <v>9960.0954442322745</v>
      </c>
      <c r="BE93" s="576">
        <f>BE52-'Overall recycling rates'!$G$61/SUM('Overall recycling rates'!$G$61:$G$62)*('BTX Recycling HC'!X212+'BTX Recycling HC'!X85)-'Overall recycling rates'!$E$61/SUM('Overall recycling rates'!$E$61:$E$62)*('BTX Recycling HC'!X213+'BTX Recycling HC'!X86)-'Overall recycling rates'!$H$61/SUM('Overall recycling rates'!$H$61:$H$62)*('BTX Recycling HC'!X214+'BTX Recycling HC'!X87)-'Overall recycling rates'!$I$61/SUM('Overall recycling rates'!$I$61:$I$62)*('BTX Recycling HC'!X215+'BTX Recycling HC'!X88)</f>
        <v>10230.747366565998</v>
      </c>
      <c r="BF93" s="576">
        <f>BF52-'Overall recycling rates'!$G$61/SUM('Overall recycling rates'!$G$61:$G$62)*('BTX Recycling HC'!Y212+'BTX Recycling HC'!Y85)-'Overall recycling rates'!$E$61/SUM('Overall recycling rates'!$E$61:$E$62)*('BTX Recycling HC'!Y213+'BTX Recycling HC'!Y86)-'Overall recycling rates'!$H$61/SUM('Overall recycling rates'!$H$61:$H$62)*('BTX Recycling HC'!Y214+'BTX Recycling HC'!Y87)-'Overall recycling rates'!$I$61/SUM('Overall recycling rates'!$I$61:$I$62)*('BTX Recycling HC'!Y215+'BTX Recycling HC'!Y88)</f>
        <v>10490.119417966273</v>
      </c>
      <c r="BG93" s="576">
        <f>BG52-'Overall recycling rates'!$G$61/SUM('Overall recycling rates'!$G$61:$G$62)*('BTX Recycling HC'!Z212+'BTX Recycling HC'!Z85)-'Overall recycling rates'!$E$61/SUM('Overall recycling rates'!$E$61:$E$62)*('BTX Recycling HC'!Z213+'BTX Recycling HC'!Z86)-'Overall recycling rates'!$H$61/SUM('Overall recycling rates'!$H$61:$H$62)*('BTX Recycling HC'!Z214+'BTX Recycling HC'!Z87)-'Overall recycling rates'!$I$61/SUM('Overall recycling rates'!$I$61:$I$62)*('BTX Recycling HC'!Z215+'BTX Recycling HC'!Z88)</f>
        <v>10736.666935034622</v>
      </c>
      <c r="BH93" s="576">
        <f>BH52-'Overall recycling rates'!$G$61/SUM('Overall recycling rates'!$G$61:$G$62)*('BTX Recycling HC'!AA212+'BTX Recycling HC'!AA85)-'Overall recycling rates'!$E$61/SUM('Overall recycling rates'!$E$61:$E$62)*('BTX Recycling HC'!AA213+'BTX Recycling HC'!AA86)-'Overall recycling rates'!$H$61/SUM('Overall recycling rates'!$H$61:$H$62)*('BTX Recycling HC'!AA214+'BTX Recycling HC'!AA87)-'Overall recycling rates'!$I$61/SUM('Overall recycling rates'!$I$61:$I$62)*('BTX Recycling HC'!AA215+'BTX Recycling HC'!AA88)</f>
        <v>10969.097709841042</v>
      </c>
      <c r="BI93" s="576">
        <f>BI52-'Overall recycling rates'!$G$61/SUM('Overall recycling rates'!$G$61:$G$62)*('BTX Recycling HC'!AB212+'BTX Recycling HC'!AB85)-'Overall recycling rates'!$E$61/SUM('Overall recycling rates'!$E$61:$E$62)*('BTX Recycling HC'!AB213+'BTX Recycling HC'!AB86)-'Overall recycling rates'!$H$61/SUM('Overall recycling rates'!$H$61:$H$62)*('BTX Recycling HC'!AB214+'BTX Recycling HC'!AB87)-'Overall recycling rates'!$I$61/SUM('Overall recycling rates'!$I$61:$I$62)*('BTX Recycling HC'!AB215+'BTX Recycling HC'!AB88)</f>
        <v>11186.378892488192</v>
      </c>
      <c r="BJ93" s="576">
        <f>BJ52-'Overall recycling rates'!$G$61/SUM('Overall recycling rates'!$G$61:$G$62)*('BTX Recycling HC'!AC212+'BTX Recycling HC'!AC85)-'Overall recycling rates'!$E$61/SUM('Overall recycling rates'!$E$61:$E$62)*('BTX Recycling HC'!AC213+'BTX Recycling HC'!AC86)-'Overall recycling rates'!$H$61/SUM('Overall recycling rates'!$H$61:$H$62)*('BTX Recycling HC'!AC214+'BTX Recycling HC'!AC87)-'Overall recycling rates'!$I$61/SUM('Overall recycling rates'!$I$61:$I$62)*('BTX Recycling HC'!AC215+'BTX Recycling HC'!AC88)</f>
        <v>11397.576365766472</v>
      </c>
      <c r="BK93" s="576">
        <f>BK52-'Overall recycling rates'!$G$61/SUM('Overall recycling rates'!$G$61:$G$62)*('BTX Recycling HC'!AD212+'BTX Recycling HC'!AD85)-'Overall recycling rates'!$E$61/SUM('Overall recycling rates'!$E$61:$E$62)*('BTX Recycling HC'!AD213+'BTX Recycling HC'!AD86)-'Overall recycling rates'!$H$61/SUM('Overall recycling rates'!$H$61:$H$62)*('BTX Recycling HC'!AD214+'BTX Recycling HC'!AD87)-'Overall recycling rates'!$I$61/SUM('Overall recycling rates'!$I$61:$I$62)*('BTX Recycling HC'!AD215+'BTX Recycling HC'!AD88)</f>
        <v>11595.083820330772</v>
      </c>
      <c r="BL93" s="576">
        <f>BL52-'Overall recycling rates'!$G$61/SUM('Overall recycling rates'!$G$61:$G$62)*('BTX Recycling HC'!AE212+'BTX Recycling HC'!AE85)-'Overall recycling rates'!$E$61/SUM('Overall recycling rates'!$E$61:$E$62)*('BTX Recycling HC'!AE213+'BTX Recycling HC'!AE86)-'Overall recycling rates'!$H$61/SUM('Overall recycling rates'!$H$61:$H$62)*('BTX Recycling HC'!AE214+'BTX Recycling HC'!AE87)-'Overall recycling rates'!$I$61/SUM('Overall recycling rates'!$I$61:$I$62)*('BTX Recycling HC'!AE215+'BTX Recycling HC'!AE88)</f>
        <v>11779.079040330871</v>
      </c>
      <c r="BM93" s="576">
        <f>BM52-'Overall recycling rates'!$G$61/SUM('Overall recycling rates'!$G$61:$G$62)*('BTX Recycling HC'!AF212+'BTX Recycling HC'!AF85)-'Overall recycling rates'!$E$61/SUM('Overall recycling rates'!$E$61:$E$62)*('BTX Recycling HC'!AF213+'BTX Recycling HC'!AF86)-'Overall recycling rates'!$H$61/SUM('Overall recycling rates'!$H$61:$H$62)*('BTX Recycling HC'!AF214+'BTX Recycling HC'!AF87)-'Overall recycling rates'!$I$61/SUM('Overall recycling rates'!$I$61:$I$62)*('BTX Recycling HC'!AF215+'BTX Recycling HC'!AF88)</f>
        <v>11950.056025940914</v>
      </c>
      <c r="BN93" s="576">
        <f>BN52-'Overall recycling rates'!$G$61/SUM('Overall recycling rates'!$G$61:$G$62)*('BTX Recycling HC'!AG212+'BTX Recycling HC'!AG85)-'Overall recycling rates'!$E$61/SUM('Overall recycling rates'!$E$61:$E$62)*('BTX Recycling HC'!AG213+'BTX Recycling HC'!AG86)-'Overall recycling rates'!$H$61/SUM('Overall recycling rates'!$H$61:$H$62)*('BTX Recycling HC'!AG214+'BTX Recycling HC'!AG87)-'Overall recycling rates'!$I$61/SUM('Overall recycling rates'!$I$61:$I$62)*('BTX Recycling HC'!AG215+'BTX Recycling HC'!AG88)</f>
        <v>12108.832228683568</v>
      </c>
    </row>
    <row r="94" spans="1:90" s="62" customFormat="1" outlineLevel="1">
      <c r="A94" s="604"/>
      <c r="B94" s="58" t="s">
        <v>1170</v>
      </c>
      <c r="C94" s="233" t="s">
        <v>1420</v>
      </c>
      <c r="D94" s="579">
        <f>D53-'Overall recycling rates'!$G$62/SUM('Overall recycling rates'!$G$61:$G$62)*('BTX Recycling HC'!C212+'BTX Recycling HC'!C85)-'Overall recycling rates'!$E$62/SUM('Overall recycling rates'!$E$61:$E$62)*('BTX Recycling HC'!C213+'BTX Recycling HC'!C86)-'Overall recycling rates'!$H$62/SUM('Overall recycling rates'!$H$61:$H$62)*('BTX Recycling HC'!C214+'BTX Recycling HC'!C87)-'Overall recycling rates'!$I$62/SUM('Overall recycling rates'!$I$61:$I$62)*('BTX Recycling HC'!C215+'BTX Recycling HC'!C88)</f>
        <v>100636.88273366746</v>
      </c>
      <c r="E94" s="579">
        <f>E53-'Overall recycling rates'!$G$62/SUM('Overall recycling rates'!$G$61:$G$62)*('BTX Recycling HC'!D212+'BTX Recycling HC'!D85)-'Overall recycling rates'!$E$62/SUM('Overall recycling rates'!$E$61:$E$62)*('BTX Recycling HC'!D213+'BTX Recycling HC'!D86)-'Overall recycling rates'!$H$62/SUM('Overall recycling rates'!$H$61:$H$62)*('BTX Recycling HC'!D214+'BTX Recycling HC'!D87)-'Overall recycling rates'!$I$62/SUM('Overall recycling rates'!$I$61:$I$62)*('BTX Recycling HC'!D215+'BTX Recycling HC'!D88)</f>
        <v>97758.604364021259</v>
      </c>
      <c r="F94" s="579">
        <f>F53-'Overall recycling rates'!$G$62/SUM('Overall recycling rates'!$G$61:$G$62)*('BTX Recycling HC'!E212+'BTX Recycling HC'!E85)-'Overall recycling rates'!$E$62/SUM('Overall recycling rates'!$E$61:$E$62)*('BTX Recycling HC'!E213+'BTX Recycling HC'!E86)-'Overall recycling rates'!$H$62/SUM('Overall recycling rates'!$H$61:$H$62)*('BTX Recycling HC'!E214+'BTX Recycling HC'!E87)-'Overall recycling rates'!$I$62/SUM('Overall recycling rates'!$I$61:$I$62)*('BTX Recycling HC'!E215+'BTX Recycling HC'!E88)</f>
        <v>95141.412069358485</v>
      </c>
      <c r="G94" s="579">
        <f>G53-'Overall recycling rates'!$G$62/SUM('Overall recycling rates'!$G$61:$G$62)*('BTX Recycling HC'!F212+'BTX Recycling HC'!F85)-'Overall recycling rates'!$E$62/SUM('Overall recycling rates'!$E$61:$E$62)*('BTX Recycling HC'!F213+'BTX Recycling HC'!F86)-'Overall recycling rates'!$H$62/SUM('Overall recycling rates'!$H$61:$H$62)*('BTX Recycling HC'!F214+'BTX Recycling HC'!F87)-'Overall recycling rates'!$I$62/SUM('Overall recycling rates'!$I$61:$I$62)*('BTX Recycling HC'!F215+'BTX Recycling HC'!F88)</f>
        <v>92569.25337023483</v>
      </c>
      <c r="H94" s="579">
        <f>H53-'Overall recycling rates'!$G$62/SUM('Overall recycling rates'!$G$61:$G$62)*('BTX Recycling HC'!G212+'BTX Recycling HC'!G85)-'Overall recycling rates'!$E$62/SUM('Overall recycling rates'!$E$61:$E$62)*('BTX Recycling HC'!G213+'BTX Recycling HC'!G86)-'Overall recycling rates'!$H$62/SUM('Overall recycling rates'!$H$61:$H$62)*('BTX Recycling HC'!G214+'BTX Recycling HC'!G87)-'Overall recycling rates'!$I$62/SUM('Overall recycling rates'!$I$61:$I$62)*('BTX Recycling HC'!G215+'BTX Recycling HC'!G88)</f>
        <v>90087.036237186578</v>
      </c>
      <c r="I94" s="579">
        <f>I53-'Overall recycling rates'!$G$62/SUM('Overall recycling rates'!$G$61:$G$62)*('BTX Recycling HC'!H212+'BTX Recycling HC'!H85)-'Overall recycling rates'!$E$62/SUM('Overall recycling rates'!$E$61:$E$62)*('BTX Recycling HC'!H213+'BTX Recycling HC'!H86)-'Overall recycling rates'!$H$62/SUM('Overall recycling rates'!$H$61:$H$62)*('BTX Recycling HC'!H214+'BTX Recycling HC'!H87)-'Overall recycling rates'!$I$62/SUM('Overall recycling rates'!$I$61:$I$62)*('BTX Recycling HC'!H215+'BTX Recycling HC'!H88)</f>
        <v>87675.047947312429</v>
      </c>
      <c r="J94" s="579">
        <f>J53-'Overall recycling rates'!$G$62/SUM('Overall recycling rates'!$G$61:$G$62)*('BTX Recycling HC'!I212+'BTX Recycling HC'!I85)-'Overall recycling rates'!$E$62/SUM('Overall recycling rates'!$E$61:$E$62)*('BTX Recycling HC'!I213+'BTX Recycling HC'!I86)-'Overall recycling rates'!$H$62/SUM('Overall recycling rates'!$H$61:$H$62)*('BTX Recycling HC'!I214+'BTX Recycling HC'!I87)-'Overall recycling rates'!$I$62/SUM('Overall recycling rates'!$I$61:$I$62)*('BTX Recycling HC'!I215+'BTX Recycling HC'!I88)</f>
        <v>85323.506811924395</v>
      </c>
      <c r="K94" s="579">
        <f>K53-'Overall recycling rates'!$G$62/SUM('Overall recycling rates'!$G$61:$G$62)*('BTX Recycling HC'!J212+'BTX Recycling HC'!J85)-'Overall recycling rates'!$E$62/SUM('Overall recycling rates'!$E$61:$E$62)*('BTX Recycling HC'!J213+'BTX Recycling HC'!J86)-'Overall recycling rates'!$H$62/SUM('Overall recycling rates'!$H$61:$H$62)*('BTX Recycling HC'!J214+'BTX Recycling HC'!J87)-'Overall recycling rates'!$I$62/SUM('Overall recycling rates'!$I$61:$I$62)*('BTX Recycling HC'!J215+'BTX Recycling HC'!J88)</f>
        <v>83013.934981949846</v>
      </c>
      <c r="L94" s="579">
        <f>L53-'Overall recycling rates'!$G$62/SUM('Overall recycling rates'!$G$61:$G$62)*('BTX Recycling HC'!K212+'BTX Recycling HC'!K85)-'Overall recycling rates'!$E$62/SUM('Overall recycling rates'!$E$61:$E$62)*('BTX Recycling HC'!K213+'BTX Recycling HC'!K86)-'Overall recycling rates'!$H$62/SUM('Overall recycling rates'!$H$61:$H$62)*('BTX Recycling HC'!K214+'BTX Recycling HC'!K87)-'Overall recycling rates'!$I$62/SUM('Overall recycling rates'!$I$61:$I$62)*('BTX Recycling HC'!K215+'BTX Recycling HC'!K88)</f>
        <v>80732.469189315772</v>
      </c>
      <c r="M94" s="579">
        <f>M53-'Overall recycling rates'!$G$62/SUM('Overall recycling rates'!$G$61:$G$62)*('BTX Recycling HC'!L212+'BTX Recycling HC'!L85)-'Overall recycling rates'!$E$62/SUM('Overall recycling rates'!$E$61:$E$62)*('BTX Recycling HC'!L213+'BTX Recycling HC'!L86)-'Overall recycling rates'!$H$62/SUM('Overall recycling rates'!$H$61:$H$62)*('BTX Recycling HC'!L214+'BTX Recycling HC'!L87)-'Overall recycling rates'!$I$62/SUM('Overall recycling rates'!$I$61:$I$62)*('BTX Recycling HC'!L215+'BTX Recycling HC'!L88)</f>
        <v>78466.607136908598</v>
      </c>
      <c r="N94" s="579">
        <f>N53-'Overall recycling rates'!$G$62/SUM('Overall recycling rates'!$G$61:$G$62)*('BTX Recycling HC'!M212+'BTX Recycling HC'!M85)-'Overall recycling rates'!$E$62/SUM('Overall recycling rates'!$E$61:$E$62)*('BTX Recycling HC'!M213+'BTX Recycling HC'!M86)-'Overall recycling rates'!$H$62/SUM('Overall recycling rates'!$H$61:$H$62)*('BTX Recycling HC'!M214+'BTX Recycling HC'!M87)-'Overall recycling rates'!$I$62/SUM('Overall recycling rates'!$I$61:$I$62)*('BTX Recycling HC'!M215+'BTX Recycling HC'!M88)</f>
        <v>76205.253084900585</v>
      </c>
      <c r="O94" s="579">
        <f>O53-'Overall recycling rates'!$G$62/SUM('Overall recycling rates'!$G$61:$G$62)*('BTX Recycling HC'!N212+'BTX Recycling HC'!N85)-'Overall recycling rates'!$E$62/SUM('Overall recycling rates'!$E$61:$E$62)*('BTX Recycling HC'!N213+'BTX Recycling HC'!N86)-'Overall recycling rates'!$H$62/SUM('Overall recycling rates'!$H$61:$H$62)*('BTX Recycling HC'!N214+'BTX Recycling HC'!N87)-'Overall recycling rates'!$I$62/SUM('Overall recycling rates'!$I$61:$I$62)*('BTX Recycling HC'!N215+'BTX Recycling HC'!N88)</f>
        <v>75625.331883357285</v>
      </c>
      <c r="P94" s="579">
        <f>P53-'Overall recycling rates'!$G$62/SUM('Overall recycling rates'!$G$61:$G$62)*('BTX Recycling HC'!O212+'BTX Recycling HC'!O85)-'Overall recycling rates'!$E$62/SUM('Overall recycling rates'!$E$61:$E$62)*('BTX Recycling HC'!O213+'BTX Recycling HC'!O86)-'Overall recycling rates'!$H$62/SUM('Overall recycling rates'!$H$61:$H$62)*('BTX Recycling HC'!O214+'BTX Recycling HC'!O87)-'Overall recycling rates'!$I$62/SUM('Overall recycling rates'!$I$61:$I$62)*('BTX Recycling HC'!O215+'BTX Recycling HC'!O88)</f>
        <v>74891.337653823794</v>
      </c>
      <c r="Q94" s="579">
        <f>Q53-'Overall recycling rates'!$G$62/SUM('Overall recycling rates'!$G$61:$G$62)*('BTX Recycling HC'!P212+'BTX Recycling HC'!P85)-'Overall recycling rates'!$E$62/SUM('Overall recycling rates'!$E$61:$E$62)*('BTX Recycling HC'!P213+'BTX Recycling HC'!P86)-'Overall recycling rates'!$H$62/SUM('Overall recycling rates'!$H$61:$H$62)*('BTX Recycling HC'!P214+'BTX Recycling HC'!P87)-'Overall recycling rates'!$I$62/SUM('Overall recycling rates'!$I$61:$I$62)*('BTX Recycling HC'!P215+'BTX Recycling HC'!P88)</f>
        <v>74011.092190205018</v>
      </c>
      <c r="R94" s="579">
        <f>R53-'Overall recycling rates'!$G$62/SUM('Overall recycling rates'!$G$61:$G$62)*('BTX Recycling HC'!Q212+'BTX Recycling HC'!Q85)-'Overall recycling rates'!$E$62/SUM('Overall recycling rates'!$E$61:$E$62)*('BTX Recycling HC'!Q213+'BTX Recycling HC'!Q86)-'Overall recycling rates'!$H$62/SUM('Overall recycling rates'!$H$61:$H$62)*('BTX Recycling HC'!Q214+'BTX Recycling HC'!Q87)-'Overall recycling rates'!$I$62/SUM('Overall recycling rates'!$I$61:$I$62)*('BTX Recycling HC'!Q215+'BTX Recycling HC'!Q88)</f>
        <v>72992.931278088057</v>
      </c>
      <c r="S94" s="579">
        <f>S53-'Overall recycling rates'!$G$62/SUM('Overall recycling rates'!$G$61:$G$62)*('BTX Recycling HC'!R212+'BTX Recycling HC'!R85)-'Overall recycling rates'!$E$62/SUM('Overall recycling rates'!$E$61:$E$62)*('BTX Recycling HC'!R213+'BTX Recycling HC'!R86)-'Overall recycling rates'!$H$62/SUM('Overall recycling rates'!$H$61:$H$62)*('BTX Recycling HC'!R214+'BTX Recycling HC'!R87)-'Overall recycling rates'!$I$62/SUM('Overall recycling rates'!$I$61:$I$62)*('BTX Recycling HC'!R215+'BTX Recycling HC'!R88)</f>
        <v>71845.748409516978</v>
      </c>
      <c r="T94" s="579">
        <f>T53-'Overall recycling rates'!$G$62/SUM('Overall recycling rates'!$G$61:$G$62)*('BTX Recycling HC'!S212+'BTX Recycling HC'!S85)-'Overall recycling rates'!$E$62/SUM('Overall recycling rates'!$E$61:$E$62)*('BTX Recycling HC'!S213+'BTX Recycling HC'!S86)-'Overall recycling rates'!$H$62/SUM('Overall recycling rates'!$H$61:$H$62)*('BTX Recycling HC'!S214+'BTX Recycling HC'!S87)-'Overall recycling rates'!$I$62/SUM('Overall recycling rates'!$I$61:$I$62)*('BTX Recycling HC'!S215+'BTX Recycling HC'!S88)</f>
        <v>70538.019159471049</v>
      </c>
      <c r="U94" s="579">
        <f>U53-'Overall recycling rates'!$G$62/SUM('Overall recycling rates'!$G$61:$G$62)*('BTX Recycling HC'!T212+'BTX Recycling HC'!T85)-'Overall recycling rates'!$E$62/SUM('Overall recycling rates'!$E$61:$E$62)*('BTX Recycling HC'!T213+'BTX Recycling HC'!T86)-'Overall recycling rates'!$H$62/SUM('Overall recycling rates'!$H$61:$H$62)*('BTX Recycling HC'!T214+'BTX Recycling HC'!T87)-'Overall recycling rates'!$I$62/SUM('Overall recycling rates'!$I$61:$I$62)*('BTX Recycling HC'!T215+'BTX Recycling HC'!T88)</f>
        <v>69105.37272999766</v>
      </c>
      <c r="V94" s="579">
        <f>V53-'Overall recycling rates'!$G$62/SUM('Overall recycling rates'!$G$61:$G$62)*('BTX Recycling HC'!U212+'BTX Recycling HC'!U85)-'Overall recycling rates'!$E$62/SUM('Overall recycling rates'!$E$61:$E$62)*('BTX Recycling HC'!U213+'BTX Recycling HC'!U86)-'Overall recycling rates'!$H$62/SUM('Overall recycling rates'!$H$61:$H$62)*('BTX Recycling HC'!U214+'BTX Recycling HC'!U87)-'Overall recycling rates'!$I$62/SUM('Overall recycling rates'!$I$61:$I$62)*('BTX Recycling HC'!U215+'BTX Recycling HC'!U88)</f>
        <v>67555.61001160281</v>
      </c>
      <c r="W94" s="579">
        <f>W53-'Overall recycling rates'!$G$62/SUM('Overall recycling rates'!$G$61:$G$62)*('BTX Recycling HC'!V212+'BTX Recycling HC'!V85)-'Overall recycling rates'!$E$62/SUM('Overall recycling rates'!$E$61:$E$62)*('BTX Recycling HC'!V213+'BTX Recycling HC'!V86)-'Overall recycling rates'!$H$62/SUM('Overall recycling rates'!$H$61:$H$62)*('BTX Recycling HC'!V214+'BTX Recycling HC'!V87)-'Overall recycling rates'!$I$62/SUM('Overall recycling rates'!$I$61:$I$62)*('BTX Recycling HC'!V215+'BTX Recycling HC'!V88)</f>
        <v>65896.945419200216</v>
      </c>
      <c r="X94" s="579">
        <f>X53-'Overall recycling rates'!$G$62/SUM('Overall recycling rates'!$G$61:$G$62)*('BTX Recycling HC'!W212+'BTX Recycling HC'!W85)-'Overall recycling rates'!$E$62/SUM('Overall recycling rates'!$E$61:$E$62)*('BTX Recycling HC'!W213+'BTX Recycling HC'!W86)-'Overall recycling rates'!$H$62/SUM('Overall recycling rates'!$H$61:$H$62)*('BTX Recycling HC'!W214+'BTX Recycling HC'!W87)-'Overall recycling rates'!$I$62/SUM('Overall recycling rates'!$I$61:$I$62)*('BTX Recycling HC'!W215+'BTX Recycling HC'!W88)</f>
        <v>64138.035249511508</v>
      </c>
      <c r="Y94" s="579">
        <f>Y53-'Overall recycling rates'!$G$62/SUM('Overall recycling rates'!$G$61:$G$62)*('BTX Recycling HC'!X212+'BTX Recycling HC'!X85)-'Overall recycling rates'!$E$62/SUM('Overall recycling rates'!$E$61:$E$62)*('BTX Recycling HC'!X213+'BTX Recycling HC'!X86)-'Overall recycling rates'!$H$62/SUM('Overall recycling rates'!$H$61:$H$62)*('BTX Recycling HC'!X214+'BTX Recycling HC'!X87)-'Overall recycling rates'!$I$62/SUM('Overall recycling rates'!$I$61:$I$62)*('BTX Recycling HC'!X215+'BTX Recycling HC'!X88)</f>
        <v>61715.694646237302</v>
      </c>
      <c r="Z94" s="579">
        <f>Z53-'Overall recycling rates'!$G$62/SUM('Overall recycling rates'!$G$61:$G$62)*('BTX Recycling HC'!Y212+'BTX Recycling HC'!Y85)-'Overall recycling rates'!$E$62/SUM('Overall recycling rates'!$E$61:$E$62)*('BTX Recycling HC'!Y213+'BTX Recycling HC'!Y86)-'Overall recycling rates'!$H$62/SUM('Overall recycling rates'!$H$61:$H$62)*('BTX Recycling HC'!Y214+'BTX Recycling HC'!Y87)-'Overall recycling rates'!$I$62/SUM('Overall recycling rates'!$I$61:$I$62)*('BTX Recycling HC'!Y215+'BTX Recycling HC'!Y88)</f>
        <v>59215.519832076425</v>
      </c>
      <c r="AA94" s="579">
        <f>AA53-'Overall recycling rates'!$G$62/SUM('Overall recycling rates'!$G$61:$G$62)*('BTX Recycling HC'!Z212+'BTX Recycling HC'!Z85)-'Overall recycling rates'!$E$62/SUM('Overall recycling rates'!$E$61:$E$62)*('BTX Recycling HC'!Z213+'BTX Recycling HC'!Z86)-'Overall recycling rates'!$H$62/SUM('Overall recycling rates'!$H$61:$H$62)*('BTX Recycling HC'!Z214+'BTX Recycling HC'!Z87)-'Overall recycling rates'!$I$62/SUM('Overall recycling rates'!$I$61:$I$62)*('BTX Recycling HC'!Z215+'BTX Recycling HC'!Z88)</f>
        <v>56646.979342463776</v>
      </c>
      <c r="AB94" s="579">
        <f>AB53-'Overall recycling rates'!$G$62/SUM('Overall recycling rates'!$G$61:$G$62)*('BTX Recycling HC'!AA212+'BTX Recycling HC'!AA85)-'Overall recycling rates'!$E$62/SUM('Overall recycling rates'!$E$61:$E$62)*('BTX Recycling HC'!AA213+'BTX Recycling HC'!AA86)-'Overall recycling rates'!$H$62/SUM('Overall recycling rates'!$H$61:$H$62)*('BTX Recycling HC'!AA214+'BTX Recycling HC'!AA87)-'Overall recycling rates'!$I$62/SUM('Overall recycling rates'!$I$61:$I$62)*('BTX Recycling HC'!AA215+'BTX Recycling HC'!AA88)</f>
        <v>54020.447669105815</v>
      </c>
      <c r="AC94" s="579">
        <f>AC53-'Overall recycling rates'!$G$62/SUM('Overall recycling rates'!$G$61:$G$62)*('BTX Recycling HC'!AB212+'BTX Recycling HC'!AB85)-'Overall recycling rates'!$E$62/SUM('Overall recycling rates'!$E$61:$E$62)*('BTX Recycling HC'!AB213+'BTX Recycling HC'!AB86)-'Overall recycling rates'!$H$62/SUM('Overall recycling rates'!$H$61:$H$62)*('BTX Recycling HC'!AB214+'BTX Recycling HC'!AB87)-'Overall recycling rates'!$I$62/SUM('Overall recycling rates'!$I$61:$I$62)*('BTX Recycling HC'!AB215+'BTX Recycling HC'!AB88)</f>
        <v>51347.249187357636</v>
      </c>
      <c r="AD94" s="579">
        <f>AD53-'Overall recycling rates'!$G$62/SUM('Overall recycling rates'!$G$61:$G$62)*('BTX Recycling HC'!AC212+'BTX Recycling HC'!AC85)-'Overall recycling rates'!$E$62/SUM('Overall recycling rates'!$E$61:$E$62)*('BTX Recycling HC'!AC213+'BTX Recycling HC'!AC86)-'Overall recycling rates'!$H$62/SUM('Overall recycling rates'!$H$61:$H$62)*('BTX Recycling HC'!AC214+'BTX Recycling HC'!AC87)-'Overall recycling rates'!$I$62/SUM('Overall recycling rates'!$I$61:$I$62)*('BTX Recycling HC'!AC215+'BTX Recycling HC'!AC88)</f>
        <v>48734.66805503182</v>
      </c>
      <c r="AE94" s="579">
        <f>AE53-'Overall recycling rates'!$G$62/SUM('Overall recycling rates'!$G$61:$G$62)*('BTX Recycling HC'!AD212+'BTX Recycling HC'!AD85)-'Overall recycling rates'!$E$62/SUM('Overall recycling rates'!$E$61:$E$62)*('BTX Recycling HC'!AD213+'BTX Recycling HC'!AD86)-'Overall recycling rates'!$H$62/SUM('Overall recycling rates'!$H$61:$H$62)*('BTX Recycling HC'!AD214+'BTX Recycling HC'!AD87)-'Overall recycling rates'!$I$62/SUM('Overall recycling rates'!$I$61:$I$62)*('BTX Recycling HC'!AD215+'BTX Recycling HC'!AD88)</f>
        <v>46127.363032742986</v>
      </c>
      <c r="AF94" s="579">
        <f>AF53-'Overall recycling rates'!$G$62/SUM('Overall recycling rates'!$G$61:$G$62)*('BTX Recycling HC'!AE212+'BTX Recycling HC'!AE85)-'Overall recycling rates'!$E$62/SUM('Overall recycling rates'!$E$61:$E$62)*('BTX Recycling HC'!AE213+'BTX Recycling HC'!AE86)-'Overall recycling rates'!$H$62/SUM('Overall recycling rates'!$H$61:$H$62)*('BTX Recycling HC'!AE214+'BTX Recycling HC'!AE87)-'Overall recycling rates'!$I$62/SUM('Overall recycling rates'!$I$61:$I$62)*('BTX Recycling HC'!AE215+'BTX Recycling HC'!AE88)</f>
        <v>43543.553589073301</v>
      </c>
      <c r="AG94" s="579">
        <f>AG53-'Overall recycling rates'!$G$62/SUM('Overall recycling rates'!$G$61:$G$62)*('BTX Recycling HC'!AF212+'BTX Recycling HC'!AF85)-'Overall recycling rates'!$E$62/SUM('Overall recycling rates'!$E$61:$E$62)*('BTX Recycling HC'!AF213+'BTX Recycling HC'!AF86)-'Overall recycling rates'!$H$62/SUM('Overall recycling rates'!$H$61:$H$62)*('BTX Recycling HC'!AF214+'BTX Recycling HC'!AF87)-'Overall recycling rates'!$I$62/SUM('Overall recycling rates'!$I$61:$I$62)*('BTX Recycling HC'!AF215+'BTX Recycling HC'!AF88)</f>
        <v>41002.871316598583</v>
      </c>
      <c r="AH94" s="579">
        <f>AH53-'Overall recycling rates'!$G$62/SUM('Overall recycling rates'!$G$61:$G$62)*('BTX Recycling HC'!AG212+'BTX Recycling HC'!AG85)-'Overall recycling rates'!$E$62/SUM('Overall recycling rates'!$E$61:$E$62)*('BTX Recycling HC'!AG213+'BTX Recycling HC'!AG86)-'Overall recycling rates'!$H$62/SUM('Overall recycling rates'!$H$61:$H$62)*('BTX Recycling HC'!AG214+'BTX Recycling HC'!AG87)-'Overall recycling rates'!$I$62/SUM('Overall recycling rates'!$I$61:$I$62)*('BTX Recycling HC'!AG215+'BTX Recycling HC'!AG88)</f>
        <v>38526.409079064018</v>
      </c>
      <c r="AI94" s="579"/>
      <c r="AJ94" s="579">
        <f>AJ53-'Overall recycling rates'!$G$62/SUM('Overall recycling rates'!$G$61:$G$62)*('BTX Recycling HC'!C212+'BTX Recycling HC'!C85)-'Overall recycling rates'!$E$62/SUM('Overall recycling rates'!$E$61:$E$62)*('BTX Recycling HC'!C213+'BTX Recycling HC'!C86)-'Overall recycling rates'!$H$62/SUM('Overall recycling rates'!$H$61:$H$62)*('BTX Recycling HC'!C214+'BTX Recycling HC'!C87)-'Overall recycling rates'!$I$62/SUM('Overall recycling rates'!$I$61:$I$62)*('BTX Recycling HC'!C215+'BTX Recycling HC'!C88)</f>
        <v>100636.88273366746</v>
      </c>
      <c r="AK94" s="579">
        <f>AK53-'Overall recycling rates'!$G$62/SUM('Overall recycling rates'!$G$61:$G$62)*('BTX Recycling HC'!D212+'BTX Recycling HC'!D85)-'Overall recycling rates'!$E$62/SUM('Overall recycling rates'!$E$61:$E$62)*('BTX Recycling HC'!D213+'BTX Recycling HC'!D86)-'Overall recycling rates'!$H$62/SUM('Overall recycling rates'!$H$61:$H$62)*('BTX Recycling HC'!D214+'BTX Recycling HC'!D87)-'Overall recycling rates'!$I$62/SUM('Overall recycling rates'!$I$61:$I$62)*('BTX Recycling HC'!D215+'BTX Recycling HC'!D88)</f>
        <v>99302.800366536452</v>
      </c>
      <c r="AL94" s="579">
        <f>AL53-'Overall recycling rates'!$G$62/SUM('Overall recycling rates'!$G$61:$G$62)*('BTX Recycling HC'!E212+'BTX Recycling HC'!E85)-'Overall recycling rates'!$E$62/SUM('Overall recycling rates'!$E$61:$E$62)*('BTX Recycling HC'!E213+'BTX Recycling HC'!E86)-'Overall recycling rates'!$H$62/SUM('Overall recycling rates'!$H$61:$H$62)*('BTX Recycling HC'!E214+'BTX Recycling HC'!E87)-'Overall recycling rates'!$I$62/SUM('Overall recycling rates'!$I$61:$I$62)*('BTX Recycling HC'!E215+'BTX Recycling HC'!E88)</f>
        <v>98208.662130162847</v>
      </c>
      <c r="AM94" s="579">
        <f>AM53-'Overall recycling rates'!$G$62/SUM('Overall recycling rates'!$G$61:$G$62)*('BTX Recycling HC'!F212+'BTX Recycling HC'!F85)-'Overall recycling rates'!$E$62/SUM('Overall recycling rates'!$E$61:$E$62)*('BTX Recycling HC'!F213+'BTX Recycling HC'!F86)-'Overall recycling rates'!$H$62/SUM('Overall recycling rates'!$H$61:$H$62)*('BTX Recycling HC'!F214+'BTX Recycling HC'!F87)-'Overall recycling rates'!$I$62/SUM('Overall recycling rates'!$I$61:$I$62)*('BTX Recycling HC'!F215+'BTX Recycling HC'!F88)</f>
        <v>97138.632639534408</v>
      </c>
      <c r="AN94" s="579">
        <f>AN53-'Overall recycling rates'!$G$62/SUM('Overall recycling rates'!$G$61:$G$62)*('BTX Recycling HC'!G212+'BTX Recycling HC'!G85)-'Overall recycling rates'!$E$62/SUM('Overall recycling rates'!$E$61:$E$62)*('BTX Recycling HC'!G213+'BTX Recycling HC'!G86)-'Overall recycling rates'!$H$62/SUM('Overall recycling rates'!$H$61:$H$62)*('BTX Recycling HC'!G214+'BTX Recycling HC'!G87)-'Overall recycling rates'!$I$62/SUM('Overall recycling rates'!$I$61:$I$62)*('BTX Recycling HC'!G215+'BTX Recycling HC'!G88)</f>
        <v>96137.834978092913</v>
      </c>
      <c r="AO94" s="579">
        <f>AO53-'Overall recycling rates'!$G$62/SUM('Overall recycling rates'!$G$61:$G$62)*('BTX Recycling HC'!H212+'BTX Recycling HC'!H85)-'Overall recycling rates'!$E$62/SUM('Overall recycling rates'!$E$61:$E$62)*('BTX Recycling HC'!H213+'BTX Recycling HC'!H86)-'Overall recycling rates'!$H$62/SUM('Overall recycling rates'!$H$61:$H$62)*('BTX Recycling HC'!H214+'BTX Recycling HC'!H87)-'Overall recycling rates'!$I$62/SUM('Overall recycling rates'!$I$61:$I$62)*('BTX Recycling HC'!H215+'BTX Recycling HC'!H88)</f>
        <v>95186.769571271725</v>
      </c>
      <c r="AP94" s="579">
        <f>AP53-'Overall recycling rates'!$G$62/SUM('Overall recycling rates'!$G$61:$G$62)*('BTX Recycling HC'!I212+'BTX Recycling HC'!I85)-'Overall recycling rates'!$E$62/SUM('Overall recycling rates'!$E$61:$E$62)*('BTX Recycling HC'!I213+'BTX Recycling HC'!I86)-'Overall recycling rates'!$H$62/SUM('Overall recycling rates'!$H$61:$H$62)*('BTX Recycling HC'!I214+'BTX Recycling HC'!I87)-'Overall recycling rates'!$I$62/SUM('Overall recycling rates'!$I$61:$I$62)*('BTX Recycling HC'!I215+'BTX Recycling HC'!I88)</f>
        <v>94275.86593096354</v>
      </c>
      <c r="AQ94" s="579">
        <f>AQ53-'Overall recycling rates'!$G$62/SUM('Overall recycling rates'!$G$61:$G$62)*('BTX Recycling HC'!J212+'BTX Recycling HC'!J85)-'Overall recycling rates'!$E$62/SUM('Overall recycling rates'!$E$61:$E$62)*('BTX Recycling HC'!J213+'BTX Recycling HC'!J86)-'Overall recycling rates'!$H$62/SUM('Overall recycling rates'!$H$61:$H$62)*('BTX Recycling HC'!J214+'BTX Recycling HC'!J87)-'Overall recycling rates'!$I$62/SUM('Overall recycling rates'!$I$61:$I$62)*('BTX Recycling HC'!J215+'BTX Recycling HC'!J88)</f>
        <v>93386.855477600868</v>
      </c>
      <c r="AR94" s="579">
        <f>AR53-'Overall recycling rates'!$G$62/SUM('Overall recycling rates'!$G$61:$G$62)*('BTX Recycling HC'!K212+'BTX Recycling HC'!K85)-'Overall recycling rates'!$E$62/SUM('Overall recycling rates'!$E$61:$E$62)*('BTX Recycling HC'!K213+'BTX Recycling HC'!K86)-'Overall recycling rates'!$H$62/SUM('Overall recycling rates'!$H$61:$H$62)*('BTX Recycling HC'!K214+'BTX Recycling HC'!K87)-'Overall recycling rates'!$I$62/SUM('Overall recycling rates'!$I$61:$I$62)*('BTX Recycling HC'!K215+'BTX Recycling HC'!K88)</f>
        <v>92506.082298081645</v>
      </c>
      <c r="AS94" s="579">
        <f>AS53-'Overall recycling rates'!$G$62/SUM('Overall recycling rates'!$G$61:$G$62)*('BTX Recycling HC'!L212+'BTX Recycling HC'!L85)-'Overall recycling rates'!$E$62/SUM('Overall recycling rates'!$E$61:$E$62)*('BTX Recycling HC'!L213+'BTX Recycling HC'!L86)-'Overall recycling rates'!$H$62/SUM('Overall recycling rates'!$H$61:$H$62)*('BTX Recycling HC'!L214+'BTX Recycling HC'!L87)-'Overall recycling rates'!$I$62/SUM('Overall recycling rates'!$I$61:$I$62)*('BTX Recycling HC'!L215+'BTX Recycling HC'!L88)</f>
        <v>91621.249552134585</v>
      </c>
      <c r="AT94" s="579">
        <f>AT53-'Overall recycling rates'!$G$62/SUM('Overall recycling rates'!$G$61:$G$62)*('BTX Recycling HC'!M212+'BTX Recycling HC'!M85)-'Overall recycling rates'!$E$62/SUM('Overall recycling rates'!$E$61:$E$62)*('BTX Recycling HC'!M213+'BTX Recycling HC'!M86)-'Overall recycling rates'!$H$62/SUM('Overall recycling rates'!$H$61:$H$62)*('BTX Recycling HC'!M214+'BTX Recycling HC'!M87)-'Overall recycling rates'!$I$62/SUM('Overall recycling rates'!$I$61:$I$62)*('BTX Recycling HC'!M215+'BTX Recycling HC'!M88)</f>
        <v>90721.465074916196</v>
      </c>
      <c r="AU94" s="579">
        <f>AU53-'Overall recycling rates'!$G$62/SUM('Overall recycling rates'!$G$61:$G$62)*('BTX Recycling HC'!N212+'BTX Recycling HC'!N85)-'Overall recycling rates'!$E$62/SUM('Overall recycling rates'!$E$61:$E$62)*('BTX Recycling HC'!N213+'BTX Recycling HC'!N86)-'Overall recycling rates'!$H$62/SUM('Overall recycling rates'!$H$61:$H$62)*('BTX Recycling HC'!N214+'BTX Recycling HC'!N87)-'Overall recycling rates'!$I$62/SUM('Overall recycling rates'!$I$61:$I$62)*('BTX Recycling HC'!N215+'BTX Recycling HC'!N88)</f>
        <v>91059.281832827997</v>
      </c>
      <c r="AV94" s="579">
        <f>AV53-'Overall recycling rates'!$G$62/SUM('Overall recycling rates'!$G$61:$G$62)*('BTX Recycling HC'!O212+'BTX Recycling HC'!O85)-'Overall recycling rates'!$E$62/SUM('Overall recycling rates'!$E$61:$E$62)*('BTX Recycling HC'!O213+'BTX Recycling HC'!O86)-'Overall recycling rates'!$H$62/SUM('Overall recycling rates'!$H$61:$H$62)*('BTX Recycling HC'!O214+'BTX Recycling HC'!O87)-'Overall recycling rates'!$I$62/SUM('Overall recycling rates'!$I$61:$I$62)*('BTX Recycling HC'!O215+'BTX Recycling HC'!O88)</f>
        <v>91229.7803350373</v>
      </c>
      <c r="AW94" s="579">
        <f>AW53-'Overall recycling rates'!$G$62/SUM('Overall recycling rates'!$G$61:$G$62)*('BTX Recycling HC'!P212+'BTX Recycling HC'!P85)-'Overall recycling rates'!$E$62/SUM('Overall recycling rates'!$E$61:$E$62)*('BTX Recycling HC'!P213+'BTX Recycling HC'!P86)-'Overall recycling rates'!$H$62/SUM('Overall recycling rates'!$H$61:$H$62)*('BTX Recycling HC'!P214+'BTX Recycling HC'!P87)-'Overall recycling rates'!$I$62/SUM('Overall recycling rates'!$I$61:$I$62)*('BTX Recycling HC'!P215+'BTX Recycling HC'!P88)</f>
        <v>91240.920711470797</v>
      </c>
      <c r="AX94" s="579">
        <f>AX53-'Overall recycling rates'!$G$62/SUM('Overall recycling rates'!$G$61:$G$62)*('BTX Recycling HC'!Q212+'BTX Recycling HC'!Q85)-'Overall recycling rates'!$E$62/SUM('Overall recycling rates'!$E$61:$E$62)*('BTX Recycling HC'!Q213+'BTX Recycling HC'!Q86)-'Overall recycling rates'!$H$62/SUM('Overall recycling rates'!$H$61:$H$62)*('BTX Recycling HC'!Q214+'BTX Recycling HC'!Q87)-'Overall recycling rates'!$I$62/SUM('Overall recycling rates'!$I$61:$I$62)*('BTX Recycling HC'!Q215+'BTX Recycling HC'!Q88)</f>
        <v>91101.175810450775</v>
      </c>
      <c r="AY94" s="579">
        <f>AY53-'Overall recycling rates'!$G$62/SUM('Overall recycling rates'!$G$61:$G$62)*('BTX Recycling HC'!R212+'BTX Recycling HC'!R85)-'Overall recycling rates'!$E$62/SUM('Overall recycling rates'!$E$61:$E$62)*('BTX Recycling HC'!R213+'BTX Recycling HC'!R86)-'Overall recycling rates'!$H$62/SUM('Overall recycling rates'!$H$61:$H$62)*('BTX Recycling HC'!R214+'BTX Recycling HC'!R87)-'Overall recycling rates'!$I$62/SUM('Overall recycling rates'!$I$61:$I$62)*('BTX Recycling HC'!R215+'BTX Recycling HC'!R88)</f>
        <v>90819.574924420027</v>
      </c>
      <c r="AZ94" s="579">
        <f>AZ53-'Overall recycling rates'!$G$62/SUM('Overall recycling rates'!$G$61:$G$62)*('BTX Recycling HC'!S212+'BTX Recycling HC'!S85)-'Overall recycling rates'!$E$62/SUM('Overall recycling rates'!$E$61:$E$62)*('BTX Recycling HC'!S213+'BTX Recycling HC'!S86)-'Overall recycling rates'!$H$62/SUM('Overall recycling rates'!$H$61:$H$62)*('BTX Recycling HC'!S214+'BTX Recycling HC'!S87)-'Overall recycling rates'!$I$62/SUM('Overall recycling rates'!$I$61:$I$62)*('BTX Recycling HC'!S215+'BTX Recycling HC'!S88)</f>
        <v>90364.728177279889</v>
      </c>
      <c r="BA94" s="579">
        <f>BA53-'Overall recycling rates'!$G$62/SUM('Overall recycling rates'!$G$61:$G$62)*('BTX Recycling HC'!T212+'BTX Recycling HC'!T85)-'Overall recycling rates'!$E$62/SUM('Overall recycling rates'!$E$61:$E$62)*('BTX Recycling HC'!T213+'BTX Recycling HC'!T86)-'Overall recycling rates'!$H$62/SUM('Overall recycling rates'!$H$61:$H$62)*('BTX Recycling HC'!T214+'BTX Recycling HC'!T87)-'Overall recycling rates'!$I$62/SUM('Overall recycling rates'!$I$61:$I$62)*('BTX Recycling HC'!T215+'BTX Recycling HC'!T88)</f>
        <v>89772.398079293416</v>
      </c>
      <c r="BB94" s="579">
        <f>BB53-'Overall recycling rates'!$G$62/SUM('Overall recycling rates'!$G$61:$G$62)*('BTX Recycling HC'!U212+'BTX Recycling HC'!U85)-'Overall recycling rates'!$E$62/SUM('Overall recycling rates'!$E$61:$E$62)*('BTX Recycling HC'!U213+'BTX Recycling HC'!U86)-'Overall recycling rates'!$H$62/SUM('Overall recycling rates'!$H$61:$H$62)*('BTX Recycling HC'!U214+'BTX Recycling HC'!U87)-'Overall recycling rates'!$I$62/SUM('Overall recycling rates'!$I$61:$I$62)*('BTX Recycling HC'!U215+'BTX Recycling HC'!U88)</f>
        <v>89050.517599157509</v>
      </c>
      <c r="BC94" s="579">
        <f>BC53-'Overall recycling rates'!$G$62/SUM('Overall recycling rates'!$G$61:$G$62)*('BTX Recycling HC'!V212+'BTX Recycling HC'!V85)-'Overall recycling rates'!$E$62/SUM('Overall recycling rates'!$E$61:$E$62)*('BTX Recycling HC'!V213+'BTX Recycling HC'!V86)-'Overall recycling rates'!$H$62/SUM('Overall recycling rates'!$H$61:$H$62)*('BTX Recycling HC'!V214+'BTX Recycling HC'!V87)-'Overall recycling rates'!$I$62/SUM('Overall recycling rates'!$I$61:$I$62)*('BTX Recycling HC'!V215+'BTX Recycling HC'!V88)</f>
        <v>88207.432010545395</v>
      </c>
      <c r="BD94" s="579">
        <f>BD53-'Overall recycling rates'!$G$62/SUM('Overall recycling rates'!$G$61:$G$62)*('BTX Recycling HC'!W212+'BTX Recycling HC'!W85)-'Overall recycling rates'!$E$62/SUM('Overall recycling rates'!$E$61:$E$62)*('BTX Recycling HC'!W213+'BTX Recycling HC'!W86)-'Overall recycling rates'!$H$62/SUM('Overall recycling rates'!$H$61:$H$62)*('BTX Recycling HC'!W214+'BTX Recycling HC'!W87)-'Overall recycling rates'!$I$62/SUM('Overall recycling rates'!$I$61:$I$62)*('BTX Recycling HC'!W215+'BTX Recycling HC'!W88)</f>
        <v>87251.927260012701</v>
      </c>
      <c r="BE94" s="579">
        <f>BE53-'Overall recycling rates'!$G$62/SUM('Overall recycling rates'!$G$61:$G$62)*('BTX Recycling HC'!X212+'BTX Recycling HC'!X85)-'Overall recycling rates'!$E$62/SUM('Overall recycling rates'!$E$61:$E$62)*('BTX Recycling HC'!X213+'BTX Recycling HC'!X86)-'Overall recycling rates'!$H$62/SUM('Overall recycling rates'!$H$61:$H$62)*('BTX Recycling HC'!X214+'BTX Recycling HC'!X87)-'Overall recycling rates'!$I$62/SUM('Overall recycling rates'!$I$61:$I$62)*('BTX Recycling HC'!X215+'BTX Recycling HC'!X88)</f>
        <v>85816.963041956813</v>
      </c>
      <c r="BF94" s="579">
        <f>BF53-'Overall recycling rates'!$G$62/SUM('Overall recycling rates'!$G$61:$G$62)*('BTX Recycling HC'!Y212+'BTX Recycling HC'!Y85)-'Overall recycling rates'!$E$62/SUM('Overall recycling rates'!$E$61:$E$62)*('BTX Recycling HC'!Y213+'BTX Recycling HC'!Y86)-'Overall recycling rates'!$H$62/SUM('Overall recycling rates'!$H$61:$H$62)*('BTX Recycling HC'!Y214+'BTX Recycling HC'!Y87)-'Overall recycling rates'!$I$62/SUM('Overall recycling rates'!$I$61:$I$62)*('BTX Recycling HC'!Y215+'BTX Recycling HC'!Y88)</f>
        <v>84289.563041160887</v>
      </c>
      <c r="BG94" s="579">
        <f>BG53-'Overall recycling rates'!$G$62/SUM('Overall recycling rates'!$G$61:$G$62)*('BTX Recycling HC'!Z212+'BTX Recycling HC'!Z85)-'Overall recycling rates'!$E$62/SUM('Overall recycling rates'!$E$61:$E$62)*('BTX Recycling HC'!Z213+'BTX Recycling HC'!Z86)-'Overall recycling rates'!$H$62/SUM('Overall recycling rates'!$H$61:$H$62)*('BTX Recycling HC'!Z214+'BTX Recycling HC'!Z87)-'Overall recycling rates'!$I$62/SUM('Overall recycling rates'!$I$61:$I$62)*('BTX Recycling HC'!Z215+'BTX Recycling HC'!Z88)</f>
        <v>82679.349435675234</v>
      </c>
      <c r="BH94" s="579">
        <f>BH53-'Overall recycling rates'!$G$62/SUM('Overall recycling rates'!$G$61:$G$62)*('BTX Recycling HC'!AA212+'BTX Recycling HC'!AA85)-'Overall recycling rates'!$E$62/SUM('Overall recycling rates'!$E$61:$E$62)*('BTX Recycling HC'!AA213+'BTX Recycling HC'!AA86)-'Overall recycling rates'!$H$62/SUM('Overall recycling rates'!$H$61:$H$62)*('BTX Recycling HC'!AA214+'BTX Recycling HC'!AA87)-'Overall recycling rates'!$I$62/SUM('Overall recycling rates'!$I$61:$I$62)*('BTX Recycling HC'!AA215+'BTX Recycling HC'!AA88)</f>
        <v>80996.848940530646</v>
      </c>
      <c r="BI94" s="579">
        <f>BI53-'Overall recycling rates'!$G$62/SUM('Overall recycling rates'!$G$61:$G$62)*('BTX Recycling HC'!AB212+'BTX Recycling HC'!AB85)-'Overall recycling rates'!$E$62/SUM('Overall recycling rates'!$E$61:$E$62)*('BTX Recycling HC'!AB213+'BTX Recycling HC'!AB86)-'Overall recycling rates'!$H$62/SUM('Overall recycling rates'!$H$61:$H$62)*('BTX Recycling HC'!AB214+'BTX Recycling HC'!AB87)-'Overall recycling rates'!$I$62/SUM('Overall recycling rates'!$I$61:$I$62)*('BTX Recycling HC'!AB215+'BTX Recycling HC'!AB88)</f>
        <v>79253.5367473472</v>
      </c>
      <c r="BJ94" s="579">
        <f>BJ53-'Overall recycling rates'!$G$62/SUM('Overall recycling rates'!$G$61:$G$62)*('BTX Recycling HC'!AC212+'BTX Recycling HC'!AC85)-'Overall recycling rates'!$E$62/SUM('Overall recycling rates'!$E$61:$E$62)*('BTX Recycling HC'!AC213+'BTX Recycling HC'!AC86)-'Overall recycling rates'!$H$62/SUM('Overall recycling rates'!$H$61:$H$62)*('BTX Recycling HC'!AC214+'BTX Recycling HC'!AC87)-'Overall recycling rates'!$I$62/SUM('Overall recycling rates'!$I$61:$I$62)*('BTX Recycling HC'!AC215+'BTX Recycling HC'!AC88)</f>
        <v>77556.846435273983</v>
      </c>
      <c r="BK94" s="579">
        <f>BK53-'Overall recycling rates'!$G$62/SUM('Overall recycling rates'!$G$61:$G$62)*('BTX Recycling HC'!AD212+'BTX Recycling HC'!AD85)-'Overall recycling rates'!$E$62/SUM('Overall recycling rates'!$E$61:$E$62)*('BTX Recycling HC'!AD213+'BTX Recycling HC'!AD86)-'Overall recycling rates'!$H$62/SUM('Overall recycling rates'!$H$61:$H$62)*('BTX Recycling HC'!AD214+'BTX Recycling HC'!AD87)-'Overall recycling rates'!$I$62/SUM('Overall recycling rates'!$I$61:$I$62)*('BTX Recycling HC'!AD215+'BTX Recycling HC'!AD88)</f>
        <v>75851.584803364283</v>
      </c>
      <c r="BL94" s="579">
        <f>BL53-'Overall recycling rates'!$G$62/SUM('Overall recycling rates'!$G$61:$G$62)*('BTX Recycling HC'!AE212+'BTX Recycling HC'!AE85)-'Overall recycling rates'!$E$62/SUM('Overall recycling rates'!$E$61:$E$62)*('BTX Recycling HC'!AE213+'BTX Recycling HC'!AE86)-'Overall recycling rates'!$H$62/SUM('Overall recycling rates'!$H$61:$H$62)*('BTX Recycling HC'!AE214+'BTX Recycling HC'!AE87)-'Overall recycling rates'!$I$62/SUM('Overall recycling rates'!$I$61:$I$62)*('BTX Recycling HC'!AE215+'BTX Recycling HC'!AE88)</f>
        <v>74156.117987672478</v>
      </c>
      <c r="BM94" s="579">
        <f>BM53-'Overall recycling rates'!$G$62/SUM('Overall recycling rates'!$G$61:$G$62)*('BTX Recycling HC'!AF212+'BTX Recycling HC'!AF85)-'Overall recycling rates'!$E$62/SUM('Overall recycling rates'!$E$61:$E$62)*('BTX Recycling HC'!AF213+'BTX Recycling HC'!AF86)-'Overall recycling rates'!$H$62/SUM('Overall recycling rates'!$H$61:$H$62)*('BTX Recycling HC'!AF214+'BTX Recycling HC'!AF87)-'Overall recycling rates'!$I$62/SUM('Overall recycling rates'!$I$61:$I$62)*('BTX Recycling HC'!AF215+'BTX Recycling HC'!AF88)</f>
        <v>72490.222889112789</v>
      </c>
      <c r="BN94" s="579">
        <f>BN53-'Overall recycling rates'!$G$62/SUM('Overall recycling rates'!$G$61:$G$62)*('BTX Recycling HC'!AG212+'BTX Recycling HC'!AG85)-'Overall recycling rates'!$E$62/SUM('Overall recycling rates'!$E$61:$E$62)*('BTX Recycling HC'!AG213+'BTX Recycling HC'!AG86)-'Overall recycling rates'!$H$62/SUM('Overall recycling rates'!$H$61:$H$62)*('BTX Recycling HC'!AG214+'BTX Recycling HC'!AG87)-'Overall recycling rates'!$I$62/SUM('Overall recycling rates'!$I$61:$I$62)*('BTX Recycling HC'!AG215+'BTX Recycling HC'!AG88)</f>
        <v>70875.136332370123</v>
      </c>
      <c r="BQ94" s="623"/>
      <c r="BR94" s="623"/>
      <c r="BS94" s="623"/>
      <c r="BT94" s="623"/>
      <c r="BU94" s="623"/>
      <c r="BV94" s="623"/>
      <c r="BW94" s="623"/>
      <c r="BX94" s="623"/>
      <c r="BY94" s="623"/>
      <c r="BZ94" s="623"/>
      <c r="CA94" s="623"/>
      <c r="CB94" s="623"/>
      <c r="CC94" s="623"/>
      <c r="CD94" s="623"/>
      <c r="CE94" s="623"/>
      <c r="CF94" s="623"/>
      <c r="CG94" s="623"/>
      <c r="CH94" s="623"/>
      <c r="CI94" s="623"/>
      <c r="CJ94" s="623"/>
      <c r="CK94" s="623"/>
      <c r="CL94" s="623"/>
    </row>
    <row r="95" spans="1:90" outlineLevel="1">
      <c r="A95" s="54" t="s">
        <v>263</v>
      </c>
      <c r="B95" s="54" t="s">
        <v>200</v>
      </c>
      <c r="C95" s="93" t="s">
        <v>1420</v>
      </c>
      <c r="D95" s="572">
        <f t="shared" ref="D95:AH95" si="89">D41</f>
        <v>804756.09449362266</v>
      </c>
      <c r="E95" s="572">
        <f t="shared" si="89"/>
        <v>780016.1649029156</v>
      </c>
      <c r="F95" s="572">
        <f t="shared" si="89"/>
        <v>755577.24256022868</v>
      </c>
      <c r="G95" s="572">
        <f t="shared" si="89"/>
        <v>731436.3656795451</v>
      </c>
      <c r="H95" s="572">
        <f t="shared" si="89"/>
        <v>707590.59891940665</v>
      </c>
      <c r="I95" s="572">
        <f t="shared" si="89"/>
        <v>684037.03315965249</v>
      </c>
      <c r="J95" s="572">
        <f t="shared" si="89"/>
        <v>660772.78527997411</v>
      </c>
      <c r="K95" s="572">
        <f t="shared" si="89"/>
        <v>637794.99794027419</v>
      </c>
      <c r="L95" s="572">
        <f t="shared" si="89"/>
        <v>615100.83936281293</v>
      </c>
      <c r="M95" s="572">
        <f t="shared" si="89"/>
        <v>592687.50311613129</v>
      </c>
      <c r="N95" s="572">
        <f t="shared" si="89"/>
        <v>570552.20790073194</v>
      </c>
      <c r="O95" s="572">
        <f t="shared" si="89"/>
        <v>548692.19733650901</v>
      </c>
      <c r="P95" s="572">
        <f t="shared" si="89"/>
        <v>527104.73975190893</v>
      </c>
      <c r="Q95" s="572">
        <f t="shared" si="89"/>
        <v>505787.12797481049</v>
      </c>
      <c r="R95" s="572">
        <f t="shared" si="89"/>
        <v>484736.67912511108</v>
      </c>
      <c r="S95" s="572">
        <f t="shared" si="89"/>
        <v>463950.73440900288</v>
      </c>
      <c r="T95" s="572">
        <f t="shared" si="89"/>
        <v>443426.65891492856</v>
      </c>
      <c r="U95" s="572">
        <f t="shared" si="89"/>
        <v>423161.84141120163</v>
      </c>
      <c r="V95" s="572">
        <f t="shared" si="89"/>
        <v>403153.6941452779</v>
      </c>
      <c r="W95" s="572">
        <f t="shared" si="89"/>
        <v>383399.65264466644</v>
      </c>
      <c r="X95" s="572">
        <f t="shared" si="89"/>
        <v>363897.17551946442</v>
      </c>
      <c r="Y95" s="572">
        <f t="shared" si="89"/>
        <v>344135.79483916244</v>
      </c>
      <c r="Z95" s="572">
        <f t="shared" si="89"/>
        <v>324627.91867338604</v>
      </c>
      <c r="AA95" s="572">
        <f t="shared" si="89"/>
        <v>305371.00230000872</v>
      </c>
      <c r="AB95" s="572">
        <f t="shared" si="89"/>
        <v>286362.5239574397</v>
      </c>
      <c r="AC95" s="572">
        <f t="shared" si="89"/>
        <v>267599.98464951746</v>
      </c>
      <c r="AD95" s="572">
        <f t="shared" si="89"/>
        <v>249080.90795199911</v>
      </c>
      <c r="AE95" s="572">
        <f t="shared" si="89"/>
        <v>230802.83982063213</v>
      </c>
      <c r="AF95" s="572">
        <f t="shared" si="89"/>
        <v>212763.34840079577</v>
      </c>
      <c r="AG95" s="572">
        <f t="shared" si="89"/>
        <v>194960.02383870044</v>
      </c>
      <c r="AH95" s="572">
        <f t="shared" si="89"/>
        <v>177390.47809413198</v>
      </c>
      <c r="AI95" s="178"/>
      <c r="AJ95" s="572">
        <f t="shared" ref="AJ95:BN95" si="90">AJ41</f>
        <v>804756.09449362266</v>
      </c>
      <c r="AK95" s="572">
        <f t="shared" si="90"/>
        <v>791082.23767943343</v>
      </c>
      <c r="AL95" s="572">
        <f t="shared" si="90"/>
        <v>777557.87995428627</v>
      </c>
      <c r="AM95" s="572">
        <f t="shared" si="90"/>
        <v>764181.61528206966</v>
      </c>
      <c r="AN95" s="572">
        <f t="shared" si="90"/>
        <v>750952.049871144</v>
      </c>
      <c r="AO95" s="572">
        <f t="shared" si="90"/>
        <v>737867.80207258905</v>
      </c>
      <c r="AP95" s="572">
        <f t="shared" si="90"/>
        <v>724927.5022792723</v>
      </c>
      <c r="AQ95" s="572">
        <f t="shared" si="90"/>
        <v>712129.79282572924</v>
      </c>
      <c r="AR95" s="572">
        <f t="shared" si="90"/>
        <v>699473.32788885059</v>
      </c>
      <c r="AS95" s="572">
        <f t="shared" si="90"/>
        <v>686956.7733893689</v>
      </c>
      <c r="AT95" s="572">
        <f t="shared" si="90"/>
        <v>674578.8068941402</v>
      </c>
      <c r="AU95" s="572">
        <f t="shared" si="90"/>
        <v>662338.11751921196</v>
      </c>
      <c r="AV95" s="572">
        <f t="shared" si="90"/>
        <v>650233.40583367296</v>
      </c>
      <c r="AW95" s="572">
        <f t="shared" si="90"/>
        <v>638263.38376427849</v>
      </c>
      <c r="AX95" s="572">
        <f t="shared" si="90"/>
        <v>626426.77450084407</v>
      </c>
      <c r="AY95" s="572">
        <f t="shared" si="90"/>
        <v>614722.31240240321</v>
      </c>
      <c r="AZ95" s="572">
        <f t="shared" si="90"/>
        <v>603148.74290412071</v>
      </c>
      <c r="BA95" s="572">
        <f t="shared" si="90"/>
        <v>591704.82242495846</v>
      </c>
      <c r="BB95" s="572">
        <f t="shared" si="90"/>
        <v>580389.31827608519</v>
      </c>
      <c r="BC95" s="572">
        <f t="shared" si="90"/>
        <v>569201.00857002684</v>
      </c>
      <c r="BD95" s="572">
        <f t="shared" si="90"/>
        <v>558138.68213054817</v>
      </c>
      <c r="BE95" s="572">
        <f t="shared" si="90"/>
        <v>546985.47958795086</v>
      </c>
      <c r="BF95" s="572">
        <f t="shared" si="90"/>
        <v>535958.82237101125</v>
      </c>
      <c r="BG95" s="572">
        <f t="shared" si="90"/>
        <v>525057.50058485614</v>
      </c>
      <c r="BH95" s="572">
        <f t="shared" si="90"/>
        <v>514280.31496933865</v>
      </c>
      <c r="BI95" s="572">
        <f t="shared" si="90"/>
        <v>503626.07681013411</v>
      </c>
      <c r="BJ95" s="572">
        <f t="shared" si="90"/>
        <v>493093.60785055452</v>
      </c>
      <c r="BK95" s="572">
        <f t="shared" si="90"/>
        <v>482681.74020407762</v>
      </c>
      <c r="BL95" s="572">
        <f t="shared" si="90"/>
        <v>472389.31626758177</v>
      </c>
      <c r="BM95" s="572">
        <f t="shared" si="90"/>
        <v>462215.18863528431</v>
      </c>
      <c r="BN95" s="572">
        <f t="shared" si="90"/>
        <v>452158.22001337475</v>
      </c>
    </row>
    <row r="96" spans="1:90" outlineLevel="1">
      <c r="A96"/>
      <c r="B96" t="s">
        <v>266</v>
      </c>
      <c r="C96" s="50" t="s">
        <v>1420</v>
      </c>
      <c r="D96" s="99">
        <f>'BTX Recycling HC'!C248</f>
        <v>0</v>
      </c>
      <c r="E96" s="99">
        <f>'BTX Recycling HC'!D248</f>
        <v>66.564702548975035</v>
      </c>
      <c r="F96" s="99">
        <f>'BTX Recycling HC'!E248</f>
        <v>201.56482152764937</v>
      </c>
      <c r="G96" s="99">
        <f>'BTX Recycling HC'!F248</f>
        <v>404.5461548446392</v>
      </c>
      <c r="H96" s="99">
        <f>'BTX Recycling HC'!G248</f>
        <v>675.05650721100903</v>
      </c>
      <c r="I96" s="99">
        <f>'BTX Recycling HC'!H248</f>
        <v>1012.645682754026</v>
      </c>
      <c r="J96" s="99">
        <f>'BTX Recycling HC'!I248</f>
        <v>1416.8654776553778</v>
      </c>
      <c r="K96" s="99">
        <f>'BTX Recycling HC'!J248</f>
        <v>1887.2696728137792</v>
      </c>
      <c r="L96" s="99">
        <f>'BTX Recycling HC'!K248</f>
        <v>2423.4140265318906</v>
      </c>
      <c r="M96" s="99">
        <f>'BTX Recycling HC'!L248</f>
        <v>3024.8562672274743</v>
      </c>
      <c r="N96" s="99">
        <f>'BTX Recycling HC'!M248</f>
        <v>3691.156086168714</v>
      </c>
      <c r="O96" s="99">
        <f>'BTX Recycling HC'!N248</f>
        <v>4300.2652125007526</v>
      </c>
      <c r="P96" s="99">
        <f>'BTX Recycling HC'!O248</f>
        <v>4951.8320025301509</v>
      </c>
      <c r="Q96" s="99">
        <f>'BTX Recycling HC'!P248</f>
        <v>5645.5663258664808</v>
      </c>
      <c r="R96" s="99">
        <f>'BTX Recycling HC'!Q248</f>
        <v>6381.1793462821006</v>
      </c>
      <c r="S96" s="99">
        <f>'BTX Recycling HC'!R248</f>
        <v>7158.3835169262538</v>
      </c>
      <c r="T96" s="99">
        <f>'BTX Recycling HC'!S248</f>
        <v>7976.8925755550499</v>
      </c>
      <c r="U96" s="99">
        <f>'BTX Recycling HC'!T248</f>
        <v>8836.4215397773023</v>
      </c>
      <c r="V96" s="99">
        <f>'BTX Recycling HC'!U248</f>
        <v>9736.6867023161831</v>
      </c>
      <c r="W96" s="99">
        <f>'BTX Recycling HC'!V248</f>
        <v>10677.405626286571</v>
      </c>
      <c r="X96" s="99">
        <f>'BTX Recycling HC'!W248</f>
        <v>11658.297140488165</v>
      </c>
      <c r="Y96" s="99">
        <f>'BTX Recycling HC'!X248</f>
        <v>12929.077811108484</v>
      </c>
      <c r="Z96" s="99">
        <f>'BTX Recycling HC'!Y248</f>
        <v>14262.125363679113</v>
      </c>
      <c r="AA96" s="99">
        <f>'BTX Recycling HC'!Z248</f>
        <v>15657.008717358765</v>
      </c>
      <c r="AB96" s="99">
        <f>'BTX Recycling HC'!AA248</f>
        <v>17113.298722212505</v>
      </c>
      <c r="AC96" s="99">
        <f>'BTX Recycling HC'!AB248</f>
        <v>18630.568152056469</v>
      </c>
      <c r="AD96" s="99">
        <f>'BTX Recycling HC'!AC248</f>
        <v>20208.391697326351</v>
      </c>
      <c r="AE96" s="99">
        <f>'BTX Recycling HC'!AD248</f>
        <v>21846.345957969679</v>
      </c>
      <c r="AF96" s="99">
        <f>'BTX Recycling HC'!AE248</f>
        <v>23544.009436361684</v>
      </c>
      <c r="AG96" s="99">
        <f>'BTX Recycling HC'!AF248</f>
        <v>25300.962530244724</v>
      </c>
      <c r="AH96" s="99">
        <f>'BTX Recycling HC'!AG248</f>
        <v>27116.787525691343</v>
      </c>
      <c r="AI96" s="178"/>
      <c r="AJ96" s="99">
        <f>D96</f>
        <v>0</v>
      </c>
      <c r="AK96" s="99">
        <f>E96</f>
        <v>66.564702548975035</v>
      </c>
      <c r="AL96" s="99">
        <f t="shared" ref="AL96:BA99" si="91">F96</f>
        <v>201.56482152764937</v>
      </c>
      <c r="AM96" s="99">
        <f t="shared" si="91"/>
        <v>404.5461548446392</v>
      </c>
      <c r="AN96" s="99">
        <f t="shared" si="91"/>
        <v>675.05650721100903</v>
      </c>
      <c r="AO96" s="99">
        <f t="shared" si="91"/>
        <v>1012.645682754026</v>
      </c>
      <c r="AP96" s="99">
        <f t="shared" si="91"/>
        <v>1416.8654776553778</v>
      </c>
      <c r="AQ96" s="99">
        <f t="shared" si="91"/>
        <v>1887.2696728137792</v>
      </c>
      <c r="AR96" s="99">
        <f t="shared" si="91"/>
        <v>2423.4140265318906</v>
      </c>
      <c r="AS96" s="99">
        <f t="shared" si="91"/>
        <v>3024.8562672274743</v>
      </c>
      <c r="AT96" s="99">
        <f t="shared" si="91"/>
        <v>3691.156086168714</v>
      </c>
      <c r="AU96" s="99">
        <f t="shared" si="91"/>
        <v>4300.2652125007526</v>
      </c>
      <c r="AV96" s="99">
        <f t="shared" si="91"/>
        <v>4951.8320025301509</v>
      </c>
      <c r="AW96" s="99">
        <f t="shared" si="91"/>
        <v>5645.5663258664808</v>
      </c>
      <c r="AX96" s="99">
        <f t="shared" si="91"/>
        <v>6381.1793462821006</v>
      </c>
      <c r="AY96" s="99">
        <f t="shared" si="91"/>
        <v>7158.3835169262538</v>
      </c>
      <c r="AZ96" s="99">
        <f t="shared" si="91"/>
        <v>7976.8925755550499</v>
      </c>
      <c r="BA96" s="99">
        <f t="shared" si="91"/>
        <v>8836.4215397773023</v>
      </c>
      <c r="BB96" s="99">
        <f t="shared" ref="BB96:BN99" si="92">V96</f>
        <v>9736.6867023161831</v>
      </c>
      <c r="BC96" s="99">
        <f t="shared" si="92"/>
        <v>10677.405626286571</v>
      </c>
      <c r="BD96" s="99">
        <f t="shared" si="92"/>
        <v>11658.297140488165</v>
      </c>
      <c r="BE96" s="99">
        <f t="shared" si="92"/>
        <v>12929.077811108484</v>
      </c>
      <c r="BF96" s="99">
        <f t="shared" si="92"/>
        <v>14262.125363679113</v>
      </c>
      <c r="BG96" s="99">
        <f t="shared" si="92"/>
        <v>15657.008717358765</v>
      </c>
      <c r="BH96" s="99">
        <f t="shared" si="92"/>
        <v>17113.298722212505</v>
      </c>
      <c r="BI96" s="99">
        <f t="shared" si="92"/>
        <v>18630.568152056469</v>
      </c>
      <c r="BJ96" s="99">
        <f t="shared" si="92"/>
        <v>20208.391697326351</v>
      </c>
      <c r="BK96" s="99">
        <f t="shared" si="92"/>
        <v>21846.345957969679</v>
      </c>
      <c r="BL96" s="99">
        <f t="shared" si="92"/>
        <v>23544.009436361684</v>
      </c>
      <c r="BM96" s="99">
        <f t="shared" si="92"/>
        <v>25300.962530244724</v>
      </c>
      <c r="BN96" s="99">
        <f t="shared" si="92"/>
        <v>27116.787525691343</v>
      </c>
    </row>
    <row r="97" spans="1:90" outlineLevel="1">
      <c r="A97"/>
      <c r="B97" t="s">
        <v>268</v>
      </c>
      <c r="C97" s="50" t="s">
        <v>1420</v>
      </c>
      <c r="D97" s="99">
        <f>'BTX Recycling HC'!C114</f>
        <v>0</v>
      </c>
      <c r="E97" s="99">
        <f>'BTX Recycling HC'!D114</f>
        <v>3329.9697548696713</v>
      </c>
      <c r="F97" s="99">
        <f>'BTX Recycling HC'!E114</f>
        <v>4915.6373011312098</v>
      </c>
      <c r="G97" s="99">
        <f>'BTX Recycling HC'!F114</f>
        <v>6254.2719109245809</v>
      </c>
      <c r="H97" s="99">
        <f>'BTX Recycling HC'!G114</f>
        <v>6877.5478214695177</v>
      </c>
      <c r="I97" s="99">
        <f>'BTX Recycling HC'!H114</f>
        <v>6808.7396694117342</v>
      </c>
      <c r="J97" s="99">
        <f>'BTX Recycling HC'!I114</f>
        <v>6071.2800139313331</v>
      </c>
      <c r="K97" s="99">
        <f>'BTX Recycling HC'!J114</f>
        <v>4688.7565361392335</v>
      </c>
      <c r="L97" s="99">
        <f>'BTX Recycling HC'!K114</f>
        <v>2684.909259271546</v>
      </c>
      <c r="M97" s="99">
        <f>'BTX Recycling HC'!L114</f>
        <v>83.62778956751572</v>
      </c>
      <c r="N97" s="99">
        <f>'BTX Recycling HC'!M114</f>
        <v>-3091.0514222787751</v>
      </c>
      <c r="O97" s="99">
        <f>'BTX Recycling HC'!N114</f>
        <v>-16138.325377977046</v>
      </c>
      <c r="P97" s="99">
        <f>'BTX Recycling HC'!O114</f>
        <v>-28915.72940646371</v>
      </c>
      <c r="Q97" s="99">
        <f>'BTX Recycling HC'!P114</f>
        <v>-41416.175463362015</v>
      </c>
      <c r="R97" s="99">
        <f>'BTX Recycling HC'!Q114</f>
        <v>-53632.570773332991</v>
      </c>
      <c r="S97" s="99">
        <f>'BTX Recycling HC'!R114</f>
        <v>-65557.818255221588</v>
      </c>
      <c r="T97" s="99">
        <f>'BTX Recycling HC'!S114</f>
        <v>-77184.816943532147</v>
      </c>
      <c r="U97" s="99">
        <f>'BTX Recycling HC'!T114</f>
        <v>-88506.462406258157</v>
      </c>
      <c r="V97" s="99">
        <f>'BTX Recycling HC'!U114</f>
        <v>-99515.647159085929</v>
      </c>
      <c r="W97" s="99">
        <f>'BTX Recycling HC'!V114</f>
        <v>-110205.26107599222</v>
      </c>
      <c r="X97" s="99">
        <f>'BTX Recycling HC'!W114</f>
        <v>-120568.19179625934</v>
      </c>
      <c r="Y97" s="99">
        <f>'BTX Recycling HC'!X114</f>
        <v>-129305.10592499083</v>
      </c>
      <c r="Z97" s="99">
        <f>'BTX Recycling HC'!Y114</f>
        <v>-137817.5695555415</v>
      </c>
      <c r="AA97" s="99">
        <f>'BTX Recycling HC'!Z114</f>
        <v>-146100.2680591247</v>
      </c>
      <c r="AB97" s="99">
        <f>'BTX Recycling HC'!AA114</f>
        <v>-154147.884871963</v>
      </c>
      <c r="AC97" s="99">
        <f>'BTX Recycling HC'!AB114</f>
        <v>-161955.10179876536</v>
      </c>
      <c r="AD97" s="99">
        <f>'BTX Recycling HC'!AC114</f>
        <v>-169516.59931354673</v>
      </c>
      <c r="AE97" s="99">
        <f>'BTX Recycling HC'!AD114</f>
        <v>-176827.0568578057</v>
      </c>
      <c r="AF97" s="99">
        <f>'BTX Recycling HC'!AE114</f>
        <v>-183881.15313607515</v>
      </c>
      <c r="AG97" s="99">
        <f>'BTX Recycling HC'!AF114</f>
        <v>-190673.56640886152</v>
      </c>
      <c r="AH97" s="99">
        <f>'BTX Recycling HC'!AG114</f>
        <v>-197198.97478298791</v>
      </c>
      <c r="AI97" s="178"/>
      <c r="AJ97" s="99">
        <f t="shared" ref="AJ97:AY99" si="93">D97</f>
        <v>0</v>
      </c>
      <c r="AK97" s="99">
        <f t="shared" si="93"/>
        <v>3329.9697548696713</v>
      </c>
      <c r="AL97" s="99">
        <f t="shared" si="93"/>
        <v>4915.6373011312098</v>
      </c>
      <c r="AM97" s="99">
        <f t="shared" si="93"/>
        <v>6254.2719109245809</v>
      </c>
      <c r="AN97" s="99">
        <f t="shared" si="93"/>
        <v>6877.5478214695177</v>
      </c>
      <c r="AO97" s="99">
        <f t="shared" si="93"/>
        <v>6808.7396694117342</v>
      </c>
      <c r="AP97" s="99">
        <f t="shared" si="93"/>
        <v>6071.2800139313331</v>
      </c>
      <c r="AQ97" s="99">
        <f t="shared" si="93"/>
        <v>4688.7565361392335</v>
      </c>
      <c r="AR97" s="99">
        <f t="shared" si="93"/>
        <v>2684.909259271546</v>
      </c>
      <c r="AS97" s="99">
        <f t="shared" si="93"/>
        <v>83.62778956751572</v>
      </c>
      <c r="AT97" s="99">
        <f t="shared" si="93"/>
        <v>-3091.0514222787751</v>
      </c>
      <c r="AU97" s="99">
        <f t="shared" si="93"/>
        <v>-16138.325377977046</v>
      </c>
      <c r="AV97" s="99">
        <f t="shared" si="93"/>
        <v>-28915.72940646371</v>
      </c>
      <c r="AW97" s="99">
        <f t="shared" si="93"/>
        <v>-41416.175463362015</v>
      </c>
      <c r="AX97" s="99">
        <f t="shared" si="93"/>
        <v>-53632.570773332991</v>
      </c>
      <c r="AY97" s="99">
        <f t="shared" si="93"/>
        <v>-65557.818255221588</v>
      </c>
      <c r="AZ97" s="99">
        <f t="shared" si="91"/>
        <v>-77184.816943532147</v>
      </c>
      <c r="BA97" s="99">
        <f t="shared" si="91"/>
        <v>-88506.462406258157</v>
      </c>
      <c r="BB97" s="99">
        <f t="shared" si="92"/>
        <v>-99515.647159085929</v>
      </c>
      <c r="BC97" s="99">
        <f t="shared" si="92"/>
        <v>-110205.26107599222</v>
      </c>
      <c r="BD97" s="99">
        <f t="shared" si="92"/>
        <v>-120568.19179625934</v>
      </c>
      <c r="BE97" s="99">
        <f t="shared" si="92"/>
        <v>-129305.10592499083</v>
      </c>
      <c r="BF97" s="99">
        <f t="shared" si="92"/>
        <v>-137817.5695555415</v>
      </c>
      <c r="BG97" s="99">
        <f t="shared" si="92"/>
        <v>-146100.2680591247</v>
      </c>
      <c r="BH97" s="99">
        <f t="shared" si="92"/>
        <v>-154147.884871963</v>
      </c>
      <c r="BI97" s="99">
        <f t="shared" si="92"/>
        <v>-161955.10179876536</v>
      </c>
      <c r="BJ97" s="99">
        <f t="shared" si="92"/>
        <v>-169516.59931354673</v>
      </c>
      <c r="BK97" s="99">
        <f t="shared" si="92"/>
        <v>-176827.0568578057</v>
      </c>
      <c r="BL97" s="99">
        <f t="shared" si="92"/>
        <v>-183881.15313607515</v>
      </c>
      <c r="BM97" s="99">
        <f t="shared" si="92"/>
        <v>-190673.56640886152</v>
      </c>
      <c r="BN97" s="99">
        <f t="shared" si="92"/>
        <v>-197198.97478298791</v>
      </c>
    </row>
    <row r="98" spans="1:90" outlineLevel="1">
      <c r="A98" s="160"/>
      <c r="B98" s="160" t="s">
        <v>269</v>
      </c>
      <c r="C98" s="156" t="s">
        <v>1420</v>
      </c>
      <c r="D98" s="120">
        <f>'BTX Recycling HC'!C159</f>
        <v>0</v>
      </c>
      <c r="E98" s="120">
        <f>'BTX Recycling HC'!D159</f>
        <v>109.65227272380366</v>
      </c>
      <c r="F98" s="120">
        <f>'BTX Recycling HC'!E159</f>
        <v>218.24630708729387</v>
      </c>
      <c r="G98" s="120">
        <f>'BTX Recycling HC'!F159</f>
        <v>325.20012294008052</v>
      </c>
      <c r="H98" s="120">
        <f>'BTX Recycling HC'!G159</f>
        <v>429.93690538627334</v>
      </c>
      <c r="I98" s="120">
        <f>'BTX Recycling HC'!H159</f>
        <v>531.88497623396006</v>
      </c>
      <c r="J98" s="120">
        <f>'BTX Recycling HC'!I159</f>
        <v>630.47776557083353</v>
      </c>
      <c r="K98" s="120">
        <f>'BTX Recycling HC'!J159</f>
        <v>725.15378346546777</v>
      </c>
      <c r="L98" s="120">
        <f>'BTX Recycling HC'!K159</f>
        <v>815.35659179377535</v>
      </c>
      <c r="M98" s="120">
        <f>'BTX Recycling HC'!L159</f>
        <v>900.53477619015121</v>
      </c>
      <c r="N98" s="120">
        <f>'BTX Recycling HC'!M159</f>
        <v>980.14191812281797</v>
      </c>
      <c r="O98" s="120">
        <f>'BTX Recycling HC'!N159</f>
        <v>1021.9793865328616</v>
      </c>
      <c r="P98" s="120">
        <f>'BTX Recycling HC'!O159</f>
        <v>1057.9602092924583</v>
      </c>
      <c r="Q98" s="120">
        <f>'BTX Recycling HC'!P159</f>
        <v>1079.8766769367462</v>
      </c>
      <c r="R98" s="120">
        <f>'BTX Recycling HC'!Q159</f>
        <v>1095.0353442540882</v>
      </c>
      <c r="S98" s="120">
        <f>'BTX Recycling HC'!R159</f>
        <v>1103.164286259685</v>
      </c>
      <c r="T98" s="120">
        <f>'BTX Recycling HC'!S159</f>
        <v>1104.0003330658596</v>
      </c>
      <c r="U98" s="120">
        <f>'BTX Recycling HC'!T159</f>
        <v>1097.2890698601632</v>
      </c>
      <c r="V98" s="120">
        <f>'BTX Recycling HC'!U159</f>
        <v>1082.784836304686</v>
      </c>
      <c r="W98" s="120">
        <f>'BTX Recycling HC'!V159</f>
        <v>1060.2507253624294</v>
      </c>
      <c r="X98" s="120">
        <f>'BTX Recycling HC'!W159</f>
        <v>1029.4585815566184</v>
      </c>
      <c r="Y98" s="120">
        <f>'BTX Recycling HC'!X159</f>
        <v>1016.831643692853</v>
      </c>
      <c r="Z98" s="120">
        <f>'BTX Recycling HC'!Y159</f>
        <v>993.21407821870298</v>
      </c>
      <c r="AA98" s="120">
        <f>'BTX Recycling HC'!Z159</f>
        <v>939.58277686944712</v>
      </c>
      <c r="AB98" s="120">
        <f>'BTX Recycling HC'!AA159</f>
        <v>874.60072452135364</v>
      </c>
      <c r="AC98" s="120">
        <f>'BTX Recycling HC'!AB159</f>
        <v>798.27401013211079</v>
      </c>
      <c r="AD98" s="120">
        <f>'BTX Recycling HC'!AC159</f>
        <v>710.64960522975616</v>
      </c>
      <c r="AE98" s="120">
        <f>'BTX Recycling HC'!AD159</f>
        <v>611.81584584654593</v>
      </c>
      <c r="AF98" s="120">
        <f>'BTX Recycling HC'!AE159</f>
        <v>501.90290508358839</v>
      </c>
      <c r="AG98" s="120">
        <f>'BTX Recycling HC'!AF159</f>
        <v>381.08325638632255</v>
      </c>
      <c r="AH98" s="120">
        <f>'BTX Recycling HC'!AG159</f>
        <v>249.5721276104332</v>
      </c>
      <c r="AI98" s="178"/>
      <c r="AJ98" s="99">
        <f t="shared" si="93"/>
        <v>0</v>
      </c>
      <c r="AK98" s="99">
        <f t="shared" si="93"/>
        <v>109.65227272380366</v>
      </c>
      <c r="AL98" s="99">
        <f t="shared" si="93"/>
        <v>218.24630708729387</v>
      </c>
      <c r="AM98" s="99">
        <f t="shared" si="93"/>
        <v>325.20012294008052</v>
      </c>
      <c r="AN98" s="99">
        <f t="shared" si="93"/>
        <v>429.93690538627334</v>
      </c>
      <c r="AO98" s="99">
        <f t="shared" si="93"/>
        <v>531.88497623396006</v>
      </c>
      <c r="AP98" s="99">
        <f t="shared" si="93"/>
        <v>630.47776557083353</v>
      </c>
      <c r="AQ98" s="99">
        <f t="shared" si="93"/>
        <v>725.15378346546777</v>
      </c>
      <c r="AR98" s="99">
        <f t="shared" si="93"/>
        <v>815.35659179377535</v>
      </c>
      <c r="AS98" s="99">
        <f t="shared" si="93"/>
        <v>900.53477619015121</v>
      </c>
      <c r="AT98" s="99">
        <f t="shared" si="93"/>
        <v>980.14191812281797</v>
      </c>
      <c r="AU98" s="99">
        <f t="shared" si="93"/>
        <v>1021.9793865328616</v>
      </c>
      <c r="AV98" s="99">
        <f t="shared" si="93"/>
        <v>1057.9602092924583</v>
      </c>
      <c r="AW98" s="99">
        <f t="shared" si="93"/>
        <v>1079.8766769367462</v>
      </c>
      <c r="AX98" s="99">
        <f t="shared" si="93"/>
        <v>1095.0353442540882</v>
      </c>
      <c r="AY98" s="99">
        <f t="shared" si="93"/>
        <v>1103.164286259685</v>
      </c>
      <c r="AZ98" s="99">
        <f t="shared" si="91"/>
        <v>1104.0003330658596</v>
      </c>
      <c r="BA98" s="99">
        <f t="shared" si="91"/>
        <v>1097.2890698601632</v>
      </c>
      <c r="BB98" s="99">
        <f t="shared" si="92"/>
        <v>1082.784836304686</v>
      </c>
      <c r="BC98" s="99">
        <f t="shared" si="92"/>
        <v>1060.2507253624294</v>
      </c>
      <c r="BD98" s="99">
        <f t="shared" si="92"/>
        <v>1029.4585815566184</v>
      </c>
      <c r="BE98" s="99">
        <f t="shared" si="92"/>
        <v>1016.831643692853</v>
      </c>
      <c r="BF98" s="99">
        <f t="shared" si="92"/>
        <v>993.21407821870298</v>
      </c>
      <c r="BG98" s="99">
        <f t="shared" si="92"/>
        <v>939.58277686944712</v>
      </c>
      <c r="BH98" s="99">
        <f t="shared" si="92"/>
        <v>874.60072452135364</v>
      </c>
      <c r="BI98" s="99">
        <f t="shared" si="92"/>
        <v>798.27401013211079</v>
      </c>
      <c r="BJ98" s="99">
        <f t="shared" si="92"/>
        <v>710.64960522975616</v>
      </c>
      <c r="BK98" s="99">
        <f t="shared" si="92"/>
        <v>611.81584584654593</v>
      </c>
      <c r="BL98" s="99">
        <f t="shared" si="92"/>
        <v>501.90290508358839</v>
      </c>
      <c r="BM98" s="99">
        <f t="shared" si="92"/>
        <v>381.08325638632255</v>
      </c>
      <c r="BN98" s="99">
        <f t="shared" si="92"/>
        <v>249.5721276104332</v>
      </c>
    </row>
    <row r="99" spans="1:90" outlineLevel="1">
      <c r="A99" s="160"/>
      <c r="B99" s="160" t="s">
        <v>1068</v>
      </c>
      <c r="C99" s="156" t="s">
        <v>1420</v>
      </c>
      <c r="D99" s="120">
        <f>'BTX Recycling HC'!C221</f>
        <v>0</v>
      </c>
      <c r="E99" s="120">
        <f>'BTX Recycling HC'!D221</f>
        <v>139.97581628488709</v>
      </c>
      <c r="F99" s="120">
        <f>'BTX Recycling HC'!E221</f>
        <v>331.19767139118858</v>
      </c>
      <c r="G99" s="120">
        <f>'BTX Recycling HC'!F221</f>
        <v>577.79894899130204</v>
      </c>
      <c r="H99" s="120">
        <f>'BTX Recycling HC'!G221</f>
        <v>883.87502926869797</v>
      </c>
      <c r="I99" s="120">
        <f>'BTX Recycling HC'!H221</f>
        <v>1253.4835014300218</v>
      </c>
      <c r="J99" s="120">
        <f>'BTX Recycling HC'!I221</f>
        <v>1638.403464076865</v>
      </c>
      <c r="K99" s="120">
        <f>'BTX Recycling HC'!J221</f>
        <v>2063.4210617783674</v>
      </c>
      <c r="L99" s="120">
        <f>'BTX Recycling HC'!K221</f>
        <v>2525.4847318253337</v>
      </c>
      <c r="M99" s="120">
        <f>'BTX Recycling HC'!L221</f>
        <v>3021.0228666685116</v>
      </c>
      <c r="N99" s="120">
        <f>'BTX Recycling HC'!M221</f>
        <v>3545.9496984628768</v>
      </c>
      <c r="O99" s="120">
        <f>'BTX Recycling HC'!N221</f>
        <v>3973.4813613083229</v>
      </c>
      <c r="P99" s="120">
        <f>'BTX Recycling HC'!O221</f>
        <v>4409.9313526629385</v>
      </c>
      <c r="Q99" s="120">
        <f>'BTX Recycling HC'!P221</f>
        <v>4851.1257821587715</v>
      </c>
      <c r="R99" s="120">
        <f>'BTX Recycling HC'!Q221</f>
        <v>5292.5646818035821</v>
      </c>
      <c r="S99" s="120">
        <f>'BTX Recycling HC'!R221</f>
        <v>5729.4258075839907</v>
      </c>
      <c r="T99" s="120">
        <f>'BTX Recycling HC'!S221</f>
        <v>6241.4415749378059</v>
      </c>
      <c r="U99" s="120">
        <f>'BTX Recycling HC'!T221</f>
        <v>6758.5360162590341</v>
      </c>
      <c r="V99" s="120">
        <f>'BTX Recycling HC'!U221</f>
        <v>7277.1250428922913</v>
      </c>
      <c r="W99" s="120">
        <f>'BTX Recycling HC'!V221</f>
        <v>7793.4030019883412</v>
      </c>
      <c r="X99" s="120">
        <f>'BTX Recycling HC'!W221</f>
        <v>8303.3452961607709</v>
      </c>
      <c r="Y99" s="120">
        <f>'BTX Recycling HC'!X221</f>
        <v>8985.5854737175778</v>
      </c>
      <c r="Z99" s="120">
        <f>'BTX Recycling HC'!Y221</f>
        <v>9658.5654021938335</v>
      </c>
      <c r="AA99" s="120">
        <f>'BTX Recycling HC'!Z221</f>
        <v>10315.858743336479</v>
      </c>
      <c r="AB99" s="120">
        <f>'BTX Recycling HC'!AA221</f>
        <v>10950.711306978319</v>
      </c>
      <c r="AC99" s="120">
        <f>'BTX Recycling HC'!AB221</f>
        <v>11556.044983921269</v>
      </c>
      <c r="AD99" s="120">
        <f>'BTX Recycling HC'!AC221</f>
        <v>12003.539494644547</v>
      </c>
      <c r="AE99" s="120">
        <f>'BTX Recycling HC'!AD221</f>
        <v>12383.146395784213</v>
      </c>
      <c r="AF99" s="120">
        <f>'BTX Recycling HC'!AE221</f>
        <v>12684.851701471891</v>
      </c>
      <c r="AG99" s="120">
        <f>'BTX Recycling HC'!AF221</f>
        <v>12898.272640940231</v>
      </c>
      <c r="AH99" s="120">
        <f>'BTX Recycling HC'!AG221</f>
        <v>13012.662224394182</v>
      </c>
      <c r="AI99" s="178"/>
      <c r="AJ99" s="99">
        <f t="shared" si="93"/>
        <v>0</v>
      </c>
      <c r="AK99" s="99">
        <f t="shared" si="93"/>
        <v>139.97581628488709</v>
      </c>
      <c r="AL99" s="99">
        <f t="shared" si="93"/>
        <v>331.19767139118858</v>
      </c>
      <c r="AM99" s="99">
        <f t="shared" si="93"/>
        <v>577.79894899130204</v>
      </c>
      <c r="AN99" s="99">
        <f t="shared" si="93"/>
        <v>883.87502926869797</v>
      </c>
      <c r="AO99" s="99">
        <f t="shared" si="93"/>
        <v>1253.4835014300218</v>
      </c>
      <c r="AP99" s="99">
        <f t="shared" si="93"/>
        <v>1638.403464076865</v>
      </c>
      <c r="AQ99" s="99">
        <f t="shared" si="93"/>
        <v>2063.4210617783674</v>
      </c>
      <c r="AR99" s="99">
        <f t="shared" si="93"/>
        <v>2525.4847318253337</v>
      </c>
      <c r="AS99" s="99">
        <f t="shared" si="93"/>
        <v>3021.0228666685116</v>
      </c>
      <c r="AT99" s="99">
        <f t="shared" si="93"/>
        <v>3545.9496984628768</v>
      </c>
      <c r="AU99" s="99">
        <f t="shared" si="93"/>
        <v>3973.4813613083229</v>
      </c>
      <c r="AV99" s="99">
        <f t="shared" si="93"/>
        <v>4409.9313526629385</v>
      </c>
      <c r="AW99" s="99">
        <f t="shared" si="93"/>
        <v>4851.1257821587715</v>
      </c>
      <c r="AX99" s="99">
        <f t="shared" si="93"/>
        <v>5292.5646818035821</v>
      </c>
      <c r="AY99" s="99">
        <f t="shared" si="93"/>
        <v>5729.4258075839907</v>
      </c>
      <c r="AZ99" s="99">
        <f t="shared" si="91"/>
        <v>6241.4415749378059</v>
      </c>
      <c r="BA99" s="99">
        <f t="shared" si="91"/>
        <v>6758.5360162590341</v>
      </c>
      <c r="BB99" s="99">
        <f t="shared" si="92"/>
        <v>7277.1250428922913</v>
      </c>
      <c r="BC99" s="99">
        <f t="shared" si="92"/>
        <v>7793.4030019883412</v>
      </c>
      <c r="BD99" s="99">
        <f t="shared" si="92"/>
        <v>8303.3452961607709</v>
      </c>
      <c r="BE99" s="99">
        <f t="shared" si="92"/>
        <v>8985.5854737175778</v>
      </c>
      <c r="BF99" s="99">
        <f t="shared" si="92"/>
        <v>9658.5654021938335</v>
      </c>
      <c r="BG99" s="99">
        <f t="shared" si="92"/>
        <v>10315.858743336479</v>
      </c>
      <c r="BH99" s="99">
        <f t="shared" si="92"/>
        <v>10950.711306978319</v>
      </c>
      <c r="BI99" s="99">
        <f t="shared" si="92"/>
        <v>11556.044983921269</v>
      </c>
      <c r="BJ99" s="99">
        <f t="shared" si="92"/>
        <v>12003.539494644547</v>
      </c>
      <c r="BK99" s="99">
        <f t="shared" si="92"/>
        <v>12383.146395784213</v>
      </c>
      <c r="BL99" s="99">
        <f t="shared" si="92"/>
        <v>12684.851701471891</v>
      </c>
      <c r="BM99" s="99">
        <f t="shared" si="92"/>
        <v>12898.272640940231</v>
      </c>
      <c r="BN99" s="99">
        <f t="shared" si="92"/>
        <v>13012.662224394182</v>
      </c>
    </row>
    <row r="100" spans="1:90" outlineLevel="1">
      <c r="A100" s="211"/>
      <c r="B100" s="211" t="s">
        <v>267</v>
      </c>
      <c r="C100" s="212" t="s">
        <v>1420</v>
      </c>
      <c r="D100" s="554">
        <f>D95-D96-D97-D98-D99</f>
        <v>804756.09449362266</v>
      </c>
      <c r="E100" s="554">
        <f t="shared" ref="E100:AG100" si="94">E95-E96-E97-E98-E99</f>
        <v>776370.00235648814</v>
      </c>
      <c r="F100" s="554">
        <f t="shared" si="94"/>
        <v>749910.59645909141</v>
      </c>
      <c r="G100" s="554">
        <f t="shared" si="94"/>
        <v>723874.54854184436</v>
      </c>
      <c r="H100" s="554">
        <f t="shared" si="94"/>
        <v>698724.18265607115</v>
      </c>
      <c r="I100" s="554">
        <f t="shared" si="94"/>
        <v>674430.27932982286</v>
      </c>
      <c r="J100" s="554">
        <f t="shared" si="94"/>
        <v>651015.75855873968</v>
      </c>
      <c r="K100" s="554">
        <f t="shared" si="94"/>
        <v>628430.39688607736</v>
      </c>
      <c r="L100" s="554">
        <f t="shared" si="94"/>
        <v>606651.67475339037</v>
      </c>
      <c r="M100" s="554">
        <f t="shared" si="94"/>
        <v>585657.46141647757</v>
      </c>
      <c r="N100" s="554">
        <f t="shared" si="94"/>
        <v>565426.01162025635</v>
      </c>
      <c r="O100" s="554">
        <f t="shared" si="94"/>
        <v>555534.79675414413</v>
      </c>
      <c r="P100" s="554">
        <f t="shared" si="94"/>
        <v>545600.74559388706</v>
      </c>
      <c r="Q100" s="554">
        <f t="shared" si="94"/>
        <v>535626.7346532105</v>
      </c>
      <c r="R100" s="554">
        <f t="shared" si="94"/>
        <v>525600.47052610433</v>
      </c>
      <c r="S100" s="554">
        <f t="shared" si="94"/>
        <v>515517.57905345451</v>
      </c>
      <c r="T100" s="554">
        <f t="shared" si="94"/>
        <v>505289.14137490198</v>
      </c>
      <c r="U100" s="554">
        <f t="shared" si="94"/>
        <v>494976.05719156325</v>
      </c>
      <c r="V100" s="554">
        <f t="shared" si="94"/>
        <v>484572.74472285068</v>
      </c>
      <c r="W100" s="554">
        <f t="shared" si="94"/>
        <v>474073.8543670213</v>
      </c>
      <c r="X100" s="554">
        <f t="shared" si="94"/>
        <v>463474.26629751822</v>
      </c>
      <c r="Y100" s="554">
        <f t="shared" si="94"/>
        <v>450509.40583563433</v>
      </c>
      <c r="Z100" s="554">
        <f t="shared" si="94"/>
        <v>437531.58338483592</v>
      </c>
      <c r="AA100" s="554">
        <f t="shared" si="94"/>
        <v>424558.82012156874</v>
      </c>
      <c r="AB100" s="554">
        <f t="shared" si="94"/>
        <v>411571.79807569057</v>
      </c>
      <c r="AC100" s="554">
        <f t="shared" si="94"/>
        <v>398570.19930217293</v>
      </c>
      <c r="AD100" s="554">
        <f t="shared" si="94"/>
        <v>385674.92646834516</v>
      </c>
      <c r="AE100" s="554">
        <f t="shared" si="94"/>
        <v>372788.5884788374</v>
      </c>
      <c r="AF100" s="554">
        <f t="shared" si="94"/>
        <v>359913.73749395373</v>
      </c>
      <c r="AG100" s="554">
        <f t="shared" si="94"/>
        <v>347053.27181999065</v>
      </c>
      <c r="AH100" s="554">
        <f>AH95-AH96-AH97-AH98-AH99</f>
        <v>334210.43099942396</v>
      </c>
      <c r="AI100" s="178"/>
      <c r="AJ100" s="554">
        <f>AJ95-AJ96-AJ97-AJ98-AJ99</f>
        <v>804756.09449362266</v>
      </c>
      <c r="AK100" s="554">
        <f t="shared" ref="AK100:BN100" si="95">AK95-AK96-AK97-AK98-AK99</f>
        <v>787436.07513300597</v>
      </c>
      <c r="AL100" s="554">
        <f t="shared" si="95"/>
        <v>771891.23385314899</v>
      </c>
      <c r="AM100" s="554">
        <f t="shared" si="95"/>
        <v>756619.79814436892</v>
      </c>
      <c r="AN100" s="554">
        <f t="shared" si="95"/>
        <v>742085.6336078085</v>
      </c>
      <c r="AO100" s="554">
        <f t="shared" si="95"/>
        <v>728261.04824275943</v>
      </c>
      <c r="AP100" s="554">
        <f t="shared" si="95"/>
        <v>715170.47555803787</v>
      </c>
      <c r="AQ100" s="554">
        <f t="shared" si="95"/>
        <v>702765.19177153229</v>
      </c>
      <c r="AR100" s="554">
        <f t="shared" si="95"/>
        <v>691024.16327942803</v>
      </c>
      <c r="AS100" s="554">
        <f t="shared" si="95"/>
        <v>679926.73168971529</v>
      </c>
      <c r="AT100" s="554">
        <f t="shared" si="95"/>
        <v>669452.61061366461</v>
      </c>
      <c r="AU100" s="554">
        <f t="shared" si="95"/>
        <v>669180.71693684696</v>
      </c>
      <c r="AV100" s="554">
        <f t="shared" si="95"/>
        <v>668729.41167565109</v>
      </c>
      <c r="AW100" s="554">
        <f t="shared" si="95"/>
        <v>668102.99044267845</v>
      </c>
      <c r="AX100" s="554">
        <f t="shared" si="95"/>
        <v>667290.5659018372</v>
      </c>
      <c r="AY100" s="554">
        <f t="shared" si="95"/>
        <v>666289.15704685496</v>
      </c>
      <c r="AZ100" s="554">
        <f t="shared" si="95"/>
        <v>665011.22536409425</v>
      </c>
      <c r="BA100" s="554">
        <f t="shared" si="95"/>
        <v>663519.03820532025</v>
      </c>
      <c r="BB100" s="554">
        <f t="shared" si="95"/>
        <v>661808.36885365797</v>
      </c>
      <c r="BC100" s="554">
        <f t="shared" si="95"/>
        <v>659875.21029238182</v>
      </c>
      <c r="BD100" s="554">
        <f t="shared" si="95"/>
        <v>657715.77290860203</v>
      </c>
      <c r="BE100" s="554">
        <f t="shared" si="95"/>
        <v>653359.09058442293</v>
      </c>
      <c r="BF100" s="554">
        <f t="shared" si="95"/>
        <v>648862.48708246113</v>
      </c>
      <c r="BG100" s="554">
        <f t="shared" si="95"/>
        <v>644245.3184064161</v>
      </c>
      <c r="BH100" s="554">
        <f t="shared" si="95"/>
        <v>639489.58908758953</v>
      </c>
      <c r="BI100" s="554">
        <f t="shared" si="95"/>
        <v>634596.29146278964</v>
      </c>
      <c r="BJ100" s="554">
        <f t="shared" si="95"/>
        <v>629687.62636690063</v>
      </c>
      <c r="BK100" s="554">
        <f t="shared" si="95"/>
        <v>624667.48886228283</v>
      </c>
      <c r="BL100" s="554">
        <f t="shared" si="95"/>
        <v>619539.70536073984</v>
      </c>
      <c r="BM100" s="554">
        <f t="shared" si="95"/>
        <v>614308.43661657453</v>
      </c>
      <c r="BN100" s="554">
        <f t="shared" si="95"/>
        <v>608978.17291866674</v>
      </c>
    </row>
    <row r="101" spans="1:90" s="61" customFormat="1" outlineLevel="1">
      <c r="A101" s="602"/>
      <c r="B101" s="54" t="s">
        <v>88</v>
      </c>
      <c r="C101" s="55" t="s">
        <v>1420</v>
      </c>
      <c r="D101" s="580">
        <f>D42-'Overall recycling rates'!$G$60/SUM('Overall recycling rates'!$G$60:$G$62)*('BTX Recycling HC'!C222+'BTX Recycling HC'!C249+'BTX Recycling HC'!C160+'BTX Recycling HC'!C115)-'Overall recycling rates'!$E$60/SUM('Overall recycling rates'!$E$60:$E$62)*('BTX Recycling HC'!C223+'BTX Recycling HC'!C250+'BTX Recycling HC'!C161+'BTX Recycling HC'!C116)-'Overall recycling rates'!$H$60/SUM('Overall recycling rates'!$H$60:$H$62)*('BTX Recycling HC'!C224+'BTX Recycling HC'!C251+'BTX Recycling HC'!C162+'BTX Recycling HC'!C117)-'Overall recycling rates'!$I$60/SUM('Overall recycling rates'!$I$60:$I$62)*('BTX Recycling HC'!C225+'BTX Recycling HC'!C252+'BTX Recycling HC'!C163+'BTX Recycling HC'!C118)</f>
        <v>510418.95118389581</v>
      </c>
      <c r="E101" s="580">
        <f>E42-'Overall recycling rates'!$G$60/SUM('Overall recycling rates'!$G$60:$G$62)*('BTX Recycling HC'!D222+'BTX Recycling HC'!D249+'BTX Recycling HC'!D160+'BTX Recycling HC'!D115)-'Overall recycling rates'!$E$60/SUM('Overall recycling rates'!$E$60:$E$62)*('BTX Recycling HC'!D223+'BTX Recycling HC'!D250+'BTX Recycling HC'!D161+'BTX Recycling HC'!D116)-'Overall recycling rates'!$H$60/SUM('Overall recycling rates'!$H$60:$H$62)*('BTX Recycling HC'!D224+'BTX Recycling HC'!D251+'BTX Recycling HC'!D162+'BTX Recycling HC'!D117)-'Overall recycling rates'!$I$60/SUM('Overall recycling rates'!$I$60:$I$62)*('BTX Recycling HC'!D225+'BTX Recycling HC'!D252+'BTX Recycling HC'!D163+'BTX Recycling HC'!D118)</f>
        <v>490235.40784405597</v>
      </c>
      <c r="F101" s="580">
        <f>F42-'Overall recycling rates'!$G$60/SUM('Overall recycling rates'!$G$60:$G$62)*('BTX Recycling HC'!E222+'BTX Recycling HC'!E249+'BTX Recycling HC'!E160+'BTX Recycling HC'!E115)-'Overall recycling rates'!$E$60/SUM('Overall recycling rates'!$E$60:$E$62)*('BTX Recycling HC'!E223+'BTX Recycling HC'!E250+'BTX Recycling HC'!E161+'BTX Recycling HC'!E116)-'Overall recycling rates'!$H$60/SUM('Overall recycling rates'!$H$60:$H$62)*('BTX Recycling HC'!E224+'BTX Recycling HC'!E251+'BTX Recycling HC'!E162+'BTX Recycling HC'!E117)-'Overall recycling rates'!$I$60/SUM('Overall recycling rates'!$I$60:$I$62)*('BTX Recycling HC'!E225+'BTX Recycling HC'!E252+'BTX Recycling HC'!E163+'BTX Recycling HC'!E118)</f>
        <v>470442.92362160771</v>
      </c>
      <c r="G101" s="580">
        <f>G42-'Overall recycling rates'!$G$60/SUM('Overall recycling rates'!$G$60:$G$62)*('BTX Recycling HC'!F222+'BTX Recycling HC'!F249+'BTX Recycling HC'!F160+'BTX Recycling HC'!F115)-'Overall recycling rates'!$E$60/SUM('Overall recycling rates'!$E$60:$E$62)*('BTX Recycling HC'!F223+'BTX Recycling HC'!F250+'BTX Recycling HC'!F161+'BTX Recycling HC'!F116)-'Overall recycling rates'!$H$60/SUM('Overall recycling rates'!$H$60:$H$62)*('BTX Recycling HC'!F224+'BTX Recycling HC'!F251+'BTX Recycling HC'!F162+'BTX Recycling HC'!F117)-'Overall recycling rates'!$I$60/SUM('Overall recycling rates'!$I$60:$I$62)*('BTX Recycling HC'!F225+'BTX Recycling HC'!F252+'BTX Recycling HC'!F163+'BTX Recycling HC'!F118)</f>
        <v>450831.64176007861</v>
      </c>
      <c r="H101" s="580">
        <f>H42-'Overall recycling rates'!$G$60/SUM('Overall recycling rates'!$G$60:$G$62)*('BTX Recycling HC'!G222+'BTX Recycling HC'!G249+'BTX Recycling HC'!G160+'BTX Recycling HC'!G115)-'Overall recycling rates'!$E$60/SUM('Overall recycling rates'!$E$60:$E$62)*('BTX Recycling HC'!G223+'BTX Recycling HC'!G250+'BTX Recycling HC'!G161+'BTX Recycling HC'!G116)-'Overall recycling rates'!$H$60/SUM('Overall recycling rates'!$H$60:$H$62)*('BTX Recycling HC'!G224+'BTX Recycling HC'!G251+'BTX Recycling HC'!G162+'BTX Recycling HC'!G117)-'Overall recycling rates'!$I$60/SUM('Overall recycling rates'!$I$60:$I$62)*('BTX Recycling HC'!G225+'BTX Recycling HC'!G252+'BTX Recycling HC'!G163+'BTX Recycling HC'!G118)</f>
        <v>431504.56722367014</v>
      </c>
      <c r="I101" s="580">
        <f>I42-'Overall recycling rates'!$G$60/SUM('Overall recycling rates'!$G$60:$G$62)*('BTX Recycling HC'!H222+'BTX Recycling HC'!H249+'BTX Recycling HC'!H160+'BTX Recycling HC'!H115)-'Overall recycling rates'!$E$60/SUM('Overall recycling rates'!$E$60:$E$62)*('BTX Recycling HC'!H223+'BTX Recycling HC'!H250+'BTX Recycling HC'!H161+'BTX Recycling HC'!H116)-'Overall recycling rates'!$H$60/SUM('Overall recycling rates'!$H$60:$H$62)*('BTX Recycling HC'!H224+'BTX Recycling HC'!H251+'BTX Recycling HC'!H162+'BTX Recycling HC'!H117)-'Overall recycling rates'!$I$60/SUM('Overall recycling rates'!$I$60:$I$62)*('BTX Recycling HC'!H225+'BTX Recycling HC'!H252+'BTX Recycling HC'!H163+'BTX Recycling HC'!H118)</f>
        <v>412484.69001086778</v>
      </c>
      <c r="J101" s="580">
        <f>J42-'Overall recycling rates'!$G$60/SUM('Overall recycling rates'!$G$60:$G$62)*('BTX Recycling HC'!I222+'BTX Recycling HC'!I249+'BTX Recycling HC'!I160+'BTX Recycling HC'!I115)-'Overall recycling rates'!$E$60/SUM('Overall recycling rates'!$E$60:$E$62)*('BTX Recycling HC'!I223+'BTX Recycling HC'!I250+'BTX Recycling HC'!I161+'BTX Recycling HC'!I116)-'Overall recycling rates'!$H$60/SUM('Overall recycling rates'!$H$60:$H$62)*('BTX Recycling HC'!I224+'BTX Recycling HC'!I251+'BTX Recycling HC'!I162+'BTX Recycling HC'!I117)-'Overall recycling rates'!$I$60/SUM('Overall recycling rates'!$I$60:$I$62)*('BTX Recycling HC'!I225+'BTX Recycling HC'!I252+'BTX Recycling HC'!I163+'BTX Recycling HC'!I118)</f>
        <v>393793.54620615201</v>
      </c>
      <c r="K101" s="580">
        <f>K42-'Overall recycling rates'!$G$60/SUM('Overall recycling rates'!$G$60:$G$62)*('BTX Recycling HC'!J222+'BTX Recycling HC'!J249+'BTX Recycling HC'!J160+'BTX Recycling HC'!J115)-'Overall recycling rates'!$E$60/SUM('Overall recycling rates'!$E$60:$E$62)*('BTX Recycling HC'!J223+'BTX Recycling HC'!J250+'BTX Recycling HC'!J161+'BTX Recycling HC'!J116)-'Overall recycling rates'!$H$60/SUM('Overall recycling rates'!$H$60:$H$62)*('BTX Recycling HC'!J224+'BTX Recycling HC'!J251+'BTX Recycling HC'!J162+'BTX Recycling HC'!J117)-'Overall recycling rates'!$I$60/SUM('Overall recycling rates'!$I$60:$I$62)*('BTX Recycling HC'!J225+'BTX Recycling HC'!J252+'BTX Recycling HC'!J163+'BTX Recycling HC'!J118)</f>
        <v>375451.20622597751</v>
      </c>
      <c r="L101" s="580">
        <f>L42-'Overall recycling rates'!$G$60/SUM('Overall recycling rates'!$G$60:$G$62)*('BTX Recycling HC'!K222+'BTX Recycling HC'!K249+'BTX Recycling HC'!K160+'BTX Recycling HC'!K115)-'Overall recycling rates'!$E$60/SUM('Overall recycling rates'!$E$60:$E$62)*('BTX Recycling HC'!K223+'BTX Recycling HC'!K250+'BTX Recycling HC'!K161+'BTX Recycling HC'!K116)-'Overall recycling rates'!$H$60/SUM('Overall recycling rates'!$H$60:$H$62)*('BTX Recycling HC'!K224+'BTX Recycling HC'!K251+'BTX Recycling HC'!K162+'BTX Recycling HC'!K117)-'Overall recycling rates'!$I$60/SUM('Overall recycling rates'!$I$60:$I$62)*('BTX Recycling HC'!K225+'BTX Recycling HC'!K252+'BTX Recycling HC'!K163+'BTX Recycling HC'!K118)</f>
        <v>357476.26350211026</v>
      </c>
      <c r="M101" s="580">
        <f>M42-'Overall recycling rates'!$G$60/SUM('Overall recycling rates'!$G$60:$G$62)*('BTX Recycling HC'!L222+'BTX Recycling HC'!L249+'BTX Recycling HC'!L160+'BTX Recycling HC'!L115)-'Overall recycling rates'!$E$60/SUM('Overall recycling rates'!$E$60:$E$62)*('BTX Recycling HC'!L223+'BTX Recycling HC'!L250+'BTX Recycling HC'!L161+'BTX Recycling HC'!L116)-'Overall recycling rates'!$H$60/SUM('Overall recycling rates'!$H$60:$H$62)*('BTX Recycling HC'!L224+'BTX Recycling HC'!L251+'BTX Recycling HC'!L162+'BTX Recycling HC'!L117)-'Overall recycling rates'!$I$60/SUM('Overall recycling rates'!$I$60:$I$62)*('BTX Recycling HC'!L225+'BTX Recycling HC'!L252+'BTX Recycling HC'!L163+'BTX Recycling HC'!L118)</f>
        <v>339885.82332420023</v>
      </c>
      <c r="N101" s="580">
        <f>N42-'Overall recycling rates'!$G$60/SUM('Overall recycling rates'!$G$60:$G$62)*('BTX Recycling HC'!M222+'BTX Recycling HC'!M249+'BTX Recycling HC'!M160+'BTX Recycling HC'!M115)-'Overall recycling rates'!$E$60/SUM('Overall recycling rates'!$E$60:$E$62)*('BTX Recycling HC'!M223+'BTX Recycling HC'!M250+'BTX Recycling HC'!M161+'BTX Recycling HC'!M116)-'Overall recycling rates'!$H$60/SUM('Overall recycling rates'!$H$60:$H$62)*('BTX Recycling HC'!M224+'BTX Recycling HC'!M251+'BTX Recycling HC'!M162+'BTX Recycling HC'!M117)-'Overall recycling rates'!$I$60/SUM('Overall recycling rates'!$I$60:$I$62)*('BTX Recycling HC'!M225+'BTX Recycling HC'!M252+'BTX Recycling HC'!M163+'BTX Recycling HC'!M118)</f>
        <v>322695.49195235665</v>
      </c>
      <c r="O101" s="580">
        <f>O42-'Overall recycling rates'!$G$60/SUM('Overall recycling rates'!$G$60:$G$62)*('BTX Recycling HC'!N222+'BTX Recycling HC'!N249+'BTX Recycling HC'!N160+'BTX Recycling HC'!N115)-'Overall recycling rates'!$E$60/SUM('Overall recycling rates'!$E$60:$E$62)*('BTX Recycling HC'!N223+'BTX Recycling HC'!N250+'BTX Recycling HC'!N161+'BTX Recycling HC'!N116)-'Overall recycling rates'!$H$60/SUM('Overall recycling rates'!$H$60:$H$62)*('BTX Recycling HC'!N224+'BTX Recycling HC'!N251+'BTX Recycling HC'!N162+'BTX Recycling HC'!N117)-'Overall recycling rates'!$I$60/SUM('Overall recycling rates'!$I$60:$I$62)*('BTX Recycling HC'!N225+'BTX Recycling HC'!N252+'BTX Recycling HC'!N163+'BTX Recycling HC'!N118)</f>
        <v>308902.31034587102</v>
      </c>
      <c r="P101" s="580">
        <f>P42-'Overall recycling rates'!$G$60/SUM('Overall recycling rates'!$G$60:$G$62)*('BTX Recycling HC'!O222+'BTX Recycling HC'!O249+'BTX Recycling HC'!O160+'BTX Recycling HC'!O115)-'Overall recycling rates'!$E$60/SUM('Overall recycling rates'!$E$60:$E$62)*('BTX Recycling HC'!O223+'BTX Recycling HC'!O250+'BTX Recycling HC'!O161+'BTX Recycling HC'!O116)-'Overall recycling rates'!$H$60/SUM('Overall recycling rates'!$H$60:$H$62)*('BTX Recycling HC'!O224+'BTX Recycling HC'!O251+'BTX Recycling HC'!O162+'BTX Recycling HC'!O117)-'Overall recycling rates'!$I$60/SUM('Overall recycling rates'!$I$60:$I$62)*('BTX Recycling HC'!O225+'BTX Recycling HC'!O252+'BTX Recycling HC'!O163+'BTX Recycling HC'!O118)</f>
        <v>295570.66097831336</v>
      </c>
      <c r="Q101" s="580">
        <f>Q42-'Overall recycling rates'!$G$60/SUM('Overall recycling rates'!$G$60:$G$62)*('BTX Recycling HC'!P222+'BTX Recycling HC'!P249+'BTX Recycling HC'!P160+'BTX Recycling HC'!P115)-'Overall recycling rates'!$E$60/SUM('Overall recycling rates'!$E$60:$E$62)*('BTX Recycling HC'!P223+'BTX Recycling HC'!P250+'BTX Recycling HC'!P161+'BTX Recycling HC'!P116)-'Overall recycling rates'!$H$60/SUM('Overall recycling rates'!$H$60:$H$62)*('BTX Recycling HC'!P224+'BTX Recycling HC'!P251+'BTX Recycling HC'!P162+'BTX Recycling HC'!P117)-'Overall recycling rates'!$I$60/SUM('Overall recycling rates'!$I$60:$I$62)*('BTX Recycling HC'!P225+'BTX Recycling HC'!P252+'BTX Recycling HC'!P163+'BTX Recycling HC'!P118)</f>
        <v>282686.80987352878</v>
      </c>
      <c r="R101" s="580">
        <f>R42-'Overall recycling rates'!$G$60/SUM('Overall recycling rates'!$G$60:$G$62)*('BTX Recycling HC'!Q222+'BTX Recycling HC'!Q249+'BTX Recycling HC'!Q160+'BTX Recycling HC'!Q115)-'Overall recycling rates'!$E$60/SUM('Overall recycling rates'!$E$60:$E$62)*('BTX Recycling HC'!Q223+'BTX Recycling HC'!Q250+'BTX Recycling HC'!Q161+'BTX Recycling HC'!Q116)-'Overall recycling rates'!$H$60/SUM('Overall recycling rates'!$H$60:$H$62)*('BTX Recycling HC'!Q224+'BTX Recycling HC'!Q251+'BTX Recycling HC'!Q162+'BTX Recycling HC'!Q117)-'Overall recycling rates'!$I$60/SUM('Overall recycling rates'!$I$60:$I$62)*('BTX Recycling HC'!Q225+'BTX Recycling HC'!Q252+'BTX Recycling HC'!Q163+'BTX Recycling HC'!Q118)</f>
        <v>270226.30034543353</v>
      </c>
      <c r="S101" s="580">
        <f>S42-'Overall recycling rates'!$G$60/SUM('Overall recycling rates'!$G$60:$G$62)*('BTX Recycling HC'!R222+'BTX Recycling HC'!R249+'BTX Recycling HC'!R160+'BTX Recycling HC'!R115)-'Overall recycling rates'!$E$60/SUM('Overall recycling rates'!$E$60:$E$62)*('BTX Recycling HC'!R223+'BTX Recycling HC'!R250+'BTX Recycling HC'!R161+'BTX Recycling HC'!R116)-'Overall recycling rates'!$H$60/SUM('Overall recycling rates'!$H$60:$H$62)*('BTX Recycling HC'!R224+'BTX Recycling HC'!R251+'BTX Recycling HC'!R162+'BTX Recycling HC'!R117)-'Overall recycling rates'!$I$60/SUM('Overall recycling rates'!$I$60:$I$62)*('BTX Recycling HC'!R225+'BTX Recycling HC'!R252+'BTX Recycling HC'!R163+'BTX Recycling HC'!R118)</f>
        <v>258169.3526302253</v>
      </c>
      <c r="T101" s="580">
        <f>T42-'Overall recycling rates'!$G$60/SUM('Overall recycling rates'!$G$60:$G$62)*('BTX Recycling HC'!S222+'BTX Recycling HC'!S249+'BTX Recycling HC'!S160+'BTX Recycling HC'!S115)-'Overall recycling rates'!$E$60/SUM('Overall recycling rates'!$E$60:$E$62)*('BTX Recycling HC'!S223+'BTX Recycling HC'!S250+'BTX Recycling HC'!S161+'BTX Recycling HC'!S116)-'Overall recycling rates'!$H$60/SUM('Overall recycling rates'!$H$60:$H$62)*('BTX Recycling HC'!S224+'BTX Recycling HC'!S251+'BTX Recycling HC'!S162+'BTX Recycling HC'!S117)-'Overall recycling rates'!$I$60/SUM('Overall recycling rates'!$I$60:$I$62)*('BTX Recycling HC'!S225+'BTX Recycling HC'!S252+'BTX Recycling HC'!S163+'BTX Recycling HC'!S118)</f>
        <v>246495.76664904598</v>
      </c>
      <c r="U101" s="580">
        <f>U42-'Overall recycling rates'!$G$60/SUM('Overall recycling rates'!$G$60:$G$62)*('BTX Recycling HC'!T222+'BTX Recycling HC'!T249+'BTX Recycling HC'!T160+'BTX Recycling HC'!T115)-'Overall recycling rates'!$E$60/SUM('Overall recycling rates'!$E$60:$E$62)*('BTX Recycling HC'!T223+'BTX Recycling HC'!T250+'BTX Recycling HC'!T161+'BTX Recycling HC'!T116)-'Overall recycling rates'!$H$60/SUM('Overall recycling rates'!$H$60:$H$62)*('BTX Recycling HC'!T224+'BTX Recycling HC'!T251+'BTX Recycling HC'!T162+'BTX Recycling HC'!T117)-'Overall recycling rates'!$I$60/SUM('Overall recycling rates'!$I$60:$I$62)*('BTX Recycling HC'!T225+'BTX Recycling HC'!T252+'BTX Recycling HC'!T163+'BTX Recycling HC'!T118)</f>
        <v>235184.92257941695</v>
      </c>
      <c r="V101" s="580">
        <f>V42-'Overall recycling rates'!$G$60/SUM('Overall recycling rates'!$G$60:$G$62)*('BTX Recycling HC'!U222+'BTX Recycling HC'!U249+'BTX Recycling HC'!U160+'BTX Recycling HC'!U115)-'Overall recycling rates'!$E$60/SUM('Overall recycling rates'!$E$60:$E$62)*('BTX Recycling HC'!U223+'BTX Recycling HC'!U250+'BTX Recycling HC'!U161+'BTX Recycling HC'!U116)-'Overall recycling rates'!$H$60/SUM('Overall recycling rates'!$H$60:$H$62)*('BTX Recycling HC'!U224+'BTX Recycling HC'!U251+'BTX Recycling HC'!U162+'BTX Recycling HC'!U117)-'Overall recycling rates'!$I$60/SUM('Overall recycling rates'!$I$60:$I$62)*('BTX Recycling HC'!U225+'BTX Recycling HC'!U252+'BTX Recycling HC'!U163+'BTX Recycling HC'!U118)</f>
        <v>224215.78031378429</v>
      </c>
      <c r="W101" s="580">
        <f>W42-'Overall recycling rates'!$G$60/SUM('Overall recycling rates'!$G$60:$G$62)*('BTX Recycling HC'!V222+'BTX Recycling HC'!V249+'BTX Recycling HC'!V160+'BTX Recycling HC'!V115)-'Overall recycling rates'!$E$60/SUM('Overall recycling rates'!$E$60:$E$62)*('BTX Recycling HC'!V223+'BTX Recycling HC'!V250+'BTX Recycling HC'!V161+'BTX Recycling HC'!V116)-'Overall recycling rates'!$H$60/SUM('Overall recycling rates'!$H$60:$H$62)*('BTX Recycling HC'!V224+'BTX Recycling HC'!V251+'BTX Recycling HC'!V162+'BTX Recycling HC'!V117)-'Overall recycling rates'!$I$60/SUM('Overall recycling rates'!$I$60:$I$62)*('BTX Recycling HC'!V225+'BTX Recycling HC'!V252+'BTX Recycling HC'!V163+'BTX Recycling HC'!V118)</f>
        <v>213566.8796578419</v>
      </c>
      <c r="X101" s="580">
        <f>X42-'Overall recycling rates'!$G$60/SUM('Overall recycling rates'!$G$60:$G$62)*('BTX Recycling HC'!W222+'BTX Recycling HC'!W249+'BTX Recycling HC'!W160+'BTX Recycling HC'!W115)-'Overall recycling rates'!$E$60/SUM('Overall recycling rates'!$E$60:$E$62)*('BTX Recycling HC'!W223+'BTX Recycling HC'!W250+'BTX Recycling HC'!W161+'BTX Recycling HC'!W116)-'Overall recycling rates'!$H$60/SUM('Overall recycling rates'!$H$60:$H$62)*('BTX Recycling HC'!W224+'BTX Recycling HC'!W251+'BTX Recycling HC'!W162+'BTX Recycling HC'!W117)-'Overall recycling rates'!$I$60/SUM('Overall recycling rates'!$I$60:$I$62)*('BTX Recycling HC'!W225+'BTX Recycling HC'!W252+'BTX Recycling HC'!W163+'BTX Recycling HC'!W118)</f>
        <v>203216.34040679451</v>
      </c>
      <c r="Y101" s="580">
        <f>Y42-'Overall recycling rates'!$G$60/SUM('Overall recycling rates'!$G$60:$G$62)*('BTX Recycling HC'!X222+'BTX Recycling HC'!X249+'BTX Recycling HC'!X160+'BTX Recycling HC'!X115)-'Overall recycling rates'!$E$60/SUM('Overall recycling rates'!$E$60:$E$62)*('BTX Recycling HC'!X223+'BTX Recycling HC'!X250+'BTX Recycling HC'!X161+'BTX Recycling HC'!X116)-'Overall recycling rates'!$H$60/SUM('Overall recycling rates'!$H$60:$H$62)*('BTX Recycling HC'!X224+'BTX Recycling HC'!X251+'BTX Recycling HC'!X162+'BTX Recycling HC'!X117)-'Overall recycling rates'!$I$60/SUM('Overall recycling rates'!$I$60:$I$62)*('BTX Recycling HC'!X225+'BTX Recycling HC'!X252+'BTX Recycling HC'!X163+'BTX Recycling HC'!X118)</f>
        <v>192100.39586990452</v>
      </c>
      <c r="Z101" s="580">
        <f>Z42-'Overall recycling rates'!$G$60/SUM('Overall recycling rates'!$G$60:$G$62)*('BTX Recycling HC'!Y222+'BTX Recycling HC'!Y249+'BTX Recycling HC'!Y160+'BTX Recycling HC'!Y115)-'Overall recycling rates'!$E$60/SUM('Overall recycling rates'!$E$60:$E$62)*('BTX Recycling HC'!Y223+'BTX Recycling HC'!Y250+'BTX Recycling HC'!Y161+'BTX Recycling HC'!Y116)-'Overall recycling rates'!$H$60/SUM('Overall recycling rates'!$H$60:$H$62)*('BTX Recycling HC'!Y224+'BTX Recycling HC'!Y251+'BTX Recycling HC'!Y162+'BTX Recycling HC'!Y117)-'Overall recycling rates'!$I$60/SUM('Overall recycling rates'!$I$60:$I$62)*('BTX Recycling HC'!Y225+'BTX Recycling HC'!Y252+'BTX Recycling HC'!Y163+'BTX Recycling HC'!Y118)</f>
        <v>181242.20804280229</v>
      </c>
      <c r="AA101" s="580">
        <f>AA42-'Overall recycling rates'!$G$60/SUM('Overall recycling rates'!$G$60:$G$62)*('BTX Recycling HC'!Z222+'BTX Recycling HC'!Z249+'BTX Recycling HC'!Z160+'BTX Recycling HC'!Z115)-'Overall recycling rates'!$E$60/SUM('Overall recycling rates'!$E$60:$E$62)*('BTX Recycling HC'!Z223+'BTX Recycling HC'!Z250+'BTX Recycling HC'!Z161+'BTX Recycling HC'!Z116)-'Overall recycling rates'!$H$60/SUM('Overall recycling rates'!$H$60:$H$62)*('BTX Recycling HC'!Z224+'BTX Recycling HC'!Z251+'BTX Recycling HC'!Z162+'BTX Recycling HC'!Z117)-'Overall recycling rates'!$I$60/SUM('Overall recycling rates'!$I$60:$I$62)*('BTX Recycling HC'!Z225+'BTX Recycling HC'!Z252+'BTX Recycling HC'!Z163+'BTX Recycling HC'!Z118)</f>
        <v>170634.60584777888</v>
      </c>
      <c r="AB101" s="580">
        <f>AB42-'Overall recycling rates'!$G$60/SUM('Overall recycling rates'!$G$60:$G$62)*('BTX Recycling HC'!AA222+'BTX Recycling HC'!AA249+'BTX Recycling HC'!AA160+'BTX Recycling HC'!AA115)-'Overall recycling rates'!$E$60/SUM('Overall recycling rates'!$E$60:$E$62)*('BTX Recycling HC'!AA223+'BTX Recycling HC'!AA250+'BTX Recycling HC'!AA161+'BTX Recycling HC'!AA116)-'Overall recycling rates'!$H$60/SUM('Overall recycling rates'!$H$60:$H$62)*('BTX Recycling HC'!AA224+'BTX Recycling HC'!AA251+'BTX Recycling HC'!AA162+'BTX Recycling HC'!AA117)-'Overall recycling rates'!$I$60/SUM('Overall recycling rates'!$I$60:$I$62)*('BTX Recycling HC'!AA225+'BTX Recycling HC'!AA252+'BTX Recycling HC'!AA163+'BTX Recycling HC'!AA118)</f>
        <v>160247.97764362238</v>
      </c>
      <c r="AC101" s="580">
        <f>AC42-'Overall recycling rates'!$G$60/SUM('Overall recycling rates'!$G$60:$G$62)*('BTX Recycling HC'!AB222+'BTX Recycling HC'!AB249+'BTX Recycling HC'!AB160+'BTX Recycling HC'!AB115)-'Overall recycling rates'!$E$60/SUM('Overall recycling rates'!$E$60:$E$62)*('BTX Recycling HC'!AB223+'BTX Recycling HC'!AB250+'BTX Recycling HC'!AB161+'BTX Recycling HC'!AB116)-'Overall recycling rates'!$H$60/SUM('Overall recycling rates'!$H$60:$H$62)*('BTX Recycling HC'!AB224+'BTX Recycling HC'!AB251+'BTX Recycling HC'!AB162+'BTX Recycling HC'!AB117)-'Overall recycling rates'!$I$60/SUM('Overall recycling rates'!$I$60:$I$62)*('BTX Recycling HC'!AB225+'BTX Recycling HC'!AB252+'BTX Recycling HC'!AB163+'BTX Recycling HC'!AB118)</f>
        <v>150063.53388435277</v>
      </c>
      <c r="AD101" s="580">
        <f>AD42-'Overall recycling rates'!$G$60/SUM('Overall recycling rates'!$G$60:$G$62)*('BTX Recycling HC'!AC222+'BTX Recycling HC'!AC249+'BTX Recycling HC'!AC160+'BTX Recycling HC'!AC115)-'Overall recycling rates'!$E$60/SUM('Overall recycling rates'!$E$60:$E$62)*('BTX Recycling HC'!AC223+'BTX Recycling HC'!AC250+'BTX Recycling HC'!AC161+'BTX Recycling HC'!AC116)-'Overall recycling rates'!$H$60/SUM('Overall recycling rates'!$H$60:$H$62)*('BTX Recycling HC'!AC224+'BTX Recycling HC'!AC251+'BTX Recycling HC'!AC162+'BTX Recycling HC'!AC117)-'Overall recycling rates'!$I$60/SUM('Overall recycling rates'!$I$60:$I$62)*('BTX Recycling HC'!AC225+'BTX Recycling HC'!AC252+'BTX Recycling HC'!AC163+'BTX Recycling HC'!AC118)</f>
        <v>140062.1767828122</v>
      </c>
      <c r="AE101" s="580">
        <f>AE42-'Overall recycling rates'!$G$60/SUM('Overall recycling rates'!$G$60:$G$62)*('BTX Recycling HC'!AD222+'BTX Recycling HC'!AD249+'BTX Recycling HC'!AD160+'BTX Recycling HC'!AD115)-'Overall recycling rates'!$E$60/SUM('Overall recycling rates'!$E$60:$E$62)*('BTX Recycling HC'!AD223+'BTX Recycling HC'!AD250+'BTX Recycling HC'!AD161+'BTX Recycling HC'!AD116)-'Overall recycling rates'!$H$60/SUM('Overall recycling rates'!$H$60:$H$62)*('BTX Recycling HC'!AD224+'BTX Recycling HC'!AD251+'BTX Recycling HC'!AD162+'BTX Recycling HC'!AD117)-'Overall recycling rates'!$I$60/SUM('Overall recycling rates'!$I$60:$I$62)*('BTX Recycling HC'!AD225+'BTX Recycling HC'!AD252+'BTX Recycling HC'!AD163+'BTX Recycling HC'!AD118)</f>
        <v>130224.4999082658</v>
      </c>
      <c r="AF101" s="580">
        <f>AF42-'Overall recycling rates'!$G$60/SUM('Overall recycling rates'!$G$60:$G$62)*('BTX Recycling HC'!AE222+'BTX Recycling HC'!AE249+'BTX Recycling HC'!AE160+'BTX Recycling HC'!AE115)-'Overall recycling rates'!$E$60/SUM('Overall recycling rates'!$E$60:$E$62)*('BTX Recycling HC'!AE223+'BTX Recycling HC'!AE250+'BTX Recycling HC'!AE161+'BTX Recycling HC'!AE116)-'Overall recycling rates'!$H$60/SUM('Overall recycling rates'!$H$60:$H$62)*('BTX Recycling HC'!AE224+'BTX Recycling HC'!AE251+'BTX Recycling HC'!AE162+'BTX Recycling HC'!AE117)-'Overall recycling rates'!$I$60/SUM('Overall recycling rates'!$I$60:$I$62)*('BTX Recycling HC'!AE225+'BTX Recycling HC'!AE252+'BTX Recycling HC'!AE163+'BTX Recycling HC'!AE118)</f>
        <v>120530.79065355113</v>
      </c>
      <c r="AG101" s="580">
        <f>AG42-'Overall recycling rates'!$G$60/SUM('Overall recycling rates'!$G$60:$G$62)*('BTX Recycling HC'!AF222+'BTX Recycling HC'!AF249+'BTX Recycling HC'!AF160+'BTX Recycling HC'!AF115)-'Overall recycling rates'!$E$60/SUM('Overall recycling rates'!$E$60:$E$62)*('BTX Recycling HC'!AF223+'BTX Recycling HC'!AF250+'BTX Recycling HC'!AF161+'BTX Recycling HC'!AF116)-'Overall recycling rates'!$H$60/SUM('Overall recycling rates'!$H$60:$H$62)*('BTX Recycling HC'!AF224+'BTX Recycling HC'!AF251+'BTX Recycling HC'!AF162+'BTX Recycling HC'!AF117)-'Overall recycling rates'!$I$60/SUM('Overall recycling rates'!$I$60:$I$62)*('BTX Recycling HC'!AF225+'BTX Recycling HC'!AF252+'BTX Recycling HC'!AF163+'BTX Recycling HC'!AF118)</f>
        <v>110961.03100268432</v>
      </c>
      <c r="AH101" s="580">
        <f>AH42-'Overall recycling rates'!$G$60/SUM('Overall recycling rates'!$G$60:$G$62)*('BTX Recycling HC'!AG222+'BTX Recycling HC'!AG249+'BTX Recycling HC'!AG160+'BTX Recycling HC'!AG115)-'Overall recycling rates'!$E$60/SUM('Overall recycling rates'!$E$60:$E$62)*('BTX Recycling HC'!AG223+'BTX Recycling HC'!AG250+'BTX Recycling HC'!AG161+'BTX Recycling HC'!AG116)-'Overall recycling rates'!$H$60/SUM('Overall recycling rates'!$H$60:$H$62)*('BTX Recycling HC'!AG224+'BTX Recycling HC'!AG251+'BTX Recycling HC'!AG162+'BTX Recycling HC'!AG117)-'Overall recycling rates'!$I$60/SUM('Overall recycling rates'!$I$60:$I$62)*('BTX Recycling HC'!AG225+'BTX Recycling HC'!AG252+'BTX Recycling HC'!AG163+'BTX Recycling HC'!AG118)</f>
        <v>101494.89876265991</v>
      </c>
      <c r="AI101" s="580"/>
      <c r="AJ101" s="580">
        <f>AJ42-'Overall recycling rates'!$G$60/SUM('Overall recycling rates'!$G$60:$G$62)*('BTX Recycling HC'!C222+'BTX Recycling HC'!C249+'BTX Recycling HC'!C160+'BTX Recycling HC'!C115)-'Overall recycling rates'!$E$60/SUM('Overall recycling rates'!$E$60:$E$62)*('BTX Recycling HC'!C223+'BTX Recycling HC'!C250+'BTX Recycling HC'!C161+'BTX Recycling HC'!C116)-'Overall recycling rates'!$H$60/SUM('Overall recycling rates'!$H$60:$H$62)*('BTX Recycling HC'!C224+'BTX Recycling HC'!C251+'BTX Recycling HC'!C162+'BTX Recycling HC'!C117)-'Overall recycling rates'!$I$60/SUM('Overall recycling rates'!$I$60:$I$62)*('BTX Recycling HC'!C225+'BTX Recycling HC'!C252+'BTX Recycling HC'!C163+'BTX Recycling HC'!C118)</f>
        <v>510418.95118389581</v>
      </c>
      <c r="AK101" s="580">
        <f>AK42-'Overall recycling rates'!$G$60/SUM('Overall recycling rates'!$G$60:$G$62)*('BTX Recycling HC'!D222+'BTX Recycling HC'!D249+'BTX Recycling HC'!D160+'BTX Recycling HC'!D115)-'Overall recycling rates'!$E$60/SUM('Overall recycling rates'!$E$60:$E$62)*('BTX Recycling HC'!D223+'BTX Recycling HC'!D250+'BTX Recycling HC'!D161+'BTX Recycling HC'!D116)-'Overall recycling rates'!$H$60/SUM('Overall recycling rates'!$H$60:$H$62)*('BTX Recycling HC'!D224+'BTX Recycling HC'!D251+'BTX Recycling HC'!D162+'BTX Recycling HC'!D117)-'Overall recycling rates'!$I$60/SUM('Overall recycling rates'!$I$60:$I$62)*('BTX Recycling HC'!D225+'BTX Recycling HC'!D252+'BTX Recycling HC'!D163+'BTX Recycling HC'!D118)</f>
        <v>497254.09748053394</v>
      </c>
      <c r="AL101" s="580">
        <f>AL42-'Overall recycling rates'!$G$60/SUM('Overall recycling rates'!$G$60:$G$62)*('BTX Recycling HC'!E222+'BTX Recycling HC'!E249+'BTX Recycling HC'!E160+'BTX Recycling HC'!E115)-'Overall recycling rates'!$E$60/SUM('Overall recycling rates'!$E$60:$E$62)*('BTX Recycling HC'!E223+'BTX Recycling HC'!E250+'BTX Recycling HC'!E161+'BTX Recycling HC'!E116)-'Overall recycling rates'!$H$60/SUM('Overall recycling rates'!$H$60:$H$62)*('BTX Recycling HC'!E224+'BTX Recycling HC'!E251+'BTX Recycling HC'!E162+'BTX Recycling HC'!E117)-'Overall recycling rates'!$I$60/SUM('Overall recycling rates'!$I$60:$I$62)*('BTX Recycling HC'!E225+'BTX Recycling HC'!E252+'BTX Recycling HC'!E163+'BTX Recycling HC'!E118)</f>
        <v>484384.20839322283</v>
      </c>
      <c r="AM101" s="580">
        <f>AM42-'Overall recycling rates'!$G$60/SUM('Overall recycling rates'!$G$60:$G$62)*('BTX Recycling HC'!F222+'BTX Recycling HC'!F249+'BTX Recycling HC'!F160+'BTX Recycling HC'!F115)-'Overall recycling rates'!$E$60/SUM('Overall recycling rates'!$E$60:$E$62)*('BTX Recycling HC'!F223+'BTX Recycling HC'!F250+'BTX Recycling HC'!F161+'BTX Recycling HC'!F116)-'Overall recycling rates'!$H$60/SUM('Overall recycling rates'!$H$60:$H$62)*('BTX Recycling HC'!F224+'BTX Recycling HC'!F251+'BTX Recycling HC'!F162+'BTX Recycling HC'!F117)-'Overall recycling rates'!$I$60/SUM('Overall recycling rates'!$I$60:$I$62)*('BTX Recycling HC'!F225+'BTX Recycling HC'!F252+'BTX Recycling HC'!F163+'BTX Recycling HC'!F118)</f>
        <v>471600.41390450369</v>
      </c>
      <c r="AN101" s="580">
        <f>AN42-'Overall recycling rates'!$G$60/SUM('Overall recycling rates'!$G$60:$G$62)*('BTX Recycling HC'!G222+'BTX Recycling HC'!G249+'BTX Recycling HC'!G160+'BTX Recycling HC'!G115)-'Overall recycling rates'!$E$60/SUM('Overall recycling rates'!$E$60:$E$62)*('BTX Recycling HC'!G223+'BTX Recycling HC'!G250+'BTX Recycling HC'!G161+'BTX Recycling HC'!G116)-'Overall recycling rates'!$H$60/SUM('Overall recycling rates'!$H$60:$H$62)*('BTX Recycling HC'!G224+'BTX Recycling HC'!G251+'BTX Recycling HC'!G162+'BTX Recycling HC'!G117)-'Overall recycling rates'!$I$60/SUM('Overall recycling rates'!$I$60:$I$62)*('BTX Recycling HC'!G225+'BTX Recycling HC'!G252+'BTX Recycling HC'!G163+'BTX Recycling HC'!G118)</f>
        <v>459006.69671114447</v>
      </c>
      <c r="AO101" s="580">
        <f>AO42-'Overall recycling rates'!$G$60/SUM('Overall recycling rates'!$G$60:$G$62)*('BTX Recycling HC'!H222+'BTX Recycling HC'!H249+'BTX Recycling HC'!H160+'BTX Recycling HC'!H115)-'Overall recycling rates'!$E$60/SUM('Overall recycling rates'!$E$60:$E$62)*('BTX Recycling HC'!H223+'BTX Recycling HC'!H250+'BTX Recycling HC'!H161+'BTX Recycling HC'!H116)-'Overall recycling rates'!$H$60/SUM('Overall recycling rates'!$H$60:$H$62)*('BTX Recycling HC'!H224+'BTX Recycling HC'!H251+'BTX Recycling HC'!H162+'BTX Recycling HC'!H117)-'Overall recycling rates'!$I$60/SUM('Overall recycling rates'!$I$60:$I$62)*('BTX Recycling HC'!H225+'BTX Recycling HC'!H252+'BTX Recycling HC'!H163+'BTX Recycling HC'!H118)</f>
        <v>446627.01561481698</v>
      </c>
      <c r="AP101" s="580">
        <f>AP42-'Overall recycling rates'!$G$60/SUM('Overall recycling rates'!$G$60:$G$62)*('BTX Recycling HC'!I222+'BTX Recycling HC'!I249+'BTX Recycling HC'!I160+'BTX Recycling HC'!I115)-'Overall recycling rates'!$E$60/SUM('Overall recycling rates'!$E$60:$E$62)*('BTX Recycling HC'!I223+'BTX Recycling HC'!I250+'BTX Recycling HC'!I161+'BTX Recycling HC'!I116)-'Overall recycling rates'!$H$60/SUM('Overall recycling rates'!$H$60:$H$62)*('BTX Recycling HC'!I224+'BTX Recycling HC'!I251+'BTX Recycling HC'!I162+'BTX Recycling HC'!I117)-'Overall recycling rates'!$I$60/SUM('Overall recycling rates'!$I$60:$I$62)*('BTX Recycling HC'!I225+'BTX Recycling HC'!I252+'BTX Recycling HC'!I163+'BTX Recycling HC'!I118)</f>
        <v>434483.86665024393</v>
      </c>
      <c r="AQ101" s="580">
        <f>AQ42-'Overall recycling rates'!$G$60/SUM('Overall recycling rates'!$G$60:$G$62)*('BTX Recycling HC'!J222+'BTX Recycling HC'!J249+'BTX Recycling HC'!J160+'BTX Recycling HC'!J115)-'Overall recycling rates'!$E$60/SUM('Overall recycling rates'!$E$60:$E$62)*('BTX Recycling HC'!J223+'BTX Recycling HC'!J250+'BTX Recycling HC'!J161+'BTX Recycling HC'!J116)-'Overall recycling rates'!$H$60/SUM('Overall recycling rates'!$H$60:$H$62)*('BTX Recycling HC'!J224+'BTX Recycling HC'!J251+'BTX Recycling HC'!J162+'BTX Recycling HC'!J117)-'Overall recycling rates'!$I$60/SUM('Overall recycling rates'!$I$60:$I$62)*('BTX Recycling HC'!J225+'BTX Recycling HC'!J252+'BTX Recycling HC'!J163+'BTX Recycling HC'!J118)</f>
        <v>422598.27140698518</v>
      </c>
      <c r="AR101" s="580">
        <f>AR42-'Overall recycling rates'!$G$60/SUM('Overall recycling rates'!$G$60:$G$62)*('BTX Recycling HC'!K222+'BTX Recycling HC'!K249+'BTX Recycling HC'!K160+'BTX Recycling HC'!K115)-'Overall recycling rates'!$E$60/SUM('Overall recycling rates'!$E$60:$E$62)*('BTX Recycling HC'!K223+'BTX Recycling HC'!K250+'BTX Recycling HC'!K161+'BTX Recycling HC'!K116)-'Overall recycling rates'!$H$60/SUM('Overall recycling rates'!$H$60:$H$62)*('BTX Recycling HC'!K224+'BTX Recycling HC'!K251+'BTX Recycling HC'!K162+'BTX Recycling HC'!K117)-'Overall recycling rates'!$I$60/SUM('Overall recycling rates'!$I$60:$I$62)*('BTX Recycling HC'!K225+'BTX Recycling HC'!K252+'BTX Recycling HC'!K163+'BTX Recycling HC'!K118)</f>
        <v>410989.76578795933</v>
      </c>
      <c r="AS101" s="580">
        <f>AS42-'Overall recycling rates'!$G$60/SUM('Overall recycling rates'!$G$60:$G$62)*('BTX Recycling HC'!L222+'BTX Recycling HC'!L249+'BTX Recycling HC'!L160+'BTX Recycling HC'!L115)-'Overall recycling rates'!$E$60/SUM('Overall recycling rates'!$E$60:$E$62)*('BTX Recycling HC'!L223+'BTX Recycling HC'!L250+'BTX Recycling HC'!L161+'BTX Recycling HC'!L116)-'Overall recycling rates'!$H$60/SUM('Overall recycling rates'!$H$60:$H$62)*('BTX Recycling HC'!L224+'BTX Recycling HC'!L251+'BTX Recycling HC'!L162+'BTX Recycling HC'!L117)-'Overall recycling rates'!$I$60/SUM('Overall recycling rates'!$I$60:$I$62)*('BTX Recycling HC'!L225+'BTX Recycling HC'!L252+'BTX Recycling HC'!L163+'BTX Recycling HC'!L118)</f>
        <v>399676.3889265816</v>
      </c>
      <c r="AT101" s="580">
        <f>AT42-'Overall recycling rates'!$G$60/SUM('Overall recycling rates'!$G$60:$G$62)*('BTX Recycling HC'!M222+'BTX Recycling HC'!M249+'BTX Recycling HC'!M160+'BTX Recycling HC'!M115)-'Overall recycling rates'!$E$60/SUM('Overall recycling rates'!$E$60:$E$62)*('BTX Recycling HC'!M223+'BTX Recycling HC'!M250+'BTX Recycling HC'!M161+'BTX Recycling HC'!M116)-'Overall recycling rates'!$H$60/SUM('Overall recycling rates'!$H$60:$H$62)*('BTX Recycling HC'!M224+'BTX Recycling HC'!M251+'BTX Recycling HC'!M162+'BTX Recycling HC'!M117)-'Overall recycling rates'!$I$60/SUM('Overall recycling rates'!$I$60:$I$62)*('BTX Recycling HC'!M225+'BTX Recycling HC'!M252+'BTX Recycling HC'!M163+'BTX Recycling HC'!M118)</f>
        <v>388674.67237329343</v>
      </c>
      <c r="AU101" s="580">
        <f>AU42-'Overall recycling rates'!$G$60/SUM('Overall recycling rates'!$G$60:$G$62)*('BTX Recycling HC'!N222+'BTX Recycling HC'!N249+'BTX Recycling HC'!N160+'BTX Recycling HC'!N115)-'Overall recycling rates'!$E$60/SUM('Overall recycling rates'!$E$60:$E$62)*('BTX Recycling HC'!N223+'BTX Recycling HC'!N250+'BTX Recycling HC'!N161+'BTX Recycling HC'!N116)-'Overall recycling rates'!$H$60/SUM('Overall recycling rates'!$H$60:$H$62)*('BTX Recycling HC'!N224+'BTX Recycling HC'!N251+'BTX Recycling HC'!N162+'BTX Recycling HC'!N117)-'Overall recycling rates'!$I$60/SUM('Overall recycling rates'!$I$60:$I$62)*('BTX Recycling HC'!N225+'BTX Recycling HC'!N252+'BTX Recycling HC'!N163+'BTX Recycling HC'!N118)</f>
        <v>380982.57389762928</v>
      </c>
      <c r="AV101" s="580">
        <f>AV42-'Overall recycling rates'!$G$60/SUM('Overall recycling rates'!$G$60:$G$62)*('BTX Recycling HC'!O222+'BTX Recycling HC'!O249+'BTX Recycling HC'!O160+'BTX Recycling HC'!O115)-'Overall recycling rates'!$E$60/SUM('Overall recycling rates'!$E$60:$E$62)*('BTX Recycling HC'!O223+'BTX Recycling HC'!O250+'BTX Recycling HC'!O161+'BTX Recycling HC'!O116)-'Overall recycling rates'!$H$60/SUM('Overall recycling rates'!$H$60:$H$62)*('BTX Recycling HC'!O224+'BTX Recycling HC'!O251+'BTX Recycling HC'!O162+'BTX Recycling HC'!O117)-'Overall recycling rates'!$I$60/SUM('Overall recycling rates'!$I$60:$I$62)*('BTX Recycling HC'!O225+'BTX Recycling HC'!O252+'BTX Recycling HC'!O163+'BTX Recycling HC'!O118)</f>
        <v>373665.3843760548</v>
      </c>
      <c r="AW101" s="580">
        <f>AW42-'Overall recycling rates'!$G$60/SUM('Overall recycling rates'!$G$60:$G$62)*('BTX Recycling HC'!P222+'BTX Recycling HC'!P249+'BTX Recycling HC'!P160+'BTX Recycling HC'!P115)-'Overall recycling rates'!$E$60/SUM('Overall recycling rates'!$E$60:$E$62)*('BTX Recycling HC'!P223+'BTX Recycling HC'!P250+'BTX Recycling HC'!P161+'BTX Recycling HC'!P116)-'Overall recycling rates'!$H$60/SUM('Overall recycling rates'!$H$60:$H$62)*('BTX Recycling HC'!P224+'BTX Recycling HC'!P251+'BTX Recycling HC'!P162+'BTX Recycling HC'!P117)-'Overall recycling rates'!$I$60/SUM('Overall recycling rates'!$I$60:$I$62)*('BTX Recycling HC'!P225+'BTX Recycling HC'!P252+'BTX Recycling HC'!P163+'BTX Recycling HC'!P118)</f>
        <v>366710.26990010659</v>
      </c>
      <c r="AX101" s="580">
        <f>AX42-'Overall recycling rates'!$G$60/SUM('Overall recycling rates'!$G$60:$G$62)*('BTX Recycling HC'!Q222+'BTX Recycling HC'!Q249+'BTX Recycling HC'!Q160+'BTX Recycling HC'!Q115)-'Overall recycling rates'!$E$60/SUM('Overall recycling rates'!$E$60:$E$62)*('BTX Recycling HC'!Q223+'BTX Recycling HC'!Q250+'BTX Recycling HC'!Q161+'BTX Recycling HC'!Q116)-'Overall recycling rates'!$H$60/SUM('Overall recycling rates'!$H$60:$H$62)*('BTX Recycling HC'!Q224+'BTX Recycling HC'!Q251+'BTX Recycling HC'!Q162+'BTX Recycling HC'!Q117)-'Overall recycling rates'!$I$60/SUM('Overall recycling rates'!$I$60:$I$62)*('BTX Recycling HC'!Q225+'BTX Recycling HC'!Q252+'BTX Recycling HC'!Q163+'BTX Recycling HC'!Q118)</f>
        <v>360093.66558773664</v>
      </c>
      <c r="AY101" s="580">
        <f>AY42-'Overall recycling rates'!$G$60/SUM('Overall recycling rates'!$G$60:$G$62)*('BTX Recycling HC'!R222+'BTX Recycling HC'!R249+'BTX Recycling HC'!R160+'BTX Recycling HC'!R115)-'Overall recycling rates'!$E$60/SUM('Overall recycling rates'!$E$60:$E$62)*('BTX Recycling HC'!R223+'BTX Recycling HC'!R250+'BTX Recycling HC'!R161+'BTX Recycling HC'!R116)-'Overall recycling rates'!$H$60/SUM('Overall recycling rates'!$H$60:$H$62)*('BTX Recycling HC'!R224+'BTX Recycling HC'!R251+'BTX Recycling HC'!R162+'BTX Recycling HC'!R117)-'Overall recycling rates'!$I$60/SUM('Overall recycling rates'!$I$60:$I$62)*('BTX Recycling HC'!R225+'BTX Recycling HC'!R252+'BTX Recycling HC'!R163+'BTX Recycling HC'!R118)</f>
        <v>353796.67528648413</v>
      </c>
      <c r="AZ101" s="580">
        <f>AZ42-'Overall recycling rates'!$G$60/SUM('Overall recycling rates'!$G$60:$G$62)*('BTX Recycling HC'!S222+'BTX Recycling HC'!S249+'BTX Recycling HC'!S160+'BTX Recycling HC'!S115)-'Overall recycling rates'!$E$60/SUM('Overall recycling rates'!$E$60:$E$62)*('BTX Recycling HC'!S223+'BTX Recycling HC'!S250+'BTX Recycling HC'!S161+'BTX Recycling HC'!S116)-'Overall recycling rates'!$H$60/SUM('Overall recycling rates'!$H$60:$H$62)*('BTX Recycling HC'!S224+'BTX Recycling HC'!S251+'BTX Recycling HC'!S162+'BTX Recycling HC'!S117)-'Overall recycling rates'!$I$60/SUM('Overall recycling rates'!$I$60:$I$62)*('BTX Recycling HC'!S225+'BTX Recycling HC'!S252+'BTX Recycling HC'!S163+'BTX Recycling HC'!S118)</f>
        <v>347799.97440651286</v>
      </c>
      <c r="BA101" s="580">
        <f>BA42-'Overall recycling rates'!$G$60/SUM('Overall recycling rates'!$G$60:$G$62)*('BTX Recycling HC'!T222+'BTX Recycling HC'!T249+'BTX Recycling HC'!T160+'BTX Recycling HC'!T115)-'Overall recycling rates'!$E$60/SUM('Overall recycling rates'!$E$60:$E$62)*('BTX Recycling HC'!T223+'BTX Recycling HC'!T250+'BTX Recycling HC'!T161+'BTX Recycling HC'!T116)-'Overall recycling rates'!$H$60/SUM('Overall recycling rates'!$H$60:$H$62)*('BTX Recycling HC'!T224+'BTX Recycling HC'!T251+'BTX Recycling HC'!T162+'BTX Recycling HC'!T117)-'Overall recycling rates'!$I$60/SUM('Overall recycling rates'!$I$60:$I$62)*('BTX Recycling HC'!T225+'BTX Recycling HC'!T252+'BTX Recycling HC'!T163+'BTX Recycling HC'!T118)</f>
        <v>342083.81056184368</v>
      </c>
      <c r="BB101" s="580">
        <f>BB42-'Overall recycling rates'!$G$60/SUM('Overall recycling rates'!$G$60:$G$62)*('BTX Recycling HC'!U222+'BTX Recycling HC'!U249+'BTX Recycling HC'!U160+'BTX Recycling HC'!U115)-'Overall recycling rates'!$E$60/SUM('Overall recycling rates'!$E$60:$E$62)*('BTX Recycling HC'!U223+'BTX Recycling HC'!U250+'BTX Recycling HC'!U161+'BTX Recycling HC'!U116)-'Overall recycling rates'!$H$60/SUM('Overall recycling rates'!$H$60:$H$62)*('BTX Recycling HC'!U224+'BTX Recycling HC'!U251+'BTX Recycling HC'!U162+'BTX Recycling HC'!U117)-'Overall recycling rates'!$I$60/SUM('Overall recycling rates'!$I$60:$I$62)*('BTX Recycling HC'!U225+'BTX Recycling HC'!U252+'BTX Recycling HC'!U163+'BTX Recycling HC'!U118)</f>
        <v>336628.00309812097</v>
      </c>
      <c r="BC101" s="580">
        <f>BC42-'Overall recycling rates'!$G$60/SUM('Overall recycling rates'!$G$60:$G$62)*('BTX Recycling HC'!V222+'BTX Recycling HC'!V249+'BTX Recycling HC'!V160+'BTX Recycling HC'!V115)-'Overall recycling rates'!$E$60/SUM('Overall recycling rates'!$E$60:$E$62)*('BTX Recycling HC'!V223+'BTX Recycling HC'!V250+'BTX Recycling HC'!V161+'BTX Recycling HC'!V116)-'Overall recycling rates'!$H$60/SUM('Overall recycling rates'!$H$60:$H$62)*('BTX Recycling HC'!V224+'BTX Recycling HC'!V251+'BTX Recycling HC'!V162+'BTX Recycling HC'!V117)-'Overall recycling rates'!$I$60/SUM('Overall recycling rates'!$I$60:$I$62)*('BTX Recycling HC'!V225+'BTX Recycling HC'!V252+'BTX Recycling HC'!V163+'BTX Recycling HC'!V118)</f>
        <v>331411.94335958647</v>
      </c>
      <c r="BD101" s="580">
        <f>BD42-'Overall recycling rates'!$G$60/SUM('Overall recycling rates'!$G$60:$G$62)*('BTX Recycling HC'!W222+'BTX Recycling HC'!W249+'BTX Recycling HC'!W160+'BTX Recycling HC'!W115)-'Overall recycling rates'!$E$60/SUM('Overall recycling rates'!$E$60:$E$62)*('BTX Recycling HC'!W223+'BTX Recycling HC'!W250+'BTX Recycling HC'!W161+'BTX Recycling HC'!W116)-'Overall recycling rates'!$H$60/SUM('Overall recycling rates'!$H$60:$H$62)*('BTX Recycling HC'!W224+'BTX Recycling HC'!W251+'BTX Recycling HC'!W162+'BTX Recycling HC'!W117)-'Overall recycling rates'!$I$60/SUM('Overall recycling rates'!$I$60:$I$62)*('BTX Recycling HC'!W225+'BTX Recycling HC'!W252+'BTX Recycling HC'!W163+'BTX Recycling HC'!W118)</f>
        <v>326414.59483342792</v>
      </c>
      <c r="BE101" s="580">
        <f>BE42-'Overall recycling rates'!$G$60/SUM('Overall recycling rates'!$G$60:$G$62)*('BTX Recycling HC'!X222+'BTX Recycling HC'!X249+'BTX Recycling HC'!X160+'BTX Recycling HC'!X115)-'Overall recycling rates'!$E$60/SUM('Overall recycling rates'!$E$60:$E$62)*('BTX Recycling HC'!X223+'BTX Recycling HC'!X250+'BTX Recycling HC'!X161+'BTX Recycling HC'!X116)-'Overall recycling rates'!$H$60/SUM('Overall recycling rates'!$H$60:$H$62)*('BTX Recycling HC'!X224+'BTX Recycling HC'!X251+'BTX Recycling HC'!X162+'BTX Recycling HC'!X117)-'Overall recycling rates'!$I$60/SUM('Overall recycling rates'!$I$60:$I$62)*('BTX Recycling HC'!X225+'BTX Recycling HC'!X252+'BTX Recycling HC'!X163+'BTX Recycling HC'!X118)</f>
        <v>320758.41293358395</v>
      </c>
      <c r="BF101" s="580">
        <f>BF42-'Overall recycling rates'!$G$60/SUM('Overall recycling rates'!$G$60:$G$62)*('BTX Recycling HC'!Y222+'BTX Recycling HC'!Y249+'BTX Recycling HC'!Y160+'BTX Recycling HC'!Y115)-'Overall recycling rates'!$E$60/SUM('Overall recycling rates'!$E$60:$E$62)*('BTX Recycling HC'!Y223+'BTX Recycling HC'!Y250+'BTX Recycling HC'!Y161+'BTX Recycling HC'!Y116)-'Overall recycling rates'!$H$60/SUM('Overall recycling rates'!$H$60:$H$62)*('BTX Recycling HC'!Y224+'BTX Recycling HC'!Y251+'BTX Recycling HC'!Y162+'BTX Recycling HC'!Y117)-'Overall recycling rates'!$I$60/SUM('Overall recycling rates'!$I$60:$I$62)*('BTX Recycling HC'!Y225+'BTX Recycling HC'!Y252+'BTX Recycling HC'!Y163+'BTX Recycling HC'!Y118)</f>
        <v>315279.4634996375</v>
      </c>
      <c r="BG101" s="580">
        <f>BG42-'Overall recycling rates'!$G$60/SUM('Overall recycling rates'!$G$60:$G$62)*('BTX Recycling HC'!Z222+'BTX Recycling HC'!Z249+'BTX Recycling HC'!Z160+'BTX Recycling HC'!Z115)-'Overall recycling rates'!$E$60/SUM('Overall recycling rates'!$E$60:$E$62)*('BTX Recycling HC'!Z223+'BTX Recycling HC'!Z250+'BTX Recycling HC'!Z161+'BTX Recycling HC'!Z116)-'Overall recycling rates'!$H$60/SUM('Overall recycling rates'!$H$60:$H$62)*('BTX Recycling HC'!Z224+'BTX Recycling HC'!Z251+'BTX Recycling HC'!Z162+'BTX Recycling HC'!Z117)-'Overall recycling rates'!$I$60/SUM('Overall recycling rates'!$I$60:$I$62)*('BTX Recycling HC'!Z225+'BTX Recycling HC'!Z252+'BTX Recycling HC'!Z163+'BTX Recycling HC'!Z118)</f>
        <v>309971.42207204318</v>
      </c>
      <c r="BH101" s="580">
        <f>BH42-'Overall recycling rates'!$G$60/SUM('Overall recycling rates'!$G$60:$G$62)*('BTX Recycling HC'!AA222+'BTX Recycling HC'!AA249+'BTX Recycling HC'!AA160+'BTX Recycling HC'!AA115)-'Overall recycling rates'!$E$60/SUM('Overall recycling rates'!$E$60:$E$62)*('BTX Recycling HC'!AA223+'BTX Recycling HC'!AA250+'BTX Recycling HC'!AA161+'BTX Recycling HC'!AA116)-'Overall recycling rates'!$H$60/SUM('Overall recycling rates'!$H$60:$H$62)*('BTX Recycling HC'!AA224+'BTX Recycling HC'!AA251+'BTX Recycling HC'!AA162+'BTX Recycling HC'!AA117)-'Overall recycling rates'!$I$60/SUM('Overall recycling rates'!$I$60:$I$62)*('BTX Recycling HC'!AA225+'BTX Recycling HC'!AA252+'BTX Recycling HC'!AA163+'BTX Recycling HC'!AA118)</f>
        <v>304805.51581007073</v>
      </c>
      <c r="BI101" s="580">
        <f>BI42-'Overall recycling rates'!$G$60/SUM('Overall recycling rates'!$G$60:$G$62)*('BTX Recycling HC'!AB222+'BTX Recycling HC'!AB249+'BTX Recycling HC'!AB160+'BTX Recycling HC'!AB115)-'Overall recycling rates'!$E$60/SUM('Overall recycling rates'!$E$60:$E$62)*('BTX Recycling HC'!AB223+'BTX Recycling HC'!AB250+'BTX Recycling HC'!AB161+'BTX Recycling HC'!AB116)-'Overall recycling rates'!$H$60/SUM('Overall recycling rates'!$H$60:$H$62)*('BTX Recycling HC'!AB224+'BTX Recycling HC'!AB251+'BTX Recycling HC'!AB162+'BTX Recycling HC'!AB117)-'Overall recycling rates'!$I$60/SUM('Overall recycling rates'!$I$60:$I$62)*('BTX Recycling HC'!AB225+'BTX Recycling HC'!AB252+'BTX Recycling HC'!AB163+'BTX Recycling HC'!AB118)</f>
        <v>299763.78621790023</v>
      </c>
      <c r="BJ101" s="580">
        <f>BJ42-'Overall recycling rates'!$G$60/SUM('Overall recycling rates'!$G$60:$G$62)*('BTX Recycling HC'!AC222+'BTX Recycling HC'!AC249+'BTX Recycling HC'!AC160+'BTX Recycling HC'!AC115)-'Overall recycling rates'!$E$60/SUM('Overall recycling rates'!$E$60:$E$62)*('BTX Recycling HC'!AC223+'BTX Recycling HC'!AC250+'BTX Recycling HC'!AC161+'BTX Recycling HC'!AC116)-'Overall recycling rates'!$H$60/SUM('Overall recycling rates'!$H$60:$H$62)*('BTX Recycling HC'!AC224+'BTX Recycling HC'!AC251+'BTX Recycling HC'!AC162+'BTX Recycling HC'!AC117)-'Overall recycling rates'!$I$60/SUM('Overall recycling rates'!$I$60:$I$62)*('BTX Recycling HC'!AC225+'BTX Recycling HC'!AC252+'BTX Recycling HC'!AC163+'BTX Recycling HC'!AC118)</f>
        <v>294827.95887501398</v>
      </c>
      <c r="BK101" s="580">
        <f>BK42-'Overall recycling rates'!$G$60/SUM('Overall recycling rates'!$G$60:$G$62)*('BTX Recycling HC'!AD222+'BTX Recycling HC'!AD249+'BTX Recycling HC'!AD160+'BTX Recycling HC'!AD115)-'Overall recycling rates'!$E$60/SUM('Overall recycling rates'!$E$60:$E$62)*('BTX Recycling HC'!AD223+'BTX Recycling HC'!AD250+'BTX Recycling HC'!AD161+'BTX Recycling HC'!AD116)-'Overall recycling rates'!$H$60/SUM('Overall recycling rates'!$H$60:$H$62)*('BTX Recycling HC'!AD224+'BTX Recycling HC'!AD251+'BTX Recycling HC'!AD162+'BTX Recycling HC'!AD117)-'Overall recycling rates'!$I$60/SUM('Overall recycling rates'!$I$60:$I$62)*('BTX Recycling HC'!AD225+'BTX Recycling HC'!AD252+'BTX Recycling HC'!AD163+'BTX Recycling HC'!AD118)</f>
        <v>289979.44310005056</v>
      </c>
      <c r="BL101" s="580">
        <f>BL42-'Overall recycling rates'!$G$60/SUM('Overall recycling rates'!$G$60:$G$62)*('BTX Recycling HC'!AE222+'BTX Recycling HC'!AE249+'BTX Recycling HC'!AE160+'BTX Recycling HC'!AE115)-'Overall recycling rates'!$E$60/SUM('Overall recycling rates'!$E$60:$E$62)*('BTX Recycling HC'!AE223+'BTX Recycling HC'!AE250+'BTX Recycling HC'!AE161+'BTX Recycling HC'!AE116)-'Overall recycling rates'!$H$60/SUM('Overall recycling rates'!$H$60:$H$62)*('BTX Recycling HC'!AE224+'BTX Recycling HC'!AE251+'BTX Recycling HC'!AE162+'BTX Recycling HC'!AE117)-'Overall recycling rates'!$I$60/SUM('Overall recycling rates'!$I$60:$I$62)*('BTX Recycling HC'!AE225+'BTX Recycling HC'!AE252+'BTX Recycling HC'!AE163+'BTX Recycling HC'!AE118)</f>
        <v>285199.33448365796</v>
      </c>
      <c r="BM101" s="580">
        <f>BM42-'Overall recycling rates'!$G$60/SUM('Overall recycling rates'!$G$60:$G$62)*('BTX Recycling HC'!AF222+'BTX Recycling HC'!AF249+'BTX Recycling HC'!AF160+'BTX Recycling HC'!AF115)-'Overall recycling rates'!$E$60/SUM('Overall recycling rates'!$E$60:$E$62)*('BTX Recycling HC'!AF223+'BTX Recycling HC'!AF250+'BTX Recycling HC'!AF161+'BTX Recycling HC'!AF116)-'Overall recycling rates'!$H$60/SUM('Overall recycling rates'!$H$60:$H$62)*('BTX Recycling HC'!AF224+'BTX Recycling HC'!AF251+'BTX Recycling HC'!AF162+'BTX Recycling HC'!AF117)-'Overall recycling rates'!$I$60/SUM('Overall recycling rates'!$I$60:$I$62)*('BTX Recycling HC'!AF225+'BTX Recycling HC'!AF252+'BTX Recycling HC'!AF163+'BTX Recycling HC'!AF118)</f>
        <v>280468.41572126321</v>
      </c>
      <c r="BN101" s="580">
        <f>BN42-'Overall recycling rates'!$G$60/SUM('Overall recycling rates'!$G$60:$G$62)*('BTX Recycling HC'!AG222+'BTX Recycling HC'!AG249+'BTX Recycling HC'!AG160+'BTX Recycling HC'!AG115)-'Overall recycling rates'!$E$60/SUM('Overall recycling rates'!$E$60:$E$62)*('BTX Recycling HC'!AG223+'BTX Recycling HC'!AG250+'BTX Recycling HC'!AG161+'BTX Recycling HC'!AG116)-'Overall recycling rates'!$H$60/SUM('Overall recycling rates'!$H$60:$H$62)*('BTX Recycling HC'!AG224+'BTX Recycling HC'!AG251+'BTX Recycling HC'!AG162+'BTX Recycling HC'!AG117)-'Overall recycling rates'!$I$60/SUM('Overall recycling rates'!$I$60:$I$62)*('BTX Recycling HC'!AG225+'BTX Recycling HC'!AG252+'BTX Recycling HC'!AG163+'BTX Recycling HC'!AG118)</f>
        <v>275767.15790949471</v>
      </c>
      <c r="BQ101" s="649"/>
      <c r="BR101" s="649"/>
      <c r="BS101" s="649"/>
      <c r="BT101" s="649"/>
      <c r="BU101" s="649"/>
      <c r="BV101" s="649"/>
      <c r="BW101" s="649"/>
      <c r="BX101" s="649"/>
      <c r="BY101" s="649"/>
      <c r="BZ101" s="649"/>
      <c r="CA101" s="649"/>
      <c r="CB101" s="649"/>
      <c r="CC101" s="649"/>
      <c r="CD101" s="649"/>
      <c r="CE101" s="649"/>
      <c r="CF101" s="649"/>
      <c r="CG101" s="649"/>
      <c r="CH101" s="649"/>
      <c r="CI101" s="649"/>
      <c r="CJ101" s="649"/>
      <c r="CK101" s="649"/>
      <c r="CL101" s="649"/>
    </row>
    <row r="102" spans="1:90" outlineLevel="1">
      <c r="A102" s="603"/>
      <c r="B102" s="1" t="s">
        <v>717</v>
      </c>
      <c r="C102" s="50" t="s">
        <v>1420</v>
      </c>
      <c r="D102" s="576">
        <f>D43-'Overall recycling rates'!$G$61/SUM('Overall recycling rates'!$G$60:$G$62)*('BTX Recycling HC'!C222+'BTX Recycling HC'!C249+'BTX Recycling HC'!C160+'BTX Recycling HC'!C115)-'Overall recycling rates'!$E$61/SUM('Overall recycling rates'!$E$60:$E$62)*('BTX Recycling HC'!C223+'BTX Recycling HC'!C250+'BTX Recycling HC'!C161+'BTX Recycling HC'!C116)-'Overall recycling rates'!$H$61/SUM('Overall recycling rates'!$H$60:$H$62)*('BTX Recycling HC'!C224+'BTX Recycling HC'!C251+'BTX Recycling HC'!C162+'BTX Recycling HC'!C117)-'Overall recycling rates'!$I$61/SUM('Overall recycling rates'!$I$60:$I$62)*('BTX Recycling HC'!C225+'BTX Recycling HC'!C252+'BTX Recycling HC'!C163+'BTX Recycling HC'!C118)</f>
        <v>124794.36789497873</v>
      </c>
      <c r="E102" s="576">
        <f>E43-'Overall recycling rates'!$G$61/SUM('Overall recycling rates'!$G$60:$G$62)*('BTX Recycling HC'!D222+'BTX Recycling HC'!D249+'BTX Recycling HC'!D160+'BTX Recycling HC'!D115)-'Overall recycling rates'!$E$61/SUM('Overall recycling rates'!$E$60:$E$62)*('BTX Recycling HC'!D223+'BTX Recycling HC'!D250+'BTX Recycling HC'!D161+'BTX Recycling HC'!D116)-'Overall recycling rates'!$H$61/SUM('Overall recycling rates'!$H$60:$H$62)*('BTX Recycling HC'!D224+'BTX Recycling HC'!D251+'BTX Recycling HC'!D162+'BTX Recycling HC'!D117)-'Overall recycling rates'!$I$61/SUM('Overall recycling rates'!$I$60:$I$62)*('BTX Recycling HC'!D225+'BTX Recycling HC'!D252+'BTX Recycling HC'!D163+'BTX Recycling HC'!D118)</f>
        <v>119156.26274753394</v>
      </c>
      <c r="F102" s="576">
        <f>F43-'Overall recycling rates'!$G$61/SUM('Overall recycling rates'!$G$60:$G$62)*('BTX Recycling HC'!E222+'BTX Recycling HC'!E249+'BTX Recycling HC'!E160+'BTX Recycling HC'!E115)-'Overall recycling rates'!$E$61/SUM('Overall recycling rates'!$E$60:$E$62)*('BTX Recycling HC'!E223+'BTX Recycling HC'!E250+'BTX Recycling HC'!E161+'BTX Recycling HC'!E116)-'Overall recycling rates'!$H$61/SUM('Overall recycling rates'!$H$60:$H$62)*('BTX Recycling HC'!E224+'BTX Recycling HC'!E251+'BTX Recycling HC'!E162+'BTX Recycling HC'!E117)-'Overall recycling rates'!$I$61/SUM('Overall recycling rates'!$I$60:$I$62)*('BTX Recycling HC'!E225+'BTX Recycling HC'!E252+'BTX Recycling HC'!E163+'BTX Recycling HC'!E118)</f>
        <v>113700.92044646134</v>
      </c>
      <c r="G102" s="576">
        <f>G43-'Overall recycling rates'!$G$61/SUM('Overall recycling rates'!$G$60:$G$62)*('BTX Recycling HC'!F222+'BTX Recycling HC'!F249+'BTX Recycling HC'!F160+'BTX Recycling HC'!F115)-'Overall recycling rates'!$E$61/SUM('Overall recycling rates'!$E$60:$E$62)*('BTX Recycling HC'!F223+'BTX Recycling HC'!F250+'BTX Recycling HC'!F161+'BTX Recycling HC'!F116)-'Overall recycling rates'!$H$61/SUM('Overall recycling rates'!$H$60:$H$62)*('BTX Recycling HC'!F224+'BTX Recycling HC'!F251+'BTX Recycling HC'!F162+'BTX Recycling HC'!F117)-'Overall recycling rates'!$I$61/SUM('Overall recycling rates'!$I$60:$I$62)*('BTX Recycling HC'!F225+'BTX Recycling HC'!F252+'BTX Recycling HC'!F163+'BTX Recycling HC'!F118)</f>
        <v>108296.116087181</v>
      </c>
      <c r="H102" s="576">
        <f>H43-'Overall recycling rates'!$G$61/SUM('Overall recycling rates'!$G$60:$G$62)*('BTX Recycling HC'!G222+'BTX Recycling HC'!G249+'BTX Recycling HC'!G160+'BTX Recycling HC'!G115)-'Overall recycling rates'!$E$61/SUM('Overall recycling rates'!$E$60:$E$62)*('BTX Recycling HC'!G223+'BTX Recycling HC'!G250+'BTX Recycling HC'!G161+'BTX Recycling HC'!G116)-'Overall recycling rates'!$H$61/SUM('Overall recycling rates'!$H$60:$H$62)*('BTX Recycling HC'!G224+'BTX Recycling HC'!G251+'BTX Recycling HC'!G162+'BTX Recycling HC'!G117)-'Overall recycling rates'!$I$61/SUM('Overall recycling rates'!$I$60:$I$62)*('BTX Recycling HC'!G225+'BTX Recycling HC'!G252+'BTX Recycling HC'!G163+'BTX Recycling HC'!G118)</f>
        <v>102997.76574959441</v>
      </c>
      <c r="I102" s="576">
        <f>I43-'Overall recycling rates'!$G$61/SUM('Overall recycling rates'!$G$60:$G$62)*('BTX Recycling HC'!H222+'BTX Recycling HC'!H249+'BTX Recycling HC'!H160+'BTX Recycling HC'!H115)-'Overall recycling rates'!$E$61/SUM('Overall recycling rates'!$E$60:$E$62)*('BTX Recycling HC'!H223+'BTX Recycling HC'!H250+'BTX Recycling HC'!H161+'BTX Recycling HC'!H116)-'Overall recycling rates'!$H$61/SUM('Overall recycling rates'!$H$60:$H$62)*('BTX Recycling HC'!H224+'BTX Recycling HC'!H251+'BTX Recycling HC'!H162+'BTX Recycling HC'!H117)-'Overall recycling rates'!$I$61/SUM('Overall recycling rates'!$I$60:$I$62)*('BTX Recycling HC'!H225+'BTX Recycling HC'!H252+'BTX Recycling HC'!H163+'BTX Recycling HC'!H118)</f>
        <v>97814.011795462429</v>
      </c>
      <c r="J102" s="576">
        <f>J43-'Overall recycling rates'!$G$61/SUM('Overall recycling rates'!$G$60:$G$62)*('BTX Recycling HC'!I222+'BTX Recycling HC'!I249+'BTX Recycling HC'!I160+'BTX Recycling HC'!I115)-'Overall recycling rates'!$E$61/SUM('Overall recycling rates'!$E$60:$E$62)*('BTX Recycling HC'!I223+'BTX Recycling HC'!I250+'BTX Recycling HC'!I161+'BTX Recycling HC'!I116)-'Overall recycling rates'!$H$61/SUM('Overall recycling rates'!$H$60:$H$62)*('BTX Recycling HC'!I224+'BTX Recycling HC'!I251+'BTX Recycling HC'!I162+'BTX Recycling HC'!I117)-'Overall recycling rates'!$I$61/SUM('Overall recycling rates'!$I$60:$I$62)*('BTX Recycling HC'!I225+'BTX Recycling HC'!I252+'BTX Recycling HC'!I163+'BTX Recycling HC'!I118)</f>
        <v>92753.381358901956</v>
      </c>
      <c r="K102" s="576">
        <f>K43-'Overall recycling rates'!$G$61/SUM('Overall recycling rates'!$G$60:$G$62)*('BTX Recycling HC'!J222+'BTX Recycling HC'!J249+'BTX Recycling HC'!J160+'BTX Recycling HC'!J115)-'Overall recycling rates'!$E$61/SUM('Overall recycling rates'!$E$60:$E$62)*('BTX Recycling HC'!J223+'BTX Recycling HC'!J250+'BTX Recycling HC'!J161+'BTX Recycling HC'!J116)-'Overall recycling rates'!$H$61/SUM('Overall recycling rates'!$H$60:$H$62)*('BTX Recycling HC'!J224+'BTX Recycling HC'!J251+'BTX Recycling HC'!J162+'BTX Recycling HC'!J117)-'Overall recycling rates'!$I$61/SUM('Overall recycling rates'!$I$60:$I$62)*('BTX Recycling HC'!J225+'BTX Recycling HC'!J252+'BTX Recycling HC'!J163+'BTX Recycling HC'!J118)</f>
        <v>87822.856736565518</v>
      </c>
      <c r="L102" s="576">
        <f>L43-'Overall recycling rates'!$G$61/SUM('Overall recycling rates'!$G$60:$G$62)*('BTX Recycling HC'!K222+'BTX Recycling HC'!K249+'BTX Recycling HC'!K160+'BTX Recycling HC'!K115)-'Overall recycling rates'!$E$61/SUM('Overall recycling rates'!$E$60:$E$62)*('BTX Recycling HC'!K223+'BTX Recycling HC'!K250+'BTX Recycling HC'!K161+'BTX Recycling HC'!K116)-'Overall recycling rates'!$H$61/SUM('Overall recycling rates'!$H$60:$H$62)*('BTX Recycling HC'!K224+'BTX Recycling HC'!K251+'BTX Recycling HC'!K162+'BTX Recycling HC'!K117)-'Overall recycling rates'!$I$61/SUM('Overall recycling rates'!$I$60:$I$62)*('BTX Recycling HC'!K225+'BTX Recycling HC'!K252+'BTX Recycling HC'!K163+'BTX Recycling HC'!K118)</f>
        <v>83029.252511459374</v>
      </c>
      <c r="M102" s="576">
        <f>M43-'Overall recycling rates'!$G$61/SUM('Overall recycling rates'!$G$60:$G$62)*('BTX Recycling HC'!L222+'BTX Recycling HC'!L249+'BTX Recycling HC'!L160+'BTX Recycling HC'!L115)-'Overall recycling rates'!$E$61/SUM('Overall recycling rates'!$E$60:$E$62)*('BTX Recycling HC'!L223+'BTX Recycling HC'!L250+'BTX Recycling HC'!L161+'BTX Recycling HC'!L116)-'Overall recycling rates'!$H$61/SUM('Overall recycling rates'!$H$60:$H$62)*('BTX Recycling HC'!L224+'BTX Recycling HC'!L251+'BTX Recycling HC'!L162+'BTX Recycling HC'!L117)-'Overall recycling rates'!$I$61/SUM('Overall recycling rates'!$I$60:$I$62)*('BTX Recycling HC'!L225+'BTX Recycling HC'!L252+'BTX Recycling HC'!L163+'BTX Recycling HC'!L118)</f>
        <v>78378.877754933492</v>
      </c>
      <c r="N102" s="576">
        <f>N43-'Overall recycling rates'!$G$61/SUM('Overall recycling rates'!$G$60:$G$62)*('BTX Recycling HC'!M222+'BTX Recycling HC'!M249+'BTX Recycling HC'!M160+'BTX Recycling HC'!M115)-'Overall recycling rates'!$E$61/SUM('Overall recycling rates'!$E$60:$E$62)*('BTX Recycling HC'!M223+'BTX Recycling HC'!M250+'BTX Recycling HC'!M161+'BTX Recycling HC'!M116)-'Overall recycling rates'!$H$61/SUM('Overall recycling rates'!$H$60:$H$62)*('BTX Recycling HC'!M224+'BTX Recycling HC'!M251+'BTX Recycling HC'!M162+'BTX Recycling HC'!M117)-'Overall recycling rates'!$I$61/SUM('Overall recycling rates'!$I$60:$I$62)*('BTX Recycling HC'!M225+'BTX Recycling HC'!M252+'BTX Recycling HC'!M163+'BTX Recycling HC'!M118)</f>
        <v>73877.539866647872</v>
      </c>
      <c r="O102" s="576">
        <f>O43-'Overall recycling rates'!$G$61/SUM('Overall recycling rates'!$G$60:$G$62)*('BTX Recycling HC'!N222+'BTX Recycling HC'!N249+'BTX Recycling HC'!N160+'BTX Recycling HC'!N115)-'Overall recycling rates'!$E$61/SUM('Overall recycling rates'!$E$60:$E$62)*('BTX Recycling HC'!N223+'BTX Recycling HC'!N250+'BTX Recycling HC'!N161+'BTX Recycling HC'!N116)-'Overall recycling rates'!$H$61/SUM('Overall recycling rates'!$H$60:$H$62)*('BTX Recycling HC'!N224+'BTX Recycling HC'!N251+'BTX Recycling HC'!N162+'BTX Recycling HC'!N117)-'Overall recycling rates'!$I$61/SUM('Overall recycling rates'!$I$60:$I$62)*('BTX Recycling HC'!N225+'BTX Recycling HC'!N252+'BTX Recycling HC'!N163+'BTX Recycling HC'!N118)</f>
        <v>70983.768076316701</v>
      </c>
      <c r="P102" s="576">
        <f>P43-'Overall recycling rates'!$G$61/SUM('Overall recycling rates'!$G$60:$G$62)*('BTX Recycling HC'!O222+'BTX Recycling HC'!O249+'BTX Recycling HC'!O160+'BTX Recycling HC'!O115)-'Overall recycling rates'!$E$61/SUM('Overall recycling rates'!$E$60:$E$62)*('BTX Recycling HC'!O223+'BTX Recycling HC'!O250+'BTX Recycling HC'!O161+'BTX Recycling HC'!O116)-'Overall recycling rates'!$H$61/SUM('Overall recycling rates'!$H$60:$H$62)*('BTX Recycling HC'!O224+'BTX Recycling HC'!O251+'BTX Recycling HC'!O162+'BTX Recycling HC'!O117)-'Overall recycling rates'!$I$61/SUM('Overall recycling rates'!$I$60:$I$62)*('BTX Recycling HC'!O225+'BTX Recycling HC'!O252+'BTX Recycling HC'!O163+'BTX Recycling HC'!O118)</f>
        <v>68233.483251768819</v>
      </c>
      <c r="Q102" s="576">
        <f>Q43-'Overall recycling rates'!$G$61/SUM('Overall recycling rates'!$G$60:$G$62)*('BTX Recycling HC'!P222+'BTX Recycling HC'!P249+'BTX Recycling HC'!P160+'BTX Recycling HC'!P115)-'Overall recycling rates'!$E$61/SUM('Overall recycling rates'!$E$60:$E$62)*('BTX Recycling HC'!P223+'BTX Recycling HC'!P250+'BTX Recycling HC'!P161+'BTX Recycling HC'!P116)-'Overall recycling rates'!$H$61/SUM('Overall recycling rates'!$H$60:$H$62)*('BTX Recycling HC'!P224+'BTX Recycling HC'!P251+'BTX Recycling HC'!P162+'BTX Recycling HC'!P117)-'Overall recycling rates'!$I$61/SUM('Overall recycling rates'!$I$60:$I$62)*('BTX Recycling HC'!P225+'BTX Recycling HC'!P252+'BTX Recycling HC'!P163+'BTX Recycling HC'!P118)</f>
        <v>65621.689220138898</v>
      </c>
      <c r="R102" s="576">
        <f>R43-'Overall recycling rates'!$G$61/SUM('Overall recycling rates'!$G$60:$G$62)*('BTX Recycling HC'!Q222+'BTX Recycling HC'!Q249+'BTX Recycling HC'!Q160+'BTX Recycling HC'!Q115)-'Overall recycling rates'!$E$61/SUM('Overall recycling rates'!$E$60:$E$62)*('BTX Recycling HC'!Q223+'BTX Recycling HC'!Q250+'BTX Recycling HC'!Q161+'BTX Recycling HC'!Q116)-'Overall recycling rates'!$H$61/SUM('Overall recycling rates'!$H$60:$H$62)*('BTX Recycling HC'!Q224+'BTX Recycling HC'!Q251+'BTX Recycling HC'!Q162+'BTX Recycling HC'!Q117)-'Overall recycling rates'!$I$61/SUM('Overall recycling rates'!$I$60:$I$62)*('BTX Recycling HC'!Q225+'BTX Recycling HC'!Q252+'BTX Recycling HC'!Q163+'BTX Recycling HC'!Q118)</f>
        <v>63140.398510989915</v>
      </c>
      <c r="S102" s="576">
        <f>S43-'Overall recycling rates'!$G$61/SUM('Overall recycling rates'!$G$60:$G$62)*('BTX Recycling HC'!R222+'BTX Recycling HC'!R249+'BTX Recycling HC'!R160+'BTX Recycling HC'!R115)-'Overall recycling rates'!$E$61/SUM('Overall recycling rates'!$E$60:$E$62)*('BTX Recycling HC'!R223+'BTX Recycling HC'!R250+'BTX Recycling HC'!R161+'BTX Recycling HC'!R116)-'Overall recycling rates'!$H$61/SUM('Overall recycling rates'!$H$60:$H$62)*('BTX Recycling HC'!R224+'BTX Recycling HC'!R251+'BTX Recycling HC'!R162+'BTX Recycling HC'!R117)-'Overall recycling rates'!$I$61/SUM('Overall recycling rates'!$I$60:$I$62)*('BTX Recycling HC'!R225+'BTX Recycling HC'!R252+'BTX Recycling HC'!R163+'BTX Recycling HC'!R118)</f>
        <v>60782.931636034467</v>
      </c>
      <c r="T102" s="576">
        <f>T43-'Overall recycling rates'!$G$61/SUM('Overall recycling rates'!$G$60:$G$62)*('BTX Recycling HC'!S222+'BTX Recycling HC'!S249+'BTX Recycling HC'!S160+'BTX Recycling HC'!S115)-'Overall recycling rates'!$E$61/SUM('Overall recycling rates'!$E$60:$E$62)*('BTX Recycling HC'!S223+'BTX Recycling HC'!S250+'BTX Recycling HC'!S161+'BTX Recycling HC'!S116)-'Overall recycling rates'!$H$61/SUM('Overall recycling rates'!$H$60:$H$62)*('BTX Recycling HC'!S224+'BTX Recycling HC'!S251+'BTX Recycling HC'!S162+'BTX Recycling HC'!S117)-'Overall recycling rates'!$I$61/SUM('Overall recycling rates'!$I$60:$I$62)*('BTX Recycling HC'!S225+'BTX Recycling HC'!S252+'BTX Recycling HC'!S163+'BTX Recycling HC'!S118)</f>
        <v>58538.281790972454</v>
      </c>
      <c r="U102" s="576">
        <f>U43-'Overall recycling rates'!$G$61/SUM('Overall recycling rates'!$G$60:$G$62)*('BTX Recycling HC'!T222+'BTX Recycling HC'!T249+'BTX Recycling HC'!T160+'BTX Recycling HC'!T115)-'Overall recycling rates'!$E$61/SUM('Overall recycling rates'!$E$60:$E$62)*('BTX Recycling HC'!T223+'BTX Recycling HC'!T250+'BTX Recycling HC'!T161+'BTX Recycling HC'!T116)-'Overall recycling rates'!$H$61/SUM('Overall recycling rates'!$H$60:$H$62)*('BTX Recycling HC'!T224+'BTX Recycling HC'!T251+'BTX Recycling HC'!T162+'BTX Recycling HC'!T117)-'Overall recycling rates'!$I$61/SUM('Overall recycling rates'!$I$60:$I$62)*('BTX Recycling HC'!T225+'BTX Recycling HC'!T252+'BTX Recycling HC'!T163+'BTX Recycling HC'!T118)</f>
        <v>56402.252345179644</v>
      </c>
      <c r="V102" s="576">
        <f>V43-'Overall recycling rates'!$G$61/SUM('Overall recycling rates'!$G$60:$G$62)*('BTX Recycling HC'!U222+'BTX Recycling HC'!U249+'BTX Recycling HC'!U160+'BTX Recycling HC'!U115)-'Overall recycling rates'!$E$61/SUM('Overall recycling rates'!$E$60:$E$62)*('BTX Recycling HC'!U223+'BTX Recycling HC'!U250+'BTX Recycling HC'!U161+'BTX Recycling HC'!U116)-'Overall recycling rates'!$H$61/SUM('Overall recycling rates'!$H$60:$H$62)*('BTX Recycling HC'!U224+'BTX Recycling HC'!U251+'BTX Recycling HC'!U162+'BTX Recycling HC'!U117)-'Overall recycling rates'!$I$61/SUM('Overall recycling rates'!$I$60:$I$62)*('BTX Recycling HC'!U225+'BTX Recycling HC'!U252+'BTX Recycling HC'!U163+'BTX Recycling HC'!U118)</f>
        <v>54367.62308788114</v>
      </c>
      <c r="W102" s="576">
        <f>W43-'Overall recycling rates'!$G$61/SUM('Overall recycling rates'!$G$60:$G$62)*('BTX Recycling HC'!V222+'BTX Recycling HC'!V249+'BTX Recycling HC'!V160+'BTX Recycling HC'!V115)-'Overall recycling rates'!$E$61/SUM('Overall recycling rates'!$E$60:$E$62)*('BTX Recycling HC'!V223+'BTX Recycling HC'!V250+'BTX Recycling HC'!V161+'BTX Recycling HC'!V116)-'Overall recycling rates'!$H$61/SUM('Overall recycling rates'!$H$60:$H$62)*('BTX Recycling HC'!V224+'BTX Recycling HC'!V251+'BTX Recycling HC'!V162+'BTX Recycling HC'!V117)-'Overall recycling rates'!$I$61/SUM('Overall recycling rates'!$I$60:$I$62)*('BTX Recycling HC'!V225+'BTX Recycling HC'!V252+'BTX Recycling HC'!V163+'BTX Recycling HC'!V118)</f>
        <v>52427.074381413448</v>
      </c>
      <c r="X102" s="576">
        <f>X43-'Overall recycling rates'!$G$61/SUM('Overall recycling rates'!$G$60:$G$62)*('BTX Recycling HC'!W222+'BTX Recycling HC'!W249+'BTX Recycling HC'!W160+'BTX Recycling HC'!W115)-'Overall recycling rates'!$E$61/SUM('Overall recycling rates'!$E$60:$E$62)*('BTX Recycling HC'!W223+'BTX Recycling HC'!W250+'BTX Recycling HC'!W161+'BTX Recycling HC'!W116)-'Overall recycling rates'!$H$61/SUM('Overall recycling rates'!$H$60:$H$62)*('BTX Recycling HC'!W224+'BTX Recycling HC'!W251+'BTX Recycling HC'!W162+'BTX Recycling HC'!W117)-'Overall recycling rates'!$I$61/SUM('Overall recycling rates'!$I$60:$I$62)*('BTX Recycling HC'!W225+'BTX Recycling HC'!W252+'BTX Recycling HC'!W163+'BTX Recycling HC'!W118)</f>
        <v>50573.190257366456</v>
      </c>
      <c r="Y102" s="576">
        <f>Y43-'Overall recycling rates'!$G$61/SUM('Overall recycling rates'!$G$60:$G$62)*('BTX Recycling HC'!X222+'BTX Recycling HC'!X249+'BTX Recycling HC'!X160+'BTX Recycling HC'!X115)-'Overall recycling rates'!$E$61/SUM('Overall recycling rates'!$E$60:$E$62)*('BTX Recycling HC'!X223+'BTX Recycling HC'!X250+'BTX Recycling HC'!X161+'BTX Recycling HC'!X116)-'Overall recycling rates'!$H$61/SUM('Overall recycling rates'!$H$60:$H$62)*('BTX Recycling HC'!X224+'BTX Recycling HC'!X251+'BTX Recycling HC'!X162+'BTX Recycling HC'!X117)-'Overall recycling rates'!$I$61/SUM('Overall recycling rates'!$I$60:$I$62)*('BTX Recycling HC'!X225+'BTX Recycling HC'!X252+'BTX Recycling HC'!X163+'BTX Recycling HC'!X118)</f>
        <v>48410.188735880671</v>
      </c>
      <c r="Z102" s="576">
        <f>Z43-'Overall recycling rates'!$G$61/SUM('Overall recycling rates'!$G$60:$G$62)*('BTX Recycling HC'!Y222+'BTX Recycling HC'!Y249+'BTX Recycling HC'!Y160+'BTX Recycling HC'!Y115)-'Overall recycling rates'!$E$61/SUM('Overall recycling rates'!$E$60:$E$62)*('BTX Recycling HC'!Y223+'BTX Recycling HC'!Y250+'BTX Recycling HC'!Y161+'BTX Recycling HC'!Y116)-'Overall recycling rates'!$H$61/SUM('Overall recycling rates'!$H$60:$H$62)*('BTX Recycling HC'!Y224+'BTX Recycling HC'!Y251+'BTX Recycling HC'!Y162+'BTX Recycling HC'!Y117)-'Overall recycling rates'!$I$61/SUM('Overall recycling rates'!$I$60:$I$62)*('BTX Recycling HC'!Y225+'BTX Recycling HC'!Y252+'BTX Recycling HC'!Y163+'BTX Recycling HC'!Y118)</f>
        <v>46325.774767007038</v>
      </c>
      <c r="AA102" s="576">
        <f>AA43-'Overall recycling rates'!$G$61/SUM('Overall recycling rates'!$G$60:$G$62)*('BTX Recycling HC'!Z222+'BTX Recycling HC'!Z249+'BTX Recycling HC'!Z160+'BTX Recycling HC'!Z115)-'Overall recycling rates'!$E$61/SUM('Overall recycling rates'!$E$60:$E$62)*('BTX Recycling HC'!Z223+'BTX Recycling HC'!Z250+'BTX Recycling HC'!Z161+'BTX Recycling HC'!Z116)-'Overall recycling rates'!$H$61/SUM('Overall recycling rates'!$H$60:$H$62)*('BTX Recycling HC'!Z224+'BTX Recycling HC'!Z251+'BTX Recycling HC'!Z162+'BTX Recycling HC'!Z117)-'Overall recycling rates'!$I$61/SUM('Overall recycling rates'!$I$60:$I$62)*('BTX Recycling HC'!Z225+'BTX Recycling HC'!Z252+'BTX Recycling HC'!Z163+'BTX Recycling HC'!Z118)</f>
        <v>44318.872800732497</v>
      </c>
      <c r="AB102" s="576">
        <f>AB43-'Overall recycling rates'!$G$61/SUM('Overall recycling rates'!$G$60:$G$62)*('BTX Recycling HC'!AA222+'BTX Recycling HC'!AA249+'BTX Recycling HC'!AA160+'BTX Recycling HC'!AA115)-'Overall recycling rates'!$E$61/SUM('Overall recycling rates'!$E$60:$E$62)*('BTX Recycling HC'!AA223+'BTX Recycling HC'!AA250+'BTX Recycling HC'!AA161+'BTX Recycling HC'!AA116)-'Overall recycling rates'!$H$61/SUM('Overall recycling rates'!$H$60:$H$62)*('BTX Recycling HC'!AA224+'BTX Recycling HC'!AA251+'BTX Recycling HC'!AA162+'BTX Recycling HC'!AA117)-'Overall recycling rates'!$I$61/SUM('Overall recycling rates'!$I$60:$I$62)*('BTX Recycling HC'!AA225+'BTX Recycling HC'!AA252+'BTX Recycling HC'!AA163+'BTX Recycling HC'!AA118)</f>
        <v>42379.951379884435</v>
      </c>
      <c r="AC102" s="576">
        <f>AC43-'Overall recycling rates'!$G$61/SUM('Overall recycling rates'!$G$60:$G$62)*('BTX Recycling HC'!AB222+'BTX Recycling HC'!AB249+'BTX Recycling HC'!AB160+'BTX Recycling HC'!AB115)-'Overall recycling rates'!$E$61/SUM('Overall recycling rates'!$E$60:$E$62)*('BTX Recycling HC'!AB223+'BTX Recycling HC'!AB250+'BTX Recycling HC'!AB161+'BTX Recycling HC'!AB116)-'Overall recycling rates'!$H$61/SUM('Overall recycling rates'!$H$60:$H$62)*('BTX Recycling HC'!AB224+'BTX Recycling HC'!AB251+'BTX Recycling HC'!AB162+'BTX Recycling HC'!AB117)-'Overall recycling rates'!$I$61/SUM('Overall recycling rates'!$I$60:$I$62)*('BTX Recycling HC'!AB225+'BTX Recycling HC'!AB252+'BTX Recycling HC'!AB163+'BTX Recycling HC'!AB118)</f>
        <v>40503.586719752864</v>
      </c>
      <c r="AD102" s="576">
        <f>AD43-'Overall recycling rates'!$G$61/SUM('Overall recycling rates'!$G$60:$G$62)*('BTX Recycling HC'!AC222+'BTX Recycling HC'!AC249+'BTX Recycling HC'!AC160+'BTX Recycling HC'!AC115)-'Overall recycling rates'!$E$61/SUM('Overall recycling rates'!$E$60:$E$62)*('BTX Recycling HC'!AC223+'BTX Recycling HC'!AC250+'BTX Recycling HC'!AC161+'BTX Recycling HC'!AC116)-'Overall recycling rates'!$H$61/SUM('Overall recycling rates'!$H$60:$H$62)*('BTX Recycling HC'!AC224+'BTX Recycling HC'!AC251+'BTX Recycling HC'!AC162+'BTX Recycling HC'!AC117)-'Overall recycling rates'!$I$61/SUM('Overall recycling rates'!$I$60:$I$62)*('BTX Recycling HC'!AC225+'BTX Recycling HC'!AC252+'BTX Recycling HC'!AC163+'BTX Recycling HC'!AC118)</f>
        <v>38694.176468795835</v>
      </c>
      <c r="AE102" s="576">
        <f>AE43-'Overall recycling rates'!$G$61/SUM('Overall recycling rates'!$G$60:$G$62)*('BTX Recycling HC'!AD222+'BTX Recycling HC'!AD249+'BTX Recycling HC'!AD160+'BTX Recycling HC'!AD115)-'Overall recycling rates'!$E$61/SUM('Overall recycling rates'!$E$60:$E$62)*('BTX Recycling HC'!AD223+'BTX Recycling HC'!AD250+'BTX Recycling HC'!AD161+'BTX Recycling HC'!AD116)-'Overall recycling rates'!$H$61/SUM('Overall recycling rates'!$H$60:$H$62)*('BTX Recycling HC'!AD224+'BTX Recycling HC'!AD251+'BTX Recycling HC'!AD162+'BTX Recycling HC'!AD117)-'Overall recycling rates'!$I$61/SUM('Overall recycling rates'!$I$60:$I$62)*('BTX Recycling HC'!AD225+'BTX Recycling HC'!AD252+'BTX Recycling HC'!AD163+'BTX Recycling HC'!AD118)</f>
        <v>36939.166615829628</v>
      </c>
      <c r="AF102" s="576">
        <f>AF43-'Overall recycling rates'!$G$61/SUM('Overall recycling rates'!$G$60:$G$62)*('BTX Recycling HC'!AE222+'BTX Recycling HC'!AE249+'BTX Recycling HC'!AE160+'BTX Recycling HC'!AE115)-'Overall recycling rates'!$E$61/SUM('Overall recycling rates'!$E$60:$E$62)*('BTX Recycling HC'!AE223+'BTX Recycling HC'!AE250+'BTX Recycling HC'!AE161+'BTX Recycling HC'!AE116)-'Overall recycling rates'!$H$61/SUM('Overall recycling rates'!$H$60:$H$62)*('BTX Recycling HC'!AE224+'BTX Recycling HC'!AE251+'BTX Recycling HC'!AE162+'BTX Recycling HC'!AE117)-'Overall recycling rates'!$I$61/SUM('Overall recycling rates'!$I$60:$I$62)*('BTX Recycling HC'!AE225+'BTX Recycling HC'!AE252+'BTX Recycling HC'!AE163+'BTX Recycling HC'!AE118)</f>
        <v>35233.504239558468</v>
      </c>
      <c r="AG102" s="576">
        <f>AG43-'Overall recycling rates'!$G$61/SUM('Overall recycling rates'!$G$60:$G$62)*('BTX Recycling HC'!AF222+'BTX Recycling HC'!AF249+'BTX Recycling HC'!AF160+'BTX Recycling HC'!AF115)-'Overall recycling rates'!$E$61/SUM('Overall recycling rates'!$E$60:$E$62)*('BTX Recycling HC'!AF223+'BTX Recycling HC'!AF250+'BTX Recycling HC'!AF161+'BTX Recycling HC'!AF116)-'Overall recycling rates'!$H$61/SUM('Overall recycling rates'!$H$60:$H$62)*('BTX Recycling HC'!AF224+'BTX Recycling HC'!AF251+'BTX Recycling HC'!AF162+'BTX Recycling HC'!AF117)-'Overall recycling rates'!$I$61/SUM('Overall recycling rates'!$I$60:$I$62)*('BTX Recycling HC'!AF225+'BTX Recycling HC'!AF252+'BTX Recycling HC'!AF163+'BTX Recycling HC'!AF118)</f>
        <v>33572.167010820056</v>
      </c>
      <c r="AH102" s="576">
        <f>AH43-'Overall recycling rates'!$G$61/SUM('Overall recycling rates'!$G$60:$G$62)*('BTX Recycling HC'!AG222+'BTX Recycling HC'!AG249+'BTX Recycling HC'!AG160+'BTX Recycling HC'!AG115)-'Overall recycling rates'!$E$61/SUM('Overall recycling rates'!$E$60:$E$62)*('BTX Recycling HC'!AG223+'BTX Recycling HC'!AG250+'BTX Recycling HC'!AG161+'BTX Recycling HC'!AG116)-'Overall recycling rates'!$H$61/SUM('Overall recycling rates'!$H$60:$H$62)*('BTX Recycling HC'!AG224+'BTX Recycling HC'!AG251+'BTX Recycling HC'!AG162+'BTX Recycling HC'!AG117)-'Overall recycling rates'!$I$61/SUM('Overall recycling rates'!$I$60:$I$62)*('BTX Recycling HC'!AG225+'BTX Recycling HC'!AG252+'BTX Recycling HC'!AG163+'BTX Recycling HC'!AG118)</f>
        <v>31950.167640963875</v>
      </c>
      <c r="AI102" s="576"/>
      <c r="AJ102" s="576">
        <f>AJ43-'Overall recycling rates'!$G$61/SUM('Overall recycling rates'!$G$60:$G$62)*('BTX Recycling HC'!C222+'BTX Recycling HC'!C249+'BTX Recycling HC'!C160+'BTX Recycling HC'!C115)-'Overall recycling rates'!$E$61/SUM('Overall recycling rates'!$E$60:$E$62)*('BTX Recycling HC'!C223+'BTX Recycling HC'!C250+'BTX Recycling HC'!C161+'BTX Recycling HC'!C116)-'Overall recycling rates'!$H$61/SUM('Overall recycling rates'!$H$60:$H$62)*('BTX Recycling HC'!C224+'BTX Recycling HC'!C251+'BTX Recycling HC'!C162+'BTX Recycling HC'!C117)-'Overall recycling rates'!$I$61/SUM('Overall recycling rates'!$I$60:$I$62)*('BTX Recycling HC'!C225+'BTX Recycling HC'!C252+'BTX Recycling HC'!C163+'BTX Recycling HC'!C118)</f>
        <v>124794.36789497873</v>
      </c>
      <c r="AK102" s="576">
        <f>AK43-'Overall recycling rates'!$G$61/SUM('Overall recycling rates'!$G$60:$G$62)*('BTX Recycling HC'!D222+'BTX Recycling HC'!D249+'BTX Recycling HC'!D160+'BTX Recycling HC'!D115)-'Overall recycling rates'!$E$61/SUM('Overall recycling rates'!$E$60:$E$62)*('BTX Recycling HC'!D223+'BTX Recycling HC'!D250+'BTX Recycling HC'!D161+'BTX Recycling HC'!D116)-'Overall recycling rates'!$H$61/SUM('Overall recycling rates'!$H$60:$H$62)*('BTX Recycling HC'!D224+'BTX Recycling HC'!D251+'BTX Recycling HC'!D162+'BTX Recycling HC'!D117)-'Overall recycling rates'!$I$61/SUM('Overall recycling rates'!$I$60:$I$62)*('BTX Recycling HC'!D225+'BTX Recycling HC'!D252+'BTX Recycling HC'!D163+'BTX Recycling HC'!D118)</f>
        <v>120872.29020812041</v>
      </c>
      <c r="AL102" s="576">
        <f>AL43-'Overall recycling rates'!$G$61/SUM('Overall recycling rates'!$G$60:$G$62)*('BTX Recycling HC'!E222+'BTX Recycling HC'!E249+'BTX Recycling HC'!E160+'BTX Recycling HC'!E115)-'Overall recycling rates'!$E$61/SUM('Overall recycling rates'!$E$60:$E$62)*('BTX Recycling HC'!E223+'BTX Recycling HC'!E250+'BTX Recycling HC'!E161+'BTX Recycling HC'!E116)-'Overall recycling rates'!$H$61/SUM('Overall recycling rates'!$H$60:$H$62)*('BTX Recycling HC'!E224+'BTX Recycling HC'!E251+'BTX Recycling HC'!E162+'BTX Recycling HC'!E117)-'Overall recycling rates'!$I$61/SUM('Overall recycling rates'!$I$60:$I$62)*('BTX Recycling HC'!E225+'BTX Recycling HC'!E252+'BTX Recycling HC'!E163+'BTX Recycling HC'!E118)</f>
        <v>117109.48083921758</v>
      </c>
      <c r="AM102" s="576">
        <f>AM43-'Overall recycling rates'!$G$61/SUM('Overall recycling rates'!$G$60:$G$62)*('BTX Recycling HC'!F222+'BTX Recycling HC'!F249+'BTX Recycling HC'!F160+'BTX Recycling HC'!F115)-'Overall recycling rates'!$E$61/SUM('Overall recycling rates'!$E$60:$E$62)*('BTX Recycling HC'!F223+'BTX Recycling HC'!F250+'BTX Recycling HC'!F161+'BTX Recycling HC'!F116)-'Overall recycling rates'!$H$61/SUM('Overall recycling rates'!$H$60:$H$62)*('BTX Recycling HC'!F224+'BTX Recycling HC'!F251+'BTX Recycling HC'!F162+'BTX Recycling HC'!F117)-'Overall recycling rates'!$I$61/SUM('Overall recycling rates'!$I$60:$I$62)*('BTX Recycling HC'!F225+'BTX Recycling HC'!F252+'BTX Recycling HC'!F163+'BTX Recycling HC'!F118)</f>
        <v>113373.95613545259</v>
      </c>
      <c r="AN102" s="576">
        <f>AN43-'Overall recycling rates'!$G$61/SUM('Overall recycling rates'!$G$60:$G$62)*('BTX Recycling HC'!G222+'BTX Recycling HC'!G249+'BTX Recycling HC'!G160+'BTX Recycling HC'!G115)-'Overall recycling rates'!$E$61/SUM('Overall recycling rates'!$E$60:$E$62)*('BTX Recycling HC'!G223+'BTX Recycling HC'!G250+'BTX Recycling HC'!G161+'BTX Recycling HC'!G116)-'Overall recycling rates'!$H$61/SUM('Overall recycling rates'!$H$60:$H$62)*('BTX Recycling HC'!G224+'BTX Recycling HC'!G251+'BTX Recycling HC'!G162+'BTX Recycling HC'!G117)-'Overall recycling rates'!$I$61/SUM('Overall recycling rates'!$I$60:$I$62)*('BTX Recycling HC'!G225+'BTX Recycling HC'!G252+'BTX Recycling HC'!G163+'BTX Recycling HC'!G118)</f>
        <v>109721.87122646703</v>
      </c>
      <c r="AO102" s="576">
        <f>AO43-'Overall recycling rates'!$G$61/SUM('Overall recycling rates'!$G$60:$G$62)*('BTX Recycling HC'!H222+'BTX Recycling HC'!H249+'BTX Recycling HC'!H160+'BTX Recycling HC'!H115)-'Overall recycling rates'!$E$61/SUM('Overall recycling rates'!$E$60:$E$62)*('BTX Recycling HC'!H223+'BTX Recycling HC'!H250+'BTX Recycling HC'!H161+'BTX Recycling HC'!H116)-'Overall recycling rates'!$H$61/SUM('Overall recycling rates'!$H$60:$H$62)*('BTX Recycling HC'!H224+'BTX Recycling HC'!H251+'BTX Recycling HC'!H162+'BTX Recycling HC'!H117)-'Overall recycling rates'!$I$61/SUM('Overall recycling rates'!$I$60:$I$62)*('BTX Recycling HC'!H225+'BTX Recycling HC'!H252+'BTX Recycling HC'!H163+'BTX Recycling HC'!H118)</f>
        <v>106161.60534058198</v>
      </c>
      <c r="AP102" s="576">
        <f>AP43-'Overall recycling rates'!$G$61/SUM('Overall recycling rates'!$G$60:$G$62)*('BTX Recycling HC'!I222+'BTX Recycling HC'!I249+'BTX Recycling HC'!I160+'BTX Recycling HC'!I115)-'Overall recycling rates'!$E$61/SUM('Overall recycling rates'!$E$60:$E$62)*('BTX Recycling HC'!I223+'BTX Recycling HC'!I250+'BTX Recycling HC'!I161+'BTX Recycling HC'!I116)-'Overall recycling rates'!$H$61/SUM('Overall recycling rates'!$H$60:$H$62)*('BTX Recycling HC'!I224+'BTX Recycling HC'!I251+'BTX Recycling HC'!I162+'BTX Recycling HC'!I117)-'Overall recycling rates'!$I$61/SUM('Overall recycling rates'!$I$60:$I$62)*('BTX Recycling HC'!I225+'BTX Recycling HC'!I252+'BTX Recycling HC'!I163+'BTX Recycling HC'!I118)</f>
        <v>102701.92031398298</v>
      </c>
      <c r="AQ102" s="576">
        <f>AQ43-'Overall recycling rates'!$G$61/SUM('Overall recycling rates'!$G$60:$G$62)*('BTX Recycling HC'!J222+'BTX Recycling HC'!J249+'BTX Recycling HC'!J160+'BTX Recycling HC'!J115)-'Overall recycling rates'!$E$61/SUM('Overall recycling rates'!$E$60:$E$62)*('BTX Recycling HC'!J223+'BTX Recycling HC'!J250+'BTX Recycling HC'!J161+'BTX Recycling HC'!J116)-'Overall recycling rates'!$H$61/SUM('Overall recycling rates'!$H$60:$H$62)*('BTX Recycling HC'!J224+'BTX Recycling HC'!J251+'BTX Recycling HC'!J162+'BTX Recycling HC'!J117)-'Overall recycling rates'!$I$61/SUM('Overall recycling rates'!$I$60:$I$62)*('BTX Recycling HC'!J225+'BTX Recycling HC'!J252+'BTX Recycling HC'!J163+'BTX Recycling HC'!J118)</f>
        <v>99350.030999433759</v>
      </c>
      <c r="AR102" s="576">
        <f>AR43-'Overall recycling rates'!$G$61/SUM('Overall recycling rates'!$G$60:$G$62)*('BTX Recycling HC'!K222+'BTX Recycling HC'!K249+'BTX Recycling HC'!K160+'BTX Recycling HC'!K115)-'Overall recycling rates'!$E$61/SUM('Overall recycling rates'!$E$60:$E$62)*('BTX Recycling HC'!K223+'BTX Recycling HC'!K250+'BTX Recycling HC'!K161+'BTX Recycling HC'!K116)-'Overall recycling rates'!$H$61/SUM('Overall recycling rates'!$H$60:$H$62)*('BTX Recycling HC'!K224+'BTX Recycling HC'!K251+'BTX Recycling HC'!K162+'BTX Recycling HC'!K117)-'Overall recycling rates'!$I$61/SUM('Overall recycling rates'!$I$60:$I$62)*('BTX Recycling HC'!K225+'BTX Recycling HC'!K252+'BTX Recycling HC'!K163+'BTX Recycling HC'!K118)</f>
        <v>96112.982408476819</v>
      </c>
      <c r="AS102" s="576">
        <f>AS43-'Overall recycling rates'!$G$61/SUM('Overall recycling rates'!$G$60:$G$62)*('BTX Recycling HC'!L222+'BTX Recycling HC'!L249+'BTX Recycling HC'!L160+'BTX Recycling HC'!L115)-'Overall recycling rates'!$E$61/SUM('Overall recycling rates'!$E$60:$E$62)*('BTX Recycling HC'!L223+'BTX Recycling HC'!L250+'BTX Recycling HC'!L161+'BTX Recycling HC'!L116)-'Overall recycling rates'!$H$61/SUM('Overall recycling rates'!$H$60:$H$62)*('BTX Recycling HC'!L224+'BTX Recycling HC'!L251+'BTX Recycling HC'!L162+'BTX Recycling HC'!L117)-'Overall recycling rates'!$I$61/SUM('Overall recycling rates'!$I$60:$I$62)*('BTX Recycling HC'!L225+'BTX Recycling HC'!L252+'BTX Recycling HC'!L163+'BTX Recycling HC'!L118)</f>
        <v>92997.311931653865</v>
      </c>
      <c r="AT102" s="576">
        <f>AT43-'Overall recycling rates'!$G$61/SUM('Overall recycling rates'!$G$60:$G$62)*('BTX Recycling HC'!M222+'BTX Recycling HC'!M249+'BTX Recycling HC'!M160+'BTX Recycling HC'!M115)-'Overall recycling rates'!$E$61/SUM('Overall recycling rates'!$E$60:$E$62)*('BTX Recycling HC'!M223+'BTX Recycling HC'!M250+'BTX Recycling HC'!M161+'BTX Recycling HC'!M116)-'Overall recycling rates'!$H$61/SUM('Overall recycling rates'!$H$60:$H$62)*('BTX Recycling HC'!M224+'BTX Recycling HC'!M251+'BTX Recycling HC'!M162+'BTX Recycling HC'!M117)-'Overall recycling rates'!$I$61/SUM('Overall recycling rates'!$I$60:$I$62)*('BTX Recycling HC'!M225+'BTX Recycling HC'!M252+'BTX Recycling HC'!M163+'BTX Recycling HC'!M118)</f>
        <v>90009.053196553665</v>
      </c>
      <c r="AU102" s="576">
        <f>AU43-'Overall recycling rates'!$G$61/SUM('Overall recycling rates'!$G$60:$G$62)*('BTX Recycling HC'!N222+'BTX Recycling HC'!N249+'BTX Recycling HC'!N160+'BTX Recycling HC'!N115)-'Overall recycling rates'!$E$61/SUM('Overall recycling rates'!$E$60:$E$62)*('BTX Recycling HC'!N223+'BTX Recycling HC'!N250+'BTX Recycling HC'!N161+'BTX Recycling HC'!N116)-'Overall recycling rates'!$H$61/SUM('Overall recycling rates'!$H$60:$H$62)*('BTX Recycling HC'!N224+'BTX Recycling HC'!N251+'BTX Recycling HC'!N162+'BTX Recycling HC'!N117)-'Overall recycling rates'!$I$61/SUM('Overall recycling rates'!$I$60:$I$62)*('BTX Recycling HC'!N225+'BTX Recycling HC'!N252+'BTX Recycling HC'!N163+'BTX Recycling HC'!N118)</f>
        <v>88606.959587488309</v>
      </c>
      <c r="AV102" s="576">
        <f>AV43-'Overall recycling rates'!$G$61/SUM('Overall recycling rates'!$G$60:$G$62)*('BTX Recycling HC'!O222+'BTX Recycling HC'!O249+'BTX Recycling HC'!O160+'BTX Recycling HC'!O115)-'Overall recycling rates'!$E$61/SUM('Overall recycling rates'!$E$60:$E$62)*('BTX Recycling HC'!O223+'BTX Recycling HC'!O250+'BTX Recycling HC'!O161+'BTX Recycling HC'!O116)-'Overall recycling rates'!$H$61/SUM('Overall recycling rates'!$H$60:$H$62)*('BTX Recycling HC'!O224+'BTX Recycling HC'!O251+'BTX Recycling HC'!O162+'BTX Recycling HC'!O117)-'Overall recycling rates'!$I$61/SUM('Overall recycling rates'!$I$60:$I$62)*('BTX Recycling HC'!O225+'BTX Recycling HC'!O252+'BTX Recycling HC'!O163+'BTX Recycling HC'!O118)</f>
        <v>87327.174071338508</v>
      </c>
      <c r="AW102" s="576">
        <f>AW43-'Overall recycling rates'!$G$61/SUM('Overall recycling rates'!$G$60:$G$62)*('BTX Recycling HC'!P222+'BTX Recycling HC'!P249+'BTX Recycling HC'!P160+'BTX Recycling HC'!P115)-'Overall recycling rates'!$E$61/SUM('Overall recycling rates'!$E$60:$E$62)*('BTX Recycling HC'!P223+'BTX Recycling HC'!P250+'BTX Recycling HC'!P161+'BTX Recycling HC'!P116)-'Overall recycling rates'!$H$61/SUM('Overall recycling rates'!$H$60:$H$62)*('BTX Recycling HC'!P224+'BTX Recycling HC'!P251+'BTX Recycling HC'!P162+'BTX Recycling HC'!P117)-'Overall recycling rates'!$I$61/SUM('Overall recycling rates'!$I$60:$I$62)*('BTX Recycling HC'!P225+'BTX Recycling HC'!P252+'BTX Recycling HC'!P163+'BTX Recycling HC'!P118)</f>
        <v>86164.920536383623</v>
      </c>
      <c r="AX102" s="576">
        <f>AX43-'Overall recycling rates'!$G$61/SUM('Overall recycling rates'!$G$60:$G$62)*('BTX Recycling HC'!Q222+'BTX Recycling HC'!Q249+'BTX Recycling HC'!Q160+'BTX Recycling HC'!Q115)-'Overall recycling rates'!$E$61/SUM('Overall recycling rates'!$E$60:$E$62)*('BTX Recycling HC'!Q223+'BTX Recycling HC'!Q250+'BTX Recycling HC'!Q161+'BTX Recycling HC'!Q116)-'Overall recycling rates'!$H$61/SUM('Overall recycling rates'!$H$60:$H$62)*('BTX Recycling HC'!Q224+'BTX Recycling HC'!Q251+'BTX Recycling HC'!Q162+'BTX Recycling HC'!Q117)-'Overall recycling rates'!$I$61/SUM('Overall recycling rates'!$I$60:$I$62)*('BTX Recycling HC'!Q225+'BTX Recycling HC'!Q252+'BTX Recycling HC'!Q163+'BTX Recycling HC'!Q118)</f>
        <v>85112.429552916961</v>
      </c>
      <c r="AY102" s="576">
        <f>AY43-'Overall recycling rates'!$G$61/SUM('Overall recycling rates'!$G$60:$G$62)*('BTX Recycling HC'!R222+'BTX Recycling HC'!R249+'BTX Recycling HC'!R160+'BTX Recycling HC'!R115)-'Overall recycling rates'!$E$61/SUM('Overall recycling rates'!$E$60:$E$62)*('BTX Recycling HC'!R223+'BTX Recycling HC'!R250+'BTX Recycling HC'!R161+'BTX Recycling HC'!R116)-'Overall recycling rates'!$H$61/SUM('Overall recycling rates'!$H$60:$H$62)*('BTX Recycling HC'!R224+'BTX Recycling HC'!R251+'BTX Recycling HC'!R162+'BTX Recycling HC'!R117)-'Overall recycling rates'!$I$61/SUM('Overall recycling rates'!$I$60:$I$62)*('BTX Recycling HC'!R225+'BTX Recycling HC'!R252+'BTX Recycling HC'!R163+'BTX Recycling HC'!R118)</f>
        <v>84163.237670316987</v>
      </c>
      <c r="AZ102" s="576">
        <f>AZ43-'Overall recycling rates'!$G$61/SUM('Overall recycling rates'!$G$60:$G$62)*('BTX Recycling HC'!S222+'BTX Recycling HC'!S249+'BTX Recycling HC'!S160+'BTX Recycling HC'!S115)-'Overall recycling rates'!$E$61/SUM('Overall recycling rates'!$E$60:$E$62)*('BTX Recycling HC'!S223+'BTX Recycling HC'!S250+'BTX Recycling HC'!S161+'BTX Recycling HC'!S116)-'Overall recycling rates'!$H$61/SUM('Overall recycling rates'!$H$60:$H$62)*('BTX Recycling HC'!S224+'BTX Recycling HC'!S251+'BTX Recycling HC'!S162+'BTX Recycling HC'!S117)-'Overall recycling rates'!$I$61/SUM('Overall recycling rates'!$I$60:$I$62)*('BTX Recycling HC'!S225+'BTX Recycling HC'!S252+'BTX Recycling HC'!S163+'BTX Recycling HC'!S118)</f>
        <v>83306.552136091137</v>
      </c>
      <c r="BA102" s="576">
        <f>BA43-'Overall recycling rates'!$G$61/SUM('Overall recycling rates'!$G$60:$G$62)*('BTX Recycling HC'!T222+'BTX Recycling HC'!T249+'BTX Recycling HC'!T160+'BTX Recycling HC'!T115)-'Overall recycling rates'!$E$61/SUM('Overall recycling rates'!$E$60:$E$62)*('BTX Recycling HC'!T223+'BTX Recycling HC'!T250+'BTX Recycling HC'!T161+'BTX Recycling HC'!T116)-'Overall recycling rates'!$H$61/SUM('Overall recycling rates'!$H$60:$H$62)*('BTX Recycling HC'!T224+'BTX Recycling HC'!T251+'BTX Recycling HC'!T162+'BTX Recycling HC'!T117)-'Overall recycling rates'!$I$61/SUM('Overall recycling rates'!$I$60:$I$62)*('BTX Recycling HC'!T225+'BTX Recycling HC'!T252+'BTX Recycling HC'!T163+'BTX Recycling HC'!T118)</f>
        <v>82538.388402629353</v>
      </c>
      <c r="BB102" s="576">
        <f>BB43-'Overall recycling rates'!$G$61/SUM('Overall recycling rates'!$G$60:$G$62)*('BTX Recycling HC'!U222+'BTX Recycling HC'!U249+'BTX Recycling HC'!U160+'BTX Recycling HC'!U115)-'Overall recycling rates'!$E$61/SUM('Overall recycling rates'!$E$60:$E$62)*('BTX Recycling HC'!U223+'BTX Recycling HC'!U250+'BTX Recycling HC'!U161+'BTX Recycling HC'!U116)-'Overall recycling rates'!$H$61/SUM('Overall recycling rates'!$H$60:$H$62)*('BTX Recycling HC'!U224+'BTX Recycling HC'!U251+'BTX Recycling HC'!U162+'BTX Recycling HC'!U117)-'Overall recycling rates'!$I$61/SUM('Overall recycling rates'!$I$60:$I$62)*('BTX Recycling HC'!U225+'BTX Recycling HC'!U252+'BTX Recycling HC'!U163+'BTX Recycling HC'!U118)</f>
        <v>81851.736390301623</v>
      </c>
      <c r="BC102" s="576">
        <f>BC43-'Overall recycling rates'!$G$61/SUM('Overall recycling rates'!$G$60:$G$62)*('BTX Recycling HC'!V222+'BTX Recycling HC'!V249+'BTX Recycling HC'!V160+'BTX Recycling HC'!V115)-'Overall recycling rates'!$E$61/SUM('Overall recycling rates'!$E$60:$E$62)*('BTX Recycling HC'!V223+'BTX Recycling HC'!V250+'BTX Recycling HC'!V161+'BTX Recycling HC'!V116)-'Overall recycling rates'!$H$61/SUM('Overall recycling rates'!$H$60:$H$62)*('BTX Recycling HC'!V224+'BTX Recycling HC'!V251+'BTX Recycling HC'!V162+'BTX Recycling HC'!V117)-'Overall recycling rates'!$I$61/SUM('Overall recycling rates'!$I$60:$I$62)*('BTX Recycling HC'!V225+'BTX Recycling HC'!V252+'BTX Recycling HC'!V163+'BTX Recycling HC'!V118)</f>
        <v>81239.484657504945</v>
      </c>
      <c r="BD102" s="576">
        <f>BD43-'Overall recycling rates'!$G$61/SUM('Overall recycling rates'!$G$60:$G$62)*('BTX Recycling HC'!W222+'BTX Recycling HC'!W249+'BTX Recycling HC'!W160+'BTX Recycling HC'!W115)-'Overall recycling rates'!$E$61/SUM('Overall recycling rates'!$E$60:$E$62)*('BTX Recycling HC'!W223+'BTX Recycling HC'!W250+'BTX Recycling HC'!W161+'BTX Recycling HC'!W116)-'Overall recycling rates'!$H$61/SUM('Overall recycling rates'!$H$60:$H$62)*('BTX Recycling HC'!W224+'BTX Recycling HC'!W251+'BTX Recycling HC'!W162+'BTX Recycling HC'!W117)-'Overall recycling rates'!$I$61/SUM('Overall recycling rates'!$I$60:$I$62)*('BTX Recycling HC'!W225+'BTX Recycling HC'!W252+'BTX Recycling HC'!W163+'BTX Recycling HC'!W118)</f>
        <v>80694.42351345162</v>
      </c>
      <c r="BE102" s="576">
        <f>BE43-'Overall recycling rates'!$G$61/SUM('Overall recycling rates'!$G$60:$G$62)*('BTX Recycling HC'!X222+'BTX Recycling HC'!X249+'BTX Recycling HC'!X160+'BTX Recycling HC'!X115)-'Overall recycling rates'!$E$61/SUM('Overall recycling rates'!$E$60:$E$62)*('BTX Recycling HC'!X223+'BTX Recycling HC'!X250+'BTX Recycling HC'!X161+'BTX Recycling HC'!X116)-'Overall recycling rates'!$H$61/SUM('Overall recycling rates'!$H$60:$H$62)*('BTX Recycling HC'!X224+'BTX Recycling HC'!X251+'BTX Recycling HC'!X162+'BTX Recycling HC'!X117)-'Overall recycling rates'!$I$61/SUM('Overall recycling rates'!$I$60:$I$62)*('BTX Recycling HC'!X225+'BTX Recycling HC'!X252+'BTX Recycling HC'!X163+'BTX Recycling HC'!X118)</f>
        <v>79866.301164391596</v>
      </c>
      <c r="BF102" s="576">
        <f>BF43-'Overall recycling rates'!$G$61/SUM('Overall recycling rates'!$G$60:$G$62)*('BTX Recycling HC'!Y222+'BTX Recycling HC'!Y249+'BTX Recycling HC'!Y160+'BTX Recycling HC'!Y115)-'Overall recycling rates'!$E$61/SUM('Overall recycling rates'!$E$60:$E$62)*('BTX Recycling HC'!Y223+'BTX Recycling HC'!Y250+'BTX Recycling HC'!Y161+'BTX Recycling HC'!Y116)-'Overall recycling rates'!$H$61/SUM('Overall recycling rates'!$H$60:$H$62)*('BTX Recycling HC'!Y224+'BTX Recycling HC'!Y251+'BTX Recycling HC'!Y162+'BTX Recycling HC'!Y117)-'Overall recycling rates'!$I$61/SUM('Overall recycling rates'!$I$60:$I$62)*('BTX Recycling HC'!Y225+'BTX Recycling HC'!Y252+'BTX Recycling HC'!Y163+'BTX Recycling HC'!Y118)</f>
        <v>79097.078673955883</v>
      </c>
      <c r="BG102" s="576">
        <f>BG43-'Overall recycling rates'!$G$61/SUM('Overall recycling rates'!$G$60:$G$62)*('BTX Recycling HC'!Z222+'BTX Recycling HC'!Z249+'BTX Recycling HC'!Z160+'BTX Recycling HC'!Z115)-'Overall recycling rates'!$E$61/SUM('Overall recycling rates'!$E$60:$E$62)*('BTX Recycling HC'!Z223+'BTX Recycling HC'!Z250+'BTX Recycling HC'!Z161+'BTX Recycling HC'!Z116)-'Overall recycling rates'!$H$61/SUM('Overall recycling rates'!$H$60:$H$62)*('BTX Recycling HC'!Z224+'BTX Recycling HC'!Z251+'BTX Recycling HC'!Z162+'BTX Recycling HC'!Z117)-'Overall recycling rates'!$I$61/SUM('Overall recycling rates'!$I$60:$I$62)*('BTX Recycling HC'!Z225+'BTX Recycling HC'!Z252+'BTX Recycling HC'!Z163+'BTX Recycling HC'!Z118)</f>
        <v>78385.887485187443</v>
      </c>
      <c r="BH102" s="576">
        <f>BH43-'Overall recycling rates'!$G$61/SUM('Overall recycling rates'!$G$60:$G$62)*('BTX Recycling HC'!AA222+'BTX Recycling HC'!AA249+'BTX Recycling HC'!AA160+'BTX Recycling HC'!AA115)-'Overall recycling rates'!$E$61/SUM('Overall recycling rates'!$E$60:$E$62)*('BTX Recycling HC'!AA223+'BTX Recycling HC'!AA250+'BTX Recycling HC'!AA161+'BTX Recycling HC'!AA116)-'Overall recycling rates'!$H$61/SUM('Overall recycling rates'!$H$60:$H$62)*('BTX Recycling HC'!AA224+'BTX Recycling HC'!AA251+'BTX Recycling HC'!AA162+'BTX Recycling HC'!AA117)-'Overall recycling rates'!$I$61/SUM('Overall recycling rates'!$I$60:$I$62)*('BTX Recycling HC'!AA225+'BTX Recycling HC'!AA252+'BTX Recycling HC'!AA163+'BTX Recycling HC'!AA118)</f>
        <v>77723.4012225935</v>
      </c>
      <c r="BI102" s="576">
        <f>BI43-'Overall recycling rates'!$G$61/SUM('Overall recycling rates'!$G$60:$G$62)*('BTX Recycling HC'!AB222+'BTX Recycling HC'!AB249+'BTX Recycling HC'!AB160+'BTX Recycling HC'!AB115)-'Overall recycling rates'!$E$61/SUM('Overall recycling rates'!$E$60:$E$62)*('BTX Recycling HC'!AB223+'BTX Recycling HC'!AB250+'BTX Recycling HC'!AB161+'BTX Recycling HC'!AB116)-'Overall recycling rates'!$H$61/SUM('Overall recycling rates'!$H$60:$H$62)*('BTX Recycling HC'!AB224+'BTX Recycling HC'!AB251+'BTX Recycling HC'!AB162+'BTX Recycling HC'!AB117)-'Overall recycling rates'!$I$61/SUM('Overall recycling rates'!$I$60:$I$62)*('BTX Recycling HC'!AB225+'BTX Recycling HC'!AB252+'BTX Recycling HC'!AB163+'BTX Recycling HC'!AB118)</f>
        <v>77104.399288236702</v>
      </c>
      <c r="BJ102" s="576">
        <f>BJ43-'Overall recycling rates'!$G$61/SUM('Overall recycling rates'!$G$60:$G$62)*('BTX Recycling HC'!AC222+'BTX Recycling HC'!AC249+'BTX Recycling HC'!AC160+'BTX Recycling HC'!AC115)-'Overall recycling rates'!$E$61/SUM('Overall recycling rates'!$E$60:$E$62)*('BTX Recycling HC'!AC223+'BTX Recycling HC'!AC250+'BTX Recycling HC'!AC161+'BTX Recycling HC'!AC116)-'Overall recycling rates'!$H$61/SUM('Overall recycling rates'!$H$60:$H$62)*('BTX Recycling HC'!AC224+'BTX Recycling HC'!AC251+'BTX Recycling HC'!AC162+'BTX Recycling HC'!AC117)-'Overall recycling rates'!$I$61/SUM('Overall recycling rates'!$I$60:$I$62)*('BTX Recycling HC'!AC225+'BTX Recycling HC'!AC252+'BTX Recycling HC'!AC163+'BTX Recycling HC'!AC118)</f>
        <v>76533.48063877337</v>
      </c>
      <c r="BK102" s="576">
        <f>BK43-'Overall recycling rates'!$G$61/SUM('Overall recycling rates'!$G$60:$G$62)*('BTX Recycling HC'!AD222+'BTX Recycling HC'!AD249+'BTX Recycling HC'!AD160+'BTX Recycling HC'!AD115)-'Overall recycling rates'!$E$61/SUM('Overall recycling rates'!$E$60:$E$62)*('BTX Recycling HC'!AD223+'BTX Recycling HC'!AD250+'BTX Recycling HC'!AD161+'BTX Recycling HC'!AD116)-'Overall recycling rates'!$H$61/SUM('Overall recycling rates'!$H$60:$H$62)*('BTX Recycling HC'!AD224+'BTX Recycling HC'!AD251+'BTX Recycling HC'!AD162+'BTX Recycling HC'!AD117)-'Overall recycling rates'!$I$61/SUM('Overall recycling rates'!$I$60:$I$62)*('BTX Recycling HC'!AD225+'BTX Recycling HC'!AD252+'BTX Recycling HC'!AD163+'BTX Recycling HC'!AD118)</f>
        <v>75998.290708842003</v>
      </c>
      <c r="BL102" s="576">
        <f>BL43-'Overall recycling rates'!$G$61/SUM('Overall recycling rates'!$G$60:$G$62)*('BTX Recycling HC'!AE222+'BTX Recycling HC'!AE249+'BTX Recycling HC'!AE160+'BTX Recycling HC'!AE115)-'Overall recycling rates'!$E$61/SUM('Overall recycling rates'!$E$60:$E$62)*('BTX Recycling HC'!AE223+'BTX Recycling HC'!AE250+'BTX Recycling HC'!AE161+'BTX Recycling HC'!AE116)-'Overall recycling rates'!$H$61/SUM('Overall recycling rates'!$H$60:$H$62)*('BTX Recycling HC'!AE224+'BTX Recycling HC'!AE251+'BTX Recycling HC'!AE162+'BTX Recycling HC'!AE117)-'Overall recycling rates'!$I$61/SUM('Overall recycling rates'!$I$60:$I$62)*('BTX Recycling HC'!AE225+'BTX Recycling HC'!AE252+'BTX Recycling HC'!AE163+'BTX Recycling HC'!AE118)</f>
        <v>75493.974176657357</v>
      </c>
      <c r="BM102" s="576">
        <f>BM43-'Overall recycling rates'!$G$61/SUM('Overall recycling rates'!$G$60:$G$62)*('BTX Recycling HC'!AF222+'BTX Recycling HC'!AF249+'BTX Recycling HC'!AF160+'BTX Recycling HC'!AF115)-'Overall recycling rates'!$E$61/SUM('Overall recycling rates'!$E$60:$E$62)*('BTX Recycling HC'!AF223+'BTX Recycling HC'!AF250+'BTX Recycling HC'!AF161+'BTX Recycling HC'!AF116)-'Overall recycling rates'!$H$61/SUM('Overall recycling rates'!$H$60:$H$62)*('BTX Recycling HC'!AF224+'BTX Recycling HC'!AF251+'BTX Recycling HC'!AF162+'BTX Recycling HC'!AF117)-'Overall recycling rates'!$I$61/SUM('Overall recycling rates'!$I$60:$I$62)*('BTX Recycling HC'!AF225+'BTX Recycling HC'!AF252+'BTX Recycling HC'!AF163+'BTX Recycling HC'!AF118)</f>
        <v>75015.704482187852</v>
      </c>
      <c r="BN102" s="576">
        <f>BN43-'Overall recycling rates'!$G$61/SUM('Overall recycling rates'!$G$60:$G$62)*('BTX Recycling HC'!AG222+'BTX Recycling HC'!AG249+'BTX Recycling HC'!AG160+'BTX Recycling HC'!AG115)-'Overall recycling rates'!$E$61/SUM('Overall recycling rates'!$E$60:$E$62)*('BTX Recycling HC'!AG223+'BTX Recycling HC'!AG250+'BTX Recycling HC'!AG161+'BTX Recycling HC'!AG116)-'Overall recycling rates'!$H$61/SUM('Overall recycling rates'!$H$60:$H$62)*('BTX Recycling HC'!AG224+'BTX Recycling HC'!AG251+'BTX Recycling HC'!AG162+'BTX Recycling HC'!AG117)-'Overall recycling rates'!$I$61/SUM('Overall recycling rates'!$I$60:$I$62)*('BTX Recycling HC'!AG225+'BTX Recycling HC'!AG252+'BTX Recycling HC'!AG163+'BTX Recycling HC'!AG118)</f>
        <v>74558.688291333776</v>
      </c>
    </row>
    <row r="103" spans="1:90" s="62" customFormat="1" outlineLevel="1">
      <c r="A103" s="604"/>
      <c r="B103" s="58" t="s">
        <v>1170</v>
      </c>
      <c r="C103" s="233" t="s">
        <v>1420</v>
      </c>
      <c r="D103" s="579">
        <f>D44-'Overall recycling rates'!$G$62/SUM('Overall recycling rates'!$G$60:$G$62)*('BTX Recycling HC'!C222+'BTX Recycling HC'!C249+'BTX Recycling HC'!C160+'BTX Recycling HC'!C115)-'Overall recycling rates'!$E$62/SUM('Overall recycling rates'!$E$60:$E$62)*('BTX Recycling HC'!C223+'BTX Recycling HC'!C250+'BTX Recycling HC'!C161+'BTX Recycling HC'!C116)-'Overall recycling rates'!$H$62/SUM('Overall recycling rates'!$H$60:$H$62)*('BTX Recycling HC'!C224+'BTX Recycling HC'!C251+'BTX Recycling HC'!C162+'BTX Recycling HC'!C117)-'Overall recycling rates'!$I$62/SUM('Overall recycling rates'!$I$60:$I$62)*('BTX Recycling HC'!C225+'BTX Recycling HC'!C252+'BTX Recycling HC'!C163+'BTX Recycling HC'!C118)</f>
        <v>169542.77541474818</v>
      </c>
      <c r="E103" s="579">
        <f>E44-'Overall recycling rates'!$G$62/SUM('Overall recycling rates'!$G$60:$G$62)*('BTX Recycling HC'!D222+'BTX Recycling HC'!D249+'BTX Recycling HC'!D160+'BTX Recycling HC'!D115)-'Overall recycling rates'!$E$62/SUM('Overall recycling rates'!$E$60:$E$62)*('BTX Recycling HC'!D223+'BTX Recycling HC'!D250+'BTX Recycling HC'!D161+'BTX Recycling HC'!D116)-'Overall recycling rates'!$H$62/SUM('Overall recycling rates'!$H$60:$H$62)*('BTX Recycling HC'!D224+'BTX Recycling HC'!D251+'BTX Recycling HC'!D162+'BTX Recycling HC'!D117)-'Overall recycling rates'!$I$62/SUM('Overall recycling rates'!$I$60:$I$62)*('BTX Recycling HC'!D225+'BTX Recycling HC'!D252+'BTX Recycling HC'!D163+'BTX Recycling HC'!D118)</f>
        <v>167177.98759977124</v>
      </c>
      <c r="F103" s="579">
        <f>F44-'Overall recycling rates'!$G$62/SUM('Overall recycling rates'!$G$60:$G$62)*('BTX Recycling HC'!E222+'BTX Recycling HC'!E249+'BTX Recycling HC'!E160+'BTX Recycling HC'!E115)-'Overall recycling rates'!$E$62/SUM('Overall recycling rates'!$E$60:$E$62)*('BTX Recycling HC'!E223+'BTX Recycling HC'!E250+'BTX Recycling HC'!E161+'BTX Recycling HC'!E116)-'Overall recycling rates'!$H$62/SUM('Overall recycling rates'!$H$60:$H$62)*('BTX Recycling HC'!E224+'BTX Recycling HC'!E251+'BTX Recycling HC'!E162+'BTX Recycling HC'!E117)-'Overall recycling rates'!$I$62/SUM('Overall recycling rates'!$I$60:$I$62)*('BTX Recycling HC'!E225+'BTX Recycling HC'!E252+'BTX Recycling HC'!E163+'BTX Recycling HC'!E118)</f>
        <v>166263.99738441326</v>
      </c>
      <c r="G103" s="579">
        <f>G44-'Overall recycling rates'!$G$62/SUM('Overall recycling rates'!$G$60:$G$62)*('BTX Recycling HC'!F222+'BTX Recycling HC'!F249+'BTX Recycling HC'!F160+'BTX Recycling HC'!F115)-'Overall recycling rates'!$E$62/SUM('Overall recycling rates'!$E$60:$E$62)*('BTX Recycling HC'!F223+'BTX Recycling HC'!F250+'BTX Recycling HC'!F161+'BTX Recycling HC'!F116)-'Overall recycling rates'!$H$62/SUM('Overall recycling rates'!$H$60:$H$62)*('BTX Recycling HC'!F224+'BTX Recycling HC'!F251+'BTX Recycling HC'!F162+'BTX Recycling HC'!F117)-'Overall recycling rates'!$I$62/SUM('Overall recycling rates'!$I$60:$I$62)*('BTX Recycling HC'!F225+'BTX Recycling HC'!F252+'BTX Recycling HC'!F163+'BTX Recycling HC'!F118)</f>
        <v>165630.90128803728</v>
      </c>
      <c r="H103" s="579">
        <f>H44-'Overall recycling rates'!$G$62/SUM('Overall recycling rates'!$G$60:$G$62)*('BTX Recycling HC'!G222+'BTX Recycling HC'!G249+'BTX Recycling HC'!G160+'BTX Recycling HC'!G115)-'Overall recycling rates'!$E$62/SUM('Overall recycling rates'!$E$60:$E$62)*('BTX Recycling HC'!G223+'BTX Recycling HC'!G250+'BTX Recycling HC'!G161+'BTX Recycling HC'!G116)-'Overall recycling rates'!$H$62/SUM('Overall recycling rates'!$H$60:$H$62)*('BTX Recycling HC'!G224+'BTX Recycling HC'!G251+'BTX Recycling HC'!G162+'BTX Recycling HC'!G117)-'Overall recycling rates'!$I$62/SUM('Overall recycling rates'!$I$60:$I$62)*('BTX Recycling HC'!G225+'BTX Recycling HC'!G252+'BTX Recycling HC'!G163+'BTX Recycling HC'!G118)</f>
        <v>165572.92368108904</v>
      </c>
      <c r="I103" s="579">
        <f>I44-'Overall recycling rates'!$G$62/SUM('Overall recycling rates'!$G$60:$G$62)*('BTX Recycling HC'!H222+'BTX Recycling HC'!H249+'BTX Recycling HC'!H160+'BTX Recycling HC'!H115)-'Overall recycling rates'!$E$62/SUM('Overall recycling rates'!$E$60:$E$62)*('BTX Recycling HC'!H223+'BTX Recycling HC'!H250+'BTX Recycling HC'!H161+'BTX Recycling HC'!H116)-'Overall recycling rates'!$H$62/SUM('Overall recycling rates'!$H$60:$H$62)*('BTX Recycling HC'!H224+'BTX Recycling HC'!H251+'BTX Recycling HC'!H162+'BTX Recycling HC'!H117)-'Overall recycling rates'!$I$62/SUM('Overall recycling rates'!$I$60:$I$62)*('BTX Recycling HC'!H225+'BTX Recycling HC'!H252+'BTX Recycling HC'!H163+'BTX Recycling HC'!H118)</f>
        <v>166020.01851031272</v>
      </c>
      <c r="J103" s="579">
        <f>J44-'Overall recycling rates'!$G$62/SUM('Overall recycling rates'!$G$60:$G$62)*('BTX Recycling HC'!I222+'BTX Recycling HC'!I249+'BTX Recycling HC'!I160+'BTX Recycling HC'!I115)-'Overall recycling rates'!$E$62/SUM('Overall recycling rates'!$E$60:$E$62)*('BTX Recycling HC'!I223+'BTX Recycling HC'!I250+'BTX Recycling HC'!I161+'BTX Recycling HC'!I116)-'Overall recycling rates'!$H$62/SUM('Overall recycling rates'!$H$60:$H$62)*('BTX Recycling HC'!I224+'BTX Recycling HC'!I251+'BTX Recycling HC'!I162+'BTX Recycling HC'!I117)-'Overall recycling rates'!$I$62/SUM('Overall recycling rates'!$I$60:$I$62)*('BTX Recycling HC'!I225+'BTX Recycling HC'!I252+'BTX Recycling HC'!I163+'BTX Recycling HC'!I118)</f>
        <v>166913.04614707173</v>
      </c>
      <c r="K103" s="579">
        <f>K44-'Overall recycling rates'!$G$62/SUM('Overall recycling rates'!$G$60:$G$62)*('BTX Recycling HC'!J222+'BTX Recycling HC'!J249+'BTX Recycling HC'!J160+'BTX Recycling HC'!J115)-'Overall recycling rates'!$E$62/SUM('Overall recycling rates'!$E$60:$E$62)*('BTX Recycling HC'!J223+'BTX Recycling HC'!J250+'BTX Recycling HC'!J161+'BTX Recycling HC'!J116)-'Overall recycling rates'!$H$62/SUM('Overall recycling rates'!$H$60:$H$62)*('BTX Recycling HC'!J224+'BTX Recycling HC'!J251+'BTX Recycling HC'!J162+'BTX Recycling HC'!J117)-'Overall recycling rates'!$I$62/SUM('Overall recycling rates'!$I$60:$I$62)*('BTX Recycling HC'!J225+'BTX Recycling HC'!J252+'BTX Recycling HC'!J163+'BTX Recycling HC'!J118)</f>
        <v>168185.19682005513</v>
      </c>
      <c r="L103" s="579">
        <f>L44-'Overall recycling rates'!$G$62/SUM('Overall recycling rates'!$G$60:$G$62)*('BTX Recycling HC'!K222+'BTX Recycling HC'!K249+'BTX Recycling HC'!K160+'BTX Recycling HC'!K115)-'Overall recycling rates'!$E$62/SUM('Overall recycling rates'!$E$60:$E$62)*('BTX Recycling HC'!K223+'BTX Recycling HC'!K250+'BTX Recycling HC'!K161+'BTX Recycling HC'!K116)-'Overall recycling rates'!$H$62/SUM('Overall recycling rates'!$H$60:$H$62)*('BTX Recycling HC'!K224+'BTX Recycling HC'!K251+'BTX Recycling HC'!K162+'BTX Recycling HC'!K117)-'Overall recycling rates'!$I$62/SUM('Overall recycling rates'!$I$60:$I$62)*('BTX Recycling HC'!K225+'BTX Recycling HC'!K252+'BTX Recycling HC'!K163+'BTX Recycling HC'!K118)</f>
        <v>169775.35116261616</v>
      </c>
      <c r="M103" s="579">
        <f>M44-'Overall recycling rates'!$G$62/SUM('Overall recycling rates'!$G$60:$G$62)*('BTX Recycling HC'!L222+'BTX Recycling HC'!L249+'BTX Recycling HC'!L160+'BTX Recycling HC'!L115)-'Overall recycling rates'!$E$62/SUM('Overall recycling rates'!$E$60:$E$62)*('BTX Recycling HC'!L223+'BTX Recycling HC'!L250+'BTX Recycling HC'!L161+'BTX Recycling HC'!L116)-'Overall recycling rates'!$H$62/SUM('Overall recycling rates'!$H$60:$H$62)*('BTX Recycling HC'!L224+'BTX Recycling HC'!L251+'BTX Recycling HC'!L162+'BTX Recycling HC'!L117)-'Overall recycling rates'!$I$62/SUM('Overall recycling rates'!$I$60:$I$62)*('BTX Recycling HC'!L225+'BTX Recycling HC'!L252+'BTX Recycling HC'!L163+'BTX Recycling HC'!L118)</f>
        <v>171624.87573107128</v>
      </c>
      <c r="N103" s="579">
        <f>N44-'Overall recycling rates'!$G$62/SUM('Overall recycling rates'!$G$60:$G$62)*('BTX Recycling HC'!M222+'BTX Recycling HC'!M249+'BTX Recycling HC'!M160+'BTX Recycling HC'!M115)-'Overall recycling rates'!$E$62/SUM('Overall recycling rates'!$E$60:$E$62)*('BTX Recycling HC'!M223+'BTX Recycling HC'!M250+'BTX Recycling HC'!M161+'BTX Recycling HC'!M116)-'Overall recycling rates'!$H$62/SUM('Overall recycling rates'!$H$60:$H$62)*('BTX Recycling HC'!M224+'BTX Recycling HC'!M251+'BTX Recycling HC'!M162+'BTX Recycling HC'!M117)-'Overall recycling rates'!$I$62/SUM('Overall recycling rates'!$I$60:$I$62)*('BTX Recycling HC'!M225+'BTX Recycling HC'!M252+'BTX Recycling HC'!M163+'BTX Recycling HC'!M118)</f>
        <v>173677.71699100637</v>
      </c>
      <c r="O103" s="579">
        <f>O44-'Overall recycling rates'!$G$62/SUM('Overall recycling rates'!$G$60:$G$62)*('BTX Recycling HC'!N222+'BTX Recycling HC'!N249+'BTX Recycling HC'!N160+'BTX Recycling HC'!N115)-'Overall recycling rates'!$E$62/SUM('Overall recycling rates'!$E$60:$E$62)*('BTX Recycling HC'!N223+'BTX Recycling HC'!N250+'BTX Recycling HC'!N161+'BTX Recycling HC'!N116)-'Overall recycling rates'!$H$62/SUM('Overall recycling rates'!$H$60:$H$62)*('BTX Recycling HC'!N224+'BTX Recycling HC'!N251+'BTX Recycling HC'!N162+'BTX Recycling HC'!N117)-'Overall recycling rates'!$I$62/SUM('Overall recycling rates'!$I$60:$I$62)*('BTX Recycling HC'!N225+'BTX Recycling HC'!N252+'BTX Recycling HC'!N163+'BTX Recycling HC'!N118)</f>
        <v>180888.75782870234</v>
      </c>
      <c r="P103" s="579">
        <f>P44-'Overall recycling rates'!$G$62/SUM('Overall recycling rates'!$G$60:$G$62)*('BTX Recycling HC'!O222+'BTX Recycling HC'!O249+'BTX Recycling HC'!O160+'BTX Recycling HC'!O115)-'Overall recycling rates'!$E$62/SUM('Overall recycling rates'!$E$60:$E$62)*('BTX Recycling HC'!O223+'BTX Recycling HC'!O250+'BTX Recycling HC'!O161+'BTX Recycling HC'!O116)-'Overall recycling rates'!$H$62/SUM('Overall recycling rates'!$H$60:$H$62)*('BTX Recycling HC'!O224+'BTX Recycling HC'!O251+'BTX Recycling HC'!O162+'BTX Recycling HC'!O117)-'Overall recycling rates'!$I$62/SUM('Overall recycling rates'!$I$60:$I$62)*('BTX Recycling HC'!O225+'BTX Recycling HC'!O252+'BTX Recycling HC'!O163+'BTX Recycling HC'!O118)</f>
        <v>187413.6593769209</v>
      </c>
      <c r="Q103" s="579">
        <f>Q44-'Overall recycling rates'!$G$62/SUM('Overall recycling rates'!$G$60:$G$62)*('BTX Recycling HC'!P222+'BTX Recycling HC'!P249+'BTX Recycling HC'!P160+'BTX Recycling HC'!P115)-'Overall recycling rates'!$E$62/SUM('Overall recycling rates'!$E$60:$E$62)*('BTX Recycling HC'!P223+'BTX Recycling HC'!P250+'BTX Recycling HC'!P161+'BTX Recycling HC'!P116)-'Overall recycling rates'!$H$62/SUM('Overall recycling rates'!$H$60:$H$62)*('BTX Recycling HC'!P224+'BTX Recycling HC'!P251+'BTX Recycling HC'!P162+'BTX Recycling HC'!P117)-'Overall recycling rates'!$I$62/SUM('Overall recycling rates'!$I$60:$I$62)*('BTX Recycling HC'!P225+'BTX Recycling HC'!P252+'BTX Recycling HC'!P163+'BTX Recycling HC'!P118)</f>
        <v>193266.36108742398</v>
      </c>
      <c r="R103" s="579">
        <f>R44-'Overall recycling rates'!$G$62/SUM('Overall recycling rates'!$G$60:$G$62)*('BTX Recycling HC'!Q222+'BTX Recycling HC'!Q249+'BTX Recycling HC'!Q160+'BTX Recycling HC'!Q115)-'Overall recycling rates'!$E$62/SUM('Overall recycling rates'!$E$60:$E$62)*('BTX Recycling HC'!Q223+'BTX Recycling HC'!Q250+'BTX Recycling HC'!Q161+'BTX Recycling HC'!Q116)-'Overall recycling rates'!$H$62/SUM('Overall recycling rates'!$H$60:$H$62)*('BTX Recycling HC'!Q224+'BTX Recycling HC'!Q251+'BTX Recycling HC'!Q162+'BTX Recycling HC'!Q117)-'Overall recycling rates'!$I$62/SUM('Overall recycling rates'!$I$60:$I$62)*('BTX Recycling HC'!Q225+'BTX Recycling HC'!Q252+'BTX Recycling HC'!Q163+'BTX Recycling HC'!Q118)</f>
        <v>198459.7684846601</v>
      </c>
      <c r="S103" s="579">
        <f>S44-'Overall recycling rates'!$G$62/SUM('Overall recycling rates'!$G$60:$G$62)*('BTX Recycling HC'!R222+'BTX Recycling HC'!R249+'BTX Recycling HC'!R160+'BTX Recycling HC'!R115)-'Overall recycling rates'!$E$62/SUM('Overall recycling rates'!$E$60:$E$62)*('BTX Recycling HC'!R223+'BTX Recycling HC'!R250+'BTX Recycling HC'!R161+'BTX Recycling HC'!R116)-'Overall recycling rates'!$H$62/SUM('Overall recycling rates'!$H$60:$H$62)*('BTX Recycling HC'!R224+'BTX Recycling HC'!R251+'BTX Recycling HC'!R162+'BTX Recycling HC'!R117)-'Overall recycling rates'!$I$62/SUM('Overall recycling rates'!$I$60:$I$62)*('BTX Recycling HC'!R225+'BTX Recycling HC'!R252+'BTX Recycling HC'!R163+'BTX Recycling HC'!R118)</f>
        <v>203009.19944945004</v>
      </c>
      <c r="T103" s="579">
        <f>T44-'Overall recycling rates'!$G$62/SUM('Overall recycling rates'!$G$60:$G$62)*('BTX Recycling HC'!S222+'BTX Recycling HC'!S249+'BTX Recycling HC'!S160+'BTX Recycling HC'!S115)-'Overall recycling rates'!$E$62/SUM('Overall recycling rates'!$E$60:$E$62)*('BTX Recycling HC'!S223+'BTX Recycling HC'!S250+'BTX Recycling HC'!S161+'BTX Recycling HC'!S116)-'Overall recycling rates'!$H$62/SUM('Overall recycling rates'!$H$60:$H$62)*('BTX Recycling HC'!S224+'BTX Recycling HC'!S251+'BTX Recycling HC'!S162+'BTX Recycling HC'!S117)-'Overall recycling rates'!$I$62/SUM('Overall recycling rates'!$I$60:$I$62)*('BTX Recycling HC'!S225+'BTX Recycling HC'!S252+'BTX Recycling HC'!S163+'BTX Recycling HC'!S118)</f>
        <v>206890.31553844703</v>
      </c>
      <c r="U103" s="579">
        <f>U44-'Overall recycling rates'!$G$62/SUM('Overall recycling rates'!$G$60:$G$62)*('BTX Recycling HC'!T222+'BTX Recycling HC'!T249+'BTX Recycling HC'!T160+'BTX Recycling HC'!T115)-'Overall recycling rates'!$E$62/SUM('Overall recycling rates'!$E$60:$E$62)*('BTX Recycling HC'!T223+'BTX Recycling HC'!T250+'BTX Recycling HC'!T161+'BTX Recycling HC'!T116)-'Overall recycling rates'!$H$62/SUM('Overall recycling rates'!$H$60:$H$62)*('BTX Recycling HC'!T224+'BTX Recycling HC'!T251+'BTX Recycling HC'!T162+'BTX Recycling HC'!T117)-'Overall recycling rates'!$I$62/SUM('Overall recycling rates'!$I$60:$I$62)*('BTX Recycling HC'!T225+'BTX Recycling HC'!T252+'BTX Recycling HC'!T163+'BTX Recycling HC'!T118)</f>
        <v>210146.69720791592</v>
      </c>
      <c r="V103" s="579">
        <f>V44-'Overall recycling rates'!$G$62/SUM('Overall recycling rates'!$G$60:$G$62)*('BTX Recycling HC'!U222+'BTX Recycling HC'!U249+'BTX Recycling HC'!U160+'BTX Recycling HC'!U115)-'Overall recycling rates'!$E$62/SUM('Overall recycling rates'!$E$60:$E$62)*('BTX Recycling HC'!U223+'BTX Recycling HC'!U250+'BTX Recycling HC'!U161+'BTX Recycling HC'!U116)-'Overall recycling rates'!$H$62/SUM('Overall recycling rates'!$H$60:$H$62)*('BTX Recycling HC'!U224+'BTX Recycling HC'!U251+'BTX Recycling HC'!U162+'BTX Recycling HC'!U117)-'Overall recycling rates'!$I$62/SUM('Overall recycling rates'!$I$60:$I$62)*('BTX Recycling HC'!U225+'BTX Recycling HC'!U252+'BTX Recycling HC'!U163+'BTX Recycling HC'!U118)</f>
        <v>212794.86601926875</v>
      </c>
      <c r="W103" s="579">
        <f>W44-'Overall recycling rates'!$G$62/SUM('Overall recycling rates'!$G$60:$G$62)*('BTX Recycling HC'!V222+'BTX Recycling HC'!V249+'BTX Recycling HC'!V160+'BTX Recycling HC'!V115)-'Overall recycling rates'!$E$62/SUM('Overall recycling rates'!$E$60:$E$62)*('BTX Recycling HC'!V223+'BTX Recycling HC'!V250+'BTX Recycling HC'!V161+'BTX Recycling HC'!V116)-'Overall recycling rates'!$H$62/SUM('Overall recycling rates'!$H$60:$H$62)*('BTX Recycling HC'!V224+'BTX Recycling HC'!V251+'BTX Recycling HC'!V162+'BTX Recycling HC'!V117)-'Overall recycling rates'!$I$62/SUM('Overall recycling rates'!$I$60:$I$62)*('BTX Recycling HC'!V225+'BTX Recycling HC'!V252+'BTX Recycling HC'!V163+'BTX Recycling HC'!V118)</f>
        <v>214852.5301581336</v>
      </c>
      <c r="X103" s="579">
        <f>X44-'Overall recycling rates'!$G$62/SUM('Overall recycling rates'!$G$60:$G$62)*('BTX Recycling HC'!W222+'BTX Recycling HC'!W249+'BTX Recycling HC'!W160+'BTX Recycling HC'!W115)-'Overall recycling rates'!$E$62/SUM('Overall recycling rates'!$E$60:$E$62)*('BTX Recycling HC'!W223+'BTX Recycling HC'!W250+'BTX Recycling HC'!W161+'BTX Recycling HC'!W116)-'Overall recycling rates'!$H$62/SUM('Overall recycling rates'!$H$60:$H$62)*('BTX Recycling HC'!W224+'BTX Recycling HC'!W251+'BTX Recycling HC'!W162+'BTX Recycling HC'!W117)-'Overall recycling rates'!$I$62/SUM('Overall recycling rates'!$I$60:$I$62)*('BTX Recycling HC'!W225+'BTX Recycling HC'!W252+'BTX Recycling HC'!W163+'BTX Recycling HC'!W118)</f>
        <v>216338.61644557369</v>
      </c>
      <c r="Y103" s="579">
        <f>Y44-'Overall recycling rates'!$G$62/SUM('Overall recycling rates'!$G$60:$G$62)*('BTX Recycling HC'!X222+'BTX Recycling HC'!X249+'BTX Recycling HC'!X160+'BTX Recycling HC'!X115)-'Overall recycling rates'!$E$62/SUM('Overall recycling rates'!$E$60:$E$62)*('BTX Recycling HC'!X223+'BTX Recycling HC'!X250+'BTX Recycling HC'!X161+'BTX Recycling HC'!X116)-'Overall recycling rates'!$H$62/SUM('Overall recycling rates'!$H$60:$H$62)*('BTX Recycling HC'!X224+'BTX Recycling HC'!X251+'BTX Recycling HC'!X162+'BTX Recycling HC'!X117)-'Overall recycling rates'!$I$62/SUM('Overall recycling rates'!$I$60:$I$62)*('BTX Recycling HC'!X225+'BTX Recycling HC'!X252+'BTX Recycling HC'!X163+'BTX Recycling HC'!X118)</f>
        <v>216573.22021529707</v>
      </c>
      <c r="Z103" s="579">
        <f>Z44-'Overall recycling rates'!$G$62/SUM('Overall recycling rates'!$G$60:$G$62)*('BTX Recycling HC'!Y222+'BTX Recycling HC'!Y249+'BTX Recycling HC'!Y160+'BTX Recycling HC'!Y115)-'Overall recycling rates'!$E$62/SUM('Overall recycling rates'!$E$60:$E$62)*('BTX Recycling HC'!Y223+'BTX Recycling HC'!Y250+'BTX Recycling HC'!Y161+'BTX Recycling HC'!Y116)-'Overall recycling rates'!$H$62/SUM('Overall recycling rates'!$H$60:$H$62)*('BTX Recycling HC'!Y224+'BTX Recycling HC'!Y251+'BTX Recycling HC'!Y162+'BTX Recycling HC'!Y117)-'Overall recycling rates'!$I$62/SUM('Overall recycling rates'!$I$60:$I$62)*('BTX Recycling HC'!Y225+'BTX Recycling HC'!Y252+'BTX Recycling HC'!Y163+'BTX Recycling HC'!Y118)</f>
        <v>216342.45144592618</v>
      </c>
      <c r="AA103" s="579">
        <f>AA44-'Overall recycling rates'!$G$62/SUM('Overall recycling rates'!$G$60:$G$62)*('BTX Recycling HC'!Z222+'BTX Recycling HC'!Z249+'BTX Recycling HC'!Z160+'BTX Recycling HC'!Z115)-'Overall recycling rates'!$E$62/SUM('Overall recycling rates'!$E$60:$E$62)*('BTX Recycling HC'!Z223+'BTX Recycling HC'!Z250+'BTX Recycling HC'!Z161+'BTX Recycling HC'!Z116)-'Overall recycling rates'!$H$62/SUM('Overall recycling rates'!$H$60:$H$62)*('BTX Recycling HC'!Z224+'BTX Recycling HC'!Z251+'BTX Recycling HC'!Z162+'BTX Recycling HC'!Z117)-'Overall recycling rates'!$I$62/SUM('Overall recycling rates'!$I$60:$I$62)*('BTX Recycling HC'!Z225+'BTX Recycling HC'!Z252+'BTX Recycling HC'!Z163+'BTX Recycling HC'!Z118)</f>
        <v>215665.67721388637</v>
      </c>
      <c r="AB103" s="579">
        <f>AB44-'Overall recycling rates'!$G$62/SUM('Overall recycling rates'!$G$60:$G$62)*('BTX Recycling HC'!AA222+'BTX Recycling HC'!AA249+'BTX Recycling HC'!AA160+'BTX Recycling HC'!AA115)-'Overall recycling rates'!$E$62/SUM('Overall recycling rates'!$E$60:$E$62)*('BTX Recycling HC'!AA223+'BTX Recycling HC'!AA250+'BTX Recycling HC'!AA161+'BTX Recycling HC'!AA116)-'Overall recycling rates'!$H$62/SUM('Overall recycling rates'!$H$60:$H$62)*('BTX Recycling HC'!AA224+'BTX Recycling HC'!AA251+'BTX Recycling HC'!AA162+'BTX Recycling HC'!AA117)-'Overall recycling rates'!$I$62/SUM('Overall recycling rates'!$I$60:$I$62)*('BTX Recycling HC'!AA225+'BTX Recycling HC'!AA252+'BTX Recycling HC'!AA163+'BTX Recycling HC'!AA118)</f>
        <v>214556.67105802204</v>
      </c>
      <c r="AC103" s="579">
        <f>AC44-'Overall recycling rates'!$G$62/SUM('Overall recycling rates'!$G$60:$G$62)*('BTX Recycling HC'!AB222+'BTX Recycling HC'!AB249+'BTX Recycling HC'!AB160+'BTX Recycling HC'!AB115)-'Overall recycling rates'!$E$62/SUM('Overall recycling rates'!$E$60:$E$62)*('BTX Recycling HC'!AB223+'BTX Recycling HC'!AB250+'BTX Recycling HC'!AB161+'BTX Recycling HC'!AB116)-'Overall recycling rates'!$H$62/SUM('Overall recycling rates'!$H$60:$H$62)*('BTX Recycling HC'!AB224+'BTX Recycling HC'!AB251+'BTX Recycling HC'!AB162+'BTX Recycling HC'!AB117)-'Overall recycling rates'!$I$62/SUM('Overall recycling rates'!$I$60:$I$62)*('BTX Recycling HC'!AB225+'BTX Recycling HC'!AB252+'BTX Recycling HC'!AB163+'BTX Recycling HC'!AB118)</f>
        <v>213034.18088739709</v>
      </c>
      <c r="AD103" s="579">
        <f>AD44-'Overall recycling rates'!$G$62/SUM('Overall recycling rates'!$G$60:$G$62)*('BTX Recycling HC'!AC222+'BTX Recycling HC'!AC249+'BTX Recycling HC'!AC160+'BTX Recycling HC'!AC115)-'Overall recycling rates'!$E$62/SUM('Overall recycling rates'!$E$60:$E$62)*('BTX Recycling HC'!AC223+'BTX Recycling HC'!AC250+'BTX Recycling HC'!AC161+'BTX Recycling HC'!AC116)-'Overall recycling rates'!$H$62/SUM('Overall recycling rates'!$H$60:$H$62)*('BTX Recycling HC'!AC224+'BTX Recycling HC'!AC251+'BTX Recycling HC'!AC162+'BTX Recycling HC'!AC117)-'Overall recycling rates'!$I$62/SUM('Overall recycling rates'!$I$60:$I$62)*('BTX Recycling HC'!AC225+'BTX Recycling HC'!AC252+'BTX Recycling HC'!AC163+'BTX Recycling HC'!AC118)</f>
        <v>211213.49737566678</v>
      </c>
      <c r="AE103" s="579">
        <f>AE44-'Overall recycling rates'!$G$62/SUM('Overall recycling rates'!$G$60:$G$62)*('BTX Recycling HC'!AD222+'BTX Recycling HC'!AD249+'BTX Recycling HC'!AD160+'BTX Recycling HC'!AD115)-'Overall recycling rates'!$E$62/SUM('Overall recycling rates'!$E$60:$E$62)*('BTX Recycling HC'!AD223+'BTX Recycling HC'!AD250+'BTX Recycling HC'!AD161+'BTX Recycling HC'!AD116)-'Overall recycling rates'!$H$62/SUM('Overall recycling rates'!$H$60:$H$62)*('BTX Recycling HC'!AD224+'BTX Recycling HC'!AD251+'BTX Recycling HC'!AD162+'BTX Recycling HC'!AD117)-'Overall recycling rates'!$I$62/SUM('Overall recycling rates'!$I$60:$I$62)*('BTX Recycling HC'!AD225+'BTX Recycling HC'!AD252+'BTX Recycling HC'!AD163+'BTX Recycling HC'!AD118)</f>
        <v>209047.87119011747</v>
      </c>
      <c r="AF103" s="579">
        <f>AF44-'Overall recycling rates'!$G$62/SUM('Overall recycling rates'!$G$60:$G$62)*('BTX Recycling HC'!AE222+'BTX Recycling HC'!AE249+'BTX Recycling HC'!AE160+'BTX Recycling HC'!AE115)-'Overall recycling rates'!$E$62/SUM('Overall recycling rates'!$E$60:$E$62)*('BTX Recycling HC'!AE223+'BTX Recycling HC'!AE250+'BTX Recycling HC'!AE161+'BTX Recycling HC'!AE116)-'Overall recycling rates'!$H$62/SUM('Overall recycling rates'!$H$60:$H$62)*('BTX Recycling HC'!AE224+'BTX Recycling HC'!AE251+'BTX Recycling HC'!AE162+'BTX Recycling HC'!AE117)-'Overall recycling rates'!$I$62/SUM('Overall recycling rates'!$I$60:$I$62)*('BTX Recycling HC'!AE225+'BTX Recycling HC'!AE252+'BTX Recycling HC'!AE163+'BTX Recycling HC'!AE118)</f>
        <v>206564.70001003321</v>
      </c>
      <c r="AG103" s="579">
        <f>AG44-'Overall recycling rates'!$G$62/SUM('Overall recycling rates'!$G$60:$G$62)*('BTX Recycling HC'!AF222+'BTX Recycling HC'!AF249+'BTX Recycling HC'!AF160+'BTX Recycling HC'!AF115)-'Overall recycling rates'!$E$62/SUM('Overall recycling rates'!$E$60:$E$62)*('BTX Recycling HC'!AF223+'BTX Recycling HC'!AF250+'BTX Recycling HC'!AF161+'BTX Recycling HC'!AF116)-'Overall recycling rates'!$H$62/SUM('Overall recycling rates'!$H$60:$H$62)*('BTX Recycling HC'!AF224+'BTX Recycling HC'!AF251+'BTX Recycling HC'!AF162+'BTX Recycling HC'!AF117)-'Overall recycling rates'!$I$62/SUM('Overall recycling rates'!$I$60:$I$62)*('BTX Recycling HC'!AF225+'BTX Recycling HC'!AF252+'BTX Recycling HC'!AF163+'BTX Recycling HC'!AF118)</f>
        <v>203793.38164552592</v>
      </c>
      <c r="AH103" s="579">
        <f>AH44-'Overall recycling rates'!$G$62/SUM('Overall recycling rates'!$G$60:$G$62)*('BTX Recycling HC'!AG222+'BTX Recycling HC'!AG249+'BTX Recycling HC'!AG160+'BTX Recycling HC'!AG115)-'Overall recycling rates'!$E$62/SUM('Overall recycling rates'!$E$60:$E$62)*('BTX Recycling HC'!AG223+'BTX Recycling HC'!AG250+'BTX Recycling HC'!AG161+'BTX Recycling HC'!AG116)-'Overall recycling rates'!$H$62/SUM('Overall recycling rates'!$H$60:$H$62)*('BTX Recycling HC'!AG224+'BTX Recycling HC'!AG251+'BTX Recycling HC'!AG162+'BTX Recycling HC'!AG117)-'Overall recycling rates'!$I$62/SUM('Overall recycling rates'!$I$60:$I$62)*('BTX Recycling HC'!AG225+'BTX Recycling HC'!AG252+'BTX Recycling HC'!AG163+'BTX Recycling HC'!AG118)</f>
        <v>200765.36459580017</v>
      </c>
      <c r="AI103" s="579"/>
      <c r="AJ103" s="579">
        <f>AJ44-'Overall recycling rates'!$G$62/SUM('Overall recycling rates'!$G$60:$G$62)*('BTX Recycling HC'!C222+'BTX Recycling HC'!C249+'BTX Recycling HC'!C160+'BTX Recycling HC'!C115)-'Overall recycling rates'!$E$62/SUM('Overall recycling rates'!$E$60:$E$62)*('BTX Recycling HC'!C223+'BTX Recycling HC'!C250+'BTX Recycling HC'!C161+'BTX Recycling HC'!C116)-'Overall recycling rates'!$H$62/SUM('Overall recycling rates'!$H$60:$H$62)*('BTX Recycling HC'!C224+'BTX Recycling HC'!C251+'BTX Recycling HC'!C162+'BTX Recycling HC'!C117)-'Overall recycling rates'!$I$62/SUM('Overall recycling rates'!$I$60:$I$62)*('BTX Recycling HC'!C225+'BTX Recycling HC'!C252+'BTX Recycling HC'!C163+'BTX Recycling HC'!C118)</f>
        <v>169542.77541474818</v>
      </c>
      <c r="AK103" s="579">
        <f>AK44-'Overall recycling rates'!$G$62/SUM('Overall recycling rates'!$G$60:$G$62)*('BTX Recycling HC'!D222+'BTX Recycling HC'!D249+'BTX Recycling HC'!D160+'BTX Recycling HC'!D115)-'Overall recycling rates'!$E$62/SUM('Overall recycling rates'!$E$60:$E$62)*('BTX Recycling HC'!D223+'BTX Recycling HC'!D250+'BTX Recycling HC'!D161+'BTX Recycling HC'!D116)-'Overall recycling rates'!$H$62/SUM('Overall recycling rates'!$H$60:$H$62)*('BTX Recycling HC'!D224+'BTX Recycling HC'!D251+'BTX Recycling HC'!D162+'BTX Recycling HC'!D117)-'Overall recycling rates'!$I$62/SUM('Overall recycling rates'!$I$60:$I$62)*('BTX Recycling HC'!D225+'BTX Recycling HC'!D252+'BTX Recycling HC'!D163+'BTX Recycling HC'!D118)</f>
        <v>169509.34327922462</v>
      </c>
      <c r="AL103" s="579">
        <f>AL44-'Overall recycling rates'!$G$62/SUM('Overall recycling rates'!$G$60:$G$62)*('BTX Recycling HC'!E222+'BTX Recycling HC'!E249+'BTX Recycling HC'!E160+'BTX Recycling HC'!E115)-'Overall recycling rates'!$E$62/SUM('Overall recycling rates'!$E$60:$E$62)*('BTX Recycling HC'!E223+'BTX Recycling HC'!E250+'BTX Recycling HC'!E161+'BTX Recycling HC'!E116)-'Overall recycling rates'!$H$62/SUM('Overall recycling rates'!$H$60:$H$62)*('BTX Recycling HC'!E224+'BTX Recycling HC'!E251+'BTX Recycling HC'!E162+'BTX Recycling HC'!E117)-'Overall recycling rates'!$I$62/SUM('Overall recycling rates'!$I$60:$I$62)*('BTX Recycling HC'!E225+'BTX Recycling HC'!E252+'BTX Recycling HC'!E163+'BTX Recycling HC'!E118)</f>
        <v>170894.78961409949</v>
      </c>
      <c r="AM103" s="579">
        <f>AM44-'Overall recycling rates'!$G$62/SUM('Overall recycling rates'!$G$60:$G$62)*('BTX Recycling HC'!F222+'BTX Recycling HC'!F249+'BTX Recycling HC'!F160+'BTX Recycling HC'!F115)-'Overall recycling rates'!$E$62/SUM('Overall recycling rates'!$E$60:$E$62)*('BTX Recycling HC'!F223+'BTX Recycling HC'!F250+'BTX Recycling HC'!F161+'BTX Recycling HC'!F116)-'Overall recycling rates'!$H$62/SUM('Overall recycling rates'!$H$60:$H$62)*('BTX Recycling HC'!F224+'BTX Recycling HC'!F251+'BTX Recycling HC'!F162+'BTX Recycling HC'!F117)-'Overall recycling rates'!$I$62/SUM('Overall recycling rates'!$I$60:$I$62)*('BTX Recycling HC'!F225+'BTX Recycling HC'!F252+'BTX Recycling HC'!F163+'BTX Recycling HC'!F118)</f>
        <v>172529.53869786518</v>
      </c>
      <c r="AN103" s="579">
        <f>AN44-'Overall recycling rates'!$G$62/SUM('Overall recycling rates'!$G$60:$G$62)*('BTX Recycling HC'!G222+'BTX Recycling HC'!G249+'BTX Recycling HC'!G160+'BTX Recycling HC'!G115)-'Overall recycling rates'!$E$62/SUM('Overall recycling rates'!$E$60:$E$62)*('BTX Recycling HC'!G223+'BTX Recycling HC'!G250+'BTX Recycling HC'!G161+'BTX Recycling HC'!G116)-'Overall recycling rates'!$H$62/SUM('Overall recycling rates'!$H$60:$H$62)*('BTX Recycling HC'!G224+'BTX Recycling HC'!G251+'BTX Recycling HC'!G162+'BTX Recycling HC'!G117)-'Overall recycling rates'!$I$62/SUM('Overall recycling rates'!$I$60:$I$62)*('BTX Recycling HC'!G225+'BTX Recycling HC'!G252+'BTX Recycling HC'!G163+'BTX Recycling HC'!G118)</f>
        <v>174708.13966847947</v>
      </c>
      <c r="AO103" s="579">
        <f>AO44-'Overall recycling rates'!$G$62/SUM('Overall recycling rates'!$G$60:$G$62)*('BTX Recycling HC'!H222+'BTX Recycling HC'!H249+'BTX Recycling HC'!H160+'BTX Recycling HC'!H115)-'Overall recycling rates'!$E$62/SUM('Overall recycling rates'!$E$60:$E$62)*('BTX Recycling HC'!H223+'BTX Recycling HC'!H250+'BTX Recycling HC'!H161+'BTX Recycling HC'!H116)-'Overall recycling rates'!$H$62/SUM('Overall recycling rates'!$H$60:$H$62)*('BTX Recycling HC'!H224+'BTX Recycling HC'!H251+'BTX Recycling HC'!H162+'BTX Recycling HC'!H117)-'Overall recycling rates'!$I$62/SUM('Overall recycling rates'!$I$60:$I$62)*('BTX Recycling HC'!H225+'BTX Recycling HC'!H252+'BTX Recycling HC'!H163+'BTX Recycling HC'!H118)</f>
        <v>177360.86827418051</v>
      </c>
      <c r="AP103" s="579">
        <f>AP44-'Overall recycling rates'!$G$62/SUM('Overall recycling rates'!$G$60:$G$62)*('BTX Recycling HC'!I222+'BTX Recycling HC'!I249+'BTX Recycling HC'!I160+'BTX Recycling HC'!I115)-'Overall recycling rates'!$E$62/SUM('Overall recycling rates'!$E$60:$E$62)*('BTX Recycling HC'!I223+'BTX Recycling HC'!I250+'BTX Recycling HC'!I161+'BTX Recycling HC'!I116)-'Overall recycling rates'!$H$62/SUM('Overall recycling rates'!$H$60:$H$62)*('BTX Recycling HC'!I224+'BTX Recycling HC'!I251+'BTX Recycling HC'!I162+'BTX Recycling HC'!I117)-'Overall recycling rates'!$I$62/SUM('Overall recycling rates'!$I$60:$I$62)*('BTX Recycling HC'!I225+'BTX Recycling HC'!I252+'BTX Recycling HC'!I163+'BTX Recycling HC'!I118)</f>
        <v>180428.90374719698</v>
      </c>
      <c r="AQ103" s="579">
        <f>AQ44-'Overall recycling rates'!$G$62/SUM('Overall recycling rates'!$G$60:$G$62)*('BTX Recycling HC'!J222+'BTX Recycling HC'!J249+'BTX Recycling HC'!J160+'BTX Recycling HC'!J115)-'Overall recycling rates'!$E$62/SUM('Overall recycling rates'!$E$60:$E$62)*('BTX Recycling HC'!J223+'BTX Recycling HC'!J250+'BTX Recycling HC'!J161+'BTX Recycling HC'!J116)-'Overall recycling rates'!$H$62/SUM('Overall recycling rates'!$H$60:$H$62)*('BTX Recycling HC'!J224+'BTX Recycling HC'!J251+'BTX Recycling HC'!J162+'BTX Recycling HC'!J117)-'Overall recycling rates'!$I$62/SUM('Overall recycling rates'!$I$60:$I$62)*('BTX Recycling HC'!J225+'BTX Recycling HC'!J252+'BTX Recycling HC'!J163+'BTX Recycling HC'!J118)</f>
        <v>183845.75226163428</v>
      </c>
      <c r="AR103" s="579">
        <f>AR44-'Overall recycling rates'!$G$62/SUM('Overall recycling rates'!$G$60:$G$62)*('BTX Recycling HC'!K222+'BTX Recycling HC'!K249+'BTX Recycling HC'!K160+'BTX Recycling HC'!K115)-'Overall recycling rates'!$E$62/SUM('Overall recycling rates'!$E$60:$E$62)*('BTX Recycling HC'!K223+'BTX Recycling HC'!K250+'BTX Recycling HC'!K161+'BTX Recycling HC'!K116)-'Overall recycling rates'!$H$62/SUM('Overall recycling rates'!$H$60:$H$62)*('BTX Recycling HC'!K224+'BTX Recycling HC'!K251+'BTX Recycling HC'!K162+'BTX Recycling HC'!K117)-'Overall recycling rates'!$I$62/SUM('Overall recycling rates'!$I$60:$I$62)*('BTX Recycling HC'!K225+'BTX Recycling HC'!K252+'BTX Recycling HC'!K163+'BTX Recycling HC'!K118)</f>
        <v>187550.60750578734</v>
      </c>
      <c r="AS103" s="579">
        <f>AS44-'Overall recycling rates'!$G$62/SUM('Overall recycling rates'!$G$60:$G$62)*('BTX Recycling HC'!L222+'BTX Recycling HC'!L249+'BTX Recycling HC'!L160+'BTX Recycling HC'!L115)-'Overall recycling rates'!$E$62/SUM('Overall recycling rates'!$E$60:$E$62)*('BTX Recycling HC'!L223+'BTX Recycling HC'!L250+'BTX Recycling HC'!L161+'BTX Recycling HC'!L116)-'Overall recycling rates'!$H$62/SUM('Overall recycling rates'!$H$60:$H$62)*('BTX Recycling HC'!L224+'BTX Recycling HC'!L251+'BTX Recycling HC'!L162+'BTX Recycling HC'!L117)-'Overall recycling rates'!$I$62/SUM('Overall recycling rates'!$I$60:$I$62)*('BTX Recycling HC'!L225+'BTX Recycling HC'!L252+'BTX Recycling HC'!L163+'BTX Recycling HC'!L118)</f>
        <v>191485.14622520717</v>
      </c>
      <c r="AT103" s="579">
        <f>AT44-'Overall recycling rates'!$G$62/SUM('Overall recycling rates'!$G$60:$G$62)*('BTX Recycling HC'!M222+'BTX Recycling HC'!M249+'BTX Recycling HC'!M160+'BTX Recycling HC'!M115)-'Overall recycling rates'!$E$62/SUM('Overall recycling rates'!$E$60:$E$62)*('BTX Recycling HC'!M223+'BTX Recycling HC'!M250+'BTX Recycling HC'!M161+'BTX Recycling HC'!M116)-'Overall recycling rates'!$H$62/SUM('Overall recycling rates'!$H$60:$H$62)*('BTX Recycling HC'!M224+'BTX Recycling HC'!M251+'BTX Recycling HC'!M162+'BTX Recycling HC'!M117)-'Overall recycling rates'!$I$62/SUM('Overall recycling rates'!$I$60:$I$62)*('BTX Recycling HC'!M225+'BTX Recycling HC'!M252+'BTX Recycling HC'!M163+'BTX Recycling HC'!M118)</f>
        <v>195593.62223357207</v>
      </c>
      <c r="AU103" s="579">
        <f>AU44-'Overall recycling rates'!$G$62/SUM('Overall recycling rates'!$G$60:$G$62)*('BTX Recycling HC'!N222+'BTX Recycling HC'!N249+'BTX Recycling HC'!N160+'BTX Recycling HC'!N115)-'Overall recycling rates'!$E$62/SUM('Overall recycling rates'!$E$60:$E$62)*('BTX Recycling HC'!N223+'BTX Recycling HC'!N250+'BTX Recycling HC'!N161+'BTX Recycling HC'!N116)-'Overall recycling rates'!$H$62/SUM('Overall recycling rates'!$H$60:$H$62)*('BTX Recycling HC'!N224+'BTX Recycling HC'!N251+'BTX Recycling HC'!N162+'BTX Recycling HC'!N117)-'Overall recycling rates'!$I$62/SUM('Overall recycling rates'!$I$60:$I$62)*('BTX Recycling HC'!N225+'BTX Recycling HC'!N252+'BTX Recycling HC'!N163+'BTX Recycling HC'!N118)</f>
        <v>204831.22294847545</v>
      </c>
      <c r="AV103" s="579">
        <f>AV44-'Overall recycling rates'!$G$62/SUM('Overall recycling rates'!$G$60:$G$62)*('BTX Recycling HC'!O222+'BTX Recycling HC'!O249+'BTX Recycling HC'!O160+'BTX Recycling HC'!O115)-'Overall recycling rates'!$E$62/SUM('Overall recycling rates'!$E$60:$E$62)*('BTX Recycling HC'!O223+'BTX Recycling HC'!O250+'BTX Recycling HC'!O161+'BTX Recycling HC'!O116)-'Overall recycling rates'!$H$62/SUM('Overall recycling rates'!$H$60:$H$62)*('BTX Recycling HC'!O224+'BTX Recycling HC'!O251+'BTX Recycling HC'!O162+'BTX Recycling HC'!O117)-'Overall recycling rates'!$I$62/SUM('Overall recycling rates'!$I$60:$I$62)*('BTX Recycling HC'!O225+'BTX Recycling HC'!O252+'BTX Recycling HC'!O163+'BTX Recycling HC'!O118)</f>
        <v>213353.91124137383</v>
      </c>
      <c r="AW103" s="579">
        <f>AW44-'Overall recycling rates'!$G$62/SUM('Overall recycling rates'!$G$60:$G$62)*('BTX Recycling HC'!P222+'BTX Recycling HC'!P249+'BTX Recycling HC'!P160+'BTX Recycling HC'!P115)-'Overall recycling rates'!$E$62/SUM('Overall recycling rates'!$E$60:$E$62)*('BTX Recycling HC'!P223+'BTX Recycling HC'!P250+'BTX Recycling HC'!P161+'BTX Recycling HC'!P116)-'Overall recycling rates'!$H$62/SUM('Overall recycling rates'!$H$60:$H$62)*('BTX Recycling HC'!P224+'BTX Recycling HC'!P251+'BTX Recycling HC'!P162+'BTX Recycling HC'!P117)-'Overall recycling rates'!$I$62/SUM('Overall recycling rates'!$I$60:$I$62)*('BTX Recycling HC'!P225+'BTX Recycling HC'!P252+'BTX Recycling HC'!P163+'BTX Recycling HC'!P118)</f>
        <v>221175.92553406951</v>
      </c>
      <c r="AX103" s="579">
        <f>AX44-'Overall recycling rates'!$G$62/SUM('Overall recycling rates'!$G$60:$G$62)*('BTX Recycling HC'!Q222+'BTX Recycling HC'!Q249+'BTX Recycling HC'!Q160+'BTX Recycling HC'!Q115)-'Overall recycling rates'!$E$62/SUM('Overall recycling rates'!$E$60:$E$62)*('BTX Recycling HC'!Q223+'BTX Recycling HC'!Q250+'BTX Recycling HC'!Q161+'BTX Recycling HC'!Q116)-'Overall recycling rates'!$H$62/SUM('Overall recycling rates'!$H$60:$H$62)*('BTX Recycling HC'!Q224+'BTX Recycling HC'!Q251+'BTX Recycling HC'!Q162+'BTX Recycling HC'!Q117)-'Overall recycling rates'!$I$62/SUM('Overall recycling rates'!$I$60:$I$62)*('BTX Recycling HC'!Q225+'BTX Recycling HC'!Q252+'BTX Recycling HC'!Q163+'BTX Recycling HC'!Q118)</f>
        <v>228310.46757616298</v>
      </c>
      <c r="AY103" s="579">
        <f>AY44-'Overall recycling rates'!$G$62/SUM('Overall recycling rates'!$G$60:$G$62)*('BTX Recycling HC'!R222+'BTX Recycling HC'!R249+'BTX Recycling HC'!R160+'BTX Recycling HC'!R115)-'Overall recycling rates'!$E$62/SUM('Overall recycling rates'!$E$60:$E$62)*('BTX Recycling HC'!R223+'BTX Recycling HC'!R250+'BTX Recycling HC'!R161+'BTX Recycling HC'!R116)-'Overall recycling rates'!$H$62/SUM('Overall recycling rates'!$H$60:$H$62)*('BTX Recycling HC'!R224+'BTX Recycling HC'!R251+'BTX Recycling HC'!R162+'BTX Recycling HC'!R117)-'Overall recycling rates'!$I$62/SUM('Overall recycling rates'!$I$60:$I$62)*('BTX Recycling HC'!R225+'BTX Recycling HC'!R252+'BTX Recycling HC'!R163+'BTX Recycling HC'!R118)</f>
        <v>234773.14875230909</v>
      </c>
      <c r="AZ103" s="579">
        <f>AZ44-'Overall recycling rates'!$G$62/SUM('Overall recycling rates'!$G$60:$G$62)*('BTX Recycling HC'!S222+'BTX Recycling HC'!S249+'BTX Recycling HC'!S160+'BTX Recycling HC'!S115)-'Overall recycling rates'!$E$62/SUM('Overall recycling rates'!$E$60:$E$62)*('BTX Recycling HC'!S223+'BTX Recycling HC'!S250+'BTX Recycling HC'!S161+'BTX Recycling HC'!S116)-'Overall recycling rates'!$H$62/SUM('Overall recycling rates'!$H$60:$H$62)*('BTX Recycling HC'!S224+'BTX Recycling HC'!S251+'BTX Recycling HC'!S162+'BTX Recycling HC'!S117)-'Overall recycling rates'!$I$62/SUM('Overall recycling rates'!$I$60:$I$62)*('BTX Recycling HC'!S225+'BTX Recycling HC'!S252+'BTX Recycling HC'!S163+'BTX Recycling HC'!S118)</f>
        <v>240539.92142505365</v>
      </c>
      <c r="BA103" s="579">
        <f>BA44-'Overall recycling rates'!$G$62/SUM('Overall recycling rates'!$G$60:$G$62)*('BTX Recycling HC'!T222+'BTX Recycling HC'!T249+'BTX Recycling HC'!T160+'BTX Recycling HC'!T115)-'Overall recycling rates'!$E$62/SUM('Overall recycling rates'!$E$60:$E$62)*('BTX Recycling HC'!T223+'BTX Recycling HC'!T250+'BTX Recycling HC'!T161+'BTX Recycling HC'!T116)-'Overall recycling rates'!$H$62/SUM('Overall recycling rates'!$H$60:$H$62)*('BTX Recycling HC'!T224+'BTX Recycling HC'!T251+'BTX Recycling HC'!T162+'BTX Recycling HC'!T117)-'Overall recycling rates'!$I$62/SUM('Overall recycling rates'!$I$60:$I$62)*('BTX Recycling HC'!T225+'BTX Recycling HC'!T252+'BTX Recycling HC'!T163+'BTX Recycling HC'!T118)</f>
        <v>245654.65418179627</v>
      </c>
      <c r="BB103" s="579">
        <f>BB44-'Overall recycling rates'!$G$62/SUM('Overall recycling rates'!$G$60:$G$62)*('BTX Recycling HC'!U222+'BTX Recycling HC'!U249+'BTX Recycling HC'!U160+'BTX Recycling HC'!U115)-'Overall recycling rates'!$E$62/SUM('Overall recycling rates'!$E$60:$E$62)*('BTX Recycling HC'!U223+'BTX Recycling HC'!U250+'BTX Recycling HC'!U161+'BTX Recycling HC'!U116)-'Overall recycling rates'!$H$62/SUM('Overall recycling rates'!$H$60:$H$62)*('BTX Recycling HC'!U224+'BTX Recycling HC'!U251+'BTX Recycling HC'!U162+'BTX Recycling HC'!U117)-'Overall recycling rates'!$I$62/SUM('Overall recycling rates'!$I$60:$I$62)*('BTX Recycling HC'!U225+'BTX Recycling HC'!U252+'BTX Recycling HC'!U163+'BTX Recycling HC'!U118)</f>
        <v>250134.15406331886</v>
      </c>
      <c r="BC103" s="579">
        <f>BC44-'Overall recycling rates'!$G$62/SUM('Overall recycling rates'!$G$60:$G$62)*('BTX Recycling HC'!V222+'BTX Recycling HC'!V249+'BTX Recycling HC'!V160+'BTX Recycling HC'!V115)-'Overall recycling rates'!$E$62/SUM('Overall recycling rates'!$E$60:$E$62)*('BTX Recycling HC'!V223+'BTX Recycling HC'!V250+'BTX Recycling HC'!V161+'BTX Recycling HC'!V116)-'Overall recycling rates'!$H$62/SUM('Overall recycling rates'!$H$60:$H$62)*('BTX Recycling HC'!V224+'BTX Recycling HC'!V251+'BTX Recycling HC'!V162+'BTX Recycling HC'!V117)-'Overall recycling rates'!$I$62/SUM('Overall recycling rates'!$I$60:$I$62)*('BTX Recycling HC'!V225+'BTX Recycling HC'!V252+'BTX Recycling HC'!V163+'BTX Recycling HC'!V118)</f>
        <v>253996.41210565786</v>
      </c>
      <c r="BD103" s="579">
        <f>BD44-'Overall recycling rates'!$G$62/SUM('Overall recycling rates'!$G$60:$G$62)*('BTX Recycling HC'!W222+'BTX Recycling HC'!W249+'BTX Recycling HC'!W160+'BTX Recycling HC'!W115)-'Overall recycling rates'!$E$62/SUM('Overall recycling rates'!$E$60:$E$62)*('BTX Recycling HC'!W223+'BTX Recycling HC'!W250+'BTX Recycling HC'!W161+'BTX Recycling HC'!W116)-'Overall recycling rates'!$H$62/SUM('Overall recycling rates'!$H$60:$H$62)*('BTX Recycling HC'!W224+'BTX Recycling HC'!W251+'BTX Recycling HC'!W162+'BTX Recycling HC'!W117)-'Overall recycling rates'!$I$62/SUM('Overall recycling rates'!$I$60:$I$62)*('BTX Recycling HC'!W225+'BTX Recycling HC'!W252+'BTX Recycling HC'!W163+'BTX Recycling HC'!W118)</f>
        <v>257260.63537393889</v>
      </c>
      <c r="BE103" s="579">
        <f>BE44-'Overall recycling rates'!$G$62/SUM('Overall recycling rates'!$G$60:$G$62)*('BTX Recycling HC'!X222+'BTX Recycling HC'!X249+'BTX Recycling HC'!X160+'BTX Recycling HC'!X115)-'Overall recycling rates'!$E$62/SUM('Overall recycling rates'!$E$60:$E$62)*('BTX Recycling HC'!X223+'BTX Recycling HC'!X250+'BTX Recycling HC'!X161+'BTX Recycling HC'!X116)-'Overall recycling rates'!$H$62/SUM('Overall recycling rates'!$H$60:$H$62)*('BTX Recycling HC'!X224+'BTX Recycling HC'!X251+'BTX Recycling HC'!X162+'BTX Recycling HC'!X117)-'Overall recycling rates'!$I$62/SUM('Overall recycling rates'!$I$60:$I$62)*('BTX Recycling HC'!X225+'BTX Recycling HC'!X252+'BTX Recycling HC'!X163+'BTX Recycling HC'!X118)</f>
        <v>259308.77547189518</v>
      </c>
      <c r="BF103" s="579">
        <f>BF44-'Overall recycling rates'!$G$62/SUM('Overall recycling rates'!$G$60:$G$62)*('BTX Recycling HC'!Y222+'BTX Recycling HC'!Y249+'BTX Recycling HC'!Y160+'BTX Recycling HC'!Y115)-'Overall recycling rates'!$E$62/SUM('Overall recycling rates'!$E$60:$E$62)*('BTX Recycling HC'!Y223+'BTX Recycling HC'!Y250+'BTX Recycling HC'!Y161+'BTX Recycling HC'!Y116)-'Overall recycling rates'!$H$62/SUM('Overall recycling rates'!$H$60:$H$62)*('BTX Recycling HC'!Y224+'BTX Recycling HC'!Y251+'BTX Recycling HC'!Y162+'BTX Recycling HC'!Y117)-'Overall recycling rates'!$I$62/SUM('Overall recycling rates'!$I$60:$I$62)*('BTX Recycling HC'!Y225+'BTX Recycling HC'!Y252+'BTX Recycling HC'!Y163+'BTX Recycling HC'!Y118)</f>
        <v>260864.79577976733</v>
      </c>
      <c r="BG103" s="579">
        <f>BG44-'Overall recycling rates'!$G$62/SUM('Overall recycling rates'!$G$60:$G$62)*('BTX Recycling HC'!Z222+'BTX Recycling HC'!Z249+'BTX Recycling HC'!Z160+'BTX Recycling HC'!Z115)-'Overall recycling rates'!$E$62/SUM('Overall recycling rates'!$E$60:$E$62)*('BTX Recycling HC'!Z223+'BTX Recycling HC'!Z250+'BTX Recycling HC'!Z161+'BTX Recycling HC'!Z116)-'Overall recycling rates'!$H$62/SUM('Overall recycling rates'!$H$60:$H$62)*('BTX Recycling HC'!Z224+'BTX Recycling HC'!Z251+'BTX Recycling HC'!Z162+'BTX Recycling HC'!Z117)-'Overall recycling rates'!$I$62/SUM('Overall recycling rates'!$I$60:$I$62)*('BTX Recycling HC'!Z225+'BTX Recycling HC'!Z252+'BTX Recycling HC'!Z163+'BTX Recycling HC'!Z118)</f>
        <v>261948.34459001457</v>
      </c>
      <c r="BH103" s="579">
        <f>BH44-'Overall recycling rates'!$G$62/SUM('Overall recycling rates'!$G$60:$G$62)*('BTX Recycling HC'!AA222+'BTX Recycling HC'!AA249+'BTX Recycling HC'!AA160+'BTX Recycling HC'!AA115)-'Overall recycling rates'!$E$62/SUM('Overall recycling rates'!$E$60:$E$62)*('BTX Recycling HC'!AA223+'BTX Recycling HC'!AA250+'BTX Recycling HC'!AA161+'BTX Recycling HC'!AA116)-'Overall recycling rates'!$H$62/SUM('Overall recycling rates'!$H$60:$H$62)*('BTX Recycling HC'!AA224+'BTX Recycling HC'!AA251+'BTX Recycling HC'!AA162+'BTX Recycling HC'!AA117)-'Overall recycling rates'!$I$62/SUM('Overall recycling rates'!$I$60:$I$62)*('BTX Recycling HC'!AA225+'BTX Recycling HC'!AA252+'BTX Recycling HC'!AA163+'BTX Recycling HC'!AA118)</f>
        <v>262573.47406076355</v>
      </c>
      <c r="BI103" s="579">
        <f>BI44-'Overall recycling rates'!$G$62/SUM('Overall recycling rates'!$G$60:$G$62)*('BTX Recycling HC'!AB222+'BTX Recycling HC'!AB249+'BTX Recycling HC'!AB160+'BTX Recycling HC'!AB115)-'Overall recycling rates'!$E$62/SUM('Overall recycling rates'!$E$60:$E$62)*('BTX Recycling HC'!AB223+'BTX Recycling HC'!AB250+'BTX Recycling HC'!AB161+'BTX Recycling HC'!AB116)-'Overall recycling rates'!$H$62/SUM('Overall recycling rates'!$H$60:$H$62)*('BTX Recycling HC'!AB224+'BTX Recycling HC'!AB251+'BTX Recycling HC'!AB162+'BTX Recycling HC'!AB117)-'Overall recycling rates'!$I$62/SUM('Overall recycling rates'!$I$60:$I$62)*('BTX Recycling HC'!AB225+'BTX Recycling HC'!AB252+'BTX Recycling HC'!AB163+'BTX Recycling HC'!AB118)</f>
        <v>262759.20814598241</v>
      </c>
      <c r="BJ103" s="579">
        <f>BJ44-'Overall recycling rates'!$G$62/SUM('Overall recycling rates'!$G$60:$G$62)*('BTX Recycling HC'!AC222+'BTX Recycling HC'!AC249+'BTX Recycling HC'!AC160+'BTX Recycling HC'!AC115)-'Overall recycling rates'!$E$62/SUM('Overall recycling rates'!$E$60:$E$62)*('BTX Recycling HC'!AC223+'BTX Recycling HC'!AC250+'BTX Recycling HC'!AC161+'BTX Recycling HC'!AC116)-'Overall recycling rates'!$H$62/SUM('Overall recycling rates'!$H$60:$H$62)*('BTX Recycling HC'!AC224+'BTX Recycling HC'!AC251+'BTX Recycling HC'!AC162+'BTX Recycling HC'!AC117)-'Overall recycling rates'!$I$62/SUM('Overall recycling rates'!$I$60:$I$62)*('BTX Recycling HC'!AC225+'BTX Recycling HC'!AC252+'BTX Recycling HC'!AC163+'BTX Recycling HC'!AC118)</f>
        <v>262621.11101204291</v>
      </c>
      <c r="BK103" s="579">
        <f>BK44-'Overall recycling rates'!$G$62/SUM('Overall recycling rates'!$G$60:$G$62)*('BTX Recycling HC'!AD222+'BTX Recycling HC'!AD249+'BTX Recycling HC'!AD160+'BTX Recycling HC'!AD115)-'Overall recycling rates'!$E$62/SUM('Overall recycling rates'!$E$60:$E$62)*('BTX Recycling HC'!AD223+'BTX Recycling HC'!AD250+'BTX Recycling HC'!AD161+'BTX Recycling HC'!AD116)-'Overall recycling rates'!$H$62/SUM('Overall recycling rates'!$H$60:$H$62)*('BTX Recycling HC'!AD224+'BTX Recycling HC'!AD251+'BTX Recycling HC'!AD162+'BTX Recycling HC'!AD117)-'Overall recycling rates'!$I$62/SUM('Overall recycling rates'!$I$60:$I$62)*('BTX Recycling HC'!AD225+'BTX Recycling HC'!AD252+'BTX Recycling HC'!AD163+'BTX Recycling HC'!AD118)</f>
        <v>262112.70428876588</v>
      </c>
      <c r="BL103" s="579">
        <f>BL44-'Overall recycling rates'!$G$62/SUM('Overall recycling rates'!$G$60:$G$62)*('BTX Recycling HC'!AE222+'BTX Recycling HC'!AE249+'BTX Recycling HC'!AE160+'BTX Recycling HC'!AE115)-'Overall recycling rates'!$E$62/SUM('Overall recycling rates'!$E$60:$E$62)*('BTX Recycling HC'!AE223+'BTX Recycling HC'!AE250+'BTX Recycling HC'!AE161+'BTX Recycling HC'!AE116)-'Overall recycling rates'!$H$62/SUM('Overall recycling rates'!$H$60:$H$62)*('BTX Recycling HC'!AE224+'BTX Recycling HC'!AE251+'BTX Recycling HC'!AE162+'BTX Recycling HC'!AE117)-'Overall recycling rates'!$I$62/SUM('Overall recycling rates'!$I$60:$I$62)*('BTX Recycling HC'!AE225+'BTX Recycling HC'!AE252+'BTX Recycling HC'!AE163+'BTX Recycling HC'!AE118)</f>
        <v>261261.65410961345</v>
      </c>
      <c r="BM103" s="579">
        <f>BM44-'Overall recycling rates'!$G$62/SUM('Overall recycling rates'!$G$60:$G$62)*('BTX Recycling HC'!AF222+'BTX Recycling HC'!AF249+'BTX Recycling HC'!AF160+'BTX Recycling HC'!AF115)-'Overall recycling rates'!$E$62/SUM('Overall recycling rates'!$E$60:$E$62)*('BTX Recycling HC'!AF223+'BTX Recycling HC'!AF250+'BTX Recycling HC'!AF161+'BTX Recycling HC'!AF116)-'Overall recycling rates'!$H$62/SUM('Overall recycling rates'!$H$60:$H$62)*('BTX Recycling HC'!AF224+'BTX Recycling HC'!AF251+'BTX Recycling HC'!AF162+'BTX Recycling HC'!AF117)-'Overall recycling rates'!$I$62/SUM('Overall recycling rates'!$I$60:$I$62)*('BTX Recycling HC'!AF225+'BTX Recycling HC'!AF252+'BTX Recycling HC'!AF163+'BTX Recycling HC'!AF118)</f>
        <v>260097.62425216305</v>
      </c>
      <c r="BN103" s="579">
        <f>BN44-'Overall recycling rates'!$G$62/SUM('Overall recycling rates'!$G$60:$G$62)*('BTX Recycling HC'!AG222+'BTX Recycling HC'!AG249+'BTX Recycling HC'!AG160+'BTX Recycling HC'!AG115)-'Overall recycling rates'!$E$62/SUM('Overall recycling rates'!$E$60:$E$62)*('BTX Recycling HC'!AG223+'BTX Recycling HC'!AG250+'BTX Recycling HC'!AG161+'BTX Recycling HC'!AG116)-'Overall recycling rates'!$H$62/SUM('Overall recycling rates'!$H$60:$H$62)*('BTX Recycling HC'!AG224+'BTX Recycling HC'!AG251+'BTX Recycling HC'!AG162+'BTX Recycling HC'!AG117)-'Overall recycling rates'!$I$62/SUM('Overall recycling rates'!$I$60:$I$62)*('BTX Recycling HC'!AG225+'BTX Recycling HC'!AG252+'BTX Recycling HC'!AG163+'BTX Recycling HC'!AG118)</f>
        <v>258652.3267178383</v>
      </c>
      <c r="BQ103" s="623"/>
      <c r="BR103" s="623"/>
      <c r="BS103" s="623"/>
      <c r="BT103" s="623"/>
      <c r="BU103" s="623"/>
      <c r="BV103" s="623"/>
      <c r="BW103" s="623"/>
      <c r="BX103" s="623"/>
      <c r="BY103" s="623"/>
      <c r="BZ103" s="623"/>
      <c r="CA103" s="623"/>
      <c r="CB103" s="623"/>
      <c r="CC103" s="623"/>
      <c r="CD103" s="623"/>
      <c r="CE103" s="623"/>
      <c r="CF103" s="623"/>
      <c r="CG103" s="623"/>
      <c r="CH103" s="623"/>
      <c r="CI103" s="623"/>
      <c r="CJ103" s="623"/>
      <c r="CK103" s="623"/>
      <c r="CL103" s="623"/>
    </row>
    <row r="104" spans="1:90" outlineLevel="1">
      <c r="A104" s="158" t="s">
        <v>308</v>
      </c>
      <c r="B104" s="213" t="s">
        <v>200</v>
      </c>
      <c r="C104" s="214" t="s">
        <v>1420</v>
      </c>
      <c r="D104" s="541">
        <f>D57+D63</f>
        <v>2752333.0301990337</v>
      </c>
      <c r="E104" s="541">
        <f t="shared" ref="E104:AH104" si="96">E57+E63</f>
        <v>2733104.0276400158</v>
      </c>
      <c r="F104" s="541">
        <f t="shared" si="96"/>
        <v>2713241.9600729495</v>
      </c>
      <c r="G104" s="541">
        <f t="shared" si="96"/>
        <v>2693338.4604947693</v>
      </c>
      <c r="H104" s="541">
        <f t="shared" si="96"/>
        <v>2673395.769093601</v>
      </c>
      <c r="I104" s="541">
        <f t="shared" si="96"/>
        <v>2645685.0206951047</v>
      </c>
      <c r="J104" s="541">
        <f t="shared" si="96"/>
        <v>2619284.3360787164</v>
      </c>
      <c r="K104" s="541">
        <f t="shared" si="96"/>
        <v>2593005.1041912809</v>
      </c>
      <c r="L104" s="541">
        <f t="shared" si="96"/>
        <v>2566847.606708047</v>
      </c>
      <c r="M104" s="541">
        <f t="shared" si="96"/>
        <v>2540812.1199768796</v>
      </c>
      <c r="N104" s="541">
        <f t="shared" si="96"/>
        <v>2514898.915448443</v>
      </c>
      <c r="O104" s="541">
        <f t="shared" si="96"/>
        <v>2482498.8505666004</v>
      </c>
      <c r="P104" s="541">
        <f t="shared" si="96"/>
        <v>2450394.7423573961</v>
      </c>
      <c r="Q104" s="541">
        <f t="shared" si="96"/>
        <v>2418584.4391405745</v>
      </c>
      <c r="R104" s="541">
        <f t="shared" si="96"/>
        <v>2387065.8124169968</v>
      </c>
      <c r="S104" s="541">
        <f t="shared" si="96"/>
        <v>2355836.7571210256</v>
      </c>
      <c r="T104" s="541">
        <f t="shared" si="96"/>
        <v>2318798.5701757623</v>
      </c>
      <c r="U104" s="541">
        <f t="shared" si="96"/>
        <v>2282220.1517479843</v>
      </c>
      <c r="V104" s="541">
        <f t="shared" si="96"/>
        <v>2246096.7106544138</v>
      </c>
      <c r="W104" s="541">
        <f t="shared" si="96"/>
        <v>2210423.5147339138</v>
      </c>
      <c r="X104" s="541">
        <f t="shared" si="96"/>
        <v>2175195.8908294654</v>
      </c>
      <c r="Y104" s="541">
        <f t="shared" si="96"/>
        <v>2135648.2642965443</v>
      </c>
      <c r="Z104" s="541">
        <f t="shared" si="96"/>
        <v>2096678.7800399521</v>
      </c>
      <c r="AA104" s="541">
        <f t="shared" si="96"/>
        <v>2058280.4969074118</v>
      </c>
      <c r="AB104" s="541">
        <f t="shared" si="96"/>
        <v>2020446.5665801272</v>
      </c>
      <c r="AC104" s="541">
        <f t="shared" si="96"/>
        <v>1983170.2333013618</v>
      </c>
      <c r="AD104" s="541">
        <f t="shared" si="96"/>
        <v>1944213.670063193</v>
      </c>
      <c r="AE104" s="541">
        <f t="shared" si="96"/>
        <v>1905875.103652382</v>
      </c>
      <c r="AF104" s="541">
        <f t="shared" si="96"/>
        <v>1868146.6768811885</v>
      </c>
      <c r="AG104" s="541">
        <f t="shared" si="96"/>
        <v>1831020.6448651315</v>
      </c>
      <c r="AH104" s="541">
        <f t="shared" si="96"/>
        <v>1794489.3746988191</v>
      </c>
      <c r="AI104" s="584"/>
      <c r="AJ104" s="541">
        <f>AJ57+AJ63</f>
        <v>2752333.0301990337</v>
      </c>
      <c r="AK104" s="541">
        <f t="shared" ref="AK104:BN104" si="97">AK57+AK63</f>
        <v>2742181.1344357291</v>
      </c>
      <c r="AL104" s="541">
        <f t="shared" si="97"/>
        <v>2731384.5368626798</v>
      </c>
      <c r="AM104" s="541">
        <f t="shared" si="97"/>
        <v>2720534.2002400472</v>
      </c>
      <c r="AN104" s="541">
        <f t="shared" si="97"/>
        <v>2709631.7055584076</v>
      </c>
      <c r="AO104" s="541">
        <f t="shared" si="97"/>
        <v>2690815.6233040574</v>
      </c>
      <c r="AP104" s="541">
        <f t="shared" si="97"/>
        <v>2673268.1366604101</v>
      </c>
      <c r="AQ104" s="541">
        <f t="shared" si="97"/>
        <v>2655784.5623331936</v>
      </c>
      <c r="AR104" s="541">
        <f t="shared" si="97"/>
        <v>2638365.2323777266</v>
      </c>
      <c r="AS104" s="541">
        <f t="shared" si="97"/>
        <v>2621010.4770825361</v>
      </c>
      <c r="AT104" s="541">
        <f t="shared" si="97"/>
        <v>2603720.6253411202</v>
      </c>
      <c r="AU104" s="541">
        <f t="shared" si="97"/>
        <v>2579627.8920483575</v>
      </c>
      <c r="AV104" s="541">
        <f t="shared" si="97"/>
        <v>2555730.2254649652</v>
      </c>
      <c r="AW104" s="541">
        <f t="shared" si="97"/>
        <v>2532026.3582844874</v>
      </c>
      <c r="AX104" s="541">
        <f t="shared" si="97"/>
        <v>2508515.0396819091</v>
      </c>
      <c r="AY104" s="541">
        <f t="shared" si="97"/>
        <v>2485195.0356120309</v>
      </c>
      <c r="AZ104" s="541">
        <f t="shared" si="97"/>
        <v>2455608.5995094287</v>
      </c>
      <c r="BA104" s="541">
        <f t="shared" si="97"/>
        <v>2426345.7394313174</v>
      </c>
      <c r="BB104" s="541">
        <f t="shared" si="97"/>
        <v>2397403.3971269471</v>
      </c>
      <c r="BC104" s="541">
        <f t="shared" si="97"/>
        <v>2368778.5543435039</v>
      </c>
      <c r="BD104" s="541">
        <f t="shared" si="97"/>
        <v>2340468.2330003097</v>
      </c>
      <c r="BE104" s="541">
        <f t="shared" si="97"/>
        <v>2307613.170930218</v>
      </c>
      <c r="BF104" s="541">
        <f t="shared" si="97"/>
        <v>2275176.2592797852</v>
      </c>
      <c r="BG104" s="541">
        <f t="shared" si="97"/>
        <v>2243152.967685659</v>
      </c>
      <c r="BH104" s="541">
        <f t="shared" si="97"/>
        <v>2211538.8284322759</v>
      </c>
      <c r="BI104" s="541">
        <f t="shared" si="97"/>
        <v>2180329.4365215059</v>
      </c>
      <c r="BJ104" s="541">
        <f t="shared" si="97"/>
        <v>2147056.2439659345</v>
      </c>
      <c r="BK104" s="541">
        <f t="shared" si="97"/>
        <v>2114238.5152874994</v>
      </c>
      <c r="BL104" s="541">
        <f t="shared" si="97"/>
        <v>2081871.0633702758</v>
      </c>
      <c r="BM104" s="541">
        <f t="shared" si="97"/>
        <v>2049948.7778191522</v>
      </c>
      <c r="BN104" s="541">
        <f t="shared" si="97"/>
        <v>2018466.6250593069</v>
      </c>
    </row>
    <row r="105" spans="1:90" outlineLevel="1">
      <c r="A105" s="158"/>
      <c r="B105" s="160" t="s">
        <v>266</v>
      </c>
      <c r="C105" s="156" t="s">
        <v>1420</v>
      </c>
      <c r="D105" s="120">
        <f>'BTX Recycling HC'!C265</f>
        <v>0</v>
      </c>
      <c r="E105" s="120">
        <f>'BTX Recycling HC'!D265</f>
        <v>7348.3075731373538</v>
      </c>
      <c r="F105" s="120">
        <f>'BTX Recycling HC'!E265</f>
        <v>14663.87032369645</v>
      </c>
      <c r="G105" s="120">
        <f>'BTX Recycling HC'!F265</f>
        <v>21946.797013825111</v>
      </c>
      <c r="H105" s="120">
        <f>'BTX Recycling HC'!G265</f>
        <v>29197.196085048199</v>
      </c>
      <c r="I105" s="120">
        <f>'BTX Recycling HC'!H265</f>
        <v>36415.175659153101</v>
      </c>
      <c r="J105" s="120">
        <f>'BTX Recycling HC'!I265</f>
        <v>42905.509646967839</v>
      </c>
      <c r="K105" s="120">
        <f>'BTX Recycling HC'!J265</f>
        <v>49269.213705104296</v>
      </c>
      <c r="L105" s="120">
        <f>'BTX Recycling HC'!K265</f>
        <v>55507.030522846457</v>
      </c>
      <c r="M105" s="120">
        <f>'BTX Recycling HC'!L265</f>
        <v>61619.699652376337</v>
      </c>
      <c r="N105" s="120">
        <f>'BTX Recycling HC'!M265</f>
        <v>67607.957520054057</v>
      </c>
      <c r="O105" s="120">
        <f>'BTX Recycling HC'!N265</f>
        <v>71165.115070650223</v>
      </c>
      <c r="P105" s="120">
        <f>'BTX Recycling HC'!O265</f>
        <v>74641.156327347984</v>
      </c>
      <c r="Q105" s="120">
        <f>'BTX Recycling HC'!P265</f>
        <v>78036.565103087851</v>
      </c>
      <c r="R105" s="120">
        <f>'BTX Recycling HC'!Q265</f>
        <v>81351.823154314552</v>
      </c>
      <c r="S105" s="120">
        <f>'BTX Recycling HC'!R265</f>
        <v>84587.410188395865</v>
      </c>
      <c r="T105" s="120">
        <f>'BTX Recycling HC'!S265</f>
        <v>87743.803871017109</v>
      </c>
      <c r="U105" s="120">
        <f>'BTX Recycling HC'!T265</f>
        <v>90821.479833551843</v>
      </c>
      <c r="V105" s="120">
        <f>'BTX Recycling HC'!U265</f>
        <v>93820.911680407662</v>
      </c>
      <c r="W105" s="120">
        <f>'BTX Recycling HC'!V265</f>
        <v>96742.570996348819</v>
      </c>
      <c r="X105" s="120">
        <f>'BTX Recycling HC'!W265</f>
        <v>99586.927353794323</v>
      </c>
      <c r="Y105" s="120">
        <f>'BTX Recycling HC'!X265</f>
        <v>104668.3506349114</v>
      </c>
      <c r="Z105" s="120">
        <f>'BTX Recycling HC'!Y265</f>
        <v>109629.11353643045</v>
      </c>
      <c r="AA105" s="120">
        <f>'BTX Recycling HC'!Z265</f>
        <v>114469.93913182493</v>
      </c>
      <c r="AB105" s="120">
        <f>'BTX Recycling HC'!AA265</f>
        <v>119191.54741525823</v>
      </c>
      <c r="AC105" s="120">
        <f>'BTX Recycling HC'!AB265</f>
        <v>123794.65531270365</v>
      </c>
      <c r="AD105" s="120">
        <f>'BTX Recycling HC'!AC265</f>
        <v>128235.85485574674</v>
      </c>
      <c r="AE105" s="120">
        <f>'BTX Recycling HC'!AD265</f>
        <v>132557.25326399168</v>
      </c>
      <c r="AF105" s="120">
        <f>'BTX Recycling HC'!AE265</f>
        <v>136759.57702010806</v>
      </c>
      <c r="AG105" s="120">
        <f>'BTX Recycling HC'!AF265</f>
        <v>140843.54949920269</v>
      </c>
      <c r="AH105" s="120">
        <f>'BTX Recycling HC'!AG265</f>
        <v>144809.89098006766</v>
      </c>
      <c r="AI105" s="178"/>
      <c r="AJ105" s="120">
        <f>D105</f>
        <v>0</v>
      </c>
      <c r="AK105" s="120">
        <f t="shared" ref="AK105:AZ107" si="98">E105</f>
        <v>7348.3075731373538</v>
      </c>
      <c r="AL105" s="120">
        <f t="shared" si="98"/>
        <v>14663.87032369645</v>
      </c>
      <c r="AM105" s="120">
        <f t="shared" si="98"/>
        <v>21946.797013825111</v>
      </c>
      <c r="AN105" s="120">
        <f t="shared" si="98"/>
        <v>29197.196085048199</v>
      </c>
      <c r="AO105" s="120">
        <f t="shared" si="98"/>
        <v>36415.175659153101</v>
      </c>
      <c r="AP105" s="120">
        <f t="shared" si="98"/>
        <v>42905.509646967839</v>
      </c>
      <c r="AQ105" s="120">
        <f t="shared" si="98"/>
        <v>49269.213705104296</v>
      </c>
      <c r="AR105" s="120">
        <f t="shared" si="98"/>
        <v>55507.030522846457</v>
      </c>
      <c r="AS105" s="120">
        <f t="shared" si="98"/>
        <v>61619.699652376337</v>
      </c>
      <c r="AT105" s="120">
        <f t="shared" si="98"/>
        <v>67607.957520054057</v>
      </c>
      <c r="AU105" s="120">
        <f t="shared" si="98"/>
        <v>71165.115070650223</v>
      </c>
      <c r="AV105" s="120">
        <f t="shared" si="98"/>
        <v>74641.156327347984</v>
      </c>
      <c r="AW105" s="120">
        <f t="shared" si="98"/>
        <v>78036.565103087851</v>
      </c>
      <c r="AX105" s="120">
        <f t="shared" si="98"/>
        <v>81351.823154314552</v>
      </c>
      <c r="AY105" s="120">
        <f t="shared" si="98"/>
        <v>84587.410188395865</v>
      </c>
      <c r="AZ105" s="120">
        <f t="shared" si="98"/>
        <v>87743.803871017109</v>
      </c>
      <c r="BA105" s="120">
        <f t="shared" ref="BA105:BN107" si="99">U105</f>
        <v>90821.479833551843</v>
      </c>
      <c r="BB105" s="120">
        <f t="shared" si="99"/>
        <v>93820.911680407662</v>
      </c>
      <c r="BC105" s="120">
        <f t="shared" si="99"/>
        <v>96742.570996348819</v>
      </c>
      <c r="BD105" s="120">
        <f t="shared" si="99"/>
        <v>99586.927353794323</v>
      </c>
      <c r="BE105" s="120">
        <f t="shared" si="99"/>
        <v>104668.3506349114</v>
      </c>
      <c r="BF105" s="120">
        <f t="shared" si="99"/>
        <v>109629.11353643045</v>
      </c>
      <c r="BG105" s="120">
        <f t="shared" si="99"/>
        <v>114469.93913182493</v>
      </c>
      <c r="BH105" s="120">
        <f t="shared" si="99"/>
        <v>119191.54741525823</v>
      </c>
      <c r="BI105" s="120">
        <f t="shared" si="99"/>
        <v>123794.65531270365</v>
      </c>
      <c r="BJ105" s="120">
        <f t="shared" si="99"/>
        <v>128235.85485574674</v>
      </c>
      <c r="BK105" s="120">
        <f t="shared" si="99"/>
        <v>132557.25326399168</v>
      </c>
      <c r="BL105" s="120">
        <f t="shared" si="99"/>
        <v>136759.57702010806</v>
      </c>
      <c r="BM105" s="120">
        <f t="shared" si="99"/>
        <v>140843.54949920269</v>
      </c>
      <c r="BN105" s="120">
        <f t="shared" si="99"/>
        <v>144809.89098006766</v>
      </c>
    </row>
    <row r="106" spans="1:90" outlineLevel="1">
      <c r="A106"/>
      <c r="B106" t="s">
        <v>268</v>
      </c>
      <c r="C106" s="50" t="s">
        <v>1420</v>
      </c>
      <c r="D106" s="99">
        <f>'BTX Recycling HC'!C104</f>
        <v>0</v>
      </c>
      <c r="E106" s="99">
        <f>'BTX Recycling HC'!D104</f>
        <v>533.88219994078827</v>
      </c>
      <c r="F106" s="99">
        <f>'BTX Recycling HC'!E104</f>
        <v>689.95492319643381</v>
      </c>
      <c r="G106" s="99">
        <f>'BTX Recycling HC'!F104</f>
        <v>792.16039873050613</v>
      </c>
      <c r="H106" s="99">
        <f>'BTX Recycling HC'!G104</f>
        <v>741.24088077722263</v>
      </c>
      <c r="I106" s="99">
        <f>'BTX Recycling HC'!H104</f>
        <v>543.67230019118142</v>
      </c>
      <c r="J106" s="99">
        <f>'BTX Recycling HC'!I104</f>
        <v>205.87787514391675</v>
      </c>
      <c r="K106" s="99">
        <f>'BTX Recycling HC'!J104</f>
        <v>-265.77160617846675</v>
      </c>
      <c r="L106" s="99">
        <f>'BTX Recycling HC'!K104</f>
        <v>-864.95750410774781</v>
      </c>
      <c r="M106" s="99">
        <f>'BTX Recycling HC'!L104</f>
        <v>-1585.4130472514298</v>
      </c>
      <c r="N106" s="99">
        <f>'BTX Recycling HC'!M104</f>
        <v>-2420.9230534709932</v>
      </c>
      <c r="O106" s="99">
        <f>'BTX Recycling HC'!N104</f>
        <v>-5306.6137431188326</v>
      </c>
      <c r="P106" s="99">
        <f>'BTX Recycling HC'!O104</f>
        <v>-8117.4789907507002</v>
      </c>
      <c r="Q106" s="99">
        <f>'BTX Recycling HC'!P104</f>
        <v>-10852.782038469653</v>
      </c>
      <c r="R106" s="99">
        <f>'BTX Recycling HC'!Q104</f>
        <v>-13511.794699137157</v>
      </c>
      <c r="S106" s="99">
        <f>'BTX Recycling HC'!R104</f>
        <v>-16093.797305385349</v>
      </c>
      <c r="T106" s="99">
        <f>'BTX Recycling HC'!S104</f>
        <v>-18598.078658862156</v>
      </c>
      <c r="U106" s="99">
        <f>'BTX Recycling HC'!T104</f>
        <v>-21023.935979708804</v>
      </c>
      <c r="V106" s="99">
        <f>'BTX Recycling HC'!U104</f>
        <v>-23370.674856268488</v>
      </c>
      <c r="W106" s="99">
        <f>'BTX Recycling HC'!V104</f>
        <v>-25637.609195025405</v>
      </c>
      <c r="X106" s="99">
        <f>'BTX Recycling HC'!W104</f>
        <v>-27824.061170773439</v>
      </c>
      <c r="Y106" s="99">
        <f>'BTX Recycling HC'!X104</f>
        <v>-29668.821004076726</v>
      </c>
      <c r="Z106" s="99">
        <f>'BTX Recycling HC'!Y104</f>
        <v>-31456.820013604349</v>
      </c>
      <c r="AA106" s="99">
        <f>'BTX Recycling HC'!Z104</f>
        <v>-33187.529364196678</v>
      </c>
      <c r="AB106" s="99">
        <f>'BTX Recycling HC'!AA104</f>
        <v>-34860.426471408886</v>
      </c>
      <c r="AC106" s="99">
        <f>'BTX Recycling HC'!AB104</f>
        <v>-36474.994964177335</v>
      </c>
      <c r="AD106" s="99">
        <f>'BTX Recycling HC'!AC104</f>
        <v>-38030.724647657058</v>
      </c>
      <c r="AE106" s="99">
        <f>'BTX Recycling HC'!AD104</f>
        <v>-39527.111466229479</v>
      </c>
      <c r="AF106" s="99">
        <f>'BTX Recycling HC'!AE104</f>
        <v>-40963.657466679826</v>
      </c>
      <c r="AG106" s="99">
        <f>'BTX Recycling HC'!AF104</f>
        <v>-42339.870761543527</v>
      </c>
      <c r="AH106" s="99">
        <f>'BTX Recycling HC'!AG104</f>
        <v>-43655.265492620914</v>
      </c>
      <c r="AI106" s="178"/>
      <c r="AJ106" s="120">
        <f t="shared" ref="AJ106:AJ107" si="100">D106</f>
        <v>0</v>
      </c>
      <c r="AK106" s="120">
        <f t="shared" si="98"/>
        <v>533.88219994078827</v>
      </c>
      <c r="AL106" s="120">
        <f t="shared" si="98"/>
        <v>689.95492319643381</v>
      </c>
      <c r="AM106" s="120">
        <f t="shared" si="98"/>
        <v>792.16039873050613</v>
      </c>
      <c r="AN106" s="120">
        <f t="shared" si="98"/>
        <v>741.24088077722263</v>
      </c>
      <c r="AO106" s="120">
        <f t="shared" si="98"/>
        <v>543.67230019118142</v>
      </c>
      <c r="AP106" s="120">
        <f t="shared" si="98"/>
        <v>205.87787514391675</v>
      </c>
      <c r="AQ106" s="120">
        <f t="shared" si="98"/>
        <v>-265.77160617846675</v>
      </c>
      <c r="AR106" s="120">
        <f t="shared" si="98"/>
        <v>-864.95750410774781</v>
      </c>
      <c r="AS106" s="120">
        <f t="shared" si="98"/>
        <v>-1585.4130472514298</v>
      </c>
      <c r="AT106" s="120">
        <f t="shared" si="98"/>
        <v>-2420.9230534709932</v>
      </c>
      <c r="AU106" s="120">
        <f t="shared" si="98"/>
        <v>-5306.6137431188326</v>
      </c>
      <c r="AV106" s="120">
        <f t="shared" si="98"/>
        <v>-8117.4789907507002</v>
      </c>
      <c r="AW106" s="120">
        <f t="shared" si="98"/>
        <v>-10852.782038469653</v>
      </c>
      <c r="AX106" s="120">
        <f t="shared" si="98"/>
        <v>-13511.794699137157</v>
      </c>
      <c r="AY106" s="120">
        <f t="shared" si="98"/>
        <v>-16093.797305385349</v>
      </c>
      <c r="AZ106" s="120">
        <f t="shared" si="98"/>
        <v>-18598.078658862156</v>
      </c>
      <c r="BA106" s="120">
        <f t="shared" si="99"/>
        <v>-21023.935979708804</v>
      </c>
      <c r="BB106" s="120">
        <f t="shared" si="99"/>
        <v>-23370.674856268488</v>
      </c>
      <c r="BC106" s="120">
        <f t="shared" si="99"/>
        <v>-25637.609195025405</v>
      </c>
      <c r="BD106" s="120">
        <f t="shared" si="99"/>
        <v>-27824.061170773439</v>
      </c>
      <c r="BE106" s="120">
        <f t="shared" si="99"/>
        <v>-29668.821004076726</v>
      </c>
      <c r="BF106" s="120">
        <f t="shared" si="99"/>
        <v>-31456.820013604349</v>
      </c>
      <c r="BG106" s="120">
        <f t="shared" si="99"/>
        <v>-33187.529364196678</v>
      </c>
      <c r="BH106" s="120">
        <f t="shared" si="99"/>
        <v>-34860.426471408886</v>
      </c>
      <c r="BI106" s="120">
        <f t="shared" si="99"/>
        <v>-36474.994964177335</v>
      </c>
      <c r="BJ106" s="120">
        <f t="shared" si="99"/>
        <v>-38030.724647657058</v>
      </c>
      <c r="BK106" s="120">
        <f t="shared" si="99"/>
        <v>-39527.111466229479</v>
      </c>
      <c r="BL106" s="120">
        <f t="shared" si="99"/>
        <v>-40963.657466679826</v>
      </c>
      <c r="BM106" s="120">
        <f t="shared" si="99"/>
        <v>-42339.870761543527</v>
      </c>
      <c r="BN106" s="120">
        <f t="shared" si="99"/>
        <v>-43655.265492620914</v>
      </c>
    </row>
    <row r="107" spans="1:90" outlineLevel="1">
      <c r="A107" s="160"/>
      <c r="B107" s="160" t="s">
        <v>269</v>
      </c>
      <c r="C107" s="156" t="s">
        <v>1420</v>
      </c>
      <c r="D107" s="120">
        <f>'BTX Recycling HC'!C179</f>
        <v>0</v>
      </c>
      <c r="E107" s="120">
        <f>'BTX Recycling HC'!D179</f>
        <v>75.913111885710123</v>
      </c>
      <c r="F107" s="120">
        <f>'BTX Recycling HC'!E179</f>
        <v>151.09359721428007</v>
      </c>
      <c r="G107" s="120">
        <f>'BTX Recycling HC'!F179</f>
        <v>225.13854665082476</v>
      </c>
      <c r="H107" s="120">
        <f>'BTX Recycling HC'!G179</f>
        <v>297.64862680588135</v>
      </c>
      <c r="I107" s="120">
        <f>'BTX Recycling HC'!H179</f>
        <v>368.22806046966457</v>
      </c>
      <c r="J107" s="120">
        <f>'BTX Recycling HC'!I179</f>
        <v>436.48460693365382</v>
      </c>
      <c r="K107" s="120">
        <f>'BTX Recycling HC'!J179</f>
        <v>502.02954239916994</v>
      </c>
      <c r="L107" s="120">
        <f>'BTX Recycling HC'!K179</f>
        <v>564.47764047261353</v>
      </c>
      <c r="M107" s="120">
        <f>'BTX Recycling HC'!L179</f>
        <v>623.44715274702776</v>
      </c>
      <c r="N107" s="120">
        <f>'BTX Recycling HC'!M179</f>
        <v>678.55978946964296</v>
      </c>
      <c r="O107" s="120">
        <f>'BTX Recycling HC'!N179</f>
        <v>707.52419067659662</v>
      </c>
      <c r="P107" s="120">
        <f>'BTX Recycling HC'!O179</f>
        <v>732.4339910486251</v>
      </c>
      <c r="Q107" s="120">
        <f>'BTX Recycling HC'!P179</f>
        <v>747.60693018697793</v>
      </c>
      <c r="R107" s="120">
        <f>'BTX Recycling HC'!Q179</f>
        <v>758.10139217590722</v>
      </c>
      <c r="S107" s="120">
        <f>'BTX Recycling HC'!R179</f>
        <v>763.72912125670496</v>
      </c>
      <c r="T107" s="120">
        <f>'BTX Recycling HC'!S179</f>
        <v>764.3079228917486</v>
      </c>
      <c r="U107" s="120">
        <f>'BTX Recycling HC'!T179</f>
        <v>759.66166374934369</v>
      </c>
      <c r="V107" s="120">
        <f>'BTX Recycling HC'!U179</f>
        <v>749.6202712878594</v>
      </c>
      <c r="W107" s="120">
        <f>'BTX Recycling HC'!V179</f>
        <v>734.01973294322033</v>
      </c>
      <c r="X107" s="120">
        <f>'BTX Recycling HC'!W179</f>
        <v>712.70209492381264</v>
      </c>
      <c r="Y107" s="120">
        <f>'BTX Recycling HC'!X179</f>
        <v>703.96036871043657</v>
      </c>
      <c r="Z107" s="120">
        <f>'BTX Recycling HC'!Y179</f>
        <v>687.60974645910187</v>
      </c>
      <c r="AA107" s="120">
        <f>'BTX Recycling HC'!Z179</f>
        <v>650.48038398654035</v>
      </c>
      <c r="AB107" s="120">
        <f>'BTX Recycling HC'!AA179</f>
        <v>605.4928092840139</v>
      </c>
      <c r="AC107" s="120">
        <f>'BTX Recycling HC'!AB179</f>
        <v>552.65123778376892</v>
      </c>
      <c r="AD107" s="120">
        <f>'BTX Recycling HC'!AC179</f>
        <v>491.98818823598504</v>
      </c>
      <c r="AE107" s="120">
        <f>'BTX Recycling HC'!AD179</f>
        <v>423.56481635530076</v>
      </c>
      <c r="AF107" s="120">
        <f>'BTX Recycling HC'!AE179</f>
        <v>347.47124198094548</v>
      </c>
      <c r="AG107" s="120">
        <f>'BTX Recycling HC'!AF179</f>
        <v>263.82686980591552</v>
      </c>
      <c r="AH107" s="120">
        <f>'BTX Recycling HC'!AG179</f>
        <v>172.78070373029993</v>
      </c>
      <c r="AI107" s="178"/>
      <c r="AJ107" s="120">
        <f t="shared" si="100"/>
        <v>0</v>
      </c>
      <c r="AK107" s="120">
        <f t="shared" si="98"/>
        <v>75.913111885710123</v>
      </c>
      <c r="AL107" s="120">
        <f t="shared" si="98"/>
        <v>151.09359721428007</v>
      </c>
      <c r="AM107" s="120">
        <f t="shared" si="98"/>
        <v>225.13854665082476</v>
      </c>
      <c r="AN107" s="120">
        <f t="shared" si="98"/>
        <v>297.64862680588135</v>
      </c>
      <c r="AO107" s="120">
        <f t="shared" si="98"/>
        <v>368.22806046966457</v>
      </c>
      <c r="AP107" s="120">
        <f t="shared" si="98"/>
        <v>436.48460693365382</v>
      </c>
      <c r="AQ107" s="120">
        <f t="shared" si="98"/>
        <v>502.02954239916994</v>
      </c>
      <c r="AR107" s="120">
        <f t="shared" si="98"/>
        <v>564.47764047261353</v>
      </c>
      <c r="AS107" s="120">
        <f t="shared" si="98"/>
        <v>623.44715274702776</v>
      </c>
      <c r="AT107" s="120">
        <f t="shared" si="98"/>
        <v>678.55978946964296</v>
      </c>
      <c r="AU107" s="120">
        <f t="shared" si="98"/>
        <v>707.52419067659662</v>
      </c>
      <c r="AV107" s="120">
        <f t="shared" si="98"/>
        <v>732.4339910486251</v>
      </c>
      <c r="AW107" s="120">
        <f t="shared" si="98"/>
        <v>747.60693018697793</v>
      </c>
      <c r="AX107" s="120">
        <f t="shared" si="98"/>
        <v>758.10139217590722</v>
      </c>
      <c r="AY107" s="120">
        <f t="shared" si="98"/>
        <v>763.72912125670496</v>
      </c>
      <c r="AZ107" s="120">
        <f t="shared" si="98"/>
        <v>764.3079228917486</v>
      </c>
      <c r="BA107" s="120">
        <f t="shared" si="99"/>
        <v>759.66166374934369</v>
      </c>
      <c r="BB107" s="120">
        <f t="shared" si="99"/>
        <v>749.6202712878594</v>
      </c>
      <c r="BC107" s="120">
        <f t="shared" si="99"/>
        <v>734.01973294322033</v>
      </c>
      <c r="BD107" s="120">
        <f t="shared" si="99"/>
        <v>712.70209492381264</v>
      </c>
      <c r="BE107" s="120">
        <f t="shared" si="99"/>
        <v>703.96036871043657</v>
      </c>
      <c r="BF107" s="120">
        <f t="shared" si="99"/>
        <v>687.60974645910187</v>
      </c>
      <c r="BG107" s="120">
        <f t="shared" si="99"/>
        <v>650.48038398654035</v>
      </c>
      <c r="BH107" s="120">
        <f t="shared" si="99"/>
        <v>605.4928092840139</v>
      </c>
      <c r="BI107" s="120">
        <f t="shared" si="99"/>
        <v>552.65123778376892</v>
      </c>
      <c r="BJ107" s="120">
        <f t="shared" si="99"/>
        <v>491.98818823598504</v>
      </c>
      <c r="BK107" s="120">
        <f t="shared" si="99"/>
        <v>423.56481635530076</v>
      </c>
      <c r="BL107" s="120">
        <f t="shared" si="99"/>
        <v>347.47124198094548</v>
      </c>
      <c r="BM107" s="120">
        <f t="shared" si="99"/>
        <v>263.82686980591552</v>
      </c>
      <c r="BN107" s="120">
        <f t="shared" si="99"/>
        <v>172.78070373029993</v>
      </c>
    </row>
    <row r="108" spans="1:90" outlineLevel="1">
      <c r="A108" s="160"/>
      <c r="B108" s="160" t="s">
        <v>270</v>
      </c>
      <c r="C108" s="156" t="s">
        <v>1420</v>
      </c>
      <c r="D108" s="120">
        <f>'BTX Recycling HC'!C231</f>
        <v>0</v>
      </c>
      <c r="E108" s="120">
        <f>'BTX Recycling HC'!D231</f>
        <v>139.97581628488709</v>
      </c>
      <c r="F108" s="120">
        <f>'BTX Recycling HC'!E231</f>
        <v>331.19767139118858</v>
      </c>
      <c r="G108" s="120">
        <f>'BTX Recycling HC'!F231</f>
        <v>577.79894899130204</v>
      </c>
      <c r="H108" s="120">
        <f>'BTX Recycling HC'!G231</f>
        <v>883.87502926869797</v>
      </c>
      <c r="I108" s="120">
        <f>'BTX Recycling HC'!H231</f>
        <v>1253.4835014300218</v>
      </c>
      <c r="J108" s="120">
        <f>'BTX Recycling HC'!I231</f>
        <v>1638.403464076865</v>
      </c>
      <c r="K108" s="120">
        <f>'BTX Recycling HC'!J231</f>
        <v>2063.4210617783674</v>
      </c>
      <c r="L108" s="120">
        <f>'BTX Recycling HC'!K231</f>
        <v>2525.4847318253337</v>
      </c>
      <c r="M108" s="120">
        <f>'BTX Recycling HC'!L231</f>
        <v>3021.0228666685116</v>
      </c>
      <c r="N108" s="120">
        <f>'BTX Recycling HC'!M231</f>
        <v>3545.9496984628768</v>
      </c>
      <c r="O108" s="120">
        <f>'BTX Recycling HC'!N231</f>
        <v>3973.4813613083229</v>
      </c>
      <c r="P108" s="120">
        <f>'BTX Recycling HC'!O231</f>
        <v>4409.9313526629385</v>
      </c>
      <c r="Q108" s="120">
        <f>'BTX Recycling HC'!P231</f>
        <v>4851.1257821587715</v>
      </c>
      <c r="R108" s="120">
        <f>'BTX Recycling HC'!Q231</f>
        <v>5292.5646818035821</v>
      </c>
      <c r="S108" s="120">
        <f>'BTX Recycling HC'!R231</f>
        <v>5729.4258075839907</v>
      </c>
      <c r="T108" s="120">
        <f>'BTX Recycling HC'!S231</f>
        <v>6241.4415749378059</v>
      </c>
      <c r="U108" s="120">
        <f>'BTX Recycling HC'!T231</f>
        <v>6758.5360162590341</v>
      </c>
      <c r="V108" s="120">
        <f>'BTX Recycling HC'!U231</f>
        <v>7277.1250428922913</v>
      </c>
      <c r="W108" s="120">
        <f>'BTX Recycling HC'!V231</f>
        <v>7793.4030019883412</v>
      </c>
      <c r="X108" s="120">
        <f>'BTX Recycling HC'!W231</f>
        <v>8303.3452961607709</v>
      </c>
      <c r="Y108" s="120">
        <f>'BTX Recycling HC'!X231</f>
        <v>8985.5854737175778</v>
      </c>
      <c r="Z108" s="120">
        <f>'BTX Recycling HC'!Y231</f>
        <v>9658.5654021938335</v>
      </c>
      <c r="AA108" s="120">
        <f>'BTX Recycling HC'!Z231</f>
        <v>10315.858743336479</v>
      </c>
      <c r="AB108" s="120">
        <f>'BTX Recycling HC'!AA231</f>
        <v>10950.711306978319</v>
      </c>
      <c r="AC108" s="120">
        <f>'BTX Recycling HC'!AB231</f>
        <v>11556.044983921269</v>
      </c>
      <c r="AD108" s="120">
        <f>'BTX Recycling HC'!AC231</f>
        <v>12003.539494644547</v>
      </c>
      <c r="AE108" s="120">
        <f>'BTX Recycling HC'!AD231</f>
        <v>12383.146395784213</v>
      </c>
      <c r="AF108" s="120">
        <f>'BTX Recycling HC'!AE231</f>
        <v>12684.851701471891</v>
      </c>
      <c r="AG108" s="120">
        <f>'BTX Recycling HC'!AF231</f>
        <v>12898.272640940231</v>
      </c>
      <c r="AH108" s="120">
        <f>'BTX Recycling HC'!AG231</f>
        <v>13012.662224394182</v>
      </c>
      <c r="AI108" s="178"/>
      <c r="AJ108" s="120">
        <f t="shared" ref="AJ108" si="101">D108</f>
        <v>0</v>
      </c>
      <c r="AK108" s="120">
        <f t="shared" ref="AK108" si="102">E108</f>
        <v>139.97581628488709</v>
      </c>
      <c r="AL108" s="120">
        <f t="shared" ref="AL108" si="103">F108</f>
        <v>331.19767139118858</v>
      </c>
      <c r="AM108" s="120">
        <f t="shared" ref="AM108" si="104">G108</f>
        <v>577.79894899130204</v>
      </c>
      <c r="AN108" s="120">
        <f t="shared" ref="AN108" si="105">H108</f>
        <v>883.87502926869797</v>
      </c>
      <c r="AO108" s="120">
        <f t="shared" ref="AO108" si="106">I108</f>
        <v>1253.4835014300218</v>
      </c>
      <c r="AP108" s="120">
        <f t="shared" ref="AP108" si="107">J108</f>
        <v>1638.403464076865</v>
      </c>
      <c r="AQ108" s="120">
        <f t="shared" ref="AQ108" si="108">K108</f>
        <v>2063.4210617783674</v>
      </c>
      <c r="AR108" s="120">
        <f t="shared" ref="AR108" si="109">L108</f>
        <v>2525.4847318253337</v>
      </c>
      <c r="AS108" s="120">
        <f t="shared" ref="AS108" si="110">M108</f>
        <v>3021.0228666685116</v>
      </c>
      <c r="AT108" s="120">
        <f t="shared" ref="AT108" si="111">N108</f>
        <v>3545.9496984628768</v>
      </c>
      <c r="AU108" s="120">
        <f t="shared" ref="AU108" si="112">O108</f>
        <v>3973.4813613083229</v>
      </c>
      <c r="AV108" s="120">
        <f t="shared" ref="AV108" si="113">P108</f>
        <v>4409.9313526629385</v>
      </c>
      <c r="AW108" s="120">
        <f t="shared" ref="AW108" si="114">Q108</f>
        <v>4851.1257821587715</v>
      </c>
      <c r="AX108" s="120">
        <f t="shared" ref="AX108" si="115">R108</f>
        <v>5292.5646818035821</v>
      </c>
      <c r="AY108" s="120">
        <f t="shared" ref="AY108" si="116">S108</f>
        <v>5729.4258075839907</v>
      </c>
      <c r="AZ108" s="120">
        <f t="shared" ref="AZ108" si="117">T108</f>
        <v>6241.4415749378059</v>
      </c>
      <c r="BA108" s="120">
        <f t="shared" ref="BA108" si="118">U108</f>
        <v>6758.5360162590341</v>
      </c>
      <c r="BB108" s="120">
        <f t="shared" ref="BB108" si="119">V108</f>
        <v>7277.1250428922913</v>
      </c>
      <c r="BC108" s="120">
        <f t="shared" ref="BC108" si="120">W108</f>
        <v>7793.4030019883412</v>
      </c>
      <c r="BD108" s="120">
        <f t="shared" ref="BD108" si="121">X108</f>
        <v>8303.3452961607709</v>
      </c>
      <c r="BE108" s="120">
        <f t="shared" ref="BE108" si="122">Y108</f>
        <v>8985.5854737175778</v>
      </c>
      <c r="BF108" s="120">
        <f t="shared" ref="BF108" si="123">Z108</f>
        <v>9658.5654021938335</v>
      </c>
      <c r="BG108" s="120">
        <f t="shared" ref="BG108" si="124">AA108</f>
        <v>10315.858743336479</v>
      </c>
      <c r="BH108" s="120">
        <f t="shared" ref="BH108" si="125">AB108</f>
        <v>10950.711306978319</v>
      </c>
      <c r="BI108" s="120">
        <f t="shared" ref="BI108" si="126">AC108</f>
        <v>11556.044983921269</v>
      </c>
      <c r="BJ108" s="120">
        <f t="shared" ref="BJ108" si="127">AD108</f>
        <v>12003.539494644547</v>
      </c>
      <c r="BK108" s="120">
        <f t="shared" ref="BK108" si="128">AE108</f>
        <v>12383.146395784213</v>
      </c>
      <c r="BL108" s="120">
        <f t="shared" ref="BL108" si="129">AF108</f>
        <v>12684.851701471891</v>
      </c>
      <c r="BM108" s="120">
        <f t="shared" ref="BM108" si="130">AG108</f>
        <v>12898.272640940231</v>
      </c>
      <c r="BN108" s="120">
        <f t="shared" ref="BN108" si="131">AH108</f>
        <v>13012.662224394182</v>
      </c>
    </row>
    <row r="109" spans="1:90" outlineLevel="1">
      <c r="A109" s="158"/>
      <c r="B109" s="211" t="s">
        <v>267</v>
      </c>
      <c r="C109" s="159" t="s">
        <v>1420</v>
      </c>
      <c r="D109" s="554">
        <f>D104-D105-D106-D107-D108</f>
        <v>2752333.0301990337</v>
      </c>
      <c r="E109" s="554">
        <f t="shared" ref="E109:AH109" si="132">E104-E105-E106-E107-E108</f>
        <v>2725005.9489387674</v>
      </c>
      <c r="F109" s="554">
        <f t="shared" si="132"/>
        <v>2697405.8435574514</v>
      </c>
      <c r="G109" s="554">
        <f t="shared" si="132"/>
        <v>2669796.5655865716</v>
      </c>
      <c r="H109" s="554">
        <f t="shared" si="132"/>
        <v>2642275.8084717011</v>
      </c>
      <c r="I109" s="554">
        <f t="shared" si="132"/>
        <v>2607104.4611738608</v>
      </c>
      <c r="J109" s="554">
        <f t="shared" si="132"/>
        <v>2574098.0604855935</v>
      </c>
      <c r="K109" s="554">
        <f t="shared" si="132"/>
        <v>2541436.2114881775</v>
      </c>
      <c r="L109" s="554">
        <f t="shared" si="132"/>
        <v>2509115.5713170096</v>
      </c>
      <c r="M109" s="554">
        <f t="shared" si="132"/>
        <v>2477133.3633523392</v>
      </c>
      <c r="N109" s="554">
        <f t="shared" si="132"/>
        <v>2445487.3714939272</v>
      </c>
      <c r="O109" s="554">
        <f t="shared" si="132"/>
        <v>2411959.3436870845</v>
      </c>
      <c r="P109" s="554">
        <f t="shared" si="132"/>
        <v>2378728.6996770874</v>
      </c>
      <c r="Q109" s="554">
        <f t="shared" si="132"/>
        <v>2345801.9233636106</v>
      </c>
      <c r="R109" s="554">
        <f t="shared" si="132"/>
        <v>2313175.1178878397</v>
      </c>
      <c r="S109" s="554">
        <f t="shared" si="132"/>
        <v>2280849.989309174</v>
      </c>
      <c r="T109" s="554">
        <f t="shared" si="132"/>
        <v>2242647.0954657779</v>
      </c>
      <c r="U109" s="554">
        <f t="shared" si="132"/>
        <v>2204904.4102141336</v>
      </c>
      <c r="V109" s="554">
        <f t="shared" si="132"/>
        <v>2167619.7285160944</v>
      </c>
      <c r="W109" s="554">
        <f t="shared" si="132"/>
        <v>2130791.1301976587</v>
      </c>
      <c r="X109" s="554">
        <f t="shared" si="132"/>
        <v>2094416.9772553602</v>
      </c>
      <c r="Y109" s="554">
        <f t="shared" si="132"/>
        <v>2050959.1888232816</v>
      </c>
      <c r="Z109" s="554">
        <f t="shared" si="132"/>
        <v>2008160.3113684729</v>
      </c>
      <c r="AA109" s="554">
        <f t="shared" si="132"/>
        <v>1966031.7480124603</v>
      </c>
      <c r="AB109" s="554">
        <f t="shared" si="132"/>
        <v>1924559.2415200158</v>
      </c>
      <c r="AC109" s="554">
        <f t="shared" si="132"/>
        <v>1883741.8767311303</v>
      </c>
      <c r="AD109" s="554">
        <f t="shared" si="132"/>
        <v>1841513.0121722226</v>
      </c>
      <c r="AE109" s="554">
        <f t="shared" si="132"/>
        <v>1800038.2506424806</v>
      </c>
      <c r="AF109" s="554">
        <f t="shared" si="132"/>
        <v>1759318.4343843074</v>
      </c>
      <c r="AG109" s="554">
        <f t="shared" si="132"/>
        <v>1719354.8666167262</v>
      </c>
      <c r="AH109" s="554">
        <f t="shared" si="132"/>
        <v>1680149.3062832477</v>
      </c>
      <c r="AI109" s="178"/>
      <c r="AJ109" s="554">
        <f>AJ104-AJ105-AJ106-AJ107-AJ108</f>
        <v>2752333.0301990337</v>
      </c>
      <c r="AK109" s="554">
        <f t="shared" ref="AK109:BN109" si="133">AK104-AK105-AK106-AK107-AK108</f>
        <v>2734083.0557344807</v>
      </c>
      <c r="AL109" s="554">
        <f t="shared" si="133"/>
        <v>2715548.4203471816</v>
      </c>
      <c r="AM109" s="554">
        <f t="shared" si="133"/>
        <v>2696992.3053318495</v>
      </c>
      <c r="AN109" s="554">
        <f t="shared" si="133"/>
        <v>2678511.7449365077</v>
      </c>
      <c r="AO109" s="554">
        <f t="shared" si="133"/>
        <v>2652235.0637828135</v>
      </c>
      <c r="AP109" s="554">
        <f t="shared" si="133"/>
        <v>2628081.8610672872</v>
      </c>
      <c r="AQ109" s="554">
        <f t="shared" si="133"/>
        <v>2604215.6696300902</v>
      </c>
      <c r="AR109" s="554">
        <f t="shared" si="133"/>
        <v>2580633.1969866892</v>
      </c>
      <c r="AS109" s="554">
        <f t="shared" si="133"/>
        <v>2557331.7204579958</v>
      </c>
      <c r="AT109" s="554">
        <f t="shared" si="133"/>
        <v>2534309.0813866043</v>
      </c>
      <c r="AU109" s="554">
        <f t="shared" si="133"/>
        <v>2509088.3851688416</v>
      </c>
      <c r="AV109" s="554">
        <f t="shared" si="133"/>
        <v>2484064.1827846565</v>
      </c>
      <c r="AW109" s="554">
        <f t="shared" si="133"/>
        <v>2459243.8425075235</v>
      </c>
      <c r="AX109" s="554">
        <f t="shared" si="133"/>
        <v>2434624.345152752</v>
      </c>
      <c r="AY109" s="554">
        <f t="shared" si="133"/>
        <v>2410208.2678001793</v>
      </c>
      <c r="AZ109" s="554">
        <f t="shared" si="133"/>
        <v>2379457.1247994443</v>
      </c>
      <c r="BA109" s="554">
        <f t="shared" si="133"/>
        <v>2349029.9978974666</v>
      </c>
      <c r="BB109" s="554">
        <f t="shared" si="133"/>
        <v>2318926.4149886277</v>
      </c>
      <c r="BC109" s="554">
        <f t="shared" si="133"/>
        <v>2289146.1698072492</v>
      </c>
      <c r="BD109" s="554">
        <f t="shared" si="133"/>
        <v>2259689.3194262045</v>
      </c>
      <c r="BE109" s="554">
        <f t="shared" si="133"/>
        <v>2222924.095456955</v>
      </c>
      <c r="BF109" s="554">
        <f t="shared" si="133"/>
        <v>2186657.7906083059</v>
      </c>
      <c r="BG109" s="554">
        <f t="shared" si="133"/>
        <v>2150904.2187907076</v>
      </c>
      <c r="BH109" s="554">
        <f t="shared" si="133"/>
        <v>2115651.503372164</v>
      </c>
      <c r="BI109" s="554">
        <f t="shared" si="133"/>
        <v>2080901.0799512744</v>
      </c>
      <c r="BJ109" s="554">
        <f t="shared" si="133"/>
        <v>2044355.5860749641</v>
      </c>
      <c r="BK109" s="554">
        <f t="shared" si="133"/>
        <v>2008401.6622775977</v>
      </c>
      <c r="BL109" s="554">
        <f t="shared" si="133"/>
        <v>1973042.8208733946</v>
      </c>
      <c r="BM109" s="554">
        <f t="shared" si="133"/>
        <v>1938282.9995707469</v>
      </c>
      <c r="BN109" s="554">
        <f t="shared" si="133"/>
        <v>1904126.5566437354</v>
      </c>
    </row>
    <row r="110" spans="1:90" s="61" customFormat="1" outlineLevel="1">
      <c r="A110" s="602"/>
      <c r="B110" s="54" t="s">
        <v>88</v>
      </c>
      <c r="C110" s="55" t="s">
        <v>1420</v>
      </c>
      <c r="D110" s="580">
        <f>D58+D64-'Overall recycling rates'!$G$60/SUM('Overall recycling rates'!$G$60:$G$62)*('BTX Recycling HC'!C180+'BTX Recycling HC'!C232+'BTX Recycling HC'!C266+'BTX Recycling HC'!C105)-'Overall recycling rates'!$E$60/SUM('Overall recycling rates'!$E$60:$E$62)*('BTX Recycling HC'!C181+'BTX Recycling HC'!C233+'BTX Recycling HC'!C267+'BTX Recycling HC'!C106)-'Overall recycling rates'!$H$60/SUM('Overall recycling rates'!$H$60:$H$62)*('BTX Recycling HC'!C182+'BTX Recycling HC'!C234+'BTX Recycling HC'!C268+'BTX Recycling HC'!C107)-'Overall recycling rates'!$I$60/SUM('Overall recycling rates'!$I$60:$I$62)*('BTX Recycling HC'!C183+'BTX Recycling HC'!C235+'BTX Recycling HC'!C269+'BTX Recycling HC'!C108)</f>
        <v>1303062.3227515232</v>
      </c>
      <c r="E110" s="580">
        <f>E58+E64-'Overall recycling rates'!$G$60/SUM('Overall recycling rates'!$G$60:$G$62)*('BTX Recycling HC'!D180+'BTX Recycling HC'!D232+'BTX Recycling HC'!D266+'BTX Recycling HC'!D105)-'Overall recycling rates'!$E$60/SUM('Overall recycling rates'!$E$60:$E$62)*('BTX Recycling HC'!D181+'BTX Recycling HC'!D233+'BTX Recycling HC'!D267+'BTX Recycling HC'!D106)-'Overall recycling rates'!$H$60/SUM('Overall recycling rates'!$H$60:$H$62)*('BTX Recycling HC'!D182+'BTX Recycling HC'!D234+'BTX Recycling HC'!D268+'BTX Recycling HC'!D107)-'Overall recycling rates'!$I$60/SUM('Overall recycling rates'!$I$60:$I$62)*('BTX Recycling HC'!D183+'BTX Recycling HC'!D235+'BTX Recycling HC'!D269+'BTX Recycling HC'!D108)</f>
        <v>1288574.1274969352</v>
      </c>
      <c r="F110" s="580">
        <f>F58+F64-'Overall recycling rates'!$G$60/SUM('Overall recycling rates'!$G$60:$G$62)*('BTX Recycling HC'!E180+'BTX Recycling HC'!E232+'BTX Recycling HC'!E266+'BTX Recycling HC'!E105)-'Overall recycling rates'!$E$60/SUM('Overall recycling rates'!$E$60:$E$62)*('BTX Recycling HC'!E181+'BTX Recycling HC'!E233+'BTX Recycling HC'!E267+'BTX Recycling HC'!E106)-'Overall recycling rates'!$H$60/SUM('Overall recycling rates'!$H$60:$H$62)*('BTX Recycling HC'!E182+'BTX Recycling HC'!E234+'BTX Recycling HC'!E268+'BTX Recycling HC'!E107)-'Overall recycling rates'!$I$60/SUM('Overall recycling rates'!$I$60:$I$62)*('BTX Recycling HC'!E183+'BTX Recycling HC'!E235+'BTX Recycling HC'!E269+'BTX Recycling HC'!E108)</f>
        <v>1273848.6148955303</v>
      </c>
      <c r="G110" s="580">
        <f>G58+G64-'Overall recycling rates'!$G$60/SUM('Overall recycling rates'!$G$60:$G$62)*('BTX Recycling HC'!F180+'BTX Recycling HC'!F232+'BTX Recycling HC'!F266+'BTX Recycling HC'!F105)-'Overall recycling rates'!$E$60/SUM('Overall recycling rates'!$E$60:$E$62)*('BTX Recycling HC'!F181+'BTX Recycling HC'!F233+'BTX Recycling HC'!F267+'BTX Recycling HC'!F106)-'Overall recycling rates'!$H$60/SUM('Overall recycling rates'!$H$60:$H$62)*('BTX Recycling HC'!F182+'BTX Recycling HC'!F234+'BTX Recycling HC'!F268+'BTX Recycling HC'!F107)-'Overall recycling rates'!$I$60/SUM('Overall recycling rates'!$I$60:$I$62)*('BTX Recycling HC'!F183+'BTX Recycling HC'!F235+'BTX Recycling HC'!F269+'BTX Recycling HC'!F108)</f>
        <v>1259131.3814590788</v>
      </c>
      <c r="H110" s="580">
        <f>H58+H64-'Overall recycling rates'!$G$60/SUM('Overall recycling rates'!$G$60:$G$62)*('BTX Recycling HC'!G180+'BTX Recycling HC'!G232+'BTX Recycling HC'!G266+'BTX Recycling HC'!G105)-'Overall recycling rates'!$E$60/SUM('Overall recycling rates'!$E$60:$E$62)*('BTX Recycling HC'!G181+'BTX Recycling HC'!G233+'BTX Recycling HC'!G267+'BTX Recycling HC'!G106)-'Overall recycling rates'!$H$60/SUM('Overall recycling rates'!$H$60:$H$62)*('BTX Recycling HC'!G182+'BTX Recycling HC'!G234+'BTX Recycling HC'!G268+'BTX Recycling HC'!G107)-'Overall recycling rates'!$I$60/SUM('Overall recycling rates'!$I$60:$I$62)*('BTX Recycling HC'!G183+'BTX Recycling HC'!G235+'BTX Recycling HC'!G269+'BTX Recycling HC'!G108)</f>
        <v>1244445.5243775817</v>
      </c>
      <c r="I110" s="580">
        <f>I58+I64-'Overall recycling rates'!$G$60/SUM('Overall recycling rates'!$G$60:$G$62)*('BTX Recycling HC'!H180+'BTX Recycling HC'!H232+'BTX Recycling HC'!H266+'BTX Recycling HC'!H105)-'Overall recycling rates'!$E$60/SUM('Overall recycling rates'!$E$60:$E$62)*('BTX Recycling HC'!H181+'BTX Recycling HC'!H233+'BTX Recycling HC'!H267+'BTX Recycling HC'!H106)-'Overall recycling rates'!$H$60/SUM('Overall recycling rates'!$H$60:$H$62)*('BTX Recycling HC'!H182+'BTX Recycling HC'!H234+'BTX Recycling HC'!H268+'BTX Recycling HC'!H107)-'Overall recycling rates'!$I$60/SUM('Overall recycling rates'!$I$60:$I$62)*('BTX Recycling HC'!H183+'BTX Recycling HC'!H235+'BTX Recycling HC'!H269+'BTX Recycling HC'!H108)</f>
        <v>1226136.8841905976</v>
      </c>
      <c r="J110" s="580">
        <f>J58+J64-'Overall recycling rates'!$G$60/SUM('Overall recycling rates'!$G$60:$G$62)*('BTX Recycling HC'!I180+'BTX Recycling HC'!I232+'BTX Recycling HC'!I266+'BTX Recycling HC'!I105)-'Overall recycling rates'!$E$60/SUM('Overall recycling rates'!$E$60:$E$62)*('BTX Recycling HC'!I181+'BTX Recycling HC'!I233+'BTX Recycling HC'!I267+'BTX Recycling HC'!I106)-'Overall recycling rates'!$H$60/SUM('Overall recycling rates'!$H$60:$H$62)*('BTX Recycling HC'!I182+'BTX Recycling HC'!I234+'BTX Recycling HC'!I268+'BTX Recycling HC'!I107)-'Overall recycling rates'!$I$60/SUM('Overall recycling rates'!$I$60:$I$62)*('BTX Recycling HC'!I183+'BTX Recycling HC'!I235+'BTX Recycling HC'!I269+'BTX Recycling HC'!I108)</f>
        <v>1208936.9830470826</v>
      </c>
      <c r="K110" s="580">
        <f>K58+K64-'Overall recycling rates'!$G$60/SUM('Overall recycling rates'!$G$60:$G$62)*('BTX Recycling HC'!J180+'BTX Recycling HC'!J232+'BTX Recycling HC'!J266+'BTX Recycling HC'!J105)-'Overall recycling rates'!$E$60/SUM('Overall recycling rates'!$E$60:$E$62)*('BTX Recycling HC'!J181+'BTX Recycling HC'!J233+'BTX Recycling HC'!J267+'BTX Recycling HC'!J106)-'Overall recycling rates'!$H$60/SUM('Overall recycling rates'!$H$60:$H$62)*('BTX Recycling HC'!J182+'BTX Recycling HC'!J234+'BTX Recycling HC'!J268+'BTX Recycling HC'!J107)-'Overall recycling rates'!$I$60/SUM('Overall recycling rates'!$I$60:$I$62)*('BTX Recycling HC'!J183+'BTX Recycling HC'!J235+'BTX Recycling HC'!J269+'BTX Recycling HC'!J108)</f>
        <v>1191916.6805612689</v>
      </c>
      <c r="L110" s="580">
        <f>L58+L64-'Overall recycling rates'!$G$60/SUM('Overall recycling rates'!$G$60:$G$62)*('BTX Recycling HC'!K180+'BTX Recycling HC'!K232+'BTX Recycling HC'!K266+'BTX Recycling HC'!K105)-'Overall recycling rates'!$E$60/SUM('Overall recycling rates'!$E$60:$E$62)*('BTX Recycling HC'!K181+'BTX Recycling HC'!K233+'BTX Recycling HC'!K267+'BTX Recycling HC'!K106)-'Overall recycling rates'!$H$60/SUM('Overall recycling rates'!$H$60:$H$62)*('BTX Recycling HC'!K182+'BTX Recycling HC'!K234+'BTX Recycling HC'!K268+'BTX Recycling HC'!K107)-'Overall recycling rates'!$I$60/SUM('Overall recycling rates'!$I$60:$I$62)*('BTX Recycling HC'!K183+'BTX Recycling HC'!K235+'BTX Recycling HC'!K269+'BTX Recycling HC'!K108)</f>
        <v>1175079.6651557796</v>
      </c>
      <c r="M110" s="580">
        <f>M58+M64-'Overall recycling rates'!$G$60/SUM('Overall recycling rates'!$G$60:$G$62)*('BTX Recycling HC'!L180+'BTX Recycling HC'!L232+'BTX Recycling HC'!L266+'BTX Recycling HC'!L105)-'Overall recycling rates'!$E$60/SUM('Overall recycling rates'!$E$60:$E$62)*('BTX Recycling HC'!L181+'BTX Recycling HC'!L233+'BTX Recycling HC'!L267+'BTX Recycling HC'!L106)-'Overall recycling rates'!$H$60/SUM('Overall recycling rates'!$H$60:$H$62)*('BTX Recycling HC'!L182+'BTX Recycling HC'!L234+'BTX Recycling HC'!L268+'BTX Recycling HC'!L107)-'Overall recycling rates'!$I$60/SUM('Overall recycling rates'!$I$60:$I$62)*('BTX Recycling HC'!L183+'BTX Recycling HC'!L235+'BTX Recycling HC'!L269+'BTX Recycling HC'!L108)</f>
        <v>1158429.2846287587</v>
      </c>
      <c r="N110" s="580">
        <f>N58+N64-'Overall recycling rates'!$G$60/SUM('Overall recycling rates'!$G$60:$G$62)*('BTX Recycling HC'!M180+'BTX Recycling HC'!M232+'BTX Recycling HC'!M266+'BTX Recycling HC'!M105)-'Overall recycling rates'!$E$60/SUM('Overall recycling rates'!$E$60:$E$62)*('BTX Recycling HC'!M181+'BTX Recycling HC'!M233+'BTX Recycling HC'!M267+'BTX Recycling HC'!M106)-'Overall recycling rates'!$H$60/SUM('Overall recycling rates'!$H$60:$H$62)*('BTX Recycling HC'!M182+'BTX Recycling HC'!M234+'BTX Recycling HC'!M268+'BTX Recycling HC'!M107)-'Overall recycling rates'!$I$60/SUM('Overall recycling rates'!$I$60:$I$62)*('BTX Recycling HC'!M183+'BTX Recycling HC'!M235+'BTX Recycling HC'!M269+'BTX Recycling HC'!M108)</f>
        <v>1141968.5499098736</v>
      </c>
      <c r="O110" s="580">
        <f>O58+O64-'Overall recycling rates'!$G$60/SUM('Overall recycling rates'!$G$60:$G$62)*('BTX Recycling HC'!N180+'BTX Recycling HC'!N232+'BTX Recycling HC'!N266+'BTX Recycling HC'!N105)-'Overall recycling rates'!$E$60/SUM('Overall recycling rates'!$E$60:$E$62)*('BTX Recycling HC'!N181+'BTX Recycling HC'!N233+'BTX Recycling HC'!N267+'BTX Recycling HC'!N106)-'Overall recycling rates'!$H$60/SUM('Overall recycling rates'!$H$60:$H$62)*('BTX Recycling HC'!N182+'BTX Recycling HC'!N234+'BTX Recycling HC'!N268+'BTX Recycling HC'!N107)-'Overall recycling rates'!$I$60/SUM('Overall recycling rates'!$I$60:$I$62)*('BTX Recycling HC'!N183+'BTX Recycling HC'!N235+'BTX Recycling HC'!N269+'BTX Recycling HC'!N108)</f>
        <v>1124576.4343600736</v>
      </c>
      <c r="P110" s="580">
        <f>P58+P64-'Overall recycling rates'!$G$60/SUM('Overall recycling rates'!$G$60:$G$62)*('BTX Recycling HC'!O180+'BTX Recycling HC'!O232+'BTX Recycling HC'!O266+'BTX Recycling HC'!O105)-'Overall recycling rates'!$E$60/SUM('Overall recycling rates'!$E$60:$E$62)*('BTX Recycling HC'!O181+'BTX Recycling HC'!O233+'BTX Recycling HC'!O267+'BTX Recycling HC'!O106)-'Overall recycling rates'!$H$60/SUM('Overall recycling rates'!$H$60:$H$62)*('BTX Recycling HC'!O182+'BTX Recycling HC'!O234+'BTX Recycling HC'!O268+'BTX Recycling HC'!O107)-'Overall recycling rates'!$I$60/SUM('Overall recycling rates'!$I$60:$I$62)*('BTX Recycling HC'!O183+'BTX Recycling HC'!O235+'BTX Recycling HC'!O269+'BTX Recycling HC'!O108)</f>
        <v>1107432.3603631298</v>
      </c>
      <c r="Q110" s="580">
        <f>Q58+Q64-'Overall recycling rates'!$G$60/SUM('Overall recycling rates'!$G$60:$G$62)*('BTX Recycling HC'!P180+'BTX Recycling HC'!P232+'BTX Recycling HC'!P266+'BTX Recycling HC'!P105)-'Overall recycling rates'!$E$60/SUM('Overall recycling rates'!$E$60:$E$62)*('BTX Recycling HC'!P181+'BTX Recycling HC'!P233+'BTX Recycling HC'!P267+'BTX Recycling HC'!P106)-'Overall recycling rates'!$H$60/SUM('Overall recycling rates'!$H$60:$H$62)*('BTX Recycling HC'!P182+'BTX Recycling HC'!P234+'BTX Recycling HC'!P268+'BTX Recycling HC'!P107)-'Overall recycling rates'!$I$60/SUM('Overall recycling rates'!$I$60:$I$62)*('BTX Recycling HC'!P183+'BTX Recycling HC'!P235+'BTX Recycling HC'!P269+'BTX Recycling HC'!P108)</f>
        <v>1090535.3980399077</v>
      </c>
      <c r="R110" s="580">
        <f>R58+R64-'Overall recycling rates'!$G$60/SUM('Overall recycling rates'!$G$60:$G$62)*('BTX Recycling HC'!Q180+'BTX Recycling HC'!Q232+'BTX Recycling HC'!Q266+'BTX Recycling HC'!Q105)-'Overall recycling rates'!$E$60/SUM('Overall recycling rates'!$E$60:$E$62)*('BTX Recycling HC'!Q181+'BTX Recycling HC'!Q233+'BTX Recycling HC'!Q267+'BTX Recycling HC'!Q106)-'Overall recycling rates'!$H$60/SUM('Overall recycling rates'!$H$60:$H$62)*('BTX Recycling HC'!Q182+'BTX Recycling HC'!Q234+'BTX Recycling HC'!Q268+'BTX Recycling HC'!Q107)-'Overall recycling rates'!$I$60/SUM('Overall recycling rates'!$I$60:$I$62)*('BTX Recycling HC'!Q183+'BTX Recycling HC'!Q235+'BTX Recycling HC'!Q269+'BTX Recycling HC'!Q108)</f>
        <v>1073877.4503292148</v>
      </c>
      <c r="S110" s="580">
        <f>S58+S64-'Overall recycling rates'!$G$60/SUM('Overall recycling rates'!$G$60:$G$62)*('BTX Recycling HC'!R180+'BTX Recycling HC'!R232+'BTX Recycling HC'!R266+'BTX Recycling HC'!R105)-'Overall recycling rates'!$E$60/SUM('Overall recycling rates'!$E$60:$E$62)*('BTX Recycling HC'!R181+'BTX Recycling HC'!R233+'BTX Recycling HC'!R267+'BTX Recycling HC'!R106)-'Overall recycling rates'!$H$60/SUM('Overall recycling rates'!$H$60:$H$62)*('BTX Recycling HC'!R182+'BTX Recycling HC'!R234+'BTX Recycling HC'!R268+'BTX Recycling HC'!R107)-'Overall recycling rates'!$I$60/SUM('Overall recycling rates'!$I$60:$I$62)*('BTX Recycling HC'!R183+'BTX Recycling HC'!R235+'BTX Recycling HC'!R269+'BTX Recycling HC'!R108)</f>
        <v>1057453.9152653331</v>
      </c>
      <c r="T110" s="580">
        <f>T58+T64-'Overall recycling rates'!$G$60/SUM('Overall recycling rates'!$G$60:$G$62)*('BTX Recycling HC'!S180+'BTX Recycling HC'!S232+'BTX Recycling HC'!S266+'BTX Recycling HC'!S105)-'Overall recycling rates'!$E$60/SUM('Overall recycling rates'!$E$60:$E$62)*('BTX Recycling HC'!S181+'BTX Recycling HC'!S233+'BTX Recycling HC'!S267+'BTX Recycling HC'!S106)-'Overall recycling rates'!$H$60/SUM('Overall recycling rates'!$H$60:$H$62)*('BTX Recycling HC'!S182+'BTX Recycling HC'!S234+'BTX Recycling HC'!S268+'BTX Recycling HC'!S107)-'Overall recycling rates'!$I$60/SUM('Overall recycling rates'!$I$60:$I$62)*('BTX Recycling HC'!S183+'BTX Recycling HC'!S235+'BTX Recycling HC'!S269+'BTX Recycling HC'!S108)</f>
        <v>1038373.7783689252</v>
      </c>
      <c r="U110" s="580">
        <f>U58+U64-'Overall recycling rates'!$G$60/SUM('Overall recycling rates'!$G$60:$G$62)*('BTX Recycling HC'!T180+'BTX Recycling HC'!T232+'BTX Recycling HC'!T266+'BTX Recycling HC'!T105)-'Overall recycling rates'!$E$60/SUM('Overall recycling rates'!$E$60:$E$62)*('BTX Recycling HC'!T181+'BTX Recycling HC'!T233+'BTX Recycling HC'!T267+'BTX Recycling HC'!T106)-'Overall recycling rates'!$H$60/SUM('Overall recycling rates'!$H$60:$H$62)*('BTX Recycling HC'!T182+'BTX Recycling HC'!T234+'BTX Recycling HC'!T268+'BTX Recycling HC'!T107)-'Overall recycling rates'!$I$60/SUM('Overall recycling rates'!$I$60:$I$62)*('BTX Recycling HC'!T183+'BTX Recycling HC'!T235+'BTX Recycling HC'!T269+'BTX Recycling HC'!T108)</f>
        <v>1019601.2905446761</v>
      </c>
      <c r="V110" s="580">
        <f>V58+V64-'Overall recycling rates'!$G$60/SUM('Overall recycling rates'!$G$60:$G$62)*('BTX Recycling HC'!U180+'BTX Recycling HC'!U232+'BTX Recycling HC'!U266+'BTX Recycling HC'!U105)-'Overall recycling rates'!$E$60/SUM('Overall recycling rates'!$E$60:$E$62)*('BTX Recycling HC'!U181+'BTX Recycling HC'!U233+'BTX Recycling HC'!U267+'BTX Recycling HC'!U106)-'Overall recycling rates'!$H$60/SUM('Overall recycling rates'!$H$60:$H$62)*('BTX Recycling HC'!U182+'BTX Recycling HC'!U234+'BTX Recycling HC'!U268+'BTX Recycling HC'!U107)-'Overall recycling rates'!$I$60/SUM('Overall recycling rates'!$I$60:$I$62)*('BTX Recycling HC'!U183+'BTX Recycling HC'!U235+'BTX Recycling HC'!U269+'BTX Recycling HC'!U108)</f>
        <v>1001130.4488929234</v>
      </c>
      <c r="W110" s="580">
        <f>W58+W64-'Overall recycling rates'!$G$60/SUM('Overall recycling rates'!$G$60:$G$62)*('BTX Recycling HC'!V180+'BTX Recycling HC'!V232+'BTX Recycling HC'!V266+'BTX Recycling HC'!V105)-'Overall recycling rates'!$E$60/SUM('Overall recycling rates'!$E$60:$E$62)*('BTX Recycling HC'!V181+'BTX Recycling HC'!V233+'BTX Recycling HC'!V267+'BTX Recycling HC'!V106)-'Overall recycling rates'!$H$60/SUM('Overall recycling rates'!$H$60:$H$62)*('BTX Recycling HC'!V182+'BTX Recycling HC'!V234+'BTX Recycling HC'!V268+'BTX Recycling HC'!V107)-'Overall recycling rates'!$I$60/SUM('Overall recycling rates'!$I$60:$I$62)*('BTX Recycling HC'!V183+'BTX Recycling HC'!V235+'BTX Recycling HC'!V269+'BTX Recycling HC'!V108)</f>
        <v>982955.23694736091</v>
      </c>
      <c r="X110" s="580">
        <f>X58+X64-'Overall recycling rates'!$G$60/SUM('Overall recycling rates'!$G$60:$G$62)*('BTX Recycling HC'!W180+'BTX Recycling HC'!W232+'BTX Recycling HC'!W266+'BTX Recycling HC'!W105)-'Overall recycling rates'!$E$60/SUM('Overall recycling rates'!$E$60:$E$62)*('BTX Recycling HC'!W181+'BTX Recycling HC'!W233+'BTX Recycling HC'!W267+'BTX Recycling HC'!W106)-'Overall recycling rates'!$H$60/SUM('Overall recycling rates'!$H$60:$H$62)*('BTX Recycling HC'!W182+'BTX Recycling HC'!W234+'BTX Recycling HC'!W268+'BTX Recycling HC'!W107)-'Overall recycling rates'!$I$60/SUM('Overall recycling rates'!$I$60:$I$62)*('BTX Recycling HC'!W183+'BTX Recycling HC'!W235+'BTX Recycling HC'!W269+'BTX Recycling HC'!W108)</f>
        <v>965069.62544060638</v>
      </c>
      <c r="Y110" s="580">
        <f>Y58+Y64-'Overall recycling rates'!$G$60/SUM('Overall recycling rates'!$G$60:$G$62)*('BTX Recycling HC'!X180+'BTX Recycling HC'!X232+'BTX Recycling HC'!X266+'BTX Recycling HC'!X105)-'Overall recycling rates'!$E$60/SUM('Overall recycling rates'!$E$60:$E$62)*('BTX Recycling HC'!X181+'BTX Recycling HC'!X233+'BTX Recycling HC'!X267+'BTX Recycling HC'!X106)-'Overall recycling rates'!$H$60/SUM('Overall recycling rates'!$H$60:$H$62)*('BTX Recycling HC'!X182+'BTX Recycling HC'!X234+'BTX Recycling HC'!X268+'BTX Recycling HC'!X107)-'Overall recycling rates'!$I$60/SUM('Overall recycling rates'!$I$60:$I$62)*('BTX Recycling HC'!X183+'BTX Recycling HC'!X235+'BTX Recycling HC'!X269+'BTX Recycling HC'!X108)</f>
        <v>943663.9788386994</v>
      </c>
      <c r="Z110" s="580">
        <f>Z58+Z64-'Overall recycling rates'!$G$60/SUM('Overall recycling rates'!$G$60:$G$62)*('BTX Recycling HC'!Y180+'BTX Recycling HC'!Y232+'BTX Recycling HC'!Y266+'BTX Recycling HC'!Y105)-'Overall recycling rates'!$E$60/SUM('Overall recycling rates'!$E$60:$E$62)*('BTX Recycling HC'!Y181+'BTX Recycling HC'!Y233+'BTX Recycling HC'!Y267+'BTX Recycling HC'!Y106)-'Overall recycling rates'!$H$60/SUM('Overall recycling rates'!$H$60:$H$62)*('BTX Recycling HC'!Y182+'BTX Recycling HC'!Y234+'BTX Recycling HC'!Y268+'BTX Recycling HC'!Y107)-'Overall recycling rates'!$I$60/SUM('Overall recycling rates'!$I$60:$I$62)*('BTX Recycling HC'!Y183+'BTX Recycling HC'!Y235+'BTX Recycling HC'!Y269+'BTX Recycling HC'!Y108)</f>
        <v>922635.50609266327</v>
      </c>
      <c r="AA110" s="580">
        <f>AA58+AA64-'Overall recycling rates'!$G$60/SUM('Overall recycling rates'!$G$60:$G$62)*('BTX Recycling HC'!Z180+'BTX Recycling HC'!Z232+'BTX Recycling HC'!Z266+'BTX Recycling HC'!Z105)-'Overall recycling rates'!$E$60/SUM('Overall recycling rates'!$E$60:$E$62)*('BTX Recycling HC'!Z181+'BTX Recycling HC'!Z233+'BTX Recycling HC'!Z267+'BTX Recycling HC'!Z106)-'Overall recycling rates'!$H$60/SUM('Overall recycling rates'!$H$60:$H$62)*('BTX Recycling HC'!Z182+'BTX Recycling HC'!Z234+'BTX Recycling HC'!Z268+'BTX Recycling HC'!Z107)-'Overall recycling rates'!$I$60/SUM('Overall recycling rates'!$I$60:$I$62)*('BTX Recycling HC'!Z183+'BTX Recycling HC'!Z235+'BTX Recycling HC'!Z269+'BTX Recycling HC'!Z108)</f>
        <v>901985.4153267903</v>
      </c>
      <c r="AB110" s="580">
        <f>AB58+AB64-'Overall recycling rates'!$G$60/SUM('Overall recycling rates'!$G$60:$G$62)*('BTX Recycling HC'!AA180+'BTX Recycling HC'!AA232+'BTX Recycling HC'!AA266+'BTX Recycling HC'!AA105)-'Overall recycling rates'!$E$60/SUM('Overall recycling rates'!$E$60:$E$62)*('BTX Recycling HC'!AA181+'BTX Recycling HC'!AA233+'BTX Recycling HC'!AA267+'BTX Recycling HC'!AA106)-'Overall recycling rates'!$H$60/SUM('Overall recycling rates'!$H$60:$H$62)*('BTX Recycling HC'!AA182+'BTX Recycling HC'!AA234+'BTX Recycling HC'!AA268+'BTX Recycling HC'!AA107)-'Overall recycling rates'!$I$60/SUM('Overall recycling rates'!$I$60:$I$62)*('BTX Recycling HC'!AA183+'BTX Recycling HC'!AA235+'BTX Recycling HC'!AA269+'BTX Recycling HC'!AA108)</f>
        <v>881699.5971808061</v>
      </c>
      <c r="AC110" s="580">
        <f>AC58+AC64-'Overall recycling rates'!$G$60/SUM('Overall recycling rates'!$G$60:$G$62)*('BTX Recycling HC'!AB180+'BTX Recycling HC'!AB232+'BTX Recycling HC'!AB266+'BTX Recycling HC'!AB105)-'Overall recycling rates'!$E$60/SUM('Overall recycling rates'!$E$60:$E$62)*('BTX Recycling HC'!AB181+'BTX Recycling HC'!AB233+'BTX Recycling HC'!AB267+'BTX Recycling HC'!AB106)-'Overall recycling rates'!$H$60/SUM('Overall recycling rates'!$H$60:$H$62)*('BTX Recycling HC'!AB182+'BTX Recycling HC'!AB234+'BTX Recycling HC'!AB268+'BTX Recycling HC'!AB107)-'Overall recycling rates'!$I$60/SUM('Overall recycling rates'!$I$60:$I$62)*('BTX Recycling HC'!AB183+'BTX Recycling HC'!AB235+'BTX Recycling HC'!AB269+'BTX Recycling HC'!AB108)</f>
        <v>861771.65327873616</v>
      </c>
      <c r="AD110" s="580">
        <f>AD58+AD64-'Overall recycling rates'!$G$60/SUM('Overall recycling rates'!$G$60:$G$62)*('BTX Recycling HC'!AC180+'BTX Recycling HC'!AC232+'BTX Recycling HC'!AC266+'BTX Recycling HC'!AC105)-'Overall recycling rates'!$E$60/SUM('Overall recycling rates'!$E$60:$E$62)*('BTX Recycling HC'!AC181+'BTX Recycling HC'!AC233+'BTX Recycling HC'!AC267+'BTX Recycling HC'!AC106)-'Overall recycling rates'!$H$60/SUM('Overall recycling rates'!$H$60:$H$62)*('BTX Recycling HC'!AC182+'BTX Recycling HC'!AC234+'BTX Recycling HC'!AC268+'BTX Recycling HC'!AC107)-'Overall recycling rates'!$I$60/SUM('Overall recycling rates'!$I$60:$I$62)*('BTX Recycling HC'!AC183+'BTX Recycling HC'!AC235+'BTX Recycling HC'!AC269+'BTX Recycling HC'!AC108)</f>
        <v>841166.08940624469</v>
      </c>
      <c r="AE110" s="580">
        <f>AE58+AE64-'Overall recycling rates'!$G$60/SUM('Overall recycling rates'!$G$60:$G$62)*('BTX Recycling HC'!AD180+'BTX Recycling HC'!AD232+'BTX Recycling HC'!AD266+'BTX Recycling HC'!AD105)-'Overall recycling rates'!$E$60/SUM('Overall recycling rates'!$E$60:$E$62)*('BTX Recycling HC'!AD181+'BTX Recycling HC'!AD233+'BTX Recycling HC'!AD267+'BTX Recycling HC'!AD106)-'Overall recycling rates'!$H$60/SUM('Overall recycling rates'!$H$60:$H$62)*('BTX Recycling HC'!AD182+'BTX Recycling HC'!AD234+'BTX Recycling HC'!AD268+'BTX Recycling HC'!AD107)-'Overall recycling rates'!$I$60/SUM('Overall recycling rates'!$I$60:$I$62)*('BTX Recycling HC'!AD183+'BTX Recycling HC'!AD235+'BTX Recycling HC'!AD269+'BTX Recycling HC'!AD108)</f>
        <v>820942.16353345348</v>
      </c>
      <c r="AF110" s="580">
        <f>AF58+AF64-'Overall recycling rates'!$G$60/SUM('Overall recycling rates'!$G$60:$G$62)*('BTX Recycling HC'!AE180+'BTX Recycling HC'!AE232+'BTX Recycling HC'!AE266+'BTX Recycling HC'!AE105)-'Overall recycling rates'!$E$60/SUM('Overall recycling rates'!$E$60:$E$62)*('BTX Recycling HC'!AE181+'BTX Recycling HC'!AE233+'BTX Recycling HC'!AE267+'BTX Recycling HC'!AE106)-'Overall recycling rates'!$H$60/SUM('Overall recycling rates'!$H$60:$H$62)*('BTX Recycling HC'!AE182+'BTX Recycling HC'!AE234+'BTX Recycling HC'!AE268+'BTX Recycling HC'!AE107)-'Overall recycling rates'!$I$60/SUM('Overall recycling rates'!$I$60:$I$62)*('BTX Recycling HC'!AE183+'BTX Recycling HC'!AE235+'BTX Recycling HC'!AE269+'BTX Recycling HC'!AE108)</f>
        <v>801092.83347795985</v>
      </c>
      <c r="AG110" s="580">
        <f>AG58+AG64-'Overall recycling rates'!$G$60/SUM('Overall recycling rates'!$G$60:$G$62)*('BTX Recycling HC'!AF180+'BTX Recycling HC'!AF232+'BTX Recycling HC'!AF266+'BTX Recycling HC'!AF105)-'Overall recycling rates'!$E$60/SUM('Overall recycling rates'!$E$60:$E$62)*('BTX Recycling HC'!AF181+'BTX Recycling HC'!AF233+'BTX Recycling HC'!AF267+'BTX Recycling HC'!AF106)-'Overall recycling rates'!$H$60/SUM('Overall recycling rates'!$H$60:$H$62)*('BTX Recycling HC'!AF182+'BTX Recycling HC'!AF234+'BTX Recycling HC'!AF268+'BTX Recycling HC'!AF107)-'Overall recycling rates'!$I$60/SUM('Overall recycling rates'!$I$60:$I$62)*('BTX Recycling HC'!AF183+'BTX Recycling HC'!AF235+'BTX Recycling HC'!AF269+'BTX Recycling HC'!AF108)</f>
        <v>781611.0759753841</v>
      </c>
      <c r="AH110" s="580">
        <f>AH58+AH64-'Overall recycling rates'!$G$60/SUM('Overall recycling rates'!$G$60:$G$62)*('BTX Recycling HC'!AG180+'BTX Recycling HC'!AG232+'BTX Recycling HC'!AG266+'BTX Recycling HC'!AG105)-'Overall recycling rates'!$E$60/SUM('Overall recycling rates'!$E$60:$E$62)*('BTX Recycling HC'!AG181+'BTX Recycling HC'!AG233+'BTX Recycling HC'!AG267+'BTX Recycling HC'!AG106)-'Overall recycling rates'!$H$60/SUM('Overall recycling rates'!$H$60:$H$62)*('BTX Recycling HC'!AG182+'BTX Recycling HC'!AG234+'BTX Recycling HC'!AG268+'BTX Recycling HC'!AG107)-'Overall recycling rates'!$I$60/SUM('Overall recycling rates'!$I$60:$I$62)*('BTX Recycling HC'!AG183+'BTX Recycling HC'!AG235+'BTX Recycling HC'!AG269+'BTX Recycling HC'!AG108)</f>
        <v>762489.8878729135</v>
      </c>
      <c r="AI110" s="580"/>
      <c r="AJ110" s="580">
        <f>AJ58+AJ64-'Overall recycling rates'!$G$60/SUM('Overall recycling rates'!$G$60:$G$62)*('BTX Recycling HC'!C180+'BTX Recycling HC'!C232+'BTX Recycling HC'!C266+'BTX Recycling HC'!C105)-'Overall recycling rates'!$E$60/SUM('Overall recycling rates'!$E$60:$E$62)*('BTX Recycling HC'!C181+'BTX Recycling HC'!C233+'BTX Recycling HC'!C267+'BTX Recycling HC'!C106)-'Overall recycling rates'!$H$60/SUM('Overall recycling rates'!$H$60:$H$62)*('BTX Recycling HC'!C182+'BTX Recycling HC'!C234+'BTX Recycling HC'!C268+'BTX Recycling HC'!C107)-'Overall recycling rates'!$I$60/SUM('Overall recycling rates'!$I$60:$I$62)*('BTX Recycling HC'!C183+'BTX Recycling HC'!C235+'BTX Recycling HC'!C269+'BTX Recycling HC'!C108)</f>
        <v>1303062.3227515232</v>
      </c>
      <c r="AK110" s="580">
        <f>AK58+AK64-'Overall recycling rates'!$G$60/SUM('Overall recycling rates'!$G$60:$G$62)*('BTX Recycling HC'!D180+'BTX Recycling HC'!D232+'BTX Recycling HC'!D266+'BTX Recycling HC'!D105)-'Overall recycling rates'!$E$60/SUM('Overall recycling rates'!$E$60:$E$62)*('BTX Recycling HC'!D181+'BTX Recycling HC'!D233+'BTX Recycling HC'!D267+'BTX Recycling HC'!D106)-'Overall recycling rates'!$H$60/SUM('Overall recycling rates'!$H$60:$H$62)*('BTX Recycling HC'!D182+'BTX Recycling HC'!D234+'BTX Recycling HC'!D268+'BTX Recycling HC'!D107)-'Overall recycling rates'!$I$60/SUM('Overall recycling rates'!$I$60:$I$62)*('BTX Recycling HC'!D183+'BTX Recycling HC'!D235+'BTX Recycling HC'!D269+'BTX Recycling HC'!D108)</f>
        <v>1292871.5855935053</v>
      </c>
      <c r="AL110" s="580">
        <f>AL58+AL64-'Overall recycling rates'!$G$60/SUM('Overall recycling rates'!$G$60:$G$62)*('BTX Recycling HC'!E180+'BTX Recycling HC'!E232+'BTX Recycling HC'!E266+'BTX Recycling HC'!E105)-'Overall recycling rates'!$E$60/SUM('Overall recycling rates'!$E$60:$E$62)*('BTX Recycling HC'!E181+'BTX Recycling HC'!E233+'BTX Recycling HC'!E267+'BTX Recycling HC'!E106)-'Overall recycling rates'!$H$60/SUM('Overall recycling rates'!$H$60:$H$62)*('BTX Recycling HC'!E182+'BTX Recycling HC'!E234+'BTX Recycling HC'!E268+'BTX Recycling HC'!E107)-'Overall recycling rates'!$I$60/SUM('Overall recycling rates'!$I$60:$I$62)*('BTX Recycling HC'!E183+'BTX Recycling HC'!E235+'BTX Recycling HC'!E269+'BTX Recycling HC'!E108)</f>
        <v>1282438.021770691</v>
      </c>
      <c r="AM110" s="580">
        <f>AM58+AM64-'Overall recycling rates'!$G$60/SUM('Overall recycling rates'!$G$60:$G$62)*('BTX Recycling HC'!F180+'BTX Recycling HC'!F232+'BTX Recycling HC'!F266+'BTX Recycling HC'!F105)-'Overall recycling rates'!$E$60/SUM('Overall recycling rates'!$E$60:$E$62)*('BTX Recycling HC'!F181+'BTX Recycling HC'!F233+'BTX Recycling HC'!F267+'BTX Recycling HC'!F106)-'Overall recycling rates'!$H$60/SUM('Overall recycling rates'!$H$60:$H$62)*('BTX Recycling HC'!F182+'BTX Recycling HC'!F234+'BTX Recycling HC'!F268+'BTX Recycling HC'!F107)-'Overall recycling rates'!$I$60/SUM('Overall recycling rates'!$I$60:$I$62)*('BTX Recycling HC'!F183+'BTX Recycling HC'!F235+'BTX Recycling HC'!F269+'BTX Recycling HC'!F108)</f>
        <v>1272006.9104784958</v>
      </c>
      <c r="AN110" s="580">
        <f>AN58+AN64-'Overall recycling rates'!$G$60/SUM('Overall recycling rates'!$G$60:$G$62)*('BTX Recycling HC'!G180+'BTX Recycling HC'!G232+'BTX Recycling HC'!G266+'BTX Recycling HC'!G105)-'Overall recycling rates'!$E$60/SUM('Overall recycling rates'!$E$60:$E$62)*('BTX Recycling HC'!G181+'BTX Recycling HC'!G233+'BTX Recycling HC'!G267+'BTX Recycling HC'!G106)-'Overall recycling rates'!$H$60/SUM('Overall recycling rates'!$H$60:$H$62)*('BTX Recycling HC'!G182+'BTX Recycling HC'!G234+'BTX Recycling HC'!G268+'BTX Recycling HC'!G107)-'Overall recycling rates'!$I$60/SUM('Overall recycling rates'!$I$60:$I$62)*('BTX Recycling HC'!G183+'BTX Recycling HC'!G235+'BTX Recycling HC'!G269+'BTX Recycling HC'!G108)</f>
        <v>1261601.0368169658</v>
      </c>
      <c r="AO110" s="580">
        <f>AO58+AO64-'Overall recycling rates'!$G$60/SUM('Overall recycling rates'!$G$60:$G$62)*('BTX Recycling HC'!H180+'BTX Recycling HC'!H232+'BTX Recycling HC'!H266+'BTX Recycling HC'!H105)-'Overall recycling rates'!$E$60/SUM('Overall recycling rates'!$E$60:$E$62)*('BTX Recycling HC'!H181+'BTX Recycling HC'!H233+'BTX Recycling HC'!H267+'BTX Recycling HC'!H106)-'Overall recycling rates'!$H$60/SUM('Overall recycling rates'!$H$60:$H$62)*('BTX Recycling HC'!H182+'BTX Recycling HC'!H234+'BTX Recycling HC'!H268+'BTX Recycling HC'!H107)-'Overall recycling rates'!$I$60/SUM('Overall recycling rates'!$I$60:$I$62)*('BTX Recycling HC'!H183+'BTX Recycling HC'!H235+'BTX Recycling HC'!H269+'BTX Recycling HC'!H108)</f>
        <v>1247503.4801720965</v>
      </c>
      <c r="AP110" s="580">
        <f>AP58+AP64-'Overall recycling rates'!$G$60/SUM('Overall recycling rates'!$G$60:$G$62)*('BTX Recycling HC'!I180+'BTX Recycling HC'!I232+'BTX Recycling HC'!I266+'BTX Recycling HC'!I105)-'Overall recycling rates'!$E$60/SUM('Overall recycling rates'!$E$60:$E$62)*('BTX Recycling HC'!I181+'BTX Recycling HC'!I233+'BTX Recycling HC'!I267+'BTX Recycling HC'!I106)-'Overall recycling rates'!$H$60/SUM('Overall recycling rates'!$H$60:$H$62)*('BTX Recycling HC'!I182+'BTX Recycling HC'!I234+'BTX Recycling HC'!I268+'BTX Recycling HC'!I107)-'Overall recycling rates'!$I$60/SUM('Overall recycling rates'!$I$60:$I$62)*('BTX Recycling HC'!I183+'BTX Recycling HC'!I235+'BTX Recycling HC'!I269+'BTX Recycling HC'!I108)</f>
        <v>1234495.0299131807</v>
      </c>
      <c r="AQ110" s="580">
        <f>AQ58+AQ64-'Overall recycling rates'!$G$60/SUM('Overall recycling rates'!$G$60:$G$62)*('BTX Recycling HC'!J180+'BTX Recycling HC'!J232+'BTX Recycling HC'!J266+'BTX Recycling HC'!J105)-'Overall recycling rates'!$E$60/SUM('Overall recycling rates'!$E$60:$E$62)*('BTX Recycling HC'!J181+'BTX Recycling HC'!J233+'BTX Recycling HC'!J267+'BTX Recycling HC'!J106)-'Overall recycling rates'!$H$60/SUM('Overall recycling rates'!$H$60:$H$62)*('BTX Recycling HC'!J182+'BTX Recycling HC'!J234+'BTX Recycling HC'!J268+'BTX Recycling HC'!J107)-'Overall recycling rates'!$I$60/SUM('Overall recycling rates'!$I$60:$I$62)*('BTX Recycling HC'!J183+'BTX Recycling HC'!J235+'BTX Recycling HC'!J269+'BTX Recycling HC'!J108)</f>
        <v>1221638.9364256209</v>
      </c>
      <c r="AR110" s="580">
        <f>AR58+AR64-'Overall recycling rates'!$G$60/SUM('Overall recycling rates'!$G$60:$G$62)*('BTX Recycling HC'!K180+'BTX Recycling HC'!K232+'BTX Recycling HC'!K266+'BTX Recycling HC'!K105)-'Overall recycling rates'!$E$60/SUM('Overall recycling rates'!$E$60:$E$62)*('BTX Recycling HC'!K181+'BTX Recycling HC'!K233+'BTX Recycling HC'!K267+'BTX Recycling HC'!K106)-'Overall recycling rates'!$H$60/SUM('Overall recycling rates'!$H$60:$H$62)*('BTX Recycling HC'!K182+'BTX Recycling HC'!K234+'BTX Recycling HC'!K268+'BTX Recycling HC'!K107)-'Overall recycling rates'!$I$60/SUM('Overall recycling rates'!$I$60:$I$62)*('BTX Recycling HC'!K183+'BTX Recycling HC'!K235+'BTX Recycling HC'!K269+'BTX Recycling HC'!K108)</f>
        <v>1208938.9119839396</v>
      </c>
      <c r="AS110" s="580">
        <f>AS58+AS64-'Overall recycling rates'!$G$60/SUM('Overall recycling rates'!$G$60:$G$62)*('BTX Recycling HC'!L180+'BTX Recycling HC'!L232+'BTX Recycling HC'!L266+'BTX Recycling HC'!L105)-'Overall recycling rates'!$E$60/SUM('Overall recycling rates'!$E$60:$E$62)*('BTX Recycling HC'!L181+'BTX Recycling HC'!L233+'BTX Recycling HC'!L267+'BTX Recycling HC'!L106)-'Overall recycling rates'!$H$60/SUM('Overall recycling rates'!$H$60:$H$62)*('BTX Recycling HC'!L182+'BTX Recycling HC'!L234+'BTX Recycling HC'!L268+'BTX Recycling HC'!L107)-'Overall recycling rates'!$I$60/SUM('Overall recycling rates'!$I$60:$I$62)*('BTX Recycling HC'!L183+'BTX Recycling HC'!L235+'BTX Recycling HC'!L269+'BTX Recycling HC'!L108)</f>
        <v>1196398.3299239045</v>
      </c>
      <c r="AT110" s="580">
        <f>AT58+AT64-'Overall recycling rates'!$G$60/SUM('Overall recycling rates'!$G$60:$G$62)*('BTX Recycling HC'!M180+'BTX Recycling HC'!M232+'BTX Recycling HC'!M266+'BTX Recycling HC'!M105)-'Overall recycling rates'!$E$60/SUM('Overall recycling rates'!$E$60:$E$62)*('BTX Recycling HC'!M181+'BTX Recycling HC'!M233+'BTX Recycling HC'!M267+'BTX Recycling HC'!M106)-'Overall recycling rates'!$H$60/SUM('Overall recycling rates'!$H$60:$H$62)*('BTX Recycling HC'!M182+'BTX Recycling HC'!M234+'BTX Recycling HC'!M268+'BTX Recycling HC'!M107)-'Overall recycling rates'!$I$60/SUM('Overall recycling rates'!$I$60:$I$62)*('BTX Recycling HC'!M183+'BTX Recycling HC'!M235+'BTX Recycling HC'!M269+'BTX Recycling HC'!M108)</f>
        <v>1184020.2283708714</v>
      </c>
      <c r="AU110" s="580">
        <f>AU58+AU64-'Overall recycling rates'!$G$60/SUM('Overall recycling rates'!$G$60:$G$62)*('BTX Recycling HC'!N180+'BTX Recycling HC'!N232+'BTX Recycling HC'!N266+'BTX Recycling HC'!N105)-'Overall recycling rates'!$E$60/SUM('Overall recycling rates'!$E$60:$E$62)*('BTX Recycling HC'!N181+'BTX Recycling HC'!N233+'BTX Recycling HC'!N267+'BTX Recycling HC'!N106)-'Overall recycling rates'!$H$60/SUM('Overall recycling rates'!$H$60:$H$62)*('BTX Recycling HC'!N182+'BTX Recycling HC'!N234+'BTX Recycling HC'!N268+'BTX Recycling HC'!N107)-'Overall recycling rates'!$I$60/SUM('Overall recycling rates'!$I$60:$I$62)*('BTX Recycling HC'!N183+'BTX Recycling HC'!N235+'BTX Recycling HC'!N269+'BTX Recycling HC'!N108)</f>
        <v>1170561.1291666811</v>
      </c>
      <c r="AV110" s="580">
        <f>AV58+AV64-'Overall recycling rates'!$G$60/SUM('Overall recycling rates'!$G$60:$G$62)*('BTX Recycling HC'!O180+'BTX Recycling HC'!O232+'BTX Recycling HC'!O266+'BTX Recycling HC'!O105)-'Overall recycling rates'!$E$60/SUM('Overall recycling rates'!$E$60:$E$62)*('BTX Recycling HC'!O181+'BTX Recycling HC'!O233+'BTX Recycling HC'!O267+'BTX Recycling HC'!O106)-'Overall recycling rates'!$H$60/SUM('Overall recycling rates'!$H$60:$H$62)*('BTX Recycling HC'!O182+'BTX Recycling HC'!O234+'BTX Recycling HC'!O268+'BTX Recycling HC'!O107)-'Overall recycling rates'!$I$60/SUM('Overall recycling rates'!$I$60:$I$62)*('BTX Recycling HC'!O183+'BTX Recycling HC'!O235+'BTX Recycling HC'!O269+'BTX Recycling HC'!O108)</f>
        <v>1157302.3062527727</v>
      </c>
      <c r="AW110" s="580">
        <f>AW58+AW64-'Overall recycling rates'!$G$60/SUM('Overall recycling rates'!$G$60:$G$62)*('BTX Recycling HC'!P180+'BTX Recycling HC'!P232+'BTX Recycling HC'!P266+'BTX Recycling HC'!P105)-'Overall recycling rates'!$E$60/SUM('Overall recycling rates'!$E$60:$E$62)*('BTX Recycling HC'!P181+'BTX Recycling HC'!P233+'BTX Recycling HC'!P267+'BTX Recycling HC'!P106)-'Overall recycling rates'!$H$60/SUM('Overall recycling rates'!$H$60:$H$62)*('BTX Recycling HC'!P182+'BTX Recycling HC'!P234+'BTX Recycling HC'!P268+'BTX Recycling HC'!P107)-'Overall recycling rates'!$I$60/SUM('Overall recycling rates'!$I$60:$I$62)*('BTX Recycling HC'!P183+'BTX Recycling HC'!P235+'BTX Recycling HC'!P269+'BTX Recycling HC'!P108)</f>
        <v>1144243.2484472285</v>
      </c>
      <c r="AX110" s="580">
        <f>AX58+AX64-'Overall recycling rates'!$G$60/SUM('Overall recycling rates'!$G$60:$G$62)*('BTX Recycling HC'!Q180+'BTX Recycling HC'!Q232+'BTX Recycling HC'!Q266+'BTX Recycling HC'!Q105)-'Overall recycling rates'!$E$60/SUM('Overall recycling rates'!$E$60:$E$62)*('BTX Recycling HC'!Q181+'BTX Recycling HC'!Q233+'BTX Recycling HC'!Q267+'BTX Recycling HC'!Q106)-'Overall recycling rates'!$H$60/SUM('Overall recycling rates'!$H$60:$H$62)*('BTX Recycling HC'!Q182+'BTX Recycling HC'!Q234+'BTX Recycling HC'!Q268+'BTX Recycling HC'!Q107)-'Overall recycling rates'!$I$60/SUM('Overall recycling rates'!$I$60:$I$62)*('BTX Recycling HC'!Q183+'BTX Recycling HC'!Q235+'BTX Recycling HC'!Q269+'BTX Recycling HC'!Q108)</f>
        <v>1131376.2742141827</v>
      </c>
      <c r="AY110" s="580">
        <f>AY58+AY64-'Overall recycling rates'!$G$60/SUM('Overall recycling rates'!$G$60:$G$62)*('BTX Recycling HC'!R180+'BTX Recycling HC'!R232+'BTX Recycling HC'!R266+'BTX Recycling HC'!R105)-'Overall recycling rates'!$E$60/SUM('Overall recycling rates'!$E$60:$E$62)*('BTX Recycling HC'!R181+'BTX Recycling HC'!R233+'BTX Recycling HC'!R267+'BTX Recycling HC'!R106)-'Overall recycling rates'!$H$60/SUM('Overall recycling rates'!$H$60:$H$62)*('BTX Recycling HC'!R182+'BTX Recycling HC'!R234+'BTX Recycling HC'!R268+'BTX Recycling HC'!R107)-'Overall recycling rates'!$I$60/SUM('Overall recycling rates'!$I$60:$I$62)*('BTX Recycling HC'!R183+'BTX Recycling HC'!R235+'BTX Recycling HC'!R269+'BTX Recycling HC'!R108)</f>
        <v>1118697.1939631288</v>
      </c>
      <c r="AZ110" s="580">
        <f>AZ58+AZ64-'Overall recycling rates'!$G$60/SUM('Overall recycling rates'!$G$60:$G$62)*('BTX Recycling HC'!S180+'BTX Recycling HC'!S232+'BTX Recycling HC'!S266+'BTX Recycling HC'!S105)-'Overall recycling rates'!$E$60/SUM('Overall recycling rates'!$E$60:$E$62)*('BTX Recycling HC'!S181+'BTX Recycling HC'!S233+'BTX Recycling HC'!S267+'BTX Recycling HC'!S106)-'Overall recycling rates'!$H$60/SUM('Overall recycling rates'!$H$60:$H$62)*('BTX Recycling HC'!S182+'BTX Recycling HC'!S234+'BTX Recycling HC'!S268+'BTX Recycling HC'!S107)-'Overall recycling rates'!$I$60/SUM('Overall recycling rates'!$I$60:$I$62)*('BTX Recycling HC'!S183+'BTX Recycling HC'!S235+'BTX Recycling HC'!S269+'BTX Recycling HC'!S108)</f>
        <v>1103145.0079560438</v>
      </c>
      <c r="BA110" s="580">
        <f>BA58+BA64-'Overall recycling rates'!$G$60/SUM('Overall recycling rates'!$G$60:$G$62)*('BTX Recycling HC'!T180+'BTX Recycling HC'!T232+'BTX Recycling HC'!T266+'BTX Recycling HC'!T105)-'Overall recycling rates'!$E$60/SUM('Overall recycling rates'!$E$60:$E$62)*('BTX Recycling HC'!T181+'BTX Recycling HC'!T233+'BTX Recycling HC'!T267+'BTX Recycling HC'!T106)-'Overall recycling rates'!$H$60/SUM('Overall recycling rates'!$H$60:$H$62)*('BTX Recycling HC'!T182+'BTX Recycling HC'!T234+'BTX Recycling HC'!T268+'BTX Recycling HC'!T107)-'Overall recycling rates'!$I$60/SUM('Overall recycling rates'!$I$60:$I$62)*('BTX Recycling HC'!T183+'BTX Recycling HC'!T235+'BTX Recycling HC'!T269+'BTX Recycling HC'!T108)</f>
        <v>1087835.9921574353</v>
      </c>
      <c r="BB110" s="580">
        <f>BB58+BB64-'Overall recycling rates'!$G$60/SUM('Overall recycling rates'!$G$60:$G$62)*('BTX Recycling HC'!U180+'BTX Recycling HC'!U232+'BTX Recycling HC'!U266+'BTX Recycling HC'!U105)-'Overall recycling rates'!$E$60/SUM('Overall recycling rates'!$E$60:$E$62)*('BTX Recycling HC'!U181+'BTX Recycling HC'!U233+'BTX Recycling HC'!U267+'BTX Recycling HC'!U106)-'Overall recycling rates'!$H$60/SUM('Overall recycling rates'!$H$60:$H$62)*('BTX Recycling HC'!U182+'BTX Recycling HC'!U234+'BTX Recycling HC'!U268+'BTX Recycling HC'!U107)-'Overall recycling rates'!$I$60/SUM('Overall recycling rates'!$I$60:$I$62)*('BTX Recycling HC'!U183+'BTX Recycling HC'!U235+'BTX Recycling HC'!U269+'BTX Recycling HC'!U108)</f>
        <v>1072764.9641058149</v>
      </c>
      <c r="BC110" s="580">
        <f>BC58+BC64-'Overall recycling rates'!$G$60/SUM('Overall recycling rates'!$G$60:$G$62)*('BTX Recycling HC'!V180+'BTX Recycling HC'!V232+'BTX Recycling HC'!V266+'BTX Recycling HC'!V105)-'Overall recycling rates'!$E$60/SUM('Overall recycling rates'!$E$60:$E$62)*('BTX Recycling HC'!V181+'BTX Recycling HC'!V233+'BTX Recycling HC'!V267+'BTX Recycling HC'!V106)-'Overall recycling rates'!$H$60/SUM('Overall recycling rates'!$H$60:$H$62)*('BTX Recycling HC'!V182+'BTX Recycling HC'!V234+'BTX Recycling HC'!V268+'BTX Recycling HC'!V107)-'Overall recycling rates'!$I$60/SUM('Overall recycling rates'!$I$60:$I$62)*('BTX Recycling HC'!V183+'BTX Recycling HC'!V235+'BTX Recycling HC'!V269+'BTX Recycling HC'!V108)</f>
        <v>1057926.7187662451</v>
      </c>
      <c r="BD110" s="580">
        <f>BD58+BD64-'Overall recycling rates'!$G$60/SUM('Overall recycling rates'!$G$60:$G$62)*('BTX Recycling HC'!W180+'BTX Recycling HC'!W232+'BTX Recycling HC'!W266+'BTX Recycling HC'!W105)-'Overall recycling rates'!$E$60/SUM('Overall recycling rates'!$E$60:$E$62)*('BTX Recycling HC'!W181+'BTX Recycling HC'!W233+'BTX Recycling HC'!W267+'BTX Recycling HC'!W106)-'Overall recycling rates'!$H$60/SUM('Overall recycling rates'!$H$60:$H$62)*('BTX Recycling HC'!W182+'BTX Recycling HC'!W234+'BTX Recycling HC'!W268+'BTX Recycling HC'!W107)-'Overall recycling rates'!$I$60/SUM('Overall recycling rates'!$I$60:$I$62)*('BTX Recycling HC'!W183+'BTX Recycling HC'!W235+'BTX Recycling HC'!W269+'BTX Recycling HC'!W108)</f>
        <v>1043316.0293869161</v>
      </c>
      <c r="BE110" s="580">
        <f>BE58+BE64-'Overall recycling rates'!$G$60/SUM('Overall recycling rates'!$G$60:$G$62)*('BTX Recycling HC'!X180+'BTX Recycling HC'!X232+'BTX Recycling HC'!X266+'BTX Recycling HC'!X105)-'Overall recycling rates'!$E$60/SUM('Overall recycling rates'!$E$60:$E$62)*('BTX Recycling HC'!X181+'BTX Recycling HC'!X233+'BTX Recycling HC'!X267+'BTX Recycling HC'!X106)-'Overall recycling rates'!$H$60/SUM('Overall recycling rates'!$H$60:$H$62)*('BTX Recycling HC'!X182+'BTX Recycling HC'!X234+'BTX Recycling HC'!X268+'BTX Recycling HC'!X107)-'Overall recycling rates'!$I$60/SUM('Overall recycling rates'!$I$60:$I$62)*('BTX Recycling HC'!X183+'BTX Recycling HC'!X235+'BTX Recycling HC'!X269+'BTX Recycling HC'!X108)</f>
        <v>1025078.9050889648</v>
      </c>
      <c r="BF110" s="580">
        <f>BF58+BF64-'Overall recycling rates'!$G$60/SUM('Overall recycling rates'!$G$60:$G$62)*('BTX Recycling HC'!Y180+'BTX Recycling HC'!Y232+'BTX Recycling HC'!Y266+'BTX Recycling HC'!Y105)-'Overall recycling rates'!$E$60/SUM('Overall recycling rates'!$E$60:$E$62)*('BTX Recycling HC'!Y181+'BTX Recycling HC'!Y233+'BTX Recycling HC'!Y267+'BTX Recycling HC'!Y106)-'Overall recycling rates'!$H$60/SUM('Overall recycling rates'!$H$60:$H$62)*('BTX Recycling HC'!Y182+'BTX Recycling HC'!Y234+'BTX Recycling HC'!Y268+'BTX Recycling HC'!Y107)-'Overall recycling rates'!$I$60/SUM('Overall recycling rates'!$I$60:$I$62)*('BTX Recycling HC'!Y183+'BTX Recycling HC'!Y235+'BTX Recycling HC'!Y269+'BTX Recycling HC'!Y108)</f>
        <v>1007143.2082317205</v>
      </c>
      <c r="BG110" s="580">
        <f>BG58+BG64-'Overall recycling rates'!$G$60/SUM('Overall recycling rates'!$G$60:$G$62)*('BTX Recycling HC'!Z180+'BTX Recycling HC'!Z232+'BTX Recycling HC'!Z266+'BTX Recycling HC'!Z105)-'Overall recycling rates'!$E$60/SUM('Overall recycling rates'!$E$60:$E$62)*('BTX Recycling HC'!Z181+'BTX Recycling HC'!Z233+'BTX Recycling HC'!Z267+'BTX Recycling HC'!Z106)-'Overall recycling rates'!$H$60/SUM('Overall recycling rates'!$H$60:$H$62)*('BTX Recycling HC'!Z182+'BTX Recycling HC'!Z234+'BTX Recycling HC'!Z268+'BTX Recycling HC'!Z107)-'Overall recycling rates'!$I$60/SUM('Overall recycling rates'!$I$60:$I$62)*('BTX Recycling HC'!Z183+'BTX Recycling HC'!Z235+'BTX Recycling HC'!Z269+'BTX Recycling HC'!Z108)</f>
        <v>989511.2883014339</v>
      </c>
      <c r="BH110" s="580">
        <f>BH58+BH64-'Overall recycling rates'!$G$60/SUM('Overall recycling rates'!$G$60:$G$62)*('BTX Recycling HC'!AA180+'BTX Recycling HC'!AA232+'BTX Recycling HC'!AA266+'BTX Recycling HC'!AA105)-'Overall recycling rates'!$E$60/SUM('Overall recycling rates'!$E$60:$E$62)*('BTX Recycling HC'!AA181+'BTX Recycling HC'!AA233+'BTX Recycling HC'!AA267+'BTX Recycling HC'!AA106)-'Overall recycling rates'!$H$60/SUM('Overall recycling rates'!$H$60:$H$62)*('BTX Recycling HC'!AA182+'BTX Recycling HC'!AA234+'BTX Recycling HC'!AA268+'BTX Recycling HC'!AA107)-'Overall recycling rates'!$I$60/SUM('Overall recycling rates'!$I$60:$I$62)*('BTX Recycling HC'!AA183+'BTX Recycling HC'!AA235+'BTX Recycling HC'!AA269+'BTX Recycling HC'!AA108)</f>
        <v>972170.16300869803</v>
      </c>
      <c r="BI110" s="580">
        <f>BI58+BI64-'Overall recycling rates'!$G$60/SUM('Overall recycling rates'!$G$60:$G$62)*('BTX Recycling HC'!AB180+'BTX Recycling HC'!AB232+'BTX Recycling HC'!AB266+'BTX Recycling HC'!AB105)-'Overall recycling rates'!$E$60/SUM('Overall recycling rates'!$E$60:$E$62)*('BTX Recycling HC'!AB181+'BTX Recycling HC'!AB233+'BTX Recycling HC'!AB267+'BTX Recycling HC'!AB106)-'Overall recycling rates'!$H$60/SUM('Overall recycling rates'!$H$60:$H$62)*('BTX Recycling HC'!AB182+'BTX Recycling HC'!AB234+'BTX Recycling HC'!AB268+'BTX Recycling HC'!AB107)-'Overall recycling rates'!$I$60/SUM('Overall recycling rates'!$I$60:$I$62)*('BTX Recycling HC'!AB183+'BTX Recycling HC'!AB235+'BTX Recycling HC'!AB269+'BTX Recycling HC'!AB108)</f>
        <v>955114.54691879172</v>
      </c>
      <c r="BJ110" s="580">
        <f>BJ58+BJ64-'Overall recycling rates'!$G$60/SUM('Overall recycling rates'!$G$60:$G$62)*('BTX Recycling HC'!AC180+'BTX Recycling HC'!AC232+'BTX Recycling HC'!AC266+'BTX Recycling HC'!AC105)-'Overall recycling rates'!$E$60/SUM('Overall recycling rates'!$E$60:$E$62)*('BTX Recycling HC'!AC181+'BTX Recycling HC'!AC233+'BTX Recycling HC'!AC267+'BTX Recycling HC'!AC106)-'Overall recycling rates'!$H$60/SUM('Overall recycling rates'!$H$60:$H$62)*('BTX Recycling HC'!AC182+'BTX Recycling HC'!AC234+'BTX Recycling HC'!AC268+'BTX Recycling HC'!AC107)-'Overall recycling rates'!$I$60/SUM('Overall recycling rates'!$I$60:$I$62)*('BTX Recycling HC'!AC183+'BTX Recycling HC'!AC235+'BTX Recycling HC'!AC269+'BTX Recycling HC'!AC108)</f>
        <v>937199.71346353763</v>
      </c>
      <c r="BK110" s="580">
        <f>BK58+BK64-'Overall recycling rates'!$G$60/SUM('Overall recycling rates'!$G$60:$G$62)*('BTX Recycling HC'!AD180+'BTX Recycling HC'!AD232+'BTX Recycling HC'!AD266+'BTX Recycling HC'!AD105)-'Overall recycling rates'!$E$60/SUM('Overall recycling rates'!$E$60:$E$62)*('BTX Recycling HC'!AD181+'BTX Recycling HC'!AD233+'BTX Recycling HC'!AD267+'BTX Recycling HC'!AD106)-'Overall recycling rates'!$H$60/SUM('Overall recycling rates'!$H$60:$H$62)*('BTX Recycling HC'!AD182+'BTX Recycling HC'!AD234+'BTX Recycling HC'!AD268+'BTX Recycling HC'!AD107)-'Overall recycling rates'!$I$60/SUM('Overall recycling rates'!$I$60:$I$62)*('BTX Recycling HC'!AD183+'BTX Recycling HC'!AD235+'BTX Recycling HC'!AD269+'BTX Recycling HC'!AD108)</f>
        <v>919589.56853954529</v>
      </c>
      <c r="BL110" s="580">
        <f>BL58+BL64-'Overall recycling rates'!$G$60/SUM('Overall recycling rates'!$G$60:$G$62)*('BTX Recycling HC'!AE180+'BTX Recycling HC'!AE232+'BTX Recycling HC'!AE266+'BTX Recycling HC'!AE105)-'Overall recycling rates'!$E$60/SUM('Overall recycling rates'!$E$60:$E$62)*('BTX Recycling HC'!AE181+'BTX Recycling HC'!AE233+'BTX Recycling HC'!AE267+'BTX Recycling HC'!AE106)-'Overall recycling rates'!$H$60/SUM('Overall recycling rates'!$H$60:$H$62)*('BTX Recycling HC'!AE182+'BTX Recycling HC'!AE234+'BTX Recycling HC'!AE268+'BTX Recycling HC'!AE107)-'Overall recycling rates'!$I$60/SUM('Overall recycling rates'!$I$60:$I$62)*('BTX Recycling HC'!AE183+'BTX Recycling HC'!AE235+'BTX Recycling HC'!AE269+'BTX Recycling HC'!AE108)</f>
        <v>902278.33408105175</v>
      </c>
      <c r="BM110" s="580">
        <f>BM58+BM64-'Overall recycling rates'!$G$60/SUM('Overall recycling rates'!$G$60:$G$62)*('BTX Recycling HC'!AF180+'BTX Recycling HC'!AF232+'BTX Recycling HC'!AF266+'BTX Recycling HC'!AF105)-'Overall recycling rates'!$E$60/SUM('Overall recycling rates'!$E$60:$E$62)*('BTX Recycling HC'!AF181+'BTX Recycling HC'!AF233+'BTX Recycling HC'!AF267+'BTX Recycling HC'!AF106)-'Overall recycling rates'!$H$60/SUM('Overall recycling rates'!$H$60:$H$62)*('BTX Recycling HC'!AF182+'BTX Recycling HC'!AF234+'BTX Recycling HC'!AF268+'BTX Recycling HC'!AF107)-'Overall recycling rates'!$I$60/SUM('Overall recycling rates'!$I$60:$I$62)*('BTX Recycling HC'!AF183+'BTX Recycling HC'!AF235+'BTX Recycling HC'!AF269+'BTX Recycling HC'!AF108)</f>
        <v>885260.23409419297</v>
      </c>
      <c r="BN110" s="580">
        <f>BN58+BN64-'Overall recycling rates'!$G$60/SUM('Overall recycling rates'!$G$60:$G$62)*('BTX Recycling HC'!AG180+'BTX Recycling HC'!AG232+'BTX Recycling HC'!AG266+'BTX Recycling HC'!AG105)-'Overall recycling rates'!$E$60/SUM('Overall recycling rates'!$E$60:$E$62)*('BTX Recycling HC'!AG181+'BTX Recycling HC'!AG233+'BTX Recycling HC'!AG267+'BTX Recycling HC'!AG106)-'Overall recycling rates'!$H$60/SUM('Overall recycling rates'!$H$60:$H$62)*('BTX Recycling HC'!AG182+'BTX Recycling HC'!AG234+'BTX Recycling HC'!AG268+'BTX Recycling HC'!AG107)-'Overall recycling rates'!$I$60/SUM('Overall recycling rates'!$I$60:$I$62)*('BTX Recycling HC'!AG183+'BTX Recycling HC'!AG235+'BTX Recycling HC'!AG269+'BTX Recycling HC'!AG108)</f>
        <v>868529.49605111848</v>
      </c>
      <c r="BQ110" s="649"/>
      <c r="BR110" s="649"/>
      <c r="BS110" s="649"/>
      <c r="BT110" s="649"/>
      <c r="BU110" s="649"/>
      <c r="BV110" s="649"/>
      <c r="BW110" s="649"/>
      <c r="BX110" s="649"/>
      <c r="BY110" s="649"/>
      <c r="BZ110" s="649"/>
      <c r="CA110" s="649"/>
      <c r="CB110" s="649"/>
      <c r="CC110" s="649"/>
      <c r="CD110" s="649"/>
      <c r="CE110" s="649"/>
      <c r="CF110" s="649"/>
      <c r="CG110" s="649"/>
      <c r="CH110" s="649"/>
      <c r="CI110" s="649"/>
      <c r="CJ110" s="649"/>
      <c r="CK110" s="649"/>
      <c r="CL110" s="649"/>
    </row>
    <row r="111" spans="1:90" outlineLevel="1">
      <c r="A111" s="603"/>
      <c r="B111" s="1" t="s">
        <v>717</v>
      </c>
      <c r="C111" s="50" t="s">
        <v>1420</v>
      </c>
      <c r="D111" s="576">
        <f>D59+D65-'Overall recycling rates'!$G$61/SUM('Overall recycling rates'!$G$60:$G$62)*('BTX Recycling HC'!C180+'BTX Recycling HC'!C232+'BTX Recycling HC'!C266+'BTX Recycling HC'!C105)-'Overall recycling rates'!$E$61/SUM('Overall recycling rates'!$E$60:$E$62)*('BTX Recycling HC'!C181+'BTX Recycling HC'!C233+'BTX Recycling HC'!C267+'BTX Recycling HC'!C106)-'Overall recycling rates'!$H$61/SUM('Overall recycling rates'!$H$60:$H$62)*('BTX Recycling HC'!C182+'BTX Recycling HC'!C234+'BTX Recycling HC'!C268+'BTX Recycling HC'!C107)-'Overall recycling rates'!$I$61/SUM('Overall recycling rates'!$I$60:$I$62)*('BTX Recycling HC'!C183+'BTX Recycling HC'!C235+'BTX Recycling HC'!C269+'BTX Recycling HC'!C108)</f>
        <v>235439.23883849592</v>
      </c>
      <c r="E111" s="576">
        <f>E59+E65-'Overall recycling rates'!$G$61/SUM('Overall recycling rates'!$G$60:$G$62)*('BTX Recycling HC'!D180+'BTX Recycling HC'!D232+'BTX Recycling HC'!D266+'BTX Recycling HC'!D105)-'Overall recycling rates'!$E$61/SUM('Overall recycling rates'!$E$60:$E$62)*('BTX Recycling HC'!D181+'BTX Recycling HC'!D233+'BTX Recycling HC'!D267+'BTX Recycling HC'!D106)-'Overall recycling rates'!$H$61/SUM('Overall recycling rates'!$H$60:$H$62)*('BTX Recycling HC'!D182+'BTX Recycling HC'!D234+'BTX Recycling HC'!D268+'BTX Recycling HC'!D107)-'Overall recycling rates'!$I$61/SUM('Overall recycling rates'!$I$60:$I$62)*('BTX Recycling HC'!D183+'BTX Recycling HC'!D235+'BTX Recycling HC'!D269+'BTX Recycling HC'!D108)</f>
        <v>232099.37611638836</v>
      </c>
      <c r="F111" s="576">
        <f>F59+F65-'Overall recycling rates'!$G$61/SUM('Overall recycling rates'!$G$60:$G$62)*('BTX Recycling HC'!E180+'BTX Recycling HC'!E232+'BTX Recycling HC'!E266+'BTX Recycling HC'!E105)-'Overall recycling rates'!$E$61/SUM('Overall recycling rates'!$E$60:$E$62)*('BTX Recycling HC'!E181+'BTX Recycling HC'!E233+'BTX Recycling HC'!E267+'BTX Recycling HC'!E106)-'Overall recycling rates'!$H$61/SUM('Overall recycling rates'!$H$60:$H$62)*('BTX Recycling HC'!E182+'BTX Recycling HC'!E234+'BTX Recycling HC'!E268+'BTX Recycling HC'!E107)-'Overall recycling rates'!$I$61/SUM('Overall recycling rates'!$I$60:$I$62)*('BTX Recycling HC'!E183+'BTX Recycling HC'!E235+'BTX Recycling HC'!E269+'BTX Recycling HC'!E108)</f>
        <v>228794.99146982998</v>
      </c>
      <c r="G111" s="576">
        <f>G59+G65-'Overall recycling rates'!$G$61/SUM('Overall recycling rates'!$G$60:$G$62)*('BTX Recycling HC'!F180+'BTX Recycling HC'!F232+'BTX Recycling HC'!F266+'BTX Recycling HC'!F105)-'Overall recycling rates'!$E$61/SUM('Overall recycling rates'!$E$60:$E$62)*('BTX Recycling HC'!F181+'BTX Recycling HC'!F233+'BTX Recycling HC'!F267+'BTX Recycling HC'!F106)-'Overall recycling rates'!$H$61/SUM('Overall recycling rates'!$H$60:$H$62)*('BTX Recycling HC'!F182+'BTX Recycling HC'!F234+'BTX Recycling HC'!F268+'BTX Recycling HC'!F107)-'Overall recycling rates'!$I$61/SUM('Overall recycling rates'!$I$60:$I$62)*('BTX Recycling HC'!F183+'BTX Recycling HC'!F235+'BTX Recycling HC'!F269+'BTX Recycling HC'!F108)</f>
        <v>225496.61940875635</v>
      </c>
      <c r="H111" s="576">
        <f>H59+H65-'Overall recycling rates'!$G$61/SUM('Overall recycling rates'!$G$60:$G$62)*('BTX Recycling HC'!G180+'BTX Recycling HC'!G232+'BTX Recycling HC'!G266+'BTX Recycling HC'!G105)-'Overall recycling rates'!$E$61/SUM('Overall recycling rates'!$E$60:$E$62)*('BTX Recycling HC'!G181+'BTX Recycling HC'!G233+'BTX Recycling HC'!G267+'BTX Recycling HC'!G106)-'Overall recycling rates'!$H$61/SUM('Overall recycling rates'!$H$60:$H$62)*('BTX Recycling HC'!G182+'BTX Recycling HC'!G234+'BTX Recycling HC'!G268+'BTX Recycling HC'!G107)-'Overall recycling rates'!$I$61/SUM('Overall recycling rates'!$I$60:$I$62)*('BTX Recycling HC'!G183+'BTX Recycling HC'!G235+'BTX Recycling HC'!G269+'BTX Recycling HC'!G108)</f>
        <v>222212.98660118179</v>
      </c>
      <c r="I111" s="576">
        <f>I59+I65-'Overall recycling rates'!$G$61/SUM('Overall recycling rates'!$G$60:$G$62)*('BTX Recycling HC'!H180+'BTX Recycling HC'!H232+'BTX Recycling HC'!H266+'BTX Recycling HC'!H105)-'Overall recycling rates'!$E$61/SUM('Overall recycling rates'!$E$60:$E$62)*('BTX Recycling HC'!H181+'BTX Recycling HC'!H233+'BTX Recycling HC'!H267+'BTX Recycling HC'!H106)-'Overall recycling rates'!$H$61/SUM('Overall recycling rates'!$H$60:$H$62)*('BTX Recycling HC'!H182+'BTX Recycling HC'!H234+'BTX Recycling HC'!H268+'BTX Recycling HC'!H107)-'Overall recycling rates'!$I$61/SUM('Overall recycling rates'!$I$60:$I$62)*('BTX Recycling HC'!H183+'BTX Recycling HC'!H235+'BTX Recycling HC'!H269+'BTX Recycling HC'!H108)</f>
        <v>218281.88168642449</v>
      </c>
      <c r="J111" s="576">
        <f>J59+J65-'Overall recycling rates'!$G$61/SUM('Overall recycling rates'!$G$60:$G$62)*('BTX Recycling HC'!I180+'BTX Recycling HC'!I232+'BTX Recycling HC'!I266+'BTX Recycling HC'!I105)-'Overall recycling rates'!$E$61/SUM('Overall recycling rates'!$E$60:$E$62)*('BTX Recycling HC'!I181+'BTX Recycling HC'!I233+'BTX Recycling HC'!I267+'BTX Recycling HC'!I106)-'Overall recycling rates'!$H$61/SUM('Overall recycling rates'!$H$60:$H$62)*('BTX Recycling HC'!I182+'BTX Recycling HC'!I234+'BTX Recycling HC'!I268+'BTX Recycling HC'!I107)-'Overall recycling rates'!$I$61/SUM('Overall recycling rates'!$I$60:$I$62)*('BTX Recycling HC'!I183+'BTX Recycling HC'!I235+'BTX Recycling HC'!I269+'BTX Recycling HC'!I108)</f>
        <v>214628.13302798528</v>
      </c>
      <c r="K111" s="576">
        <f>K59+K65-'Overall recycling rates'!$G$61/SUM('Overall recycling rates'!$G$60:$G$62)*('BTX Recycling HC'!J180+'BTX Recycling HC'!J232+'BTX Recycling HC'!J266+'BTX Recycling HC'!J105)-'Overall recycling rates'!$E$61/SUM('Overall recycling rates'!$E$60:$E$62)*('BTX Recycling HC'!J181+'BTX Recycling HC'!J233+'BTX Recycling HC'!J267+'BTX Recycling HC'!J106)-'Overall recycling rates'!$H$61/SUM('Overall recycling rates'!$H$60:$H$62)*('BTX Recycling HC'!J182+'BTX Recycling HC'!J234+'BTX Recycling HC'!J268+'BTX Recycling HC'!J107)-'Overall recycling rates'!$I$61/SUM('Overall recycling rates'!$I$60:$I$62)*('BTX Recycling HC'!J183+'BTX Recycling HC'!J235+'BTX Recycling HC'!J269+'BTX Recycling HC'!J108)</f>
        <v>211020.68482379796</v>
      </c>
      <c r="L111" s="576">
        <f>L59+L65-'Overall recycling rates'!$G$61/SUM('Overall recycling rates'!$G$60:$G$62)*('BTX Recycling HC'!K180+'BTX Recycling HC'!K232+'BTX Recycling HC'!K266+'BTX Recycling HC'!K105)-'Overall recycling rates'!$E$61/SUM('Overall recycling rates'!$E$60:$E$62)*('BTX Recycling HC'!K181+'BTX Recycling HC'!K233+'BTX Recycling HC'!K267+'BTX Recycling HC'!K106)-'Overall recycling rates'!$H$61/SUM('Overall recycling rates'!$H$60:$H$62)*('BTX Recycling HC'!K182+'BTX Recycling HC'!K234+'BTX Recycling HC'!K268+'BTX Recycling HC'!K107)-'Overall recycling rates'!$I$61/SUM('Overall recycling rates'!$I$60:$I$62)*('BTX Recycling HC'!K183+'BTX Recycling HC'!K235+'BTX Recycling HC'!K269+'BTX Recycling HC'!K108)</f>
        <v>207458.68973553053</v>
      </c>
      <c r="M111" s="576">
        <f>M59+M65-'Overall recycling rates'!$G$61/SUM('Overall recycling rates'!$G$60:$G$62)*('BTX Recycling HC'!L180+'BTX Recycling HC'!L232+'BTX Recycling HC'!L266+'BTX Recycling HC'!L105)-'Overall recycling rates'!$E$61/SUM('Overall recycling rates'!$E$60:$E$62)*('BTX Recycling HC'!L181+'BTX Recycling HC'!L233+'BTX Recycling HC'!L267+'BTX Recycling HC'!L106)-'Overall recycling rates'!$H$61/SUM('Overall recycling rates'!$H$60:$H$62)*('BTX Recycling HC'!L182+'BTX Recycling HC'!L234+'BTX Recycling HC'!L268+'BTX Recycling HC'!L107)-'Overall recycling rates'!$I$61/SUM('Overall recycling rates'!$I$60:$I$62)*('BTX Recycling HC'!L183+'BTX Recycling HC'!L235+'BTX Recycling HC'!L269+'BTX Recycling HC'!L108)</f>
        <v>203941.35784351252</v>
      </c>
      <c r="N111" s="576">
        <f>N59+N65-'Overall recycling rates'!$G$61/SUM('Overall recycling rates'!$G$60:$G$62)*('BTX Recycling HC'!M180+'BTX Recycling HC'!M232+'BTX Recycling HC'!M266+'BTX Recycling HC'!M105)-'Overall recycling rates'!$E$61/SUM('Overall recycling rates'!$E$60:$E$62)*('BTX Recycling HC'!M181+'BTX Recycling HC'!M233+'BTX Recycling HC'!M267+'BTX Recycling HC'!M106)-'Overall recycling rates'!$H$61/SUM('Overall recycling rates'!$H$60:$H$62)*('BTX Recycling HC'!M182+'BTX Recycling HC'!M234+'BTX Recycling HC'!M268+'BTX Recycling HC'!M107)-'Overall recycling rates'!$I$61/SUM('Overall recycling rates'!$I$60:$I$62)*('BTX Recycling HC'!M183+'BTX Recycling HC'!M235+'BTX Recycling HC'!M269+'BTX Recycling HC'!M108)</f>
        <v>200467.96456978703</v>
      </c>
      <c r="O111" s="576">
        <f>O59+O65-'Overall recycling rates'!$G$61/SUM('Overall recycling rates'!$G$60:$G$62)*('BTX Recycling HC'!N180+'BTX Recycling HC'!N232+'BTX Recycling HC'!N266+'BTX Recycling HC'!N105)-'Overall recycling rates'!$E$61/SUM('Overall recycling rates'!$E$60:$E$62)*('BTX Recycling HC'!N181+'BTX Recycling HC'!N233+'BTX Recycling HC'!N267+'BTX Recycling HC'!N106)-'Overall recycling rates'!$H$61/SUM('Overall recycling rates'!$H$60:$H$62)*('BTX Recycling HC'!N182+'BTX Recycling HC'!N234+'BTX Recycling HC'!N268+'BTX Recycling HC'!N107)-'Overall recycling rates'!$I$61/SUM('Overall recycling rates'!$I$60:$I$62)*('BTX Recycling HC'!N183+'BTX Recycling HC'!N235+'BTX Recycling HC'!N269+'BTX Recycling HC'!N108)</f>
        <v>197152.45055907045</v>
      </c>
      <c r="P111" s="576">
        <f>P59+P65-'Overall recycling rates'!$G$61/SUM('Overall recycling rates'!$G$60:$G$62)*('BTX Recycling HC'!O180+'BTX Recycling HC'!O232+'BTX Recycling HC'!O266+'BTX Recycling HC'!O105)-'Overall recycling rates'!$E$61/SUM('Overall recycling rates'!$E$60:$E$62)*('BTX Recycling HC'!O181+'BTX Recycling HC'!O233+'BTX Recycling HC'!O267+'BTX Recycling HC'!O106)-'Overall recycling rates'!$H$61/SUM('Overall recycling rates'!$H$60:$H$62)*('BTX Recycling HC'!O182+'BTX Recycling HC'!O234+'BTX Recycling HC'!O268+'BTX Recycling HC'!O107)-'Overall recycling rates'!$I$61/SUM('Overall recycling rates'!$I$60:$I$62)*('BTX Recycling HC'!O183+'BTX Recycling HC'!O235+'BTX Recycling HC'!O269+'BTX Recycling HC'!O108)</f>
        <v>193871.09359612787</v>
      </c>
      <c r="Q111" s="576">
        <f>Q59+Q65-'Overall recycling rates'!$G$61/SUM('Overall recycling rates'!$G$60:$G$62)*('BTX Recycling HC'!P180+'BTX Recycling HC'!P232+'BTX Recycling HC'!P266+'BTX Recycling HC'!P105)-'Overall recycling rates'!$E$61/SUM('Overall recycling rates'!$E$60:$E$62)*('BTX Recycling HC'!P181+'BTX Recycling HC'!P233+'BTX Recycling HC'!P267+'BTX Recycling HC'!P106)-'Overall recycling rates'!$H$61/SUM('Overall recycling rates'!$H$60:$H$62)*('BTX Recycling HC'!P182+'BTX Recycling HC'!P234+'BTX Recycling HC'!P268+'BTX Recycling HC'!P107)-'Overall recycling rates'!$I$61/SUM('Overall recycling rates'!$I$60:$I$62)*('BTX Recycling HC'!P183+'BTX Recycling HC'!P235+'BTX Recycling HC'!P269+'BTX Recycling HC'!P108)</f>
        <v>190624.69834433155</v>
      </c>
      <c r="R111" s="576">
        <f>R59+R65-'Overall recycling rates'!$G$61/SUM('Overall recycling rates'!$G$60:$G$62)*('BTX Recycling HC'!Q180+'BTX Recycling HC'!Q232+'BTX Recycling HC'!Q266+'BTX Recycling HC'!Q105)-'Overall recycling rates'!$E$61/SUM('Overall recycling rates'!$E$60:$E$62)*('BTX Recycling HC'!Q181+'BTX Recycling HC'!Q233+'BTX Recycling HC'!Q267+'BTX Recycling HC'!Q106)-'Overall recycling rates'!$H$61/SUM('Overall recycling rates'!$H$60:$H$62)*('BTX Recycling HC'!Q182+'BTX Recycling HC'!Q234+'BTX Recycling HC'!Q268+'BTX Recycling HC'!Q107)-'Overall recycling rates'!$I$61/SUM('Overall recycling rates'!$I$60:$I$62)*('BTX Recycling HC'!Q183+'BTX Recycling HC'!Q235+'BTX Recycling HC'!Q269+'BTX Recycling HC'!Q108)</f>
        <v>187412.13097742555</v>
      </c>
      <c r="S111" s="576">
        <f>S59+S65-'Overall recycling rates'!$G$61/SUM('Overall recycling rates'!$G$60:$G$62)*('BTX Recycling HC'!R180+'BTX Recycling HC'!R232+'BTX Recycling HC'!R266+'BTX Recycling HC'!R105)-'Overall recycling rates'!$E$61/SUM('Overall recycling rates'!$E$60:$E$62)*('BTX Recycling HC'!R181+'BTX Recycling HC'!R233+'BTX Recycling HC'!R267+'BTX Recycling HC'!R106)-'Overall recycling rates'!$H$61/SUM('Overall recycling rates'!$H$60:$H$62)*('BTX Recycling HC'!R182+'BTX Recycling HC'!R234+'BTX Recycling HC'!R268+'BTX Recycling HC'!R107)-'Overall recycling rates'!$I$61/SUM('Overall recycling rates'!$I$60:$I$62)*('BTX Recycling HC'!R183+'BTX Recycling HC'!R235+'BTX Recycling HC'!R269+'BTX Recycling HC'!R108)</f>
        <v>184233.29719042141</v>
      </c>
      <c r="T111" s="576">
        <f>T59+T65-'Overall recycling rates'!$G$61/SUM('Overall recycling rates'!$G$60:$G$62)*('BTX Recycling HC'!S180+'BTX Recycling HC'!S232+'BTX Recycling HC'!S266+'BTX Recycling HC'!S105)-'Overall recycling rates'!$E$61/SUM('Overall recycling rates'!$E$60:$E$62)*('BTX Recycling HC'!S181+'BTX Recycling HC'!S233+'BTX Recycling HC'!S267+'BTX Recycling HC'!S106)-'Overall recycling rates'!$H$61/SUM('Overall recycling rates'!$H$60:$H$62)*('BTX Recycling HC'!S182+'BTX Recycling HC'!S234+'BTX Recycling HC'!S268+'BTX Recycling HC'!S107)-'Overall recycling rates'!$I$61/SUM('Overall recycling rates'!$I$60:$I$62)*('BTX Recycling HC'!S183+'BTX Recycling HC'!S235+'BTX Recycling HC'!S269+'BTX Recycling HC'!S108)</f>
        <v>180562.42030245066</v>
      </c>
      <c r="U111" s="576">
        <f>U59+U65-'Overall recycling rates'!$G$61/SUM('Overall recycling rates'!$G$60:$G$62)*('BTX Recycling HC'!T180+'BTX Recycling HC'!T232+'BTX Recycling HC'!T266+'BTX Recycling HC'!T105)-'Overall recycling rates'!$E$61/SUM('Overall recycling rates'!$E$60:$E$62)*('BTX Recycling HC'!T181+'BTX Recycling HC'!T233+'BTX Recycling HC'!T267+'BTX Recycling HC'!T106)-'Overall recycling rates'!$H$61/SUM('Overall recycling rates'!$H$60:$H$62)*('BTX Recycling HC'!T182+'BTX Recycling HC'!T234+'BTX Recycling HC'!T268+'BTX Recycling HC'!T107)-'Overall recycling rates'!$I$61/SUM('Overall recycling rates'!$I$60:$I$62)*('BTX Recycling HC'!T183+'BTX Recycling HC'!T235+'BTX Recycling HC'!T269+'BTX Recycling HC'!T108)</f>
        <v>176938.63796403501</v>
      </c>
      <c r="V111" s="576">
        <f>V59+V65-'Overall recycling rates'!$G$61/SUM('Overall recycling rates'!$G$60:$G$62)*('BTX Recycling HC'!U180+'BTX Recycling HC'!U232+'BTX Recycling HC'!U266+'BTX Recycling HC'!U105)-'Overall recycling rates'!$E$61/SUM('Overall recycling rates'!$E$60:$E$62)*('BTX Recycling HC'!U181+'BTX Recycling HC'!U233+'BTX Recycling HC'!U267+'BTX Recycling HC'!U106)-'Overall recycling rates'!$H$61/SUM('Overall recycling rates'!$H$60:$H$62)*('BTX Recycling HC'!U182+'BTX Recycling HC'!U234+'BTX Recycling HC'!U268+'BTX Recycling HC'!U107)-'Overall recycling rates'!$I$61/SUM('Overall recycling rates'!$I$60:$I$62)*('BTX Recycling HC'!U183+'BTX Recycling HC'!U235+'BTX Recycling HC'!U269+'BTX Recycling HC'!U108)</f>
        <v>173361.56051204461</v>
      </c>
      <c r="W111" s="576">
        <f>W59+W65-'Overall recycling rates'!$G$61/SUM('Overall recycling rates'!$G$60:$G$62)*('BTX Recycling HC'!V180+'BTX Recycling HC'!V232+'BTX Recycling HC'!V266+'BTX Recycling HC'!V105)-'Overall recycling rates'!$E$61/SUM('Overall recycling rates'!$E$60:$E$62)*('BTX Recycling HC'!V181+'BTX Recycling HC'!V233+'BTX Recycling HC'!V267+'BTX Recycling HC'!V106)-'Overall recycling rates'!$H$61/SUM('Overall recycling rates'!$H$60:$H$62)*('BTX Recycling HC'!V182+'BTX Recycling HC'!V234+'BTX Recycling HC'!V268+'BTX Recycling HC'!V107)-'Overall recycling rates'!$I$61/SUM('Overall recycling rates'!$I$60:$I$62)*('BTX Recycling HC'!V183+'BTX Recycling HC'!V235+'BTX Recycling HC'!V269+'BTX Recycling HC'!V108)</f>
        <v>169830.8624494987</v>
      </c>
      <c r="X111" s="576">
        <f>X59+X65-'Overall recycling rates'!$G$61/SUM('Overall recycling rates'!$G$60:$G$62)*('BTX Recycling HC'!W180+'BTX Recycling HC'!W232+'BTX Recycling HC'!W266+'BTX Recycling HC'!W105)-'Overall recycling rates'!$E$61/SUM('Overall recycling rates'!$E$60:$E$62)*('BTX Recycling HC'!W181+'BTX Recycling HC'!W233+'BTX Recycling HC'!W267+'BTX Recycling HC'!W106)-'Overall recycling rates'!$H$61/SUM('Overall recycling rates'!$H$60:$H$62)*('BTX Recycling HC'!W182+'BTX Recycling HC'!W234+'BTX Recycling HC'!W268+'BTX Recycling HC'!W107)-'Overall recycling rates'!$I$61/SUM('Overall recycling rates'!$I$60:$I$62)*('BTX Recycling HC'!W183+'BTX Recycling HC'!W235+'BTX Recycling HC'!W269+'BTX Recycling HC'!W108)</f>
        <v>166346.28559566775</v>
      </c>
      <c r="Y111" s="576">
        <f>Y59+Y65-'Overall recycling rates'!$G$61/SUM('Overall recycling rates'!$G$60:$G$62)*('BTX Recycling HC'!X180+'BTX Recycling HC'!X232+'BTX Recycling HC'!X266+'BTX Recycling HC'!X105)-'Overall recycling rates'!$E$61/SUM('Overall recycling rates'!$E$60:$E$62)*('BTX Recycling HC'!X181+'BTX Recycling HC'!X233+'BTX Recycling HC'!X267+'BTX Recycling HC'!X106)-'Overall recycling rates'!$H$61/SUM('Overall recycling rates'!$H$60:$H$62)*('BTX Recycling HC'!X182+'BTX Recycling HC'!X234+'BTX Recycling HC'!X268+'BTX Recycling HC'!X107)-'Overall recycling rates'!$I$61/SUM('Overall recycling rates'!$I$60:$I$62)*('BTX Recycling HC'!X183+'BTX Recycling HC'!X235+'BTX Recycling HC'!X269+'BTX Recycling HC'!X108)</f>
        <v>161965.87001600032</v>
      </c>
      <c r="Z111" s="576">
        <f>Z59+Z65-'Overall recycling rates'!$G$61/SUM('Overall recycling rates'!$G$60:$G$62)*('BTX Recycling HC'!Y180+'BTX Recycling HC'!Y232+'BTX Recycling HC'!Y266+'BTX Recycling HC'!Y105)-'Overall recycling rates'!$E$61/SUM('Overall recycling rates'!$E$60:$E$62)*('BTX Recycling HC'!Y181+'BTX Recycling HC'!Y233+'BTX Recycling HC'!Y267+'BTX Recycling HC'!Y106)-'Overall recycling rates'!$H$61/SUM('Overall recycling rates'!$H$60:$H$62)*('BTX Recycling HC'!Y182+'BTX Recycling HC'!Y234+'BTX Recycling HC'!Y268+'BTX Recycling HC'!Y107)-'Overall recycling rates'!$I$61/SUM('Overall recycling rates'!$I$60:$I$62)*('BTX Recycling HC'!Y183+'BTX Recycling HC'!Y235+'BTX Recycling HC'!Y269+'BTX Recycling HC'!Y108)</f>
        <v>157653.79673905057</v>
      </c>
      <c r="AA111" s="576">
        <f>AA59+AA65-'Overall recycling rates'!$G$61/SUM('Overall recycling rates'!$G$60:$G$62)*('BTX Recycling HC'!Z180+'BTX Recycling HC'!Z232+'BTX Recycling HC'!Z266+'BTX Recycling HC'!Z105)-'Overall recycling rates'!$E$61/SUM('Overall recycling rates'!$E$60:$E$62)*('BTX Recycling HC'!Z181+'BTX Recycling HC'!Z233+'BTX Recycling HC'!Z267+'BTX Recycling HC'!Z106)-'Overall recycling rates'!$H$61/SUM('Overall recycling rates'!$H$60:$H$62)*('BTX Recycling HC'!Z182+'BTX Recycling HC'!Z234+'BTX Recycling HC'!Z268+'BTX Recycling HC'!Z107)-'Overall recycling rates'!$I$61/SUM('Overall recycling rates'!$I$60:$I$62)*('BTX Recycling HC'!Z183+'BTX Recycling HC'!Z235+'BTX Recycling HC'!Z269+'BTX Recycling HC'!Z108)</f>
        <v>153412.84912251221</v>
      </c>
      <c r="AB111" s="576">
        <f>AB59+AB65-'Overall recycling rates'!$G$61/SUM('Overall recycling rates'!$G$60:$G$62)*('BTX Recycling HC'!AA180+'BTX Recycling HC'!AA232+'BTX Recycling HC'!AA266+'BTX Recycling HC'!AA105)-'Overall recycling rates'!$E$61/SUM('Overall recycling rates'!$E$60:$E$62)*('BTX Recycling HC'!AA181+'BTX Recycling HC'!AA233+'BTX Recycling HC'!AA267+'BTX Recycling HC'!AA106)-'Overall recycling rates'!$H$61/SUM('Overall recycling rates'!$H$60:$H$62)*('BTX Recycling HC'!AA182+'BTX Recycling HC'!AA234+'BTX Recycling HC'!AA268+'BTX Recycling HC'!AA107)-'Overall recycling rates'!$I$61/SUM('Overall recycling rates'!$I$60:$I$62)*('BTX Recycling HC'!AA183+'BTX Recycling HC'!AA235+'BTX Recycling HC'!AA269+'BTX Recycling HC'!AA108)</f>
        <v>149240.07649610742</v>
      </c>
      <c r="AC111" s="576">
        <f>AC59+AC65-'Overall recycling rates'!$G$61/SUM('Overall recycling rates'!$G$60:$G$62)*('BTX Recycling HC'!AB180+'BTX Recycling HC'!AB232+'BTX Recycling HC'!AB266+'BTX Recycling HC'!AB105)-'Overall recycling rates'!$E$61/SUM('Overall recycling rates'!$E$60:$E$62)*('BTX Recycling HC'!AB181+'BTX Recycling HC'!AB233+'BTX Recycling HC'!AB267+'BTX Recycling HC'!AB106)-'Overall recycling rates'!$H$61/SUM('Overall recycling rates'!$H$60:$H$62)*('BTX Recycling HC'!AB182+'BTX Recycling HC'!AB234+'BTX Recycling HC'!AB268+'BTX Recycling HC'!AB107)-'Overall recycling rates'!$I$61/SUM('Overall recycling rates'!$I$60:$I$62)*('BTX Recycling HC'!AB183+'BTX Recycling HC'!AB235+'BTX Recycling HC'!AB269+'BTX Recycling HC'!AB108)</f>
        <v>145135.49346481013</v>
      </c>
      <c r="AD111" s="576">
        <f>AD59+AD65-'Overall recycling rates'!$G$61/SUM('Overall recycling rates'!$G$60:$G$62)*('BTX Recycling HC'!AC180+'BTX Recycling HC'!AC232+'BTX Recycling HC'!AC266+'BTX Recycling HC'!AC105)-'Overall recycling rates'!$E$61/SUM('Overall recycling rates'!$E$60:$E$62)*('BTX Recycling HC'!AC181+'BTX Recycling HC'!AC233+'BTX Recycling HC'!AC267+'BTX Recycling HC'!AC106)-'Overall recycling rates'!$H$61/SUM('Overall recycling rates'!$H$60:$H$62)*('BTX Recycling HC'!AC182+'BTX Recycling HC'!AC234+'BTX Recycling HC'!AC268+'BTX Recycling HC'!AC107)-'Overall recycling rates'!$I$61/SUM('Overall recycling rates'!$I$60:$I$62)*('BTX Recycling HC'!AC183+'BTX Recycling HC'!AC235+'BTX Recycling HC'!AC269+'BTX Recycling HC'!AC108)</f>
        <v>140927.62183812802</v>
      </c>
      <c r="AE111" s="576">
        <f>AE59+AE65-'Overall recycling rates'!$G$61/SUM('Overall recycling rates'!$G$60:$G$62)*('BTX Recycling HC'!AD180+'BTX Recycling HC'!AD232+'BTX Recycling HC'!AD266+'BTX Recycling HC'!AD105)-'Overall recycling rates'!$E$61/SUM('Overall recycling rates'!$E$60:$E$62)*('BTX Recycling HC'!AD181+'BTX Recycling HC'!AD233+'BTX Recycling HC'!AD267+'BTX Recycling HC'!AD106)-'Overall recycling rates'!$H$61/SUM('Overall recycling rates'!$H$60:$H$62)*('BTX Recycling HC'!AD182+'BTX Recycling HC'!AD234+'BTX Recycling HC'!AD268+'BTX Recycling HC'!AD107)-'Overall recycling rates'!$I$61/SUM('Overall recycling rates'!$I$60:$I$62)*('BTX Recycling HC'!AD183+'BTX Recycling HC'!AD235+'BTX Recycling HC'!AD269+'BTX Recycling HC'!AD108)</f>
        <v>136797.91974376122</v>
      </c>
      <c r="AF111" s="576">
        <f>AF59+AF65-'Overall recycling rates'!$G$61/SUM('Overall recycling rates'!$G$60:$G$62)*('BTX Recycling HC'!AE180+'BTX Recycling HC'!AE232+'BTX Recycling HC'!AE266+'BTX Recycling HC'!AE105)-'Overall recycling rates'!$E$61/SUM('Overall recycling rates'!$E$60:$E$62)*('BTX Recycling HC'!AE181+'BTX Recycling HC'!AE233+'BTX Recycling HC'!AE267+'BTX Recycling HC'!AE106)-'Overall recycling rates'!$H$61/SUM('Overall recycling rates'!$H$60:$H$62)*('BTX Recycling HC'!AE182+'BTX Recycling HC'!AE234+'BTX Recycling HC'!AE268+'BTX Recycling HC'!AE107)-'Overall recycling rates'!$I$61/SUM('Overall recycling rates'!$I$60:$I$62)*('BTX Recycling HC'!AE183+'BTX Recycling HC'!AE235+'BTX Recycling HC'!AE269+'BTX Recycling HC'!AE108)</f>
        <v>132747.0302304746</v>
      </c>
      <c r="AG111" s="576">
        <f>AG59+AG65-'Overall recycling rates'!$G$61/SUM('Overall recycling rates'!$G$60:$G$62)*('BTX Recycling HC'!AF180+'BTX Recycling HC'!AF232+'BTX Recycling HC'!AF266+'BTX Recycling HC'!AF105)-'Overall recycling rates'!$E$61/SUM('Overall recycling rates'!$E$60:$E$62)*('BTX Recycling HC'!AF181+'BTX Recycling HC'!AF233+'BTX Recycling HC'!AF267+'BTX Recycling HC'!AF106)-'Overall recycling rates'!$H$61/SUM('Overall recycling rates'!$H$60:$H$62)*('BTX Recycling HC'!AF182+'BTX Recycling HC'!AF234+'BTX Recycling HC'!AF268+'BTX Recycling HC'!AF107)-'Overall recycling rates'!$I$61/SUM('Overall recycling rates'!$I$60:$I$62)*('BTX Recycling HC'!AF183+'BTX Recycling HC'!AF235+'BTX Recycling HC'!AF269+'BTX Recycling HC'!AF108)</f>
        <v>128775.75560513212</v>
      </c>
      <c r="AH111" s="576">
        <f>AH59+AH65-'Overall recycling rates'!$G$61/SUM('Overall recycling rates'!$G$60:$G$62)*('BTX Recycling HC'!AG180+'BTX Recycling HC'!AG232+'BTX Recycling HC'!AG266+'BTX Recycling HC'!AG105)-'Overall recycling rates'!$E$61/SUM('Overall recycling rates'!$E$60:$E$62)*('BTX Recycling HC'!AG181+'BTX Recycling HC'!AG233+'BTX Recycling HC'!AG267+'BTX Recycling HC'!AG106)-'Overall recycling rates'!$H$61/SUM('Overall recycling rates'!$H$60:$H$62)*('BTX Recycling HC'!AG182+'BTX Recycling HC'!AG234+'BTX Recycling HC'!AG268+'BTX Recycling HC'!AG107)-'Overall recycling rates'!$I$61/SUM('Overall recycling rates'!$I$60:$I$62)*('BTX Recycling HC'!AG183+'BTX Recycling HC'!AG235+'BTX Recycling HC'!AG269+'BTX Recycling HC'!AG108)</f>
        <v>124885.06205813025</v>
      </c>
      <c r="AI111" s="576"/>
      <c r="AJ111" s="576">
        <f>AJ59+AJ65-'Overall recycling rates'!$G$61/SUM('Overall recycling rates'!$G$60:$G$62)*('BTX Recycling HC'!C180+'BTX Recycling HC'!C232+'BTX Recycling HC'!C266+'BTX Recycling HC'!C105)-'Overall recycling rates'!$E$61/SUM('Overall recycling rates'!$E$60:$E$62)*('BTX Recycling HC'!C181+'BTX Recycling HC'!C233+'BTX Recycling HC'!C267+'BTX Recycling HC'!C106)-'Overall recycling rates'!$H$61/SUM('Overall recycling rates'!$H$60:$H$62)*('BTX Recycling HC'!C182+'BTX Recycling HC'!C234+'BTX Recycling HC'!C268+'BTX Recycling HC'!C107)-'Overall recycling rates'!$I$61/SUM('Overall recycling rates'!$I$60:$I$62)*('BTX Recycling HC'!C183+'BTX Recycling HC'!C235+'BTX Recycling HC'!C269+'BTX Recycling HC'!C108)</f>
        <v>235439.23883849592</v>
      </c>
      <c r="AK111" s="576">
        <f>AK59+AK65-'Overall recycling rates'!$G$61/SUM('Overall recycling rates'!$G$60:$G$62)*('BTX Recycling HC'!D180+'BTX Recycling HC'!D232+'BTX Recycling HC'!D266+'BTX Recycling HC'!D105)-'Overall recycling rates'!$E$61/SUM('Overall recycling rates'!$E$60:$E$62)*('BTX Recycling HC'!D181+'BTX Recycling HC'!D233+'BTX Recycling HC'!D267+'BTX Recycling HC'!D106)-'Overall recycling rates'!$H$61/SUM('Overall recycling rates'!$H$60:$H$62)*('BTX Recycling HC'!D182+'BTX Recycling HC'!D234+'BTX Recycling HC'!D268+'BTX Recycling HC'!D107)-'Overall recycling rates'!$I$61/SUM('Overall recycling rates'!$I$60:$I$62)*('BTX Recycling HC'!D183+'BTX Recycling HC'!D235+'BTX Recycling HC'!D269+'BTX Recycling HC'!D108)</f>
        <v>232875.84723793864</v>
      </c>
      <c r="AL111" s="576">
        <f>AL59+AL65-'Overall recycling rates'!$G$61/SUM('Overall recycling rates'!$G$60:$G$62)*('BTX Recycling HC'!E180+'BTX Recycling HC'!E232+'BTX Recycling HC'!E266+'BTX Recycling HC'!E105)-'Overall recycling rates'!$E$61/SUM('Overall recycling rates'!$E$60:$E$62)*('BTX Recycling HC'!E181+'BTX Recycling HC'!E233+'BTX Recycling HC'!E267+'BTX Recycling HC'!E106)-'Overall recycling rates'!$H$61/SUM('Overall recycling rates'!$H$60:$H$62)*('BTX Recycling HC'!E182+'BTX Recycling HC'!E234+'BTX Recycling HC'!E268+'BTX Recycling HC'!E107)-'Overall recycling rates'!$I$61/SUM('Overall recycling rates'!$I$60:$I$62)*('BTX Recycling HC'!E183+'BTX Recycling HC'!E235+'BTX Recycling HC'!E269+'BTX Recycling HC'!E108)</f>
        <v>230346.93828116267</v>
      </c>
      <c r="AM111" s="576">
        <f>AM59+AM65-'Overall recycling rates'!$G$61/SUM('Overall recycling rates'!$G$60:$G$62)*('BTX Recycling HC'!F180+'BTX Recycling HC'!F232+'BTX Recycling HC'!F266+'BTX Recycling HC'!F105)-'Overall recycling rates'!$E$61/SUM('Overall recycling rates'!$E$60:$E$62)*('BTX Recycling HC'!F181+'BTX Recycling HC'!F233+'BTX Recycling HC'!F267+'BTX Recycling HC'!F106)-'Overall recycling rates'!$H$61/SUM('Overall recycling rates'!$H$60:$H$62)*('BTX Recycling HC'!F182+'BTX Recycling HC'!F234+'BTX Recycling HC'!F268+'BTX Recycling HC'!F107)-'Overall recycling rates'!$I$61/SUM('Overall recycling rates'!$I$60:$I$62)*('BTX Recycling HC'!F183+'BTX Recycling HC'!F235+'BTX Recycling HC'!F269+'BTX Recycling HC'!F108)</f>
        <v>227822.98914491254</v>
      </c>
      <c r="AN111" s="576">
        <f>AN59+AN65-'Overall recycling rates'!$G$61/SUM('Overall recycling rates'!$G$60:$G$62)*('BTX Recycling HC'!G180+'BTX Recycling HC'!G232+'BTX Recycling HC'!G266+'BTX Recycling HC'!G105)-'Overall recycling rates'!$E$61/SUM('Overall recycling rates'!$E$60:$E$62)*('BTX Recycling HC'!G181+'BTX Recycling HC'!G233+'BTX Recycling HC'!G267+'BTX Recycling HC'!G106)-'Overall recycling rates'!$H$61/SUM('Overall recycling rates'!$H$60:$H$62)*('BTX Recycling HC'!G182+'BTX Recycling HC'!G234+'BTX Recycling HC'!G268+'BTX Recycling HC'!G107)-'Overall recycling rates'!$I$61/SUM('Overall recycling rates'!$I$60:$I$62)*('BTX Recycling HC'!G183+'BTX Recycling HC'!G235+'BTX Recycling HC'!G269+'BTX Recycling HC'!G108)</f>
        <v>225312.67010832526</v>
      </c>
      <c r="AO111" s="576">
        <f>AO59+AO65-'Overall recycling rates'!$G$61/SUM('Overall recycling rates'!$G$60:$G$62)*('BTX Recycling HC'!H180+'BTX Recycling HC'!H232+'BTX Recycling HC'!H266+'BTX Recycling HC'!H105)-'Overall recycling rates'!$E$61/SUM('Overall recycling rates'!$E$60:$E$62)*('BTX Recycling HC'!H181+'BTX Recycling HC'!H233+'BTX Recycling HC'!H267+'BTX Recycling HC'!H106)-'Overall recycling rates'!$H$61/SUM('Overall recycling rates'!$H$60:$H$62)*('BTX Recycling HC'!H182+'BTX Recycling HC'!H234+'BTX Recycling HC'!H268+'BTX Recycling HC'!H107)-'Overall recycling rates'!$I$61/SUM('Overall recycling rates'!$I$60:$I$62)*('BTX Recycling HC'!H183+'BTX Recycling HC'!H235+'BTX Recycling HC'!H269+'BTX Recycling HC'!H108)</f>
        <v>222142.43003213324</v>
      </c>
      <c r="AP111" s="576">
        <f>AP59+AP65-'Overall recycling rates'!$G$61/SUM('Overall recycling rates'!$G$60:$G$62)*('BTX Recycling HC'!I180+'BTX Recycling HC'!I232+'BTX Recycling HC'!I266+'BTX Recycling HC'!I105)-'Overall recycling rates'!$E$61/SUM('Overall recycling rates'!$E$60:$E$62)*('BTX Recycling HC'!I181+'BTX Recycling HC'!I233+'BTX Recycling HC'!I267+'BTX Recycling HC'!I106)-'Overall recycling rates'!$H$61/SUM('Overall recycling rates'!$H$60:$H$62)*('BTX Recycling HC'!I182+'BTX Recycling HC'!I234+'BTX Recycling HC'!I268+'BTX Recycling HC'!I107)-'Overall recycling rates'!$I$61/SUM('Overall recycling rates'!$I$60:$I$62)*('BTX Recycling HC'!I183+'BTX Recycling HC'!I235+'BTX Recycling HC'!I269+'BTX Recycling HC'!I108)</f>
        <v>219245.99895449492</v>
      </c>
      <c r="AQ111" s="576">
        <f>AQ59+AQ65-'Overall recycling rates'!$G$61/SUM('Overall recycling rates'!$G$60:$G$62)*('BTX Recycling HC'!J180+'BTX Recycling HC'!J232+'BTX Recycling HC'!J266+'BTX Recycling HC'!J105)-'Overall recycling rates'!$E$61/SUM('Overall recycling rates'!$E$60:$E$62)*('BTX Recycling HC'!J181+'BTX Recycling HC'!J233+'BTX Recycling HC'!J267+'BTX Recycling HC'!J106)-'Overall recycling rates'!$H$61/SUM('Overall recycling rates'!$H$60:$H$62)*('BTX Recycling HC'!J182+'BTX Recycling HC'!J234+'BTX Recycling HC'!J268+'BTX Recycling HC'!J107)-'Overall recycling rates'!$I$61/SUM('Overall recycling rates'!$I$60:$I$62)*('BTX Recycling HC'!J183+'BTX Recycling HC'!J235+'BTX Recycling HC'!J269+'BTX Recycling HC'!J108)</f>
        <v>216390.94622656005</v>
      </c>
      <c r="AR111" s="576">
        <f>AR59+AR65-'Overall recycling rates'!$G$61/SUM('Overall recycling rates'!$G$60:$G$62)*('BTX Recycling HC'!K180+'BTX Recycling HC'!K232+'BTX Recycling HC'!K266+'BTX Recycling HC'!K105)-'Overall recycling rates'!$E$61/SUM('Overall recycling rates'!$E$60:$E$62)*('BTX Recycling HC'!K181+'BTX Recycling HC'!K233+'BTX Recycling HC'!K267+'BTX Recycling HC'!K106)-'Overall recycling rates'!$H$61/SUM('Overall recycling rates'!$H$60:$H$62)*('BTX Recycling HC'!K182+'BTX Recycling HC'!K234+'BTX Recycling HC'!K268+'BTX Recycling HC'!K107)-'Overall recycling rates'!$I$61/SUM('Overall recycling rates'!$I$60:$I$62)*('BTX Recycling HC'!K183+'BTX Recycling HC'!K235+'BTX Recycling HC'!K269+'BTX Recycling HC'!K108)</f>
        <v>213576.42881959339</v>
      </c>
      <c r="AS111" s="576">
        <f>AS59+AS65-'Overall recycling rates'!$G$61/SUM('Overall recycling rates'!$G$60:$G$62)*('BTX Recycling HC'!L180+'BTX Recycling HC'!L232+'BTX Recycling HC'!L266+'BTX Recycling HC'!L105)-'Overall recycling rates'!$E$61/SUM('Overall recycling rates'!$E$60:$E$62)*('BTX Recycling HC'!L181+'BTX Recycling HC'!L233+'BTX Recycling HC'!L267+'BTX Recycling HC'!L106)-'Overall recycling rates'!$H$61/SUM('Overall recycling rates'!$H$60:$H$62)*('BTX Recycling HC'!L182+'BTX Recycling HC'!L234+'BTX Recycling HC'!L268+'BTX Recycling HC'!L107)-'Overall recycling rates'!$I$61/SUM('Overall recycling rates'!$I$60:$I$62)*('BTX Recycling HC'!L183+'BTX Recycling HC'!L235+'BTX Recycling HC'!L269+'BTX Recycling HC'!L108)</f>
        <v>210801.66142810028</v>
      </c>
      <c r="AT111" s="576">
        <f>AT59+AT65-'Overall recycling rates'!$G$61/SUM('Overall recycling rates'!$G$60:$G$62)*('BTX Recycling HC'!M180+'BTX Recycling HC'!M232+'BTX Recycling HC'!M266+'BTX Recycling HC'!M105)-'Overall recycling rates'!$E$61/SUM('Overall recycling rates'!$E$60:$E$62)*('BTX Recycling HC'!M181+'BTX Recycling HC'!M233+'BTX Recycling HC'!M267+'BTX Recycling HC'!M106)-'Overall recycling rates'!$H$61/SUM('Overall recycling rates'!$H$60:$H$62)*('BTX Recycling HC'!M182+'BTX Recycling HC'!M234+'BTX Recycling HC'!M268+'BTX Recycling HC'!M107)-'Overall recycling rates'!$I$61/SUM('Overall recycling rates'!$I$60:$I$62)*('BTX Recycling HC'!M183+'BTX Recycling HC'!M235+'BTX Recycling HC'!M269+'BTX Recycling HC'!M108)</f>
        <v>208065.92438788118</v>
      </c>
      <c r="AU111" s="576">
        <f>AU59+AU65-'Overall recycling rates'!$G$61/SUM('Overall recycling rates'!$G$60:$G$62)*('BTX Recycling HC'!N180+'BTX Recycling HC'!N232+'BTX Recycling HC'!N266+'BTX Recycling HC'!N105)-'Overall recycling rates'!$E$61/SUM('Overall recycling rates'!$E$60:$E$62)*('BTX Recycling HC'!N181+'BTX Recycling HC'!N233+'BTX Recycling HC'!N267+'BTX Recycling HC'!N106)-'Overall recycling rates'!$H$61/SUM('Overall recycling rates'!$H$60:$H$62)*('BTX Recycling HC'!N182+'BTX Recycling HC'!N234+'BTX Recycling HC'!N268+'BTX Recycling HC'!N107)-'Overall recycling rates'!$I$61/SUM('Overall recycling rates'!$I$60:$I$62)*('BTX Recycling HC'!N183+'BTX Recycling HC'!N235+'BTX Recycling HC'!N269+'BTX Recycling HC'!N108)</f>
        <v>205461.03362102786</v>
      </c>
      <c r="AV111" s="576">
        <f>AV59+AV65-'Overall recycling rates'!$G$61/SUM('Overall recycling rates'!$G$60:$G$62)*('BTX Recycling HC'!O180+'BTX Recycling HC'!O232+'BTX Recycling HC'!O266+'BTX Recycling HC'!O105)-'Overall recycling rates'!$E$61/SUM('Overall recycling rates'!$E$60:$E$62)*('BTX Recycling HC'!O181+'BTX Recycling HC'!O233+'BTX Recycling HC'!O267+'BTX Recycling HC'!O106)-'Overall recycling rates'!$H$61/SUM('Overall recycling rates'!$H$60:$H$62)*('BTX Recycling HC'!O182+'BTX Recycling HC'!O234+'BTX Recycling HC'!O268+'BTX Recycling HC'!O107)-'Overall recycling rates'!$I$61/SUM('Overall recycling rates'!$I$60:$I$62)*('BTX Recycling HC'!O183+'BTX Recycling HC'!O235+'BTX Recycling HC'!O269+'BTX Recycling HC'!O108)</f>
        <v>202881.66960325371</v>
      </c>
      <c r="AW111" s="576">
        <f>AW59+AW65-'Overall recycling rates'!$G$61/SUM('Overall recycling rates'!$G$60:$G$62)*('BTX Recycling HC'!P180+'BTX Recycling HC'!P232+'BTX Recycling HC'!P266+'BTX Recycling HC'!P105)-'Overall recycling rates'!$E$61/SUM('Overall recycling rates'!$E$60:$E$62)*('BTX Recycling HC'!P181+'BTX Recycling HC'!P233+'BTX Recycling HC'!P267+'BTX Recycling HC'!P106)-'Overall recycling rates'!$H$61/SUM('Overall recycling rates'!$H$60:$H$62)*('BTX Recycling HC'!P182+'BTX Recycling HC'!P234+'BTX Recycling HC'!P268+'BTX Recycling HC'!P107)-'Overall recycling rates'!$I$61/SUM('Overall recycling rates'!$I$60:$I$62)*('BTX Recycling HC'!P183+'BTX Recycling HC'!P235+'BTX Recycling HC'!P269+'BTX Recycling HC'!P108)</f>
        <v>200328.71264876684</v>
      </c>
      <c r="AX111" s="576">
        <f>AX59+AX65-'Overall recycling rates'!$G$61/SUM('Overall recycling rates'!$G$60:$G$62)*('BTX Recycling HC'!Q180+'BTX Recycling HC'!Q232+'BTX Recycling HC'!Q266+'BTX Recycling HC'!Q105)-'Overall recycling rates'!$E$61/SUM('Overall recycling rates'!$E$60:$E$62)*('BTX Recycling HC'!Q181+'BTX Recycling HC'!Q233+'BTX Recycling HC'!Q267+'BTX Recycling HC'!Q106)-'Overall recycling rates'!$H$61/SUM('Overall recycling rates'!$H$60:$H$62)*('BTX Recycling HC'!Q182+'BTX Recycling HC'!Q234+'BTX Recycling HC'!Q268+'BTX Recycling HC'!Q107)-'Overall recycling rates'!$I$61/SUM('Overall recycling rates'!$I$60:$I$62)*('BTX Recycling HC'!Q183+'BTX Recycling HC'!Q235+'BTX Recycling HC'!Q269+'BTX Recycling HC'!Q108)</f>
        <v>197801.10400904546</v>
      </c>
      <c r="AY111" s="576">
        <f>AY59+AY65-'Overall recycling rates'!$G$61/SUM('Overall recycling rates'!$G$60:$G$62)*('BTX Recycling HC'!R180+'BTX Recycling HC'!R232+'BTX Recycling HC'!R266+'BTX Recycling HC'!R105)-'Overall recycling rates'!$E$61/SUM('Overall recycling rates'!$E$60:$E$62)*('BTX Recycling HC'!R181+'BTX Recycling HC'!R233+'BTX Recycling HC'!R267+'BTX Recycling HC'!R106)-'Overall recycling rates'!$H$61/SUM('Overall recycling rates'!$H$60:$H$62)*('BTX Recycling HC'!R182+'BTX Recycling HC'!R234+'BTX Recycling HC'!R268+'BTX Recycling HC'!R107)-'Overall recycling rates'!$I$61/SUM('Overall recycling rates'!$I$60:$I$62)*('BTX Recycling HC'!R183+'BTX Recycling HC'!R235+'BTX Recycling HC'!R269+'BTX Recycling HC'!R108)</f>
        <v>195298.82388766779</v>
      </c>
      <c r="AZ111" s="576">
        <f>AZ59+AZ65-'Overall recycling rates'!$G$61/SUM('Overall recycling rates'!$G$60:$G$62)*('BTX Recycling HC'!S180+'BTX Recycling HC'!S232+'BTX Recycling HC'!S266+'BTX Recycling HC'!S105)-'Overall recycling rates'!$E$61/SUM('Overall recycling rates'!$E$60:$E$62)*('BTX Recycling HC'!S181+'BTX Recycling HC'!S233+'BTX Recycling HC'!S267+'BTX Recycling HC'!S106)-'Overall recycling rates'!$H$61/SUM('Overall recycling rates'!$H$60:$H$62)*('BTX Recycling HC'!S182+'BTX Recycling HC'!S234+'BTX Recycling HC'!S268+'BTX Recycling HC'!S107)-'Overall recycling rates'!$I$61/SUM('Overall recycling rates'!$I$60:$I$62)*('BTX Recycling HC'!S183+'BTX Recycling HC'!S235+'BTX Recycling HC'!S269+'BTX Recycling HC'!S108)</f>
        <v>192265.38241436539</v>
      </c>
      <c r="BA111" s="576">
        <f>BA59+BA65-'Overall recycling rates'!$G$61/SUM('Overall recycling rates'!$G$60:$G$62)*('BTX Recycling HC'!T180+'BTX Recycling HC'!T232+'BTX Recycling HC'!T266+'BTX Recycling HC'!T105)-'Overall recycling rates'!$E$61/SUM('Overall recycling rates'!$E$60:$E$62)*('BTX Recycling HC'!T181+'BTX Recycling HC'!T233+'BTX Recycling HC'!T267+'BTX Recycling HC'!T106)-'Overall recycling rates'!$H$61/SUM('Overall recycling rates'!$H$60:$H$62)*('BTX Recycling HC'!T182+'BTX Recycling HC'!T234+'BTX Recycling HC'!T268+'BTX Recycling HC'!T107)-'Overall recycling rates'!$I$61/SUM('Overall recycling rates'!$I$60:$I$62)*('BTX Recycling HC'!T183+'BTX Recycling HC'!T235+'BTX Recycling HC'!T269+'BTX Recycling HC'!T108)</f>
        <v>189267.38535361271</v>
      </c>
      <c r="BB111" s="576">
        <f>BB59+BB65-'Overall recycling rates'!$G$61/SUM('Overall recycling rates'!$G$60:$G$62)*('BTX Recycling HC'!U180+'BTX Recycling HC'!U232+'BTX Recycling HC'!U266+'BTX Recycling HC'!U105)-'Overall recycling rates'!$E$61/SUM('Overall recycling rates'!$E$60:$E$62)*('BTX Recycling HC'!U181+'BTX Recycling HC'!U233+'BTX Recycling HC'!U267+'BTX Recycling HC'!U106)-'Overall recycling rates'!$H$61/SUM('Overall recycling rates'!$H$60:$H$62)*('BTX Recycling HC'!U182+'BTX Recycling HC'!U234+'BTX Recycling HC'!U268+'BTX Recycling HC'!U107)-'Overall recycling rates'!$I$61/SUM('Overall recycling rates'!$I$60:$I$62)*('BTX Recycling HC'!U183+'BTX Recycling HC'!U235+'BTX Recycling HC'!U269+'BTX Recycling HC'!U108)</f>
        <v>186304.59128026967</v>
      </c>
      <c r="BC111" s="576">
        <f>BC59+BC65-'Overall recycling rates'!$G$61/SUM('Overall recycling rates'!$G$60:$G$62)*('BTX Recycling HC'!V180+'BTX Recycling HC'!V232+'BTX Recycling HC'!V266+'BTX Recycling HC'!V105)-'Overall recycling rates'!$E$61/SUM('Overall recycling rates'!$E$60:$E$62)*('BTX Recycling HC'!V181+'BTX Recycling HC'!V233+'BTX Recycling HC'!V267+'BTX Recycling HC'!V106)-'Overall recycling rates'!$H$61/SUM('Overall recycling rates'!$H$60:$H$62)*('BTX Recycling HC'!V182+'BTX Recycling HC'!V234+'BTX Recycling HC'!V268+'BTX Recycling HC'!V107)-'Overall recycling rates'!$I$61/SUM('Overall recycling rates'!$I$60:$I$62)*('BTX Recycling HC'!V183+'BTX Recycling HC'!V235+'BTX Recycling HC'!V269+'BTX Recycling HC'!V108)</f>
        <v>183376.82130798238</v>
      </c>
      <c r="BD111" s="576">
        <f>BD59+BD65-'Overall recycling rates'!$G$61/SUM('Overall recycling rates'!$G$60:$G$62)*('BTX Recycling HC'!W180+'BTX Recycling HC'!W232+'BTX Recycling HC'!W266+'BTX Recycling HC'!W105)-'Overall recycling rates'!$E$61/SUM('Overall recycling rates'!$E$60:$E$62)*('BTX Recycling HC'!W181+'BTX Recycling HC'!W233+'BTX Recycling HC'!W267+'BTX Recycling HC'!W106)-'Overall recycling rates'!$H$61/SUM('Overall recycling rates'!$H$60:$H$62)*('BTX Recycling HC'!W182+'BTX Recycling HC'!W234+'BTX Recycling HC'!W268+'BTX Recycling HC'!W107)-'Overall recycling rates'!$I$61/SUM('Overall recycling rates'!$I$60:$I$62)*('BTX Recycling HC'!W183+'BTX Recycling HC'!W235+'BTX Recycling HC'!W269+'BTX Recycling HC'!W108)</f>
        <v>180483.96225572846</v>
      </c>
      <c r="BE111" s="576">
        <f>BE59+BE65-'Overall recycling rates'!$G$61/SUM('Overall recycling rates'!$G$60:$G$62)*('BTX Recycling HC'!X180+'BTX Recycling HC'!X232+'BTX Recycling HC'!X266+'BTX Recycling HC'!X105)-'Overall recycling rates'!$E$61/SUM('Overall recycling rates'!$E$60:$E$62)*('BTX Recycling HC'!X181+'BTX Recycling HC'!X233+'BTX Recycling HC'!X267+'BTX Recycling HC'!X106)-'Overall recycling rates'!$H$61/SUM('Overall recycling rates'!$H$60:$H$62)*('BTX Recycling HC'!X182+'BTX Recycling HC'!X234+'BTX Recycling HC'!X268+'BTX Recycling HC'!X107)-'Overall recycling rates'!$I$61/SUM('Overall recycling rates'!$I$60:$I$62)*('BTX Recycling HC'!X183+'BTX Recycling HC'!X235+'BTX Recycling HC'!X269+'BTX Recycling HC'!X108)</f>
        <v>176676.03999925897</v>
      </c>
      <c r="BF111" s="576">
        <f>BF59+BF65-'Overall recycling rates'!$G$61/SUM('Overall recycling rates'!$G$60:$G$62)*('BTX Recycling HC'!Y180+'BTX Recycling HC'!Y232+'BTX Recycling HC'!Y266+'BTX Recycling HC'!Y105)-'Overall recycling rates'!$E$61/SUM('Overall recycling rates'!$E$60:$E$62)*('BTX Recycling HC'!Y181+'BTX Recycling HC'!Y233+'BTX Recycling HC'!Y267+'BTX Recycling HC'!Y106)-'Overall recycling rates'!$H$61/SUM('Overall recycling rates'!$H$60:$H$62)*('BTX Recycling HC'!Y182+'BTX Recycling HC'!Y234+'BTX Recycling HC'!Y268+'BTX Recycling HC'!Y107)-'Overall recycling rates'!$I$61/SUM('Overall recycling rates'!$I$60:$I$62)*('BTX Recycling HC'!Y183+'BTX Recycling HC'!Y235+'BTX Recycling HC'!Y269+'BTX Recycling HC'!Y108)</f>
        <v>172922.77407053922</v>
      </c>
      <c r="BG111" s="576">
        <f>BG59+BG65-'Overall recycling rates'!$G$61/SUM('Overall recycling rates'!$G$60:$G$62)*('BTX Recycling HC'!Z180+'BTX Recycling HC'!Z232+'BTX Recycling HC'!Z266+'BTX Recycling HC'!Z105)-'Overall recycling rates'!$E$61/SUM('Overall recycling rates'!$E$60:$E$62)*('BTX Recycling HC'!Z181+'BTX Recycling HC'!Z233+'BTX Recycling HC'!Z267+'BTX Recycling HC'!Z106)-'Overall recycling rates'!$H$61/SUM('Overall recycling rates'!$H$60:$H$62)*('BTX Recycling HC'!Z182+'BTX Recycling HC'!Z234+'BTX Recycling HC'!Z268+'BTX Recycling HC'!Z107)-'Overall recycling rates'!$I$61/SUM('Overall recycling rates'!$I$60:$I$62)*('BTX Recycling HC'!Z183+'BTX Recycling HC'!Z235+'BTX Recycling HC'!Z269+'BTX Recycling HC'!Z108)</f>
        <v>169227.1540502393</v>
      </c>
      <c r="BH111" s="576">
        <f>BH59+BH65-'Overall recycling rates'!$G$61/SUM('Overall recycling rates'!$G$60:$G$62)*('BTX Recycling HC'!AA180+'BTX Recycling HC'!AA232+'BTX Recycling HC'!AA266+'BTX Recycling HC'!AA105)-'Overall recycling rates'!$E$61/SUM('Overall recycling rates'!$E$60:$E$62)*('BTX Recycling HC'!AA181+'BTX Recycling HC'!AA233+'BTX Recycling HC'!AA267+'BTX Recycling HC'!AA106)-'Overall recycling rates'!$H$61/SUM('Overall recycling rates'!$H$60:$H$62)*('BTX Recycling HC'!AA182+'BTX Recycling HC'!AA234+'BTX Recycling HC'!AA268+'BTX Recycling HC'!AA107)-'Overall recycling rates'!$I$61/SUM('Overall recycling rates'!$I$60:$I$62)*('BTX Recycling HC'!AA183+'BTX Recycling HC'!AA235+'BTX Recycling HC'!AA269+'BTX Recycling HC'!AA108)</f>
        <v>165586.43290892238</v>
      </c>
      <c r="BI111" s="576">
        <f>BI59+BI65-'Overall recycling rates'!$G$61/SUM('Overall recycling rates'!$G$60:$G$62)*('BTX Recycling HC'!AB180+'BTX Recycling HC'!AB232+'BTX Recycling HC'!AB266+'BTX Recycling HC'!AB105)-'Overall recycling rates'!$E$61/SUM('Overall recycling rates'!$E$60:$E$62)*('BTX Recycling HC'!AB181+'BTX Recycling HC'!AB233+'BTX Recycling HC'!AB267+'BTX Recycling HC'!AB106)-'Overall recycling rates'!$H$61/SUM('Overall recycling rates'!$H$60:$H$62)*('BTX Recycling HC'!AB182+'BTX Recycling HC'!AB234+'BTX Recycling HC'!AB268+'BTX Recycling HC'!AB107)-'Overall recycling rates'!$I$61/SUM('Overall recycling rates'!$I$60:$I$62)*('BTX Recycling HC'!AB183+'BTX Recycling HC'!AB235+'BTX Recycling HC'!AB269+'BTX Recycling HC'!AB108)</f>
        <v>162000.82633944351</v>
      </c>
      <c r="BJ111" s="576">
        <f>BJ59+BJ65-'Overall recycling rates'!$G$61/SUM('Overall recycling rates'!$G$60:$G$62)*('BTX Recycling HC'!AC180+'BTX Recycling HC'!AC232+'BTX Recycling HC'!AC266+'BTX Recycling HC'!AC105)-'Overall recycling rates'!$E$61/SUM('Overall recycling rates'!$E$60:$E$62)*('BTX Recycling HC'!AC181+'BTX Recycling HC'!AC233+'BTX Recycling HC'!AC267+'BTX Recycling HC'!AC106)-'Overall recycling rates'!$H$61/SUM('Overall recycling rates'!$H$60:$H$62)*('BTX Recycling HC'!AC182+'BTX Recycling HC'!AC234+'BTX Recycling HC'!AC268+'BTX Recycling HC'!AC107)-'Overall recycling rates'!$I$61/SUM('Overall recycling rates'!$I$60:$I$62)*('BTX Recycling HC'!AC183+'BTX Recycling HC'!AC235+'BTX Recycling HC'!AC269+'BTX Recycling HC'!AC108)</f>
        <v>158279.11988713019</v>
      </c>
      <c r="BK111" s="576">
        <f>BK59+BK65-'Overall recycling rates'!$G$61/SUM('Overall recycling rates'!$G$60:$G$62)*('BTX Recycling HC'!AD180+'BTX Recycling HC'!AD232+'BTX Recycling HC'!AD266+'BTX Recycling HC'!AD105)-'Overall recycling rates'!$E$61/SUM('Overall recycling rates'!$E$60:$E$62)*('BTX Recycling HC'!AD181+'BTX Recycling HC'!AD233+'BTX Recycling HC'!AD267+'BTX Recycling HC'!AD106)-'Overall recycling rates'!$H$61/SUM('Overall recycling rates'!$H$60:$H$62)*('BTX Recycling HC'!AD182+'BTX Recycling HC'!AD234+'BTX Recycling HC'!AD268+'BTX Recycling HC'!AD107)-'Overall recycling rates'!$I$61/SUM('Overall recycling rates'!$I$60:$I$62)*('BTX Recycling HC'!AD183+'BTX Recycling HC'!AD235+'BTX Recycling HC'!AD269+'BTX Recycling HC'!AD108)</f>
        <v>154621.67962270897</v>
      </c>
      <c r="BL111" s="576">
        <f>BL59+BL65-'Overall recycling rates'!$G$61/SUM('Overall recycling rates'!$G$60:$G$62)*('BTX Recycling HC'!AE180+'BTX Recycling HC'!AE232+'BTX Recycling HC'!AE266+'BTX Recycling HC'!AE105)-'Overall recycling rates'!$E$61/SUM('Overall recycling rates'!$E$60:$E$62)*('BTX Recycling HC'!AE181+'BTX Recycling HC'!AE233+'BTX Recycling HC'!AE267+'BTX Recycling HC'!AE106)-'Overall recycling rates'!$H$61/SUM('Overall recycling rates'!$H$60:$H$62)*('BTX Recycling HC'!AE182+'BTX Recycling HC'!AE234+'BTX Recycling HC'!AE268+'BTX Recycling HC'!AE107)-'Overall recycling rates'!$I$61/SUM('Overall recycling rates'!$I$60:$I$62)*('BTX Recycling HC'!AE183+'BTX Recycling HC'!AE235+'BTX Recycling HC'!AE269+'BTX Recycling HC'!AE108)</f>
        <v>151029.37699741957</v>
      </c>
      <c r="BM111" s="576">
        <f>BM59+BM65-'Overall recycling rates'!$G$61/SUM('Overall recycling rates'!$G$60:$G$62)*('BTX Recycling HC'!AF180+'BTX Recycling HC'!AF232+'BTX Recycling HC'!AF266+'BTX Recycling HC'!AF105)-'Overall recycling rates'!$E$61/SUM('Overall recycling rates'!$E$60:$E$62)*('BTX Recycling HC'!AF181+'BTX Recycling HC'!AF233+'BTX Recycling HC'!AF267+'BTX Recycling HC'!AF106)-'Overall recycling rates'!$H$61/SUM('Overall recycling rates'!$H$60:$H$62)*('BTX Recycling HC'!AF182+'BTX Recycling HC'!AF234+'BTX Recycling HC'!AF268+'BTX Recycling HC'!AF107)-'Overall recycling rates'!$I$61/SUM('Overall recycling rates'!$I$60:$I$62)*('BTX Recycling HC'!AF183+'BTX Recycling HC'!AF235+'BTX Recycling HC'!AF269+'BTX Recycling HC'!AF108)</f>
        <v>147503.23967681814</v>
      </c>
      <c r="BN111" s="576">
        <f>BN59+BN65-'Overall recycling rates'!$G$61/SUM('Overall recycling rates'!$G$60:$G$62)*('BTX Recycling HC'!AG180+'BTX Recycling HC'!AG232+'BTX Recycling HC'!AG266+'BTX Recycling HC'!AG105)-'Overall recycling rates'!$E$61/SUM('Overall recycling rates'!$E$60:$E$62)*('BTX Recycling HC'!AG181+'BTX Recycling HC'!AG233+'BTX Recycling HC'!AG267+'BTX Recycling HC'!AG106)-'Overall recycling rates'!$H$61/SUM('Overall recycling rates'!$H$60:$H$62)*('BTX Recycling HC'!AG182+'BTX Recycling HC'!AG234+'BTX Recycling HC'!AG268+'BTX Recycling HC'!AG107)-'Overall recycling rates'!$I$61/SUM('Overall recycling rates'!$I$60:$I$62)*('BTX Recycling HC'!AG183+'BTX Recycling HC'!AG235+'BTX Recycling HC'!AG269+'BTX Recycling HC'!AG108)</f>
        <v>144044.45620244974</v>
      </c>
    </row>
    <row r="112" spans="1:90" s="62" customFormat="1" outlineLevel="1">
      <c r="A112" s="604"/>
      <c r="B112" s="58" t="s">
        <v>1170</v>
      </c>
      <c r="C112" s="233" t="s">
        <v>1420</v>
      </c>
      <c r="D112" s="579">
        <f>D60+D66-'Overall recycling rates'!$G$62/SUM('Overall recycling rates'!$G$60:$G$62)*('BTX Recycling HC'!C180+'BTX Recycling HC'!C232+'BTX Recycling HC'!C266+'BTX Recycling HC'!C105)-'Overall recycling rates'!$E$62/SUM('Overall recycling rates'!$E$60:$E$62)*('BTX Recycling HC'!C181+'BTX Recycling HC'!C233+'BTX Recycling HC'!C267+'BTX Recycling HC'!C106)-'Overall recycling rates'!$H$62/SUM('Overall recycling rates'!$H$60:$H$62)*('BTX Recycling HC'!C182+'BTX Recycling HC'!C234+'BTX Recycling HC'!C268+'BTX Recycling HC'!C107)-'Overall recycling rates'!$I$62/SUM('Overall recycling rates'!$I$60:$I$62)*('BTX Recycling HC'!C183+'BTX Recycling HC'!C235+'BTX Recycling HC'!C269+'BTX Recycling HC'!C108)</f>
        <v>1213831.4686090143</v>
      </c>
      <c r="E112" s="579">
        <f>E60+E66-'Overall recycling rates'!$G$62/SUM('Overall recycling rates'!$G$60:$G$62)*('BTX Recycling HC'!D180+'BTX Recycling HC'!D232+'BTX Recycling HC'!D266+'BTX Recycling HC'!D105)-'Overall recycling rates'!$E$62/SUM('Overall recycling rates'!$E$60:$E$62)*('BTX Recycling HC'!D181+'BTX Recycling HC'!D233+'BTX Recycling HC'!D267+'BTX Recycling HC'!D106)-'Overall recycling rates'!$H$62/SUM('Overall recycling rates'!$H$60:$H$62)*('BTX Recycling HC'!D182+'BTX Recycling HC'!D234+'BTX Recycling HC'!D268+'BTX Recycling HC'!D107)-'Overall recycling rates'!$I$62/SUM('Overall recycling rates'!$I$60:$I$62)*('BTX Recycling HC'!D183+'BTX Recycling HC'!D235+'BTX Recycling HC'!D269+'BTX Recycling HC'!D108)</f>
        <v>1204467.7552811857</v>
      </c>
      <c r="F112" s="579">
        <f>F60+F66-'Overall recycling rates'!$G$62/SUM('Overall recycling rates'!$G$60:$G$62)*('BTX Recycling HC'!E180+'BTX Recycling HC'!E232+'BTX Recycling HC'!E266+'BTX Recycling HC'!E105)-'Overall recycling rates'!$E$62/SUM('Overall recycling rates'!$E$60:$E$62)*('BTX Recycling HC'!E181+'BTX Recycling HC'!E233+'BTX Recycling HC'!E267+'BTX Recycling HC'!E106)-'Overall recycling rates'!$H$62/SUM('Overall recycling rates'!$H$60:$H$62)*('BTX Recycling HC'!E182+'BTX Recycling HC'!E234+'BTX Recycling HC'!E268+'BTX Recycling HC'!E107)-'Overall recycling rates'!$I$62/SUM('Overall recycling rates'!$I$60:$I$62)*('BTX Recycling HC'!E183+'BTX Recycling HC'!E235+'BTX Recycling HC'!E269+'BTX Recycling HC'!E108)</f>
        <v>1195071.3550187231</v>
      </c>
      <c r="G112" s="579">
        <f>G60+G66-'Overall recycling rates'!$G$62/SUM('Overall recycling rates'!$G$60:$G$62)*('BTX Recycling HC'!F180+'BTX Recycling HC'!F232+'BTX Recycling HC'!F266+'BTX Recycling HC'!F105)-'Overall recycling rates'!$E$62/SUM('Overall recycling rates'!$E$60:$E$62)*('BTX Recycling HC'!F181+'BTX Recycling HC'!F233+'BTX Recycling HC'!F267+'BTX Recycling HC'!F106)-'Overall recycling rates'!$H$62/SUM('Overall recycling rates'!$H$60:$H$62)*('BTX Recycling HC'!F182+'BTX Recycling HC'!F234+'BTX Recycling HC'!F268+'BTX Recycling HC'!F107)-'Overall recycling rates'!$I$62/SUM('Overall recycling rates'!$I$60:$I$62)*('BTX Recycling HC'!F183+'BTX Recycling HC'!F235+'BTX Recycling HC'!F269+'BTX Recycling HC'!F108)</f>
        <v>1185688.5837728293</v>
      </c>
      <c r="H112" s="579">
        <f>H60+H66-'Overall recycling rates'!$G$62/SUM('Overall recycling rates'!$G$60:$G$62)*('BTX Recycling HC'!G180+'BTX Recycling HC'!G232+'BTX Recycling HC'!G266+'BTX Recycling HC'!G105)-'Overall recycling rates'!$E$62/SUM('Overall recycling rates'!$E$60:$E$62)*('BTX Recycling HC'!G181+'BTX Recycling HC'!G233+'BTX Recycling HC'!G267+'BTX Recycling HC'!G106)-'Overall recycling rates'!$H$62/SUM('Overall recycling rates'!$H$60:$H$62)*('BTX Recycling HC'!G182+'BTX Recycling HC'!G234+'BTX Recycling HC'!G268+'BTX Recycling HC'!G107)-'Overall recycling rates'!$I$62/SUM('Overall recycling rates'!$I$60:$I$62)*('BTX Recycling HC'!G183+'BTX Recycling HC'!G235+'BTX Recycling HC'!G269+'BTX Recycling HC'!G108)</f>
        <v>1176383.322518304</v>
      </c>
      <c r="I112" s="579">
        <f>I60+I66-'Overall recycling rates'!$G$62/SUM('Overall recycling rates'!$G$60:$G$62)*('BTX Recycling HC'!H180+'BTX Recycling HC'!H232+'BTX Recycling HC'!H266+'BTX Recycling HC'!H105)-'Overall recycling rates'!$E$62/SUM('Overall recycling rates'!$E$60:$E$62)*('BTX Recycling HC'!H181+'BTX Recycling HC'!H233+'BTX Recycling HC'!H267+'BTX Recycling HC'!H106)-'Overall recycling rates'!$H$62/SUM('Overall recycling rates'!$H$60:$H$62)*('BTX Recycling HC'!H182+'BTX Recycling HC'!H234+'BTX Recycling HC'!H268+'BTX Recycling HC'!H107)-'Overall recycling rates'!$I$62/SUM('Overall recycling rates'!$I$60:$I$62)*('BTX Recycling HC'!H183+'BTX Recycling HC'!H235+'BTX Recycling HC'!H269+'BTX Recycling HC'!H108)</f>
        <v>1163730.2648813638</v>
      </c>
      <c r="J112" s="579">
        <f>J60+J66-'Overall recycling rates'!$G$62/SUM('Overall recycling rates'!$G$60:$G$62)*('BTX Recycling HC'!I180+'BTX Recycling HC'!I232+'BTX Recycling HC'!I266+'BTX Recycling HC'!I105)-'Overall recycling rates'!$E$62/SUM('Overall recycling rates'!$E$60:$E$62)*('BTX Recycling HC'!I181+'BTX Recycling HC'!I233+'BTX Recycling HC'!I267+'BTX Recycling HC'!I106)-'Overall recycling rates'!$H$62/SUM('Overall recycling rates'!$H$60:$H$62)*('BTX Recycling HC'!I182+'BTX Recycling HC'!I234+'BTX Recycling HC'!I268+'BTX Recycling HC'!I107)-'Overall recycling rates'!$I$62/SUM('Overall recycling rates'!$I$60:$I$62)*('BTX Recycling HC'!I183+'BTX Recycling HC'!I235+'BTX Recycling HC'!I269+'BTX Recycling HC'!I108)</f>
        <v>1151843.667181788</v>
      </c>
      <c r="K112" s="579">
        <f>K60+K66-'Overall recycling rates'!$G$62/SUM('Overall recycling rates'!$G$60:$G$62)*('BTX Recycling HC'!J180+'BTX Recycling HC'!J232+'BTX Recycling HC'!J266+'BTX Recycling HC'!J105)-'Overall recycling rates'!$E$62/SUM('Overall recycling rates'!$E$60:$E$62)*('BTX Recycling HC'!J181+'BTX Recycling HC'!J233+'BTX Recycling HC'!J267+'BTX Recycling HC'!J106)-'Overall recycling rates'!$H$62/SUM('Overall recycling rates'!$H$60:$H$62)*('BTX Recycling HC'!J182+'BTX Recycling HC'!J234+'BTX Recycling HC'!J268+'BTX Recycling HC'!J107)-'Overall recycling rates'!$I$62/SUM('Overall recycling rates'!$I$60:$I$62)*('BTX Recycling HC'!J183+'BTX Recycling HC'!J235+'BTX Recycling HC'!J269+'BTX Recycling HC'!J108)</f>
        <v>1140080.8022504742</v>
      </c>
      <c r="L112" s="579">
        <f>L60+L66-'Overall recycling rates'!$G$62/SUM('Overall recycling rates'!$G$60:$G$62)*('BTX Recycling HC'!K180+'BTX Recycling HC'!K232+'BTX Recycling HC'!K266+'BTX Recycling HC'!K105)-'Overall recycling rates'!$E$62/SUM('Overall recycling rates'!$E$60:$E$62)*('BTX Recycling HC'!K181+'BTX Recycling HC'!K233+'BTX Recycling HC'!K267+'BTX Recycling HC'!K106)-'Overall recycling rates'!$H$62/SUM('Overall recycling rates'!$H$60:$H$62)*('BTX Recycling HC'!K182+'BTX Recycling HC'!K234+'BTX Recycling HC'!K268+'BTX Recycling HC'!K107)-'Overall recycling rates'!$I$62/SUM('Overall recycling rates'!$I$60:$I$62)*('BTX Recycling HC'!K183+'BTX Recycling HC'!K235+'BTX Recycling HC'!K269+'BTX Recycling HC'!K108)</f>
        <v>1128429.2385623723</v>
      </c>
      <c r="M112" s="579">
        <f>M60+M66-'Overall recycling rates'!$G$62/SUM('Overall recycling rates'!$G$60:$G$62)*('BTX Recycling HC'!L180+'BTX Recycling HC'!L232+'BTX Recycling HC'!L266+'BTX Recycling HC'!L105)-'Overall recycling rates'!$E$62/SUM('Overall recycling rates'!$E$60:$E$62)*('BTX Recycling HC'!L181+'BTX Recycling HC'!L233+'BTX Recycling HC'!L267+'BTX Recycling HC'!L106)-'Overall recycling rates'!$H$62/SUM('Overall recycling rates'!$H$60:$H$62)*('BTX Recycling HC'!L182+'BTX Recycling HC'!L234+'BTX Recycling HC'!L268+'BTX Recycling HC'!L107)-'Overall recycling rates'!$I$62/SUM('Overall recycling rates'!$I$60:$I$62)*('BTX Recycling HC'!L183+'BTX Recycling HC'!L235+'BTX Recycling HC'!L269+'BTX Recycling HC'!L108)</f>
        <v>1116877.4368867362</v>
      </c>
      <c r="N112" s="579">
        <f>N60+N66-'Overall recycling rates'!$G$62/SUM('Overall recycling rates'!$G$60:$G$62)*('BTX Recycling HC'!M180+'BTX Recycling HC'!M232+'BTX Recycling HC'!M266+'BTX Recycling HC'!M105)-'Overall recycling rates'!$E$62/SUM('Overall recycling rates'!$E$60:$E$62)*('BTX Recycling HC'!M181+'BTX Recycling HC'!M233+'BTX Recycling HC'!M267+'BTX Recycling HC'!M106)-'Overall recycling rates'!$H$62/SUM('Overall recycling rates'!$H$60:$H$62)*('BTX Recycling HC'!M182+'BTX Recycling HC'!M234+'BTX Recycling HC'!M268+'BTX Recycling HC'!M107)-'Overall recycling rates'!$I$62/SUM('Overall recycling rates'!$I$60:$I$62)*('BTX Recycling HC'!M183+'BTX Recycling HC'!M235+'BTX Recycling HC'!M269+'BTX Recycling HC'!M108)</f>
        <v>1105414.8234799085</v>
      </c>
      <c r="O112" s="579">
        <f>O60+O66-'Overall recycling rates'!$G$62/SUM('Overall recycling rates'!$G$60:$G$62)*('BTX Recycling HC'!N180+'BTX Recycling HC'!N232+'BTX Recycling HC'!N266+'BTX Recycling HC'!N105)-'Overall recycling rates'!$E$62/SUM('Overall recycling rates'!$E$60:$E$62)*('BTX Recycling HC'!N181+'BTX Recycling HC'!N233+'BTX Recycling HC'!N267+'BTX Recycling HC'!N106)-'Overall recycling rates'!$H$62/SUM('Overall recycling rates'!$H$60:$H$62)*('BTX Recycling HC'!N182+'BTX Recycling HC'!N234+'BTX Recycling HC'!N268+'BTX Recycling HC'!N107)-'Overall recycling rates'!$I$62/SUM('Overall recycling rates'!$I$60:$I$62)*('BTX Recycling HC'!N183+'BTX Recycling HC'!N235+'BTX Recycling HC'!N269+'BTX Recycling HC'!N108)</f>
        <v>1092746.9969634356</v>
      </c>
      <c r="P112" s="579">
        <f>P60+P66-'Overall recycling rates'!$G$62/SUM('Overall recycling rates'!$G$60:$G$62)*('BTX Recycling HC'!O180+'BTX Recycling HC'!O232+'BTX Recycling HC'!O266+'BTX Recycling HC'!O105)-'Overall recycling rates'!$E$62/SUM('Overall recycling rates'!$E$60:$E$62)*('BTX Recycling HC'!O181+'BTX Recycling HC'!O233+'BTX Recycling HC'!O267+'BTX Recycling HC'!O106)-'Overall recycling rates'!$H$62/SUM('Overall recycling rates'!$H$60:$H$62)*('BTX Recycling HC'!O182+'BTX Recycling HC'!O234+'BTX Recycling HC'!O268+'BTX Recycling HC'!O107)-'Overall recycling rates'!$I$62/SUM('Overall recycling rates'!$I$60:$I$62)*('BTX Recycling HC'!O183+'BTX Recycling HC'!O235+'BTX Recycling HC'!O269+'BTX Recycling HC'!O108)</f>
        <v>1080071.2045294279</v>
      </c>
      <c r="Q112" s="579">
        <f>Q60+Q66-'Overall recycling rates'!$G$62/SUM('Overall recycling rates'!$G$60:$G$62)*('BTX Recycling HC'!P180+'BTX Recycling HC'!P232+'BTX Recycling HC'!P266+'BTX Recycling HC'!P105)-'Overall recycling rates'!$E$62/SUM('Overall recycling rates'!$E$60:$E$62)*('BTX Recycling HC'!P181+'BTX Recycling HC'!P233+'BTX Recycling HC'!P267+'BTX Recycling HC'!P106)-'Overall recycling rates'!$H$62/SUM('Overall recycling rates'!$H$60:$H$62)*('BTX Recycling HC'!P182+'BTX Recycling HC'!P234+'BTX Recycling HC'!P268+'BTX Recycling HC'!P107)-'Overall recycling rates'!$I$62/SUM('Overall recycling rates'!$I$60:$I$62)*('BTX Recycling HC'!P183+'BTX Recycling HC'!P235+'BTX Recycling HC'!P269+'BTX Recycling HC'!P108)</f>
        <v>1067390.7982559281</v>
      </c>
      <c r="R112" s="579">
        <f>R60+R66-'Overall recycling rates'!$G$62/SUM('Overall recycling rates'!$G$60:$G$62)*('BTX Recycling HC'!Q180+'BTX Recycling HC'!Q232+'BTX Recycling HC'!Q266+'BTX Recycling HC'!Q105)-'Overall recycling rates'!$E$62/SUM('Overall recycling rates'!$E$60:$E$62)*('BTX Recycling HC'!Q181+'BTX Recycling HC'!Q233+'BTX Recycling HC'!Q267+'BTX Recycling HC'!Q106)-'Overall recycling rates'!$H$62/SUM('Overall recycling rates'!$H$60:$H$62)*('BTX Recycling HC'!Q182+'BTX Recycling HC'!Q234+'BTX Recycling HC'!Q268+'BTX Recycling HC'!Q107)-'Overall recycling rates'!$I$62/SUM('Overall recycling rates'!$I$60:$I$62)*('BTX Recycling HC'!Q183+'BTX Recycling HC'!Q235+'BTX Recycling HC'!Q269+'BTX Recycling HC'!Q108)</f>
        <v>1054708.2377448287</v>
      </c>
      <c r="S112" s="579">
        <f>S60+S66-'Overall recycling rates'!$G$62/SUM('Overall recycling rates'!$G$60:$G$62)*('BTX Recycling HC'!R180+'BTX Recycling HC'!R232+'BTX Recycling HC'!R266+'BTX Recycling HC'!R105)-'Overall recycling rates'!$E$62/SUM('Overall recycling rates'!$E$60:$E$62)*('BTX Recycling HC'!R181+'BTX Recycling HC'!R233+'BTX Recycling HC'!R267+'BTX Recycling HC'!R106)-'Overall recycling rates'!$H$62/SUM('Overall recycling rates'!$H$60:$H$62)*('BTX Recycling HC'!R182+'BTX Recycling HC'!R234+'BTX Recycling HC'!R268+'BTX Recycling HC'!R107)-'Overall recycling rates'!$I$62/SUM('Overall recycling rates'!$I$60:$I$62)*('BTX Recycling HC'!R183+'BTX Recycling HC'!R235+'BTX Recycling HC'!R269+'BTX Recycling HC'!R108)</f>
        <v>1042027.4897572113</v>
      </c>
      <c r="T112" s="579">
        <f>T60+T66-'Overall recycling rates'!$G$62/SUM('Overall recycling rates'!$G$60:$G$62)*('BTX Recycling HC'!S180+'BTX Recycling HC'!S232+'BTX Recycling HC'!S266+'BTX Recycling HC'!S105)-'Overall recycling rates'!$E$62/SUM('Overall recycling rates'!$E$60:$E$62)*('BTX Recycling HC'!S181+'BTX Recycling HC'!S233+'BTX Recycling HC'!S267+'BTX Recycling HC'!S106)-'Overall recycling rates'!$H$62/SUM('Overall recycling rates'!$H$60:$H$62)*('BTX Recycling HC'!S182+'BTX Recycling HC'!S234+'BTX Recycling HC'!S268+'BTX Recycling HC'!S107)-'Overall recycling rates'!$I$62/SUM('Overall recycling rates'!$I$60:$I$62)*('BTX Recycling HC'!S183+'BTX Recycling HC'!S235+'BTX Recycling HC'!S269+'BTX Recycling HC'!S108)</f>
        <v>1026623.5695293727</v>
      </c>
      <c r="U112" s="579">
        <f>U60+U66-'Overall recycling rates'!$G$62/SUM('Overall recycling rates'!$G$60:$G$62)*('BTX Recycling HC'!T180+'BTX Recycling HC'!T232+'BTX Recycling HC'!T266+'BTX Recycling HC'!T105)-'Overall recycling rates'!$E$62/SUM('Overall recycling rates'!$E$60:$E$62)*('BTX Recycling HC'!T181+'BTX Recycling HC'!T233+'BTX Recycling HC'!T267+'BTX Recycling HC'!T106)-'Overall recycling rates'!$H$62/SUM('Overall recycling rates'!$H$60:$H$62)*('BTX Recycling HC'!T182+'BTX Recycling HC'!T234+'BTX Recycling HC'!T268+'BTX Recycling HC'!T107)-'Overall recycling rates'!$I$62/SUM('Overall recycling rates'!$I$60:$I$62)*('BTX Recycling HC'!T183+'BTX Recycling HC'!T235+'BTX Recycling HC'!T269+'BTX Recycling HC'!T108)</f>
        <v>1011293.1806458005</v>
      </c>
      <c r="V112" s="579">
        <f>V60+V66-'Overall recycling rates'!$G$62/SUM('Overall recycling rates'!$G$60:$G$62)*('BTX Recycling HC'!U180+'BTX Recycling HC'!U232+'BTX Recycling HC'!U266+'BTX Recycling HC'!U105)-'Overall recycling rates'!$E$62/SUM('Overall recycling rates'!$E$60:$E$62)*('BTX Recycling HC'!U181+'BTX Recycling HC'!U233+'BTX Recycling HC'!U267+'BTX Recycling HC'!U106)-'Overall recycling rates'!$H$62/SUM('Overall recycling rates'!$H$60:$H$62)*('BTX Recycling HC'!U182+'BTX Recycling HC'!U234+'BTX Recycling HC'!U268+'BTX Recycling HC'!U107)-'Overall recycling rates'!$I$62/SUM('Overall recycling rates'!$I$60:$I$62)*('BTX Recycling HC'!U183+'BTX Recycling HC'!U235+'BTX Recycling HC'!U269+'BTX Recycling HC'!U108)</f>
        <v>996038.56912828365</v>
      </c>
      <c r="W112" s="579">
        <f>W60+W66-'Overall recycling rates'!$G$62/SUM('Overall recycling rates'!$G$60:$G$62)*('BTX Recycling HC'!V180+'BTX Recycling HC'!V232+'BTX Recycling HC'!V266+'BTX Recycling HC'!V105)-'Overall recycling rates'!$E$62/SUM('Overall recycling rates'!$E$60:$E$62)*('BTX Recycling HC'!V181+'BTX Recycling HC'!V233+'BTX Recycling HC'!V267+'BTX Recycling HC'!V106)-'Overall recycling rates'!$H$62/SUM('Overall recycling rates'!$H$60:$H$62)*('BTX Recycling HC'!V182+'BTX Recycling HC'!V234+'BTX Recycling HC'!V268+'BTX Recycling HC'!V107)-'Overall recycling rates'!$I$62/SUM('Overall recycling rates'!$I$60:$I$62)*('BTX Recycling HC'!V183+'BTX Recycling HC'!V235+'BTX Recycling HC'!V269+'BTX Recycling HC'!V108)</f>
        <v>980862.61190152867</v>
      </c>
      <c r="X112" s="579">
        <f>X60+X66-'Overall recycling rates'!$G$62/SUM('Overall recycling rates'!$G$60:$G$62)*('BTX Recycling HC'!W180+'BTX Recycling HC'!W232+'BTX Recycling HC'!W266+'BTX Recycling HC'!W105)-'Overall recycling rates'!$E$62/SUM('Overall recycling rates'!$E$60:$E$62)*('BTX Recycling HC'!W181+'BTX Recycling HC'!W233+'BTX Recycling HC'!W267+'BTX Recycling HC'!W106)-'Overall recycling rates'!$H$62/SUM('Overall recycling rates'!$H$60:$H$62)*('BTX Recycling HC'!W182+'BTX Recycling HC'!W234+'BTX Recycling HC'!W268+'BTX Recycling HC'!W107)-'Overall recycling rates'!$I$62/SUM('Overall recycling rates'!$I$60:$I$62)*('BTX Recycling HC'!W183+'BTX Recycling HC'!W235+'BTX Recycling HC'!W269+'BTX Recycling HC'!W108)</f>
        <v>965768.84798447276</v>
      </c>
      <c r="Y112" s="579">
        <f>Y60+Y66-'Overall recycling rates'!$G$62/SUM('Overall recycling rates'!$G$60:$G$62)*('BTX Recycling HC'!X180+'BTX Recycling HC'!X232+'BTX Recycling HC'!X266+'BTX Recycling HC'!X105)-'Overall recycling rates'!$E$62/SUM('Overall recycling rates'!$E$60:$E$62)*('BTX Recycling HC'!X181+'BTX Recycling HC'!X233+'BTX Recycling HC'!X267+'BTX Recycling HC'!X106)-'Overall recycling rates'!$H$62/SUM('Overall recycling rates'!$H$60:$H$62)*('BTX Recycling HC'!X182+'BTX Recycling HC'!X234+'BTX Recycling HC'!X268+'BTX Recycling HC'!X107)-'Overall recycling rates'!$I$62/SUM('Overall recycling rates'!$I$60:$I$62)*('BTX Recycling HC'!X183+'BTX Recycling HC'!X235+'BTX Recycling HC'!X269+'BTX Recycling HC'!X108)</f>
        <v>948025.01561069733</v>
      </c>
      <c r="Z112" s="579">
        <f>Z60+Z66-'Overall recycling rates'!$G$62/SUM('Overall recycling rates'!$G$60:$G$62)*('BTX Recycling HC'!Y180+'BTX Recycling HC'!Y232+'BTX Recycling HC'!Y266+'BTX Recycling HC'!Y105)-'Overall recycling rates'!$E$62/SUM('Overall recycling rates'!$E$60:$E$62)*('BTX Recycling HC'!Y181+'BTX Recycling HC'!Y233+'BTX Recycling HC'!Y267+'BTX Recycling HC'!Y106)-'Overall recycling rates'!$H$62/SUM('Overall recycling rates'!$H$60:$H$62)*('BTX Recycling HC'!Y182+'BTX Recycling HC'!Y234+'BTX Recycling HC'!Y268+'BTX Recycling HC'!Y107)-'Overall recycling rates'!$I$62/SUM('Overall recycling rates'!$I$60:$I$62)*('BTX Recycling HC'!Y183+'BTX Recycling HC'!Y235+'BTX Recycling HC'!Y269+'BTX Recycling HC'!Y108)</f>
        <v>930446.62597734435</v>
      </c>
      <c r="AA112" s="579">
        <f>AA60+AA66-'Overall recycling rates'!$G$62/SUM('Overall recycling rates'!$G$60:$G$62)*('BTX Recycling HC'!Z180+'BTX Recycling HC'!Z232+'BTX Recycling HC'!Z266+'BTX Recycling HC'!Z105)-'Overall recycling rates'!$E$62/SUM('Overall recycling rates'!$E$60:$E$62)*('BTX Recycling HC'!Z181+'BTX Recycling HC'!Z233+'BTX Recycling HC'!Z267+'BTX Recycling HC'!Z106)-'Overall recycling rates'!$H$62/SUM('Overall recycling rates'!$H$60:$H$62)*('BTX Recycling HC'!Z182+'BTX Recycling HC'!Z234+'BTX Recycling HC'!Z268+'BTX Recycling HC'!Z107)-'Overall recycling rates'!$I$62/SUM('Overall recycling rates'!$I$60:$I$62)*('BTX Recycling HC'!Z183+'BTX Recycling HC'!Z235+'BTX Recycling HC'!Z269+'BTX Recycling HC'!Z108)</f>
        <v>913040.51726993651</v>
      </c>
      <c r="AB112" s="579">
        <f>AB60+AB66-'Overall recycling rates'!$G$62/SUM('Overall recycling rates'!$G$60:$G$62)*('BTX Recycling HC'!AA180+'BTX Recycling HC'!AA232+'BTX Recycling HC'!AA266+'BTX Recycling HC'!AA105)-'Overall recycling rates'!$E$62/SUM('Overall recycling rates'!$E$60:$E$62)*('BTX Recycling HC'!AA181+'BTX Recycling HC'!AA233+'BTX Recycling HC'!AA267+'BTX Recycling HC'!AA106)-'Overall recycling rates'!$H$62/SUM('Overall recycling rates'!$H$60:$H$62)*('BTX Recycling HC'!AA182+'BTX Recycling HC'!AA234+'BTX Recycling HC'!AA268+'BTX Recycling HC'!AA107)-'Overall recycling rates'!$I$62/SUM('Overall recycling rates'!$I$60:$I$62)*('BTX Recycling HC'!AA183+'BTX Recycling HC'!AA235+'BTX Recycling HC'!AA269+'BTX Recycling HC'!AA108)</f>
        <v>895809.71010449796</v>
      </c>
      <c r="AC112" s="579">
        <f>AC60+AC66-'Overall recycling rates'!$G$62/SUM('Overall recycling rates'!$G$60:$G$62)*('BTX Recycling HC'!AB180+'BTX Recycling HC'!AB232+'BTX Recycling HC'!AB266+'BTX Recycling HC'!AB105)-'Overall recycling rates'!$E$62/SUM('Overall recycling rates'!$E$60:$E$62)*('BTX Recycling HC'!AB181+'BTX Recycling HC'!AB233+'BTX Recycling HC'!AB267+'BTX Recycling HC'!AB106)-'Overall recycling rates'!$H$62/SUM('Overall recycling rates'!$H$60:$H$62)*('BTX Recycling HC'!AB182+'BTX Recycling HC'!AB234+'BTX Recycling HC'!AB268+'BTX Recycling HC'!AB107)-'Overall recycling rates'!$I$62/SUM('Overall recycling rates'!$I$60:$I$62)*('BTX Recycling HC'!AB183+'BTX Recycling HC'!AB235+'BTX Recycling HC'!AB269+'BTX Recycling HC'!AB108)</f>
        <v>878760.73748490447</v>
      </c>
      <c r="AD112" s="579">
        <f>AD60+AD66-'Overall recycling rates'!$G$62/SUM('Overall recycling rates'!$G$60:$G$62)*('BTX Recycling HC'!AC180+'BTX Recycling HC'!AC232+'BTX Recycling HC'!AC266+'BTX Recycling HC'!AC105)-'Overall recycling rates'!$E$62/SUM('Overall recycling rates'!$E$60:$E$62)*('BTX Recycling HC'!AC181+'BTX Recycling HC'!AC233+'BTX Recycling HC'!AC267+'BTX Recycling HC'!AC106)-'Overall recycling rates'!$H$62/SUM('Overall recycling rates'!$H$60:$H$62)*('BTX Recycling HC'!AC182+'BTX Recycling HC'!AC234+'BTX Recycling HC'!AC268+'BTX Recycling HC'!AC107)-'Overall recycling rates'!$I$62/SUM('Overall recycling rates'!$I$60:$I$62)*('BTX Recycling HC'!AC183+'BTX Recycling HC'!AC235+'BTX Recycling HC'!AC269+'BTX Recycling HC'!AC108)</f>
        <v>861019.77286046965</v>
      </c>
      <c r="AE112" s="579">
        <f>AE60+AE66-'Overall recycling rates'!$G$62/SUM('Overall recycling rates'!$G$60:$G$62)*('BTX Recycling HC'!AD180+'BTX Recycling HC'!AD232+'BTX Recycling HC'!AD266+'BTX Recycling HC'!AD105)-'Overall recycling rates'!$E$62/SUM('Overall recycling rates'!$E$60:$E$62)*('BTX Recycling HC'!AD181+'BTX Recycling HC'!AD233+'BTX Recycling HC'!AD267+'BTX Recycling HC'!AD106)-'Overall recycling rates'!$H$62/SUM('Overall recycling rates'!$H$60:$H$62)*('BTX Recycling HC'!AD182+'BTX Recycling HC'!AD234+'BTX Recycling HC'!AD268+'BTX Recycling HC'!AD107)-'Overall recycling rates'!$I$62/SUM('Overall recycling rates'!$I$60:$I$62)*('BTX Recycling HC'!AD183+'BTX Recycling HC'!AD235+'BTX Recycling HC'!AD269+'BTX Recycling HC'!AD108)</f>
        <v>843536.48200484412</v>
      </c>
      <c r="AF112" s="579">
        <f>AF60+AF66-'Overall recycling rates'!$G$62/SUM('Overall recycling rates'!$G$60:$G$62)*('BTX Recycling HC'!AE180+'BTX Recycling HC'!AE232+'BTX Recycling HC'!AE266+'BTX Recycling HC'!AE105)-'Overall recycling rates'!$E$62/SUM('Overall recycling rates'!$E$60:$E$62)*('BTX Recycling HC'!AE181+'BTX Recycling HC'!AE233+'BTX Recycling HC'!AE267+'BTX Recycling HC'!AE106)-'Overall recycling rates'!$H$62/SUM('Overall recycling rates'!$H$60:$H$62)*('BTX Recycling HC'!AE182+'BTX Recycling HC'!AE234+'BTX Recycling HC'!AE268+'BTX Recycling HC'!AE107)-'Overall recycling rates'!$I$62/SUM('Overall recycling rates'!$I$60:$I$62)*('BTX Recycling HC'!AE183+'BTX Recycling HC'!AE235+'BTX Recycling HC'!AE269+'BTX Recycling HC'!AE108)</f>
        <v>826324.22745597118</v>
      </c>
      <c r="AG112" s="579">
        <f>AG60+AG66-'Overall recycling rates'!$G$62/SUM('Overall recycling rates'!$G$60:$G$62)*('BTX Recycling HC'!AF180+'BTX Recycling HC'!AF232+'BTX Recycling HC'!AF266+'BTX Recycling HC'!AF105)-'Overall recycling rates'!$E$62/SUM('Overall recycling rates'!$E$60:$E$62)*('BTX Recycling HC'!AF181+'BTX Recycling HC'!AF233+'BTX Recycling HC'!AF267+'BTX Recycling HC'!AF106)-'Overall recycling rates'!$H$62/SUM('Overall recycling rates'!$H$60:$H$62)*('BTX Recycling HC'!AF182+'BTX Recycling HC'!AF234+'BTX Recycling HC'!AF268+'BTX Recycling HC'!AF107)-'Overall recycling rates'!$I$62/SUM('Overall recycling rates'!$I$60:$I$62)*('BTX Recycling HC'!AF183+'BTX Recycling HC'!AF235+'BTX Recycling HC'!AF269+'BTX Recycling HC'!AF108)</f>
        <v>809397.97745757457</v>
      </c>
      <c r="AH112" s="579">
        <f>AH60+AH66-'Overall recycling rates'!$G$62/SUM('Overall recycling rates'!$G$60:$G$62)*('BTX Recycling HC'!AG180+'BTX Recycling HC'!AG232+'BTX Recycling HC'!AG266+'BTX Recycling HC'!AG105)-'Overall recycling rates'!$E$62/SUM('Overall recycling rates'!$E$60:$E$62)*('BTX Recycling HC'!AG181+'BTX Recycling HC'!AG233+'BTX Recycling HC'!AG267+'BTX Recycling HC'!AG106)-'Overall recycling rates'!$H$62/SUM('Overall recycling rates'!$H$60:$H$62)*('BTX Recycling HC'!AG182+'BTX Recycling HC'!AG234+'BTX Recycling HC'!AG268+'BTX Recycling HC'!AG107)-'Overall recycling rates'!$I$62/SUM('Overall recycling rates'!$I$60:$I$62)*('BTX Recycling HC'!AG183+'BTX Recycling HC'!AG235+'BTX Recycling HC'!AG269+'BTX Recycling HC'!AG108)</f>
        <v>792774.35635220422</v>
      </c>
      <c r="AI112" s="579"/>
      <c r="AJ112" s="579">
        <f>AJ60+AJ66-'Overall recycling rates'!$G$62/SUM('Overall recycling rates'!$G$60:$G$62)*('BTX Recycling HC'!C180+'BTX Recycling HC'!C232+'BTX Recycling HC'!C266+'BTX Recycling HC'!C105)-'Overall recycling rates'!$E$62/SUM('Overall recycling rates'!$E$60:$E$62)*('BTX Recycling HC'!C181+'BTX Recycling HC'!C233+'BTX Recycling HC'!C267+'BTX Recycling HC'!C106)-'Overall recycling rates'!$H$62/SUM('Overall recycling rates'!$H$60:$H$62)*('BTX Recycling HC'!C182+'BTX Recycling HC'!C234+'BTX Recycling HC'!C268+'BTX Recycling HC'!C107)-'Overall recycling rates'!$I$62/SUM('Overall recycling rates'!$I$60:$I$62)*('BTX Recycling HC'!C183+'BTX Recycling HC'!C235+'BTX Recycling HC'!C269+'BTX Recycling HC'!C108)</f>
        <v>1213831.4686090143</v>
      </c>
      <c r="AK112" s="579">
        <f>AK60+AK66-'Overall recycling rates'!$G$62/SUM('Overall recycling rates'!$G$60:$G$62)*('BTX Recycling HC'!D180+'BTX Recycling HC'!D232+'BTX Recycling HC'!D266+'BTX Recycling HC'!D105)-'Overall recycling rates'!$E$62/SUM('Overall recycling rates'!$E$60:$E$62)*('BTX Recycling HC'!D181+'BTX Recycling HC'!D233+'BTX Recycling HC'!D267+'BTX Recycling HC'!D106)-'Overall recycling rates'!$H$62/SUM('Overall recycling rates'!$H$60:$H$62)*('BTX Recycling HC'!D182+'BTX Recycling HC'!D234+'BTX Recycling HC'!D268+'BTX Recycling HC'!D107)-'Overall recycling rates'!$I$62/SUM('Overall recycling rates'!$I$60:$I$62)*('BTX Recycling HC'!D183+'BTX Recycling HC'!D235+'BTX Recycling HC'!D269+'BTX Recycling HC'!D108)</f>
        <v>1208470.9328587789</v>
      </c>
      <c r="AL112" s="579">
        <f>AL60+AL66-'Overall recycling rates'!$G$62/SUM('Overall recycling rates'!$G$60:$G$62)*('BTX Recycling HC'!E180+'BTX Recycling HC'!E232+'BTX Recycling HC'!E266+'BTX Recycling HC'!E105)-'Overall recycling rates'!$E$62/SUM('Overall recycling rates'!$E$60:$E$62)*('BTX Recycling HC'!E181+'BTX Recycling HC'!E233+'BTX Recycling HC'!E267+'BTX Recycling HC'!E106)-'Overall recycling rates'!$H$62/SUM('Overall recycling rates'!$H$60:$H$62)*('BTX Recycling HC'!E182+'BTX Recycling HC'!E234+'BTX Recycling HC'!E268+'BTX Recycling HC'!E107)-'Overall recycling rates'!$I$62/SUM('Overall recycling rates'!$I$60:$I$62)*('BTX Recycling HC'!E183+'BTX Recycling HC'!E235+'BTX Recycling HC'!E269+'BTX Recycling HC'!E108)</f>
        <v>1203072.5781219597</v>
      </c>
      <c r="AM112" s="579">
        <f>AM60+AM66-'Overall recycling rates'!$G$62/SUM('Overall recycling rates'!$G$60:$G$62)*('BTX Recycling HC'!F180+'BTX Recycling HC'!F232+'BTX Recycling HC'!F266+'BTX Recycling HC'!F105)-'Overall recycling rates'!$E$62/SUM('Overall recycling rates'!$E$60:$E$62)*('BTX Recycling HC'!F181+'BTX Recycling HC'!F233+'BTX Recycling HC'!F267+'BTX Recycling HC'!F106)-'Overall recycling rates'!$H$62/SUM('Overall recycling rates'!$H$60:$H$62)*('BTX Recycling HC'!F182+'BTX Recycling HC'!F234+'BTX Recycling HC'!F268+'BTX Recycling HC'!F107)-'Overall recycling rates'!$I$62/SUM('Overall recycling rates'!$I$60:$I$62)*('BTX Recycling HC'!F183+'BTX Recycling HC'!F235+'BTX Recycling HC'!F269+'BTX Recycling HC'!F108)</f>
        <v>1197682.4247625337</v>
      </c>
      <c r="AN112" s="579">
        <f>AN60+AN66-'Overall recycling rates'!$G$62/SUM('Overall recycling rates'!$G$60:$G$62)*('BTX Recycling HC'!G180+'BTX Recycling HC'!G232+'BTX Recycling HC'!G266+'BTX Recycling HC'!G105)-'Overall recycling rates'!$E$62/SUM('Overall recycling rates'!$E$60:$E$62)*('BTX Recycling HC'!G181+'BTX Recycling HC'!G233+'BTX Recycling HC'!G267+'BTX Recycling HC'!G106)-'Overall recycling rates'!$H$62/SUM('Overall recycling rates'!$H$60:$H$62)*('BTX Recycling HC'!G182+'BTX Recycling HC'!G234+'BTX Recycling HC'!G268+'BTX Recycling HC'!G107)-'Overall recycling rates'!$I$62/SUM('Overall recycling rates'!$I$60:$I$62)*('BTX Recycling HC'!G183+'BTX Recycling HC'!G235+'BTX Recycling HC'!G269+'BTX Recycling HC'!G108)</f>
        <v>1192364.0630365829</v>
      </c>
      <c r="AO112" s="579">
        <f>AO60+AO66-'Overall recycling rates'!$G$62/SUM('Overall recycling rates'!$G$60:$G$62)*('BTX Recycling HC'!H180+'BTX Recycling HC'!H232+'BTX Recycling HC'!H266+'BTX Recycling HC'!H105)-'Overall recycling rates'!$E$62/SUM('Overall recycling rates'!$E$60:$E$62)*('BTX Recycling HC'!H181+'BTX Recycling HC'!H233+'BTX Recycling HC'!H267+'BTX Recycling HC'!H106)-'Overall recycling rates'!$H$62/SUM('Overall recycling rates'!$H$60:$H$62)*('BTX Recycling HC'!H182+'BTX Recycling HC'!H234+'BTX Recycling HC'!H268+'BTX Recycling HC'!H107)-'Overall recycling rates'!$I$62/SUM('Overall recycling rates'!$I$60:$I$62)*('BTX Recycling HC'!H183+'BTX Recycling HC'!H235+'BTX Recycling HC'!H269+'BTX Recycling HC'!H108)</f>
        <v>1183633.7231631088</v>
      </c>
      <c r="AP112" s="579">
        <f>AP60+AP66-'Overall recycling rates'!$G$62/SUM('Overall recycling rates'!$G$60:$G$62)*('BTX Recycling HC'!I180+'BTX Recycling HC'!I232+'BTX Recycling HC'!I266+'BTX Recycling HC'!I105)-'Overall recycling rates'!$E$62/SUM('Overall recycling rates'!$E$60:$E$62)*('BTX Recycling HC'!I181+'BTX Recycling HC'!I233+'BTX Recycling HC'!I267+'BTX Recycling HC'!I106)-'Overall recycling rates'!$H$62/SUM('Overall recycling rates'!$H$60:$H$62)*('BTX Recycling HC'!I182+'BTX Recycling HC'!I234+'BTX Recycling HC'!I268+'BTX Recycling HC'!I107)-'Overall recycling rates'!$I$62/SUM('Overall recycling rates'!$I$60:$I$62)*('BTX Recycling HC'!I183+'BTX Recycling HC'!I235+'BTX Recycling HC'!I269+'BTX Recycling HC'!I108)</f>
        <v>1175651.554970874</v>
      </c>
      <c r="AQ112" s="579">
        <f>AQ60+AQ66-'Overall recycling rates'!$G$62/SUM('Overall recycling rates'!$G$60:$G$62)*('BTX Recycling HC'!J180+'BTX Recycling HC'!J232+'BTX Recycling HC'!J266+'BTX Recycling HC'!J105)-'Overall recycling rates'!$E$62/SUM('Overall recycling rates'!$E$60:$E$62)*('BTX Recycling HC'!J181+'BTX Recycling HC'!J233+'BTX Recycling HC'!J267+'BTX Recycling HC'!J106)-'Overall recycling rates'!$H$62/SUM('Overall recycling rates'!$H$60:$H$62)*('BTX Recycling HC'!J182+'BTX Recycling HC'!J234+'BTX Recycling HC'!J268+'BTX Recycling HC'!J107)-'Overall recycling rates'!$I$62/SUM('Overall recycling rates'!$I$60:$I$62)*('BTX Recycling HC'!J183+'BTX Recycling HC'!J235+'BTX Recycling HC'!J269+'BTX Recycling HC'!J108)</f>
        <v>1167767.7431252729</v>
      </c>
      <c r="AR112" s="579">
        <f>AR60+AR66-'Overall recycling rates'!$G$62/SUM('Overall recycling rates'!$G$60:$G$62)*('BTX Recycling HC'!K180+'BTX Recycling HC'!K232+'BTX Recycling HC'!K266+'BTX Recycling HC'!K105)-'Overall recycling rates'!$E$62/SUM('Overall recycling rates'!$E$60:$E$62)*('BTX Recycling HC'!K181+'BTX Recycling HC'!K233+'BTX Recycling HC'!K267+'BTX Recycling HC'!K106)-'Overall recycling rates'!$H$62/SUM('Overall recycling rates'!$H$60:$H$62)*('BTX Recycling HC'!K182+'BTX Recycling HC'!K234+'BTX Recycling HC'!K268+'BTX Recycling HC'!K107)-'Overall recycling rates'!$I$62/SUM('Overall recycling rates'!$I$60:$I$62)*('BTX Recycling HC'!K183+'BTX Recycling HC'!K235+'BTX Recycling HC'!K269+'BTX Recycling HC'!K108)</f>
        <v>1159969.878319829</v>
      </c>
      <c r="AS112" s="579">
        <f>AS60+AS66-'Overall recycling rates'!$G$62/SUM('Overall recycling rates'!$G$60:$G$62)*('BTX Recycling HC'!L180+'BTX Recycling HC'!L232+'BTX Recycling HC'!L266+'BTX Recycling HC'!L105)-'Overall recycling rates'!$E$62/SUM('Overall recycling rates'!$E$60:$E$62)*('BTX Recycling HC'!L181+'BTX Recycling HC'!L233+'BTX Recycling HC'!L267+'BTX Recycling HC'!L106)-'Overall recycling rates'!$H$62/SUM('Overall recycling rates'!$H$60:$H$62)*('BTX Recycling HC'!L182+'BTX Recycling HC'!L234+'BTX Recycling HC'!L268+'BTX Recycling HC'!L107)-'Overall recycling rates'!$I$62/SUM('Overall recycling rates'!$I$60:$I$62)*('BTX Recycling HC'!L183+'BTX Recycling HC'!L235+'BTX Recycling HC'!L269+'BTX Recycling HC'!L108)</f>
        <v>1152246.4451126594</v>
      </c>
      <c r="AT112" s="579">
        <f>AT60+AT66-'Overall recycling rates'!$G$62/SUM('Overall recycling rates'!$G$60:$G$62)*('BTX Recycling HC'!M180+'BTX Recycling HC'!M232+'BTX Recycling HC'!M266+'BTX Recycling HC'!M105)-'Overall recycling rates'!$E$62/SUM('Overall recycling rates'!$E$60:$E$62)*('BTX Recycling HC'!M181+'BTX Recycling HC'!M233+'BTX Recycling HC'!M267+'BTX Recycling HC'!M106)-'Overall recycling rates'!$H$62/SUM('Overall recycling rates'!$H$60:$H$62)*('BTX Recycling HC'!M182+'BTX Recycling HC'!M234+'BTX Recycling HC'!M268+'BTX Recycling HC'!M107)-'Overall recycling rates'!$I$62/SUM('Overall recycling rates'!$I$60:$I$62)*('BTX Recycling HC'!M183+'BTX Recycling HC'!M235+'BTX Recycling HC'!M269+'BTX Recycling HC'!M108)</f>
        <v>1144586.8950934936</v>
      </c>
      <c r="AU112" s="579">
        <f>AU60+AU66-'Overall recycling rates'!$G$62/SUM('Overall recycling rates'!$G$60:$G$62)*('BTX Recycling HC'!N180+'BTX Recycling HC'!N232+'BTX Recycling HC'!N266+'BTX Recycling HC'!N105)-'Overall recycling rates'!$E$62/SUM('Overall recycling rates'!$E$60:$E$62)*('BTX Recycling HC'!N181+'BTX Recycling HC'!N233+'BTX Recycling HC'!N267+'BTX Recycling HC'!N106)-'Overall recycling rates'!$H$62/SUM('Overall recycling rates'!$H$60:$H$62)*('BTX Recycling HC'!N182+'BTX Recycling HC'!N234+'BTX Recycling HC'!N268+'BTX Recycling HC'!N107)-'Overall recycling rates'!$I$62/SUM('Overall recycling rates'!$I$60:$I$62)*('BTX Recycling HC'!N183+'BTX Recycling HC'!N235+'BTX Recycling HC'!N269+'BTX Recycling HC'!N108)</f>
        <v>1135582.7605766279</v>
      </c>
      <c r="AV112" s="579">
        <f>AV60+AV66-'Overall recycling rates'!$G$62/SUM('Overall recycling rates'!$G$60:$G$62)*('BTX Recycling HC'!O180+'BTX Recycling HC'!O232+'BTX Recycling HC'!O266+'BTX Recycling HC'!O105)-'Overall recycling rates'!$E$62/SUM('Overall recycling rates'!$E$60:$E$62)*('BTX Recycling HC'!O181+'BTX Recycling HC'!O233+'BTX Recycling HC'!O267+'BTX Recycling HC'!O106)-'Overall recycling rates'!$H$62/SUM('Overall recycling rates'!$H$60:$H$62)*('BTX Recycling HC'!O182+'BTX Recycling HC'!O234+'BTX Recycling HC'!O268+'BTX Recycling HC'!O107)-'Overall recycling rates'!$I$62/SUM('Overall recycling rates'!$I$60:$I$62)*('BTX Recycling HC'!O183+'BTX Recycling HC'!O235+'BTX Recycling HC'!O269+'BTX Recycling HC'!O108)</f>
        <v>1126526.1657402283</v>
      </c>
      <c r="AW112" s="579">
        <f>AW60+AW66-'Overall recycling rates'!$G$62/SUM('Overall recycling rates'!$G$60:$G$62)*('BTX Recycling HC'!P180+'BTX Recycling HC'!P232+'BTX Recycling HC'!P266+'BTX Recycling HC'!P105)-'Overall recycling rates'!$E$62/SUM('Overall recycling rates'!$E$60:$E$62)*('BTX Recycling HC'!P181+'BTX Recycling HC'!P233+'BTX Recycling HC'!P267+'BTX Recycling HC'!P106)-'Overall recycling rates'!$H$62/SUM('Overall recycling rates'!$H$60:$H$62)*('BTX Recycling HC'!P182+'BTX Recycling HC'!P234+'BTX Recycling HC'!P268+'BTX Recycling HC'!P107)-'Overall recycling rates'!$I$62/SUM('Overall recycling rates'!$I$60:$I$62)*('BTX Recycling HC'!P183+'BTX Recycling HC'!P235+'BTX Recycling HC'!P269+'BTX Recycling HC'!P108)</f>
        <v>1117420.8526880851</v>
      </c>
      <c r="AX112" s="579">
        <f>AX60+AX66-'Overall recycling rates'!$G$62/SUM('Overall recycling rates'!$G$60:$G$62)*('BTX Recycling HC'!Q180+'BTX Recycling HC'!Q232+'BTX Recycling HC'!Q266+'BTX Recycling HC'!Q105)-'Overall recycling rates'!$E$62/SUM('Overall recycling rates'!$E$60:$E$62)*('BTX Recycling HC'!Q181+'BTX Recycling HC'!Q233+'BTX Recycling HC'!Q267+'BTX Recycling HC'!Q106)-'Overall recycling rates'!$H$62/SUM('Overall recycling rates'!$H$60:$H$62)*('BTX Recycling HC'!Q182+'BTX Recycling HC'!Q234+'BTX Recycling HC'!Q268+'BTX Recycling HC'!Q107)-'Overall recycling rates'!$I$62/SUM('Overall recycling rates'!$I$60:$I$62)*('BTX Recycling HC'!Q183+'BTX Recycling HC'!Q235+'BTX Recycling HC'!Q269+'BTX Recycling HC'!Q108)</f>
        <v>1108269.6680931533</v>
      </c>
      <c r="AY112" s="579">
        <f>AY60+AY66-'Overall recycling rates'!$G$62/SUM('Overall recycling rates'!$G$60:$G$62)*('BTX Recycling HC'!R180+'BTX Recycling HC'!R232+'BTX Recycling HC'!R266+'BTX Recycling HC'!R105)-'Overall recycling rates'!$E$62/SUM('Overall recycling rates'!$E$60:$E$62)*('BTX Recycling HC'!R181+'BTX Recycling HC'!R233+'BTX Recycling HC'!R267+'BTX Recycling HC'!R106)-'Overall recycling rates'!$H$62/SUM('Overall recycling rates'!$H$60:$H$62)*('BTX Recycling HC'!R182+'BTX Recycling HC'!R234+'BTX Recycling HC'!R268+'BTX Recycling HC'!R107)-'Overall recycling rates'!$I$62/SUM('Overall recycling rates'!$I$60:$I$62)*('BTX Recycling HC'!R183+'BTX Recycling HC'!R235+'BTX Recycling HC'!R269+'BTX Recycling HC'!R108)</f>
        <v>1099076.9628531749</v>
      </c>
      <c r="AZ112" s="579">
        <f>AZ60+AZ66-'Overall recycling rates'!$G$62/SUM('Overall recycling rates'!$G$60:$G$62)*('BTX Recycling HC'!S180+'BTX Recycling HC'!S232+'BTX Recycling HC'!S266+'BTX Recycling HC'!S105)-'Overall recycling rates'!$E$62/SUM('Overall recycling rates'!$E$60:$E$62)*('BTX Recycling HC'!S181+'BTX Recycling HC'!S233+'BTX Recycling HC'!S267+'BTX Recycling HC'!S106)-'Overall recycling rates'!$H$62/SUM('Overall recycling rates'!$H$60:$H$62)*('BTX Recycling HC'!S182+'BTX Recycling HC'!S234+'BTX Recycling HC'!S268+'BTX Recycling HC'!S107)-'Overall recycling rates'!$I$62/SUM('Overall recycling rates'!$I$60:$I$62)*('BTX Recycling HC'!S183+'BTX Recycling HC'!S235+'BTX Recycling HC'!S269+'BTX Recycling HC'!S108)</f>
        <v>1086959.4071640058</v>
      </c>
      <c r="BA112" s="579">
        <f>BA60+BA66-'Overall recycling rates'!$G$62/SUM('Overall recycling rates'!$G$60:$G$62)*('BTX Recycling HC'!T180+'BTX Recycling HC'!T232+'BTX Recycling HC'!T266+'BTX Recycling HC'!T105)-'Overall recycling rates'!$E$62/SUM('Overall recycling rates'!$E$60:$E$62)*('BTX Recycling HC'!T181+'BTX Recycling HC'!T233+'BTX Recycling HC'!T267+'BTX Recycling HC'!T106)-'Overall recycling rates'!$H$62/SUM('Overall recycling rates'!$H$60:$H$62)*('BTX Recycling HC'!T182+'BTX Recycling HC'!T234+'BTX Recycling HC'!T268+'BTX Recycling HC'!T107)-'Overall recycling rates'!$I$62/SUM('Overall recycling rates'!$I$60:$I$62)*('BTX Recycling HC'!T183+'BTX Recycling HC'!T235+'BTX Recycling HC'!T269+'BTX Recycling HC'!T108)</f>
        <v>1074855.319326797</v>
      </c>
      <c r="BB112" s="579">
        <f>BB60+BB66-'Overall recycling rates'!$G$62/SUM('Overall recycling rates'!$G$60:$G$62)*('BTX Recycling HC'!U180+'BTX Recycling HC'!U232+'BTX Recycling HC'!U266+'BTX Recycling HC'!U105)-'Overall recycling rates'!$E$62/SUM('Overall recycling rates'!$E$60:$E$62)*('BTX Recycling HC'!U181+'BTX Recycling HC'!U233+'BTX Recycling HC'!U267+'BTX Recycling HC'!U106)-'Overall recycling rates'!$H$62/SUM('Overall recycling rates'!$H$60:$H$62)*('BTX Recycling HC'!U182+'BTX Recycling HC'!U234+'BTX Recycling HC'!U268+'BTX Recycling HC'!U107)-'Overall recycling rates'!$I$62/SUM('Overall recycling rates'!$I$60:$I$62)*('BTX Recycling HC'!U183+'BTX Recycling HC'!U235+'BTX Recycling HC'!U269+'BTX Recycling HC'!U108)</f>
        <v>1062767.7096197007</v>
      </c>
      <c r="BC112" s="579">
        <f>BC60+BC66-'Overall recycling rates'!$G$62/SUM('Overall recycling rates'!$G$60:$G$62)*('BTX Recycling HC'!V180+'BTX Recycling HC'!V232+'BTX Recycling HC'!V266+'BTX Recycling HC'!V105)-'Overall recycling rates'!$E$62/SUM('Overall recycling rates'!$E$60:$E$62)*('BTX Recycling HC'!V181+'BTX Recycling HC'!V233+'BTX Recycling HC'!V267+'BTX Recycling HC'!V106)-'Overall recycling rates'!$H$62/SUM('Overall recycling rates'!$H$60:$H$62)*('BTX Recycling HC'!V182+'BTX Recycling HC'!V234+'BTX Recycling HC'!V268+'BTX Recycling HC'!V107)-'Overall recycling rates'!$I$62/SUM('Overall recycling rates'!$I$60:$I$62)*('BTX Recycling HC'!V183+'BTX Recycling HC'!V235+'BTX Recycling HC'!V269+'BTX Recycling HC'!V108)</f>
        <v>1050700.2108337507</v>
      </c>
      <c r="BD112" s="579">
        <f>BD60+BD66-'Overall recycling rates'!$G$62/SUM('Overall recycling rates'!$G$60:$G$62)*('BTX Recycling HC'!W180+'BTX Recycling HC'!W232+'BTX Recycling HC'!W266+'BTX Recycling HC'!W105)-'Overall recycling rates'!$E$62/SUM('Overall recycling rates'!$E$60:$E$62)*('BTX Recycling HC'!W181+'BTX Recycling HC'!W233+'BTX Recycling HC'!W267+'BTX Recycling HC'!W106)-'Overall recycling rates'!$H$62/SUM('Overall recycling rates'!$H$60:$H$62)*('BTX Recycling HC'!W182+'BTX Recycling HC'!W234+'BTX Recycling HC'!W268+'BTX Recycling HC'!W107)-'Overall recycling rates'!$I$62/SUM('Overall recycling rates'!$I$60:$I$62)*('BTX Recycling HC'!W183+'BTX Recycling HC'!W235+'BTX Recycling HC'!W269+'BTX Recycling HC'!W108)</f>
        <v>1038657.1095489464</v>
      </c>
      <c r="BE112" s="579">
        <f>BE60+BE66-'Overall recycling rates'!$G$62/SUM('Overall recycling rates'!$G$60:$G$62)*('BTX Recycling HC'!X180+'BTX Recycling HC'!X232+'BTX Recycling HC'!X266+'BTX Recycling HC'!X105)-'Overall recycling rates'!$E$62/SUM('Overall recycling rates'!$E$60:$E$62)*('BTX Recycling HC'!X181+'BTX Recycling HC'!X233+'BTX Recycling HC'!X267+'BTX Recycling HC'!X106)-'Overall recycling rates'!$H$62/SUM('Overall recycling rates'!$H$60:$H$62)*('BTX Recycling HC'!X182+'BTX Recycling HC'!X234+'BTX Recycling HC'!X268+'BTX Recycling HC'!X107)-'Overall recycling rates'!$I$62/SUM('Overall recycling rates'!$I$60:$I$62)*('BTX Recycling HC'!X183+'BTX Recycling HC'!X235+'BTX Recycling HC'!X269+'BTX Recycling HC'!X108)</f>
        <v>1023864.826010847</v>
      </c>
      <c r="BF112" s="579">
        <f>BF60+BF66-'Overall recycling rates'!$G$62/SUM('Overall recycling rates'!$G$60:$G$62)*('BTX Recycling HC'!Y180+'BTX Recycling HC'!Y232+'BTX Recycling HC'!Y266+'BTX Recycling HC'!Y105)-'Overall recycling rates'!$E$62/SUM('Overall recycling rates'!$E$60:$E$62)*('BTX Recycling HC'!Y181+'BTX Recycling HC'!Y233+'BTX Recycling HC'!Y267+'BTX Recycling HC'!Y106)-'Overall recycling rates'!$H$62/SUM('Overall recycling rates'!$H$60:$H$62)*('BTX Recycling HC'!Y182+'BTX Recycling HC'!Y234+'BTX Recycling HC'!Y268+'BTX Recycling HC'!Y107)-'Overall recycling rates'!$I$62/SUM('Overall recycling rates'!$I$60:$I$62)*('BTX Recycling HC'!Y183+'BTX Recycling HC'!Y235+'BTX Recycling HC'!Y269+'BTX Recycling HC'!Y108)</f>
        <v>1009167.4257466316</v>
      </c>
      <c r="BG112" s="579">
        <f>BG60+BG66-'Overall recycling rates'!$G$62/SUM('Overall recycling rates'!$G$60:$G$62)*('BTX Recycling HC'!Z180+'BTX Recycling HC'!Z232+'BTX Recycling HC'!Z266+'BTX Recycling HC'!Z105)-'Overall recycling rates'!$E$62/SUM('Overall recycling rates'!$E$60:$E$62)*('BTX Recycling HC'!Z181+'BTX Recycling HC'!Z233+'BTX Recycling HC'!Z267+'BTX Recycling HC'!Z106)-'Overall recycling rates'!$H$62/SUM('Overall recycling rates'!$H$60:$H$62)*('BTX Recycling HC'!Z182+'BTX Recycling HC'!Z234+'BTX Recycling HC'!Z268+'BTX Recycling HC'!Z107)-'Overall recycling rates'!$I$62/SUM('Overall recycling rates'!$I$60:$I$62)*('BTX Recycling HC'!Z183+'BTX Recycling HC'!Z235+'BTX Recycling HC'!Z269+'BTX Recycling HC'!Z108)</f>
        <v>994572.81014581339</v>
      </c>
      <c r="BH112" s="579">
        <f>BH60+BH66-'Overall recycling rates'!$G$62/SUM('Overall recycling rates'!$G$60:$G$62)*('BTX Recycling HC'!AA180+'BTX Recycling HC'!AA232+'BTX Recycling HC'!AA266+'BTX Recycling HC'!AA105)-'Overall recycling rates'!$E$62/SUM('Overall recycling rates'!$E$60:$E$62)*('BTX Recycling HC'!AA181+'BTX Recycling HC'!AA233+'BTX Recycling HC'!AA267+'BTX Recycling HC'!AA106)-'Overall recycling rates'!$H$62/SUM('Overall recycling rates'!$H$60:$H$62)*('BTX Recycling HC'!AA182+'BTX Recycling HC'!AA234+'BTX Recycling HC'!AA268+'BTX Recycling HC'!AA107)-'Overall recycling rates'!$I$62/SUM('Overall recycling rates'!$I$60:$I$62)*('BTX Recycling HC'!AA183+'BTX Recycling HC'!AA235+'BTX Recycling HC'!AA269+'BTX Recycling HC'!AA108)</f>
        <v>980085.04971593968</v>
      </c>
      <c r="BI112" s="579">
        <f>BI60+BI66-'Overall recycling rates'!$G$62/SUM('Overall recycling rates'!$G$60:$G$62)*('BTX Recycling HC'!AB180+'BTX Recycling HC'!AB232+'BTX Recycling HC'!AB266+'BTX Recycling HC'!AB105)-'Overall recycling rates'!$E$62/SUM('Overall recycling rates'!$E$60:$E$62)*('BTX Recycling HC'!AB181+'BTX Recycling HC'!AB233+'BTX Recycling HC'!AB267+'BTX Recycling HC'!AB106)-'Overall recycling rates'!$H$62/SUM('Overall recycling rates'!$H$60:$H$62)*('BTX Recycling HC'!AB182+'BTX Recycling HC'!AB234+'BTX Recycling HC'!AB268+'BTX Recycling HC'!AB107)-'Overall recycling rates'!$I$62/SUM('Overall recycling rates'!$I$60:$I$62)*('BTX Recycling HC'!AB183+'BTX Recycling HC'!AB235+'BTX Recycling HC'!AB269+'BTX Recycling HC'!AB108)</f>
        <v>965711.71419035958</v>
      </c>
      <c r="BJ112" s="579">
        <f>BJ60+BJ66-'Overall recycling rates'!$G$62/SUM('Overall recycling rates'!$G$60:$G$62)*('BTX Recycling HC'!AC180+'BTX Recycling HC'!AC232+'BTX Recycling HC'!AC266+'BTX Recycling HC'!AC105)-'Overall recycling rates'!$E$62/SUM('Overall recycling rates'!$E$60:$E$62)*('BTX Recycling HC'!AC181+'BTX Recycling HC'!AC233+'BTX Recycling HC'!AC267+'BTX Recycling HC'!AC106)-'Overall recycling rates'!$H$62/SUM('Overall recycling rates'!$H$60:$H$62)*('BTX Recycling HC'!AC182+'BTX Recycling HC'!AC234+'BTX Recycling HC'!AC268+'BTX Recycling HC'!AC107)-'Overall recycling rates'!$I$62/SUM('Overall recycling rates'!$I$60:$I$62)*('BTX Recycling HC'!AC183+'BTX Recycling HC'!AC235+'BTX Recycling HC'!AC269+'BTX Recycling HC'!AC108)</f>
        <v>950477.22465691599</v>
      </c>
      <c r="BK112" s="579">
        <f>BK60+BK66-'Overall recycling rates'!$G$62/SUM('Overall recycling rates'!$G$60:$G$62)*('BTX Recycling HC'!AD180+'BTX Recycling HC'!AD232+'BTX Recycling HC'!AD266+'BTX Recycling HC'!AD105)-'Overall recycling rates'!$E$62/SUM('Overall recycling rates'!$E$60:$E$62)*('BTX Recycling HC'!AD181+'BTX Recycling HC'!AD233+'BTX Recycling HC'!AD267+'BTX Recycling HC'!AD106)-'Overall recycling rates'!$H$62/SUM('Overall recycling rates'!$H$60:$H$62)*('BTX Recycling HC'!AD182+'BTX Recycling HC'!AD234+'BTX Recycling HC'!AD268+'BTX Recycling HC'!AD107)-'Overall recycling rates'!$I$62/SUM('Overall recycling rates'!$I$60:$I$62)*('BTX Recycling HC'!AD183+'BTX Recycling HC'!AD235+'BTX Recycling HC'!AD269+'BTX Recycling HC'!AD108)</f>
        <v>935428.72875492193</v>
      </c>
      <c r="BL112" s="579">
        <f>BL60+BL66-'Overall recycling rates'!$G$62/SUM('Overall recycling rates'!$G$60:$G$62)*('BTX Recycling HC'!AE180+'BTX Recycling HC'!AE232+'BTX Recycling HC'!AE266+'BTX Recycling HC'!AE105)-'Overall recycling rates'!$E$62/SUM('Overall recycling rates'!$E$60:$E$62)*('BTX Recycling HC'!AE181+'BTX Recycling HC'!AE233+'BTX Recycling HC'!AE267+'BTX Recycling HC'!AE106)-'Overall recycling rates'!$H$62/SUM('Overall recycling rates'!$H$60:$H$62)*('BTX Recycling HC'!AE182+'BTX Recycling HC'!AE234+'BTX Recycling HC'!AE268+'BTX Recycling HC'!AE107)-'Overall recycling rates'!$I$62/SUM('Overall recycling rates'!$I$60:$I$62)*('BTX Recycling HC'!AE183+'BTX Recycling HC'!AE235+'BTX Recycling HC'!AE269+'BTX Recycling HC'!AE108)</f>
        <v>920580.76657502144</v>
      </c>
      <c r="BM112" s="579">
        <f>BM60+BM66-'Overall recycling rates'!$G$62/SUM('Overall recycling rates'!$G$60:$G$62)*('BTX Recycling HC'!AF180+'BTX Recycling HC'!AF232+'BTX Recycling HC'!AF266+'BTX Recycling HC'!AF105)-'Overall recycling rates'!$E$62/SUM('Overall recycling rates'!$E$60:$E$62)*('BTX Recycling HC'!AF181+'BTX Recycling HC'!AF233+'BTX Recycling HC'!AF267+'BTX Recycling HC'!AF106)-'Overall recycling rates'!$H$62/SUM('Overall recycling rates'!$H$60:$H$62)*('BTX Recycling HC'!AF182+'BTX Recycling HC'!AF234+'BTX Recycling HC'!AF268+'BTX Recycling HC'!AF107)-'Overall recycling rates'!$I$62/SUM('Overall recycling rates'!$I$60:$I$62)*('BTX Recycling HC'!AF183+'BTX Recycling HC'!AF235+'BTX Recycling HC'!AF269+'BTX Recycling HC'!AF108)</f>
        <v>905949.46822110028</v>
      </c>
      <c r="BN112" s="579">
        <f>BN60+BN66-'Overall recycling rates'!$G$62/SUM('Overall recycling rates'!$G$60:$G$62)*('BTX Recycling HC'!AG180+'BTX Recycling HC'!AG232+'BTX Recycling HC'!AG266+'BTX Recycling HC'!AG105)-'Overall recycling rates'!$E$62/SUM('Overall recycling rates'!$E$60:$E$62)*('BTX Recycling HC'!AG181+'BTX Recycling HC'!AG233+'BTX Recycling HC'!AG267+'BTX Recycling HC'!AG106)-'Overall recycling rates'!$H$62/SUM('Overall recycling rates'!$H$60:$H$62)*('BTX Recycling HC'!AG182+'BTX Recycling HC'!AG234+'BTX Recycling HC'!AG268+'BTX Recycling HC'!AG107)-'Overall recycling rates'!$I$62/SUM('Overall recycling rates'!$I$60:$I$62)*('BTX Recycling HC'!AG183+'BTX Recycling HC'!AG235+'BTX Recycling HC'!AG269+'BTX Recycling HC'!AG108)</f>
        <v>891552.60439016775</v>
      </c>
      <c r="BQ112" s="623"/>
      <c r="BR112" s="623"/>
      <c r="BS112" s="623"/>
      <c r="BT112" s="623"/>
      <c r="BU112" s="623"/>
      <c r="BV112" s="623"/>
      <c r="BW112" s="623"/>
      <c r="BX112" s="623"/>
      <c r="BY112" s="623"/>
      <c r="BZ112" s="623"/>
      <c r="CA112" s="623"/>
      <c r="CB112" s="623"/>
      <c r="CC112" s="623"/>
      <c r="CD112" s="623"/>
      <c r="CE112" s="623"/>
      <c r="CF112" s="623"/>
      <c r="CG112" s="623"/>
      <c r="CH112" s="623"/>
      <c r="CI112" s="623"/>
      <c r="CJ112" s="623"/>
      <c r="CK112" s="623"/>
      <c r="CL112" s="623"/>
    </row>
    <row r="113" spans="1:90" outlineLevel="1">
      <c r="A113" s="54" t="s">
        <v>78</v>
      </c>
      <c r="B113" s="54" t="s">
        <v>264</v>
      </c>
      <c r="C113" s="93" t="s">
        <v>1420</v>
      </c>
      <c r="D113" s="572">
        <f>D77+D97+D98+D106+D107+D90+D99+D108</f>
        <v>0</v>
      </c>
      <c r="E113" s="572">
        <f t="shared" ref="E113:AG113" si="134">E77+E97+E98+E106+E107+E90+E99+E108</f>
        <v>3941.6740777480927</v>
      </c>
      <c r="F113" s="572">
        <f t="shared" si="134"/>
        <v>5541.7592379123034</v>
      </c>
      <c r="G113" s="572">
        <f t="shared" si="134"/>
        <v>6901.2674176937307</v>
      </c>
      <c r="H113" s="572">
        <f t="shared" si="134"/>
        <v>7385.708140159888</v>
      </c>
      <c r="I113" s="572">
        <f t="shared" si="134"/>
        <v>7043.9556564017676</v>
      </c>
      <c r="J113" s="572">
        <f t="shared" si="134"/>
        <v>5819.9963411120325</v>
      </c>
      <c r="K113" s="572">
        <f t="shared" si="134"/>
        <v>3803.5015385809493</v>
      </c>
      <c r="L113" s="572">
        <f t="shared" si="134"/>
        <v>1028.1398213460411</v>
      </c>
      <c r="M113" s="572">
        <f t="shared" si="134"/>
        <v>-2473.7859274714519</v>
      </c>
      <c r="N113" s="572">
        <f t="shared" si="134"/>
        <v>-6671.3249952670412</v>
      </c>
      <c r="O113" s="572">
        <f t="shared" si="134"/>
        <v>-24388.034798211334</v>
      </c>
      <c r="P113" s="572">
        <f t="shared" si="134"/>
        <v>-41614.521750948697</v>
      </c>
      <c r="Q113" s="572">
        <f t="shared" si="134"/>
        <v>-58370.155511186371</v>
      </c>
      <c r="R113" s="572">
        <f t="shared" si="134"/>
        <v>-74645.178167099948</v>
      </c>
      <c r="S113" s="572">
        <f t="shared" si="134"/>
        <v>-90445.105427686183</v>
      </c>
      <c r="T113" s="572">
        <f t="shared" si="134"/>
        <v>-105606.38158746474</v>
      </c>
      <c r="U113" s="572">
        <f t="shared" si="134"/>
        <v>-120265.10528494822</v>
      </c>
      <c r="V113" s="572">
        <f t="shared" si="134"/>
        <v>-134424.42865474091</v>
      </c>
      <c r="W113" s="572">
        <f t="shared" si="134"/>
        <v>-148087.98389250523</v>
      </c>
      <c r="X113" s="572">
        <f t="shared" si="134"/>
        <v>-161259.87769690188</v>
      </c>
      <c r="Y113" s="572">
        <f t="shared" si="134"/>
        <v>-171843.64822400635</v>
      </c>
      <c r="Z113" s="572">
        <f t="shared" si="134"/>
        <v>-182100.19031419195</v>
      </c>
      <c r="AA113" s="572">
        <f t="shared" si="134"/>
        <v>-192075.5213143226</v>
      </c>
      <c r="AB113" s="572">
        <f t="shared" si="134"/>
        <v>-201743.88142177556</v>
      </c>
      <c r="AC113" s="572">
        <f t="shared" si="134"/>
        <v>-211116.07747939933</v>
      </c>
      <c r="AD113" s="572">
        <f t="shared" si="134"/>
        <v>-220445.36197156549</v>
      </c>
      <c r="AE113" s="572">
        <f t="shared" si="134"/>
        <v>-229548.40384530681</v>
      </c>
      <c r="AF113" s="572">
        <f t="shared" si="134"/>
        <v>-238441.7621208512</v>
      </c>
      <c r="AG113" s="572">
        <f t="shared" si="134"/>
        <v>-247142.69124857895</v>
      </c>
      <c r="AH113" s="572">
        <f>AH77+AH97+AH98+AH106+AH107+AH90+AH99+AH108</f>
        <v>-255669.13086824698</v>
      </c>
      <c r="AI113" s="178"/>
      <c r="AJ113" s="572">
        <f>AJ77+AJ97+AJ98+AJ106+AJ107+AJ90+AJ99+AJ108</f>
        <v>0</v>
      </c>
      <c r="AK113" s="572">
        <f t="shared" ref="AK113:BN113" si="135">AK77+AK97+AK98+AK106+AK107+AK90+AK99+AK108</f>
        <v>3941.6740777480927</v>
      </c>
      <c r="AL113" s="572">
        <f t="shared" si="135"/>
        <v>5541.7592379123034</v>
      </c>
      <c r="AM113" s="572">
        <f t="shared" si="135"/>
        <v>6901.2674176937307</v>
      </c>
      <c r="AN113" s="572">
        <f t="shared" si="135"/>
        <v>7385.708140159888</v>
      </c>
      <c r="AO113" s="572">
        <f t="shared" si="135"/>
        <v>7043.9556564017676</v>
      </c>
      <c r="AP113" s="572">
        <f t="shared" si="135"/>
        <v>5819.9963411120325</v>
      </c>
      <c r="AQ113" s="572">
        <f t="shared" si="135"/>
        <v>3803.5015385809493</v>
      </c>
      <c r="AR113" s="572">
        <f t="shared" si="135"/>
        <v>1028.1398213460411</v>
      </c>
      <c r="AS113" s="572">
        <f t="shared" si="135"/>
        <v>-2473.7859274714519</v>
      </c>
      <c r="AT113" s="572">
        <f t="shared" si="135"/>
        <v>-6671.3249952670412</v>
      </c>
      <c r="AU113" s="572">
        <f t="shared" si="135"/>
        <v>-24388.034798211334</v>
      </c>
      <c r="AV113" s="572">
        <f t="shared" si="135"/>
        <v>-41614.521750948697</v>
      </c>
      <c r="AW113" s="572">
        <f t="shared" si="135"/>
        <v>-58370.155511186371</v>
      </c>
      <c r="AX113" s="572">
        <f t="shared" si="135"/>
        <v>-74645.178167099948</v>
      </c>
      <c r="AY113" s="572">
        <f t="shared" si="135"/>
        <v>-90445.105427686183</v>
      </c>
      <c r="AZ113" s="572">
        <f t="shared" si="135"/>
        <v>-105606.38158746474</v>
      </c>
      <c r="BA113" s="572">
        <f t="shared" si="135"/>
        <v>-120265.10528494822</v>
      </c>
      <c r="BB113" s="572">
        <f t="shared" si="135"/>
        <v>-134424.42865474091</v>
      </c>
      <c r="BC113" s="572">
        <f t="shared" si="135"/>
        <v>-148087.98389250523</v>
      </c>
      <c r="BD113" s="572">
        <f t="shared" si="135"/>
        <v>-161259.87769690188</v>
      </c>
      <c r="BE113" s="572">
        <f t="shared" si="135"/>
        <v>-171843.64822400635</v>
      </c>
      <c r="BF113" s="572">
        <f t="shared" si="135"/>
        <v>-182100.19031419195</v>
      </c>
      <c r="BG113" s="572">
        <f t="shared" si="135"/>
        <v>-192075.5213143226</v>
      </c>
      <c r="BH113" s="572">
        <f t="shared" si="135"/>
        <v>-201743.88142177556</v>
      </c>
      <c r="BI113" s="572">
        <f t="shared" si="135"/>
        <v>-211116.07747939933</v>
      </c>
      <c r="BJ113" s="572">
        <f t="shared" si="135"/>
        <v>-220445.36197156549</v>
      </c>
      <c r="BK113" s="572">
        <f t="shared" si="135"/>
        <v>-229548.40384530681</v>
      </c>
      <c r="BL113" s="572">
        <f t="shared" si="135"/>
        <v>-238441.7621208512</v>
      </c>
      <c r="BM113" s="572">
        <f t="shared" si="135"/>
        <v>-247142.69124857895</v>
      </c>
      <c r="BN113" s="572">
        <f t="shared" si="135"/>
        <v>-255669.13086824698</v>
      </c>
    </row>
    <row r="114" spans="1:90" outlineLevel="1">
      <c r="A114" s="62"/>
      <c r="B114" s="58" t="s">
        <v>265</v>
      </c>
      <c r="C114" s="59" t="s">
        <v>1420</v>
      </c>
      <c r="D114" s="577">
        <f>D76+D83+D96+D105+IF(D91=0,0,D89)</f>
        <v>0</v>
      </c>
      <c r="E114" s="577">
        <f t="shared" ref="E114:AG114" si="136">E76+E83+E96+E105+IF(E91=0,0,E89)</f>
        <v>15161.350570999035</v>
      </c>
      <c r="F114" s="577">
        <f t="shared" si="136"/>
        <v>28592.317191485592</v>
      </c>
      <c r="G114" s="577">
        <f t="shared" si="136"/>
        <v>41507.043377275353</v>
      </c>
      <c r="H114" s="577">
        <f t="shared" si="136"/>
        <v>53558.027016226239</v>
      </c>
      <c r="I114" s="577">
        <f t="shared" si="136"/>
        <v>64787.736660450595</v>
      </c>
      <c r="J114" s="577">
        <f t="shared" si="136"/>
        <v>74490.7157423194</v>
      </c>
      <c r="K114" s="577">
        <f t="shared" si="136"/>
        <v>83330.445744738041</v>
      </c>
      <c r="L114" s="577">
        <f t="shared" si="136"/>
        <v>91341.988404449439</v>
      </c>
      <c r="M114" s="577">
        <f t="shared" si="136"/>
        <v>98559.574867085874</v>
      </c>
      <c r="N114" s="577">
        <f t="shared" si="136"/>
        <v>105016.61323813796</v>
      </c>
      <c r="O114" s="577">
        <f t="shared" si="136"/>
        <v>109061.07381383372</v>
      </c>
      <c r="P114" s="577">
        <f t="shared" si="136"/>
        <v>111983.3129894711</v>
      </c>
      <c r="Q114" s="577">
        <f t="shared" si="136"/>
        <v>113845.92774701078</v>
      </c>
      <c r="R114" s="577">
        <f t="shared" si="136"/>
        <v>114727.70757204268</v>
      </c>
      <c r="S114" s="577">
        <f t="shared" si="136"/>
        <v>114698.81822065833</v>
      </c>
      <c r="T114" s="577">
        <f t="shared" si="136"/>
        <v>113913.3333909193</v>
      </c>
      <c r="U114" s="577">
        <f t="shared" si="136"/>
        <v>112374.87511073169</v>
      </c>
      <c r="V114" s="577">
        <f t="shared" si="136"/>
        <v>110152.91741626164</v>
      </c>
      <c r="W114" s="577">
        <f t="shared" si="136"/>
        <v>107316.07631131346</v>
      </c>
      <c r="X114" s="577">
        <f t="shared" si="136"/>
        <v>103932.11577565299</v>
      </c>
      <c r="Y114" s="577">
        <f t="shared" si="136"/>
        <v>108234.16339131858</v>
      </c>
      <c r="Z114" s="577">
        <f t="shared" si="136"/>
        <v>111496.34034682746</v>
      </c>
      <c r="AA114" s="577">
        <f t="shared" si="136"/>
        <v>113735.1480284682</v>
      </c>
      <c r="AB114" s="577">
        <f t="shared" si="136"/>
        <v>115076.96275969005</v>
      </c>
      <c r="AC114" s="577">
        <f t="shared" si="136"/>
        <v>115596.56635941786</v>
      </c>
      <c r="AD114" s="577">
        <f t="shared" si="136"/>
        <v>115202.58623270215</v>
      </c>
      <c r="AE114" s="577">
        <f t="shared" si="136"/>
        <v>114106.65248468533</v>
      </c>
      <c r="AF114" s="577">
        <f t="shared" si="136"/>
        <v>112378.26764236543</v>
      </c>
      <c r="AG114" s="577">
        <f t="shared" si="136"/>
        <v>110085.78406716586</v>
      </c>
      <c r="AH114" s="577">
        <f>AH76+AH83+AH96+AH105+IF(AH91=0,0,AH89)</f>
        <v>107296.41155777626</v>
      </c>
      <c r="AI114" s="178"/>
      <c r="AJ114" s="577">
        <f t="shared" ref="AJ114:BM114" si="137">AJ76+AJ83+AJ96+AJ105+IF(AJ91=0,0,AJ89)</f>
        <v>0</v>
      </c>
      <c r="AK114" s="577">
        <f t="shared" si="137"/>
        <v>15161.350570999035</v>
      </c>
      <c r="AL114" s="577">
        <f t="shared" si="137"/>
        <v>28592.317191485592</v>
      </c>
      <c r="AM114" s="577">
        <f t="shared" si="137"/>
        <v>41507.043377275353</v>
      </c>
      <c r="AN114" s="577">
        <f t="shared" si="137"/>
        <v>53558.027016226239</v>
      </c>
      <c r="AO114" s="577">
        <f t="shared" si="137"/>
        <v>64787.736660450595</v>
      </c>
      <c r="AP114" s="577">
        <f t="shared" si="137"/>
        <v>74490.7157423194</v>
      </c>
      <c r="AQ114" s="577">
        <f t="shared" si="137"/>
        <v>83330.445744738041</v>
      </c>
      <c r="AR114" s="577">
        <f t="shared" si="137"/>
        <v>91341.988404449439</v>
      </c>
      <c r="AS114" s="577">
        <f t="shared" si="137"/>
        <v>98559.574867085874</v>
      </c>
      <c r="AT114" s="577">
        <f t="shared" si="137"/>
        <v>105016.61323813796</v>
      </c>
      <c r="AU114" s="577">
        <f t="shared" si="137"/>
        <v>109061.07381383372</v>
      </c>
      <c r="AV114" s="577">
        <f t="shared" si="137"/>
        <v>111983.3129894711</v>
      </c>
      <c r="AW114" s="577">
        <f t="shared" si="137"/>
        <v>113845.92774701078</v>
      </c>
      <c r="AX114" s="577">
        <f t="shared" si="137"/>
        <v>114727.70757204268</v>
      </c>
      <c r="AY114" s="577">
        <f t="shared" si="137"/>
        <v>114698.81822065833</v>
      </c>
      <c r="AZ114" s="577">
        <f t="shared" si="137"/>
        <v>113913.3333909193</v>
      </c>
      <c r="BA114" s="577">
        <f t="shared" si="137"/>
        <v>112374.87511073169</v>
      </c>
      <c r="BB114" s="577">
        <f t="shared" si="137"/>
        <v>110152.91741626164</v>
      </c>
      <c r="BC114" s="577">
        <f t="shared" si="137"/>
        <v>107316.07631131346</v>
      </c>
      <c r="BD114" s="577">
        <f t="shared" si="137"/>
        <v>103932.11577565299</v>
      </c>
      <c r="BE114" s="577">
        <f t="shared" si="137"/>
        <v>108234.16339131858</v>
      </c>
      <c r="BF114" s="577">
        <f t="shared" si="137"/>
        <v>111496.34034682746</v>
      </c>
      <c r="BG114" s="577">
        <f t="shared" si="137"/>
        <v>113735.1480284682</v>
      </c>
      <c r="BH114" s="577">
        <f t="shared" si="137"/>
        <v>115076.96275969005</v>
      </c>
      <c r="BI114" s="577">
        <f t="shared" si="137"/>
        <v>115596.56635941786</v>
      </c>
      <c r="BJ114" s="577">
        <f t="shared" si="137"/>
        <v>115202.58623270215</v>
      </c>
      <c r="BK114" s="577">
        <f t="shared" si="137"/>
        <v>114106.65248468533</v>
      </c>
      <c r="BL114" s="577">
        <f t="shared" si="137"/>
        <v>112378.26764236543</v>
      </c>
      <c r="BM114" s="577">
        <f t="shared" si="137"/>
        <v>110085.78406716586</v>
      </c>
      <c r="BN114" s="577">
        <f>BN76+BN83+BN96+BN105+IF(BN91=0,0,BN89)</f>
        <v>107296.41155777626</v>
      </c>
    </row>
    <row r="115" spans="1:90">
      <c r="A115" s="95" t="s">
        <v>1396</v>
      </c>
      <c r="B115" s="95"/>
      <c r="C115" s="96" t="s">
        <v>1420</v>
      </c>
      <c r="D115" s="583">
        <f>D70-D113-D114</f>
        <v>7896082.1468130462</v>
      </c>
      <c r="E115" s="583">
        <f t="shared" ref="E115:AH115" si="138">E70-E113-E114</f>
        <v>7753002.0798322503</v>
      </c>
      <c r="F115" s="583">
        <f t="shared" si="138"/>
        <v>7603643.4531894736</v>
      </c>
      <c r="G115" s="583">
        <f t="shared" si="138"/>
        <v>7461721.2874961169</v>
      </c>
      <c r="H115" s="583">
        <f t="shared" si="138"/>
        <v>7322724.6535364026</v>
      </c>
      <c r="I115" s="583">
        <f t="shared" si="138"/>
        <v>7178821.7346365256</v>
      </c>
      <c r="J115" s="583">
        <f t="shared" si="138"/>
        <v>7039840.6136953337</v>
      </c>
      <c r="K115" s="583">
        <f t="shared" si="138"/>
        <v>6903828.1185539626</v>
      </c>
      <c r="L115" s="583">
        <f t="shared" si="138"/>
        <v>6770704.4912737552</v>
      </c>
      <c r="M115" s="583">
        <f t="shared" si="138"/>
        <v>6640392.2630284699</v>
      </c>
      <c r="N115" s="583">
        <f t="shared" si="138"/>
        <v>6512816.2326564575</v>
      </c>
      <c r="O115" s="583">
        <f t="shared" si="138"/>
        <v>6353029.2450050199</v>
      </c>
      <c r="P115" s="583">
        <f t="shared" si="138"/>
        <v>6195778.4461240852</v>
      </c>
      <c r="Q115" s="583">
        <f t="shared" si="138"/>
        <v>6041003.9460089244</v>
      </c>
      <c r="R115" s="583">
        <f t="shared" si="138"/>
        <v>5888600.6749277553</v>
      </c>
      <c r="S115" s="583">
        <f t="shared" si="138"/>
        <v>5738487.6002155459</v>
      </c>
      <c r="T115" s="583">
        <f t="shared" si="138"/>
        <v>5584234.2272467325</v>
      </c>
      <c r="U115" s="583">
        <f t="shared" si="138"/>
        <v>5432227.8851912338</v>
      </c>
      <c r="V115" s="583">
        <f t="shared" si="138"/>
        <v>5282383.5270311078</v>
      </c>
      <c r="W115" s="583">
        <f t="shared" si="138"/>
        <v>5134617.6156812161</v>
      </c>
      <c r="X115" s="583">
        <f t="shared" si="138"/>
        <v>4988848.1115538115</v>
      </c>
      <c r="Y115" s="583">
        <f t="shared" si="138"/>
        <v>4838693.0030446174</v>
      </c>
      <c r="Z115" s="583">
        <f t="shared" si="138"/>
        <v>4691153.0150109679</v>
      </c>
      <c r="AA115" s="583">
        <f t="shared" si="138"/>
        <v>4546239.0734853316</v>
      </c>
      <c r="AB115" s="583">
        <f t="shared" si="138"/>
        <v>4403780.6357895667</v>
      </c>
      <c r="AC115" s="583">
        <f t="shared" si="138"/>
        <v>4263695.5028535128</v>
      </c>
      <c r="AD115" s="583">
        <f t="shared" si="138"/>
        <v>4124079.0936647821</v>
      </c>
      <c r="AE115" s="583">
        <f t="shared" si="138"/>
        <v>3986823.3833837262</v>
      </c>
      <c r="AF115" s="583">
        <f t="shared" si="138"/>
        <v>3851856.3688291605</v>
      </c>
      <c r="AG115" s="583">
        <f t="shared" si="138"/>
        <v>3719108.0920708682</v>
      </c>
      <c r="AH115" s="583">
        <f t="shared" si="138"/>
        <v>3588510.6216363609</v>
      </c>
      <c r="AI115" s="178"/>
      <c r="AJ115" s="583">
        <f t="shared" ref="AJ115:BN115" si="139">AJ70-AJ113-AJ114</f>
        <v>7896082.1468130462</v>
      </c>
      <c r="AK115" s="583">
        <f t="shared" si="139"/>
        <v>7785373.5288743153</v>
      </c>
      <c r="AL115" s="583">
        <f t="shared" si="139"/>
        <v>7670072.4836785076</v>
      </c>
      <c r="AM115" s="583">
        <f t="shared" si="139"/>
        <v>7560864.8259078637</v>
      </c>
      <c r="AN115" s="583">
        <f t="shared" si="139"/>
        <v>7454252.7501448793</v>
      </c>
      <c r="AO115" s="583">
        <f t="shared" si="139"/>
        <v>7342275.0432413574</v>
      </c>
      <c r="AP115" s="583">
        <f t="shared" si="139"/>
        <v>7234866.9902803907</v>
      </c>
      <c r="AQ115" s="583">
        <f t="shared" si="139"/>
        <v>7130062.4587906701</v>
      </c>
      <c r="AR115" s="583">
        <f t="shared" si="139"/>
        <v>7027784.8255219162</v>
      </c>
      <c r="AS115" s="583">
        <f t="shared" si="139"/>
        <v>6927959.7325059045</v>
      </c>
      <c r="AT115" s="583">
        <f t="shared" si="139"/>
        <v>6830515.0657777898</v>
      </c>
      <c r="AU115" s="583">
        <f t="shared" si="139"/>
        <v>6710538.1283102343</v>
      </c>
      <c r="AV115" s="583">
        <f t="shared" si="139"/>
        <v>6592619.9925363427</v>
      </c>
      <c r="AW115" s="583">
        <f t="shared" si="139"/>
        <v>6476704.8825804293</v>
      </c>
      <c r="AX115" s="583">
        <f t="shared" si="139"/>
        <v>6362691.8126356695</v>
      </c>
      <c r="AY115" s="583">
        <f t="shared" si="139"/>
        <v>6250503.8039533384</v>
      </c>
      <c r="AZ115" s="583">
        <f t="shared" si="139"/>
        <v>6133354.4781088596</v>
      </c>
      <c r="BA115" s="583">
        <f t="shared" si="139"/>
        <v>6017955.4087935789</v>
      </c>
      <c r="BB115" s="583">
        <f t="shared" si="139"/>
        <v>5904226.3956415774</v>
      </c>
      <c r="BC115" s="583">
        <f t="shared" si="139"/>
        <v>5792088.7064302927</v>
      </c>
      <c r="BD115" s="583">
        <f t="shared" si="139"/>
        <v>5681465.0649827635</v>
      </c>
      <c r="BE115" s="583">
        <f t="shared" si="139"/>
        <v>5569058.526858137</v>
      </c>
      <c r="BF115" s="583">
        <f t="shared" si="139"/>
        <v>5458730.6362445317</v>
      </c>
      <c r="BG115" s="583">
        <f t="shared" si="139"/>
        <v>5350497.9264429621</v>
      </c>
      <c r="BH115" s="583">
        <f t="shared" si="139"/>
        <v>5244195.4091781732</v>
      </c>
      <c r="BI115" s="583">
        <f t="shared" si="139"/>
        <v>5139746.387395463</v>
      </c>
      <c r="BJ115" s="583">
        <f t="shared" si="139"/>
        <v>5035018.6879535178</v>
      </c>
      <c r="BK115" s="583">
        <f t="shared" si="139"/>
        <v>4932128.4303280003</v>
      </c>
      <c r="BL115" s="583">
        <f t="shared" si="139"/>
        <v>4831009.3658544598</v>
      </c>
      <c r="BM115" s="583">
        <f t="shared" si="139"/>
        <v>4731597.2335363105</v>
      </c>
      <c r="BN115" s="583">
        <f t="shared" si="139"/>
        <v>4633829.7418091362</v>
      </c>
      <c r="BO115" s="40"/>
    </row>
    <row r="116" spans="1:90" s="61" customFormat="1">
      <c r="A116" s="602"/>
      <c r="B116" s="54" t="s">
        <v>88</v>
      </c>
      <c r="C116" s="55" t="s">
        <v>1420</v>
      </c>
      <c r="D116" s="580">
        <f>D79+D85+D92+D101+D110</f>
        <v>2469050.6255606366</v>
      </c>
      <c r="E116" s="580">
        <f t="shared" ref="E116:AH118" si="140">E79+E85+E92+E101+E110</f>
        <v>2420336.4932698114</v>
      </c>
      <c r="F116" s="580">
        <f t="shared" si="140"/>
        <v>2371967.8698604805</v>
      </c>
      <c r="G116" s="580">
        <f t="shared" si="140"/>
        <v>2323830.1789987707</v>
      </c>
      <c r="H116" s="580">
        <f t="shared" si="140"/>
        <v>2276143.6271196133</v>
      </c>
      <c r="I116" s="580">
        <f t="shared" si="140"/>
        <v>2225307.6074451096</v>
      </c>
      <c r="J116" s="580">
        <f t="shared" si="140"/>
        <v>2176103.815572462</v>
      </c>
      <c r="K116" s="580">
        <f t="shared" si="140"/>
        <v>2127649.9133286919</v>
      </c>
      <c r="L116" s="580">
        <f t="shared" si="140"/>
        <v>2079993.0284223938</v>
      </c>
      <c r="M116" s="580">
        <f t="shared" si="140"/>
        <v>2033176.5933518265</v>
      </c>
      <c r="N116" s="580">
        <f t="shared" si="140"/>
        <v>1987240.3576456145</v>
      </c>
      <c r="O116" s="580">
        <f t="shared" si="140"/>
        <v>1924509.395533602</v>
      </c>
      <c r="P116" s="580">
        <f t="shared" si="140"/>
        <v>1875394.3365982398</v>
      </c>
      <c r="Q116" s="580">
        <f t="shared" si="140"/>
        <v>1827516.2776707252</v>
      </c>
      <c r="R116" s="580">
        <f t="shared" si="140"/>
        <v>1780852.1935296641</v>
      </c>
      <c r="S116" s="580">
        <f t="shared" si="140"/>
        <v>1735389.7549882731</v>
      </c>
      <c r="T116" s="580">
        <f t="shared" si="140"/>
        <v>1688226.0485589586</v>
      </c>
      <c r="U116" s="580">
        <f t="shared" si="140"/>
        <v>1642309.2953312227</v>
      </c>
      <c r="V116" s="580">
        <f t="shared" si="140"/>
        <v>1597613.3713804132</v>
      </c>
      <c r="W116" s="580">
        <f t="shared" si="140"/>
        <v>1554108.0880735083</v>
      </c>
      <c r="X116" s="580">
        <f t="shared" si="140"/>
        <v>1511759.2325133265</v>
      </c>
      <c r="Y116" s="580">
        <f t="shared" si="140"/>
        <v>1462151.589776861</v>
      </c>
      <c r="Z116" s="580">
        <f t="shared" si="140"/>
        <v>1413858.8635009411</v>
      </c>
      <c r="AA116" s="580">
        <f t="shared" si="140"/>
        <v>1366914.9651322288</v>
      </c>
      <c r="AB116" s="580">
        <f t="shared" si="140"/>
        <v>1321241.4018782349</v>
      </c>
      <c r="AC116" s="580">
        <f t="shared" si="140"/>
        <v>1276806.7314323615</v>
      </c>
      <c r="AD116" s="580">
        <f t="shared" si="140"/>
        <v>1232546.0461980267</v>
      </c>
      <c r="AE116" s="580">
        <f t="shared" si="140"/>
        <v>1189484.8636546736</v>
      </c>
      <c r="AF116" s="580">
        <f t="shared" si="140"/>
        <v>1147578.1188930606</v>
      </c>
      <c r="AG116" s="580">
        <f t="shared" si="140"/>
        <v>1106776.5265204958</v>
      </c>
      <c r="AH116" s="580">
        <f t="shared" si="140"/>
        <v>1067026.6248176242</v>
      </c>
      <c r="AI116" s="580"/>
      <c r="AJ116" s="580">
        <f>AJ79+AJ85+AJ92+AJ101+AJ110</f>
        <v>2469050.6255606366</v>
      </c>
      <c r="AK116" s="580">
        <f t="shared" ref="AK116:BN116" si="141">AK79+AK85+AK92+AK101+AK110</f>
        <v>2433610.6105606207</v>
      </c>
      <c r="AL116" s="580">
        <f t="shared" si="141"/>
        <v>2398395.6663983325</v>
      </c>
      <c r="AM116" s="580">
        <f t="shared" si="141"/>
        <v>2363291.9976923717</v>
      </c>
      <c r="AN116" s="580">
        <f t="shared" si="141"/>
        <v>2328520.5877793594</v>
      </c>
      <c r="AO116" s="580">
        <f t="shared" si="141"/>
        <v>2290419.1485152813</v>
      </c>
      <c r="AP116" s="580">
        <f t="shared" si="141"/>
        <v>2253819.7133733733</v>
      </c>
      <c r="AQ116" s="580">
        <f t="shared" si="141"/>
        <v>2217833.3965476733</v>
      </c>
      <c r="AR116" s="580">
        <f t="shared" si="141"/>
        <v>2182508.4022060316</v>
      </c>
      <c r="AS116" s="580">
        <f t="shared" si="141"/>
        <v>2147889.2320740251</v>
      </c>
      <c r="AT116" s="580">
        <f t="shared" si="141"/>
        <v>2114016.6977182911</v>
      </c>
      <c r="AU116" s="580">
        <f t="shared" si="141"/>
        <v>2066293.5102105839</v>
      </c>
      <c r="AV116" s="580">
        <f t="shared" si="141"/>
        <v>2031170.7914753249</v>
      </c>
      <c r="AW116" s="580">
        <f t="shared" si="141"/>
        <v>1997112.6028688964</v>
      </c>
      <c r="AX116" s="580">
        <f t="shared" si="141"/>
        <v>1964097.4526719172</v>
      </c>
      <c r="AY116" s="580">
        <f t="shared" si="141"/>
        <v>1932114.533438164</v>
      </c>
      <c r="AZ116" s="580">
        <f t="shared" si="141"/>
        <v>1898092.0472351839</v>
      </c>
      <c r="BA116" s="580">
        <f t="shared" si="141"/>
        <v>1865131.3325340468</v>
      </c>
      <c r="BB116" s="580">
        <f t="shared" si="141"/>
        <v>1833208.1697370042</v>
      </c>
      <c r="BC116" s="580">
        <f t="shared" si="141"/>
        <v>1802294.2571568077</v>
      </c>
      <c r="BD116" s="580">
        <f t="shared" si="141"/>
        <v>1772357.2516102549</v>
      </c>
      <c r="BE116" s="580">
        <f t="shared" si="141"/>
        <v>1736223.4630830339</v>
      </c>
      <c r="BF116" s="580">
        <f t="shared" si="141"/>
        <v>1701199.2234183224</v>
      </c>
      <c r="BG116" s="580">
        <f t="shared" si="141"/>
        <v>1667320.7401369009</v>
      </c>
      <c r="BH116" s="580">
        <f t="shared" si="141"/>
        <v>1634511.7934322879</v>
      </c>
      <c r="BI116" s="580">
        <f t="shared" si="141"/>
        <v>1602743.191117163</v>
      </c>
      <c r="BJ116" s="580">
        <f t="shared" si="141"/>
        <v>1570841.9217415594</v>
      </c>
      <c r="BK116" s="580">
        <f t="shared" si="141"/>
        <v>1539939.2705934753</v>
      </c>
      <c r="BL116" s="580">
        <f t="shared" si="141"/>
        <v>1509992.5482028099</v>
      </c>
      <c r="BM116" s="580">
        <f t="shared" si="141"/>
        <v>1480954.8192687854</v>
      </c>
      <c r="BN116" s="580">
        <f t="shared" si="141"/>
        <v>1452774.9470754107</v>
      </c>
      <c r="BO116" s="56"/>
      <c r="BQ116" s="649"/>
      <c r="BR116" s="649"/>
      <c r="BS116" s="649"/>
      <c r="BT116" s="649"/>
      <c r="BU116" s="649"/>
      <c r="BV116" s="649"/>
      <c r="BW116" s="649"/>
      <c r="BX116" s="649"/>
      <c r="BY116" s="649"/>
      <c r="BZ116" s="649"/>
      <c r="CA116" s="649"/>
      <c r="CB116" s="649"/>
      <c r="CC116" s="649"/>
      <c r="CD116" s="649"/>
      <c r="CE116" s="649"/>
      <c r="CF116" s="649"/>
      <c r="CG116" s="649"/>
      <c r="CH116" s="649"/>
      <c r="CI116" s="649"/>
      <c r="CJ116" s="649"/>
      <c r="CK116" s="649"/>
      <c r="CL116" s="649"/>
    </row>
    <row r="117" spans="1:90">
      <c r="A117" s="603"/>
      <c r="B117" s="1" t="s">
        <v>717</v>
      </c>
      <c r="C117" s="50" t="s">
        <v>1420</v>
      </c>
      <c r="D117" s="576">
        <f>D80+D86+D93+D102+D111+D11</f>
        <v>1125724.5926953687</v>
      </c>
      <c r="E117" s="576">
        <f t="shared" ref="E117:AH117" si="142">E80+E86+E93+E102+E111+E11</f>
        <v>1099012.2910069751</v>
      </c>
      <c r="F117" s="576">
        <f t="shared" si="142"/>
        <v>1072956.4726333674</v>
      </c>
      <c r="G117" s="576">
        <f t="shared" si="142"/>
        <v>1047222.113259952</v>
      </c>
      <c r="H117" s="576">
        <f t="shared" si="142"/>
        <v>1021926.7593484716</v>
      </c>
      <c r="I117" s="576">
        <f t="shared" si="142"/>
        <v>996411.96090947418</v>
      </c>
      <c r="J117" s="576">
        <f t="shared" si="142"/>
        <v>971607.12733129435</v>
      </c>
      <c r="K117" s="576">
        <f t="shared" si="142"/>
        <v>947282.77666171733</v>
      </c>
      <c r="L117" s="576">
        <f t="shared" si="142"/>
        <v>923439.41453611339</v>
      </c>
      <c r="M117" s="576">
        <f t="shared" si="142"/>
        <v>900076.73911305983</v>
      </c>
      <c r="N117" s="576">
        <f t="shared" si="142"/>
        <v>877193.68783936114</v>
      </c>
      <c r="O117" s="576">
        <f t="shared" si="142"/>
        <v>840412.70545816049</v>
      </c>
      <c r="P117" s="576">
        <f t="shared" si="142"/>
        <v>805480.41728538973</v>
      </c>
      <c r="Q117" s="576">
        <f t="shared" si="142"/>
        <v>771177.50366157026</v>
      </c>
      <c r="R117" s="576">
        <f t="shared" si="142"/>
        <v>737479.32487545419</v>
      </c>
      <c r="S117" s="576">
        <f t="shared" si="142"/>
        <v>704365.59746341873</v>
      </c>
      <c r="T117" s="576">
        <f t="shared" si="142"/>
        <v>671282.07202246506</v>
      </c>
      <c r="U117" s="576">
        <f t="shared" si="142"/>
        <v>638753.40878857148</v>
      </c>
      <c r="V117" s="576">
        <f t="shared" si="142"/>
        <v>606759.07173139765</v>
      </c>
      <c r="W117" s="576">
        <f t="shared" si="142"/>
        <v>575278.77187080309</v>
      </c>
      <c r="X117" s="576">
        <f t="shared" si="142"/>
        <v>544292.48000206519</v>
      </c>
      <c r="Y117" s="576">
        <f t="shared" si="142"/>
        <v>517732.56596998661</v>
      </c>
      <c r="Z117" s="576">
        <f t="shared" si="142"/>
        <v>491631.57415498199</v>
      </c>
      <c r="AA117" s="576">
        <f t="shared" si="142"/>
        <v>465994.86541941372</v>
      </c>
      <c r="AB117" s="576">
        <f t="shared" si="142"/>
        <v>440787.15307477012</v>
      </c>
      <c r="AC117" s="576">
        <f t="shared" si="142"/>
        <v>415992.61059930833</v>
      </c>
      <c r="AD117" s="576">
        <f t="shared" si="142"/>
        <v>391443.88789870072</v>
      </c>
      <c r="AE117" s="576">
        <f t="shared" si="142"/>
        <v>367292.99819430639</v>
      </c>
      <c r="AF117" s="576">
        <f t="shared" si="142"/>
        <v>343526.47746291978</v>
      </c>
      <c r="AG117" s="576">
        <f t="shared" si="142"/>
        <v>320131.42220942449</v>
      </c>
      <c r="AH117" s="576">
        <f t="shared" si="142"/>
        <v>297095.50759556668</v>
      </c>
      <c r="AI117" s="576"/>
      <c r="AJ117" s="576">
        <f>AJ80+AJ86+AJ93+AJ102+AJ111+AJ11</f>
        <v>1125724.5926953687</v>
      </c>
      <c r="AK117" s="576">
        <f t="shared" ref="AK117:BN117" si="143">AK80+AK86+AK93+AK102+AK111+AK11</f>
        <v>1102427.3799441929</v>
      </c>
      <c r="AL117" s="576">
        <f t="shared" si="143"/>
        <v>1079751.8068648062</v>
      </c>
      <c r="AM117" s="576">
        <f t="shared" si="143"/>
        <v>1057363.1159886431</v>
      </c>
      <c r="AN117" s="576">
        <f t="shared" si="143"/>
        <v>1035379.1188223255</v>
      </c>
      <c r="AO117" s="576">
        <f t="shared" si="143"/>
        <v>1013130.3443077748</v>
      </c>
      <c r="AP117" s="576">
        <f t="shared" si="143"/>
        <v>991555.41951564921</v>
      </c>
      <c r="AQ117" s="576">
        <f t="shared" si="143"/>
        <v>970423.80097366357</v>
      </c>
      <c r="AR117" s="576">
        <f t="shared" si="143"/>
        <v>949736.30929372692</v>
      </c>
      <c r="AS117" s="576">
        <f t="shared" si="143"/>
        <v>929492.95527678495</v>
      </c>
      <c r="AT117" s="576">
        <f t="shared" si="143"/>
        <v>909692.9866937052</v>
      </c>
      <c r="AU117" s="576">
        <f t="shared" si="143"/>
        <v>876570.7147078038</v>
      </c>
      <c r="AV117" s="576">
        <f t="shared" si="143"/>
        <v>845647.97214715986</v>
      </c>
      <c r="AW117" s="576">
        <f t="shared" si="143"/>
        <v>815311.63892118528</v>
      </c>
      <c r="AX117" s="576">
        <f t="shared" si="143"/>
        <v>785537.38314664527</v>
      </c>
      <c r="AY117" s="576">
        <f t="shared" si="143"/>
        <v>756305.22761542676</v>
      </c>
      <c r="AZ117" s="576">
        <f t="shared" si="143"/>
        <v>727030.44047765899</v>
      </c>
      <c r="BA117" s="576">
        <f t="shared" si="143"/>
        <v>698265.3798203984</v>
      </c>
      <c r="BB117" s="576">
        <f t="shared" si="143"/>
        <v>669989.8865821145</v>
      </c>
      <c r="BC117" s="576">
        <f t="shared" si="143"/>
        <v>642184.046116994</v>
      </c>
      <c r="BD117" s="576">
        <f t="shared" si="143"/>
        <v>614828.20093586901</v>
      </c>
      <c r="BE117" s="576">
        <f t="shared" si="143"/>
        <v>592979.99218530068</v>
      </c>
      <c r="BF117" s="576">
        <f t="shared" si="143"/>
        <v>571531.44445221487</v>
      </c>
      <c r="BG117" s="576">
        <f t="shared" si="143"/>
        <v>550488.46077985852</v>
      </c>
      <c r="BH117" s="576">
        <f t="shared" si="143"/>
        <v>529816.2922583844</v>
      </c>
      <c r="BI117" s="576">
        <f t="shared" si="143"/>
        <v>509499.64577643812</v>
      </c>
      <c r="BJ117" s="576">
        <f t="shared" si="143"/>
        <v>489351.76548752008</v>
      </c>
      <c r="BK117" s="576">
        <f t="shared" si="143"/>
        <v>469543.90126239386</v>
      </c>
      <c r="BL117" s="576">
        <f t="shared" si="143"/>
        <v>450063.14438599005</v>
      </c>
      <c r="BM117" s="576">
        <f t="shared" si="143"/>
        <v>430897.14183179266</v>
      </c>
      <c r="BN117" s="576">
        <f t="shared" si="143"/>
        <v>412034.11443185847</v>
      </c>
    </row>
    <row r="118" spans="1:90" s="62" customFormat="1">
      <c r="A118" s="604"/>
      <c r="B118" s="58" t="s">
        <v>1170</v>
      </c>
      <c r="C118" s="233" t="s">
        <v>1420</v>
      </c>
      <c r="D118" s="579">
        <f t="shared" ref="D118" si="144">D81+D87+D94+D103+D112</f>
        <v>4301306.9285570411</v>
      </c>
      <c r="E118" s="579">
        <f t="shared" si="140"/>
        <v>4234123.5713018207</v>
      </c>
      <c r="F118" s="579">
        <f t="shared" si="140"/>
        <v>4170673.0342509914</v>
      </c>
      <c r="G118" s="579">
        <f t="shared" si="140"/>
        <v>4108659.9844213855</v>
      </c>
      <c r="H118" s="579">
        <f t="shared" si="140"/>
        <v>4048707.8809059579</v>
      </c>
      <c r="I118" s="579">
        <f t="shared" si="140"/>
        <v>3987230.96067777</v>
      </c>
      <c r="J118" s="579">
        <f t="shared" si="140"/>
        <v>3928206.1471498832</v>
      </c>
      <c r="K118" s="579">
        <f t="shared" si="140"/>
        <v>3870839.2782773809</v>
      </c>
      <c r="L118" s="579">
        <f t="shared" si="140"/>
        <v>3814979.0351639008</v>
      </c>
      <c r="M118" s="579">
        <f t="shared" si="140"/>
        <v>3760481.0589428036</v>
      </c>
      <c r="N118" s="579">
        <f t="shared" si="140"/>
        <v>3707208.1420023479</v>
      </c>
      <c r="O118" s="579">
        <f t="shared" si="140"/>
        <v>3598380.2599009946</v>
      </c>
      <c r="P118" s="579">
        <f t="shared" si="140"/>
        <v>3525812.6678767689</v>
      </c>
      <c r="Q118" s="579">
        <f t="shared" si="140"/>
        <v>3453756.2327576242</v>
      </c>
      <c r="R118" s="579">
        <f t="shared" si="140"/>
        <v>3382140.5556648732</v>
      </c>
      <c r="S118" s="579">
        <f t="shared" si="140"/>
        <v>3310905.5782336928</v>
      </c>
      <c r="T118" s="579">
        <f t="shared" si="140"/>
        <v>3237186.6747388151</v>
      </c>
      <c r="U118" s="579">
        <f t="shared" si="140"/>
        <v>3163780.3938931469</v>
      </c>
      <c r="V118" s="579">
        <f t="shared" si="140"/>
        <v>3090638.308651695</v>
      </c>
      <c r="W118" s="579">
        <f t="shared" si="140"/>
        <v>3017718.5477687311</v>
      </c>
      <c r="X118" s="579">
        <f t="shared" si="140"/>
        <v>2944985.8433814123</v>
      </c>
      <c r="Y118" s="579">
        <f t="shared" si="140"/>
        <v>2870774.5975674484</v>
      </c>
      <c r="Z118" s="579">
        <f t="shared" si="140"/>
        <v>2797192.6631071139</v>
      </c>
      <c r="AA118" s="579">
        <f t="shared" si="140"/>
        <v>2724203.6460880735</v>
      </c>
      <c r="AB118" s="579">
        <f t="shared" si="140"/>
        <v>2651745.167365192</v>
      </c>
      <c r="AC118" s="579">
        <f t="shared" si="140"/>
        <v>2579779.2780058123</v>
      </c>
      <c r="AD118" s="579">
        <f t="shared" si="140"/>
        <v>2507585.0275922227</v>
      </c>
      <c r="AE118" s="579">
        <f t="shared" si="140"/>
        <v>2435945.1000492778</v>
      </c>
      <c r="AF118" s="579">
        <f t="shared" si="140"/>
        <v>2364858.3434425644</v>
      </c>
      <c r="AG118" s="579">
        <f t="shared" si="140"/>
        <v>2294333.3360227169</v>
      </c>
      <c r="AH118" s="579">
        <f t="shared" si="140"/>
        <v>2224388.4892231701</v>
      </c>
      <c r="AI118" s="579"/>
      <c r="AJ118" s="579">
        <f t="shared" ref="AJ118:BN118" si="145">AJ81+AJ87+AJ94+AJ103+AJ112</f>
        <v>4301306.9285570411</v>
      </c>
      <c r="AK118" s="579">
        <f t="shared" si="145"/>
        <v>4251020.0898251124</v>
      </c>
      <c r="AL118" s="579">
        <f t="shared" si="145"/>
        <v>4204305.079693336</v>
      </c>
      <c r="AM118" s="579">
        <f t="shared" si="145"/>
        <v>4158867.6578143192</v>
      </c>
      <c r="AN118" s="579">
        <f t="shared" si="145"/>
        <v>4115332.3700512452</v>
      </c>
      <c r="AO118" s="579">
        <f t="shared" si="145"/>
        <v>4070056.3568001366</v>
      </c>
      <c r="AP118" s="579">
        <f t="shared" si="145"/>
        <v>4027063.7912292257</v>
      </c>
      <c r="AQ118" s="579">
        <f t="shared" si="145"/>
        <v>3985554.768864613</v>
      </c>
      <c r="AR118" s="579">
        <f t="shared" si="145"/>
        <v>3945379.3283292074</v>
      </c>
      <c r="AS118" s="579">
        <f t="shared" si="145"/>
        <v>3906394.4594834605</v>
      </c>
      <c r="AT118" s="579">
        <f t="shared" si="145"/>
        <v>3868464.294697681</v>
      </c>
      <c r="AU118" s="579">
        <f t="shared" si="145"/>
        <v>3777947.0192795834</v>
      </c>
      <c r="AV118" s="579">
        <f t="shared" si="145"/>
        <v>3726710.2045501727</v>
      </c>
      <c r="AW118" s="579">
        <f t="shared" si="145"/>
        <v>3675726.7088713422</v>
      </c>
      <c r="AX118" s="579">
        <f t="shared" si="145"/>
        <v>3624928.3759593433</v>
      </c>
      <c r="AY118" s="579">
        <f t="shared" si="145"/>
        <v>3574257.3733695876</v>
      </c>
      <c r="AZ118" s="579">
        <f t="shared" si="145"/>
        <v>3520692.5584695237</v>
      </c>
      <c r="BA118" s="579">
        <f t="shared" si="145"/>
        <v>3467173.9092608406</v>
      </c>
      <c r="BB118" s="579">
        <f t="shared" si="145"/>
        <v>3413655.5640548579</v>
      </c>
      <c r="BC118" s="579">
        <f t="shared" si="145"/>
        <v>3360098.1951883165</v>
      </c>
      <c r="BD118" s="579">
        <f t="shared" si="145"/>
        <v>3306469.0567796305</v>
      </c>
      <c r="BE118" s="579">
        <f t="shared" si="145"/>
        <v>3251820.8218594799</v>
      </c>
      <c r="BF118" s="579">
        <f t="shared" si="145"/>
        <v>3197530.0541260634</v>
      </c>
      <c r="BG118" s="579">
        <f t="shared" si="145"/>
        <v>3143563.1286805877</v>
      </c>
      <c r="BH118" s="579">
        <f t="shared" si="145"/>
        <v>3089860.4100161307</v>
      </c>
      <c r="BI118" s="579">
        <f t="shared" si="145"/>
        <v>3036386.667685831</v>
      </c>
      <c r="BJ118" s="579">
        <f t="shared" si="145"/>
        <v>2982320.8687486062</v>
      </c>
      <c r="BK118" s="579">
        <f t="shared" si="145"/>
        <v>2928544.8369866638</v>
      </c>
      <c r="BL118" s="579">
        <f t="shared" si="145"/>
        <v>2875060.2442350453</v>
      </c>
      <c r="BM118" s="579">
        <f t="shared" si="145"/>
        <v>2821878.4651175006</v>
      </c>
      <c r="BN118" s="579">
        <f t="shared" si="145"/>
        <v>2769020.6803018684</v>
      </c>
      <c r="BQ118" s="623"/>
      <c r="BR118" s="623"/>
      <c r="BS118" s="623"/>
      <c r="BT118" s="623"/>
      <c r="BU118" s="623"/>
      <c r="BV118" s="623"/>
      <c r="BW118" s="623"/>
      <c r="BX118" s="623"/>
      <c r="BY118" s="623"/>
      <c r="BZ118" s="623"/>
      <c r="CA118" s="623"/>
      <c r="CB118" s="623"/>
      <c r="CC118" s="623"/>
      <c r="CD118" s="623"/>
      <c r="CE118" s="623"/>
      <c r="CF118" s="623"/>
      <c r="CG118" s="623"/>
      <c r="CH118" s="623"/>
      <c r="CI118" s="623"/>
      <c r="CJ118" s="623"/>
      <c r="CK118" s="623"/>
      <c r="CL118" s="623"/>
    </row>
    <row r="119" spans="1:90">
      <c r="A119" s="1" t="s">
        <v>763</v>
      </c>
      <c r="C119" s="55" t="s">
        <v>1420</v>
      </c>
      <c r="D119" s="590">
        <f>'BTX Recycling HC'!C361</f>
        <v>0.89359764650017648</v>
      </c>
      <c r="E119" s="590">
        <f>'BTX Recycling HC'!D361</f>
        <v>1.7436778472384256</v>
      </c>
      <c r="F119" s="590">
        <f>'BTX Recycling HC'!E361</f>
        <v>3.3713393101727718</v>
      </c>
      <c r="G119" s="590">
        <f>'BTX Recycling HC'!F361</f>
        <v>6.4900788854688507</v>
      </c>
      <c r="H119" s="590">
        <f>'BTX Recycling HC'!G361</f>
        <v>12.410274809618597</v>
      </c>
      <c r="I119" s="590">
        <f>'BTX Recycling HC'!H361</f>
        <v>23.546482773305144</v>
      </c>
      <c r="J119" s="590">
        <f>'BTX Recycling HC'!I361</f>
        <v>44.201291993458078</v>
      </c>
      <c r="K119" s="590">
        <f>'BTX Recycling HC'!J361</f>
        <v>81.982230768572165</v>
      </c>
      <c r="L119" s="590">
        <f>'BTX Recycling HC'!K361</f>
        <v>149.74901898365493</v>
      </c>
      <c r="M119" s="590">
        <f>'BTX Recycling HC'!L361</f>
        <v>268.22067739705813</v>
      </c>
      <c r="N119" s="590">
        <f>'BTX Recycling HC'!M361</f>
        <v>468.51334601573041</v>
      </c>
      <c r="O119" s="590">
        <f>'BTX Recycling HC'!N361</f>
        <v>776.53144936259037</v>
      </c>
      <c r="P119" s="590">
        <f>'BTX Recycling HC'!O361</f>
        <v>1238.3336676424051</v>
      </c>
      <c r="Q119" s="590">
        <f>'BTX Recycling HC'!P361</f>
        <v>1885.4475343227682</v>
      </c>
      <c r="R119" s="590">
        <f>'BTX Recycling HC'!Q361</f>
        <v>2722.397453366932</v>
      </c>
      <c r="S119" s="590">
        <f>'BTX Recycling HC'!R361</f>
        <v>3710.1257320518166</v>
      </c>
      <c r="T119" s="590">
        <f>'BTX Recycling HC'!S361</f>
        <v>4766.1066661244367</v>
      </c>
      <c r="U119" s="590">
        <f>'BTX Recycling HC'!T361</f>
        <v>5779.5767476977662</v>
      </c>
      <c r="V119" s="590">
        <f>'BTX Recycling HC'!U361</f>
        <v>6647.5111710408155</v>
      </c>
      <c r="W119" s="590">
        <f>'BTX Recycling HC'!V361</f>
        <v>7301.6327598201151</v>
      </c>
      <c r="X119" s="590">
        <f>'BTX Recycling HC'!W361</f>
        <v>7718.3412996925754</v>
      </c>
      <c r="Y119" s="590">
        <f>'BTX Recycling HC'!X361</f>
        <v>8063.4666353514331</v>
      </c>
      <c r="Z119" s="590">
        <f>'BTX Recycling HC'!Y361</f>
        <v>8218.670708686841</v>
      </c>
      <c r="AA119" s="590">
        <f>'BTX Recycling HC'!Z361</f>
        <v>8217.4232431236833</v>
      </c>
      <c r="AB119" s="590">
        <f>'BTX Recycling HC'!AA361</f>
        <v>8097.366715771198</v>
      </c>
      <c r="AC119" s="590">
        <f>'BTX Recycling HC'!AB361</f>
        <v>7890.8975588752874</v>
      </c>
      <c r="AD119" s="590">
        <f>'BTX Recycling HC'!AC361</f>
        <v>7618.3004461312394</v>
      </c>
      <c r="AE119" s="590">
        <f>'BTX Recycling HC'!AD361</f>
        <v>7305.3777377363886</v>
      </c>
      <c r="AF119" s="590">
        <f>'BTX Recycling HC'!AE361</f>
        <v>6967.453395741778</v>
      </c>
      <c r="AG119" s="590">
        <f>'BTX Recycling HC'!AF361</f>
        <v>6615.7175714347368</v>
      </c>
      <c r="AH119" s="590">
        <f>'BTX Recycling HC'!AG361</f>
        <v>6258.2284790380336</v>
      </c>
      <c r="AI119" s="576"/>
      <c r="AJ119" s="576">
        <f>'BTX Recycling LC'!C361</f>
        <v>0.89359764650017648</v>
      </c>
      <c r="AK119" s="576">
        <f>'BTX Recycling LC'!D361</f>
        <v>1.7436778472384256</v>
      </c>
      <c r="AL119" s="576">
        <f>'BTX Recycling LC'!E361</f>
        <v>3.3713393101727718</v>
      </c>
      <c r="AM119" s="576">
        <f>'BTX Recycling LC'!F361</f>
        <v>6.4900788854688507</v>
      </c>
      <c r="AN119" s="576">
        <f>'BTX Recycling LC'!G361</f>
        <v>12.410274809618597</v>
      </c>
      <c r="AO119" s="576">
        <f>'BTX Recycling LC'!H361</f>
        <v>23.546482773305144</v>
      </c>
      <c r="AP119" s="576">
        <f>'BTX Recycling LC'!I361</f>
        <v>44.201291993458078</v>
      </c>
      <c r="AQ119" s="576">
        <f>'BTX Recycling LC'!J361</f>
        <v>81.982230768572165</v>
      </c>
      <c r="AR119" s="576">
        <f>'BTX Recycling LC'!K361</f>
        <v>149.74901898365493</v>
      </c>
      <c r="AS119" s="576">
        <f>'BTX Recycling LC'!L361</f>
        <v>268.22067739705813</v>
      </c>
      <c r="AT119" s="576">
        <f>'BTX Recycling LC'!M361</f>
        <v>468.51334601573041</v>
      </c>
      <c r="AU119" s="576">
        <f>'BTX Recycling LC'!N361</f>
        <v>776.53144936259037</v>
      </c>
      <c r="AV119" s="576">
        <f>'BTX Recycling LC'!O361</f>
        <v>1238.3336676424051</v>
      </c>
      <c r="AW119" s="576">
        <f>'BTX Recycling LC'!P361</f>
        <v>1885.4475343227682</v>
      </c>
      <c r="AX119" s="576">
        <f>'BTX Recycling LC'!Q361</f>
        <v>2722.397453366932</v>
      </c>
      <c r="AY119" s="576">
        <f>'BTX Recycling LC'!R361</f>
        <v>3710.1257320518166</v>
      </c>
      <c r="AZ119" s="576">
        <f>'BTX Recycling LC'!S361</f>
        <v>4766.1066661244367</v>
      </c>
      <c r="BA119" s="576">
        <f>'BTX Recycling LC'!T361</f>
        <v>5779.5767476977662</v>
      </c>
      <c r="BB119" s="576">
        <f>'BTX Recycling LC'!U361</f>
        <v>6647.5111710408155</v>
      </c>
      <c r="BC119" s="576">
        <f>'BTX Recycling LC'!V361</f>
        <v>7301.6327598201151</v>
      </c>
      <c r="BD119" s="576">
        <f>'BTX Recycling LC'!W361</f>
        <v>7718.3412996925754</v>
      </c>
      <c r="BE119" s="576">
        <f>'BTX Recycling LC'!X361</f>
        <v>8063.4666353514331</v>
      </c>
      <c r="BF119" s="576">
        <f>'BTX Recycling LC'!Y361</f>
        <v>8218.670708686841</v>
      </c>
      <c r="BG119" s="576">
        <f>'BTX Recycling LC'!Z361</f>
        <v>8217.4232431236833</v>
      </c>
      <c r="BH119" s="576">
        <f>'BTX Recycling LC'!AA361</f>
        <v>8097.366715771198</v>
      </c>
      <c r="BI119" s="576">
        <f>'BTX Recycling LC'!AB361</f>
        <v>7890.8975588752874</v>
      </c>
      <c r="BJ119" s="576">
        <f>'BTX Recycling LC'!AC361</f>
        <v>7618.3004461312394</v>
      </c>
      <c r="BK119" s="576">
        <f>'BTX Recycling LC'!AD361</f>
        <v>7305.3777377363886</v>
      </c>
      <c r="BL119" s="576">
        <f>'BTX Recycling LC'!AE361</f>
        <v>6967.453395741778</v>
      </c>
      <c r="BM119" s="576">
        <f>'BTX Recycling LC'!AF361</f>
        <v>6615.7175714347368</v>
      </c>
      <c r="BN119" s="576">
        <f>'BTX Recycling LC'!AG361</f>
        <v>6258.2284790380336</v>
      </c>
    </row>
    <row r="120" spans="1:90">
      <c r="A120" s="1" t="s">
        <v>764</v>
      </c>
      <c r="C120" s="233" t="s">
        <v>1420</v>
      </c>
      <c r="D120" s="590">
        <f>'BTX Recycling HC'!C363</f>
        <v>7.9839643595504723</v>
      </c>
      <c r="E120" s="590">
        <f>'BTX Recycling HC'!D363</f>
        <v>15.579116441738002</v>
      </c>
      <c r="F120" s="590">
        <f>'BTX Recycling HC'!E363</f>
        <v>30.121669413288419</v>
      </c>
      <c r="G120" s="590">
        <f>'BTX Recycling HC'!F363</f>
        <v>57.986453651927924</v>
      </c>
      <c r="H120" s="590">
        <f>'BTX Recycling HC'!G363</f>
        <v>110.88121388892034</v>
      </c>
      <c r="I120" s="590">
        <f>'BTX Recycling HC'!H363</f>
        <v>210.37911188679513</v>
      </c>
      <c r="J120" s="590">
        <f>'BTX Recycling HC'!I363</f>
        <v>394.92219043325696</v>
      </c>
      <c r="K120" s="590">
        <f>'BTX Recycling HC'!J363</f>
        <v>732.48090025334795</v>
      </c>
      <c r="L120" s="590">
        <f>'BTX Recycling HC'!K363</f>
        <v>1337.9520806995679</v>
      </c>
      <c r="M120" s="590">
        <f>'BTX Recycling HC'!L363</f>
        <v>2396.4525166552953</v>
      </c>
      <c r="N120" s="590">
        <f>'BTX Recycling HC'!M363</f>
        <v>4185.993406779402</v>
      </c>
      <c r="O120" s="590">
        <f>'BTX Recycling HC'!N363</f>
        <v>6938.0212001036971</v>
      </c>
      <c r="P120" s="590">
        <f>'BTX Recycling HC'!O363</f>
        <v>11064.053163535755</v>
      </c>
      <c r="Q120" s="590">
        <f>'BTX Recycling HC'!P363</f>
        <v>16845.776144098567</v>
      </c>
      <c r="R120" s="590">
        <f>'BTX Recycling HC'!Q363</f>
        <v>24323.614017271542</v>
      </c>
      <c r="S120" s="590">
        <f>'BTX Recycling HC'!R363</f>
        <v>33148.600749081044</v>
      </c>
      <c r="T120" s="590">
        <f>'BTX Recycling HC'!S363</f>
        <v>42583.399704764</v>
      </c>
      <c r="U120" s="590">
        <f>'BTX Recycling HC'!T363</f>
        <v>51638.3799214678</v>
      </c>
      <c r="V120" s="590">
        <f>'BTX Recycling HC'!U363</f>
        <v>59393.052876950489</v>
      </c>
      <c r="W120" s="590">
        <f>'BTX Recycling HC'!V363</f>
        <v>65237.387261760698</v>
      </c>
      <c r="X120" s="590">
        <f>'BTX Recycling HC'!W363</f>
        <v>68960.523892315134</v>
      </c>
      <c r="Y120" s="590">
        <f>'BTX Recycling HC'!X363</f>
        <v>72044.091077468489</v>
      </c>
      <c r="Z120" s="590">
        <f>'BTX Recycling HC'!Y363</f>
        <v>73430.782050548063</v>
      </c>
      <c r="AA120" s="590">
        <f>'BTX Recycling HC'!Z363</f>
        <v>73419.636407276717</v>
      </c>
      <c r="AB120" s="590">
        <f>'BTX Recycling HC'!AA363</f>
        <v>72346.975753717736</v>
      </c>
      <c r="AC120" s="590">
        <f>'BTX Recycling HC'!AB363</f>
        <v>70502.250226004457</v>
      </c>
      <c r="AD120" s="590">
        <f>'BTX Recycling HC'!AC363</f>
        <v>68066.695878710845</v>
      </c>
      <c r="AE120" s="590">
        <f>'BTX Recycling HC'!AD363</f>
        <v>65270.847253881235</v>
      </c>
      <c r="AF120" s="590">
        <f>'BTX Recycling HC'!AE363</f>
        <v>62251.618282905001</v>
      </c>
      <c r="AG120" s="590">
        <f>'BTX Recycling HC'!AF363</f>
        <v>59108.988827418885</v>
      </c>
      <c r="AH120" s="590">
        <f>'BTX Recycling HC'!AG363</f>
        <v>55914.956050137211</v>
      </c>
      <c r="AI120" s="576"/>
      <c r="AJ120" s="576">
        <f>'BTX Recycling LC'!C363</f>
        <v>3.9919821797752362</v>
      </c>
      <c r="AK120" s="576">
        <f>'BTX Recycling LC'!D363</f>
        <v>7.7895582208690008</v>
      </c>
      <c r="AL120" s="576">
        <f>'BTX Recycling LC'!E363</f>
        <v>15.06083470664421</v>
      </c>
      <c r="AM120" s="576">
        <f>'BTX Recycling LC'!F363</f>
        <v>28.993226825963962</v>
      </c>
      <c r="AN120" s="576">
        <f>'BTX Recycling LC'!G363</f>
        <v>55.440606944460171</v>
      </c>
      <c r="AO120" s="576">
        <f>'BTX Recycling LC'!H363</f>
        <v>105.18955594339756</v>
      </c>
      <c r="AP120" s="576">
        <f>'BTX Recycling LC'!I363</f>
        <v>197.46109521662848</v>
      </c>
      <c r="AQ120" s="576">
        <f>'BTX Recycling LC'!J363</f>
        <v>366.24045012667398</v>
      </c>
      <c r="AR120" s="576">
        <f>'BTX Recycling LC'!K363</f>
        <v>668.97604034978394</v>
      </c>
      <c r="AS120" s="576">
        <f>'BTX Recycling LC'!L363</f>
        <v>1198.2262583276477</v>
      </c>
      <c r="AT120" s="576">
        <f>'BTX Recycling LC'!M363</f>
        <v>2092.996703389701</v>
      </c>
      <c r="AU120" s="576">
        <f>'BTX Recycling LC'!N363</f>
        <v>3469.0106000518485</v>
      </c>
      <c r="AV120" s="576">
        <f>'BTX Recycling LC'!O363</f>
        <v>5532.0265817678774</v>
      </c>
      <c r="AW120" s="576">
        <f>'BTX Recycling LC'!P363</f>
        <v>8422.8880720492834</v>
      </c>
      <c r="AX120" s="576">
        <f>'BTX Recycling LC'!Q363</f>
        <v>12161.807008635771</v>
      </c>
      <c r="AY120" s="576">
        <f>'BTX Recycling LC'!R363</f>
        <v>16574.300374540522</v>
      </c>
      <c r="AZ120" s="576">
        <f>'BTX Recycling LC'!S363</f>
        <v>21291.699852382</v>
      </c>
      <c r="BA120" s="576">
        <f>'BTX Recycling LC'!T363</f>
        <v>25819.1899607339</v>
      </c>
      <c r="BB120" s="576">
        <f>'BTX Recycling LC'!U363</f>
        <v>29696.526438475245</v>
      </c>
      <c r="BC120" s="576">
        <f>'BTX Recycling LC'!V363</f>
        <v>32618.693630880349</v>
      </c>
      <c r="BD120" s="576">
        <f>'BTX Recycling LC'!W363</f>
        <v>34480.261946157567</v>
      </c>
      <c r="BE120" s="576">
        <f>'BTX Recycling LC'!X363</f>
        <v>36022.045538734244</v>
      </c>
      <c r="BF120" s="576">
        <f>'BTX Recycling LC'!Y363</f>
        <v>36715.391025274032</v>
      </c>
      <c r="BG120" s="576">
        <f>'BTX Recycling LC'!Z363</f>
        <v>36709.818203638359</v>
      </c>
      <c r="BH120" s="576">
        <f>'BTX Recycling LC'!AA363</f>
        <v>36173.487876858868</v>
      </c>
      <c r="BI120" s="576">
        <f>'BTX Recycling LC'!AB363</f>
        <v>35251.125113002228</v>
      </c>
      <c r="BJ120" s="576">
        <f>'BTX Recycling LC'!AC363</f>
        <v>34033.347939355423</v>
      </c>
      <c r="BK120" s="576">
        <f>'BTX Recycling LC'!AD363</f>
        <v>32635.423626940617</v>
      </c>
      <c r="BL120" s="576">
        <f>'BTX Recycling LC'!AE363</f>
        <v>31125.809141452501</v>
      </c>
      <c r="BM120" s="576">
        <f>'BTX Recycling LC'!AF363</f>
        <v>29554.494413709443</v>
      </c>
      <c r="BN120" s="576">
        <f>'BTX Recycling LC'!AG363</f>
        <v>27957.478025068605</v>
      </c>
    </row>
    <row r="121" spans="1:90" s="97" customFormat="1">
      <c r="A121" s="95" t="s">
        <v>1397</v>
      </c>
      <c r="B121" s="95"/>
      <c r="C121" s="96" t="s">
        <v>1420</v>
      </c>
      <c r="D121" s="583">
        <f>D115-D119-D120</f>
        <v>7896073.2692510402</v>
      </c>
      <c r="E121" s="583">
        <f t="shared" ref="E121:AH121" si="146">E115-E119-E120</f>
        <v>7752984.7570379619</v>
      </c>
      <c r="F121" s="583">
        <f t="shared" si="146"/>
        <v>7603609.9601807501</v>
      </c>
      <c r="G121" s="583">
        <f t="shared" si="146"/>
        <v>7461656.8109635795</v>
      </c>
      <c r="H121" s="583">
        <f t="shared" si="146"/>
        <v>7322601.3620477049</v>
      </c>
      <c r="I121" s="583">
        <f t="shared" si="146"/>
        <v>7178587.8090418652</v>
      </c>
      <c r="J121" s="583">
        <f t="shared" si="146"/>
        <v>7039401.4902129071</v>
      </c>
      <c r="K121" s="583">
        <f t="shared" si="146"/>
        <v>6903013.6554229409</v>
      </c>
      <c r="L121" s="583">
        <f t="shared" si="146"/>
        <v>6769216.7901740717</v>
      </c>
      <c r="M121" s="583">
        <f t="shared" si="146"/>
        <v>6637727.5898344172</v>
      </c>
      <c r="N121" s="583">
        <f t="shared" si="146"/>
        <v>6508161.7259036629</v>
      </c>
      <c r="O121" s="583">
        <f t="shared" si="146"/>
        <v>6345314.6923555536</v>
      </c>
      <c r="P121" s="583">
        <f t="shared" si="146"/>
        <v>6183476.0592929069</v>
      </c>
      <c r="Q121" s="583">
        <f t="shared" si="146"/>
        <v>6022272.7223305032</v>
      </c>
      <c r="R121" s="583">
        <f t="shared" si="146"/>
        <v>5861554.663457117</v>
      </c>
      <c r="S121" s="583">
        <f t="shared" si="146"/>
        <v>5701628.8737344127</v>
      </c>
      <c r="T121" s="583">
        <f t="shared" si="146"/>
        <v>5536884.7208758444</v>
      </c>
      <c r="U121" s="583">
        <f t="shared" si="146"/>
        <v>5374809.9285220681</v>
      </c>
      <c r="V121" s="583">
        <f t="shared" si="146"/>
        <v>5216342.9629831165</v>
      </c>
      <c r="W121" s="583">
        <f t="shared" si="146"/>
        <v>5062078.595659636</v>
      </c>
      <c r="X121" s="583">
        <f t="shared" si="146"/>
        <v>4912169.2463618042</v>
      </c>
      <c r="Y121" s="583">
        <f t="shared" si="146"/>
        <v>4758585.4453317979</v>
      </c>
      <c r="Z121" s="583">
        <f t="shared" si="146"/>
        <v>4609503.5622517327</v>
      </c>
      <c r="AA121" s="583">
        <f t="shared" si="146"/>
        <v>4464602.013834931</v>
      </c>
      <c r="AB121" s="583">
        <f t="shared" si="146"/>
        <v>4323336.2933200775</v>
      </c>
      <c r="AC121" s="583">
        <f t="shared" si="146"/>
        <v>4185302.3550686329</v>
      </c>
      <c r="AD121" s="583">
        <f t="shared" si="146"/>
        <v>4048394.0973399398</v>
      </c>
      <c r="AE121" s="583">
        <f t="shared" si="146"/>
        <v>3914247.1583921085</v>
      </c>
      <c r="AF121" s="583">
        <f t="shared" si="146"/>
        <v>3782637.2971505136</v>
      </c>
      <c r="AG121" s="583">
        <f t="shared" si="146"/>
        <v>3653383.3856720147</v>
      </c>
      <c r="AH121" s="583">
        <f t="shared" si="146"/>
        <v>3526337.4371071858</v>
      </c>
      <c r="AI121" s="582"/>
      <c r="AJ121" s="583">
        <f>AJ115-AJ119-AJ120</f>
        <v>7896077.2612332199</v>
      </c>
      <c r="AK121" s="583">
        <f t="shared" ref="AK121:BN121" si="147">AK115-AK119-AK120</f>
        <v>7785363.9956382476</v>
      </c>
      <c r="AL121" s="583">
        <f t="shared" si="147"/>
        <v>7670054.0515044909</v>
      </c>
      <c r="AM121" s="583">
        <f t="shared" si="147"/>
        <v>7560829.3426021524</v>
      </c>
      <c r="AN121" s="583">
        <f t="shared" si="147"/>
        <v>7454184.8992631258</v>
      </c>
      <c r="AO121" s="583">
        <f t="shared" si="147"/>
        <v>7342146.3072026409</v>
      </c>
      <c r="AP121" s="583">
        <f t="shared" si="147"/>
        <v>7234625.3278931808</v>
      </c>
      <c r="AQ121" s="583">
        <f t="shared" si="147"/>
        <v>7129614.2361097746</v>
      </c>
      <c r="AR121" s="583">
        <f t="shared" si="147"/>
        <v>7026966.1004625829</v>
      </c>
      <c r="AS121" s="583">
        <f t="shared" si="147"/>
        <v>6926493.28557018</v>
      </c>
      <c r="AT121" s="583">
        <f t="shared" si="147"/>
        <v>6827953.5557283843</v>
      </c>
      <c r="AU121" s="583">
        <f t="shared" si="147"/>
        <v>6706292.5862608198</v>
      </c>
      <c r="AV121" s="583">
        <f t="shared" si="147"/>
        <v>6585849.6322869323</v>
      </c>
      <c r="AW121" s="583">
        <f t="shared" si="147"/>
        <v>6466396.5469740573</v>
      </c>
      <c r="AX121" s="583">
        <f t="shared" si="147"/>
        <v>6347807.6081736665</v>
      </c>
      <c r="AY121" s="583">
        <f t="shared" si="147"/>
        <v>6230219.3778467458</v>
      </c>
      <c r="AZ121" s="583">
        <f t="shared" si="147"/>
        <v>6107296.6715903534</v>
      </c>
      <c r="BA121" s="583">
        <f t="shared" si="147"/>
        <v>5986356.6420851471</v>
      </c>
      <c r="BB121" s="583">
        <f t="shared" si="147"/>
        <v>5867882.3580320608</v>
      </c>
      <c r="BC121" s="583">
        <f t="shared" si="147"/>
        <v>5752168.3800395923</v>
      </c>
      <c r="BD121" s="583">
        <f t="shared" si="147"/>
        <v>5639266.4617369138</v>
      </c>
      <c r="BE121" s="583">
        <f t="shared" si="147"/>
        <v>5524973.0146840513</v>
      </c>
      <c r="BF121" s="583">
        <f t="shared" si="147"/>
        <v>5413796.5745105706</v>
      </c>
      <c r="BG121" s="583">
        <f t="shared" si="147"/>
        <v>5305570.6849961998</v>
      </c>
      <c r="BH121" s="583">
        <f t="shared" si="147"/>
        <v>5199924.5545855435</v>
      </c>
      <c r="BI121" s="583">
        <f t="shared" si="147"/>
        <v>5096604.3647235855</v>
      </c>
      <c r="BJ121" s="583">
        <f t="shared" si="147"/>
        <v>4993367.0395680312</v>
      </c>
      <c r="BK121" s="583">
        <f t="shared" si="147"/>
        <v>4892187.6289633233</v>
      </c>
      <c r="BL121" s="583">
        <f t="shared" si="147"/>
        <v>4792916.1033172654</v>
      </c>
      <c r="BM121" s="583">
        <f t="shared" si="147"/>
        <v>4695427.0215511667</v>
      </c>
      <c r="BN121" s="583">
        <f t="shared" si="147"/>
        <v>4599614.0353050297</v>
      </c>
      <c r="BQ121" s="650"/>
      <c r="BR121" s="650"/>
      <c r="BS121" s="650"/>
      <c r="BT121" s="650"/>
      <c r="BU121" s="650"/>
      <c r="BV121" s="650"/>
      <c r="BW121" s="650"/>
      <c r="BX121" s="650"/>
      <c r="BY121" s="650"/>
      <c r="BZ121" s="650"/>
      <c r="CA121" s="650"/>
      <c r="CB121" s="650"/>
      <c r="CC121" s="650"/>
      <c r="CD121" s="650"/>
      <c r="CE121" s="650"/>
      <c r="CF121" s="650"/>
      <c r="CG121" s="650"/>
      <c r="CH121" s="650"/>
      <c r="CI121" s="650"/>
      <c r="CJ121" s="650"/>
      <c r="CK121" s="650"/>
      <c r="CL121" s="650"/>
    </row>
    <row r="122" spans="1:90" s="61" customFormat="1">
      <c r="A122" s="602"/>
      <c r="B122" s="54" t="s">
        <v>88</v>
      </c>
      <c r="C122" s="55" t="s">
        <v>1420</v>
      </c>
      <c r="D122" s="580">
        <f>D116-D120*D116/SUM(D116:D118)</f>
        <v>2469048.1290298472</v>
      </c>
      <c r="E122" s="580">
        <f t="shared" ref="E122:AH122" si="148">E116-E120*E116/SUM(E116:E118)</f>
        <v>2420331.6300675804</v>
      </c>
      <c r="F122" s="580">
        <f t="shared" si="148"/>
        <v>2371958.4881103039</v>
      </c>
      <c r="G122" s="580">
        <f t="shared" si="148"/>
        <v>2323812.1635102085</v>
      </c>
      <c r="H122" s="580">
        <f t="shared" si="148"/>
        <v>2276109.2744334186</v>
      </c>
      <c r="I122" s="580">
        <f t="shared" si="148"/>
        <v>2225242.6661979416</v>
      </c>
      <c r="J122" s="580">
        <f t="shared" si="148"/>
        <v>2175982.3625262324</v>
      </c>
      <c r="K122" s="580">
        <f t="shared" si="148"/>
        <v>2127425.5375600862</v>
      </c>
      <c r="L122" s="580">
        <f t="shared" si="148"/>
        <v>2079584.8789569139</v>
      </c>
      <c r="M122" s="580">
        <f t="shared" si="148"/>
        <v>2032448.6870921762</v>
      </c>
      <c r="N122" s="580">
        <f t="shared" si="148"/>
        <v>1985974.5286796631</v>
      </c>
      <c r="O122" s="580">
        <f t="shared" si="148"/>
        <v>1922411.0688741507</v>
      </c>
      <c r="P122" s="580">
        <f t="shared" si="148"/>
        <v>1872051.2549779266</v>
      </c>
      <c r="Q122" s="580">
        <f t="shared" si="148"/>
        <v>1822429.7540246532</v>
      </c>
      <c r="R122" s="580">
        <f t="shared" si="148"/>
        <v>1773510.9569585116</v>
      </c>
      <c r="S122" s="580">
        <f t="shared" si="148"/>
        <v>1725386.427922823</v>
      </c>
      <c r="T122" s="580">
        <f t="shared" si="148"/>
        <v>1675380.8949018586</v>
      </c>
      <c r="U122" s="580">
        <f t="shared" si="148"/>
        <v>1626733.7884131591</v>
      </c>
      <c r="V122" s="580">
        <f t="shared" si="148"/>
        <v>1579693.2688741591</v>
      </c>
      <c r="W122" s="580">
        <f t="shared" si="148"/>
        <v>1534410.4244048458</v>
      </c>
      <c r="X122" s="580">
        <f t="shared" si="148"/>
        <v>1490913.2165600492</v>
      </c>
      <c r="Y122" s="580">
        <f t="shared" si="148"/>
        <v>1440435.0791625089</v>
      </c>
      <c r="Z122" s="580">
        <f t="shared" si="148"/>
        <v>1391781.942766238</v>
      </c>
      <c r="AA122" s="580">
        <f t="shared" si="148"/>
        <v>1344892.6037725387</v>
      </c>
      <c r="AB122" s="580">
        <f t="shared" si="148"/>
        <v>1299584.6913896219</v>
      </c>
      <c r="AC122" s="580">
        <f t="shared" si="148"/>
        <v>1255738.0149323239</v>
      </c>
      <c r="AD122" s="580">
        <f t="shared" si="148"/>
        <v>1212240.1488922755</v>
      </c>
      <c r="AE122" s="580">
        <f t="shared" si="148"/>
        <v>1170039.8168564613</v>
      </c>
      <c r="AF122" s="580">
        <f t="shared" si="148"/>
        <v>1129051.3342422524</v>
      </c>
      <c r="AG122" s="580">
        <f t="shared" si="148"/>
        <v>1089196.252538101</v>
      </c>
      <c r="AH122" s="580">
        <f t="shared" si="148"/>
        <v>1050400.5776572016</v>
      </c>
      <c r="AI122" s="580"/>
      <c r="AJ122" s="580">
        <f>AJ116-AJ120*AJ116/SUM(AJ116:AJ118)</f>
        <v>2469049.3772952417</v>
      </c>
      <c r="AK122" s="580">
        <f t="shared" ref="AK122:BN122" si="149">AK116-AK120*AK116/SUM(AK116:AK118)</f>
        <v>2433608.1761686662</v>
      </c>
      <c r="AL122" s="580">
        <f t="shared" si="149"/>
        <v>2398390.9645351651</v>
      </c>
      <c r="AM122" s="580">
        <f t="shared" si="149"/>
        <v>2363282.9576164973</v>
      </c>
      <c r="AN122" s="580">
        <f t="shared" si="149"/>
        <v>2328503.3273716937</v>
      </c>
      <c r="AO122" s="580">
        <f t="shared" si="149"/>
        <v>2290386.4741117302</v>
      </c>
      <c r="AP122" s="580">
        <f t="shared" si="149"/>
        <v>2253758.5177121009</v>
      </c>
      <c r="AQ122" s="580">
        <f t="shared" si="149"/>
        <v>2217720.1707891417</v>
      </c>
      <c r="AR122" s="580">
        <f t="shared" si="149"/>
        <v>2182302.1118152561</v>
      </c>
      <c r="AS122" s="580">
        <f t="shared" si="149"/>
        <v>2147520.7126599601</v>
      </c>
      <c r="AT122" s="580">
        <f t="shared" si="149"/>
        <v>2113374.7188604376</v>
      </c>
      <c r="AU122" s="580">
        <f t="shared" si="149"/>
        <v>2065226.9731766912</v>
      </c>
      <c r="AV122" s="580">
        <f t="shared" si="149"/>
        <v>2029469.2026938251</v>
      </c>
      <c r="AW122" s="580">
        <f t="shared" si="149"/>
        <v>1994519.9603657918</v>
      </c>
      <c r="AX122" s="580">
        <f t="shared" si="149"/>
        <v>1960350.2195875524</v>
      </c>
      <c r="AY122" s="580">
        <f t="shared" si="149"/>
        <v>1927001.1536569837</v>
      </c>
      <c r="AZ122" s="580">
        <f t="shared" si="149"/>
        <v>1891516.2544626649</v>
      </c>
      <c r="BA122" s="580">
        <f t="shared" si="149"/>
        <v>1857145.98865899</v>
      </c>
      <c r="BB122" s="580">
        <f t="shared" si="149"/>
        <v>1824007.3480887609</v>
      </c>
      <c r="BC122" s="580">
        <f t="shared" si="149"/>
        <v>1792166.3030808354</v>
      </c>
      <c r="BD122" s="580">
        <f t="shared" si="149"/>
        <v>1761624.0147765835</v>
      </c>
      <c r="BE122" s="580">
        <f t="shared" si="149"/>
        <v>1725017.2189337462</v>
      </c>
      <c r="BF122" s="580">
        <f t="shared" si="149"/>
        <v>1689781.0848918466</v>
      </c>
      <c r="BG122" s="580">
        <f t="shared" si="149"/>
        <v>1655904.4389560095</v>
      </c>
      <c r="BH122" s="580">
        <f t="shared" si="149"/>
        <v>1623258.6774482273</v>
      </c>
      <c r="BI122" s="580">
        <f t="shared" si="149"/>
        <v>1591769.6882259895</v>
      </c>
      <c r="BJ122" s="580">
        <f t="shared" si="149"/>
        <v>1560239.8681258727</v>
      </c>
      <c r="BK122" s="580">
        <f t="shared" si="149"/>
        <v>1529761.8130404633</v>
      </c>
      <c r="BL122" s="580">
        <f t="shared" si="149"/>
        <v>1500272.0491549112</v>
      </c>
      <c r="BM122" s="580">
        <f t="shared" si="149"/>
        <v>1471708.6503930467</v>
      </c>
      <c r="BN122" s="580">
        <f t="shared" si="149"/>
        <v>1444009.8594650978</v>
      </c>
      <c r="BQ122" s="649"/>
      <c r="BR122" s="649"/>
      <c r="BS122" s="649"/>
      <c r="BT122" s="649"/>
      <c r="BU122" s="649"/>
      <c r="BV122" s="649"/>
      <c r="BW122" s="649"/>
      <c r="BX122" s="649"/>
      <c r="BY122" s="649"/>
      <c r="BZ122" s="649"/>
      <c r="CA122" s="649"/>
      <c r="CB122" s="649"/>
      <c r="CC122" s="649"/>
      <c r="CD122" s="649"/>
      <c r="CE122" s="649"/>
      <c r="CF122" s="649"/>
      <c r="CG122" s="649"/>
      <c r="CH122" s="649"/>
      <c r="CI122" s="649"/>
      <c r="CJ122" s="649"/>
      <c r="CK122" s="649"/>
      <c r="CL122" s="649"/>
    </row>
    <row r="123" spans="1:90">
      <c r="A123" s="603"/>
      <c r="B123" s="1" t="s">
        <v>717</v>
      </c>
      <c r="C123" s="50" t="s">
        <v>1420</v>
      </c>
      <c r="D123" s="576">
        <f>D117-D119*'Overall recycling rates'!$G$61/SUM('Overall recycling rates'!$G$61:$G$62)-D120*D117/SUM(D116:D118)</f>
        <v>1125723.3706053086</v>
      </c>
      <c r="E123" s="576">
        <f>E117-E119*'Overall recycling rates'!$G$61/SUM('Overall recycling rates'!$G$61:$G$62)-E120*E117/SUM(E116:E118)</f>
        <v>1099009.91916256</v>
      </c>
      <c r="F123" s="576">
        <f>F117-F119*'Overall recycling rates'!$G$61/SUM('Overall recycling rates'!$G$61:$G$62)-F120*F117/SUM(F116:F118)</f>
        <v>1072951.912516061</v>
      </c>
      <c r="G123" s="576">
        <f>G117-G119*'Overall recycling rates'!$G$61/SUM('Overall recycling rates'!$G$61:$G$62)-G120*G117/SUM(G116:G118)</f>
        <v>1047213.3857808607</v>
      </c>
      <c r="H123" s="576">
        <f>H117-H119*'Overall recycling rates'!$G$61/SUM('Overall recycling rates'!$G$61:$G$62)-H120*H117/SUM(H116:H118)</f>
        <v>1021910.1716060605</v>
      </c>
      <c r="I123" s="576">
        <f>I117-I119*'Overall recycling rates'!$G$61/SUM('Overall recycling rates'!$G$61:$G$62)-I120*I117/SUM(I116:I118)</f>
        <v>996380.67347216082</v>
      </c>
      <c r="J123" s="576">
        <f>J117-J119*'Overall recycling rates'!$G$61/SUM('Overall recycling rates'!$G$61:$G$62)-J120*J117/SUM(J116:J118)</f>
        <v>971548.75292720064</v>
      </c>
      <c r="K123" s="576">
        <f>K117-K119*'Overall recycling rates'!$G$61/SUM('Overall recycling rates'!$G$61:$G$62)-K120*K117/SUM(K116:K118)</f>
        <v>947175.18749634817</v>
      </c>
      <c r="L123" s="576">
        <f>L117-L119*'Overall recycling rates'!$G$61/SUM('Overall recycling rates'!$G$61:$G$62)-L120*L117/SUM(L116:L118)</f>
        <v>923244.16209530691</v>
      </c>
      <c r="M123" s="576">
        <f>M117-M119*'Overall recycling rates'!$G$61/SUM('Overall recycling rates'!$G$61:$G$62)-M120*M117/SUM(M116:M118)</f>
        <v>899729.33462410164</v>
      </c>
      <c r="N123" s="576">
        <f>N117-N119*'Overall recycling rates'!$G$61/SUM('Overall recycling rates'!$G$61:$G$62)-N120*N117/SUM(N116:N118)</f>
        <v>876590.97911092907</v>
      </c>
      <c r="O123" s="576">
        <f>O117-O119*'Overall recycling rates'!$G$61/SUM('Overall recycling rates'!$G$61:$G$62)-O120*O117/SUM(O116:O118)</f>
        <v>839423.53530633298</v>
      </c>
      <c r="P123" s="576">
        <f>P117-P119*'Overall recycling rates'!$G$61/SUM('Overall recycling rates'!$G$61:$G$62)-P120*P117/SUM(P116:P118)</f>
        <v>803928.38724947837</v>
      </c>
      <c r="Q123" s="576">
        <f>Q117-Q119*'Overall recycling rates'!$G$61/SUM('Overall recycling rates'!$G$61:$G$62)-Q120*Q117/SUM(Q116:Q118)</f>
        <v>768854.19577548408</v>
      </c>
      <c r="R123" s="576">
        <f>R117-R119*'Overall recycling rates'!$G$61/SUM('Overall recycling rates'!$G$61:$G$62)-R120*R117/SUM(R116:R118)</f>
        <v>734183.78935504123</v>
      </c>
      <c r="S123" s="576">
        <f>S117-S119*'Overall recycling rates'!$G$61/SUM('Overall recycling rates'!$G$61:$G$62)-S120*S117/SUM(S116:S118)</f>
        <v>699957.33496917982</v>
      </c>
      <c r="T123" s="576">
        <f>T117-T119*'Overall recycling rates'!$G$61/SUM('Overall recycling rates'!$G$61:$G$62)-T120*T117/SUM(T116:T118)</f>
        <v>665727.35800805246</v>
      </c>
      <c r="U123" s="576">
        <f>U117-U119*'Overall recycling rates'!$G$61/SUM('Overall recycling rates'!$G$61:$G$62)-U120*U117/SUM(U116:U118)</f>
        <v>632153.29816746572</v>
      </c>
      <c r="V123" s="576">
        <f>V117-V119*'Overall recycling rates'!$G$61/SUM('Overall recycling rates'!$G$61:$G$62)-V120*V117/SUM(V116:V118)</f>
        <v>599329.51730832958</v>
      </c>
      <c r="W123" s="576">
        <f>W117-W119*'Overall recycling rates'!$G$61/SUM('Overall recycling rates'!$G$61:$G$62)-W120*W117/SUM(W116:W118)</f>
        <v>567302.32546127192</v>
      </c>
      <c r="X123" s="576">
        <f>X117-X119*'Overall recycling rates'!$G$61/SUM('Overall recycling rates'!$G$61:$G$62)-X120*X117/SUM(X116:X118)</f>
        <v>536062.97248001839</v>
      </c>
      <c r="Y123" s="576">
        <f>Y117-Y119*'Overall recycling rates'!$G$61/SUM('Overall recycling rates'!$G$61:$G$62)-Y120*Y117/SUM(Y116:Y118)</f>
        <v>509286.47165421949</v>
      </c>
      <c r="Z123" s="576">
        <f>Z117-Z119*'Overall recycling rates'!$G$61/SUM('Overall recycling rates'!$G$61:$G$62)-Z120*Z117/SUM(Z116:Z118)</f>
        <v>483183.84951794782</v>
      </c>
      <c r="AA123" s="576">
        <f>AA117-AA119*'Overall recycling rates'!$G$61/SUM('Overall recycling rates'!$G$61:$G$62)-AA120*AA117/SUM(AA116:AA118)</f>
        <v>457716.27470437426</v>
      </c>
      <c r="AB123" s="576">
        <f>AB117-AB119*'Overall recycling rates'!$G$61/SUM('Overall recycling rates'!$G$61:$G$62)-AB120*AB117/SUM(AB116:AB118)</f>
        <v>432802.44409551605</v>
      </c>
      <c r="AC123" s="576">
        <f>AC117-AC119*'Overall recycling rates'!$G$61/SUM('Overall recycling rates'!$G$61:$G$62)-AC120*AC117/SUM(AC116:AC118)</f>
        <v>408387.9595334669</v>
      </c>
      <c r="AD123" s="576">
        <f>AD117-AD119*'Overall recycling rates'!$G$61/SUM('Overall recycling rates'!$G$61:$G$62)-AD120*AD117/SUM(AD116:AD118)</f>
        <v>384280.20440460235</v>
      </c>
      <c r="AE123" s="576">
        <f>AE117-AE119*'Overall recycling rates'!$G$61/SUM('Overall recycling rates'!$G$61:$G$62)-AE120*AE117/SUM(AE116:AE118)</f>
        <v>360603.31122658332</v>
      </c>
      <c r="AF123" s="576">
        <f>AF117-AF119*'Overall recycling rates'!$G$61/SUM('Overall recycling rates'!$G$61:$G$62)-AF120*AF117/SUM(AF116:AF118)</f>
        <v>337326.82254175545</v>
      </c>
      <c r="AG123" s="576">
        <f>AG117-AG119*'Overall recycling rates'!$G$61/SUM('Overall recycling rates'!$G$61:$G$62)-AG120*AG117/SUM(AG116:AG118)</f>
        <v>314425.70739619911</v>
      </c>
      <c r="AH123" s="576">
        <f>AH117-AH119*'Overall recycling rates'!$G$61/SUM('Overall recycling rates'!$G$61:$G$62)-AH120*AH117/SUM(AH116:AH118)</f>
        <v>291879.12618402269</v>
      </c>
      <c r="AI123" s="576"/>
      <c r="AJ123" s="576">
        <f>AJ117-AJ119*'Overall recycling rates'!$G$61/SUM('Overall recycling rates'!$G$61:$G$62)-AJ120*AJ117/SUM(AJ116:AJ118)</f>
        <v>1125723.9397321779</v>
      </c>
      <c r="AK123" s="576">
        <f>AK117-AK119*'Overall recycling rates'!$G$61/SUM('Overall recycling rates'!$G$61:$G$62)-AK120*AK117/SUM(AK116:AK118)</f>
        <v>1102426.1135729786</v>
      </c>
      <c r="AL123" s="576">
        <f>AL117-AL119*'Overall recycling rates'!$G$61/SUM('Overall recycling rates'!$G$61:$G$62)-AL120*AL117/SUM(AL116:AL118)</f>
        <v>1079749.3738023739</v>
      </c>
      <c r="AM123" s="576">
        <f>AM117-AM119*'Overall recycling rates'!$G$61/SUM('Overall recycling rates'!$G$61:$G$62)-AM120*AM117/SUM(AM116:AM118)</f>
        <v>1057358.4624663184</v>
      </c>
      <c r="AN123" s="576">
        <f>AN117-AN119*'Overall recycling rates'!$G$61/SUM('Overall recycling rates'!$G$61:$G$62)-AN120*AN117/SUM(AN116:AN118)</f>
        <v>1035370.2796460163</v>
      </c>
      <c r="AO123" s="576">
        <f>AO117-AO119*'Overall recycling rates'!$G$61/SUM('Overall recycling rates'!$G$61:$G$62)-AO120*AO117/SUM(AO116:AO118)</f>
        <v>1013113.6822025996</v>
      </c>
      <c r="AP123" s="576">
        <f>AP117-AP119*'Overall recycling rates'!$G$61/SUM('Overall recycling rates'!$G$61:$G$62)-AP120*AP117/SUM(AP116:AP118)</f>
        <v>991524.34991032991</v>
      </c>
      <c r="AQ123" s="576">
        <f>AQ117-AQ119*'Overall recycling rates'!$G$61/SUM('Overall recycling rates'!$G$61:$G$62)-AQ120*AQ117/SUM(AQ116:AQ118)</f>
        <v>970366.56701149489</v>
      </c>
      <c r="AR123" s="576">
        <f>AR117-AR119*'Overall recycling rates'!$G$61/SUM('Overall recycling rates'!$G$61:$G$62)-AR120*AR117/SUM(AR116:AR118)</f>
        <v>949632.49106606934</v>
      </c>
      <c r="AS123" s="576">
        <f>AS117-AS119*'Overall recycling rates'!$G$61/SUM('Overall recycling rates'!$G$61:$G$62)-AS120*AS117/SUM(AS116:AS118)</f>
        <v>929308.3153878029</v>
      </c>
      <c r="AT123" s="576">
        <f>AT117-AT119*'Overall recycling rates'!$G$61/SUM('Overall recycling rates'!$G$61:$G$62)-AT120*AT117/SUM(AT116:AT118)</f>
        <v>909372.77820180368</v>
      </c>
      <c r="AU123" s="576">
        <f>AU117-AU119*'Overall recycling rates'!$G$61/SUM('Overall recycling rates'!$G$61:$G$62)-AU120*AU117/SUM(AU116:AU118)</f>
        <v>876045.41109922272</v>
      </c>
      <c r="AV123" s="576">
        <f>AV117-AV119*'Overall recycling rates'!$G$61/SUM('Overall recycling rates'!$G$61:$G$62)-AV120*AV117/SUM(AV116:AV118)</f>
        <v>844823.36171386659</v>
      </c>
      <c r="AW123" s="576">
        <f>AW117-AW119*'Overall recycling rates'!$G$61/SUM('Overall recycling rates'!$G$61:$G$62)-AW120*AW117/SUM(AW116:AW118)</f>
        <v>814076.31450062548</v>
      </c>
      <c r="AX123" s="576">
        <f>AX117-AX119*'Overall recycling rates'!$G$61/SUM('Overall recycling rates'!$G$61:$G$62)-AX120*AX117/SUM(AX116:AX118)</f>
        <v>783783.27149552386</v>
      </c>
      <c r="AY123" s="576">
        <f>AY117-AY119*'Overall recycling rates'!$G$61/SUM('Overall recycling rates'!$G$61:$G$62)-AY120*AY117/SUM(AY116:AY118)</f>
        <v>753955.57089081232</v>
      </c>
      <c r="AZ123" s="576">
        <f>AZ117-AZ119*'Overall recycling rates'!$G$61/SUM('Overall recycling rates'!$G$61:$G$62)-AZ120*AZ117/SUM(AZ116:AZ118)</f>
        <v>724064.54912902217</v>
      </c>
      <c r="BA123" s="576">
        <f>BA117-BA119*'Overall recycling rates'!$G$61/SUM('Overall recycling rates'!$G$61:$G$62)-BA120*BA117/SUM(BA116:BA118)</f>
        <v>694733.6040754756</v>
      </c>
      <c r="BB123" s="576">
        <f>BB117-BB119*'Overall recycling rates'!$G$61/SUM('Overall recycling rates'!$G$61:$G$62)-BB120*BB117/SUM(BB116:BB118)</f>
        <v>666003.56368619378</v>
      </c>
      <c r="BC123" s="576">
        <f>BC117-BC119*'Overall recycling rates'!$G$61/SUM('Overall recycling rates'!$G$61:$G$62)-BC120*BC117/SUM(BC116:BC118)</f>
        <v>637890.27565471653</v>
      </c>
      <c r="BD123" s="576">
        <f>BD117-BD119*'Overall recycling rates'!$G$61/SUM('Overall recycling rates'!$G$61:$G$62)-BD120*BD117/SUM(BD116:BD118)</f>
        <v>610380.7303393007</v>
      </c>
      <c r="BE123" s="576">
        <f>BE117-BE119*'Overall recycling rates'!$G$61/SUM('Overall recycling rates'!$G$61:$G$62)-BE120*BE117/SUM(BE116:BE118)</f>
        <v>588396.1692866818</v>
      </c>
      <c r="BF123" s="576">
        <f>BF117-BF119*'Overall recycling rates'!$G$61/SUM('Overall recycling rates'!$G$61:$G$62)-BF120*BF117/SUM(BF116:BF118)</f>
        <v>566924.36336810747</v>
      </c>
      <c r="BG123" s="576">
        <f>BG117-BG119*'Overall recycling rates'!$G$61/SUM('Overall recycling rates'!$G$61:$G$62)-BG120*BG117/SUM(BG116:BG118)</f>
        <v>545948.2653970212</v>
      </c>
      <c r="BH123" s="576">
        <f>BH117-BH119*'Overall recycling rates'!$G$61/SUM('Overall recycling rates'!$G$61:$G$62)-BH120*BH117/SUM(BH116:BH118)</f>
        <v>525408.98262233799</v>
      </c>
      <c r="BI123" s="576">
        <f>BI117-BI119*'Overall recycling rates'!$G$61/SUM('Overall recycling rates'!$G$61:$G$62)-BI120*BI117/SUM(BI116:BI118)</f>
        <v>505270.93911541032</v>
      </c>
      <c r="BJ123" s="576">
        <f>BJ117-BJ119*'Overall recycling rates'!$G$61/SUM('Overall recycling rates'!$G$61:$G$62)-BJ120*BJ117/SUM(BJ116:BJ118)</f>
        <v>485334.25255124108</v>
      </c>
      <c r="BK123" s="576">
        <f>BK117-BK119*'Overall recycling rates'!$G$61/SUM('Overall recycling rates'!$G$61:$G$62)-BK120*BK117/SUM(BK116:BK118)</f>
        <v>465755.30366659467</v>
      </c>
      <c r="BL123" s="576">
        <f>BL117-BL119*'Overall recycling rates'!$G$61/SUM('Overall recycling rates'!$G$61:$G$62)-BL120*BL117/SUM(BL116:BL118)</f>
        <v>446512.20753308554</v>
      </c>
      <c r="BM123" s="576">
        <f>BM117-BM119*'Overall recycling rates'!$G$61/SUM('Overall recycling rates'!$G$61:$G$62)-BM120*BM117/SUM(BM116:BM118)</f>
        <v>427586.20658218628</v>
      </c>
      <c r="BN123" s="576">
        <f>BN117-BN119*'Overall recycling rates'!$G$61/SUM('Overall recycling rates'!$G$61:$G$62)-BN120*BN117/SUM(BN116:BN118)</f>
        <v>408961.03192053363</v>
      </c>
    </row>
    <row r="124" spans="1:90" s="62" customFormat="1">
      <c r="A124" s="604"/>
      <c r="B124" s="58" t="s">
        <v>1170</v>
      </c>
      <c r="C124" s="233" t="s">
        <v>1420</v>
      </c>
      <c r="D124" s="579">
        <f>D118-D119*'Overall recycling rates'!$G$62/SUM('Overall recycling rates'!$G$61:$G$62)-D120*D118/SUM(D116:D118)</f>
        <v>4301301.7696158849</v>
      </c>
      <c r="E124" s="579">
        <f>E118-E119*'Overall recycling rates'!$G$62/SUM('Overall recycling rates'!$G$61:$G$62)-E120*E118/SUM(E116:E118)</f>
        <v>4234113.483554177</v>
      </c>
      <c r="F124" s="579">
        <f>F118-F119*'Overall recycling rates'!$G$62/SUM('Overall recycling rates'!$G$61:$G$62)-F120*F118/SUM(F116:F118)</f>
        <v>4170653.4831097508</v>
      </c>
      <c r="G124" s="579">
        <f>G118-G119*'Overall recycling rates'!$G$62/SUM('Overall recycling rates'!$G$61:$G$62)-G120*G118/SUM(G116:G118)</f>
        <v>4108622.2508565015</v>
      </c>
      <c r="H124" s="579">
        <f>H118-H119*'Overall recycling rates'!$G$62/SUM('Overall recycling rates'!$G$61:$G$62)-H120*H118/SUM(H116:H118)</f>
        <v>4048635.5298458654</v>
      </c>
      <c r="I124" s="579">
        <f>I118-I119*'Overall recycling rates'!$G$62/SUM('Overall recycling rates'!$G$61:$G$62)-I120*I118/SUM(I116:I118)</f>
        <v>3987093.2637675912</v>
      </c>
      <c r="J124" s="579">
        <f>J118-J119*'Overall recycling rates'!$G$62/SUM('Overall recycling rates'!$G$61:$G$62)-J120*J118/SUM(J116:J118)</f>
        <v>3927946.85111778</v>
      </c>
      <c r="K124" s="579">
        <f>K118-K119*'Overall recycling rates'!$G$62/SUM('Overall recycling rates'!$G$61:$G$62)-K120*K118/SUM(K116:K118)</f>
        <v>3870356.7800803338</v>
      </c>
      <c r="L124" s="579">
        <f>L118-L119*'Overall recycling rates'!$G$62/SUM('Overall recycling rates'!$G$61:$G$62)-L120*L118/SUM(L116:L118)</f>
        <v>3814094.7359705041</v>
      </c>
      <c r="M124" s="579">
        <f>M118-M119*'Overall recycling rates'!$G$62/SUM('Overall recycling rates'!$G$61:$G$62)-M120*M118/SUM(M116:M118)</f>
        <v>3758891.6964973598</v>
      </c>
      <c r="N124" s="579">
        <f>N118-N119*'Overall recycling rates'!$G$62/SUM('Overall recycling rates'!$G$61:$G$62)-N120*N118/SUM(N116:N118)</f>
        <v>3704422.1729439362</v>
      </c>
      <c r="O124" s="579">
        <f>O118-O119*'Overall recycling rates'!$G$62/SUM('Overall recycling rates'!$G$61:$G$62)-O120*O118/SUM(O116:O118)</f>
        <v>3593753.2040628074</v>
      </c>
      <c r="P124" s="579">
        <f>P118-P119*'Overall recycling rates'!$G$62/SUM('Overall recycling rates'!$G$61:$G$62)-P120*P118/SUM(P116:P118)</f>
        <v>3518405.3927018153</v>
      </c>
      <c r="Q124" s="579">
        <f>Q118-Q119*'Overall recycling rates'!$G$62/SUM('Overall recycling rates'!$G$61:$G$62)-Q120*Q118/SUM(Q116:Q118)</f>
        <v>3442434.840611361</v>
      </c>
      <c r="R124" s="579">
        <f>R118-R119*'Overall recycling rates'!$G$62/SUM('Overall recycling rates'!$G$61:$G$62)-R120*R118/SUM(R116:R118)</f>
        <v>3365731.3162858002</v>
      </c>
      <c r="S124" s="579">
        <f>S118-S119*'Overall recycling rates'!$G$62/SUM('Overall recycling rates'!$G$61:$G$62)-S120*S118/SUM(S116:S118)</f>
        <v>3288458.4413122488</v>
      </c>
      <c r="T124" s="579">
        <f>T118-T119*'Overall recycling rates'!$G$62/SUM('Overall recycling rates'!$G$61:$G$62)-T120*T118/SUM(T116:T118)</f>
        <v>3208237.036039439</v>
      </c>
      <c r="U124" s="579">
        <f>U118-U119*'Overall recycling rates'!$G$62/SUM('Overall recycling rates'!$G$61:$G$62)-U120*U118/SUM(U116:U118)</f>
        <v>3128538.0547631509</v>
      </c>
      <c r="V124" s="579">
        <f>V118-V119*'Overall recycling rates'!$G$62/SUM('Overall recycling rates'!$G$61:$G$62)-V120*V118/SUM(V116:V118)</f>
        <v>3049947.4015330258</v>
      </c>
      <c r="W124" s="579">
        <f>W118-W119*'Overall recycling rates'!$G$62/SUM('Overall recycling rates'!$G$61:$G$62)-W120*W118/SUM(W116:W118)</f>
        <v>2972853.6378253438</v>
      </c>
      <c r="X124" s="579">
        <f>X118-X119*'Overall recycling rates'!$G$62/SUM('Overall recycling rates'!$G$61:$G$62)-X120*X118/SUM(X116:X118)</f>
        <v>2897382.5016647284</v>
      </c>
      <c r="Y124" s="579">
        <f>Y118-Y119*'Overall recycling rates'!$G$62/SUM('Overall recycling rates'!$G$61:$G$62)-Y120*Y118/SUM(Y116:Y118)</f>
        <v>2820829.6447847476</v>
      </c>
      <c r="Z124" s="579">
        <f>Z118-Z119*'Overall recycling rates'!$G$62/SUM('Overall recycling rates'!$G$61:$G$62)-Z120*Z118/SUM(Z116:Z118)</f>
        <v>2746067.8557196162</v>
      </c>
      <c r="AA124" s="579">
        <f>AA118-AA119*'Overall recycling rates'!$G$62/SUM('Overall recycling rates'!$G$61:$G$62)-AA120*AA118/SUM(AA116:AA118)</f>
        <v>2672867.5385124027</v>
      </c>
      <c r="AB124" s="579">
        <f>AB118-AB119*'Overall recycling rates'!$G$62/SUM('Overall recycling rates'!$G$61:$G$62)-AB120*AB118/SUM(AB116:AB118)</f>
        <v>2600942.2443635697</v>
      </c>
      <c r="AC124" s="579">
        <f>AC118-AC119*'Overall recycling rates'!$G$62/SUM('Overall recycling rates'!$G$61:$G$62)-AC120*AC118/SUM(AC116:AC118)</f>
        <v>2530059.4977868116</v>
      </c>
      <c r="AD124" s="579">
        <f>AD118-AD119*'Overall recycling rates'!$G$62/SUM('Overall recycling rates'!$G$61:$G$62)-AD120*AD118/SUM(AD116:AD118)</f>
        <v>2459369.61206723</v>
      </c>
      <c r="AE124" s="579">
        <f>AE118-AE119*'Overall recycling rates'!$G$62/SUM('Overall recycling rates'!$G$61:$G$62)-AE120*AE118/SUM(AE116:AE118)</f>
        <v>2389503.6088235956</v>
      </c>
      <c r="AF124" s="579">
        <f>AF118-AF119*'Overall recycling rates'!$G$62/SUM('Overall recycling rates'!$G$61:$G$62)-AF120*AF118/SUM(AF116:AF118)</f>
        <v>2320365.7113358905</v>
      </c>
      <c r="AG124" s="579">
        <f>AG118-AG119*'Overall recycling rates'!$G$62/SUM('Overall recycling rates'!$G$61:$G$62)-AG120*AG118/SUM(AG116:AG118)</f>
        <v>2251894.6184194833</v>
      </c>
      <c r="AH124" s="579">
        <f>AH118-AH119*'Overall recycling rates'!$G$62/SUM('Overall recycling rates'!$G$61:$G$62)-AH120*AH118/SUM(AH116:AH118)</f>
        <v>2184057.7332659615</v>
      </c>
      <c r="AI124" s="579"/>
      <c r="AJ124" s="579">
        <f>AJ118-AJ119*'Overall recycling rates'!$G$62/SUM('Overall recycling rates'!$G$61:$G$62)-AJ120*AJ118/SUM(AJ116:AJ118)</f>
        <v>4301303.944205801</v>
      </c>
      <c r="AK124" s="579">
        <f>AK118-AK119*'Overall recycling rates'!$G$62/SUM('Overall recycling rates'!$G$61:$G$62)-AK120*AK118/SUM(AK116:AK118)</f>
        <v>4251014.2573522124</v>
      </c>
      <c r="AL124" s="579">
        <f>AL118-AL119*'Overall recycling rates'!$G$62/SUM('Overall recycling rates'!$G$61:$G$62)-AL120*AL118/SUM(AL116:AL118)</f>
        <v>4204293.7824449185</v>
      </c>
      <c r="AM124" s="579">
        <f>AM118-AM119*'Overall recycling rates'!$G$62/SUM('Overall recycling rates'!$G$61:$G$62)-AM120*AM118/SUM(AM116:AM118)</f>
        <v>4158845.8681068067</v>
      </c>
      <c r="AN124" s="579">
        <f>AN118-AN119*'Overall recycling rates'!$G$62/SUM('Overall recycling rates'!$G$61:$G$62)-AN120*AN118/SUM(AN116:AN118)</f>
        <v>4115290.6187534663</v>
      </c>
      <c r="AO124" s="579">
        <f>AO118-AO119*'Overall recycling rates'!$G$62/SUM('Overall recycling rates'!$G$61:$G$62)-AO120*AO118/SUM(AO116:AO118)</f>
        <v>4069976.9572701463</v>
      </c>
      <c r="AP124" s="579">
        <f>AP118-AP119*'Overall recycling rates'!$G$62/SUM('Overall recycling rates'!$G$61:$G$62)-AP120*AP118/SUM(AP116:AP118)</f>
        <v>4026914.394108607</v>
      </c>
      <c r="AQ124" s="579">
        <f>AQ118-AQ119*'Overall recycling rates'!$G$62/SUM('Overall recycling rates'!$G$61:$G$62)-AQ120*AQ118/SUM(AQ116:AQ118)</f>
        <v>3985277.005904418</v>
      </c>
      <c r="AR124" s="579">
        <f>AR118-AR119*'Overall recycling rates'!$G$62/SUM('Overall recycling rates'!$G$61:$G$62)-AR120*AR118/SUM(AR116:AR118)</f>
        <v>3944870.7118883068</v>
      </c>
      <c r="AS124" s="579">
        <f>AS118-AS119*'Overall recycling rates'!$G$62/SUM('Overall recycling rates'!$G$61:$G$62)-AS120*AS118/SUM(AS116:AS118)</f>
        <v>3905481.1718507824</v>
      </c>
      <c r="AT124" s="579">
        <f>AT118-AT119*'Overall recycling rates'!$G$62/SUM('Overall recycling rates'!$G$61:$G$62)-AT120*AT118/SUM(AT116:AT118)</f>
        <v>3866864.9719980303</v>
      </c>
      <c r="AU124" s="579">
        <f>AU118-AU119*'Overall recycling rates'!$G$62/SUM('Overall recycling rates'!$G$61:$G$62)-AU120*AU118/SUM(AU116:AU118)</f>
        <v>3775293.3178726425</v>
      </c>
      <c r="AV124" s="579">
        <f>AV118-AV119*'Overall recycling rates'!$G$62/SUM('Overall recycling rates'!$G$61:$G$62)-AV120*AV118/SUM(AV116:AV118)</f>
        <v>3722466.0435155556</v>
      </c>
      <c r="AW124" s="579">
        <f>AW118-AW119*'Overall recycling rates'!$G$62/SUM('Overall recycling rates'!$G$61:$G$62)-AW120*AW118/SUM(AW116:AW118)</f>
        <v>3669246.3401886346</v>
      </c>
      <c r="AX124" s="579">
        <f>AX118-AX119*'Overall recycling rates'!$G$62/SUM('Overall recycling rates'!$G$61:$G$62)-AX120*AX118/SUM(AX116:AX118)</f>
        <v>3615545.5162328267</v>
      </c>
      <c r="AY124" s="579">
        <f>AY118-AY119*'Overall recycling rates'!$G$62/SUM('Overall recycling rates'!$G$61:$G$62)-AY120*AY118/SUM(AY116:AY118)</f>
        <v>3561435.9837687896</v>
      </c>
      <c r="AZ124" s="579">
        <f>AZ118-AZ119*'Overall recycling rates'!$G$62/SUM('Overall recycling rates'!$G$61:$G$62)-AZ120*AZ118/SUM(AZ116:AZ118)</f>
        <v>3504176.4360721731</v>
      </c>
      <c r="BA124" s="579">
        <f>BA118-BA119*'Overall recycling rates'!$G$62/SUM('Overall recycling rates'!$G$61:$G$62)-BA120*BA118/SUM(BA116:BA118)</f>
        <v>3447092.2621723884</v>
      </c>
      <c r="BB124" s="579">
        <f>BB118-BB119*'Overall recycling rates'!$G$62/SUM('Overall recycling rates'!$G$61:$G$62)-BB120*BB118/SUM(BB116:BB118)</f>
        <v>3390498.6709895059</v>
      </c>
      <c r="BC124" s="579">
        <f>BC118-BC119*'Overall recycling rates'!$G$62/SUM('Overall recycling rates'!$G$61:$G$62)-BC120*BC118/SUM(BC116:BC118)</f>
        <v>3334599.5933358655</v>
      </c>
      <c r="BD124" s="579">
        <f>BD118-BD119*'Overall recycling rates'!$G$62/SUM('Overall recycling rates'!$G$61:$G$62)-BD120*BD118/SUM(BD116:BD118)</f>
        <v>3279451.1609640196</v>
      </c>
      <c r="BE124" s="579">
        <f>BE118-BE119*'Overall recycling rates'!$G$62/SUM('Overall recycling rates'!$G$61:$G$62)-BE120*BE118/SUM(BE116:BE118)</f>
        <v>3223525.3767333007</v>
      </c>
      <c r="BF124" s="579">
        <f>BF118-BF119*'Overall recycling rates'!$G$62/SUM('Overall recycling rates'!$G$61:$G$62)-BF120*BF118/SUM(BF116:BF118)</f>
        <v>3168621.2120026858</v>
      </c>
      <c r="BG124" s="579">
        <f>BG118-BG119*'Overall recycling rates'!$G$62/SUM('Overall recycling rates'!$G$61:$G$62)-BG120*BG118/SUM(BG116:BG118)</f>
        <v>3114592.3837975543</v>
      </c>
      <c r="BH124" s="579">
        <f>BH118-BH119*'Overall recycling rates'!$G$62/SUM('Overall recycling rates'!$G$61:$G$62)-BH120*BH118/SUM(BH116:BH118)</f>
        <v>3061249.9810436075</v>
      </c>
      <c r="BI124" s="579">
        <f>BI118-BI119*'Overall recycling rates'!$G$62/SUM('Overall recycling rates'!$G$61:$G$62)-BI120*BI118/SUM(BI116:BI118)</f>
        <v>3008446.8545661545</v>
      </c>
      <c r="BJ124" s="579">
        <f>BJ118-BJ119*'Overall recycling rates'!$G$62/SUM('Overall recycling rates'!$G$61:$G$62)-BJ120*BJ118/SUM(BJ116:BJ118)</f>
        <v>2955288.7869150853</v>
      </c>
      <c r="BK124" s="579">
        <f>BK118-BK119*'Overall recycling rates'!$G$62/SUM('Overall recycling rates'!$G$61:$G$62)-BK120*BK118/SUM(BK116:BK118)</f>
        <v>2902570.0907707978</v>
      </c>
      <c r="BL124" s="579">
        <f>BL118-BL119*'Overall recycling rates'!$G$62/SUM('Overall recycling rates'!$G$61:$G$62)-BL120*BL118/SUM(BL116:BL118)</f>
        <v>2850238.4175986545</v>
      </c>
      <c r="BM124" s="579">
        <f>BM118-BM119*'Overall recycling rates'!$G$62/SUM('Overall recycling rates'!$G$61:$G$62)-BM120*BM118/SUM(BM116:BM118)</f>
        <v>2798265.3572577015</v>
      </c>
      <c r="BN124" s="579">
        <f>BN118-BN119*'Overall recycling rates'!$G$62/SUM('Overall recycling rates'!$G$61:$G$62)-BN120*BN118/SUM(BN116:BN118)</f>
        <v>2746643.1439193995</v>
      </c>
      <c r="BQ124" s="623"/>
      <c r="BR124" s="623"/>
      <c r="BS124" s="623"/>
      <c r="BT124" s="623"/>
      <c r="BU124" s="623"/>
      <c r="BV124" s="623"/>
      <c r="BW124" s="623"/>
      <c r="BX124" s="623"/>
      <c r="BY124" s="623"/>
      <c r="BZ124" s="623"/>
      <c r="CA124" s="623"/>
      <c r="CB124" s="623"/>
      <c r="CC124" s="623"/>
      <c r="CD124" s="623"/>
      <c r="CE124" s="623"/>
      <c r="CF124" s="623"/>
      <c r="CG124" s="623"/>
      <c r="CH124" s="623"/>
      <c r="CI124" s="623"/>
      <c r="CJ124" s="623"/>
      <c r="CK124" s="623"/>
      <c r="CL124" s="623"/>
    </row>
    <row r="125" spans="1:90" s="371" customFormat="1">
      <c r="A125" s="370" t="s">
        <v>647</v>
      </c>
      <c r="C125" s="374" t="s">
        <v>1420</v>
      </c>
      <c r="D125" s="585">
        <f>'BTX Recycling HC'!C370</f>
        <v>433067.77732049633</v>
      </c>
      <c r="E125" s="585">
        <f>'BTX Recycling HC'!D370</f>
        <v>436384.25505355065</v>
      </c>
      <c r="F125" s="585">
        <f>'BTX Recycling HC'!E370</f>
        <v>436450.90313048178</v>
      </c>
      <c r="G125" s="585">
        <f>'BTX Recycling HC'!F370</f>
        <v>435666.47198354581</v>
      </c>
      <c r="H125" s="585">
        <f>'BTX Recycling HC'!G370</f>
        <v>433424.59569201351</v>
      </c>
      <c r="I125" s="585">
        <f>'BTX Recycling HC'!H370</f>
        <v>429846.59374696756</v>
      </c>
      <c r="J125" s="585">
        <f>'BTX Recycling HC'!I370</f>
        <v>424500.48098397854</v>
      </c>
      <c r="K125" s="585">
        <f>'BTX Recycling HC'!J370</f>
        <v>417877.33697182906</v>
      </c>
      <c r="L125" s="585">
        <f>'BTX Recycling HC'!K370</f>
        <v>409966.11117626884</v>
      </c>
      <c r="M125" s="585">
        <f>'BTX Recycling HC'!L370</f>
        <v>400670.27419879584</v>
      </c>
      <c r="N125" s="585">
        <f>'BTX Recycling HC'!M370</f>
        <v>389782.98035698215</v>
      </c>
      <c r="O125" s="585">
        <f>'BTX Recycling HC'!N370</f>
        <v>369230.87205531029</v>
      </c>
      <c r="P125" s="585">
        <f>'BTX Recycling HC'!O370</f>
        <v>347337.50940328307</v>
      </c>
      <c r="Q125" s="585">
        <f>'BTX Recycling HC'!P370</f>
        <v>323827.86900083243</v>
      </c>
      <c r="R125" s="585">
        <f>'BTX Recycling HC'!Q370</f>
        <v>298715.14888505329</v>
      </c>
      <c r="S125" s="585">
        <f>'BTX Recycling HC'!R370</f>
        <v>272428.65474061057</v>
      </c>
      <c r="T125" s="585">
        <f>'BTX Recycling HC'!S370</f>
        <v>245946.19688172697</v>
      </c>
      <c r="U125" s="585">
        <f>'BTX Recycling HC'!T370</f>
        <v>220300.93406571232</v>
      </c>
      <c r="V125" s="585">
        <f>'BTX Recycling HC'!U370</f>
        <v>196545.55682539445</v>
      </c>
      <c r="W125" s="585">
        <f>'BTX Recycling HC'!V370</f>
        <v>175383.56482752983</v>
      </c>
      <c r="X125" s="585">
        <f>'BTX Recycling HC'!W370</f>
        <v>157070.82460105969</v>
      </c>
      <c r="Y125" s="585">
        <f>'BTX Recycling HC'!X370</f>
        <v>144208.52339173667</v>
      </c>
      <c r="Z125" s="585">
        <f>'BTX Recycling HC'!Y370</f>
        <v>133191.89669631241</v>
      </c>
      <c r="AA125" s="585">
        <f>'BTX Recycling HC'!Z370</f>
        <v>123698.29679754448</v>
      </c>
      <c r="AB125" s="585">
        <f>'BTX Recycling HC'!AA370</f>
        <v>115432.71867938025</v>
      </c>
      <c r="AC125" s="585">
        <f>'BTX Recycling HC'!AB370</f>
        <v>108112.43143049223</v>
      </c>
      <c r="AD125" s="585">
        <f>'BTX Recycling HC'!AC370</f>
        <v>101427.67630327122</v>
      </c>
      <c r="AE125" s="585">
        <f>'BTX Recycling HC'!AD370</f>
        <v>95281.426732907406</v>
      </c>
      <c r="AF125" s="585">
        <f>'BTX Recycling HC'!AE370</f>
        <v>89549.498853620782</v>
      </c>
      <c r="AG125" s="585">
        <f>'BTX Recycling HC'!AF370</f>
        <v>84145.529971065698</v>
      </c>
      <c r="AH125" s="585">
        <f>'BTX Recycling HC'!AG370</f>
        <v>79011.216241843766</v>
      </c>
      <c r="AI125" s="575"/>
      <c r="AJ125" s="585">
        <f>'BTX Recycling LC'!C370</f>
        <v>433071.76930267614</v>
      </c>
      <c r="AK125" s="585">
        <f>'BTX Recycling LC'!D370</f>
        <v>436392.04461177147</v>
      </c>
      <c r="AL125" s="585">
        <f>'BTX Recycling LC'!E370</f>
        <v>436465.96396518842</v>
      </c>
      <c r="AM125" s="585">
        <f>'BTX Recycling LC'!F370</f>
        <v>435695.46521037177</v>
      </c>
      <c r="AN125" s="585">
        <f>'BTX Recycling LC'!G370</f>
        <v>433480.036298958</v>
      </c>
      <c r="AO125" s="585">
        <f>'BTX Recycling LC'!H370</f>
        <v>429951.78330291092</v>
      </c>
      <c r="AP125" s="585">
        <f>'BTX Recycling LC'!I370</f>
        <v>424697.94207919517</v>
      </c>
      <c r="AQ125" s="585">
        <f>'BTX Recycling LC'!J370</f>
        <v>418243.57742195571</v>
      </c>
      <c r="AR125" s="585">
        <f>'BTX Recycling LC'!K370</f>
        <v>410635.08721661859</v>
      </c>
      <c r="AS125" s="585">
        <f>'BTX Recycling LC'!L370</f>
        <v>401868.5004571235</v>
      </c>
      <c r="AT125" s="585">
        <f>'BTX Recycling LC'!M370</f>
        <v>391875.97706037189</v>
      </c>
      <c r="AU125" s="585">
        <f>'BTX Recycling LC'!N370</f>
        <v>372699.88265536213</v>
      </c>
      <c r="AV125" s="585">
        <f>'BTX Recycling LC'!O370</f>
        <v>352869.53598505096</v>
      </c>
      <c r="AW125" s="585">
        <f>'BTX Recycling LC'!P370</f>
        <v>332250.75707288168</v>
      </c>
      <c r="AX125" s="585">
        <f>'BTX Recycling LC'!Q370</f>
        <v>310876.95589368907</v>
      </c>
      <c r="AY125" s="585">
        <f>'BTX Recycling LC'!R370</f>
        <v>289002.95511515113</v>
      </c>
      <c r="AZ125" s="585">
        <f>'BTX Recycling LC'!S370</f>
        <v>267237.89673410897</v>
      </c>
      <c r="BA125" s="585">
        <f>'BTX Recycling LC'!T370</f>
        <v>246120.12402644622</v>
      </c>
      <c r="BB125" s="585">
        <f>'BTX Recycling LC'!U370</f>
        <v>226242.08326386969</v>
      </c>
      <c r="BC125" s="585">
        <f>'BTX Recycling LC'!V370</f>
        <v>208002.25845841019</v>
      </c>
      <c r="BD125" s="585">
        <f>'BTX Recycling LC'!W370</f>
        <v>191551.08654721727</v>
      </c>
      <c r="BE125" s="585">
        <f>'BTX Recycling LC'!X370</f>
        <v>180230.56893047091</v>
      </c>
      <c r="BF125" s="585">
        <f>'BTX Recycling LC'!Y370</f>
        <v>169907.28772158644</v>
      </c>
      <c r="BG125" s="585">
        <f>'BTX Recycling LC'!Z370</f>
        <v>160408.11500118283</v>
      </c>
      <c r="BH125" s="585">
        <f>'BTX Recycling LC'!AA370</f>
        <v>151606.20655623911</v>
      </c>
      <c r="BI125" s="585">
        <f>'BTX Recycling LC'!AB370</f>
        <v>143363.55654349446</v>
      </c>
      <c r="BJ125" s="585">
        <f>'BTX Recycling LC'!AC370</f>
        <v>135461.02424262665</v>
      </c>
      <c r="BK125" s="585">
        <f>'BTX Recycling LC'!AD370</f>
        <v>127916.85035984803</v>
      </c>
      <c r="BL125" s="585">
        <f>'BTX Recycling LC'!AE370</f>
        <v>120675.30799507328</v>
      </c>
      <c r="BM125" s="585">
        <f>'BTX Recycling LC'!AF370</f>
        <v>113700.02438477514</v>
      </c>
      <c r="BN125" s="585">
        <f>'BTX Recycling LC'!AG370</f>
        <v>106968.69426691237</v>
      </c>
      <c r="BQ125" s="646"/>
      <c r="BR125" s="646"/>
      <c r="BS125" s="646"/>
      <c r="BT125" s="646"/>
      <c r="BU125" s="646"/>
      <c r="BV125" s="646"/>
      <c r="BW125" s="646"/>
      <c r="BX125" s="646"/>
      <c r="BY125" s="646"/>
      <c r="BZ125" s="646"/>
      <c r="CA125" s="646"/>
      <c r="CB125" s="646"/>
      <c r="CC125" s="646"/>
      <c r="CD125" s="646"/>
      <c r="CE125" s="646"/>
      <c r="CF125" s="646"/>
      <c r="CG125" s="646"/>
      <c r="CH125" s="646"/>
      <c r="CI125" s="646"/>
      <c r="CJ125" s="646"/>
      <c r="CK125" s="646"/>
      <c r="CL125" s="646"/>
    </row>
    <row r="126" spans="1:90" s="373" customFormat="1">
      <c r="A126" s="372" t="s">
        <v>648</v>
      </c>
      <c r="C126" s="376" t="s">
        <v>1420</v>
      </c>
      <c r="D126" s="586">
        <f>'BTX Recycling HC'!C371</f>
        <v>729245.57676573656</v>
      </c>
      <c r="E126" s="586">
        <f>'BTX Recycling HC'!D371</f>
        <v>700769.89636027138</v>
      </c>
      <c r="F126" s="586">
        <f>'BTX Recycling HC'!E371</f>
        <v>674223.85381474299</v>
      </c>
      <c r="G126" s="586">
        <f>'BTX Recycling HC'!F371</f>
        <v>649538.36322471965</v>
      </c>
      <c r="H126" s="586">
        <f>'BTX Recycling HC'!G371</f>
        <v>626597.89561862545</v>
      </c>
      <c r="I126" s="586">
        <f>'BTX Recycling HC'!H371</f>
        <v>605287.03261189396</v>
      </c>
      <c r="J126" s="586">
        <f>'BTX Recycling HC'!I371</f>
        <v>575977.24620541744</v>
      </c>
      <c r="K126" s="586">
        <f>'BTX Recycling HC'!J371</f>
        <v>548225.55925269483</v>
      </c>
      <c r="L126" s="586">
        <f>'BTX Recycling HC'!K371</f>
        <v>521835.29274950671</v>
      </c>
      <c r="M126" s="586">
        <f>'BTX Recycling HC'!L371</f>
        <v>496533.88516080979</v>
      </c>
      <c r="N126" s="586">
        <f>'BTX Recycling HC'!M371</f>
        <v>471947.65906339878</v>
      </c>
      <c r="O126" s="586">
        <f>'BTX Recycling HC'!N371</f>
        <v>457277.38940151886</v>
      </c>
      <c r="P126" s="586">
        <f>'BTX Recycling HC'!O371</f>
        <v>441801.58945297269</v>
      </c>
      <c r="Q126" s="586">
        <f>'BTX Recycling HC'!P371</f>
        <v>425058.40830629703</v>
      </c>
      <c r="R126" s="586">
        <f>'BTX Recycling HC'!Q371</f>
        <v>407019.00682439777</v>
      </c>
      <c r="S126" s="586">
        <f>'BTX Recycling HC'!R371</f>
        <v>388006.52158785827</v>
      </c>
      <c r="T126" s="586">
        <f>'BTX Recycling HC'!S371</f>
        <v>370698.26401767565</v>
      </c>
      <c r="U126" s="586">
        <f>'BTX Recycling HC'!T371</f>
        <v>354143.41831941047</v>
      </c>
      <c r="V126" s="586">
        <f>'BTX Recycling HC'!U371</f>
        <v>339298.96249797143</v>
      </c>
      <c r="W126" s="586">
        <f>'BTX Recycling HC'!V371</f>
        <v>326778.00829003868</v>
      </c>
      <c r="X126" s="586">
        <f>'BTX Recycling HC'!W371</f>
        <v>316751.14535107615</v>
      </c>
      <c r="Y126" s="586">
        <f>'BTX Recycling HC'!X371</f>
        <v>300745.87333094678</v>
      </c>
      <c r="Z126" s="586">
        <f>'BTX Recycling HC'!Y371</f>
        <v>287406.52803426929</v>
      </c>
      <c r="AA126" s="586">
        <f>'BTX Recycling HC'!Z371</f>
        <v>276180.33282889338</v>
      </c>
      <c r="AB126" s="586">
        <f>'BTX Recycling HC'!AA371</f>
        <v>266787.31340652844</v>
      </c>
      <c r="AC126" s="586">
        <f>'BTX Recycling HC'!AB371</f>
        <v>258841.49484657872</v>
      </c>
      <c r="AD126" s="586">
        <f>'BTX Recycling HC'!AC371</f>
        <v>251347.72804788454</v>
      </c>
      <c r="AE126" s="586">
        <f>'BTX Recycling HC'!AD371</f>
        <v>244796.92173276248</v>
      </c>
      <c r="AF126" s="586">
        <f>'BTX Recycling HC'!AE371</f>
        <v>238983.73049208347</v>
      </c>
      <c r="AG126" s="586">
        <f>'BTX Recycling HC'!AF371</f>
        <v>233745.72273022082</v>
      </c>
      <c r="AH126" s="586">
        <f>'BTX Recycling HC'!AG371</f>
        <v>228953.40957632591</v>
      </c>
      <c r="AI126" s="587"/>
      <c r="AJ126" s="586">
        <f>'BTX Recycling LC'!C371</f>
        <v>729249.56874791626</v>
      </c>
      <c r="AK126" s="586">
        <f>'BTX Recycling LC'!D371</f>
        <v>702392.08428900235</v>
      </c>
      <c r="AL126" s="586">
        <f>'BTX Recycling LC'!E371</f>
        <v>677860.64245548984</v>
      </c>
      <c r="AM126" s="586">
        <f>'BTX Recycling LC'!F371</f>
        <v>654989.79779569595</v>
      </c>
      <c r="AN126" s="586">
        <f>'BTX Recycling LC'!G371</f>
        <v>633869.74865157169</v>
      </c>
      <c r="AO126" s="586">
        <f>'BTX Recycling LC'!H371</f>
        <v>614395.8815071776</v>
      </c>
      <c r="AP126" s="586">
        <f>'BTX Recycling LC'!I371</f>
        <v>592132.49057663023</v>
      </c>
      <c r="AQ126" s="586">
        <f>'BTX Recycling LC'!J371</f>
        <v>571477.68157665455</v>
      </c>
      <c r="AR126" s="586">
        <f>'BTX Recycling LC'!K371</f>
        <v>552292.29451408738</v>
      </c>
      <c r="AS126" s="586">
        <f>'BTX Recycling LC'!L371</f>
        <v>534396.39667587972</v>
      </c>
      <c r="AT126" s="586">
        <f>'BTX Recycling LC'!M371</f>
        <v>517555.38650620147</v>
      </c>
      <c r="AU126" s="586">
        <f>'BTX Recycling LC'!N371</f>
        <v>512369.94036252552</v>
      </c>
      <c r="AV126" s="586">
        <f>'BTX Recycling LC'!O371</f>
        <v>507035.49085643748</v>
      </c>
      <c r="AW126" s="586">
        <f>'BTX Recycling LC'!P371</f>
        <v>501314.53140928305</v>
      </c>
      <c r="AX126" s="586">
        <f>'BTX Recycling LC'!Q371</f>
        <v>495115.11979185906</v>
      </c>
      <c r="AY126" s="586">
        <f>'BTX Recycling LC'!R371</f>
        <v>488585.99097806157</v>
      </c>
      <c r="AZ126" s="586">
        <f>'BTX Recycling LC'!S371</f>
        <v>482948.21177214716</v>
      </c>
      <c r="BA126" s="586">
        <f>'BTX Recycling LC'!T371</f>
        <v>477847.95736199839</v>
      </c>
      <c r="BB126" s="586">
        <f>'BTX Recycling LC'!U371</f>
        <v>473782.03131030296</v>
      </c>
      <c r="BC126" s="586">
        <f>'BTX Recycling LC'!V371</f>
        <v>471058.59935977939</v>
      </c>
      <c r="BD126" s="586">
        <f>'BTX Recycling LC'!W371</f>
        <v>469742.89107703732</v>
      </c>
      <c r="BE126" s="586">
        <f>'BTX Recycling LC'!X371</f>
        <v>461279.98788386566</v>
      </c>
      <c r="BF126" s="586">
        <f>'BTX Recycling LC'!Y371</f>
        <v>454612.02324852569</v>
      </c>
      <c r="BG126" s="586">
        <f>'BTX Recycling LC'!Z371</f>
        <v>449505.99807546503</v>
      </c>
      <c r="BH126" s="586">
        <f>'BTX Recycling LC'!AA371</f>
        <v>445681.44592917082</v>
      </c>
      <c r="BI126" s="586">
        <f>'BTX Recycling LC'!AB371</f>
        <v>442897.16717943439</v>
      </c>
      <c r="BJ126" s="586">
        <f>'BTX Recycling LC'!AC371</f>
        <v>440817.73107112141</v>
      </c>
      <c r="BK126" s="586">
        <f>'BTX Recycling LC'!AD371</f>
        <v>439478.18385713571</v>
      </c>
      <c r="BL126" s="586">
        <f>'BTX Recycling LC'!AE371</f>
        <v>438741.69280755776</v>
      </c>
      <c r="BM126" s="586">
        <f>'BTX Recycling LC'!AF371</f>
        <v>438495.87186050846</v>
      </c>
      <c r="BN126" s="586">
        <f>'BTX Recycling LC'!AG371</f>
        <v>438647.28621901647</v>
      </c>
      <c r="BQ126" s="622"/>
      <c r="BR126" s="622"/>
      <c r="BS126" s="622"/>
      <c r="BT126" s="622"/>
      <c r="BU126" s="622"/>
      <c r="BV126" s="622"/>
      <c r="BW126" s="622"/>
      <c r="BX126" s="622"/>
      <c r="BY126" s="622"/>
      <c r="BZ126" s="622"/>
      <c r="CA126" s="622"/>
      <c r="CB126" s="622"/>
      <c r="CC126" s="622"/>
      <c r="CD126" s="622"/>
      <c r="CE126" s="622"/>
      <c r="CF126" s="622"/>
      <c r="CG126" s="622"/>
      <c r="CH126" s="622"/>
      <c r="CI126" s="622"/>
      <c r="CJ126" s="622"/>
      <c r="CK126" s="622"/>
      <c r="CL126" s="622"/>
    </row>
  </sheetData>
  <mergeCells count="18">
    <mergeCell ref="A35:A37"/>
    <mergeCell ref="D1:AH1"/>
    <mergeCell ref="AJ1:BN1"/>
    <mergeCell ref="A5:A7"/>
    <mergeCell ref="A13:A15"/>
    <mergeCell ref="A24:A26"/>
    <mergeCell ref="A122:A124"/>
    <mergeCell ref="A42:A44"/>
    <mergeCell ref="A51:A53"/>
    <mergeCell ref="A58:A60"/>
    <mergeCell ref="A64:A66"/>
    <mergeCell ref="A71:A73"/>
    <mergeCell ref="A79:A81"/>
    <mergeCell ref="A85:A87"/>
    <mergeCell ref="A92:A94"/>
    <mergeCell ref="A101:A103"/>
    <mergeCell ref="A110:A112"/>
    <mergeCell ref="A116:A11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C5642-89C9-4C4F-847C-7C5A2116916C}">
  <sheetPr>
    <tabColor theme="9"/>
  </sheetPr>
  <dimension ref="A2:AU280"/>
  <sheetViews>
    <sheetView zoomScale="30" zoomScaleNormal="30" workbookViewId="0">
      <pane xSplit="3" ySplit="3" topLeftCell="D4" activePane="bottomRight" state="frozen"/>
      <selection activeCell="B152" sqref="B152"/>
      <selection pane="topRight" activeCell="B152" sqref="B152"/>
      <selection pane="bottomLeft" activeCell="B152" sqref="B152"/>
      <selection pane="bottomRight" activeCell="AJ175" sqref="AJ175"/>
    </sheetView>
  </sheetViews>
  <sheetFormatPr defaultRowHeight="14.75" outlineLevelRow="1" outlineLevelCol="1"/>
  <cols>
    <col min="1" max="1" width="29.453125" style="1" customWidth="1"/>
    <col min="2" max="2" width="57.54296875" style="1" customWidth="1"/>
    <col min="3" max="3" width="10.54296875" customWidth="1"/>
    <col min="4" max="4" width="18.1796875" customWidth="1"/>
    <col min="5" max="12" width="8.81640625" hidden="1" customWidth="1" outlineLevel="1"/>
    <col min="13" max="13" width="0.453125" customWidth="1" outlineLevel="1"/>
    <col min="14" max="14" width="12.453125" bestFit="1" customWidth="1"/>
    <col min="15" max="23" width="8.81640625" hidden="1" customWidth="1" outlineLevel="1"/>
    <col min="24" max="24" width="12.453125" bestFit="1" customWidth="1" collapsed="1"/>
    <col min="25" max="33" width="8.81640625" hidden="1" customWidth="1" outlineLevel="1"/>
    <col min="34" max="34" width="13.81640625" customWidth="1" collapsed="1"/>
    <col min="36" max="36" width="18.453125" customWidth="1"/>
    <col min="37" max="47" width="15.453125" customWidth="1"/>
  </cols>
  <sheetData>
    <row r="2" spans="1:41" s="49" customFormat="1">
      <c r="A2" s="48" t="s">
        <v>253</v>
      </c>
      <c r="B2" s="48"/>
      <c r="C2" s="48"/>
    </row>
    <row r="3" spans="1:41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41">
      <c r="A4" s="1" t="s">
        <v>521</v>
      </c>
      <c r="C4" s="50" t="s">
        <v>1420</v>
      </c>
      <c r="D4" s="99">
        <f>'Yearly Demand - Eth-Prop'!L3</f>
        <v>5341060.7015464325</v>
      </c>
      <c r="E4" s="99">
        <f>'Yearly Demand - Eth-Prop'!M3</f>
        <v>5313864.8623622619</v>
      </c>
      <c r="F4" s="99">
        <f>'Yearly Demand - Eth-Prop'!N3</f>
        <v>5286807.5001043538</v>
      </c>
      <c r="G4" s="99">
        <f>'Yearly Demand - Eth-Prop'!O3</f>
        <v>5259887.909670027</v>
      </c>
      <c r="H4" s="99">
        <f>'Yearly Demand - Eth-Prop'!P3</f>
        <v>5233105.389546874</v>
      </c>
      <c r="I4" s="99">
        <f>'Yearly Demand - Eth-Prop'!Q3</f>
        <v>5206459.2417944744</v>
      </c>
      <c r="J4" s="99">
        <f>'Yearly Demand - Eth-Prop'!R3</f>
        <v>5177154.5047407569</v>
      </c>
      <c r="K4" s="99">
        <f>'Yearly Demand - Eth-Prop'!S3</f>
        <v>5148014.7104195002</v>
      </c>
      <c r="L4" s="99">
        <f>'Yearly Demand - Eth-Prop'!T3</f>
        <v>5119038.9304447938</v>
      </c>
      <c r="M4" s="99">
        <f>'Yearly Demand - Eth-Prop'!U3</f>
        <v>5090226.2416561795</v>
      </c>
      <c r="N4" s="99">
        <f>'Yearly Demand - Eth-Prop'!V3</f>
        <v>5061575.7260892428</v>
      </c>
      <c r="O4" s="99">
        <f>'Yearly Demand - Eth-Prop'!W3</f>
        <v>5027905.2457716037</v>
      </c>
      <c r="P4" s="99">
        <f>'Yearly Demand - Eth-Prop'!X3</f>
        <v>4994458.7473335555</v>
      </c>
      <c r="Q4" s="99">
        <f>'Yearly Demand - Eth-Prop'!Y3</f>
        <v>4961234.7408087561</v>
      </c>
      <c r="R4" s="99">
        <f>'Yearly Demand - Eth-Prop'!Z3</f>
        <v>4928231.7461423781</v>
      </c>
      <c r="S4" s="99">
        <f>'Yearly Demand - Eth-Prop'!AA3</f>
        <v>4895448.2931251777</v>
      </c>
      <c r="T4" s="99">
        <f>'Yearly Demand - Eth-Prop'!AB3</f>
        <v>4858350.7522049826</v>
      </c>
      <c r="U4" s="99">
        <f>'Yearly Demand - Eth-Prop'!AC3</f>
        <v>4821534.335190081</v>
      </c>
      <c r="V4" s="99">
        <f>'Yearly Demand - Eth-Prop'!AD3</f>
        <v>4784996.9117330648</v>
      </c>
      <c r="W4" s="99">
        <f>'Yearly Demand - Eth-Prop'!AE3</f>
        <v>4748736.3676302275</v>
      </c>
      <c r="X4" s="99">
        <f>'Yearly Demand - Eth-Prop'!AF3</f>
        <v>4712750.6046992252</v>
      </c>
      <c r="Y4" s="99">
        <f>'Yearly Demand - Eth-Prop'!AG3</f>
        <v>4673875.4659375874</v>
      </c>
      <c r="Z4" s="99">
        <f>'Yearly Demand - Eth-Prop'!AH3</f>
        <v>4635321.0053829039</v>
      </c>
      <c r="AA4" s="99">
        <f>'Yearly Demand - Eth-Prop'!AI3</f>
        <v>4597084.5777838472</v>
      </c>
      <c r="AB4" s="99">
        <f>'Yearly Demand - Eth-Prop'!AJ3</f>
        <v>4559163.559709576</v>
      </c>
      <c r="AC4" s="99">
        <f>'Yearly Demand - Eth-Prop'!AK3</f>
        <v>4521555.3493697401</v>
      </c>
      <c r="AD4" s="99">
        <f>'Yearly Demand - Eth-Prop'!AL3</f>
        <v>4482652.6072071437</v>
      </c>
      <c r="AE4" s="99">
        <f>'Yearly Demand - Eth-Prop'!AM3</f>
        <v>4444084.5780428043</v>
      </c>
      <c r="AF4" s="99">
        <f>'Yearly Demand - Eth-Prop'!AN3</f>
        <v>4405848.3820593869</v>
      </c>
      <c r="AG4" s="99">
        <f>'Yearly Demand - Eth-Prop'!AO3</f>
        <v>4367941.1642170493</v>
      </c>
      <c r="AH4" s="99">
        <f>'Yearly Demand - Eth-Prop'!AP3</f>
        <v>4330360.0940402551</v>
      </c>
    </row>
    <row r="5" spans="1:41" s="61" customFormat="1">
      <c r="A5" s="606" t="s">
        <v>608</v>
      </c>
      <c r="B5" s="54" t="s">
        <v>141</v>
      </c>
      <c r="C5" s="55" t="s">
        <v>1420</v>
      </c>
      <c r="D5" s="571">
        <f>D4*'Demand - Ethylene'!$C$6</f>
        <v>2331196</v>
      </c>
      <c r="E5" s="571">
        <f>E4*'Demand - Ethylene'!$C$6</f>
        <v>2319325.9174329876</v>
      </c>
      <c r="F5" s="571">
        <f>F4*'Demand - Ethylene'!$C$6</f>
        <v>2307516.2754553324</v>
      </c>
      <c r="G5" s="571">
        <f>G4*'Demand - Ethylene'!$C$6</f>
        <v>2295766.7663130811</v>
      </c>
      <c r="H5" s="571">
        <f>H4*'Demand - Ethylene'!$C$6</f>
        <v>2284077.0838193139</v>
      </c>
      <c r="I5" s="571">
        <f>I4*'Demand - Ethylene'!$C$6</f>
        <v>2272446.9233461674</v>
      </c>
      <c r="J5" s="571">
        <f>J4*'Demand - Ethylene'!$C$6</f>
        <v>2259656.3767453958</v>
      </c>
      <c r="K5" s="571">
        <f>K4*'Demand - Ethylene'!$C$6</f>
        <v>2246937.8221813431</v>
      </c>
      <c r="L5" s="571">
        <f>L4*'Demand - Ethylene'!$C$6</f>
        <v>2234290.8544443245</v>
      </c>
      <c r="M5" s="571">
        <f>M4*'Demand - Ethylene'!$C$6</f>
        <v>2221715.0706053926</v>
      </c>
      <c r="N5" s="571">
        <f>N4*'Demand - Ethylene'!$C$6</f>
        <v>2209210.0700035002</v>
      </c>
      <c r="O5" s="571">
        <f>O4*'Demand - Ethylene'!$C$6</f>
        <v>2194514.0211434243</v>
      </c>
      <c r="P5" s="571">
        <f>P4*'Demand - Ethylene'!$C$6</f>
        <v>2179915.7329513035</v>
      </c>
      <c r="Q5" s="571">
        <f>Q4*'Demand - Ethylene'!$C$6</f>
        <v>2165414.5551062063</v>
      </c>
      <c r="R5" s="571">
        <f>R4*'Demand - Ethylene'!$C$6</f>
        <v>2151009.8416132466</v>
      </c>
      <c r="S5" s="571">
        <f>S4*'Demand - Ethylene'!$C$6</f>
        <v>2136700.9507748112</v>
      </c>
      <c r="T5" s="571">
        <f>T4*'Demand - Ethylene'!$C$6</f>
        <v>2120509.1035303199</v>
      </c>
      <c r="U5" s="571">
        <f>U4*'Demand - Ethylene'!$C$6</f>
        <v>2104439.9575543865</v>
      </c>
      <c r="V5" s="571">
        <f>V4*'Demand - Ethylene'!$C$6</f>
        <v>2088492.5830209646</v>
      </c>
      <c r="W5" s="571">
        <f>W4*'Demand - Ethylene'!$C$6</f>
        <v>2072666.0571501984</v>
      </c>
      <c r="X5" s="571">
        <f>X4*'Demand - Ethylene'!$C$6</f>
        <v>2056959.4641550258</v>
      </c>
      <c r="Y5" s="571">
        <f>Y4*'Demand - Ethylene'!$C$6</f>
        <v>2039991.754360165</v>
      </c>
      <c r="Z5" s="571">
        <f>Z4*'Demand - Ethylene'!$C$6</f>
        <v>2023164.0099757558</v>
      </c>
      <c r="AA5" s="571">
        <f>AA4*'Demand - Ethylene'!$C$6</f>
        <v>2006475.0764372544</v>
      </c>
      <c r="AB5" s="571">
        <f>AB4*'Demand - Ethylene'!$C$6</f>
        <v>1989923.8087040356</v>
      </c>
      <c r="AC5" s="571">
        <f>AC4*'Demand - Ethylene'!$C$6</f>
        <v>1973509.0711808316</v>
      </c>
      <c r="AD5" s="571">
        <f>AD4*'Demand - Ethylene'!$C$6</f>
        <v>1956529.3134161956</v>
      </c>
      <c r="AE5" s="571">
        <f>AE4*'Demand - Ethylene'!$C$6</f>
        <v>1939695.6467833188</v>
      </c>
      <c r="AF5" s="571">
        <f>AF4*'Demand - Ethylene'!$C$6</f>
        <v>1923006.8143373684</v>
      </c>
      <c r="AG5" s="571">
        <f>AG4*'Demand - Ethylene'!$C$6</f>
        <v>1906461.5699480658</v>
      </c>
      <c r="AH5" s="571">
        <f>AH4*'Demand - Ethylene'!$C$6</f>
        <v>1890058.6782066377</v>
      </c>
    </row>
    <row r="6" spans="1:41">
      <c r="A6" s="607"/>
      <c r="B6" s="1" t="s">
        <v>18</v>
      </c>
      <c r="C6" s="50" t="s">
        <v>1420</v>
      </c>
      <c r="D6" s="183">
        <f>D4*'Demand - Ethylene'!$C$7</f>
        <v>1080464.2518371809</v>
      </c>
      <c r="E6" s="183">
        <f>E4*'Demand - Ethylene'!$C$7</f>
        <v>1074962.6981797395</v>
      </c>
      <c r="F6" s="183">
        <f>F4*'Demand - Ethylene'!$C$7</f>
        <v>1069489.1575663155</v>
      </c>
      <c r="G6" s="183">
        <f>G4*'Demand - Ethylene'!$C$7</f>
        <v>1064043.4873589037</v>
      </c>
      <c r="H6" s="183">
        <f>H4*'Demand - Ethylene'!$C$7</f>
        <v>1058625.5456457909</v>
      </c>
      <c r="I6" s="183">
        <f>I4*'Demand - Ethylene'!$C$7</f>
        <v>1053235.1912378541</v>
      </c>
      <c r="J6" s="183">
        <f>J4*'Demand - Ethylene'!$C$7</f>
        <v>1047307.0203060271</v>
      </c>
      <c r="K6" s="183">
        <f>K4*'Demand - Ethylene'!$C$7</f>
        <v>1041412.2162906206</v>
      </c>
      <c r="L6" s="183">
        <f>L4*'Demand - Ethylene'!$C$7</f>
        <v>1035550.591384784</v>
      </c>
      <c r="M6" s="183">
        <f>M4*'Demand - Ethylene'!$C$7</f>
        <v>1029721.9588387442</v>
      </c>
      <c r="N6" s="183">
        <f>N4*'Demand - Ethylene'!$C$7</f>
        <v>1023926.1329538564</v>
      </c>
      <c r="O6" s="183">
        <f>O4*'Demand - Ethylene'!$C$7</f>
        <v>1017114.7985844748</v>
      </c>
      <c r="P6" s="183">
        <f>P4*'Demand - Ethylene'!$C$7</f>
        <v>1010348.7743936289</v>
      </c>
      <c r="Q6" s="183">
        <f>Q4*'Demand - Ethylene'!$C$7</f>
        <v>1003627.7589701463</v>
      </c>
      <c r="R6" s="183">
        <f>R4*'Demand - Ethylene'!$C$7</f>
        <v>996951.45290789346</v>
      </c>
      <c r="S6" s="183">
        <f>S4*'Demand - Ethylene'!$C$7</f>
        <v>990319.55879243941</v>
      </c>
      <c r="T6" s="183">
        <f>T4*'Demand - Ethylene'!$C$7</f>
        <v>982814.95080628933</v>
      </c>
      <c r="U6" s="183">
        <f>U4*'Demand - Ethylene'!$C$7</f>
        <v>975367.2124846084</v>
      </c>
      <c r="V6" s="183">
        <f>V4*'Demand - Ethylene'!$C$7</f>
        <v>967975.91287101049</v>
      </c>
      <c r="W6" s="183">
        <f>W4*'Demand - Ethylene'!$C$7</f>
        <v>960640.62427488237</v>
      </c>
      <c r="X6" s="183">
        <f>X4*'Demand - Ethylene'!$C$7</f>
        <v>953360.92224663578</v>
      </c>
      <c r="Y6" s="183">
        <f>Y4*'Demand - Ethylene'!$C$7</f>
        <v>945496.71697651071</v>
      </c>
      <c r="Z6" s="183">
        <f>Z4*'Demand - Ethylene'!$C$7</f>
        <v>937697.38296666858</v>
      </c>
      <c r="AA6" s="183">
        <f>AA4*'Demand - Ethylene'!$C$7</f>
        <v>929962.38509877701</v>
      </c>
      <c r="AB6" s="183">
        <f>AB4*'Demand - Ethylene'!$C$7</f>
        <v>922291.19266865565</v>
      </c>
      <c r="AC6" s="183">
        <f>AC4*'Demand - Ethylene'!$C$7</f>
        <v>914683.27934986469</v>
      </c>
      <c r="AD6" s="183">
        <f>AD4*'Demand - Ethylene'!$C$7</f>
        <v>906813.49007880199</v>
      </c>
      <c r="AE6" s="183">
        <f>AE4*'Demand - Ethylene'!$C$7</f>
        <v>899011.41122135392</v>
      </c>
      <c r="AF6" s="183">
        <f>AF4*'Demand - Ethylene'!$C$7</f>
        <v>891276.46020790422</v>
      </c>
      <c r="AG6" s="183">
        <f>AG4*'Demand - Ethylene'!$C$7</f>
        <v>883608.05948117364</v>
      </c>
      <c r="AH6" s="183">
        <f>AH4*'Demand - Ethylene'!$C$7</f>
        <v>876005.6364530935</v>
      </c>
      <c r="AM6" s="54"/>
      <c r="AN6" s="40"/>
      <c r="AO6" s="40"/>
    </row>
    <row r="7" spans="1:41">
      <c r="A7" s="607"/>
      <c r="B7" s="1" t="s">
        <v>607</v>
      </c>
      <c r="C7" s="50" t="s">
        <v>1420</v>
      </c>
      <c r="D7" s="183">
        <f>D4*'Demand - Ethylene'!$C$8</f>
        <v>926112.21586044075</v>
      </c>
      <c r="E7" s="183">
        <f>E4*'Demand - Ethylene'!$C$8</f>
        <v>921396.59843977669</v>
      </c>
      <c r="F7" s="183">
        <f>F4*'Demand - Ethylene'!$C$8</f>
        <v>916704.99219969881</v>
      </c>
      <c r="G7" s="183">
        <f>G4*'Demand - Ethylene'!$C$8</f>
        <v>912037.27487906034</v>
      </c>
      <c r="H7" s="183">
        <f>H4*'Demand - Ethylene'!$C$8</f>
        <v>907393.32483924925</v>
      </c>
      <c r="I7" s="183">
        <f>I4*'Demand - Ethylene'!$C$8</f>
        <v>902773.02106101764</v>
      </c>
      <c r="J7" s="183">
        <f>J4*'Demand - Ethylene'!$C$8</f>
        <v>897691.73169088038</v>
      </c>
      <c r="K7" s="183">
        <f>K4*'Demand - Ethylene'!$C$8</f>
        <v>892639.04253481759</v>
      </c>
      <c r="L7" s="183">
        <f>L4*'Demand - Ethylene'!$C$8</f>
        <v>887614.79261552903</v>
      </c>
      <c r="M7" s="183">
        <f>M4*'Demand - Ethylene'!$C$8</f>
        <v>882618.8218617806</v>
      </c>
      <c r="N7" s="183">
        <f>N4*'Demand - Ethylene'!$C$8</f>
        <v>877650.97110330535</v>
      </c>
      <c r="O7" s="183">
        <f>O4*'Demand - Ethylene'!$C$8</f>
        <v>871812.68450097833</v>
      </c>
      <c r="P7" s="183">
        <f>P4*'Demand - Ethylene'!$C$8</f>
        <v>866013.23519453907</v>
      </c>
      <c r="Q7" s="183">
        <f>Q4*'Demand - Ethylene'!$C$8</f>
        <v>860252.36483155389</v>
      </c>
      <c r="R7" s="183">
        <f>R4*'Demand - Ethylene'!$C$8</f>
        <v>854529.81677819428</v>
      </c>
      <c r="S7" s="183">
        <f>S4*'Demand - Ethylene'!$C$8</f>
        <v>848845.33610780514</v>
      </c>
      <c r="T7" s="183">
        <f>T4*'Demand - Ethylene'!$C$8</f>
        <v>842412.81497681933</v>
      </c>
      <c r="U7" s="183">
        <f>U4*'Demand - Ethylene'!$C$8</f>
        <v>836029.03927252139</v>
      </c>
      <c r="V7" s="183">
        <f>V4*'Demand - Ethylene'!$C$8</f>
        <v>829693.63960372319</v>
      </c>
      <c r="W7" s="183">
        <f>W4*'Demand - Ethylene'!$C$8</f>
        <v>823406.24937847059</v>
      </c>
      <c r="X7" s="183">
        <f>X4*'Demand - Ethylene'!$C$8</f>
        <v>817166.5047828306</v>
      </c>
      <c r="Y7" s="183">
        <f>Y4*'Demand - Ethylene'!$C$8</f>
        <v>810425.75740843767</v>
      </c>
      <c r="Z7" s="183">
        <f>Z4*'Demand - Ethylene'!$C$8</f>
        <v>803740.61397143011</v>
      </c>
      <c r="AA7" s="183">
        <f>AA4*'Demand - Ethylene'!$C$8</f>
        <v>797110.61579895159</v>
      </c>
      <c r="AB7" s="183">
        <f>AB4*'Demand - Ethylene'!$C$8</f>
        <v>790535.30800170475</v>
      </c>
      <c r="AC7" s="183">
        <f>AC4*'Demand - Ethylene'!$C$8</f>
        <v>784014.23944274103</v>
      </c>
      <c r="AD7" s="183">
        <f>AD4*'Demand - Ethylene'!$C$8</f>
        <v>777268.70578183024</v>
      </c>
      <c r="AE7" s="183">
        <f>AE4*'Demand - Ethylene'!$C$8</f>
        <v>770581.20961830323</v>
      </c>
      <c r="AF7" s="183">
        <f>AF4*'Demand - Ethylene'!$C$8</f>
        <v>763951.25160677498</v>
      </c>
      <c r="AG7" s="183">
        <f>AG4*'Demand - Ethylene'!$C$8</f>
        <v>757378.33669814887</v>
      </c>
      <c r="AH7" s="183">
        <f>AH4*'Demand - Ethylene'!$C$8</f>
        <v>750861.97410265158</v>
      </c>
      <c r="AM7" s="1"/>
      <c r="AN7" s="40"/>
      <c r="AO7" s="40"/>
    </row>
    <row r="8" spans="1:41" s="62" customFormat="1">
      <c r="A8" s="608"/>
      <c r="B8" s="58" t="s">
        <v>27</v>
      </c>
      <c r="C8" s="233" t="s">
        <v>1420</v>
      </c>
      <c r="D8" s="528">
        <f>D4-SUM(D6,D5,D7)</f>
        <v>1003288.2338488111</v>
      </c>
      <c r="E8" s="528">
        <f t="shared" ref="E8:AH8" si="1">E4-SUM(E6,E5,E7)</f>
        <v>998179.64830975793</v>
      </c>
      <c r="F8" s="528">
        <f t="shared" si="1"/>
        <v>993097.07488300744</v>
      </c>
      <c r="G8" s="528">
        <f t="shared" si="1"/>
        <v>988040.38111898117</v>
      </c>
      <c r="H8" s="528">
        <f t="shared" si="1"/>
        <v>983009.43524251971</v>
      </c>
      <c r="I8" s="528">
        <f t="shared" si="1"/>
        <v>978004.10614943504</v>
      </c>
      <c r="J8" s="528">
        <f t="shared" si="1"/>
        <v>972499.37599845324</v>
      </c>
      <c r="K8" s="528">
        <f t="shared" si="1"/>
        <v>967025.62941271905</v>
      </c>
      <c r="L8" s="528">
        <f t="shared" si="1"/>
        <v>961582.69200015627</v>
      </c>
      <c r="M8" s="528">
        <f t="shared" si="1"/>
        <v>956170.39035026217</v>
      </c>
      <c r="N8" s="528">
        <f t="shared" si="1"/>
        <v>950788.55202858103</v>
      </c>
      <c r="O8" s="528">
        <f t="shared" si="1"/>
        <v>944463.74154272629</v>
      </c>
      <c r="P8" s="528">
        <f t="shared" si="1"/>
        <v>938181.004794084</v>
      </c>
      <c r="Q8" s="528">
        <f t="shared" si="1"/>
        <v>931940.06190084945</v>
      </c>
      <c r="R8" s="528">
        <f t="shared" si="1"/>
        <v>925740.63484304398</v>
      </c>
      <c r="S8" s="528">
        <f t="shared" si="1"/>
        <v>919582.44745012186</v>
      </c>
      <c r="T8" s="528">
        <f t="shared" si="1"/>
        <v>912613.88289155392</v>
      </c>
      <c r="U8" s="528">
        <f t="shared" si="1"/>
        <v>905698.12587856501</v>
      </c>
      <c r="V8" s="528">
        <f t="shared" si="1"/>
        <v>898834.77623736626</v>
      </c>
      <c r="W8" s="528">
        <f t="shared" si="1"/>
        <v>892023.43682667613</v>
      </c>
      <c r="X8" s="528">
        <f t="shared" si="1"/>
        <v>885263.71351473313</v>
      </c>
      <c r="Y8" s="528">
        <f t="shared" si="1"/>
        <v>877961.23719247384</v>
      </c>
      <c r="Z8" s="528">
        <f t="shared" si="1"/>
        <v>870718.99846904911</v>
      </c>
      <c r="AA8" s="528">
        <f t="shared" si="1"/>
        <v>863536.50044886442</v>
      </c>
      <c r="AB8" s="528">
        <f t="shared" si="1"/>
        <v>856413.2503351802</v>
      </c>
      <c r="AC8" s="528">
        <f t="shared" si="1"/>
        <v>849348.75939630298</v>
      </c>
      <c r="AD8" s="528">
        <f t="shared" si="1"/>
        <v>842041.09793031588</v>
      </c>
      <c r="AE8" s="528">
        <f t="shared" si="1"/>
        <v>834796.31041982863</v>
      </c>
      <c r="AF8" s="528">
        <f t="shared" si="1"/>
        <v>827613.85590733914</v>
      </c>
      <c r="AG8" s="528">
        <f t="shared" si="1"/>
        <v>820493.19808966108</v>
      </c>
      <c r="AH8" s="528">
        <f t="shared" si="1"/>
        <v>813433.8052778719</v>
      </c>
      <c r="AM8" s="1"/>
      <c r="AN8" s="40"/>
      <c r="AO8" s="234"/>
    </row>
    <row r="9" spans="1:41" s="61" customFormat="1">
      <c r="A9" s="606" t="s">
        <v>609</v>
      </c>
      <c r="B9" s="54" t="s">
        <v>606</v>
      </c>
      <c r="C9" s="55" t="s">
        <v>1420</v>
      </c>
      <c r="D9" s="571">
        <f>D4*'Demand - Ethylene'!$O$14</f>
        <v>422147.26400000002</v>
      </c>
      <c r="E9" s="571">
        <f>E4*'Demand - Ethylene'!$O$14</f>
        <v>419997.75667452486</v>
      </c>
      <c r="F9" s="571">
        <f>F4*'Demand - Ethylene'!$O$14</f>
        <v>417859.19430152548</v>
      </c>
      <c r="G9" s="571">
        <f>G4*'Demand - Ethylene'!$O$14</f>
        <v>415731.5211510291</v>
      </c>
      <c r="H9" s="571">
        <f>H4*'Demand - Ethylene'!$O$14</f>
        <v>413614.68177683133</v>
      </c>
      <c r="I9" s="571">
        <f>I4*'Demand - Ethylene'!$O$14</f>
        <v>411508.62101505074</v>
      </c>
      <c r="J9" s="571">
        <f>J4*'Demand - Ethylene'!$O$14</f>
        <v>409192.43041907332</v>
      </c>
      <c r="K9" s="571">
        <f>K4*'Demand - Ethylene'!$O$14</f>
        <v>406889.27658248064</v>
      </c>
      <c r="L9" s="571">
        <f>L4*'Demand - Ethylene'!$O$14</f>
        <v>404599.08612741862</v>
      </c>
      <c r="M9" s="571">
        <f>M4*'Demand - Ethylene'!$O$14</f>
        <v>402321.78608904325</v>
      </c>
      <c r="N9" s="571">
        <f>N4*'Demand - Ethylene'!$O$14</f>
        <v>400057.30391319568</v>
      </c>
      <c r="O9" s="571">
        <f>O4*'Demand - Ethylene'!$O$14</f>
        <v>397396.05328566738</v>
      </c>
      <c r="P9" s="571">
        <f>P4*'Demand - Ethylene'!$O$14</f>
        <v>394752.50575925299</v>
      </c>
      <c r="Q9" s="571">
        <f>Q4*'Demand - Ethylene'!$O$14</f>
        <v>392126.54356985091</v>
      </c>
      <c r="R9" s="571">
        <f>R4*'Demand - Ethylene'!$O$14</f>
        <v>389518.04973674688</v>
      </c>
      <c r="S9" s="571">
        <f>S4*'Demand - Ethylene'!$O$14</f>
        <v>386926.90805740282</v>
      </c>
      <c r="T9" s="571">
        <f>T4*'Demand - Ethylene'!$O$14</f>
        <v>383994.78908784041</v>
      </c>
      <c r="U9" s="571">
        <f>U4*'Demand - Ethylene'!$O$14</f>
        <v>381084.88961625722</v>
      </c>
      <c r="V9" s="571">
        <f>V4*'Demand - Ethylene'!$O$14</f>
        <v>378197.04126405204</v>
      </c>
      <c r="W9" s="571">
        <f>W4*'Demand - Ethylene'!$O$14</f>
        <v>375331.07692859106</v>
      </c>
      <c r="X9" s="571">
        <f>X4*'Demand - Ethylene'!$O$14</f>
        <v>372486.83077353862</v>
      </c>
      <c r="Y9" s="571">
        <f>Y4*'Demand - Ethylene'!$O$14</f>
        <v>369414.21385662281</v>
      </c>
      <c r="Z9" s="571">
        <f>Z4*'Demand - Ethylene'!$O$14</f>
        <v>366366.94273434498</v>
      </c>
      <c r="AA9" s="571">
        <f>AA4*'Demand - Ethylene'!$O$14</f>
        <v>363344.80833107891</v>
      </c>
      <c r="AB9" s="571">
        <f>AB4*'Demand - Ethylene'!$O$14</f>
        <v>360347.60329584812</v>
      </c>
      <c r="AC9" s="571">
        <f>AC4*'Demand - Ethylene'!$O$14</f>
        <v>357375.12198809936</v>
      </c>
      <c r="AD9" s="571">
        <f>AD4*'Demand - Ethylene'!$O$14</f>
        <v>354300.32335095177</v>
      </c>
      <c r="AE9" s="571">
        <f>AE4*'Demand - Ethylene'!$O$14</f>
        <v>351251.97979161271</v>
      </c>
      <c r="AF9" s="571">
        <f>AF4*'Demand - Ethylene'!$O$14</f>
        <v>348229.86369480559</v>
      </c>
      <c r="AG9" s="571">
        <f>AG4*'Demand - Ethylene'!$O$14</f>
        <v>345233.74940361967</v>
      </c>
      <c r="AH9" s="571">
        <f>AH4*'Demand - Ethylene'!$O$14</f>
        <v>342263.41320266016</v>
      </c>
      <c r="AN9" s="56"/>
      <c r="AO9" s="56"/>
    </row>
    <row r="10" spans="1:41" s="62" customFormat="1">
      <c r="A10" s="608"/>
      <c r="B10" s="58" t="s">
        <v>605</v>
      </c>
      <c r="C10" s="233" t="s">
        <v>1420</v>
      </c>
      <c r="D10" s="528">
        <f>D4*'Demand - Ethylene'!$J$14</f>
        <v>381143.85015608743</v>
      </c>
      <c r="E10" s="528">
        <f>E4*'Demand - Ethylene'!$J$14</f>
        <v>379203.12575056264</v>
      </c>
      <c r="F10" s="528">
        <f>F4*'Demand - Ethylene'!$J$14</f>
        <v>377272.28320779558</v>
      </c>
      <c r="G10" s="528">
        <f>G4*'Demand - Ethylene'!$J$14</f>
        <v>375351.27221089869</v>
      </c>
      <c r="H10" s="528">
        <f>H4*'Demand - Ethylene'!$J$14</f>
        <v>373440.04269919032</v>
      </c>
      <c r="I10" s="528">
        <f>I4*'Demand - Ethylene'!$J$14</f>
        <v>371538.54486688954</v>
      </c>
      <c r="J10" s="528">
        <f>J4*'Demand - Ethylene'!$J$14</f>
        <v>369447.32723567414</v>
      </c>
      <c r="K10" s="528">
        <f>K4*'Demand - Ethylene'!$J$14</f>
        <v>367367.880095681</v>
      </c>
      <c r="L10" s="528">
        <f>L4*'Demand - Ethylene'!$J$14</f>
        <v>365300.13719629071</v>
      </c>
      <c r="M10" s="528">
        <f>M4*'Demand - Ethylene'!$J$14</f>
        <v>363244.03265977761</v>
      </c>
      <c r="N10" s="528">
        <f>N4*'Demand - Ethylene'!$J$14</f>
        <v>361199.5009792113</v>
      </c>
      <c r="O10" s="528">
        <f>O4*'Demand - Ethylene'!$J$14</f>
        <v>358796.73920173256</v>
      </c>
      <c r="P10" s="528">
        <f>P4*'Demand - Ethylene'!$J$14</f>
        <v>356409.96101266867</v>
      </c>
      <c r="Q10" s="528">
        <f>Q4*'Demand - Ethylene'!$J$14</f>
        <v>354039.06008641509</v>
      </c>
      <c r="R10" s="528">
        <f>R4*'Demand - Ethylene'!$J$14</f>
        <v>351683.93080466363</v>
      </c>
      <c r="S10" s="528">
        <f>S4*'Demand - Ethylene'!$J$14</f>
        <v>349344.46825169749</v>
      </c>
      <c r="T10" s="528">
        <f>T4*'Demand - Ethylene'!$J$14</f>
        <v>346697.14773471619</v>
      </c>
      <c r="U10" s="528">
        <f>U4*'Demand - Ethylene'!$J$14</f>
        <v>344069.88852271199</v>
      </c>
      <c r="V10" s="528">
        <f>V4*'Demand - Ethylene'!$J$14</f>
        <v>341462.53859179688</v>
      </c>
      <c r="W10" s="528">
        <f>W4*'Demand - Ethylene'!$J$14</f>
        <v>338874.94707011495</v>
      </c>
      <c r="X10" s="528">
        <f>X4*'Demand - Ethylene'!$J$14</f>
        <v>336306.96422911197</v>
      </c>
      <c r="Y10" s="528">
        <f>Y4*'Demand - Ethylene'!$J$14</f>
        <v>333532.79241363856</v>
      </c>
      <c r="Z10" s="528">
        <f>Z4*'Demand - Ethylene'!$J$14</f>
        <v>330781.50454075437</v>
      </c>
      <c r="AA10" s="528">
        <f>AA4*'Demand - Ethylene'!$J$14</f>
        <v>328052.91184247268</v>
      </c>
      <c r="AB10" s="528">
        <f>AB4*'Demand - Ethylene'!$J$14</f>
        <v>325346.82710794016</v>
      </c>
      <c r="AC10" s="528">
        <f>AC4*'Demand - Ethylene'!$J$14</f>
        <v>322663.06467059231</v>
      </c>
      <c r="AD10" s="528">
        <f>AD4*'Demand - Ethylene'!$J$14</f>
        <v>319886.92304666573</v>
      </c>
      <c r="AE10" s="528">
        <f>AE4*'Demand - Ethylene'!$J$14</f>
        <v>317134.66690316744</v>
      </c>
      <c r="AF10" s="528">
        <f>AF4*'Demand - Ethylene'!$J$14</f>
        <v>314406.09073322744</v>
      </c>
      <c r="AG10" s="528">
        <f>AG4*'Demand - Ethylene'!$J$14</f>
        <v>311700.99079812452</v>
      </c>
      <c r="AH10" s="528">
        <f>AH4*'Demand - Ethylene'!$J$14</f>
        <v>309019.16511207266</v>
      </c>
      <c r="AN10" s="234"/>
      <c r="AO10" s="234"/>
    </row>
    <row r="11" spans="1:41"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M11" s="1"/>
      <c r="AN11" s="40"/>
      <c r="AO11" s="40"/>
    </row>
    <row r="12" spans="1:41">
      <c r="A12" s="54" t="s">
        <v>170</v>
      </c>
      <c r="B12" s="54" t="s">
        <v>179</v>
      </c>
      <c r="C12" s="55" t="s">
        <v>1420</v>
      </c>
      <c r="D12" s="571">
        <f>'R&amp;S - Transportation'!D4</f>
        <v>582875.6940607368</v>
      </c>
      <c r="E12" s="571">
        <f>D12*(1+'R&amp;S - Transportation'!$B$5)</f>
        <v>592784.58085976925</v>
      </c>
      <c r="F12" s="571">
        <f>E12*(1+'R&amp;S - Transportation'!$B$5)</f>
        <v>602861.91873438528</v>
      </c>
      <c r="G12" s="571">
        <f>F12*(1+'R&amp;S - Transportation'!$B$5)</f>
        <v>613110.57135286974</v>
      </c>
      <c r="H12" s="571">
        <f>G12*(1+'R&amp;S - Transportation'!$B$5)</f>
        <v>623533.45106586849</v>
      </c>
      <c r="I12" s="571">
        <f>H12*(1+'R&amp;S - Transportation'!$B$5)</f>
        <v>634133.51973398821</v>
      </c>
      <c r="J12" s="571">
        <f>I12*(1+'R&amp;S - Transportation'!$B$5)</f>
        <v>644913.78956946591</v>
      </c>
      <c r="K12" s="571">
        <f>J12*(1+'R&amp;S - Transportation'!$B$5)</f>
        <v>655877.32399214676</v>
      </c>
      <c r="L12" s="571">
        <f>K12*(1+'R&amp;S - Transportation'!$B$5)</f>
        <v>667027.23850001325</v>
      </c>
      <c r="M12" s="571">
        <f>L12*(1+'R&amp;S - Transportation'!$B$5)</f>
        <v>678366.70155451342</v>
      </c>
      <c r="N12" s="571">
        <f>M12*(1+'R&amp;S - Transportation'!$B$5)</f>
        <v>689898.93548094004</v>
      </c>
      <c r="O12" s="571">
        <f>N12*(1+'R&amp;S - Transportation'!$B$5)</f>
        <v>701627.21738411591</v>
      </c>
      <c r="P12" s="571">
        <f>O12*(1+'R&amp;S - Transportation'!$B$5)</f>
        <v>713554.88007964578</v>
      </c>
      <c r="Q12" s="571">
        <f>P12*(1+'R&amp;S - Transportation'!$B$5)</f>
        <v>725685.3130409997</v>
      </c>
      <c r="R12" s="571">
        <f>Q12*(1+'R&amp;S - Transportation'!$B$5)</f>
        <v>738021.96336269658</v>
      </c>
      <c r="S12" s="571">
        <f>R12*(1+'R&amp;S - Transportation'!$B$5)</f>
        <v>750568.33673986234</v>
      </c>
      <c r="T12" s="571">
        <f>S12*(1+'R&amp;S - Transportation'!$B$5)</f>
        <v>763327.99846443988</v>
      </c>
      <c r="U12" s="571">
        <f>T12*(1+'R&amp;S - Transportation'!$B$5)</f>
        <v>776304.57443833526</v>
      </c>
      <c r="V12" s="571">
        <f>U12*(1+'R&amp;S - Transportation'!$B$5)</f>
        <v>789501.75220378686</v>
      </c>
      <c r="W12" s="571">
        <f>V12*(1+'R&amp;S - Transportation'!$B$5)</f>
        <v>802923.28199125116</v>
      </c>
      <c r="X12" s="571">
        <f>W12*(1+'R&amp;S - Transportation'!$B$5)</f>
        <v>816572.97778510232</v>
      </c>
      <c r="Y12" s="571">
        <f>X12*(1+'R&amp;S - Transportation'!$B$5)</f>
        <v>830454.71840744896</v>
      </c>
      <c r="Z12" s="571">
        <f>Y12*(1+'R&amp;S - Transportation'!$B$5)</f>
        <v>844572.44862037548</v>
      </c>
      <c r="AA12" s="571">
        <f>Z12*(1+'R&amp;S - Transportation'!$B$5)</f>
        <v>858930.18024692184</v>
      </c>
      <c r="AB12" s="571">
        <f>AA12*(1+'R&amp;S - Transportation'!$B$5)</f>
        <v>873531.99331111938</v>
      </c>
      <c r="AC12" s="571">
        <f>AB12*(1+'R&amp;S - Transportation'!$B$5)</f>
        <v>888382.03719740838</v>
      </c>
      <c r="AD12" s="571">
        <f>AC12*(1+'R&amp;S - Transportation'!$B$5)</f>
        <v>903484.53182976425</v>
      </c>
      <c r="AE12" s="571">
        <f>AD12*(1+'R&amp;S - Transportation'!$B$5)</f>
        <v>918843.76887087012</v>
      </c>
      <c r="AF12" s="571">
        <f>AE12*(1+'R&amp;S - Transportation'!$B$5)</f>
        <v>934464.11294167477</v>
      </c>
      <c r="AG12" s="571">
        <f>AF12*(1+'R&amp;S - Transportation'!$B$5)</f>
        <v>950350.00286168314</v>
      </c>
      <c r="AH12" s="571">
        <f>AG12*(1+'R&amp;S - Transportation'!$B$5)</f>
        <v>966505.95291033166</v>
      </c>
      <c r="AJ12" s="39"/>
      <c r="AM12" s="1"/>
      <c r="AN12" s="40"/>
      <c r="AO12" s="40"/>
    </row>
    <row r="13" spans="1:41" outlineLevel="1">
      <c r="B13" s="1" t="s">
        <v>180</v>
      </c>
      <c r="C13" s="50" t="s">
        <v>1420</v>
      </c>
      <c r="D13" s="183">
        <v>0</v>
      </c>
      <c r="E13" s="183">
        <f>E12*('R&amp;S - Transportation'!$B$8*'R&amp;S - Transportation'!$D$19*('Yearly HC Ethylene'!E3-'Yearly HC Ethylene'!$D$3)/10)</f>
        <v>1185.5691617195389</v>
      </c>
      <c r="F13" s="183">
        <f>F12*('R&amp;S - Transportation'!$B$8*'R&amp;S - Transportation'!$D$19*('Yearly HC Ethylene'!F3-'Yearly HC Ethylene'!$D$3)/10)</f>
        <v>2411.4476749375417</v>
      </c>
      <c r="G13" s="183">
        <f>G12*('R&amp;S - Transportation'!$B$8*'R&amp;S - Transportation'!$D$19*('Yearly HC Ethylene'!G3-'Yearly HC Ethylene'!$D$3)/10)</f>
        <v>3678.6634281172192</v>
      </c>
      <c r="H13" s="183">
        <f>H12*('R&amp;S - Transportation'!$B$8*'R&amp;S - Transportation'!$D$19*('Yearly HC Ethylene'!H3-'Yearly HC Ethylene'!$D$3)/10)</f>
        <v>4988.2676085269495</v>
      </c>
      <c r="I13" s="183">
        <f>I12*('R&amp;S - Transportation'!$B$8*'R&amp;S - Transportation'!$D$19*('Yearly HC Ethylene'!I3-'Yearly HC Ethylene'!$D$3)/10)</f>
        <v>6341.3351973398831</v>
      </c>
      <c r="J13" s="183">
        <f>J12*('R&amp;S - Transportation'!$B$8*'R&amp;S - Transportation'!$D$19*('Yearly HC Ethylene'!J3-'Yearly HC Ethylene'!$D$3)/10)</f>
        <v>7738.9654748335925</v>
      </c>
      <c r="K13" s="183">
        <f>K12*('R&amp;S - Transportation'!$B$8*'R&amp;S - Transportation'!$D$19*('Yearly HC Ethylene'!K3-'Yearly HC Ethylene'!$D$3)/10)</f>
        <v>9182.2825358900554</v>
      </c>
      <c r="L13" s="183">
        <f>L12*('R&amp;S - Transportation'!$B$8*'R&amp;S - Transportation'!$D$19*('Yearly HC Ethylene'!L3-'Yearly HC Ethylene'!$D$3)/10)</f>
        <v>10672.435816000214</v>
      </c>
      <c r="M13" s="183">
        <f>M12*('R&amp;S - Transportation'!$B$8*'R&amp;S - Transportation'!$D$19*('Yearly HC Ethylene'!M3-'Yearly HC Ethylene'!$D$3)/10)</f>
        <v>12210.600627981245</v>
      </c>
      <c r="N13" s="183">
        <f>N12*('R&amp;S - Transportation'!$B$8*'R&amp;S - Transportation'!$D$19*('Yearly HC Ethylene'!N3-'Yearly HC Ethylene'!$D$3)/10)</f>
        <v>13797.978709618803</v>
      </c>
      <c r="O13" s="183">
        <f>O12*('R&amp;S - Transportation'!$B$8*('R&amp;S - Transportation'!$D$19+('R&amp;S - Transportation'!$D$20-'R&amp;S - Transportation'!$D$19)*('Yearly HC Ethylene'!O3-'Yearly HC Ethylene'!$N$3)/10))</f>
        <v>17540.680434602898</v>
      </c>
      <c r="P13" s="183">
        <f>P12*('R&amp;S - Transportation'!$B$8*('R&amp;S - Transportation'!$D$19+('R&amp;S - Transportation'!$D$20-'R&amp;S - Transportation'!$D$19)*('Yearly HC Ethylene'!P3-'Yearly HC Ethylene'!$N$3)/10))</f>
        <v>21406.646402389371</v>
      </c>
      <c r="Q13" s="183">
        <f>Q12*('R&amp;S - Transportation'!$B$8*('R&amp;S - Transportation'!$D$19+('R&amp;S - Transportation'!$D$20-'R&amp;S - Transportation'!$D$19)*('Yearly HC Ethylene'!Q3-'Yearly HC Ethylene'!$N$3)/10))</f>
        <v>25398.985956434986</v>
      </c>
      <c r="R13" s="183">
        <f>R12*('R&amp;S - Transportation'!$B$8*('R&amp;S - Transportation'!$D$19+('R&amp;S - Transportation'!$D$20-'R&amp;S - Transportation'!$D$19)*('Yearly HC Ethylene'!R3-'Yearly HC Ethylene'!$N$3)/10))</f>
        <v>29520.878534507869</v>
      </c>
      <c r="S13" s="183">
        <f>S12*('R&amp;S - Transportation'!$B$8*('R&amp;S - Transportation'!$D$19+('R&amp;S - Transportation'!$D$20-'R&amp;S - Transportation'!$D$19)*('Yearly HC Ethylene'!S3-'Yearly HC Ethylene'!$N$3)/10))</f>
        <v>33775.575153293801</v>
      </c>
      <c r="T13" s="183">
        <f>T12*('R&amp;S - Transportation'!$B$8*('R&amp;S - Transportation'!$D$19+('R&amp;S - Transportation'!$D$20-'R&amp;S - Transportation'!$D$19)*('Yearly HC Ethylene'!T3-'Yearly HC Ethylene'!$N$3)/10))</f>
        <v>38166.399923221994</v>
      </c>
      <c r="U13" s="183">
        <f>U12*('R&amp;S - Transportation'!$B$8*('R&amp;S - Transportation'!$D$19+('R&amp;S - Transportation'!$D$20-'R&amp;S - Transportation'!$D$19)*('Yearly HC Ethylene'!U3-'Yearly HC Ethylene'!$N$3)/10))</f>
        <v>42696.751594108442</v>
      </c>
      <c r="V13" s="183">
        <f>V12*('R&amp;S - Transportation'!$B$8*('R&amp;S - Transportation'!$D$19+('R&amp;S - Transportation'!$D$20-'R&amp;S - Transportation'!$D$19)*('Yearly HC Ethylene'!V3-'Yearly HC Ethylene'!$N$3)/10))</f>
        <v>47370.105132227211</v>
      </c>
      <c r="W13" s="183">
        <f>W12*('R&amp;S - Transportation'!$B$8*('R&amp;S - Transportation'!$D$19+('R&amp;S - Transportation'!$D$20-'R&amp;S - Transportation'!$D$19)*('Yearly HC Ethylene'!W3-'Yearly HC Ethylene'!$N$3)/10))</f>
        <v>52190.013329431313</v>
      </c>
      <c r="X13" s="183">
        <f>X12*('R&amp;S - Transportation'!$B$8*('R&amp;S - Transportation'!$D$19+('R&amp;S - Transportation'!$D$20-'R&amp;S - Transportation'!$D$19)*('Yearly HC Ethylene'!X3-'Yearly HC Ethylene'!$N$3)/10))</f>
        <v>57160.108444957157</v>
      </c>
      <c r="Y13" s="183">
        <f>Y12*('R&amp;S - Transportation'!$B$8*('R&amp;S - Transportation'!$D$20+('R&amp;S - Transportation'!$D$21-'R&amp;S - Transportation'!$D$20)*('Yearly HC Ethylene'!Y3-'Yearly HC Ethylene'!$X$3)/10))</f>
        <v>60623.194443743771</v>
      </c>
      <c r="Z13" s="183">
        <f>Z12*('R&amp;S - Transportation'!$B$8*('R&amp;S - Transportation'!$D$20+('R&amp;S - Transportation'!$D$21-'R&amp;S - Transportation'!$D$20)*('Yearly HC Ethylene'!Z3-'Yearly HC Ethylene'!$X$3)/10))</f>
        <v>64187.506095148543</v>
      </c>
      <c r="AA13" s="183">
        <f>AA12*('R&amp;S - Transportation'!$B$8*('R&amp;S - Transportation'!$D$20+('R&amp;S - Transportation'!$D$21-'R&amp;S - Transportation'!$D$20)*('Yearly HC Ethylene'!AA3-'Yearly HC Ethylene'!$X$3)/10))</f>
        <v>67855.484239506826</v>
      </c>
      <c r="AB13" s="183">
        <f>AB12*('R&amp;S - Transportation'!$B$8*('R&amp;S - Transportation'!$D$20+('R&amp;S - Transportation'!$D$21-'R&amp;S - Transportation'!$D$20)*('Yearly HC Ethylene'!AB3-'Yearly HC Ethylene'!$X$3)/10))</f>
        <v>71629.623451511798</v>
      </c>
      <c r="AC13" s="183">
        <f>AC12*('R&amp;S - Transportation'!$B$8*('R&amp;S - Transportation'!$D$20+('R&amp;S - Transportation'!$D$21-'R&amp;S - Transportation'!$D$20)*('Yearly HC Ethylene'!AC3-'Yearly HC Ethylene'!$X$3)/10))</f>
        <v>75512.473161779722</v>
      </c>
      <c r="AD13" s="183">
        <f>AD12*('R&amp;S - Transportation'!$B$8*('R&amp;S - Transportation'!$D$20+('R&amp;S - Transportation'!$D$21-'R&amp;S - Transportation'!$D$20)*('Yearly HC Ethylene'!AD3-'Yearly HC Ethylene'!$X$3)/10))</f>
        <v>79506.63880101926</v>
      </c>
      <c r="AE13" s="183">
        <f>AE12*('R&amp;S - Transportation'!$B$8*('R&amp;S - Transportation'!$D$20+('R&amp;S - Transportation'!$D$21-'R&amp;S - Transportation'!$D$20)*('Yearly HC Ethylene'!AE3-'Yearly HC Ethylene'!$X$3)/10))</f>
        <v>83614.782967249193</v>
      </c>
      <c r="AF13" s="183">
        <f>AF12*('R&amp;S - Transportation'!$B$8*('R&amp;S - Transportation'!$D$20+('R&amp;S - Transportation'!$D$21-'R&amp;S - Transportation'!$D$20)*('Yearly HC Ethylene'!AF3-'Yearly HC Ethylene'!$X$3)/10))</f>
        <v>87839.626616517431</v>
      </c>
      <c r="AG13" s="183">
        <f>AG12*('R&amp;S - Transportation'!$B$8*('R&amp;S - Transportation'!$D$20+('R&amp;S - Transportation'!$D$21-'R&amp;S - Transportation'!$D$20)*('Yearly HC Ethylene'!AG3-'Yearly HC Ethylene'!$X$3)/10))</f>
        <v>92183.950277583266</v>
      </c>
      <c r="AH13" s="183">
        <f>AH12*('R&amp;S - Transportation'!$B$8*('R&amp;S - Transportation'!$D$20+('R&amp;S - Transportation'!$D$21-'R&amp;S - Transportation'!$D$20)*('Yearly HC Ethylene'!AH3-'Yearly HC Ethylene'!$X$3)/10))</f>
        <v>96650.595291033169</v>
      </c>
      <c r="AJ13" s="39"/>
    </row>
    <row r="14" spans="1:41" outlineLevel="1">
      <c r="B14" s="1" t="s">
        <v>181</v>
      </c>
      <c r="C14" s="50" t="s">
        <v>1420</v>
      </c>
      <c r="D14" s="183">
        <f>SUM(D12:D13)</f>
        <v>582875.6940607368</v>
      </c>
      <c r="E14" s="183">
        <f t="shared" ref="E14:AH14" si="2">SUM(E12:E13)</f>
        <v>593970.15002148878</v>
      </c>
      <c r="F14" s="183">
        <f>SUM(F12:F13)</f>
        <v>605273.36640932283</v>
      </c>
      <c r="G14" s="183">
        <f t="shared" si="2"/>
        <v>616789.23478098691</v>
      </c>
      <c r="H14" s="183">
        <f>SUM(H12:H13)</f>
        <v>628521.71867439547</v>
      </c>
      <c r="I14" s="183">
        <f t="shared" si="2"/>
        <v>640474.8549313281</v>
      </c>
      <c r="J14" s="183">
        <f t="shared" si="2"/>
        <v>652652.75504429953</v>
      </c>
      <c r="K14" s="183">
        <f t="shared" si="2"/>
        <v>665059.60652803676</v>
      </c>
      <c r="L14" s="183">
        <f t="shared" si="2"/>
        <v>677699.67431601346</v>
      </c>
      <c r="M14" s="183">
        <f t="shared" si="2"/>
        <v>690577.30218249466</v>
      </c>
      <c r="N14" s="183">
        <f>SUM(N12:N13)</f>
        <v>703696.91419055883</v>
      </c>
      <c r="O14" s="183">
        <f t="shared" si="2"/>
        <v>719167.8978187188</v>
      </c>
      <c r="P14" s="183">
        <f t="shared" si="2"/>
        <v>734961.52648203517</v>
      </c>
      <c r="Q14" s="183">
        <f t="shared" si="2"/>
        <v>751084.29899743467</v>
      </c>
      <c r="R14" s="183">
        <f t="shared" si="2"/>
        <v>767542.8418972044</v>
      </c>
      <c r="S14" s="183">
        <f t="shared" si="2"/>
        <v>784343.91189315612</v>
      </c>
      <c r="T14" s="183">
        <f t="shared" si="2"/>
        <v>801494.3983876619</v>
      </c>
      <c r="U14" s="183">
        <f t="shared" si="2"/>
        <v>819001.32603244367</v>
      </c>
      <c r="V14" s="183">
        <f t="shared" si="2"/>
        <v>836871.85733601404</v>
      </c>
      <c r="W14" s="183">
        <f t="shared" si="2"/>
        <v>855113.29532068246</v>
      </c>
      <c r="X14" s="183">
        <f t="shared" si="2"/>
        <v>873733.0862300595</v>
      </c>
      <c r="Y14" s="183">
        <f t="shared" si="2"/>
        <v>891077.91285119276</v>
      </c>
      <c r="Z14" s="183">
        <f t="shared" si="2"/>
        <v>908759.95471552399</v>
      </c>
      <c r="AA14" s="183">
        <f t="shared" si="2"/>
        <v>926785.66448642872</v>
      </c>
      <c r="AB14" s="183">
        <f t="shared" si="2"/>
        <v>945161.61676263122</v>
      </c>
      <c r="AC14" s="183">
        <f t="shared" si="2"/>
        <v>963894.51035918808</v>
      </c>
      <c r="AD14" s="183">
        <f t="shared" si="2"/>
        <v>982991.17063078354</v>
      </c>
      <c r="AE14" s="183">
        <f t="shared" si="2"/>
        <v>1002458.5518381193</v>
      </c>
      <c r="AF14" s="183">
        <f t="shared" si="2"/>
        <v>1022303.7395581922</v>
      </c>
      <c r="AG14" s="183">
        <f t="shared" si="2"/>
        <v>1042533.9531392665</v>
      </c>
      <c r="AH14" s="183">
        <f t="shared" si="2"/>
        <v>1063156.5482013649</v>
      </c>
      <c r="AJ14" s="39"/>
    </row>
    <row r="15" spans="1:41" outlineLevel="1">
      <c r="B15" s="57" t="s">
        <v>134</v>
      </c>
      <c r="C15" s="50" t="s">
        <v>1420</v>
      </c>
      <c r="D15" s="183">
        <v>0</v>
      </c>
      <c r="E15" s="183">
        <f>E14*'R&amp;S - Transportation'!$B$15*('R&amp;S - Transportation'!$B$10*'R&amp;S - Transportation'!$B$19*('Yearly HC Ethylene'!E$3-'Yearly HC Ethylene'!$D$3)/10)</f>
        <v>1960.101495070913</v>
      </c>
      <c r="F15" s="183">
        <f>F14*'R&amp;S - Transportation'!$B$15*('R&amp;S - Transportation'!$B$10*'R&amp;S - Transportation'!$B$19*('Yearly HC Ethylene'!F$3-'Yearly HC Ethylene'!$D$3)/10)</f>
        <v>3994.8042183015305</v>
      </c>
      <c r="G15" s="183">
        <f>G14*'R&amp;S - Transportation'!$B$15*('R&amp;S - Transportation'!$B$10*'R&amp;S - Transportation'!$B$19*('Yearly HC Ethylene'!G$3-'Yearly HC Ethylene'!$D$3)/10)</f>
        <v>6106.2134243317705</v>
      </c>
      <c r="H15" s="183">
        <f>H14*'R&amp;S - Transportation'!$B$15*('R&amp;S - Transportation'!$B$10*'R&amp;S - Transportation'!$B$19*('Yearly HC Ethylene'!H$3-'Yearly HC Ethylene'!$D$3)/10)</f>
        <v>8296.4866865020194</v>
      </c>
      <c r="I15" s="183">
        <f>I14*'R&amp;S - Transportation'!$B$15*('R&amp;S - Transportation'!$B$10*'R&amp;S - Transportation'!$B$19*('Yearly HC Ethylene'!I$3-'Yearly HC Ethylene'!$D$3)/10)</f>
        <v>10567.835106366914</v>
      </c>
      <c r="J15" s="183">
        <f>J14*'R&amp;S - Transportation'!$B$15*('R&amp;S - Transportation'!$B$10*'R&amp;S - Transportation'!$B$19*('Yearly HC Ethylene'!J$3-'Yearly HC Ethylene'!$D$3)/10)</f>
        <v>12922.524549877131</v>
      </c>
      <c r="K15" s="183">
        <f>K14*'R&amp;S - Transportation'!$B$15*('R&amp;S - Transportation'!$B$10*'R&amp;S - Transportation'!$B$19*('Yearly HC Ethylene'!K$3-'Yearly HC Ethylene'!$D$3)/10)</f>
        <v>15362.876910797651</v>
      </c>
      <c r="L15" s="183">
        <f>L14*'R&amp;S - Transportation'!$B$15*('R&amp;S - Transportation'!$B$10*'R&amp;S - Transportation'!$B$19*('Yearly HC Ethylene'!L$3-'Yearly HC Ethylene'!$D$3)/10)</f>
        <v>17891.271401942755</v>
      </c>
      <c r="M15" s="183">
        <f>M14*'R&amp;S - Transportation'!$B$15*('R&amp;S - Transportation'!$B$10*'R&amp;S - Transportation'!$B$19*('Yearly HC Ethylene'!M$3-'Yearly HC Ethylene'!$D$3)/10)</f>
        <v>20510.145874820093</v>
      </c>
      <c r="N15" s="183">
        <f>N14*'R&amp;S - Transportation'!$B$15*('R&amp;S - Transportation'!$B$10*'R&amp;S - Transportation'!$B$19*('Yearly HC Ethylene'!N$3-'Yearly HC Ethylene'!$D$3)/10)</f>
        <v>23221.998168288443</v>
      </c>
      <c r="O15" s="183">
        <f>O14*'R&amp;S - Transportation'!$B$15*('R&amp;S - Transportation'!$B$10*('R&amp;S - Transportation'!$B$19+('R&amp;S - Transportation'!$B$20-'R&amp;S - Transportation'!$B$19)*('Yearly HC Ethylene'!O3-'Yearly HC Ethylene'!$N$3)/10))</f>
        <v>30852.302816423038</v>
      </c>
      <c r="P15" s="183">
        <f>P14*'R&amp;S - Transportation'!$B$15*('R&amp;S - Transportation'!$B$10*('R&amp;S - Transportation'!$B$19+('R&amp;S - Transportation'!$B$20-'R&amp;S - Transportation'!$B$19)*('Yearly HC Ethylene'!P3-'Yearly HC Ethylene'!$N$3)/10))</f>
        <v>38805.968598251464</v>
      </c>
      <c r="Q15" s="183">
        <f>Q14*'R&amp;S - Transportation'!$B$15*('R&amp;S - Transportation'!$B$10*('R&amp;S - Transportation'!$B$19+('R&amp;S - Transportation'!$B$20-'R&amp;S - Transportation'!$B$19)*('Yearly HC Ethylene'!Q3-'Yearly HC Ethylene'!$N$3)/10))</f>
        <v>47092.985547139157</v>
      </c>
      <c r="R15" s="183">
        <f>R14*'R&amp;S - Transportation'!$B$15*('R&amp;S - Transportation'!$B$10*('R&amp;S - Transportation'!$B$19+('R&amp;S - Transportation'!$B$20-'R&amp;S - Transportation'!$B$19)*('Yearly HC Ethylene'!R3-'Yearly HC Ethylene'!$N$3)/10))</f>
        <v>55723.610321737047</v>
      </c>
      <c r="S15" s="183">
        <f>S14*'R&amp;S - Transportation'!$B$15*('R&amp;S - Transportation'!$B$10*('R&amp;S - Transportation'!$B$19+('R&amp;S - Transportation'!$B$20-'R&amp;S - Transportation'!$B$19)*('Yearly HC Ethylene'!S3-'Yearly HC Ethylene'!$N$3)/10))</f>
        <v>64708.37273118538</v>
      </c>
      <c r="T15" s="183">
        <f>T14*'R&amp;S - Transportation'!$B$15*('R&amp;S - Transportation'!$B$10*('R&amp;S - Transportation'!$B$19+('R&amp;S - Transportation'!$B$20-'R&amp;S - Transportation'!$B$19)*('Yearly HC Ethylene'!T3-'Yearly HC Ethylene'!$N$3)/10))</f>
        <v>74058.082411019961</v>
      </c>
      <c r="U15" s="183">
        <f>U14*'R&amp;S - Transportation'!$B$15*('R&amp;S - Transportation'!$B$10*('R&amp;S - Transportation'!$B$19+('R&amp;S - Transportation'!$B$20-'R&amp;S - Transportation'!$B$19)*('Yearly HC Ethylene'!U3-'Yearly HC Ethylene'!$N$3)/10))</f>
        <v>83783.835653119007</v>
      </c>
      <c r="V15" s="183">
        <f>V14*'R&amp;S - Transportation'!$B$15*('R&amp;S - Transportation'!$B$10*('R&amp;S - Transportation'!$B$19+('R&amp;S - Transportation'!$B$20-'R&amp;S - Transportation'!$B$19)*('Yearly HC Ethylene'!V3-'Yearly HC Ethylene'!$N$3)/10))</f>
        <v>93897.022393100808</v>
      </c>
      <c r="W15" s="183">
        <f>W14*'R&amp;S - Transportation'!$B$15*('R&amp;S - Transportation'!$B$10*('R&amp;S - Transportation'!$B$19+('R&amp;S - Transportation'!$B$20-'R&amp;S - Transportation'!$B$19)*('Yearly HC Ethylene'!W3-'Yearly HC Ethylene'!$N$3)/10))</f>
        <v>104409.33335865533</v>
      </c>
      <c r="X15" s="183">
        <f>X14*'R&amp;S - Transportation'!$B$15*('R&amp;S - Transportation'!$B$10*('R&amp;S - Transportation'!$B$19+('R&amp;S - Transportation'!$B$20-'R&amp;S - Transportation'!$B$19)*('Yearly HC Ethylene'!X3-'Yearly HC Ethylene'!$N$3)/10))</f>
        <v>115332.76738236786</v>
      </c>
      <c r="Y15" s="183">
        <f>Y14*'R&amp;S - Transportation'!$B$15*('R&amp;S - Transportation'!$B$10*('R&amp;S - Transportation'!$B$20+('R&amp;S - Transportation'!$B$21-'R&amp;S - Transportation'!$B$20)*('Yearly HC Ethylene'!Y3-'Yearly HC Ethylene'!$X$3)/10))</f>
        <v>135265.62717081109</v>
      </c>
      <c r="Z15" s="183">
        <f>Z14*'R&amp;S - Transportation'!$B$15*('R&amp;S - Transportation'!$B$10*('R&amp;S - Transportation'!$B$20+('R&amp;S - Transportation'!$B$21-'R&amp;S - Transportation'!$B$20)*('Yearly HC Ethylene'!Z3-'Yearly HC Ethylene'!$X$3)/10))</f>
        <v>155943.20822918392</v>
      </c>
      <c r="AA15" s="183">
        <f>AA14*'R&amp;S - Transportation'!$B$15*('R&amp;S - Transportation'!$B$10*('R&amp;S - Transportation'!$B$20+('R&amp;S - Transportation'!$B$21-'R&amp;S - Transportation'!$B$20)*('Yearly HC Ethylene'!AA3-'Yearly HC Ethylene'!$X$3)/10))</f>
        <v>177386.77618270251</v>
      </c>
      <c r="AB15" s="183">
        <f>AB14*'R&amp;S - Transportation'!$B$15*('R&amp;S - Transportation'!$B$10*('R&amp;S - Transportation'!$B$20+('R&amp;S - Transportation'!$B$21-'R&amp;S - Transportation'!$B$20)*('Yearly HC Ethylene'!AB3-'Yearly HC Ethylene'!$X$3)/10))</f>
        <v>199618.13346026774</v>
      </c>
      <c r="AC15" s="183">
        <f>AC14*'R&amp;S - Transportation'!$B$15*('R&amp;S - Transportation'!$B$10*('R&amp;S - Transportation'!$B$20+('R&amp;S - Transportation'!$B$21-'R&amp;S - Transportation'!$B$20)*('Yearly HC Ethylene'!AC3-'Yearly HC Ethylene'!$X$3)/10))</f>
        <v>222659.63189297242</v>
      </c>
      <c r="AD15" s="183">
        <f>AD14*'R&amp;S - Transportation'!$B$15*('R&amp;S - Transportation'!$B$10*('R&amp;S - Transportation'!$B$20+('R&amp;S - Transportation'!$B$21-'R&amp;S - Transportation'!$B$20)*('Yearly HC Ethylene'!AD3-'Yearly HC Ethylene'!$X$3)/10))</f>
        <v>246534.18559420053</v>
      </c>
      <c r="AE15" s="183">
        <f>AE14*'R&amp;S - Transportation'!$B$15*('R&amp;S - Transportation'!$B$10*('R&amp;S - Transportation'!$B$20+('R&amp;S - Transportation'!$B$21-'R&amp;S - Transportation'!$B$20)*('Yearly HC Ethylene'!AE3-'Yearly HC Ethylene'!$X$3)/10))</f>
        <v>271265.28412739508</v>
      </c>
      <c r="AF15" s="183">
        <f>AF14*'R&amp;S - Transportation'!$B$15*('R&amp;S - Transportation'!$B$10*('R&amp;S - Transportation'!$B$20+('R&amp;S - Transportation'!$B$21-'R&amp;S - Transportation'!$B$20)*('Yearly HC Ethylene'!AF3-'Yearly HC Ethylene'!$X$3)/10))</f>
        <v>296877.00596769899</v>
      </c>
      <c r="AG15" s="183">
        <f>AG14*'R&amp;S - Transportation'!$B$15*('R&amp;S - Transportation'!$B$10*('R&amp;S - Transportation'!$B$20+('R&amp;S - Transportation'!$B$21-'R&amp;S - Transportation'!$B$20)*('Yearly HC Ethylene'!AG3-'Yearly HC Ethylene'!$X$3)/10))</f>
        <v>323394.03226380044</v>
      </c>
      <c r="AH15" s="183">
        <f>AH14*'R&amp;S - Transportation'!$B$15*('R&amp;S - Transportation'!$B$10*('R&amp;S - Transportation'!$B$20+('R&amp;S - Transportation'!$B$21-'R&amp;S - Transportation'!$B$20)*('Yearly HC Ethylene'!AH3-'Yearly HC Ethylene'!$X$3)/10))</f>
        <v>350841.66090645042</v>
      </c>
    </row>
    <row r="16" spans="1:41" outlineLevel="1">
      <c r="B16" s="57" t="s">
        <v>182</v>
      </c>
      <c r="C16" s="50" t="s">
        <v>1420</v>
      </c>
      <c r="D16" s="183">
        <v>0</v>
      </c>
      <c r="E16" s="183">
        <f>(E14-E15)*'R&amp;S - Transportation'!$B$15*('R&amp;S - Transportation'!$B$11*'R&amp;S - Transportation'!$B$19*('Yearly HC Ethylene'!E$3-'Yearly HC Ethylene'!$D$3)/10)</f>
        <v>1243.2211019054776</v>
      </c>
      <c r="F16" s="183">
        <f>(F14-F15)*'R&amp;S - Transportation'!$B$15*('R&amp;S - Transportation'!$B$11*'R&amp;S - Transportation'!$B$19*('Yearly HC Ethylene'!F$3-'Yearly HC Ethylene'!$D$3)/10)</f>
        <v>2525.3699612022897</v>
      </c>
      <c r="G16" s="183">
        <f>(G14-G15)*'R&amp;S - Transportation'!$B$15*('R&amp;S - Transportation'!$B$11*'R&amp;S - Transportation'!$B$19*('Yearly HC Ethylene'!G$3-'Yearly HC Ethylene'!$D$3)/10)</f>
        <v>3847.3030345469274</v>
      </c>
      <c r="H16" s="183">
        <f>(H14-H15)*'R&amp;S - Transportation'!$B$15*('R&amp;S - Transportation'!$B$11*'R&amp;S - Transportation'!$B$19*('Yearly HC Ethylene'!H$3-'Yearly HC Ethylene'!$D$3)/10)</f>
        <v>5209.8919486983059</v>
      </c>
      <c r="I16" s="183">
        <f>(I14-I15)*'R&amp;S - Transportation'!$B$15*('R&amp;S - Transportation'!$B$11*'R&amp;S - Transportation'!$B$19*('Yearly HC Ethylene'!I$3-'Yearly HC Ethylene'!$D$3)/10)</f>
        <v>6614.0237081620926</v>
      </c>
      <c r="J16" s="183">
        <f>(J14-J15)*'R&amp;S - Transportation'!$B$15*('R&amp;S - Transportation'!$B$11*'R&amp;S - Transportation'!$B$19*('Yearly HC Ethylene'!J$3-'Yearly HC Ethylene'!$D$3)/10)</f>
        <v>8060.6009042297219</v>
      </c>
      <c r="K16" s="183">
        <f>(K14-K15)*'R&amp;S - Transportation'!$B$15*('R&amp;S - Transportation'!$B$11*'R&amp;S - Transportation'!$B$19*('Yearly HC Ethylene'!K$3-'Yearly HC Ethylene'!$D$3)/10)</f>
        <v>9550.5419253734162</v>
      </c>
      <c r="L16" s="183">
        <f>(L14-L15)*'R&amp;S - Transportation'!$B$15*('R&amp;S - Transportation'!$B$11*'R&amp;S - Transportation'!$B$19*('Yearly HC Ethylene'!L$3-'Yearly HC Ethylene'!$D$3)/10)</f>
        <v>11084.78116895639</v>
      </c>
      <c r="M16" s="183">
        <f>(M14-M15)*'R&amp;S - Transportation'!$B$15*('R&amp;S - Transportation'!$B$11*'R&amp;S - Transportation'!$B$19*('Yearly HC Ethylene'!M$3-'Yearly HC Ethylene'!$D$3)/10)</f>
        <v>12664.269254215051</v>
      </c>
      <c r="N16" s="183">
        <f>(N14-N15)*'R&amp;S - Transportation'!$B$15*('R&amp;S - Transportation'!$B$11*'R&amp;S - Transportation'!$B$19*('Yearly HC Ethylene'!N$3-'Yearly HC Ethylene'!$D$3)/10)</f>
        <v>14289.973236467678</v>
      </c>
      <c r="O16" s="183">
        <f>(O14-O15)*'R&amp;S - Transportation'!$B$15*('R&amp;S - Transportation'!$B$11*('R&amp;S - Transportation'!$B$19+('R&amp;S - Transportation'!$B$20-'R&amp;S - Transportation'!$B$19)*('Yearly HC Ethylene'!O$3-'Yearly HC Ethylene'!$N$3)/10))</f>
        <v>18791.015743562675</v>
      </c>
      <c r="P16" s="183">
        <f>(P14-P15)*'R&amp;S - Transportation'!$B$15*('R&amp;S - Transportation'!$B$11*('R&amp;S - Transportation'!$B$19+('R&amp;S - Transportation'!$B$20-'R&amp;S - Transportation'!$B$19)*('Yearly HC Ethylene'!P$3-'Yearly HC Ethylene'!$N$3)/10))</f>
        <v>23390.826744895137</v>
      </c>
      <c r="Q16" s="183">
        <f>(Q14-Q15)*'R&amp;S - Transportation'!$B$15*('R&amp;S - Transportation'!$B$11*('R&amp;S - Transportation'!$B$19+('R&amp;S - Transportation'!$B$20-'R&amp;S - Transportation'!$B$19)*('Yearly HC Ethylene'!Q$3-'Yearly HC Ethylene'!$N$3)/10))</f>
        <v>28089.253406666787</v>
      </c>
      <c r="R16" s="183">
        <f>(R14-R15)*'R&amp;S - Transportation'!$B$15*('R&amp;S - Transportation'!$B$11*('R&amp;S - Transportation'!$B$19+('R&amp;S - Transportation'!$B$20-'R&amp;S - Transportation'!$B$19)*('Yearly HC Ethylene'!R$3-'Yearly HC Ethylene'!$N$3)/10))</f>
        <v>32886.0484987866</v>
      </c>
      <c r="S16" s="183">
        <f>(S14-S15)*'R&amp;S - Transportation'!$B$15*('R&amp;S - Transportation'!$B$11*('R&amp;S - Transportation'!$B$19+('R&amp;S - Transportation'!$B$20-'R&amp;S - Transportation'!$B$19)*('Yearly HC Ethylene'!S$3-'Yearly HC Ethylene'!$N$3)/10))</f>
        <v>37780.865806003465</v>
      </c>
      <c r="T16" s="183">
        <f>(T14-T15)*'R&amp;S - Transportation'!$B$15*('R&amp;S - Transportation'!$B$11*('R&amp;S - Transportation'!$B$19+('R&amp;S - Transportation'!$B$20-'R&amp;S - Transportation'!$B$19)*('Yearly HC Ethylene'!T$3-'Yearly HC Ethylene'!$N$3)/10))</f>
        <v>42773.255379426548</v>
      </c>
      <c r="U16" s="183">
        <f>(U14-U15)*'R&amp;S - Transportation'!$B$15*('R&amp;S - Transportation'!$B$11*('R&amp;S - Transportation'!$B$19+('R&amp;S - Transportation'!$B$20-'R&amp;S - Transportation'!$B$19)*('Yearly HC Ethylene'!U$3-'Yearly HC Ethylene'!$N$3)/10))</f>
        <v>47862.658623694035</v>
      </c>
      <c r="V16" s="183">
        <f>(V14-V15)*'R&amp;S - Transportation'!$B$15*('R&amp;S - Transportation'!$B$11*('R&amp;S - Transportation'!$B$19+('R&amp;S - Transportation'!$B$20-'R&amp;S - Transportation'!$B$19)*('Yearly HC Ethylene'!V$3-'Yearly HC Ethylene'!$N$3)/10))</f>
        <v>53048.403214924023</v>
      </c>
      <c r="W16" s="183">
        <f>(W14-W15)*'R&amp;S - Transportation'!$B$15*('R&amp;S - Transportation'!$B$11*('R&amp;S - Transportation'!$B$19+('R&amp;S - Transportation'!$B$20-'R&amp;S - Transportation'!$B$19)*('Yearly HC Ethylene'!W$3-'Yearly HC Ethylene'!$N$3)/10))</f>
        <v>58329.697844449503</v>
      </c>
      <c r="X16" s="183">
        <f>(X14-X15)*'R&amp;S - Transportation'!$B$15*('R&amp;S - Transportation'!$B$11*('R&amp;S - Transportation'!$B$19+('R&amp;S - Transportation'!$B$20-'R&amp;S - Transportation'!$B$19)*('Yearly HC Ethylene'!X$3-'Yearly HC Ethylene'!$N$3)/10))</f>
        <v>63705.626783206098</v>
      </c>
      <c r="Y16" s="183">
        <f>(Y14-Y15)*'R&amp;S - Transportation'!$B$15*('R&amp;S - Transportation'!$B$11*('R&amp;S - Transportation'!$B$20+('R&amp;S - Transportation'!$B$21-'R&amp;S - Transportation'!$B$20)*('Yearly HC Ethylene'!Y$3-'Yearly HC Ethylene'!$X$3)/10))</f>
        <v>73011.466796724882</v>
      </c>
      <c r="Z16" s="183">
        <f>(Z14-Z15)*'R&amp;S - Transportation'!$B$15*('R&amp;S - Transportation'!$B$11*('R&amp;S - Transportation'!$B$20+('R&amp;S - Transportation'!$B$21-'R&amp;S - Transportation'!$B$20)*('Yearly HC Ethylene'!Z$3-'Yearly HC Ethylene'!$X$3)/10))</f>
        <v>82207.588716308339</v>
      </c>
      <c r="AA16" s="183">
        <f>(AA14-AA15)*'R&amp;S - Transportation'!$B$15*('R&amp;S - Transportation'!$B$11*('R&amp;S - Transportation'!$B$20+('R&amp;S - Transportation'!$B$21-'R&amp;S - Transportation'!$B$20)*('Yearly HC Ethylene'!AA$3-'Yearly HC Ethylene'!$X$3)/10))</f>
        <v>91276.784595393852</v>
      </c>
      <c r="AB16" s="183">
        <f>(AB14-AB15)*'R&amp;S - Transportation'!$B$15*('R&amp;S - Transportation'!$B$11*('R&amp;S - Transportation'!$B$20+('R&amp;S - Transportation'!$B$21-'R&amp;S - Transportation'!$B$20)*('Yearly HC Ethylene'!AB$3-'Yearly HC Ethylene'!$X$3)/10))</f>
        <v>100201.04415583763</v>
      </c>
      <c r="AC16" s="183">
        <f>(AC14-AC15)*'R&amp;S - Transportation'!$B$15*('R&amp;S - Transportation'!$B$11*('R&amp;S - Transportation'!$B$20+('R&amp;S - Transportation'!$B$21-'R&amp;S - Transportation'!$B$20)*('Yearly HC Ethylene'!AC$3-'Yearly HC Ethylene'!$X$3)/10))</f>
        <v>108961.5271345337</v>
      </c>
      <c r="AD16" s="183">
        <f>(AD14-AD15)*'R&amp;S - Transportation'!$B$15*('R&amp;S - Transportation'!$B$11*('R&amp;S - Transportation'!$B$20+('R&amp;S - Transportation'!$B$21-'R&amp;S - Transportation'!$B$20)*('Yearly HC Ethylene'!AD$3-'Yearly HC Ethylene'!$X$3)/10))</f>
        <v>117538.53481183865</v>
      </c>
      <c r="AE16" s="183">
        <f>(AE14-AE15)*'R&amp;S - Transportation'!$B$15*('R&amp;S - Transportation'!$B$11*('R&amp;S - Transportation'!$B$20+('R&amp;S - Transportation'!$B$21-'R&amp;S - Transportation'!$B$20)*('Yearly HC Ethylene'!AE$3-'Yearly HC Ethylene'!$X$3)/10))</f>
        <v>125911.48069978671</v>
      </c>
      <c r="AF16" s="183">
        <f>(AF14-AF15)*'R&amp;S - Transportation'!$B$15*('R&amp;S - Transportation'!$B$11*('R&amp;S - Transportation'!$B$20+('R&amp;S - Transportation'!$B$21-'R&amp;S - Transportation'!$B$20)*('Yearly HC Ethylene'!AF$3-'Yearly HC Ethylene'!$X$3)/10))</f>
        <v>134058.86036752313</v>
      </c>
      <c r="AG16" s="183">
        <f>(AG14-AG15)*'R&amp;S - Transportation'!$B$15*('R&amp;S - Transportation'!$B$11*('R&amp;S - Transportation'!$B$20+('R&amp;S - Transportation'!$B$21-'R&amp;S - Transportation'!$B$20)*('Yearly HC Ethylene'!AG$3-'Yearly HC Ethylene'!$X$3)/10))</f>
        <v>141958.22038081699</v>
      </c>
      <c r="AH16" s="183">
        <f>(AH14-AH15)*'R&amp;S - Transportation'!$B$15*('R&amp;S - Transportation'!$B$11*('R&amp;S - Transportation'!$B$20+('R&amp;S - Transportation'!$B$21-'R&amp;S - Transportation'!$B$20)*('Yearly HC Ethylene'!AH$3-'Yearly HC Ethylene'!$X$3)/10))</f>
        <v>149586.12633193206</v>
      </c>
    </row>
    <row r="17" spans="1:35" outlineLevel="1">
      <c r="B17" s="1" t="s">
        <v>169</v>
      </c>
      <c r="C17" s="50" t="s">
        <v>1420</v>
      </c>
      <c r="D17" s="183">
        <f>SUM(D15:D16)</f>
        <v>0</v>
      </c>
      <c r="E17" s="183">
        <f t="shared" ref="E17:AH17" si="3">SUM(E15:E16)</f>
        <v>3203.3225969763907</v>
      </c>
      <c r="F17" s="183">
        <f t="shared" si="3"/>
        <v>6520.1741795038197</v>
      </c>
      <c r="G17" s="183">
        <f t="shared" si="3"/>
        <v>9953.5164588786974</v>
      </c>
      <c r="H17" s="183">
        <f t="shared" si="3"/>
        <v>13506.378635200326</v>
      </c>
      <c r="I17" s="183">
        <f t="shared" si="3"/>
        <v>17181.858814529005</v>
      </c>
      <c r="J17" s="183">
        <f t="shared" si="3"/>
        <v>20983.125454106852</v>
      </c>
      <c r="K17" s="183">
        <f t="shared" si="3"/>
        <v>24913.418836171069</v>
      </c>
      <c r="L17" s="183">
        <f t="shared" si="3"/>
        <v>28976.052570899144</v>
      </c>
      <c r="M17" s="183">
        <f t="shared" si="3"/>
        <v>33174.415129035144</v>
      </c>
      <c r="N17" s="183">
        <f>SUM(N15:N16)</f>
        <v>37511.971404756121</v>
      </c>
      <c r="O17" s="183">
        <f t="shared" si="3"/>
        <v>49643.31855998571</v>
      </c>
      <c r="P17" s="183">
        <f t="shared" si="3"/>
        <v>62196.795343146601</v>
      </c>
      <c r="Q17" s="183">
        <f t="shared" si="3"/>
        <v>75182.238953805936</v>
      </c>
      <c r="R17" s="183">
        <f t="shared" si="3"/>
        <v>88609.658820523648</v>
      </c>
      <c r="S17" s="183">
        <f t="shared" si="3"/>
        <v>102489.23853718885</v>
      </c>
      <c r="T17" s="183">
        <f t="shared" si="3"/>
        <v>116831.3377904465</v>
      </c>
      <c r="U17" s="183">
        <f t="shared" si="3"/>
        <v>131646.49427681306</v>
      </c>
      <c r="V17" s="183">
        <f t="shared" si="3"/>
        <v>146945.42560802482</v>
      </c>
      <c r="W17" s="183">
        <f t="shared" si="3"/>
        <v>162739.03120310482</v>
      </c>
      <c r="X17" s="183">
        <f t="shared" si="3"/>
        <v>179038.39416557396</v>
      </c>
      <c r="Y17" s="183">
        <f t="shared" si="3"/>
        <v>208277.09396753597</v>
      </c>
      <c r="Z17" s="183">
        <f t="shared" si="3"/>
        <v>238150.79694549227</v>
      </c>
      <c r="AA17" s="183">
        <f t="shared" si="3"/>
        <v>268663.56077809638</v>
      </c>
      <c r="AB17" s="183">
        <f t="shared" si="3"/>
        <v>299819.17761610536</v>
      </c>
      <c r="AC17" s="183">
        <f t="shared" si="3"/>
        <v>331621.15902750613</v>
      </c>
      <c r="AD17" s="183">
        <f t="shared" si="3"/>
        <v>364072.72040603915</v>
      </c>
      <c r="AE17" s="183">
        <f t="shared" si="3"/>
        <v>397176.76482718182</v>
      </c>
      <c r="AF17" s="183">
        <f t="shared" si="3"/>
        <v>430935.86633522215</v>
      </c>
      <c r="AG17" s="183">
        <f t="shared" si="3"/>
        <v>465352.25264461746</v>
      </c>
      <c r="AH17" s="183">
        <f t="shared" si="3"/>
        <v>500427.7872383825</v>
      </c>
      <c r="AI17" s="40"/>
    </row>
    <row r="18" spans="1:35" outlineLevel="1">
      <c r="B18" s="1" t="s">
        <v>172</v>
      </c>
      <c r="C18" s="50" t="s">
        <v>1420</v>
      </c>
      <c r="D18" s="183">
        <v>0</v>
      </c>
      <c r="E18" s="183">
        <v>0</v>
      </c>
      <c r="F18" s="183">
        <v>0</v>
      </c>
      <c r="G18" s="183">
        <v>0</v>
      </c>
      <c r="H18" s="183">
        <v>0</v>
      </c>
      <c r="I18" s="183">
        <v>0</v>
      </c>
      <c r="J18" s="183">
        <v>0</v>
      </c>
      <c r="K18" s="183">
        <v>0</v>
      </c>
      <c r="L18" s="183">
        <v>0</v>
      </c>
      <c r="M18" s="183">
        <v>0</v>
      </c>
      <c r="N18" s="183">
        <v>0</v>
      </c>
      <c r="O18" s="183">
        <v>0</v>
      </c>
      <c r="P18" s="183">
        <v>0</v>
      </c>
      <c r="Q18" s="183">
        <v>0</v>
      </c>
      <c r="R18" s="183">
        <v>0</v>
      </c>
      <c r="S18" s="183">
        <v>0</v>
      </c>
      <c r="T18" s="183">
        <v>0</v>
      </c>
      <c r="U18" s="183">
        <v>0</v>
      </c>
      <c r="V18" s="183">
        <v>0</v>
      </c>
      <c r="W18" s="183">
        <v>0</v>
      </c>
      <c r="X18" s="183">
        <v>0</v>
      </c>
      <c r="Y18" s="183">
        <v>0</v>
      </c>
      <c r="Z18" s="183">
        <v>0</v>
      </c>
      <c r="AA18" s="183">
        <v>0</v>
      </c>
      <c r="AB18" s="183">
        <v>0</v>
      </c>
      <c r="AC18" s="183">
        <v>0</v>
      </c>
      <c r="AD18" s="183">
        <v>0</v>
      </c>
      <c r="AE18" s="183">
        <v>0</v>
      </c>
      <c r="AF18" s="183">
        <v>0</v>
      </c>
      <c r="AG18" s="183">
        <v>0</v>
      </c>
      <c r="AH18" s="183">
        <v>0</v>
      </c>
    </row>
    <row r="19" spans="1:35" s="166" customFormat="1">
      <c r="A19" s="166" t="s">
        <v>200</v>
      </c>
      <c r="B19" s="166" t="s">
        <v>78</v>
      </c>
      <c r="C19" s="167" t="s">
        <v>1420</v>
      </c>
      <c r="D19" s="581">
        <f>D14-D17-D18</f>
        <v>582875.6940607368</v>
      </c>
      <c r="E19" s="581">
        <f t="shared" ref="E19:AG19" si="4">E14-E17-E18</f>
        <v>590766.82742451236</v>
      </c>
      <c r="F19" s="581">
        <f t="shared" si="4"/>
        <v>598753.19222981902</v>
      </c>
      <c r="G19" s="581">
        <f t="shared" si="4"/>
        <v>606835.71832210827</v>
      </c>
      <c r="H19" s="581">
        <f>H14-H17-H18</f>
        <v>615015.34003919514</v>
      </c>
      <c r="I19" s="581">
        <f t="shared" si="4"/>
        <v>623292.99611679907</v>
      </c>
      <c r="J19" s="581">
        <f t="shared" si="4"/>
        <v>631669.62959019269</v>
      </c>
      <c r="K19" s="581">
        <f t="shared" si="4"/>
        <v>640146.18769186572</v>
      </c>
      <c r="L19" s="581">
        <f t="shared" si="4"/>
        <v>648723.62174511433</v>
      </c>
      <c r="M19" s="581">
        <f t="shared" si="4"/>
        <v>657402.88705345953</v>
      </c>
      <c r="N19" s="581">
        <f>N14-N17-N18</f>
        <v>666184.94278580276</v>
      </c>
      <c r="O19" s="581">
        <f t="shared" si="4"/>
        <v>669524.57925873308</v>
      </c>
      <c r="P19" s="581">
        <f t="shared" si="4"/>
        <v>672764.73113888851</v>
      </c>
      <c r="Q19" s="581">
        <f t="shared" si="4"/>
        <v>675902.06004362879</v>
      </c>
      <c r="R19" s="581">
        <f t="shared" si="4"/>
        <v>678933.18307668075</v>
      </c>
      <c r="S19" s="581">
        <f t="shared" si="4"/>
        <v>681854.67335596727</v>
      </c>
      <c r="T19" s="581">
        <f t="shared" si="4"/>
        <v>684663.06059721543</v>
      </c>
      <c r="U19" s="581">
        <f t="shared" si="4"/>
        <v>687354.83175563067</v>
      </c>
      <c r="V19" s="581">
        <f t="shared" si="4"/>
        <v>689926.43172798923</v>
      </c>
      <c r="W19" s="581">
        <f t="shared" si="4"/>
        <v>692374.26411757758</v>
      </c>
      <c r="X19" s="581">
        <f t="shared" si="4"/>
        <v>694694.69206448551</v>
      </c>
      <c r="Y19" s="581">
        <f t="shared" si="4"/>
        <v>682800.81888365676</v>
      </c>
      <c r="Z19" s="581">
        <f t="shared" si="4"/>
        <v>670609.15777003171</v>
      </c>
      <c r="AA19" s="581">
        <f t="shared" si="4"/>
        <v>658122.1037083324</v>
      </c>
      <c r="AB19" s="581">
        <f t="shared" si="4"/>
        <v>645342.43914652593</v>
      </c>
      <c r="AC19" s="581">
        <f t="shared" si="4"/>
        <v>632273.35133168194</v>
      </c>
      <c r="AD19" s="581">
        <f t="shared" si="4"/>
        <v>618918.45022474439</v>
      </c>
      <c r="AE19" s="581">
        <f t="shared" si="4"/>
        <v>605281.78701093746</v>
      </c>
      <c r="AF19" s="581">
        <f t="shared" si="4"/>
        <v>591367.87322297005</v>
      </c>
      <c r="AG19" s="581">
        <f t="shared" si="4"/>
        <v>577181.70049464901</v>
      </c>
      <c r="AH19" s="581">
        <f>AH14-AH17-AH18</f>
        <v>562728.76096298243</v>
      </c>
    </row>
    <row r="20" spans="1:35" s="61" customFormat="1">
      <c r="A20" s="606" t="s">
        <v>608</v>
      </c>
      <c r="B20" s="54" t="s">
        <v>141</v>
      </c>
      <c r="C20" s="55" t="s">
        <v>1420</v>
      </c>
      <c r="D20" s="571">
        <f>D19*('Demand - Ethylene'!$C$75)</f>
        <v>36825.842975206615</v>
      </c>
      <c r="E20" s="571">
        <f>E19*('Demand - Ethylene'!$C$75)</f>
        <v>37324.401486244016</v>
      </c>
      <c r="F20" s="571">
        <f>F19*('Demand - Ethylene'!$C$75)</f>
        <v>37828.97667999415</v>
      </c>
      <c r="G20" s="571">
        <f>G19*('Demand - Ethylene'!$C$75)</f>
        <v>38339.627303704394</v>
      </c>
      <c r="H20" s="571">
        <f>H19*('Demand - Ethylene'!$C$75)</f>
        <v>38856.412388447767</v>
      </c>
      <c r="I20" s="571">
        <f>I19*('Demand - Ethylene'!$C$75)</f>
        <v>39379.391243155063</v>
      </c>
      <c r="J20" s="571">
        <f>J19*('Demand - Ethylene'!$C$75)</f>
        <v>39908.623448401057</v>
      </c>
      <c r="K20" s="571">
        <f>K19*('Demand - Ethylene'!$C$75)</f>
        <v>40444.168849938935</v>
      </c>
      <c r="L20" s="571">
        <f>L19*('Demand - Ethylene'!$C$75)</f>
        <v>40986.087551977333</v>
      </c>
      <c r="M20" s="571">
        <f>M19*('Demand - Ethylene'!$C$75)</f>
        <v>41534.439910193825</v>
      </c>
      <c r="N20" s="571">
        <f>N19*('Demand - Ethylene'!$C$75)</f>
        <v>42089.28652447911</v>
      </c>
      <c r="O20" s="571">
        <f>O19*('Demand - Ethylene'!$C$75)</f>
        <v>42300.283362397677</v>
      </c>
      <c r="P20" s="571">
        <f>P19*('Demand - Ethylene'!$C$75)</f>
        <v>42504.994805283801</v>
      </c>
      <c r="Q20" s="571">
        <f>Q19*('Demand - Ethylene'!$C$75)</f>
        <v>42703.209935516184</v>
      </c>
      <c r="R20" s="571">
        <f>R19*('Demand - Ethylene'!$C$75)</f>
        <v>42894.7150231208</v>
      </c>
      <c r="S20" s="571">
        <f>S19*('Demand - Ethylene'!$C$75)</f>
        <v>43079.293559118887</v>
      </c>
      <c r="T20" s="571">
        <f>T19*('Demand - Ethylene'!$C$75)</f>
        <v>43256.726292399064</v>
      </c>
      <c r="U20" s="571">
        <f>U19*('Demand - Ethylene'!$C$75)</f>
        <v>43426.791270258065</v>
      </c>
      <c r="V20" s="571">
        <f>V19*('Demand - Ethylene'!$C$75)</f>
        <v>43589.26388275862</v>
      </c>
      <c r="W20" s="571">
        <f>W19*('Demand - Ethylene'!$C$75)</f>
        <v>43743.916911058019</v>
      </c>
      <c r="X20" s="571">
        <f>X19*('Demand - Ethylene'!$C$75)</f>
        <v>43890.520579865675</v>
      </c>
      <c r="Y20" s="571">
        <f>Y19*('Demand - Ethylene'!$C$75)</f>
        <v>43139.070638502053</v>
      </c>
      <c r="Z20" s="571">
        <f>Z19*('Demand - Ethylene'!$C$75)</f>
        <v>42368.806579883567</v>
      </c>
      <c r="AA20" s="571">
        <f>AA19*('Demand - Ethylene'!$C$75)</f>
        <v>41579.879718144955</v>
      </c>
      <c r="AB20" s="571">
        <f>AB19*('Demand - Ethylene'!$C$75)</f>
        <v>40772.465847186977</v>
      </c>
      <c r="AC20" s="571">
        <f>AC19*('Demand - Ethylene'!$C$75)</f>
        <v>39946.766335948683</v>
      </c>
      <c r="AD20" s="571">
        <f>AD19*('Demand - Ethylene'!$C$75)</f>
        <v>39103.009260255203</v>
      </c>
      <c r="AE20" s="571">
        <f>AE19*('Demand - Ethylene'!$C$75)</f>
        <v>38241.450572297457</v>
      </c>
      <c r="AF20" s="571">
        <f>AF19*('Demand - Ethylene'!$C$75)</f>
        <v>37362.375308828225</v>
      </c>
      <c r="AG20" s="571">
        <f>AG19*('Demand - Ethylene'!$C$75)</f>
        <v>36466.098839187223</v>
      </c>
      <c r="AH20" s="571">
        <f>AH19*('Demand - Ethylene'!$C$75)</f>
        <v>35552.968154297399</v>
      </c>
    </row>
    <row r="21" spans="1:35">
      <c r="A21" s="607"/>
      <c r="B21" s="1" t="s">
        <v>18</v>
      </c>
      <c r="C21" s="50" t="s">
        <v>1420</v>
      </c>
      <c r="D21" s="183">
        <f>D25/('Demand - Ethylene'!$K$14)</f>
        <v>0</v>
      </c>
      <c r="E21" s="183">
        <f>E25/('Demand - Ethylene'!$K$14)</f>
        <v>0</v>
      </c>
      <c r="F21" s="183">
        <f>F25/('Demand - Ethylene'!$K$14)</f>
        <v>0</v>
      </c>
      <c r="G21" s="183">
        <f>G25/('Demand - Ethylene'!$K$14)</f>
        <v>0</v>
      </c>
      <c r="H21" s="183">
        <f>H25/('Demand - Ethylene'!$K$14)</f>
        <v>0</v>
      </c>
      <c r="I21" s="183">
        <f>I25/('Demand - Ethylene'!$K$14)</f>
        <v>0</v>
      </c>
      <c r="J21" s="183">
        <f>J25/('Demand - Ethylene'!$K$14)</f>
        <v>0</v>
      </c>
      <c r="K21" s="183">
        <f>K25/('Demand - Ethylene'!$K$14)</f>
        <v>0</v>
      </c>
      <c r="L21" s="183">
        <f>L25/('Demand - Ethylene'!$K$14)</f>
        <v>0</v>
      </c>
      <c r="M21" s="183">
        <f>M25/('Demand - Ethylene'!$K$14)</f>
        <v>0</v>
      </c>
      <c r="N21" s="183">
        <f>N25/('Demand - Ethylene'!$K$14)</f>
        <v>0</v>
      </c>
      <c r="O21" s="183">
        <f>O25/('Demand - Ethylene'!$K$14)</f>
        <v>0</v>
      </c>
      <c r="P21" s="183">
        <f>P25/('Demand - Ethylene'!$K$14)</f>
        <v>0</v>
      </c>
      <c r="Q21" s="183">
        <f>Q25/('Demand - Ethylene'!$K$14)</f>
        <v>0</v>
      </c>
      <c r="R21" s="183">
        <f>R25/('Demand - Ethylene'!$K$14)</f>
        <v>0</v>
      </c>
      <c r="S21" s="183">
        <f>S25/('Demand - Ethylene'!$K$14)</f>
        <v>0</v>
      </c>
      <c r="T21" s="183">
        <f>T25/('Demand - Ethylene'!$K$14)</f>
        <v>0</v>
      </c>
      <c r="U21" s="183">
        <f>U25/('Demand - Ethylene'!$K$14)</f>
        <v>0</v>
      </c>
      <c r="V21" s="183">
        <f>V25/('Demand - Ethylene'!$K$14)</f>
        <v>0</v>
      </c>
      <c r="W21" s="183">
        <f>W25/('Demand - Ethylene'!$K$14)</f>
        <v>0</v>
      </c>
      <c r="X21" s="183">
        <f>X25/('Demand - Ethylene'!$K$14)</f>
        <v>0</v>
      </c>
      <c r="Y21" s="183">
        <f>Y25/('Demand - Ethylene'!$K$14)</f>
        <v>0</v>
      </c>
      <c r="Z21" s="183">
        <f>Z25/('Demand - Ethylene'!$K$14)</f>
        <v>0</v>
      </c>
      <c r="AA21" s="183">
        <f>AA25/('Demand - Ethylene'!$K$14)</f>
        <v>0</v>
      </c>
      <c r="AB21" s="183">
        <f>AB25/('Demand - Ethylene'!$K$14)</f>
        <v>0</v>
      </c>
      <c r="AC21" s="183">
        <f>AC25/('Demand - Ethylene'!$K$14)</f>
        <v>0</v>
      </c>
      <c r="AD21" s="183">
        <f>AD25/('Demand - Ethylene'!$K$14)</f>
        <v>0</v>
      </c>
      <c r="AE21" s="183">
        <f>AE25/('Demand - Ethylene'!$K$14)</f>
        <v>0</v>
      </c>
      <c r="AF21" s="183">
        <f>AF25/('Demand - Ethylene'!$K$14)</f>
        <v>0</v>
      </c>
      <c r="AG21" s="183">
        <f>AG25/('Demand - Ethylene'!$K$14)</f>
        <v>0</v>
      </c>
      <c r="AH21" s="183">
        <f>AH25/('Demand - Ethylene'!$K$14)</f>
        <v>0</v>
      </c>
    </row>
    <row r="22" spans="1:35">
      <c r="A22" s="607"/>
      <c r="B22" s="1" t="s">
        <v>607</v>
      </c>
      <c r="C22" s="50" t="s">
        <v>1420</v>
      </c>
      <c r="D22" s="183">
        <f>D24/('Demand - Ethylene'!$M$14)</f>
        <v>23746.467073344633</v>
      </c>
      <c r="E22" s="183">
        <f>E24/('Demand - Ethylene'!$M$14)</f>
        <v>24067.953353358811</v>
      </c>
      <c r="F22" s="183">
        <f>F24/('Demand - Ethylene'!$M$14)</f>
        <v>24393.319380484951</v>
      </c>
      <c r="G22" s="183">
        <f>G24/('Demand - Ethylene'!$M$14)</f>
        <v>24722.603036804292</v>
      </c>
      <c r="H22" s="183">
        <f>H24/('Demand - Ethylene'!$M$14)</f>
        <v>25055.842387417833</v>
      </c>
      <c r="I22" s="183">
        <f>I24/('Demand - Ethylene'!$M$14)</f>
        <v>25393.075676598033</v>
      </c>
      <c r="J22" s="183">
        <f>J24/('Demand - Ethylene'!$M$14)</f>
        <v>25734.341323781962</v>
      </c>
      <c r="K22" s="183">
        <f>K24/('Demand - Ethylene'!$M$14)</f>
        <v>26079.677919402118</v>
      </c>
      <c r="L22" s="183">
        <f>L24/('Demand - Ethylene'!$M$14)</f>
        <v>26429.124220551243</v>
      </c>
      <c r="M22" s="183">
        <f>M24/('Demand - Ethylene'!$M$14)</f>
        <v>26782.719146477193</v>
      </c>
      <c r="N22" s="183">
        <f>N24/('Demand - Ethylene'!$M$14)</f>
        <v>27140.501773904154</v>
      </c>
      <c r="O22" s="183">
        <f>O24/('Demand - Ethylene'!$M$14)</f>
        <v>27276.559201498858</v>
      </c>
      <c r="P22" s="183">
        <f>P24/('Demand - Ethylene'!$M$14)</f>
        <v>27408.563607787808</v>
      </c>
      <c r="Q22" s="183">
        <f>Q24/('Demand - Ethylene'!$M$14)</f>
        <v>27536.378986424788</v>
      </c>
      <c r="R22" s="183">
        <f>R24/('Demand - Ethylene'!$M$14)</f>
        <v>27659.867517569692</v>
      </c>
      <c r="S22" s="183">
        <f>S24/('Demand - Ethylene'!$M$14)</f>
        <v>27778.88958939234</v>
      </c>
      <c r="T22" s="183">
        <f>T24/('Demand - Ethylene'!$M$14)</f>
        <v>27893.303821848822</v>
      </c>
      <c r="U22" s="183">
        <f>U24/('Demand - Ethylene'!$M$14)</f>
        <v>28002.967092823419</v>
      </c>
      <c r="V22" s="183">
        <f>V24/('Demand - Ethylene'!$M$14)</f>
        <v>28107.73456673195</v>
      </c>
      <c r="W22" s="183">
        <f>W24/('Demand - Ethylene'!$M$14)</f>
        <v>28207.459725685603</v>
      </c>
      <c r="X22" s="183">
        <f>X24/('Demand - Ethylene'!$M$14)</f>
        <v>28301.994403317185</v>
      </c>
      <c r="Y22" s="183">
        <f>Y24/('Demand - Ethylene'!$M$14)</f>
        <v>27817.435738852349</v>
      </c>
      <c r="Z22" s="183">
        <f>Z24/('Demand - Ethylene'!$M$14)</f>
        <v>27320.745137144211</v>
      </c>
      <c r="AA22" s="183">
        <f>AA24/('Demand - Ethylene'!$M$14)</f>
        <v>26812.020170327669</v>
      </c>
      <c r="AB22" s="183">
        <f>AB24/('Demand - Ethylene'!$M$14)</f>
        <v>26291.374195864195</v>
      </c>
      <c r="AC22" s="183">
        <f>AC24/('Demand - Ethylene'!$M$14)</f>
        <v>25758.937062807996</v>
      </c>
      <c r="AD22" s="183">
        <f>AD24/('Demand - Ethylene'!$M$14)</f>
        <v>25214.855841657227</v>
      </c>
      <c r="AE22" s="183">
        <f>AE24/('Demand - Ethylene'!$M$14)</f>
        <v>24659.295578471483</v>
      </c>
      <c r="AF22" s="183">
        <f>AF24/('Demand - Ethylene'!$M$14)</f>
        <v>24092.440073954778</v>
      </c>
      <c r="AG22" s="183">
        <f>AG24/('Demand - Ethylene'!$M$14)</f>
        <v>23514.492688221533</v>
      </c>
      <c r="AH22" s="183">
        <f>AH24/('Demand - Ethylene'!$M$14)</f>
        <v>22925.677171982148</v>
      </c>
    </row>
    <row r="23" spans="1:35" s="62" customFormat="1">
      <c r="A23" s="608"/>
      <c r="B23" s="58" t="s">
        <v>27</v>
      </c>
      <c r="C23" s="233" t="s">
        <v>1420</v>
      </c>
      <c r="D23" s="528">
        <f>D19-SUM(D21,D20,D22)</f>
        <v>522303.38401218556</v>
      </c>
      <c r="E23" s="528">
        <f t="shared" ref="E23:AH23" si="5">E19-SUM(E21,E20,E22)</f>
        <v>529374.47258490953</v>
      </c>
      <c r="F23" s="528">
        <f t="shared" si="5"/>
        <v>536530.89616933989</v>
      </c>
      <c r="G23" s="528">
        <f t="shared" si="5"/>
        <v>543773.48798159952</v>
      </c>
      <c r="H23" s="528">
        <f t="shared" si="5"/>
        <v>551103.08526332956</v>
      </c>
      <c r="I23" s="528">
        <f t="shared" si="5"/>
        <v>558520.52919704595</v>
      </c>
      <c r="J23" s="528">
        <f t="shared" si="5"/>
        <v>566026.66481800971</v>
      </c>
      <c r="K23" s="528">
        <f t="shared" si="5"/>
        <v>573622.34092252469</v>
      </c>
      <c r="L23" s="528">
        <f t="shared" si="5"/>
        <v>581308.40997258574</v>
      </c>
      <c r="M23" s="528">
        <f t="shared" si="5"/>
        <v>589085.72799678845</v>
      </c>
      <c r="N23" s="528">
        <f t="shared" si="5"/>
        <v>596955.15448741952</v>
      </c>
      <c r="O23" s="528">
        <f t="shared" si="5"/>
        <v>599947.73669483652</v>
      </c>
      <c r="P23" s="528">
        <f t="shared" si="5"/>
        <v>602851.17272581696</v>
      </c>
      <c r="Q23" s="528">
        <f t="shared" si="5"/>
        <v>605662.47112168779</v>
      </c>
      <c r="R23" s="528">
        <f t="shared" si="5"/>
        <v>608378.6005359902</v>
      </c>
      <c r="S23" s="528">
        <f t="shared" si="5"/>
        <v>610996.49020745605</v>
      </c>
      <c r="T23" s="528">
        <f t="shared" si="5"/>
        <v>613513.0304829675</v>
      </c>
      <c r="U23" s="528">
        <f t="shared" si="5"/>
        <v>615925.07339254918</v>
      </c>
      <c r="V23" s="528">
        <f t="shared" si="5"/>
        <v>618229.43327849871</v>
      </c>
      <c r="W23" s="528">
        <f t="shared" si="5"/>
        <v>620422.88748083392</v>
      </c>
      <c r="X23" s="528">
        <f t="shared" si="5"/>
        <v>622502.17708130262</v>
      </c>
      <c r="Y23" s="528">
        <f t="shared" si="5"/>
        <v>611844.31250630238</v>
      </c>
      <c r="Z23" s="528">
        <f t="shared" si="5"/>
        <v>600919.60605300392</v>
      </c>
      <c r="AA23" s="528">
        <f t="shared" si="5"/>
        <v>589730.20381985977</v>
      </c>
      <c r="AB23" s="528">
        <f t="shared" si="5"/>
        <v>578278.59910347476</v>
      </c>
      <c r="AC23" s="528">
        <f t="shared" si="5"/>
        <v>566567.64793292526</v>
      </c>
      <c r="AD23" s="528">
        <f t="shared" si="5"/>
        <v>554600.58512283198</v>
      </c>
      <c r="AE23" s="528">
        <f t="shared" si="5"/>
        <v>542381.04086016852</v>
      </c>
      <c r="AF23" s="528">
        <f t="shared" si="5"/>
        <v>529913.0578401871</v>
      </c>
      <c r="AG23" s="528">
        <f t="shared" si="5"/>
        <v>517201.10896724026</v>
      </c>
      <c r="AH23" s="528">
        <f t="shared" si="5"/>
        <v>504250.11563670286</v>
      </c>
    </row>
    <row r="24" spans="1:35" s="61" customFormat="1">
      <c r="A24" s="606" t="s">
        <v>609</v>
      </c>
      <c r="B24" s="54" t="s">
        <v>606</v>
      </c>
      <c r="C24" s="55" t="s">
        <v>1420</v>
      </c>
      <c r="D24" s="571">
        <f>D19*'Demand - Ethylene'!$E$75</f>
        <v>10824.28882051282</v>
      </c>
      <c r="E24" s="571">
        <f>E19*'Demand - Ethylene'!$E$75</f>
        <v>10970.831055025332</v>
      </c>
      <c r="F24" s="571">
        <f>F19*'Demand - Ethylene'!$E$75</f>
        <v>11119.141784327436</v>
      </c>
      <c r="G24" s="571">
        <f>G19*'Demand - Ethylene'!$E$75</f>
        <v>11269.238276107299</v>
      </c>
      <c r="H24" s="571">
        <f>H19*'Demand - Ethylene'!$E$75</f>
        <v>11421.137881478493</v>
      </c>
      <c r="I24" s="571">
        <f>I19*'Demand - Ethylene'!$E$75</f>
        <v>11574.858033225843</v>
      </c>
      <c r="J24" s="571">
        <f>J19*'Demand - Ethylene'!$E$75</f>
        <v>11730.416243978992</v>
      </c>
      <c r="K24" s="571">
        <f>K19*'Demand - Ethylene'!$E$75</f>
        <v>11887.830104311974</v>
      </c>
      <c r="L24" s="571">
        <f>L19*'Demand - Ethylene'!$E$75</f>
        <v>12047.117280767114</v>
      </c>
      <c r="M24" s="571">
        <f>M19*'Demand - Ethylene'!$E$75</f>
        <v>12208.295513801475</v>
      </c>
      <c r="N24" s="571">
        <f>N19*'Demand - Ethylene'!$E$75</f>
        <v>12371.382615654134</v>
      </c>
      <c r="O24" s="571">
        <f>O19*'Demand - Ethylene'!$E$75</f>
        <v>12433.401310389327</v>
      </c>
      <c r="P24" s="571">
        <f>P19*'Demand - Ethylene'!$E$75</f>
        <v>12493.572527220811</v>
      </c>
      <c r="Q24" s="571">
        <f>Q19*'Demand - Ethylene'!$E$75</f>
        <v>12551.83427073814</v>
      </c>
      <c r="R24" s="571">
        <f>R19*'Demand - Ethylene'!$E$75</f>
        <v>12608.123718890776</v>
      </c>
      <c r="S24" s="571">
        <f>S19*'Demand - Ethylene'!$E$75</f>
        <v>12662.377232790126</v>
      </c>
      <c r="T24" s="571">
        <f>T19*'Demand - Ethylene'!$E$75</f>
        <v>12714.530367547441</v>
      </c>
      <c r="U24" s="571">
        <f>U19*'Demand - Ethylene'!$E$75</f>
        <v>12764.517884190016</v>
      </c>
      <c r="V24" s="571">
        <f>V19*'Demand - Ethylene'!$E$75</f>
        <v>12812.273762699389</v>
      </c>
      <c r="W24" s="571">
        <f>W19*'Demand - Ethylene'!$E$75</f>
        <v>12857.731216216656</v>
      </c>
      <c r="X24" s="571">
        <f>X19*'Demand - Ethylene'!$E$75</f>
        <v>12900.822706461408</v>
      </c>
      <c r="Y24" s="571">
        <f>Y19*'Demand - Ethylene'!$E$75</f>
        <v>12679.947621403518</v>
      </c>
      <c r="Z24" s="571">
        <f>Z19*'Demand - Ethylene'!$E$75</f>
        <v>12453.542467714022</v>
      </c>
      <c r="AA24" s="571">
        <f>AA19*'Demand - Ethylene'!$E$75</f>
        <v>12221.651721439213</v>
      </c>
      <c r="AB24" s="571">
        <f>AB19*'Demand - Ethylene'!$E$75</f>
        <v>11984.327054008749</v>
      </c>
      <c r="AC24" s="571">
        <f>AC19*'Demand - Ethylene'!$E$75</f>
        <v>11741.627654171063</v>
      </c>
      <c r="AD24" s="571">
        <f>AD19*'Demand - Ethylene'!$E$75</f>
        <v>11493.620560679503</v>
      </c>
      <c r="AE24" s="571">
        <f>AE19*'Demand - Ethylene'!$E$75</f>
        <v>11240.381006039697</v>
      </c>
      <c r="AF24" s="571">
        <f>AF19*'Demand - Ethylene'!$E$75</f>
        <v>10981.992771636873</v>
      </c>
      <c r="AG24" s="571">
        <f>AG19*'Demand - Ethylene'!$E$75</f>
        <v>10718.548554570192</v>
      </c>
      <c r="AH24" s="571">
        <f>AH19*'Demand - Ethylene'!$E$75</f>
        <v>10450.150346529859</v>
      </c>
    </row>
    <row r="25" spans="1:35" s="62" customFormat="1">
      <c r="A25" s="608"/>
      <c r="B25" s="58" t="s">
        <v>605</v>
      </c>
      <c r="C25" s="233" t="s">
        <v>1420</v>
      </c>
      <c r="D25" s="528">
        <f>D19*'Demand - Ethylene'!$D$75/'Demand - Ethylene'!$L$24</f>
        <v>0</v>
      </c>
      <c r="E25" s="528">
        <f>E19*'Demand - Ethylene'!$D$75/'Demand - Ethylene'!$L$24</f>
        <v>0</v>
      </c>
      <c r="F25" s="528">
        <f>F19*'Demand - Ethylene'!$D$75/'Demand - Ethylene'!$L$24</f>
        <v>0</v>
      </c>
      <c r="G25" s="528">
        <f>G19*'Demand - Ethylene'!$D$75/'Demand - Ethylene'!$L$24</f>
        <v>0</v>
      </c>
      <c r="H25" s="528">
        <f>H19*'Demand - Ethylene'!$D$75/'Demand - Ethylene'!$L$24</f>
        <v>0</v>
      </c>
      <c r="I25" s="528">
        <f>I19*'Demand - Ethylene'!$D$75/'Demand - Ethylene'!$L$24</f>
        <v>0</v>
      </c>
      <c r="J25" s="528">
        <f>J19*'Demand - Ethylene'!$D$75/'Demand - Ethylene'!$L$24</f>
        <v>0</v>
      </c>
      <c r="K25" s="528">
        <f>K19*'Demand - Ethylene'!$D$75/'Demand - Ethylene'!$L$24</f>
        <v>0</v>
      </c>
      <c r="L25" s="528">
        <f>L19*'Demand - Ethylene'!$D$75/'Demand - Ethylene'!$L$24</f>
        <v>0</v>
      </c>
      <c r="M25" s="528">
        <f>M19*'Demand - Ethylene'!$D$75/'Demand - Ethylene'!$L$24</f>
        <v>0</v>
      </c>
      <c r="N25" s="528">
        <f>N19*'Demand - Ethylene'!$D$75/'Demand - Ethylene'!$L$24</f>
        <v>0</v>
      </c>
      <c r="O25" s="528">
        <f>O19*'Demand - Ethylene'!$D$75/'Demand - Ethylene'!$L$24</f>
        <v>0</v>
      </c>
      <c r="P25" s="528">
        <f>P19*'Demand - Ethylene'!$D$75/'Demand - Ethylene'!$L$24</f>
        <v>0</v>
      </c>
      <c r="Q25" s="528">
        <f>Q19*'Demand - Ethylene'!$D$75/'Demand - Ethylene'!$L$24</f>
        <v>0</v>
      </c>
      <c r="R25" s="528">
        <f>R19*'Demand - Ethylene'!$D$75/'Demand - Ethylene'!$L$24</f>
        <v>0</v>
      </c>
      <c r="S25" s="528">
        <f>S19*'Demand - Ethylene'!$D$75/'Demand - Ethylene'!$L$24</f>
        <v>0</v>
      </c>
      <c r="T25" s="528">
        <f>T19*'Demand - Ethylene'!$D$75/'Demand - Ethylene'!$L$24</f>
        <v>0</v>
      </c>
      <c r="U25" s="528">
        <f>U19*'Demand - Ethylene'!$D$75/'Demand - Ethylene'!$L$24</f>
        <v>0</v>
      </c>
      <c r="V25" s="528">
        <f>V19*'Demand - Ethylene'!$D$75/'Demand - Ethylene'!$L$24</f>
        <v>0</v>
      </c>
      <c r="W25" s="528">
        <f>W19*'Demand - Ethylene'!$D$75/'Demand - Ethylene'!$L$24</f>
        <v>0</v>
      </c>
      <c r="X25" s="528">
        <f>X19*'Demand - Ethylene'!$D$75/'Demand - Ethylene'!$L$24</f>
        <v>0</v>
      </c>
      <c r="Y25" s="528">
        <f>Y19*'Demand - Ethylene'!$D$75/'Demand - Ethylene'!$L$24</f>
        <v>0</v>
      </c>
      <c r="Z25" s="528">
        <f>Z19*'Demand - Ethylene'!$D$75/'Demand - Ethylene'!$L$24</f>
        <v>0</v>
      </c>
      <c r="AA25" s="528">
        <f>AA19*'Demand - Ethylene'!$D$75/'Demand - Ethylene'!$L$24</f>
        <v>0</v>
      </c>
      <c r="AB25" s="528">
        <f>AB19*'Demand - Ethylene'!$D$75/'Demand - Ethylene'!$L$24</f>
        <v>0</v>
      </c>
      <c r="AC25" s="528">
        <f>AC19*'Demand - Ethylene'!$D$75/'Demand - Ethylene'!$L$24</f>
        <v>0</v>
      </c>
      <c r="AD25" s="528">
        <f>AD19*'Demand - Ethylene'!$D$75/'Demand - Ethylene'!$L$24</f>
        <v>0</v>
      </c>
      <c r="AE25" s="528">
        <f>AE19*'Demand - Ethylene'!$D$75/'Demand - Ethylene'!$L$24</f>
        <v>0</v>
      </c>
      <c r="AF25" s="528">
        <f>AF19*'Demand - Ethylene'!$D$75/'Demand - Ethylene'!$L$24</f>
        <v>0</v>
      </c>
      <c r="AG25" s="528">
        <f>AG19*'Demand - Ethylene'!$D$75/'Demand - Ethylene'!$L$24</f>
        <v>0</v>
      </c>
      <c r="AH25" s="528">
        <f>AH19*'Demand - Ethylene'!$D$75/'Demand - Ethylene'!$L$24</f>
        <v>0</v>
      </c>
    </row>
    <row r="26" spans="1:35">
      <c r="A26" s="1" t="s">
        <v>610</v>
      </c>
      <c r="B26" s="1" t="s">
        <v>179</v>
      </c>
      <c r="C26" s="50" t="s">
        <v>1420</v>
      </c>
      <c r="D26" s="99">
        <f>'R&amp;S - Packaging and hh goods'!J4</f>
        <v>1749397.7312644324</v>
      </c>
      <c r="E26" s="99">
        <f>D26*(1+'R&amp;S - Packaging and hh goods'!$C$5)</f>
        <v>1737207.8196432679</v>
      </c>
      <c r="F26" s="99">
        <f>E26*(1+'R&amp;S - Packaging and hh goods'!$C$5)</f>
        <v>1725102.8480804311</v>
      </c>
      <c r="G26" s="99">
        <f>F26*(1+'R&amp;S - Packaging and hh goods'!$C$5)</f>
        <v>1713082.2247083404</v>
      </c>
      <c r="H26" s="99">
        <f>G26*(1+'R&amp;S - Packaging and hh goods'!$C$5)</f>
        <v>1701145.3617835843</v>
      </c>
      <c r="I26" s="99">
        <f>H26*(1+'R&amp;S - Packaging and hh goods'!$C$5)</f>
        <v>1689291.6756581841</v>
      </c>
      <c r="J26" s="99">
        <f>I26*(1+'R&amp;S - Packaging and hh goods'!$C$5)</f>
        <v>1677520.5867510559</v>
      </c>
      <c r="K26" s="99">
        <f>J26*(1+'R&amp;S - Packaging and hh goods'!$C$5)</f>
        <v>1665831.5195196725</v>
      </c>
      <c r="L26" s="99">
        <f>K26*(1+'R&amp;S - Packaging and hh goods'!$C$5)</f>
        <v>1654223.9024319232</v>
      </c>
      <c r="M26" s="99">
        <f>L26*(1+'R&amp;S - Packaging and hh goods'!$C$5)</f>
        <v>1642697.1679381679</v>
      </c>
      <c r="N26" s="99">
        <f>M26*(1+'R&amp;S - Packaging and hh goods'!$C$5)</f>
        <v>1631250.7524434878</v>
      </c>
      <c r="O26" s="99">
        <f>N26*(1+'R&amp;S - Packaging and hh goods'!$C$5)</f>
        <v>1619884.0962801282</v>
      </c>
      <c r="P26" s="99">
        <f>O26*(1+'R&amp;S - Packaging and hh goods'!$C$5)</f>
        <v>1608596.6436801341</v>
      </c>
      <c r="Q26" s="99">
        <f>P26*(1+'R&amp;S - Packaging and hh goods'!$C$5)</f>
        <v>1597387.8427481756</v>
      </c>
      <c r="R26" s="99">
        <f>Q26*(1+'R&amp;S - Packaging and hh goods'!$C$5)</f>
        <v>1586257.1454345642</v>
      </c>
      <c r="S26" s="99">
        <f>R26*(1+'R&amp;S - Packaging and hh goods'!$C$5)</f>
        <v>1575204.0075084551</v>
      </c>
      <c r="T26" s="99">
        <f>S26*(1+'R&amp;S - Packaging and hh goods'!$C$5)</f>
        <v>1564227.8885312378</v>
      </c>
      <c r="U26" s="99">
        <f>T26*(1+'R&amp;S - Packaging and hh goods'!$C$5)</f>
        <v>1553328.2518301117</v>
      </c>
      <c r="V26" s="99">
        <f>U26*(1+'R&amp;S - Packaging and hh goods'!$C$5)</f>
        <v>1542504.5644718453</v>
      </c>
      <c r="W26" s="99">
        <f>V26*(1+'R&amp;S - Packaging and hh goods'!$C$5)</f>
        <v>1531756.2972367185</v>
      </c>
      <c r="X26" s="99">
        <f>W26*(1+'R&amp;S - Packaging and hh goods'!$C$5)</f>
        <v>1521082.9245926475</v>
      </c>
      <c r="Y26" s="99">
        <f>X26*(1+'R&amp;S - Packaging and hh goods'!$C$5)</f>
        <v>1510483.9246694881</v>
      </c>
      <c r="Z26" s="99">
        <f>Y26*(1+'R&amp;S - Packaging and hh goods'!$C$5)</f>
        <v>1499958.7792335199</v>
      </c>
      <c r="AA26" s="99">
        <f>Z26*(1+'R&amp;S - Packaging and hh goods'!$C$5)</f>
        <v>1489506.9736621073</v>
      </c>
      <c r="AB26" s="99">
        <f>AA26*(1+'R&amp;S - Packaging and hh goods'!$C$5)</f>
        <v>1479127.9969185363</v>
      </c>
      <c r="AC26" s="99">
        <f>AB26*(1+'R&amp;S - Packaging and hh goods'!$C$5)</f>
        <v>1468821.3415270289</v>
      </c>
      <c r="AD26" s="99">
        <f>AC26*(1+'R&amp;S - Packaging and hh goods'!$C$5)</f>
        <v>1458586.5035479299</v>
      </c>
      <c r="AE26" s="99">
        <f>AD26*(1+'R&amp;S - Packaging and hh goods'!$C$5)</f>
        <v>1448422.9825530665</v>
      </c>
      <c r="AF26" s="99">
        <f>AE26*(1+'R&amp;S - Packaging and hh goods'!$C$5)</f>
        <v>1438330.2816012802</v>
      </c>
      <c r="AG26" s="99">
        <f>AF26*(1+'R&amp;S - Packaging and hh goods'!$C$5)</f>
        <v>1428307.9072141296</v>
      </c>
      <c r="AH26" s="99">
        <f>AG26*(1+'R&amp;S - Packaging and hh goods'!$C$5)</f>
        <v>1418355.3693517612</v>
      </c>
    </row>
    <row r="27" spans="1:35" outlineLevel="1">
      <c r="B27" s="57" t="s">
        <v>146</v>
      </c>
      <c r="C27" s="50" t="s">
        <v>1420</v>
      </c>
      <c r="D27" s="183">
        <v>0</v>
      </c>
      <c r="E27" s="183">
        <f>E26*'R&amp;S - Packaging and hh goods'!$C$7*('R&amp;S - Packaging and hh goods'!$B$14*'R&amp;S - Packaging and hh goods'!$B$19*('Yearly HC Ethylene'!E$3-'Yearly HC Ethylene'!$D$3)/10)</f>
        <v>4690.461113036823</v>
      </c>
      <c r="F27" s="183">
        <f>F26*'R&amp;S - Packaging and hh goods'!$C$7*('R&amp;S - Packaging and hh goods'!$B$14*'R&amp;S - Packaging and hh goods'!$B$19*('Yearly HC Ethylene'!F$3-'Yearly HC Ethylene'!$D$3)/10)</f>
        <v>9315.5553796343283</v>
      </c>
      <c r="G27" s="183">
        <f>G26*'R&amp;S - Packaging and hh goods'!$C$7*('R&amp;S - Packaging and hh goods'!$B$14*'R&amp;S - Packaging and hh goods'!$B$19*('Yearly HC Ethylene'!G$3-'Yearly HC Ethylene'!$D$3)/10)</f>
        <v>13875.966020137555</v>
      </c>
      <c r="H27" s="183">
        <f>H26*'R&amp;S - Packaging and hh goods'!$C$7*('R&amp;S - Packaging and hh goods'!$B$14*'R&amp;S - Packaging and hh goods'!$B$19*('Yearly HC Ethylene'!H$3-'Yearly HC Ethylene'!$D$3)/10)</f>
        <v>18372.36990726271</v>
      </c>
      <c r="I27" s="183">
        <f>I26*'R&amp;S - Packaging and hh goods'!$C$7*('R&amp;S - Packaging and hh goods'!$B$14*'R&amp;S - Packaging and hh goods'!$B$19*('Yearly HC Ethylene'!I$3-'Yearly HC Ethylene'!$D$3)/10)</f>
        <v>22805.437621385485</v>
      </c>
      <c r="J27" s="183">
        <f>J26*'R&amp;S - Packaging and hh goods'!$C$7*('R&amp;S - Packaging and hh goods'!$B$14*'R&amp;S - Packaging and hh goods'!$B$19*('Yearly HC Ethylene'!J$3-'Yearly HC Ethylene'!$D$3)/10)</f>
        <v>27175.833505367103</v>
      </c>
      <c r="K27" s="183">
        <f>K26*'R&amp;S - Packaging and hh goods'!$C$7*('R&amp;S - Packaging and hh goods'!$B$14*'R&amp;S - Packaging and hh goods'!$B$19*('Yearly HC Ethylene'!K$3-'Yearly HC Ethylene'!$D$3)/10)</f>
        <v>31484.215718921812</v>
      </c>
      <c r="L27" s="183">
        <f>L26*'R&amp;S - Packaging and hh goods'!$C$7*('R&amp;S - Packaging and hh goods'!$B$14*'R&amp;S - Packaging and hh goods'!$B$19*('Yearly HC Ethylene'!L$3-'Yearly HC Ethylene'!$D$3)/10)</f>
        <v>35731.236292529538</v>
      </c>
      <c r="M27" s="183">
        <f>M26*'R&amp;S - Packaging and hh goods'!$C$7*('R&amp;S - Packaging and hh goods'!$B$14*'R&amp;S - Packaging and hh goods'!$B$19*('Yearly HC Ethylene'!M$3-'Yearly HC Ethylene'!$D$3)/10)</f>
        <v>39917.541180897475</v>
      </c>
      <c r="N27" s="183">
        <f>N26*'R&amp;S - Packaging and hh goods'!$C$7*('R&amp;S - Packaging and hh goods'!$B$14*'R&amp;S - Packaging and hh goods'!$B$19*('Yearly HC Ethylene'!N$3-'Yearly HC Ethylene'!$D$3)/10)</f>
        <v>44043.770315974172</v>
      </c>
      <c r="O27" s="183">
        <f>O26*'R&amp;S - Packaging and hh goods'!$C$7*('R&amp;S - Packaging and hh goods'!$B$14*('R&amp;S - Packaging and hh goods'!$B$19+('R&amp;S - Packaging and hh goods'!$B$20-'R&amp;S - Packaging and hh goods'!$B$19)*('Yearly HC Ethylene'!O$3-'Yearly HC Ethylene'!$N$3)/10))</f>
        <v>57149.51091676292</v>
      </c>
      <c r="P27" s="183">
        <f>P26*'R&amp;S - Packaging and hh goods'!$C$7*('R&amp;S - Packaging and hh goods'!$B$14*('R&amp;S - Packaging and hh goods'!$B$19+('R&amp;S - Packaging and hh goods'!$B$20-'R&amp;S - Packaging and hh goods'!$B$19)*('Yearly HC Ethylene'!P$3-'Yearly HC Ethylene'!$N$3)/10))</f>
        <v>70070.469798706632</v>
      </c>
      <c r="Q27" s="183">
        <f>Q26*'R&amp;S - Packaging and hh goods'!$C$7*('R&amp;S - Packaging and hh goods'!$B$14*('R&amp;S - Packaging and hh goods'!$B$19+('R&amp;S - Packaging and hh goods'!$B$20-'R&amp;S - Packaging and hh goods'!$B$19)*('Yearly HC Ethylene'!Q$3-'Yearly HC Ethylene'!$N$3)/10))</f>
        <v>82808.585768065401</v>
      </c>
      <c r="R27" s="183">
        <f>R26*'R&amp;S - Packaging and hh goods'!$C$7*('R&amp;S - Packaging and hh goods'!$B$14*('R&amp;S - Packaging and hh goods'!$B$19+('R&amp;S - Packaging and hh goods'!$B$20-'R&amp;S - Packaging and hh goods'!$B$19)*('Yearly HC Ethylene'!R$3-'Yearly HC Ethylene'!$N$3)/10))</f>
        <v>95365.779583525975</v>
      </c>
      <c r="S27" s="183">
        <f>S26*'R&amp;S - Packaging and hh goods'!$C$7*('R&amp;S - Packaging and hh goods'!$B$14*('R&amp;S - Packaging and hh goods'!$B$19+('R&amp;S - Packaging and hh goods'!$B$20-'R&amp;S - Packaging and hh goods'!$B$19)*('Yearly HC Ethylene'!S$3-'Yearly HC Ethylene'!$N$3)/10))</f>
        <v>107743.95411357832</v>
      </c>
      <c r="T27" s="183">
        <f>T26*'R&amp;S - Packaging and hh goods'!$C$7*('R&amp;S - Packaging and hh goods'!$B$14*('R&amp;S - Packaging and hh goods'!$B$19+('R&amp;S - Packaging and hh goods'!$B$20-'R&amp;S - Packaging and hh goods'!$B$19)*('Yearly HC Ethylene'!T$3-'Yearly HC Ethylene'!$N$3)/10))</f>
        <v>119944.99449257529</v>
      </c>
      <c r="U27" s="183">
        <f>U26*'R&amp;S - Packaging and hh goods'!$C$7*('R&amp;S - Packaging and hh goods'!$B$14*('R&amp;S - Packaging and hh goods'!$B$19+('R&amp;S - Packaging and hh goods'!$B$20-'R&amp;S - Packaging and hh goods'!$B$19)*('Yearly HC Ethylene'!U$3-'Yearly HC Ethylene'!$N$3)/10))</f>
        <v>131970.76827548628</v>
      </c>
      <c r="V27" s="183">
        <f>V26*'R&amp;S - Packaging and hh goods'!$C$7*('R&amp;S - Packaging and hh goods'!$B$14*('R&amp;S - Packaging and hh goods'!$B$19+('R&amp;S - Packaging and hh goods'!$B$20-'R&amp;S - Packaging and hh goods'!$B$19)*('Yearly HC Ethylene'!V$3-'Yearly HC Ethylene'!$N$3)/10))</f>
        <v>143823.12559135485</v>
      </c>
      <c r="W27" s="183">
        <f>W26*'R&amp;S - Packaging and hh goods'!$C$7*('R&amp;S - Packaging and hh goods'!$B$14*('R&amp;S - Packaging and hh goods'!$B$19+('R&amp;S - Packaging and hh goods'!$B$20-'R&amp;S - Packaging and hh goods'!$B$19)*('Yearly HC Ethylene'!W$3-'Yearly HC Ethylene'!$N$3)/10))</f>
        <v>155503.89929547164</v>
      </c>
      <c r="X27" s="183">
        <f>X26*'R&amp;S - Packaging and hh goods'!$C$7*('R&amp;S - Packaging and hh goods'!$B$14*('R&amp;S - Packaging and hh goods'!$B$19+('R&amp;S - Packaging and hh goods'!$B$20-'R&amp;S - Packaging and hh goods'!$B$19)*('Yearly HC Ethylene'!X$3-'Yearly HC Ethylene'!$N$3)/10))</f>
        <v>167014.90512027266</v>
      </c>
      <c r="Y27" s="183">
        <f>Y26*'R&amp;S - Packaging and hh goods'!$C$7*('R&amp;S - Packaging and hh goods'!$B$14*('R&amp;S - Packaging and hh goods'!$B$20+('R&amp;S - Packaging and hh goods'!$B$21-'R&amp;S - Packaging and hh goods'!$B$20)*('Yearly HC Ethylene'!Y$3-'Yearly HC Ethylene'!$X$3)/10))</f>
        <v>176454.7320798896</v>
      </c>
      <c r="Z27" s="183">
        <f>Z26*'R&amp;S - Packaging and hh goods'!$C$7*('R&amp;S - Packaging and hh goods'!$B$14*('R&amp;S - Packaging and hh goods'!$B$20+('R&amp;S - Packaging and hh goods'!$B$21-'R&amp;S - Packaging and hh goods'!$B$20)*('Yearly HC Ethylene'!Z$3-'Yearly HC Ethylene'!$X$3)/10))</f>
        <v>185754.89522027908</v>
      </c>
      <c r="AA27" s="183">
        <f>AA26*'R&amp;S - Packaging and hh goods'!$C$7*('R&amp;S - Packaging and hh goods'!$B$14*('R&amp;S - Packaging and hh goods'!$B$20+('R&amp;S - Packaging and hh goods'!$B$21-'R&amp;S - Packaging and hh goods'!$B$20)*('Yearly HC Ethylene'!AA$3-'Yearly HC Ethylene'!$X$3)/10))</f>
        <v>194916.88257342333</v>
      </c>
      <c r="AB27" s="183">
        <f>AB26*'R&amp;S - Packaging and hh goods'!$C$7*('R&amp;S - Packaging and hh goods'!$B$14*('R&amp;S - Packaging and hh goods'!$B$20+('R&amp;S - Packaging and hh goods'!$B$21-'R&amp;S - Packaging and hh goods'!$B$20)*('Yearly HC Ethylene'!AB$3-'Yearly HC Ethylene'!$X$3)/10))</f>
        <v>203942.16821512775</v>
      </c>
      <c r="AC27" s="183">
        <f>AC26*'R&amp;S - Packaging and hh goods'!$C$7*('R&amp;S - Packaging and hh goods'!$B$14*('R&amp;S - Packaging and hh goods'!$B$20+('R&amp;S - Packaging and hh goods'!$B$21-'R&amp;S - Packaging and hh goods'!$B$20)*('Yearly HC Ethylene'!AC$3-'Yearly HC Ethylene'!$X$3)/10))</f>
        <v>212832.21238726648</v>
      </c>
      <c r="AD27" s="183">
        <f>AD26*'R&amp;S - Packaging and hh goods'!$C$7*('R&amp;S - Packaging and hh goods'!$B$14*('R&amp;S - Packaging and hh goods'!$B$20+('R&amp;S - Packaging and hh goods'!$B$21-'R&amp;S - Packaging and hh goods'!$B$20)*('Yearly HC Ethylene'!AD$3-'Yearly HC Ethylene'!$X$3)/10))</f>
        <v>221588.46161900152</v>
      </c>
      <c r="AE27" s="183">
        <f>AE26*'R&amp;S - Packaging and hh goods'!$C$7*('R&amp;S - Packaging and hh goods'!$B$14*('R&amp;S - Packaging and hh goods'!$B$20+('R&amp;S - Packaging and hh goods'!$B$21-'R&amp;S - Packaging and hh goods'!$B$20)*('Yearly HC Ethylene'!AE$3-'Yearly HC Ethylene'!$X$3)/10))</f>
        <v>230212.34884698436</v>
      </c>
      <c r="AF27" s="183">
        <f>AF26*'R&amp;S - Packaging and hh goods'!$C$7*('R&amp;S - Packaging and hh goods'!$B$14*('R&amp;S - Packaging and hh goods'!$B$20+('R&amp;S - Packaging and hh goods'!$B$21-'R&amp;S - Packaging and hh goods'!$B$20)*('Yearly HC Ethylene'!AF$3-'Yearly HC Ethylene'!$X$3)/10))</f>
        <v>238705.29353454843</v>
      </c>
      <c r="AG27" s="183">
        <f>AG26*'R&amp;S - Packaging and hh goods'!$C$7*('R&amp;S - Packaging and hh goods'!$B$14*('R&amp;S - Packaging and hh goods'!$B$20+('R&amp;S - Packaging and hh goods'!$B$21-'R&amp;S - Packaging and hh goods'!$B$20)*('Yearly HC Ethylene'!AG$3-'Yearly HC Ethylene'!$X$3)/10))</f>
        <v>247068.70178990014</v>
      </c>
      <c r="AH27" s="183">
        <f>AH26*'R&amp;S - Packaging and hh goods'!$C$7*('R&amp;S - Packaging and hh goods'!$B$14*('R&amp;S - Packaging and hh goods'!$B$20+('R&amp;S - Packaging and hh goods'!$B$21-'R&amp;S - Packaging and hh goods'!$B$20)*('Yearly HC Ethylene'!AH$3-'Yearly HC Ethylene'!$X$3)/10))</f>
        <v>255303.966483317</v>
      </c>
    </row>
    <row r="28" spans="1:35" outlineLevel="1">
      <c r="B28" s="57" t="s">
        <v>193</v>
      </c>
      <c r="C28" s="50" t="s">
        <v>1420</v>
      </c>
      <c r="D28" s="183">
        <v>0</v>
      </c>
      <c r="E28" s="183">
        <f>E26*'R&amp;S - Packaging and hh goods'!$C$8*('R&amp;S - Packaging and hh goods'!$B$14*'R&amp;S - Packaging and hh goods'!$C$19*('Yearly HC Ethylene'!E$3-'Yearly HC Ethylene'!$D$3)/10)</f>
        <v>11133.764916093705</v>
      </c>
      <c r="F28" s="183">
        <f>F26*'R&amp;S - Packaging and hh goods'!$C$8*('R&amp;S - Packaging and hh goods'!$B$14*'R&amp;S - Packaging and hh goods'!$C$19*('Yearly HC Ethylene'!F$3-'Yearly HC Ethylene'!$D$3)/10)</f>
        <v>22112.368306694971</v>
      </c>
      <c r="G28" s="183">
        <f>G26*'R&amp;S - Packaging and hh goods'!$C$8*('R&amp;S - Packaging and hh goods'!$B$14*'R&amp;S - Packaging and hh goods'!$C$19*('Yearly HC Ethylene'!G$3-'Yearly HC Ethylene'!$D$3)/10)</f>
        <v>32937.431934467262</v>
      </c>
      <c r="H28" s="183">
        <f>H26*'R&amp;S - Packaging and hh goods'!$C$8*('R&amp;S - Packaging and hh goods'!$B$14*'R&amp;S - Packaging and hh goods'!$C$19*('Yearly HC Ethylene'!H$3-'Yearly HC Ethylene'!$D$3)/10)</f>
        <v>43610.562494683967</v>
      </c>
      <c r="I28" s="183">
        <f>I26*'R&amp;S - Packaging and hh goods'!$C$8*('R&amp;S - Packaging and hh goods'!$B$14*'R&amp;S - Packaging and hh goods'!$C$19*('Yearly HC Ethylene'!I$3-'Yearly HC Ethylene'!$D$3)/10)</f>
        <v>54133.351746466513</v>
      </c>
      <c r="J28" s="183">
        <f>J26*'R&amp;S - Packaging and hh goods'!$C$8*('R&amp;S - Packaging and hh goods'!$B$14*'R&amp;S - Packaging and hh goods'!$C$19*('Yearly HC Ethylene'!J$3-'Yearly HC Ethylene'!$D$3)/10)</f>
        <v>64507.376642925105</v>
      </c>
      <c r="K28" s="183">
        <f>K26*'R&amp;S - Packaging and hh goods'!$C$8*('R&amp;S - Packaging and hh goods'!$B$14*'R&amp;S - Packaging and hh goods'!$C$19*('Yearly HC Ethylene'!K$3-'Yearly HC Ethylene'!$D$3)/10)</f>
        <v>74734.199460211064</v>
      </c>
      <c r="L28" s="183">
        <f>L26*'R&amp;S - Packaging and hh goods'!$C$8*('R&amp;S - Packaging and hh goods'!$B$14*'R&amp;S - Packaging and hh goods'!$C$19*('Yearly HC Ethylene'!L$3-'Yearly HC Ethylene'!$D$3)/10)</f>
        <v>84815.367925489583</v>
      </c>
      <c r="M28" s="183">
        <f>M26*'R&amp;S - Packaging and hh goods'!$C$8*('R&amp;S - Packaging and hh goods'!$B$14*'R&amp;S - Packaging and hh goods'!$C$19*('Yearly HC Ethylene'!M$3-'Yearly HC Ethylene'!$D$3)/10)</f>
        <v>94752.41534384148</v>
      </c>
      <c r="N28" s="183">
        <f>N26*'R&amp;S - Packaging and hh goods'!$C$8*('R&amp;S - Packaging and hh goods'!$B$14*'R&amp;S - Packaging and hh goods'!$C$19*('Yearly HC Ethylene'!N$3-'Yearly HC Ethylene'!$D$3)/10)</f>
        <v>104546.86072410314</v>
      </c>
      <c r="O28" s="183">
        <f>O26*'R&amp;S - Packaging and hh goods'!$C$8*('R&amp;S - Packaging and hh goods'!$B$14*('R&amp;S - Packaging and hh goods'!$C$19+('R&amp;S - Packaging and hh goods'!$C$20-'R&amp;S - Packaging and hh goods'!$C$19)*('Yearly HC Ethylene'!O$3-'Yearly HC Ethylene'!$N$3)/10))</f>
        <v>118854.13591226558</v>
      </c>
      <c r="P28" s="183">
        <f>P26*'R&amp;S - Packaging and hh goods'!$C$8*('R&amp;S - Packaging and hh goods'!$B$14*('R&amp;S - Packaging and hh goods'!$C$19+('R&amp;S - Packaging and hh goods'!$C$20-'R&amp;S - Packaging and hh goods'!$C$19)*('Yearly HC Ethylene'!P$3-'Yearly HC Ethylene'!$N$3)/10))</f>
        <v>132956.94698673781</v>
      </c>
      <c r="Q28" s="183">
        <f>Q26*'R&amp;S - Packaging and hh goods'!$C$8*('R&amp;S - Packaging and hh goods'!$B$14*('R&amp;S - Packaging and hh goods'!$C$19+('R&amp;S - Packaging and hh goods'!$C$20-'R&amp;S - Packaging and hh goods'!$C$19)*('Yearly HC Ethylene'!Q$3-'Yearly HC Ethylene'!$N$3)/10))</f>
        <v>146857.44871089628</v>
      </c>
      <c r="R28" s="183">
        <f>R26*'R&amp;S - Packaging and hh goods'!$C$8*('R&amp;S - Packaging and hh goods'!$B$14*('R&amp;S - Packaging and hh goods'!$C$19+('R&amp;S - Packaging and hh goods'!$C$20-'R&amp;S - Packaging and hh goods'!$C$19)*('Yearly HC Ethylene'!R$3-'Yearly HC Ethylene'!$N$3)/10))</f>
        <v>160557.77574659573</v>
      </c>
      <c r="S28" s="183">
        <f>S26*'R&amp;S - Packaging and hh goods'!$C$8*('R&amp;S - Packaging and hh goods'!$B$14*('R&amp;S - Packaging and hh goods'!$C$19+('R&amp;S - Packaging and hh goods'!$C$20-'R&amp;S - Packaging and hh goods'!$C$19)*('Yearly HC Ethylene'!S$3-'Yearly HC Ethylene'!$N$3)/10))</f>
        <v>174060.0428296843</v>
      </c>
      <c r="T28" s="183">
        <f>T26*'R&amp;S - Packaging and hh goods'!$C$8*('R&amp;S - Packaging and hh goods'!$B$14*('R&amp;S - Packaging and hh goods'!$C$19+('R&amp;S - Packaging and hh goods'!$C$20-'R&amp;S - Packaging and hh goods'!$C$19)*('Yearly HC Ethylene'!T$3-'Yearly HC Ethylene'!$N$3)/10))</f>
        <v>187366.34494404876</v>
      </c>
      <c r="U28" s="183">
        <f>U26*'R&amp;S - Packaging and hh goods'!$C$8*('R&amp;S - Packaging and hh goods'!$B$14*('R&amp;S - Packaging and hh goods'!$C$19+('R&amp;S - Packaging and hh goods'!$C$20-'R&amp;S - Packaging and hh goods'!$C$19)*('Yearly HC Ethylene'!U$3-'Yearly HC Ethylene'!$N$3)/10))</f>
        <v>200478.75749420156</v>
      </c>
      <c r="V28" s="183">
        <f>V26*'R&amp;S - Packaging and hh goods'!$C$8*('R&amp;S - Packaging and hh goods'!$B$14*('R&amp;S - Packaging and hh goods'!$C$19+('R&amp;S - Packaging and hh goods'!$C$20-'R&amp;S - Packaging and hh goods'!$C$19)*('Yearly HC Ethylene'!V$3-'Yearly HC Ethylene'!$N$3)/10))</f>
        <v>213399.33647642189</v>
      </c>
      <c r="W28" s="183">
        <f>W26*'R&amp;S - Packaging and hh goods'!$C$8*('R&amp;S - Packaging and hh goods'!$B$14*('R&amp;S - Packaging and hh goods'!$C$19+('R&amp;S - Packaging and hh goods'!$C$20-'R&amp;S - Packaging and hh goods'!$C$19)*('Yearly HC Ethylene'!W$3-'Yearly HC Ethylene'!$N$3)/10))</f>
        <v>226130.11864846229</v>
      </c>
      <c r="X28" s="183">
        <f>X26*'R&amp;S - Packaging and hh goods'!$C$8*('R&amp;S - Packaging and hh goods'!$B$14*('R&amp;S - Packaging and hh goods'!$C$19+('R&amp;S - Packaging and hh goods'!$C$20-'R&amp;S - Packaging and hh goods'!$C$19)*('Yearly HC Ethylene'!X$3-'Yearly HC Ethylene'!$N$3)/10))</f>
        <v>238673.12169783234</v>
      </c>
      <c r="Y28" s="183">
        <f>Y26*'R&amp;S - Packaging and hh goods'!$C$8*('R&amp;S - Packaging and hh goods'!$B$14*('R&amp;S - Packaging and hh goods'!$C$20+('R&amp;S - Packaging and hh goods'!$C$21-'R&amp;S - Packaging and hh goods'!$C$20)*('Yearly HC Ethylene'!Y$3-'Yearly HC Ethylene'!$X$3)/10))</f>
        <v>246690.72409309616</v>
      </c>
      <c r="Z28" s="183">
        <f>Z26*'R&amp;S - Packaging and hh goods'!$C$8*('R&amp;S - Packaging and hh goods'!$B$14*('R&amp;S - Packaging and hh goods'!$C$20+('R&amp;S - Packaging and hh goods'!$C$21-'R&amp;S - Packaging and hh goods'!$C$20)*('Yearly HC Ethylene'!Z$3-'Yearly HC Ethylene'!$X$3)/10))</f>
        <v>254585.00368174692</v>
      </c>
      <c r="AA28" s="183">
        <f>AA26*'R&amp;S - Packaging and hh goods'!$C$8*('R&amp;S - Packaging and hh goods'!$B$14*('R&amp;S - Packaging and hh goods'!$C$20+('R&amp;S - Packaging and hh goods'!$C$21-'R&amp;S - Packaging and hh goods'!$C$20)*('Yearly HC Ethylene'!AA$3-'Yearly HC Ethylene'!$X$3)/10))</f>
        <v>262357.28981992259</v>
      </c>
      <c r="AB28" s="183">
        <f>AB26*'R&amp;S - Packaging and hh goods'!$C$8*('R&amp;S - Packaging and hh goods'!$B$14*('R&amp;S - Packaging and hh goods'!$C$20+('R&amp;S - Packaging and hh goods'!$C$21-'R&amp;S - Packaging and hh goods'!$C$20)*('Yearly HC Ethylene'!AB$3-'Yearly HC Ethylene'!$X$3)/10))</f>
        <v>270008.89932549116</v>
      </c>
      <c r="AC28" s="183">
        <f>AC26*'R&amp;S - Packaging and hh goods'!$C$8*('R&amp;S - Packaging and hh goods'!$B$14*('R&amp;S - Packaging and hh goods'!$C$20+('R&amp;S - Packaging and hh goods'!$C$21-'R&amp;S - Packaging and hh goods'!$C$20)*('Yearly HC Ethylene'!AC$3-'Yearly HC Ethylene'!$X$3)/10))</f>
        <v>277541.13658823975</v>
      </c>
      <c r="AD28" s="183">
        <f>AD26*'R&amp;S - Packaging and hh goods'!$C$8*('R&amp;S - Packaging and hh goods'!$B$14*('R&amp;S - Packaging and hh goods'!$C$20+('R&amp;S - Packaging and hh goods'!$C$21-'R&amp;S - Packaging and hh goods'!$C$20)*('Yearly HC Ethylene'!AD$3-'Yearly HC Ethylene'!$X$3)/10))</f>
        <v>284955.29367913777</v>
      </c>
      <c r="AE28" s="183">
        <f>AE26*'R&amp;S - Packaging and hh goods'!$C$8*('R&amp;S - Packaging and hh goods'!$B$14*('R&amp;S - Packaging and hh goods'!$C$20+('R&amp;S - Packaging and hh goods'!$C$21-'R&amp;S - Packaging and hh goods'!$C$20)*('Yearly HC Ethylene'!AE$3-'Yearly HC Ethylene'!$X$3)/10))</f>
        <v>292252.65045867994</v>
      </c>
      <c r="AF28" s="183">
        <f>AF26*'R&amp;S - Packaging and hh goods'!$C$8*('R&amp;S - Packaging and hh goods'!$B$14*('R&amp;S - Packaging and hh goods'!$C$20+('R&amp;S - Packaging and hh goods'!$C$21-'R&amp;S - Packaging and hh goods'!$C$20)*('Yearly HC Ethylene'!AF$3-'Yearly HC Ethylene'!$X$3)/10))</f>
        <v>299434.47468431771</v>
      </c>
      <c r="AG28" s="183">
        <f>AG26*'R&amp;S - Packaging and hh goods'!$C$8*('R&amp;S - Packaging and hh goods'!$B$14*('R&amp;S - Packaging and hh goods'!$C$20+('R&amp;S - Packaging and hh goods'!$C$21-'R&amp;S - Packaging and hh goods'!$C$20)*('Yearly HC Ethylene'!AG$3-'Yearly HC Ethylene'!$X$3)/10))</f>
        <v>306502.02211698733</v>
      </c>
      <c r="AH28" s="183">
        <f>AH26*'R&amp;S - Packaging and hh goods'!$C$8*('R&amp;S - Packaging and hh goods'!$B$14*('R&amp;S - Packaging and hh goods'!$C$20+('R&amp;S - Packaging and hh goods'!$C$21-'R&amp;S - Packaging and hh goods'!$C$20)*('Yearly HC Ethylene'!AH$3-'Yearly HC Ethylene'!$X$3)/10))</f>
        <v>313456.53662673925</v>
      </c>
    </row>
    <row r="29" spans="1:35" outlineLevel="1">
      <c r="B29" s="1" t="s">
        <v>169</v>
      </c>
      <c r="C29" s="50" t="s">
        <v>1420</v>
      </c>
      <c r="D29" s="99">
        <f>SUM(D27:D28)</f>
        <v>0</v>
      </c>
      <c r="E29" s="99">
        <f t="shared" ref="E29:AH29" si="6">SUM(E27:E28)</f>
        <v>15824.226029130528</v>
      </c>
      <c r="F29" s="99">
        <f t="shared" si="6"/>
        <v>31427.923686329297</v>
      </c>
      <c r="G29" s="99">
        <f t="shared" si="6"/>
        <v>46813.397954604821</v>
      </c>
      <c r="H29" s="99">
        <f t="shared" si="6"/>
        <v>61982.932401946673</v>
      </c>
      <c r="I29" s="99">
        <f t="shared" si="6"/>
        <v>76938.789367852005</v>
      </c>
      <c r="J29" s="99">
        <f t="shared" si="6"/>
        <v>91683.210148292215</v>
      </c>
      <c r="K29" s="99">
        <f t="shared" si="6"/>
        <v>106218.41517913288</v>
      </c>
      <c r="L29" s="99">
        <f t="shared" si="6"/>
        <v>120546.60421801911</v>
      </c>
      <c r="M29" s="99">
        <f t="shared" si="6"/>
        <v>134669.95652473895</v>
      </c>
      <c r="N29" s="99">
        <f t="shared" si="6"/>
        <v>148590.63104007731</v>
      </c>
      <c r="O29" s="99">
        <f t="shared" si="6"/>
        <v>176003.6468290285</v>
      </c>
      <c r="P29" s="99">
        <f t="shared" si="6"/>
        <v>203027.41678544442</v>
      </c>
      <c r="Q29" s="99">
        <f t="shared" si="6"/>
        <v>229666.03447896166</v>
      </c>
      <c r="R29" s="99">
        <f t="shared" si="6"/>
        <v>255923.55533012172</v>
      </c>
      <c r="S29" s="99">
        <f t="shared" si="6"/>
        <v>281803.99694326264</v>
      </c>
      <c r="T29" s="99">
        <f t="shared" si="6"/>
        <v>307311.33943662408</v>
      </c>
      <c r="U29" s="99">
        <f t="shared" si="6"/>
        <v>332449.52576968784</v>
      </c>
      <c r="V29" s="99">
        <f t="shared" si="6"/>
        <v>357222.46206777671</v>
      </c>
      <c r="W29" s="99">
        <f t="shared" si="6"/>
        <v>381634.01794393396</v>
      </c>
      <c r="X29" s="99">
        <f t="shared" si="6"/>
        <v>405688.02681810502</v>
      </c>
      <c r="Y29" s="99">
        <f t="shared" si="6"/>
        <v>423145.45617298572</v>
      </c>
      <c r="Z29" s="99">
        <f t="shared" si="6"/>
        <v>440339.89890202601</v>
      </c>
      <c r="AA29" s="99">
        <f t="shared" si="6"/>
        <v>457274.17239334591</v>
      </c>
      <c r="AB29" s="99">
        <f t="shared" si="6"/>
        <v>473951.06754061894</v>
      </c>
      <c r="AC29" s="99">
        <f t="shared" si="6"/>
        <v>490373.34897550626</v>
      </c>
      <c r="AD29" s="99">
        <f t="shared" si="6"/>
        <v>506543.75529813929</v>
      </c>
      <c r="AE29" s="99">
        <f t="shared" si="6"/>
        <v>522464.99930566433</v>
      </c>
      <c r="AF29" s="99">
        <f t="shared" si="6"/>
        <v>538139.76821886608</v>
      </c>
      <c r="AG29" s="99">
        <f t="shared" si="6"/>
        <v>553570.72390688746</v>
      </c>
      <c r="AH29" s="99">
        <f t="shared" si="6"/>
        <v>568760.50311005628</v>
      </c>
    </row>
    <row r="30" spans="1:35" outlineLevel="1">
      <c r="B30" s="57" t="s">
        <v>194</v>
      </c>
      <c r="C30" s="50" t="s">
        <v>1420</v>
      </c>
      <c r="D30" s="183">
        <v>0</v>
      </c>
      <c r="E30" s="183">
        <f>E26*'R&amp;S - Packaging and hh goods'!$C$9*('R&amp;S - Packaging and hh goods'!$C$14*'R&amp;S - Packaging and hh goods'!$D$19*('Yearly HC Ethylene'!E$3-'Yearly HC Ethylene'!$D$3)/10)</f>
        <v>8536.6392257270181</v>
      </c>
      <c r="F30" s="183">
        <f>F26*'R&amp;S - Packaging and hh goods'!$C$9*('R&amp;S - Packaging and hh goods'!$C$14*'R&amp;S - Packaging and hh goods'!$D$19*('Yearly HC Ethylene'!F$3-'Yearly HC Ethylene'!$D$3)/10)</f>
        <v>16954.310790934476</v>
      </c>
      <c r="G30" s="183">
        <f>G26*'R&amp;S - Packaging and hh goods'!$C$9*('R&amp;S - Packaging and hh goods'!$C$14*'R&amp;S - Packaging and hh goods'!$D$19*('Yearly HC Ethylene'!G$3-'Yearly HC Ethylene'!$D$3)/10)</f>
        <v>25254.25815665035</v>
      </c>
      <c r="H30" s="183">
        <f>H26*'R&amp;S - Packaging and hh goods'!$C$9*('R&amp;S - Packaging and hh goods'!$C$14*'R&amp;S - Packaging and hh goods'!$D$19*('Yearly HC Ethylene'!H$3-'Yearly HC Ethylene'!$D$3)/10)</f>
        <v>33437.713231218135</v>
      </c>
      <c r="I30" s="183">
        <f>I26*'R&amp;S - Packaging and hh goods'!$C$9*('R&amp;S - Packaging and hh goods'!$C$14*'R&amp;S - Packaging and hh goods'!$D$19*('Yearly HC Ethylene'!I$3-'Yearly HC Ethylene'!$D$3)/10)</f>
        <v>41505.896470921587</v>
      </c>
      <c r="J30" s="183">
        <f>J26*'R&amp;S - Packaging and hh goods'!$C$9*('R&amp;S - Packaging and hh goods'!$C$14*'R&amp;S - Packaging and hh goods'!$D$19*('Yearly HC Ethylene'!J$3-'Yearly HC Ethylene'!$D$3)/10)</f>
        <v>49460.01697976813</v>
      </c>
      <c r="K30" s="183">
        <f>K26*'R&amp;S - Packaging and hh goods'!$C$9*('R&amp;S - Packaging and hh goods'!$C$14*'R&amp;S - Packaging and hh goods'!$D$19*('Yearly HC Ethylene'!K$3-'Yearly HC Ethylene'!$D$3)/10)</f>
        <v>57301.272608437699</v>
      </c>
      <c r="L30" s="183">
        <f>L26*'R&amp;S - Packaging and hh goods'!$C$9*('R&amp;S - Packaging and hh goods'!$C$14*'R&amp;S - Packaging and hh goods'!$D$19*('Yearly HC Ethylene'!L$3-'Yearly HC Ethylene'!$D$3)/10)</f>
        <v>65030.850052403766</v>
      </c>
      <c r="M30" s="183">
        <f>M26*'R&amp;S - Packaging and hh goods'!$C$9*('R&amp;S - Packaging and hh goods'!$C$14*'R&amp;S - Packaging and hh goods'!$D$19*('Yearly HC Ethylene'!M$3-'Yearly HC Ethylene'!$D$3)/10)</f>
        <v>72649.92494923342</v>
      </c>
      <c r="N30" s="183">
        <f>N26*'R&amp;S - Packaging and hh goods'!$C$9*('R&amp;S - Packaging and hh goods'!$C$14*'R&amp;S - Packaging and hh goods'!$D$19*('Yearly HC Ethylene'!N$3-'Yearly HC Ethylene'!$D$3)/10)</f>
        <v>80159.661975072988</v>
      </c>
      <c r="O30" s="183">
        <f>O26*'R&amp;S - Packaging and hh goods'!$C$9*('R&amp;S - Packaging and hh goods'!$C$14*'R&amp;S - Packaging and hh goods'!$D$19*('Yearly HC Ethylene'!O$3-'Yearly HC Ethylene'!$D$3)/10)</f>
        <v>87561.214940326041</v>
      </c>
      <c r="P30" s="183">
        <f>P26*'R&amp;S - Packaging and hh goods'!$C$9*('R&amp;S - Packaging and hh goods'!$C$14*'R&amp;S - Packaging and hh goods'!$D$19*('Yearly HC Ethylene'!P$3-'Yearly HC Ethylene'!$D$3)/10)</f>
        <v>94855.72688453013</v>
      </c>
      <c r="Q30" s="183">
        <f>Q26*'R&amp;S - Packaging and hh goods'!$C$9*('R&amp;S - Packaging and hh goods'!$C$14*'R&amp;S - Packaging and hh goods'!$D$19*('Yearly HC Ethylene'!Q$3-'Yearly HC Ethylene'!$D$3)/10)</f>
        <v>102044.33017043895</v>
      </c>
      <c r="R30" s="183">
        <f>R26*'R&amp;S - Packaging and hh goods'!$C$9*('R&amp;S - Packaging and hh goods'!$C$14*'R&amp;S - Packaging and hh goods'!$D$19*('Yearly HC Ethylene'!R$3-'Yearly HC Ethylene'!$D$3)/10)</f>
        <v>109128.14657731628</v>
      </c>
      <c r="S30" s="183">
        <f>S26*'R&amp;S - Packaging and hh goods'!$C$9*('R&amp;S - Packaging and hh goods'!$C$14*'R&amp;S - Packaging and hh goods'!$D$19*('Yearly HC Ethylene'!S$3-'Yearly HC Ethylene'!$D$3)/10)</f>
        <v>116108.28739344825</v>
      </c>
      <c r="T30" s="183">
        <f>T26*'R&amp;S - Packaging and hh goods'!$C$9*('R&amp;S - Packaging and hh goods'!$C$14*'R&amp;S - Packaging and hh goods'!$D$19*('Yearly HC Ethylene'!T$3-'Yearly HC Ethylene'!$D$3)/10)</f>
        <v>122985.85350788003</v>
      </c>
      <c r="U30" s="183">
        <f>U26*'R&amp;S - Packaging and hh goods'!$C$9*('R&amp;S - Packaging and hh goods'!$C$14*'R&amp;S - Packaging and hh goods'!$D$19*('Yearly HC Ethylene'!U$3-'Yearly HC Ethylene'!$D$3)/10)</f>
        <v>129761.93550138389</v>
      </c>
      <c r="V30" s="183">
        <f>V26*'R&amp;S - Packaging and hh goods'!$C$9*('R&amp;S - Packaging and hh goods'!$C$14*'R&amp;S - Packaging and hh goods'!$D$19*('Yearly HC Ethylene'!V$3-'Yearly HC Ethylene'!$D$3)/10)</f>
        <v>136437.61373666365</v>
      </c>
      <c r="W30" s="183">
        <f>W26*'R&amp;S - Packaging and hh goods'!$C$9*('R&amp;S - Packaging and hh goods'!$C$14*'R&amp;S - Packaging and hh goods'!$D$19*('Yearly HC Ethylene'!W$3-'Yearly HC Ethylene'!$D$3)/10)</f>
        <v>143013.95844780345</v>
      </c>
      <c r="X30" s="183">
        <f>X26*'R&amp;S - Packaging and hh goods'!$C$9*('R&amp;S - Packaging and hh goods'!$C$14*'R&amp;S - Packaging and hh goods'!$D$19*('Yearly HC Ethylene'!X$3-'Yearly HC Ethylene'!$D$3)/10)</f>
        <v>149492.0298289654</v>
      </c>
      <c r="Y30" s="183">
        <f>Y26*'R&amp;S - Packaging and hh goods'!$C$9*('R&amp;S - Packaging and hh goods'!$C$14*('R&amp;S - Packaging and hh goods'!$D$20+('R&amp;S - Packaging and hh goods'!$D$21-'R&amp;S - Packaging and hh goods'!$D$20)*('Yearly HC Ethylene'!Y$3-'Yearly HC Ethylene'!$X$3)/10))</f>
        <v>149211.64401455072</v>
      </c>
      <c r="Z30" s="183">
        <f>Z26*'R&amp;S - Packaging and hh goods'!$C$9*('R&amp;S - Packaging and hh goods'!$C$14*('R&amp;S - Packaging and hh goods'!$D$20+('R&amp;S - Packaging and hh goods'!$D$21-'R&amp;S - Packaging and hh goods'!$D$20)*('Yearly HC Ethylene'!Z$3-'Yearly HC Ethylene'!$X$3)/10))</f>
        <v>152707.8033962062</v>
      </c>
      <c r="AA30" s="183">
        <f>AA26*'R&amp;S - Packaging and hh goods'!$C$9*('R&amp;S - Packaging and hh goods'!$C$14*('R&amp;S - Packaging and hh goods'!$D$20+('R&amp;S - Packaging and hh goods'!$D$21-'R&amp;S - Packaging and hh goods'!$D$20)*('Yearly HC Ethylene'!AA$3-'Yearly HC Ethylene'!$X$3)/10))</f>
        <v>156147.99506294602</v>
      </c>
      <c r="AB30" s="183">
        <f>AB26*'R&amp;S - Packaging and hh goods'!$C$9*('R&amp;S - Packaging and hh goods'!$C$14*('R&amp;S - Packaging and hh goods'!$D$20+('R&amp;S - Packaging and hh goods'!$D$21-'R&amp;S - Packaging and hh goods'!$D$20)*('Yearly HC Ethylene'!AB$3-'Yearly HC Ethylene'!$X$3)/10))</f>
        <v>159532.82923564565</v>
      </c>
      <c r="AC30" s="183">
        <f>AC26*'R&amp;S - Packaging and hh goods'!$C$9*('R&amp;S - Packaging and hh goods'!$C$14*('R&amp;S - Packaging and hh goods'!$D$20+('R&amp;S - Packaging and hh goods'!$D$21-'R&amp;S - Packaging and hh goods'!$D$20)*('Yearly HC Ethylene'!AC$3-'Yearly HC Ethylene'!$X$3)/10))</f>
        <v>162862.91034851698</v>
      </c>
      <c r="AD30" s="183">
        <f>AD26*'R&amp;S - Packaging and hh goods'!$C$9*('R&amp;S - Packaging and hh goods'!$C$14*('R&amp;S - Packaging and hh goods'!$D$20+('R&amp;S - Packaging and hh goods'!$D$21-'R&amp;S - Packaging and hh goods'!$D$20)*('Yearly HC Ethylene'!AD$3-'Yearly HC Ethylene'!$X$3)/10))</f>
        <v>166138.83710012343</v>
      </c>
      <c r="AE30" s="183">
        <f>AE26*'R&amp;S - Packaging and hh goods'!$C$9*('R&amp;S - Packaging and hh goods'!$C$14*('R&amp;S - Packaging and hh goods'!$D$20+('R&amp;S - Packaging and hh goods'!$D$21-'R&amp;S - Packaging and hh goods'!$D$20)*('Yearly HC Ethylene'!AE$3-'Yearly HC Ethylene'!$X$3)/10))</f>
        <v>169361.20250396495</v>
      </c>
      <c r="AF30" s="183">
        <f>AF26*'R&amp;S - Packaging and hh goods'!$C$9*('R&amp;S - Packaging and hh goods'!$C$14*('R&amp;S - Packaging and hh goods'!$D$20+('R&amp;S - Packaging and hh goods'!$D$21-'R&amp;S - Packaging and hh goods'!$D$20)*('Yearly HC Ethylene'!AF$3-'Yearly HC Ethylene'!$X$3)/10))</f>
        <v>172530.59393863677</v>
      </c>
      <c r="AG30" s="183">
        <f>AG26*'R&amp;S - Packaging and hh goods'!$C$9*('R&amp;S - Packaging and hh goods'!$C$14*('R&amp;S - Packaging and hh goods'!$D$20+('R&amp;S - Packaging and hh goods'!$D$21-'R&amp;S - Packaging and hh goods'!$D$20)*('Yearly HC Ethylene'!AG$3-'Yearly HC Ethylene'!$X$3)/10))</f>
        <v>175647.5931975648</v>
      </c>
      <c r="AH30" s="183">
        <f>AH26*'R&amp;S - Packaging and hh goods'!$C$9*('R&amp;S - Packaging and hh goods'!$C$14*('R&amp;S - Packaging and hh goods'!$D$20+('R&amp;S - Packaging and hh goods'!$D$21-'R&amp;S - Packaging and hh goods'!$D$20)*('Yearly HC Ethylene'!AH$3-'Yearly HC Ethylene'!$X$3)/10))</f>
        <v>178712.77653832192</v>
      </c>
    </row>
    <row r="31" spans="1:35" outlineLevel="1">
      <c r="B31" s="57" t="s">
        <v>185</v>
      </c>
      <c r="C31" s="50" t="s">
        <v>1420</v>
      </c>
      <c r="D31" s="183">
        <v>0</v>
      </c>
      <c r="E31" s="183">
        <f>E26*'R&amp;S - Packaging and hh goods'!$C$10*('R&amp;S - Packaging and hh goods'!$C$14*'R&amp;S - Packaging and hh goods'!$E$19*('Yearly HC Ethylene'!E$3-'Yearly HC Ethylene'!$D$3)/10)</f>
        <v>6055.9064592764316</v>
      </c>
      <c r="F31" s="183">
        <f>F26*'R&amp;S - Packaging and hh goods'!$C$10*('R&amp;S - Packaging and hh goods'!$C$14*'R&amp;S - Packaging and hh goods'!$E$19*('Yearly HC Ethylene'!F$3-'Yearly HC Ethylene'!$D$3)/10)</f>
        <v>12027.417056816765</v>
      </c>
      <c r="G31" s="183">
        <f>G26*'R&amp;S - Packaging and hh goods'!$C$10*('R&amp;S - Packaging and hh goods'!$C$14*'R&amp;S - Packaging and hh goods'!$E$19*('Yearly HC Ethylene'!G$3-'Yearly HC Ethylene'!$D$3)/10)</f>
        <v>17915.413905999823</v>
      </c>
      <c r="H31" s="183">
        <f>H26*'R&amp;S - Packaging and hh goods'!$C$10*('R&amp;S - Packaging and hh goods'!$C$14*'R&amp;S - Packaging and hh goods'!$E$19*('Yearly HC Ethylene'!H$3-'Yearly HC Ethylene'!$D$3)/10)</f>
        <v>23720.770924710298</v>
      </c>
      <c r="I31" s="183">
        <f>I26*'R&amp;S - Packaging and hh goods'!$C$10*('R&amp;S - Packaging and hh goods'!$C$14*'R&amp;S - Packaging and hh goods'!$E$19*('Yearly HC Ethylene'!I$3-'Yearly HC Ethylene'!$D$3)/10)</f>
        <v>29444.35390672215</v>
      </c>
      <c r="J31" s="183">
        <f>J26*'R&amp;S - Packaging and hh goods'!$C$10*('R&amp;S - Packaging and hh goods'!$C$14*'R&amp;S - Packaging and hh goods'!$E$19*('Yearly HC Ethylene'!J$3-'Yearly HC Ethylene'!$D$3)/10)</f>
        <v>35087.020592485089</v>
      </c>
      <c r="K31" s="183">
        <f>K26*'R&amp;S - Packaging and hh goods'!$C$10*('R&amp;S - Packaging and hh goods'!$C$14*'R&amp;S - Packaging and hh goods'!$E$19*('Yearly HC Ethylene'!K$3-'Yearly HC Ethylene'!$D$3)/10)</f>
        <v>40649.620739319049</v>
      </c>
      <c r="L31" s="183">
        <f>L26*'R&amp;S - Packaging and hh goods'!$C$10*('R&amp;S - Packaging and hh goods'!$C$14*'R&amp;S - Packaging and hh goods'!$E$19*('Yearly HC Ethylene'!L$3-'Yearly HC Ethylene'!$D$3)/10)</f>
        <v>46132.99619102147</v>
      </c>
      <c r="M31" s="183">
        <f>M26*'R&amp;S - Packaging and hh goods'!$C$10*('R&amp;S - Packaging and hh goods'!$C$14*'R&amp;S - Packaging and hh goods'!$E$19*('Yearly HC Ethylene'!M$3-'Yearly HC Ethylene'!$D$3)/10)</f>
        <v>51537.980946892087</v>
      </c>
      <c r="N31" s="183">
        <f>N26*'R&amp;S - Packaging and hh goods'!$C$10*('R&amp;S - Packaging and hh goods'!$C$14*'R&amp;S - Packaging and hh goods'!$E$19*('Yearly HC Ethylene'!N$3-'Yearly HC Ethylene'!$D$3)/10)</f>
        <v>56865.401230179988</v>
      </c>
      <c r="O31" s="183">
        <f>O26*'R&amp;S - Packaging and hh goods'!$C$10*('R&amp;S - Packaging and hh goods'!$C$14*'R&amp;S - Packaging and hh goods'!$E$19*('Yearly HC Ethylene'!O$3-'Yearly HC Ethylene'!$D$3)/10)</f>
        <v>62116.075555957796</v>
      </c>
      <c r="P31" s="183">
        <f>P26*'R&amp;S - Packaging and hh goods'!$C$10*('R&amp;S - Packaging and hh goods'!$C$14*('R&amp;S - Packaging and hh goods'!$E$19+('R&amp;S - Packaging and hh goods'!$E$20-'R&amp;S - Packaging and hh goods'!$E$19)*('Yearly HC Ethylene'!P$3-'Yearly HC Ethylene'!$O$3)/10))</f>
        <v>60615.138727154801</v>
      </c>
      <c r="Q31" s="183">
        <f>Q26*'R&amp;S - Packaging and hh goods'!$C$10*('R&amp;S - Packaging and hh goods'!$C$14*('R&amp;S - Packaging and hh goods'!$E$19+('R&amp;S - Packaging and hh goods'!$E$20-'R&amp;S - Packaging and hh goods'!$E$19)*('Yearly HC Ethylene'!Q$3-'Yearly HC Ethylene'!$O$3)/10))</f>
        <v>64700.597182672107</v>
      </c>
      <c r="R31" s="183">
        <f>R26*'R&amp;S - Packaging and hh goods'!$C$10*('R&amp;S - Packaging and hh goods'!$C$14*('R&amp;S - Packaging and hh goods'!$E$19+('R&amp;S - Packaging and hh goods'!$E$20-'R&amp;S - Packaging and hh goods'!$E$19)*('Yearly HC Ethylene'!R$3-'Yearly HC Ethylene'!$O$3)/10))</f>
        <v>68726.177083097937</v>
      </c>
      <c r="S31" s="183">
        <f>S26*'R&amp;S - Packaging and hh goods'!$C$10*('R&amp;S - Packaging and hh goods'!$C$14*('R&amp;S - Packaging and hh goods'!$E$19+('R&amp;S - Packaging and hh goods'!$E$20-'R&amp;S - Packaging and hh goods'!$E$19)*('Yearly HC Ethylene'!S$3-'Yearly HC Ethylene'!$O$3)/10))</f>
        <v>72692.514538500196</v>
      </c>
      <c r="T31" s="183">
        <f>T26*'R&amp;S - Packaging and hh goods'!$C$10*('R&amp;S - Packaging and hh goods'!$C$14*('R&amp;S - Packaging and hh goods'!$E$19+('R&amp;S - Packaging and hh goods'!$E$20-'R&amp;S - Packaging and hh goods'!$E$19)*('Yearly HC Ethylene'!T$3-'Yearly HC Ethylene'!$O$3)/10))</f>
        <v>76600.239701374725</v>
      </c>
      <c r="U31" s="183">
        <f>U26*'R&amp;S - Packaging and hh goods'!$C$10*('R&amp;S - Packaging and hh goods'!$C$14*('R&amp;S - Packaging and hh goods'!$E$19+('R&amp;S - Packaging and hh goods'!$E$20-'R&amp;S - Packaging and hh goods'!$E$19)*('Yearly HC Ethylene'!U$3-'Yearly HC Ethylene'!$O$3)/10))</f>
        <v>80449.976818785144</v>
      </c>
      <c r="V31" s="183">
        <f>V26*'R&amp;S - Packaging and hh goods'!$C$10*('R&amp;S - Packaging and hh goods'!$C$14*('R&amp;S - Packaging and hh goods'!$E$19+('R&amp;S - Packaging and hh goods'!$E$20-'R&amp;S - Packaging and hh goods'!$E$19)*('Yearly HC Ethylene'!V$3-'Yearly HC Ethylene'!$O$3)/10))</f>
        <v>84242.344284065373</v>
      </c>
      <c r="W31" s="183">
        <f>W26*'R&amp;S - Packaging and hh goods'!$C$10*('R&amp;S - Packaging and hh goods'!$C$14*('R&amp;S - Packaging and hh goods'!$E$19+('R&amp;S - Packaging and hh goods'!$E$20-'R&amp;S - Packaging and hh goods'!$E$19)*('Yearly HC Ethylene'!W$3-'Yearly HC Ethylene'!$O$3)/10))</f>
        <v>87977.954688088153</v>
      </c>
      <c r="X31" s="183">
        <f>X26*'R&amp;S - Packaging and hh goods'!$C$10*('R&amp;S - Packaging and hh goods'!$C$14*('R&amp;S - Packaging and hh goods'!$E$19+('R&amp;S - Packaging and hh goods'!$E$20-'R&amp;S - Packaging and hh goods'!$E$19)*('Yearly HC Ethylene'!X$3-'Yearly HC Ethylene'!$O$3)/10))</f>
        <v>91657.414870103763</v>
      </c>
      <c r="Y31" s="183">
        <f>Y26*'R&amp;S - Packaging and hh goods'!$C$10*('R&amp;S - Packaging and hh goods'!$C$14*('R&amp;S - Packaging and hh goods'!$E$20+('R&amp;S - Packaging and hh goods'!$E$21-'R&amp;S - Packaging and hh goods'!$E$20)*('Yearly HC Ethylene'!Y$3-'Yearly HC Ethylene'!$X$3)/10))</f>
        <v>98290.209946092931</v>
      </c>
      <c r="Z31" s="183">
        <f>Z26*'R&amp;S - Packaging and hh goods'!$C$10*('R&amp;S - Packaging and hh goods'!$C$14*('R&amp;S - Packaging and hh goods'!$E$20+('R&amp;S - Packaging and hh goods'!$E$21-'R&amp;S - Packaging and hh goods'!$E$20)*('Yearly HC Ethylene'!Z$3-'Yearly HC Ethylene'!$X$3)/10))</f>
        <v>100593.2355705168</v>
      </c>
      <c r="AA31" s="183">
        <f>AA26*'R&amp;S - Packaging and hh goods'!$C$10*('R&amp;S - Packaging and hh goods'!$C$14*('R&amp;S - Packaging and hh goods'!$E$20+('R&amp;S - Packaging and hh goods'!$E$21-'R&amp;S - Packaging and hh goods'!$E$20)*('Yearly HC Ethylene'!AA$3-'Yearly HC Ethylene'!$X$3)/10))</f>
        <v>102859.39357321049</v>
      </c>
      <c r="AB31" s="183">
        <f>AB26*'R&amp;S - Packaging and hh goods'!$C$10*('R&amp;S - Packaging and hh goods'!$C$14*('R&amp;S - Packaging and hh goods'!$E$20+('R&amp;S - Packaging and hh goods'!$E$21-'R&amp;S - Packaging and hh goods'!$E$20)*('Yearly HC Ethylene'!AB$3-'Yearly HC Ethylene'!$X$3)/10))</f>
        <v>105089.08592506817</v>
      </c>
      <c r="AC31" s="183">
        <f>AC26*'R&amp;S - Packaging and hh goods'!$C$10*('R&amp;S - Packaging and hh goods'!$C$14*('R&amp;S - Packaging and hh goods'!$E$20+('R&amp;S - Packaging and hh goods'!$E$21-'R&amp;S - Packaging and hh goods'!$E$20)*('Yearly HC Ethylene'!AC$3-'Yearly HC Ethylene'!$X$3)/10))</f>
        <v>107282.7107851342</v>
      </c>
      <c r="AD31" s="183">
        <f>AD26*'R&amp;S - Packaging and hh goods'!$C$10*('R&amp;S - Packaging and hh goods'!$C$14*('R&amp;S - Packaging and hh goods'!$E$20+('R&amp;S - Packaging and hh goods'!$E$21-'R&amp;S - Packaging and hh goods'!$E$20)*('Yearly HC Ethylene'!AD$3-'Yearly HC Ethylene'!$X$3)/10))</f>
        <v>109440.66253420828</v>
      </c>
      <c r="AE31" s="183">
        <f>AE26*'R&amp;S - Packaging and hh goods'!$C$10*('R&amp;S - Packaging and hh goods'!$C$14*('R&amp;S - Packaging and hh goods'!$E$20+('R&amp;S - Packaging and hh goods'!$E$21-'R&amp;S - Packaging and hh goods'!$E$20)*('Yearly HC Ethylene'!AE$3-'Yearly HC Ethylene'!$X$3)/10))</f>
        <v>111563.33180816739</v>
      </c>
      <c r="AF31" s="183">
        <f>AF26*'R&amp;S - Packaging and hh goods'!$C$10*('R&amp;S - Packaging and hh goods'!$C$14*('R&amp;S - Packaging and hh goods'!$E$20+('R&amp;S - Packaging and hh goods'!$E$21-'R&amp;S - Packaging and hh goods'!$E$20)*('Yearly HC Ethylene'!AF$3-'Yearly HC Ethylene'!$X$3)/10))</f>
        <v>113651.10553100676</v>
      </c>
      <c r="AG31" s="183">
        <f>AG26*'R&amp;S - Packaging and hh goods'!$C$10*('R&amp;S - Packaging and hh goods'!$C$14*('R&amp;S - Packaging and hh goods'!$E$20+('R&amp;S - Packaging and hh goods'!$E$21-'R&amp;S - Packaging and hh goods'!$E$20)*('Yearly HC Ethylene'!AG$3-'Yearly HC Ethylene'!$X$3)/10))</f>
        <v>115704.36694760222</v>
      </c>
      <c r="AH31" s="183">
        <f>AH26*'R&amp;S - Packaging and hh goods'!$C$10*('R&amp;S - Packaging and hh goods'!$C$14*('R&amp;S - Packaging and hh goods'!$E$20+('R&amp;S - Packaging and hh goods'!$E$21-'R&amp;S - Packaging and hh goods'!$E$20)*('Yearly HC Ethylene'!AH$3-'Yearly HC Ethylene'!$X$3)/10))</f>
        <v>117723.49565619619</v>
      </c>
    </row>
    <row r="32" spans="1:35" outlineLevel="1">
      <c r="B32" s="1" t="s">
        <v>172</v>
      </c>
      <c r="C32" s="50" t="s">
        <v>1420</v>
      </c>
      <c r="D32" s="99">
        <f>SUM(D30:D31)</f>
        <v>0</v>
      </c>
      <c r="E32" s="99">
        <f t="shared" ref="E32:AH32" si="7">SUM(E30:E31)</f>
        <v>14592.54568500345</v>
      </c>
      <c r="F32" s="99">
        <f t="shared" si="7"/>
        <v>28981.727847751241</v>
      </c>
      <c r="G32" s="99">
        <f t="shared" si="7"/>
        <v>43169.672062650177</v>
      </c>
      <c r="H32" s="99">
        <f t="shared" si="7"/>
        <v>57158.484155928432</v>
      </c>
      <c r="I32" s="99">
        <f t="shared" si="7"/>
        <v>70950.250377643737</v>
      </c>
      <c r="J32" s="99">
        <f t="shared" si="7"/>
        <v>84547.037572253219</v>
      </c>
      <c r="K32" s="99">
        <f t="shared" si="7"/>
        <v>97950.893347756748</v>
      </c>
      <c r="L32" s="99">
        <f t="shared" si="7"/>
        <v>111163.84624342524</v>
      </c>
      <c r="M32" s="99">
        <f t="shared" si="7"/>
        <v>124187.90589612551</v>
      </c>
      <c r="N32" s="99">
        <f t="shared" si="7"/>
        <v>137025.06320525298</v>
      </c>
      <c r="O32" s="99">
        <f t="shared" si="7"/>
        <v>149677.29049628385</v>
      </c>
      <c r="P32" s="99">
        <f t="shared" si="7"/>
        <v>155470.86561168492</v>
      </c>
      <c r="Q32" s="99">
        <f t="shared" si="7"/>
        <v>166744.92735311104</v>
      </c>
      <c r="R32" s="99">
        <f t="shared" si="7"/>
        <v>177854.3236604142</v>
      </c>
      <c r="S32" s="99">
        <f t="shared" si="7"/>
        <v>188800.80193194846</v>
      </c>
      <c r="T32" s="99">
        <f t="shared" si="7"/>
        <v>199586.09320925476</v>
      </c>
      <c r="U32" s="99">
        <f t="shared" si="7"/>
        <v>210211.91232016904</v>
      </c>
      <c r="V32" s="99">
        <f t="shared" si="7"/>
        <v>220679.95802072901</v>
      </c>
      <c r="W32" s="99">
        <f t="shared" si="7"/>
        <v>230991.91313589161</v>
      </c>
      <c r="X32" s="99">
        <f t="shared" si="7"/>
        <v>241149.44469906916</v>
      </c>
      <c r="Y32" s="99">
        <f t="shared" si="7"/>
        <v>247501.85396064364</v>
      </c>
      <c r="Z32" s="99">
        <f t="shared" si="7"/>
        <v>253301.03896672302</v>
      </c>
      <c r="AA32" s="99">
        <f t="shared" si="7"/>
        <v>259007.38863615651</v>
      </c>
      <c r="AB32" s="99">
        <f t="shared" si="7"/>
        <v>264621.91516071383</v>
      </c>
      <c r="AC32" s="99">
        <f t="shared" si="7"/>
        <v>270145.62113365118</v>
      </c>
      <c r="AD32" s="99">
        <f t="shared" si="7"/>
        <v>275579.49963433173</v>
      </c>
      <c r="AE32" s="99">
        <f t="shared" si="7"/>
        <v>280924.53431213234</v>
      </c>
      <c r="AF32" s="99">
        <f t="shared" si="7"/>
        <v>286181.69946964353</v>
      </c>
      <c r="AG32" s="99">
        <f t="shared" si="7"/>
        <v>291351.96014516702</v>
      </c>
      <c r="AH32" s="99">
        <f t="shared" si="7"/>
        <v>296436.27219451813</v>
      </c>
    </row>
    <row r="33" spans="1:35" s="166" customFormat="1">
      <c r="A33" s="166" t="s">
        <v>200</v>
      </c>
      <c r="B33" s="166" t="s">
        <v>78</v>
      </c>
      <c r="C33" s="167" t="s">
        <v>1420</v>
      </c>
      <c r="D33" s="581">
        <f>D26-D29-D32</f>
        <v>1749397.7312644324</v>
      </c>
      <c r="E33" s="581">
        <f>E26-E29-E32</f>
        <v>1706791.0479291338</v>
      </c>
      <c r="F33" s="581">
        <f t="shared" ref="F33:AH33" si="8">F26-F29-F32</f>
        <v>1664693.1965463506</v>
      </c>
      <c r="G33" s="581">
        <f t="shared" si="8"/>
        <v>1623099.1546910855</v>
      </c>
      <c r="H33" s="581">
        <f t="shared" si="8"/>
        <v>1582003.9452257091</v>
      </c>
      <c r="I33" s="581">
        <f t="shared" si="8"/>
        <v>1541402.6359126884</v>
      </c>
      <c r="J33" s="581">
        <f t="shared" si="8"/>
        <v>1501290.3390305105</v>
      </c>
      <c r="K33" s="581">
        <f t="shared" si="8"/>
        <v>1461662.2109927828</v>
      </c>
      <c r="L33" s="581">
        <f t="shared" si="8"/>
        <v>1422513.4519704788</v>
      </c>
      <c r="M33" s="581">
        <f t="shared" si="8"/>
        <v>1383839.3055173033</v>
      </c>
      <c r="N33" s="581">
        <f t="shared" si="8"/>
        <v>1345635.0581981577</v>
      </c>
      <c r="O33" s="581">
        <f t="shared" si="8"/>
        <v>1294203.1589548157</v>
      </c>
      <c r="P33" s="581">
        <f t="shared" si="8"/>
        <v>1250098.3612830047</v>
      </c>
      <c r="Q33" s="581">
        <f t="shared" si="8"/>
        <v>1200976.8809161028</v>
      </c>
      <c r="R33" s="581">
        <f t="shared" si="8"/>
        <v>1152479.2664440284</v>
      </c>
      <c r="S33" s="581">
        <f t="shared" si="8"/>
        <v>1104599.208633244</v>
      </c>
      <c r="T33" s="581">
        <f t="shared" si="8"/>
        <v>1057330.4558853589</v>
      </c>
      <c r="U33" s="581">
        <f t="shared" si="8"/>
        <v>1010666.813740255</v>
      </c>
      <c r="V33" s="581">
        <f t="shared" si="8"/>
        <v>964602.14438333968</v>
      </c>
      <c r="W33" s="581">
        <f t="shared" si="8"/>
        <v>919130.36615689308</v>
      </c>
      <c r="X33" s="581">
        <f t="shared" si="8"/>
        <v>874245.45307547331</v>
      </c>
      <c r="Y33" s="581">
        <f t="shared" si="8"/>
        <v>839836.61453585874</v>
      </c>
      <c r="Z33" s="581">
        <f t="shared" si="8"/>
        <v>806317.84136477089</v>
      </c>
      <c r="AA33" s="581">
        <f t="shared" si="8"/>
        <v>773225.41263260483</v>
      </c>
      <c r="AB33" s="581">
        <f t="shared" si="8"/>
        <v>740555.01421720348</v>
      </c>
      <c r="AC33" s="581">
        <f t="shared" si="8"/>
        <v>708302.37141787144</v>
      </c>
      <c r="AD33" s="581">
        <f t="shared" si="8"/>
        <v>676463.24861545884</v>
      </c>
      <c r="AE33" s="581">
        <f t="shared" si="8"/>
        <v>645033.44893526984</v>
      </c>
      <c r="AF33" s="581">
        <f t="shared" si="8"/>
        <v>614008.81391277059</v>
      </c>
      <c r="AG33" s="581">
        <f t="shared" si="8"/>
        <v>583385.22316207504</v>
      </c>
      <c r="AH33" s="581">
        <f t="shared" si="8"/>
        <v>553158.59404718678</v>
      </c>
    </row>
    <row r="34" spans="1:35" s="61" customFormat="1">
      <c r="A34" s="606" t="s">
        <v>608</v>
      </c>
      <c r="B34" s="54" t="s">
        <v>141</v>
      </c>
      <c r="C34" s="55" t="s">
        <v>1420</v>
      </c>
      <c r="D34" s="571">
        <f>D26*('Demand - Ethylene'!$C$73)</f>
        <v>1121142.3305785127</v>
      </c>
      <c r="E34" s="571">
        <f>E26*('Demand - Ethylene'!$C$73)-E$27/'R&amp;S - Packaging and hh goods'!$C$7*'R&amp;S - Packaging and hh goods'!$S7-E$28/'R&amp;S - Packaging and hh goods'!$C$8*'R&amp;S - Packaging and hh goods'!$S8-E$30/'R&amp;S - Packaging and hh goods'!$C$9*'R&amp;S - Packaging and hh goods'!$S9-E$31/'R&amp;S - Packaging and hh goods'!$C$10*'R&amp;S - Packaging and hh goods'!$S10</f>
        <v>1087404.0519571493</v>
      </c>
      <c r="F34" s="571">
        <f>F26*('Demand - Ethylene'!$C$73)-F$27/'R&amp;S - Packaging and hh goods'!$C$7*'R&amp;S - Packaging and hh goods'!$S7-F$28/'R&amp;S - Packaging and hh goods'!$C$8*'R&amp;S - Packaging and hh goods'!$S8-F$30/'R&amp;S - Packaging and hh goods'!$C$9*'R&amp;S - Packaging and hh goods'!$S9-F$31/'R&amp;S - Packaging and hh goods'!$C$10*'R&amp;S - Packaging and hh goods'!$S10</f>
        <v>1054081.5183441045</v>
      </c>
      <c r="G34" s="571">
        <f>G26*('Demand - Ethylene'!$C$73)-G$27/'R&amp;S - Packaging and hh goods'!$C$7*'R&amp;S - Packaging and hh goods'!$S7-G$28/'R&amp;S - Packaging and hh goods'!$C$8*'R&amp;S - Packaging and hh goods'!$S8-G$30/'R&amp;S - Packaging and hh goods'!$C$9*'R&amp;S - Packaging and hh goods'!$S9-G$31/'R&amp;S - Packaging and hh goods'!$C$10*'R&amp;S - Packaging and hh goods'!$S10</f>
        <v>1021170.5739900402</v>
      </c>
      <c r="H34" s="571">
        <f>H26*('Demand - Ethylene'!$C$73)-H$27/'R&amp;S - Packaging and hh goods'!$C$7*'R&amp;S - Packaging and hh goods'!$S7-H$28/'R&amp;S - Packaging and hh goods'!$C$8*'R&amp;S - Packaging and hh goods'!$S8-H$30/'R&amp;S - Packaging and hh goods'!$C$9*'R&amp;S - Packaging and hh goods'!$S9-H$31/'R&amp;S - Packaging and hh goods'!$C$10*'R&amp;S - Packaging and hh goods'!$S10</f>
        <v>988667.10087462026</v>
      </c>
      <c r="I34" s="571">
        <f>I26*('Demand - Ethylene'!$C$73)-I$27/'R&amp;S - Packaging and hh goods'!$C$7*'R&amp;S - Packaging and hh goods'!$S7-I$28/'R&amp;S - Packaging and hh goods'!$C$8*'R&amp;S - Packaging and hh goods'!$S8-I$30/'R&amp;S - Packaging and hh goods'!$C$9*'R&amp;S - Packaging and hh goods'!$S9-I$31/'R&amp;S - Packaging and hh goods'!$C$10*'R&amp;S - Packaging and hh goods'!$S10</f>
        <v>956567.01838249131</v>
      </c>
      <c r="J34" s="571">
        <f>J26*('Demand - Ethylene'!$C$73)-J$27/'R&amp;S - Packaging and hh goods'!$C$7*'R&amp;S - Packaging and hh goods'!$S7-J$28/'R&amp;S - Packaging and hh goods'!$C$8*'R&amp;S - Packaging and hh goods'!$S8-J$30/'R&amp;S - Packaging and hh goods'!$C$9*'R&amp;S - Packaging and hh goods'!$S9-J$31/'R&amp;S - Packaging and hh goods'!$C$10*'R&amp;S - Packaging and hh goods'!$S10</f>
        <v>924866.28298194834</v>
      </c>
      <c r="K34" s="571">
        <f>K26*('Demand - Ethylene'!$C$73)-K$27/'R&amp;S - Packaging and hh goods'!$C$7*'R&amp;S - Packaging and hh goods'!$S7-K$28/'R&amp;S - Packaging and hh goods'!$C$8*'R&amp;S - Packaging and hh goods'!$S8-K$30/'R&amp;S - Packaging and hh goods'!$C$9*'R&amp;S - Packaging and hh goods'!$S9-K$31/'R&amp;S - Packaging and hh goods'!$C$10*'R&amp;S - Packaging and hh goods'!$S10</f>
        <v>893560.88790626184</v>
      </c>
      <c r="L34" s="571">
        <f>L26*('Demand - Ethylene'!$C$73)-L$27/'R&amp;S - Packaging and hh goods'!$C$7*'R&amp;S - Packaging and hh goods'!$S7-L$28/'R&amp;S - Packaging and hh goods'!$C$8*'R&amp;S - Packaging and hh goods'!$S8-L$30/'R&amp;S - Packaging and hh goods'!$C$9*'R&amp;S - Packaging and hh goods'!$S9-L$31/'R&amp;S - Packaging and hh goods'!$C$10*'R&amp;S - Packaging and hh goods'!$S10</f>
        <v>862646.86283764616</v>
      </c>
      <c r="M34" s="571">
        <f>M26*('Demand - Ethylene'!$C$73)-M$27/'R&amp;S - Packaging and hh goods'!$C$7*'R&amp;S - Packaging and hh goods'!$S7-M$28/'R&amp;S - Packaging and hh goods'!$C$8*'R&amp;S - Packaging and hh goods'!$S8-M$30/'R&amp;S - Packaging and hh goods'!$C$9*'R&amp;S - Packaging and hh goods'!$S9-M$31/'R&amp;S - Packaging and hh goods'!$C$10*'R&amp;S - Packaging and hh goods'!$S10</f>
        <v>832120.27359384659</v>
      </c>
      <c r="N34" s="571">
        <f>N26*('Demand - Ethylene'!$C$73)-N$27/'R&amp;S - Packaging and hh goods'!$C$7*'R&amp;S - Packaging and hh goods'!$S7-N$28/'R&amp;S - Packaging and hh goods'!$C$8*'R&amp;S - Packaging and hh goods'!$S8-N$30/'R&amp;S - Packaging and hh goods'!$C$9*'R&amp;S - Packaging and hh goods'!$S9-N$31/'R&amp;S - Packaging and hh goods'!$C$10*'R&amp;S - Packaging and hh goods'!$S10</f>
        <v>801977.22181732417</v>
      </c>
      <c r="O34" s="571">
        <f>O26*('Demand - Ethylene'!$C$73)-O$27/'R&amp;S - Packaging and hh goods'!$C$7*'R&amp;S - Packaging and hh goods'!$S7-O$28/'R&amp;S - Packaging and hh goods'!$C$8*'R&amp;S - Packaging and hh goods'!$S8-O$30/'R&amp;S - Packaging and hh goods'!$C$9*'R&amp;S - Packaging and hh goods'!$S9-O$31/'R&amp;S - Packaging and hh goods'!$C$10*'R&amp;S - Packaging and hh goods'!$S10</f>
        <v>760189.44502033072</v>
      </c>
      <c r="P34" s="571">
        <f>P26*('Demand - Ethylene'!$C$73)-P$27/'R&amp;S - Packaging and hh goods'!$C$7*'R&amp;S - Packaging and hh goods'!$S7-P$28/'R&amp;S - Packaging and hh goods'!$C$8*'R&amp;S - Packaging and hh goods'!$S8-P$30/'R&amp;S - Packaging and hh goods'!$C$9*'R&amp;S - Packaging and hh goods'!$S9-P$31/'R&amp;S - Packaging and hh goods'!$C$10*'R&amp;S - Packaging and hh goods'!$S10</f>
        <v>724896.89632220496</v>
      </c>
      <c r="Q34" s="571">
        <f>Q26*('Demand - Ethylene'!$C$73)-Q$27/'R&amp;S - Packaging and hh goods'!$C$7*'R&amp;S - Packaging and hh goods'!$S7-Q$28/'R&amp;S - Packaging and hh goods'!$C$8*'R&amp;S - Packaging and hh goods'!$S8-Q$30/'R&amp;S - Packaging and hh goods'!$C$9*'R&amp;S - Packaging and hh goods'!$S9-Q$31/'R&amp;S - Packaging and hh goods'!$C$10*'R&amp;S - Packaging and hh goods'!$S10</f>
        <v>685094.59738256317</v>
      </c>
      <c r="R34" s="571">
        <f>R26*('Demand - Ethylene'!$C$73)-R$27/'R&amp;S - Packaging and hh goods'!$C$7*'R&amp;S - Packaging and hh goods'!$S7-R$28/'R&amp;S - Packaging and hh goods'!$C$8*'R&amp;S - Packaging and hh goods'!$S8-R$30/'R&amp;S - Packaging and hh goods'!$C$9*'R&amp;S - Packaging and hh goods'!$S9-R$31/'R&amp;S - Packaging and hh goods'!$C$10*'R&amp;S - Packaging and hh goods'!$S10</f>
        <v>645811.79164443293</v>
      </c>
      <c r="S34" s="571">
        <f>S26*('Demand - Ethylene'!$C$73)-S$27/'R&amp;S - Packaging and hh goods'!$C$7*'R&amp;S - Packaging and hh goods'!$S7-S$28/'R&amp;S - Packaging and hh goods'!$C$8*'R&amp;S - Packaging and hh goods'!$S8-S$30/'R&amp;S - Packaging and hh goods'!$C$9*'R&amp;S - Packaging and hh goods'!$S9-S$31/'R&amp;S - Packaging and hh goods'!$C$10*'R&amp;S - Packaging and hh goods'!$S10</f>
        <v>607043.17194257164</v>
      </c>
      <c r="T34" s="571">
        <f>T26*('Demand - Ethylene'!$C$73)-T$27/'R&amp;S - Packaging and hh goods'!$C$7*'R&amp;S - Packaging and hh goods'!$S7-T$28/'R&amp;S - Packaging and hh goods'!$C$8*'R&amp;S - Packaging and hh goods'!$S8-T$30/'R&amp;S - Packaging and hh goods'!$C$9*'R&amp;S - Packaging and hh goods'!$S9-T$31/'R&amp;S - Packaging and hh goods'!$C$10*'R&amp;S - Packaging and hh goods'!$S10</f>
        <v>568783.47984963423</v>
      </c>
      <c r="U34" s="571">
        <f>U26*('Demand - Ethylene'!$C$73)-U$27/'R&amp;S - Packaging and hh goods'!$C$7*'R&amp;S - Packaging and hh goods'!$S7-U$28/'R&amp;S - Packaging and hh goods'!$C$8*'R&amp;S - Packaging and hh goods'!$S8-U$30/'R&amp;S - Packaging and hh goods'!$C$9*'R&amp;S - Packaging and hh goods'!$S9-U$31/'R&amp;S - Packaging and hh goods'!$C$10*'R&amp;S - Packaging and hh goods'!$S10</f>
        <v>531027.50525464013</v>
      </c>
      <c r="V34" s="571">
        <f>V26*('Demand - Ethylene'!$C$73)-V$27/'R&amp;S - Packaging and hh goods'!$C$7*'R&amp;S - Packaging and hh goods'!$S7-V$28/'R&amp;S - Packaging and hh goods'!$C$8*'R&amp;S - Packaging and hh goods'!$S8-V$30/'R&amp;S - Packaging and hh goods'!$C$9*'R&amp;S - Packaging and hh goods'!$S9-V$31/'R&amp;S - Packaging and hh goods'!$C$10*'R&amp;S - Packaging and hh goods'!$S10</f>
        <v>493770.08594494563</v>
      </c>
      <c r="W34" s="571">
        <f>W26*('Demand - Ethylene'!$C$73)-W$27/'R&amp;S - Packaging and hh goods'!$C$7*'R&amp;S - Packaging and hh goods'!$S7-W$28/'R&amp;S - Packaging and hh goods'!$C$8*'R&amp;S - Packaging and hh goods'!$S8-W$30/'R&amp;S - Packaging and hh goods'!$C$9*'R&amp;S - Packaging and hh goods'!$S9-W$31/'R&amp;S - Packaging and hh goods'!$C$10*'R&amp;S - Packaging and hh goods'!$S10</f>
        <v>457006.10719170037</v>
      </c>
      <c r="X34" s="571">
        <f>X26*('Demand - Ethylene'!$C$73)-X$27/'R&amp;S - Packaging and hh goods'!$C$7*'R&amp;S - Packaging and hh goods'!$S7-X$28/'R&amp;S - Packaging and hh goods'!$C$8*'R&amp;S - Packaging and hh goods'!$S8-X$30/'R&amp;S - Packaging and hh goods'!$C$9*'R&amp;S - Packaging and hh goods'!$S9-X$31/'R&amp;S - Packaging and hh goods'!$C$10*'R&amp;S - Packaging and hh goods'!$S10</f>
        <v>420730.50133875071</v>
      </c>
      <c r="Y34" s="571">
        <f>Y26*('Demand - Ethylene'!$C$73)-Y$27/'R&amp;S - Packaging and hh goods'!$C$7*'R&amp;S - Packaging and hh goods'!$S7-Y$28/'R&amp;S - Packaging and hh goods'!$C$8*'R&amp;S - Packaging and hh goods'!$S8-Y$30/'R&amp;S - Packaging and hh goods'!$C$9*'R&amp;S - Packaging and hh goods'!$S9-Y$31/'R&amp;S - Packaging and hh goods'!$C$10*'R&amp;S - Packaging and hh goods'!$S10</f>
        <v>392835.05735314201</v>
      </c>
      <c r="Z34" s="571">
        <f>Z26*('Demand - Ethylene'!$C$73)-Z$27/'R&amp;S - Packaging and hh goods'!$C$7*'R&amp;S - Packaging and hh goods'!$S7-Z$28/'R&amp;S - Packaging and hh goods'!$C$8*'R&amp;S - Packaging and hh goods'!$S8-Z$30/'R&amp;S - Packaging and hh goods'!$C$9*'R&amp;S - Packaging and hh goods'!$S9-Z$31/'R&amp;S - Packaging and hh goods'!$C$10*'R&amp;S - Packaging and hh goods'!$S10</f>
        <v>366231.91423365608</v>
      </c>
      <c r="AA34" s="571">
        <f>AA26*('Demand - Ethylene'!$C$73)-AA$27/'R&amp;S - Packaging and hh goods'!$C$7*'R&amp;S - Packaging and hh goods'!$S7-AA$28/'R&amp;S - Packaging and hh goods'!$C$8*'R&amp;S - Packaging and hh goods'!$S8-AA$30/'R&amp;S - Packaging and hh goods'!$C$9*'R&amp;S - Packaging and hh goods'!$S9-AA$31/'R&amp;S - Packaging and hh goods'!$C$10*'R&amp;S - Packaging and hh goods'!$S10</f>
        <v>339980.44213972596</v>
      </c>
      <c r="AB34" s="571">
        <f>AB26*('Demand - Ethylene'!$C$73)-AB$27/'R&amp;S - Packaging and hh goods'!$C$7*'R&amp;S - Packaging and hh goods'!$S7-AB$28/'R&amp;S - Packaging and hh goods'!$C$8*'R&amp;S - Packaging and hh goods'!$S8-AB$30/'R&amp;S - Packaging and hh goods'!$C$9*'R&amp;S - Packaging and hh goods'!$S9-AB$31/'R&amp;S - Packaging and hh goods'!$C$10*'R&amp;S - Packaging and hh goods'!$S10</f>
        <v>314077.03182640899</v>
      </c>
      <c r="AC34" s="571">
        <f>AC26*('Demand - Ethylene'!$C$73)-AC$27/'R&amp;S - Packaging and hh goods'!$C$7*'R&amp;S - Packaging and hh goods'!$S7-AC$28/'R&amp;S - Packaging and hh goods'!$C$8*'R&amp;S - Packaging and hh goods'!$S8-AC$30/'R&amp;S - Packaging and hh goods'!$C$9*'R&amp;S - Packaging and hh goods'!$S9-AC$31/'R&amp;S - Packaging and hh goods'!$C$10*'R&amp;S - Packaging and hh goods'!$S10</f>
        <v>288518.10727265175</v>
      </c>
      <c r="AD34" s="571">
        <f>AD26*('Demand - Ethylene'!$C$73)-AD$27/'R&amp;S - Packaging and hh goods'!$C$7*'R&amp;S - Packaging and hh goods'!$S7-AD$28/'R&amp;S - Packaging and hh goods'!$C$8*'R&amp;S - Packaging and hh goods'!$S8-AD$30/'R&amp;S - Packaging and hh goods'!$C$9*'R&amp;S - Packaging and hh goods'!$S9-AD$31/'R&amp;S - Packaging and hh goods'!$C$10*'R&amp;S - Packaging and hh goods'!$S10</f>
        <v>263300.12539352046</v>
      </c>
      <c r="AE34" s="571">
        <f>AE26*('Demand - Ethylene'!$C$73)-AE$27/'R&amp;S - Packaging and hh goods'!$C$7*'R&amp;S - Packaging and hh goods'!$S7-AE$28/'R&amp;S - Packaging and hh goods'!$C$8*'R&amp;S - Packaging and hh goods'!$S8-AE$30/'R&amp;S - Packaging and hh goods'!$C$9*'R&amp;S - Packaging and hh goods'!$S9-AE$31/'R&amp;S - Packaging and hh goods'!$C$10*'R&amp;S - Packaging and hh goods'!$S10</f>
        <v>238419.5757548293</v>
      </c>
      <c r="AF34" s="571">
        <f>AF26*('Demand - Ethylene'!$C$73)-AF$27/'R&amp;S - Packaging and hh goods'!$C$7*'R&amp;S - Packaging and hh goods'!$S7-AF$28/'R&amp;S - Packaging and hh goods'!$C$8*'R&amp;S - Packaging and hh goods'!$S8-AF$30/'R&amp;S - Packaging and hh goods'!$C$9*'R&amp;S - Packaging and hh goods'!$S9-AF$31/'R&amp;S - Packaging and hh goods'!$C$10*'R&amp;S - Packaging and hh goods'!$S10</f>
        <v>213872.98029014532</v>
      </c>
      <c r="AG34" s="571">
        <f>AG26*('Demand - Ethylene'!$C$73)-AG$27/'R&amp;S - Packaging and hh goods'!$C$7*'R&amp;S - Packaging and hh goods'!$S7-AG$28/'R&amp;S - Packaging and hh goods'!$C$8*'R&amp;S - Packaging and hh goods'!$S8-AG$30/'R&amp;S - Packaging and hh goods'!$C$9*'R&amp;S - Packaging and hh goods'!$S9-AG$31/'R&amp;S - Packaging and hh goods'!$C$10*'R&amp;S - Packaging and hh goods'!$S10</f>
        <v>189656.89302015351</v>
      </c>
      <c r="AH34" s="571">
        <f>AH26*('Demand - Ethylene'!$C$73)-AH$27/'R&amp;S - Packaging and hh goods'!$C$7*'R&amp;S - Packaging and hh goods'!$S7-AH$28/'R&amp;S - Packaging and hh goods'!$C$8*'R&amp;S - Packaging and hh goods'!$S8-AH$30/'R&amp;S - Packaging and hh goods'!$C$9*'R&amp;S - Packaging and hh goods'!$S9-AH$31/'R&amp;S - Packaging and hh goods'!$C$10*'R&amp;S - Packaging and hh goods'!$S10</f>
        <v>165767.89977436018</v>
      </c>
      <c r="AI34" s="56"/>
    </row>
    <row r="35" spans="1:35">
      <c r="A35" s="607"/>
      <c r="B35" s="1" t="s">
        <v>18</v>
      </c>
      <c r="C35" s="50" t="s">
        <v>1420</v>
      </c>
      <c r="D35" s="183">
        <f>D39/('Demand - Ethylene'!$K$14)</f>
        <v>921454.73749526253</v>
      </c>
      <c r="E35" s="183">
        <f>E39/('Demand - Ethylene'!$K$14)</f>
        <v>899012.65385319979</v>
      </c>
      <c r="F35" s="183">
        <f>F39/('Demand - Ethylene'!$K$14)</f>
        <v>876838.58565717028</v>
      </c>
      <c r="G35" s="183">
        <f>G39/('Demand - Ethylene'!$K$14)</f>
        <v>854929.88746112969</v>
      </c>
      <c r="H35" s="183">
        <f>H39/('Demand - Ethylene'!$K$14)</f>
        <v>833283.93767310679</v>
      </c>
      <c r="I35" s="183">
        <f>I39/('Demand - Ethylene'!$K$14)</f>
        <v>811898.13835121528</v>
      </c>
      <c r="J35" s="183">
        <f>J39/('Demand - Ethylene'!$K$14)</f>
        <v>790769.91500135174</v>
      </c>
      <c r="K35" s="183">
        <f>K39/('Demand - Ethylene'!$K$14)</f>
        <v>769896.71637656551</v>
      </c>
      <c r="L35" s="183">
        <f>L39/('Demand - Ethylene'!$K$14)</f>
        <v>749276.01427808451</v>
      </c>
      <c r="M35" s="183">
        <f>M39/('Demand - Ethylene'!$K$14)</f>
        <v>728905.3033579858</v>
      </c>
      <c r="N35" s="183">
        <f>N39/('Demand - Ethylene'!$K$14)</f>
        <v>708782.10092349828</v>
      </c>
      <c r="O35" s="183">
        <f>O39/('Demand - Ethylene'!$K$14)</f>
        <v>681691.53920092061</v>
      </c>
      <c r="P35" s="183">
        <f>P39/('Demand - Ethylene'!$K$14)</f>
        <v>658460.35852962418</v>
      </c>
      <c r="Q35" s="183">
        <f>Q39/('Demand - Ethylene'!$K$14)</f>
        <v>632586.75643906533</v>
      </c>
      <c r="R35" s="183">
        <f>R39/('Demand - Ethylene'!$K$14)</f>
        <v>607041.76125937444</v>
      </c>
      <c r="S35" s="183">
        <f>S39/('Demand - Ethylene'!$K$14)</f>
        <v>581822.04974791303</v>
      </c>
      <c r="T35" s="183">
        <f>T39/('Demand - Ethylene'!$K$14)</f>
        <v>556924.3290200202</v>
      </c>
      <c r="U35" s="183">
        <f>U39/('Demand - Ethylene'!$K$14)</f>
        <v>532345.33628729777</v>
      </c>
      <c r="V35" s="183">
        <f>V39/('Demand - Ethylene'!$K$14)</f>
        <v>508081.83859806572</v>
      </c>
      <c r="W35" s="183">
        <f>W39/('Demand - Ethylene'!$K$14)</f>
        <v>484130.63257997599</v>
      </c>
      <c r="X35" s="183">
        <f>X39/('Demand - Ethylene'!$K$14)</f>
        <v>460488.54418476392</v>
      </c>
      <c r="Y35" s="183">
        <f>Y39/('Demand - Ethylene'!$K$14)</f>
        <v>442364.48542019649</v>
      </c>
      <c r="Z35" s="183">
        <f>Z39/('Demand - Ethylene'!$K$14)</f>
        <v>424709.2479738759</v>
      </c>
      <c r="AA35" s="183">
        <f>AA39/('Demand - Ethylene'!$K$14)</f>
        <v>407278.57758627977</v>
      </c>
      <c r="AB35" s="183">
        <f>AB39/('Demand - Ethylene'!$K$14)</f>
        <v>390070.20189348044</v>
      </c>
      <c r="AC35" s="183">
        <f>AC39/('Demand - Ethylene'!$K$14)</f>
        <v>373081.8692958919</v>
      </c>
      <c r="AD35" s="183">
        <f>AD39/('Demand - Ethylene'!$K$14)</f>
        <v>356311.34877922735</v>
      </c>
      <c r="AE35" s="183">
        <f>AE39/('Demand - Ethylene'!$K$14)</f>
        <v>339756.42973694374</v>
      </c>
      <c r="AF35" s="183">
        <f>AF39/('Demand - Ethylene'!$K$14)</f>
        <v>323414.92179416126</v>
      </c>
      <c r="AG35" s="183">
        <f>AG39/('Demand - Ethylene'!$K$14)</f>
        <v>307284.65463304584</v>
      </c>
      <c r="AH35" s="183">
        <f>AH39/('Demand - Ethylene'!$K$14)</f>
        <v>291363.47781964339</v>
      </c>
      <c r="AI35" s="40"/>
    </row>
    <row r="36" spans="1:35">
      <c r="A36" s="607"/>
      <c r="B36" s="1" t="s">
        <v>607</v>
      </c>
      <c r="C36" s="50" t="s">
        <v>1420</v>
      </c>
      <c r="D36" s="183">
        <f>D38/('Demand - Ethylene'!$M$14)</f>
        <v>118732.33536672319</v>
      </c>
      <c r="E36" s="183">
        <f>E38/('Demand - Ethylene'!$M$14)</f>
        <v>117283.79028487926</v>
      </c>
      <c r="F36" s="183">
        <f>F38/('Demand - Ethylene'!$M$14)</f>
        <v>115849.66739023243</v>
      </c>
      <c r="G36" s="183">
        <f>G38/('Demand - Ethylene'!$M$14)</f>
        <v>114429.83602589044</v>
      </c>
      <c r="H36" s="183">
        <f>H38/('Demand - Ethylene'!$M$14)</f>
        <v>113024.16665555842</v>
      </c>
      <c r="I36" s="183">
        <f>I38/('Demand - Ethylene'!$M$14)</f>
        <v>111632.53085426599</v>
      </c>
      <c r="J36" s="183">
        <f>J38/('Demand - Ethylene'!$M$14)</f>
        <v>110254.80129916919</v>
      </c>
      <c r="K36" s="183">
        <f>K38/('Demand - Ethylene'!$M$14)</f>
        <v>108890.85176042668</v>
      </c>
      <c r="L36" s="183">
        <f>L38/('Demand - Ethylene'!$M$14)</f>
        <v>107540.55709214948</v>
      </c>
      <c r="M36" s="183">
        <f>M38/('Demand - Ethylene'!$M$14)</f>
        <v>106203.79322342391</v>
      </c>
      <c r="N36" s="183">
        <f>N38/('Demand - Ethylene'!$M$14)</f>
        <v>104880.43714940682</v>
      </c>
      <c r="O36" s="183">
        <f>O38/('Demand - Ethylene'!$M$14)</f>
        <v>102706.81222866957</v>
      </c>
      <c r="P36" s="183">
        <f>P38/('Demand - Ethylene'!$M$14)</f>
        <v>100558.38686097047</v>
      </c>
      <c r="Q36" s="183">
        <f>Q38/('Demand - Ethylene'!$M$14)</f>
        <v>98434.915400157319</v>
      </c>
      <c r="R36" s="183">
        <f>R38/('Demand - Ethylene'!$M$14)</f>
        <v>96336.154399896899</v>
      </c>
      <c r="S36" s="183">
        <f>S38/('Demand - Ethylene'!$M$14)</f>
        <v>94261.862594945051</v>
      </c>
      <c r="T36" s="183">
        <f>T38/('Demand - Ethylene'!$M$14)</f>
        <v>92211.800882571028</v>
      </c>
      <c r="U36" s="183">
        <f>U38/('Demand - Ethylene'!$M$14)</f>
        <v>90185.73230413477</v>
      </c>
      <c r="V36" s="183">
        <f>V38/('Demand - Ethylene'!$M$14)</f>
        <v>88183.422026815999</v>
      </c>
      <c r="W36" s="183">
        <f>W38/('Demand - Ethylene'!$M$14)</f>
        <v>86204.637325493823</v>
      </c>
      <c r="X36" s="183">
        <f>X38/('Demand - Ethylene'!$M$14)</f>
        <v>84249.147564775529</v>
      </c>
      <c r="Y36" s="183">
        <f>Y38/('Demand - Ethylene'!$M$14)</f>
        <v>82565.253142591479</v>
      </c>
      <c r="Z36" s="183">
        <f>Z38/('Demand - Ethylene'!$M$14)</f>
        <v>80900.735057907805</v>
      </c>
      <c r="AA36" s="183">
        <f>AA38/('Demand - Ethylene'!$M$14)</f>
        <v>79255.405039305697</v>
      </c>
      <c r="AB36" s="183">
        <f>AB38/('Demand - Ethylene'!$M$14)</f>
        <v>77629.076498343682</v>
      </c>
      <c r="AC36" s="183">
        <f>AC38/('Demand - Ethylene'!$M$14)</f>
        <v>76021.564515244725</v>
      </c>
      <c r="AD36" s="183">
        <f>AD38/('Demand - Ethylene'!$M$14)</f>
        <v>74432.685824701024</v>
      </c>
      <c r="AE36" s="183">
        <f>AE38/('Demand - Ethylene'!$M$14)</f>
        <v>72862.258801795877</v>
      </c>
      <c r="AF36" s="183">
        <f>AF38/('Demand - Ethylene'!$M$14)</f>
        <v>71310.103448041016</v>
      </c>
      <c r="AG36" s="183">
        <f>AG38/('Demand - Ethylene'!$M$14)</f>
        <v>69776.041377529313</v>
      </c>
      <c r="AH36" s="183">
        <f>AH38/('Demand - Ethylene'!$M$14)</f>
        <v>68259.8958032011</v>
      </c>
      <c r="AI36" s="40"/>
    </row>
    <row r="37" spans="1:35" s="62" customFormat="1">
      <c r="A37" s="608"/>
      <c r="B37" s="58" t="s">
        <v>27</v>
      </c>
      <c r="C37" s="233" t="s">
        <v>1420</v>
      </c>
      <c r="D37" s="528">
        <f>D33-SUM(D35,D34,D36)</f>
        <v>-411931.67217606585</v>
      </c>
      <c r="E37" s="528">
        <f>E33-E34-E35-E36</f>
        <v>-396909.4481660946</v>
      </c>
      <c r="F37" s="528">
        <f t="shared" ref="F37:AG37" si="9">F33-F34-F35-F36</f>
        <v>-382076.57484515663</v>
      </c>
      <c r="G37" s="528">
        <f t="shared" si="9"/>
        <v>-367431.14278597489</v>
      </c>
      <c r="H37" s="528">
        <f t="shared" si="9"/>
        <v>-352971.25997757632</v>
      </c>
      <c r="I37" s="528">
        <f t="shared" si="9"/>
        <v>-338695.05167528416</v>
      </c>
      <c r="J37" s="528">
        <f t="shared" si="9"/>
        <v>-324600.66025195876</v>
      </c>
      <c r="K37" s="528">
        <f t="shared" si="9"/>
        <v>-310686.24505047116</v>
      </c>
      <c r="L37" s="528">
        <f t="shared" si="9"/>
        <v>-296949.98223740142</v>
      </c>
      <c r="M37" s="528">
        <f t="shared" si="9"/>
        <v>-283390.06465795299</v>
      </c>
      <c r="N37" s="528">
        <f t="shared" si="9"/>
        <v>-270004.70169207157</v>
      </c>
      <c r="O37" s="528">
        <f t="shared" si="9"/>
        <v>-250384.63749510521</v>
      </c>
      <c r="P37" s="528">
        <f t="shared" si="9"/>
        <v>-233817.28042979486</v>
      </c>
      <c r="Q37" s="528">
        <f t="shared" si="9"/>
        <v>-215139.38830568304</v>
      </c>
      <c r="R37" s="528">
        <f t="shared" si="9"/>
        <v>-196710.44085967593</v>
      </c>
      <c r="S37" s="528">
        <f t="shared" si="9"/>
        <v>-178527.8756521857</v>
      </c>
      <c r="T37" s="528">
        <f t="shared" si="9"/>
        <v>-160589.1538668666</v>
      </c>
      <c r="U37" s="528">
        <f t="shared" si="9"/>
        <v>-142891.7601058177</v>
      </c>
      <c r="V37" s="528">
        <f t="shared" si="9"/>
        <v>-125433.20218648767</v>
      </c>
      <c r="W37" s="528">
        <f t="shared" si="9"/>
        <v>-108211.0109402771</v>
      </c>
      <c r="X37" s="528">
        <f t="shared" si="9"/>
        <v>-91222.740012816837</v>
      </c>
      <c r="Y37" s="528">
        <f t="shared" si="9"/>
        <v>-77928.181380071241</v>
      </c>
      <c r="Z37" s="528">
        <f t="shared" si="9"/>
        <v>-65524.055900668885</v>
      </c>
      <c r="AA37" s="528">
        <f t="shared" si="9"/>
        <v>-53289.012132706601</v>
      </c>
      <c r="AB37" s="528">
        <f t="shared" si="9"/>
        <v>-41221.296001029623</v>
      </c>
      <c r="AC37" s="528">
        <f t="shared" si="9"/>
        <v>-29319.169665916925</v>
      </c>
      <c r="AD37" s="528">
        <f t="shared" si="9"/>
        <v>-17580.911381989994</v>
      </c>
      <c r="AE37" s="528">
        <f t="shared" si="9"/>
        <v>-6004.8153582991072</v>
      </c>
      <c r="AF37" s="528">
        <f t="shared" si="9"/>
        <v>5410.8083804229973</v>
      </c>
      <c r="AG37" s="528">
        <f t="shared" si="9"/>
        <v>16667.634131346378</v>
      </c>
      <c r="AH37" s="528">
        <f>AH33-AH34-AH35-AH36</f>
        <v>27767.32064998211</v>
      </c>
      <c r="AI37" s="234"/>
    </row>
    <row r="38" spans="1:35" s="61" customFormat="1">
      <c r="A38" s="606" t="s">
        <v>609</v>
      </c>
      <c r="B38" s="54" t="s">
        <v>606</v>
      </c>
      <c r="C38" s="55" t="s">
        <v>1420</v>
      </c>
      <c r="D38" s="571">
        <f>D33*'Demand - Ethylene'!$E$73</f>
        <v>54121.444102564106</v>
      </c>
      <c r="E38" s="571">
        <f>E26*'Demand - Ethylene'!$E$73-E$27/'R&amp;S - Packaging and hh goods'!$C$7*'R&amp;S - Packaging and hh goods'!$U9-E$28/'R&amp;S - Packaging and hh goods'!$C$8*'R&amp;S - Packaging and hh goods'!$U10-E$30/'R&amp;S - Packaging and hh goods'!$C$9*'R&amp;S - Packaging and hh goods'!$U11-E$31/'R&amp;S - Packaging and hh goods'!$C$10*'R&amp;S - Packaging and hh goods'!$U12</f>
        <v>53461.157657132731</v>
      </c>
      <c r="F38" s="571">
        <f>F26*'Demand - Ethylene'!$E$73-F$27/'R&amp;S - Packaging and hh goods'!$C$7*'R&amp;S - Packaging and hh goods'!$U9-F$28/'R&amp;S - Packaging and hh goods'!$C$8*'R&amp;S - Packaging and hh goods'!$U10-F$30/'R&amp;S - Packaging and hh goods'!$C$9*'R&amp;S - Packaging and hh goods'!$U11-F$31/'R&amp;S - Packaging and hh goods'!$C$10*'R&amp;S - Packaging and hh goods'!$U12</f>
        <v>52807.445238867695</v>
      </c>
      <c r="G38" s="571">
        <f>G26*'Demand - Ethylene'!$E$73-G$27/'R&amp;S - Packaging and hh goods'!$C$7*'R&amp;S - Packaging and hh goods'!$U9-G$28/'R&amp;S - Packaging and hh goods'!$C$8*'R&amp;S - Packaging and hh goods'!$U10-G$30/'R&amp;S - Packaging and hh goods'!$C$9*'R&amp;S - Packaging and hh goods'!$U11-G$31/'R&amp;S - Packaging and hh goods'!$C$10*'R&amp;S - Packaging and hh goods'!$U12</f>
        <v>52160.247290785905</v>
      </c>
      <c r="H38" s="571">
        <f>H26*'Demand - Ethylene'!$E$73-H$27/'R&amp;S - Packaging and hh goods'!$C$7*'R&amp;S - Packaging and hh goods'!$U9-H$28/'R&amp;S - Packaging and hh goods'!$C$8*'R&amp;S - Packaging and hh goods'!$U10-H$30/'R&amp;S - Packaging and hh goods'!$C$9*'R&amp;S - Packaging and hh goods'!$U11-H$31/'R&amp;S - Packaging and hh goods'!$C$10*'R&amp;S - Packaging and hh goods'!$U12</f>
        <v>51519.504766703176</v>
      </c>
      <c r="I38" s="571">
        <f>I26*'Demand - Ethylene'!$E$73-I$27/'R&amp;S - Packaging and hh goods'!$C$7*'R&amp;S - Packaging and hh goods'!$U9-I$28/'R&amp;S - Packaging and hh goods'!$C$8*'R&amp;S - Packaging and hh goods'!$U10-I$30/'R&amp;S - Packaging and hh goods'!$C$9*'R&amp;S - Packaging and hh goods'!$U11-I$31/'R&amp;S - Packaging and hh goods'!$C$10*'R&amp;S - Packaging and hh goods'!$U12</f>
        <v>50885.15912700742</v>
      </c>
      <c r="J38" s="571">
        <f>J26*'Demand - Ethylene'!$E$73-J$27/'R&amp;S - Packaging and hh goods'!$C$7*'R&amp;S - Packaging and hh goods'!$U9-J$28/'R&amp;S - Packaging and hh goods'!$C$8*'R&amp;S - Packaging and hh goods'!$U10-J$30/'R&amp;S - Packaging and hh goods'!$C$9*'R&amp;S - Packaging and hh goods'!$U11-J$31/'R&amp;S - Packaging and hh goods'!$C$10*'R&amp;S - Packaging and hh goods'!$U12</f>
        <v>50257.152334465885</v>
      </c>
      <c r="K38" s="571">
        <f>K26*'Demand - Ethylene'!$E$73-K$27/'R&amp;S - Packaging and hh goods'!$C$7*'R&amp;S - Packaging and hh goods'!$U9-K$28/'R&amp;S - Packaging and hh goods'!$C$8*'R&amp;S - Packaging and hh goods'!$U10-K$30/'R&amp;S - Packaging and hh goods'!$C$9*'R&amp;S - Packaging and hh goods'!$U11-K$31/'R&amp;S - Packaging and hh goods'!$C$10*'R&amp;S - Packaging and hh goods'!$U12</f>
        <v>49635.426850066287</v>
      </c>
      <c r="L38" s="571">
        <f>L26*'Demand - Ethylene'!$E$73-L$27/'R&amp;S - Packaging and hh goods'!$C$7*'R&amp;S - Packaging and hh goods'!$U9-L$28/'R&amp;S - Packaging and hh goods'!$C$8*'R&amp;S - Packaging and hh goods'!$U10-L$30/'R&amp;S - Packaging and hh goods'!$C$9*'R&amp;S - Packaging and hh goods'!$U11-L$31/'R&amp;S - Packaging and hh goods'!$C$10*'R&amp;S - Packaging and hh goods'!$U12</f>
        <v>49019.925628891484</v>
      </c>
      <c r="M38" s="571">
        <f>M26*'Demand - Ethylene'!$E$73-M$27/'R&amp;S - Packaging and hh goods'!$C$7*'R&amp;S - Packaging and hh goods'!$U9-M$28/'R&amp;S - Packaging and hh goods'!$C$8*'R&amp;S - Packaging and hh goods'!$U10-M$30/'R&amp;S - Packaging and hh goods'!$C$9*'R&amp;S - Packaging and hh goods'!$U11-M$31/'R&amp;S - Packaging and hh goods'!$C$10*'R&amp;S - Packaging and hh goods'!$U12</f>
        <v>48410.59211602743</v>
      </c>
      <c r="N38" s="571">
        <f>N26*'Demand - Ethylene'!$E$73-N$27/'R&amp;S - Packaging and hh goods'!$C$7*'R&amp;S - Packaging and hh goods'!$U9-N$28/'R&amp;S - Packaging and hh goods'!$C$8*'R&amp;S - Packaging and hh goods'!$U10-N$30/'R&amp;S - Packaging and hh goods'!$C$9*'R&amp;S - Packaging and hh goods'!$U11-N$31/'R&amp;S - Packaging and hh goods'!$C$10*'R&amp;S - Packaging and hh goods'!$U12</f>
        <v>47807.370242504185</v>
      </c>
      <c r="O38" s="571">
        <f>O26*'Demand - Ethylene'!$E$73-O$27/'R&amp;S - Packaging and hh goods'!$C$7*'R&amp;S - Packaging and hh goods'!$U9-O$28/'R&amp;S - Packaging and hh goods'!$C$8*'R&amp;S - Packaging and hh goods'!$U10-O$30/'R&amp;S - Packaging and hh goods'!$C$9*'R&amp;S - Packaging and hh goods'!$U11-O$31/'R&amp;S - Packaging and hh goods'!$C$10*'R&amp;S - Packaging and hh goods'!$U12</f>
        <v>46816.57258587364</v>
      </c>
      <c r="P38" s="571">
        <f>P26*'Demand - Ethylene'!$E$73-P$27/'R&amp;S - Packaging and hh goods'!$C$7*'R&amp;S - Packaging and hh goods'!$U9-P$28/'R&amp;S - Packaging and hh goods'!$C$8*'R&amp;S - Packaging and hh goods'!$U10-P$30/'R&amp;S - Packaging and hh goods'!$C$9*'R&amp;S - Packaging and hh goods'!$U11-P$31/'R&amp;S - Packaging and hh goods'!$C$10*'R&amp;S - Packaging and hh goods'!$U12</f>
        <v>45837.261574367622</v>
      </c>
      <c r="Q38" s="571">
        <f>Q26*'Demand - Ethylene'!$E$73-Q$27/'R&amp;S - Packaging and hh goods'!$C$7*'R&amp;S - Packaging and hh goods'!$U9-Q$28/'R&amp;S - Packaging and hh goods'!$C$8*'R&amp;S - Packaging and hh goods'!$U10-Q$30/'R&amp;S - Packaging and hh goods'!$C$9*'R&amp;S - Packaging and hh goods'!$U11-Q$31/'R&amp;S - Packaging and hh goods'!$C$10*'R&amp;S - Packaging and hh goods'!$U12</f>
        <v>44869.325235755023</v>
      </c>
      <c r="R38" s="571">
        <f>R26*'Demand - Ethylene'!$E$73-R$27/'R&amp;S - Packaging and hh goods'!$C$7*'R&amp;S - Packaging and hh goods'!$U9-R$28/'R&amp;S - Packaging and hh goods'!$C$8*'R&amp;S - Packaging and hh goods'!$U10-R$30/'R&amp;S - Packaging and hh goods'!$C$9*'R&amp;S - Packaging and hh goods'!$U11-R$31/'R&amp;S - Packaging and hh goods'!$C$10*'R&amp;S - Packaging and hh goods'!$U12</f>
        <v>43912.652600542366</v>
      </c>
      <c r="S38" s="571">
        <f>S26*'Demand - Ethylene'!$E$73-S$27/'R&amp;S - Packaging and hh goods'!$C$7*'R&amp;S - Packaging and hh goods'!$U9-S$28/'R&amp;S - Packaging and hh goods'!$C$8*'R&amp;S - Packaging and hh goods'!$U10-S$30/'R&amp;S - Packaging and hh goods'!$C$9*'R&amp;S - Packaging and hh goods'!$U11-S$31/'R&amp;S - Packaging and hh goods'!$C$10*'R&amp;S - Packaging and hh goods'!$U12</f>
        <v>42967.13369343619</v>
      </c>
      <c r="T38" s="571">
        <f>T26*'Demand - Ethylene'!$E$73-T$27/'R&amp;S - Packaging and hh goods'!$C$7*'R&amp;S - Packaging and hh goods'!$U9-T$28/'R&amp;S - Packaging and hh goods'!$C$8*'R&amp;S - Packaging and hh goods'!$U10-T$30/'R&amp;S - Packaging and hh goods'!$C$9*'R&amp;S - Packaging and hh goods'!$U11-T$31/'R&amp;S - Packaging and hh goods'!$C$10*'R&amp;S - Packaging and hh goods'!$U12</f>
        <v>42032.659524875751</v>
      </c>
      <c r="U38" s="571">
        <f>U26*'Demand - Ethylene'!$E$73-U$27/'R&amp;S - Packaging and hh goods'!$C$7*'R&amp;S - Packaging and hh goods'!$U9-U$28/'R&amp;S - Packaging and hh goods'!$C$8*'R&amp;S - Packaging and hh goods'!$U10-U$30/'R&amp;S - Packaging and hh goods'!$C$9*'R&amp;S - Packaging and hh goods'!$U11-U$31/'R&amp;S - Packaging and hh goods'!$C$10*'R&amp;S - Packaging and hh goods'!$U12</f>
        <v>41109.122082635469</v>
      </c>
      <c r="V38" s="571">
        <f>V26*'Demand - Ethylene'!$E$73-V$27/'R&amp;S - Packaging and hh goods'!$C$7*'R&amp;S - Packaging and hh goods'!$U9-V$28/'R&amp;S - Packaging and hh goods'!$C$8*'R&amp;S - Packaging and hh goods'!$U10-V$30/'R&amp;S - Packaging and hh goods'!$C$9*'R&amp;S - Packaging and hh goods'!$U11-V$31/'R&amp;S - Packaging and hh goods'!$C$10*'R&amp;S - Packaging and hh goods'!$U12</f>
        <v>40196.414323496509</v>
      </c>
      <c r="W38" s="571">
        <f>W26*'Demand - Ethylene'!$E$73-W$27/'R&amp;S - Packaging and hh goods'!$C$7*'R&amp;S - Packaging and hh goods'!$U9-W$28/'R&amp;S - Packaging and hh goods'!$C$8*'R&amp;S - Packaging and hh goods'!$U10-W$30/'R&amp;S - Packaging and hh goods'!$C$9*'R&amp;S - Packaging and hh goods'!$U11-W$31/'R&amp;S - Packaging and hh goods'!$C$10*'R&amp;S - Packaging and hh goods'!$U12</f>
        <v>39294.430164987047</v>
      </c>
      <c r="X38" s="571">
        <f>X26*'Demand - Ethylene'!$E$73-X$27/'R&amp;S - Packaging and hh goods'!$C$7*'R&amp;S - Packaging and hh goods'!$U9-X$28/'R&amp;S - Packaging and hh goods'!$C$8*'R&amp;S - Packaging and hh goods'!$U10-X$30/'R&amp;S - Packaging and hh goods'!$C$9*'R&amp;S - Packaging and hh goods'!$U11-X$31/'R&amp;S - Packaging and hh goods'!$C$10*'R&amp;S - Packaging and hh goods'!$U12</f>
        <v>38403.064477190477</v>
      </c>
      <c r="Y38" s="571">
        <f>Y26*'Demand - Ethylene'!$E$73-Y$27/'R&amp;S - Packaging and hh goods'!$C$7*'R&amp;S - Packaging and hh goods'!$U9-Y$28/'R&amp;S - Packaging and hh goods'!$C$8*'R&amp;S - Packaging and hh goods'!$U10-Y$30/'R&amp;S - Packaging and hh goods'!$C$9*'R&amp;S - Packaging and hh goods'!$U11-Y$31/'R&amp;S - Packaging and hh goods'!$C$10*'R&amp;S - Packaging and hh goods'!$U12</f>
        <v>37635.499368971476</v>
      </c>
      <c r="Z38" s="571">
        <f>Z26*'Demand - Ethylene'!$E$73-Z$27/'R&amp;S - Packaging and hh goods'!$C$7*'R&amp;S - Packaging and hh goods'!$U9-Z$28/'R&amp;S - Packaging and hh goods'!$C$8*'R&amp;S - Packaging and hh goods'!$U10-Z$30/'R&amp;S - Packaging and hh goods'!$C$9*'R&amp;S - Packaging and hh goods'!$U11-Z$31/'R&amp;S - Packaging and hh goods'!$C$10*'R&amp;S - Packaging and hh goods'!$U12</f>
        <v>36876.766525052677</v>
      </c>
      <c r="AA38" s="571">
        <f>AA26*'Demand - Ethylene'!$E$73-AA$27/'R&amp;S - Packaging and hh goods'!$C$7*'R&amp;S - Packaging and hh goods'!$U9-AA$28/'R&amp;S - Packaging and hh goods'!$C$8*'R&amp;S - Packaging and hh goods'!$U10-AA$30/'R&amp;S - Packaging and hh goods'!$C$9*'R&amp;S - Packaging and hh goods'!$U11-AA$31/'R&amp;S - Packaging and hh goods'!$C$10*'R&amp;S - Packaging and hh goods'!$U12</f>
        <v>36126.780126174839</v>
      </c>
      <c r="AB38" s="571">
        <f>AB26*'Demand - Ethylene'!$E$73-AB$27/'R&amp;S - Packaging and hh goods'!$C$7*'R&amp;S - Packaging and hh goods'!$U9-AB$28/'R&amp;S - Packaging and hh goods'!$C$8*'R&amp;S - Packaging and hh goods'!$U10-AB$30/'R&amp;S - Packaging and hh goods'!$C$9*'R&amp;S - Packaging and hh goods'!$U11-AB$31/'R&amp;S - Packaging and hh goods'!$C$10*'R&amp;S - Packaging and hh goods'!$U12</f>
        <v>35385.455120225794</v>
      </c>
      <c r="AC38" s="571">
        <f>AC26*'Demand - Ethylene'!$E$73-AC$27/'R&amp;S - Packaging and hh goods'!$C$7*'R&amp;S - Packaging and hh goods'!$U9-AC$28/'R&amp;S - Packaging and hh goods'!$C$8*'R&amp;S - Packaging and hh goods'!$U10-AC$30/'R&amp;S - Packaging and hh goods'!$C$9*'R&amp;S - Packaging and hh goods'!$U11-AC$31/'R&amp;S - Packaging and hh goods'!$C$10*'R&amp;S - Packaging and hh goods'!$U12</f>
        <v>34652.707215716233</v>
      </c>
      <c r="AD38" s="571">
        <f>AD26*'Demand - Ethylene'!$E$73-AD$27/'R&amp;S - Packaging and hh goods'!$C$7*'R&amp;S - Packaging and hh goods'!$U9-AD$28/'R&amp;S - Packaging and hh goods'!$C$8*'R&amp;S - Packaging and hh goods'!$U10-AD$30/'R&amp;S - Packaging and hh goods'!$C$9*'R&amp;S - Packaging and hh goods'!$U11-AD$31/'R&amp;S - Packaging and hh goods'!$C$10*'R&amp;S - Packaging and hh goods'!$U12</f>
        <v>33928.452875309173</v>
      </c>
      <c r="AE38" s="571">
        <f>AE26*'Demand - Ethylene'!$E$73-AE$27/'R&amp;S - Packaging and hh goods'!$C$7*'R&amp;S - Packaging and hh goods'!$U9-AE$28/'R&amp;S - Packaging and hh goods'!$C$8*'R&amp;S - Packaging and hh goods'!$U10-AE$30/'R&amp;S - Packaging and hh goods'!$C$9*'R&amp;S - Packaging and hh goods'!$U11-AE$31/'R&amp;S - Packaging and hh goods'!$C$10*'R&amp;S - Packaging and hh goods'!$U12</f>
        <v>33212.609309402709</v>
      </c>
      <c r="AF38" s="571">
        <f>AF26*'Demand - Ethylene'!$E$73-AF$27/'R&amp;S - Packaging and hh goods'!$C$7*'R&amp;S - Packaging and hh goods'!$U9-AF$28/'R&amp;S - Packaging and hh goods'!$C$8*'R&amp;S - Packaging and hh goods'!$U10-AF$30/'R&amp;S - Packaging and hh goods'!$C$9*'R&amp;S - Packaging and hh goods'!$U11-AF$31/'R&amp;S - Packaging and hh goods'!$C$10*'R&amp;S - Packaging and hh goods'!$U12</f>
        <v>32505.094469765496</v>
      </c>
      <c r="AG38" s="571">
        <f>AG26*'Demand - Ethylene'!$E$73-AG$27/'R&amp;S - Packaging and hh goods'!$C$7*'R&amp;S - Packaging and hh goods'!$U9-AG$28/'R&amp;S - Packaging and hh goods'!$C$8*'R&amp;S - Packaging and hh goods'!$U10-AG$30/'R&amp;S - Packaging and hh goods'!$C$9*'R&amp;S - Packaging and hh goods'!$U11-AG$31/'R&amp;S - Packaging and hh goods'!$C$10*'R&amp;S - Packaging and hh goods'!$U12</f>
        <v>31805.827043224737</v>
      </c>
      <c r="AH38" s="571">
        <f>AH26*'Demand - Ethylene'!$E$73-AH$27/'R&amp;S - Packaging and hh goods'!$C$7*'R&amp;S - Packaging and hh goods'!$U9-AH$28/'R&amp;S - Packaging and hh goods'!$C$8*'R&amp;S - Packaging and hh goods'!$U10-AH$30/'R&amp;S - Packaging and hh goods'!$C$9*'R&amp;S - Packaging and hh goods'!$U11-AH$31/'R&amp;S - Packaging and hh goods'!$C$10*'R&amp;S - Packaging and hh goods'!$U12</f>
        <v>31114.726445406021</v>
      </c>
      <c r="AI38" s="56"/>
    </row>
    <row r="39" spans="1:35" s="62" customFormat="1">
      <c r="A39" s="608"/>
      <c r="B39" s="58" t="s">
        <v>605</v>
      </c>
      <c r="C39" s="233" t="s">
        <v>1420</v>
      </c>
      <c r="D39" s="528">
        <f>D33*'Demand - Ethylene'!$D$73/'Demand - Ethylene'!$L$24</f>
        <v>308424.77602250775</v>
      </c>
      <c r="E39" s="528">
        <f>E33*'Demand - Ethylene'!$D$73/'Demand - Ethylene'!$L$24</f>
        <v>300913.07269175444</v>
      </c>
      <c r="F39" s="528">
        <f>F33*'Demand - Ethylene'!$D$73/'Demand - Ethylene'!$L$24</f>
        <v>293491.07816659915</v>
      </c>
      <c r="G39" s="528">
        <f>G33*'Demand - Ethylene'!$D$73/'Demand - Ethylene'!$L$24</f>
        <v>286157.90697641548</v>
      </c>
      <c r="H39" s="528">
        <f>H33*'Demand - Ethylene'!$D$73/'Demand - Ethylene'!$L$24</f>
        <v>278912.68163489428</v>
      </c>
      <c r="I39" s="528">
        <f>I33*'Demand - Ethylene'!$D$73/'Demand - Ethylene'!$L$24</f>
        <v>271754.53257176618</v>
      </c>
      <c r="J39" s="528">
        <f>J33*'Demand - Ethylene'!$D$73/'Demand - Ethylene'!$L$24</f>
        <v>264682.59806508763</v>
      </c>
      <c r="K39" s="528">
        <f>K33*'Demand - Ethylene'!$D$73/'Demand - Ethylene'!$L$24</f>
        <v>257696.02417408724</v>
      </c>
      <c r="L39" s="528">
        <f>L33*'Demand - Ethylene'!$D$73/'Demand - Ethylene'!$L$24</f>
        <v>250793.96467256607</v>
      </c>
      <c r="M39" s="528">
        <f>M33*'Demand - Ethylene'!$D$73/'Demand - Ethylene'!$L$24</f>
        <v>243975.58098284851</v>
      </c>
      <c r="N39" s="528">
        <f>N33*'Demand - Ethylene'!$D$73/'Demand - Ethylene'!$L$24</f>
        <v>237240.04211027929</v>
      </c>
      <c r="O39" s="528">
        <f>O33*'Demand - Ethylene'!$D$73/'Demand - Ethylene'!$L$24</f>
        <v>228172.4231686024</v>
      </c>
      <c r="P39" s="528">
        <f>P33*'Demand - Ethylene'!$D$73/'Demand - Ethylene'!$L$24</f>
        <v>220396.59717984096</v>
      </c>
      <c r="Q39" s="528">
        <f>Q33*'Demand - Ethylene'!$D$73/'Demand - Ethylene'!$L$24</f>
        <v>211736.31295213397</v>
      </c>
      <c r="R39" s="528">
        <f>R33*'Demand - Ethylene'!$D$73/'Demand - Ethylene'!$L$24</f>
        <v>203186.01840569926</v>
      </c>
      <c r="S39" s="528">
        <f>S33*'Demand - Ethylene'!$D$73/'Demand - Ethylene'!$L$24</f>
        <v>194744.60120118383</v>
      </c>
      <c r="T39" s="528">
        <f>T33*'Demand - Ethylene'!$D$73/'Demand - Ethylene'!$L$24</f>
        <v>186410.95916050707</v>
      </c>
      <c r="U39" s="528">
        <f>U33*'Demand - Ethylene'!$D$73/'Demand - Ethylene'!$L$24</f>
        <v>178184.00017926059</v>
      </c>
      <c r="V39" s="528">
        <f>V33*'Demand - Ethylene'!$D$73/'Demand - Ethylene'!$L$24</f>
        <v>170062.6421398349</v>
      </c>
      <c r="W39" s="528">
        <f>W33*'Demand - Ethylene'!$D$73/'Demand - Ethylene'!$L$24</f>
        <v>162045.81282526834</v>
      </c>
      <c r="X39" s="528">
        <f>X33*'Demand - Ethylene'!$D$73/'Demand - Ethylene'!$L$24</f>
        <v>154132.44983381146</v>
      </c>
      <c r="Y39" s="528">
        <f>Y33*'Demand - Ethylene'!$D$73/'Demand - Ethylene'!$L$24</f>
        <v>148066.05445092462</v>
      </c>
      <c r="Z39" s="528">
        <f>Z33*'Demand - Ethylene'!$D$73/'Demand - Ethylene'!$L$24</f>
        <v>142156.58062282612</v>
      </c>
      <c r="AA39" s="528">
        <f>AA33*'Demand - Ethylene'!$D$73/'Demand - Ethylene'!$L$24</f>
        <v>136322.2727708421</v>
      </c>
      <c r="AB39" s="528">
        <f>AB33*'Demand - Ethylene'!$D$73/'Demand - Ethylene'!$L$24</f>
        <v>130562.37030054838</v>
      </c>
      <c r="AC39" s="528">
        <f>AC33*'Demand - Ethylene'!$D$73/'Demand - Ethylene'!$L$24</f>
        <v>124876.11956765869</v>
      </c>
      <c r="AD39" s="528">
        <f>AD33*'Demand - Ethylene'!$D$73/'Demand - Ethylene'!$L$24</f>
        <v>119262.77381809634</v>
      </c>
      <c r="AE39" s="528">
        <f>AE33*'Demand - Ethylene'!$D$73/'Demand - Ethylene'!$L$24</f>
        <v>113721.59312856375</v>
      </c>
      <c r="AF39" s="528">
        <f>AF33*'Demand - Ethylene'!$D$73/'Demand - Ethylene'!$L$24</f>
        <v>108251.84434760571</v>
      </c>
      <c r="AG39" s="528">
        <f>AG33*'Demand - Ethylene'!$D$73/'Demand - Ethylene'!$L$24</f>
        <v>102852.80103716225</v>
      </c>
      <c r="AH39" s="528">
        <f>AH33*'Demand - Ethylene'!$D$73/'Demand - Ethylene'!$L$24</f>
        <v>97523.743414607423</v>
      </c>
      <c r="AI39" s="234"/>
    </row>
    <row r="40" spans="1:35" s="61" customFormat="1">
      <c r="A40" s="54" t="s">
        <v>195</v>
      </c>
      <c r="B40" s="54" t="s">
        <v>179</v>
      </c>
      <c r="C40" s="55" t="s">
        <v>1420</v>
      </c>
      <c r="D40" s="571">
        <f>'R&amp;S - Buildings'!J4</f>
        <v>833693.90944694402</v>
      </c>
      <c r="E40" s="571">
        <f>D40*(1+'R&amp;S - Buildings'!$C$5)</f>
        <v>827884.67870790791</v>
      </c>
      <c r="F40" s="571">
        <f>E40*(1+'R&amp;S - Buildings'!$C$5)</f>
        <v>822115.92704806011</v>
      </c>
      <c r="G40" s="571">
        <f>F40*(1+'R&amp;S - Buildings'!$C$5)</f>
        <v>816387.37240667269</v>
      </c>
      <c r="H40" s="571">
        <f>G40*(1+'R&amp;S - Buildings'!$C$5)</f>
        <v>810698.73468843405</v>
      </c>
      <c r="I40" s="571">
        <f>H40*(1+'R&amp;S - Buildings'!$C$5)</f>
        <v>805049.73574975412</v>
      </c>
      <c r="J40" s="571">
        <f>I40*(1+'R&amp;S - Buildings'!$C$5)</f>
        <v>799440.09938516468</v>
      </c>
      <c r="K40" s="571">
        <f>J40*(1+'R&amp;S - Buildings'!$C$5)</f>
        <v>793869.55131381413</v>
      </c>
      <c r="L40" s="571">
        <f>K40*(1+'R&amp;S - Buildings'!$C$5)</f>
        <v>788337.81916605693</v>
      </c>
      <c r="M40" s="571">
        <f>L40*(1+'R&amp;S - Buildings'!$C$5)</f>
        <v>782844.63247013616</v>
      </c>
      <c r="N40" s="571">
        <f>M40*(1+'R&amp;S - Buildings'!$C$5)</f>
        <v>777389.72263895872</v>
      </c>
      <c r="O40" s="571">
        <f>N40*(1+'R&amp;S - Buildings'!$C$5)</f>
        <v>771972.82295696286</v>
      </c>
      <c r="P40" s="571">
        <f>O40*(1+'R&amp;S - Buildings'!$C$5)</f>
        <v>766593.66856707772</v>
      </c>
      <c r="Q40" s="571">
        <f>P40*(1+'R&amp;S - Buildings'!$C$5)</f>
        <v>761251.99645777256</v>
      </c>
      <c r="R40" s="571">
        <f>Q40*(1+'R&amp;S - Buildings'!$C$5)</f>
        <v>755947.54545019742</v>
      </c>
      <c r="S40" s="571">
        <f>R40*(1+'R&amp;S - Buildings'!$C$5)</f>
        <v>750680.05618541269</v>
      </c>
      <c r="T40" s="571">
        <f>S40*(1+'R&amp;S - Buildings'!$C$5)</f>
        <v>745449.2711117079</v>
      </c>
      <c r="U40" s="571">
        <f>T40*(1+'R&amp;S - Buildings'!$C$5)</f>
        <v>740254.93447200884</v>
      </c>
      <c r="V40" s="571">
        <f>U40*(1+'R&amp;S - Buildings'!$C$5)</f>
        <v>735096.79229137243</v>
      </c>
      <c r="W40" s="571">
        <f>V40*(1+'R&amp;S - Buildings'!$C$5)</f>
        <v>729974.59236456861</v>
      </c>
      <c r="X40" s="571">
        <f>W40*(1+'R&amp;S - Buildings'!$C$5)</f>
        <v>724888.08424374915</v>
      </c>
      <c r="Y40" s="571">
        <f>X40*(1+'R&amp;S - Buildings'!$C$5)</f>
        <v>719837.01922620181</v>
      </c>
      <c r="Z40" s="571">
        <f>Y40*(1+'R&amp;S - Buildings'!$C$5)</f>
        <v>714821.15034219017</v>
      </c>
      <c r="AA40" s="571">
        <f>Z40*(1+'R&amp;S - Buildings'!$C$5)</f>
        <v>709840.23234287824</v>
      </c>
      <c r="AB40" s="571">
        <f>AA40*(1+'R&amp;S - Buildings'!$C$5)</f>
        <v>704894.02168833918</v>
      </c>
      <c r="AC40" s="571">
        <f>AB40*(1+'R&amp;S - Buildings'!$C$5)</f>
        <v>699982.27653564746</v>
      </c>
      <c r="AD40" s="571">
        <f>AC40*(1+'R&amp;S - Buildings'!$C$5)</f>
        <v>695104.75672705378</v>
      </c>
      <c r="AE40" s="571">
        <f>AD40*(1+'R&amp;S - Buildings'!$C$5)</f>
        <v>690261.22377824318</v>
      </c>
      <c r="AF40" s="571">
        <f>AE40*(1+'R&amp;S - Buildings'!$C$5)</f>
        <v>685451.44086667395</v>
      </c>
      <c r="AG40" s="571">
        <f>AF40*(1+'R&amp;S - Buildings'!$C$5)</f>
        <v>680675.17281999858</v>
      </c>
      <c r="AH40" s="571">
        <f>AG40*(1+'R&amp;S - Buildings'!$C$5)</f>
        <v>675932.18610456516</v>
      </c>
    </row>
    <row r="41" spans="1:35" outlineLevel="1">
      <c r="B41" s="1" t="s">
        <v>169</v>
      </c>
      <c r="C41" s="50" t="s">
        <v>1420</v>
      </c>
      <c r="D41" s="183">
        <v>0</v>
      </c>
      <c r="E41" s="183">
        <f>E40*'R&amp;S - Buildings'!$C$7*'R&amp;S - Buildings'!$B$11*'R&amp;S - Buildings'!$B$15*('Yearly HC Ethylene'!E$3-'Yearly HC Ethylene'!$D$3)/10</f>
        <v>15026.10691854853</v>
      </c>
      <c r="F41" s="183">
        <f>F40*'R&amp;S - Buildings'!$C$7*'R&amp;S - Buildings'!$B$11*'R&amp;S - Buildings'!$B$15*('Yearly HC Ethylene'!F$3-'Yearly HC Ethylene'!$D$3)/10</f>
        <v>29842.808151844587</v>
      </c>
      <c r="G41" s="183">
        <f>G40*'R&amp;S - Buildings'!$C$7*'R&amp;S - Buildings'!$B$11*'R&amp;S - Buildings'!$B$15*('Yearly HC Ethylene'!G$3-'Yearly HC Ethylene'!$D$3)/10</f>
        <v>44452.292427543332</v>
      </c>
      <c r="H41" s="183">
        <f>H40*'R&amp;S - Buildings'!$C$7*'R&amp;S - Buildings'!$B$11*'R&amp;S - Buildings'!$B$15*('Yearly HC Ethylene'!H$3-'Yearly HC Ethylene'!$D$3)/10</f>
        <v>58856.72813838032</v>
      </c>
      <c r="I41" s="183">
        <f>I40*'R&amp;S - Buildings'!$C$7*'R&amp;S - Buildings'!$B$11*'R&amp;S - Buildings'!$B$15*('Yearly HC Ethylene'!I$3-'Yearly HC Ethylene'!$D$3)/10</f>
        <v>73058.263519290194</v>
      </c>
      <c r="J41" s="183">
        <f>J40*'R&amp;S - Buildings'!$C$7*'R&amp;S - Buildings'!$B$11*'R&amp;S - Buildings'!$B$15*('Yearly HC Ethylene'!J$3-'Yearly HC Ethylene'!$D$3)/10</f>
        <v>87059.026823044449</v>
      </c>
      <c r="K41" s="183">
        <f>K40*'R&amp;S - Buildings'!$C$7*'R&amp;S - Buildings'!$B$11*'R&amp;S - Buildings'!$B$15*('Yearly HC Ethylene'!K$3-'Yearly HC Ethylene'!$D$3)/10</f>
        <v>100861.12649442011</v>
      </c>
      <c r="L41" s="183">
        <f>L40*'R&amp;S - Buildings'!$C$7*'R&amp;S - Buildings'!$B$11*'R&amp;S - Buildings'!$B$15*('Yearly HC Ethylene'!L$3-'Yearly HC Ethylene'!$D$3)/10</f>
        <v>114466.65134291149</v>
      </c>
      <c r="M41" s="183">
        <f>M40*'R&amp;S - Buildings'!$C$7*'R&amp;S - Buildings'!$B$11*'R&amp;S - Buildings'!$B$15*('Yearly HC Ethylene'!M$3-'Yearly HC Ethylene'!$D$3)/10</f>
        <v>127877.67071399675</v>
      </c>
      <c r="N41" s="183">
        <f>N40*'R&amp;S - Buildings'!$C$7*'R&amp;S - Buildings'!$B$11*'R&amp;S - Buildings'!$B$15*('Yearly HC Ethylene'!N$3-'Yearly HC Ethylene'!$D$3)/10</f>
        <v>141096.23465897102</v>
      </c>
      <c r="O41" s="183">
        <f>O40*'R&amp;S - Buildings'!$C$7*'R&amp;S - Buildings'!$B$11*('R&amp;S - Buildings'!$B$15+('R&amp;S - Buildings'!$B$16-'R&amp;S - Buildings'!$B$15)*('Yearly HC Ethylene'!O$3-'Yearly HC Ethylene'!$N$3)/10)</f>
        <v>154124.37410335764</v>
      </c>
      <c r="P41" s="183">
        <f>P40*'R&amp;S - Buildings'!$C$7*'R&amp;S - Buildings'!$B$11*('R&amp;S - Buildings'!$B$15+('R&amp;S - Buildings'!$B$16-'R&amp;S - Buildings'!$B$15)*('Yearly HC Ethylene'!P$3-'Yearly HC Ethylene'!$N$3)/10)</f>
        <v>166964.10101390956</v>
      </c>
      <c r="Q41" s="183">
        <f>Q40*'R&amp;S - Buildings'!$C$7*'R&amp;S - Buildings'!$B$11*('R&amp;S - Buildings'!$B$15+('R&amp;S - Buildings'!$B$16-'R&amp;S - Buildings'!$B$15)*('Yearly HC Ethylene'!Q$3-'Yearly HC Ethylene'!$N$3)/10)</f>
        <v>179617.40856421148</v>
      </c>
      <c r="R41" s="183">
        <f>R40*'R&amp;S - Buildings'!$C$7*'R&amp;S - Buildings'!$B$11*('R&amp;S - Buildings'!$B$15+('R&amp;S - Buildings'!$B$16-'R&amp;S - Buildings'!$B$15)*('Yearly HC Ethylene'!R$3-'Yearly HC Ethylene'!$N$3)/10)</f>
        <v>192086.27129889518</v>
      </c>
      <c r="S41" s="183">
        <f>S40*'R&amp;S - Buildings'!$C$7*'R&amp;S - Buildings'!$B$11*('R&amp;S - Buildings'!$B$15+('R&amp;S - Buildings'!$B$16-'R&amp;S - Buildings'!$B$15)*('Yearly HC Ethylene'!S$3-'Yearly HC Ethylene'!$N$3)/10)</f>
        <v>204372.64529647864</v>
      </c>
      <c r="T41" s="183">
        <f>T40*'R&amp;S - Buildings'!$C$7*'R&amp;S - Buildings'!$B$11*('R&amp;S - Buildings'!$B$15+('R&amp;S - Buildings'!$B$16-'R&amp;S - Buildings'!$B$15)*('Yearly HC Ethylene'!T$3-'Yearly HC Ethylene'!$N$3)/10)</f>
        <v>216478.46833084</v>
      </c>
      <c r="U41" s="183">
        <f>U40*'R&amp;S - Buildings'!$C$7*'R&amp;S - Buildings'!$B$11*('R&amp;S - Buildings'!$B$15+('R&amp;S - Buildings'!$B$16-'R&amp;S - Buildings'!$B$15)*('Yearly HC Ethylene'!U$3-'Yearly HC Ethylene'!$N$3)/10)</f>
        <v>228405.66003133837</v>
      </c>
      <c r="V41" s="183">
        <f>V40*'R&amp;S - Buildings'!$C$7*'R&amp;S - Buildings'!$B$11*('R&amp;S - Buildings'!$B$15+('R&amp;S - Buildings'!$B$16-'R&amp;S - Buildings'!$B$15)*('Yearly HC Ethylene'!V$3-'Yearly HC Ethylene'!$N$3)/10)</f>
        <v>240156.12204159141</v>
      </c>
      <c r="W41" s="183">
        <f>W40*'R&amp;S - Buildings'!$C$7*'R&amp;S - Buildings'!$B$11*('R&amp;S - Buildings'!$B$15+('R&amp;S - Buildings'!$B$16-'R&amp;S - Buildings'!$B$15)*('Yearly HC Ethylene'!W$3-'Yearly HC Ethylene'!$N$3)/10)</f>
        <v>251731.7381769215</v>
      </c>
      <c r="X41" s="183">
        <f>X40*'R&amp;S - Buildings'!$C$7*'R&amp;S - Buildings'!$B$11*('R&amp;S - Buildings'!$B$15+('R&amp;S - Buildings'!$B$16-'R&amp;S - Buildings'!$B$15)*('Yearly HC Ethylene'!X$3-'Yearly HC Ethylene'!$N$3)/10)</f>
        <v>263134.37458048097</v>
      </c>
      <c r="Y41" s="183">
        <f>Y40*'R&amp;S - Buildings'!$C$7*'R&amp;S - Buildings'!$B$11*('R&amp;S - Buildings'!$B$16+('R&amp;S - Buildings'!$B$17-'R&amp;S - Buildings'!$B$16)*('Yearly HC Ethylene'!Y$3-'Yearly HC Ethylene'!$X$3)/10)</f>
        <v>274761.79023864132</v>
      </c>
      <c r="Z41" s="183">
        <f>Z40*'R&amp;S - Buildings'!$C$7*'R&amp;S - Buildings'!$B$11*('R&amp;S - Buildings'!$B$16+('R&amp;S - Buildings'!$B$17-'R&amp;S - Buildings'!$B$16)*('Yearly HC Ethylene'!Z$3-'Yearly HC Ethylene'!$X$3)/10)</f>
        <v>286214.38859701296</v>
      </c>
      <c r="AA41" s="183">
        <f>AA40*'R&amp;S - Buildings'!$C$7*'R&amp;S - Buildings'!$B$11*('R&amp;S - Buildings'!$B$16+('R&amp;S - Buildings'!$B$17-'R&amp;S - Buildings'!$B$16)*('Yearly HC Ethylene'!AA$3-'Yearly HC Ethylene'!$X$3)/10)</f>
        <v>297494.04137490026</v>
      </c>
      <c r="AB41" s="183">
        <f>AB40*'R&amp;S - Buildings'!$C$7*'R&amp;S - Buildings'!$B$11*('R&amp;S - Buildings'!$B$16+('R&amp;S - Buildings'!$B$17-'R&amp;S - Buildings'!$B$16)*('Yearly HC Ethylene'!AB$3-'Yearly HC Ethylene'!$X$3)/10)</f>
        <v>308602.60269515496</v>
      </c>
      <c r="AC41" s="183">
        <f>AC40*'R&amp;S - Buildings'!$C$7*'R&amp;S - Buildings'!$B$11*('R&amp;S - Buildings'!$B$16+('R&amp;S - Buildings'!$B$17-'R&amp;S - Buildings'!$B$16)*('Yearly HC Ethylene'!AC$3-'Yearly HC Ethylene'!$X$3)/10)</f>
        <v>319541.90923852311</v>
      </c>
      <c r="AD41" s="183">
        <f>AD40*'R&amp;S - Buildings'!$C$7*'R&amp;S - Buildings'!$B$11*('R&amp;S - Buildings'!$B$16+('R&amp;S - Buildings'!$B$17-'R&amp;S - Buildings'!$B$16)*('Yearly HC Ethylene'!AD$3-'Yearly HC Ethylene'!$X$3)/10)</f>
        <v>330313.78039669601</v>
      </c>
      <c r="AE41" s="183">
        <f>AE40*'R&amp;S - Buildings'!$C$7*'R&amp;S - Buildings'!$B$11*('R&amp;S - Buildings'!$B$16+('R&amp;S - Buildings'!$B$17-'R&amp;S - Buildings'!$B$16)*('Yearly HC Ethylene'!AE$3-'Yearly HC Ethylene'!$X$3)/10)</f>
        <v>340920.01842407434</v>
      </c>
      <c r="AF41" s="183">
        <f>AF40*'R&amp;S - Buildings'!$C$7*'R&amp;S - Buildings'!$B$11*('R&amp;S - Buildings'!$B$16+('R&amp;S - Buildings'!$B$17-'R&amp;S - Buildings'!$B$16)*('Yearly HC Ethylene'!AF$3-'Yearly HC Ethylene'!$X$3)/10)</f>
        <v>351362.40858825709</v>
      </c>
      <c r="AG41" s="183">
        <f>AG40*'R&amp;S - Buildings'!$C$7*'R&amp;S - Buildings'!$B$11*('R&amp;S - Buildings'!$B$16+('R&amp;S - Buildings'!$B$17-'R&amp;S - Buildings'!$B$16)*('Yearly HC Ethylene'!AG$3-'Yearly HC Ethylene'!$X$3)/10)</f>
        <v>361642.71931926528</v>
      </c>
      <c r="AH41" s="183">
        <f>AH40*'R&amp;S - Buildings'!$C$7*'R&amp;S - Buildings'!$B$11*('R&amp;S - Buildings'!$B$16+('R&amp;S - Buildings'!$B$17-'R&amp;S - Buildings'!$B$16)*('Yearly HC Ethylene'!AH$3-'Yearly HC Ethylene'!$X$3)/10)</f>
        <v>371762.70235751086</v>
      </c>
    </row>
    <row r="42" spans="1:35" outlineLevel="1">
      <c r="B42" s="1" t="s">
        <v>172</v>
      </c>
      <c r="C42" s="50" t="s">
        <v>1420</v>
      </c>
      <c r="D42" s="183">
        <v>0</v>
      </c>
      <c r="E42" s="183">
        <f>E40*'R&amp;S - Buildings'!$C$8*'R&amp;S - Buildings'!$C$11*'R&amp;S - Buildings'!$B$15*('Yearly HC Ethylene'!E$3-'Yearly HC Ethylene'!$D$3)/10</f>
        <v>5292.8023581185007</v>
      </c>
      <c r="F42" s="183">
        <f>F40*'R&amp;S - Buildings'!$C$8*'R&amp;S - Buildings'!$C$11*'R&amp;S - Buildings'!$B$15*('Yearly HC Ethylene'!F$3-'Yearly HC Ethylene'!$D$3)/10</f>
        <v>10511.843567676322</v>
      </c>
      <c r="G42" s="183">
        <f>G40*'R&amp;S - Buildings'!$C$8*'R&amp;S - Buildings'!$C$11*'R&amp;S - Buildings'!$B$15*('Yearly HC Ethylene'!G$3-'Yearly HC Ethylene'!$D$3)/10</f>
        <v>15657.894587043274</v>
      </c>
      <c r="H42" s="183">
        <f>H40*'R&amp;S - Buildings'!$C$8*'R&amp;S - Buildings'!$C$11*'R&amp;S - Buildings'!$B$15*('Yearly HC Ethylene'!H$3-'Yearly HC Ethylene'!$D$3)/10</f>
        <v>20731.719211808344</v>
      </c>
      <c r="I42" s="183">
        <f>I40*'R&amp;S - Buildings'!$C$8*'R&amp;S - Buildings'!$C$11*'R&amp;S - Buildings'!$B$15*('Yearly HC Ethylene'!I$3-'Yearly HC Ethylene'!$D$3)/10</f>
        <v>25734.074137168071</v>
      </c>
      <c r="J42" s="183">
        <f>J40*'R&amp;S - Buildings'!$C$8*'R&amp;S - Buildings'!$C$11*'R&amp;S - Buildings'!$B$15*('Yearly HC Ethylene'!J$3-'Yearly HC Ethylene'!$D$3)/10</f>
        <v>30665.709019793248</v>
      </c>
      <c r="K42" s="183">
        <f>K40*'R&amp;S - Buildings'!$C$8*'R&amp;S - Buildings'!$C$11*'R&amp;S - Buildings'!$B$15*('Yearly HC Ethylene'!K$3-'Yearly HC Ethylene'!$D$3)/10</f>
        <v>35527.366539178198</v>
      </c>
      <c r="L42" s="183">
        <f>L40*'R&amp;S - Buildings'!$C$8*'R&amp;S - Buildings'!$C$11*'R&amp;S - Buildings'!$B$15*('Yearly HC Ethylene'!L$3-'Yearly HC Ethylene'!$D$3)/10</f>
        <v>40319.78245847681</v>
      </c>
      <c r="M42" s="183">
        <f>M40*'R&amp;S - Buildings'!$C$8*'R&amp;S - Buildings'!$C$11*'R&amp;S - Buildings'!$B$15*('Yearly HC Ethylene'!M$3-'Yearly HC Ethylene'!$D$3)/10</f>
        <v>45043.685684829579</v>
      </c>
      <c r="N42" s="183">
        <f>N40*'R&amp;S - Buildings'!$C$8*'R&amp;S - Buildings'!$C$11*'R&amp;S - Buildings'!$B$15*('Yearly HC Ethylene'!N$3-'Yearly HC Ethylene'!$D$3)/10</f>
        <v>49699.798329185644</v>
      </c>
      <c r="O42" s="183">
        <f>O40*'R&amp;S - Buildings'!$C$8*'R&amp;S - Buildings'!$C$11*('R&amp;S - Buildings'!$B$15+('R&amp;S - Buildings'!$B$16-'R&amp;S - Buildings'!$B$15)*('Yearly HC Ethylene'!O$3-'Yearly HC Ethylene'!$N$3)/10)</f>
        <v>54288.835765624106</v>
      </c>
      <c r="P42" s="183">
        <f>P40*'R&amp;S - Buildings'!$C$8*'R&amp;S - Buildings'!$C$11*('R&amp;S - Buildings'!$B$15+('R&amp;S - Buildings'!$B$16-'R&amp;S - Buildings'!$B$15)*('Yearly HC Ethylene'!P$3-'Yearly HC Ethylene'!$N$3)/10)</f>
        <v>58811.506690178605</v>
      </c>
      <c r="Q42" s="183">
        <f>Q40*'R&amp;S - Buildings'!$C$8*'R&amp;S - Buildings'!$C$11*('R&amp;S - Buildings'!$B$15+('R&amp;S - Buildings'!$B$16-'R&amp;S - Buildings'!$B$15)*('Yearly HC Ethylene'!Q$3-'Yearly HC Ethylene'!$N$3)/10)</f>
        <v>63268.51317916916</v>
      </c>
      <c r="R42" s="183">
        <f>R40*'R&amp;S - Buildings'!$C$8*'R&amp;S - Buildings'!$C$11*('R&amp;S - Buildings'!$B$15+('R&amp;S - Buildings'!$B$16-'R&amp;S - Buildings'!$B$15)*('Yearly HC Ethylene'!R$3-'Yearly HC Ethylene'!$N$3)/10)</f>
        <v>67660.550747045374</v>
      </c>
      <c r="S42" s="183">
        <f>S40*'R&amp;S - Buildings'!$C$8*'R&amp;S - Buildings'!$C$11*('R&amp;S - Buildings'!$B$15+('R&amp;S - Buildings'!$B$16-'R&amp;S - Buildings'!$B$15)*('Yearly HC Ethylene'!S$3-'Yearly HC Ethylene'!$N$3)/10)</f>
        <v>71988.308403744988</v>
      </c>
      <c r="T42" s="183">
        <f>T40*'R&amp;S - Buildings'!$C$8*'R&amp;S - Buildings'!$C$11*('R&amp;S - Buildings'!$B$15+('R&amp;S - Buildings'!$B$16-'R&amp;S - Buildings'!$B$15)*('Yearly HC Ethylene'!T$3-'Yearly HC Ethylene'!$N$3)/10)</f>
        <v>76252.468711571593</v>
      </c>
      <c r="U42" s="183">
        <f>U40*'R&amp;S - Buildings'!$C$8*'R&amp;S - Buildings'!$C$11*('R&amp;S - Buildings'!$B$15+('R&amp;S - Buildings'!$B$16-'R&amp;S - Buildings'!$B$15)*('Yearly HC Ethylene'!U$3-'Yearly HC Ethylene'!$N$3)/10)</f>
        <v>80453.707841595504</v>
      </c>
      <c r="V42" s="183">
        <f>V40*'R&amp;S - Buildings'!$C$8*'R&amp;S - Buildings'!$C$11*('R&amp;S - Buildings'!$B$15+('R&amp;S - Buildings'!$B$16-'R&amp;S - Buildings'!$B$15)*('Yearly HC Ethylene'!V$3-'Yearly HC Ethylene'!$N$3)/10)</f>
        <v>84592.695629581824</v>
      </c>
      <c r="W42" s="183">
        <f>W40*'R&amp;S - Buildings'!$C$8*'R&amp;S - Buildings'!$C$11*('R&amp;S - Buildings'!$B$15+('R&amp;S - Buildings'!$B$16-'R&amp;S - Buildings'!$B$15)*('Yearly HC Ethylene'!W$3-'Yearly HC Ethylene'!$N$3)/10)</f>
        <v>88670.095631449236</v>
      </c>
      <c r="X42" s="183">
        <f>X40*'R&amp;S - Buildings'!$C$8*'R&amp;S - Buildings'!$C$11*('R&amp;S - Buildings'!$B$15+('R&amp;S - Buildings'!$B$16-'R&amp;S - Buildings'!$B$15)*('Yearly HC Ethylene'!X$3-'Yearly HC Ethylene'!$N$3)/10)</f>
        <v>92686.565178263641</v>
      </c>
      <c r="Y42" s="183">
        <f>Y40*'R&amp;S - Buildings'!$C$8*'R&amp;S - Buildings'!$C$11*('R&amp;S - Buildings'!$B$16+('R&amp;S - Buildings'!$B$17-'R&amp;S - Buildings'!$B$16)*('Yearly HC Ethylene'!Y$3-'Yearly HC Ethylene'!$X$3)/10)</f>
        <v>96782.211066312419</v>
      </c>
      <c r="Z42" s="183">
        <f>Z40*'R&amp;S - Buildings'!$C$8*'R&amp;S - Buildings'!$C$11*('R&amp;S - Buildings'!$B$16+('R&amp;S - Buildings'!$B$17-'R&amp;S - Buildings'!$B$16)*('Yearly HC Ethylene'!Z$3-'Yearly HC Ethylene'!$X$3)/10)</f>
        <v>100816.27923355991</v>
      </c>
      <c r="AA42" s="183">
        <f>AA40*'R&amp;S - Buildings'!$C$8*'R&amp;S - Buildings'!$C$11*('R&amp;S - Buildings'!$B$16+('R&amp;S - Buildings'!$B$17-'R&amp;S - Buildings'!$B$16)*('Yearly HC Ethylene'!AA$3-'Yearly HC Ethylene'!$X$3)/10)</f>
        <v>104789.42897521814</v>
      </c>
      <c r="AB42" s="183">
        <f>AB40*'R&amp;S - Buildings'!$C$8*'R&amp;S - Buildings'!$C$11*('R&amp;S - Buildings'!$B$16+('R&amp;S - Buildings'!$B$17-'R&amp;S - Buildings'!$B$16)*('Yearly HC Ethylene'!AB$3-'Yearly HC Ethylene'!$X$3)/10)</f>
        <v>108702.31338831714</v>
      </c>
      <c r="AC42" s="183">
        <f>AC40*'R&amp;S - Buildings'!$C$8*'R&amp;S - Buildings'!$C$11*('R&amp;S - Buildings'!$B$16+('R&amp;S - Buildings'!$B$17-'R&amp;S - Buildings'!$B$16)*('Yearly HC Ethylene'!AC$3-'Yearly HC Ethylene'!$X$3)/10)</f>
        <v>112555.57942607226</v>
      </c>
      <c r="AD42" s="183">
        <f>AD40*'R&amp;S - Buildings'!$C$8*'R&amp;S - Buildings'!$C$11*('R&amp;S - Buildings'!$B$16+('R&amp;S - Buildings'!$B$17-'R&amp;S - Buildings'!$B$16)*('Yearly HC Ethylene'!AD$3-'Yearly HC Ethylene'!$X$3)/10)</f>
        <v>116349.86795179463</v>
      </c>
      <c r="AE42" s="183">
        <f>AE40*'R&amp;S - Buildings'!$C$8*'R&amp;S - Buildings'!$C$11*('R&amp;S - Buildings'!$B$16+('R&amp;S - Buildings'!$B$17-'R&amp;S - Buildings'!$B$16)*('Yearly HC Ethylene'!AE$3-'Yearly HC Ethylene'!$X$3)/10)</f>
        <v>120085.81379234882</v>
      </c>
      <c r="AF42" s="183">
        <f>AF40*'R&amp;S - Buildings'!$C$8*'R&amp;S - Buildings'!$C$11*('R&amp;S - Buildings'!$B$16+('R&amp;S - Buildings'!$B$17-'R&amp;S - Buildings'!$B$16)*('Yearly HC Ethylene'!AF$3-'Yearly HC Ethylene'!$X$3)/10)</f>
        <v>123764.04579116112</v>
      </c>
      <c r="AG42" s="183">
        <f>AG40*'R&amp;S - Buildings'!$C$8*'R&amp;S - Buildings'!$C$11*('R&amp;S - Buildings'!$B$16+('R&amp;S - Buildings'!$B$17-'R&amp;S - Buildings'!$B$16)*('Yearly HC Ethylene'!AG$3-'Yearly HC Ethylene'!$X$3)/10)</f>
        <v>127385.18686078204</v>
      </c>
      <c r="AH42" s="183">
        <f>AH40*'R&amp;S - Buildings'!$C$8*'R&amp;S - Buildings'!$C$11*('R&amp;S - Buildings'!$B$16+('R&amp;S - Buildings'!$B$17-'R&amp;S - Buildings'!$B$16)*('Yearly HC Ethylene'!AH$3-'Yearly HC Ethylene'!$X$3)/10)</f>
        <v>130949.85403500705</v>
      </c>
    </row>
    <row r="43" spans="1:35" s="168" customFormat="1">
      <c r="A43" s="165" t="s">
        <v>200</v>
      </c>
      <c r="B43" s="166" t="s">
        <v>78</v>
      </c>
      <c r="C43" s="167" t="s">
        <v>1420</v>
      </c>
      <c r="D43" s="581">
        <f>D40-D41-D42</f>
        <v>833693.90944694402</v>
      </c>
      <c r="E43" s="581">
        <f t="shared" ref="E43:AH43" si="10">E40-E41-E42</f>
        <v>807565.76943124086</v>
      </c>
      <c r="F43" s="581">
        <f t="shared" si="10"/>
        <v>781761.2753285392</v>
      </c>
      <c r="G43" s="581">
        <f t="shared" si="10"/>
        <v>756277.18539208604</v>
      </c>
      <c r="H43" s="581">
        <f t="shared" si="10"/>
        <v>731110.28733824543</v>
      </c>
      <c r="I43" s="581">
        <f t="shared" si="10"/>
        <v>706257.39809329587</v>
      </c>
      <c r="J43" s="581">
        <f t="shared" si="10"/>
        <v>681715.36354232708</v>
      </c>
      <c r="K43" s="581">
        <f t="shared" si="10"/>
        <v>657481.05828021583</v>
      </c>
      <c r="L43" s="581">
        <f t="shared" si="10"/>
        <v>633551.38536466856</v>
      </c>
      <c r="M43" s="581">
        <f t="shared" si="10"/>
        <v>609923.27607130981</v>
      </c>
      <c r="N43" s="581">
        <f t="shared" si="10"/>
        <v>586593.68965080194</v>
      </c>
      <c r="O43" s="581">
        <f t="shared" si="10"/>
        <v>563559.61308798112</v>
      </c>
      <c r="P43" s="581">
        <f t="shared" si="10"/>
        <v>540818.06086298951</v>
      </c>
      <c r="Q43" s="581">
        <f t="shared" si="10"/>
        <v>518366.07471439196</v>
      </c>
      <c r="R43" s="581">
        <f t="shared" si="10"/>
        <v>496200.7234042568</v>
      </c>
      <c r="S43" s="581">
        <f t="shared" si="10"/>
        <v>474319.10248518904</v>
      </c>
      <c r="T43" s="581">
        <f t="shared" si="10"/>
        <v>452718.33406929631</v>
      </c>
      <c r="U43" s="581">
        <f t="shared" si="10"/>
        <v>431395.56659907498</v>
      </c>
      <c r="V43" s="581">
        <f t="shared" si="10"/>
        <v>410347.97462019918</v>
      </c>
      <c r="W43" s="581">
        <f t="shared" si="10"/>
        <v>389572.75855619786</v>
      </c>
      <c r="X43" s="581">
        <f t="shared" si="10"/>
        <v>369067.14448500454</v>
      </c>
      <c r="Y43" s="581">
        <f t="shared" si="10"/>
        <v>348293.0179212481</v>
      </c>
      <c r="Z43" s="581">
        <f t="shared" si="10"/>
        <v>327790.4825116173</v>
      </c>
      <c r="AA43" s="581">
        <f t="shared" si="10"/>
        <v>307556.76199275983</v>
      </c>
      <c r="AB43" s="581">
        <f t="shared" si="10"/>
        <v>287589.1056048671</v>
      </c>
      <c r="AC43" s="581">
        <f t="shared" si="10"/>
        <v>267884.7878710521</v>
      </c>
      <c r="AD43" s="581">
        <f t="shared" si="10"/>
        <v>248441.10837856313</v>
      </c>
      <c r="AE43" s="581">
        <f t="shared" si="10"/>
        <v>229255.39156182</v>
      </c>
      <c r="AF43" s="581">
        <f t="shared" si="10"/>
        <v>210324.98648725572</v>
      </c>
      <c r="AG43" s="581">
        <f t="shared" si="10"/>
        <v>191647.26663995127</v>
      </c>
      <c r="AH43" s="581">
        <f t="shared" si="10"/>
        <v>173219.62971204723</v>
      </c>
    </row>
    <row r="44" spans="1:35" s="61" customFormat="1">
      <c r="A44" s="606" t="s">
        <v>608</v>
      </c>
      <c r="B44" s="54" t="s">
        <v>141</v>
      </c>
      <c r="C44" s="55" t="s">
        <v>1420</v>
      </c>
      <c r="D44" s="571">
        <f>D43*('Demand - Ethylene'!$C$74)</f>
        <v>180037.45454545456</v>
      </c>
      <c r="E44" s="571">
        <f>E43*('Demand - Ethylene'!$C$74)</f>
        <v>174395.04338335909</v>
      </c>
      <c r="F44" s="571">
        <f>F43*('Demand - Ethylene'!$C$74)</f>
        <v>168822.52404329879</v>
      </c>
      <c r="G44" s="571">
        <f>G43*('Demand - Ethylene'!$C$74)</f>
        <v>163319.19646518308</v>
      </c>
      <c r="H44" s="571">
        <f>H43*('Demand - Ethylene'!$C$74)</f>
        <v>157884.36695152597</v>
      </c>
      <c r="I44" s="571">
        <f>I43*('Demand - Ethylene'!$C$74)</f>
        <v>152517.34811276646</v>
      </c>
      <c r="J44" s="571">
        <f>J43*('Demand - Ethylene'!$C$74)</f>
        <v>147217.45881304235</v>
      </c>
      <c r="K44" s="571">
        <f>K43*('Demand - Ethylene'!$C$74)</f>
        <v>141984.02411641323</v>
      </c>
      <c r="L44" s="571">
        <f>L43*('Demand - Ethylene'!$C$74)</f>
        <v>136816.37523352951</v>
      </c>
      <c r="M44" s="571">
        <f>M43*('Demand - Ethylene'!$C$74)</f>
        <v>131713.84946874363</v>
      </c>
      <c r="N44" s="571">
        <f>N43*('Demand - Ethylene'!$C$74)</f>
        <v>126675.79016765942</v>
      </c>
      <c r="O44" s="571">
        <f>O43*('Demand - Ethylene'!$C$74)</f>
        <v>121701.54666511733</v>
      </c>
      <c r="P44" s="571">
        <f>P43*('Demand - Ethylene'!$C$74)</f>
        <v>116790.47423361054</v>
      </c>
      <c r="Q44" s="571">
        <f>Q43*('Demand - Ethylene'!$C$74)</f>
        <v>111941.9340321296</v>
      </c>
      <c r="R44" s="571">
        <f>R43*('Demand - Ethylene'!$C$74)</f>
        <v>107155.29305543138</v>
      </c>
      <c r="S44" s="571">
        <f>S43*('Demand - Ethylene'!$C$74)</f>
        <v>102429.92408372938</v>
      </c>
      <c r="T44" s="571">
        <f>T43*('Demand - Ethylene'!$C$74)</f>
        <v>97765.205632801706</v>
      </c>
      <c r="U44" s="571">
        <f>U43*('Demand - Ethylene'!$C$74)</f>
        <v>93160.52190451356</v>
      </c>
      <c r="V44" s="571">
        <f>V43*('Demand - Ethylene'!$C$74)</f>
        <v>88615.262737750658</v>
      </c>
      <c r="W44" s="571">
        <f>W43*('Demand - Ethylene'!$C$74)</f>
        <v>84128.823559760393</v>
      </c>
      <c r="X44" s="571">
        <f>X43*('Demand - Ethylene'!$C$74)</f>
        <v>79700.605337897461</v>
      </c>
      <c r="Y44" s="571">
        <f>Y43*('Demand - Ethylene'!$C$74)</f>
        <v>75214.401439124907</v>
      </c>
      <c r="Z44" s="571">
        <f>Z43*('Demand - Ethylene'!$C$74)</f>
        <v>70786.848058860123</v>
      </c>
      <c r="AA44" s="571">
        <f>AA43*('Demand - Ethylene'!$C$74)</f>
        <v>66417.345658853606</v>
      </c>
      <c r="AB44" s="571">
        <f>AB43*('Demand - Ethylene'!$C$74)</f>
        <v>62105.300208384513</v>
      </c>
      <c r="AC44" s="571">
        <f>AC43*('Demand - Ethylene'!$C$74)</f>
        <v>57850.123136616938</v>
      </c>
      <c r="AD44" s="571">
        <f>AD43*('Demand - Ethylene'!$C$74)</f>
        <v>53651.231285352733</v>
      </c>
      <c r="AE44" s="571">
        <f>AE43*('Demand - Ethylene'!$C$74)</f>
        <v>49508.046862177842</v>
      </c>
      <c r="AF44" s="571">
        <f>AF43*('Demand - Ethylene'!$C$74)</f>
        <v>45419.997393998536</v>
      </c>
      <c r="AG44" s="571">
        <f>AG43*('Demand - Ethylene'!$C$74)</f>
        <v>41386.515680964847</v>
      </c>
      <c r="AH44" s="571">
        <f>AH43*('Demand - Ethylene'!$C$74)</f>
        <v>37407.039750777789</v>
      </c>
      <c r="AI44" s="56"/>
    </row>
    <row r="45" spans="1:35">
      <c r="A45" s="607"/>
      <c r="B45" s="1" t="s">
        <v>18</v>
      </c>
      <c r="C45" s="50" t="s">
        <v>1420</v>
      </c>
      <c r="D45" s="183">
        <f>D49/('Demand - Ethylene'!$K$14)</f>
        <v>64852.242082509627</v>
      </c>
      <c r="E45" s="183">
        <f>E49/('Demand - Ethylene'!$K$14)</f>
        <v>62819.759366415223</v>
      </c>
      <c r="F45" s="183">
        <f>F49/('Demand - Ethylene'!$K$14)</f>
        <v>60812.452752558282</v>
      </c>
      <c r="G45" s="183">
        <f>G49/('Demand - Ethylene'!$K$14)</f>
        <v>58830.070068597372</v>
      </c>
      <c r="H45" s="183">
        <f>H49/('Demand - Ethylene'!$K$14)</f>
        <v>56872.361434098355</v>
      </c>
      <c r="I45" s="183">
        <f>I49/('Demand - Ethylene'!$K$14)</f>
        <v>54939.079240838146</v>
      </c>
      <c r="J45" s="183">
        <f>J49/('Demand - Ethylene'!$K$14)</f>
        <v>53029.978133271485</v>
      </c>
      <c r="K45" s="183">
        <f>K49/('Demand - Ethylene'!$K$14)</f>
        <v>51144.814989159662</v>
      </c>
      <c r="L45" s="183">
        <f>L49/('Demand - Ethylene'!$K$14)</f>
        <v>49283.348900359946</v>
      </c>
      <c r="M45" s="183">
        <f>M49/('Demand - Ethylene'!$K$14)</f>
        <v>47445.341153774134</v>
      </c>
      <c r="N45" s="183">
        <f>N49/('Demand - Ethylene'!$K$14)</f>
        <v>45630.555212455118</v>
      </c>
      <c r="O45" s="183">
        <f>O49/('Demand - Ethylene'!$K$14)</f>
        <v>43838.756696870325</v>
      </c>
      <c r="P45" s="183">
        <f>P49/('Demand - Ethylene'!$K$14)</f>
        <v>42069.713366320415</v>
      </c>
      <c r="Q45" s="183">
        <f>Q49/('Demand - Ethylene'!$K$14)</f>
        <v>40323.195100512377</v>
      </c>
      <c r="R45" s="183">
        <f>R49/('Demand - Ethylene'!$K$14)</f>
        <v>38598.973881285354</v>
      </c>
      <c r="S45" s="183">
        <f>S49/('Demand - Ethylene'!$K$14)</f>
        <v>36896.823774488388</v>
      </c>
      <c r="T45" s="183">
        <f>T49/('Demand - Ethylene'!$K$14)</f>
        <v>35216.520912008564</v>
      </c>
      <c r="U45" s="183">
        <f>U49/('Demand - Ethylene'!$K$14)</f>
        <v>33557.843473948349</v>
      </c>
      <c r="V45" s="183">
        <f>V49/('Demand - Ethylene'!$K$14)</f>
        <v>31920.571670951202</v>
      </c>
      <c r="W45" s="183">
        <f>W49/('Demand - Ethylene'!$K$14)</f>
        <v>30304.487726673811</v>
      </c>
      <c r="X45" s="183">
        <f>X49/('Demand - Ethylene'!$K$14)</f>
        <v>28709.375860404169</v>
      </c>
      <c r="Y45" s="183">
        <f>Y49/('Demand - Ethylene'!$K$14)</f>
        <v>27093.376667296037</v>
      </c>
      <c r="Z45" s="183">
        <f>Z49/('Demand - Ethylene'!$K$14)</f>
        <v>25498.50428712877</v>
      </c>
      <c r="AA45" s="183">
        <f>AA49/('Demand - Ethylene'!$K$14)</f>
        <v>23924.542757064006</v>
      </c>
      <c r="AB45" s="183">
        <f>AB49/('Demand - Ethylene'!$K$14)</f>
        <v>22371.278098159357</v>
      </c>
      <c r="AC45" s="183">
        <f>AC49/('Demand - Ethylene'!$K$14)</f>
        <v>20838.498298206432</v>
      </c>
      <c r="AD45" s="183">
        <f>AD49/('Demand - Ethylene'!$K$14)</f>
        <v>19325.993294711658</v>
      </c>
      <c r="AE45" s="183">
        <f>AE49/('Demand - Ethylene'!$K$14)</f>
        <v>17833.554958018874</v>
      </c>
      <c r="AF45" s="183">
        <f>AF49/('Demand - Ethylene'!$K$14)</f>
        <v>16360.977074572382</v>
      </c>
      <c r="AG45" s="183">
        <f>AG49/('Demand - Ethylene'!$K$14)</f>
        <v>14908.055330319472</v>
      </c>
      <c r="AH45" s="183">
        <f>AH49/('Demand - Ethylene'!$K$14)</f>
        <v>13474.587294251154</v>
      </c>
      <c r="AI45" s="40"/>
    </row>
    <row r="46" spans="1:35">
      <c r="A46" s="607"/>
      <c r="B46" s="1" t="s">
        <v>607</v>
      </c>
      <c r="C46" s="50" t="s">
        <v>1420</v>
      </c>
      <c r="D46" s="183">
        <f>D48/('Demand - Ethylene'!$M$14)</f>
        <v>641154.61098030512</v>
      </c>
      <c r="E46" s="183">
        <f>E48/('Demand - Ethylene'!$M$14)</f>
        <v>621060.69250785268</v>
      </c>
      <c r="F46" s="183">
        <f>F48/('Demand - Ethylene'!$M$14)</f>
        <v>601215.67482152127</v>
      </c>
      <c r="G46" s="183">
        <f>G48/('Demand - Ethylene'!$M$14)</f>
        <v>581617.064846989</v>
      </c>
      <c r="H46" s="183">
        <f>H48/('Demand - Ethylene'!$M$14)</f>
        <v>562262.39216862514</v>
      </c>
      <c r="I46" s="183">
        <f>I48/('Demand - Ethylene'!$M$14)</f>
        <v>543149.20883476466</v>
      </c>
      <c r="J46" s="183">
        <f>J48/('Demand - Ethylene'!$M$14)</f>
        <v>524275.08916459698</v>
      </c>
      <c r="K46" s="183">
        <f>K48/('Demand - Ethylene'!$M$14)</f>
        <v>505637.62955665227</v>
      </c>
      <c r="L46" s="183">
        <f>L48/('Demand - Ethylene'!$M$14)</f>
        <v>487234.44829887908</v>
      </c>
      <c r="M46" s="183">
        <f>M48/('Demand - Ethylene'!$M$14)</f>
        <v>469063.18538029393</v>
      </c>
      <c r="N46" s="183">
        <f>N48/('Demand - Ethylene'!$M$14)</f>
        <v>451121.50230419362</v>
      </c>
      <c r="O46" s="183">
        <f>O48/('Demand - Ethylene'!$M$14)</f>
        <v>433407.08190291829</v>
      </c>
      <c r="P46" s="183">
        <f>P48/('Demand - Ethylene'!$M$14)</f>
        <v>415917.62815414922</v>
      </c>
      <c r="Q46" s="183">
        <f>Q48/('Demand - Ethylene'!$M$14)</f>
        <v>398650.86599873332</v>
      </c>
      <c r="R46" s="183">
        <f>R48/('Demand - Ethylene'!$M$14)</f>
        <v>381604.54116001748</v>
      </c>
      <c r="S46" s="183">
        <f>S48/('Demand - Ethylene'!$M$14)</f>
        <v>364776.4199646854</v>
      </c>
      <c r="T46" s="183">
        <f>T48/('Demand - Ethylene'!$M$14)</f>
        <v>348164.28916507954</v>
      </c>
      <c r="U46" s="183">
        <f>U48/('Demand - Ethylene'!$M$14)</f>
        <v>331765.95576300105</v>
      </c>
      <c r="V46" s="183">
        <f>V48/('Demand - Ethylene'!$M$14)</f>
        <v>315579.246834972</v>
      </c>
      <c r="W46" s="183">
        <f>W48/('Demand - Ethylene'!$M$14)</f>
        <v>299602.00935895054</v>
      </c>
      <c r="X46" s="183">
        <f>X48/('Demand - Ethylene'!$M$14)</f>
        <v>283832.11004248576</v>
      </c>
      <c r="Y46" s="183">
        <f>Y48/('Demand - Ethylene'!$M$14)</f>
        <v>267855.71044964629</v>
      </c>
      <c r="Z46" s="183">
        <f>Z48/('Demand - Ethylene'!$M$14)</f>
        <v>252088.17878638624</v>
      </c>
      <c r="AA46" s="183">
        <f>AA48/('Demand - Ethylene'!$M$14)</f>
        <v>236527.37995968221</v>
      </c>
      <c r="AB46" s="183">
        <f>AB48/('Demand - Ethylene'!$M$14)</f>
        <v>221171.19849008194</v>
      </c>
      <c r="AC46" s="183">
        <f>AC48/('Demand - Ethylene'!$M$14)</f>
        <v>206017.53834203395</v>
      </c>
      <c r="AD46" s="183">
        <f>AD48/('Demand - Ethylene'!$M$14)</f>
        <v>191064.32275562952</v>
      </c>
      <c r="AE46" s="183">
        <f>AE48/('Demand - Ethylene'!$M$14)</f>
        <v>176309.49407974593</v>
      </c>
      <c r="AF46" s="183">
        <f>AF48/('Demand - Ethylene'!$M$14)</f>
        <v>161751.01360657864</v>
      </c>
      <c r="AG46" s="183">
        <f>AG48/('Demand - Ethylene'!$M$14)</f>
        <v>147386.8614075518</v>
      </c>
      <c r="AH46" s="183">
        <f>AH48/('Demand - Ethylene'!$M$14)</f>
        <v>133215.03617059588</v>
      </c>
      <c r="AI46" s="40"/>
    </row>
    <row r="47" spans="1:35" s="62" customFormat="1">
      <c r="A47" s="608"/>
      <c r="B47" s="58" t="s">
        <v>27</v>
      </c>
      <c r="C47" s="233" t="s">
        <v>1420</v>
      </c>
      <c r="D47" s="528">
        <f>D43-SUM(D45,D44,D46)</f>
        <v>-52350.398161325254</v>
      </c>
      <c r="E47" s="528">
        <f t="shared" ref="E47:AH47" si="11">E43-SUM(E45,E44,E46)</f>
        <v>-50709.725826386129</v>
      </c>
      <c r="F47" s="528">
        <f t="shared" si="11"/>
        <v>-49089.37628883915</v>
      </c>
      <c r="G47" s="528">
        <f t="shared" si="11"/>
        <v>-47489.145988683333</v>
      </c>
      <c r="H47" s="528">
        <f t="shared" si="11"/>
        <v>-45908.833216004074</v>
      </c>
      <c r="I47" s="528">
        <f t="shared" si="11"/>
        <v>-44348.238095073379</v>
      </c>
      <c r="J47" s="528">
        <f t="shared" si="11"/>
        <v>-42807.162568583735</v>
      </c>
      <c r="K47" s="528">
        <f t="shared" si="11"/>
        <v>-41285.410382009344</v>
      </c>
      <c r="L47" s="528">
        <f t="shared" si="11"/>
        <v>-39782.787068099948</v>
      </c>
      <c r="M47" s="528">
        <f t="shared" si="11"/>
        <v>-38299.0999315019</v>
      </c>
      <c r="N47" s="528">
        <f t="shared" si="11"/>
        <v>-36834.158033506246</v>
      </c>
      <c r="O47" s="528">
        <f t="shared" si="11"/>
        <v>-35387.77217692486</v>
      </c>
      <c r="P47" s="528">
        <f t="shared" si="11"/>
        <v>-33959.754891090677</v>
      </c>
      <c r="Q47" s="528">
        <f t="shared" si="11"/>
        <v>-32549.92041698331</v>
      </c>
      <c r="R47" s="528">
        <f t="shared" si="11"/>
        <v>-31158.084692477423</v>
      </c>
      <c r="S47" s="528">
        <f t="shared" si="11"/>
        <v>-29784.065337714099</v>
      </c>
      <c r="T47" s="528">
        <f t="shared" si="11"/>
        <v>-28427.68164059351</v>
      </c>
      <c r="U47" s="528">
        <f t="shared" si="11"/>
        <v>-27088.754542387964</v>
      </c>
      <c r="V47" s="528">
        <f t="shared" si="11"/>
        <v>-25767.106623474683</v>
      </c>
      <c r="W47" s="528">
        <f t="shared" si="11"/>
        <v>-24462.56208918686</v>
      </c>
      <c r="X47" s="528">
        <f t="shared" si="11"/>
        <v>-23174.946755782876</v>
      </c>
      <c r="Y47" s="528">
        <f t="shared" si="11"/>
        <v>-21870.470634819125</v>
      </c>
      <c r="Z47" s="528">
        <f t="shared" si="11"/>
        <v>-20583.048620757821</v>
      </c>
      <c r="AA47" s="528">
        <f t="shared" si="11"/>
        <v>-19312.506382839987</v>
      </c>
      <c r="AB47" s="528">
        <f t="shared" si="11"/>
        <v>-18058.671191758709</v>
      </c>
      <c r="AC47" s="528">
        <f t="shared" si="11"/>
        <v>-16821.371905805252</v>
      </c>
      <c r="AD47" s="528">
        <f t="shared" si="11"/>
        <v>-15600.438957130769</v>
      </c>
      <c r="AE47" s="528">
        <f t="shared" si="11"/>
        <v>-14395.704338122654</v>
      </c>
      <c r="AF47" s="528">
        <f t="shared" si="11"/>
        <v>-13207.001587893814</v>
      </c>
      <c r="AG47" s="528">
        <f t="shared" si="11"/>
        <v>-12034.165778884839</v>
      </c>
      <c r="AH47" s="528">
        <f t="shared" si="11"/>
        <v>-10877.033503577579</v>
      </c>
      <c r="AI47" s="234"/>
    </row>
    <row r="48" spans="1:35" s="61" customFormat="1">
      <c r="A48" s="606" t="s">
        <v>609</v>
      </c>
      <c r="B48" s="54" t="s">
        <v>606</v>
      </c>
      <c r="C48" s="55" t="s">
        <v>1420</v>
      </c>
      <c r="D48" s="571">
        <f>D43*'Demand - Ethylene'!$E$74</f>
        <v>292255.79815384618</v>
      </c>
      <c r="E48" s="571">
        <f>E43*'Demand - Ethylene'!$E$74</f>
        <v>283096.44083092845</v>
      </c>
      <c r="F48" s="571">
        <f>F43*'Demand - Ethylene'!$E$74</f>
        <v>274050.53929022484</v>
      </c>
      <c r="G48" s="571">
        <f>G43*'Demand - Ethylene'!$E$74</f>
        <v>265116.95712030918</v>
      </c>
      <c r="H48" s="571">
        <f>H43*'Demand - Ethylene'!$E$74</f>
        <v>256294.56823820624</v>
      </c>
      <c r="I48" s="571">
        <f>I43*'Demand - Ethylene'!$E$74</f>
        <v>247582.25680063045</v>
      </c>
      <c r="J48" s="571">
        <f>J43*'Demand - Ethylene'!$E$74</f>
        <v>238978.91711596036</v>
      </c>
      <c r="K48" s="571">
        <f>K43*'Demand - Ethylene'!$E$74</f>
        <v>230483.45355694173</v>
      </c>
      <c r="L48" s="571">
        <f>L43*'Demand - Ethylene'!$E$74</f>
        <v>222094.78047411551</v>
      </c>
      <c r="M48" s="571">
        <f>M43*'Demand - Ethylene'!$E$74</f>
        <v>213811.82210996264</v>
      </c>
      <c r="N48" s="571">
        <f>N43*'Demand - Ethylene'!$E$74</f>
        <v>205633.51251376118</v>
      </c>
      <c r="O48" s="571">
        <f>O43*'Demand - Ethylene'!$E$74</f>
        <v>197558.79545715012</v>
      </c>
      <c r="P48" s="571">
        <f>P43*'Demand - Ethylene'!$E$74</f>
        <v>189586.62435039302</v>
      </c>
      <c r="Q48" s="571">
        <f>Q43*'Demand - Ethylene'!$E$74</f>
        <v>181715.96215933733</v>
      </c>
      <c r="R48" s="571">
        <f>R43*'Demand - Ethylene'!$E$74</f>
        <v>173945.78132306217</v>
      </c>
      <c r="S48" s="571">
        <f>S43*'Demand - Ethylene'!$E$74</f>
        <v>166275.0636722107</v>
      </c>
      <c r="T48" s="571">
        <f>T43*'Demand - Ethylene'!$E$74</f>
        <v>158702.80034799976</v>
      </c>
      <c r="U48" s="571">
        <f>U43*'Demand - Ethylene'!$E$74</f>
        <v>151227.99172190294</v>
      </c>
      <c r="V48" s="571">
        <f>V43*'Demand - Ethylene'!$E$74</f>
        <v>143849.64731600045</v>
      </c>
      <c r="W48" s="571">
        <f>W43*'Demand - Ethylene'!$E$74</f>
        <v>136566.78572399105</v>
      </c>
      <c r="X48" s="571">
        <f>X43*'Demand - Ethylene'!$E$74</f>
        <v>129378.43453286037</v>
      </c>
      <c r="Y48" s="571">
        <f>Y43*'Demand - Ethylene'!$E$74</f>
        <v>122095.95487090953</v>
      </c>
      <c r="Z48" s="571">
        <f>Z43*'Demand - Ethylene'!$E$74</f>
        <v>114908.68292083123</v>
      </c>
      <c r="AA48" s="571">
        <f>AA43*'Demand - Ethylene'!$E$74</f>
        <v>107815.64544886097</v>
      </c>
      <c r="AB48" s="571">
        <f>AB43*'Demand - Ethylene'!$E$74</f>
        <v>100815.87816163609</v>
      </c>
      <c r="AC48" s="571">
        <f>AC43*'Demand - Ethylene'!$E$74</f>
        <v>93908.425628855461</v>
      </c>
      <c r="AD48" s="571">
        <f>AD43*'Demand - Ethylene'!$E$74</f>
        <v>87092.341206582772</v>
      </c>
      <c r="AE48" s="571">
        <f>AE43*'Demand - Ethylene'!$E$74</f>
        <v>80366.686961188796</v>
      </c>
      <c r="AF48" s="571">
        <f>AF43*'Demand - Ethylene'!$E$74</f>
        <v>73730.533593926506</v>
      </c>
      <c r="AG48" s="571">
        <f>AG43*'Demand - Ethylene'!$E$74</f>
        <v>67182.960366134706</v>
      </c>
      <c r="AH48" s="571">
        <f>AH43*'Demand - Ethylene'!$E$74</f>
        <v>60723.055025064648</v>
      </c>
      <c r="AI48" s="56"/>
    </row>
    <row r="49" spans="1:35" s="62" customFormat="1">
      <c r="A49" s="608"/>
      <c r="B49" s="58" t="s">
        <v>605</v>
      </c>
      <c r="C49" s="233" t="s">
        <v>1420</v>
      </c>
      <c r="D49" s="528">
        <f>D43*'Demand - Ethylene'!$D$74/'Demand - Ethylene'!$L$24</f>
        <v>21707.02197834033</v>
      </c>
      <c r="E49" s="528">
        <f>E43*'Demand - Ethylene'!$D$74/'Demand - Ethylene'!$L$24</f>
        <v>21026.719407879827</v>
      </c>
      <c r="F49" s="528">
        <f>F43*'Demand - Ethylene'!$D$74/'Demand - Ethylene'!$L$24</f>
        <v>20354.843657943158</v>
      </c>
      <c r="G49" s="528">
        <f>G43*'Demand - Ethylene'!$D$74/'Demand - Ethylene'!$L$24</f>
        <v>19691.310322650403</v>
      </c>
      <c r="H49" s="528">
        <f>H43*'Demand - Ethylene'!$D$74/'Demand - Ethylene'!$L$24</f>
        <v>19036.035763257525</v>
      </c>
      <c r="I49" s="528">
        <f>I43*'Demand - Ethylene'!$D$74/'Demand - Ethylene'!$L$24</f>
        <v>18388.937101563741</v>
      </c>
      <c r="J49" s="528">
        <f>J43*'Demand - Ethylene'!$D$74/'Demand - Ethylene'!$L$24</f>
        <v>17749.932213373453</v>
      </c>
      <c r="K49" s="528">
        <f>K43*'Demand - Ethylene'!$D$74/'Demand - Ethylene'!$L$24</f>
        <v>17118.939722012408</v>
      </c>
      <c r="L49" s="528">
        <f>L43*'Demand - Ethylene'!$D$74/'Demand - Ethylene'!$L$24</f>
        <v>16495.8789918976</v>
      </c>
      <c r="M49" s="528">
        <f>M43*'Demand - Ethylene'!$D$74/'Demand - Ethylene'!$L$24</f>
        <v>15880.670122160493</v>
      </c>
      <c r="N49" s="528">
        <f>N43*'Demand - Ethylene'!$D$74/'Demand - Ethylene'!$L$24</f>
        <v>15273.233940323085</v>
      </c>
      <c r="O49" s="528">
        <f>O43*'Demand - Ethylene'!$D$74/'Demand - Ethylene'!$L$24</f>
        <v>14673.491996026507</v>
      </c>
      <c r="P49" s="528">
        <f>P43*'Demand - Ethylene'!$D$74/'Demand - Ethylene'!$L$24</f>
        <v>14081.36655481158</v>
      </c>
      <c r="Q49" s="528">
        <f>Q43*'Demand - Ethylene'!$D$74/'Demand - Ethylene'!$L$24</f>
        <v>13496.780591951054</v>
      </c>
      <c r="R49" s="528">
        <f>R43*'Demand - Ethylene'!$D$74/'Demand - Ethylene'!$L$24</f>
        <v>12919.657786332958</v>
      </c>
      <c r="S49" s="528">
        <f>S43*'Demand - Ethylene'!$D$74/'Demand - Ethylene'!$L$24</f>
        <v>12349.92251439483</v>
      </c>
      <c r="T49" s="528">
        <f>T43*'Demand - Ethylene'!$D$74/'Demand - Ethylene'!$L$24</f>
        <v>11787.499844108233</v>
      </c>
      <c r="U49" s="528">
        <f>U43*'Demand - Ethylene'!$D$74/'Demand - Ethylene'!$L$24</f>
        <v>11232.31552901328</v>
      </c>
      <c r="V49" s="528">
        <f>V43*'Demand - Ethylene'!$D$74/'Demand - Ethylene'!$L$24</f>
        <v>10684.296002302714</v>
      </c>
      <c r="W49" s="528">
        <f>W43*'Demand - Ethylene'!$D$74/'Demand - Ethylene'!$L$24</f>
        <v>10143.368370955126</v>
      </c>
      <c r="X49" s="528">
        <f>X43*'Demand - Ethylene'!$D$74/'Demand - Ethylene'!$L$24</f>
        <v>9609.4604099169555</v>
      </c>
      <c r="Y49" s="528">
        <f>Y43*'Demand - Ethylene'!$D$74/'Demand - Ethylene'!$L$24</f>
        <v>9068.561146061913</v>
      </c>
      <c r="Z49" s="528">
        <f>Z43*'Demand - Ethylene'!$D$74/'Demand - Ethylene'!$L$24</f>
        <v>8534.7333446284192</v>
      </c>
      <c r="AA49" s="528">
        <f>AA43*'Demand - Ethylene'!$D$74/'Demand - Ethylene'!$L$24</f>
        <v>8007.9047196024785</v>
      </c>
      <c r="AB49" s="528">
        <f>AB43*'Demand - Ethylene'!$D$74/'Demand - Ethylene'!$L$24</f>
        <v>7488.003649009951</v>
      </c>
      <c r="AC49" s="528">
        <f>AC43*'Demand - Ethylene'!$D$74/'Demand - Ethylene'!$L$24</f>
        <v>6974.9591691721826</v>
      </c>
      <c r="AD49" s="528">
        <f>AD43*'Demand - Ethylene'!$D$74/'Demand - Ethylene'!$L$24</f>
        <v>6468.7009690094246</v>
      </c>
      <c r="AE49" s="528">
        <f>AE43*'Demand - Ethylene'!$D$74/'Demand - Ethylene'!$L$24</f>
        <v>5969.159384391718</v>
      </c>
      <c r="AF49" s="528">
        <f>AF43*'Demand - Ethylene'!$D$74/'Demand - Ethylene'!$L$24</f>
        <v>5476.2653925367813</v>
      </c>
      <c r="AG49" s="528">
        <f>AG43*'Demand - Ethylene'!$D$74/'Demand - Ethylene'!$L$24</f>
        <v>4989.9506064545849</v>
      </c>
      <c r="AH49" s="528">
        <f>AH43*'Demand - Ethylene'!$D$74/'Demand - Ethylene'!$L$24</f>
        <v>4510.1472694381882</v>
      </c>
      <c r="AI49" s="234"/>
    </row>
    <row r="50" spans="1:35">
      <c r="A50" s="1" t="s">
        <v>383</v>
      </c>
      <c r="B50" s="54" t="s">
        <v>179</v>
      </c>
      <c r="C50" s="55" t="s">
        <v>1420</v>
      </c>
      <c r="D50" s="571">
        <f>'R&amp;S - Apparel'!E4</f>
        <v>29305.030176899061</v>
      </c>
      <c r="E50" s="571">
        <f>D50*(1+'R&amp;S - Apparel'!$C$5)</f>
        <v>29100.830913616741</v>
      </c>
      <c r="F50" s="571">
        <f>E50*(1+'R&amp;S - Apparel'!$C$5)</f>
        <v>28898.054523434137</v>
      </c>
      <c r="G50" s="571">
        <f>F50*(1+'R&amp;S - Apparel'!$C$5)</f>
        <v>28696.69109168346</v>
      </c>
      <c r="H50" s="571">
        <f>G50*(1+'R&amp;S - Apparel'!$C$5)</f>
        <v>28496.730772782943</v>
      </c>
      <c r="I50" s="571">
        <f>H50*(1+'R&amp;S - Apparel'!$C$5)</f>
        <v>28298.163789755436</v>
      </c>
      <c r="J50" s="571">
        <f>I50*(1+'R&amp;S - Apparel'!$C$5)</f>
        <v>28100.980433750377</v>
      </c>
      <c r="K50" s="571">
        <f>J50*(1+'R&amp;S - Apparel'!$C$5)</f>
        <v>27905.171063569072</v>
      </c>
      <c r="L50" s="571">
        <f>K50*(1+'R&amp;S - Apparel'!$C$5)</f>
        <v>27710.726105193298</v>
      </c>
      <c r="M50" s="571">
        <f>L50*(1+'R&amp;S - Apparel'!$C$5)</f>
        <v>27517.636051317182</v>
      </c>
      <c r="N50" s="571">
        <f>M50*(1+'R&amp;S - Apparel'!$C$5)</f>
        <v>27325.891460882347</v>
      </c>
      <c r="O50" s="571">
        <f>N50*(1+'R&amp;S - Apparel'!$C$5)</f>
        <v>27135.482958616296</v>
      </c>
      <c r="P50" s="571">
        <f>O50*(1+'R&amp;S - Apparel'!$C$5)</f>
        <v>26946.401234574008</v>
      </c>
      <c r="Q50" s="571">
        <f>P50*(1+'R&amp;S - Apparel'!$C$5)</f>
        <v>26758.637043682735</v>
      </c>
      <c r="R50" s="571">
        <f>Q50*(1+'R&amp;S - Apparel'!$C$5)</f>
        <v>26572.18120528997</v>
      </c>
      <c r="S50" s="571">
        <f>R50*(1+'R&amp;S - Apparel'!$C$5)</f>
        <v>26387.024602714559</v>
      </c>
      <c r="T50" s="571">
        <f>S50*(1+'R&amp;S - Apparel'!$C$5)</f>
        <v>26203.158182800948</v>
      </c>
      <c r="U50" s="571">
        <f>T50*(1+'R&amp;S - Apparel'!$C$5)</f>
        <v>26020.572955476531</v>
      </c>
      <c r="V50" s="571">
        <f>U50*(1+'R&amp;S - Apparel'!$C$5)</f>
        <v>25839.25999331208</v>
      </c>
      <c r="W50" s="571">
        <f>V50*(1+'R&amp;S - Apparel'!$C$5)</f>
        <v>25659.210431085252</v>
      </c>
      <c r="X50" s="571">
        <f>W50*(1+'R&amp;S - Apparel'!$C$5)</f>
        <v>25480.41546534712</v>
      </c>
      <c r="Y50" s="571">
        <f>X50*(1+'R&amp;S - Apparel'!$C$5)</f>
        <v>25302.866353991729</v>
      </c>
      <c r="Z50" s="571">
        <f>Y50*(1+'R&amp;S - Apparel'!$C$5)</f>
        <v>25126.554415828668</v>
      </c>
      <c r="AA50" s="571">
        <f>Z50*(1+'R&amp;S - Apparel'!$C$5)</f>
        <v>24951.471030158591</v>
      </c>
      <c r="AB50" s="571">
        <f>AA50*(1+'R&amp;S - Apparel'!$C$5)</f>
        <v>24777.607636351717</v>
      </c>
      <c r="AC50" s="571">
        <f>AB50*(1+'R&amp;S - Apparel'!$C$5)</f>
        <v>24604.955733429269</v>
      </c>
      <c r="AD50" s="571">
        <f>AC50*(1+'R&amp;S - Apparel'!$C$5)</f>
        <v>24433.506879647812</v>
      </c>
      <c r="AE50" s="571">
        <f>AD50*(1+'R&amp;S - Apparel'!$C$5)</f>
        <v>24263.252692086502</v>
      </c>
      <c r="AF50" s="571">
        <f>AE50*(1+'R&amp;S - Apparel'!$C$5)</f>
        <v>24094.184846237211</v>
      </c>
      <c r="AG50" s="571">
        <f>AF50*(1+'R&amp;S - Apparel'!$C$5)</f>
        <v>23926.295075597489</v>
      </c>
      <c r="AH50" s="571">
        <f>AG50*(1+'R&amp;S - Apparel'!$C$5)</f>
        <v>23759.575171266395</v>
      </c>
    </row>
    <row r="51" spans="1:35" outlineLevel="1">
      <c r="B51" s="57" t="s">
        <v>201</v>
      </c>
      <c r="C51" s="50" t="s">
        <v>1420</v>
      </c>
      <c r="D51" s="183">
        <v>0</v>
      </c>
      <c r="E51" s="183">
        <f>E50*'R&amp;S - Apparel'!$C$7*'R&amp;S - Apparel'!$B$13*'R&amp;S - Apparel'!$B$17*('Yearly HC Ethylene'!E$3-'Yearly HC Ethylene'!$D$3)/10</f>
        <v>509.26454098829288</v>
      </c>
      <c r="F51" s="183">
        <f>F50*'R&amp;S - Apparel'!$C$7*'R&amp;S - Apparel'!$B$13*'R&amp;S - Apparel'!$B$17*('Yearly HC Ethylene'!F$3-'Yearly HC Ethylene'!$D$3)/10</f>
        <v>1011.4319083201948</v>
      </c>
      <c r="G51" s="183">
        <f>G50*'R&amp;S - Apparel'!$C$7*'R&amp;S - Apparel'!$B$13*'R&amp;S - Apparel'!$B$17*('Yearly HC Ethylene'!G$3-'Yearly HC Ethylene'!$D$3)/10</f>
        <v>1506.5762823133816</v>
      </c>
      <c r="H51" s="183">
        <f>H50*'R&amp;S - Apparel'!$C$7*'R&amp;S - Apparel'!$B$13*'R&amp;S - Apparel'!$B$17*('Yearly HC Ethylene'!H$3-'Yearly HC Ethylene'!$D$3)/10</f>
        <v>1994.7711540948058</v>
      </c>
      <c r="I51" s="183">
        <f>I50*'R&amp;S - Apparel'!$C$7*'R&amp;S - Apparel'!$B$13*'R&amp;S - Apparel'!$B$17*('Yearly HC Ethylene'!I$3-'Yearly HC Ethylene'!$D$3)/10</f>
        <v>2476.0893316036004</v>
      </c>
      <c r="J51" s="183">
        <f>J50*'R&amp;S - Apparel'!$C$7*'R&amp;S - Apparel'!$B$13*'R&amp;S - Apparel'!$B$17*('Yearly HC Ethylene'!J$3-'Yearly HC Ethylene'!$D$3)/10</f>
        <v>2950.6029455437892</v>
      </c>
      <c r="K51" s="183">
        <f>K50*'R&amp;S - Apparel'!$C$7*'R&amp;S - Apparel'!$B$13*'R&amp;S - Apparel'!$B$17*('Yearly HC Ethylene'!K$3-'Yearly HC Ethylene'!$D$3)/10</f>
        <v>3418.3834552872113</v>
      </c>
      <c r="L51" s="183">
        <f>L50*'R&amp;S - Apparel'!$C$7*'R&amp;S - Apparel'!$B$13*'R&amp;S - Apparel'!$B$17*('Yearly HC Ethylene'!L$3-'Yearly HC Ethylene'!$D$3)/10</f>
        <v>3879.5016547270616</v>
      </c>
      <c r="M51" s="183">
        <f>M50*'R&amp;S - Apparel'!$C$7*'R&amp;S - Apparel'!$B$13*'R&amp;S - Apparel'!$B$17*('Yearly HC Ethylene'!M$3-'Yearly HC Ethylene'!$D$3)/10</f>
        <v>4334.0276780824552</v>
      </c>
      <c r="N51" s="183">
        <f>N50*'R&amp;S - Apparel'!$C$7*'R&amp;S - Apparel'!$B$13*'R&amp;S - Apparel'!$B$17*('Yearly HC Ethylene'!N$3-'Yearly HC Ethylene'!$D$3)/10</f>
        <v>4782.0310056544104</v>
      </c>
      <c r="O51" s="183">
        <f>O50*'R&amp;S - Apparel'!$C$7*'R&amp;S - Apparel'!$B$13*('R&amp;S - Apparel'!$B$17+('R&amp;S - Apparel'!$B$18-'R&amp;S - Apparel'!$B$17)*('Yearly HC Ethylene'!O$3-'Yearly HC Ethylene'!$N$3)/10)</f>
        <v>4884.3869325509331</v>
      </c>
      <c r="P51" s="183">
        <f>P50*'R&amp;S - Apparel'!$C$7*'R&amp;S - Apparel'!$B$13*('R&amp;S - Apparel'!$B$17+('R&amp;S - Apparel'!$B$18-'R&amp;S - Apparel'!$B$17)*('Yearly HC Ethylene'!P$3-'Yearly HC Ethylene'!$N$3)/10)</f>
        <v>4985.0842283961911</v>
      </c>
      <c r="Q51" s="183">
        <f>Q50*'R&amp;S - Apparel'!$C$7*'R&amp;S - Apparel'!$B$13*('R&amp;S - Apparel'!$B$17+('R&amp;S - Apparel'!$B$18-'R&amp;S - Apparel'!$B$17)*('Yearly HC Ethylene'!Q$3-'Yearly HC Ethylene'!$N$3)/10)</f>
        <v>5084.1410382997201</v>
      </c>
      <c r="R51" s="183">
        <f>R50*'R&amp;S - Apparel'!$C$7*'R&amp;S - Apparel'!$B$13*('R&amp;S - Apparel'!$B$17+('R&amp;S - Apparel'!$B$18-'R&amp;S - Apparel'!$B$17)*('Yearly HC Ethylene'!R$3-'Yearly HC Ethylene'!$N$3)/10)</f>
        <v>5181.5753350315445</v>
      </c>
      <c r="S51" s="183">
        <f>S50*'R&amp;S - Apparel'!$C$7*'R&amp;S - Apparel'!$B$13*('R&amp;S - Apparel'!$B$17+('R&amp;S - Apparel'!$B$18-'R&amp;S - Apparel'!$B$17)*('Yearly HC Ethylene'!S$3-'Yearly HC Ethylene'!$N$3)/10)</f>
        <v>5277.4049205429119</v>
      </c>
      <c r="T51" s="183">
        <f>T50*'R&amp;S - Apparel'!$C$7*'R&amp;S - Apparel'!$B$13*('R&amp;S - Apparel'!$B$17+('R&amp;S - Apparel'!$B$18-'R&amp;S - Apparel'!$B$17)*('Yearly HC Ethylene'!T$3-'Yearly HC Ethylene'!$N$3)/10)</f>
        <v>5371.647427474194</v>
      </c>
      <c r="U51" s="183">
        <f>U50*'R&amp;S - Apparel'!$C$7*'R&amp;S - Apparel'!$B$13*('R&amp;S - Apparel'!$B$17+('R&amp;S - Apparel'!$B$18-'R&amp;S - Apparel'!$B$17)*('Yearly HC Ethylene'!U$3-'Yearly HC Ethylene'!$N$3)/10)</f>
        <v>5464.3203206500712</v>
      </c>
      <c r="V51" s="183">
        <f>V50*'R&amp;S - Apparel'!$C$7*'R&amp;S - Apparel'!$B$13*('R&amp;S - Apparel'!$B$17+('R&amp;S - Apparel'!$B$18-'R&amp;S - Apparel'!$B$17)*('Yearly HC Ethylene'!V$3-'Yearly HC Ethylene'!$N$3)/10)</f>
        <v>5555.4408985620976</v>
      </c>
      <c r="W51" s="183">
        <f>W50*'R&amp;S - Apparel'!$C$7*'R&amp;S - Apparel'!$B$13*('R&amp;S - Apparel'!$B$17+('R&amp;S - Apparel'!$B$18-'R&amp;S - Apparel'!$B$17)*('Yearly HC Ethylene'!W$3-'Yearly HC Ethylene'!$N$3)/10)</f>
        <v>5645.0262948387553</v>
      </c>
      <c r="X51" s="183">
        <f>X50*'R&amp;S - Apparel'!$C$7*'R&amp;S - Apparel'!$B$13*('R&amp;S - Apparel'!$B$17+('R&amp;S - Apparel'!$B$18-'R&amp;S - Apparel'!$B$17)*('Yearly HC Ethylene'!X$3-'Yearly HC Ethylene'!$N$3)/10)</f>
        <v>5733.0934797031023</v>
      </c>
      <c r="Y51" s="183">
        <f>Y50*'R&amp;S - Apparel'!$C$7*'R&amp;S - Apparel'!$B$13*('R&amp;S - Apparel'!$B$18+('R&amp;S - Apparel'!$B$19-'R&amp;S - Apparel'!$B$18)*('Yearly HC Ethylene'!Y$3-'Yearly HC Ethylene'!$X$3)/10)</f>
        <v>5756.4020955331189</v>
      </c>
      <c r="Z51" s="183">
        <f>Z50*'R&amp;S - Apparel'!$C$7*'R&amp;S - Apparel'!$B$13*('R&amp;S - Apparel'!$B$18+('R&amp;S - Apparel'!$B$19-'R&amp;S - Apparel'!$B$18)*('Yearly HC Ethylene'!Z$3-'Yearly HC Ethylene'!$X$3)/10)</f>
        <v>5779.1075156405941</v>
      </c>
      <c r="AA51" s="183">
        <f>AA50*'R&amp;S - Apparel'!$C$7*'R&amp;S - Apparel'!$B$13*('R&amp;S - Apparel'!$B$18+('R&amp;S - Apparel'!$B$19-'R&amp;S - Apparel'!$B$18)*('Yearly HC Ethylene'!AA$3-'Yearly HC Ethylene'!$X$3)/10)</f>
        <v>5801.2170145118725</v>
      </c>
      <c r="AB51" s="183">
        <f>AB50*'R&amp;S - Apparel'!$C$7*'R&amp;S - Apparel'!$B$13*('R&amp;S - Apparel'!$B$18+('R&amp;S - Apparel'!$B$19-'R&amp;S - Apparel'!$B$18)*('Yearly HC Ethylene'!AB$3-'Yearly HC Ethylene'!$X$3)/10)</f>
        <v>5822.7377945426542</v>
      </c>
      <c r="AC51" s="183">
        <f>AC50*'R&amp;S - Apparel'!$C$7*'R&amp;S - Apparel'!$B$13*('R&amp;S - Apparel'!$B$18+('R&amp;S - Apparel'!$B$19-'R&amp;S - Apparel'!$B$18)*('Yearly HC Ethylene'!AC$3-'Yearly HC Ethylene'!$X$3)/10)</f>
        <v>5843.676986689451</v>
      </c>
      <c r="AD51" s="183">
        <f>AD50*'R&amp;S - Apparel'!$C$7*'R&amp;S - Apparel'!$B$13*('R&amp;S - Apparel'!$B$18+('R&amp;S - Apparel'!$B$19-'R&amp;S - Apparel'!$B$18)*('Yearly HC Ethylene'!AD$3-'Yearly HC Ethylene'!$X$3)/10)</f>
        <v>5864.0416511154745</v>
      </c>
      <c r="AE51" s="183">
        <f>AE50*'R&amp;S - Apparel'!$C$7*'R&amp;S - Apparel'!$B$13*('R&amp;S - Apparel'!$B$18+('R&amp;S - Apparel'!$B$19-'R&amp;S - Apparel'!$B$18)*('Yearly HC Ethylene'!AE$3-'Yearly HC Ethylene'!$X$3)/10)</f>
        <v>5883.8387778309761</v>
      </c>
      <c r="AF51" s="183">
        <f>AF50*'R&amp;S - Apparel'!$C$7*'R&amp;S - Apparel'!$B$13*('R&amp;S - Apparel'!$B$18+('R&amp;S - Apparel'!$B$19-'R&amp;S - Apparel'!$B$18)*('Yearly HC Ethylene'!AF$3-'Yearly HC Ethylene'!$X$3)/10)</f>
        <v>5903.0752873281162</v>
      </c>
      <c r="AG51" s="183">
        <f>AG50*'R&amp;S - Apparel'!$C$7*'R&amp;S - Apparel'!$B$13*('R&amp;S - Apparel'!$B$18+('R&amp;S - Apparel'!$B$19-'R&amp;S - Apparel'!$B$18)*('Yearly HC Ethylene'!AG$3-'Yearly HC Ethylene'!$X$3)/10)</f>
        <v>5921.7580312103782</v>
      </c>
      <c r="AH51" s="183">
        <f>AH50*'R&amp;S - Apparel'!$C$7*'R&amp;S - Apparel'!$B$13*('R&amp;S - Apparel'!$B$18+('R&amp;S - Apparel'!$B$19-'R&amp;S - Apparel'!$B$18)*('Yearly HC Ethylene'!AH$3-'Yearly HC Ethylene'!$X$3)/10)</f>
        <v>5939.8937928165988</v>
      </c>
    </row>
    <row r="52" spans="1:35" outlineLevel="1">
      <c r="B52" s="57" t="s">
        <v>205</v>
      </c>
      <c r="C52" s="50" t="s">
        <v>1420</v>
      </c>
      <c r="D52" s="183">
        <v>0</v>
      </c>
      <c r="E52" s="183">
        <f>E50*'R&amp;S - Apparel'!$C$8*'R&amp;S - Apparel'!$B$13*'R&amp;S - Apparel'!$C$17*('Yearly HC Ethylene'!E$3-'Yearly HC Ethylene'!$D$3)/10</f>
        <v>197.88565021259387</v>
      </c>
      <c r="F52" s="183">
        <f>F50*'R&amp;S - Apparel'!$C$8*'R&amp;S - Apparel'!$B$13*'R&amp;S - Apparel'!$C$17*('Yearly HC Ethylene'!F$3-'Yearly HC Ethylene'!$D$3)/10</f>
        <v>393.0135415187043</v>
      </c>
      <c r="G52" s="183">
        <f>G50*'R&amp;S - Apparel'!$C$8*'R&amp;S - Apparel'!$B$13*'R&amp;S - Apparel'!$C$17*('Yearly HC Ethylene'!G$3-'Yearly HC Ethylene'!$D$3)/10</f>
        <v>585.41249827034267</v>
      </c>
      <c r="H52" s="183">
        <f>H50*'R&amp;S - Apparel'!$C$8*'R&amp;S - Apparel'!$B$13*'R&amp;S - Apparel'!$C$17*('Yearly HC Ethylene'!H$3-'Yearly HC Ethylene'!$D$3)/10</f>
        <v>775.11107701969615</v>
      </c>
      <c r="I52" s="183">
        <f>I50*'R&amp;S - Apparel'!$C$8*'R&amp;S - Apparel'!$B$13*'R&amp;S - Apparel'!$C$17*('Yearly HC Ethylene'!I$3-'Yearly HC Ethylene'!$D$3)/10</f>
        <v>962.13756885168516</v>
      </c>
      <c r="J52" s="183">
        <f>J50*'R&amp;S - Apparel'!$C$8*'R&amp;S - Apparel'!$B$13*'R&amp;S - Apparel'!$C$17*('Yearly HC Ethylene'!J$3-'Yearly HC Ethylene'!$D$3)/10</f>
        <v>1146.5200016970155</v>
      </c>
      <c r="K52" s="183">
        <f>K50*'R&amp;S - Apparel'!$C$8*'R&amp;S - Apparel'!$B$13*'R&amp;S - Apparel'!$C$17*('Yearly HC Ethylene'!K$3-'Yearly HC Ethylene'!$D$3)/10</f>
        <v>1328.286142625888</v>
      </c>
      <c r="L52" s="183">
        <f>L50*'R&amp;S - Apparel'!$C$8*'R&amp;S - Apparel'!$B$13*'R&amp;S - Apparel'!$C$17*('Yearly HC Ethylene'!L$3-'Yearly HC Ethylene'!$D$3)/10</f>
        <v>1507.4635001225156</v>
      </c>
      <c r="M52" s="183">
        <f>M50*'R&amp;S - Apparel'!$C$8*'R&amp;S - Apparel'!$B$13*'R&amp;S - Apparel'!$C$17*('Yearly HC Ethylene'!M$3-'Yearly HC Ethylene'!$D$3)/10</f>
        <v>1684.0793263406117</v>
      </c>
      <c r="N52" s="183">
        <f>N50*'R&amp;S - Apparel'!$C$8*'R&amp;S - Apparel'!$B$13*'R&amp;S - Apparel'!$C$17*('Yearly HC Ethylene'!N$3-'Yearly HC Ethylene'!$D$3)/10</f>
        <v>1858.1606193399998</v>
      </c>
      <c r="O52" s="183">
        <f>O50*'R&amp;S - Apparel'!$C$8*'R&amp;S - Apparel'!$B$13*('R&amp;S - Apparel'!$C$17+('R&amp;S - Apparel'!$C$18-'R&amp;S - Apparel'!$C$17)*('Yearly HC Ethylene'!O$3-'Yearly HC Ethylene'!$N$3)/10)</f>
        <v>2121.9947673637944</v>
      </c>
      <c r="P52" s="183">
        <f>P50*'R&amp;S - Apparel'!$C$8*'R&amp;S - Apparel'!$B$13*('R&amp;S - Apparel'!$C$17+('R&amp;S - Apparel'!$C$18-'R&amp;S - Apparel'!$C$17)*('Yearly HC Ethylene'!P$3-'Yearly HC Ethylene'!$N$3)/10)</f>
        <v>2382.0618691363429</v>
      </c>
      <c r="Q52" s="183">
        <f>Q50*'R&amp;S - Apparel'!$C$8*'R&amp;S - Apparel'!$B$13*('R&amp;S - Apparel'!$C$17+('R&amp;S - Apparel'!$C$18-'R&amp;S - Apparel'!$C$17)*('Yearly HC Ethylene'!Q$3-'Yearly HC Ethylene'!$N$3)/10)</f>
        <v>2638.401612507118</v>
      </c>
      <c r="R52" s="183">
        <f>R50*'R&amp;S - Apparel'!$C$8*'R&amp;S - Apparel'!$B$13*('R&amp;S - Apparel'!$C$17+('R&amp;S - Apparel'!$C$18-'R&amp;S - Apparel'!$C$17)*('Yearly HC Ethylene'!R$3-'Yearly HC Ethylene'!$N$3)/10)</f>
        <v>2891.0533151355489</v>
      </c>
      <c r="S52" s="183">
        <f>S50*'R&amp;S - Apparel'!$C$8*'R&amp;S - Apparel'!$B$13*('R&amp;S - Apparel'!$C$17+('R&amp;S - Apparel'!$C$18-'R&amp;S - Apparel'!$C$17)*('Yearly HC Ethylene'!S$3-'Yearly HC Ethylene'!$N$3)/10)</f>
        <v>3140.0559277230327</v>
      </c>
      <c r="T52" s="183">
        <f>T50*'R&amp;S - Apparel'!$C$8*'R&amp;S - Apparel'!$B$13*('R&amp;S - Apparel'!$C$17+('R&amp;S - Apparel'!$C$18-'R&amp;S - Apparel'!$C$17)*('Yearly HC Ethylene'!T$3-'Yearly HC Ethylene'!$N$3)/10)</f>
        <v>3385.4480372178828</v>
      </c>
      <c r="U52" s="183">
        <f>U50*'R&amp;S - Apparel'!$C$8*'R&amp;S - Apparel'!$B$13*('R&amp;S - Apparel'!$C$17+('R&amp;S - Apparel'!$C$18-'R&amp;S - Apparel'!$C$17)*('Yearly HC Ethylene'!U$3-'Yearly HC Ethylene'!$N$3)/10)</f>
        <v>3627.267869993429</v>
      </c>
      <c r="V52" s="183">
        <f>V50*'R&amp;S - Apparel'!$C$8*'R&amp;S - Apparel'!$B$13*('R&amp;S - Apparel'!$C$17+('R&amp;S - Apparel'!$C$18-'R&amp;S - Apparel'!$C$17)*('Yearly HC Ethylene'!V$3-'Yearly HC Ethylene'!$N$3)/10)</f>
        <v>3865.5532949994872</v>
      </c>
      <c r="W52" s="183">
        <f>W50*'R&amp;S - Apparel'!$C$8*'R&amp;S - Apparel'!$B$13*('R&amp;S - Apparel'!$C$17+('R&amp;S - Apparel'!$C$18-'R&amp;S - Apparel'!$C$17)*('Yearly HC Ethylene'!W$3-'Yearly HC Ethylene'!$N$3)/10)</f>
        <v>4100.3418268874229</v>
      </c>
      <c r="X52" s="183">
        <f>X50*'R&amp;S - Apparel'!$C$8*'R&amp;S - Apparel'!$B$13*('R&amp;S - Apparel'!$C$17+('R&amp;S - Apparel'!$C$18-'R&amp;S - Apparel'!$C$17)*('Yearly HC Ethylene'!X$3-'Yearly HC Ethylene'!$N$3)/10)</f>
        <v>4331.6706291090104</v>
      </c>
      <c r="Y52" s="183">
        <f>Y50*'R&amp;S - Apparel'!$C$8*'R&amp;S - Apparel'!$B$13*('R&amp;S - Apparel'!$C$18+('R&amp;S - Apparel'!$C$19-'R&amp;S - Apparel'!$C$18)*('Yearly HC Ethylene'!Y$3-'Yearly HC Ethylene'!$X$3)/10)</f>
        <v>4731.636008196454</v>
      </c>
      <c r="Z52" s="183">
        <f>Z50*'R&amp;S - Apparel'!$C$8*'R&amp;S - Apparel'!$B$13*('R&amp;S - Apparel'!$C$18+('R&amp;S - Apparel'!$C$19-'R&amp;S - Apparel'!$C$18)*('Yearly HC Ethylene'!Z$3-'Yearly HC Ethylene'!$X$3)/10)</f>
        <v>5125.8171008290492</v>
      </c>
      <c r="AA52" s="183">
        <f>AA50*'R&amp;S - Apparel'!$C$8*'R&amp;S - Apparel'!$B$13*('R&amp;S - Apparel'!$C$18+('R&amp;S - Apparel'!$C$19-'R&amp;S - Apparel'!$C$18)*('Yearly HC Ethylene'!AA$3-'Yearly HC Ethylene'!$X$3)/10)</f>
        <v>5514.2750976650495</v>
      </c>
      <c r="AB52" s="183">
        <f>AB50*'R&amp;S - Apparel'!$C$8*'R&amp;S - Apparel'!$B$13*('R&amp;S - Apparel'!$C$18+('R&amp;S - Apparel'!$C$19-'R&amp;S - Apparel'!$C$18)*('Yearly HC Ethylene'!AB$3-'Yearly HC Ethylene'!$X$3)/10)</f>
        <v>5897.0706174517081</v>
      </c>
      <c r="AC52" s="183">
        <f>AC50*'R&amp;S - Apparel'!$C$8*'R&amp;S - Apparel'!$B$13*('R&amp;S - Apparel'!$C$18+('R&amp;S - Apparel'!$C$19-'R&amp;S - Apparel'!$C$18)*('Yearly HC Ethylene'!AC$3-'Yearly HC Ethylene'!$X$3)/10)</f>
        <v>6274.2637120244635</v>
      </c>
      <c r="AD52" s="183">
        <f>AD50*'R&amp;S - Apparel'!$C$8*'R&amp;S - Apparel'!$B$13*('R&amp;S - Apparel'!$C$18+('R&amp;S - Apparel'!$C$19-'R&amp;S - Apparel'!$C$18)*('Yearly HC Ethylene'!AD$3-'Yearly HC Ethylene'!$X$3)/10)</f>
        <v>6645.9138712642061</v>
      </c>
      <c r="AE52" s="183">
        <f>AE50*'R&amp;S - Apparel'!$C$8*'R&amp;S - Apparel'!$B$13*('R&amp;S - Apparel'!$C$18+('R&amp;S - Apparel'!$C$19-'R&amp;S - Apparel'!$C$18)*('Yearly HC Ethylene'!AE$3-'Yearly HC Ethylene'!$X$3)/10)</f>
        <v>7012.0800280129997</v>
      </c>
      <c r="AF52" s="183">
        <f>AF50*'R&amp;S - Apparel'!$C$8*'R&amp;S - Apparel'!$B$13*('R&amp;S - Apparel'!$C$18+('R&amp;S - Apparel'!$C$19-'R&amp;S - Apparel'!$C$18)*('Yearly HC Ethylene'!AF$3-'Yearly HC Ethylene'!$X$3)/10)</f>
        <v>7372.8205629485874</v>
      </c>
      <c r="AG52" s="183">
        <f>AG50*'R&amp;S - Apparel'!$C$8*'R&amp;S - Apparel'!$B$13*('R&amp;S - Apparel'!$C$18+('R&amp;S - Apparel'!$C$19-'R&amp;S - Apparel'!$C$18)*('Yearly HC Ethylene'!AG$3-'Yearly HC Ethylene'!$X$3)/10)</f>
        <v>7728.1933094179894</v>
      </c>
      <c r="AH52" s="183">
        <f>AH50*'R&amp;S - Apparel'!$C$8*'R&amp;S - Apparel'!$B$13*('R&amp;S - Apparel'!$C$18+('R&amp;S - Apparel'!$C$19-'R&amp;S - Apparel'!$C$18)*('Yearly HC Ethylene'!AH$3-'Yearly HC Ethylene'!$X$3)/10)</f>
        <v>8078.2555582305749</v>
      </c>
    </row>
    <row r="53" spans="1:35" outlineLevel="1">
      <c r="B53" s="1" t="s">
        <v>169</v>
      </c>
      <c r="C53" s="50" t="s">
        <v>1420</v>
      </c>
      <c r="D53" s="183">
        <f>SUM(D51:D52)</f>
        <v>0</v>
      </c>
      <c r="E53" s="183">
        <f t="shared" ref="E53:AH53" si="12">SUM(E51:E52)</f>
        <v>707.15019120088675</v>
      </c>
      <c r="F53" s="183">
        <f t="shared" si="12"/>
        <v>1404.4454498388991</v>
      </c>
      <c r="G53" s="183">
        <f t="shared" si="12"/>
        <v>2091.9887805837243</v>
      </c>
      <c r="H53" s="183">
        <f t="shared" si="12"/>
        <v>2769.8822311145018</v>
      </c>
      <c r="I53" s="183">
        <f t="shared" si="12"/>
        <v>3438.2269004552854</v>
      </c>
      <c r="J53" s="183">
        <f t="shared" si="12"/>
        <v>4097.1229472408049</v>
      </c>
      <c r="K53" s="183">
        <f t="shared" si="12"/>
        <v>4746.6695979130991</v>
      </c>
      <c r="L53" s="183">
        <f t="shared" si="12"/>
        <v>5386.9651548495767</v>
      </c>
      <c r="M53" s="183">
        <f t="shared" si="12"/>
        <v>6018.1070044230673</v>
      </c>
      <c r="N53" s="183">
        <f t="shared" si="12"/>
        <v>6640.1916249944097</v>
      </c>
      <c r="O53" s="183">
        <f t="shared" si="12"/>
        <v>7006.3816999147275</v>
      </c>
      <c r="P53" s="183">
        <f t="shared" si="12"/>
        <v>7367.1460975325335</v>
      </c>
      <c r="Q53" s="183">
        <f t="shared" si="12"/>
        <v>7722.5426508068376</v>
      </c>
      <c r="R53" s="183">
        <f t="shared" si="12"/>
        <v>8072.6286501670929</v>
      </c>
      <c r="S53" s="183">
        <f t="shared" si="12"/>
        <v>8417.4608482659442</v>
      </c>
      <c r="T53" s="183">
        <f t="shared" si="12"/>
        <v>8757.0954646920763</v>
      </c>
      <c r="U53" s="183">
        <f t="shared" si="12"/>
        <v>9091.5881906435006</v>
      </c>
      <c r="V53" s="183">
        <f t="shared" si="12"/>
        <v>9420.9941935615843</v>
      </c>
      <c r="W53" s="183">
        <f t="shared" si="12"/>
        <v>9745.3681217261783</v>
      </c>
      <c r="X53" s="183">
        <f t="shared" si="12"/>
        <v>10064.764108812113</v>
      </c>
      <c r="Y53" s="183">
        <f t="shared" si="12"/>
        <v>10488.038103729574</v>
      </c>
      <c r="Z53" s="183">
        <f t="shared" si="12"/>
        <v>10904.924616469643</v>
      </c>
      <c r="AA53" s="183">
        <f t="shared" si="12"/>
        <v>11315.492112176922</v>
      </c>
      <c r="AB53" s="183">
        <f t="shared" si="12"/>
        <v>11719.808411994363</v>
      </c>
      <c r="AC53" s="183">
        <f t="shared" si="12"/>
        <v>12117.940698713915</v>
      </c>
      <c r="AD53" s="183">
        <f t="shared" si="12"/>
        <v>12509.955522379681</v>
      </c>
      <c r="AE53" s="183">
        <f t="shared" si="12"/>
        <v>12895.918805843976</v>
      </c>
      <c r="AF53" s="183">
        <f t="shared" si="12"/>
        <v>13275.895850276704</v>
      </c>
      <c r="AG53" s="183">
        <f t="shared" si="12"/>
        <v>13649.951340628368</v>
      </c>
      <c r="AH53" s="183">
        <f t="shared" si="12"/>
        <v>14018.149351047174</v>
      </c>
    </row>
    <row r="54" spans="1:35" outlineLevel="1">
      <c r="B54" s="1" t="s">
        <v>172</v>
      </c>
      <c r="C54" s="50" t="s">
        <v>1420</v>
      </c>
      <c r="D54" s="183">
        <v>0</v>
      </c>
      <c r="E54" s="183">
        <f>E50*'R&amp;S - Apparel'!$C$10*'R&amp;S - Apparel'!$B$13*'R&amp;S - Apparel'!$D$17*(E$3-$D$3)/10</f>
        <v>192.0654840298705</v>
      </c>
      <c r="F54" s="183">
        <f>F50*'R&amp;S - Apparel'!$C$10*'R&amp;S - Apparel'!$B$13*'R&amp;S - Apparel'!$D$17*(F$3-$D$3)/10</f>
        <v>381.45431970933066</v>
      </c>
      <c r="G54" s="183">
        <f>G50*'R&amp;S - Apparel'!$C$10*'R&amp;S - Apparel'!$B$13*'R&amp;S - Apparel'!$D$17*(G$3-$D$3)/10</f>
        <v>568.1944836153325</v>
      </c>
      <c r="H54" s="183">
        <f>H50*'R&amp;S - Apparel'!$C$10*'R&amp;S - Apparel'!$B$13*'R&amp;S - Apparel'!$D$17*(H$3-$D$3)/10</f>
        <v>752.31369240146978</v>
      </c>
      <c r="I54" s="183">
        <f>I50*'R&amp;S - Apparel'!$C$10*'R&amp;S - Apparel'!$B$13*'R&amp;S - Apparel'!$D$17*(I$3-$D$3)/10</f>
        <v>933.83940506192937</v>
      </c>
      <c r="J54" s="183">
        <f>J50*'R&amp;S - Apparel'!$C$10*'R&amp;S - Apparel'!$B$13*'R&amp;S - Apparel'!$D$17*(J$3-$D$3)/10</f>
        <v>1112.798825176515</v>
      </c>
      <c r="K54" s="183">
        <f>K50*'R&amp;S - Apparel'!$C$10*'R&amp;S - Apparel'!$B$13*'R&amp;S - Apparel'!$D$17*(K$3-$D$3)/10</f>
        <v>1289.2189031368912</v>
      </c>
      <c r="L54" s="183">
        <f>L50*'R&amp;S - Apparel'!$C$10*'R&amp;S - Apparel'!$B$13*'R&amp;S - Apparel'!$D$17*(L$3-$D$3)/10</f>
        <v>1463.1263383542062</v>
      </c>
      <c r="M54" s="183">
        <f>M50*'R&amp;S - Apparel'!$C$10*'R&amp;S - Apparel'!$B$13*'R&amp;S - Apparel'!$D$17*(M$3-$D$3)/10</f>
        <v>1634.5475814482411</v>
      </c>
      <c r="N54" s="183">
        <f>N50*'R&amp;S - Apparel'!$C$10*'R&amp;S - Apparel'!$B$13*'R&amp;S - Apparel'!$D$17*(N$3-$D$3)/10</f>
        <v>1803.5088364182352</v>
      </c>
      <c r="O54" s="183">
        <f>O50*'R&amp;S - Apparel'!$C$10*'R&amp;S - Apparel'!$B$13*('R&amp;S - Apparel'!$D$17+('R&amp;S - Apparel'!$D$18-'R&amp;S - Apparel'!$D$17)*(O$3-$N$3)/10)</f>
        <v>1970.0360627955433</v>
      </c>
      <c r="P54" s="183">
        <f>P50*'R&amp;S - Apparel'!$C$10*'R&amp;S - Apparel'!$B$13*('R&amp;S - Apparel'!$D$17+('R&amp;S - Apparel'!$D$18-'R&amp;S - Apparel'!$D$17)*(P$3-$N$3)/10)</f>
        <v>2134.1549777782616</v>
      </c>
      <c r="Q54" s="183">
        <f>Q50*'R&amp;S - Apparel'!$C$10*'R&amp;S - Apparel'!$B$13*('R&amp;S - Apparel'!$D$17+('R&amp;S - Apparel'!$D$18-'R&amp;S - Apparel'!$D$17)*(Q$3-$N$3)/10)</f>
        <v>2295.8910583479792</v>
      </c>
      <c r="R54" s="183">
        <f>R50*'R&amp;S - Apparel'!$C$10*'R&amp;S - Apparel'!$B$13*('R&amp;S - Apparel'!$D$17+('R&amp;S - Apparel'!$D$18-'R&amp;S - Apparel'!$D$17)*(R$3-$N$3)/10)</f>
        <v>2455.2695433687936</v>
      </c>
      <c r="S54" s="183">
        <f>S50*'R&amp;S - Apparel'!$C$10*'R&amp;S - Apparel'!$B$13*('R&amp;S - Apparel'!$D$17+('R&amp;S - Apparel'!$D$18-'R&amp;S - Apparel'!$D$17)*(S$3-$N$3)/10)</f>
        <v>2612.3154356687414</v>
      </c>
      <c r="T54" s="183">
        <f>T50*'R&amp;S - Apparel'!$C$10*'R&amp;S - Apparel'!$B$13*('R&amp;S - Apparel'!$D$17+('R&amp;S - Apparel'!$D$18-'R&amp;S - Apparel'!$D$17)*(T$3-$N$3)/10)</f>
        <v>2767.0535041037801</v>
      </c>
      <c r="U54" s="183">
        <f>U50*'R&amp;S - Apparel'!$C$10*'R&amp;S - Apparel'!$B$13*('R&amp;S - Apparel'!$D$17+('R&amp;S - Apparel'!$D$18-'R&amp;S - Apparel'!$D$17)*(U$3-$N$3)/10)</f>
        <v>2919.5082856044673</v>
      </c>
      <c r="V54" s="183">
        <f>V50*'R&amp;S - Apparel'!$C$10*'R&amp;S - Apparel'!$B$13*('R&amp;S - Apparel'!$D$17+('R&amp;S - Apparel'!$D$18-'R&amp;S - Apparel'!$D$17)*(V$3-$N$3)/10)</f>
        <v>3069.7040872054754</v>
      </c>
      <c r="W54" s="183">
        <f>W50*'R&amp;S - Apparel'!$C$10*'R&amp;S - Apparel'!$B$13*('R&amp;S - Apparel'!$D$17+('R&amp;S - Apparel'!$D$18-'R&amp;S - Apparel'!$D$17)*(W$3-$N$3)/10)</f>
        <v>3217.6649880580908</v>
      </c>
      <c r="X54" s="183">
        <f>X50*'R&amp;S - Apparel'!$C$10*'R&amp;S - Apparel'!$B$13*('R&amp;S - Apparel'!$D$17+('R&amp;S - Apparel'!$D$18-'R&amp;S - Apparel'!$D$17)*(X$3-$N$3)/10)</f>
        <v>3363.4148414258202</v>
      </c>
      <c r="Y54" s="183">
        <f>Y50*'R&amp;S - Apparel'!$C$10*'R&amp;S - Apparel'!$B$13*('R&amp;S - Apparel'!$D$18+('R&amp;S - Apparel'!$D$19-'R&amp;S - Apparel'!$D$18)*(Y$3-$X$3)/10)</f>
        <v>3512.0378499340527</v>
      </c>
      <c r="Z54" s="183">
        <f>Z50*'R&amp;S - Apparel'!$C$10*'R&amp;S - Apparel'!$B$13*('R&amp;S - Apparel'!$D$18+('R&amp;S - Apparel'!$D$19-'R&amp;S - Apparel'!$D$18)*(Z$3-$X$3)/10)</f>
        <v>3658.4263229446542</v>
      </c>
      <c r="AA54" s="183">
        <f>AA50*'R&amp;S - Apparel'!$C$10*'R&amp;S - Apparel'!$B$13*('R&amp;S - Apparel'!$D$18+('R&amp;S - Apparel'!$D$19-'R&amp;S - Apparel'!$D$18)*(AA$3-$X$3)/10)</f>
        <v>3802.6041849961694</v>
      </c>
      <c r="AB54" s="183">
        <f>AB50*'R&amp;S - Apparel'!$C$10*'R&amp;S - Apparel'!$B$13*('R&amp;S - Apparel'!$D$18+('R&amp;S - Apparel'!$D$19-'R&amp;S - Apparel'!$D$18)*(AB$3-$X$3)/10)</f>
        <v>3944.5951357071935</v>
      </c>
      <c r="AC54" s="183">
        <f>AC50*'R&amp;S - Apparel'!$C$10*'R&amp;S - Apparel'!$B$13*('R&amp;S - Apparel'!$D$18+('R&amp;S - Apparel'!$D$19-'R&amp;S - Apparel'!$D$18)*(AC$3-$X$3)/10)</f>
        <v>4084.4226517492589</v>
      </c>
      <c r="AD54" s="183">
        <f>AD50*'R&amp;S - Apparel'!$C$10*'R&amp;S - Apparel'!$B$13*('R&amp;S - Apparel'!$D$18+('R&amp;S - Apparel'!$D$19-'R&amp;S - Apparel'!$D$18)*(AD$3-$X$3)/10)</f>
        <v>4222.1099888031422</v>
      </c>
      <c r="AE54" s="183">
        <f>AE50*'R&amp;S - Apparel'!$C$10*'R&amp;S - Apparel'!$B$13*('R&amp;S - Apparel'!$D$18+('R&amp;S - Apparel'!$D$19-'R&amp;S - Apparel'!$D$18)*(AE$3-$X$3)/10)</f>
        <v>4357.6801834987364</v>
      </c>
      <c r="AF54" s="183">
        <f>AF50*'R&amp;S - Apparel'!$C$10*'R&amp;S - Apparel'!$B$13*('R&amp;S - Apparel'!$D$18+('R&amp;S - Apparel'!$D$19-'R&amp;S - Apparel'!$D$18)*(AF$3-$X$3)/10)</f>
        <v>4491.1560553386162</v>
      </c>
      <c r="AG54" s="183">
        <f>AG50*'R&amp;S - Apparel'!$C$10*'R&amp;S - Apparel'!$B$13*('R&amp;S - Apparel'!$D$18+('R&amp;S - Apparel'!$D$19-'R&amp;S - Apparel'!$D$18)*(AG$3-$X$3)/10)</f>
        <v>4622.560208605435</v>
      </c>
      <c r="AH54" s="183">
        <f>AH50*'R&amp;S - Apparel'!$C$10*'R&amp;S - Apparel'!$B$13*('R&amp;S - Apparel'!$D$18+('R&amp;S - Apparel'!$D$19-'R&amp;S - Apparel'!$D$18)*(AH$3-$X$3)/10)</f>
        <v>4751.9150342532794</v>
      </c>
    </row>
    <row r="55" spans="1:35">
      <c r="B55" s="1" t="s">
        <v>200</v>
      </c>
      <c r="C55" s="60" t="s">
        <v>1420</v>
      </c>
      <c r="D55" s="574">
        <f>D50-D53-D54</f>
        <v>29305.030176899061</v>
      </c>
      <c r="E55" s="574">
        <f t="shared" ref="E55:AG55" si="13">E50-E53-E54</f>
        <v>28201.615238385984</v>
      </c>
      <c r="F55" s="574">
        <f t="shared" si="13"/>
        <v>27112.154753885909</v>
      </c>
      <c r="G55" s="574">
        <f t="shared" si="13"/>
        <v>26036.507827484405</v>
      </c>
      <c r="H55" s="574">
        <f t="shared" si="13"/>
        <v>24974.534849266973</v>
      </c>
      <c r="I55" s="574">
        <f t="shared" si="13"/>
        <v>23926.097484238224</v>
      </c>
      <c r="J55" s="574">
        <f t="shared" si="13"/>
        <v>22891.058661333056</v>
      </c>
      <c r="K55" s="574">
        <f t="shared" si="13"/>
        <v>21869.282562519082</v>
      </c>
      <c r="L55" s="574">
        <f t="shared" si="13"/>
        <v>20860.634611989513</v>
      </c>
      <c r="M55" s="574">
        <f t="shared" si="13"/>
        <v>19864.981465445875</v>
      </c>
      <c r="N55" s="574">
        <f t="shared" si="13"/>
        <v>18882.190999469702</v>
      </c>
      <c r="O55" s="574">
        <f t="shared" si="13"/>
        <v>18159.065195906027</v>
      </c>
      <c r="P55" s="574">
        <f t="shared" si="13"/>
        <v>17445.100159263213</v>
      </c>
      <c r="Q55" s="574">
        <f t="shared" si="13"/>
        <v>16740.20333452792</v>
      </c>
      <c r="R55" s="574">
        <f t="shared" si="13"/>
        <v>16044.283011754085</v>
      </c>
      <c r="S55" s="574">
        <f t="shared" si="13"/>
        <v>15357.248318779875</v>
      </c>
      <c r="T55" s="574">
        <f t="shared" si="13"/>
        <v>14679.009214005091</v>
      </c>
      <c r="U55" s="574">
        <f t="shared" si="13"/>
        <v>14009.476479228564</v>
      </c>
      <c r="V55" s="574">
        <f t="shared" si="13"/>
        <v>13348.561712545019</v>
      </c>
      <c r="W55" s="574">
        <f t="shared" si="13"/>
        <v>12696.177321300984</v>
      </c>
      <c r="X55" s="574">
        <f t="shared" si="13"/>
        <v>12052.236515109187</v>
      </c>
      <c r="Y55" s="574">
        <f t="shared" si="13"/>
        <v>11302.790400328102</v>
      </c>
      <c r="Z55" s="574">
        <f t="shared" si="13"/>
        <v>10563.203476414372</v>
      </c>
      <c r="AA55" s="574">
        <f t="shared" si="13"/>
        <v>9833.3747329854996</v>
      </c>
      <c r="AB55" s="574">
        <f t="shared" si="13"/>
        <v>9113.20408865016</v>
      </c>
      <c r="AC55" s="574">
        <f t="shared" si="13"/>
        <v>8402.5923829660951</v>
      </c>
      <c r="AD55" s="574">
        <f t="shared" si="13"/>
        <v>7701.441368464988</v>
      </c>
      <c r="AE55" s="574">
        <f t="shared" si="13"/>
        <v>7009.6537027437898</v>
      </c>
      <c r="AF55" s="574">
        <f t="shared" si="13"/>
        <v>6327.1329406218911</v>
      </c>
      <c r="AG55" s="574">
        <f t="shared" si="13"/>
        <v>5653.7835263636862</v>
      </c>
      <c r="AH55" s="574">
        <f>AH50-AH53-AH54</f>
        <v>4989.510785965942</v>
      </c>
    </row>
    <row r="56" spans="1:35" s="61" customFormat="1">
      <c r="A56" s="606" t="s">
        <v>608</v>
      </c>
      <c r="B56" s="54" t="s">
        <v>141</v>
      </c>
      <c r="C56" s="55" t="s">
        <v>1420</v>
      </c>
      <c r="D56" s="571">
        <f>D55*('Demand - Ethylene'!$C$77)</f>
        <v>0</v>
      </c>
      <c r="E56" s="571">
        <f>E55*('Demand - Ethylene'!$C$77)</f>
        <v>0</v>
      </c>
      <c r="F56" s="571">
        <f>F55*('Demand - Ethylene'!$C$77)</f>
        <v>0</v>
      </c>
      <c r="G56" s="571">
        <f>G55*('Demand - Ethylene'!$C$77)</f>
        <v>0</v>
      </c>
      <c r="H56" s="571">
        <f>H55*('Demand - Ethylene'!$C$77)</f>
        <v>0</v>
      </c>
      <c r="I56" s="571">
        <f>I55*('Demand - Ethylene'!$C$77)</f>
        <v>0</v>
      </c>
      <c r="J56" s="571">
        <f>J55*('Demand - Ethylene'!$C$77)</f>
        <v>0</v>
      </c>
      <c r="K56" s="571">
        <f>K55*('Demand - Ethylene'!$C$77)</f>
        <v>0</v>
      </c>
      <c r="L56" s="571">
        <f>L55*('Demand - Ethylene'!$C$77)</f>
        <v>0</v>
      </c>
      <c r="M56" s="571">
        <f>M55*('Demand - Ethylene'!$C$77)</f>
        <v>0</v>
      </c>
      <c r="N56" s="571">
        <f>N55*('Demand - Ethylene'!$C$77)</f>
        <v>0</v>
      </c>
      <c r="O56" s="571">
        <f>O55*('Demand - Ethylene'!$C$77)</f>
        <v>0</v>
      </c>
      <c r="P56" s="571">
        <f>P55*('Demand - Ethylene'!$C$77)</f>
        <v>0</v>
      </c>
      <c r="Q56" s="571">
        <f>Q55*('Demand - Ethylene'!$C$77)</f>
        <v>0</v>
      </c>
      <c r="R56" s="571">
        <f>R55*('Demand - Ethylene'!$C$77)</f>
        <v>0</v>
      </c>
      <c r="S56" s="571">
        <f>S55*('Demand - Ethylene'!$C$77)</f>
        <v>0</v>
      </c>
      <c r="T56" s="571">
        <f>T55*('Demand - Ethylene'!$C$77)</f>
        <v>0</v>
      </c>
      <c r="U56" s="571">
        <f>U55*('Demand - Ethylene'!$C$77)</f>
        <v>0</v>
      </c>
      <c r="V56" s="571">
        <f>V55*('Demand - Ethylene'!$C$77)</f>
        <v>0</v>
      </c>
      <c r="W56" s="571">
        <f>W55*('Demand - Ethylene'!$C$77)</f>
        <v>0</v>
      </c>
      <c r="X56" s="571">
        <f>X55*('Demand - Ethylene'!$C$77)</f>
        <v>0</v>
      </c>
      <c r="Y56" s="571">
        <f>Y55*('Demand - Ethylene'!$C$77)</f>
        <v>0</v>
      </c>
      <c r="Z56" s="571">
        <f>Z55*('Demand - Ethylene'!$C$77)</f>
        <v>0</v>
      </c>
      <c r="AA56" s="571">
        <f>AA55*('Demand - Ethylene'!$C$77)</f>
        <v>0</v>
      </c>
      <c r="AB56" s="571">
        <f>AB55*('Demand - Ethylene'!$C$77)</f>
        <v>0</v>
      </c>
      <c r="AC56" s="571">
        <f>AC55*('Demand - Ethylene'!$C$77)</f>
        <v>0</v>
      </c>
      <c r="AD56" s="571">
        <f>AD55*('Demand - Ethylene'!$C$77)</f>
        <v>0</v>
      </c>
      <c r="AE56" s="571">
        <f>AE55*('Demand - Ethylene'!$C$77)</f>
        <v>0</v>
      </c>
      <c r="AF56" s="571">
        <f>AF55*('Demand - Ethylene'!$C$77)</f>
        <v>0</v>
      </c>
      <c r="AG56" s="571">
        <f>AG55*('Demand - Ethylene'!$C$77)</f>
        <v>0</v>
      </c>
      <c r="AH56" s="571">
        <f>AH55*('Demand - Ethylene'!$C$77)</f>
        <v>0</v>
      </c>
      <c r="AI56" s="56"/>
    </row>
    <row r="57" spans="1:35">
      <c r="A57" s="607"/>
      <c r="B57" s="1" t="s">
        <v>18</v>
      </c>
      <c r="C57" s="50" t="s">
        <v>1420</v>
      </c>
      <c r="D57" s="183">
        <f>D61</f>
        <v>29305.030176899061</v>
      </c>
      <c r="E57" s="183">
        <f t="shared" ref="E57:AH57" si="14">E61</f>
        <v>28201.615238385984</v>
      </c>
      <c r="F57" s="183">
        <f t="shared" si="14"/>
        <v>27112.154753885909</v>
      </c>
      <c r="G57" s="183">
        <f t="shared" si="14"/>
        <v>26036.507827484405</v>
      </c>
      <c r="H57" s="183">
        <f t="shared" si="14"/>
        <v>24974.534849266973</v>
      </c>
      <c r="I57" s="183">
        <f t="shared" si="14"/>
        <v>23926.097484238224</v>
      </c>
      <c r="J57" s="183">
        <f t="shared" si="14"/>
        <v>22891.058661333056</v>
      </c>
      <c r="K57" s="183">
        <f t="shared" si="14"/>
        <v>21869.282562519082</v>
      </c>
      <c r="L57" s="183">
        <f t="shared" si="14"/>
        <v>20860.634611989513</v>
      </c>
      <c r="M57" s="183">
        <f t="shared" si="14"/>
        <v>19864.981465445875</v>
      </c>
      <c r="N57" s="183">
        <f t="shared" si="14"/>
        <v>18882.190999469702</v>
      </c>
      <c r="O57" s="183">
        <f t="shared" si="14"/>
        <v>18159.065195906027</v>
      </c>
      <c r="P57" s="183">
        <f t="shared" si="14"/>
        <v>17445.100159263213</v>
      </c>
      <c r="Q57" s="183">
        <f t="shared" si="14"/>
        <v>16740.20333452792</v>
      </c>
      <c r="R57" s="183">
        <f t="shared" si="14"/>
        <v>16044.283011754085</v>
      </c>
      <c r="S57" s="183">
        <f t="shared" si="14"/>
        <v>15357.248318779875</v>
      </c>
      <c r="T57" s="183">
        <f t="shared" si="14"/>
        <v>14679.009214005091</v>
      </c>
      <c r="U57" s="183">
        <f t="shared" si="14"/>
        <v>14009.476479228564</v>
      </c>
      <c r="V57" s="183">
        <f t="shared" si="14"/>
        <v>13348.561712545019</v>
      </c>
      <c r="W57" s="183">
        <f t="shared" si="14"/>
        <v>12696.177321300984</v>
      </c>
      <c r="X57" s="183">
        <f t="shared" si="14"/>
        <v>12052.236515109187</v>
      </c>
      <c r="Y57" s="183">
        <f t="shared" si="14"/>
        <v>11302.790400328102</v>
      </c>
      <c r="Z57" s="183">
        <f t="shared" si="14"/>
        <v>10563.203476414372</v>
      </c>
      <c r="AA57" s="183">
        <f t="shared" si="14"/>
        <v>9833.3747329854996</v>
      </c>
      <c r="AB57" s="183">
        <f t="shared" si="14"/>
        <v>9113.20408865016</v>
      </c>
      <c r="AC57" s="183">
        <f t="shared" si="14"/>
        <v>8402.5923829660951</v>
      </c>
      <c r="AD57" s="183">
        <f t="shared" si="14"/>
        <v>7701.441368464988</v>
      </c>
      <c r="AE57" s="183">
        <f t="shared" si="14"/>
        <v>7009.6537027437898</v>
      </c>
      <c r="AF57" s="183">
        <f t="shared" si="14"/>
        <v>6327.1329406218911</v>
      </c>
      <c r="AG57" s="183">
        <f t="shared" si="14"/>
        <v>5653.7835263636862</v>
      </c>
      <c r="AH57" s="183">
        <f t="shared" si="14"/>
        <v>4989.510785965942</v>
      </c>
      <c r="AI57" s="40"/>
    </row>
    <row r="58" spans="1:35">
      <c r="A58" s="607"/>
      <c r="B58" s="1" t="s">
        <v>607</v>
      </c>
      <c r="C58" s="50" t="s">
        <v>1420</v>
      </c>
      <c r="D58" s="183">
        <f>D60/('Demand - Ethylene'!$M$14)</f>
        <v>0</v>
      </c>
      <c r="E58" s="183">
        <f>E60/('Demand - Ethylene'!$M$14)</f>
        <v>0</v>
      </c>
      <c r="F58" s="183">
        <f>F60/('Demand - Ethylene'!$M$14)</f>
        <v>0</v>
      </c>
      <c r="G58" s="183">
        <f>G60/('Demand - Ethylene'!$M$14)</f>
        <v>0</v>
      </c>
      <c r="H58" s="183">
        <f>H60/('Demand - Ethylene'!$M$14)</f>
        <v>0</v>
      </c>
      <c r="I58" s="183">
        <f>I60/('Demand - Ethylene'!$M$14)</f>
        <v>0</v>
      </c>
      <c r="J58" s="183">
        <f>J60/('Demand - Ethylene'!$M$14)</f>
        <v>0</v>
      </c>
      <c r="K58" s="183">
        <f>K60/('Demand - Ethylene'!$M$14)</f>
        <v>0</v>
      </c>
      <c r="L58" s="183">
        <f>L60/('Demand - Ethylene'!$M$14)</f>
        <v>0</v>
      </c>
      <c r="M58" s="183">
        <f>M60/('Demand - Ethylene'!$M$14)</f>
        <v>0</v>
      </c>
      <c r="N58" s="183">
        <f>N60/('Demand - Ethylene'!$M$14)</f>
        <v>0</v>
      </c>
      <c r="O58" s="183">
        <f>O60/('Demand - Ethylene'!$M$14)</f>
        <v>0</v>
      </c>
      <c r="P58" s="183">
        <f>P60/('Demand - Ethylene'!$M$14)</f>
        <v>0</v>
      </c>
      <c r="Q58" s="183">
        <f>Q60/('Demand - Ethylene'!$M$14)</f>
        <v>0</v>
      </c>
      <c r="R58" s="183">
        <f>R60/('Demand - Ethylene'!$M$14)</f>
        <v>0</v>
      </c>
      <c r="S58" s="183">
        <f>S60/('Demand - Ethylene'!$M$14)</f>
        <v>0</v>
      </c>
      <c r="T58" s="183">
        <f>T60/('Demand - Ethylene'!$M$14)</f>
        <v>0</v>
      </c>
      <c r="U58" s="183">
        <f>U60/('Demand - Ethylene'!$M$14)</f>
        <v>0</v>
      </c>
      <c r="V58" s="183">
        <f>V60/('Demand - Ethylene'!$M$14)</f>
        <v>0</v>
      </c>
      <c r="W58" s="183">
        <f>W60/('Demand - Ethylene'!$M$14)</f>
        <v>0</v>
      </c>
      <c r="X58" s="183">
        <f>X60/('Demand - Ethylene'!$M$14)</f>
        <v>0</v>
      </c>
      <c r="Y58" s="183">
        <f>Y60/('Demand - Ethylene'!$M$14)</f>
        <v>0</v>
      </c>
      <c r="Z58" s="183">
        <f>Z60/('Demand - Ethylene'!$M$14)</f>
        <v>0</v>
      </c>
      <c r="AA58" s="183">
        <f>AA60/('Demand - Ethylene'!$M$14)</f>
        <v>0</v>
      </c>
      <c r="AB58" s="183">
        <f>AB60/('Demand - Ethylene'!$M$14)</f>
        <v>0</v>
      </c>
      <c r="AC58" s="183">
        <f>AC60/('Demand - Ethylene'!$M$14)</f>
        <v>0</v>
      </c>
      <c r="AD58" s="183">
        <f>AD60/('Demand - Ethylene'!$M$14)</f>
        <v>0</v>
      </c>
      <c r="AE58" s="183">
        <f>AE60/('Demand - Ethylene'!$M$14)</f>
        <v>0</v>
      </c>
      <c r="AF58" s="183">
        <f>AF60/('Demand - Ethylene'!$M$14)</f>
        <v>0</v>
      </c>
      <c r="AG58" s="183">
        <f>AG60/('Demand - Ethylene'!$M$14)</f>
        <v>0</v>
      </c>
      <c r="AH58" s="183">
        <f>AH60/('Demand - Ethylene'!$M$14)</f>
        <v>0</v>
      </c>
      <c r="AI58" s="40"/>
    </row>
    <row r="59" spans="1:35" s="62" customFormat="1">
      <c r="A59" s="608"/>
      <c r="B59" s="58" t="s">
        <v>27</v>
      </c>
      <c r="C59" s="233" t="s">
        <v>1420</v>
      </c>
      <c r="D59" s="528">
        <f>D55-SUM(D57,D56,D58)</f>
        <v>0</v>
      </c>
      <c r="E59" s="528">
        <f t="shared" ref="E59:AH59" si="15">E55-SUM(E57,E56,E58)</f>
        <v>0</v>
      </c>
      <c r="F59" s="528">
        <f t="shared" si="15"/>
        <v>0</v>
      </c>
      <c r="G59" s="528">
        <f t="shared" si="15"/>
        <v>0</v>
      </c>
      <c r="H59" s="528">
        <f t="shared" si="15"/>
        <v>0</v>
      </c>
      <c r="I59" s="528">
        <f t="shared" si="15"/>
        <v>0</v>
      </c>
      <c r="J59" s="528">
        <f t="shared" si="15"/>
        <v>0</v>
      </c>
      <c r="K59" s="528">
        <f t="shared" si="15"/>
        <v>0</v>
      </c>
      <c r="L59" s="528">
        <f t="shared" si="15"/>
        <v>0</v>
      </c>
      <c r="M59" s="528">
        <f t="shared" si="15"/>
        <v>0</v>
      </c>
      <c r="N59" s="528">
        <f t="shared" si="15"/>
        <v>0</v>
      </c>
      <c r="O59" s="528">
        <f t="shared" si="15"/>
        <v>0</v>
      </c>
      <c r="P59" s="528">
        <f t="shared" si="15"/>
        <v>0</v>
      </c>
      <c r="Q59" s="528">
        <f t="shared" si="15"/>
        <v>0</v>
      </c>
      <c r="R59" s="528">
        <f t="shared" si="15"/>
        <v>0</v>
      </c>
      <c r="S59" s="528">
        <f t="shared" si="15"/>
        <v>0</v>
      </c>
      <c r="T59" s="528">
        <f t="shared" si="15"/>
        <v>0</v>
      </c>
      <c r="U59" s="528">
        <f t="shared" si="15"/>
        <v>0</v>
      </c>
      <c r="V59" s="528">
        <f t="shared" si="15"/>
        <v>0</v>
      </c>
      <c r="W59" s="528">
        <f t="shared" si="15"/>
        <v>0</v>
      </c>
      <c r="X59" s="528">
        <f t="shared" si="15"/>
        <v>0</v>
      </c>
      <c r="Y59" s="528">
        <f t="shared" si="15"/>
        <v>0</v>
      </c>
      <c r="Z59" s="528">
        <f t="shared" si="15"/>
        <v>0</v>
      </c>
      <c r="AA59" s="528">
        <f t="shared" si="15"/>
        <v>0</v>
      </c>
      <c r="AB59" s="528">
        <f t="shared" si="15"/>
        <v>0</v>
      </c>
      <c r="AC59" s="528">
        <f t="shared" si="15"/>
        <v>0</v>
      </c>
      <c r="AD59" s="528">
        <f t="shared" si="15"/>
        <v>0</v>
      </c>
      <c r="AE59" s="528">
        <f t="shared" si="15"/>
        <v>0</v>
      </c>
      <c r="AF59" s="528">
        <f t="shared" si="15"/>
        <v>0</v>
      </c>
      <c r="AG59" s="528">
        <f t="shared" si="15"/>
        <v>0</v>
      </c>
      <c r="AH59" s="528">
        <f t="shared" si="15"/>
        <v>0</v>
      </c>
      <c r="AI59" s="234"/>
    </row>
    <row r="60" spans="1:35" s="61" customFormat="1">
      <c r="A60" s="606" t="s">
        <v>609</v>
      </c>
      <c r="B60" s="54" t="s">
        <v>606</v>
      </c>
      <c r="C60" s="55" t="s">
        <v>1420</v>
      </c>
      <c r="D60" s="571">
        <f>D55*'Demand - Ethylene'!$E$77</f>
        <v>0</v>
      </c>
      <c r="E60" s="571">
        <f>E55*'Demand - Ethylene'!$E$77</f>
        <v>0</v>
      </c>
      <c r="F60" s="571">
        <f>F55*'Demand - Ethylene'!$E$77</f>
        <v>0</v>
      </c>
      <c r="G60" s="571">
        <f>G55*'Demand - Ethylene'!$E$77</f>
        <v>0</v>
      </c>
      <c r="H60" s="571">
        <f>H55*'Demand - Ethylene'!$E$77</f>
        <v>0</v>
      </c>
      <c r="I60" s="571">
        <f>I55*'Demand - Ethylene'!$E$77</f>
        <v>0</v>
      </c>
      <c r="J60" s="571">
        <f>J55*'Demand - Ethylene'!$E$77</f>
        <v>0</v>
      </c>
      <c r="K60" s="571">
        <f>K55*'Demand - Ethylene'!$E$77</f>
        <v>0</v>
      </c>
      <c r="L60" s="571">
        <f>L55*'Demand - Ethylene'!$E$77</f>
        <v>0</v>
      </c>
      <c r="M60" s="571">
        <f>M55*'Demand - Ethylene'!$E$77</f>
        <v>0</v>
      </c>
      <c r="N60" s="571">
        <f>N55*'Demand - Ethylene'!$E$77</f>
        <v>0</v>
      </c>
      <c r="O60" s="571">
        <f>O55*'Demand - Ethylene'!$E$77</f>
        <v>0</v>
      </c>
      <c r="P60" s="571">
        <f>P55*'Demand - Ethylene'!$E$77</f>
        <v>0</v>
      </c>
      <c r="Q60" s="571">
        <f>Q55*'Demand - Ethylene'!$E$77</f>
        <v>0</v>
      </c>
      <c r="R60" s="571">
        <f>R55*'Demand - Ethylene'!$E$77</f>
        <v>0</v>
      </c>
      <c r="S60" s="571">
        <f>S55*'Demand - Ethylene'!$E$77</f>
        <v>0</v>
      </c>
      <c r="T60" s="571">
        <f>T55*'Demand - Ethylene'!$E$77</f>
        <v>0</v>
      </c>
      <c r="U60" s="571">
        <f>U55*'Demand - Ethylene'!$E$77</f>
        <v>0</v>
      </c>
      <c r="V60" s="571">
        <f>V55*'Demand - Ethylene'!$E$77</f>
        <v>0</v>
      </c>
      <c r="W60" s="571">
        <f>W55*'Demand - Ethylene'!$E$77</f>
        <v>0</v>
      </c>
      <c r="X60" s="571">
        <f>X55*'Demand - Ethylene'!$E$77</f>
        <v>0</v>
      </c>
      <c r="Y60" s="571">
        <f>Y55*'Demand - Ethylene'!$E$77</f>
        <v>0</v>
      </c>
      <c r="Z60" s="571">
        <f>Z55*'Demand - Ethylene'!$E$77</f>
        <v>0</v>
      </c>
      <c r="AA60" s="571">
        <f>AA55*'Demand - Ethylene'!$E$77</f>
        <v>0</v>
      </c>
      <c r="AB60" s="571">
        <f>AB55*'Demand - Ethylene'!$E$77</f>
        <v>0</v>
      </c>
      <c r="AC60" s="571">
        <f>AC55*'Demand - Ethylene'!$E$77</f>
        <v>0</v>
      </c>
      <c r="AD60" s="571">
        <f>AD55*'Demand - Ethylene'!$E$77</f>
        <v>0</v>
      </c>
      <c r="AE60" s="571">
        <f>AE55*'Demand - Ethylene'!$E$77</f>
        <v>0</v>
      </c>
      <c r="AF60" s="571">
        <f>AF55*'Demand - Ethylene'!$E$77</f>
        <v>0</v>
      </c>
      <c r="AG60" s="571">
        <f>AG55*'Demand - Ethylene'!$E$77</f>
        <v>0</v>
      </c>
      <c r="AH60" s="571">
        <f>AH55*'Demand - Ethylene'!$E$77</f>
        <v>0</v>
      </c>
      <c r="AI60" s="56"/>
    </row>
    <row r="61" spans="1:35" s="62" customFormat="1">
      <c r="A61" s="608"/>
      <c r="B61" s="58" t="s">
        <v>605</v>
      </c>
      <c r="C61" s="233" t="s">
        <v>1420</v>
      </c>
      <c r="D61" s="528">
        <f>D55*'Demand - Ethylene'!$D$77</f>
        <v>29305.030176899061</v>
      </c>
      <c r="E61" s="528">
        <f>E55*'Demand - Ethylene'!$D$77</f>
        <v>28201.615238385984</v>
      </c>
      <c r="F61" s="528">
        <f>F55*'Demand - Ethylene'!$D$77</f>
        <v>27112.154753885909</v>
      </c>
      <c r="G61" s="528">
        <f>G55*'Demand - Ethylene'!$D$77</f>
        <v>26036.507827484405</v>
      </c>
      <c r="H61" s="528">
        <f>H55*'Demand - Ethylene'!$D$77</f>
        <v>24974.534849266973</v>
      </c>
      <c r="I61" s="528">
        <f>I55*'Demand - Ethylene'!$D$77</f>
        <v>23926.097484238224</v>
      </c>
      <c r="J61" s="528">
        <f>J55*'Demand - Ethylene'!$D$77</f>
        <v>22891.058661333056</v>
      </c>
      <c r="K61" s="528">
        <f>K55*'Demand - Ethylene'!$D$77</f>
        <v>21869.282562519082</v>
      </c>
      <c r="L61" s="528">
        <f>L55*'Demand - Ethylene'!$D$77</f>
        <v>20860.634611989513</v>
      </c>
      <c r="M61" s="528">
        <f>M55*'Demand - Ethylene'!$D$77</f>
        <v>19864.981465445875</v>
      </c>
      <c r="N61" s="528">
        <f>N55*'Demand - Ethylene'!$D$77</f>
        <v>18882.190999469702</v>
      </c>
      <c r="O61" s="528">
        <f>O55*'Demand - Ethylene'!$D$77</f>
        <v>18159.065195906027</v>
      </c>
      <c r="P61" s="528">
        <f>P55*'Demand - Ethylene'!$D$77</f>
        <v>17445.100159263213</v>
      </c>
      <c r="Q61" s="528">
        <f>Q55*'Demand - Ethylene'!$D$77</f>
        <v>16740.20333452792</v>
      </c>
      <c r="R61" s="528">
        <f>R55*'Demand - Ethylene'!$D$77</f>
        <v>16044.283011754085</v>
      </c>
      <c r="S61" s="528">
        <f>S55*'Demand - Ethylene'!$D$77</f>
        <v>15357.248318779875</v>
      </c>
      <c r="T61" s="528">
        <f>T55*'Demand - Ethylene'!$D$77</f>
        <v>14679.009214005091</v>
      </c>
      <c r="U61" s="528">
        <f>U55*'Demand - Ethylene'!$D$77</f>
        <v>14009.476479228564</v>
      </c>
      <c r="V61" s="528">
        <f>V55*'Demand - Ethylene'!$D$77</f>
        <v>13348.561712545019</v>
      </c>
      <c r="W61" s="528">
        <f>W55*'Demand - Ethylene'!$D$77</f>
        <v>12696.177321300984</v>
      </c>
      <c r="X61" s="528">
        <f>X55*'Demand - Ethylene'!$D$77</f>
        <v>12052.236515109187</v>
      </c>
      <c r="Y61" s="528">
        <f>Y55*'Demand - Ethylene'!$D$77</f>
        <v>11302.790400328102</v>
      </c>
      <c r="Z61" s="528">
        <f>Z55*'Demand - Ethylene'!$D$77</f>
        <v>10563.203476414372</v>
      </c>
      <c r="AA61" s="528">
        <f>AA55*'Demand - Ethylene'!$D$77</f>
        <v>9833.3747329854996</v>
      </c>
      <c r="AB61" s="528">
        <f>AB55*'Demand - Ethylene'!$D$77</f>
        <v>9113.20408865016</v>
      </c>
      <c r="AC61" s="528">
        <f>AC55*'Demand - Ethylene'!$D$77</f>
        <v>8402.5923829660951</v>
      </c>
      <c r="AD61" s="528">
        <f>AD55*'Demand - Ethylene'!$D$77</f>
        <v>7701.441368464988</v>
      </c>
      <c r="AE61" s="528">
        <f>AE55*'Demand - Ethylene'!$D$77</f>
        <v>7009.6537027437898</v>
      </c>
      <c r="AF61" s="528">
        <f>AF55*'Demand - Ethylene'!$D$77</f>
        <v>6327.1329406218911</v>
      </c>
      <c r="AG61" s="528">
        <f>AG55*'Demand - Ethylene'!$D$77</f>
        <v>5653.7835263636862</v>
      </c>
      <c r="AH61" s="528">
        <f>AH55*'Demand - Ethylene'!$D$77</f>
        <v>4989.510785965942</v>
      </c>
      <c r="AI61" s="234"/>
    </row>
    <row r="62" spans="1:35" s="61" customFormat="1">
      <c r="A62" s="54" t="s">
        <v>307</v>
      </c>
      <c r="B62" s="54" t="s">
        <v>179</v>
      </c>
      <c r="C62" s="55" t="s">
        <v>1420</v>
      </c>
      <c r="D62" s="571">
        <f t="shared" ref="D62:AH62" si="16">D4-D12-D26-D40-D50</f>
        <v>2145788.3365974198</v>
      </c>
      <c r="E62" s="571">
        <f t="shared" si="16"/>
        <v>2126886.9522377001</v>
      </c>
      <c r="F62" s="571">
        <f t="shared" si="16"/>
        <v>2107828.7517180429</v>
      </c>
      <c r="G62" s="571">
        <f t="shared" si="16"/>
        <v>2088611.0501104614</v>
      </c>
      <c r="H62" s="571">
        <f t="shared" si="16"/>
        <v>2069231.1112362044</v>
      </c>
      <c r="I62" s="571">
        <f t="shared" si="16"/>
        <v>2049686.146862793</v>
      </c>
      <c r="J62" s="571">
        <f t="shared" si="16"/>
        <v>2027179.0486013195</v>
      </c>
      <c r="K62" s="571">
        <f t="shared" si="16"/>
        <v>2004531.144530297</v>
      </c>
      <c r="L62" s="571">
        <f t="shared" si="16"/>
        <v>1981739.2442416076</v>
      </c>
      <c r="M62" s="571">
        <f t="shared" si="16"/>
        <v>1958800.1036420446</v>
      </c>
      <c r="N62" s="571">
        <f t="shared" si="16"/>
        <v>1935710.4240649741</v>
      </c>
      <c r="O62" s="571">
        <f t="shared" si="16"/>
        <v>1907285.6261917804</v>
      </c>
      <c r="P62" s="571">
        <f t="shared" si="16"/>
        <v>1878767.1537721243</v>
      </c>
      <c r="Q62" s="571">
        <f t="shared" si="16"/>
        <v>1850150.9515181258</v>
      </c>
      <c r="R62" s="571">
        <f t="shared" si="16"/>
        <v>1821432.9106896301</v>
      </c>
      <c r="S62" s="571">
        <f t="shared" si="16"/>
        <v>1792608.8680887334</v>
      </c>
      <c r="T62" s="571">
        <f t="shared" si="16"/>
        <v>1759142.4359147958</v>
      </c>
      <c r="U62" s="571">
        <f t="shared" si="16"/>
        <v>1725626.0014941485</v>
      </c>
      <c r="V62" s="571">
        <f t="shared" si="16"/>
        <v>1692054.5427727478</v>
      </c>
      <c r="W62" s="571">
        <f t="shared" si="16"/>
        <v>1658422.9856066036</v>
      </c>
      <c r="X62" s="571">
        <f t="shared" si="16"/>
        <v>1624726.2026123791</v>
      </c>
      <c r="Y62" s="571">
        <f t="shared" si="16"/>
        <v>1587796.9372804572</v>
      </c>
      <c r="Z62" s="571">
        <f t="shared" si="16"/>
        <v>1550842.0727709897</v>
      </c>
      <c r="AA62" s="571">
        <f t="shared" si="16"/>
        <v>1513855.7205017812</v>
      </c>
      <c r="AB62" s="571">
        <f t="shared" si="16"/>
        <v>1476831.9401552295</v>
      </c>
      <c r="AC62" s="571">
        <f t="shared" si="16"/>
        <v>1439764.7383762263</v>
      </c>
      <c r="AD62" s="571">
        <f t="shared" si="16"/>
        <v>1401043.3082227479</v>
      </c>
      <c r="AE62" s="571">
        <f t="shared" si="16"/>
        <v>1362293.3501485381</v>
      </c>
      <c r="AF62" s="571">
        <f t="shared" si="16"/>
        <v>1323508.3618035205</v>
      </c>
      <c r="AG62" s="571">
        <f t="shared" si="16"/>
        <v>1284681.7862456404</v>
      </c>
      <c r="AH62" s="571">
        <f t="shared" si="16"/>
        <v>1245807.0105023307</v>
      </c>
    </row>
    <row r="63" spans="1:35" outlineLevel="1">
      <c r="B63" s="1" t="s">
        <v>169</v>
      </c>
      <c r="C63" s="50" t="s">
        <v>1420</v>
      </c>
      <c r="D63" s="183">
        <v>0</v>
      </c>
      <c r="E63" s="183">
        <f>E62*'R&amp;S - Others'!$C$7*'R&amp;S - Others'!$B$11*'R&amp;S - Others'!$B$15*('Yearly HC Ethylene'!E$3-'Yearly HC Ethylene'!$D$3)/10</f>
        <v>10528.090413576614</v>
      </c>
      <c r="F63" s="183">
        <f>F62*'R&amp;S - Others'!$C$7*'R&amp;S - Others'!$B$11*'R&amp;S - Others'!$B$15*('Yearly HC Ethylene'!F$3-'Yearly HC Ethylene'!$D$3)/10</f>
        <v>20867.504642008626</v>
      </c>
      <c r="G63" s="183">
        <f>G62*'R&amp;S - Others'!$C$7*'R&amp;S - Others'!$B$11*'R&amp;S - Others'!$B$15*('Yearly HC Ethylene'!G$3-'Yearly HC Ethylene'!$D$3)/10</f>
        <v>31015.874094140356</v>
      </c>
      <c r="H63" s="183">
        <f>H62*'R&amp;S - Others'!$C$7*'R&amp;S - Others'!$B$11*'R&amp;S - Others'!$B$15*('Yearly HC Ethylene'!H$3-'Yearly HC Ethylene'!$D$3)/10</f>
        <v>40970.776002476843</v>
      </c>
      <c r="I63" s="183">
        <f>I62*'R&amp;S - Others'!$C$7*'R&amp;S - Others'!$B$11*'R&amp;S - Others'!$B$15*('Yearly HC Ethylene'!I$3-'Yearly HC Ethylene'!$D$3)/10</f>
        <v>50729.732134854123</v>
      </c>
      <c r="J63" s="183">
        <f>J62*'R&amp;S - Others'!$C$7*'R&amp;S - Others'!$B$11*'R&amp;S - Others'!$B$15*('Yearly HC Ethylene'!J$3-'Yearly HC Ethylene'!$D$3)/10</f>
        <v>60207.217743459194</v>
      </c>
      <c r="K63" s="183">
        <f>K62*'R&amp;S - Others'!$C$7*'R&amp;S - Others'!$B$11*'R&amp;S - Others'!$B$15*('Yearly HC Ethylene'!K$3-'Yearly HC Ethylene'!$D$3)/10</f>
        <v>69457.004157974807</v>
      </c>
      <c r="L63" s="183">
        <f>L62*'R&amp;S - Others'!$C$7*'R&amp;S - Others'!$B$11*'R&amp;S - Others'!$B$15*('Yearly HC Ethylene'!L$3-'Yearly HC Ethylene'!$D$3)/10</f>
        <v>78476.874071967657</v>
      </c>
      <c r="M63" s="183">
        <f>M62*'R&amp;S - Others'!$C$7*'R&amp;S - Others'!$B$11*'R&amp;S - Others'!$B$15*('Yearly HC Ethylene'!M$3-'Yearly HC Ethylene'!$D$3)/10</f>
        <v>87264.544617253094</v>
      </c>
      <c r="N63" s="183">
        <f>N62*'R&amp;S - Others'!$C$7*'R&amp;S - Others'!$B$11*'R&amp;S - Others'!$B$15*('Yearly HC Ethylene'!N$3-'Yearly HC Ethylene'!$D$3)/10</f>
        <v>95817.665991216214</v>
      </c>
      <c r="O63" s="183">
        <f>O62*'R&amp;S - Others'!$C$7*'R&amp;S - Others'!$B$11*('R&amp;S - Others'!$B$15+('R&amp;S - Others'!$B$16-'R&amp;S - Others'!$B$15)*('Yearly HC Ethylene'!O$3-'Yearly HC Ethylene'!$N$3)/10)</f>
        <v>103851.70234614244</v>
      </c>
      <c r="P63" s="183">
        <f>P62*'R&amp;S - Others'!$C$7*'R&amp;S - Others'!$B$11*('R&amp;S - Others'!$B$15+('R&amp;S - Others'!$B$16-'R&amp;S - Others'!$B$15)*('Yearly HC Ethylene'!P$3-'Yearly HC Ethylene'!$N$3)/10)</f>
        <v>111598.76893406418</v>
      </c>
      <c r="Q63" s="183">
        <f>Q62*'R&amp;S - Others'!$C$7*'R&amp;S - Others'!$B$11*('R&amp;S - Others'!$B$15+('R&amp;S - Others'!$B$16-'R&amp;S - Others'!$B$15)*('Yearly HC Ethylene'!Q$3-'Yearly HC Ethylene'!$N$3)/10)</f>
        <v>119057.2137301914</v>
      </c>
      <c r="R63" s="183">
        <f>R62*'R&amp;S - Others'!$C$7*'R&amp;S - Others'!$B$11*('R&amp;S - Others'!$B$15+('R&amp;S - Others'!$B$16-'R&amp;S - Others'!$B$15)*('Yearly HC Ethylene'!R$3-'Yearly HC Ethylene'!$N$3)/10)</f>
        <v>126225.30071079137</v>
      </c>
      <c r="S63" s="183">
        <f>S62*'R&amp;S - Others'!$C$7*'R&amp;S - Others'!$B$11*('R&amp;S - Others'!$B$15+('R&amp;S - Others'!$B$16-'R&amp;S - Others'!$B$15)*('Yearly HC Ethylene'!S$3-'Yearly HC Ethylene'!$N$3)/10)</f>
        <v>133101.20845558846</v>
      </c>
      <c r="T63" s="183">
        <f>T62*'R&amp;S - Others'!$C$7*'R&amp;S - Others'!$B$11*('R&amp;S - Others'!$B$15+('R&amp;S - Others'!$B$16-'R&amp;S - Others'!$B$15)*('Yearly HC Ethylene'!T$3-'Yearly HC Ethylene'!$N$3)/10)</f>
        <v>139324.08092445182</v>
      </c>
      <c r="U63" s="183">
        <f>U62*'R&amp;S - Others'!$C$7*'R&amp;S - Others'!$B$11*('R&amp;S - Others'!$B$15+('R&amp;S - Others'!$B$16-'R&amp;S - Others'!$B$15)*('Yearly HC Ethylene'!U$3-'Yearly HC Ethylene'!$N$3)/10)</f>
        <v>145211.4280257326</v>
      </c>
      <c r="V63" s="183">
        <f>V62*'R&amp;S - Others'!$C$7*'R&amp;S - Others'!$B$11*('R&amp;S - Others'!$B$15+('R&amp;S - Others'!$B$16-'R&amp;S - Others'!$B$15)*('Yearly HC Ethylene'!V$3-'Yearly HC Ethylene'!$N$3)/10)</f>
        <v>150762.05976105185</v>
      </c>
      <c r="W63" s="183">
        <f>W62*'R&amp;S - Others'!$C$7*'R&amp;S - Others'!$B$11*('R&amp;S - Others'!$B$15+('R&amp;S - Others'!$B$16-'R&amp;S - Others'!$B$15)*('Yearly HC Ethylene'!W$3-'Yearly HC Ethylene'!$N$3)/10)</f>
        <v>155974.68179630107</v>
      </c>
      <c r="X63" s="183">
        <f>X62*'R&amp;S - Others'!$C$7*'R&amp;S - Others'!$B$11*('R&amp;S - Others'!$B$15+('R&amp;S - Others'!$B$16-'R&amp;S - Others'!$B$15)*('Yearly HC Ethylene'!X$3-'Yearly HC Ethylene'!$N$3)/10)</f>
        <v>160847.89405862553</v>
      </c>
      <c r="Y63" s="183">
        <f>Y62*'R&amp;S - Others'!$C$7*'R&amp;S - Others'!$B$11*('R&amp;S - Others'!$B$16+('R&amp;S - Others'!$B$17-'R&amp;S - Others'!$B$16)*('Yearly HC Ethylene'!Y$3-'Yearly HC Ethylene'!$X$3)/10)</f>
        <v>165289.66117089562</v>
      </c>
      <c r="Z63" s="183">
        <f>Z62*'R&amp;S - Others'!$C$7*'R&amp;S - Others'!$B$11*('R&amp;S - Others'!$B$16+('R&amp;S - Others'!$B$17-'R&amp;S - Others'!$B$16)*('Yearly HC Ethylene'!Z$3-'Yearly HC Ethylene'!$X$3)/10)</f>
        <v>169351.95434659207</v>
      </c>
      <c r="AA63" s="183">
        <f>AA62*'R&amp;S - Others'!$C$7*'R&amp;S - Others'!$B$11*('R&amp;S - Others'!$B$16+('R&amp;S - Others'!$B$17-'R&amp;S - Others'!$B$16)*('Yearly HC Ethylene'!AA$3-'Yearly HC Ethylene'!$X$3)/10)</f>
        <v>173033.70885335357</v>
      </c>
      <c r="AB63" s="183">
        <f>AB62*'R&amp;S - Others'!$C$7*'R&amp;S - Others'!$B$11*('R&amp;S - Others'!$B$16+('R&amp;S - Others'!$B$17-'R&amp;S - Others'!$B$16)*('Yearly HC Ethylene'!AB$3-'Yearly HC Ethylene'!$X$3)/10)</f>
        <v>176333.73365453442</v>
      </c>
      <c r="AC63" s="183">
        <f>AC62*'R&amp;S - Others'!$C$7*'R&amp;S - Others'!$B$11*('R&amp;S - Others'!$B$16+('R&amp;S - Others'!$B$17-'R&amp;S - Others'!$B$16)*('Yearly HC Ethylene'!AC$3-'Yearly HC Ethylene'!$X$3)/10)</f>
        <v>179250.70992784016</v>
      </c>
      <c r="AD63" s="183">
        <f>AD62*'R&amp;S - Others'!$C$7*'R&amp;S - Others'!$B$11*('R&amp;S - Others'!$B$16+('R&amp;S - Others'!$B$17-'R&amp;S - Others'!$B$16)*('Yearly HC Ethylene'!AD$3-'Yearly HC Ethylene'!$X$3)/10)</f>
        <v>181575.21274566813</v>
      </c>
      <c r="AE63" s="183">
        <f>AE62*'R&amp;S - Others'!$C$7*'R&amp;S - Others'!$B$11*('R&amp;S - Others'!$B$16+('R&amp;S - Others'!$B$17-'R&amp;S - Others'!$B$16)*('Yearly HC Ethylene'!AE$3-'Yearly HC Ethylene'!$X$3)/10)</f>
        <v>183500.91426500806</v>
      </c>
      <c r="AF63" s="183">
        <f>AF62*'R&amp;S - Others'!$C$7*'R&amp;S - Others'!$B$11*('R&amp;S - Others'!$B$16+('R&amp;S - Others'!$B$17-'R&amp;S - Others'!$B$16)*('Yearly HC Ethylene'!AF$3-'Yearly HC Ethylene'!$X$3)/10)</f>
        <v>185026.46898013214</v>
      </c>
      <c r="AG63" s="183">
        <f>AG62*'R&amp;S - Others'!$C$7*'R&amp;S - Others'!$B$11*('R&amp;S - Others'!$B$16+('R&amp;S - Others'!$B$17-'R&amp;S - Others'!$B$16)*('Yearly HC Ethylene'!AG$3-'Yearly HC Ethylene'!$X$3)/10)</f>
        <v>186150.39082699327</v>
      </c>
      <c r="AH63" s="183">
        <f>AH62*'R&amp;S - Others'!$C$7*'R&amp;S - Others'!$B$11*('R&amp;S - Others'!$B$16+('R&amp;S - Others'!$B$17-'R&amp;S - Others'!$B$16)*('Yearly HC Ethylene'!AH$3-'Yearly HC Ethylene'!$X$3)/10)</f>
        <v>186871.05157534961</v>
      </c>
    </row>
    <row r="64" spans="1:35" outlineLevel="1">
      <c r="B64" s="1" t="s">
        <v>172</v>
      </c>
      <c r="C64" s="50" t="s">
        <v>1420</v>
      </c>
      <c r="D64" s="183">
        <v>0</v>
      </c>
      <c r="E64" s="183">
        <f>E62*'R&amp;S - Others'!$C$8*'R&amp;S - Others'!$B$11*'R&amp;S - Others'!$C$15*('Yearly HC Ethylene'!E$3-'Yearly HC Ethylene'!$D$3)/10</f>
        <v>3509.363471192205</v>
      </c>
      <c r="F64" s="183">
        <f>F62*'R&amp;S - Others'!$C$8*'R&amp;S - Others'!$B$11*'R&amp;S - Others'!$C$15*('Yearly HC Ethylene'!F$3-'Yearly HC Ethylene'!$D$3)/10</f>
        <v>6955.8348806695431</v>
      </c>
      <c r="G64" s="183">
        <f>G62*'R&amp;S - Others'!$C$8*'R&amp;S - Others'!$B$11*'R&amp;S - Others'!$C$15*('Yearly HC Ethylene'!G$3-'Yearly HC Ethylene'!$D$3)/10</f>
        <v>10338.624698046784</v>
      </c>
      <c r="H64" s="183">
        <f>H62*'R&amp;S - Others'!$C$8*'R&amp;S - Others'!$B$11*'R&amp;S - Others'!$C$15*('Yearly HC Ethylene'!H$3-'Yearly HC Ethylene'!$D$3)/10</f>
        <v>13656.92533415895</v>
      </c>
      <c r="I64" s="183">
        <f>I62*'R&amp;S - Others'!$C$8*'R&amp;S - Others'!$B$11*'R&amp;S - Others'!$C$15*('Yearly HC Ethylene'!I$3-'Yearly HC Ethylene'!$D$3)/10</f>
        <v>16909.910711618046</v>
      </c>
      <c r="J64" s="183">
        <f>J62*'R&amp;S - Others'!$C$8*'R&amp;S - Others'!$B$11*'R&amp;S - Others'!$C$15*('Yearly HC Ethylene'!J$3-'Yearly HC Ethylene'!$D$3)/10</f>
        <v>20069.072581153065</v>
      </c>
      <c r="K64" s="183">
        <f>K62*'R&amp;S - Others'!$C$8*'R&amp;S - Others'!$B$11*'R&amp;S - Others'!$C$15*('Yearly HC Ethylene'!K$3-'Yearly HC Ethylene'!$D$3)/10</f>
        <v>23152.334719324932</v>
      </c>
      <c r="L64" s="183">
        <f>L62*'R&amp;S - Others'!$C$8*'R&amp;S - Others'!$B$11*'R&amp;S - Others'!$C$15*('Yearly HC Ethylene'!L$3-'Yearly HC Ethylene'!$D$3)/10</f>
        <v>26158.958023989224</v>
      </c>
      <c r="M64" s="183">
        <f>M62*'R&amp;S - Others'!$C$8*'R&amp;S - Others'!$B$11*'R&amp;S - Others'!$C$15*('Yearly HC Ethylene'!M$3-'Yearly HC Ethylene'!$D$3)/10</f>
        <v>29088.181539084366</v>
      </c>
      <c r="N64" s="183">
        <f>N62*'R&amp;S - Others'!$C$8*'R&amp;S - Others'!$B$11*'R&amp;S - Others'!$C$15*('Yearly HC Ethylene'!N$3-'Yearly HC Ethylene'!$D$3)/10</f>
        <v>31939.221997072069</v>
      </c>
      <c r="O64" s="183">
        <f>O62*'R&amp;S - Others'!$C$8*'R&amp;S - Others'!$B$11*('R&amp;S - Others'!$C$15+('R&amp;S - Others'!$C$16-'R&amp;S - Others'!$C$15)*('Yearly HC Ethylene'!O$3-'Yearly HC Ethylene'!$N$3)/10)</f>
        <v>34617.234115380816</v>
      </c>
      <c r="P64" s="183">
        <f>P62*'R&amp;S - Others'!$C$8*'R&amp;S - Others'!$B$11*('R&amp;S - Others'!$C$15+('R&amp;S - Others'!$C$16-'R&amp;S - Others'!$C$15)*('Yearly HC Ethylene'!P$3-'Yearly HC Ethylene'!$N$3)/10)</f>
        <v>37199.589644688065</v>
      </c>
      <c r="Q64" s="183">
        <f>Q62*'R&amp;S - Others'!$C$8*'R&amp;S - Others'!$B$11*('R&amp;S - Others'!$C$15+('R&amp;S - Others'!$C$16-'R&amp;S - Others'!$C$15)*('Yearly HC Ethylene'!Q$3-'Yearly HC Ethylene'!$N$3)/10)</f>
        <v>39685.737910063806</v>
      </c>
      <c r="R64" s="183">
        <f>R62*'R&amp;S - Others'!$C$8*'R&amp;S - Others'!$B$11*('R&amp;S - Others'!$C$15+('R&amp;S - Others'!$C$16-'R&amp;S - Others'!$C$15)*('Yearly HC Ethylene'!R$3-'Yearly HC Ethylene'!$N$3)/10)</f>
        <v>42075.100236930455</v>
      </c>
      <c r="S64" s="183">
        <f>S62*'R&amp;S - Others'!$C$8*'R&amp;S - Others'!$B$11*('R&amp;S - Others'!$C$15+('R&amp;S - Others'!$C$16-'R&amp;S - Others'!$C$15)*('Yearly HC Ethylene'!S$3-'Yearly HC Ethylene'!$N$3)/10)</f>
        <v>44367.069485196153</v>
      </c>
      <c r="T64" s="183">
        <f>T62*'R&amp;S - Others'!$C$8*'R&amp;S - Others'!$B$11*('R&amp;S - Others'!$C$15+('R&amp;S - Others'!$C$16-'R&amp;S - Others'!$C$15)*('Yearly HC Ethylene'!T$3-'Yearly HC Ethylene'!$N$3)/10)</f>
        <v>46441.360308150615</v>
      </c>
      <c r="U64" s="183">
        <f>U62*'R&amp;S - Others'!$C$8*'R&amp;S - Others'!$B$11*('R&amp;S - Others'!$C$15+('R&amp;S - Others'!$C$16-'R&amp;S - Others'!$C$15)*('Yearly HC Ethylene'!U$3-'Yearly HC Ethylene'!$N$3)/10)</f>
        <v>48403.80934191087</v>
      </c>
      <c r="V64" s="183">
        <f>V62*'R&amp;S - Others'!$C$8*'R&amp;S - Others'!$B$11*('R&amp;S - Others'!$C$15+('R&amp;S - Others'!$C$16-'R&amp;S - Others'!$C$15)*('Yearly HC Ethylene'!V$3-'Yearly HC Ethylene'!$N$3)/10)</f>
        <v>50254.01992035062</v>
      </c>
      <c r="W64" s="183">
        <f>W62*'R&amp;S - Others'!$C$8*'R&amp;S - Others'!$B$11*('R&amp;S - Others'!$C$15+('R&amp;S - Others'!$C$16-'R&amp;S - Others'!$C$15)*('Yearly HC Ethylene'!W$3-'Yearly HC Ethylene'!$N$3)/10)</f>
        <v>51991.560598767021</v>
      </c>
      <c r="X64" s="183">
        <f>X62*'R&amp;S - Others'!$C$8*'R&amp;S - Others'!$B$11*('R&amp;S - Others'!$C$15+('R&amp;S - Others'!$C$16-'R&amp;S - Others'!$C$15)*('Yearly HC Ethylene'!X$3-'Yearly HC Ethylene'!$N$3)/10)</f>
        <v>53615.964686208521</v>
      </c>
      <c r="Y64" s="183">
        <f>Y62*'R&amp;S - Others'!$C$8*'R&amp;S - Others'!$B$11*('R&amp;S - Others'!$C$16+('R&amp;S - Others'!$C$17-'R&amp;S - Others'!$C$16)*('Yearly HC Ethylene'!Y$3-'Yearly HC Ethylene'!$X$3)/10)</f>
        <v>55096.553723631878</v>
      </c>
      <c r="Z64" s="183">
        <f>Z62*'R&amp;S - Others'!$C$8*'R&amp;S - Others'!$B$11*('R&amp;S - Others'!$C$16+('R&amp;S - Others'!$C$17-'R&amp;S - Others'!$C$16)*('Yearly HC Ethylene'!Z$3-'Yearly HC Ethylene'!$X$3)/10)</f>
        <v>56450.651448864031</v>
      </c>
      <c r="AA64" s="183">
        <f>AA62*'R&amp;S - Others'!$C$8*'R&amp;S - Others'!$B$11*('R&amp;S - Others'!$C$16+('R&amp;S - Others'!$C$17-'R&amp;S - Others'!$C$16)*('Yearly HC Ethylene'!AA$3-'Yearly HC Ethylene'!$X$3)/10)</f>
        <v>57677.902951117867</v>
      </c>
      <c r="AB64" s="183">
        <f>AB62*'R&amp;S - Others'!$C$8*'R&amp;S - Others'!$B$11*('R&amp;S - Others'!$C$16+('R&amp;S - Others'!$C$17-'R&amp;S - Others'!$C$16)*('Yearly HC Ethylene'!AB$3-'Yearly HC Ethylene'!$X$3)/10)</f>
        <v>58777.911218178138</v>
      </c>
      <c r="AC64" s="183">
        <f>AC62*'R&amp;S - Others'!$C$8*'R&amp;S - Others'!$B$11*('R&amp;S - Others'!$C$16+('R&amp;S - Others'!$C$17-'R&amp;S - Others'!$C$16)*('Yearly HC Ethylene'!AC$3-'Yearly HC Ethylene'!$X$3)/10)</f>
        <v>59750.236642613403</v>
      </c>
      <c r="AD64" s="183">
        <f>AD62*'R&amp;S - Others'!$C$8*'R&amp;S - Others'!$B$11*('R&amp;S - Others'!$C$16+('R&amp;S - Others'!$C$17-'R&amp;S - Others'!$C$16)*('Yearly HC Ethylene'!AD$3-'Yearly HC Ethylene'!$X$3)/10)</f>
        <v>60525.070915222714</v>
      </c>
      <c r="AE64" s="183">
        <f>AE62*'R&amp;S - Others'!$C$8*'R&amp;S - Others'!$B$11*('R&amp;S - Others'!$C$16+('R&amp;S - Others'!$C$17-'R&amp;S - Others'!$C$16)*('Yearly HC Ethylene'!AE$3-'Yearly HC Ethylene'!$X$3)/10)</f>
        <v>61166.971421669368</v>
      </c>
      <c r="AF64" s="183">
        <f>AF62*'R&amp;S - Others'!$C$8*'R&amp;S - Others'!$B$11*('R&amp;S - Others'!$C$16+('R&amp;S - Others'!$C$17-'R&amp;S - Others'!$C$16)*('Yearly HC Ethylene'!AF$3-'Yearly HC Ethylene'!$X$3)/10)</f>
        <v>61675.489660044055</v>
      </c>
      <c r="AG64" s="183">
        <f>AG62*'R&amp;S - Others'!$C$8*'R&amp;S - Others'!$B$11*('R&amp;S - Others'!$C$16+('R&amp;S - Others'!$C$17-'R&amp;S - Others'!$C$16)*('Yearly HC Ethylene'!AG$3-'Yearly HC Ethylene'!$X$3)/10)</f>
        <v>62050.130275664429</v>
      </c>
      <c r="AH64" s="183">
        <f>AH62*'R&amp;S - Others'!$C$8*'R&amp;S - Others'!$B$11*('R&amp;S - Others'!$C$16+('R&amp;S - Others'!$C$17-'R&amp;S - Others'!$C$16)*('Yearly HC Ethylene'!AH$3-'Yearly HC Ethylene'!$X$3)/10)</f>
        <v>62290.350525116541</v>
      </c>
    </row>
    <row r="65" spans="1:35" s="160" customFormat="1">
      <c r="A65" s="158"/>
      <c r="B65" s="158" t="s">
        <v>200</v>
      </c>
      <c r="C65" s="159" t="s">
        <v>1420</v>
      </c>
      <c r="D65" s="568">
        <f>D62-D63-D64</f>
        <v>2145788.3365974198</v>
      </c>
      <c r="E65" s="568">
        <f t="shared" ref="E65:AH65" si="17">E62-E63-E64</f>
        <v>2112849.4983529313</v>
      </c>
      <c r="F65" s="568">
        <f t="shared" si="17"/>
        <v>2080005.4121953647</v>
      </c>
      <c r="G65" s="568">
        <f t="shared" si="17"/>
        <v>2047256.5513182743</v>
      </c>
      <c r="H65" s="568">
        <f t="shared" si="17"/>
        <v>2014603.4098995684</v>
      </c>
      <c r="I65" s="568">
        <f t="shared" si="17"/>
        <v>1982046.5040163207</v>
      </c>
      <c r="J65" s="568">
        <f t="shared" si="17"/>
        <v>1946902.7582767073</v>
      </c>
      <c r="K65" s="568">
        <f t="shared" si="17"/>
        <v>1911921.8056529972</v>
      </c>
      <c r="L65" s="568">
        <f t="shared" si="17"/>
        <v>1877103.4121456509</v>
      </c>
      <c r="M65" s="568">
        <f t="shared" si="17"/>
        <v>1842447.3774857072</v>
      </c>
      <c r="N65" s="568">
        <f t="shared" si="17"/>
        <v>1807953.5360766859</v>
      </c>
      <c r="O65" s="568">
        <f t="shared" si="17"/>
        <v>1768816.6897302573</v>
      </c>
      <c r="P65" s="568">
        <f t="shared" si="17"/>
        <v>1729968.7951933723</v>
      </c>
      <c r="Q65" s="568">
        <f t="shared" si="17"/>
        <v>1691407.9998778708</v>
      </c>
      <c r="R65" s="568">
        <f t="shared" si="17"/>
        <v>1653132.5097419084</v>
      </c>
      <c r="S65" s="568">
        <f t="shared" si="17"/>
        <v>1615140.5901479488</v>
      </c>
      <c r="T65" s="568">
        <f t="shared" si="17"/>
        <v>1573376.9946821935</v>
      </c>
      <c r="U65" s="568">
        <f t="shared" si="17"/>
        <v>1532010.7641265052</v>
      </c>
      <c r="V65" s="568">
        <f t="shared" si="17"/>
        <v>1491038.4630913455</v>
      </c>
      <c r="W65" s="568">
        <f t="shared" si="17"/>
        <v>1450456.7432115353</v>
      </c>
      <c r="X65" s="568">
        <f t="shared" si="17"/>
        <v>1410262.343867545</v>
      </c>
      <c r="Y65" s="568">
        <f t="shared" si="17"/>
        <v>1367410.7223859297</v>
      </c>
      <c r="Z65" s="568">
        <f t="shared" si="17"/>
        <v>1325039.4669755336</v>
      </c>
      <c r="AA65" s="568">
        <f t="shared" si="17"/>
        <v>1283144.1086973099</v>
      </c>
      <c r="AB65" s="568">
        <f t="shared" si="17"/>
        <v>1241720.2952825169</v>
      </c>
      <c r="AC65" s="568">
        <f t="shared" si="17"/>
        <v>1200763.7918057728</v>
      </c>
      <c r="AD65" s="568">
        <f t="shared" si="17"/>
        <v>1158943.0245618571</v>
      </c>
      <c r="AE65" s="568">
        <f t="shared" si="17"/>
        <v>1117625.4644618605</v>
      </c>
      <c r="AF65" s="568">
        <f t="shared" si="17"/>
        <v>1076806.4031633444</v>
      </c>
      <c r="AG65" s="568">
        <f t="shared" si="17"/>
        <v>1036481.2651429828</v>
      </c>
      <c r="AH65" s="568">
        <f t="shared" si="17"/>
        <v>996645.60840186453</v>
      </c>
    </row>
    <row r="66" spans="1:35" s="61" customFormat="1">
      <c r="A66" s="606" t="s">
        <v>608</v>
      </c>
      <c r="B66" s="54" t="s">
        <v>141</v>
      </c>
      <c r="C66" s="55" t="s">
        <v>1420</v>
      </c>
      <c r="D66" s="571">
        <f>D65*('Demand - Ethylene'!$C$76)</f>
        <v>243158.34476609659</v>
      </c>
      <c r="E66" s="571">
        <f>E65*('Demand - Ethylene'!$C$76)</f>
        <v>239425.75229672543</v>
      </c>
      <c r="F66" s="571">
        <f>F65*('Demand - Ethylene'!$C$76)</f>
        <v>235703.89702832888</v>
      </c>
      <c r="G66" s="571">
        <f>G65*('Demand - Ethylene'!$C$76)</f>
        <v>231992.83258267358</v>
      </c>
      <c r="H66" s="571">
        <f>H65*('Demand - Ethylene'!$C$76)</f>
        <v>228292.61495944983</v>
      </c>
      <c r="I66" s="571">
        <f>I65*('Demand - Ethylene'!$C$76)</f>
        <v>224603.30263993685</v>
      </c>
      <c r="J66" s="571">
        <f>J65*('Demand - Ethylene'!$C$76)</f>
        <v>220620.85250858997</v>
      </c>
      <c r="K66" s="571">
        <f>K65*('Demand - Ethylene'!$C$76)</f>
        <v>216656.84991185184</v>
      </c>
      <c r="L66" s="571">
        <f>L65*('Demand - Ethylene'!$C$76)</f>
        <v>212711.2683331552</v>
      </c>
      <c r="M66" s="571">
        <f>M65*('Demand - Ethylene'!$C$76)</f>
        <v>208784.08507824433</v>
      </c>
      <c r="N66" s="571">
        <f>N65*('Demand - Ethylene'!$C$76)</f>
        <v>204875.28138191058</v>
      </c>
      <c r="O66" s="571">
        <f>O65*('Demand - Ethylene'!$C$76)</f>
        <v>200440.3375364925</v>
      </c>
      <c r="P66" s="571">
        <f>P65*('Demand - Ethylene'!$C$76)</f>
        <v>196038.13738835687</v>
      </c>
      <c r="Q66" s="571">
        <f>Q65*('Demand - Ethylene'!$C$76)</f>
        <v>191668.47100427645</v>
      </c>
      <c r="R66" s="571">
        <f>R65*('Demand - Ethylene'!$C$76)</f>
        <v>187331.13508542726</v>
      </c>
      <c r="S66" s="571">
        <f>S65*('Demand - Ethylene'!$C$76)</f>
        <v>183025.93306461532</v>
      </c>
      <c r="T66" s="571">
        <f>T65*('Demand - Ethylene'!$C$76)</f>
        <v>178293.32893412735</v>
      </c>
      <c r="U66" s="571">
        <f>U65*('Demand - Ethylene'!$C$76)</f>
        <v>173605.75375274493</v>
      </c>
      <c r="V66" s="571">
        <f>V65*('Demand - Ethylene'!$C$76)</f>
        <v>168962.81822595125</v>
      </c>
      <c r="W66" s="571">
        <f>W65*('Demand - Ethylene'!$C$76)</f>
        <v>164364.14292073293</v>
      </c>
      <c r="X66" s="571">
        <f>X65*('Demand - Ethylene'!$C$76)</f>
        <v>159809.35834731589</v>
      </c>
      <c r="Y66" s="571">
        <f>Y65*('Demand - Ethylene'!$C$76)</f>
        <v>154953.46032032993</v>
      </c>
      <c r="Z66" s="571">
        <f>Z65*('Demand - Ethylene'!$C$76)</f>
        <v>150151.99684160177</v>
      </c>
      <c r="AA66" s="571">
        <f>AA65*('Demand - Ethylene'!$C$76)</f>
        <v>145404.4614959351</v>
      </c>
      <c r="AB66" s="571">
        <f>AB65*('Demand - Ethylene'!$C$76)</f>
        <v>140710.3610890829</v>
      </c>
      <c r="AC66" s="571">
        <f>AC65*('Demand - Ethylene'!$C$76)</f>
        <v>136069.21572401683</v>
      </c>
      <c r="AD66" s="571">
        <f>AD65*('Demand - Ethylene'!$C$76)</f>
        <v>131330.13295129384</v>
      </c>
      <c r="AE66" s="571">
        <f>AE65*('Demand - Ethylene'!$C$76)</f>
        <v>126648.07305175129</v>
      </c>
      <c r="AF66" s="571">
        <f>AF65*('Demand - Ethylene'!$C$76)</f>
        <v>122022.50248126721</v>
      </c>
      <c r="AG66" s="571">
        <f>AG65*('Demand - Ethylene'!$C$76)</f>
        <v>117452.90274663358</v>
      </c>
      <c r="AH66" s="571">
        <f>AH65*('Demand - Ethylene'!$C$76)</f>
        <v>112938.77048548036</v>
      </c>
      <c r="AI66" s="56"/>
    </row>
    <row r="67" spans="1:35">
      <c r="A67" s="607"/>
      <c r="B67" s="1" t="s">
        <v>18</v>
      </c>
      <c r="C67" s="50" t="s">
        <v>1420</v>
      </c>
      <c r="D67" s="183">
        <f>D71/('Demand - Ethylene'!$K$14)</f>
        <v>107053.65149258176</v>
      </c>
      <c r="E67" s="183">
        <f>E71/('Demand - Ethylene'!$K$14)</f>
        <v>105410.32868676043</v>
      </c>
      <c r="F67" s="183">
        <f>F71/('Demand - Ethylene'!$K$14)</f>
        <v>103771.73307453899</v>
      </c>
      <c r="G67" s="183">
        <f>G71/('Demand - Ethylene'!$K$14)</f>
        <v>102137.88826360373</v>
      </c>
      <c r="H67" s="183">
        <f>H71/('Demand - Ethylene'!$K$14)</f>
        <v>100508.81890855302</v>
      </c>
      <c r="I67" s="183">
        <f>I71/('Demand - Ethylene'!$K$14)</f>
        <v>98884.550756537283</v>
      </c>
      <c r="J67" s="183">
        <f>J71/('Demand - Ethylene'!$K$14)</f>
        <v>97131.224836927562</v>
      </c>
      <c r="K67" s="183">
        <f>K71/('Demand - Ethylene'!$K$14)</f>
        <v>95386.020686458854</v>
      </c>
      <c r="L67" s="183">
        <f>L71/('Demand - Ethylene'!$K$14)</f>
        <v>93648.926630864531</v>
      </c>
      <c r="M67" s="183">
        <f>M71/('Demand - Ethylene'!$K$14)</f>
        <v>91919.932678700774</v>
      </c>
      <c r="N67" s="183">
        <f>N71/('Demand - Ethylene'!$K$14)</f>
        <v>90199.030568338261</v>
      </c>
      <c r="O67" s="183">
        <f>O71/('Demand - Ethylene'!$K$14)</f>
        <v>88246.488354443602</v>
      </c>
      <c r="P67" s="183">
        <f>P71/('Demand - Ethylene'!$K$14)</f>
        <v>86308.361982871051</v>
      </c>
      <c r="Q67" s="183">
        <f>Q71/('Demand - Ethylene'!$K$14)</f>
        <v>84384.559027763011</v>
      </c>
      <c r="R67" s="183">
        <f>R71/('Demand - Ethylene'!$K$14)</f>
        <v>82474.989984144981</v>
      </c>
      <c r="S67" s="183">
        <f>S71/('Demand - Ethylene'!$K$14)</f>
        <v>80579.568310730872</v>
      </c>
      <c r="T67" s="183">
        <f>T71/('Demand - Ethylene'!$K$14)</f>
        <v>78495.97725106572</v>
      </c>
      <c r="U67" s="183">
        <f>U71/('Demand - Ethylene'!$K$14)</f>
        <v>76432.210777018918</v>
      </c>
      <c r="V67" s="183">
        <f>V71/('Demand - Ethylene'!$K$14)</f>
        <v>74388.097496571863</v>
      </c>
      <c r="W67" s="183">
        <f>W71/('Demand - Ethylene'!$K$14)</f>
        <v>72363.470359362371</v>
      </c>
      <c r="X67" s="183">
        <f>X71/('Demand - Ethylene'!$K$14)</f>
        <v>70358.166692669693</v>
      </c>
      <c r="Y67" s="183">
        <f>Y71/('Demand - Ethylene'!$K$14)</f>
        <v>68220.293877469681</v>
      </c>
      <c r="Z67" s="183">
        <f>Z71/('Demand - Ethylene'!$K$14)</f>
        <v>66106.3865863151</v>
      </c>
      <c r="AA67" s="183">
        <f>AA71/('Demand - Ethylene'!$K$14)</f>
        <v>64016.221863271741</v>
      </c>
      <c r="AB67" s="183">
        <f>AB71/('Demand - Ethylene'!$K$14)</f>
        <v>61949.582573101645</v>
      </c>
      <c r="AC67" s="183">
        <f>AC71/('Demand - Ethylene'!$K$14)</f>
        <v>59906.2574348419</v>
      </c>
      <c r="AD67" s="183">
        <f>AD71/('Demand - Ethylene'!$K$14)</f>
        <v>57819.814067933752</v>
      </c>
      <c r="AE67" s="183">
        <f>AE71/('Demand - Ethylene'!$K$14)</f>
        <v>55758.475769076795</v>
      </c>
      <c r="AF67" s="183">
        <f>AF71/('Demand - Ethylene'!$K$14)</f>
        <v>53722.007638471281</v>
      </c>
      <c r="AG67" s="183">
        <f>AG71/('Demand - Ethylene'!$K$14)</f>
        <v>51710.181402679795</v>
      </c>
      <c r="AH67" s="183">
        <f>AH71/('Demand - Ethylene'!$K$14)</f>
        <v>49722.775449814901</v>
      </c>
      <c r="AI67" s="40"/>
    </row>
    <row r="68" spans="1:35">
      <c r="A68" s="607"/>
      <c r="B68" s="1" t="s">
        <v>607</v>
      </c>
      <c r="C68" s="50" t="s">
        <v>1420</v>
      </c>
      <c r="D68" s="183">
        <f>D70/('Demand - Ethylene'!$M$14)</f>
        <v>235194.27504285253</v>
      </c>
      <c r="E68" s="183">
        <f>E70/('Demand - Ethylene'!$M$14)</f>
        <v>231583.93470800348</v>
      </c>
      <c r="F68" s="183">
        <f>F70/('Demand - Ethylene'!$M$14)</f>
        <v>227983.97990280448</v>
      </c>
      <c r="G68" s="183">
        <f>G70/('Demand - Ethylene'!$M$14)</f>
        <v>224394.46249276947</v>
      </c>
      <c r="H68" s="183">
        <f>H70/('Demand - Ethylene'!$M$14)</f>
        <v>220815.43664345285</v>
      </c>
      <c r="I68" s="183">
        <f>I70/('Demand - Ethylene'!$M$14)</f>
        <v>217246.95892071957</v>
      </c>
      <c r="J68" s="183">
        <f>J70/('Demand - Ethylene'!$M$14)</f>
        <v>213394.94441372235</v>
      </c>
      <c r="K68" s="183">
        <f>K70/('Demand - Ethylene'!$M$14)</f>
        <v>209560.77323648127</v>
      </c>
      <c r="L68" s="183">
        <f>L70/('Demand - Ethylene'!$M$14)</f>
        <v>205744.41974091585</v>
      </c>
      <c r="M68" s="183">
        <f>M70/('Demand - Ethylene'!$M$14)</f>
        <v>201945.86197606643</v>
      </c>
      <c r="N68" s="183">
        <f>N70/('Demand - Ethylene'!$M$14)</f>
        <v>198165.0817913338</v>
      </c>
      <c r="O68" s="183">
        <f>O70/('Demand - Ethylene'!$M$14)</f>
        <v>193875.39391908643</v>
      </c>
      <c r="P68" s="183">
        <f>P70/('Demand - Ethylene'!$M$14)</f>
        <v>189617.37730267027</v>
      </c>
      <c r="Q68" s="183">
        <f>Q70/('Demand - Ethylene'!$M$14)</f>
        <v>185390.82888471847</v>
      </c>
      <c r="R68" s="183">
        <f>R70/('Demand - Ethylene'!$M$14)</f>
        <v>181195.55202497367</v>
      </c>
      <c r="S68" s="183">
        <f>S70/('Demand - Ethylene'!$M$14)</f>
        <v>177031.35659432987</v>
      </c>
      <c r="T68" s="183">
        <f>T70/('Demand - Ethylene'!$M$14)</f>
        <v>172453.75758737148</v>
      </c>
      <c r="U68" s="183">
        <f>U70/('Demand - Ethylene'!$M$14)</f>
        <v>167919.71271404161</v>
      </c>
      <c r="V68" s="183">
        <f>V70/('Demand - Ethylene'!$M$14)</f>
        <v>163428.84543023372</v>
      </c>
      <c r="W68" s="183">
        <f>W70/('Demand - Ethylene'!$M$14)</f>
        <v>158980.78873035483</v>
      </c>
      <c r="X68" s="183">
        <f>X70/('Demand - Ethylene'!$M$14)</f>
        <v>154575.18522638432</v>
      </c>
      <c r="Y68" s="183">
        <f>Y70/('Demand - Ethylene'!$M$14)</f>
        <v>149878.33051947472</v>
      </c>
      <c r="Z68" s="183">
        <f>Z70/('Demand - Ethylene'!$M$14)</f>
        <v>145234.12748745253</v>
      </c>
      <c r="AA68" s="183">
        <f>AA70/('Demand - Ethylene'!$M$14)</f>
        <v>140642.08630153938</v>
      </c>
      <c r="AB68" s="183">
        <f>AB70/('Demand - Ethylene'!$M$14)</f>
        <v>136101.72992088555</v>
      </c>
      <c r="AC68" s="183">
        <f>AC70/('Demand - Ethylene'!$M$14)</f>
        <v>131612.59416634162</v>
      </c>
      <c r="AD68" s="183">
        <f>AD70/('Demand - Ethylene'!$M$14)</f>
        <v>127028.72870957172</v>
      </c>
      <c r="AE68" s="183">
        <f>AE70/('Demand - Ethylene'!$M$14)</f>
        <v>122500.01847822266</v>
      </c>
      <c r="AF68" s="183">
        <f>AF70/('Demand - Ethylene'!$M$14)</f>
        <v>118025.94740313348</v>
      </c>
      <c r="AG68" s="183">
        <f>AG70/('Demand - Ethylene'!$M$14)</f>
        <v>113606.01397310046</v>
      </c>
      <c r="AH68" s="183">
        <f>AH70/('Demand - Ethylene'!$M$14)</f>
        <v>109239.73131218346</v>
      </c>
      <c r="AI68" s="40"/>
    </row>
    <row r="69" spans="1:35" s="62" customFormat="1">
      <c r="A69" s="608"/>
      <c r="B69" s="58" t="s">
        <v>27</v>
      </c>
      <c r="C69" s="233" t="s">
        <v>1420</v>
      </c>
      <c r="D69" s="528">
        <f>D65-SUM(D67,D66,D68)</f>
        <v>1560382.065295889</v>
      </c>
      <c r="E69" s="528">
        <f t="shared" ref="E69:AH69" si="18">E65-SUM(E67,E66,E68)</f>
        <v>1536429.4826614419</v>
      </c>
      <c r="F69" s="528">
        <f t="shared" si="18"/>
        <v>1512545.8021896924</v>
      </c>
      <c r="G69" s="528">
        <f t="shared" si="18"/>
        <v>1488731.3679792276</v>
      </c>
      <c r="H69" s="528">
        <f t="shared" si="18"/>
        <v>1464986.5393881127</v>
      </c>
      <c r="I69" s="528">
        <f t="shared" si="18"/>
        <v>1441311.691699127</v>
      </c>
      <c r="J69" s="528">
        <f t="shared" si="18"/>
        <v>1415755.7365174675</v>
      </c>
      <c r="K69" s="528">
        <f t="shared" si="18"/>
        <v>1390318.1618182054</v>
      </c>
      <c r="L69" s="528">
        <f t="shared" si="18"/>
        <v>1364998.7974407154</v>
      </c>
      <c r="M69" s="528">
        <f t="shared" si="18"/>
        <v>1339797.4977526956</v>
      </c>
      <c r="N69" s="528">
        <f t="shared" si="18"/>
        <v>1314714.1423351034</v>
      </c>
      <c r="O69" s="528">
        <f t="shared" si="18"/>
        <v>1286254.4699202348</v>
      </c>
      <c r="P69" s="528">
        <f t="shared" si="18"/>
        <v>1258004.9185194741</v>
      </c>
      <c r="Q69" s="528">
        <f t="shared" si="18"/>
        <v>1229964.1409611129</v>
      </c>
      <c r="R69" s="528">
        <f t="shared" si="18"/>
        <v>1202130.8326473625</v>
      </c>
      <c r="S69" s="528">
        <f t="shared" si="18"/>
        <v>1174503.7321782727</v>
      </c>
      <c r="T69" s="528">
        <f t="shared" si="18"/>
        <v>1144133.930909629</v>
      </c>
      <c r="U69" s="528">
        <f t="shared" si="18"/>
        <v>1114053.0868826997</v>
      </c>
      <c r="V69" s="528">
        <f t="shared" si="18"/>
        <v>1084258.7019385886</v>
      </c>
      <c r="W69" s="528">
        <f t="shared" si="18"/>
        <v>1054748.3412010851</v>
      </c>
      <c r="X69" s="528">
        <f t="shared" si="18"/>
        <v>1025519.6336011752</v>
      </c>
      <c r="Y69" s="528">
        <f t="shared" si="18"/>
        <v>994358.63766865537</v>
      </c>
      <c r="Z69" s="528">
        <f t="shared" si="18"/>
        <v>963546.95606016426</v>
      </c>
      <c r="AA69" s="528">
        <f t="shared" si="18"/>
        <v>933081.33903656364</v>
      </c>
      <c r="AB69" s="528">
        <f t="shared" si="18"/>
        <v>902958.62169944681</v>
      </c>
      <c r="AC69" s="528">
        <f t="shared" si="18"/>
        <v>873175.72448057251</v>
      </c>
      <c r="AD69" s="528">
        <f t="shared" si="18"/>
        <v>842764.3488330578</v>
      </c>
      <c r="AE69" s="528">
        <f t="shared" si="18"/>
        <v>812718.89716280974</v>
      </c>
      <c r="AF69" s="528">
        <f t="shared" si="18"/>
        <v>783035.94564047246</v>
      </c>
      <c r="AG69" s="528">
        <f t="shared" si="18"/>
        <v>753712.16702056897</v>
      </c>
      <c r="AH69" s="528">
        <f t="shared" si="18"/>
        <v>724744.33115438581</v>
      </c>
      <c r="AI69" s="234"/>
    </row>
    <row r="70" spans="1:35" s="61" customFormat="1">
      <c r="A70" s="606" t="s">
        <v>609</v>
      </c>
      <c r="B70" s="54" t="s">
        <v>606</v>
      </c>
      <c r="C70" s="55" t="s">
        <v>1420</v>
      </c>
      <c r="D70" s="571">
        <f>D65*'Demand - Ethylene'!$E$76</f>
        <v>107207.97978629141</v>
      </c>
      <c r="E70" s="571">
        <f>E65*'Demand - Ethylene'!$E$76</f>
        <v>105562.28797015513</v>
      </c>
      <c r="F70" s="571">
        <f>F65*'Demand - Ethylene'!$E$76</f>
        <v>103921.33016233001</v>
      </c>
      <c r="G70" s="571">
        <f>G65*'Demand - Ethylene'!$E$76</f>
        <v>102285.13000453509</v>
      </c>
      <c r="H70" s="571">
        <f>H65*'Demand - Ethylene'!$E$76</f>
        <v>100653.71218691075</v>
      </c>
      <c r="I70" s="571">
        <f>I65*'Demand - Ethylene'!$E$76</f>
        <v>99027.10249372448</v>
      </c>
      <c r="J70" s="571">
        <f>J65*'Demand - Ethylene'!$E$76</f>
        <v>97271.248983568177</v>
      </c>
      <c r="K70" s="571">
        <f>K65*'Demand - Ethylene'!$E$76</f>
        <v>95523.52895087628</v>
      </c>
      <c r="L70" s="571">
        <f>L65*'Demand - Ethylene'!$E$76</f>
        <v>93783.930704552578</v>
      </c>
      <c r="M70" s="571">
        <f>M65*'Demand - Ethylene'!$E$76</f>
        <v>92052.444238749624</v>
      </c>
      <c r="N70" s="571">
        <f>N65*'Demand - Ethylene'!$E$76</f>
        <v>90329.061279928137</v>
      </c>
      <c r="O70" s="571">
        <f>O65*'Demand - Ethylene'!$E$76</f>
        <v>88373.704285742788</v>
      </c>
      <c r="P70" s="571">
        <f>P65*'Demand - Ethylene'!$E$76</f>
        <v>86432.783915724154</v>
      </c>
      <c r="Q70" s="571">
        <f>Q65*'Demand - Ethylene'!$E$76</f>
        <v>84506.207610773708</v>
      </c>
      <c r="R70" s="571">
        <f>R65*'Demand - Ethylene'!$E$76</f>
        <v>82593.885736886805</v>
      </c>
      <c r="S70" s="571">
        <f>S65*'Demand - Ethylene'!$E$76</f>
        <v>80695.731628019639</v>
      </c>
      <c r="T70" s="571">
        <f>T65*'Demand - Ethylene'!$E$76</f>
        <v>78609.136868354137</v>
      </c>
      <c r="U70" s="571">
        <f>U65*'Demand - Ethylene'!$E$76</f>
        <v>76542.395273383241</v>
      </c>
      <c r="V70" s="571">
        <f>V65*'Demand - Ethylene'!$E$76</f>
        <v>74495.335204010073</v>
      </c>
      <c r="W70" s="571">
        <f>W65*'Demand - Ethylene'!$E$76</f>
        <v>72467.78936905296</v>
      </c>
      <c r="X70" s="571">
        <f>X65*'Demand - Ethylene'!$E$76</f>
        <v>70459.594861282603</v>
      </c>
      <c r="Y70" s="571">
        <f>Y65*'Demand - Ethylene'!$E$76</f>
        <v>68318.640093630354</v>
      </c>
      <c r="Z70" s="571">
        <f>Z65*'Demand - Ethylene'!$E$76</f>
        <v>66201.685398667003</v>
      </c>
      <c r="AA70" s="571">
        <f>AA65*'Demand - Ethylene'!$E$76</f>
        <v>64108.507499045518</v>
      </c>
      <c r="AB70" s="571">
        <f>AB65*'Demand - Ethylene'!$E$76</f>
        <v>62038.888946506326</v>
      </c>
      <c r="AC70" s="571">
        <f>AC65*'Demand - Ethylene'!$E$76</f>
        <v>59992.61815550438</v>
      </c>
      <c r="AD70" s="571">
        <f>AD65*'Demand - Ethylene'!$E$76</f>
        <v>57903.166976716435</v>
      </c>
      <c r="AE70" s="571">
        <f>AE65*'Demand - Ethylene'!$E$76</f>
        <v>55838.85705738706</v>
      </c>
      <c r="AF70" s="571">
        <f>AF65*'Demand - Ethylene'!$E$76</f>
        <v>53799.453159085548</v>
      </c>
      <c r="AG70" s="571">
        <f>AG65*'Demand - Ethylene'!$E$76</f>
        <v>51784.726679296029</v>
      </c>
      <c r="AH70" s="571">
        <f>AH65*'Demand - Ethylene'!$E$76</f>
        <v>49794.455686655856</v>
      </c>
      <c r="AI70" s="56"/>
    </row>
    <row r="71" spans="1:35" s="62" customFormat="1">
      <c r="A71" s="608"/>
      <c r="B71" s="58" t="s">
        <v>605</v>
      </c>
      <c r="C71" s="233" t="s">
        <v>1420</v>
      </c>
      <c r="D71" s="528">
        <f>D65*'Demand - Ethylene'!$D$76/'Demand - Ethylene'!$L$24</f>
        <v>35832.469182091416</v>
      </c>
      <c r="E71" s="528">
        <f>E65*'Demand - Ethylene'!$D$76/'Demand - Ethylene'!$L$24</f>
        <v>35282.424293618824</v>
      </c>
      <c r="F71" s="528">
        <f>F65*'Demand - Ethylene'!$D$76/'Demand - Ethylene'!$L$24</f>
        <v>34733.961668026801</v>
      </c>
      <c r="G71" s="528">
        <f>G65*'Demand - Ethylene'!$D$76/'Demand - Ethylene'!$L$24</f>
        <v>34187.08920716343</v>
      </c>
      <c r="H71" s="528">
        <f>H65*'Demand - Ethylene'!$D$76/'Demand - Ethylene'!$L$24</f>
        <v>33641.815163294043</v>
      </c>
      <c r="I71" s="528">
        <f>I65*'Demand - Ethylene'!$D$76/'Demand - Ethylene'!$L$24</f>
        <v>33098.148154377588</v>
      </c>
      <c r="J71" s="528">
        <f>J65*'Demand - Ethylene'!$D$76/'Demand - Ethylene'!$L$24</f>
        <v>32511.283567279119</v>
      </c>
      <c r="K71" s="528">
        <f>K65*'Demand - Ethylene'!$D$76/'Demand - Ethylene'!$L$24</f>
        <v>31927.137458610781</v>
      </c>
      <c r="L71" s="528">
        <f>L65*'Demand - Ethylene'!$D$76/'Demand - Ethylene'!$L$24</f>
        <v>31345.705920819742</v>
      </c>
      <c r="M71" s="528">
        <f>M65*'Demand - Ethylene'!$D$76/'Demand - Ethylene'!$L$24</f>
        <v>30766.985609619303</v>
      </c>
      <c r="N71" s="528">
        <f>N65*'Demand - Ethylene'!$D$76/'Demand - Ethylene'!$L$24</f>
        <v>30190.973759717726</v>
      </c>
      <c r="O71" s="528">
        <f>O65*'Demand - Ethylene'!$D$76/'Demand - Ethylene'!$L$24</f>
        <v>29537.428479097744</v>
      </c>
      <c r="P71" s="528">
        <f>P65*'Demand - Ethylene'!$D$76/'Demand - Ethylene'!$L$24</f>
        <v>28888.708397978564</v>
      </c>
      <c r="Q71" s="528">
        <f>Q65*'Demand - Ethylene'!$D$76/'Demand - Ethylene'!$L$24</f>
        <v>28244.782580033887</v>
      </c>
      <c r="R71" s="528">
        <f>R65*'Demand - Ethylene'!$D$76/'Demand - Ethylene'!$L$24</f>
        <v>27605.621066600968</v>
      </c>
      <c r="S71" s="528">
        <f>S65*'Demand - Ethylene'!$D$76/'Demand - Ethylene'!$L$24</f>
        <v>26971.194891008206</v>
      </c>
      <c r="T71" s="528">
        <f>T65*'Demand - Ethylene'!$D$76/'Demand - Ethylene'!$L$24</f>
        <v>26273.785588358623</v>
      </c>
      <c r="U71" s="528">
        <f>U65*'Demand - Ethylene'!$D$76/'Demand - Ethylene'!$L$24</f>
        <v>25583.011873036638</v>
      </c>
      <c r="V71" s="528">
        <f>V65*'Demand - Ethylene'!$D$76/'Demand - Ethylene'!$L$24</f>
        <v>24898.816377552786</v>
      </c>
      <c r="W71" s="528">
        <f>W65*'Demand - Ethylene'!$D$76/'Demand - Ethylene'!$L$24</f>
        <v>24221.143187635371</v>
      </c>
      <c r="X71" s="528">
        <f>X65*'Demand - Ethylene'!$D$76/'Demand - Ethylene'!$L$24</f>
        <v>23549.937854275213</v>
      </c>
      <c r="Y71" s="528">
        <f>Y65*'Demand - Ethylene'!$D$76/'Demand - Ethylene'!$L$24</f>
        <v>22834.359630666524</v>
      </c>
      <c r="Z71" s="528">
        <f>Z65*'Demand - Ethylene'!$D$76/'Demand - Ethylene'!$L$24</f>
        <v>22126.803028831757</v>
      </c>
      <c r="AA71" s="528">
        <f>AA65*'Demand - Ethylene'!$D$76/'Demand - Ethylene'!$L$24</f>
        <v>21427.193422062428</v>
      </c>
      <c r="AB71" s="528">
        <f>AB65*'Demand - Ethylene'!$D$76/'Demand - Ethylene'!$L$24</f>
        <v>20735.458131924745</v>
      </c>
      <c r="AC71" s="528">
        <f>AC65*'Demand - Ethylene'!$D$76/'Demand - Ethylene'!$L$24</f>
        <v>20051.526439498928</v>
      </c>
      <c r="AD71" s="528">
        <f>AD65*'Demand - Ethylene'!$D$76/'Demand - Ethylene'!$L$24</f>
        <v>19353.162426664712</v>
      </c>
      <c r="AE71" s="528">
        <f>AE65*'Demand - Ethylene'!$D$76/'Demand - Ethylene'!$L$24</f>
        <v>18663.201458142539</v>
      </c>
      <c r="AF71" s="528">
        <f>AF65*'Demand - Ethylene'!$D$76/'Demand - Ethylene'!$L$24</f>
        <v>17981.564909432291</v>
      </c>
      <c r="AG71" s="528">
        <f>AG65*'Demand - Ethylene'!$D$76/'Demand - Ethylene'!$L$24</f>
        <v>17308.176373977087</v>
      </c>
      <c r="AH71" s="528">
        <f>AH65*'Demand - Ethylene'!$D$76/'Demand - Ethylene'!$L$24</f>
        <v>16642.961674941143</v>
      </c>
      <c r="AI71" s="234"/>
    </row>
    <row r="72" spans="1:35" s="61" customFormat="1" outlineLevel="1">
      <c r="B72" s="54" t="s">
        <v>198</v>
      </c>
      <c r="C72" s="55" t="s">
        <v>1420</v>
      </c>
      <c r="D72" s="571">
        <f>'Demand - Wind'!D37</f>
        <v>0</v>
      </c>
      <c r="E72" s="571">
        <f>'Demand - Wind'!E37</f>
        <v>729.19798588721312</v>
      </c>
      <c r="F72" s="571">
        <f>'Demand - Wind'!F37</f>
        <v>766.87350720893528</v>
      </c>
      <c r="G72" s="571">
        <f>'Demand - Wind'!G37</f>
        <v>806.49561222168882</v>
      </c>
      <c r="H72" s="571">
        <f>'Demand - Wind'!H37</f>
        <v>848.16487519580949</v>
      </c>
      <c r="I72" s="571">
        <f>'Demand - Wind'!I37</f>
        <v>891.9870667792037</v>
      </c>
      <c r="J72" s="571">
        <f>'Demand - Wind'!J37</f>
        <v>938.07342247895167</v>
      </c>
      <c r="K72" s="571">
        <f>'Demand - Wind'!K37</f>
        <v>986.54092501455375</v>
      </c>
      <c r="L72" s="571">
        <f>'Demand - Wind'!L37</f>
        <v>1037.5126012595351</v>
      </c>
      <c r="M72" s="571">
        <f>'Demand - Wind'!M37</f>
        <v>1091.1178345251603</v>
      </c>
      <c r="N72" s="571">
        <f>'Demand - Wind'!N37</f>
        <v>1147.492692978926</v>
      </c>
      <c r="O72" s="571">
        <f>'Demand - Wind'!O37</f>
        <v>1206.7802750314795</v>
      </c>
      <c r="P72" s="571">
        <f>'Demand - Wind'!P37</f>
        <v>1269.1310725686676</v>
      </c>
      <c r="Q72" s="571">
        <f>'Demand - Wind'!Q37</f>
        <v>1334.7033529507123</v>
      </c>
      <c r="R72" s="571">
        <f>'Demand - Wind'!R37</f>
        <v>1403.6635607481669</v>
      </c>
      <c r="S72" s="571">
        <f>'Demand - Wind'!S37</f>
        <v>1476.1867402343896</v>
      </c>
      <c r="T72" s="571">
        <f>'Demand - Wind'!T37</f>
        <v>1552.456979706973</v>
      </c>
      <c r="U72" s="571">
        <f>'Demand - Wind'!U37</f>
        <v>1632.6678787659423</v>
      </c>
      <c r="V72" s="571">
        <f>'Demand - Wind'!V37</f>
        <v>1717.0230397348676</v>
      </c>
      <c r="W72" s="571">
        <f>'Demand - Wind'!W37</f>
        <v>1805.7365844722526</v>
      </c>
      <c r="X72" s="571">
        <f>'Demand - Wind'!X37</f>
        <v>1899.0336978850387</v>
      </c>
      <c r="Y72" s="571">
        <f>'Demand - Wind'!Y37</f>
        <v>1997.1511995238889</v>
      </c>
      <c r="Z72" s="571">
        <f>'Demand - Wind'!Z37</f>
        <v>2100.3381447110919</v>
      </c>
      <c r="AA72" s="571">
        <f>'Demand - Wind'!AA37</f>
        <v>2208.8564567270055</v>
      </c>
      <c r="AB72" s="571">
        <f>'Demand - Wind'!AB37</f>
        <v>2322.9815916597131</v>
      </c>
      <c r="AC72" s="571">
        <f>'Demand - Wind'!AC37</f>
        <v>2443.0032376055087</v>
      </c>
      <c r="AD72" s="571">
        <f>'Demand - Wind'!AD37</f>
        <v>2569.2260499949975</v>
      </c>
      <c r="AE72" s="571">
        <f>'Demand - Wind'!AE37</f>
        <v>2701.9704249114175</v>
      </c>
      <c r="AF72" s="571">
        <f>'Demand - Wind'!AF37</f>
        <v>2841.5733123639234</v>
      </c>
      <c r="AG72" s="571">
        <f>'Demand - Wind'!AG37</f>
        <v>2988.3890715804514</v>
      </c>
      <c r="AH72" s="571">
        <f>'Demand - Wind'!AH37</f>
        <v>3142.7903704909827</v>
      </c>
    </row>
    <row r="73" spans="1:35" outlineLevel="1">
      <c r="B73" s="1" t="s">
        <v>199</v>
      </c>
      <c r="C73" s="50" t="s">
        <v>1420</v>
      </c>
      <c r="D73" s="183">
        <f>'Demand - Solar'!D32</f>
        <v>0</v>
      </c>
      <c r="E73" s="183">
        <f>'Demand - Solar'!E32</f>
        <v>22385.593101243907</v>
      </c>
      <c r="F73" s="183">
        <f>'Demand - Solar'!F32</f>
        <v>23725.314373926591</v>
      </c>
      <c r="G73" s="183">
        <f>'Demand - Solar'!G32</f>
        <v>25145.21458492738</v>
      </c>
      <c r="H73" s="183">
        <f>'Demand - Solar'!H32</f>
        <v>26650.092241428971</v>
      </c>
      <c r="I73" s="183">
        <f>'Demand - Solar'!I32</f>
        <v>28245.033029163329</v>
      </c>
      <c r="J73" s="183">
        <f>'Demand - Solar'!J32</f>
        <v>29935.426999323143</v>
      </c>
      <c r="K73" s="183">
        <f>'Demand - Solar'!K32</f>
        <v>31726.986784067201</v>
      </c>
      <c r="L73" s="183">
        <f>'Demand - Solar'!L32</f>
        <v>33625.766902176954</v>
      </c>
      <c r="M73" s="183">
        <f>'Demand - Solar'!M32</f>
        <v>35638.184220108684</v>
      </c>
      <c r="N73" s="183">
        <f>'Demand - Solar'!N32</f>
        <v>37771.03963758747</v>
      </c>
      <c r="O73" s="183">
        <f>'Demand - Solar'!O32</f>
        <v>40031.541071029664</v>
      </c>
      <c r="P73" s="183">
        <f>'Demand - Solar'!P32</f>
        <v>42427.327812465126</v>
      </c>
      <c r="Q73" s="183">
        <f>'Demand - Solar'!Q32</f>
        <v>44966.496346278975</v>
      </c>
      <c r="R73" s="183">
        <f>'Demand - Solar'!R32</f>
        <v>47657.627711021356</v>
      </c>
      <c r="S73" s="183">
        <f>'Demand - Solar'!S32</f>
        <v>50509.816498751046</v>
      </c>
      <c r="T73" s="183">
        <f>'Demand - Solar'!T32</f>
        <v>53532.701589917779</v>
      </c>
      <c r="U73" s="183">
        <f>'Demand - Solar'!U32</f>
        <v>56736.498727649348</v>
      </c>
      <c r="V73" s="183">
        <f>'Demand - Solar'!V32</f>
        <v>60132.035041527131</v>
      </c>
      <c r="W73" s="183">
        <f>'Demand - Solar'!W32</f>
        <v>63730.785637523411</v>
      </c>
      <c r="X73" s="183">
        <f>'Demand - Solar'!X32</f>
        <v>67544.91237775379</v>
      </c>
      <c r="Y73" s="183">
        <f>'Demand - Solar'!Y32</f>
        <v>71587.304981098932</v>
      </c>
      <c r="Z73" s="183">
        <f>'Demand - Solar'!Z32</f>
        <v>75871.624583596917</v>
      </c>
      <c r="AA73" s="183">
        <f>'Demand - Solar'!AA32</f>
        <v>80412.349905812793</v>
      </c>
      <c r="AB73" s="183">
        <f>'Demand - Solar'!AB32</f>
        <v>85224.826183210724</v>
      </c>
      <c r="AC73" s="183">
        <f>'Demand - Solar'!AC32</f>
        <v>90325.317024884542</v>
      </c>
      <c r="AD73" s="183">
        <f>'Demand - Solar'!AD32</f>
        <v>95731.059375902303</v>
      </c>
      <c r="AE73" s="183">
        <f>'Demand - Solar'!AE32</f>
        <v>101460.32176900876</v>
      </c>
      <c r="AF73" s="183">
        <f>'Demand - Solar'!AF32</f>
        <v>107532.46606254637</v>
      </c>
      <c r="AG73" s="183">
        <f>'Demand - Solar'!AG32</f>
        <v>113968.01287323225</v>
      </c>
      <c r="AH73" s="183">
        <f>'Demand - Solar'!AH32</f>
        <v>120788.71092492521</v>
      </c>
    </row>
    <row r="74" spans="1:35" s="168" customFormat="1">
      <c r="A74" s="165" t="s">
        <v>197</v>
      </c>
      <c r="B74" s="166" t="s">
        <v>230</v>
      </c>
      <c r="C74" s="167" t="s">
        <v>1420</v>
      </c>
      <c r="D74" s="581">
        <f>D72+D73</f>
        <v>0</v>
      </c>
      <c r="E74" s="581">
        <f t="shared" ref="E74:AG74" si="19">E72+E73</f>
        <v>23114.791087131121</v>
      </c>
      <c r="F74" s="581">
        <f t="shared" si="19"/>
        <v>24492.187881135527</v>
      </c>
      <c r="G74" s="581">
        <f t="shared" si="19"/>
        <v>25951.71019714907</v>
      </c>
      <c r="H74" s="581">
        <f t="shared" si="19"/>
        <v>27498.25711662478</v>
      </c>
      <c r="I74" s="581">
        <f t="shared" si="19"/>
        <v>29137.020095942531</v>
      </c>
      <c r="J74" s="581">
        <f t="shared" si="19"/>
        <v>30873.500421802095</v>
      </c>
      <c r="K74" s="581">
        <f t="shared" si="19"/>
        <v>32713.527709081754</v>
      </c>
      <c r="L74" s="581">
        <f t="shared" si="19"/>
        <v>34663.27950343649</v>
      </c>
      <c r="M74" s="581">
        <f t="shared" si="19"/>
        <v>36729.302054633845</v>
      </c>
      <c r="N74" s="581">
        <f t="shared" si="19"/>
        <v>38918.532330566399</v>
      </c>
      <c r="O74" s="581">
        <f t="shared" si="19"/>
        <v>41238.321346061144</v>
      </c>
      <c r="P74" s="581">
        <f t="shared" si="19"/>
        <v>43696.458885033797</v>
      </c>
      <c r="Q74" s="581">
        <f t="shared" si="19"/>
        <v>46301.199699229684</v>
      </c>
      <c r="R74" s="581">
        <f t="shared" si="19"/>
        <v>49061.291271769522</v>
      </c>
      <c r="S74" s="581">
        <f t="shared" si="19"/>
        <v>51986.003238985439</v>
      </c>
      <c r="T74" s="581">
        <f t="shared" si="19"/>
        <v>55085.158569624749</v>
      </c>
      <c r="U74" s="581">
        <f t="shared" si="19"/>
        <v>58369.166606415289</v>
      </c>
      <c r="V74" s="581">
        <f t="shared" si="19"/>
        <v>61849.058081261996</v>
      </c>
      <c r="W74" s="581">
        <f t="shared" si="19"/>
        <v>65536.522221995663</v>
      </c>
      <c r="X74" s="581">
        <f t="shared" si="19"/>
        <v>69443.946075638829</v>
      </c>
      <c r="Y74" s="581">
        <f t="shared" si="19"/>
        <v>73584.456180622816</v>
      </c>
      <c r="Z74" s="581">
        <f t="shared" si="19"/>
        <v>77971.962728308004</v>
      </c>
      <c r="AA74" s="581">
        <f t="shared" si="19"/>
        <v>82621.2063625398</v>
      </c>
      <c r="AB74" s="581">
        <f t="shared" si="19"/>
        <v>87547.807774870438</v>
      </c>
      <c r="AC74" s="581">
        <f t="shared" si="19"/>
        <v>92768.320262490044</v>
      </c>
      <c r="AD74" s="581">
        <f t="shared" si="19"/>
        <v>98300.285425897295</v>
      </c>
      <c r="AE74" s="581">
        <f t="shared" si="19"/>
        <v>104162.29219392018</v>
      </c>
      <c r="AF74" s="581">
        <f t="shared" si="19"/>
        <v>110374.0393749103</v>
      </c>
      <c r="AG74" s="581">
        <f t="shared" si="19"/>
        <v>116956.40194481269</v>
      </c>
      <c r="AH74" s="581">
        <f>AH72+AH73</f>
        <v>123931.50129541619</v>
      </c>
    </row>
    <row r="75" spans="1:35" s="61" customFormat="1">
      <c r="A75" s="606" t="s">
        <v>608</v>
      </c>
      <c r="B75" s="54" t="s">
        <v>141</v>
      </c>
      <c r="C75" s="55" t="s">
        <v>1420</v>
      </c>
      <c r="D75" s="571">
        <f>D72*'Demand - Wind'!$I$22+D73*'Demand - Solar'!$J$25</f>
        <v>0</v>
      </c>
      <c r="E75" s="571">
        <f>E72*'Demand - Wind'!$I$22+E73*'Demand - Solar'!$J$25</f>
        <v>10461.576604048369</v>
      </c>
      <c r="F75" s="571">
        <f>F72*'Demand - Wind'!$I$22+F73*'Demand - Solar'!$J$25</f>
        <v>11087.675571310678</v>
      </c>
      <c r="G75" s="571">
        <f>G72*'Demand - Wind'!$I$22+G73*'Demand - Solar'!$J$25</f>
        <v>11751.244982239699</v>
      </c>
      <c r="H75" s="571">
        <f>H72*'Demand - Wind'!$I$22+H73*'Demand - Solar'!$J$25</f>
        <v>12454.527348358351</v>
      </c>
      <c r="I75" s="571">
        <f>I72*'Demand - Wind'!$I$22+I73*'Demand - Solar'!$J$25</f>
        <v>13199.899389846814</v>
      </c>
      <c r="J75" s="571">
        <f>J72*'Demand - Wind'!$I$22+J73*'Demand - Solar'!$J$25</f>
        <v>13989.880067591988</v>
      </c>
      <c r="K75" s="571">
        <f>K72*'Demand - Wind'!$I$22+K73*'Demand - Solar'!$J$25</f>
        <v>14827.139095935128</v>
      </c>
      <c r="L75" s="571">
        <f>L72*'Demand - Wind'!$I$22+L73*'Demand - Solar'!$J$25</f>
        <v>15714.50596488556</v>
      </c>
      <c r="M75" s="571">
        <f>M72*'Demand - Wind'!$I$22+M73*'Demand - Solar'!$J$25</f>
        <v>16654.979502291477</v>
      </c>
      <c r="N75" s="571">
        <f>N72*'Demand - Wind'!$I$22+N73*'Demand - Solar'!$J$25</f>
        <v>17651.738008282278</v>
      </c>
      <c r="O75" s="571">
        <f>O72*'Demand - Wind'!$I$22+O73*'Demand - Solar'!$J$25</f>
        <v>18708.149996231914</v>
      </c>
      <c r="P75" s="571">
        <f>P72*'Demand - Wind'!$I$22+P73*'Demand - Solar'!$J$25</f>
        <v>19827.785576541723</v>
      </c>
      <c r="Q75" s="571">
        <f>Q72*'Demand - Wind'!$I$22+Q73*'Demand - Solar'!$J$25</f>
        <v>21014.428521713755</v>
      </c>
      <c r="R75" s="571">
        <f>R72*'Demand - Wind'!$I$22+R73*'Demand - Solar'!$J$25</f>
        <v>22272.089053488773</v>
      </c>
      <c r="S75" s="571">
        <f>S72*'Demand - Wind'!$I$22+S73*'Demand - Solar'!$J$25</f>
        <v>23605.017395261588</v>
      </c>
      <c r="T75" s="571">
        <f>T72*'Demand - Wind'!$I$22+T73*'Demand - Solar'!$J$25</f>
        <v>25017.718135574753</v>
      </c>
      <c r="U75" s="571">
        <f>U72*'Demand - Wind'!$I$22+U73*'Demand - Solar'!$J$25</f>
        <v>26514.965451230968</v>
      </c>
      <c r="V75" s="571">
        <f>V72*'Demand - Wind'!$I$22+V73*'Demand - Solar'!$J$25</f>
        <v>28101.819241470126</v>
      </c>
      <c r="W75" s="571">
        <f>W72*'Demand - Wind'!$I$22+W73*'Demand - Solar'!$J$25</f>
        <v>29783.642227736582</v>
      </c>
      <c r="X75" s="571">
        <f>X72*'Demand - Wind'!$I$22+X73*'Demand - Solar'!$J$25</f>
        <v>31566.11807682419</v>
      </c>
      <c r="Y75" s="571">
        <f>Y72*'Demand - Wind'!$I$22+Y73*'Demand - Solar'!$J$25</f>
        <v>33455.270608645369</v>
      </c>
      <c r="Z75" s="571">
        <f>Z72*'Demand - Wind'!$I$22+Z73*'Demand - Solar'!$J$25</f>
        <v>35457.484153537698</v>
      </c>
      <c r="AA75" s="571">
        <f>AA72*'Demand - Wind'!$I$22+AA73*'Demand - Solar'!$J$25</f>
        <v>37579.525127902765</v>
      </c>
      <c r="AB75" s="571">
        <f>AB72*'Demand - Wind'!$I$22+AB73*'Demand - Solar'!$J$25</f>
        <v>39828.564901093603</v>
      </c>
      <c r="AC75" s="571">
        <f>AC72*'Demand - Wind'!$I$22+AC73*'Demand - Solar'!$J$25</f>
        <v>42212.204030827124</v>
      </c>
      <c r="AD75" s="571">
        <f>AD72*'Demand - Wind'!$I$22+AD73*'Demand - Solar'!$J$25</f>
        <v>44738.497949024822</v>
      </c>
      <c r="AE75" s="571">
        <f>AE72*'Demand - Wind'!$I$22+AE73*'Demand - Solar'!$J$25</f>
        <v>47415.984184886322</v>
      </c>
      <c r="AF75" s="571">
        <f>AF72*'Demand - Wind'!$I$22+AF73*'Demand - Solar'!$J$25</f>
        <v>50253.711217195734</v>
      </c>
      <c r="AG75" s="571">
        <f>AG72*'Demand - Wind'!$I$22+AG73*'Demand - Solar'!$J$25</f>
        <v>53261.269053364405</v>
      </c>
      <c r="AH75" s="571">
        <f>AH72*'Demand - Wind'!$I$22+AH73*'Demand - Solar'!$J$25</f>
        <v>56448.821638553869</v>
      </c>
      <c r="AI75" s="56"/>
    </row>
    <row r="76" spans="1:35">
      <c r="A76" s="607"/>
      <c r="B76" s="1" t="s">
        <v>18</v>
      </c>
      <c r="C76" s="50" t="s">
        <v>1420</v>
      </c>
      <c r="D76" s="183">
        <f>D72*'Demand - Wind'!$J$22+D73*'Demand - Solar'!$K$25</f>
        <v>0</v>
      </c>
      <c r="E76" s="183">
        <f>E72*'Demand - Wind'!$J$22+E73*'Demand - Solar'!$K$25</f>
        <v>4848.1318232500498</v>
      </c>
      <c r="F76" s="183">
        <f>F72*'Demand - Wind'!$J$22+F73*'Demand - Solar'!$K$25</f>
        <v>5135.2977127376153</v>
      </c>
      <c r="G76" s="183">
        <f>G72*'Demand - Wind'!$J$22+G73*'Demand - Solar'!$K$25</f>
        <v>5439.4956556421439</v>
      </c>
      <c r="H76" s="183">
        <f>H72*'Demand - Wind'!$J$22+H73*'Demand - Solar'!$K$25</f>
        <v>5761.7370154657692</v>
      </c>
      <c r="I76" s="183">
        <f>I72*'Demand - Wind'!$J$22+I73*'Demand - Solar'!$K$25</f>
        <v>6103.09327189538</v>
      </c>
      <c r="J76" s="183">
        <f>J72*'Demand - Wind'!$J$22+J73*'Demand - Solar'!$K$25</f>
        <v>6464.6995973503281</v>
      </c>
      <c r="K76" s="183">
        <f>K72*'Demand - Wind'!$J$22+K73*'Demand - Solar'!$K$25</f>
        <v>6847.758646479474</v>
      </c>
      <c r="L76" s="183">
        <f>L72*'Demand - Wind'!$J$22+L73*'Demand - Solar'!$K$25</f>
        <v>7253.5445712950077</v>
      </c>
      <c r="M76" s="183">
        <f>M72*'Demand - Wind'!$J$22+M73*'Demand - Solar'!$K$25</f>
        <v>7683.4072753874989</v>
      </c>
      <c r="N76" s="183">
        <f>N72*'Demand - Wind'!$J$22+N73*'Demand - Solar'!$K$25</f>
        <v>8138.7769214675827</v>
      </c>
      <c r="O76" s="183">
        <f>O72*'Demand - Wind'!$J$22+O73*'Demand - Solar'!$K$25</f>
        <v>8621.1687073294161</v>
      </c>
      <c r="P76" s="183">
        <f>P72*'Demand - Wind'!$J$22+P73*'Demand - Solar'!$K$25</f>
        <v>9132.1879262307866</v>
      </c>
      <c r="Q76" s="183">
        <f>Q72*'Demand - Wind'!$J$22+Q73*'Demand - Solar'!$K$25</f>
        <v>9673.5353286383943</v>
      </c>
      <c r="R76" s="183">
        <f>R72*'Demand - Wind'!$J$22+R73*'Demand - Solar'!$K$25</f>
        <v>10247.012803297843</v>
      </c>
      <c r="S76" s="183">
        <f>S72*'Demand - Wind'!$J$22+S73*'Demand - Solar'!$K$25</f>
        <v>10854.529396657876</v>
      </c>
      <c r="T76" s="183">
        <f>T72*'Demand - Wind'!$J$22+T73*'Demand - Solar'!$K$25</f>
        <v>11498.107690814095</v>
      </c>
      <c r="U76" s="183">
        <f>U72*'Demand - Wind'!$J$22+U73*'Demand - Solar'!$K$25</f>
        <v>12179.8905613391</v>
      </c>
      <c r="V76" s="183">
        <f>V72*'Demand - Wind'!$J$22+V73*'Demand - Solar'!$K$25</f>
        <v>12902.148337640345</v>
      </c>
      <c r="W76" s="183">
        <f>W72*'Demand - Wind'!$J$22+W73*'Demand - Solar'!$K$25</f>
        <v>13667.286389837518</v>
      </c>
      <c r="X76" s="183">
        <f>X72*'Demand - Wind'!$J$22+X73*'Demand - Solar'!$K$25</f>
        <v>14477.853167581457</v>
      </c>
      <c r="Y76" s="183">
        <f>Y72*'Demand - Wind'!$J$22+Y73*'Demand - Solar'!$K$25</f>
        <v>15336.548717752816</v>
      </c>
      <c r="Z76" s="183">
        <f>Z72*'Demand - Wind'!$J$22+Z73*'Demand - Solar'!$K$25</f>
        <v>16246.233709585986</v>
      </c>
      <c r="AA76" s="183">
        <f>AA72*'Demand - Wind'!$J$22+AA73*'Demand - Solar'!$K$25</f>
        <v>17209.938997464687</v>
      </c>
      <c r="AB76" s="183">
        <f>AB72*'Demand - Wind'!$J$22+AB73*'Demand - Solar'!$K$25</f>
        <v>18230.8757534414</v>
      </c>
      <c r="AC76" s="183">
        <f>AC72*'Demand - Wind'!$J$22+AC73*'Demand - Solar'!$K$25</f>
        <v>19312.446203442953</v>
      </c>
      <c r="AD76" s="183">
        <f>AD72*'Demand - Wind'!$J$22+AD73*'Demand - Solar'!$K$25</f>
        <v>20458.255003150996</v>
      </c>
      <c r="AE76" s="183">
        <f>AE72*'Demand - Wind'!$J$22+AE73*'Demand - Solar'!$K$25</f>
        <v>21672.121291692703</v>
      </c>
      <c r="AF76" s="183">
        <f>AF72*'Demand - Wind'!$J$22+AF73*'Demand - Solar'!$K$25</f>
        <v>22958.091463551562</v>
      </c>
      <c r="AG76" s="183">
        <f>AG72*'Demand - Wind'!$J$22+AG73*'Demand - Solar'!$K$25</f>
        <v>24320.452701517828</v>
      </c>
      <c r="AH76" s="183">
        <f>AH72*'Demand - Wind'!$J$22+AH73*'Demand - Solar'!$K$25</f>
        <v>25763.74731605429</v>
      </c>
      <c r="AI76" s="40"/>
    </row>
    <row r="77" spans="1:35">
      <c r="A77" s="607"/>
      <c r="B77" s="1" t="s">
        <v>607</v>
      </c>
      <c r="C77" s="50" t="s">
        <v>1420</v>
      </c>
      <c r="D77" s="183">
        <f>D72*'Demand - Wind'!$K$22+D73*'Demand - Solar'!$L$25</f>
        <v>0</v>
      </c>
      <c r="E77" s="183">
        <f>E72*'Demand - Wind'!$K$22+E73*'Demand - Solar'!$L$25</f>
        <v>218.75939576616392</v>
      </c>
      <c r="F77" s="183">
        <f>F72*'Demand - Wind'!$K$22+F73*'Demand - Solar'!$L$25</f>
        <v>230.06205216268057</v>
      </c>
      <c r="G77" s="183">
        <f>G72*'Demand - Wind'!$K$22+G73*'Demand - Solar'!$L$25</f>
        <v>241.94868366650664</v>
      </c>
      <c r="H77" s="183">
        <f>H72*'Demand - Wind'!$K$22+H73*'Demand - Solar'!$L$25</f>
        <v>254.44946255874282</v>
      </c>
      <c r="I77" s="183">
        <f>I72*'Demand - Wind'!$K$22+I73*'Demand - Solar'!$L$25</f>
        <v>267.59612003376111</v>
      </c>
      <c r="J77" s="183">
        <f>J72*'Demand - Wind'!$K$22+J73*'Demand - Solar'!$L$25</f>
        <v>281.42202674368548</v>
      </c>
      <c r="K77" s="183">
        <f>K72*'Demand - Wind'!$K$22+K73*'Demand - Solar'!$L$25</f>
        <v>295.96227750436611</v>
      </c>
      <c r="L77" s="183">
        <f>L72*'Demand - Wind'!$K$22+L73*'Demand - Solar'!$L$25</f>
        <v>311.25378037786055</v>
      </c>
      <c r="M77" s="183">
        <f>M72*'Demand - Wind'!$K$22+M73*'Demand - Solar'!$L$25</f>
        <v>327.33535035754807</v>
      </c>
      <c r="N77" s="183">
        <f>N72*'Demand - Wind'!$K$22+N73*'Demand - Solar'!$L$25</f>
        <v>344.24780789367782</v>
      </c>
      <c r="O77" s="183">
        <f>O72*'Demand - Wind'!$K$22+O73*'Demand - Solar'!$L$25</f>
        <v>362.03408250944386</v>
      </c>
      <c r="P77" s="183">
        <f>P72*'Demand - Wind'!$K$22+P73*'Demand - Solar'!$L$25</f>
        <v>380.73932177060027</v>
      </c>
      <c r="Q77" s="183">
        <f>Q72*'Demand - Wind'!$K$22+Q73*'Demand - Solar'!$L$25</f>
        <v>400.41100588521368</v>
      </c>
      <c r="R77" s="183">
        <f>R72*'Demand - Wind'!$K$22+R73*'Demand - Solar'!$L$25</f>
        <v>421.09906822445004</v>
      </c>
      <c r="S77" s="183">
        <f>S72*'Demand - Wind'!$K$22+S73*'Demand - Solar'!$L$25</f>
        <v>442.8560220703169</v>
      </c>
      <c r="T77" s="183">
        <f>T72*'Demand - Wind'!$K$22+T73*'Demand - Solar'!$L$25</f>
        <v>465.73709391209189</v>
      </c>
      <c r="U77" s="183">
        <f>U72*'Demand - Wind'!$K$22+U73*'Demand - Solar'!$L$25</f>
        <v>489.80036362978268</v>
      </c>
      <c r="V77" s="183">
        <f>V72*'Demand - Wind'!$K$22+V73*'Demand - Solar'!$L$25</f>
        <v>515.10691192046022</v>
      </c>
      <c r="W77" s="183">
        <f>W72*'Demand - Wind'!$K$22+W73*'Demand - Solar'!$L$25</f>
        <v>541.72097534167574</v>
      </c>
      <c r="X77" s="183">
        <f>X72*'Demand - Wind'!$K$22+X73*'Demand - Solar'!$L$25</f>
        <v>569.71010936551158</v>
      </c>
      <c r="Y77" s="183">
        <f>Y72*'Demand - Wind'!$K$22+Y73*'Demand - Solar'!$L$25</f>
        <v>599.14535985716668</v>
      </c>
      <c r="Z77" s="183">
        <f>Z72*'Demand - Wind'!$K$22+Z73*'Demand - Solar'!$L$25</f>
        <v>630.1014434133275</v>
      </c>
      <c r="AA77" s="183">
        <f>AA72*'Demand - Wind'!$K$22+AA73*'Demand - Solar'!$L$25</f>
        <v>662.65693701810164</v>
      </c>
      <c r="AB77" s="183">
        <f>AB72*'Demand - Wind'!$K$22+AB73*'Demand - Solar'!$L$25</f>
        <v>696.89447749791395</v>
      </c>
      <c r="AC77" s="183">
        <f>AC72*'Demand - Wind'!$K$22+AC73*'Demand - Solar'!$L$25</f>
        <v>732.90097128165257</v>
      </c>
      <c r="AD77" s="183">
        <f>AD72*'Demand - Wind'!$K$22+AD73*'Demand - Solar'!$L$25</f>
        <v>770.76781499849926</v>
      </c>
      <c r="AE77" s="183">
        <f>AE72*'Demand - Wind'!$K$22+AE73*'Demand - Solar'!$L$25</f>
        <v>810.59112747342522</v>
      </c>
      <c r="AF77" s="183">
        <f>AF72*'Demand - Wind'!$K$22+AF73*'Demand - Solar'!$L$25</f>
        <v>852.47199370917701</v>
      </c>
      <c r="AG77" s="183">
        <f>AG72*'Demand - Wind'!$K$22+AG73*'Demand - Solar'!$L$25</f>
        <v>896.51672147413535</v>
      </c>
      <c r="AH77" s="183">
        <f>AH72*'Demand - Wind'!$K$22+AH73*'Demand - Solar'!$L$25</f>
        <v>942.83711114729476</v>
      </c>
      <c r="AI77" s="40"/>
    </row>
    <row r="78" spans="1:35" s="62" customFormat="1">
      <c r="A78" s="608"/>
      <c r="B78" s="58" t="s">
        <v>27</v>
      </c>
      <c r="C78" s="233" t="s">
        <v>1420</v>
      </c>
      <c r="D78" s="528">
        <f>D72*'Demand - Wind'!$L$22+D73*'Demand - Solar'!$M$25</f>
        <v>0</v>
      </c>
      <c r="E78" s="528">
        <f>E72*'Demand - Wind'!$L$22+E73*'Demand - Solar'!$M$25</f>
        <v>7586.3232640665346</v>
      </c>
      <c r="F78" s="528">
        <f>F72*'Demand - Wind'!$L$22+F73*'Demand - Solar'!$M$25</f>
        <v>8039.1525449245501</v>
      </c>
      <c r="G78" s="528">
        <f>G72*'Demand - Wind'!$L$22+G73*'Demand - Solar'!$M$25</f>
        <v>8519.020875600716</v>
      </c>
      <c r="H78" s="528">
        <f>H72*'Demand - Wind'!$L$22+H73*'Demand - Solar'!$M$25</f>
        <v>9027.5432902419143</v>
      </c>
      <c r="I78" s="528">
        <f>I72*'Demand - Wind'!$L$22+I73*'Demand - Solar'!$M$25</f>
        <v>9566.4313141665752</v>
      </c>
      <c r="J78" s="528">
        <f>J72*'Demand - Wind'!$L$22+J73*'Demand - Solar'!$M$25</f>
        <v>10137.498730116091</v>
      </c>
      <c r="K78" s="528">
        <f>K72*'Demand - Wind'!$L$22+K73*'Demand - Solar'!$M$25</f>
        <v>10742.667689162783</v>
      </c>
      <c r="L78" s="528">
        <f>L72*'Demand - Wind'!$L$22+L73*'Demand - Solar'!$M$25</f>
        <v>11383.975186878057</v>
      </c>
      <c r="M78" s="528">
        <f>M72*'Demand - Wind'!$L$22+M73*'Demand - Solar'!$M$25</f>
        <v>12063.579926597316</v>
      </c>
      <c r="N78" s="528">
        <f>N72*'Demand - Wind'!$L$22+N73*'Demand - Solar'!$M$25</f>
        <v>12783.769592922852</v>
      </c>
      <c r="O78" s="528">
        <f>O72*'Demand - Wind'!$L$22+O73*'Demand - Solar'!$M$25</f>
        <v>13546.968559990368</v>
      </c>
      <c r="P78" s="528">
        <f>P72*'Demand - Wind'!$L$22+P73*'Demand - Solar'!$M$25</f>
        <v>14355.746060490681</v>
      </c>
      <c r="Q78" s="528">
        <f>Q72*'Demand - Wind'!$L$22+Q73*'Demand - Solar'!$M$25</f>
        <v>15212.824842992322</v>
      </c>
      <c r="R78" s="528">
        <f>R72*'Demand - Wind'!$L$22+R73*'Demand - Solar'!$M$25</f>
        <v>16121.09034675845</v>
      </c>
      <c r="S78" s="528">
        <f>S72*'Demand - Wind'!$L$22+S73*'Demand - Solar'!$M$25</f>
        <v>17083.60042499565</v>
      </c>
      <c r="T78" s="528">
        <f>T72*'Demand - Wind'!$L$22+T73*'Demand - Solar'!$M$25</f>
        <v>18103.595649323808</v>
      </c>
      <c r="U78" s="528">
        <f>U72*'Demand - Wind'!$L$22+U73*'Demand - Solar'!$M$25</f>
        <v>19184.510230215437</v>
      </c>
      <c r="V78" s="528">
        <f>V72*'Demand - Wind'!$L$22+V73*'Demand - Solar'!$M$25</f>
        <v>20329.983590231062</v>
      </c>
      <c r="W78" s="528">
        <f>W72*'Demand - Wind'!$L$22+W73*'Demand - Solar'!$M$25</f>
        <v>21543.872629079884</v>
      </c>
      <c r="X78" s="528">
        <f>X72*'Demand - Wind'!$L$22+X73*'Demand - Solar'!$M$25</f>
        <v>22830.264721867668</v>
      </c>
      <c r="Y78" s="528">
        <f>Y72*'Demand - Wind'!$L$22+Y73*'Demand - Solar'!$M$25</f>
        <v>24193.491494367459</v>
      </c>
      <c r="Z78" s="528">
        <f>Z72*'Demand - Wind'!$L$22+Z73*'Demand - Solar'!$M$25</f>
        <v>25638.143421770994</v>
      </c>
      <c r="AA78" s="528">
        <f>AA72*'Demand - Wind'!$L$22+AA73*'Demand - Solar'!$M$25</f>
        <v>27169.085300154238</v>
      </c>
      <c r="AB78" s="528">
        <f>AB72*'Demand - Wind'!$L$22+AB73*'Demand - Solar'!$M$25</f>
        <v>28791.472642837514</v>
      </c>
      <c r="AC78" s="528">
        <f>AC72*'Demand - Wind'!$L$22+AC73*'Demand - Solar'!$M$25</f>
        <v>30510.769056938316</v>
      </c>
      <c r="AD78" s="528">
        <f>AD72*'Demand - Wind'!$L$22+AD73*'Demand - Solar'!$M$25</f>
        <v>32332.764658722976</v>
      </c>
      <c r="AE78" s="528">
        <f>AE72*'Demand - Wind'!$L$22+AE73*'Demand - Solar'!$M$25</f>
        <v>34263.59558986772</v>
      </c>
      <c r="AF78" s="528">
        <f>AF72*'Demand - Wind'!$L$22+AF73*'Demand - Solar'!$M$25</f>
        <v>36309.764700453808</v>
      </c>
      <c r="AG78" s="528">
        <f>AG72*'Demand - Wind'!$L$22+AG73*'Demand - Solar'!$M$25</f>
        <v>38478.163468456325</v>
      </c>
      <c r="AH78" s="528">
        <f>AH72*'Demand - Wind'!$L$22+AH73*'Demand - Solar'!$M$25</f>
        <v>40776.095229660728</v>
      </c>
      <c r="AI78" s="234"/>
    </row>
    <row r="79" spans="1:35" s="61" customFormat="1">
      <c r="A79" s="606" t="s">
        <v>609</v>
      </c>
      <c r="B79" s="54" t="s">
        <v>606</v>
      </c>
      <c r="C79" s="55" t="s">
        <v>1420</v>
      </c>
      <c r="D79" s="571">
        <f>D72*'Demand - Wind'!$K$22+D73*'Demand - Solar'!$L$25</f>
        <v>0</v>
      </c>
      <c r="E79" s="571">
        <f>E72*'Demand - Wind'!$K$22+E73*'Demand - Solar'!$L$25</f>
        <v>218.75939576616392</v>
      </c>
      <c r="F79" s="571">
        <f>F72*'Demand - Wind'!$K$22+F73*'Demand - Solar'!$L$25</f>
        <v>230.06205216268057</v>
      </c>
      <c r="G79" s="571">
        <f>G72*'Demand - Wind'!$K$22+G73*'Demand - Solar'!$L$25</f>
        <v>241.94868366650664</v>
      </c>
      <c r="H79" s="571">
        <f>H72*'Demand - Wind'!$K$22+H73*'Demand - Solar'!$L$25</f>
        <v>254.44946255874282</v>
      </c>
      <c r="I79" s="571">
        <f>I72*'Demand - Wind'!$K$22+I73*'Demand - Solar'!$L$25</f>
        <v>267.59612003376111</v>
      </c>
      <c r="J79" s="571">
        <f>J72*'Demand - Wind'!$K$22+J73*'Demand - Solar'!$L$25</f>
        <v>281.42202674368548</v>
      </c>
      <c r="K79" s="571">
        <f>K72*'Demand - Wind'!$K$22+K73*'Demand - Solar'!$L$25</f>
        <v>295.96227750436611</v>
      </c>
      <c r="L79" s="571">
        <f>L72*'Demand - Wind'!$K$22+L73*'Demand - Solar'!$L$25</f>
        <v>311.25378037786055</v>
      </c>
      <c r="M79" s="571">
        <f>M72*'Demand - Wind'!$K$22+M73*'Demand - Solar'!$L$25</f>
        <v>327.33535035754807</v>
      </c>
      <c r="N79" s="571">
        <f>N72*'Demand - Wind'!$K$22+N73*'Demand - Solar'!$L$25</f>
        <v>344.24780789367782</v>
      </c>
      <c r="O79" s="571">
        <f>O72*'Demand - Wind'!$K$22+O73*'Demand - Solar'!$L$25</f>
        <v>362.03408250944386</v>
      </c>
      <c r="P79" s="571">
        <f>P72*'Demand - Wind'!$K$22+P73*'Demand - Solar'!$L$25</f>
        <v>380.73932177060027</v>
      </c>
      <c r="Q79" s="571">
        <f>Q72*'Demand - Wind'!$K$22+Q73*'Demand - Solar'!$L$25</f>
        <v>400.41100588521368</v>
      </c>
      <c r="R79" s="571">
        <f>R72*'Demand - Wind'!$K$22+R73*'Demand - Solar'!$L$25</f>
        <v>421.09906822445004</v>
      </c>
      <c r="S79" s="571">
        <f>S72*'Demand - Wind'!$K$22+S73*'Demand - Solar'!$L$25</f>
        <v>442.8560220703169</v>
      </c>
      <c r="T79" s="571">
        <f>T72*'Demand - Wind'!$K$22+T73*'Demand - Solar'!$L$25</f>
        <v>465.73709391209189</v>
      </c>
      <c r="U79" s="571">
        <f>U72*'Demand - Wind'!$K$22+U73*'Demand - Solar'!$L$25</f>
        <v>489.80036362978268</v>
      </c>
      <c r="V79" s="571">
        <f>V72*'Demand - Wind'!$K$22+V73*'Demand - Solar'!$L$25</f>
        <v>515.10691192046022</v>
      </c>
      <c r="W79" s="571">
        <f>W72*'Demand - Wind'!$K$22+W73*'Demand - Solar'!$L$25</f>
        <v>541.72097534167574</v>
      </c>
      <c r="X79" s="571">
        <f>X72*'Demand - Wind'!$K$22+X73*'Demand - Solar'!$L$25</f>
        <v>569.71010936551158</v>
      </c>
      <c r="Y79" s="571">
        <f>Y72*'Demand - Wind'!$K$22+Y73*'Demand - Solar'!$L$25</f>
        <v>599.14535985716668</v>
      </c>
      <c r="Z79" s="571">
        <f>Z72*'Demand - Wind'!$K$22+Z73*'Demand - Solar'!$L$25</f>
        <v>630.1014434133275</v>
      </c>
      <c r="AA79" s="571">
        <f>AA72*'Demand - Wind'!$K$22+AA73*'Demand - Solar'!$L$25</f>
        <v>662.65693701810164</v>
      </c>
      <c r="AB79" s="571">
        <f>AB72*'Demand - Wind'!$K$22+AB73*'Demand - Solar'!$L$25</f>
        <v>696.89447749791395</v>
      </c>
      <c r="AC79" s="571">
        <f>AC72*'Demand - Wind'!$K$22+AC73*'Demand - Solar'!$L$25</f>
        <v>732.90097128165257</v>
      </c>
      <c r="AD79" s="571">
        <f>AD72*'Demand - Wind'!$K$22+AD73*'Demand - Solar'!$L$25</f>
        <v>770.76781499849926</v>
      </c>
      <c r="AE79" s="571">
        <f>AE72*'Demand - Wind'!$K$22+AE73*'Demand - Solar'!$L$25</f>
        <v>810.59112747342522</v>
      </c>
      <c r="AF79" s="571">
        <f>AF72*'Demand - Wind'!$K$22+AF73*'Demand - Solar'!$L$25</f>
        <v>852.47199370917701</v>
      </c>
      <c r="AG79" s="571">
        <f>AG72*'Demand - Wind'!$K$22+AG73*'Demand - Solar'!$L$25</f>
        <v>896.51672147413535</v>
      </c>
      <c r="AH79" s="571">
        <f>AH72*'Demand - Wind'!$K$22+AH73*'Demand - Solar'!$L$25</f>
        <v>942.83711114729476</v>
      </c>
      <c r="AI79" s="56"/>
    </row>
    <row r="80" spans="1:35" s="62" customFormat="1">
      <c r="A80" s="608"/>
      <c r="B80" s="58" t="s">
        <v>605</v>
      </c>
      <c r="C80" s="233" t="s">
        <v>1420</v>
      </c>
      <c r="D80" s="528">
        <f>D72*'Demand - Wind'!J22+D73*'Demand - Solar'!K25</f>
        <v>0</v>
      </c>
      <c r="E80" s="528">
        <f>E72*'Demand - Wind'!K22+E73*'Demand - Solar'!L25</f>
        <v>218.75939576616392</v>
      </c>
      <c r="F80" s="528">
        <f>F72*'Demand - Wind'!L22+F73*'Demand - Solar'!M25</f>
        <v>8039.1525449245501</v>
      </c>
      <c r="G80" s="528">
        <f>G72*'Demand - Wind'!M22+G73*'Demand - Solar'!N25</f>
        <v>25145.214584927377</v>
      </c>
      <c r="H80" s="528">
        <f>H72*'Demand - Wind'!N22+H73*'Demand - Solar'!O25</f>
        <v>0</v>
      </c>
      <c r="I80" s="528">
        <f>I72*'Demand - Wind'!O22+I73*'Demand - Solar'!P25</f>
        <v>0</v>
      </c>
      <c r="J80" s="528">
        <f>J72*'Demand - Wind'!P22+J73*'Demand - Solar'!Q25</f>
        <v>0</v>
      </c>
      <c r="K80" s="528">
        <f>K72*'Demand - Wind'!Q22+K73*'Demand - Solar'!R25</f>
        <v>0</v>
      </c>
      <c r="L80" s="528">
        <f>L72*'Demand - Wind'!R22+L73*'Demand - Solar'!S25</f>
        <v>0</v>
      </c>
      <c r="M80" s="528">
        <f>M72*'Demand - Wind'!S22+M73*'Demand - Solar'!T25</f>
        <v>0</v>
      </c>
      <c r="N80" s="528">
        <f>N72*'Demand - Wind'!T22+N73*'Demand - Solar'!U25</f>
        <v>0</v>
      </c>
      <c r="O80" s="528">
        <f>O72*'Demand - Wind'!U22+O73*'Demand - Solar'!V25</f>
        <v>0</v>
      </c>
      <c r="P80" s="528">
        <f>P72*'Demand - Wind'!V22+P73*'Demand - Solar'!W25</f>
        <v>0</v>
      </c>
      <c r="Q80" s="528">
        <f>Q72*'Demand - Wind'!W22+Q73*'Demand - Solar'!X25</f>
        <v>0</v>
      </c>
      <c r="R80" s="528">
        <f>R72*'Demand - Wind'!X22+R73*'Demand - Solar'!Y25</f>
        <v>0</v>
      </c>
      <c r="S80" s="528">
        <f>S72*'Demand - Wind'!Y22+S73*'Demand - Solar'!Z25</f>
        <v>0</v>
      </c>
      <c r="T80" s="528">
        <f>T72*'Demand - Wind'!Z22+T73*'Demand - Solar'!AA25</f>
        <v>0</v>
      </c>
      <c r="U80" s="528">
        <f>U72*'Demand - Wind'!AA22+U73*'Demand - Solar'!AB25</f>
        <v>0</v>
      </c>
      <c r="V80" s="528">
        <f>V72*'Demand - Wind'!AB22+V73*'Demand - Solar'!AC25</f>
        <v>0</v>
      </c>
      <c r="W80" s="528">
        <f>W72*'Demand - Wind'!AC22+W73*'Demand - Solar'!AD25</f>
        <v>0</v>
      </c>
      <c r="X80" s="528">
        <f>X72*'Demand - Wind'!AD22+X73*'Demand - Solar'!AE25</f>
        <v>0</v>
      </c>
      <c r="Y80" s="528">
        <f>Y72*'Demand - Wind'!AE22+Y73*'Demand - Solar'!AF25</f>
        <v>0</v>
      </c>
      <c r="Z80" s="528">
        <f>Z72*'Demand - Wind'!AF22+Z73*'Demand - Solar'!AG25</f>
        <v>0</v>
      </c>
      <c r="AA80" s="528">
        <f>AA72*'Demand - Wind'!AG22+AA73*'Demand - Solar'!AH25</f>
        <v>0</v>
      </c>
      <c r="AB80" s="528">
        <f>AB72*'Demand - Wind'!AH22+AB73*'Demand - Solar'!AI25</f>
        <v>0</v>
      </c>
      <c r="AC80" s="528">
        <f>AC72*'Demand - Wind'!AI22+AC73*'Demand - Solar'!AJ25</f>
        <v>0</v>
      </c>
      <c r="AD80" s="528">
        <f>AD72*'Demand - Wind'!AJ22+AD73*'Demand - Solar'!AK25</f>
        <v>0</v>
      </c>
      <c r="AE80" s="528">
        <f>AE72*'Demand - Wind'!AK22+AE73*'Demand - Solar'!AL25</f>
        <v>0</v>
      </c>
      <c r="AF80" s="528">
        <f>AF72*'Demand - Wind'!AL22+AF73*'Demand - Solar'!AM25</f>
        <v>0</v>
      </c>
      <c r="AG80" s="528">
        <f>AG72*'Demand - Wind'!AM22+AG73*'Demand - Solar'!AN25</f>
        <v>0</v>
      </c>
      <c r="AH80" s="528">
        <f>AH72*'Demand - Wind'!AN22+AH73*'Demand - Solar'!AO25</f>
        <v>0</v>
      </c>
      <c r="AI80" s="234"/>
    </row>
    <row r="81" spans="1:35" outlineLevel="1">
      <c r="A81" s="1" t="s">
        <v>78</v>
      </c>
      <c r="B81" s="1" t="s">
        <v>169</v>
      </c>
      <c r="C81" s="50" t="s">
        <v>1420</v>
      </c>
      <c r="D81" s="574">
        <f t="shared" ref="D81:AH81" si="20">D17+D29+D41+D53+D63</f>
        <v>0</v>
      </c>
      <c r="E81" s="574">
        <f t="shared" si="20"/>
        <v>45288.896149432956</v>
      </c>
      <c r="F81" s="574">
        <f t="shared" si="20"/>
        <v>90062.856109525223</v>
      </c>
      <c r="G81" s="574">
        <f t="shared" si="20"/>
        <v>134327.06971575093</v>
      </c>
      <c r="H81" s="574">
        <f t="shared" si="20"/>
        <v>178086.69740911864</v>
      </c>
      <c r="I81" s="574">
        <f t="shared" si="20"/>
        <v>221346.87073698061</v>
      </c>
      <c r="J81" s="574">
        <f t="shared" si="20"/>
        <v>264029.70311614353</v>
      </c>
      <c r="K81" s="574">
        <f t="shared" si="20"/>
        <v>306196.63426561194</v>
      </c>
      <c r="L81" s="574">
        <f t="shared" si="20"/>
        <v>347853.14735864697</v>
      </c>
      <c r="M81" s="574">
        <f t="shared" si="20"/>
        <v>389004.69398944697</v>
      </c>
      <c r="N81" s="574">
        <f t="shared" si="20"/>
        <v>429656.69472001505</v>
      </c>
      <c r="O81" s="574">
        <f t="shared" si="20"/>
        <v>490629.42353842908</v>
      </c>
      <c r="P81" s="574">
        <f t="shared" si="20"/>
        <v>551154.22817409725</v>
      </c>
      <c r="Q81" s="574">
        <f t="shared" si="20"/>
        <v>611245.43837797735</v>
      </c>
      <c r="R81" s="574">
        <f t="shared" si="20"/>
        <v>670917.41481049906</v>
      </c>
      <c r="S81" s="574">
        <f t="shared" si="20"/>
        <v>730184.55008078448</v>
      </c>
      <c r="T81" s="574">
        <f t="shared" si="20"/>
        <v>788702.32194705447</v>
      </c>
      <c r="U81" s="574">
        <f t="shared" si="20"/>
        <v>846804.69629421539</v>
      </c>
      <c r="V81" s="574">
        <f t="shared" si="20"/>
        <v>904507.06367200636</v>
      </c>
      <c r="W81" s="574">
        <f t="shared" si="20"/>
        <v>961824.83724198746</v>
      </c>
      <c r="X81" s="574">
        <f t="shared" si="20"/>
        <v>1018773.4537315976</v>
      </c>
      <c r="Y81" s="574">
        <f t="shared" si="20"/>
        <v>1081962.0396537883</v>
      </c>
      <c r="Z81" s="574">
        <f t="shared" si="20"/>
        <v>1144961.9634075928</v>
      </c>
      <c r="AA81" s="574">
        <f t="shared" si="20"/>
        <v>1207780.9755118731</v>
      </c>
      <c r="AB81" s="574">
        <f t="shared" si="20"/>
        <v>1270426.3899184079</v>
      </c>
      <c r="AC81" s="574">
        <f t="shared" si="20"/>
        <v>1332905.0678680898</v>
      </c>
      <c r="AD81" s="574">
        <f t="shared" si="20"/>
        <v>1395015.4243689221</v>
      </c>
      <c r="AE81" s="574">
        <f t="shared" si="20"/>
        <v>1456958.6156277726</v>
      </c>
      <c r="AF81" s="574">
        <f t="shared" si="20"/>
        <v>1518740.4079727542</v>
      </c>
      <c r="AG81" s="574">
        <f t="shared" si="20"/>
        <v>1580366.0380383916</v>
      </c>
      <c r="AH81" s="574">
        <f t="shared" si="20"/>
        <v>1641840.1936323463</v>
      </c>
    </row>
    <row r="82" spans="1:35" outlineLevel="1">
      <c r="B82" s="1" t="s">
        <v>172</v>
      </c>
      <c r="C82" s="50" t="s">
        <v>1420</v>
      </c>
      <c r="D82" s="574">
        <f t="shared" ref="D82:AH82" si="21">D18+D42+D54+D32+D64</f>
        <v>0</v>
      </c>
      <c r="E82" s="574">
        <f t="shared" si="21"/>
        <v>23586.776998344027</v>
      </c>
      <c r="F82" s="574">
        <f t="shared" si="21"/>
        <v>46830.860615806436</v>
      </c>
      <c r="G82" s="574">
        <f t="shared" si="21"/>
        <v>69734.385831355568</v>
      </c>
      <c r="H82" s="574">
        <f t="shared" si="21"/>
        <v>92299.442394297192</v>
      </c>
      <c r="I82" s="574">
        <f t="shared" si="21"/>
        <v>114528.07463149179</v>
      </c>
      <c r="J82" s="574">
        <f t="shared" si="21"/>
        <v>136394.61799837605</v>
      </c>
      <c r="K82" s="574">
        <f t="shared" si="21"/>
        <v>157919.81350939677</v>
      </c>
      <c r="L82" s="574">
        <f t="shared" si="21"/>
        <v>179105.71306424547</v>
      </c>
      <c r="M82" s="574">
        <f t="shared" si="21"/>
        <v>199954.32070148768</v>
      </c>
      <c r="N82" s="574">
        <f t="shared" si="21"/>
        <v>220467.59236792894</v>
      </c>
      <c r="O82" s="574">
        <f t="shared" si="21"/>
        <v>240553.39644008433</v>
      </c>
      <c r="P82" s="574">
        <f t="shared" si="21"/>
        <v>253616.11692432984</v>
      </c>
      <c r="Q82" s="574">
        <f t="shared" si="21"/>
        <v>271995.06950069201</v>
      </c>
      <c r="R82" s="574">
        <f t="shared" si="21"/>
        <v>290045.24418775883</v>
      </c>
      <c r="S82" s="574">
        <f t="shared" si="21"/>
        <v>307768.49525655835</v>
      </c>
      <c r="T82" s="574">
        <f t="shared" si="21"/>
        <v>325046.97573308076</v>
      </c>
      <c r="U82" s="574">
        <f t="shared" si="21"/>
        <v>341988.93778927985</v>
      </c>
      <c r="V82" s="574">
        <f t="shared" si="21"/>
        <v>358596.37765786692</v>
      </c>
      <c r="W82" s="574">
        <f t="shared" si="21"/>
        <v>374871.23435416596</v>
      </c>
      <c r="X82" s="574">
        <f t="shared" si="21"/>
        <v>390815.38940496714</v>
      </c>
      <c r="Y82" s="574">
        <f t="shared" si="21"/>
        <v>402892.65660052199</v>
      </c>
      <c r="Z82" s="574">
        <f t="shared" si="21"/>
        <v>414226.39597209159</v>
      </c>
      <c r="AA82" s="574">
        <f t="shared" si="21"/>
        <v>425277.32474748872</v>
      </c>
      <c r="AB82" s="574">
        <f t="shared" si="21"/>
        <v>436046.73490291624</v>
      </c>
      <c r="AC82" s="574">
        <f t="shared" si="21"/>
        <v>446535.85985408613</v>
      </c>
      <c r="AD82" s="574">
        <f t="shared" si="21"/>
        <v>456676.54849015217</v>
      </c>
      <c r="AE82" s="574">
        <f t="shared" si="21"/>
        <v>466534.99970964924</v>
      </c>
      <c r="AF82" s="574">
        <f t="shared" si="21"/>
        <v>476112.39097618731</v>
      </c>
      <c r="AG82" s="574">
        <f t="shared" si="21"/>
        <v>485409.83749021892</v>
      </c>
      <c r="AH82" s="574">
        <f t="shared" si="21"/>
        <v>494428.39178889501</v>
      </c>
    </row>
    <row r="83" spans="1:35" outlineLevel="1">
      <c r="B83" s="1" t="s">
        <v>249</v>
      </c>
      <c r="C83" s="50" t="s">
        <v>1420</v>
      </c>
      <c r="D83" s="574">
        <f t="shared" ref="D83:AH83" si="22">D74+D13</f>
        <v>0</v>
      </c>
      <c r="E83" s="574">
        <f t="shared" si="22"/>
        <v>24300.360248850659</v>
      </c>
      <c r="F83" s="574">
        <f t="shared" si="22"/>
        <v>26903.63555607307</v>
      </c>
      <c r="G83" s="574">
        <f t="shared" si="22"/>
        <v>29630.373625266289</v>
      </c>
      <c r="H83" s="574">
        <f t="shared" si="22"/>
        <v>32486.524725151728</v>
      </c>
      <c r="I83" s="574">
        <f t="shared" si="22"/>
        <v>35478.355293282417</v>
      </c>
      <c r="J83" s="574">
        <f t="shared" si="22"/>
        <v>38612.465896635687</v>
      </c>
      <c r="K83" s="574">
        <f t="shared" si="22"/>
        <v>41895.810244971814</v>
      </c>
      <c r="L83" s="574">
        <f t="shared" si="22"/>
        <v>45335.715319436706</v>
      </c>
      <c r="M83" s="574">
        <f t="shared" si="22"/>
        <v>48939.902682615088</v>
      </c>
      <c r="N83" s="574">
        <f t="shared" si="22"/>
        <v>52716.5110401852</v>
      </c>
      <c r="O83" s="574">
        <f t="shared" si="22"/>
        <v>58779.001780664039</v>
      </c>
      <c r="P83" s="574">
        <f t="shared" si="22"/>
        <v>65103.105287423168</v>
      </c>
      <c r="Q83" s="574">
        <f t="shared" si="22"/>
        <v>71700.185655664667</v>
      </c>
      <c r="R83" s="574">
        <f t="shared" si="22"/>
        <v>78582.169806277394</v>
      </c>
      <c r="S83" s="574">
        <f t="shared" si="22"/>
        <v>85761.578392279247</v>
      </c>
      <c r="T83" s="574">
        <f t="shared" si="22"/>
        <v>93251.558492846743</v>
      </c>
      <c r="U83" s="574">
        <f t="shared" si="22"/>
        <v>101065.91820052374</v>
      </c>
      <c r="V83" s="574">
        <f t="shared" si="22"/>
        <v>109219.1632134892</v>
      </c>
      <c r="W83" s="574">
        <f t="shared" si="22"/>
        <v>117726.53555142698</v>
      </c>
      <c r="X83" s="574">
        <f t="shared" si="22"/>
        <v>126604.05452059599</v>
      </c>
      <c r="Y83" s="574">
        <f t="shared" si="22"/>
        <v>134207.65062436659</v>
      </c>
      <c r="Z83" s="574">
        <f t="shared" si="22"/>
        <v>142159.46882345655</v>
      </c>
      <c r="AA83" s="574">
        <f t="shared" si="22"/>
        <v>150476.69060204661</v>
      </c>
      <c r="AB83" s="574">
        <f t="shared" si="22"/>
        <v>159177.43122638224</v>
      </c>
      <c r="AC83" s="574">
        <f t="shared" si="22"/>
        <v>168280.79342426977</v>
      </c>
      <c r="AD83" s="574">
        <f t="shared" si="22"/>
        <v>177806.92422691657</v>
      </c>
      <c r="AE83" s="574">
        <f t="shared" si="22"/>
        <v>187777.07516116937</v>
      </c>
      <c r="AF83" s="574">
        <f t="shared" si="22"/>
        <v>198213.66599142773</v>
      </c>
      <c r="AG83" s="574">
        <f t="shared" si="22"/>
        <v>209140.35222239594</v>
      </c>
      <c r="AH83" s="574">
        <f t="shared" si="22"/>
        <v>220582.09658644936</v>
      </c>
    </row>
    <row r="84" spans="1:35" s="63" customFormat="1">
      <c r="A84" s="63" t="s">
        <v>520</v>
      </c>
      <c r="C84" s="64" t="s">
        <v>1420</v>
      </c>
      <c r="D84" s="589">
        <f>D4+D83-D81-D82</f>
        <v>5341060.7015464325</v>
      </c>
      <c r="E84" s="589">
        <f t="shared" ref="E84:AH84" si="23">E4+E83-E81-E82</f>
        <v>5269289.5494633354</v>
      </c>
      <c r="F84" s="589">
        <f t="shared" si="23"/>
        <v>5176817.418935095</v>
      </c>
      <c r="G84" s="589">
        <f t="shared" si="23"/>
        <v>5085456.8277481869</v>
      </c>
      <c r="H84" s="589">
        <f t="shared" si="23"/>
        <v>4995205.7744686101</v>
      </c>
      <c r="I84" s="589">
        <f t="shared" si="23"/>
        <v>4906062.6517192842</v>
      </c>
      <c r="J84" s="589">
        <f t="shared" si="23"/>
        <v>4815342.6495228726</v>
      </c>
      <c r="K84" s="589">
        <f t="shared" si="23"/>
        <v>4725794.072889463</v>
      </c>
      <c r="L84" s="589">
        <f t="shared" si="23"/>
        <v>4637415.7853413383</v>
      </c>
      <c r="M84" s="589">
        <f t="shared" si="23"/>
        <v>4550207.1296478603</v>
      </c>
      <c r="N84" s="589">
        <f t="shared" si="23"/>
        <v>4464167.9500414841</v>
      </c>
      <c r="O84" s="589">
        <f t="shared" si="23"/>
        <v>4355501.4275737545</v>
      </c>
      <c r="P84" s="589">
        <f t="shared" si="23"/>
        <v>4254791.5075225523</v>
      </c>
      <c r="Q84" s="589">
        <f t="shared" si="23"/>
        <v>4149694.4185857512</v>
      </c>
      <c r="R84" s="589">
        <f t="shared" si="23"/>
        <v>4045851.2569503975</v>
      </c>
      <c r="S84" s="589">
        <f t="shared" si="23"/>
        <v>3943256.8261801139</v>
      </c>
      <c r="T84" s="589">
        <f t="shared" si="23"/>
        <v>3837853.013017694</v>
      </c>
      <c r="U84" s="589">
        <f t="shared" si="23"/>
        <v>3733806.6193071092</v>
      </c>
      <c r="V84" s="589">
        <f t="shared" si="23"/>
        <v>3631112.6336166812</v>
      </c>
      <c r="W84" s="589">
        <f t="shared" si="23"/>
        <v>3529766.8315855009</v>
      </c>
      <c r="X84" s="589">
        <f t="shared" si="23"/>
        <v>3429765.8160832566</v>
      </c>
      <c r="Y84" s="589">
        <f t="shared" si="23"/>
        <v>3323228.4203076437</v>
      </c>
      <c r="Z84" s="589">
        <f t="shared" si="23"/>
        <v>3218292.1148266755</v>
      </c>
      <c r="AA84" s="589">
        <f t="shared" si="23"/>
        <v>3114502.9681265317</v>
      </c>
      <c r="AB84" s="589">
        <f t="shared" si="23"/>
        <v>3011867.8661146341</v>
      </c>
      <c r="AC84" s="589">
        <f t="shared" si="23"/>
        <v>2910395.2150718342</v>
      </c>
      <c r="AD84" s="589">
        <f t="shared" si="23"/>
        <v>2808767.5585749857</v>
      </c>
      <c r="AE84" s="589">
        <f t="shared" si="23"/>
        <v>2708368.0378665514</v>
      </c>
      <c r="AF84" s="589">
        <f t="shared" si="23"/>
        <v>2609209.249101873</v>
      </c>
      <c r="AG84" s="589">
        <f t="shared" si="23"/>
        <v>2511305.640910835</v>
      </c>
      <c r="AH84" s="589">
        <f t="shared" si="23"/>
        <v>2414673.6052054623</v>
      </c>
      <c r="AI84" s="65"/>
    </row>
    <row r="85" spans="1:35" s="61" customFormat="1">
      <c r="A85" s="606" t="s">
        <v>608</v>
      </c>
      <c r="B85" s="54" t="s">
        <v>141</v>
      </c>
      <c r="C85" s="55" t="s">
        <v>1420</v>
      </c>
      <c r="D85" s="571">
        <f>D20+D34+D44+D56+D66+D75</f>
        <v>1581163.9728652707</v>
      </c>
      <c r="E85" s="571">
        <f t="shared" ref="E85:AH90" si="24">E20+E34+E44+E56+E66+E75</f>
        <v>1549010.8257275263</v>
      </c>
      <c r="F85" s="571">
        <f t="shared" si="24"/>
        <v>1507524.591667037</v>
      </c>
      <c r="G85" s="571">
        <f t="shared" si="24"/>
        <v>1466573.475323841</v>
      </c>
      <c r="H85" s="571">
        <f t="shared" si="24"/>
        <v>1426155.0225224022</v>
      </c>
      <c r="I85" s="571">
        <f t="shared" si="24"/>
        <v>1386266.9597681963</v>
      </c>
      <c r="J85" s="571">
        <f t="shared" si="24"/>
        <v>1346603.0978195737</v>
      </c>
      <c r="K85" s="571">
        <f t="shared" si="24"/>
        <v>1307473.0698804008</v>
      </c>
      <c r="L85" s="571">
        <f t="shared" si="24"/>
        <v>1268875.0999211937</v>
      </c>
      <c r="M85" s="571">
        <f t="shared" si="24"/>
        <v>1230807.6275533198</v>
      </c>
      <c r="N85" s="571">
        <f t="shared" si="24"/>
        <v>1193269.3178996558</v>
      </c>
      <c r="O85" s="571">
        <f t="shared" si="24"/>
        <v>1143339.7625805703</v>
      </c>
      <c r="P85" s="571">
        <f t="shared" si="24"/>
        <v>1100058.288325998</v>
      </c>
      <c r="Q85" s="571">
        <f t="shared" si="24"/>
        <v>1052422.6408761991</v>
      </c>
      <c r="R85" s="571">
        <f t="shared" si="24"/>
        <v>1005465.0238619011</v>
      </c>
      <c r="S85" s="571">
        <f t="shared" si="24"/>
        <v>959183.34004529682</v>
      </c>
      <c r="T85" s="571">
        <f t="shared" si="24"/>
        <v>913116.45884453715</v>
      </c>
      <c r="U85" s="571">
        <f t="shared" si="24"/>
        <v>867735.5376333876</v>
      </c>
      <c r="V85" s="571">
        <f t="shared" si="24"/>
        <v>823039.25003287627</v>
      </c>
      <c r="W85" s="571">
        <f t="shared" si="24"/>
        <v>779026.63281098823</v>
      </c>
      <c r="X85" s="571">
        <f t="shared" si="24"/>
        <v>735697.10368065396</v>
      </c>
      <c r="Y85" s="571">
        <f t="shared" si="24"/>
        <v>699597.26035974431</v>
      </c>
      <c r="Z85" s="571">
        <f t="shared" si="24"/>
        <v>664997.0498675392</v>
      </c>
      <c r="AA85" s="571">
        <f t="shared" si="24"/>
        <v>630961.6541405624</v>
      </c>
      <c r="AB85" s="571">
        <f t="shared" si="24"/>
        <v>597493.72387215693</v>
      </c>
      <c r="AC85" s="571">
        <f t="shared" si="24"/>
        <v>564596.41650006128</v>
      </c>
      <c r="AD85" s="571">
        <f t="shared" si="24"/>
        <v>532122.99683944706</v>
      </c>
      <c r="AE85" s="571">
        <f t="shared" si="24"/>
        <v>500233.13042594225</v>
      </c>
      <c r="AF85" s="571">
        <f t="shared" si="24"/>
        <v>468931.566691435</v>
      </c>
      <c r="AG85" s="571">
        <f t="shared" si="24"/>
        <v>438223.67934030358</v>
      </c>
      <c r="AH85" s="571">
        <f t="shared" si="24"/>
        <v>408115.49980346957</v>
      </c>
      <c r="AI85" s="56"/>
    </row>
    <row r="86" spans="1:35">
      <c r="A86" s="607"/>
      <c r="B86" s="1" t="s">
        <v>18</v>
      </c>
      <c r="C86" s="50" t="s">
        <v>1420</v>
      </c>
      <c r="D86" s="183">
        <f t="shared" ref="D86:S90" si="25">D21+D35+D45+D57+D67+D76</f>
        <v>1122665.661247253</v>
      </c>
      <c r="E86" s="183">
        <f t="shared" si="25"/>
        <v>1100292.4889680115</v>
      </c>
      <c r="F86" s="183">
        <f t="shared" si="25"/>
        <v>1073670.2239508913</v>
      </c>
      <c r="G86" s="183">
        <f t="shared" si="25"/>
        <v>1047373.8492764572</v>
      </c>
      <c r="H86" s="183">
        <f t="shared" si="25"/>
        <v>1021401.3898804908</v>
      </c>
      <c r="I86" s="183">
        <f t="shared" si="25"/>
        <v>995750.95910472434</v>
      </c>
      <c r="J86" s="183">
        <f t="shared" si="25"/>
        <v>970286.87623023416</v>
      </c>
      <c r="K86" s="183">
        <f t="shared" si="25"/>
        <v>945144.59326118266</v>
      </c>
      <c r="L86" s="183">
        <f t="shared" si="25"/>
        <v>920322.46899259347</v>
      </c>
      <c r="M86" s="183">
        <f t="shared" si="25"/>
        <v>895818.96593129414</v>
      </c>
      <c r="N86" s="183">
        <f t="shared" si="25"/>
        <v>871632.65462522896</v>
      </c>
      <c r="O86" s="183">
        <f t="shared" si="25"/>
        <v>840557.01815546991</v>
      </c>
      <c r="P86" s="183">
        <f t="shared" si="25"/>
        <v>813415.72196430981</v>
      </c>
      <c r="Q86" s="183">
        <f t="shared" si="25"/>
        <v>783708.24923050695</v>
      </c>
      <c r="R86" s="183">
        <f t="shared" si="25"/>
        <v>754407.02093985665</v>
      </c>
      <c r="S86" s="183">
        <f t="shared" si="25"/>
        <v>725510.21954856999</v>
      </c>
      <c r="T86" s="183">
        <f t="shared" si="24"/>
        <v>696813.94408791361</v>
      </c>
      <c r="U86" s="183">
        <f t="shared" si="24"/>
        <v>668524.75757883268</v>
      </c>
      <c r="V86" s="183">
        <f t="shared" si="24"/>
        <v>640641.21781577403</v>
      </c>
      <c r="W86" s="183">
        <f t="shared" si="24"/>
        <v>613162.05437715072</v>
      </c>
      <c r="X86" s="183">
        <f t="shared" si="24"/>
        <v>586086.17642052844</v>
      </c>
      <c r="Y86" s="183">
        <f t="shared" si="24"/>
        <v>564317.49508304312</v>
      </c>
      <c r="Z86" s="183">
        <f t="shared" si="24"/>
        <v>543123.57603332005</v>
      </c>
      <c r="AA86" s="183">
        <f t="shared" si="24"/>
        <v>522262.65593706566</v>
      </c>
      <c r="AB86" s="183">
        <f t="shared" si="24"/>
        <v>501735.14240683301</v>
      </c>
      <c r="AC86" s="183">
        <f t="shared" si="24"/>
        <v>481541.66361534921</v>
      </c>
      <c r="AD86" s="183">
        <f t="shared" si="24"/>
        <v>461616.85251348873</v>
      </c>
      <c r="AE86" s="183">
        <f t="shared" si="24"/>
        <v>442030.23545847595</v>
      </c>
      <c r="AF86" s="183">
        <f t="shared" si="24"/>
        <v>422783.13091137836</v>
      </c>
      <c r="AG86" s="183">
        <f t="shared" si="24"/>
        <v>403877.12759392662</v>
      </c>
      <c r="AH86" s="183">
        <f t="shared" si="24"/>
        <v>385314.09866572969</v>
      </c>
      <c r="AI86" s="40"/>
    </row>
    <row r="87" spans="1:35">
      <c r="A87" s="607"/>
      <c r="B87" s="1" t="s">
        <v>607</v>
      </c>
      <c r="C87" s="50" t="s">
        <v>1420</v>
      </c>
      <c r="D87" s="183">
        <f t="shared" si="25"/>
        <v>1018827.6884632254</v>
      </c>
      <c r="E87" s="183">
        <f t="shared" si="24"/>
        <v>994215.13024986035</v>
      </c>
      <c r="F87" s="183">
        <f t="shared" si="24"/>
        <v>969672.70354720578</v>
      </c>
      <c r="G87" s="183">
        <f t="shared" si="24"/>
        <v>945405.91508611978</v>
      </c>
      <c r="H87" s="183">
        <f t="shared" si="24"/>
        <v>921412.28731761302</v>
      </c>
      <c r="I87" s="183">
        <f t="shared" si="24"/>
        <v>897689.37040638202</v>
      </c>
      <c r="J87" s="183">
        <f t="shared" si="24"/>
        <v>873940.59822801419</v>
      </c>
      <c r="K87" s="183">
        <f t="shared" si="24"/>
        <v>850464.89475046669</v>
      </c>
      <c r="L87" s="183">
        <f t="shared" si="24"/>
        <v>827259.80313287361</v>
      </c>
      <c r="M87" s="183">
        <f t="shared" si="24"/>
        <v>804322.89507661911</v>
      </c>
      <c r="N87" s="183">
        <f t="shared" si="24"/>
        <v>781651.77082673204</v>
      </c>
      <c r="O87" s="183">
        <f t="shared" si="24"/>
        <v>757627.88133468258</v>
      </c>
      <c r="P87" s="183">
        <f t="shared" si="24"/>
        <v>733882.6952473484</v>
      </c>
      <c r="Q87" s="183">
        <f t="shared" si="24"/>
        <v>710413.40027591912</v>
      </c>
      <c r="R87" s="183">
        <f t="shared" si="24"/>
        <v>687217.21417068224</v>
      </c>
      <c r="S87" s="183">
        <f t="shared" si="24"/>
        <v>664291.38476542302</v>
      </c>
      <c r="T87" s="183">
        <f t="shared" si="24"/>
        <v>641188.88855078293</v>
      </c>
      <c r="U87" s="183">
        <f t="shared" si="24"/>
        <v>618364.16823763063</v>
      </c>
      <c r="V87" s="183">
        <f t="shared" si="24"/>
        <v>595814.35577067418</v>
      </c>
      <c r="W87" s="183">
        <f t="shared" si="24"/>
        <v>573536.61611582641</v>
      </c>
      <c r="X87" s="183">
        <f t="shared" si="24"/>
        <v>551528.14734632836</v>
      </c>
      <c r="Y87" s="183">
        <f t="shared" si="24"/>
        <v>528715.87521042197</v>
      </c>
      <c r="Z87" s="183">
        <f t="shared" si="24"/>
        <v>506173.88791230414</v>
      </c>
      <c r="AA87" s="183">
        <f t="shared" si="24"/>
        <v>483899.54840787302</v>
      </c>
      <c r="AB87" s="183">
        <f t="shared" si="24"/>
        <v>461890.27358267328</v>
      </c>
      <c r="AC87" s="183">
        <f t="shared" si="24"/>
        <v>440143.53505770996</v>
      </c>
      <c r="AD87" s="183">
        <f t="shared" si="24"/>
        <v>418511.36094655801</v>
      </c>
      <c r="AE87" s="183">
        <f t="shared" si="24"/>
        <v>397141.6580657094</v>
      </c>
      <c r="AF87" s="183">
        <f t="shared" si="24"/>
        <v>376031.97652541706</v>
      </c>
      <c r="AG87" s="183">
        <f t="shared" si="24"/>
        <v>355179.92616787722</v>
      </c>
      <c r="AH87" s="183">
        <f t="shared" si="24"/>
        <v>334583.17756910989</v>
      </c>
      <c r="AI87" s="40"/>
    </row>
    <row r="88" spans="1:35" s="62" customFormat="1">
      <c r="A88" s="608"/>
      <c r="B88" s="58" t="s">
        <v>27</v>
      </c>
      <c r="C88" s="233" t="s">
        <v>1420</v>
      </c>
      <c r="D88" s="528">
        <f t="shared" si="25"/>
        <v>1618403.3789706836</v>
      </c>
      <c r="E88" s="528">
        <f t="shared" si="24"/>
        <v>1625771.1045179372</v>
      </c>
      <c r="F88" s="528">
        <f t="shared" si="24"/>
        <v>1625949.8997699609</v>
      </c>
      <c r="G88" s="528">
        <f t="shared" si="24"/>
        <v>1626103.5880617695</v>
      </c>
      <c r="H88" s="528">
        <f t="shared" si="24"/>
        <v>1626237.0747481037</v>
      </c>
      <c r="I88" s="528">
        <f t="shared" si="24"/>
        <v>1626355.3624399821</v>
      </c>
      <c r="J88" s="528">
        <f t="shared" si="24"/>
        <v>1624512.0772450508</v>
      </c>
      <c r="K88" s="528">
        <f t="shared" si="24"/>
        <v>1622711.5149974125</v>
      </c>
      <c r="L88" s="528">
        <f t="shared" si="24"/>
        <v>1620958.4132946779</v>
      </c>
      <c r="M88" s="528">
        <f t="shared" si="24"/>
        <v>1619257.6410866266</v>
      </c>
      <c r="N88" s="528">
        <f t="shared" si="24"/>
        <v>1617614.2066898679</v>
      </c>
      <c r="O88" s="528">
        <f t="shared" si="24"/>
        <v>1613976.7655030317</v>
      </c>
      <c r="P88" s="528">
        <f t="shared" si="24"/>
        <v>1607434.8019848962</v>
      </c>
      <c r="Q88" s="528">
        <f t="shared" si="24"/>
        <v>1603150.1282031266</v>
      </c>
      <c r="R88" s="528">
        <f t="shared" si="24"/>
        <v>1598761.9979779578</v>
      </c>
      <c r="S88" s="528">
        <f t="shared" si="24"/>
        <v>1594271.8818208245</v>
      </c>
      <c r="T88" s="528">
        <f t="shared" si="24"/>
        <v>1586733.7215344603</v>
      </c>
      <c r="U88" s="528">
        <f t="shared" si="24"/>
        <v>1579182.1558572587</v>
      </c>
      <c r="V88" s="528">
        <f t="shared" si="24"/>
        <v>1571617.809997356</v>
      </c>
      <c r="W88" s="528">
        <f t="shared" si="24"/>
        <v>1564041.528281535</v>
      </c>
      <c r="X88" s="528">
        <f t="shared" si="24"/>
        <v>1556454.3886357457</v>
      </c>
      <c r="Y88" s="528">
        <f t="shared" si="24"/>
        <v>1530597.7896544347</v>
      </c>
      <c r="Z88" s="528">
        <f t="shared" si="24"/>
        <v>1503997.6010135126</v>
      </c>
      <c r="AA88" s="528">
        <f t="shared" si="24"/>
        <v>1477379.1096410311</v>
      </c>
      <c r="AB88" s="528">
        <f t="shared" si="24"/>
        <v>1450748.7262529708</v>
      </c>
      <c r="AC88" s="528">
        <f t="shared" si="24"/>
        <v>1424113.5998987139</v>
      </c>
      <c r="AD88" s="528">
        <f t="shared" si="24"/>
        <v>1396516.348275492</v>
      </c>
      <c r="AE88" s="528">
        <f t="shared" si="24"/>
        <v>1368963.0139164245</v>
      </c>
      <c r="AF88" s="528">
        <f t="shared" si="24"/>
        <v>1341462.5749736424</v>
      </c>
      <c r="AG88" s="528">
        <f t="shared" si="24"/>
        <v>1314024.9078087271</v>
      </c>
      <c r="AH88" s="528">
        <f t="shared" si="24"/>
        <v>1286660.8291671537</v>
      </c>
      <c r="AI88" s="234"/>
    </row>
    <row r="89" spans="1:35" s="61" customFormat="1">
      <c r="A89" s="606" t="s">
        <v>609</v>
      </c>
      <c r="B89" s="54" t="s">
        <v>606</v>
      </c>
      <c r="C89" s="55" t="s">
        <v>1420</v>
      </c>
      <c r="D89" s="571">
        <f t="shared" si="25"/>
        <v>464409.51086321456</v>
      </c>
      <c r="E89" s="571">
        <f t="shared" si="24"/>
        <v>453309.47690900782</v>
      </c>
      <c r="F89" s="571">
        <f t="shared" si="24"/>
        <v>442128.51852791262</v>
      </c>
      <c r="G89" s="571">
        <f t="shared" si="24"/>
        <v>431073.52137540397</v>
      </c>
      <c r="H89" s="571">
        <f t="shared" si="24"/>
        <v>420143.37253585737</v>
      </c>
      <c r="I89" s="571">
        <f t="shared" si="24"/>
        <v>409336.97257462196</v>
      </c>
      <c r="J89" s="571">
        <f t="shared" si="24"/>
        <v>398519.15670471708</v>
      </c>
      <c r="K89" s="571">
        <f t="shared" si="24"/>
        <v>387826.20173970063</v>
      </c>
      <c r="L89" s="571">
        <f t="shared" si="24"/>
        <v>377257.00786870456</v>
      </c>
      <c r="M89" s="571">
        <f t="shared" si="24"/>
        <v>366810.48932889866</v>
      </c>
      <c r="N89" s="571">
        <f t="shared" si="24"/>
        <v>356485.5744597413</v>
      </c>
      <c r="O89" s="571">
        <f t="shared" si="24"/>
        <v>345544.50772166532</v>
      </c>
      <c r="P89" s="571">
        <f t="shared" si="24"/>
        <v>334730.98168947623</v>
      </c>
      <c r="Q89" s="571">
        <f t="shared" si="24"/>
        <v>324043.74028248945</v>
      </c>
      <c r="R89" s="571">
        <f t="shared" si="24"/>
        <v>313481.54244760657</v>
      </c>
      <c r="S89" s="571">
        <f t="shared" si="24"/>
        <v>303043.16224852699</v>
      </c>
      <c r="T89" s="571">
        <f t="shared" si="24"/>
        <v>292524.86420268915</v>
      </c>
      <c r="U89" s="571">
        <f t="shared" si="24"/>
        <v>282133.82732574147</v>
      </c>
      <c r="V89" s="571">
        <f t="shared" si="24"/>
        <v>271868.77751812688</v>
      </c>
      <c r="W89" s="571">
        <f t="shared" si="24"/>
        <v>261728.45744958939</v>
      </c>
      <c r="X89" s="571">
        <f t="shared" si="24"/>
        <v>251711.6266871604</v>
      </c>
      <c r="Y89" s="571">
        <f t="shared" si="24"/>
        <v>241329.18731477202</v>
      </c>
      <c r="Z89" s="571">
        <f t="shared" si="24"/>
        <v>231070.77875567824</v>
      </c>
      <c r="AA89" s="571">
        <f t="shared" si="24"/>
        <v>220935.24173253865</v>
      </c>
      <c r="AB89" s="571">
        <f t="shared" si="24"/>
        <v>210921.44375987485</v>
      </c>
      <c r="AC89" s="571">
        <f t="shared" si="24"/>
        <v>201028.27962552878</v>
      </c>
      <c r="AD89" s="571">
        <f t="shared" si="24"/>
        <v>191188.34943428636</v>
      </c>
      <c r="AE89" s="571">
        <f t="shared" si="24"/>
        <v>181469.1254614917</v>
      </c>
      <c r="AF89" s="571">
        <f t="shared" si="24"/>
        <v>171869.5459881236</v>
      </c>
      <c r="AG89" s="571">
        <f t="shared" si="24"/>
        <v>162388.57936469978</v>
      </c>
      <c r="AH89" s="571">
        <f t="shared" si="24"/>
        <v>153025.22461480368</v>
      </c>
      <c r="AI89" s="56"/>
    </row>
    <row r="90" spans="1:35" s="62" customFormat="1">
      <c r="A90" s="608"/>
      <c r="B90" s="58" t="s">
        <v>605</v>
      </c>
      <c r="C90" s="233" t="s">
        <v>1420</v>
      </c>
      <c r="D90" s="528">
        <f t="shared" si="25"/>
        <v>395269.29735983856</v>
      </c>
      <c r="E90" s="528">
        <f t="shared" si="24"/>
        <v>385642.59102740523</v>
      </c>
      <c r="F90" s="528">
        <f t="shared" si="24"/>
        <v>383731.1907913796</v>
      </c>
      <c r="G90" s="528">
        <f t="shared" si="24"/>
        <v>391218.0289186411</v>
      </c>
      <c r="H90" s="528">
        <f t="shared" si="24"/>
        <v>356565.06741071283</v>
      </c>
      <c r="I90" s="528">
        <f t="shared" si="24"/>
        <v>347167.71531194571</v>
      </c>
      <c r="J90" s="528">
        <f t="shared" si="24"/>
        <v>337834.87250707322</v>
      </c>
      <c r="K90" s="528">
        <f t="shared" si="24"/>
        <v>328611.38391722948</v>
      </c>
      <c r="L90" s="528">
        <f t="shared" si="24"/>
        <v>319496.18419727287</v>
      </c>
      <c r="M90" s="528">
        <f t="shared" si="24"/>
        <v>310488.21818007418</v>
      </c>
      <c r="N90" s="528">
        <f t="shared" si="24"/>
        <v>301586.44080978981</v>
      </c>
      <c r="O90" s="528">
        <f t="shared" si="24"/>
        <v>290542.4088396327</v>
      </c>
      <c r="P90" s="528">
        <f t="shared" si="24"/>
        <v>280811.7722918943</v>
      </c>
      <c r="Q90" s="528">
        <f t="shared" si="24"/>
        <v>270218.07945864683</v>
      </c>
      <c r="R90" s="528">
        <f t="shared" si="24"/>
        <v>259755.58027038726</v>
      </c>
      <c r="S90" s="528">
        <f t="shared" si="24"/>
        <v>249422.96692536672</v>
      </c>
      <c r="T90" s="528">
        <f t="shared" si="24"/>
        <v>239151.25380697902</v>
      </c>
      <c r="U90" s="528">
        <f t="shared" si="24"/>
        <v>229008.80406053906</v>
      </c>
      <c r="V90" s="528">
        <f t="shared" si="24"/>
        <v>218994.31623223543</v>
      </c>
      <c r="W90" s="528">
        <f t="shared" si="24"/>
        <v>209106.50170515984</v>
      </c>
      <c r="X90" s="528">
        <f t="shared" si="24"/>
        <v>199344.08461311285</v>
      </c>
      <c r="Y90" s="528">
        <f t="shared" si="24"/>
        <v>191271.76562798119</v>
      </c>
      <c r="Z90" s="528">
        <f t="shared" si="24"/>
        <v>183381.32047270067</v>
      </c>
      <c r="AA90" s="528">
        <f t="shared" si="24"/>
        <v>175590.74564549254</v>
      </c>
      <c r="AB90" s="528">
        <f t="shared" si="24"/>
        <v>167899.03617013321</v>
      </c>
      <c r="AC90" s="528">
        <f t="shared" si="24"/>
        <v>160305.19755929592</v>
      </c>
      <c r="AD90" s="528">
        <f t="shared" si="24"/>
        <v>152786.07858223544</v>
      </c>
      <c r="AE90" s="528">
        <f t="shared" si="24"/>
        <v>145363.60767384179</v>
      </c>
      <c r="AF90" s="528">
        <f t="shared" si="24"/>
        <v>138036.80759019667</v>
      </c>
      <c r="AG90" s="528">
        <f t="shared" si="24"/>
        <v>130804.7115439576</v>
      </c>
      <c r="AH90" s="528">
        <f t="shared" si="24"/>
        <v>123666.36314495272</v>
      </c>
      <c r="AI90" s="234"/>
    </row>
    <row r="91" spans="1:35">
      <c r="A91" s="248"/>
      <c r="C91" s="50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40"/>
    </row>
    <row r="92" spans="1:35" s="61" customFormat="1">
      <c r="A92" s="54" t="s">
        <v>386</v>
      </c>
      <c r="B92" s="54" t="s">
        <v>200</v>
      </c>
      <c r="C92" s="93" t="s">
        <v>1420</v>
      </c>
      <c r="D92" s="572">
        <f t="shared" ref="D92" si="26">D33</f>
        <v>1749397.7312644324</v>
      </c>
      <c r="E92" s="572">
        <f t="shared" ref="E92:AH92" si="27">E33</f>
        <v>1706791.0479291338</v>
      </c>
      <c r="F92" s="572">
        <f t="shared" si="27"/>
        <v>1664693.1965463506</v>
      </c>
      <c r="G92" s="572">
        <f t="shared" si="27"/>
        <v>1623099.1546910855</v>
      </c>
      <c r="H92" s="572">
        <f t="shared" si="27"/>
        <v>1582003.9452257091</v>
      </c>
      <c r="I92" s="572">
        <f t="shared" si="27"/>
        <v>1541402.6359126884</v>
      </c>
      <c r="J92" s="572">
        <f t="shared" si="27"/>
        <v>1501290.3390305105</v>
      </c>
      <c r="K92" s="572">
        <f t="shared" si="27"/>
        <v>1461662.2109927828</v>
      </c>
      <c r="L92" s="572">
        <f t="shared" si="27"/>
        <v>1422513.4519704788</v>
      </c>
      <c r="M92" s="572">
        <f t="shared" si="27"/>
        <v>1383839.3055173033</v>
      </c>
      <c r="N92" s="572">
        <f t="shared" si="27"/>
        <v>1345635.0581981577</v>
      </c>
      <c r="O92" s="572">
        <f t="shared" si="27"/>
        <v>1294203.1589548157</v>
      </c>
      <c r="P92" s="572">
        <f t="shared" si="27"/>
        <v>1250098.3612830047</v>
      </c>
      <c r="Q92" s="572">
        <f t="shared" si="27"/>
        <v>1200976.8809161028</v>
      </c>
      <c r="R92" s="572">
        <f t="shared" si="27"/>
        <v>1152479.2664440284</v>
      </c>
      <c r="S92" s="572">
        <f t="shared" si="27"/>
        <v>1104599.208633244</v>
      </c>
      <c r="T92" s="572">
        <f t="shared" si="27"/>
        <v>1057330.4558853589</v>
      </c>
      <c r="U92" s="572">
        <f t="shared" si="27"/>
        <v>1010666.813740255</v>
      </c>
      <c r="V92" s="572">
        <f t="shared" si="27"/>
        <v>964602.14438333968</v>
      </c>
      <c r="W92" s="572">
        <f t="shared" si="27"/>
        <v>919130.36615689308</v>
      </c>
      <c r="X92" s="572">
        <f t="shared" si="27"/>
        <v>874245.45307547331</v>
      </c>
      <c r="Y92" s="572">
        <f t="shared" si="27"/>
        <v>839836.61453585874</v>
      </c>
      <c r="Z92" s="572">
        <f t="shared" si="27"/>
        <v>806317.84136477089</v>
      </c>
      <c r="AA92" s="572">
        <f t="shared" si="27"/>
        <v>773225.41263260483</v>
      </c>
      <c r="AB92" s="572">
        <f t="shared" si="27"/>
        <v>740555.01421720348</v>
      </c>
      <c r="AC92" s="572">
        <f t="shared" si="27"/>
        <v>708302.37141787144</v>
      </c>
      <c r="AD92" s="572">
        <f t="shared" si="27"/>
        <v>676463.24861545884</v>
      </c>
      <c r="AE92" s="572">
        <f t="shared" si="27"/>
        <v>645033.44893526984</v>
      </c>
      <c r="AF92" s="572">
        <f t="shared" si="27"/>
        <v>614008.81391277059</v>
      </c>
      <c r="AG92" s="572">
        <f t="shared" si="27"/>
        <v>583385.22316207504</v>
      </c>
      <c r="AH92" s="572">
        <f t="shared" si="27"/>
        <v>553158.59404718678</v>
      </c>
    </row>
    <row r="93" spans="1:35" outlineLevel="1">
      <c r="A93"/>
      <c r="B93" t="s">
        <v>266</v>
      </c>
      <c r="C93" s="50" t="s">
        <v>1420</v>
      </c>
      <c r="D93" s="183">
        <f>0</f>
        <v>0</v>
      </c>
      <c r="E93" s="183">
        <f>'Ethylene Recycling HC'!D64*'Ethylene Recycling HC'!D42-'Ethylene Recycling HC'!$C$64*'Ethylene Recycling HC'!$C$42</f>
        <v>8987.4057841153408</v>
      </c>
      <c r="F93" s="183">
        <f>'Ethylene Recycling HC'!E64*'Ethylene Recycling HC'!E42-'Ethylene Recycling HC'!$C$64*'Ethylene Recycling HC'!$C$42</f>
        <v>17604.503946876852</v>
      </c>
      <c r="G93" s="183">
        <f>'Ethylene Recycling HC'!F64*'Ethylene Recycling HC'!F42-'Ethylene Recycling HC'!$C$64*'Ethylene Recycling HC'!$C$42</f>
        <v>25848.757700689399</v>
      </c>
      <c r="H93" s="183">
        <f>'Ethylene Recycling HC'!G64*'Ethylene Recycling HC'!G42-'Ethylene Recycling HC'!$C$64*'Ethylene Recycling HC'!$C$42</f>
        <v>33717.663096321106</v>
      </c>
      <c r="I93" s="183">
        <f>'Ethylene Recycling HC'!H64*'Ethylene Recycling HC'!H42-'Ethylene Recycling HC'!$C$64*'Ethylene Recycling HC'!$C$42</f>
        <v>41208.748822829482</v>
      </c>
      <c r="J93" s="183">
        <f>'Ethylene Recycling HC'!I64*'Ethylene Recycling HC'!I42-'Ethylene Recycling HC'!$C$64*'Ethylene Recycling HC'!$C$42</f>
        <v>48319.57600841159</v>
      </c>
      <c r="K93" s="183">
        <f>'Ethylene Recycling HC'!J64*'Ethylene Recycling HC'!J42-'Ethylene Recycling HC'!$C$64*'Ethylene Recycling HC'!$C$42</f>
        <v>55047.738022175821</v>
      </c>
      <c r="L93" s="183">
        <f>'Ethylene Recycling HC'!K64*'Ethylene Recycling HC'!K42-'Ethylene Recycling HC'!$C$64*'Ethylene Recycling HC'!$C$42</f>
        <v>61390.860276830004</v>
      </c>
      <c r="M93" s="183">
        <f>'Ethylene Recycling HC'!L64*'Ethylene Recycling HC'!L42-'Ethylene Recycling HC'!$C$64*'Ethylene Recycling HC'!$C$42</f>
        <v>67346.600032283633</v>
      </c>
      <c r="N93" s="183">
        <f>'Ethylene Recycling HC'!M64*'Ethylene Recycling HC'!M42-'Ethylene Recycling HC'!$C$64*'Ethylene Recycling HC'!$C$42</f>
        <v>72912.646200160088</v>
      </c>
      <c r="O93" s="183">
        <f>'Ethylene Recycling HC'!N64*'Ethylene Recycling HC'!N42-'Ethylene Recycling HC'!$C$64*'Ethylene Recycling HC'!$C$42</f>
        <v>79028.247423442925</v>
      </c>
      <c r="P93" s="183">
        <f>'Ethylene Recycling HC'!O64*'Ethylene Recycling HC'!O42-'Ethylene Recycling HC'!$C$64*'Ethylene Recycling HC'!$C$42</f>
        <v>85562.174019773782</v>
      </c>
      <c r="Q93" s="183">
        <f>'Ethylene Recycling HC'!P64*'Ethylene Recycling HC'!P42-'Ethylene Recycling HC'!$C$64*'Ethylene Recycling HC'!$C$42</f>
        <v>90347.400367655529</v>
      </c>
      <c r="R93" s="183">
        <f>'Ethylene Recycling HC'!Q64*'Ethylene Recycling HC'!Q42-'Ethylene Recycling HC'!$C$64*'Ethylene Recycling HC'!$C$42</f>
        <v>94346.35694347875</v>
      </c>
      <c r="S93" s="183">
        <f>'Ethylene Recycling HC'!R64*'Ethylene Recycling HC'!R42-'Ethylene Recycling HC'!$C$64*'Ethylene Recycling HC'!$C$42</f>
        <v>97554.953997101635</v>
      </c>
      <c r="T93" s="183">
        <f>'Ethylene Recycling HC'!S64*'Ethylene Recycling HC'!S42-'Ethylene Recycling HC'!$C$64*'Ethylene Recycling HC'!$C$42</f>
        <v>99969.1606715378</v>
      </c>
      <c r="U93" s="183">
        <f>'Ethylene Recycling HC'!T64*'Ethylene Recycling HC'!T42-'Ethylene Recycling HC'!$C$64*'Ethylene Recycling HC'!$C$42</f>
        <v>101585.00463622031</v>
      </c>
      <c r="V93" s="183">
        <f>'Ethylene Recycling HC'!U64*'Ethylene Recycling HC'!U42-'Ethylene Recycling HC'!$C$64*'Ethylene Recycling HC'!$C$42</f>
        <v>102398.57172197572</v>
      </c>
      <c r="W93" s="183">
        <f>'Ethylene Recycling HC'!V64*'Ethylene Recycling HC'!V42-'Ethylene Recycling HC'!$C$64*'Ethylene Recycling HC'!$C$42</f>
        <v>102406.00555770358</v>
      </c>
      <c r="X93" s="183">
        <f>'Ethylene Recycling HC'!W64*'Ethylene Recycling HC'!W42-'Ethylene Recycling HC'!$C$64*'Ethylene Recycling HC'!$C$42</f>
        <v>101603.50720875236</v>
      </c>
      <c r="Y93" s="183">
        <f>'Ethylene Recycling HC'!X64*'Ethylene Recycling HC'!X42-'Ethylene Recycling HC'!$C$64*'Ethylene Recycling HC'!$C$42</f>
        <v>108199.90284590202</v>
      </c>
      <c r="Z93" s="183">
        <f>'Ethylene Recycling HC'!Y64*'Ethylene Recycling HC'!Y42-'Ethylene Recycling HC'!$C$64*'Ethylene Recycling HC'!$C$42</f>
        <v>113998.31068794642</v>
      </c>
      <c r="AA93" s="183">
        <f>'Ethylene Recycling HC'!Z64*'Ethylene Recycling HC'!Z42-'Ethylene Recycling HC'!$C$64*'Ethylene Recycling HC'!$C$42</f>
        <v>118865.92890001688</v>
      </c>
      <c r="AB93" s="183">
        <f>'Ethylene Recycling HC'!AA64*'Ethylene Recycling HC'!AA42-'Ethylene Recycling HC'!$C$64*'Ethylene Recycling HC'!$C$42</f>
        <v>122798.28513732532</v>
      </c>
      <c r="AC93" s="183">
        <f>'Ethylene Recycling HC'!AB64*'Ethylene Recycling HC'!AB42-'Ethylene Recycling HC'!$C$64*'Ethylene Recycling HC'!$C$42</f>
        <v>125790.97350833312</v>
      </c>
      <c r="AD93" s="183">
        <f>'Ethylene Recycling HC'!AC64*'Ethylene Recycling HC'!AC42-'Ethylene Recycling HC'!$C$64*'Ethylene Recycling HC'!$C$42</f>
        <v>127839.6541586387</v>
      </c>
      <c r="AE93" s="183">
        <f>'Ethylene Recycling HC'!AD64*'Ethylene Recycling HC'!AD42-'Ethylene Recycling HC'!$C$64*'Ethylene Recycling HC'!$C$42</f>
        <v>128940.05285681193</v>
      </c>
      <c r="AF93" s="183">
        <f>'Ethylene Recycling HC'!AE64*'Ethylene Recycling HC'!AE42-'Ethylene Recycling HC'!$C$64*'Ethylene Recycling HC'!$C$42</f>
        <v>129087.96058216543</v>
      </c>
      <c r="AG93" s="183">
        <f>'Ethylene Recycling HC'!AF64*'Ethylene Recycling HC'!AF42-'Ethylene Recycling HC'!$C$64*'Ethylene Recycling HC'!$C$42</f>
        <v>128279.23311445789</v>
      </c>
      <c r="AH93" s="183">
        <f>'Ethylene Recycling HC'!AG64*'Ethylene Recycling HC'!AG42-'Ethylene Recycling HC'!$C$64*'Ethylene Recycling HC'!$C$42</f>
        <v>126509.79062551862</v>
      </c>
    </row>
    <row r="94" spans="1:35" outlineLevel="1">
      <c r="A94"/>
      <c r="B94" s="160" t="s">
        <v>269</v>
      </c>
      <c r="C94" s="50" t="s">
        <v>1420</v>
      </c>
      <c r="D94" s="183">
        <f>0</f>
        <v>0</v>
      </c>
      <c r="E94" s="183">
        <f>'Ethylene Recycling HC'!D124*'Ethylene Recycling HC'!D43-'Ethylene Recycling HC'!$C$124*'Ethylene Recycling HC'!$C$43</f>
        <v>31.008411721746825</v>
      </c>
      <c r="F94" s="183">
        <f>'Ethylene Recycling HC'!E124*'Ethylene Recycling HC'!E43-'Ethylene Recycling HC'!$C$124*'Ethylene Recycling HC'!$C$43</f>
        <v>58.537994333750021</v>
      </c>
      <c r="G94" s="183">
        <f>'Ethylene Recycling HC'!F124*'Ethylene Recycling HC'!F43-'Ethylene Recycling HC'!$C$124*'Ethylene Recycling HC'!$C$43</f>
        <v>82.660981442594107</v>
      </c>
      <c r="H94" s="183">
        <f>'Ethylene Recycling HC'!G124*'Ethylene Recycling HC'!G43-'Ethylene Recycling HC'!$C$124*'Ethylene Recycling HC'!$C$43</f>
        <v>103.44906918120887</v>
      </c>
      <c r="I94" s="183">
        <f>'Ethylene Recycling HC'!H124*'Ethylene Recycling HC'!H43-'Ethylene Recycling HC'!$C$124*'Ethylene Recycling HC'!$C$43</f>
        <v>120.97341899176104</v>
      </c>
      <c r="J94" s="183">
        <f>'Ethylene Recycling HC'!I124*'Ethylene Recycling HC'!I43-'Ethylene Recycling HC'!$C$124*'Ethylene Recycling HC'!$C$43</f>
        <v>135.30466039665828</v>
      </c>
      <c r="K94" s="183">
        <f>'Ethylene Recycling HC'!J124*'Ethylene Recycling HC'!J43-'Ethylene Recycling HC'!$C$124*'Ethylene Recycling HC'!$C$43</f>
        <v>146.51289375771501</v>
      </c>
      <c r="L94" s="183">
        <f>'Ethylene Recycling HC'!K124*'Ethylene Recycling HC'!K43-'Ethylene Recycling HC'!$C$124*'Ethylene Recycling HC'!$C$43</f>
        <v>154.66769302352691</v>
      </c>
      <c r="M94" s="183">
        <f>'Ethylene Recycling HC'!L124*'Ethylene Recycling HC'!L43-'Ethylene Recycling HC'!$C$124*'Ethylene Recycling HC'!$C$43</f>
        <v>159.83810846509414</v>
      </c>
      <c r="N94" s="183">
        <f>'Ethylene Recycling HC'!M124*'Ethylene Recycling HC'!M43-'Ethylene Recycling HC'!$C$124*'Ethylene Recycling HC'!$C$43</f>
        <v>162.09266939973918</v>
      </c>
      <c r="O94" s="183">
        <f>'Ethylene Recycling HC'!N124*'Ethylene Recycling HC'!N43-'Ethylene Recycling HC'!$C$124*'Ethylene Recycling HC'!$C$43</f>
        <v>149.28631159189081</v>
      </c>
      <c r="P94" s="183">
        <f>'Ethylene Recycling HC'!O124*'Ethylene Recycling HC'!O43-'Ethylene Recycling HC'!$C$124*'Ethylene Recycling HC'!$C$43</f>
        <v>134.7854168314534</v>
      </c>
      <c r="Q94" s="183">
        <f>'Ethylene Recycling HC'!P124*'Ethylene Recycling HC'!P43-'Ethylene Recycling HC'!$C$124*'Ethylene Recycling HC'!$C$43</f>
        <v>115.79860269002313</v>
      </c>
      <c r="R94" s="183">
        <f>'Ethylene Recycling HC'!Q124*'Ethylene Recycling HC'!Q43-'Ethylene Recycling HC'!$C$124*'Ethylene Recycling HC'!$C$43</f>
        <v>95.319625261162287</v>
      </c>
      <c r="S94" s="183">
        <f>'Ethylene Recycling HC'!R124*'Ethylene Recycling HC'!R43-'Ethylene Recycling HC'!$C$124*'Ethylene Recycling HC'!$C$43</f>
        <v>73.408315128425443</v>
      </c>
      <c r="T94" s="183">
        <f>'Ethylene Recycling HC'!S124*'Ethylene Recycling HC'!S43-'Ethylene Recycling HC'!$C$124*'Ethylene Recycling HC'!$C$43</f>
        <v>50.123644876398544</v>
      </c>
      <c r="U94" s="183">
        <f>'Ethylene Recycling HC'!T124*'Ethylene Recycling HC'!T43-'Ethylene Recycling HC'!$C$124*'Ethylene Recycling HC'!$C$43</f>
        <v>25.523732029464668</v>
      </c>
      <c r="V94" s="183">
        <f>'Ethylene Recycling HC'!U124*'Ethylene Recycling HC'!U43-'Ethylene Recycling HC'!$C$124*'Ethylene Recycling HC'!$C$43</f>
        <v>-0.33415794429083689</v>
      </c>
      <c r="W94" s="183">
        <f>'Ethylene Recycling HC'!V124*'Ethylene Recycling HC'!V43-'Ethylene Recycling HC'!$C$124*'Ethylene Recycling HC'!$C$43</f>
        <v>-27.393608565078694</v>
      </c>
      <c r="X94" s="183">
        <f>'Ethylene Recycling HC'!W124*'Ethylene Recycling HC'!W43-'Ethylene Recycling HC'!$C$124*'Ethylene Recycling HC'!$C$43</f>
        <v>-55.599049210322391</v>
      </c>
      <c r="Y94" s="183">
        <f>'Ethylene Recycling HC'!X124*'Ethylene Recycling HC'!X43-'Ethylene Recycling HC'!$C$124*'Ethylene Recycling HC'!$C$43</f>
        <v>-77.296375455115935</v>
      </c>
      <c r="Z94" s="183">
        <f>'Ethylene Recycling HC'!Y124*'Ethylene Recycling HC'!Y43-'Ethylene Recycling HC'!$C$124*'Ethylene Recycling HC'!$C$43</f>
        <v>-101.08114215093849</v>
      </c>
      <c r="AA94" s="183">
        <f>'Ethylene Recycling HC'!Z124*'Ethylene Recycling HC'!Z43-'Ethylene Recycling HC'!$C$124*'Ethylene Recycling HC'!$C$43</f>
        <v>-131.69344620111826</v>
      </c>
      <c r="AB94" s="183">
        <f>'Ethylene Recycling HC'!AA124*'Ethylene Recycling HC'!AA43-'Ethylene Recycling HC'!$C$124*'Ethylene Recycling HC'!$C$43</f>
        <v>-163.81229978119006</v>
      </c>
      <c r="AC94" s="183">
        <f>'Ethylene Recycling HC'!AB124*'Ethylene Recycling HC'!AB43-'Ethylene Recycling HC'!$C$124*'Ethylene Recycling HC'!$C$43</f>
        <v>-197.30079264046287</v>
      </c>
      <c r="AD94" s="183">
        <f>'Ethylene Recycling HC'!AC124*'Ethylene Recycling HC'!AC43-'Ethylene Recycling HC'!$C$124*'Ethylene Recycling HC'!$C$43</f>
        <v>-232.02524537429122</v>
      </c>
      <c r="AE94" s="183">
        <f>'Ethylene Recycling HC'!AD124*'Ethylene Recycling HC'!AD43-'Ethylene Recycling HC'!$C$124*'Ethylene Recycling HC'!$C$43</f>
        <v>-267.8552338366643</v>
      </c>
      <c r="AF94" s="183">
        <f>'Ethylene Recycling HC'!AE124*'Ethylene Recycling HC'!AE43-'Ethylene Recycling HC'!$C$124*'Ethylene Recycling HC'!$C$43</f>
        <v>-304.66361120565165</v>
      </c>
      <c r="AG94" s="183">
        <f>'Ethylene Recycling HC'!AF124*'Ethylene Recycling HC'!AF43-'Ethylene Recycling HC'!$C$124*'Ethylene Recycling HC'!$C$43</f>
        <v>-342.32652773437218</v>
      </c>
      <c r="AH94" s="183">
        <f>'Ethylene Recycling HC'!AG124*'Ethylene Recycling HC'!AG43-'Ethylene Recycling HC'!$C$124*'Ethylene Recycling HC'!$C$43</f>
        <v>-380.72344821987093</v>
      </c>
    </row>
    <row r="95" spans="1:35" s="62" customFormat="1">
      <c r="A95" s="58"/>
      <c r="B95" s="58" t="s">
        <v>267</v>
      </c>
      <c r="C95" s="59" t="s">
        <v>1420</v>
      </c>
      <c r="D95" s="577">
        <f t="shared" ref="D95:AG95" si="28">D92-D93-D94</f>
        <v>1749397.7312644324</v>
      </c>
      <c r="E95" s="577">
        <f>E92-E93-E94</f>
        <v>1697772.6337332965</v>
      </c>
      <c r="F95" s="577">
        <f t="shared" si="28"/>
        <v>1647030.15460514</v>
      </c>
      <c r="G95" s="577">
        <f t="shared" si="28"/>
        <v>1597167.7360089535</v>
      </c>
      <c r="H95" s="577">
        <f t="shared" si="28"/>
        <v>1548182.8330602068</v>
      </c>
      <c r="I95" s="577">
        <f t="shared" si="28"/>
        <v>1500072.9136708672</v>
      </c>
      <c r="J95" s="577">
        <f t="shared" si="28"/>
        <v>1452835.4583617023</v>
      </c>
      <c r="K95" s="577">
        <f t="shared" si="28"/>
        <v>1406467.9600768492</v>
      </c>
      <c r="L95" s="577">
        <f t="shared" si="28"/>
        <v>1360967.9240006253</v>
      </c>
      <c r="M95" s="577">
        <f t="shared" si="28"/>
        <v>1316332.8673765545</v>
      </c>
      <c r="N95" s="577">
        <f t="shared" si="28"/>
        <v>1272560.319328598</v>
      </c>
      <c r="O95" s="577">
        <f t="shared" si="28"/>
        <v>1215025.6252197807</v>
      </c>
      <c r="P95" s="577">
        <f t="shared" si="28"/>
        <v>1164401.4018463995</v>
      </c>
      <c r="Q95" s="577">
        <f t="shared" si="28"/>
        <v>1110513.6819457572</v>
      </c>
      <c r="R95" s="577">
        <f t="shared" si="28"/>
        <v>1058037.5898752883</v>
      </c>
      <c r="S95" s="577">
        <f t="shared" si="28"/>
        <v>1006970.846321014</v>
      </c>
      <c r="T95" s="577">
        <f t="shared" si="28"/>
        <v>957311.1715689447</v>
      </c>
      <c r="U95" s="577">
        <f t="shared" si="28"/>
        <v>909056.28537200519</v>
      </c>
      <c r="V95" s="577">
        <f t="shared" si="28"/>
        <v>862203.90681930829</v>
      </c>
      <c r="W95" s="577">
        <f t="shared" si="28"/>
        <v>816751.75420775462</v>
      </c>
      <c r="X95" s="577">
        <f t="shared" si="28"/>
        <v>772697.5449159313</v>
      </c>
      <c r="Y95" s="577">
        <f t="shared" si="28"/>
        <v>731714.00806541182</v>
      </c>
      <c r="Z95" s="577">
        <f t="shared" si="28"/>
        <v>692420.61181897542</v>
      </c>
      <c r="AA95" s="577">
        <f t="shared" si="28"/>
        <v>654491.17717878905</v>
      </c>
      <c r="AB95" s="577">
        <f t="shared" si="28"/>
        <v>617920.54137965944</v>
      </c>
      <c r="AC95" s="577">
        <f t="shared" si="28"/>
        <v>582708.69870217878</v>
      </c>
      <c r="AD95" s="577">
        <f t="shared" si="28"/>
        <v>548855.61970219447</v>
      </c>
      <c r="AE95" s="577">
        <f t="shared" si="28"/>
        <v>516361.25131229463</v>
      </c>
      <c r="AF95" s="577">
        <f t="shared" si="28"/>
        <v>485225.51694181084</v>
      </c>
      <c r="AG95" s="577">
        <f t="shared" si="28"/>
        <v>455448.31657535146</v>
      </c>
      <c r="AH95" s="577">
        <f>AH92-AH93-AH94</f>
        <v>427029.52686988801</v>
      </c>
      <c r="AI95"/>
    </row>
    <row r="96" spans="1:35" s="61" customFormat="1">
      <c r="A96" s="606" t="s">
        <v>608</v>
      </c>
      <c r="B96" s="54" t="s">
        <v>141</v>
      </c>
      <c r="C96" s="55" t="s">
        <v>1420</v>
      </c>
      <c r="D96" s="571">
        <f>D34-('Ethylene Recycling HC'!C73+'Ethylene Recycling HC'!C140-'Ethylene Recycling HC'!$C$73-'Ethylene Recycling HC'!$C$140)</f>
        <v>1121142.3305785127</v>
      </c>
      <c r="E96" s="571">
        <f>E34-('Ethylene Recycling HC'!D73+'Ethylene Recycling HC'!D140-'Ethylene Recycling HC'!$C$73-'Ethylene Recycling HC'!$C$140)</f>
        <v>1079238.7324167441</v>
      </c>
      <c r="F96" s="571">
        <f>F34-('Ethylene Recycling HC'!E73+'Ethylene Recycling HC'!E140-'Ethylene Recycling HC'!$C$73-'Ethylene Recycling HC'!$C$140)</f>
        <v>1038119.2316608048</v>
      </c>
      <c r="G96" s="571">
        <f>G34-('Ethylene Recycling HC'!F73+'Ethylene Recycling HC'!F140-'Ethylene Recycling HC'!$C$73-'Ethylene Recycling HC'!$C$140)</f>
        <v>997780.44384504179</v>
      </c>
      <c r="H96" s="571">
        <f>H34-('Ethylene Recycling HC'!G73+'Ethylene Recycling HC'!G140-'Ethylene Recycling HC'!$C$73-'Ethylene Recycling HC'!$C$140)</f>
        <v>958218.98396654462</v>
      </c>
      <c r="I96" s="571">
        <f>I34-('Ethylene Recycling HC'!H73+'Ethylene Recycling HC'!H140-'Ethylene Recycling HC'!$C$73-'Ethylene Recycling HC'!$C$140)</f>
        <v>919431.46650726488</v>
      </c>
      <c r="J96" s="571">
        <f>J34-('Ethylene Recycling HC'!I73+'Ethylene Recycling HC'!I140-'Ethylene Recycling HC'!$C$73-'Ethylene Recycling HC'!$C$140)</f>
        <v>881414.50545673771</v>
      </c>
      <c r="K96" s="571">
        <f>K34-('Ethylene Recycling HC'!J73+'Ethylene Recycling HC'!J140-'Ethylene Recycling HC'!$C$73-'Ethylene Recycling HC'!$C$140)</f>
        <v>844164.71433539409</v>
      </c>
      <c r="L96" s="571">
        <f>L34-('Ethylene Recycling HC'!K73+'Ethylene Recycling HC'!K140-'Ethylene Recycling HC'!$C$73-'Ethylene Recycling HC'!$C$140)</f>
        <v>807678.70621845103</v>
      </c>
      <c r="M96" s="571">
        <f>M34-('Ethylene Recycling HC'!L73+'Ethylene Recycling HC'!L140-'Ethylene Recycling HC'!$C$73-'Ethylene Recycling HC'!$C$140)</f>
        <v>771953.09376036969</v>
      </c>
      <c r="N96" s="571">
        <f>N34-('Ethylene Recycling HC'!M73+'Ethylene Recycling HC'!M140-'Ethylene Recycling HC'!$C$73-'Ethylene Recycling HC'!$C$140)</f>
        <v>736984.48921986879</v>
      </c>
      <c r="O96" s="571">
        <f>O34-('Ethylene Recycling HC'!N73+'Ethylene Recycling HC'!N140-'Ethylene Recycling HC'!$C$73-'Ethylene Recycling HC'!$C$140)</f>
        <v>689892.34639980074</v>
      </c>
      <c r="P96" s="571">
        <f>P34-('Ethylene Recycling HC'!O73+'Ethylene Recycling HC'!O140-'Ethylene Recycling HC'!$C$73-'Ethylene Recycling HC'!$C$140)</f>
        <v>648929.31287973979</v>
      </c>
      <c r="Q96" s="571">
        <f>Q34-('Ethylene Recycling HC'!P73+'Ethylene Recycling HC'!P140-'Ethylene Recycling HC'!$C$73-'Ethylene Recycling HC'!$C$140)</f>
        <v>605069.25028080225</v>
      </c>
      <c r="R96" s="571">
        <f>R34-('Ethylene Recycling HC'!Q73+'Ethylene Recycling HC'!Q140-'Ethylene Recycling HC'!$C$73-'Ethylene Recycling HC'!$C$140)</f>
        <v>562456.68883010536</v>
      </c>
      <c r="S96" s="571">
        <f>S34-('Ethylene Recycling HC'!R73+'Ethylene Recycling HC'!R140-'Ethylene Recycling HC'!$C$73-'Ethylene Recycling HC'!$C$140)</f>
        <v>521087.03508384305</v>
      </c>
      <c r="T96" s="571">
        <f>T34-('Ethylene Recycling HC'!S73+'Ethylene Recycling HC'!S140-'Ethylene Recycling HC'!$C$73-'Ethylene Recycling HC'!$C$140)</f>
        <v>480955.67463058565</v>
      </c>
      <c r="U96" s="571">
        <f>U34-('Ethylene Recycling HC'!T73+'Ethylene Recycling HC'!T140-'Ethylene Recycling HC'!$C$73-'Ethylene Recycling HC'!$C$140)</f>
        <v>442057.972301981</v>
      </c>
      <c r="V96" s="571">
        <f>V34-('Ethylene Recycling HC'!U73+'Ethylene Recycling HC'!U140-'Ethylene Recycling HC'!$C$73-'Ethylene Recycling HC'!$C$140)</f>
        <v>404389.27238291997</v>
      </c>
      <c r="W96" s="571">
        <f>W34-('Ethylene Recycling HC'!V73+'Ethylene Recycling HC'!V140-'Ethylene Recycling HC'!$C$73-'Ethylene Recycling HC'!$C$140)</f>
        <v>367944.89882116904</v>
      </c>
      <c r="X96" s="571">
        <f>X34-('Ethylene Recycling HC'!W73+'Ethylene Recycling HC'!W140-'Ethylene Recycling HC'!$C$73-'Ethylene Recycling HC'!$C$140)</f>
        <v>332720.15543646336</v>
      </c>
      <c r="Y96" s="571">
        <f>Y34-('Ethylene Recycling HC'!X73+'Ethylene Recycling HC'!X140-'Ethylene Recycling HC'!$C$73-'Ethylene Recycling HC'!$C$140)</f>
        <v>299196.97587279929</v>
      </c>
      <c r="Z96" s="571">
        <f>Z34-('Ethylene Recycling HC'!Y73+'Ethylene Recycling HC'!Y140-'Ethylene Recycling HC'!$C$73-'Ethylene Recycling HC'!$C$140)</f>
        <v>267701.417282813</v>
      </c>
      <c r="AA96" s="571">
        <f>AA34-('Ethylene Recycling HC'!Z73+'Ethylene Recycling HC'!Z140-'Ethylene Recycling HC'!$C$73-'Ethylene Recycling HC'!$C$140)</f>
        <v>237411.51451576661</v>
      </c>
      <c r="AB96" s="571">
        <f>AB34-('Ethylene Recycling HC'!AA73+'Ethylene Recycling HC'!AA140-'Ethylene Recycling HC'!$C$73-'Ethylene Recycling HC'!$C$140)</f>
        <v>208321.475565409</v>
      </c>
      <c r="AC96" s="571">
        <f>AC34-('Ethylene Recycling HC'!AB73+'Ethylene Recycling HC'!AB140-'Ethylene Recycling HC'!$C$73-'Ethylene Recycling HC'!$C$140)</f>
        <v>180428.09407056781</v>
      </c>
      <c r="AD96" s="571">
        <f>AD34-('Ethylene Recycling HC'!AC73+'Ethylene Recycling HC'!AC140-'Ethylene Recycling HC'!$C$73-'Ethylene Recycling HC'!$C$140)</f>
        <v>153728.1249877612</v>
      </c>
      <c r="AE96" s="571">
        <f>AE34-('Ethylene Recycling HC'!AD73+'Ethylene Recycling HC'!AD140-'Ethylene Recycling HC'!$C$73-'Ethylene Recycling HC'!$C$140)</f>
        <v>128218.28486226583</v>
      </c>
      <c r="AF96" s="571">
        <f>AF34-('Ethylene Recycling HC'!AE73+'Ethylene Recycling HC'!AE140-'Ethylene Recycling HC'!$C$73-'Ethylene Recycling HC'!$C$140)</f>
        <v>103895.25209372272</v>
      </c>
      <c r="AG96" s="571">
        <f>AG34-('Ethylene Recycling HC'!AF73+'Ethylene Recycling HC'!AF140-'Ethylene Recycling HC'!$C$73-'Ethylene Recycling HC'!$C$140)</f>
        <v>80755.667196532944</v>
      </c>
      <c r="AH96" s="571">
        <f>AH34-('Ethylene Recycling HC'!AG73+'Ethylene Recycling HC'!AG140-'Ethylene Recycling HC'!$C$73-'Ethylene Recycling HC'!$C$140)</f>
        <v>58796.13305529143</v>
      </c>
      <c r="AI96" s="40"/>
    </row>
    <row r="97" spans="1:35">
      <c r="A97" s="607"/>
      <c r="B97" s="1" t="s">
        <v>18</v>
      </c>
      <c r="C97" s="50" t="s">
        <v>1420</v>
      </c>
      <c r="D97" s="183">
        <f>D35+(D101-D39)</f>
        <v>921454.73749526253</v>
      </c>
      <c r="E97" s="183">
        <f t="shared" ref="E97:AH97" si="29">E35+(E101-E39)</f>
        <v>898588.87041647639</v>
      </c>
      <c r="F97" s="183">
        <f t="shared" si="29"/>
        <v>876043.51555332833</v>
      </c>
      <c r="G97" s="183">
        <f t="shared" si="29"/>
        <v>853814.54158275877</v>
      </c>
      <c r="H97" s="183">
        <f t="shared" si="29"/>
        <v>831897.82371364022</v>
      </c>
      <c r="I97" s="183">
        <f t="shared" si="29"/>
        <v>810289.24374080426</v>
      </c>
      <c r="J97" s="183">
        <f t="shared" si="29"/>
        <v>788984.69009890407</v>
      </c>
      <c r="K97" s="183">
        <f t="shared" si="29"/>
        <v>767980.0579161098</v>
      </c>
      <c r="L97" s="183">
        <f t="shared" si="29"/>
        <v>747271.24906762887</v>
      </c>
      <c r="M97" s="183">
        <f t="shared" si="29"/>
        <v>726854.17222904984</v>
      </c>
      <c r="N97" s="183">
        <f t="shared" si="29"/>
        <v>706724.74292950856</v>
      </c>
      <c r="O97" s="183">
        <f t="shared" si="29"/>
        <v>679613.85233027209</v>
      </c>
      <c r="P97" s="183">
        <f t="shared" si="29"/>
        <v>656357.84006972122</v>
      </c>
      <c r="Q97" s="183">
        <f t="shared" si="29"/>
        <v>630571.42745540862</v>
      </c>
      <c r="R97" s="183">
        <f t="shared" si="29"/>
        <v>605168.33051717549</v>
      </c>
      <c r="S97" s="183">
        <f t="shared" si="29"/>
        <v>580141.90987598186</v>
      </c>
      <c r="T97" s="183">
        <f t="shared" si="29"/>
        <v>555485.52924428054</v>
      </c>
      <c r="U97" s="183">
        <f t="shared" si="29"/>
        <v>531192.55562097905</v>
      </c>
      <c r="V97" s="183">
        <f t="shared" si="29"/>
        <v>507256.35948521027</v>
      </c>
      <c r="W97" s="183">
        <f t="shared" si="29"/>
        <v>483670.31498891709</v>
      </c>
      <c r="X97" s="183">
        <f t="shared" si="29"/>
        <v>460427.80014825083</v>
      </c>
      <c r="Y97" s="183">
        <f t="shared" si="29"/>
        <v>442397.80362903234</v>
      </c>
      <c r="Z97" s="183">
        <f t="shared" si="29"/>
        <v>424887.81829109351</v>
      </c>
      <c r="AA97" s="183">
        <f t="shared" si="29"/>
        <v>407655.06130764633</v>
      </c>
      <c r="AB97" s="183">
        <f t="shared" si="29"/>
        <v>390693.25615952059</v>
      </c>
      <c r="AC97" s="183">
        <f t="shared" si="29"/>
        <v>373996.11806789867</v>
      </c>
      <c r="AD97" s="183">
        <f t="shared" si="29"/>
        <v>357557.35432509129</v>
      </c>
      <c r="AE97" s="183">
        <f t="shared" si="29"/>
        <v>341370.66462301335</v>
      </c>
      <c r="AF97" s="183">
        <f t="shared" si="29"/>
        <v>325429.74137936556</v>
      </c>
      <c r="AG97" s="183">
        <f t="shared" si="29"/>
        <v>309728.27006153297</v>
      </c>
      <c r="AH97" s="183">
        <f t="shared" si="29"/>
        <v>294259.92950820725</v>
      </c>
      <c r="AI97" s="40"/>
    </row>
    <row r="98" spans="1:35">
      <c r="A98" s="607"/>
      <c r="B98" s="1" t="s">
        <v>607</v>
      </c>
      <c r="C98" s="50" t="s">
        <v>1420</v>
      </c>
      <c r="D98" s="183">
        <f>D36+(D100-D38)</f>
        <v>118732.33536672319</v>
      </c>
      <c r="E98" s="183">
        <f t="shared" ref="E98:AH98" si="30">E36+(E100-E38)</f>
        <v>117046.72039225011</v>
      </c>
      <c r="F98" s="183">
        <f t="shared" si="30"/>
        <v>115348.67567273803</v>
      </c>
      <c r="G98" s="183">
        <f t="shared" si="30"/>
        <v>113639.83982728701</v>
      </c>
      <c r="H98" s="183">
        <f t="shared" si="30"/>
        <v>111921.86692820923</v>
      </c>
      <c r="I98" s="183">
        <f t="shared" si="30"/>
        <v>110196.42625024795</v>
      </c>
      <c r="J98" s="183">
        <f t="shared" si="30"/>
        <v>108465.20202165114</v>
      </c>
      <c r="K98" s="183">
        <f t="shared" si="30"/>
        <v>106729.89317709007</v>
      </c>
      <c r="L98" s="183">
        <f t="shared" si="30"/>
        <v>104992.21311241221</v>
      </c>
      <c r="M98" s="183">
        <f t="shared" si="30"/>
        <v>103253.88944121882</v>
      </c>
      <c r="N98" s="183">
        <f t="shared" si="30"/>
        <v>101516.66375325649</v>
      </c>
      <c r="O98" s="183">
        <f t="shared" si="30"/>
        <v>98903.26853709537</v>
      </c>
      <c r="P98" s="183">
        <f t="shared" si="30"/>
        <v>96288.598036208481</v>
      </c>
      <c r="Q98" s="183">
        <f t="shared" si="30"/>
        <v>93714.165808990816</v>
      </c>
      <c r="R98" s="183">
        <f t="shared" si="30"/>
        <v>91166.900140066864</v>
      </c>
      <c r="S98" s="183">
        <f t="shared" si="30"/>
        <v>88650.313936304083</v>
      </c>
      <c r="T98" s="183">
        <f t="shared" si="30"/>
        <v>86167.945190045968</v>
      </c>
      <c r="U98" s="183">
        <f t="shared" si="30"/>
        <v>83723.356532210077</v>
      </c>
      <c r="V98" s="183">
        <f t="shared" si="30"/>
        <v>81320.134788815427</v>
      </c>
      <c r="W98" s="183">
        <f t="shared" si="30"/>
        <v>78961.890540918161</v>
      </c>
      <c r="X98" s="183">
        <f t="shared" si="30"/>
        <v>76652.257687934005</v>
      </c>
      <c r="Y98" s="183">
        <f t="shared" si="30"/>
        <v>74376.275106361631</v>
      </c>
      <c r="Z98" s="183">
        <f t="shared" si="30"/>
        <v>72126.767513104554</v>
      </c>
      <c r="AA98" s="183">
        <f t="shared" si="30"/>
        <v>69912.426324709362</v>
      </c>
      <c r="AB98" s="183">
        <f t="shared" si="30"/>
        <v>67737.11785207763</v>
      </c>
      <c r="AC98" s="183">
        <f t="shared" si="30"/>
        <v>65605.167567476281</v>
      </c>
      <c r="AD98" s="183">
        <f t="shared" si="30"/>
        <v>63520.925327339355</v>
      </c>
      <c r="AE98" s="183">
        <f t="shared" si="30"/>
        <v>61488.764932352409</v>
      </c>
      <c r="AF98" s="183">
        <f t="shared" si="30"/>
        <v>59513.08369173095</v>
      </c>
      <c r="AG98" s="183">
        <f t="shared" si="30"/>
        <v>57598.301991610431</v>
      </c>
      <c r="AH98" s="183">
        <f t="shared" si="30"/>
        <v>55748.862867464777</v>
      </c>
      <c r="AI98" s="40"/>
    </row>
    <row r="99" spans="1:35" s="62" customFormat="1">
      <c r="A99" s="608"/>
      <c r="B99" s="58" t="s">
        <v>27</v>
      </c>
      <c r="C99" s="233" t="s">
        <v>1420</v>
      </c>
      <c r="D99" s="183">
        <f>D37-('Ethylene Recycling HC'!C77+'Ethylene Recycling HC'!C144-'Ethylene Recycling HC'!$C$77-'Ethylene Recycling HC'!$C$144+'Ethylene Recycling HC'!C74+'Ethylene Recycling HC'!C141-'Ethylene Recycling HC'!$C$74-'Ethylene Recycling HC'!$C$141)</f>
        <v>-411931.67217606585</v>
      </c>
      <c r="E99" s="183">
        <f>E37-('Ethylene Recycling HC'!D77+'Ethylene Recycling HC'!D144-'Ethylene Recycling HC'!$C$77-'Ethylene Recycling HC'!$C$144+'Ethylene Recycling HC'!D74+'Ethylene Recycling HC'!D141-'Ethylene Recycling HC'!$C$74-'Ethylene Recycling HC'!$C$141)</f>
        <v>-397101.68949217407</v>
      </c>
      <c r="F99" s="183">
        <f>F37-('Ethylene Recycling HC'!E77+'Ethylene Recycling HC'!E144-'Ethylene Recycling HC'!$C$77-'Ethylene Recycling HC'!$C$144+'Ethylene Recycling HC'!E74+'Ethylene Recycling HC'!E141-'Ethylene Recycling HC'!$C$74-'Ethylene Recycling HC'!$C$141)</f>
        <v>-382481.26828173123</v>
      </c>
      <c r="G99" s="183">
        <f>G37-('Ethylene Recycling HC'!F77+'Ethylene Recycling HC'!F144-'Ethylene Recycling HC'!$C$77-'Ethylene Recycling HC'!$C$144+'Ethylene Recycling HC'!F74+'Ethylene Recycling HC'!F141-'Ethylene Recycling HC'!$C$74-'Ethylene Recycling HC'!$C$141)</f>
        <v>-368067.08924613416</v>
      </c>
      <c r="H99" s="183">
        <f>H37-('Ethylene Recycling HC'!G77+'Ethylene Recycling HC'!G144-'Ethylene Recycling HC'!$C$77-'Ethylene Recycling HC'!$C$144+'Ethylene Recycling HC'!G74+'Ethylene Recycling HC'!G141-'Ethylene Recycling HC'!$C$74-'Ethylene Recycling HC'!$C$141)</f>
        <v>-353855.84154818737</v>
      </c>
      <c r="I99" s="183">
        <f>I37-('Ethylene Recycling HC'!H77+'Ethylene Recycling HC'!H144-'Ethylene Recycling HC'!$C$77-'Ethylene Recycling HC'!$C$144+'Ethylene Recycling HC'!H74+'Ethylene Recycling HC'!H141-'Ethylene Recycling HC'!$C$74-'Ethylene Recycling HC'!$C$141)</f>
        <v>-339844.22282744985</v>
      </c>
      <c r="J99" s="183">
        <f>J37-('Ethylene Recycling HC'!I77+'Ethylene Recycling HC'!I144-'Ethylene Recycling HC'!$C$77-'Ethylene Recycling HC'!$C$144+'Ethylene Recycling HC'!I74+'Ethylene Recycling HC'!I141-'Ethylene Recycling HC'!$C$74-'Ethylene Recycling HC'!$C$141)</f>
        <v>-326028.93921559065</v>
      </c>
      <c r="K99" s="183">
        <f>K37-('Ethylene Recycling HC'!J77+'Ethylene Recycling HC'!J144-'Ethylene Recycling HC'!$C$77-'Ethylene Recycling HC'!$C$144+'Ethylene Recycling HC'!J74+'Ethylene Recycling HC'!J141-'Ethylene Recycling HC'!$C$74-'Ethylene Recycling HC'!$C$141)</f>
        <v>-312406.70535174472</v>
      </c>
      <c r="L99" s="183">
        <f>L37-('Ethylene Recycling HC'!K77+'Ethylene Recycling HC'!K144-'Ethylene Recycling HC'!$C$77-'Ethylene Recycling HC'!$C$144+'Ethylene Recycling HC'!K74+'Ethylene Recycling HC'!K141-'Ethylene Recycling HC'!$C$74-'Ethylene Recycling HC'!$C$141)</f>
        <v>-298974.24439786701</v>
      </c>
      <c r="M99" s="183">
        <f>M37-('Ethylene Recycling HC'!L77+'Ethylene Recycling HC'!L144-'Ethylene Recycling HC'!$C$77-'Ethylene Recycling HC'!$C$144+'Ethylene Recycling HC'!L74+'Ethylene Recycling HC'!L141-'Ethylene Recycling HC'!$C$74-'Ethylene Recycling HC'!$C$141)</f>
        <v>-285728.28805408388</v>
      </c>
      <c r="N99" s="183">
        <f>N37-('Ethylene Recycling HC'!M77+'Ethylene Recycling HC'!M144-'Ethylene Recycling HC'!$C$77-'Ethylene Recycling HC'!$C$144+'Ethylene Recycling HC'!M74+'Ethylene Recycling HC'!M141-'Ethylene Recycling HC'!$C$74-'Ethylene Recycling HC'!$C$141)</f>
        <v>-272665.57657403604</v>
      </c>
      <c r="O99" s="183">
        <f>O37-('Ethylene Recycling HC'!N77+'Ethylene Recycling HC'!N144-'Ethylene Recycling HC'!$C$77-'Ethylene Recycling HC'!$C$144+'Ethylene Recycling HC'!N74+'Ethylene Recycling HC'!N141-'Ethylene Recycling HC'!$C$74-'Ethylene Recycling HC'!$C$141)</f>
        <v>-253383.84204738744</v>
      </c>
      <c r="P99" s="183">
        <f>P37-('Ethylene Recycling HC'!O77+'Ethylene Recycling HC'!O144-'Ethylene Recycling HC'!$C$77-'Ethylene Recycling HC'!$C$144+'Ethylene Recycling HC'!O74+'Ethylene Recycling HC'!O141-'Ethylene Recycling HC'!$C$74-'Ethylene Recycling HC'!$C$141)</f>
        <v>-237174.34913926997</v>
      </c>
      <c r="Q99" s="183">
        <f>Q37-('Ethylene Recycling HC'!P77+'Ethylene Recycling HC'!P144-'Ethylene Recycling HC'!$C$77-'Ethylene Recycling HC'!$C$144+'Ethylene Recycling HC'!P74+'Ethylene Recycling HC'!P141-'Ethylene Recycling HC'!$C$74-'Ethylene Recycling HC'!$C$141)</f>
        <v>-218841.16159944455</v>
      </c>
      <c r="R99" s="183">
        <f>R37-('Ethylene Recycling HC'!Q77+'Ethylene Recycling HC'!Q144-'Ethylene Recycling HC'!$C$77-'Ethylene Recycling HC'!$C$144+'Ethylene Recycling HC'!Q74+'Ethylene Recycling HC'!Q141-'Ethylene Recycling HC'!$C$74-'Ethylene Recycling HC'!$C$141)</f>
        <v>-200754.32961205929</v>
      </c>
      <c r="S99" s="183">
        <f>S37-('Ethylene Recycling HC'!R77+'Ethylene Recycling HC'!R144-'Ethylene Recycling HC'!$C$77-'Ethylene Recycling HC'!$C$144+'Ethylene Recycling HC'!R74+'Ethylene Recycling HC'!R141-'Ethylene Recycling HC'!$C$74-'Ethylene Recycling HC'!$C$141)</f>
        <v>-182908.41257511507</v>
      </c>
      <c r="T99" s="183">
        <f>T37-('Ethylene Recycling HC'!S77+'Ethylene Recycling HC'!S144-'Ethylene Recycling HC'!$C$77-'Ethylene Recycling HC'!$C$144+'Ethylene Recycling HC'!S74+'Ethylene Recycling HC'!S141-'Ethylene Recycling HC'!$C$74-'Ethylene Recycling HC'!$C$141)</f>
        <v>-165297.97749596759</v>
      </c>
      <c r="U99" s="183">
        <f>U37-('Ethylene Recycling HC'!T77+'Ethylene Recycling HC'!T144-'Ethylene Recycling HC'!$C$77-'Ethylene Recycling HC'!$C$144+'Ethylene Recycling HC'!T74+'Ethylene Recycling HC'!T141-'Ethylene Recycling HC'!$C$74-'Ethylene Recycling HC'!$C$141)</f>
        <v>-147917.59908316506</v>
      </c>
      <c r="V99" s="183">
        <f>V37-('Ethylene Recycling HC'!U77+'Ethylene Recycling HC'!U144-'Ethylene Recycling HC'!$C$77-'Ethylene Recycling HC'!$C$144+'Ethylene Recycling HC'!U74+'Ethylene Recycling HC'!U141-'Ethylene Recycling HC'!$C$74-'Ethylene Recycling HC'!$C$141)</f>
        <v>-130761.85983763749</v>
      </c>
      <c r="W99" s="183">
        <f>W37-('Ethylene Recycling HC'!V77+'Ethylene Recycling HC'!V144-'Ethylene Recycling HC'!$C$77-'Ethylene Recycling HC'!$C$144+'Ethylene Recycling HC'!V74+'Ethylene Recycling HC'!V141-'Ethylene Recycling HC'!$C$74-'Ethylene Recycling HC'!$C$141)</f>
        <v>-113825.35014324983</v>
      </c>
      <c r="X99" s="183">
        <f>X37-('Ethylene Recycling HC'!W77+'Ethylene Recycling HC'!W144-'Ethylene Recycling HC'!$C$77-'Ethylene Recycling HC'!$C$144+'Ethylene Recycling HC'!W74+'Ethylene Recycling HC'!W141-'Ethylene Recycling HC'!$C$74-'Ethylene Recycling HC'!$C$141)</f>
        <v>-97102.66835671704</v>
      </c>
      <c r="Y99" s="183">
        <f>Y37-('Ethylene Recycling HC'!X77+'Ethylene Recycling HC'!X144-'Ethylene Recycling HC'!$C$77-'Ethylene Recycling HC'!$C$144+'Ethylene Recycling HC'!X74+'Ethylene Recycling HC'!X141-'Ethylene Recycling HC'!$C$74-'Ethylene Recycling HC'!$C$141)</f>
        <v>-84257.046542781551</v>
      </c>
      <c r="Z99" s="183">
        <f>Z37-('Ethylene Recycling HC'!Y77+'Ethylene Recycling HC'!Y144-'Ethylene Recycling HC'!$C$77-'Ethylene Recycling HC'!$C$144+'Ethylene Recycling HC'!Y74+'Ethylene Recycling HC'!Y141-'Ethylene Recycling HC'!$C$74-'Ethylene Recycling HC'!$C$141)</f>
        <v>-72295.39126803579</v>
      </c>
      <c r="AA99" s="183">
        <f>AA37-('Ethylene Recycling HC'!Z77+'Ethylene Recycling HC'!Z144-'Ethylene Recycling HC'!$C$77-'Ethylene Recycling HC'!$C$144+'Ethylene Recycling HC'!Z74+'Ethylene Recycling HC'!Z141-'Ethylene Recycling HC'!$C$74-'Ethylene Recycling HC'!$C$141)</f>
        <v>-60487.824969333364</v>
      </c>
      <c r="AB99" s="183">
        <f>AB37-('Ethylene Recycling HC'!AA77+'Ethylene Recycling HC'!AA144-'Ethylene Recycling HC'!$C$77-'Ethylene Recycling HC'!$C$144+'Ethylene Recycling HC'!AA74+'Ethylene Recycling HC'!AA141-'Ethylene Recycling HC'!$C$74-'Ethylene Recycling HC'!$C$141)</f>
        <v>-48831.308197348029</v>
      </c>
      <c r="AC99" s="183">
        <f>AC37-('Ethylene Recycling HC'!AB77+'Ethylene Recycling HC'!AB144-'Ethylene Recycling HC'!$C$77-'Ethylene Recycling HC'!$C$144+'Ethylene Recycling HC'!AB74+'Ethylene Recycling HC'!AB141-'Ethylene Recycling HC'!$C$74-'Ethylene Recycling HC'!$C$141)</f>
        <v>-37320.681003764126</v>
      </c>
      <c r="AD99" s="183">
        <f>AD37-('Ethylene Recycling HC'!AC77+'Ethylene Recycling HC'!AC144-'Ethylene Recycling HC'!$C$77-'Ethylene Recycling HC'!$C$144+'Ethylene Recycling HC'!AC74+'Ethylene Recycling HC'!AC141-'Ethylene Recycling HC'!$C$74-'Ethylene Recycling HC'!$C$141)</f>
        <v>-25950.784937997625</v>
      </c>
      <c r="AE99" s="183">
        <f>AE37-('Ethylene Recycling HC'!AD77+'Ethylene Recycling HC'!AD144-'Ethylene Recycling HC'!$C$77-'Ethylene Recycling HC'!$C$144+'Ethylene Recycling HC'!AD74+'Ethylene Recycling HC'!AD141-'Ethylene Recycling HC'!$C$74-'Ethylene Recycling HC'!$C$141)</f>
        <v>-14716.463105337209</v>
      </c>
      <c r="AF99" s="183">
        <f>AF37-('Ethylene Recycling HC'!AE77+'Ethylene Recycling HC'!AE144-'Ethylene Recycling HC'!$C$77-'Ethylene Recycling HC'!$C$144+'Ethylene Recycling HC'!AE74+'Ethylene Recycling HC'!AE141-'Ethylene Recycling HC'!$C$74-'Ethylene Recycling HC'!$C$141)</f>
        <v>-3612.5602230086261</v>
      </c>
      <c r="AG99" s="183">
        <f>AG37-('Ethylene Recycling HC'!AF77+'Ethylene Recycling HC'!AF144-'Ethylene Recycling HC'!$C$77-'Ethylene Recycling HC'!$C$144+'Ethylene Recycling HC'!AF74+'Ethylene Recycling HC'!AF141-'Ethylene Recycling HC'!$C$74-'Ethylene Recycling HC'!$C$141)</f>
        <v>7366.0773256749671</v>
      </c>
      <c r="AH99" s="183">
        <f>AH37-('Ethylene Recycling HC'!AG77+'Ethylene Recycling HC'!AG144-'Ethylene Recycling HC'!$C$77-'Ethylene Recycling HC'!$C$144+'Ethylene Recycling HC'!AG74+'Ethylene Recycling HC'!AG141-'Ethylene Recycling HC'!$C$74-'Ethylene Recycling HC'!$C$141)</f>
        <v>18224.601438924525</v>
      </c>
      <c r="AI99" s="40"/>
    </row>
    <row r="100" spans="1:35" s="61" customFormat="1">
      <c r="A100" s="606" t="s">
        <v>609</v>
      </c>
      <c r="B100" s="54" t="s">
        <v>606</v>
      </c>
      <c r="C100" s="55" t="s">
        <v>1420</v>
      </c>
      <c r="D100" s="571">
        <f>D38-('Ethylene Recycling HC'!C75+'Ethylene Recycling HC'!C142-'Ethylene Recycling HC'!$C$75-'Ethylene Recycling HC'!$C$142)</f>
        <v>54121.444102564106</v>
      </c>
      <c r="E100" s="571">
        <f>E38-('Ethylene Recycling HC'!D75+'Ethylene Recycling HC'!D142-'Ethylene Recycling HC'!$C$75-'Ethylene Recycling HC'!$C$142)</f>
        <v>53224.087764503587</v>
      </c>
      <c r="F100" s="571">
        <f>F38-('Ethylene Recycling HC'!E75+'Ethylene Recycling HC'!E142-'Ethylene Recycling HC'!$C$75-'Ethylene Recycling HC'!$C$142)</f>
        <v>52306.453521373303</v>
      </c>
      <c r="G100" s="571">
        <f>G38-('Ethylene Recycling HC'!F75+'Ethylene Recycling HC'!F142-'Ethylene Recycling HC'!$C$75-'Ethylene Recycling HC'!$C$142)</f>
        <v>51370.251092182472</v>
      </c>
      <c r="H100" s="571">
        <f>H38-('Ethylene Recycling HC'!G75+'Ethylene Recycling HC'!G142-'Ethylene Recycling HC'!$C$75-'Ethylene Recycling HC'!$C$142)</f>
        <v>50417.20503935399</v>
      </c>
      <c r="I100" s="571">
        <f>I38-('Ethylene Recycling HC'!H75+'Ethylene Recycling HC'!H142-'Ethylene Recycling HC'!$C$75-'Ethylene Recycling HC'!$C$142)</f>
        <v>49449.054522989383</v>
      </c>
      <c r="J100" s="571">
        <f>J38-('Ethylene Recycling HC'!I75+'Ethylene Recycling HC'!I142-'Ethylene Recycling HC'!$C$75-'Ethylene Recycling HC'!$C$142)</f>
        <v>48467.553056947836</v>
      </c>
      <c r="K100" s="571">
        <f>K38-('Ethylene Recycling HC'!J75+'Ethylene Recycling HC'!J142-'Ethylene Recycling HC'!$C$75-'Ethylene Recycling HC'!$C$142)</f>
        <v>47474.468266729666</v>
      </c>
      <c r="L100" s="571">
        <f>L38-('Ethylene Recycling HC'!K75+'Ethylene Recycling HC'!K142-'Ethylene Recycling HC'!$C$75-'Ethylene Recycling HC'!$C$142)</f>
        <v>46471.581649154214</v>
      </c>
      <c r="M100" s="571">
        <f>M38-('Ethylene Recycling HC'!L75+'Ethylene Recycling HC'!L142-'Ethylene Recycling HC'!$C$75-'Ethylene Recycling HC'!$C$142)</f>
        <v>45460.688333822342</v>
      </c>
      <c r="N100" s="571">
        <f>N38-('Ethylene Recycling HC'!M75+'Ethylene Recycling HC'!M142-'Ethylene Recycling HC'!$C$75-'Ethylene Recycling HC'!$C$142)</f>
        <v>44443.596846353859</v>
      </c>
      <c r="O100" s="571">
        <f>O38-('Ethylene Recycling HC'!N75+'Ethylene Recycling HC'!N142-'Ethylene Recycling HC'!$C$75-'Ethylene Recycling HC'!$C$142)</f>
        <v>43013.028894299445</v>
      </c>
      <c r="P100" s="571">
        <f>P38-('Ethylene Recycling HC'!O75+'Ethylene Recycling HC'!O142-'Ethylene Recycling HC'!$C$75-'Ethylene Recycling HC'!$C$142)</f>
        <v>41567.472749605644</v>
      </c>
      <c r="Q100" s="571">
        <f>Q38-('Ethylene Recycling HC'!P75+'Ethylene Recycling HC'!P142-'Ethylene Recycling HC'!$C$75-'Ethylene Recycling HC'!$C$142)</f>
        <v>40148.57564458852</v>
      </c>
      <c r="R100" s="571">
        <f>R38-('Ethylene Recycling HC'!Q75+'Ethylene Recycling HC'!Q142-'Ethylene Recycling HC'!$C$75-'Ethylene Recycling HC'!$C$142)</f>
        <v>38743.398340712331</v>
      </c>
      <c r="S100" s="571">
        <f>S38-('Ethylene Recycling HC'!R75+'Ethylene Recycling HC'!R142-'Ethylene Recycling HC'!$C$75-'Ethylene Recycling HC'!$C$142)</f>
        <v>37355.585034795222</v>
      </c>
      <c r="T100" s="571">
        <f>T38-('Ethylene Recycling HC'!S75+'Ethylene Recycling HC'!S142-'Ethylene Recycling HC'!$C$75-'Ethylene Recycling HC'!$C$142)</f>
        <v>35988.803832350692</v>
      </c>
      <c r="U100" s="571">
        <f>U38-('Ethylene Recycling HC'!T75+'Ethylene Recycling HC'!T142-'Ethylene Recycling HC'!$C$75-'Ethylene Recycling HC'!$C$142)</f>
        <v>34646.746310710769</v>
      </c>
      <c r="V100" s="571">
        <f>V38-('Ethylene Recycling HC'!U75+'Ethylene Recycling HC'!U142-'Ethylene Recycling HC'!$C$75-'Ethylene Recycling HC'!$C$142)</f>
        <v>33333.127085495929</v>
      </c>
      <c r="W100" s="571">
        <f>W38-('Ethylene Recycling HC'!V75+'Ethylene Recycling HC'!V142-'Ethylene Recycling HC'!$C$75-'Ethylene Recycling HC'!$C$142)</f>
        <v>32051.683380411392</v>
      </c>
      <c r="X100" s="571">
        <f>X38-('Ethylene Recycling HC'!W75+'Ethylene Recycling HC'!W142-'Ethylene Recycling HC'!$C$75-'Ethylene Recycling HC'!$C$142)</f>
        <v>30806.174600348953</v>
      </c>
      <c r="Y100" s="571">
        <f>Y38-('Ethylene Recycling HC'!X75+'Ethylene Recycling HC'!X142-'Ethylene Recycling HC'!$C$75-'Ethylene Recycling HC'!$C$142)</f>
        <v>29446.52133274162</v>
      </c>
      <c r="Z100" s="571">
        <f>Z38-('Ethylene Recycling HC'!Y75+'Ethylene Recycling HC'!Y142-'Ethylene Recycling HC'!$C$75-'Ethylene Recycling HC'!$C$142)</f>
        <v>28102.798980249427</v>
      </c>
      <c r="AA100" s="571">
        <f>AA38-('Ethylene Recycling HC'!Z75+'Ethylene Recycling HC'!Z142-'Ethylene Recycling HC'!$C$75-'Ethylene Recycling HC'!$C$142)</f>
        <v>26783.801411578508</v>
      </c>
      <c r="AB100" s="571">
        <f>AB38-('Ethylene Recycling HC'!AA75+'Ethylene Recycling HC'!AA142-'Ethylene Recycling HC'!$C$75-'Ethylene Recycling HC'!$C$142)</f>
        <v>25493.496473959742</v>
      </c>
      <c r="AC100" s="571">
        <f>AC38-('Ethylene Recycling HC'!AB75+'Ethylene Recycling HC'!AB142-'Ethylene Recycling HC'!$C$75-'Ethylene Recycling HC'!$C$142)</f>
        <v>24236.310267947782</v>
      </c>
      <c r="AD100" s="571">
        <f>AD38-('Ethylene Recycling HC'!AC75+'Ethylene Recycling HC'!AC142-'Ethylene Recycling HC'!$C$75-'Ethylene Recycling HC'!$C$142)</f>
        <v>23016.692377947504</v>
      </c>
      <c r="AE100" s="571">
        <f>AE38-('Ethylene Recycling HC'!AD75+'Ethylene Recycling HC'!AD142-'Ethylene Recycling HC'!$C$75-'Ethylene Recycling HC'!$C$142)</f>
        <v>21839.115439959238</v>
      </c>
      <c r="AF100" s="571">
        <f>AF38-('Ethylene Recycling HC'!AE75+'Ethylene Recycling HC'!AE142-'Ethylene Recycling HC'!$C$75-'Ethylene Recycling HC'!$C$142)</f>
        <v>20708.074713455426</v>
      </c>
      <c r="AG100" s="571">
        <f>AG38-('Ethylene Recycling HC'!AF75+'Ethylene Recycling HC'!AF142-'Ethylene Recycling HC'!$C$75-'Ethylene Recycling HC'!$C$142)</f>
        <v>19628.087657305856</v>
      </c>
      <c r="AH100" s="571">
        <f>AH38-('Ethylene Recycling HC'!AG75+'Ethylene Recycling HC'!AG142-'Ethylene Recycling HC'!$C$75-'Ethylene Recycling HC'!$C$142)</f>
        <v>18603.693509669698</v>
      </c>
      <c r="AI100" s="40"/>
    </row>
    <row r="101" spans="1:35" s="62" customFormat="1">
      <c r="A101" s="608"/>
      <c r="B101" s="58" t="s">
        <v>605</v>
      </c>
      <c r="C101" s="233" t="s">
        <v>1420</v>
      </c>
      <c r="D101" s="528">
        <f>D39-('Ethylene Recycling HC'!C76+'Ethylene Recycling HC'!C137-'Ethylene Recycling HC'!$C$76-'Ethylene Recycling HC'!$C$137)</f>
        <v>308424.77602250775</v>
      </c>
      <c r="E101" s="528">
        <f>E39-('Ethylene Recycling HC'!D76+'Ethylene Recycling HC'!D137-'Ethylene Recycling HC'!$C$76-'Ethylene Recycling HC'!$C$137)</f>
        <v>300489.28925503109</v>
      </c>
      <c r="F101" s="528">
        <f>F39-('Ethylene Recycling HC'!E76+'Ethylene Recycling HC'!E137-'Ethylene Recycling HC'!$C$76-'Ethylene Recycling HC'!$C$137)</f>
        <v>292696.0080627572</v>
      </c>
      <c r="G101" s="528">
        <f>G39-('Ethylene Recycling HC'!F76+'Ethylene Recycling HC'!F137-'Ethylene Recycling HC'!$C$76-'Ethylene Recycling HC'!$C$137)</f>
        <v>285042.56109804462</v>
      </c>
      <c r="H101" s="528">
        <f>H39-('Ethylene Recycling HC'!G76+'Ethylene Recycling HC'!G137-'Ethylene Recycling HC'!$C$76-'Ethylene Recycling HC'!$C$137)</f>
        <v>277526.56767542777</v>
      </c>
      <c r="I101" s="528">
        <f>I39-('Ethylene Recycling HC'!H76+'Ethylene Recycling HC'!H137-'Ethylene Recycling HC'!$C$76-'Ethylene Recycling HC'!$C$137)</f>
        <v>270145.6379613551</v>
      </c>
      <c r="J101" s="528">
        <f>J39-('Ethylene Recycling HC'!I76+'Ethylene Recycling HC'!I137-'Ethylene Recycling HC'!$C$76-'Ethylene Recycling HC'!$C$137)</f>
        <v>262897.37316263991</v>
      </c>
      <c r="K101" s="528">
        <f>K39-('Ethylene Recycling HC'!J76+'Ethylene Recycling HC'!J137-'Ethylene Recycling HC'!$C$76-'Ethylene Recycling HC'!$C$137)</f>
        <v>255779.36571363156</v>
      </c>
      <c r="L101" s="528">
        <f>L39-('Ethylene Recycling HC'!K76+'Ethylene Recycling HC'!K137-'Ethylene Recycling HC'!$C$76-'Ethylene Recycling HC'!$C$137)</f>
        <v>248789.19946211047</v>
      </c>
      <c r="M101" s="528">
        <f>M39-('Ethylene Recycling HC'!L76+'Ethylene Recycling HC'!L137-'Ethylene Recycling HC'!$C$76-'Ethylene Recycling HC'!$C$137)</f>
        <v>241924.44985391258</v>
      </c>
      <c r="N101" s="528">
        <f>N39-('Ethylene Recycling HC'!M76+'Ethylene Recycling HC'!M137-'Ethylene Recycling HC'!$C$76-'Ethylene Recycling HC'!$C$137)</f>
        <v>235182.68411628954</v>
      </c>
      <c r="O101" s="528">
        <f>O39-('Ethylene Recycling HC'!N76+'Ethylene Recycling HC'!N137-'Ethylene Recycling HC'!$C$76-'Ethylene Recycling HC'!$C$137)</f>
        <v>226094.73629795393</v>
      </c>
      <c r="P101" s="528">
        <f>P39-('Ethylene Recycling HC'!O76+'Ethylene Recycling HC'!O137-'Ethylene Recycling HC'!$C$76-'Ethylene Recycling HC'!$C$137)</f>
        <v>218294.07871993797</v>
      </c>
      <c r="Q101" s="528">
        <f>Q39-('Ethylene Recycling HC'!P76+'Ethylene Recycling HC'!P137-'Ethylene Recycling HC'!$C$76-'Ethylene Recycling HC'!$C$137)</f>
        <v>209720.98396847726</v>
      </c>
      <c r="R101" s="528">
        <f>R39-('Ethylene Recycling HC'!Q76+'Ethylene Recycling HC'!Q137-'Ethylene Recycling HC'!$C$76-'Ethylene Recycling HC'!$C$137)</f>
        <v>201312.58766350031</v>
      </c>
      <c r="S101" s="528">
        <f>S39-('Ethylene Recycling HC'!R76+'Ethylene Recycling HC'!R137-'Ethylene Recycling HC'!$C$76-'Ethylene Recycling HC'!$C$137)</f>
        <v>193064.46132925263</v>
      </c>
      <c r="T101" s="528">
        <f>T39-('Ethylene Recycling HC'!S76+'Ethylene Recycling HC'!S137-'Ethylene Recycling HC'!$C$76-'Ethylene Recycling HC'!$C$137)</f>
        <v>184972.15938476738</v>
      </c>
      <c r="U101" s="528">
        <f>U39-('Ethylene Recycling HC'!T76+'Ethylene Recycling HC'!T137-'Ethylene Recycling HC'!$C$76-'Ethylene Recycling HC'!$C$137)</f>
        <v>177031.2195129419</v>
      </c>
      <c r="V101" s="528">
        <f>V39-('Ethylene Recycling HC'!U76+'Ethylene Recycling HC'!U137-'Ethylene Recycling HC'!$C$76-'Ethylene Recycling HC'!$C$137)</f>
        <v>169237.16302697943</v>
      </c>
      <c r="W101" s="528">
        <f>W39-('Ethylene Recycling HC'!V76+'Ethylene Recycling HC'!V137-'Ethylene Recycling HC'!$C$76-'Ethylene Recycling HC'!$C$137)</f>
        <v>161585.49523420946</v>
      </c>
      <c r="X101" s="528">
        <f>X39-('Ethylene Recycling HC'!W76+'Ethylene Recycling HC'!W137-'Ethylene Recycling HC'!$C$76-'Ethylene Recycling HC'!$C$137)</f>
        <v>154071.70579729837</v>
      </c>
      <c r="Y101" s="528">
        <f>Y39-('Ethylene Recycling HC'!X76+'Ethylene Recycling HC'!X137-'Ethylene Recycling HC'!$C$76-'Ethylene Recycling HC'!$C$137)</f>
        <v>148099.3726597605</v>
      </c>
      <c r="Z101" s="528">
        <f>Z39-('Ethylene Recycling HC'!Y76+'Ethylene Recycling HC'!Y137-'Ethylene Recycling HC'!$C$76-'Ethylene Recycling HC'!$C$137)</f>
        <v>142335.15094004374</v>
      </c>
      <c r="AA101" s="528">
        <f>AA39-('Ethylene Recycling HC'!Z76+'Ethylene Recycling HC'!Z137-'Ethylene Recycling HC'!$C$76-'Ethylene Recycling HC'!$C$137)</f>
        <v>136698.75649220863</v>
      </c>
      <c r="AB101" s="528">
        <f>AB39-('Ethylene Recycling HC'!AA76+'Ethylene Recycling HC'!AA137-'Ethylene Recycling HC'!$C$76-'Ethylene Recycling HC'!$C$137)</f>
        <v>131185.42456658857</v>
      </c>
      <c r="AC101" s="528">
        <f>AC39-('Ethylene Recycling HC'!AB76+'Ethylene Recycling HC'!AB137-'Ethylene Recycling HC'!$C$76-'Ethylene Recycling HC'!$C$137)</f>
        <v>125790.36833966544</v>
      </c>
      <c r="AD101" s="528">
        <f>AD39-('Ethylene Recycling HC'!AC76+'Ethylene Recycling HC'!AC137-'Ethylene Recycling HC'!$C$76-'Ethylene Recycling HC'!$C$137)</f>
        <v>120508.77936396028</v>
      </c>
      <c r="AE101" s="528">
        <f>AE39-('Ethylene Recycling HC'!AD76+'Ethylene Recycling HC'!AD137-'Ethylene Recycling HC'!$C$76-'Ethylene Recycling HC'!$C$137)</f>
        <v>115335.82801463333</v>
      </c>
      <c r="AF101" s="528">
        <f>AF39-('Ethylene Recycling HC'!AE76+'Ethylene Recycling HC'!AE137-'Ethylene Recycling HC'!$C$76-'Ethylene Recycling HC'!$C$137)</f>
        <v>110266.66393281003</v>
      </c>
      <c r="AG101" s="528">
        <f>AG39-('Ethylene Recycling HC'!AF76+'Ethylene Recycling HC'!AF137-'Ethylene Recycling HC'!$C$76-'Ethylene Recycling HC'!$C$137)</f>
        <v>105296.41646564937</v>
      </c>
      <c r="AH101" s="528">
        <f>AH39-('Ethylene Recycling HC'!AG76+'Ethylene Recycling HC'!AG137-'Ethylene Recycling HC'!$C$76-'Ethylene Recycling HC'!$C$137)</f>
        <v>100420.19510317125</v>
      </c>
      <c r="AI101" s="40"/>
    </row>
    <row r="102" spans="1:35" s="61" customFormat="1">
      <c r="A102" s="54" t="s">
        <v>262</v>
      </c>
      <c r="B102" s="54" t="s">
        <v>200</v>
      </c>
      <c r="C102" s="93" t="s">
        <v>1420</v>
      </c>
      <c r="D102" s="572">
        <f t="shared" ref="D102:AH102" si="31">D19</f>
        <v>582875.6940607368</v>
      </c>
      <c r="E102" s="572">
        <f t="shared" si="31"/>
        <v>590766.82742451236</v>
      </c>
      <c r="F102" s="572">
        <f t="shared" si="31"/>
        <v>598753.19222981902</v>
      </c>
      <c r="G102" s="572">
        <f t="shared" si="31"/>
        <v>606835.71832210827</v>
      </c>
      <c r="H102" s="572">
        <f t="shared" si="31"/>
        <v>615015.34003919514</v>
      </c>
      <c r="I102" s="572">
        <f t="shared" si="31"/>
        <v>623292.99611679907</v>
      </c>
      <c r="J102" s="572">
        <f t="shared" si="31"/>
        <v>631669.62959019269</v>
      </c>
      <c r="K102" s="572">
        <f t="shared" si="31"/>
        <v>640146.18769186572</v>
      </c>
      <c r="L102" s="572">
        <f t="shared" si="31"/>
        <v>648723.62174511433</v>
      </c>
      <c r="M102" s="572">
        <f t="shared" si="31"/>
        <v>657402.88705345953</v>
      </c>
      <c r="N102" s="572">
        <f t="shared" si="31"/>
        <v>666184.94278580276</v>
      </c>
      <c r="O102" s="572">
        <f t="shared" si="31"/>
        <v>669524.57925873308</v>
      </c>
      <c r="P102" s="572">
        <f t="shared" si="31"/>
        <v>672764.73113888851</v>
      </c>
      <c r="Q102" s="572">
        <f t="shared" si="31"/>
        <v>675902.06004362879</v>
      </c>
      <c r="R102" s="572">
        <f t="shared" si="31"/>
        <v>678933.18307668075</v>
      </c>
      <c r="S102" s="572">
        <f t="shared" si="31"/>
        <v>681854.67335596727</v>
      </c>
      <c r="T102" s="572">
        <f t="shared" si="31"/>
        <v>684663.06059721543</v>
      </c>
      <c r="U102" s="572">
        <f t="shared" si="31"/>
        <v>687354.83175563067</v>
      </c>
      <c r="V102" s="572">
        <f t="shared" si="31"/>
        <v>689926.43172798923</v>
      </c>
      <c r="W102" s="572">
        <f t="shared" si="31"/>
        <v>692374.26411757758</v>
      </c>
      <c r="X102" s="572">
        <f t="shared" si="31"/>
        <v>694694.69206448551</v>
      </c>
      <c r="Y102" s="572">
        <f t="shared" si="31"/>
        <v>682800.81888365676</v>
      </c>
      <c r="Z102" s="572">
        <f t="shared" si="31"/>
        <v>670609.15777003171</v>
      </c>
      <c r="AA102" s="572">
        <f t="shared" si="31"/>
        <v>658122.1037083324</v>
      </c>
      <c r="AB102" s="572">
        <f t="shared" si="31"/>
        <v>645342.43914652593</v>
      </c>
      <c r="AC102" s="572">
        <f t="shared" si="31"/>
        <v>632273.35133168194</v>
      </c>
      <c r="AD102" s="572">
        <f t="shared" si="31"/>
        <v>618918.45022474439</v>
      </c>
      <c r="AE102" s="572">
        <f t="shared" si="31"/>
        <v>605281.78701093746</v>
      </c>
      <c r="AF102" s="572">
        <f t="shared" si="31"/>
        <v>591367.87322297005</v>
      </c>
      <c r="AG102" s="572">
        <f t="shared" si="31"/>
        <v>577181.70049464901</v>
      </c>
      <c r="AH102" s="572">
        <f t="shared" si="31"/>
        <v>562728.76096298243</v>
      </c>
      <c r="AI102"/>
    </row>
    <row r="103" spans="1:35" outlineLevel="1">
      <c r="A103"/>
      <c r="B103" t="s">
        <v>266</v>
      </c>
      <c r="C103" s="50" t="s">
        <v>1420</v>
      </c>
      <c r="D103" s="183">
        <f>'Ethylene Recycling HC'!C127-'Ethylene Recycling HC'!$C$127</f>
        <v>0</v>
      </c>
      <c r="E103" s="183">
        <f>'Ethylene Recycling HC'!D127-'Ethylene Recycling HC'!$C$127</f>
        <v>203.3158289249194</v>
      </c>
      <c r="F103" s="183">
        <f>'Ethylene Recycling HC'!E127-'Ethylene Recycling HC'!$C$127</f>
        <v>427.79194847679003</v>
      </c>
      <c r="G103" s="183">
        <f>'Ethylene Recycling HC'!F127-'Ethylene Recycling HC'!$C$127</f>
        <v>672.87144752467793</v>
      </c>
      <c r="H103" s="183">
        <f>'Ethylene Recycling HC'!G127-'Ethylene Recycling HC'!$C$127</f>
        <v>938.00170513425724</v>
      </c>
      <c r="I103" s="183">
        <f>'Ethylene Recycling HC'!H127-'Ethylene Recycling HC'!$C$127</f>
        <v>1222.6343680529208</v>
      </c>
      <c r="J103" s="183">
        <f>'Ethylene Recycling HC'!I127-'Ethylene Recycling HC'!$C$127</f>
        <v>1526.2253282917234</v>
      </c>
      <c r="K103" s="183">
        <f>'Ethylene Recycling HC'!J127-'Ethylene Recycling HC'!$C$127</f>
        <v>1848.2347008037768</v>
      </c>
      <c r="L103" s="183">
        <f>'Ethylene Recycling HC'!K127-'Ethylene Recycling HC'!$C$127</f>
        <v>2188.1268012587507</v>
      </c>
      <c r="M103" s="183">
        <f>'Ethylene Recycling HC'!L127-'Ethylene Recycling HC'!$C$127</f>
        <v>2545.3701239130996</v>
      </c>
      <c r="N103" s="183">
        <f>'Ethylene Recycling HC'!M127-'Ethylene Recycling HC'!$C$127</f>
        <v>2919.4373195756493</v>
      </c>
      <c r="O103" s="183">
        <f>'Ethylene Recycling HC'!N127-'Ethylene Recycling HC'!$C$127</f>
        <v>3256.4350274899975</v>
      </c>
      <c r="P103" s="183">
        <f>'Ethylene Recycling HC'!O127-'Ethylene Recycling HC'!$C$127</f>
        <v>3602.6997715891698</v>
      </c>
      <c r="Q103" s="183">
        <f>'Ethylene Recycling HC'!P127-'Ethylene Recycling HC'!$C$127</f>
        <v>3942.6591645392341</v>
      </c>
      <c r="R103" s="183">
        <f>'Ethylene Recycling HC'!Q127-'Ethylene Recycling HC'!$C$127</f>
        <v>4288.6981678921602</v>
      </c>
      <c r="S103" s="183">
        <f>'Ethylene Recycling HC'!R127-'Ethylene Recycling HC'!$C$127</f>
        <v>4640.3914473317272</v>
      </c>
      <c r="T103" s="183">
        <f>'Ethylene Recycling HC'!S127-'Ethylene Recycling HC'!$C$127</f>
        <v>4997.32059909483</v>
      </c>
      <c r="U103" s="183">
        <f>'Ethylene Recycling HC'!T127-'Ethylene Recycling HC'!$C$127</f>
        <v>5359.0741218824041</v>
      </c>
      <c r="V103" s="183">
        <f>'Ethylene Recycling HC'!U127-'Ethylene Recycling HC'!$C$127</f>
        <v>5725.2473882777449</v>
      </c>
      <c r="W103" s="183">
        <f>'Ethylene Recycling HC'!V127-'Ethylene Recycling HC'!$C$127</f>
        <v>6095.4426156804093</v>
      </c>
      <c r="X103" s="183">
        <f>'Ethylene Recycling HC'!W127-'Ethylene Recycling HC'!$C$127</f>
        <v>6469.2688367638748</v>
      </c>
      <c r="Y103" s="183">
        <f>'Ethylene Recycling HC'!X127-'Ethylene Recycling HC'!$C$127</f>
        <v>6935.2448313315526</v>
      </c>
      <c r="Z103" s="183">
        <f>'Ethylene Recycling HC'!Y127-'Ethylene Recycling HC'!$C$127</f>
        <v>7409.1584592906875</v>
      </c>
      <c r="AA103" s="183">
        <f>'Ethylene Recycling HC'!Z127-'Ethylene Recycling HC'!$C$127</f>
        <v>7821.3209569892078</v>
      </c>
      <c r="AB103" s="183">
        <f>'Ethylene Recycling HC'!AA127-'Ethylene Recycling HC'!$C$127</f>
        <v>8231.4575075153862</v>
      </c>
      <c r="AC103" s="183">
        <f>'Ethylene Recycling HC'!AB127-'Ethylene Recycling HC'!$C$127</f>
        <v>8638.711944742885</v>
      </c>
      <c r="AD103" s="183">
        <f>'Ethylene Recycling HC'!AC127-'Ethylene Recycling HC'!$C$127</f>
        <v>9042.2564199630106</v>
      </c>
      <c r="AE103" s="183">
        <f>'Ethylene Recycling HC'!AD127-'Ethylene Recycling HC'!$C$127</f>
        <v>9441.2914722561691</v>
      </c>
      <c r="AF103" s="183">
        <f>'Ethylene Recycling HC'!AE127-'Ethylene Recycling HC'!$C$127</f>
        <v>9835.0460809082178</v>
      </c>
      <c r="AG103" s="183">
        <f>'Ethylene Recycling HC'!AF127-'Ethylene Recycling HC'!$C$127</f>
        <v>10222.777700132119</v>
      </c>
      <c r="AH103" s="183">
        <f>'Ethylene Recycling HC'!AG127-'Ethylene Recycling HC'!$C$127</f>
        <v>10603.772276353024</v>
      </c>
    </row>
    <row r="104" spans="1:35" outlineLevel="1">
      <c r="A104"/>
      <c r="B104" t="s">
        <v>268</v>
      </c>
      <c r="C104" s="50" t="s">
        <v>1420</v>
      </c>
      <c r="D104" s="183">
        <f>'Ethylene Recycling HC'!C84-'Ethylene Recycling HC'!$C$84</f>
        <v>0</v>
      </c>
      <c r="E104" s="183">
        <f>'Ethylene Recycling HC'!D84-'Ethylene Recycling HC'!$C$84</f>
        <v>1332.346963939548</v>
      </c>
      <c r="F104" s="183">
        <f>'Ethylene Recycling HC'!E84-'Ethylene Recycling HC'!$C$84</f>
        <v>2599.0139421890708</v>
      </c>
      <c r="G104" s="183">
        <f>'Ethylene Recycling HC'!F84-'Ethylene Recycling HC'!$C$84</f>
        <v>3799.5698980488014</v>
      </c>
      <c r="H104" s="183">
        <f>'Ethylene Recycling HC'!G84-'Ethylene Recycling HC'!$C$84</f>
        <v>4933.58946322681</v>
      </c>
      <c r="I104" s="183">
        <f>'Ethylene Recycling HC'!H84-'Ethylene Recycling HC'!$C$84</f>
        <v>6000.6529031838145</v>
      </c>
      <c r="J104" s="183">
        <f>'Ethylene Recycling HC'!I84-'Ethylene Recycling HC'!$C$84</f>
        <v>7000.3460826380688</v>
      </c>
      <c r="K104" s="183">
        <f>'Ethylene Recycling HC'!J84-'Ethylene Recycling HC'!$C$84</f>
        <v>7932.2604312303956</v>
      </c>
      <c r="L104" s="183">
        <f>'Ethylene Recycling HC'!K84-'Ethylene Recycling HC'!$C$84</f>
        <v>8795.9929093479586</v>
      </c>
      <c r="M104" s="183">
        <f>'Ethylene Recycling HC'!L84-'Ethylene Recycling HC'!$C$84</f>
        <v>9591.1459741067956</v>
      </c>
      <c r="N104" s="183">
        <f>'Ethylene Recycling HC'!M84-'Ethylene Recycling HC'!$C$84</f>
        <v>10317.327545492051</v>
      </c>
      <c r="O104" s="183">
        <f>'Ethylene Recycling HC'!N84-'Ethylene Recycling HC'!$C$84</f>
        <v>9043.5311959011378</v>
      </c>
      <c r="P104" s="183">
        <f>'Ethylene Recycling HC'!O84-'Ethylene Recycling HC'!$C$84</f>
        <v>8005.1775444997038</v>
      </c>
      <c r="Q104" s="183">
        <f>'Ethylene Recycling HC'!P84-'Ethylene Recycling HC'!$C$84</f>
        <v>6735.0830455538598</v>
      </c>
      <c r="R104" s="183">
        <f>'Ethylene Recycling HC'!Q84-'Ethylene Recycling HC'!$C$84</f>
        <v>5446.015319792903</v>
      </c>
      <c r="S104" s="183">
        <f>'Ethylene Recycling HC'!R84-'Ethylene Recycling HC'!$C$84</f>
        <v>4137.9573577981864</v>
      </c>
      <c r="T104" s="183">
        <f>'Ethylene Recycling HC'!S84-'Ethylene Recycling HC'!$C$84</f>
        <v>2810.8929086555872</v>
      </c>
      <c r="U104" s="183">
        <f>'Ethylene Recycling HC'!T84-'Ethylene Recycling HC'!$C$84</f>
        <v>1464.8064746016244</v>
      </c>
      <c r="V104" s="183">
        <f>'Ethylene Recycling HC'!U84-'Ethylene Recycling HC'!$C$84</f>
        <v>99.683305695878516</v>
      </c>
      <c r="W104" s="183">
        <f>'Ethylene Recycling HC'!V84-'Ethylene Recycling HC'!$C$84</f>
        <v>-1284.4906054802486</v>
      </c>
      <c r="X104" s="183">
        <f>'Ethylene Recycling HC'!W84-'Ethylene Recycling HC'!$C$84</f>
        <v>-2687.7285290989239</v>
      </c>
      <c r="Y104" s="183">
        <f>'Ethylene Recycling HC'!X84-'Ethylene Recycling HC'!$C$84</f>
        <v>-3678.4703045975912</v>
      </c>
      <c r="Z104" s="183">
        <f>'Ethylene Recycling HC'!Y84-'Ethylene Recycling HC'!$C$84</f>
        <v>-4664.0939001073348</v>
      </c>
      <c r="AA104" s="183">
        <f>'Ethylene Recycling HC'!Z84-'Ethylene Recycling HC'!$C$84</f>
        <v>-5664.0714523042334</v>
      </c>
      <c r="AB104" s="183">
        <f>'Ethylene Recycling HC'!AA84-'Ethylene Recycling HC'!$C$84</f>
        <v>-6678.4139202478909</v>
      </c>
      <c r="AC104" s="183">
        <f>'Ethylene Recycling HC'!AB84-'Ethylene Recycling HC'!$C$84</f>
        <v>-7707.1317049531135</v>
      </c>
      <c r="AD104" s="183">
        <f>'Ethylene Recycling HC'!AC84-'Ethylene Recycling HC'!$C$84</f>
        <v>-8750.2346533561358</v>
      </c>
      <c r="AE104" s="183">
        <f>'Ethylene Recycling HC'!AD84-'Ethylene Recycling HC'!$C$84</f>
        <v>-9807.7320622611733</v>
      </c>
      <c r="AF104" s="183">
        <f>'Ethylene Recycling HC'!AE84-'Ethylene Recycling HC'!$C$84</f>
        <v>-10879.632682267649</v>
      </c>
      <c r="AG104" s="183">
        <f>'Ethylene Recycling HC'!AF84-'Ethylene Recycling HC'!$C$84</f>
        <v>-11965.944721678072</v>
      </c>
      <c r="AH104" s="183">
        <f>'Ethylene Recycling HC'!AG84-'Ethylene Recycling HC'!$C$84</f>
        <v>-13066.675850386455</v>
      </c>
    </row>
    <row r="105" spans="1:35" s="62" customFormat="1">
      <c r="A105" s="58"/>
      <c r="B105" s="58" t="s">
        <v>267</v>
      </c>
      <c r="C105" s="59" t="s">
        <v>1420</v>
      </c>
      <c r="D105" s="577">
        <f>D102-D103-D104</f>
        <v>582875.6940607368</v>
      </c>
      <c r="E105" s="577">
        <f t="shared" ref="E105:AH105" si="32">E102-E103-E104</f>
        <v>589231.16463164799</v>
      </c>
      <c r="F105" s="577">
        <f t="shared" si="32"/>
        <v>595726.38633915316</v>
      </c>
      <c r="G105" s="577">
        <f t="shared" si="32"/>
        <v>602363.27697653486</v>
      </c>
      <c r="H105" s="577">
        <f t="shared" si="32"/>
        <v>609143.74887083401</v>
      </c>
      <c r="I105" s="577">
        <f t="shared" si="32"/>
        <v>616069.7088455623</v>
      </c>
      <c r="J105" s="577">
        <f t="shared" si="32"/>
        <v>623143.05817926291</v>
      </c>
      <c r="K105" s="577">
        <f t="shared" si="32"/>
        <v>630365.69255983154</v>
      </c>
      <c r="L105" s="577">
        <f t="shared" si="32"/>
        <v>637739.50203450758</v>
      </c>
      <c r="M105" s="577">
        <f t="shared" si="32"/>
        <v>645266.37095543975</v>
      </c>
      <c r="N105" s="577">
        <f t="shared" si="32"/>
        <v>652948.17792073498</v>
      </c>
      <c r="O105" s="577">
        <f t="shared" si="32"/>
        <v>657224.61303534196</v>
      </c>
      <c r="P105" s="577">
        <f t="shared" si="32"/>
        <v>661156.85382279963</v>
      </c>
      <c r="Q105" s="577">
        <f t="shared" si="32"/>
        <v>665224.31783353572</v>
      </c>
      <c r="R105" s="577">
        <f t="shared" si="32"/>
        <v>669198.46958899568</v>
      </c>
      <c r="S105" s="577">
        <f t="shared" si="32"/>
        <v>673076.32455083728</v>
      </c>
      <c r="T105" s="577">
        <f t="shared" si="32"/>
        <v>676854.84708946501</v>
      </c>
      <c r="U105" s="577">
        <f t="shared" si="32"/>
        <v>680530.95115914661</v>
      </c>
      <c r="V105" s="577">
        <f t="shared" si="32"/>
        <v>684101.50103401556</v>
      </c>
      <c r="W105" s="577">
        <f t="shared" si="32"/>
        <v>687563.31210737745</v>
      </c>
      <c r="X105" s="577">
        <f t="shared" si="32"/>
        <v>690913.1517568205</v>
      </c>
      <c r="Y105" s="577">
        <f t="shared" si="32"/>
        <v>679544.04435692285</v>
      </c>
      <c r="Z105" s="577">
        <f t="shared" si="32"/>
        <v>667864.09321084828</v>
      </c>
      <c r="AA105" s="577">
        <f t="shared" si="32"/>
        <v>655964.85420364747</v>
      </c>
      <c r="AB105" s="577">
        <f t="shared" si="32"/>
        <v>643789.39555925841</v>
      </c>
      <c r="AC105" s="577">
        <f t="shared" si="32"/>
        <v>631341.77109189227</v>
      </c>
      <c r="AD105" s="577">
        <f t="shared" si="32"/>
        <v>618626.42845813755</v>
      </c>
      <c r="AE105" s="577">
        <f t="shared" si="32"/>
        <v>605648.22760094248</v>
      </c>
      <c r="AF105" s="577">
        <f t="shared" si="32"/>
        <v>592412.45982432947</v>
      </c>
      <c r="AG105" s="577">
        <f t="shared" si="32"/>
        <v>578924.86751619494</v>
      </c>
      <c r="AH105" s="577">
        <f t="shared" si="32"/>
        <v>565191.66453701595</v>
      </c>
      <c r="AI105" s="39"/>
    </row>
    <row r="106" spans="1:35" s="61" customFormat="1">
      <c r="A106" s="606" t="s">
        <v>608</v>
      </c>
      <c r="B106" s="54" t="s">
        <v>141</v>
      </c>
      <c r="C106" s="55" t="s">
        <v>1420</v>
      </c>
      <c r="D106" s="571">
        <f>D20-('Ethylene Recycling HC'!C85+'Ethylene Recycling HC'!C128-'Ethylene Recycling HC'!$C$85-'Ethylene Recycling HC'!$C$128)</f>
        <v>36825.842975206615</v>
      </c>
      <c r="E106" s="571">
        <f>E20-('Ethylene Recycling HC'!D85+'Ethylene Recycling HC'!D128-'Ethylene Recycling HC'!$C$85-'Ethylene Recycling HC'!$C$128)</f>
        <v>35838.319571503016</v>
      </c>
      <c r="F106" s="571">
        <f>F20-('Ethylene Recycling HC'!E85+'Ethylene Recycling HC'!E128-'Ethylene Recycling HC'!$C$85-'Ethylene Recycling HC'!$C$128)</f>
        <v>34911.838709865806</v>
      </c>
      <c r="G106" s="571">
        <f>G20-('Ethylene Recycling HC'!F85+'Ethylene Recycling HC'!F128-'Ethylene Recycling HC'!$C$85-'Ethylene Recycling HC'!$C$128)</f>
        <v>34048.223228105046</v>
      </c>
      <c r="H106" s="571">
        <f>H20-('Ethylene Recycling HC'!G85+'Ethylene Recycling HC'!G128-'Ethylene Recycling HC'!$C$85-'Ethylene Recycling HC'!$C$128)</f>
        <v>33249.255514049073</v>
      </c>
      <c r="I106" s="571">
        <f>I20-('Ethylene Recycling HC'!H85+'Ethylene Recycling HC'!H128-'Ethylene Recycling HC'!$C$85-'Ethylene Recycling HC'!$C$128)</f>
        <v>32516.677857478946</v>
      </c>
      <c r="J106" s="571">
        <f>J20-('Ethylene Recycling HC'!I85+'Ethylene Recycling HC'!I128-'Ethylene Recycling HC'!$C$85-'Ethylene Recycling HC'!$C$128)</f>
        <v>31852.192799655593</v>
      </c>
      <c r="K106" s="571">
        <f>K20-('Ethylene Recycling HC'!J85+'Ethylene Recycling HC'!J128-'Ethylene Recycling HC'!$C$85-'Ethylene Recycling HC'!$C$128)</f>
        <v>31257.463480443817</v>
      </c>
      <c r="L106" s="571">
        <f>L20-('Ethylene Recycling HC'!K85+'Ethylene Recycling HC'!K128-'Ethylene Recycling HC'!$C$85-'Ethylene Recycling HC'!$C$128)</f>
        <v>30734.113983038704</v>
      </c>
      <c r="M106" s="571">
        <f>M20-('Ethylene Recycling HC'!L85+'Ethylene Recycling HC'!L128-'Ethylene Recycling HC'!$C$85-'Ethylene Recycling HC'!$C$128)</f>
        <v>30283.729676298339</v>
      </c>
      <c r="N106" s="571">
        <f>N20-('Ethylene Recycling HC'!M85+'Ethylene Recycling HC'!M128-'Ethylene Recycling HC'!$C$85-'Ethylene Recycling HC'!$C$128)</f>
        <v>29907.857554687762</v>
      </c>
      <c r="O106" s="571">
        <f>O20-('Ethylene Recycling HC'!N85+'Ethylene Recycling HC'!N128-'Ethylene Recycling HC'!$C$85-'Ethylene Recycling HC'!$C$128)</f>
        <v>31222.889007850928</v>
      </c>
      <c r="P106" s="571">
        <f>P20-('Ethylene Recycling HC'!O85+'Ethylene Recycling HC'!O128-'Ethylene Recycling HC'!$C$85-'Ethylene Recycling HC'!$C$128)</f>
        <v>32299.941595336597</v>
      </c>
      <c r="Q106" s="571">
        <f>Q20-('Ethylene Recycling HC'!P85+'Ethylene Recycling HC'!P128-'Ethylene Recycling HC'!$C$85-'Ethylene Recycling HC'!$C$128)</f>
        <v>33616.055460087919</v>
      </c>
      <c r="R106" s="571">
        <f>R20-('Ethylene Recycling HC'!Q85+'Ethylene Recycling HC'!Q128-'Ethylene Recycling HC'!$C$85-'Ethylene Recycling HC'!$C$128)</f>
        <v>34950.465145832393</v>
      </c>
      <c r="S106" s="571">
        <f>S20-('Ethylene Recycling HC'!R85+'Ethylene Recycling HC'!R128-'Ethylene Recycling HC'!$C$85-'Ethylene Recycling HC'!$C$128)</f>
        <v>36303.483877647115</v>
      </c>
      <c r="T106" s="571">
        <f>T20-('Ethylene Recycling HC'!S85+'Ethylene Recycling HC'!S128-'Ethylene Recycling HC'!$C$85-'Ethylene Recycling HC'!$C$128)</f>
        <v>37675.393049052174</v>
      </c>
      <c r="U106" s="571">
        <f>U20-('Ethylene Recycling HC'!T85+'Ethylene Recycling HC'!T128-'Ethylene Recycling HC'!$C$85-'Ethylene Recycling HC'!$C$128)</f>
        <v>39066.442779181751</v>
      </c>
      <c r="V106" s="571">
        <f>V20-('Ethylene Recycling HC'!U85+'Ethylene Recycling HC'!U128-'Ethylene Recycling HC'!$C$85-'Ethylene Recycling HC'!$C$128)</f>
        <v>40476.852471607184</v>
      </c>
      <c r="W106" s="571">
        <f>W20-('Ethylene Recycling HC'!V85+'Ethylene Recycling HC'!V128-'Ethylene Recycling HC'!$C$85-'Ethylene Recycling HC'!$C$128)</f>
        <v>41906.811374911762</v>
      </c>
      <c r="X106" s="571">
        <f>X20-('Ethylene Recycling HC'!W85+'Ethylene Recycling HC'!W128-'Ethylene Recycling HC'!$C$85-'Ethylene Recycling HC'!$C$128)</f>
        <v>43356.47914512334</v>
      </c>
      <c r="Y106" s="571">
        <f>Y20-('Ethylene Recycling HC'!X85+'Ethylene Recycling HC'!X128-'Ethylene Recycling HC'!$C$85-'Ethylene Recycling HC'!$C$128)</f>
        <v>43459.603947369797</v>
      </c>
      <c r="Z106" s="571">
        <f>Z20-('Ethylene Recycling HC'!Y85+'Ethylene Recycling HC'!Y128-'Ethylene Recycling HC'!$C$85-'Ethylene Recycling HC'!$C$128)</f>
        <v>43548.213153508674</v>
      </c>
      <c r="AA106" s="571">
        <f>AA20-('Ethylene Recycling HC'!Z85+'Ethylene Recycling HC'!Z128-'Ethylene Recycling HC'!$C$85-'Ethylene Recycling HC'!$C$128)</f>
        <v>43675.581927654261</v>
      </c>
      <c r="AB106" s="571">
        <f>AB20-('Ethylene Recycling HC'!AA85+'Ethylene Recycling HC'!AA128-'Ethylene Recycling HC'!$C$85-'Ethylene Recycling HC'!$C$128)</f>
        <v>43811.553652172173</v>
      </c>
      <c r="AC106" s="571">
        <f>AC20-('Ethylene Recycling HC'!AB85+'Ethylene Recycling HC'!AB128-'Ethylene Recycling HC'!$C$85-'Ethylene Recycling HC'!$C$128)</f>
        <v>43956.637966424591</v>
      </c>
      <c r="AD106" s="571">
        <f>AD20-('Ethylene Recycling HC'!AC85+'Ethylene Recycling HC'!AC128-'Ethylene Recycling HC'!$C$85-'Ethylene Recycling HC'!$C$128)</f>
        <v>44111.309378041798</v>
      </c>
      <c r="AE106" s="571">
        <f>AE20-('Ethylene Recycling HC'!AD85+'Ethylene Recycling HC'!AD128-'Ethylene Recycling HC'!$C$85-'Ethylene Recycling HC'!$C$128)</f>
        <v>44276.010431045652</v>
      </c>
      <c r="AF106" s="571">
        <f>AF20-('Ethylene Recycling HC'!AE85+'Ethylene Recycling HC'!AE128-'Ethylene Recycling HC'!$C$85-'Ethylene Recycling HC'!$C$128)</f>
        <v>44451.154926005904</v>
      </c>
      <c r="AG106" s="571">
        <f>AG20-('Ethylene Recycling HC'!AF85+'Ethylene Recycling HC'!AF128-'Ethylene Recycling HC'!$C$85-'Ethylene Recycling HC'!$C$128)</f>
        <v>44637.131191442721</v>
      </c>
      <c r="AH106" s="571">
        <f>AH20-('Ethylene Recycling HC'!AG85+'Ethylene Recycling HC'!AG128-'Ethylene Recycling HC'!$C$85-'Ethylene Recycling HC'!$C$128)</f>
        <v>44834.305405749197</v>
      </c>
      <c r="AI106" s="39"/>
    </row>
    <row r="107" spans="1:35">
      <c r="A107" s="607"/>
      <c r="B107" s="1" t="s">
        <v>18</v>
      </c>
      <c r="C107" s="50" t="s">
        <v>1420</v>
      </c>
      <c r="D107" s="183">
        <f>D21+(D111-D25)</f>
        <v>0</v>
      </c>
      <c r="E107" s="183">
        <f t="shared" ref="E107:AH107" si="33">E21+(E111-E25)</f>
        <v>0</v>
      </c>
      <c r="F107" s="183">
        <f t="shared" si="33"/>
        <v>0</v>
      </c>
      <c r="G107" s="183">
        <f t="shared" si="33"/>
        <v>0</v>
      </c>
      <c r="H107" s="183">
        <f t="shared" si="33"/>
        <v>0</v>
      </c>
      <c r="I107" s="183">
        <f t="shared" si="33"/>
        <v>0</v>
      </c>
      <c r="J107" s="183">
        <f t="shared" si="33"/>
        <v>0</v>
      </c>
      <c r="K107" s="183">
        <f t="shared" si="33"/>
        <v>0</v>
      </c>
      <c r="L107" s="183">
        <f t="shared" si="33"/>
        <v>0</v>
      </c>
      <c r="M107" s="183">
        <f t="shared" si="33"/>
        <v>0</v>
      </c>
      <c r="N107" s="183">
        <f t="shared" si="33"/>
        <v>0</v>
      </c>
      <c r="O107" s="183">
        <f t="shared" si="33"/>
        <v>0</v>
      </c>
      <c r="P107" s="183">
        <f t="shared" si="33"/>
        <v>0</v>
      </c>
      <c r="Q107" s="183">
        <f t="shared" si="33"/>
        <v>0</v>
      </c>
      <c r="R107" s="183">
        <f t="shared" si="33"/>
        <v>0</v>
      </c>
      <c r="S107" s="183">
        <f t="shared" si="33"/>
        <v>0</v>
      </c>
      <c r="T107" s="183">
        <f t="shared" si="33"/>
        <v>0</v>
      </c>
      <c r="U107" s="183">
        <f t="shared" si="33"/>
        <v>0</v>
      </c>
      <c r="V107" s="183">
        <f t="shared" si="33"/>
        <v>0</v>
      </c>
      <c r="W107" s="183">
        <f t="shared" si="33"/>
        <v>0</v>
      </c>
      <c r="X107" s="183">
        <f t="shared" si="33"/>
        <v>0</v>
      </c>
      <c r="Y107" s="183">
        <f t="shared" si="33"/>
        <v>0</v>
      </c>
      <c r="Z107" s="183">
        <f t="shared" si="33"/>
        <v>0</v>
      </c>
      <c r="AA107" s="183">
        <f t="shared" si="33"/>
        <v>0</v>
      </c>
      <c r="AB107" s="183">
        <f t="shared" si="33"/>
        <v>0</v>
      </c>
      <c r="AC107" s="183">
        <f t="shared" si="33"/>
        <v>0</v>
      </c>
      <c r="AD107" s="183">
        <f t="shared" si="33"/>
        <v>0</v>
      </c>
      <c r="AE107" s="183">
        <f t="shared" si="33"/>
        <v>0</v>
      </c>
      <c r="AF107" s="183">
        <f t="shared" si="33"/>
        <v>0</v>
      </c>
      <c r="AG107" s="183">
        <f t="shared" si="33"/>
        <v>0</v>
      </c>
      <c r="AH107" s="183">
        <f t="shared" si="33"/>
        <v>0</v>
      </c>
      <c r="AI107" s="39"/>
    </row>
    <row r="108" spans="1:35">
      <c r="A108" s="607"/>
      <c r="B108" s="1" t="s">
        <v>607</v>
      </c>
      <c r="C108" s="50" t="s">
        <v>1420</v>
      </c>
      <c r="D108" s="183">
        <f>D22+(D110-D24)</f>
        <v>23746.467073344633</v>
      </c>
      <c r="E108" s="183">
        <f t="shared" ref="E108:AH108" si="34">E22+(E110-E24)</f>
        <v>24065.075164449387</v>
      </c>
      <c r="F108" s="183">
        <f t="shared" si="34"/>
        <v>24385.770744003428</v>
      </c>
      <c r="G108" s="183">
        <f t="shared" si="34"/>
        <v>24708.344942325792</v>
      </c>
      <c r="H108" s="183">
        <f t="shared" si="34"/>
        <v>25032.597897209813</v>
      </c>
      <c r="I108" s="183">
        <f t="shared" si="34"/>
        <v>25358.338664889943</v>
      </c>
      <c r="J108" s="183">
        <f t="shared" si="34"/>
        <v>25685.385131386975</v>
      </c>
      <c r="K108" s="183">
        <f t="shared" si="34"/>
        <v>26013.563924225215</v>
      </c>
      <c r="L108" s="183">
        <f t="shared" si="34"/>
        <v>26342.710324515236</v>
      </c>
      <c r="M108" s="183">
        <f t="shared" si="34"/>
        <v>26672.668179395627</v>
      </c>
      <c r="N108" s="183">
        <f t="shared" si="34"/>
        <v>27003.289814827305</v>
      </c>
      <c r="O108" s="183">
        <f t="shared" si="34"/>
        <v>27110.827461952922</v>
      </c>
      <c r="P108" s="183">
        <f t="shared" si="34"/>
        <v>27211.177497697048</v>
      </c>
      <c r="Q108" s="183">
        <f t="shared" si="34"/>
        <v>27304.901094376077</v>
      </c>
      <c r="R108" s="183">
        <f t="shared" si="34"/>
        <v>27391.24376008541</v>
      </c>
      <c r="S108" s="183">
        <f t="shared" si="34"/>
        <v>27470.018541507994</v>
      </c>
      <c r="T108" s="183">
        <f t="shared" si="34"/>
        <v>27541.043066329494</v>
      </c>
      <c r="U108" s="183">
        <f t="shared" si="34"/>
        <v>27604.139432949494</v>
      </c>
      <c r="V108" s="183">
        <f t="shared" si="34"/>
        <v>27659.134103362288</v>
      </c>
      <c r="W108" s="183">
        <f t="shared" si="34"/>
        <v>27705.857799319507</v>
      </c>
      <c r="X108" s="183">
        <f t="shared" si="34"/>
        <v>27744.145401889415</v>
      </c>
      <c r="Y108" s="183">
        <f t="shared" si="34"/>
        <v>27192.629687062778</v>
      </c>
      <c r="Z108" s="183">
        <f t="shared" si="34"/>
        <v>26624.564466081199</v>
      </c>
      <c r="AA108" s="183">
        <f t="shared" si="34"/>
        <v>26046.350938848525</v>
      </c>
      <c r="AB108" s="183">
        <f t="shared" si="34"/>
        <v>25453.119729133847</v>
      </c>
      <c r="AC108" s="183">
        <f t="shared" si="34"/>
        <v>24845.110396643715</v>
      </c>
      <c r="AD108" s="183">
        <f t="shared" si="34"/>
        <v>24222.590454915382</v>
      </c>
      <c r="AE108" s="183">
        <f t="shared" si="34"/>
        <v>23585.855552620513</v>
      </c>
      <c r="AF108" s="183">
        <f t="shared" si="34"/>
        <v>22935.229680155793</v>
      </c>
      <c r="AG108" s="183">
        <f t="shared" si="34"/>
        <v>22271.065402709592</v>
      </c>
      <c r="AH108" s="183">
        <f t="shared" si="34"/>
        <v>21593.744121004765</v>
      </c>
      <c r="AI108" s="39"/>
    </row>
    <row r="109" spans="1:35">
      <c r="A109" s="608"/>
      <c r="B109" s="1" t="s">
        <v>27</v>
      </c>
      <c r="C109" s="50" t="s">
        <v>1420</v>
      </c>
      <c r="D109" s="528">
        <f>D23-('Ethylene Recycling HC'!C89+'Ethylene Recycling HC'!C132-'Ethylene Recycling HC'!$C$89-'Ethylene Recycling HC'!$C$132+'Ethylene Recycling HC'!C86+'Ethylene Recycling HC'!C129-'Ethylene Recycling HC'!$C$86-'Ethylene Recycling HC'!$C$129)</f>
        <v>522303.38401218556</v>
      </c>
      <c r="E109" s="528">
        <f>E23-('Ethylene Recycling HC'!D89+'Ethylene Recycling HC'!D132-'Ethylene Recycling HC'!$C$89-'Ethylene Recycling HC'!$C$132+'Ethylene Recycling HC'!D86+'Ethylene Recycling HC'!D129-'Ethylene Recycling HC'!$C$86-'Ethylene Recycling HC'!$C$129)</f>
        <v>529327.7698956955</v>
      </c>
      <c r="F109" s="528">
        <f>F23-('Ethylene Recycling HC'!E89+'Ethylene Recycling HC'!E132-'Ethylene Recycling HC'!$C$89-'Ethylene Recycling HC'!$C$132+'Ethylene Recycling HC'!E86+'Ethylene Recycling HC'!E129-'Ethylene Recycling HC'!$C$86-'Ethylene Recycling HC'!$C$129)</f>
        <v>536428.77688528388</v>
      </c>
      <c r="G109" s="528">
        <f>G23-('Ethylene Recycling HC'!F89+'Ethylene Recycling HC'!F132-'Ethylene Recycling HC'!$C$89-'Ethylene Recycling HC'!$C$132+'Ethylene Recycling HC'!F86+'Ethylene Recycling HC'!F129-'Ethylene Recycling HC'!$C$86-'Ethylene Recycling HC'!$C$129)</f>
        <v>543606.70880610391</v>
      </c>
      <c r="H109" s="528">
        <f>H23-('Ethylene Recycling HC'!G89+'Ethylene Recycling HC'!G132-'Ethylene Recycling HC'!$C$89-'Ethylene Recycling HC'!$C$132+'Ethylene Recycling HC'!G86+'Ethylene Recycling HC'!G129-'Ethylene Recycling HC'!$C$86-'Ethylene Recycling HC'!$C$129)</f>
        <v>550861.89545957523</v>
      </c>
      <c r="I109" s="528">
        <f>I23-('Ethylene Recycling HC'!H89+'Ethylene Recycling HC'!H132-'Ethylene Recycling HC'!$C$89-'Ethylene Recycling HC'!$C$132+'Ethylene Recycling HC'!H86+'Ethylene Recycling HC'!H129-'Ethylene Recycling HC'!$C$86-'Ethylene Recycling HC'!$C$129)</f>
        <v>558194.69232319342</v>
      </c>
      <c r="J109" s="528">
        <f>J23-('Ethylene Recycling HC'!I89+'Ethylene Recycling HC'!I132-'Ethylene Recycling HC'!$C$89-'Ethylene Recycling HC'!$C$132+'Ethylene Recycling HC'!I86+'Ethylene Recycling HC'!I129-'Ethylene Recycling HC'!$C$86-'Ethylene Recycling HC'!$C$129)</f>
        <v>565605.48024822038</v>
      </c>
      <c r="K109" s="528">
        <f>K23-('Ethylene Recycling HC'!J89+'Ethylene Recycling HC'!J132-'Ethylene Recycling HC'!$C$89-'Ethylene Recycling HC'!$C$132+'Ethylene Recycling HC'!J86+'Ethylene Recycling HC'!J129-'Ethylene Recycling HC'!$C$86-'Ethylene Recycling HC'!$C$129)</f>
        <v>573094.66515516257</v>
      </c>
      <c r="L109" s="528">
        <f>L23-('Ethylene Recycling HC'!K89+'Ethylene Recycling HC'!K132-'Ethylene Recycling HC'!$C$89-'Ethylene Recycling HC'!$C$132+'Ethylene Recycling HC'!K86+'Ethylene Recycling HC'!K129-'Ethylene Recycling HC'!$C$86-'Ethylene Recycling HC'!$C$129)</f>
        <v>580662.67772695364</v>
      </c>
      <c r="M109" s="528">
        <f>M23-('Ethylene Recycling HC'!L89+'Ethylene Recycling HC'!L132-'Ethylene Recycling HC'!$C$89-'Ethylene Recycling HC'!$C$132+'Ethylene Recycling HC'!L86+'Ethylene Recycling HC'!L129-'Ethylene Recycling HC'!$C$86-'Ethylene Recycling HC'!$C$129)</f>
        <v>588309.97309974558</v>
      </c>
      <c r="N109" s="528">
        <f>N23-('Ethylene Recycling HC'!M89+'Ethylene Recycling HC'!M132-'Ethylene Recycling HC'!$C$89-'Ethylene Recycling HC'!$C$132+'Ethylene Recycling HC'!M86+'Ethylene Recycling HC'!M129-'Ethylene Recycling HC'!$C$86-'Ethylene Recycling HC'!$C$129)</f>
        <v>596037.03055122006</v>
      </c>
      <c r="O109" s="528">
        <f>O23-('Ethylene Recycling HC'!N89+'Ethylene Recycling HC'!N132-'Ethylene Recycling HC'!$C$89-'Ethylene Recycling HC'!$C$132+'Ethylene Recycling HC'!N86+'Ethylene Recycling HC'!N129-'Ethylene Recycling HC'!$C$86-'Ethylene Recycling HC'!$C$129)</f>
        <v>598890.89656553802</v>
      </c>
      <c r="P109" s="528">
        <f>P23-('Ethylene Recycling HC'!O89+'Ethylene Recycling HC'!O132-'Ethylene Recycling HC'!$C$89-'Ethylene Recycling HC'!$C$132+'Ethylene Recycling HC'!O86+'Ethylene Recycling HC'!O129-'Ethylene Recycling HC'!$C$86-'Ethylene Recycling HC'!$C$129)</f>
        <v>601645.73472976603</v>
      </c>
      <c r="Q109" s="528">
        <f>Q23-('Ethylene Recycling HC'!P89+'Ethylene Recycling HC'!P132-'Ethylene Recycling HC'!$C$89-'Ethylene Recycling HC'!$C$132+'Ethylene Recycling HC'!P86+'Ethylene Recycling HC'!P129-'Ethylene Recycling HC'!$C$86-'Ethylene Recycling HC'!$C$129)</f>
        <v>604303.36127907166</v>
      </c>
      <c r="R109" s="528">
        <f>R23-('Ethylene Recycling HC'!Q89+'Ethylene Recycling HC'!Q132-'Ethylene Recycling HC'!$C$89-'Ethylene Recycling HC'!$C$132+'Ethylene Recycling HC'!Q86+'Ethylene Recycling HC'!Q129-'Ethylene Recycling HC'!$C$86-'Ethylene Recycling HC'!$C$129)</f>
        <v>606856.76068307785</v>
      </c>
      <c r="S109" s="528">
        <f>S23-('Ethylene Recycling HC'!R89+'Ethylene Recycling HC'!R132-'Ethylene Recycling HC'!$C$89-'Ethylene Recycling HC'!$C$132+'Ethylene Recycling HC'!R86+'Ethylene Recycling HC'!R129-'Ethylene Recycling HC'!$C$86-'Ethylene Recycling HC'!$C$129)</f>
        <v>609302.8221316823</v>
      </c>
      <c r="T109" s="528">
        <f>T23-('Ethylene Recycling HC'!S89+'Ethylene Recycling HC'!S132-'Ethylene Recycling HC'!$C$89-'Ethylene Recycling HC'!$C$132+'Ethylene Recycling HC'!S86+'Ethylene Recycling HC'!S129-'Ethylene Recycling HC'!$C$86-'Ethylene Recycling HC'!$C$129)</f>
        <v>611638.41097408335</v>
      </c>
      <c r="U109" s="528">
        <f>U23-('Ethylene Recycling HC'!T89+'Ethylene Recycling HC'!T132-'Ethylene Recycling HC'!$C$89-'Ethylene Recycling HC'!$C$132+'Ethylene Recycling HC'!T86+'Ethylene Recycling HC'!T129-'Ethylene Recycling HC'!$C$86-'Ethylene Recycling HC'!$C$129)</f>
        <v>613860.36894701538</v>
      </c>
      <c r="V109" s="528">
        <f>V23-('Ethylene Recycling HC'!U89+'Ethylene Recycling HC'!U132-'Ethylene Recycling HC'!$C$89-'Ethylene Recycling HC'!$C$132+'Ethylene Recycling HC'!U86+'Ethylene Recycling HC'!U129-'Ethylene Recycling HC'!$C$86-'Ethylene Recycling HC'!$C$129)</f>
        <v>615965.51445904619</v>
      </c>
      <c r="W109" s="528">
        <f>W23-('Ethylene Recycling HC'!V89+'Ethylene Recycling HC'!V132-'Ethylene Recycling HC'!$C$89-'Ethylene Recycling HC'!$C$132+'Ethylene Recycling HC'!V86+'Ethylene Recycling HC'!V129-'Ethylene Recycling HC'!$C$86-'Ethylene Recycling HC'!$C$129)</f>
        <v>617950.6429331461</v>
      </c>
      <c r="X109" s="528">
        <f>X23-('Ethylene Recycling HC'!W89+'Ethylene Recycling HC'!W132-'Ethylene Recycling HC'!$C$89-'Ethylene Recycling HC'!$C$132+'Ethylene Recycling HC'!W86+'Ethylene Recycling HC'!W129-'Ethylene Recycling HC'!$C$86-'Ethylene Recycling HC'!$C$129)</f>
        <v>619812.52720980777</v>
      </c>
      <c r="Y109" s="528">
        <f>Y23-('Ethylene Recycling HC'!X89+'Ethylene Recycling HC'!X132-'Ethylene Recycling HC'!$C$89-'Ethylene Recycling HC'!$C$132+'Ethylene Recycling HC'!X86+'Ethylene Recycling HC'!X129-'Ethylene Recycling HC'!$C$86-'Ethylene Recycling HC'!$C$129)</f>
        <v>608891.81072249031</v>
      </c>
      <c r="Z109" s="528">
        <f>Z23-('Ethylene Recycling HC'!Y89+'Ethylene Recycling HC'!Y132-'Ethylene Recycling HC'!$C$89-'Ethylene Recycling HC'!$C$132+'Ethylene Recycling HC'!Y86+'Ethylene Recycling HC'!Y129-'Ethylene Recycling HC'!$C$86-'Ethylene Recycling HC'!$C$129)</f>
        <v>597691.31559125846</v>
      </c>
      <c r="AA109" s="528">
        <f>AA23-('Ethylene Recycling HC'!Z89+'Ethylene Recycling HC'!Z132-'Ethylene Recycling HC'!$C$89-'Ethylene Recycling HC'!$C$132+'Ethylene Recycling HC'!Z86+'Ethylene Recycling HC'!Z129-'Ethylene Recycling HC'!$C$86-'Ethylene Recycling HC'!$C$129)</f>
        <v>586242.92133714468</v>
      </c>
      <c r="AB109" s="528">
        <f>AB23-('Ethylene Recycling HC'!AA89+'Ethylene Recycling HC'!AA132-'Ethylene Recycling HC'!$C$89-'Ethylene Recycling HC'!$C$132+'Ethylene Recycling HC'!AA86+'Ethylene Recycling HC'!AA129-'Ethylene Recycling HC'!$C$86-'Ethylene Recycling HC'!$C$129)</f>
        <v>574524.72217795241</v>
      </c>
      <c r="AC109" s="528">
        <f>AC23-('Ethylene Recycling HC'!AB89+'Ethylene Recycling HC'!AB132-'Ethylene Recycling HC'!$C$89-'Ethylene Recycling HC'!$C$132+'Ethylene Recycling HC'!AB86+'Ethylene Recycling HC'!AB129-'Ethylene Recycling HC'!$C$86-'Ethylene Recycling HC'!$C$129)</f>
        <v>562540.02272882382</v>
      </c>
      <c r="AD109" s="528">
        <f>AD23-('Ethylene Recycling HC'!AC89+'Ethylene Recycling HC'!AC132-'Ethylene Recycling HC'!$C$89-'Ethylene Recycling HC'!$C$132+'Ethylene Recycling HC'!AC86+'Ethylene Recycling HC'!AC129-'Ethylene Recycling HC'!$C$86-'Ethylene Recycling HC'!$C$129)</f>
        <v>550292.52862518036</v>
      </c>
      <c r="AE109" s="528">
        <f>AE23-('Ethylene Recycling HC'!AD89+'Ethylene Recycling HC'!AD132-'Ethylene Recycling HC'!$C$89-'Ethylene Recycling HC'!$C$132+'Ethylene Recycling HC'!AD86+'Ethylene Recycling HC'!AD129-'Ethylene Recycling HC'!$C$86-'Ethylene Recycling HC'!$C$129)</f>
        <v>537786.36161727633</v>
      </c>
      <c r="AF109" s="528">
        <f>AF23-('Ethylene Recycling HC'!AE89+'Ethylene Recycling HC'!AE132-'Ethylene Recycling HC'!$C$89-'Ethylene Recycling HC'!$C$132+'Ethylene Recycling HC'!AE86+'Ethylene Recycling HC'!AE129-'Ethylene Recycling HC'!$C$86-'Ethylene Recycling HC'!$C$129)</f>
        <v>525026.07521816785</v>
      </c>
      <c r="AG109" s="528">
        <f>AG23-('Ethylene Recycling HC'!AF89+'Ethylene Recycling HC'!AF132-'Ethylene Recycling HC'!$C$89-'Ethylene Recycling HC'!$C$132+'Ethylene Recycling HC'!AF86+'Ethylene Recycling HC'!AF129-'Ethylene Recycling HC'!$C$86-'Ethylene Recycling HC'!$C$129)</f>
        <v>512016.67092204269</v>
      </c>
      <c r="AH109" s="528">
        <f>AH23-('Ethylene Recycling HC'!AG89+'Ethylene Recycling HC'!AG132-'Ethylene Recycling HC'!$C$89-'Ethylene Recycling HC'!$C$132+'Ethylene Recycling HC'!AG86+'Ethylene Recycling HC'!AG129-'Ethylene Recycling HC'!$C$86-'Ethylene Recycling HC'!$C$129)</f>
        <v>498763.61501026188</v>
      </c>
      <c r="AI109" s="39"/>
    </row>
    <row r="110" spans="1:35" s="61" customFormat="1">
      <c r="A110" s="609" t="s">
        <v>609</v>
      </c>
      <c r="B110" s="54" t="s">
        <v>606</v>
      </c>
      <c r="C110" s="55" t="s">
        <v>1420</v>
      </c>
      <c r="D110" s="571">
        <f>D24-('Ethylene Recycling HC'!C130+'Ethylene Recycling HC'!C87-'Ethylene Recycling HC'!$C$130-'Ethylene Recycling HC'!$C$87)</f>
        <v>10824.28882051282</v>
      </c>
      <c r="E110" s="571">
        <f>E24-('Ethylene Recycling HC'!D130+'Ethylene Recycling HC'!D87-'Ethylene Recycling HC'!$C$130-'Ethylene Recycling HC'!$C$87)</f>
        <v>10967.952866115906</v>
      </c>
      <c r="F110" s="571">
        <f>F24-('Ethylene Recycling HC'!E130+'Ethylene Recycling HC'!E87-'Ethylene Recycling HC'!$C$130-'Ethylene Recycling HC'!$C$87)</f>
        <v>11111.593147845912</v>
      </c>
      <c r="G110" s="571">
        <f>G24-('Ethylene Recycling HC'!F130+'Ethylene Recycling HC'!F87-'Ethylene Recycling HC'!$C$130-'Ethylene Recycling HC'!$C$87)</f>
        <v>11254.980181628798</v>
      </c>
      <c r="H110" s="571">
        <f>H24-('Ethylene Recycling HC'!G130+'Ethylene Recycling HC'!G87-'Ethylene Recycling HC'!$C$130-'Ethylene Recycling HC'!$C$87)</f>
        <v>11397.893391270472</v>
      </c>
      <c r="I110" s="571">
        <f>I24-('Ethylene Recycling HC'!H130+'Ethylene Recycling HC'!H87-'Ethylene Recycling HC'!$C$130-'Ethylene Recycling HC'!$C$87)</f>
        <v>11540.121021517753</v>
      </c>
      <c r="J110" s="571">
        <f>J24-('Ethylene Recycling HC'!I130+'Ethylene Recycling HC'!I87-'Ethylene Recycling HC'!$C$130-'Ethylene Recycling HC'!$C$87)</f>
        <v>11681.460051584005</v>
      </c>
      <c r="K110" s="571">
        <f>K24-('Ethylene Recycling HC'!J130+'Ethylene Recycling HC'!J87-'Ethylene Recycling HC'!$C$130-'Ethylene Recycling HC'!$C$87)</f>
        <v>11821.716109135068</v>
      </c>
      <c r="L110" s="571">
        <f>L24-('Ethylene Recycling HC'!K130+'Ethylene Recycling HC'!K87-'Ethylene Recycling HC'!$C$130-'Ethylene Recycling HC'!$C$87)</f>
        <v>11960.703384731107</v>
      </c>
      <c r="M110" s="571">
        <f>M24-('Ethylene Recycling HC'!L130+'Ethylene Recycling HC'!L87-'Ethylene Recycling HC'!$C$130-'Ethylene Recycling HC'!$C$87)</f>
        <v>12098.244546719909</v>
      </c>
      <c r="N110" s="571">
        <f>N24-('Ethylene Recycling HC'!M130+'Ethylene Recycling HC'!M87-'Ethylene Recycling HC'!$C$130-'Ethylene Recycling HC'!$C$87)</f>
        <v>12234.170656577286</v>
      </c>
      <c r="O110" s="571">
        <f>O24-('Ethylene Recycling HC'!N130+'Ethylene Recycling HC'!N87-'Ethylene Recycling HC'!$C$130-'Ethylene Recycling HC'!$C$87)</f>
        <v>12267.669570843391</v>
      </c>
      <c r="P110" s="571">
        <f>P24-('Ethylene Recycling HC'!O130+'Ethylene Recycling HC'!O87-'Ethylene Recycling HC'!$C$130-'Ethylene Recycling HC'!$C$87)</f>
        <v>12296.186417130053</v>
      </c>
      <c r="Q110" s="571">
        <f>Q24-('Ethylene Recycling HC'!P130+'Ethylene Recycling HC'!P87-'Ethylene Recycling HC'!$C$130-'Ethylene Recycling HC'!$C$87)</f>
        <v>12320.356378689428</v>
      </c>
      <c r="R110" s="571">
        <f>R24-('Ethylene Recycling HC'!Q130+'Ethylene Recycling HC'!Q87-'Ethylene Recycling HC'!$C$130-'Ethylene Recycling HC'!$C$87)</f>
        <v>12339.499961406496</v>
      </c>
      <c r="S110" s="571">
        <f>S24-('Ethylene Recycling HC'!R130+'Ethylene Recycling HC'!R87-'Ethylene Recycling HC'!$C$130-'Ethylene Recycling HC'!$C$87)</f>
        <v>12353.50618490578</v>
      </c>
      <c r="T110" s="571">
        <f>T24-('Ethylene Recycling HC'!S130+'Ethylene Recycling HC'!S87-'Ethylene Recycling HC'!$C$130-'Ethylene Recycling HC'!$C$87)</f>
        <v>12362.269612028113</v>
      </c>
      <c r="U110" s="571">
        <f>U24-('Ethylene Recycling HC'!T130+'Ethylene Recycling HC'!T87-'Ethylene Recycling HC'!$C$130-'Ethylene Recycling HC'!$C$87)</f>
        <v>12365.690224316091</v>
      </c>
      <c r="V110" s="571">
        <f>V24-('Ethylene Recycling HC'!U130+'Ethylene Recycling HC'!U87-'Ethylene Recycling HC'!$C$130-'Ethylene Recycling HC'!$C$87)</f>
        <v>12363.673299329728</v>
      </c>
      <c r="W110" s="571">
        <f>W24-('Ethylene Recycling HC'!V130+'Ethylene Recycling HC'!V87-'Ethylene Recycling HC'!$C$130-'Ethylene Recycling HC'!$C$87)</f>
        <v>12356.129289850562</v>
      </c>
      <c r="X110" s="571">
        <f>X24-('Ethylene Recycling HC'!W130+'Ethylene Recycling HC'!W87-'Ethylene Recycling HC'!$C$130-'Ethylene Recycling HC'!$C$87)</f>
        <v>12342.973705033635</v>
      </c>
      <c r="Y110" s="571">
        <f>Y24-('Ethylene Recycling HC'!X130+'Ethylene Recycling HC'!X87-'Ethylene Recycling HC'!$C$130-'Ethylene Recycling HC'!$C$87)</f>
        <v>12055.141569613945</v>
      </c>
      <c r="Z110" s="571">
        <f>Z24-('Ethylene Recycling HC'!Y130+'Ethylene Recycling HC'!Y87-'Ethylene Recycling HC'!$C$130-'Ethylene Recycling HC'!$C$87)</f>
        <v>11757.36179665101</v>
      </c>
      <c r="AA110" s="571">
        <f>AA24-('Ethylene Recycling HC'!Z130+'Ethylene Recycling HC'!Z87-'Ethylene Recycling HC'!$C$130-'Ethylene Recycling HC'!$C$87)</f>
        <v>11455.98248996007</v>
      </c>
      <c r="AB110" s="571">
        <f>AB24-('Ethylene Recycling HC'!AA130+'Ethylene Recycling HC'!AA87-'Ethylene Recycling HC'!$C$130-'Ethylene Recycling HC'!$C$87)</f>
        <v>11146.072587278401</v>
      </c>
      <c r="AC110" s="571">
        <f>AC24-('Ethylene Recycling HC'!AB130+'Ethylene Recycling HC'!AB87-'Ethylene Recycling HC'!$C$130-'Ethylene Recycling HC'!$C$87)</f>
        <v>10827.800988006782</v>
      </c>
      <c r="AD110" s="571">
        <f>AD24-('Ethylene Recycling HC'!AC130+'Ethylene Recycling HC'!AC87-'Ethylene Recycling HC'!$C$130-'Ethylene Recycling HC'!$C$87)</f>
        <v>10501.355173937658</v>
      </c>
      <c r="AE110" s="571">
        <f>AE24-('Ethylene Recycling HC'!AD130+'Ethylene Recycling HC'!AD87-'Ethylene Recycling HC'!$C$130-'Ethylene Recycling HC'!$C$87)</f>
        <v>10166.940980188727</v>
      </c>
      <c r="AF110" s="571">
        <f>AF24-('Ethylene Recycling HC'!AE130+'Ethylene Recycling HC'!AE87-'Ethylene Recycling HC'!$C$130-'Ethylene Recycling HC'!$C$87)</f>
        <v>9824.7823778378879</v>
      </c>
      <c r="AG110" s="571">
        <f>AG24-('Ethylene Recycling HC'!AF130+'Ethylene Recycling HC'!AF87-'Ethylene Recycling HC'!$C$130-'Ethylene Recycling HC'!$C$87)</f>
        <v>9475.1212690582506</v>
      </c>
      <c r="AH110" s="571">
        <f>AH24-('Ethylene Recycling HC'!AG130+'Ethylene Recycling HC'!AG87-'Ethylene Recycling HC'!$C$130-'Ethylene Recycling HC'!$C$87)</f>
        <v>9118.2172955524766</v>
      </c>
      <c r="AI110" s="39"/>
    </row>
    <row r="111" spans="1:35" s="62" customFormat="1">
      <c r="A111" s="610"/>
      <c r="B111" s="58" t="s">
        <v>605</v>
      </c>
      <c r="C111" s="233" t="s">
        <v>1420</v>
      </c>
      <c r="D111" s="528">
        <f>D25-('Ethylene Recycling HC'!C88+'Ethylene Recycling HC'!C131-'Ethylene Recycling HC'!$C$88-'Ethylene Recycling HC'!$C$131)</f>
        <v>0</v>
      </c>
      <c r="E111" s="528">
        <f>E25-('Ethylene Recycling HC'!D88+'Ethylene Recycling HC'!D131-'Ethylene Recycling HC'!$C$88-'Ethylene Recycling HC'!$C$131)</f>
        <v>0</v>
      </c>
      <c r="F111" s="528">
        <f>F25-('Ethylene Recycling HC'!E88+'Ethylene Recycling HC'!E131-'Ethylene Recycling HC'!$C$88-'Ethylene Recycling HC'!$C$131)</f>
        <v>0</v>
      </c>
      <c r="G111" s="528">
        <f>G25-('Ethylene Recycling HC'!F88+'Ethylene Recycling HC'!F131-'Ethylene Recycling HC'!$C$88-'Ethylene Recycling HC'!$C$131)</f>
        <v>0</v>
      </c>
      <c r="H111" s="528">
        <f>H25-('Ethylene Recycling HC'!G88+'Ethylene Recycling HC'!G131-'Ethylene Recycling HC'!$C$88-'Ethylene Recycling HC'!$C$131)</f>
        <v>0</v>
      </c>
      <c r="I111" s="528">
        <f>I25-('Ethylene Recycling HC'!H88+'Ethylene Recycling HC'!H131-'Ethylene Recycling HC'!$C$88-'Ethylene Recycling HC'!$C$131)</f>
        <v>0</v>
      </c>
      <c r="J111" s="528">
        <f>J25-('Ethylene Recycling HC'!I88+'Ethylene Recycling HC'!I131-'Ethylene Recycling HC'!$C$88-'Ethylene Recycling HC'!$C$131)</f>
        <v>0</v>
      </c>
      <c r="K111" s="528">
        <f>K25-('Ethylene Recycling HC'!J88+'Ethylene Recycling HC'!J131-'Ethylene Recycling HC'!$C$88-'Ethylene Recycling HC'!$C$131)</f>
        <v>0</v>
      </c>
      <c r="L111" s="528">
        <f>L25-('Ethylene Recycling HC'!K88+'Ethylene Recycling HC'!K131-'Ethylene Recycling HC'!$C$88-'Ethylene Recycling HC'!$C$131)</f>
        <v>0</v>
      </c>
      <c r="M111" s="528">
        <f>M25-('Ethylene Recycling HC'!L88+'Ethylene Recycling HC'!L131-'Ethylene Recycling HC'!$C$88-'Ethylene Recycling HC'!$C$131)</f>
        <v>0</v>
      </c>
      <c r="N111" s="528">
        <f>N25-('Ethylene Recycling HC'!M88+'Ethylene Recycling HC'!M131-'Ethylene Recycling HC'!$C$88-'Ethylene Recycling HC'!$C$131)</f>
        <v>0</v>
      </c>
      <c r="O111" s="528">
        <f>O25-('Ethylene Recycling HC'!N88+'Ethylene Recycling HC'!N131-'Ethylene Recycling HC'!$C$88-'Ethylene Recycling HC'!$C$131)</f>
        <v>0</v>
      </c>
      <c r="P111" s="528">
        <f>P25-('Ethylene Recycling HC'!O88+'Ethylene Recycling HC'!O131-'Ethylene Recycling HC'!$C$88-'Ethylene Recycling HC'!$C$131)</f>
        <v>0</v>
      </c>
      <c r="Q111" s="528">
        <f>Q25-('Ethylene Recycling HC'!P88+'Ethylene Recycling HC'!P131-'Ethylene Recycling HC'!$C$88-'Ethylene Recycling HC'!$C$131)</f>
        <v>0</v>
      </c>
      <c r="R111" s="528">
        <f>R25-('Ethylene Recycling HC'!Q88+'Ethylene Recycling HC'!Q131-'Ethylene Recycling HC'!$C$88-'Ethylene Recycling HC'!$C$131)</f>
        <v>0</v>
      </c>
      <c r="S111" s="528">
        <f>S25-('Ethylene Recycling HC'!R88+'Ethylene Recycling HC'!R131-'Ethylene Recycling HC'!$C$88-'Ethylene Recycling HC'!$C$131)</f>
        <v>0</v>
      </c>
      <c r="T111" s="528">
        <f>T25-('Ethylene Recycling HC'!S88+'Ethylene Recycling HC'!S131-'Ethylene Recycling HC'!$C$88-'Ethylene Recycling HC'!$C$131)</f>
        <v>0</v>
      </c>
      <c r="U111" s="528">
        <f>U25-('Ethylene Recycling HC'!T88+'Ethylene Recycling HC'!T131-'Ethylene Recycling HC'!$C$88-'Ethylene Recycling HC'!$C$131)</f>
        <v>0</v>
      </c>
      <c r="V111" s="528">
        <f>V25-('Ethylene Recycling HC'!U88+'Ethylene Recycling HC'!U131-'Ethylene Recycling HC'!$C$88-'Ethylene Recycling HC'!$C$131)</f>
        <v>0</v>
      </c>
      <c r="W111" s="528">
        <f>W25-('Ethylene Recycling HC'!V88+'Ethylene Recycling HC'!V131-'Ethylene Recycling HC'!$C$88-'Ethylene Recycling HC'!$C$131)</f>
        <v>0</v>
      </c>
      <c r="X111" s="528">
        <f>X25-('Ethylene Recycling HC'!W88+'Ethylene Recycling HC'!W131-'Ethylene Recycling HC'!$C$88-'Ethylene Recycling HC'!$C$131)</f>
        <v>0</v>
      </c>
      <c r="Y111" s="528">
        <f>Y25-('Ethylene Recycling HC'!X88+'Ethylene Recycling HC'!X131-'Ethylene Recycling HC'!$C$88-'Ethylene Recycling HC'!$C$131)</f>
        <v>0</v>
      </c>
      <c r="Z111" s="528">
        <f>Z25-('Ethylene Recycling HC'!Y88+'Ethylene Recycling HC'!Y131-'Ethylene Recycling HC'!$C$88-'Ethylene Recycling HC'!$C$131)</f>
        <v>0</v>
      </c>
      <c r="AA111" s="528">
        <f>AA25-('Ethylene Recycling HC'!Z88+'Ethylene Recycling HC'!Z131-'Ethylene Recycling HC'!$C$88-'Ethylene Recycling HC'!$C$131)</f>
        <v>0</v>
      </c>
      <c r="AB111" s="528">
        <f>AB25-('Ethylene Recycling HC'!AA88+'Ethylene Recycling HC'!AA131-'Ethylene Recycling HC'!$C$88-'Ethylene Recycling HC'!$C$131)</f>
        <v>0</v>
      </c>
      <c r="AC111" s="528">
        <f>AC25-('Ethylene Recycling HC'!AB88+'Ethylene Recycling HC'!AB131-'Ethylene Recycling HC'!$C$88-'Ethylene Recycling HC'!$C$131)</f>
        <v>0</v>
      </c>
      <c r="AD111" s="528">
        <f>AD25-('Ethylene Recycling HC'!AC88+'Ethylene Recycling HC'!AC131-'Ethylene Recycling HC'!$C$88-'Ethylene Recycling HC'!$C$131)</f>
        <v>0</v>
      </c>
      <c r="AE111" s="528">
        <f>AE25-('Ethylene Recycling HC'!AD88+'Ethylene Recycling HC'!AD131-'Ethylene Recycling HC'!$C$88-'Ethylene Recycling HC'!$C$131)</f>
        <v>0</v>
      </c>
      <c r="AF111" s="528">
        <f>AF25-('Ethylene Recycling HC'!AE88+'Ethylene Recycling HC'!AE131-'Ethylene Recycling HC'!$C$88-'Ethylene Recycling HC'!$C$131)</f>
        <v>0</v>
      </c>
      <c r="AG111" s="528">
        <f>AG25-('Ethylene Recycling HC'!AF88+'Ethylene Recycling HC'!AF131-'Ethylene Recycling HC'!$C$88-'Ethylene Recycling HC'!$C$131)</f>
        <v>0</v>
      </c>
      <c r="AH111" s="528">
        <f>AH25-('Ethylene Recycling HC'!AG88+'Ethylene Recycling HC'!AG131-'Ethylene Recycling HC'!$C$88-'Ethylene Recycling HC'!$C$131)</f>
        <v>0</v>
      </c>
      <c r="AI111" s="39"/>
    </row>
    <row r="112" spans="1:35">
      <c r="A112" s="1" t="s">
        <v>519</v>
      </c>
      <c r="B112" s="1" t="s">
        <v>200</v>
      </c>
      <c r="C112" s="60" t="s">
        <v>1420</v>
      </c>
      <c r="D112" s="574">
        <f t="shared" ref="D112:AH112" si="35">D55</f>
        <v>29305.030176899061</v>
      </c>
      <c r="E112" s="574">
        <f t="shared" si="35"/>
        <v>28201.615238385984</v>
      </c>
      <c r="F112" s="574">
        <f t="shared" si="35"/>
        <v>27112.154753885909</v>
      </c>
      <c r="G112" s="574">
        <f t="shared" si="35"/>
        <v>26036.507827484405</v>
      </c>
      <c r="H112" s="574">
        <f t="shared" si="35"/>
        <v>24974.534849266973</v>
      </c>
      <c r="I112" s="574">
        <f t="shared" si="35"/>
        <v>23926.097484238224</v>
      </c>
      <c r="J112" s="574">
        <f t="shared" si="35"/>
        <v>22891.058661333056</v>
      </c>
      <c r="K112" s="574">
        <f t="shared" si="35"/>
        <v>21869.282562519082</v>
      </c>
      <c r="L112" s="574">
        <f t="shared" si="35"/>
        <v>20860.634611989513</v>
      </c>
      <c r="M112" s="574">
        <f t="shared" si="35"/>
        <v>19864.981465445875</v>
      </c>
      <c r="N112" s="574">
        <f t="shared" si="35"/>
        <v>18882.190999469702</v>
      </c>
      <c r="O112" s="574">
        <f t="shared" si="35"/>
        <v>18159.065195906027</v>
      </c>
      <c r="P112" s="574">
        <f t="shared" si="35"/>
        <v>17445.100159263213</v>
      </c>
      <c r="Q112" s="574">
        <f t="shared" si="35"/>
        <v>16740.20333452792</v>
      </c>
      <c r="R112" s="574">
        <f t="shared" si="35"/>
        <v>16044.283011754085</v>
      </c>
      <c r="S112" s="574">
        <f t="shared" si="35"/>
        <v>15357.248318779875</v>
      </c>
      <c r="T112" s="574">
        <f t="shared" si="35"/>
        <v>14679.009214005091</v>
      </c>
      <c r="U112" s="574">
        <f t="shared" si="35"/>
        <v>14009.476479228564</v>
      </c>
      <c r="V112" s="574">
        <f t="shared" si="35"/>
        <v>13348.561712545019</v>
      </c>
      <c r="W112" s="574">
        <f t="shared" si="35"/>
        <v>12696.177321300984</v>
      </c>
      <c r="X112" s="574">
        <f t="shared" si="35"/>
        <v>12052.236515109187</v>
      </c>
      <c r="Y112" s="574">
        <f t="shared" si="35"/>
        <v>11302.790400328102</v>
      </c>
      <c r="Z112" s="574">
        <f t="shared" si="35"/>
        <v>10563.203476414372</v>
      </c>
      <c r="AA112" s="574">
        <f t="shared" si="35"/>
        <v>9833.3747329854996</v>
      </c>
      <c r="AB112" s="574">
        <f t="shared" si="35"/>
        <v>9113.20408865016</v>
      </c>
      <c r="AC112" s="574">
        <f t="shared" si="35"/>
        <v>8402.5923829660951</v>
      </c>
      <c r="AD112" s="574">
        <f t="shared" si="35"/>
        <v>7701.441368464988</v>
      </c>
      <c r="AE112" s="574">
        <f t="shared" si="35"/>
        <v>7009.6537027437898</v>
      </c>
      <c r="AF112" s="574">
        <f t="shared" si="35"/>
        <v>6327.1329406218911</v>
      </c>
      <c r="AG112" s="574">
        <f t="shared" si="35"/>
        <v>5653.7835263636862</v>
      </c>
      <c r="AH112" s="574">
        <f t="shared" si="35"/>
        <v>4989.510785965942</v>
      </c>
    </row>
    <row r="113" spans="1:36" outlineLevel="1">
      <c r="A113"/>
      <c r="B113" t="s">
        <v>266</v>
      </c>
      <c r="C113" s="50" t="s">
        <v>1420</v>
      </c>
      <c r="D113" s="183">
        <f>'Ethylene Recycling HC'!C173-'Ethylene Recycling HC'!$C$173</f>
        <v>0</v>
      </c>
      <c r="E113" s="183">
        <f>'Ethylene Recycling HC'!D173-'Ethylene Recycling HC'!$C$173</f>
        <v>107.93123811254998</v>
      </c>
      <c r="F113" s="183">
        <f>'Ethylene Recycling HC'!E173-'Ethylene Recycling HC'!$C$173</f>
        <v>246.15536418239407</v>
      </c>
      <c r="G113" s="183">
        <f>'Ethylene Recycling HC'!F173-'Ethylene Recycling HC'!$C$173</f>
        <v>414.47017878823044</v>
      </c>
      <c r="H113" s="183">
        <f>'Ethylene Recycling HC'!G173-'Ethylene Recycling HC'!$C$173</f>
        <v>612.67437757178368</v>
      </c>
      <c r="I113" s="183">
        <f>'Ethylene Recycling HC'!H173-'Ethylene Recycling HC'!$C$173</f>
        <v>840.56754794033486</v>
      </c>
      <c r="J113" s="183">
        <f>'Ethylene Recycling HC'!I173-'Ethylene Recycling HC'!$C$173</f>
        <v>1064.0235056575727</v>
      </c>
      <c r="K113" s="183">
        <f>'Ethylene Recycling HC'!J173-'Ethylene Recycling HC'!$C$173</f>
        <v>1299.0538541841959</v>
      </c>
      <c r="L113" s="183">
        <f>'Ethylene Recycling HC'!K173-'Ethylene Recycling HC'!$C$173</f>
        <v>1542.7639106661261</v>
      </c>
      <c r="M113" s="183">
        <f>'Ethylene Recycling HC'!L173-'Ethylene Recycling HC'!$C$173</f>
        <v>1792.2842050901895</v>
      </c>
      <c r="N113" s="183">
        <f>'Ethylene Recycling HC'!M173-'Ethylene Recycling HC'!$C$173</f>
        <v>2044.7703417852506</v>
      </c>
      <c r="O113" s="183">
        <f>'Ethylene Recycling HC'!N173-'Ethylene Recycling HC'!$C$173</f>
        <v>2228.8624081464818</v>
      </c>
      <c r="P113" s="183">
        <f>'Ethylene Recycling HC'!O173-'Ethylene Recycling HC'!$C$173</f>
        <v>2408.0566041809666</v>
      </c>
      <c r="Q113" s="183">
        <f>'Ethylene Recycling HC'!P173-'Ethylene Recycling HC'!$C$173</f>
        <v>2580.5124069527396</v>
      </c>
      <c r="R113" s="183">
        <f>'Ethylene Recycling HC'!Q173-'Ethylene Recycling HC'!$C$173</f>
        <v>2744.4056811387513</v>
      </c>
      <c r="S113" s="183">
        <f>'Ethylene Recycling HC'!R173-'Ethylene Recycling HC'!$C$173</f>
        <v>2897.9285883452139</v>
      </c>
      <c r="T113" s="183">
        <f>'Ethylene Recycling HC'!S173-'Ethylene Recycling HC'!$C$173</f>
        <v>3081.1885036739882</v>
      </c>
      <c r="U113" s="183">
        <f>'Ethylene Recycling HC'!T173-'Ethylene Recycling HC'!$C$173</f>
        <v>3258.3120248214896</v>
      </c>
      <c r="V113" s="183">
        <f>'Ethylene Recycling HC'!U173-'Ethylene Recycling HC'!$C$173</f>
        <v>3428.0321187722752</v>
      </c>
      <c r="W113" s="183">
        <f>'Ethylene Recycling HC'!V173-'Ethylene Recycling HC'!$C$173</f>
        <v>3589.0931122665816</v>
      </c>
      <c r="X113" s="183">
        <f>'Ethylene Recycling HC'!W173-'Ethylene Recycling HC'!$C$173</f>
        <v>3740.2506287984488</v>
      </c>
      <c r="Y113" s="183">
        <f>'Ethylene Recycling HC'!X173-'Ethylene Recycling HC'!$C$173</f>
        <v>3960.8833591073303</v>
      </c>
      <c r="Z113" s="183">
        <f>'Ethylene Recycling HC'!Y173-'Ethylene Recycling HC'!$C$173</f>
        <v>4168.267678501401</v>
      </c>
      <c r="AA113" s="183">
        <f>'Ethylene Recycling HC'!Z173-'Ethylene Recycling HC'!$C$173</f>
        <v>4360.5034070545144</v>
      </c>
      <c r="AB113" s="183">
        <f>'Ethylene Recycling HC'!AA173-'Ethylene Recycling HC'!$C$173</f>
        <v>4535.707521802241</v>
      </c>
      <c r="AC113" s="183">
        <f>'Ethylene Recycling HC'!AB173-'Ethylene Recycling HC'!$C$173</f>
        <v>4692.0140613675258</v>
      </c>
      <c r="AD113" s="183">
        <f>'Ethylene Recycling HC'!AC173-'Ethylene Recycling HC'!$C$173</f>
        <v>4779.4266836251854</v>
      </c>
      <c r="AE113" s="183">
        <f>'Ethylene Recycling HC'!AD173-'Ethylene Recycling HC'!$C$173</f>
        <v>4837.0038461130553</v>
      </c>
      <c r="AF113" s="183">
        <f>'Ethylene Recycling HC'!AE173-'Ethylene Recycling HC'!$C$173</f>
        <v>4862.5737933114024</v>
      </c>
      <c r="AG113" s="183">
        <f>'Ethylene Recycling HC'!AF173-'Ethylene Recycling HC'!$C$173</f>
        <v>4853.9848154769061</v>
      </c>
      <c r="AH113" s="183">
        <f>'Ethylene Recycling HC'!AG173-'Ethylene Recycling HC'!$C$173</f>
        <v>4809.1051364171144</v>
      </c>
    </row>
    <row r="114" spans="1:36" outlineLevel="1">
      <c r="A114"/>
      <c r="B114" t="s">
        <v>268</v>
      </c>
      <c r="C114" s="50" t="s">
        <v>1420</v>
      </c>
      <c r="D114" s="183">
        <f>'Ethylene Recycling HC'!C78-'Ethylene Recycling HC'!$C$78</f>
        <v>0</v>
      </c>
      <c r="E114" s="183">
        <f>'Ethylene Recycling HC'!D78-'Ethylene Recycling HC'!$C$78</f>
        <v>465.9635396340891</v>
      </c>
      <c r="F114" s="183">
        <f>'Ethylene Recycling HC'!E78-'Ethylene Recycling HC'!$C$78</f>
        <v>837.36255650932435</v>
      </c>
      <c r="G114" s="183">
        <f>'Ethylene Recycling HC'!F78-'Ethylene Recycling HC'!$C$78</f>
        <v>1116.9534206284297</v>
      </c>
      <c r="H114" s="183">
        <f>'Ethylene Recycling HC'!G78-'Ethylene Recycling HC'!$C$78</f>
        <v>1307.5239583985676</v>
      </c>
      <c r="I114" s="183">
        <f>'Ethylene Recycling HC'!H78-'Ethylene Recycling HC'!$C$78</f>
        <v>1411.8929812075148</v>
      </c>
      <c r="J114" s="183">
        <f>'Ethylene Recycling HC'!I78-'Ethylene Recycling HC'!$C$78</f>
        <v>1432.9098173848906</v>
      </c>
      <c r="K114" s="183">
        <f>'Ethylene Recycling HC'!J78-'Ethylene Recycling HC'!$C$78</f>
        <v>1373.4538475306617</v>
      </c>
      <c r="L114" s="183">
        <f>'Ethylene Recycling HC'!K78-'Ethylene Recycling HC'!$C$78</f>
        <v>1236.4340431925666</v>
      </c>
      <c r="M114" s="183">
        <f>'Ethylene Recycling HC'!L78-'Ethylene Recycling HC'!$C$78</f>
        <v>1024.7885088747789</v>
      </c>
      <c r="N114" s="183">
        <f>'Ethylene Recycling HC'!M78-'Ethylene Recycling HC'!$C$78</f>
        <v>741.48402735986019</v>
      </c>
      <c r="O114" s="183">
        <f>'Ethylene Recycling HC'!N78-'Ethylene Recycling HC'!$C$78</f>
        <v>-886.67399967172241</v>
      </c>
      <c r="P114" s="183">
        <f>'Ethylene Recycling HC'!O78-'Ethylene Recycling HC'!$C$78</f>
        <v>-2322.8747788071341</v>
      </c>
      <c r="Q114" s="183">
        <f>'Ethylene Recycling HC'!P78-'Ethylene Recycling HC'!$C$78</f>
        <v>-3872.3562585738473</v>
      </c>
      <c r="R114" s="183">
        <f>'Ethylene Recycling HC'!Q78-'Ethylene Recycling HC'!$C$78</f>
        <v>-5393.5793386621153</v>
      </c>
      <c r="S114" s="183">
        <f>'Ethylene Recycling HC'!R78-'Ethylene Recycling HC'!$C$78</f>
        <v>-6885.6599941117493</v>
      </c>
      <c r="T114" s="183">
        <f>'Ethylene Recycling HC'!S78-'Ethylene Recycling HC'!$C$78</f>
        <v>-8347.7126892896158</v>
      </c>
      <c r="U114" s="183">
        <f>'Ethylene Recycling HC'!T78-'Ethylene Recycling HC'!$C$78</f>
        <v>-9778.8504405040003</v>
      </c>
      <c r="V114" s="183">
        <f>'Ethylene Recycling HC'!U78-'Ethylene Recycling HC'!$C$78</f>
        <v>-11178.184878099841</v>
      </c>
      <c r="W114" s="183">
        <f>'Ethylene Recycling HC'!V78-'Ethylene Recycling HC'!$C$78</f>
        <v>-12544.826308037686</v>
      </c>
      <c r="X114" s="183">
        <f>'Ethylene Recycling HC'!W78-'Ethylene Recycling HC'!$C$78</f>
        <v>-13877.8837729595</v>
      </c>
      <c r="Y114" s="183">
        <f>'Ethylene Recycling HC'!X78-'Ethylene Recycling HC'!$C$78</f>
        <v>-14958.983829111039</v>
      </c>
      <c r="Z114" s="183">
        <f>'Ethylene Recycling HC'!Y78-'Ethylene Recycling HC'!$C$78</f>
        <v>-16006.4562866497</v>
      </c>
      <c r="AA114" s="183">
        <f>'Ethylene Recycling HC'!Z78-'Ethylene Recycling HC'!$C$78</f>
        <v>-17029.74309646065</v>
      </c>
      <c r="AB114" s="183">
        <f>'Ethylene Recycling HC'!AA78-'Ethylene Recycling HC'!$C$78</f>
        <v>-18028.172769006229</v>
      </c>
      <c r="AC114" s="183">
        <f>'Ethylene Recycling HC'!AB78-'Ethylene Recycling HC'!$C$78</f>
        <v>-19001.072879941123</v>
      </c>
      <c r="AD114" s="183">
        <f>'Ethylene Recycling HC'!AC78-'Ethylene Recycling HC'!$C$78</f>
        <v>-19947.770115633502</v>
      </c>
      <c r="AE114" s="183">
        <f>'Ethylene Recycling HC'!AD78-'Ethylene Recycling HC'!$C$78</f>
        <v>-20867.590318304297</v>
      </c>
      <c r="AF114" s="183">
        <f>'Ethylene Recycling HC'!AE78-'Ethylene Recycling HC'!$C$78</f>
        <v>-21759.858530786805</v>
      </c>
      <c r="AG114" s="183">
        <f>'Ethylene Recycling HC'!AF78-'Ethylene Recycling HC'!$C$78</f>
        <v>-22623.899040908796</v>
      </c>
      <c r="AH114" s="183">
        <f>'Ethylene Recycling HC'!AG78-'Ethylene Recycling HC'!$C$78</f>
        <v>-23459.035425499307</v>
      </c>
      <c r="AJ114" s="182"/>
    </row>
    <row r="115" spans="1:36" s="62" customFormat="1">
      <c r="A115" s="58"/>
      <c r="B115" s="58" t="s">
        <v>267</v>
      </c>
      <c r="C115" s="59" t="s">
        <v>1420</v>
      </c>
      <c r="D115" s="577">
        <f>D112-D113-D114</f>
        <v>29305.030176899061</v>
      </c>
      <c r="E115" s="577">
        <f t="shared" ref="E115:AG115" si="36">E112-E113-E114</f>
        <v>27627.720460639346</v>
      </c>
      <c r="F115" s="577">
        <f t="shared" si="36"/>
        <v>26028.636833194189</v>
      </c>
      <c r="G115" s="577">
        <f t="shared" si="36"/>
        <v>24505.084228067746</v>
      </c>
      <c r="H115" s="577">
        <f t="shared" si="36"/>
        <v>23054.336513296621</v>
      </c>
      <c r="I115" s="577">
        <f t="shared" si="36"/>
        <v>21673.636955090373</v>
      </c>
      <c r="J115" s="577">
        <f t="shared" si="36"/>
        <v>20394.125338290592</v>
      </c>
      <c r="K115" s="577">
        <f t="shared" si="36"/>
        <v>19196.774860804224</v>
      </c>
      <c r="L115" s="577">
        <f t="shared" si="36"/>
        <v>18081.43665813082</v>
      </c>
      <c r="M115" s="577">
        <f t="shared" si="36"/>
        <v>17047.908751480907</v>
      </c>
      <c r="N115" s="577">
        <f t="shared" si="36"/>
        <v>16095.936630324592</v>
      </c>
      <c r="O115" s="577">
        <f t="shared" si="36"/>
        <v>16816.876787431269</v>
      </c>
      <c r="P115" s="577">
        <f t="shared" si="36"/>
        <v>17359.918333889378</v>
      </c>
      <c r="Q115" s="577">
        <f t="shared" si="36"/>
        <v>18032.04718614903</v>
      </c>
      <c r="R115" s="577">
        <f t="shared" si="36"/>
        <v>18693.45666927745</v>
      </c>
      <c r="S115" s="577">
        <f t="shared" si="36"/>
        <v>19344.979724546411</v>
      </c>
      <c r="T115" s="577">
        <f t="shared" si="36"/>
        <v>19945.533399620719</v>
      </c>
      <c r="U115" s="577">
        <f t="shared" si="36"/>
        <v>20530.014894911073</v>
      </c>
      <c r="V115" s="577">
        <f t="shared" si="36"/>
        <v>21098.714471872583</v>
      </c>
      <c r="W115" s="577">
        <f t="shared" si="36"/>
        <v>21651.910517072087</v>
      </c>
      <c r="X115" s="577">
        <f t="shared" si="36"/>
        <v>22189.86965927024</v>
      </c>
      <c r="Y115" s="577">
        <f t="shared" si="36"/>
        <v>22300.890870331808</v>
      </c>
      <c r="Z115" s="577">
        <f t="shared" si="36"/>
        <v>22401.392084562671</v>
      </c>
      <c r="AA115" s="577">
        <f t="shared" si="36"/>
        <v>22502.614422391634</v>
      </c>
      <c r="AB115" s="577">
        <f t="shared" si="36"/>
        <v>22605.669335854149</v>
      </c>
      <c r="AC115" s="577">
        <f t="shared" si="36"/>
        <v>22711.651201539691</v>
      </c>
      <c r="AD115" s="577">
        <f t="shared" si="36"/>
        <v>22869.784800473306</v>
      </c>
      <c r="AE115" s="577">
        <f t="shared" si="36"/>
        <v>23040.240174935032</v>
      </c>
      <c r="AF115" s="577">
        <f t="shared" si="36"/>
        <v>23224.417678097292</v>
      </c>
      <c r="AG115" s="577">
        <f t="shared" si="36"/>
        <v>23423.697751795575</v>
      </c>
      <c r="AH115" s="577">
        <f>AH112-AH113-AH114</f>
        <v>23639.441075048133</v>
      </c>
      <c r="AI115" s="381"/>
    </row>
    <row r="116" spans="1:36" s="61" customFormat="1">
      <c r="A116" s="606" t="s">
        <v>608</v>
      </c>
      <c r="B116" s="54" t="s">
        <v>141</v>
      </c>
      <c r="C116" s="55" t="s">
        <v>1420</v>
      </c>
      <c r="D116" s="571">
        <f>D56-('Ethylene Recycling HC'!C79+'Ethylene Recycling HC'!C174-'Ethylene Recycling HC'!$C$79-'Ethylene Recycling HC'!$C$174)</f>
        <v>0</v>
      </c>
      <c r="E116" s="571">
        <f>E56-('Ethylene Recycling HC'!D79+'Ethylene Recycling HC'!D174-'Ethylene Recycling HC'!$C$79-'Ethylene Recycling HC'!$C$174)</f>
        <v>0</v>
      </c>
      <c r="F116" s="571">
        <f>F56-('Ethylene Recycling HC'!E79+'Ethylene Recycling HC'!E174-'Ethylene Recycling HC'!$C$79-'Ethylene Recycling HC'!$C$174)</f>
        <v>0</v>
      </c>
      <c r="G116" s="571">
        <f>G56-('Ethylene Recycling HC'!F79+'Ethylene Recycling HC'!F174-'Ethylene Recycling HC'!$C$79-'Ethylene Recycling HC'!$C$174)</f>
        <v>0</v>
      </c>
      <c r="H116" s="571">
        <f>H56-('Ethylene Recycling HC'!G79+'Ethylene Recycling HC'!G174-'Ethylene Recycling HC'!$C$79-'Ethylene Recycling HC'!$C$174)</f>
        <v>0</v>
      </c>
      <c r="I116" s="571">
        <f>I56-('Ethylene Recycling HC'!H79+'Ethylene Recycling HC'!H174-'Ethylene Recycling HC'!$C$79-'Ethylene Recycling HC'!$C$174)</f>
        <v>0</v>
      </c>
      <c r="J116" s="571">
        <f>J56-('Ethylene Recycling HC'!I79+'Ethylene Recycling HC'!I174-'Ethylene Recycling HC'!$C$79-'Ethylene Recycling HC'!$C$174)</f>
        <v>0</v>
      </c>
      <c r="K116" s="571">
        <f>K56-('Ethylene Recycling HC'!J79+'Ethylene Recycling HC'!J174-'Ethylene Recycling HC'!$C$79-'Ethylene Recycling HC'!$C$174)</f>
        <v>0</v>
      </c>
      <c r="L116" s="571">
        <f>L56-('Ethylene Recycling HC'!K79+'Ethylene Recycling HC'!K174-'Ethylene Recycling HC'!$C$79-'Ethylene Recycling HC'!$C$174)</f>
        <v>0</v>
      </c>
      <c r="M116" s="571">
        <f>M56-('Ethylene Recycling HC'!L79+'Ethylene Recycling HC'!L174-'Ethylene Recycling HC'!$C$79-'Ethylene Recycling HC'!$C$174)</f>
        <v>0</v>
      </c>
      <c r="N116" s="571">
        <f>N56-('Ethylene Recycling HC'!M79+'Ethylene Recycling HC'!M174-'Ethylene Recycling HC'!$C$79-'Ethylene Recycling HC'!$C$174)</f>
        <v>0</v>
      </c>
      <c r="O116" s="571">
        <f>O56-('Ethylene Recycling HC'!N79+'Ethylene Recycling HC'!N174-'Ethylene Recycling HC'!$C$79-'Ethylene Recycling HC'!$C$174)</f>
        <v>0</v>
      </c>
      <c r="P116" s="571">
        <f>P56-('Ethylene Recycling HC'!O79+'Ethylene Recycling HC'!O174-'Ethylene Recycling HC'!$C$79-'Ethylene Recycling HC'!$C$174)</f>
        <v>0</v>
      </c>
      <c r="Q116" s="571">
        <f>Q56-('Ethylene Recycling HC'!P79+'Ethylene Recycling HC'!P174-'Ethylene Recycling HC'!$C$79-'Ethylene Recycling HC'!$C$174)</f>
        <v>0</v>
      </c>
      <c r="R116" s="571">
        <f>R56-('Ethylene Recycling HC'!Q79+'Ethylene Recycling HC'!Q174-'Ethylene Recycling HC'!$C$79-'Ethylene Recycling HC'!$C$174)</f>
        <v>0</v>
      </c>
      <c r="S116" s="571">
        <f>S56-('Ethylene Recycling HC'!R79+'Ethylene Recycling HC'!R174-'Ethylene Recycling HC'!$C$79-'Ethylene Recycling HC'!$C$174)</f>
        <v>0</v>
      </c>
      <c r="T116" s="571">
        <f>T56-('Ethylene Recycling HC'!S79+'Ethylene Recycling HC'!S174-'Ethylene Recycling HC'!$C$79-'Ethylene Recycling HC'!$C$174)</f>
        <v>0</v>
      </c>
      <c r="U116" s="571">
        <f>U56-('Ethylene Recycling HC'!T79+'Ethylene Recycling HC'!T174-'Ethylene Recycling HC'!$C$79-'Ethylene Recycling HC'!$C$174)</f>
        <v>0</v>
      </c>
      <c r="V116" s="571">
        <f>V56-('Ethylene Recycling HC'!U79+'Ethylene Recycling HC'!U174-'Ethylene Recycling HC'!$C$79-'Ethylene Recycling HC'!$C$174)</f>
        <v>0</v>
      </c>
      <c r="W116" s="571">
        <f>W56-('Ethylene Recycling HC'!V79+'Ethylene Recycling HC'!V174-'Ethylene Recycling HC'!$C$79-'Ethylene Recycling HC'!$C$174)</f>
        <v>0</v>
      </c>
      <c r="X116" s="571">
        <f>X56-('Ethylene Recycling HC'!W79+'Ethylene Recycling HC'!W174-'Ethylene Recycling HC'!$C$79-'Ethylene Recycling HC'!$C$174)</f>
        <v>0</v>
      </c>
      <c r="Y116" s="571">
        <f>Y56-('Ethylene Recycling HC'!X79+'Ethylene Recycling HC'!X174-'Ethylene Recycling HC'!$C$79-'Ethylene Recycling HC'!$C$174)</f>
        <v>0</v>
      </c>
      <c r="Z116" s="571">
        <f>Z56-('Ethylene Recycling HC'!Y79+'Ethylene Recycling HC'!Y174-'Ethylene Recycling HC'!$C$79-'Ethylene Recycling HC'!$C$174)</f>
        <v>0</v>
      </c>
      <c r="AA116" s="571">
        <f>AA56-('Ethylene Recycling HC'!Z79+'Ethylene Recycling HC'!Z174-'Ethylene Recycling HC'!$C$79-'Ethylene Recycling HC'!$C$174)</f>
        <v>0</v>
      </c>
      <c r="AB116" s="571">
        <f>AB56-('Ethylene Recycling HC'!AA79+'Ethylene Recycling HC'!AA174-'Ethylene Recycling HC'!$C$79-'Ethylene Recycling HC'!$C$174)</f>
        <v>0</v>
      </c>
      <c r="AC116" s="571">
        <f>AC56-('Ethylene Recycling HC'!AB79+'Ethylene Recycling HC'!AB174-'Ethylene Recycling HC'!$C$79-'Ethylene Recycling HC'!$C$174)</f>
        <v>0</v>
      </c>
      <c r="AD116" s="571">
        <f>AD56-('Ethylene Recycling HC'!AC79+'Ethylene Recycling HC'!AC174-'Ethylene Recycling HC'!$C$79-'Ethylene Recycling HC'!$C$174)</f>
        <v>0</v>
      </c>
      <c r="AE116" s="571">
        <f>AE56-('Ethylene Recycling HC'!AD79+'Ethylene Recycling HC'!AD174-'Ethylene Recycling HC'!$C$79-'Ethylene Recycling HC'!$C$174)</f>
        <v>0</v>
      </c>
      <c r="AF116" s="571">
        <f>AF56-('Ethylene Recycling HC'!AE79+'Ethylene Recycling HC'!AE174-'Ethylene Recycling HC'!$C$79-'Ethylene Recycling HC'!$C$174)</f>
        <v>0</v>
      </c>
      <c r="AG116" s="571">
        <f>AG56-('Ethylene Recycling HC'!AF79+'Ethylene Recycling HC'!AF174-'Ethylene Recycling HC'!$C$79-'Ethylene Recycling HC'!$C$174)</f>
        <v>0</v>
      </c>
      <c r="AH116" s="571">
        <f>AH56-('Ethylene Recycling HC'!AG79+'Ethylene Recycling HC'!AG174-'Ethylene Recycling HC'!$C$79-'Ethylene Recycling HC'!$C$174)</f>
        <v>0</v>
      </c>
      <c r="AI116" s="381"/>
    </row>
    <row r="117" spans="1:36">
      <c r="A117" s="607"/>
      <c r="B117" s="1" t="s">
        <v>18</v>
      </c>
      <c r="C117" s="50" t="s">
        <v>1420</v>
      </c>
      <c r="D117" s="183">
        <f>D57+(D121-D61)</f>
        <v>29305.030176899061</v>
      </c>
      <c r="E117" s="183">
        <f t="shared" ref="E117:AH117" si="37">E57+(E121-E61)</f>
        <v>27732.054061091741</v>
      </c>
      <c r="F117" s="183">
        <f t="shared" si="37"/>
        <v>26258.382160321191</v>
      </c>
      <c r="G117" s="183">
        <f t="shared" si="37"/>
        <v>24878.108198595219</v>
      </c>
      <c r="H117" s="183">
        <f t="shared" si="37"/>
        <v>23585.322569573946</v>
      </c>
      <c r="I117" s="183">
        <f t="shared" si="37"/>
        <v>22374.112648288097</v>
      </c>
      <c r="J117" s="183">
        <f t="shared" si="37"/>
        <v>21245.348299702713</v>
      </c>
      <c r="K117" s="183">
        <f t="shared" si="37"/>
        <v>20192.722069954616</v>
      </c>
      <c r="L117" s="183">
        <f t="shared" si="37"/>
        <v>19212.804895566838</v>
      </c>
      <c r="M117" s="183">
        <f t="shared" si="37"/>
        <v>18302.518198084428</v>
      </c>
      <c r="N117" s="183">
        <f t="shared" si="37"/>
        <v>17459.130172231493</v>
      </c>
      <c r="O117" s="183">
        <f t="shared" si="37"/>
        <v>18228.505609919412</v>
      </c>
      <c r="P117" s="183">
        <f t="shared" si="37"/>
        <v>18804.77111180361</v>
      </c>
      <c r="Q117" s="183">
        <f t="shared" si="37"/>
        <v>19494.359393223029</v>
      </c>
      <c r="R117" s="183">
        <f t="shared" si="37"/>
        <v>20157.164716607833</v>
      </c>
      <c r="S117" s="183">
        <f t="shared" si="37"/>
        <v>20793.972322508595</v>
      </c>
      <c r="T117" s="183">
        <f t="shared" si="37"/>
        <v>21383.453467918214</v>
      </c>
      <c r="U117" s="183">
        <f t="shared" si="37"/>
        <v>21941.986172436289</v>
      </c>
      <c r="V117" s="183">
        <f t="shared" si="37"/>
        <v>22469.967496893176</v>
      </c>
      <c r="W117" s="183">
        <f t="shared" si="37"/>
        <v>22967.955727050645</v>
      </c>
      <c r="X117" s="183">
        <f t="shared" si="37"/>
        <v>23436.66857642688</v>
      </c>
      <c r="Y117" s="183">
        <f t="shared" si="37"/>
        <v>23489.210037857119</v>
      </c>
      <c r="Z117" s="183">
        <f t="shared" si="37"/>
        <v>23512.989841731196</v>
      </c>
      <c r="AA117" s="183">
        <f t="shared" si="37"/>
        <v>23520.130519917166</v>
      </c>
      <c r="AB117" s="183">
        <f t="shared" si="37"/>
        <v>23512.881719924637</v>
      </c>
      <c r="AC117" s="183">
        <f t="shared" si="37"/>
        <v>23493.729922517115</v>
      </c>
      <c r="AD117" s="183">
        <f t="shared" si="37"/>
        <v>23507.122603970638</v>
      </c>
      <c r="AE117" s="183">
        <f t="shared" si="37"/>
        <v>23524.02559613809</v>
      </c>
      <c r="AF117" s="183">
        <f t="shared" si="37"/>
        <v>23548.677916593067</v>
      </c>
      <c r="AG117" s="183">
        <f t="shared" si="37"/>
        <v>23585.588901889576</v>
      </c>
      <c r="AH117" s="183">
        <f t="shared" si="37"/>
        <v>23639.535015182053</v>
      </c>
      <c r="AI117" s="381"/>
    </row>
    <row r="118" spans="1:36">
      <c r="A118" s="607"/>
      <c r="B118" s="1" t="s">
        <v>607</v>
      </c>
      <c r="C118" s="50" t="s">
        <v>1420</v>
      </c>
      <c r="D118" s="183">
        <f>D58+(D120-D60)</f>
        <v>0</v>
      </c>
      <c r="E118" s="183">
        <f t="shared" ref="E118:AH118" si="38">E58+(E120-E60)</f>
        <v>0</v>
      </c>
      <c r="F118" s="183">
        <f t="shared" si="38"/>
        <v>0</v>
      </c>
      <c r="G118" s="183">
        <f t="shared" si="38"/>
        <v>0</v>
      </c>
      <c r="H118" s="183">
        <f t="shared" si="38"/>
        <v>0</v>
      </c>
      <c r="I118" s="183">
        <f t="shared" si="38"/>
        <v>0</v>
      </c>
      <c r="J118" s="183">
        <f t="shared" si="38"/>
        <v>0</v>
      </c>
      <c r="K118" s="183">
        <f t="shared" si="38"/>
        <v>0</v>
      </c>
      <c r="L118" s="183">
        <f t="shared" si="38"/>
        <v>0</v>
      </c>
      <c r="M118" s="183">
        <f t="shared" si="38"/>
        <v>0</v>
      </c>
      <c r="N118" s="183">
        <f t="shared" si="38"/>
        <v>0</v>
      </c>
      <c r="O118" s="183">
        <f t="shared" si="38"/>
        <v>0</v>
      </c>
      <c r="P118" s="183">
        <f t="shared" si="38"/>
        <v>0</v>
      </c>
      <c r="Q118" s="183">
        <f t="shared" si="38"/>
        <v>0</v>
      </c>
      <c r="R118" s="183">
        <f t="shared" si="38"/>
        <v>0</v>
      </c>
      <c r="S118" s="183">
        <f t="shared" si="38"/>
        <v>0</v>
      </c>
      <c r="T118" s="183">
        <f t="shared" si="38"/>
        <v>0</v>
      </c>
      <c r="U118" s="183">
        <f t="shared" si="38"/>
        <v>0</v>
      </c>
      <c r="V118" s="183">
        <f t="shared" si="38"/>
        <v>0</v>
      </c>
      <c r="W118" s="183">
        <f t="shared" si="38"/>
        <v>0</v>
      </c>
      <c r="X118" s="183">
        <f t="shared" si="38"/>
        <v>0</v>
      </c>
      <c r="Y118" s="183">
        <f t="shared" si="38"/>
        <v>0</v>
      </c>
      <c r="Z118" s="183">
        <f t="shared" si="38"/>
        <v>0</v>
      </c>
      <c r="AA118" s="183">
        <f t="shared" si="38"/>
        <v>0</v>
      </c>
      <c r="AB118" s="183">
        <f t="shared" si="38"/>
        <v>0</v>
      </c>
      <c r="AC118" s="183">
        <f t="shared" si="38"/>
        <v>0</v>
      </c>
      <c r="AD118" s="183">
        <f t="shared" si="38"/>
        <v>0</v>
      </c>
      <c r="AE118" s="183">
        <f t="shared" si="38"/>
        <v>0</v>
      </c>
      <c r="AF118" s="183">
        <f t="shared" si="38"/>
        <v>0</v>
      </c>
      <c r="AG118" s="183">
        <f t="shared" si="38"/>
        <v>0</v>
      </c>
      <c r="AH118" s="183">
        <f t="shared" si="38"/>
        <v>0</v>
      </c>
      <c r="AI118" s="381"/>
    </row>
    <row r="119" spans="1:36">
      <c r="A119" s="608"/>
      <c r="B119" s="1" t="s">
        <v>27</v>
      </c>
      <c r="C119" s="50" t="s">
        <v>1420</v>
      </c>
      <c r="D119" s="183">
        <f>D59-('Ethylene Recycling HC'!C80+'Ethylene Recycling HC'!C175-'Ethylene Recycling HC'!$C$80-'Ethylene Recycling HC'!$C$175+'Ethylene Recycling HC'!C83+'Ethylene Recycling HC'!C178-'Ethylene Recycling HC'!$C$83-'Ethylene Recycling HC'!$C$178)</f>
        <v>0</v>
      </c>
      <c r="E119" s="183">
        <f>E59-('Ethylene Recycling HC'!D80+'Ethylene Recycling HC'!D175-'Ethylene Recycling HC'!$C$80-'Ethylene Recycling HC'!$C$175+'Ethylene Recycling HC'!D83+'Ethylene Recycling HC'!D178-'Ethylene Recycling HC'!$C$83-'Ethylene Recycling HC'!$C$178)</f>
        <v>-9.3304030766975483</v>
      </c>
      <c r="F119" s="183">
        <f>F59-('Ethylene Recycling HC'!E80+'Ethylene Recycling HC'!E175-'Ethylene Recycling HC'!$C$80-'Ethylene Recycling HC'!$C$175+'Ethylene Recycling HC'!E83+'Ethylene Recycling HC'!E178-'Ethylene Recycling HC'!$C$83-'Ethylene Recycling HC'!$C$178)</f>
        <v>-18.867317712613332</v>
      </c>
      <c r="G119" s="183">
        <f>G59-('Ethylene Recycling HC'!F80+'Ethylene Recycling HC'!F175-'Ethylene Recycling HC'!$C$80-'Ethylene Recycling HC'!$C$175+'Ethylene Recycling HC'!F83+'Ethylene Recycling HC'!F178-'Ethylene Recycling HC'!$C$83-'Ethylene Recycling HC'!$C$178)</f>
        <v>-28.534296348739961</v>
      </c>
      <c r="H119" s="183">
        <f>H59-('Ethylene Recycling HC'!G80+'Ethylene Recycling HC'!G175-'Ethylene Recycling HC'!$C$80-'Ethylene Recycling HC'!$C$175+'Ethylene Recycling HC'!G83+'Ethylene Recycling HC'!G178-'Ethylene Recycling HC'!$C$83-'Ethylene Recycling HC'!$C$178)</f>
        <v>-38.257988468190177</v>
      </c>
      <c r="I119" s="183">
        <f>I59-('Ethylene Recycling HC'!H80+'Ethylene Recycling HC'!H175-'Ethylene Recycling HC'!$C$80-'Ethylene Recycling HC'!$C$175+'Ethylene Recycling HC'!H83+'Ethylene Recycling HC'!H178-'Ethylene Recycling HC'!$C$83-'Ethylene Recycling HC'!$C$178)</f>
        <v>-47.968183633538757</v>
      </c>
      <c r="J119" s="183">
        <f>J59-('Ethylene Recycling HC'!I80+'Ethylene Recycling HC'!I175-'Ethylene Recycling HC'!$C$80-'Ethylene Recycling HC'!$C$175+'Ethylene Recycling HC'!I83+'Ethylene Recycling HC'!I178-'Ethylene Recycling HC'!$C$83-'Ethylene Recycling HC'!$C$178)</f>
        <v>-57.597721200721956</v>
      </c>
      <c r="K119" s="183">
        <f>K59-('Ethylene Recycling HC'!J80+'Ethylene Recycling HC'!J175-'Ethylene Recycling HC'!$C$80-'Ethylene Recycling HC'!$C$175+'Ethylene Recycling HC'!J83+'Ethylene Recycling HC'!J178-'Ethylene Recycling HC'!$C$83-'Ethylene Recycling HC'!$C$178)</f>
        <v>-67.082804502311461</v>
      </c>
      <c r="L119" s="183">
        <f>L59-('Ethylene Recycling HC'!K80+'Ethylene Recycling HC'!K175-'Ethylene Recycling HC'!$C$80-'Ethylene Recycling HC'!$C$175+'Ethylene Recycling HC'!K83+'Ethylene Recycling HC'!K178-'Ethylene Recycling HC'!$C$83-'Ethylene Recycling HC'!$C$178)</f>
        <v>-76.362845140050055</v>
      </c>
      <c r="M119" s="183">
        <f>M59-('Ethylene Recycling HC'!L80+'Ethylene Recycling HC'!L175-'Ethylene Recycling HC'!$C$80-'Ethylene Recycling HC'!$C$175+'Ethylene Recycling HC'!L83+'Ethylene Recycling HC'!L178-'Ethylene Recycling HC'!$C$83-'Ethylene Recycling HC'!$C$178)</f>
        <v>-85.380552327491969</v>
      </c>
      <c r="N119" s="183">
        <f>N59-('Ethylene Recycling HC'!M80+'Ethylene Recycling HC'!M175-'Ethylene Recycling HC'!$C$80-'Ethylene Recycling HC'!$C$175+'Ethylene Recycling HC'!M83+'Ethylene Recycling HC'!M178-'Ethylene Recycling HC'!$C$83-'Ethylene Recycling HC'!$C$178)</f>
        <v>-94.081972170395943</v>
      </c>
      <c r="O119" s="183">
        <f>O59-('Ethylene Recycling HC'!N80+'Ethylene Recycling HC'!N175-'Ethylene Recycling HC'!$C$80-'Ethylene Recycling HC'!$C$175+'Ethylene Recycling HC'!N83+'Ethylene Recycling HC'!N178-'Ethylene Recycling HC'!$C$83-'Ethylene Recycling HC'!$C$178)</f>
        <v>-98.51659029973905</v>
      </c>
      <c r="P119" s="183">
        <f>P59-('Ethylene Recycling HC'!O80+'Ethylene Recycling HC'!O175-'Ethylene Recycling HC'!$C$80-'Ethylene Recycling HC'!$C$175+'Ethylene Recycling HC'!O83+'Ethylene Recycling HC'!O178-'Ethylene Recycling HC'!$C$83-'Ethylene Recycling HC'!$C$178)</f>
        <v>-102.68673672866478</v>
      </c>
      <c r="Q119" s="183">
        <f>Q59-('Ethylene Recycling HC'!P80+'Ethylene Recycling HC'!P175-'Ethylene Recycling HC'!$C$80-'Ethylene Recycling HC'!$C$175+'Ethylene Recycling HC'!P83+'Ethylene Recycling HC'!P178-'Ethylene Recycling HC'!$C$83-'Ethylene Recycling HC'!$C$178)</f>
        <v>-105.65010815715705</v>
      </c>
      <c r="R119" s="183">
        <f>R59-('Ethylene Recycling HC'!Q80+'Ethylene Recycling HC'!Q175-'Ethylene Recycling HC'!$C$80-'Ethylene Recycling HC'!$C$175+'Ethylene Recycling HC'!Q83+'Ethylene Recycling HC'!Q178-'Ethylene Recycling HC'!$C$83-'Ethylene Recycling HC'!$C$178)</f>
        <v>-107.86270132449459</v>
      </c>
      <c r="S119" s="183">
        <f>S59-('Ethylene Recycling HC'!R80+'Ethylene Recycling HC'!R175-'Ethylene Recycling HC'!$C$80-'Ethylene Recycling HC'!$C$175+'Ethylene Recycling HC'!R83+'Ethylene Recycling HC'!R178-'Ethylene Recycling HC'!$C$83-'Ethylene Recycling HC'!$C$178)</f>
        <v>-109.35171378910104</v>
      </c>
      <c r="T119" s="183">
        <f>T59-('Ethylene Recycling HC'!S80+'Ethylene Recycling HC'!S175-'Ethylene Recycling HC'!$C$80-'Ethylene Recycling HC'!$C$175+'Ethylene Recycling HC'!S83+'Ethylene Recycling HC'!S178-'Ethylene Recycling HC'!$C$83-'Ethylene Recycling HC'!$C$178)</f>
        <v>-110.1457640330087</v>
      </c>
      <c r="U119" s="183">
        <f>U59-('Ethylene Recycling HC'!T80+'Ethylene Recycling HC'!T175-'Ethylene Recycling HC'!$C$80-'Ethylene Recycling HC'!$C$175+'Ethylene Recycling HC'!T83+'Ethylene Recycling HC'!T178-'Ethylene Recycling HC'!$C$83-'Ethylene Recycling HC'!$C$178)</f>
        <v>-110.27372471564341</v>
      </c>
      <c r="V119" s="183">
        <f>V59-('Ethylene Recycling HC'!U80+'Ethylene Recycling HC'!U175-'Ethylene Recycling HC'!$C$80-'Ethylene Recycling HC'!$C$175+'Ethylene Recycling HC'!U83+'Ethylene Recycling HC'!U178-'Ethylene Recycling HC'!$C$83-'Ethylene Recycling HC'!$C$178)</f>
        <v>-109.76577312170463</v>
      </c>
      <c r="W119" s="183">
        <f>W59-('Ethylene Recycling HC'!V80+'Ethylene Recycling HC'!V175-'Ethylene Recycling HC'!$C$80-'Ethylene Recycling HC'!$C$175+'Ethylene Recycling HC'!V83+'Ethylene Recycling HC'!V178-'Ethylene Recycling HC'!$C$83-'Ethylene Recycling HC'!$C$178)</f>
        <v>-108.65307743770195</v>
      </c>
      <c r="X119" s="183">
        <f>X59-('Ethylene Recycling HC'!W80+'Ethylene Recycling HC'!W175-'Ethylene Recycling HC'!$C$80-'Ethylene Recycling HC'!$C$175+'Ethylene Recycling HC'!W83+'Ethylene Recycling HC'!W178-'Ethylene Recycling HC'!$C$83-'Ethylene Recycling HC'!$C$178)</f>
        <v>-106.96779828827727</v>
      </c>
      <c r="Y119" s="183">
        <f>Y59-('Ethylene Recycling HC'!X80+'Ethylene Recycling HC'!X175-'Ethylene Recycling HC'!$C$80-'Ethylene Recycling HC'!$C$175+'Ethylene Recycling HC'!X83+'Ethylene Recycling HC'!X178-'Ethylene Recycling HC'!$C$83-'Ethylene Recycling HC'!$C$178)</f>
        <v>-106.01282568610439</v>
      </c>
      <c r="Z119" s="183">
        <f>Z59-('Ethylene Recycling HC'!Y80+'Ethylene Recycling HC'!Y175-'Ethylene Recycling HC'!$C$80-'Ethylene Recycling HC'!$C$175+'Ethylene Recycling HC'!Y83+'Ethylene Recycling HC'!Y178-'Ethylene Recycling HC'!$C$83-'Ethylene Recycling HC'!$C$178)</f>
        <v>-104.6628438291703</v>
      </c>
      <c r="AA119" s="183">
        <f>AA59-('Ethylene Recycling HC'!Z80+'Ethylene Recycling HC'!Z175-'Ethylene Recycling HC'!$C$80-'Ethylene Recycling HC'!$C$175+'Ethylene Recycling HC'!Z83+'Ethylene Recycling HC'!Z178-'Ethylene Recycling HC'!$C$83-'Ethylene Recycling HC'!$C$178)</f>
        <v>-102.88549799776972</v>
      </c>
      <c r="AB119" s="183">
        <f>AB59-('Ethylene Recycling HC'!AA80+'Ethylene Recycling HC'!AA175-'Ethylene Recycling HC'!$C$80-'Ethylene Recycling HC'!$C$175+'Ethylene Recycling HC'!AA83+'Ethylene Recycling HC'!AA178-'Ethylene Recycling HC'!$C$83-'Ethylene Recycling HC'!$C$178)</f>
        <v>-100.70536033127533</v>
      </c>
      <c r="AC119" s="183">
        <f>AC59-('Ethylene Recycling HC'!AB80+'Ethylene Recycling HC'!AB175-'Ethylene Recycling HC'!$C$80-'Ethylene Recycling HC'!$C$175+'Ethylene Recycling HC'!AB83+'Ethylene Recycling HC'!AB178-'Ethylene Recycling HC'!$C$83-'Ethylene Recycling HC'!$C$178)</f>
        <v>-98.14775092916031</v>
      </c>
      <c r="AD119" s="183">
        <f>AD59-('Ethylene Recycling HC'!AC80+'Ethylene Recycling HC'!AC175-'Ethylene Recycling HC'!$C$80-'Ethylene Recycling HC'!$C$175+'Ethylene Recycling HC'!AC83+'Ethylene Recycling HC'!AC178-'Ethylene Recycling HC'!$C$83-'Ethylene Recycling HC'!$C$178)</f>
        <v>-95.237923773631891</v>
      </c>
      <c r="AE119" s="183">
        <f>AE59-('Ethylene Recycling HC'!AD80+'Ethylene Recycling HC'!AD175-'Ethylene Recycling HC'!$C$80-'Ethylene Recycling HC'!$C$175+'Ethylene Recycling HC'!AD83+'Ethylene Recycling HC'!AD178-'Ethylene Recycling HC'!$C$83-'Ethylene Recycling HC'!$C$178)</f>
        <v>-92.003322705283637</v>
      </c>
      <c r="AF119" s="183">
        <f>AF59-('Ethylene Recycling HC'!AE80+'Ethylene Recycling HC'!AE175-'Ethylene Recycling HC'!$C$80-'Ethylene Recycling HC'!$C$175+'Ethylene Recycling HC'!AE83+'Ethylene Recycling HC'!AE178-'Ethylene Recycling HC'!$C$83-'Ethylene Recycling HC'!$C$178)</f>
        <v>-88.471496879072447</v>
      </c>
      <c r="AG119" s="183">
        <f>AG59-('Ethylene Recycling HC'!AF80+'Ethylene Recycling HC'!AF175-'Ethylene Recycling HC'!$C$80-'Ethylene Recycling HC'!$C$175+'Ethylene Recycling HC'!AF83+'Ethylene Recycling HC'!AF178-'Ethylene Recycling HC'!$C$83-'Ethylene Recycling HC'!$C$178)</f>
        <v>-84.670746202005645</v>
      </c>
      <c r="AH119" s="183">
        <f>AH59-('Ethylene Recycling HC'!AG80+'Ethylene Recycling HC'!AG175-'Ethylene Recycling HC'!$C$80-'Ethylene Recycling HC'!$C$175+'Ethylene Recycling HC'!AG83+'Ethylene Recycling HC'!AG178-'Ethylene Recycling HC'!$C$83-'Ethylene Recycling HC'!$C$178)</f>
        <v>-80.630122078102289</v>
      </c>
      <c r="AI119" s="381"/>
    </row>
    <row r="120" spans="1:36" s="61" customFormat="1">
      <c r="A120" s="609" t="s">
        <v>609</v>
      </c>
      <c r="B120" s="54" t="s">
        <v>606</v>
      </c>
      <c r="C120" s="55" t="s">
        <v>1420</v>
      </c>
      <c r="D120" s="571">
        <f>D60-('Ethylene Recycling HC'!C176+'Ethylene Recycling HC'!C81-'Ethylene Recycling HC'!$C$176-'Ethylene Recycling HC'!$C$81)</f>
        <v>0</v>
      </c>
      <c r="E120" s="571">
        <f>E60-('Ethylene Recycling HC'!D176+'Ethylene Recycling HC'!D81-'Ethylene Recycling HC'!$C$176-'Ethylene Recycling HC'!$C$81)</f>
        <v>0</v>
      </c>
      <c r="F120" s="571">
        <f>F60-('Ethylene Recycling HC'!E176+'Ethylene Recycling HC'!E81-'Ethylene Recycling HC'!$C$176-'Ethylene Recycling HC'!$C$81)</f>
        <v>0</v>
      </c>
      <c r="G120" s="571">
        <f>G60-('Ethylene Recycling HC'!F176+'Ethylene Recycling HC'!F81-'Ethylene Recycling HC'!$C$176-'Ethylene Recycling HC'!$C$81)</f>
        <v>0</v>
      </c>
      <c r="H120" s="571">
        <f>H60-('Ethylene Recycling HC'!G176+'Ethylene Recycling HC'!G81-'Ethylene Recycling HC'!$C$176-'Ethylene Recycling HC'!$C$81)</f>
        <v>0</v>
      </c>
      <c r="I120" s="571">
        <f>I60-('Ethylene Recycling HC'!H176+'Ethylene Recycling HC'!H81-'Ethylene Recycling HC'!$C$176-'Ethylene Recycling HC'!$C$81)</f>
        <v>0</v>
      </c>
      <c r="J120" s="571">
        <f>J60-('Ethylene Recycling HC'!I176+'Ethylene Recycling HC'!I81-'Ethylene Recycling HC'!$C$176-'Ethylene Recycling HC'!$C$81)</f>
        <v>0</v>
      </c>
      <c r="K120" s="571">
        <f>K60-('Ethylene Recycling HC'!J176+'Ethylene Recycling HC'!J81-'Ethylene Recycling HC'!$C$176-'Ethylene Recycling HC'!$C$81)</f>
        <v>0</v>
      </c>
      <c r="L120" s="571">
        <f>L60-('Ethylene Recycling HC'!K176+'Ethylene Recycling HC'!K81-'Ethylene Recycling HC'!$C$176-'Ethylene Recycling HC'!$C$81)</f>
        <v>0</v>
      </c>
      <c r="M120" s="571">
        <f>M60-('Ethylene Recycling HC'!L176+'Ethylene Recycling HC'!L81-'Ethylene Recycling HC'!$C$176-'Ethylene Recycling HC'!$C$81)</f>
        <v>0</v>
      </c>
      <c r="N120" s="571">
        <f>N60-('Ethylene Recycling HC'!M176+'Ethylene Recycling HC'!M81-'Ethylene Recycling HC'!$C$176-'Ethylene Recycling HC'!$C$81)</f>
        <v>0</v>
      </c>
      <c r="O120" s="571">
        <f>O60-('Ethylene Recycling HC'!N176+'Ethylene Recycling HC'!N81-'Ethylene Recycling HC'!$C$176-'Ethylene Recycling HC'!$C$81)</f>
        <v>0</v>
      </c>
      <c r="P120" s="571">
        <f>P60-('Ethylene Recycling HC'!O176+'Ethylene Recycling HC'!O81-'Ethylene Recycling HC'!$C$176-'Ethylene Recycling HC'!$C$81)</f>
        <v>0</v>
      </c>
      <c r="Q120" s="571">
        <f>Q60-('Ethylene Recycling HC'!P176+'Ethylene Recycling HC'!P81-'Ethylene Recycling HC'!$C$176-'Ethylene Recycling HC'!$C$81)</f>
        <v>0</v>
      </c>
      <c r="R120" s="571">
        <f>R60-('Ethylene Recycling HC'!Q176+'Ethylene Recycling HC'!Q81-'Ethylene Recycling HC'!$C$176-'Ethylene Recycling HC'!$C$81)</f>
        <v>0</v>
      </c>
      <c r="S120" s="571">
        <f>S60-('Ethylene Recycling HC'!R176+'Ethylene Recycling HC'!R81-'Ethylene Recycling HC'!$C$176-'Ethylene Recycling HC'!$C$81)</f>
        <v>0</v>
      </c>
      <c r="T120" s="571">
        <f>T60-('Ethylene Recycling HC'!S176+'Ethylene Recycling HC'!S81-'Ethylene Recycling HC'!$C$176-'Ethylene Recycling HC'!$C$81)</f>
        <v>0</v>
      </c>
      <c r="U120" s="571">
        <f>U60-('Ethylene Recycling HC'!T176+'Ethylene Recycling HC'!T81-'Ethylene Recycling HC'!$C$176-'Ethylene Recycling HC'!$C$81)</f>
        <v>0</v>
      </c>
      <c r="V120" s="571">
        <f>V60-('Ethylene Recycling HC'!U176+'Ethylene Recycling HC'!U81-'Ethylene Recycling HC'!$C$176-'Ethylene Recycling HC'!$C$81)</f>
        <v>0</v>
      </c>
      <c r="W120" s="571">
        <f>W60-('Ethylene Recycling HC'!V176+'Ethylene Recycling HC'!V81-'Ethylene Recycling HC'!$C$176-'Ethylene Recycling HC'!$C$81)</f>
        <v>0</v>
      </c>
      <c r="X120" s="571">
        <f>X60-('Ethylene Recycling HC'!W176+'Ethylene Recycling HC'!W81-'Ethylene Recycling HC'!$C$176-'Ethylene Recycling HC'!$C$81)</f>
        <v>0</v>
      </c>
      <c r="Y120" s="571">
        <f>Y60-('Ethylene Recycling HC'!X176+'Ethylene Recycling HC'!X81-'Ethylene Recycling HC'!$C$176-'Ethylene Recycling HC'!$C$81)</f>
        <v>0</v>
      </c>
      <c r="Z120" s="571">
        <f>Z60-('Ethylene Recycling HC'!Y176+'Ethylene Recycling HC'!Y81-'Ethylene Recycling HC'!$C$176-'Ethylene Recycling HC'!$C$81)</f>
        <v>0</v>
      </c>
      <c r="AA120" s="571">
        <f>AA60-('Ethylene Recycling HC'!Z176+'Ethylene Recycling HC'!Z81-'Ethylene Recycling HC'!$C$176-'Ethylene Recycling HC'!$C$81)</f>
        <v>0</v>
      </c>
      <c r="AB120" s="571">
        <f>AB60-('Ethylene Recycling HC'!AA176+'Ethylene Recycling HC'!AA81-'Ethylene Recycling HC'!$C$176-'Ethylene Recycling HC'!$C$81)</f>
        <v>0</v>
      </c>
      <c r="AC120" s="571">
        <f>AC60-('Ethylene Recycling HC'!AB176+'Ethylene Recycling HC'!AB81-'Ethylene Recycling HC'!$C$176-'Ethylene Recycling HC'!$C$81)</f>
        <v>0</v>
      </c>
      <c r="AD120" s="571">
        <f>AD60-('Ethylene Recycling HC'!AC176+'Ethylene Recycling HC'!AC81-'Ethylene Recycling HC'!$C$176-'Ethylene Recycling HC'!$C$81)</f>
        <v>0</v>
      </c>
      <c r="AE120" s="571">
        <f>AE60-('Ethylene Recycling HC'!AD176+'Ethylene Recycling HC'!AD81-'Ethylene Recycling HC'!$C$176-'Ethylene Recycling HC'!$C$81)</f>
        <v>0</v>
      </c>
      <c r="AF120" s="571">
        <f>AF60-('Ethylene Recycling HC'!AE176+'Ethylene Recycling HC'!AE81-'Ethylene Recycling HC'!$C$176-'Ethylene Recycling HC'!$C$81)</f>
        <v>0</v>
      </c>
      <c r="AG120" s="571">
        <f>AG60-('Ethylene Recycling HC'!AF176+'Ethylene Recycling HC'!AF81-'Ethylene Recycling HC'!$C$176-'Ethylene Recycling HC'!$C$81)</f>
        <v>0</v>
      </c>
      <c r="AH120" s="571">
        <f>AH60-('Ethylene Recycling HC'!AG176+'Ethylene Recycling HC'!AG81-'Ethylene Recycling HC'!$C$176-'Ethylene Recycling HC'!$C$81)</f>
        <v>0</v>
      </c>
      <c r="AI120" s="56"/>
    </row>
    <row r="121" spans="1:36" s="62" customFormat="1">
      <c r="A121" s="610"/>
      <c r="B121" s="58" t="s">
        <v>605</v>
      </c>
      <c r="C121" s="233" t="s">
        <v>1420</v>
      </c>
      <c r="D121" s="528">
        <f>D61-('Ethylene Recycling HC'!C82+'Ethylene Recycling HC'!C177-'Ethylene Recycling HC'!$C$82-'Ethylene Recycling HC'!$C$177)</f>
        <v>29305.030176899061</v>
      </c>
      <c r="E121" s="528">
        <f>E61-('Ethylene Recycling HC'!D82+'Ethylene Recycling HC'!D177-'Ethylene Recycling HC'!$C$82-'Ethylene Recycling HC'!$C$177)</f>
        <v>27732.054061091741</v>
      </c>
      <c r="F121" s="528">
        <f>F61-('Ethylene Recycling HC'!E82+'Ethylene Recycling HC'!E177-'Ethylene Recycling HC'!$C$82-'Ethylene Recycling HC'!$C$177)</f>
        <v>26258.382160321191</v>
      </c>
      <c r="G121" s="528">
        <f>G61-('Ethylene Recycling HC'!F82+'Ethylene Recycling HC'!F177-'Ethylene Recycling HC'!$C$82-'Ethylene Recycling HC'!$C$177)</f>
        <v>24878.108198595219</v>
      </c>
      <c r="H121" s="528">
        <f>H61-('Ethylene Recycling HC'!G82+'Ethylene Recycling HC'!G177-'Ethylene Recycling HC'!$C$82-'Ethylene Recycling HC'!$C$177)</f>
        <v>23585.322569573946</v>
      </c>
      <c r="I121" s="528">
        <f>I61-('Ethylene Recycling HC'!H82+'Ethylene Recycling HC'!H177-'Ethylene Recycling HC'!$C$82-'Ethylene Recycling HC'!$C$177)</f>
        <v>22374.112648288097</v>
      </c>
      <c r="J121" s="528">
        <f>J61-('Ethylene Recycling HC'!I82+'Ethylene Recycling HC'!I177-'Ethylene Recycling HC'!$C$82-'Ethylene Recycling HC'!$C$177)</f>
        <v>21245.348299702713</v>
      </c>
      <c r="K121" s="528">
        <f>K61-('Ethylene Recycling HC'!J82+'Ethylene Recycling HC'!J177-'Ethylene Recycling HC'!$C$82-'Ethylene Recycling HC'!$C$177)</f>
        <v>20192.722069954616</v>
      </c>
      <c r="L121" s="528">
        <f>L61-('Ethylene Recycling HC'!K82+'Ethylene Recycling HC'!K177-'Ethylene Recycling HC'!$C$82-'Ethylene Recycling HC'!$C$177)</f>
        <v>19212.804895566838</v>
      </c>
      <c r="M121" s="528">
        <f>M61-('Ethylene Recycling HC'!L82+'Ethylene Recycling HC'!L177-'Ethylene Recycling HC'!$C$82-'Ethylene Recycling HC'!$C$177)</f>
        <v>18302.518198084428</v>
      </c>
      <c r="N121" s="528">
        <f>N61-('Ethylene Recycling HC'!M82+'Ethylene Recycling HC'!M177-'Ethylene Recycling HC'!$C$82-'Ethylene Recycling HC'!$C$177)</f>
        <v>17459.130172231493</v>
      </c>
      <c r="O121" s="528">
        <f>O61-('Ethylene Recycling HC'!N82+'Ethylene Recycling HC'!N177-'Ethylene Recycling HC'!$C$82-'Ethylene Recycling HC'!$C$177)</f>
        <v>18228.505609919412</v>
      </c>
      <c r="P121" s="528">
        <f>P61-('Ethylene Recycling HC'!O82+'Ethylene Recycling HC'!O177-'Ethylene Recycling HC'!$C$82-'Ethylene Recycling HC'!$C$177)</f>
        <v>18804.77111180361</v>
      </c>
      <c r="Q121" s="528">
        <f>Q61-('Ethylene Recycling HC'!P82+'Ethylene Recycling HC'!P177-'Ethylene Recycling HC'!$C$82-'Ethylene Recycling HC'!$C$177)</f>
        <v>19494.359393223029</v>
      </c>
      <c r="R121" s="528">
        <f>R61-('Ethylene Recycling HC'!Q82+'Ethylene Recycling HC'!Q177-'Ethylene Recycling HC'!$C$82-'Ethylene Recycling HC'!$C$177)</f>
        <v>20157.164716607833</v>
      </c>
      <c r="S121" s="528">
        <f>S61-('Ethylene Recycling HC'!R82+'Ethylene Recycling HC'!R177-'Ethylene Recycling HC'!$C$82-'Ethylene Recycling HC'!$C$177)</f>
        <v>20793.972322508595</v>
      </c>
      <c r="T121" s="528">
        <f>T61-('Ethylene Recycling HC'!S82+'Ethylene Recycling HC'!S177-'Ethylene Recycling HC'!$C$82-'Ethylene Recycling HC'!$C$177)</f>
        <v>21383.453467918214</v>
      </c>
      <c r="U121" s="528">
        <f>U61-('Ethylene Recycling HC'!T82+'Ethylene Recycling HC'!T177-'Ethylene Recycling HC'!$C$82-'Ethylene Recycling HC'!$C$177)</f>
        <v>21941.986172436289</v>
      </c>
      <c r="V121" s="528">
        <f>V61-('Ethylene Recycling HC'!U82+'Ethylene Recycling HC'!U177-'Ethylene Recycling HC'!$C$82-'Ethylene Recycling HC'!$C$177)</f>
        <v>22469.967496893176</v>
      </c>
      <c r="W121" s="528">
        <f>W61-('Ethylene Recycling HC'!V82+'Ethylene Recycling HC'!V177-'Ethylene Recycling HC'!$C$82-'Ethylene Recycling HC'!$C$177)</f>
        <v>22967.955727050645</v>
      </c>
      <c r="X121" s="528">
        <f>X61-('Ethylene Recycling HC'!W82+'Ethylene Recycling HC'!W177-'Ethylene Recycling HC'!$C$82-'Ethylene Recycling HC'!$C$177)</f>
        <v>23436.66857642688</v>
      </c>
      <c r="Y121" s="528">
        <f>Y61-('Ethylene Recycling HC'!X82+'Ethylene Recycling HC'!X177-'Ethylene Recycling HC'!$C$82-'Ethylene Recycling HC'!$C$177)</f>
        <v>23489.210037857119</v>
      </c>
      <c r="Z121" s="528">
        <f>Z61-('Ethylene Recycling HC'!Y82+'Ethylene Recycling HC'!Y177-'Ethylene Recycling HC'!$C$82-'Ethylene Recycling HC'!$C$177)</f>
        <v>23512.989841731196</v>
      </c>
      <c r="AA121" s="528">
        <f>AA61-('Ethylene Recycling HC'!Z82+'Ethylene Recycling HC'!Z177-'Ethylene Recycling HC'!$C$82-'Ethylene Recycling HC'!$C$177)</f>
        <v>23520.130519917166</v>
      </c>
      <c r="AB121" s="528">
        <f>AB61-('Ethylene Recycling HC'!AA82+'Ethylene Recycling HC'!AA177-'Ethylene Recycling HC'!$C$82-'Ethylene Recycling HC'!$C$177)</f>
        <v>23512.881719924637</v>
      </c>
      <c r="AC121" s="528">
        <f>AC61-('Ethylene Recycling HC'!AB82+'Ethylene Recycling HC'!AB177-'Ethylene Recycling HC'!$C$82-'Ethylene Recycling HC'!$C$177)</f>
        <v>23493.729922517115</v>
      </c>
      <c r="AD121" s="528">
        <f>AD61-('Ethylene Recycling HC'!AC82+'Ethylene Recycling HC'!AC177-'Ethylene Recycling HC'!$C$82-'Ethylene Recycling HC'!$C$177)</f>
        <v>23507.122603970638</v>
      </c>
      <c r="AE121" s="528">
        <f>AE61-('Ethylene Recycling HC'!AD82+'Ethylene Recycling HC'!AD177-'Ethylene Recycling HC'!$C$82-'Ethylene Recycling HC'!$C$177)</f>
        <v>23524.02559613809</v>
      </c>
      <c r="AF121" s="528">
        <f>AF61-('Ethylene Recycling HC'!AE82+'Ethylene Recycling HC'!AE177-'Ethylene Recycling HC'!$C$82-'Ethylene Recycling HC'!$C$177)</f>
        <v>23548.677916593067</v>
      </c>
      <c r="AG121" s="528">
        <f>AG61-('Ethylene Recycling HC'!AF82+'Ethylene Recycling HC'!AF177-'Ethylene Recycling HC'!$C$82-'Ethylene Recycling HC'!$C$177)</f>
        <v>23585.588901889576</v>
      </c>
      <c r="AH121" s="528">
        <f>AH61-('Ethylene Recycling HC'!AG82+'Ethylene Recycling HC'!AG177-'Ethylene Recycling HC'!$C$82-'Ethylene Recycling HC'!$C$177)</f>
        <v>23639.535015182053</v>
      </c>
      <c r="AI121" s="234"/>
    </row>
    <row r="122" spans="1:36" s="61" customFormat="1">
      <c r="A122" s="54" t="s">
        <v>263</v>
      </c>
      <c r="B122" s="54" t="s">
        <v>200</v>
      </c>
      <c r="C122" s="93" t="s">
        <v>1420</v>
      </c>
      <c r="D122" s="572">
        <f t="shared" ref="D122:AH122" si="39">D43</f>
        <v>833693.90944694402</v>
      </c>
      <c r="E122" s="572">
        <f t="shared" si="39"/>
        <v>807565.76943124086</v>
      </c>
      <c r="F122" s="572">
        <f t="shared" si="39"/>
        <v>781761.2753285392</v>
      </c>
      <c r="G122" s="572">
        <f t="shared" si="39"/>
        <v>756277.18539208604</v>
      </c>
      <c r="H122" s="572">
        <f t="shared" si="39"/>
        <v>731110.28733824543</v>
      </c>
      <c r="I122" s="572">
        <f t="shared" si="39"/>
        <v>706257.39809329587</v>
      </c>
      <c r="J122" s="572">
        <f t="shared" si="39"/>
        <v>681715.36354232708</v>
      </c>
      <c r="K122" s="572">
        <f t="shared" si="39"/>
        <v>657481.05828021583</v>
      </c>
      <c r="L122" s="572">
        <f t="shared" si="39"/>
        <v>633551.38536466856</v>
      </c>
      <c r="M122" s="572">
        <f t="shared" si="39"/>
        <v>609923.27607130981</v>
      </c>
      <c r="N122" s="572">
        <f t="shared" si="39"/>
        <v>586593.68965080194</v>
      </c>
      <c r="O122" s="572">
        <f t="shared" si="39"/>
        <v>563559.61308798112</v>
      </c>
      <c r="P122" s="572">
        <f t="shared" si="39"/>
        <v>540818.06086298951</v>
      </c>
      <c r="Q122" s="572">
        <f t="shared" si="39"/>
        <v>518366.07471439196</v>
      </c>
      <c r="R122" s="572">
        <f t="shared" si="39"/>
        <v>496200.7234042568</v>
      </c>
      <c r="S122" s="572">
        <f t="shared" si="39"/>
        <v>474319.10248518904</v>
      </c>
      <c r="T122" s="572">
        <f t="shared" si="39"/>
        <v>452718.33406929631</v>
      </c>
      <c r="U122" s="572">
        <f t="shared" si="39"/>
        <v>431395.56659907498</v>
      </c>
      <c r="V122" s="572">
        <f t="shared" si="39"/>
        <v>410347.97462019918</v>
      </c>
      <c r="W122" s="572">
        <f t="shared" si="39"/>
        <v>389572.75855619786</v>
      </c>
      <c r="X122" s="572">
        <f t="shared" si="39"/>
        <v>369067.14448500454</v>
      </c>
      <c r="Y122" s="572">
        <f t="shared" si="39"/>
        <v>348293.0179212481</v>
      </c>
      <c r="Z122" s="572">
        <f t="shared" si="39"/>
        <v>327790.4825116173</v>
      </c>
      <c r="AA122" s="572">
        <f t="shared" si="39"/>
        <v>307556.76199275983</v>
      </c>
      <c r="AB122" s="572">
        <f t="shared" si="39"/>
        <v>287589.1056048671</v>
      </c>
      <c r="AC122" s="572">
        <f t="shared" si="39"/>
        <v>267884.7878710521</v>
      </c>
      <c r="AD122" s="572">
        <f t="shared" si="39"/>
        <v>248441.10837856313</v>
      </c>
      <c r="AE122" s="572">
        <f t="shared" si="39"/>
        <v>229255.39156182</v>
      </c>
      <c r="AF122" s="572">
        <f t="shared" si="39"/>
        <v>210324.98648725572</v>
      </c>
      <c r="AG122" s="572">
        <f t="shared" si="39"/>
        <v>191647.26663995127</v>
      </c>
      <c r="AH122" s="572">
        <f t="shared" si="39"/>
        <v>173219.62971204723</v>
      </c>
    </row>
    <row r="123" spans="1:36" outlineLevel="1">
      <c r="A123"/>
      <c r="B123" t="s">
        <v>266</v>
      </c>
      <c r="C123" s="50" t="s">
        <v>1420</v>
      </c>
      <c r="D123" s="183">
        <f>0</f>
        <v>0</v>
      </c>
      <c r="E123" s="183">
        <f>'Ethylene Recycling HC'!D196*'Ethylene Recycling HC'!D44-'Ethylene Recycling HC'!$C$196*'Ethylene Recycling HC'!$C$44</f>
        <v>5310.0285044200382</v>
      </c>
      <c r="F123" s="183">
        <f>'Ethylene Recycling HC'!E196*'Ethylene Recycling HC'!E44-'Ethylene Recycling HC'!$C$196*'Ethylene Recycling HC'!$C$44</f>
        <v>10593.863068295981</v>
      </c>
      <c r="G123" s="183">
        <f>'Ethylene Recycling HC'!F196*'Ethylene Recycling HC'!F44-'Ethylene Recycling HC'!$C$196*'Ethylene Recycling HC'!$C$44</f>
        <v>15851.599479874007</v>
      </c>
      <c r="H123" s="183">
        <f>'Ethylene Recycling HC'!G196*'Ethylene Recycling HC'!G44-'Ethylene Recycling HC'!$C$196*'Ethylene Recycling HC'!$C$44</f>
        <v>21083.333218853491</v>
      </c>
      <c r="I123" s="183">
        <f>'Ethylene Recycling HC'!H196*'Ethylene Recycling HC'!H44-'Ethylene Recycling HC'!$C$196*'Ethylene Recycling HC'!$C$44</f>
        <v>26289.159457311805</v>
      </c>
      <c r="J123" s="183">
        <f>'Ethylene Recycling HC'!I196*'Ethylene Recycling HC'!I44-'Ethylene Recycling HC'!$C$196*'Ethylene Recycling HC'!$C$44</f>
        <v>31469.173060626465</v>
      </c>
      <c r="K123" s="183">
        <f>'Ethylene Recycling HC'!J196*'Ethylene Recycling HC'!J44-'Ethylene Recycling HC'!$C$196*'Ethylene Recycling HC'!$C$44</f>
        <v>36623.468588394608</v>
      </c>
      <c r="L123" s="183">
        <f>'Ethylene Recycling HC'!K196*'Ethylene Recycling HC'!K44-'Ethylene Recycling HC'!$C$196*'Ethylene Recycling HC'!$C$44</f>
        <v>41752.140295349891</v>
      </c>
      <c r="M123" s="183">
        <f>'Ethylene Recycling HC'!L196*'Ethylene Recycling HC'!L44-'Ethylene Recycling HC'!$C$196*'Ethylene Recycling HC'!$C$44</f>
        <v>46855.282132276719</v>
      </c>
      <c r="N123" s="183">
        <f>'Ethylene Recycling HC'!M196*'Ethylene Recycling HC'!M44-'Ethylene Recycling HC'!$C$196*'Ethylene Recycling HC'!$C$44</f>
        <v>51932.987746921921</v>
      </c>
      <c r="O123" s="183">
        <f>'Ethylene Recycling HC'!N196*'Ethylene Recycling HC'!N44-'Ethylene Recycling HC'!$C$196*'Ethylene Recycling HC'!$C$44</f>
        <v>55281.281411664306</v>
      </c>
      <c r="P123" s="183">
        <f>'Ethylene Recycling HC'!O196*'Ethylene Recycling HC'!O44-'Ethylene Recycling HC'!$C$196*'Ethylene Recycling HC'!$C$44</f>
        <v>58612.723725790929</v>
      </c>
      <c r="Q123" s="183">
        <f>'Ethylene Recycling HC'!P196*'Ethylene Recycling HC'!P44-'Ethylene Recycling HC'!$C$196*'Ethylene Recycling HC'!$C$44</f>
        <v>61927.376726311835</v>
      </c>
      <c r="R123" s="183">
        <f>'Ethylene Recycling HC'!Q196*'Ethylene Recycling HC'!Q44-'Ethylene Recycling HC'!$C$196*'Ethylene Recycling HC'!$C$44</f>
        <v>65225.302249730332</v>
      </c>
      <c r="S123" s="183">
        <f>'Ethylene Recycling HC'!R196*'Ethylene Recycling HC'!R44-'Ethylene Recycling HC'!$C$196*'Ethylene Recycling HC'!$C$44</f>
        <v>68506.561932645141</v>
      </c>
      <c r="T123" s="183">
        <f>'Ethylene Recycling HC'!S196*'Ethylene Recycling HC'!S44-'Ethylene Recycling HC'!$C$196*'Ethylene Recycling HC'!$C$44</f>
        <v>71771.217212350981</v>
      </c>
      <c r="U123" s="183">
        <f>'Ethylene Recycling HC'!T196*'Ethylene Recycling HC'!T44-'Ethylene Recycling HC'!$C$196*'Ethylene Recycling HC'!$C$44</f>
        <v>75019.329327437168</v>
      </c>
      <c r="V123" s="183">
        <f>'Ethylene Recycling HC'!U196*'Ethylene Recycling HC'!U44-'Ethylene Recycling HC'!$C$196*'Ethylene Recycling HC'!$C$44</f>
        <v>78250.959318384877</v>
      </c>
      <c r="W123" s="183">
        <f>'Ethylene Recycling HC'!V196*'Ethylene Recycling HC'!V44-'Ethylene Recycling HC'!$C$196*'Ethylene Recycling HC'!$C$44</f>
        <v>81466.168028162196</v>
      </c>
      <c r="X123" s="183">
        <f>'Ethylene Recycling HC'!W196*'Ethylene Recycling HC'!W44-'Ethylene Recycling HC'!$C$196*'Ethylene Recycling HC'!$C$44</f>
        <v>84665.016102818015</v>
      </c>
      <c r="Y123" s="183">
        <f>'Ethylene Recycling HC'!X196*'Ethylene Recycling HC'!X44-'Ethylene Recycling HC'!$C$196*'Ethylene Recycling HC'!$C$44</f>
        <v>89677.799071829984</v>
      </c>
      <c r="Z123" s="183">
        <f>'Ethylene Recycling HC'!Y196*'Ethylene Recycling HC'!Y44-'Ethylene Recycling HC'!$C$196*'Ethylene Recycling HC'!$C$44</f>
        <v>94665.319397258834</v>
      </c>
      <c r="AA123" s="183">
        <f>'Ethylene Recycling HC'!Z196*'Ethylene Recycling HC'!Z44-'Ethylene Recycling HC'!$C$196*'Ethylene Recycling HC'!$C$44</f>
        <v>99627.670134547559</v>
      </c>
      <c r="AB123" s="183">
        <f>'Ethylene Recycling HC'!AA196*'Ethylene Recycling HC'!AA44-'Ethylene Recycling HC'!$C$196*'Ethylene Recycling HC'!$C$44</f>
        <v>104564.94403827316</v>
      </c>
      <c r="AC123" s="183">
        <f>'Ethylene Recycling HC'!AB196*'Ethylene Recycling HC'!AB44-'Ethylene Recycling HC'!$C$196*'Ethylene Recycling HC'!$C$44</f>
        <v>109477.23356305055</v>
      </c>
      <c r="AD123" s="183">
        <f>'Ethylene Recycling HC'!AC196*'Ethylene Recycling HC'!AC44-'Ethylene Recycling HC'!$C$196*'Ethylene Recycling HC'!$C$44</f>
        <v>114364.63086443357</v>
      </c>
      <c r="AE123" s="183">
        <f>'Ethylene Recycling HC'!AD196*'Ethylene Recycling HC'!AD44-'Ethylene Recycling HC'!$C$196*'Ethylene Recycling HC'!$C$44</f>
        <v>119227.22779981398</v>
      </c>
      <c r="AF123" s="183">
        <f>'Ethylene Recycling HC'!AE196*'Ethylene Recycling HC'!AE44-'Ethylene Recycling HC'!$C$196*'Ethylene Recycling HC'!$C$44</f>
        <v>124065.11592931734</v>
      </c>
      <c r="AG123" s="183">
        <f>'Ethylene Recycling HC'!AF196*'Ethylene Recycling HC'!AF44-'Ethylene Recycling HC'!$C$196*'Ethylene Recycling HC'!$C$44</f>
        <v>128878.38651669664</v>
      </c>
      <c r="AH123" s="183">
        <f>'Ethylene Recycling HC'!AG196*'Ethylene Recycling HC'!AG44-'Ethylene Recycling HC'!$C$196*'Ethylene Recycling HC'!$C$44</f>
        <v>133667.1305302231</v>
      </c>
    </row>
    <row r="124" spans="1:36" outlineLevel="1">
      <c r="A124"/>
      <c r="B124" t="s">
        <v>268</v>
      </c>
      <c r="C124" s="50" t="s">
        <v>1420</v>
      </c>
      <c r="D124" s="183">
        <f>0</f>
        <v>0</v>
      </c>
      <c r="E124" s="183">
        <f>'Ethylene Recycling HC'!D70*'Ethylene Recycling HC'!D42-'Ethylene Recycling HC'!$C$70*'Ethylene Recycling HC'!$C$42</f>
        <v>6813.57636014733</v>
      </c>
      <c r="F124" s="183">
        <f>'Ethylene Recycling HC'!E70*'Ethylene Recycling HC'!E42-'Ethylene Recycling HC'!$C$70*'Ethylene Recycling HC'!$C$42</f>
        <v>13362.861712633749</v>
      </c>
      <c r="G124" s="183">
        <f>'Ethylene Recycling HC'!F70*'Ethylene Recycling HC'!F42-'Ethylene Recycling HC'!$C$70*'Ethylene Recycling HC'!$C$42</f>
        <v>19642.744633601193</v>
      </c>
      <c r="H124" s="183">
        <f>'Ethylene Recycling HC'!G70*'Ethylene Recycling HC'!G42-'Ethylene Recycling HC'!$C$70*'Ethylene Recycling HC'!$C$42</f>
        <v>25648.113213248987</v>
      </c>
      <c r="I124" s="183">
        <f>'Ethylene Recycling HC'!H70*'Ethylene Recycling HC'!H42-'Ethylene Recycling HC'!$C$70*'Ethylene Recycling HC'!$C$42</f>
        <v>31373.85533791245</v>
      </c>
      <c r="J124" s="183">
        <f>'Ethylene Recycling HC'!I70*'Ethylene Recycling HC'!I42-'Ethylene Recycling HC'!$C$70*'Ethylene Recycling HC'!$C$42</f>
        <v>36814.858969630819</v>
      </c>
      <c r="K124" s="183">
        <f>'Ethylene Recycling HC'!J70*'Ethylene Recycling HC'!J42-'Ethylene Recycling HC'!$C$70*'Ethylene Recycling HC'!$C$42</f>
        <v>41966.012423222797</v>
      </c>
      <c r="L124" s="183">
        <f>'Ethylene Recycling HC'!K70*'Ethylene Recycling HC'!K42-'Ethylene Recycling HC'!$C$70*'Ethylene Recycling HC'!$C$42</f>
        <v>46822.204640880693</v>
      </c>
      <c r="M124" s="183">
        <f>'Ethylene Recycling HC'!L70*'Ethylene Recycling HC'!L42-'Ethylene Recycling HC'!$C$70*'Ethylene Recycling HC'!$C$42</f>
        <v>51378.325464300433</v>
      </c>
      <c r="N124" s="183">
        <f>'Ethylene Recycling HC'!M70*'Ethylene Recycling HC'!M42-'Ethylene Recycling HC'!$C$70*'Ethylene Recycling HC'!$C$42</f>
        <v>55629.265904360451</v>
      </c>
      <c r="O124" s="183">
        <f>'Ethylene Recycling HC'!N70*'Ethylene Recycling HC'!N42-'Ethylene Recycling HC'!$C$70*'Ethylene Recycling HC'!$C$42</f>
        <v>50297.786838344502</v>
      </c>
      <c r="P124" s="183">
        <f>'Ethylene Recycling HC'!O70*'Ethylene Recycling HC'!O42-'Ethylene Recycling HC'!$C$70*'Ethylene Recycling HC'!$C$42</f>
        <v>46060.738051082881</v>
      </c>
      <c r="Q124" s="183">
        <f>'Ethylene Recycling HC'!P70*'Ethylene Recycling HC'!P42-'Ethylene Recycling HC'!$C$70*'Ethylene Recycling HC'!$C$42</f>
        <v>40670.80822748231</v>
      </c>
      <c r="R124" s="183">
        <f>'Ethylene Recycling HC'!Q70*'Ethylene Recycling HC'!Q42-'Ethylene Recycling HC'!$C$70*'Ethylene Recycling HC'!$C$42</f>
        <v>35148.956044764578</v>
      </c>
      <c r="S124" s="183">
        <f>'Ethylene Recycling HC'!R70*'Ethylene Recycling HC'!R42-'Ethylene Recycling HC'!$C$70*'Ethylene Recycling HC'!$C$42</f>
        <v>29494.204543662461</v>
      </c>
      <c r="T124" s="183">
        <f>'Ethylene Recycling HC'!S70*'Ethylene Recycling HC'!S42-'Ethylene Recycling HC'!$C$70*'Ethylene Recycling HC'!$C$42</f>
        <v>23705.579398474656</v>
      </c>
      <c r="U124" s="183">
        <f>'Ethylene Recycling HC'!T70*'Ethylene Recycling HC'!T42-'Ethylene Recycling HC'!$C$70*'Ethylene Recycling HC'!$C$42</f>
        <v>17782.108950428054</v>
      </c>
      <c r="V124" s="183">
        <f>'Ethylene Recycling HC'!U70*'Ethylene Recycling HC'!U42-'Ethylene Recycling HC'!$C$70*'Ethylene Recycling HC'!$C$42</f>
        <v>11722.82424066469</v>
      </c>
      <c r="W124" s="183">
        <f>'Ethylene Recycling HC'!V70*'Ethylene Recycling HC'!V42-'Ethylene Recycling HC'!$C$70*'Ethylene Recycling HC'!$C$42</f>
        <v>5526.7590428563708</v>
      </c>
      <c r="X124" s="183">
        <f>'Ethylene Recycling HC'!W70*'Ethylene Recycling HC'!W42-'Ethylene Recycling HC'!$C$70*'Ethylene Recycling HC'!$C$42</f>
        <v>-807.0501045526762</v>
      </c>
      <c r="Y124" s="183">
        <f>'Ethylene Recycling HC'!X70*'Ethylene Recycling HC'!X42-'Ethylene Recycling HC'!$C$70*'Ethylene Recycling HC'!$C$42</f>
        <v>-5139.0627587702184</v>
      </c>
      <c r="Z124" s="183">
        <f>'Ethylene Recycling HC'!Y70*'Ethylene Recycling HC'!Y42-'Ethylene Recycling HC'!$C$70*'Ethylene Recycling HC'!$C$42</f>
        <v>-9476.7388277566351</v>
      </c>
      <c r="AA124" s="183">
        <f>'Ethylene Recycling HC'!Z70*'Ethylene Recycling HC'!Z42-'Ethylene Recycling HC'!$C$70*'Ethylene Recycling HC'!$C$42</f>
        <v>-13917.026212297409</v>
      </c>
      <c r="AB124" s="183">
        <f>'Ethylene Recycling HC'!AA70*'Ethylene Recycling HC'!AA42-'Ethylene Recycling HC'!$C$70*'Ethylene Recycling HC'!$C$42</f>
        <v>-18460.656278909679</v>
      </c>
      <c r="AC124" s="183">
        <f>'Ethylene Recycling HC'!AB70*'Ethylene Recycling HC'!AB42-'Ethylene Recycling HC'!$C$70*'Ethylene Recycling HC'!$C$42</f>
        <v>-23108.358279930515</v>
      </c>
      <c r="AD124" s="183">
        <f>'Ethylene Recycling HC'!AC70*'Ethylene Recycling HC'!AC42-'Ethylene Recycling HC'!$C$70*'Ethylene Recycling HC'!$C$42</f>
        <v>-27860.859329666098</v>
      </c>
      <c r="AE124" s="183">
        <f>'Ethylene Recycling HC'!AD70*'Ethylene Recycling HC'!AD42-'Ethylene Recycling HC'!$C$70*'Ethylene Recycling HC'!$C$42</f>
        <v>-32718.884380815318</v>
      </c>
      <c r="AF124" s="183">
        <f>'Ethylene Recycling HC'!AE70*'Ethylene Recycling HC'!AE42-'Ethylene Recycling HC'!$C$70*'Ethylene Recycling HC'!$C$42</f>
        <v>-37683.15620116741</v>
      </c>
      <c r="AG124" s="183">
        <f>'Ethylene Recycling HC'!AF70*'Ethylene Recycling HC'!AF42-'Ethylene Recycling HC'!$C$70*'Ethylene Recycling HC'!$C$42</f>
        <v>-42754.395350570994</v>
      </c>
      <c r="AH124" s="183">
        <f>'Ethylene Recycling HC'!AG70*'Ethylene Recycling HC'!AG42-'Ethylene Recycling HC'!$C$70*'Ethylene Recycling HC'!$C$42</f>
        <v>-47933.320158172806</v>
      </c>
    </row>
    <row r="125" spans="1:36" outlineLevel="1">
      <c r="A125"/>
      <c r="B125" t="s">
        <v>270</v>
      </c>
      <c r="C125" s="50" t="s">
        <v>1420</v>
      </c>
      <c r="D125" s="183">
        <f>0</f>
        <v>0</v>
      </c>
      <c r="E125" s="183">
        <f>'Ethylene Recycling HC'!D163*'Ethylene Recycling HC'!D45-'Ethylene Recycling HC'!$C$163*'Ethylene Recycling HC'!$C$45</f>
        <v>871.15927905129615</v>
      </c>
      <c r="F125" s="183">
        <f>'Ethylene Recycling HC'!E163*'Ethylene Recycling HC'!E45-'Ethylene Recycling HC'!$C$163*'Ethylene Recycling HC'!$C$45</f>
        <v>1723.0875492767586</v>
      </c>
      <c r="G125" s="183">
        <f>'Ethylene Recycling HC'!F163*'Ethylene Recycling HC'!F45-'Ethylene Recycling HC'!$C$163*'Ethylene Recycling HC'!$C$45</f>
        <v>2555.8994358607547</v>
      </c>
      <c r="H125" s="183">
        <f>'Ethylene Recycling HC'!G163*'Ethylene Recycling HC'!G45-'Ethylene Recycling HC'!$C$163*'Ethylene Recycling HC'!$C$45</f>
        <v>3369.70907664481</v>
      </c>
      <c r="I125" s="183">
        <f>'Ethylene Recycling HC'!H163*'Ethylene Recycling HC'!H45-'Ethylene Recycling HC'!$C$163*'Ethylene Recycling HC'!$C$45</f>
        <v>4164.6301238862052</v>
      </c>
      <c r="J125" s="183">
        <f>'Ethylene Recycling HC'!I163*'Ethylene Recycling HC'!I45-'Ethylene Recycling HC'!$C$163*'Ethylene Recycling HC'!$C$45</f>
        <v>4788.1057754590774</v>
      </c>
      <c r="K125" s="183">
        <f>'Ethylene Recycling HC'!J163*'Ethylene Recycling HC'!J45-'Ethylene Recycling HC'!$C$163*'Ethylene Recycling HC'!$C$45</f>
        <v>5346.1062460657304</v>
      </c>
      <c r="L125" s="183">
        <f>'Ethylene Recycling HC'!K163*'Ethylene Recycling HC'!K45-'Ethylene Recycling HC'!$C$163*'Ethylene Recycling HC'!$C$45</f>
        <v>5840.463376093192</v>
      </c>
      <c r="M125" s="183">
        <f>'Ethylene Recycling HC'!L163*'Ethylene Recycling HC'!L45-'Ethylene Recycling HC'!$C$163*'Ethylene Recycling HC'!$C$45</f>
        <v>6272.9947178156644</v>
      </c>
      <c r="N125" s="183">
        <f>'Ethylene Recycling HC'!M163*'Ethylene Recycling HC'!M45-'Ethylene Recycling HC'!$C$163*'Ethylene Recycling HC'!$C$45</f>
        <v>6645.503610802064</v>
      </c>
      <c r="O125" s="183">
        <f>'Ethylene Recycling HC'!N163*'Ethylene Recycling HC'!N45-'Ethylene Recycling HC'!$C$163*'Ethylene Recycling HC'!$C$45</f>
        <v>6752.1420011496366</v>
      </c>
      <c r="P125" s="183">
        <f>'Ethylene Recycling HC'!O163*'Ethylene Recycling HC'!O45-'Ethylene Recycling HC'!$C$163*'Ethylene Recycling HC'!$C$45</f>
        <v>6822.8270451794051</v>
      </c>
      <c r="Q125" s="183">
        <f>'Ethylene Recycling HC'!P163*'Ethylene Recycling HC'!P45-'Ethylene Recycling HC'!$C$163*'Ethylene Recycling HC'!$C$45</f>
        <v>6858.73034479544</v>
      </c>
      <c r="R125" s="183">
        <f>'Ethylene Recycling HC'!Q163*'Ethylene Recycling HC'!Q45-'Ethylene Recycling HC'!$C$163*'Ethylene Recycling HC'!$C$45</f>
        <v>6861.0142028468781</v>
      </c>
      <c r="S125" s="183">
        <f>'Ethylene Recycling HC'!R163*'Ethylene Recycling HC'!R45-'Ethylene Recycling HC'!$C$163*'Ethylene Recycling HC'!$C$45</f>
        <v>6830.8316725280038</v>
      </c>
      <c r="T125" s="183">
        <f>'Ethylene Recycling HC'!S163*'Ethylene Recycling HC'!S45-'Ethylene Recycling HC'!$C$163*'Ethylene Recycling HC'!$C$45</f>
        <v>6862.6471218193383</v>
      </c>
      <c r="U125" s="183">
        <f>'Ethylene Recycling HC'!T163*'Ethylene Recycling HC'!T45-'Ethylene Recycling HC'!$C$163*'Ethylene Recycling HC'!$C$45</f>
        <v>6870.7884001670536</v>
      </c>
      <c r="V125" s="183">
        <f>'Ethylene Recycling HC'!U163*'Ethylene Recycling HC'!U45-'Ethylene Recycling HC'!$C$163*'Ethylene Recycling HC'!$C$45</f>
        <v>6856.0642375445523</v>
      </c>
      <c r="W125" s="183">
        <f>'Ethylene Recycling HC'!V163*'Ethylene Recycling HC'!V45-'Ethylene Recycling HC'!$C$163*'Ethylene Recycling HC'!$C$45</f>
        <v>6819.2769133065076</v>
      </c>
      <c r="X125" s="183">
        <f>'Ethylene Recycling HC'!W163*'Ethylene Recycling HC'!W45-'Ethylene Recycling HC'!$C$163*'Ethylene Recycling HC'!$C$45</f>
        <v>6761.2222905202734</v>
      </c>
      <c r="Y125" s="183">
        <f>'Ethylene Recycling HC'!X163*'Ethylene Recycling HC'!X45-'Ethylene Recycling HC'!$C$163*'Ethylene Recycling HC'!$C$45</f>
        <v>6821.521340684847</v>
      </c>
      <c r="Z125" s="183">
        <f>'Ethylene Recycling HC'!Y163*'Ethylene Recycling HC'!Y45-'Ethylene Recycling HC'!$C$163*'Ethylene Recycling HC'!$C$45</f>
        <v>6847.8683289665887</v>
      </c>
      <c r="AA125" s="183">
        <f>'Ethylene Recycling HC'!Z163*'Ethylene Recycling HC'!Z45-'Ethylene Recycling HC'!$C$163*'Ethylene Recycling HC'!$C$45</f>
        <v>6841.4794834820814</v>
      </c>
      <c r="AB125" s="183">
        <f>'Ethylene Recycling HC'!AA163*'Ethylene Recycling HC'!AA45-'Ethylene Recycling HC'!$C$163*'Ethylene Recycling HC'!$C$45</f>
        <v>6803.5612827033619</v>
      </c>
      <c r="AC125" s="183">
        <f>'Ethylene Recycling HC'!AB163*'Ethylene Recycling HC'!AB45-'Ethylene Recycling HC'!$C$163*'Ethylene Recycling HC'!$C$45</f>
        <v>6735.3105074469322</v>
      </c>
      <c r="AD125" s="183">
        <f>'Ethylene Recycling HC'!AC163*'Ethylene Recycling HC'!AC45-'Ethylene Recycling HC'!$C$163*'Ethylene Recycling HC'!$C$45</f>
        <v>6571.7116899846305</v>
      </c>
      <c r="AE125" s="183">
        <f>'Ethylene Recycling HC'!AD163*'Ethylene Recycling HC'!AD45-'Ethylene Recycling HC'!$C$163*'Ethylene Recycling HC'!$C$45</f>
        <v>6376.0505244217529</v>
      </c>
      <c r="AF125" s="183">
        <f>'Ethylene Recycling HC'!AE163*'Ethylene Recycling HC'!AE45-'Ethylene Recycling HC'!$C$163*'Ethylene Recycling HC'!$C$45</f>
        <v>6149.7256797761838</v>
      </c>
      <c r="AG125" s="183">
        <f>'Ethylene Recycling HC'!AF163*'Ethylene Recycling HC'!AF45-'Ethylene Recycling HC'!$C$163*'Ethylene Recycling HC'!$C$45</f>
        <v>5894.1244187933844</v>
      </c>
      <c r="AH125" s="183">
        <f>'Ethylene Recycling HC'!AG163*'Ethylene Recycling HC'!AG45-'Ethylene Recycling HC'!$C$163*'Ethylene Recycling HC'!$C$45</f>
        <v>5610.6226591533004</v>
      </c>
    </row>
    <row r="126" spans="1:36" outlineLevel="1">
      <c r="A126" s="160"/>
      <c r="B126" s="160" t="s">
        <v>269</v>
      </c>
      <c r="C126" s="156" t="s">
        <v>1420</v>
      </c>
      <c r="D126" s="547">
        <f>0</f>
        <v>0</v>
      </c>
      <c r="E126" s="547">
        <f>'Ethylene Recycling HC'!D115*'Ethylene Recycling HC'!D43-'Ethylene Recycling HC'!$C$115*'Ethylene Recycling HC'!$C$43</f>
        <v>115.38412351623856</v>
      </c>
      <c r="F126" s="547">
        <f>'Ethylene Recycling HC'!E115*'Ethylene Recycling HC'!E43-'Ethylene Recycling HC'!$C$115*'Ethylene Recycling HC'!$C$43</f>
        <v>220.5462395327645</v>
      </c>
      <c r="G126" s="547">
        <f>'Ethylene Recycling HC'!F115*'Ethylene Recycling HC'!F43-'Ethylene Recycling HC'!$C$115*'Ethylene Recycling HC'!$C$43</f>
        <v>315.55233346798241</v>
      </c>
      <c r="H126" s="547">
        <f>'Ethylene Recycling HC'!G115*'Ethylene Recycling HC'!G43-'Ethylene Recycling HC'!$C$115*'Ethylene Recycling HC'!$C$43</f>
        <v>400.4681019430891</v>
      </c>
      <c r="I126" s="547">
        <f>'Ethylene Recycling HC'!H115*'Ethylene Recycling HC'!H43-'Ethylene Recycling HC'!$C$115*'Ethylene Recycling HC'!$C$43</f>
        <v>475.35895383995421</v>
      </c>
      <c r="J126" s="547">
        <f>'Ethylene Recycling HC'!I115*'Ethylene Recycling HC'!I43-'Ethylene Recycling HC'!$C$115*'Ethylene Recycling HC'!$C$43</f>
        <v>540.29001135551061</v>
      </c>
      <c r="K126" s="547">
        <f>'Ethylene Recycling HC'!J115*'Ethylene Recycling HC'!J43-'Ethylene Recycling HC'!$C$115*'Ethylene Recycling HC'!$C$43</f>
        <v>595.32611105264641</v>
      </c>
      <c r="L126" s="547">
        <f>'Ethylene Recycling HC'!K115*'Ethylene Recycling HC'!K43-'Ethylene Recycling HC'!$C$115*'Ethylene Recycling HC'!$C$43</f>
        <v>640.53180490764407</v>
      </c>
      <c r="M126" s="547">
        <f>'Ethylene Recycling HC'!L115*'Ethylene Recycling HC'!L43-'Ethylene Recycling HC'!$C$115*'Ethylene Recycling HC'!$C$43</f>
        <v>675.97136135414621</v>
      </c>
      <c r="N126" s="547">
        <f>'Ethylene Recycling HC'!M115*'Ethylene Recycling HC'!M43-'Ethylene Recycling HC'!$C$115*'Ethylene Recycling HC'!$C$43</f>
        <v>701.70876632367299</v>
      </c>
      <c r="O126" s="547">
        <f>'Ethylene Recycling HC'!N115*'Ethylene Recycling HC'!N43-'Ethylene Recycling HC'!$C$115*'Ethylene Recycling HC'!$C$43</f>
        <v>675.15462343302715</v>
      </c>
      <c r="P126" s="547">
        <f>'Ethylene Recycling HC'!O115*'Ethylene Recycling HC'!O43-'Ethylene Recycling HC'!$C$115*'Ethylene Recycling HC'!$C$43</f>
        <v>642.32784623835914</v>
      </c>
      <c r="Q126" s="547">
        <f>'Ethylene Recycling HC'!P115*'Ethylene Recycling HC'!P43-'Ethylene Recycling HC'!$C$115*'Ethylene Recycling HC'!$C$43</f>
        <v>593.24819775314199</v>
      </c>
      <c r="R126" s="547">
        <f>'Ethylene Recycling HC'!Q115*'Ethylene Recycling HC'!Q43-'Ethylene Recycling HC'!$C$115*'Ethylene Recycling HC'!$C$43</f>
        <v>538.26535178846279</v>
      </c>
      <c r="S126" s="547">
        <f>'Ethylene Recycling HC'!R115*'Ethylene Recycling HC'!R43-'Ethylene Recycling HC'!$C$115*'Ethylene Recycling HC'!$C$43</f>
        <v>477.48502843917822</v>
      </c>
      <c r="T126" s="547">
        <f>'Ethylene Recycling HC'!S115*'Ethylene Recycling HC'!S43-'Ethylene Recycling HC'!$C$115*'Ethylene Recycling HC'!$C$43</f>
        <v>411.01246217556582</v>
      </c>
      <c r="U126" s="547">
        <f>'Ethylene Recycling HC'!T115*'Ethylene Recycling HC'!T43-'Ethylene Recycling HC'!$C$115*'Ethylene Recycling HC'!$C$43</f>
        <v>338.95239744896207</v>
      </c>
      <c r="V126" s="547">
        <f>'Ethylene Recycling HC'!U115*'Ethylene Recycling HC'!U43-'Ethylene Recycling HC'!$C$115*'Ethylene Recycling HC'!$C$43</f>
        <v>261.40908437049347</v>
      </c>
      <c r="W126" s="547">
        <f>'Ethylene Recycling HC'!V115*'Ethylene Recycling HC'!V43-'Ethylene Recycling HC'!$C$115*'Ethylene Recycling HC'!$C$43</f>
        <v>178.48627446227783</v>
      </c>
      <c r="X126" s="547">
        <f>'Ethylene Recycling HC'!W115*'Ethylene Recycling HC'!W43-'Ethylene Recycling HC'!$C$115*'Ethylene Recycling HC'!$C$43</f>
        <v>90.2872164805799</v>
      </c>
      <c r="Y126" s="547">
        <f>'Ethylene Recycling HC'!X115*'Ethylene Recycling HC'!X43-'Ethylene Recycling HC'!$C$115*'Ethylene Recycling HC'!$C$43</f>
        <v>25.14040091527022</v>
      </c>
      <c r="Z126" s="547">
        <f>'Ethylene Recycling HC'!Y115*'Ethylene Recycling HC'!Y43-'Ethylene Recycling HC'!$C$115*'Ethylene Recycling HC'!$C$43</f>
        <v>-48.641977138796847</v>
      </c>
      <c r="AA126" s="547">
        <f>'Ethylene Recycling HC'!Z115*'Ethylene Recycling HC'!Z43-'Ethylene Recycling HC'!$C$115*'Ethylene Recycling HC'!$C$43</f>
        <v>-149.05883681166824</v>
      </c>
      <c r="AB126" s="547">
        <f>'Ethylene Recycling HC'!AA115*'Ethylene Recycling HC'!AA43-'Ethylene Recycling HC'!$C$115*'Ethylene Recycling HC'!$C$43</f>
        <v>-256.48032494994141</v>
      </c>
      <c r="AC126" s="547">
        <f>'Ethylene Recycling HC'!AB115*'Ethylene Recycling HC'!AB43-'Ethylene Recycling HC'!$C$115*'Ethylene Recycling HC'!$C$43</f>
        <v>-370.52161156564853</v>
      </c>
      <c r="AD126" s="547">
        <f>'Ethylene Recycling HC'!AC115*'Ethylene Recycling HC'!AC43-'Ethylene Recycling HC'!$C$115*'Ethylene Recycling HC'!$C$43</f>
        <v>-490.80016331592265</v>
      </c>
      <c r="AE126" s="547">
        <f>'Ethylene Recycling HC'!AD115*'Ethylene Recycling HC'!AD43-'Ethylene Recycling HC'!$C$115*'Ethylene Recycling HC'!$C$43</f>
        <v>-616.93591358906133</v>
      </c>
      <c r="AF126" s="547">
        <f>'Ethylene Recycling HC'!AE115*'Ethylene Recycling HC'!AE43-'Ethylene Recycling HC'!$C$115*'Ethylene Recycling HC'!$C$43</f>
        <v>-748.55143025012353</v>
      </c>
      <c r="AG126" s="547">
        <f>'Ethylene Recycling HC'!AF115*'Ethylene Recycling HC'!AF43-'Ethylene Recycling HC'!$C$115*'Ethylene Recycling HC'!$C$43</f>
        <v>-885.27208106425633</v>
      </c>
      <c r="AH126" s="547">
        <f>'Ethylene Recycling HC'!AG115*'Ethylene Recycling HC'!AG43-'Ethylene Recycling HC'!$C$115*'Ethylene Recycling HC'!$C$43</f>
        <v>-1026.7261968158407</v>
      </c>
    </row>
    <row r="127" spans="1:36" s="62" customFormat="1">
      <c r="A127" s="211"/>
      <c r="B127" s="211" t="s">
        <v>267</v>
      </c>
      <c r="C127" s="212" t="s">
        <v>1420</v>
      </c>
      <c r="D127" s="554">
        <f>D122-D123-D124-D125-D126</f>
        <v>833693.90944694402</v>
      </c>
      <c r="E127" s="554">
        <f t="shared" ref="E127:AH127" si="40">E122-E123-E124-E125-E126</f>
        <v>794455.62116410583</v>
      </c>
      <c r="F127" s="554">
        <f t="shared" si="40"/>
        <v>755860.91675879993</v>
      </c>
      <c r="G127" s="554">
        <f t="shared" si="40"/>
        <v>717911.38950928207</v>
      </c>
      <c r="H127" s="554">
        <f t="shared" si="40"/>
        <v>680608.66372755496</v>
      </c>
      <c r="I127" s="554">
        <f t="shared" si="40"/>
        <v>643954.39422034542</v>
      </c>
      <c r="J127" s="554">
        <f t="shared" si="40"/>
        <v>608102.93572525517</v>
      </c>
      <c r="K127" s="554">
        <f t="shared" si="40"/>
        <v>572950.14491148014</v>
      </c>
      <c r="L127" s="554">
        <f t="shared" si="40"/>
        <v>538496.0452474372</v>
      </c>
      <c r="M127" s="554">
        <f t="shared" si="40"/>
        <v>504740.70239556284</v>
      </c>
      <c r="N127" s="554">
        <f t="shared" si="40"/>
        <v>471684.22362239379</v>
      </c>
      <c r="O127" s="554">
        <f t="shared" si="40"/>
        <v>450553.2482133896</v>
      </c>
      <c r="P127" s="554">
        <f t="shared" si="40"/>
        <v>428679.44419469801</v>
      </c>
      <c r="Q127" s="554">
        <f t="shared" si="40"/>
        <v>408315.91121804918</v>
      </c>
      <c r="R127" s="554">
        <f t="shared" si="40"/>
        <v>388427.18555512658</v>
      </c>
      <c r="S127" s="554">
        <f t="shared" si="40"/>
        <v>369010.01930791425</v>
      </c>
      <c r="T127" s="554">
        <f t="shared" si="40"/>
        <v>349967.87787447579</v>
      </c>
      <c r="U127" s="554">
        <f t="shared" si="40"/>
        <v>331384.38752359379</v>
      </c>
      <c r="V127" s="554">
        <f t="shared" si="40"/>
        <v>313256.71773923456</v>
      </c>
      <c r="W127" s="554">
        <f t="shared" si="40"/>
        <v>295582.0682974105</v>
      </c>
      <c r="X127" s="554">
        <f t="shared" si="40"/>
        <v>278357.66897973832</v>
      </c>
      <c r="Y127" s="554">
        <f t="shared" si="40"/>
        <v>256907.61986658818</v>
      </c>
      <c r="Z127" s="554">
        <f t="shared" si="40"/>
        <v>235802.67559028731</v>
      </c>
      <c r="AA127" s="554">
        <f t="shared" si="40"/>
        <v>215153.69742383924</v>
      </c>
      <c r="AB127" s="554">
        <f t="shared" si="40"/>
        <v>194937.73688775022</v>
      </c>
      <c r="AC127" s="554">
        <f t="shared" si="40"/>
        <v>175151.12369205075</v>
      </c>
      <c r="AD127" s="554">
        <f t="shared" si="40"/>
        <v>155856.42531712697</v>
      </c>
      <c r="AE127" s="554">
        <f t="shared" si="40"/>
        <v>136987.93353198864</v>
      </c>
      <c r="AF127" s="554">
        <f t="shared" si="40"/>
        <v>118541.85250957974</v>
      </c>
      <c r="AG127" s="554">
        <f t="shared" si="40"/>
        <v>100514.42313609649</v>
      </c>
      <c r="AH127" s="554">
        <f t="shared" si="40"/>
        <v>82901.922877659468</v>
      </c>
    </row>
    <row r="128" spans="1:36" s="61" customFormat="1">
      <c r="A128" s="606" t="s">
        <v>608</v>
      </c>
      <c r="B128" s="54" t="s">
        <v>141</v>
      </c>
      <c r="C128" s="55" t="s">
        <v>1420</v>
      </c>
      <c r="D128" s="571">
        <f>D44-('Ethylene Recycling HC'!C91+'Ethylene Recycling HC'!C134+'Ethylene Recycling HC'!C180+'Ethylene Recycling HC'!C199-('Ethylene Recycling HC'!$C$91+'Ethylene Recycling HC'!$C$134+'Ethylene Recycling HC'!$C$180+'Ethylene Recycling HC'!$C$199))</f>
        <v>180037.45454545456</v>
      </c>
      <c r="E128" s="571">
        <f>E44-('Ethylene Recycling HC'!D91+'Ethylene Recycling HC'!D134+'Ethylene Recycling HC'!D180+'Ethylene Recycling HC'!D199-('Ethylene Recycling HC'!$C$91+'Ethylene Recycling HC'!$C$134+'Ethylene Recycling HC'!$C$180+'Ethylene Recycling HC'!$C$199))</f>
        <v>169632.01162882379</v>
      </c>
      <c r="F128" s="571">
        <f>F44-('Ethylene Recycling HC'!E91+'Ethylene Recycling HC'!E134+'Ethylene Recycling HC'!E180+'Ethylene Recycling HC'!E199-('Ethylene Recycling HC'!$C$91+'Ethylene Recycling HC'!$C$134+'Ethylene Recycling HC'!$C$180+'Ethylene Recycling HC'!$C$199))</f>
        <v>159613.65065854174</v>
      </c>
      <c r="G128" s="571">
        <f>G44-('Ethylene Recycling HC'!F91+'Ethylene Recycling HC'!F134+'Ethylene Recycling HC'!F180+'Ethylene Recycling HC'!F199-('Ethylene Recycling HC'!$C$91+'Ethylene Recycling HC'!$C$134+'Ethylene Recycling HC'!$C$180+'Ethylene Recycling HC'!$C$199))</f>
        <v>149977.32386044299</v>
      </c>
      <c r="H128" s="571">
        <f>H44-('Ethylene Recycling HC'!G91+'Ethylene Recycling HC'!G134+'Ethylene Recycling HC'!G180+'Ethylene Recycling HC'!G199-('Ethylene Recycling HC'!$C$91+'Ethylene Recycling HC'!$C$134+'Ethylene Recycling HC'!$C$180+'Ethylene Recycling HC'!$C$199))</f>
        <v>140717.7672260812</v>
      </c>
      <c r="I128" s="571">
        <f>I44-('Ethylene Recycling HC'!H91+'Ethylene Recycling HC'!H134+'Ethylene Recycling HC'!H180+'Ethylene Recycling HC'!H199-('Ethylene Recycling HC'!$C$91+'Ethylene Recycling HC'!$C$134+'Ethylene Recycling HC'!$C$180+'Ethylene Recycling HC'!$C$199))</f>
        <v>131829.50000552545</v>
      </c>
      <c r="J128" s="571">
        <f>J44-('Ethylene Recycling HC'!I91+'Ethylene Recycling HC'!I134+'Ethylene Recycling HC'!I180+'Ethylene Recycling HC'!I199-('Ethylene Recycling HC'!$C$91+'Ethylene Recycling HC'!$C$134+'Ethylene Recycling HC'!$C$180+'Ethylene Recycling HC'!$C$199))</f>
        <v>123306.82422370129</v>
      </c>
      <c r="K128" s="571">
        <f>K44-('Ethylene Recycling HC'!J91+'Ethylene Recycling HC'!J134+'Ethylene Recycling HC'!J180+'Ethylene Recycling HC'!J199-('Ethylene Recycling HC'!$C$91+'Ethylene Recycling HC'!$C$134+'Ethylene Recycling HC'!$C$180+'Ethylene Recycling HC'!$C$199))</f>
        <v>115143.8242200455</v>
      </c>
      <c r="L128" s="571">
        <f>L44-('Ethylene Recycling HC'!K91+'Ethylene Recycling HC'!K134+'Ethylene Recycling HC'!K180+'Ethylene Recycling HC'!K199-('Ethylene Recycling HC'!$C$91+'Ethylene Recycling HC'!$C$134+'Ethylene Recycling HC'!$C$180+'Ethylene Recycling HC'!$C$199))</f>
        <v>107334.36621125319</v>
      </c>
      <c r="M128" s="571">
        <f>M44-('Ethylene Recycling HC'!L91+'Ethylene Recycling HC'!L134+'Ethylene Recycling HC'!L180+'Ethylene Recycling HC'!L199-('Ethylene Recycling HC'!$C$91+'Ethylene Recycling HC'!$C$134+'Ethylene Recycling HC'!$C$180+'Ethylene Recycling HC'!$C$199))</f>
        <v>99872.097876889893</v>
      </c>
      <c r="N128" s="571">
        <f>N44-('Ethylene Recycling HC'!M91+'Ethylene Recycling HC'!M134+'Ethylene Recycling HC'!M180+'Ethylene Recycling HC'!M199-('Ethylene Recycling HC'!$C$91+'Ethylene Recycling HC'!$C$134+'Ethylene Recycling HC'!$C$180+'Ethylene Recycling HC'!$C$199))</f>
        <v>92750.447967647007</v>
      </c>
      <c r="O128" s="571">
        <f>O44-('Ethylene Recycling HC'!N91+'Ethylene Recycling HC'!N134+'Ethylene Recycling HC'!N180+'Ethylene Recycling HC'!N199-('Ethylene Recycling HC'!$C$91+'Ethylene Recycling HC'!$C$134+'Ethylene Recycling HC'!$C$180+'Ethylene Recycling HC'!$C$199))</f>
        <v>94284.068621980361</v>
      </c>
      <c r="P128" s="571">
        <f>P44-('Ethylene Recycling HC'!O91+'Ethylene Recycling HC'!O134+'Ethylene Recycling HC'!O180+'Ethylene Recycling HC'!O199-('Ethylene Recycling HC'!$C$91+'Ethylene Recycling HC'!$C$134+'Ethylene Recycling HC'!$C$180+'Ethylene Recycling HC'!$C$199))</f>
        <v>94747.351520771088</v>
      </c>
      <c r="Q128" s="571">
        <f>Q44-('Ethylene Recycling HC'!P91+'Ethylene Recycling HC'!P134+'Ethylene Recycling HC'!P180+'Ethylene Recycling HC'!P199-('Ethylene Recycling HC'!$C$91+'Ethylene Recycling HC'!$C$134+'Ethylene Recycling HC'!$C$180+'Ethylene Recycling HC'!$C$199))</f>
        <v>96092.171993007549</v>
      </c>
      <c r="R128" s="571">
        <f>R44-('Ethylene Recycling HC'!Q91+'Ethylene Recycling HC'!Q134+'Ethylene Recycling HC'!Q180+'Ethylene Recycling HC'!Q199-('Ethylene Recycling HC'!$C$91+'Ethylene Recycling HC'!$C$134+'Ethylene Recycling HC'!$C$180+'Ethylene Recycling HC'!$C$199))</f>
        <v>97415.180957464545</v>
      </c>
      <c r="S128" s="571">
        <f>S44-('Ethylene Recycling HC'!R91+'Ethylene Recycling HC'!R134+'Ethylene Recycling HC'!R180+'Ethylene Recycling HC'!R199-('Ethylene Recycling HC'!$C$91+'Ethylene Recycling HC'!$C$134+'Ethylene Recycling HC'!$C$180+'Ethylene Recycling HC'!$C$199))</f>
        <v>98712.047307856017</v>
      </c>
      <c r="T128" s="571">
        <f>T44-('Ethylene Recycling HC'!S91+'Ethylene Recycling HC'!S134+'Ethylene Recycling HC'!S180+'Ethylene Recycling HC'!S199-('Ethylene Recycling HC'!$C$91+'Ethylene Recycling HC'!$C$134+'Ethylene Recycling HC'!$C$180+'Ethylene Recycling HC'!$C$199))</f>
        <v>99978.412256951109</v>
      </c>
      <c r="U128" s="571">
        <f>U44-('Ethylene Recycling HC'!T91+'Ethylene Recycling HC'!T134+'Ethylene Recycling HC'!T180+'Ethylene Recycling HC'!T199-('Ethylene Recycling HC'!$C$91+'Ethylene Recycling HC'!$C$134+'Ethylene Recycling HC'!$C$180+'Ethylene Recycling HC'!$C$199))</f>
        <v>101209.88915178931</v>
      </c>
      <c r="V128" s="571">
        <f>V44-('Ethylene Recycling HC'!U91+'Ethylene Recycling HC'!U134+'Ethylene Recycling HC'!U180+'Ethylene Recycling HC'!U199-('Ethylene Recycling HC'!$C$91+'Ethylene Recycling HC'!$C$134+'Ethylene Recycling HC'!$C$180+'Ethylene Recycling HC'!$C$199))</f>
        <v>102402.06329283744</v>
      </c>
      <c r="W128" s="571">
        <f>W44-('Ethylene Recycling HC'!V91+'Ethylene Recycling HC'!V134+'Ethylene Recycling HC'!V180+'Ethylene Recycling HC'!V199-('Ethylene Recycling HC'!$C$91+'Ethylene Recycling HC'!$C$134+'Ethylene Recycling HC'!$C$180+'Ethylene Recycling HC'!$C$199))</f>
        <v>103550.49175708216</v>
      </c>
      <c r="X128" s="571">
        <f>X44-('Ethylene Recycling HC'!W91+'Ethylene Recycling HC'!W134+'Ethylene Recycling HC'!W180+'Ethylene Recycling HC'!W199-('Ethylene Recycling HC'!$C$91+'Ethylene Recycling HC'!$C$134+'Ethylene Recycling HC'!$C$180+'Ethylene Recycling HC'!$C$199))</f>
        <v>104650.7032250544</v>
      </c>
      <c r="Y128" s="571">
        <f>Y44-('Ethylene Recycling HC'!X91+'Ethylene Recycling HC'!X134+'Ethylene Recycling HC'!X180+'Ethylene Recycling HC'!X199-('Ethylene Recycling HC'!$C$91+'Ethylene Recycling HC'!$C$134+'Ethylene Recycling HC'!$C$180+'Ethylene Recycling HC'!$C$199))</f>
        <v>103529.77687021617</v>
      </c>
      <c r="Z128" s="571">
        <f>Z44-('Ethylene Recycling HC'!Y91+'Ethylene Recycling HC'!Y134+'Ethylene Recycling HC'!Y180+'Ethylene Recycling HC'!Y199-('Ethylene Recycling HC'!$C$91+'Ethylene Recycling HC'!$C$134+'Ethylene Recycling HC'!$C$180+'Ethylene Recycling HC'!$C$199))</f>
        <v>102268.90190742871</v>
      </c>
      <c r="AA128" s="571">
        <f>AA44-('Ethylene Recycling HC'!Z91+'Ethylene Recycling HC'!Z134+'Ethylene Recycling HC'!Z180+'Ethylene Recycling HC'!Z199-('Ethylene Recycling HC'!$C$91+'Ethylene Recycling HC'!$C$134+'Ethylene Recycling HC'!$C$180+'Ethylene Recycling HC'!$C$199))</f>
        <v>100948.44935203214</v>
      </c>
      <c r="AB128" s="571">
        <f>AB44-('Ethylene Recycling HC'!AA91+'Ethylene Recycling HC'!AA134+'Ethylene Recycling HC'!AA180+'Ethylene Recycling HC'!AA199-('Ethylene Recycling HC'!$C$91+'Ethylene Recycling HC'!$C$134+'Ethylene Recycling HC'!$C$180+'Ethylene Recycling HC'!$C$199))</f>
        <v>99553.600367033854</v>
      </c>
      <c r="AC128" s="571">
        <f>AC44-('Ethylene Recycling HC'!AB91+'Ethylene Recycling HC'!AB134+'Ethylene Recycling HC'!AB180+'Ethylene Recycling HC'!AB199-('Ethylene Recycling HC'!$C$91+'Ethylene Recycling HC'!$C$134+'Ethylene Recycling HC'!$C$180+'Ethylene Recycling HC'!$C$199))</f>
        <v>98080.916221997046</v>
      </c>
      <c r="AD128" s="571">
        <f>AD44-('Ethylene Recycling HC'!AC91+'Ethylene Recycling HC'!AC134+'Ethylene Recycling HC'!AC180+'Ethylene Recycling HC'!AC199-('Ethylene Recycling HC'!$C$91+'Ethylene Recycling HC'!$C$134+'Ethylene Recycling HC'!$C$180+'Ethylene Recycling HC'!$C$199))</f>
        <v>96526.964141863107</v>
      </c>
      <c r="AE128" s="571">
        <f>AE44-('Ethylene Recycling HC'!AD91+'Ethylene Recycling HC'!AD134+'Ethylene Recycling HC'!AD180+'Ethylene Recycling HC'!AD199-('Ethylene Recycling HC'!$C$91+'Ethylene Recycling HC'!$C$134+'Ethylene Recycling HC'!$C$180+'Ethylene Recycling HC'!$C$199))</f>
        <v>94888.316428426537</v>
      </c>
      <c r="AF128" s="571">
        <f>AF44-('Ethylene Recycling HC'!AE91+'Ethylene Recycling HC'!AE134+'Ethylene Recycling HC'!AE180+'Ethylene Recycling HC'!AE199-('Ethylene Recycling HC'!$C$91+'Ethylene Recycling HC'!$C$134+'Ethylene Recycling HC'!$C$180+'Ethylene Recycling HC'!$C$199))</f>
        <v>93161.549570766962</v>
      </c>
      <c r="AG128" s="571">
        <f>AG44-('Ethylene Recycling HC'!AF91+'Ethylene Recycling HC'!AF134+'Ethylene Recycling HC'!AF180+'Ethylene Recycling HC'!AF199-('Ethylene Recycling HC'!$C$91+'Ethylene Recycling HC'!$C$134+'Ethylene Recycling HC'!$C$180+'Ethylene Recycling HC'!$C$199))</f>
        <v>91343.243345685085</v>
      </c>
      <c r="AH128" s="571">
        <f>AH44-('Ethylene Recycling HC'!AG91+'Ethylene Recycling HC'!AG134+'Ethylene Recycling HC'!AG180+'Ethylene Recycling HC'!AG199-('Ethylene Recycling HC'!$C$91+'Ethylene Recycling HC'!$C$134+'Ethylene Recycling HC'!$C$180+'Ethylene Recycling HC'!$C$199))</f>
        <v>89429.979909172776</v>
      </c>
      <c r="AI128" s="56"/>
    </row>
    <row r="129" spans="1:36">
      <c r="A129" s="607"/>
      <c r="B129" s="1" t="s">
        <v>18</v>
      </c>
      <c r="C129" s="50" t="s">
        <v>1420</v>
      </c>
      <c r="D129" s="183">
        <f>D45+(D133-D49)</f>
        <v>64852.242082509627</v>
      </c>
      <c r="E129" s="183">
        <f t="shared" ref="E129:AH129" si="41">E45+(E133-E49)</f>
        <v>62472.835676032169</v>
      </c>
      <c r="F129" s="183">
        <f t="shared" si="41"/>
        <v>60039.980312029045</v>
      </c>
      <c r="G129" s="183">
        <f t="shared" si="41"/>
        <v>57556.682431338988</v>
      </c>
      <c r="H129" s="183">
        <f t="shared" si="41"/>
        <v>55025.969628025094</v>
      </c>
      <c r="I129" s="183">
        <f t="shared" si="41"/>
        <v>52450.890712306595</v>
      </c>
      <c r="J129" s="183">
        <f t="shared" si="41"/>
        <v>49865.04916817254</v>
      </c>
      <c r="K129" s="183">
        <f t="shared" si="41"/>
        <v>47262.103506414642</v>
      </c>
      <c r="L129" s="183">
        <f t="shared" si="41"/>
        <v>44649.389126189126</v>
      </c>
      <c r="M129" s="183">
        <f t="shared" si="41"/>
        <v>42034.037727659117</v>
      </c>
      <c r="N129" s="183">
        <f t="shared" si="41"/>
        <v>39422.979637280965</v>
      </c>
      <c r="O129" s="183">
        <f t="shared" si="41"/>
        <v>37069.067367714655</v>
      </c>
      <c r="P129" s="183">
        <f t="shared" si="41"/>
        <v>34741.065244946774</v>
      </c>
      <c r="Q129" s="183">
        <f t="shared" si="41"/>
        <v>32485.050322610859</v>
      </c>
      <c r="R129" s="183">
        <f t="shared" si="41"/>
        <v>30285.672327690987</v>
      </c>
      <c r="S129" s="183">
        <f t="shared" si="41"/>
        <v>28146.174724962977</v>
      </c>
      <c r="T129" s="183">
        <f t="shared" si="41"/>
        <v>26019.890688218744</v>
      </c>
      <c r="U129" s="183">
        <f t="shared" si="41"/>
        <v>23949.642222919709</v>
      </c>
      <c r="V129" s="183">
        <f t="shared" si="41"/>
        <v>21937.794977333549</v>
      </c>
      <c r="W129" s="183">
        <f t="shared" si="41"/>
        <v>19986.619242692082</v>
      </c>
      <c r="X129" s="183">
        <f t="shared" si="41"/>
        <v>18098.290964158434</v>
      </c>
      <c r="Y129" s="183">
        <f t="shared" si="41"/>
        <v>16061.149458529453</v>
      </c>
      <c r="Z129" s="183">
        <f t="shared" si="41"/>
        <v>14080.660300768468</v>
      </c>
      <c r="AA129" s="183">
        <f t="shared" si="41"/>
        <v>12162.814897832801</v>
      </c>
      <c r="AB129" s="183">
        <f t="shared" si="41"/>
        <v>10310.249937525663</v>
      </c>
      <c r="AC129" s="183">
        <f t="shared" si="41"/>
        <v>8525.4560826379748</v>
      </c>
      <c r="AD129" s="183">
        <f t="shared" si="41"/>
        <v>6868.1539748629002</v>
      </c>
      <c r="AE129" s="183">
        <f t="shared" si="41"/>
        <v>5291.270708523607</v>
      </c>
      <c r="AF129" s="183">
        <f t="shared" si="41"/>
        <v>3797.0621924982588</v>
      </c>
      <c r="AG129" s="183">
        <f t="shared" si="41"/>
        <v>2387.6154871912368</v>
      </c>
      <c r="AH129" s="183">
        <f t="shared" si="41"/>
        <v>1064.8506083388329</v>
      </c>
      <c r="AI129" s="40"/>
    </row>
    <row r="130" spans="1:36">
      <c r="A130" s="607"/>
      <c r="B130" s="1" t="s">
        <v>607</v>
      </c>
      <c r="C130" s="50" t="s">
        <v>1420</v>
      </c>
      <c r="D130" s="183">
        <f>D46+(D132-D48)</f>
        <v>641154.61098030512</v>
      </c>
      <c r="E130" s="183">
        <f t="shared" ref="E130:AH130" si="42">E46+(E132-E48)</f>
        <v>614930.24681992864</v>
      </c>
      <c r="F130" s="183">
        <f t="shared" si="42"/>
        <v>589064.65937447874</v>
      </c>
      <c r="G130" s="183">
        <f t="shared" si="42"/>
        <v>563558.36533728894</v>
      </c>
      <c r="H130" s="183">
        <f t="shared" si="42"/>
        <v>538412.0070716698</v>
      </c>
      <c r="I130" s="183">
        <f t="shared" si="42"/>
        <v>513626.35244475171</v>
      </c>
      <c r="J130" s="183">
        <f t="shared" si="42"/>
        <v>489202.29465435049</v>
      </c>
      <c r="K130" s="183">
        <f t="shared" si="42"/>
        <v>465140.85204892396</v>
      </c>
      <c r="L130" s="183">
        <f t="shared" si="42"/>
        <v>441443.16794070345</v>
      </c>
      <c r="M130" s="183">
        <f t="shared" si="42"/>
        <v>418110.51041206729</v>
      </c>
      <c r="N130" s="183">
        <f t="shared" si="42"/>
        <v>395144.27211523417</v>
      </c>
      <c r="O130" s="183">
        <f t="shared" si="42"/>
        <v>374496.03700736945</v>
      </c>
      <c r="P130" s="183">
        <f t="shared" si="42"/>
        <v>354170.32460314047</v>
      </c>
      <c r="Q130" s="183">
        <f t="shared" si="42"/>
        <v>334294.46554925758</v>
      </c>
      <c r="R130" s="183">
        <f t="shared" si="42"/>
        <v>314810.77435602574</v>
      </c>
      <c r="S130" s="183">
        <f t="shared" si="42"/>
        <v>295718.36996326642</v>
      </c>
      <c r="T130" s="183">
        <f t="shared" si="42"/>
        <v>277016.41081889858</v>
      </c>
      <c r="U130" s="183">
        <f t="shared" si="42"/>
        <v>258704.09469280177</v>
      </c>
      <c r="V130" s="183">
        <f t="shared" si="42"/>
        <v>240780.65849090068</v>
      </c>
      <c r="W130" s="183">
        <f t="shared" si="42"/>
        <v>223245.37806946813</v>
      </c>
      <c r="X130" s="183">
        <f t="shared" si="42"/>
        <v>206097.56804963795</v>
      </c>
      <c r="Y130" s="183">
        <f t="shared" si="42"/>
        <v>187413.126173342</v>
      </c>
      <c r="Z130" s="183">
        <f t="shared" si="42"/>
        <v>169142.83359536738</v>
      </c>
      <c r="AA130" s="183">
        <f t="shared" si="42"/>
        <v>151296.64418250107</v>
      </c>
      <c r="AB130" s="183">
        <f t="shared" si="42"/>
        <v>133871.08073542971</v>
      </c>
      <c r="AC130" s="183">
        <f t="shared" si="42"/>
        <v>116864.57912599212</v>
      </c>
      <c r="AD130" s="183">
        <f t="shared" si="42"/>
        <v>100275.60623059618</v>
      </c>
      <c r="AE130" s="183">
        <f t="shared" si="42"/>
        <v>84102.659975787115</v>
      </c>
      <c r="AF130" s="183">
        <f t="shared" si="42"/>
        <v>68344.269386011452</v>
      </c>
      <c r="AG130" s="183">
        <f t="shared" si="42"/>
        <v>52998.994633306254</v>
      </c>
      <c r="AH130" s="183">
        <f t="shared" si="42"/>
        <v>38065.427088648474</v>
      </c>
      <c r="AI130" s="40"/>
    </row>
    <row r="131" spans="1:36">
      <c r="A131" s="608"/>
      <c r="B131" s="1" t="s">
        <v>27</v>
      </c>
      <c r="C131" s="50" t="s">
        <v>1420</v>
      </c>
      <c r="D131" s="183">
        <f>D47-('Ethylene Recycling HC'!C92+'Ethylene Recycling HC'!C135+'Ethylene Recycling HC'!C181+'Ethylene Recycling HC'!C200-('Ethylene Recycling HC'!$C$92+'Ethylene Recycling HC'!$C$135+'Ethylene Recycling HC'!$C$181+'Ethylene Recycling HC'!$C$200)+'Ethylene Recycling HC'!C95+'Ethylene Recycling HC'!C138+'Ethylene Recycling HC'!C184+'Ethylene Recycling HC'!C203-('Ethylene Recycling HC'!$C$95+'Ethylene Recycling HC'!$C$138+'Ethylene Recycling HC'!$C$184+'Ethylene Recycling HC'!$C$203))</f>
        <v>-52350.398161325254</v>
      </c>
      <c r="E131" s="183">
        <f>E47-('Ethylene Recycling HC'!D92+'Ethylene Recycling HC'!D135+'Ethylene Recycling HC'!D181+'Ethylene Recycling HC'!D200-('Ethylene Recycling HC'!$C$92+'Ethylene Recycling HC'!$C$135+'Ethylene Recycling HC'!$C$181+'Ethylene Recycling HC'!$C$200)+'Ethylene Recycling HC'!D95+'Ethylene Recycling HC'!D138+'Ethylene Recycling HC'!D184+'Ethylene Recycling HC'!D203-('Ethylene Recycling HC'!$C$95+'Ethylene Recycling HC'!$C$138+'Ethylene Recycling HC'!$C$184+'Ethylene Recycling HC'!$C$203))</f>
        <v>-51756.337984873651</v>
      </c>
      <c r="F131" s="183">
        <f>F47-('Ethylene Recycling HC'!E92+'Ethylene Recycling HC'!E135+'Ethylene Recycling HC'!E181+'Ethylene Recycling HC'!E200-('Ethylene Recycling HC'!$C$92+'Ethylene Recycling HC'!$C$135+'Ethylene Recycling HC'!$C$181+'Ethylene Recycling HC'!$C$200)+'Ethylene Recycling HC'!E95+'Ethylene Recycling HC'!E138+'Ethylene Recycling HC'!E184+'Ethylene Recycling HC'!E203-('Ethylene Recycling HC'!$C$95+'Ethylene Recycling HC'!$C$138+'Ethylene Recycling HC'!$C$184+'Ethylene Recycling HC'!$C$203))</f>
        <v>-51282.276942838049</v>
      </c>
      <c r="G131" s="183">
        <f>G47-('Ethylene Recycling HC'!F92+'Ethylene Recycling HC'!F135+'Ethylene Recycling HC'!F181+'Ethylene Recycling HC'!F200-('Ethylene Recycling HC'!$C$92+'Ethylene Recycling HC'!$C$135+'Ethylene Recycling HC'!$C$181+'Ethylene Recycling HC'!$C$200)+'Ethylene Recycling HC'!F95+'Ethylene Recycling HC'!F138+'Ethylene Recycling HC'!F184+'Ethylene Recycling HC'!F203-('Ethylene Recycling HC'!$C$95+'Ethylene Recycling HC'!$C$138+'Ethylene Recycling HC'!$C$184+'Ethylene Recycling HC'!$C$203))</f>
        <v>-50923.317880297327</v>
      </c>
      <c r="H131" s="183">
        <f>H47-('Ethylene Recycling HC'!G92+'Ethylene Recycling HC'!G135+'Ethylene Recycling HC'!G181+'Ethylene Recycling HC'!G200-('Ethylene Recycling HC'!$C$92+'Ethylene Recycling HC'!$C$135+'Ethylene Recycling HC'!$C$181+'Ethylene Recycling HC'!$C$200)+'Ethylene Recycling HC'!G95+'Ethylene Recycling HC'!G138+'Ethylene Recycling HC'!G184+'Ethylene Recycling HC'!G203-('Ethylene Recycling HC'!$C$95+'Ethylene Recycling HC'!$C$138+'Ethylene Recycling HC'!$C$184+'Ethylene Recycling HC'!$C$203))</f>
        <v>-50674.47686297098</v>
      </c>
      <c r="I131" s="183">
        <f>I47-('Ethylene Recycling HC'!H92+'Ethylene Recycling HC'!H135+'Ethylene Recycling HC'!H181+'Ethylene Recycling HC'!H200-('Ethylene Recycling HC'!$C$92+'Ethylene Recycling HC'!$C$135+'Ethylene Recycling HC'!$C$181+'Ethylene Recycling HC'!$C$200)+'Ethylene Recycling HC'!H95+'Ethylene Recycling HC'!H138+'Ethylene Recycling HC'!H184+'Ethylene Recycling HC'!H203-('Ethylene Recycling HC'!$C$95+'Ethylene Recycling HC'!$C$138+'Ethylene Recycling HC'!$C$184+'Ethylene Recycling HC'!$C$203))</f>
        <v>-50530.683034124078</v>
      </c>
      <c r="J131" s="183">
        <f>J47-('Ethylene Recycling HC'!I92+'Ethylene Recycling HC'!I135+'Ethylene Recycling HC'!I181+'Ethylene Recycling HC'!I200-('Ethylene Recycling HC'!$C$92+'Ethylene Recycling HC'!$C$135+'Ethylene Recycling HC'!$C$181+'Ethylene Recycling HC'!$C$200)+'Ethylene Recycling HC'!I95+'Ethylene Recycling HC'!I138+'Ethylene Recycling HC'!I184+'Ethylene Recycling HC'!I203-('Ethylene Recycling HC'!$C$95+'Ethylene Recycling HC'!$C$138+'Ethylene Recycling HC'!$C$184+'Ethylene Recycling HC'!$C$203))</f>
        <v>-50486.777884298484</v>
      </c>
      <c r="K131" s="183">
        <f>K47-('Ethylene Recycling HC'!J92+'Ethylene Recycling HC'!J135+'Ethylene Recycling HC'!J181+'Ethylene Recycling HC'!J200-('Ethylene Recycling HC'!$C$92+'Ethylene Recycling HC'!$C$135+'Ethylene Recycling HC'!$C$181+'Ethylene Recycling HC'!$C$200)+'Ethylene Recycling HC'!J95+'Ethylene Recycling HC'!J138+'Ethylene Recycling HC'!J184+'Ethylene Recycling HC'!J203-('Ethylene Recycling HC'!$C$95+'Ethylene Recycling HC'!$C$138+'Ethylene Recycling HC'!$C$184+'Ethylene Recycling HC'!$C$203))</f>
        <v>-50537.516503817737</v>
      </c>
      <c r="L131" s="183">
        <f>L47-('Ethylene Recycling HC'!K92+'Ethylene Recycling HC'!K135+'Ethylene Recycling HC'!K181+'Ethylene Recycling HC'!K200-('Ethylene Recycling HC'!$C$92+'Ethylene Recycling HC'!$C$135+'Ethylene Recycling HC'!$C$181+'Ethylene Recycling HC'!$C$200)+'Ethylene Recycling HC'!K95+'Ethylene Recycling HC'!K138+'Ethylene Recycling HC'!K184+'Ethylene Recycling HC'!K203-('Ethylene Recycling HC'!$C$95+'Ethylene Recycling HC'!$C$138+'Ethylene Recycling HC'!$C$184+'Ethylene Recycling HC'!$C$203))</f>
        <v>-50677.566419767805</v>
      </c>
      <c r="M131" s="183">
        <f>M47-('Ethylene Recycling HC'!L92+'Ethylene Recycling HC'!L135+'Ethylene Recycling HC'!L181+'Ethylene Recycling HC'!L200-('Ethylene Recycling HC'!$C$92+'Ethylene Recycling HC'!$C$135+'Ethylene Recycling HC'!$C$181+'Ethylene Recycling HC'!$C$200)+'Ethylene Recycling HC'!L95+'Ethylene Recycling HC'!L138+'Ethylene Recycling HC'!L184+'Ethylene Recycling HC'!L203-('Ethylene Recycling HC'!$C$95+'Ethylene Recycling HC'!$C$138+'Ethylene Recycling HC'!$C$184+'Ethylene Recycling HC'!$C$203))</f>
        <v>-50901.50776057702</v>
      </c>
      <c r="N131" s="183">
        <f>N47-('Ethylene Recycling HC'!M92+'Ethylene Recycling HC'!M135+'Ethylene Recycling HC'!M181+'Ethylene Recycling HC'!M200-('Ethylene Recycling HC'!$C$92+'Ethylene Recycling HC'!$C$135+'Ethylene Recycling HC'!$C$181+'Ethylene Recycling HC'!$C$200)+'Ethylene Recycling HC'!M95+'Ethylene Recycling HC'!M138+'Ethylene Recycling HC'!M184+'Ethylene Recycling HC'!M203-('Ethylene Recycling HC'!$C$95+'Ethylene Recycling HC'!$C$138+'Ethylene Recycling HC'!$C$184+'Ethylene Recycling HC'!$C$203))</f>
        <v>-51203.833158308698</v>
      </c>
      <c r="O131" s="183">
        <f>O47-('Ethylene Recycling HC'!N92+'Ethylene Recycling HC'!N135+'Ethylene Recycling HC'!N181+'Ethylene Recycling HC'!N200-('Ethylene Recycling HC'!$C$92+'Ethylene Recycling HC'!$C$135+'Ethylene Recycling HC'!$C$181+'Ethylene Recycling HC'!$C$200)+'Ethylene Recycling HC'!N95+'Ethylene Recycling HC'!N138+'Ethylene Recycling HC'!N184+'Ethylene Recycling HC'!N203-('Ethylene Recycling HC'!$C$95+'Ethylene Recycling HC'!$C$138+'Ethylene Recycling HC'!$C$184+'Ethylene Recycling HC'!$C$203))</f>
        <v>-50991.320909745133</v>
      </c>
      <c r="P131" s="183">
        <f>P47-('Ethylene Recycling HC'!O92+'Ethylene Recycling HC'!O135+'Ethylene Recycling HC'!O181+'Ethylene Recycling HC'!O200-('Ethylene Recycling HC'!$C$92+'Ethylene Recycling HC'!$C$135+'Ethylene Recycling HC'!$C$181+'Ethylene Recycling HC'!$C$200)+'Ethylene Recycling HC'!O95+'Ethylene Recycling HC'!O138+'Ethylene Recycling HC'!O184+'Ethylene Recycling HC'!O203-('Ethylene Recycling HC'!$C$95+'Ethylene Recycling HC'!$C$138+'Ethylene Recycling HC'!$C$184+'Ethylene Recycling HC'!$C$203))</f>
        <v>-50827.343240417184</v>
      </c>
      <c r="Q131" s="183">
        <f>Q47-('Ethylene Recycling HC'!P92+'Ethylene Recycling HC'!P135+'Ethylene Recycling HC'!P181+'Ethylene Recycling HC'!P200-('Ethylene Recycling HC'!$C$92+'Ethylene Recycling HC'!$C$135+'Ethylene Recycling HC'!$C$181+'Ethylene Recycling HC'!$C$200)+'Ethylene Recycling HC'!P95+'Ethylene Recycling HC'!P138+'Ethylene Recycling HC'!P184+'Ethylene Recycling HC'!P203-('Ethylene Recycling HC'!$C$95+'Ethylene Recycling HC'!$C$138+'Ethylene Recycling HC'!$C$184+'Ethylene Recycling HC'!$C$203))</f>
        <v>-50577.708532012766</v>
      </c>
      <c r="R131" s="183">
        <f>R47-('Ethylene Recycling HC'!Q92+'Ethylene Recycling HC'!Q135+'Ethylene Recycling HC'!Q181+'Ethylene Recycling HC'!Q200-('Ethylene Recycling HC'!$C$92+'Ethylene Recycling HC'!$C$135+'Ethylene Recycling HC'!$C$181+'Ethylene Recycling HC'!$C$200)+'Ethylene Recycling HC'!Q95+'Ethylene Recycling HC'!Q138+'Ethylene Recycling HC'!Q184+'Ethylene Recycling HC'!Q203-('Ethylene Recycling HC'!$C$95+'Ethylene Recycling HC'!$C$138+'Ethylene Recycling HC'!$C$184+'Ethylene Recycling HC'!$C$203))</f>
        <v>-50300.020868879481</v>
      </c>
      <c r="S131" s="183">
        <f>S47-('Ethylene Recycling HC'!R92+'Ethylene Recycling HC'!R135+'Ethylene Recycling HC'!R181+'Ethylene Recycling HC'!R200-('Ethylene Recycling HC'!$C$92+'Ethylene Recycling HC'!$C$135+'Ethylene Recycling HC'!$C$181+'Ethylene Recycling HC'!$C$200)+'Ethylene Recycling HC'!R95+'Ethylene Recycling HC'!R138+'Ethylene Recycling HC'!R184+'Ethylene Recycling HC'!R203-('Ethylene Recycling HC'!$C$95+'Ethylene Recycling HC'!$C$138+'Ethylene Recycling HC'!$C$184+'Ethylene Recycling HC'!$C$203))</f>
        <v>-49991.774522357628</v>
      </c>
      <c r="T131" s="183">
        <f>T47-('Ethylene Recycling HC'!S92+'Ethylene Recycling HC'!S135+'Ethylene Recycling HC'!S181+'Ethylene Recycling HC'!S200-('Ethylene Recycling HC'!$C$92+'Ethylene Recycling HC'!$C$135+'Ethylene Recycling HC'!$C$181+'Ethylene Recycling HC'!$C$200)+'Ethylene Recycling HC'!S95+'Ethylene Recycling HC'!S138+'Ethylene Recycling HC'!S184+'Ethylene Recycling HC'!S203-('Ethylene Recycling HC'!$C$95+'Ethylene Recycling HC'!$C$138+'Ethylene Recycling HC'!$C$184+'Ethylene Recycling HC'!$C$203))</f>
        <v>-49650.457231698951</v>
      </c>
      <c r="U131" s="183">
        <f>U47-('Ethylene Recycling HC'!T92+'Ethylene Recycling HC'!T135+'Ethylene Recycling HC'!T181+'Ethylene Recycling HC'!T200-('Ethylene Recycling HC'!$C$92+'Ethylene Recycling HC'!$C$135+'Ethylene Recycling HC'!$C$181+'Ethylene Recycling HC'!$C$200)+'Ethylene Recycling HC'!T95+'Ethylene Recycling HC'!T138+'Ethylene Recycling HC'!T184+'Ethylene Recycling HC'!T203-('Ethylene Recycling HC'!$C$95+'Ethylene Recycling HC'!$C$138+'Ethylene Recycling HC'!$C$184+'Ethylene Recycling HC'!$C$203))</f>
        <v>-49273.547345189829</v>
      </c>
      <c r="V131" s="183">
        <f>V47-('Ethylene Recycling HC'!U92+'Ethylene Recycling HC'!U135+'Ethylene Recycling HC'!U181+'Ethylene Recycling HC'!U200-('Ethylene Recycling HC'!$C$92+'Ethylene Recycling HC'!$C$135+'Ethylene Recycling HC'!$C$181+'Ethylene Recycling HC'!$C$200)+'Ethylene Recycling HC'!U95+'Ethylene Recycling HC'!U138+'Ethylene Recycling HC'!U184+'Ethylene Recycling HC'!U203-('Ethylene Recycling HC'!$C$95+'Ethylene Recycling HC'!$C$138+'Ethylene Recycling HC'!$C$184+'Ethylene Recycling HC'!$C$203))</f>
        <v>-48858.516224689993</v>
      </c>
      <c r="W131" s="183">
        <f>W47-('Ethylene Recycling HC'!V92+'Ethylene Recycling HC'!V135+'Ethylene Recycling HC'!V181+'Ethylene Recycling HC'!V200-('Ethylene Recycling HC'!$C$92+'Ethylene Recycling HC'!$C$135+'Ethylene Recycling HC'!$C$181+'Ethylene Recycling HC'!$C$200)+'Ethylene Recycling HC'!V95+'Ethylene Recycling HC'!V138+'Ethylene Recycling HC'!V184+'Ethylene Recycling HC'!V203-('Ethylene Recycling HC'!$C$95+'Ethylene Recycling HC'!$C$138+'Ethylene Recycling HC'!$C$184+'Ethylene Recycling HC'!$C$203))</f>
        <v>-48402.827325374928</v>
      </c>
      <c r="X131" s="183">
        <f>X47-('Ethylene Recycling HC'!W92+'Ethylene Recycling HC'!W135+'Ethylene Recycling HC'!W181+'Ethylene Recycling HC'!W200-('Ethylene Recycling HC'!$C$92+'Ethylene Recycling HC'!$C$135+'Ethylene Recycling HC'!$C$181+'Ethylene Recycling HC'!$C$200)+'Ethylene Recycling HC'!W95+'Ethylene Recycling HC'!W138+'Ethylene Recycling HC'!W184+'Ethylene Recycling HC'!W203-('Ethylene Recycling HC'!$C$95+'Ethylene Recycling HC'!$C$138+'Ethylene Recycling HC'!$C$184+'Ethylene Recycling HC'!$C$203))</f>
        <v>-47903.936065880196</v>
      </c>
      <c r="Y131" s="183">
        <f>Y47-('Ethylene Recycling HC'!X92+'Ethylene Recycling HC'!X135+'Ethylene Recycling HC'!X181+'Ethylene Recycling HC'!X200-('Ethylene Recycling HC'!$C$92+'Ethylene Recycling HC'!$C$135+'Ethylene Recycling HC'!$C$181+'Ethylene Recycling HC'!$C$200)+'Ethylene Recycling HC'!X95+'Ethylene Recycling HC'!X138+'Ethylene Recycling HC'!X184+'Ethylene Recycling HC'!X203-('Ethylene Recycling HC'!$C$95+'Ethylene Recycling HC'!$C$138+'Ethylene Recycling HC'!$C$184+'Ethylene Recycling HC'!$C$203))</f>
        <v>-47689.884872072973</v>
      </c>
      <c r="Z131" s="183">
        <f>Z47-('Ethylene Recycling HC'!Y92+'Ethylene Recycling HC'!Y135+'Ethylene Recycling HC'!Y181+'Ethylene Recycling HC'!Y200-('Ethylene Recycling HC'!$C$92+'Ethylene Recycling HC'!$C$135+'Ethylene Recycling HC'!$C$181+'Ethylene Recycling HC'!$C$200)+'Ethylene Recycling HC'!Y95+'Ethylene Recycling HC'!Y138+'Ethylene Recycling HC'!Y184+'Ethylene Recycling HC'!Y203-('Ethylene Recycling HC'!$C$95+'Ethylene Recycling HC'!$C$138+'Ethylene Recycling HC'!$C$184+'Ethylene Recycling HC'!$C$203))</f>
        <v>-47474.245686703958</v>
      </c>
      <c r="AA131" s="183">
        <f>AA47-('Ethylene Recycling HC'!Z92+'Ethylene Recycling HC'!Z135+'Ethylene Recycling HC'!Z181+'Ethylene Recycling HC'!Z200-('Ethylene Recycling HC'!$C$92+'Ethylene Recycling HC'!$C$135+'Ethylene Recycling HC'!$C$181+'Ethylene Recycling HC'!$C$200)+'Ethylene Recycling HC'!Z95+'Ethylene Recycling HC'!Z138+'Ethylene Recycling HC'!Z184+'Ethylene Recycling HC'!Z203-('Ethylene Recycling HC'!$C$95+'Ethylene Recycling HC'!$C$138+'Ethylene Recycling HC'!$C$184+'Ethylene Recycling HC'!$C$203))</f>
        <v>-47236.253032320827</v>
      </c>
      <c r="AB131" s="183">
        <f>AB47-('Ethylene Recycling HC'!AA92+'Ethylene Recycling HC'!AA135+'Ethylene Recycling HC'!AA181+'Ethylene Recycling HC'!AA200-('Ethylene Recycling HC'!$C$92+'Ethylene Recycling HC'!$C$135+'Ethylene Recycling HC'!$C$181+'Ethylene Recycling HC'!$C$200)+'Ethylene Recycling HC'!AA95+'Ethylene Recycling HC'!AA138+'Ethylene Recycling HC'!AA184+'Ethylene Recycling HC'!AA203-('Ethylene Recycling HC'!$C$95+'Ethylene Recycling HC'!$C$138+'Ethylene Recycling HC'!$C$184+'Ethylene Recycling HC'!$C$203))</f>
        <v>-46983.108921596213</v>
      </c>
      <c r="AC131" s="183">
        <f>AC47-('Ethylene Recycling HC'!AB92+'Ethylene Recycling HC'!AB135+'Ethylene Recycling HC'!AB181+'Ethylene Recycling HC'!AB200-('Ethylene Recycling HC'!$C$92+'Ethylene Recycling HC'!$C$135+'Ethylene Recycling HC'!$C$181+'Ethylene Recycling HC'!$C$200)+'Ethylene Recycling HC'!AB95+'Ethylene Recycling HC'!AB138+'Ethylene Recycling HC'!AB184+'Ethylene Recycling HC'!AB203-('Ethylene Recycling HC'!$C$95+'Ethylene Recycling HC'!$C$138+'Ethylene Recycling HC'!$C$184+'Ethylene Recycling HC'!$C$203))</f>
        <v>-46712.827497458595</v>
      </c>
      <c r="AD131" s="183">
        <f>AD47-('Ethylene Recycling HC'!AC92+'Ethylene Recycling HC'!AC135+'Ethylene Recycling HC'!AC181+'Ethylene Recycling HC'!AC200-('Ethylene Recycling HC'!$C$92+'Ethylene Recycling HC'!$C$135+'Ethylene Recycling HC'!$C$181+'Ethylene Recycling HC'!$C$200)+'Ethylene Recycling HC'!AC95+'Ethylene Recycling HC'!AC138+'Ethylene Recycling HC'!AC184+'Ethylene Recycling HC'!AC203-('Ethylene Recycling HC'!$C$95+'Ethylene Recycling HC'!$C$138+'Ethylene Recycling HC'!$C$184+'Ethylene Recycling HC'!$C$203))</f>
        <v>-46423.428238224325</v>
      </c>
      <c r="AE131" s="183">
        <f>AE47-('Ethylene Recycling HC'!AD92+'Ethylene Recycling HC'!AD135+'Ethylene Recycling HC'!AD181+'Ethylene Recycling HC'!AD200-('Ethylene Recycling HC'!$C$92+'Ethylene Recycling HC'!$C$135+'Ethylene Recycling HC'!$C$181+'Ethylene Recycling HC'!$C$200)+'Ethylene Recycling HC'!AD95+'Ethylene Recycling HC'!AD138+'Ethylene Recycling HC'!AD184+'Ethylene Recycling HC'!AD203-('Ethylene Recycling HC'!$C$95+'Ethylene Recycling HC'!$C$138+'Ethylene Recycling HC'!$C$184+'Ethylene Recycling HC'!$C$203))</f>
        <v>-46112.938428603025</v>
      </c>
      <c r="AF131" s="183">
        <f>AF47-('Ethylene Recycling HC'!AE92+'Ethylene Recycling HC'!AE135+'Ethylene Recycling HC'!AE181+'Ethylene Recycling HC'!AE200-('Ethylene Recycling HC'!$C$92+'Ethylene Recycling HC'!$C$135+'Ethylene Recycling HC'!$C$181+'Ethylene Recycling HC'!$C$200)+'Ethylene Recycling HC'!AE95+'Ethylene Recycling HC'!AE138+'Ethylene Recycling HC'!AE184+'Ethylene Recycling HC'!AE203-('Ethylene Recycling HC'!$C$95+'Ethylene Recycling HC'!$C$138+'Ethylene Recycling HC'!$C$184+'Ethylene Recycling HC'!$C$203))</f>
        <v>-45779.389376070525</v>
      </c>
      <c r="AG131" s="183">
        <f>AG47-('Ethylene Recycling HC'!AF92+'Ethylene Recycling HC'!AF135+'Ethylene Recycling HC'!AF181+'Ethylene Recycling HC'!AF200-('Ethylene Recycling HC'!$C$92+'Ethylene Recycling HC'!$C$135+'Ethylene Recycling HC'!$C$181+'Ethylene Recycling HC'!$C$200)+'Ethylene Recycling HC'!AF95+'Ethylene Recycling HC'!AF138+'Ethylene Recycling HC'!AF184+'Ethylene Recycling HC'!AF203-('Ethylene Recycling HC'!$C$95+'Ethylene Recycling HC'!$C$138+'Ethylene Recycling HC'!$C$184+'Ethylene Recycling HC'!$C$203))</f>
        <v>-45420.816643674632</v>
      </c>
      <c r="AH131" s="183">
        <f>AH47-('Ethylene Recycling HC'!AG92+'Ethylene Recycling HC'!AG135+'Ethylene Recycling HC'!AG181+'Ethylene Recycling HC'!AG200-('Ethylene Recycling HC'!$C$92+'Ethylene Recycling HC'!$C$135+'Ethylene Recycling HC'!$C$181+'Ethylene Recycling HC'!$C$200)+'Ethylene Recycling HC'!AG95+'Ethylene Recycling HC'!AG138+'Ethylene Recycling HC'!AG184+'Ethylene Recycling HC'!AG203-('Ethylene Recycling HC'!$C$95+'Ethylene Recycling HC'!$C$138+'Ethylene Recycling HC'!$C$184+'Ethylene Recycling HC'!$C$203))</f>
        <v>-45035.259316363677</v>
      </c>
      <c r="AI131" s="40"/>
    </row>
    <row r="132" spans="1:36" s="61" customFormat="1">
      <c r="A132" s="609" t="s">
        <v>609</v>
      </c>
      <c r="B132" s="54" t="s">
        <v>606</v>
      </c>
      <c r="C132" s="55" t="s">
        <v>1420</v>
      </c>
      <c r="D132" s="571">
        <f>D48-('Ethylene Recycling HC'!C93+'Ethylene Recycling HC'!C136+'Ethylene Recycling HC'!C182+'Ethylene Recycling HC'!C201-('Ethylene Recycling HC'!$C$93+'Ethylene Recycling HC'!$C$136+'Ethylene Recycling HC'!$C$182+'Ethylene Recycling HC'!$C$201))</f>
        <v>292255.79815384618</v>
      </c>
      <c r="E132" s="571">
        <f>E48-('Ethylene Recycling HC'!D93+'Ethylene Recycling HC'!D136+'Ethylene Recycling HC'!D182+'Ethylene Recycling HC'!D201-('Ethylene Recycling HC'!$C$93+'Ethylene Recycling HC'!$C$136+'Ethylene Recycling HC'!$C$182+'Ethylene Recycling HC'!$C$201))</f>
        <v>276965.9951430044</v>
      </c>
      <c r="F132" s="571">
        <f>F48-('Ethylene Recycling HC'!E93+'Ethylene Recycling HC'!E136+'Ethylene Recycling HC'!E182+'Ethylene Recycling HC'!E201-('Ethylene Recycling HC'!$C$93+'Ethylene Recycling HC'!$C$136+'Ethylene Recycling HC'!$C$182+'Ethylene Recycling HC'!$C$201))</f>
        <v>261899.52384318225</v>
      </c>
      <c r="G132" s="571">
        <f>G48-('Ethylene Recycling HC'!F93+'Ethylene Recycling HC'!F136+'Ethylene Recycling HC'!F182+'Ethylene Recycling HC'!F201-('Ethylene Recycling HC'!$C$93+'Ethylene Recycling HC'!$C$136+'Ethylene Recycling HC'!$C$182+'Ethylene Recycling HC'!$C$201))</f>
        <v>247058.25761060917</v>
      </c>
      <c r="H132" s="571">
        <f>H48-('Ethylene Recycling HC'!G93+'Ethylene Recycling HC'!G136+'Ethylene Recycling HC'!G182+'Ethylene Recycling HC'!G201-('Ethylene Recycling HC'!$C$93+'Ethylene Recycling HC'!$C$136+'Ethylene Recycling HC'!$C$182+'Ethylene Recycling HC'!$C$201))</f>
        <v>232444.18314125086</v>
      </c>
      <c r="I132" s="571">
        <f>I48-('Ethylene Recycling HC'!H93+'Ethylene Recycling HC'!H136+'Ethylene Recycling HC'!H182+'Ethylene Recycling HC'!H201-('Ethylene Recycling HC'!$C$93+'Ethylene Recycling HC'!$C$136+'Ethylene Recycling HC'!$C$182+'Ethylene Recycling HC'!$C$201))</f>
        <v>218059.4004106175</v>
      </c>
      <c r="J132" s="571">
        <f>J48-('Ethylene Recycling HC'!I93+'Ethylene Recycling HC'!I136+'Ethylene Recycling HC'!I182+'Ethylene Recycling HC'!I201-('Ethylene Recycling HC'!$C$93+'Ethylene Recycling HC'!$C$136+'Ethylene Recycling HC'!$C$182+'Ethylene Recycling HC'!$C$201))</f>
        <v>203906.1226057139</v>
      </c>
      <c r="K132" s="571">
        <f>K48-('Ethylene Recycling HC'!J93+'Ethylene Recycling HC'!J136+'Ethylene Recycling HC'!J182+'Ethylene Recycling HC'!J201-('Ethylene Recycling HC'!$C$93+'Ethylene Recycling HC'!$C$136+'Ethylene Recycling HC'!$C$182+'Ethylene Recycling HC'!$C$201))</f>
        <v>189986.67604921345</v>
      </c>
      <c r="L132" s="571">
        <f>L48-('Ethylene Recycling HC'!K93+'Ethylene Recycling HC'!K136+'Ethylene Recycling HC'!K182+'Ethylene Recycling HC'!K201-('Ethylene Recycling HC'!$C$93+'Ethylene Recycling HC'!$C$136+'Ethylene Recycling HC'!$C$182+'Ethylene Recycling HC'!$C$201))</f>
        <v>176303.50011593988</v>
      </c>
      <c r="M132" s="571">
        <f>M48-('Ethylene Recycling HC'!L93+'Ethylene Recycling HC'!L136+'Ethylene Recycling HC'!L182+'Ethylene Recycling HC'!L201-('Ethylene Recycling HC'!$C$93+'Ethylene Recycling HC'!$C$136+'Ethylene Recycling HC'!$C$182+'Ethylene Recycling HC'!$C$201))</f>
        <v>162859.14714173603</v>
      </c>
      <c r="N132" s="571">
        <f>N48-('Ethylene Recycling HC'!M93+'Ethylene Recycling HC'!M136+'Ethylene Recycling HC'!M182+'Ethylene Recycling HC'!M201-('Ethylene Recycling HC'!$C$93+'Ethylene Recycling HC'!$C$136+'Ethylene Recycling HC'!$C$182+'Ethylene Recycling HC'!$C$201))</f>
        <v>149656.28232480175</v>
      </c>
      <c r="O132" s="571">
        <f>O48-('Ethylene Recycling HC'!N93+'Ethylene Recycling HC'!N136+'Ethylene Recycling HC'!N182+'Ethylene Recycling HC'!N201-('Ethylene Recycling HC'!$C$93+'Ethylene Recycling HC'!$C$136+'Ethylene Recycling HC'!$C$182+'Ethylene Recycling HC'!$C$201))</f>
        <v>138647.75056160131</v>
      </c>
      <c r="P132" s="571">
        <f>P48-('Ethylene Recycling HC'!O93+'Ethylene Recycling HC'!O136+'Ethylene Recycling HC'!O182+'Ethylene Recycling HC'!O201-('Ethylene Recycling HC'!$C$93+'Ethylene Recycling HC'!$C$136+'Ethylene Recycling HC'!$C$182+'Ethylene Recycling HC'!$C$201))</f>
        <v>127839.32079938424</v>
      </c>
      <c r="Q132" s="571">
        <f>Q48-('Ethylene Recycling HC'!P93+'Ethylene Recycling HC'!P136+'Ethylene Recycling HC'!P182+'Ethylene Recycling HC'!P201-('Ethylene Recycling HC'!$C$93+'Ethylene Recycling HC'!$C$136+'Ethylene Recycling HC'!$C$182+'Ethylene Recycling HC'!$C$201))</f>
        <v>117359.56170986158</v>
      </c>
      <c r="R132" s="571">
        <f>R48-('Ethylene Recycling HC'!Q93+'Ethylene Recycling HC'!Q136+'Ethylene Recycling HC'!Q182+'Ethylene Recycling HC'!Q201-('Ethylene Recycling HC'!$C$93+'Ethylene Recycling HC'!$C$136+'Ethylene Recycling HC'!$C$182+'Ethylene Recycling HC'!$C$201))</f>
        <v>107152.01451907045</v>
      </c>
      <c r="S132" s="571">
        <f>S48-('Ethylene Recycling HC'!R93+'Ethylene Recycling HC'!R136+'Ethylene Recycling HC'!R182+'Ethylene Recycling HC'!R201-('Ethylene Recycling HC'!$C$93+'Ethylene Recycling HC'!$C$136+'Ethylene Recycling HC'!$C$182+'Ethylene Recycling HC'!$C$201))</f>
        <v>97217.013670791712</v>
      </c>
      <c r="T132" s="571">
        <f>T48-('Ethylene Recycling HC'!S93+'Ethylene Recycling HC'!S136+'Ethylene Recycling HC'!S182+'Ethylene Recycling HC'!S201-('Ethylene Recycling HC'!$C$93+'Ethylene Recycling HC'!$C$136+'Ethylene Recycling HC'!$C$182+'Ethylene Recycling HC'!$C$201))</f>
        <v>87554.922001818777</v>
      </c>
      <c r="U132" s="571">
        <f>U48-('Ethylene Recycling HC'!T93+'Ethylene Recycling HC'!T136+'Ethylene Recycling HC'!T182+'Ethylene Recycling HC'!T201-('Ethylene Recycling HC'!$C$93+'Ethylene Recycling HC'!$C$136+'Ethylene Recycling HC'!$C$182+'Ethylene Recycling HC'!$C$201))</f>
        <v>78166.130651703657</v>
      </c>
      <c r="V132" s="571">
        <f>V48-('Ethylene Recycling HC'!U93+'Ethylene Recycling HC'!U136+'Ethylene Recycling HC'!U182+'Ethylene Recycling HC'!U201-('Ethylene Recycling HC'!$C$93+'Ethylene Recycling HC'!$C$136+'Ethylene Recycling HC'!$C$182+'Ethylene Recycling HC'!$C$201))</f>
        <v>69051.058971929131</v>
      </c>
      <c r="W132" s="571">
        <f>W48-('Ethylene Recycling HC'!V93+'Ethylene Recycling HC'!V136+'Ethylene Recycling HC'!V182+'Ethylene Recycling HC'!V201-('Ethylene Recycling HC'!$C$93+'Ethylene Recycling HC'!$C$136+'Ethylene Recycling HC'!$C$182+'Ethylene Recycling HC'!$C$201))</f>
        <v>60210.154434508644</v>
      </c>
      <c r="X132" s="571">
        <f>X48-('Ethylene Recycling HC'!W93+'Ethylene Recycling HC'!W136+'Ethylene Recycling HC'!W182+'Ethylene Recycling HC'!W201-('Ethylene Recycling HC'!$C$93+'Ethylene Recycling HC'!$C$136+'Ethylene Recycling HC'!$C$182+'Ethylene Recycling HC'!$C$201))</f>
        <v>51643.892540012574</v>
      </c>
      <c r="Y132" s="571">
        <f>Y48-('Ethylene Recycling HC'!X93+'Ethylene Recycling HC'!X136+'Ethylene Recycling HC'!X182+'Ethylene Recycling HC'!X201-('Ethylene Recycling HC'!$C$93+'Ethylene Recycling HC'!$C$136+'Ethylene Recycling HC'!$C$182+'Ethylene Recycling HC'!$C$201))</f>
        <v>41653.370594605251</v>
      </c>
      <c r="Z132" s="571">
        <f>Z48-('Ethylene Recycling HC'!Y93+'Ethylene Recycling HC'!Y136+'Ethylene Recycling HC'!Y182+'Ethylene Recycling HC'!Y201-('Ethylene Recycling HC'!$C$93+'Ethylene Recycling HC'!$C$136+'Ethylene Recycling HC'!$C$182+'Ethylene Recycling HC'!$C$201))</f>
        <v>31963.337729812381</v>
      </c>
      <c r="AA132" s="571">
        <f>AA48-('Ethylene Recycling HC'!Z93+'Ethylene Recycling HC'!Z136+'Ethylene Recycling HC'!Z182+'Ethylene Recycling HC'!Z201-('Ethylene Recycling HC'!$C$93+'Ethylene Recycling HC'!$C$136+'Ethylene Recycling HC'!$C$182+'Ethylene Recycling HC'!$C$201))</f>
        <v>22584.909671679838</v>
      </c>
      <c r="AB132" s="571">
        <f>AB48-('Ethylene Recycling HC'!AA93+'Ethylene Recycling HC'!AA136+'Ethylene Recycling HC'!AA182+'Ethylene Recycling HC'!AA201-('Ethylene Recycling HC'!$C$93+'Ethylene Recycling HC'!$C$136+'Ethylene Recycling HC'!$C$182+'Ethylene Recycling HC'!$C$201))</f>
        <v>13515.760406983856</v>
      </c>
      <c r="AC132" s="571">
        <f>AC48-('Ethylene Recycling HC'!AB93+'Ethylene Recycling HC'!AB136+'Ethylene Recycling HC'!AB182+'Ethylene Recycling HC'!AB201-('Ethylene Recycling HC'!$C$93+'Ethylene Recycling HC'!$C$136+'Ethylene Recycling HC'!$C$182+'Ethylene Recycling HC'!$C$201))</f>
        <v>4755.4664128136355</v>
      </c>
      <c r="AD132" s="571">
        <f>AD48-('Ethylene Recycling HC'!AC93+'Ethylene Recycling HC'!AC136+'Ethylene Recycling HC'!AC182+'Ethylene Recycling HC'!AC201-('Ethylene Recycling HC'!$C$93+'Ethylene Recycling HC'!$C$136+'Ethylene Recycling HC'!$C$182+'Ethylene Recycling HC'!$C$201))</f>
        <v>-3696.3753184505622</v>
      </c>
      <c r="AE132" s="571">
        <f>AE48-('Ethylene Recycling HC'!AD93+'Ethylene Recycling HC'!AD136+'Ethylene Recycling HC'!AD182+'Ethylene Recycling HC'!AD201-('Ethylene Recycling HC'!$C$93+'Ethylene Recycling HC'!$C$136+'Ethylene Recycling HC'!$C$182+'Ethylene Recycling HC'!$C$201))</f>
        <v>-11840.147142770016</v>
      </c>
      <c r="AF132" s="571">
        <f>AF48-('Ethylene Recycling HC'!AE93+'Ethylene Recycling HC'!AE136+'Ethylene Recycling HC'!AE182+'Ethylene Recycling HC'!AE201-('Ethylene Recycling HC'!$C$93+'Ethylene Recycling HC'!$C$136+'Ethylene Recycling HC'!$C$182+'Ethylene Recycling HC'!$C$201))</f>
        <v>-19676.210626640677</v>
      </c>
      <c r="AG132" s="571">
        <f>AG48-('Ethylene Recycling HC'!AF93+'Ethylene Recycling HC'!AF136+'Ethylene Recycling HC'!AF182+'Ethylene Recycling HC'!AF201-('Ethylene Recycling HC'!$C$93+'Ethylene Recycling HC'!$C$136+'Ethylene Recycling HC'!$C$182+'Ethylene Recycling HC'!$C$201))</f>
        <v>-27204.906408110837</v>
      </c>
      <c r="AH132" s="571">
        <f>AH48-('Ethylene Recycling HC'!AG93+'Ethylene Recycling HC'!AG136+'Ethylene Recycling HC'!AG182+'Ethylene Recycling HC'!AG201-('Ethylene Recycling HC'!$C$93+'Ethylene Recycling HC'!$C$136+'Ethylene Recycling HC'!$C$182+'Ethylene Recycling HC'!$C$201))</f>
        <v>-34426.554056882756</v>
      </c>
      <c r="AI132" s="56"/>
    </row>
    <row r="133" spans="1:36" s="62" customFormat="1">
      <c r="A133" s="610"/>
      <c r="B133" s="58" t="s">
        <v>605</v>
      </c>
      <c r="C133" s="233" t="s">
        <v>1420</v>
      </c>
      <c r="D133" s="528">
        <f>D49-('Ethylene Recycling HC'!C202+'Ethylene Recycling HC'!C183+'Ethylene Recycling HC'!C137+'Ethylene Recycling HC'!C94-('Ethylene Recycling HC'!$C$202+'Ethylene Recycling HC'!$C$183+'Ethylene Recycling HC'!$C$137+'Ethylene Recycling HC'!$C$94))</f>
        <v>21707.02197834033</v>
      </c>
      <c r="E133" s="528">
        <f>E49-('Ethylene Recycling HC'!D202+'Ethylene Recycling HC'!D183+'Ethylene Recycling HC'!D137+'Ethylene Recycling HC'!D94-('Ethylene Recycling HC'!$C$202+'Ethylene Recycling HC'!$C$183+'Ethylene Recycling HC'!$C$137+'Ethylene Recycling HC'!$C$94))</f>
        <v>20679.795717496774</v>
      </c>
      <c r="F133" s="528">
        <f>F49-('Ethylene Recycling HC'!E202+'Ethylene Recycling HC'!E183+'Ethylene Recycling HC'!E137+'Ethylene Recycling HC'!E94-('Ethylene Recycling HC'!$C$202+'Ethylene Recycling HC'!$C$183+'Ethylene Recycling HC'!$C$137+'Ethylene Recycling HC'!$C$94))</f>
        <v>19582.371217413922</v>
      </c>
      <c r="G133" s="528">
        <f>G49-('Ethylene Recycling HC'!F202+'Ethylene Recycling HC'!F183+'Ethylene Recycling HC'!F137+'Ethylene Recycling HC'!F94-('Ethylene Recycling HC'!$C$202+'Ethylene Recycling HC'!$C$183+'Ethylene Recycling HC'!$C$137+'Ethylene Recycling HC'!$C$94))</f>
        <v>18417.922685392019</v>
      </c>
      <c r="H133" s="528">
        <f>H49-('Ethylene Recycling HC'!G202+'Ethylene Recycling HC'!G183+'Ethylene Recycling HC'!G137+'Ethylene Recycling HC'!G94-('Ethylene Recycling HC'!$C$202+'Ethylene Recycling HC'!$C$183+'Ethylene Recycling HC'!$C$137+'Ethylene Recycling HC'!$C$94))</f>
        <v>17189.643957184267</v>
      </c>
      <c r="I133" s="528">
        <f>I49-('Ethylene Recycling HC'!H202+'Ethylene Recycling HC'!H183+'Ethylene Recycling HC'!H137+'Ethylene Recycling HC'!H94-('Ethylene Recycling HC'!$C$202+'Ethylene Recycling HC'!$C$183+'Ethylene Recycling HC'!$C$137+'Ethylene Recycling HC'!$C$94))</f>
        <v>15900.74857303219</v>
      </c>
      <c r="J133" s="528">
        <f>J49-('Ethylene Recycling HC'!I202+'Ethylene Recycling HC'!I183+'Ethylene Recycling HC'!I137+'Ethylene Recycling HC'!I94-('Ethylene Recycling HC'!$C$202+'Ethylene Recycling HC'!$C$183+'Ethylene Recycling HC'!$C$137+'Ethylene Recycling HC'!$C$94))</f>
        <v>14585.003248274505</v>
      </c>
      <c r="K133" s="528">
        <f>K49-('Ethylene Recycling HC'!J202+'Ethylene Recycling HC'!J183+'Ethylene Recycling HC'!J137+'Ethylene Recycling HC'!J94-('Ethylene Recycling HC'!$C$202+'Ethylene Recycling HC'!$C$183+'Ethylene Recycling HC'!$C$137+'Ethylene Recycling HC'!$C$94))</f>
        <v>13236.22823926739</v>
      </c>
      <c r="L133" s="528">
        <f>L49-('Ethylene Recycling HC'!K202+'Ethylene Recycling HC'!K183+'Ethylene Recycling HC'!K137+'Ethylene Recycling HC'!K94-('Ethylene Recycling HC'!$C$202+'Ethylene Recycling HC'!$C$183+'Ethylene Recycling HC'!$C$137+'Ethylene Recycling HC'!$C$94))</f>
        <v>11861.919217726781</v>
      </c>
      <c r="M133" s="528">
        <f>M49-('Ethylene Recycling HC'!L202+'Ethylene Recycling HC'!L183+'Ethylene Recycling HC'!L137+'Ethylene Recycling HC'!L94-('Ethylene Recycling HC'!$C$202+'Ethylene Recycling HC'!$C$183+'Ethylene Recycling HC'!$C$137+'Ethylene Recycling HC'!$C$94))</f>
        <v>10469.366696045472</v>
      </c>
      <c r="N133" s="528">
        <f>N49-('Ethylene Recycling HC'!M202+'Ethylene Recycling HC'!M183+'Ethylene Recycling HC'!M137+'Ethylene Recycling HC'!M94-('Ethylene Recycling HC'!$C$202+'Ethylene Recycling HC'!$C$183+'Ethylene Recycling HC'!$C$137+'Ethylene Recycling HC'!$C$94))</f>
        <v>9065.6583651489309</v>
      </c>
      <c r="O133" s="528">
        <f>O49-('Ethylene Recycling HC'!N202+'Ethylene Recycling HC'!N183+'Ethylene Recycling HC'!N137+'Ethylene Recycling HC'!N94-('Ethylene Recycling HC'!$C$202+'Ethylene Recycling HC'!$C$183+'Ethylene Recycling HC'!$C$137+'Ethylene Recycling HC'!$C$94))</f>
        <v>7903.8026668708408</v>
      </c>
      <c r="P133" s="528">
        <f>P49-('Ethylene Recycling HC'!O202+'Ethylene Recycling HC'!O183+'Ethylene Recycling HC'!O137+'Ethylene Recycling HC'!O94-('Ethylene Recycling HC'!$C$202+'Ethylene Recycling HC'!$C$183+'Ethylene Recycling HC'!$C$137+'Ethylene Recycling HC'!$C$94))</f>
        <v>6752.7184334379417</v>
      </c>
      <c r="Q133" s="528">
        <f>Q49-('Ethylene Recycling HC'!P202+'Ethylene Recycling HC'!P183+'Ethylene Recycling HC'!P137+'Ethylene Recycling HC'!P94-('Ethylene Recycling HC'!$C$202+'Ethylene Recycling HC'!$C$183+'Ethylene Recycling HC'!$C$137+'Ethylene Recycling HC'!$C$94))</f>
        <v>5658.6358140495358</v>
      </c>
      <c r="R133" s="528">
        <f>R49-('Ethylene Recycling HC'!Q202+'Ethylene Recycling HC'!Q183+'Ethylene Recycling HC'!Q137+'Ethylene Recycling HC'!Q94-('Ethylene Recycling HC'!$C$202+'Ethylene Recycling HC'!$C$183+'Ethylene Recycling HC'!$C$137+'Ethylene Recycling HC'!$C$94))</f>
        <v>4606.3562327385916</v>
      </c>
      <c r="S133" s="528">
        <f>S49-('Ethylene Recycling HC'!R202+'Ethylene Recycling HC'!R183+'Ethylene Recycling HC'!R137+'Ethylene Recycling HC'!R94-('Ethylene Recycling HC'!$C$202+'Ethylene Recycling HC'!$C$183+'Ethylene Recycling HC'!$C$137+'Ethylene Recycling HC'!$C$94))</f>
        <v>3599.2734648694168</v>
      </c>
      <c r="T133" s="528">
        <f>T49-('Ethylene Recycling HC'!S202+'Ethylene Recycling HC'!S183+'Ethylene Recycling HC'!S137+'Ethylene Recycling HC'!S94-('Ethylene Recycling HC'!$C$202+'Ethylene Recycling HC'!$C$183+'Ethylene Recycling HC'!$C$137+'Ethylene Recycling HC'!$C$94))</f>
        <v>2590.8696203184154</v>
      </c>
      <c r="U133" s="528">
        <f>U49-('Ethylene Recycling HC'!T202+'Ethylene Recycling HC'!T183+'Ethylene Recycling HC'!T137+'Ethylene Recycling HC'!T94-('Ethylene Recycling HC'!$C$202+'Ethylene Recycling HC'!$C$183+'Ethylene Recycling HC'!$C$137+'Ethylene Recycling HC'!$C$94))</f>
        <v>1624.1142779846396</v>
      </c>
      <c r="V133" s="528">
        <f>V49-('Ethylene Recycling HC'!U202+'Ethylene Recycling HC'!U183+'Ethylene Recycling HC'!U137+'Ethylene Recycling HC'!U94-('Ethylene Recycling HC'!$C$202+'Ethylene Recycling HC'!$C$183+'Ethylene Recycling HC'!$C$137+'Ethylene Recycling HC'!$C$94))</f>
        <v>701.51930868506133</v>
      </c>
      <c r="W133" s="528">
        <f>W49-('Ethylene Recycling HC'!V202+'Ethylene Recycling HC'!V183+'Ethylene Recycling HC'!V137+'Ethylene Recycling HC'!V94-('Ethylene Recycling HC'!$C$202+'Ethylene Recycling HC'!$C$183+'Ethylene Recycling HC'!$C$137+'Ethylene Recycling HC'!$C$94))</f>
        <v>-174.50011302660278</v>
      </c>
      <c r="X133" s="528">
        <f>X49-('Ethylene Recycling HC'!W202+'Ethylene Recycling HC'!W183+'Ethylene Recycling HC'!W137+'Ethylene Recycling HC'!W94-('Ethylene Recycling HC'!$C$202+'Ethylene Recycling HC'!$C$183+'Ethylene Recycling HC'!$C$137+'Ethylene Recycling HC'!$C$94))</f>
        <v>-1001.6244863287811</v>
      </c>
      <c r="Y133" s="528">
        <f>Y49-('Ethylene Recycling HC'!X202+'Ethylene Recycling HC'!X183+'Ethylene Recycling HC'!X137+'Ethylene Recycling HC'!X94-('Ethylene Recycling HC'!$C$202+'Ethylene Recycling HC'!$C$183+'Ethylene Recycling HC'!$C$137+'Ethylene Recycling HC'!$C$94))</f>
        <v>-1963.6660627046713</v>
      </c>
      <c r="Z133" s="528">
        <f>Z49-('Ethylene Recycling HC'!Y202+'Ethylene Recycling HC'!Y183+'Ethylene Recycling HC'!Y137+'Ethylene Recycling HC'!Y94-('Ethylene Recycling HC'!$C$202+'Ethylene Recycling HC'!$C$183+'Ethylene Recycling HC'!$C$137+'Ethylene Recycling HC'!$C$94))</f>
        <v>-2883.1106417318824</v>
      </c>
      <c r="AA133" s="528">
        <f>AA49-('Ethylene Recycling HC'!Z202+'Ethylene Recycling HC'!Z183+'Ethylene Recycling HC'!Z137+'Ethylene Recycling HC'!Z94-('Ethylene Recycling HC'!$C$202+'Ethylene Recycling HC'!$C$183+'Ethylene Recycling HC'!$C$137+'Ethylene Recycling HC'!$C$94))</f>
        <v>-3753.8231396287265</v>
      </c>
      <c r="AB133" s="528">
        <f>AB49-('Ethylene Recycling HC'!AA202+'Ethylene Recycling HC'!AA183+'Ethylene Recycling HC'!AA137+'Ethylene Recycling HC'!AA94-('Ethylene Recycling HC'!$C$202+'Ethylene Recycling HC'!$C$183+'Ethylene Recycling HC'!$C$137+'Ethylene Recycling HC'!$C$94))</f>
        <v>-4573.0245116237429</v>
      </c>
      <c r="AC133" s="528">
        <f>AC49-('Ethylene Recycling HC'!AB202+'Ethylene Recycling HC'!AB183+'Ethylene Recycling HC'!AB137+'Ethylene Recycling HC'!AB94-('Ethylene Recycling HC'!$C$202+'Ethylene Recycling HC'!$C$183+'Ethylene Recycling HC'!$C$137+'Ethylene Recycling HC'!$C$94))</f>
        <v>-5338.0830463962748</v>
      </c>
      <c r="AD133" s="528">
        <f>AD49-('Ethylene Recycling HC'!AC202+'Ethylene Recycling HC'!AC183+'Ethylene Recycling HC'!AC137+'Ethylene Recycling HC'!AC94-('Ethylene Recycling HC'!$C$202+'Ethylene Recycling HC'!$C$183+'Ethylene Recycling HC'!$C$137+'Ethylene Recycling HC'!$C$94))</f>
        <v>-5989.1383508393328</v>
      </c>
      <c r="AE133" s="528">
        <f>AE49-('Ethylene Recycling HC'!AD202+'Ethylene Recycling HC'!AD183+'Ethylene Recycling HC'!AD137+'Ethylene Recycling HC'!AD94-('Ethylene Recycling HC'!$C$202+'Ethylene Recycling HC'!$C$183+'Ethylene Recycling HC'!$C$137+'Ethylene Recycling HC'!$C$94))</f>
        <v>-6573.1248651035494</v>
      </c>
      <c r="AF133" s="528">
        <f>AF49-('Ethylene Recycling HC'!AE202+'Ethylene Recycling HC'!AE183+'Ethylene Recycling HC'!AE137+'Ethylene Recycling HC'!AE94-('Ethylene Recycling HC'!$C$202+'Ethylene Recycling HC'!$C$183+'Ethylene Recycling HC'!$C$137+'Ethylene Recycling HC'!$C$94))</f>
        <v>-7087.6494895373417</v>
      </c>
      <c r="AG133" s="528">
        <f>AG49-('Ethylene Recycling HC'!AF202+'Ethylene Recycling HC'!AF183+'Ethylene Recycling HC'!AF137+'Ethylene Recycling HC'!AF94-('Ethylene Recycling HC'!$C$202+'Ethylene Recycling HC'!$C$183+'Ethylene Recycling HC'!$C$137+'Ethylene Recycling HC'!$C$94))</f>
        <v>-7530.4892366736503</v>
      </c>
      <c r="AH133" s="528">
        <f>AH49-('Ethylene Recycling HC'!AG202+'Ethylene Recycling HC'!AG183+'Ethylene Recycling HC'!AG137+'Ethylene Recycling HC'!AG94-('Ethylene Recycling HC'!$C$202+'Ethylene Recycling HC'!$C$183+'Ethylene Recycling HC'!$C$137+'Ethylene Recycling HC'!$C$94))</f>
        <v>-7899.589416474133</v>
      </c>
      <c r="AI133" s="234"/>
    </row>
    <row r="134" spans="1:36">
      <c r="A134" s="158" t="s">
        <v>308</v>
      </c>
      <c r="B134" s="213" t="s">
        <v>200</v>
      </c>
      <c r="C134" s="214" t="s">
        <v>1420</v>
      </c>
      <c r="D134" s="568">
        <f t="shared" ref="D134:AH134" si="43">D65+D74</f>
        <v>2145788.3365974198</v>
      </c>
      <c r="E134" s="568">
        <f t="shared" si="43"/>
        <v>2135964.2894400624</v>
      </c>
      <c r="F134" s="568">
        <f t="shared" si="43"/>
        <v>2104497.6000765003</v>
      </c>
      <c r="G134" s="568">
        <f t="shared" si="43"/>
        <v>2073208.2615154234</v>
      </c>
      <c r="H134" s="568">
        <f t="shared" si="43"/>
        <v>2042101.6670161933</v>
      </c>
      <c r="I134" s="568">
        <f t="shared" si="43"/>
        <v>2011183.5241122632</v>
      </c>
      <c r="J134" s="568">
        <f t="shared" si="43"/>
        <v>1977776.2586985093</v>
      </c>
      <c r="K134" s="568">
        <f t="shared" si="43"/>
        <v>1944635.333362079</v>
      </c>
      <c r="L134" s="568">
        <f t="shared" si="43"/>
        <v>1911766.6916490875</v>
      </c>
      <c r="M134" s="568">
        <f t="shared" si="43"/>
        <v>1879176.679540341</v>
      </c>
      <c r="N134" s="568">
        <f t="shared" si="43"/>
        <v>1846872.0684072522</v>
      </c>
      <c r="O134" s="568">
        <f t="shared" si="43"/>
        <v>1810055.0110763183</v>
      </c>
      <c r="P134" s="568">
        <f t="shared" si="43"/>
        <v>1773665.2540784061</v>
      </c>
      <c r="Q134" s="568">
        <f t="shared" si="43"/>
        <v>1737709.1995771006</v>
      </c>
      <c r="R134" s="568">
        <f t="shared" si="43"/>
        <v>1702193.8010136778</v>
      </c>
      <c r="S134" s="568">
        <f t="shared" si="43"/>
        <v>1667126.5933869344</v>
      </c>
      <c r="T134" s="568">
        <f t="shared" si="43"/>
        <v>1628462.1532518181</v>
      </c>
      <c r="U134" s="568">
        <f t="shared" si="43"/>
        <v>1590379.9307329205</v>
      </c>
      <c r="V134" s="568">
        <f t="shared" si="43"/>
        <v>1552887.5211726076</v>
      </c>
      <c r="W134" s="568">
        <f t="shared" si="43"/>
        <v>1515993.265433531</v>
      </c>
      <c r="X134" s="568">
        <f t="shared" si="43"/>
        <v>1479706.2899431838</v>
      </c>
      <c r="Y134" s="568">
        <f t="shared" si="43"/>
        <v>1440995.1785665525</v>
      </c>
      <c r="Z134" s="568">
        <f t="shared" si="43"/>
        <v>1403011.4297038417</v>
      </c>
      <c r="AA134" s="568">
        <f t="shared" si="43"/>
        <v>1365765.3150598498</v>
      </c>
      <c r="AB134" s="568">
        <f t="shared" si="43"/>
        <v>1329268.1030573873</v>
      </c>
      <c r="AC134" s="568">
        <f t="shared" si="43"/>
        <v>1293532.1120682629</v>
      </c>
      <c r="AD134" s="568">
        <f t="shared" si="43"/>
        <v>1257243.3099877543</v>
      </c>
      <c r="AE134" s="568">
        <f t="shared" si="43"/>
        <v>1221787.7566557806</v>
      </c>
      <c r="AF134" s="568">
        <f t="shared" si="43"/>
        <v>1187180.4425382547</v>
      </c>
      <c r="AG134" s="568">
        <f t="shared" si="43"/>
        <v>1153437.6670877954</v>
      </c>
      <c r="AH134" s="568">
        <f t="shared" si="43"/>
        <v>1120577.1096972807</v>
      </c>
    </row>
    <row r="135" spans="1:36">
      <c r="A135" s="158"/>
      <c r="B135" s="160" t="s">
        <v>266</v>
      </c>
      <c r="C135" s="156" t="s">
        <v>1420</v>
      </c>
      <c r="D135" s="547">
        <f>'Ethylene Recycling HC'!C211-'Ethylene Recycling HC'!$C$211</f>
        <v>0</v>
      </c>
      <c r="E135" s="547">
        <f>'Ethylene Recycling HC'!D211-'Ethylene Recycling HC'!$C$211</f>
        <v>9047.1233987724409</v>
      </c>
      <c r="F135" s="547">
        <f>'Ethylene Recycling HC'!E211-'Ethylene Recycling HC'!$C$211</f>
        <v>18053.931875015056</v>
      </c>
      <c r="G135" s="547">
        <f>'Ethylene Recycling HC'!F211-'Ethylene Recycling HC'!$C$211</f>
        <v>27020.559335013459</v>
      </c>
      <c r="H135" s="547">
        <f>'Ethylene Recycling HC'!G211-'Ethylene Recycling HC'!$C$211</f>
        <v>35947.139290307096</v>
      </c>
      <c r="I135" s="547">
        <f>'Ethylene Recycling HC'!H211-'Ethylene Recycling HC'!$C$211</f>
        <v>44833.804858779666</v>
      </c>
      <c r="J135" s="547">
        <f>'Ethylene Recycling HC'!I211-'Ethylene Recycling HC'!$C$211</f>
        <v>52824.604359560093</v>
      </c>
      <c r="K135" s="547">
        <f>'Ethylene Recycling HC'!J211-'Ethylene Recycling HC'!$C$211</f>
        <v>60659.499036219466</v>
      </c>
      <c r="L135" s="547">
        <f>'Ethylene Recycling HC'!K211-'Ethylene Recycling HC'!$C$211</f>
        <v>68339.403276394994</v>
      </c>
      <c r="M135" s="547">
        <f>'Ethylene Recycling HC'!L211-'Ethylene Recycling HC'!$C$211</f>
        <v>75865.227605372085</v>
      </c>
      <c r="N135" s="547">
        <f>'Ethylene Recycling HC'!M211-'Ethylene Recycling HC'!$C$211</f>
        <v>83237.878699972294</v>
      </c>
      <c r="O135" s="547">
        <f>'Ethylene Recycling HC'!N211-'Ethylene Recycling HC'!$C$211</f>
        <v>87617.396430934517</v>
      </c>
      <c r="P135" s="547">
        <f>'Ethylene Recycling HC'!O211-'Ethylene Recycling HC'!$C$211</f>
        <v>91897.04502696378</v>
      </c>
      <c r="Q135" s="547">
        <f>'Ethylene Recycling HC'!P211-'Ethylene Recycling HC'!$C$211</f>
        <v>96077.420151120226</v>
      </c>
      <c r="R135" s="547">
        <f>'Ethylene Recycling HC'!Q211-'Ethylene Recycling HC'!$C$211</f>
        <v>100159.11493453762</v>
      </c>
      <c r="S135" s="547">
        <f>'Ethylene Recycling HC'!R211-'Ethylene Recycling HC'!$C$211</f>
        <v>104142.7199855581</v>
      </c>
      <c r="T135" s="547">
        <f>'Ethylene Recycling HC'!S211-'Ethylene Recycling HC'!$C$211</f>
        <v>108028.82339883537</v>
      </c>
      <c r="U135" s="547">
        <f>'Ethylene Recycling HC'!T211-'Ethylene Recycling HC'!$C$211</f>
        <v>111818.01076440982</v>
      </c>
      <c r="V135" s="547">
        <f>'Ethylene Recycling HC'!U211-'Ethylene Recycling HC'!$C$211</f>
        <v>115510.86517675268</v>
      </c>
      <c r="W135" s="547">
        <f>'Ethylene Recycling HC'!V211-'Ethylene Recycling HC'!$C$211</f>
        <v>119107.96724378105</v>
      </c>
      <c r="X135" s="547">
        <f>'Ethylene Recycling HC'!W211-'Ethylene Recycling HC'!$C$211</f>
        <v>122609.89509584373</v>
      </c>
      <c r="Y135" s="547">
        <f>'Ethylene Recycling HC'!X211-'Ethylene Recycling HC'!$C$211</f>
        <v>128866.06537833417</v>
      </c>
      <c r="Z135" s="547">
        <f>'Ethylene Recycling HC'!Y211-'Ethylene Recycling HC'!$C$211</f>
        <v>134973.68045505771</v>
      </c>
      <c r="AA135" s="547">
        <f>'Ethylene Recycling HC'!Z211-'Ethylene Recycling HC'!$C$211</f>
        <v>140933.63056296692</v>
      </c>
      <c r="AB135" s="547">
        <f>'Ethylene Recycling HC'!AA211-'Ethylene Recycling HC'!$C$211</f>
        <v>146746.80214781512</v>
      </c>
      <c r="AC135" s="547">
        <f>'Ethylene Recycling HC'!AB211-'Ethylene Recycling HC'!$C$211</f>
        <v>152414.07787784719</v>
      </c>
      <c r="AD135" s="547">
        <f>'Ethylene Recycling HC'!AC211-'Ethylene Recycling HC'!$C$211</f>
        <v>157882.01452918802</v>
      </c>
      <c r="AE135" s="547">
        <f>'Ethylene Recycling HC'!AD211-'Ethylene Recycling HC'!$C$211</f>
        <v>163202.4538637597</v>
      </c>
      <c r="AF135" s="547">
        <f>'Ethylene Recycling HC'!AE211-'Ethylene Recycling HC'!$C$211</f>
        <v>168376.29031586478</v>
      </c>
      <c r="AG135" s="547">
        <f>'Ethylene Recycling HC'!AF211-'Ethylene Recycling HC'!$C$211</f>
        <v>173404.41449382217</v>
      </c>
      <c r="AH135" s="547">
        <f>'Ethylene Recycling HC'!AG211-'Ethylene Recycling HC'!$C$211</f>
        <v>178287.71319381584</v>
      </c>
    </row>
    <row r="136" spans="1:36" outlineLevel="1">
      <c r="A136"/>
      <c r="B136" t="s">
        <v>268</v>
      </c>
      <c r="C136" s="50" t="s">
        <v>1420</v>
      </c>
      <c r="D136" s="183">
        <f>'Ethylene Recycling HC'!C96-'Ethylene Recycling HC'!$C$96</f>
        <v>0</v>
      </c>
      <c r="E136" s="183">
        <f>'Ethylene Recycling HC'!D96-'Ethylene Recycling HC'!$C$96</f>
        <v>1048.6591751904161</v>
      </c>
      <c r="F136" s="183">
        <f>'Ethylene Recycling HC'!E96-'Ethylene Recycling HC'!$C$96</f>
        <v>2045.6231677562027</v>
      </c>
      <c r="G136" s="183">
        <f>'Ethylene Recycling HC'!F96-'Ethylene Recycling HC'!$C$96</f>
        <v>2990.5527187788539</v>
      </c>
      <c r="H136" s="183">
        <f>'Ethylene Recycling HC'!G96-'Ethylene Recycling HC'!$C$96</f>
        <v>3883.1130308113061</v>
      </c>
      <c r="I136" s="183">
        <f>'Ethylene Recycling HC'!H96-'Ethylene Recycling HC'!$C$96</f>
        <v>4722.9737406015556</v>
      </c>
      <c r="J136" s="183">
        <f>'Ethylene Recycling HC'!I96-'Ethylene Recycling HC'!$C$96</f>
        <v>5509.8088919424699</v>
      </c>
      <c r="K136" s="183">
        <f>'Ethylene Recycling HC'!J96-'Ethylene Recycling HC'!$C$96</f>
        <v>6243.2969086474623</v>
      </c>
      <c r="L136" s="183">
        <f>'Ethylene Recycling HC'!K96-'Ethylene Recycling HC'!$C$96</f>
        <v>6923.1205676512182</v>
      </c>
      <c r="M136" s="183">
        <f>'Ethylene Recycling HC'!L96-'Ethylene Recycling HC'!$C$96</f>
        <v>7548.9669722353428</v>
      </c>
      <c r="N136" s="183">
        <f>'Ethylene Recycling HC'!M96-'Ethylene Recycling HC'!$C$96</f>
        <v>8120.5275253780856</v>
      </c>
      <c r="O136" s="183">
        <f>'Ethylene Recycling HC'!N96-'Ethylene Recycling HC'!$C$96</f>
        <v>7117.9521711528796</v>
      </c>
      <c r="P136" s="183">
        <f>'Ethylene Recycling HC'!O96-'Ethylene Recycling HC'!$C$96</f>
        <v>6300.6882653494467</v>
      </c>
      <c r="Q136" s="183">
        <f>'Ethylene Recycling HC'!P96-'Ethylene Recycling HC'!$C$96</f>
        <v>5301.0265513014674</v>
      </c>
      <c r="R136" s="183">
        <f>'Ethylene Recycling HC'!Q96-'Ethylene Recycling HC'!$C$96</f>
        <v>4286.4314535920639</v>
      </c>
      <c r="S136" s="183">
        <f>'Ethylene Recycling HC'!R96-'Ethylene Recycling HC'!$C$96</f>
        <v>3256.8895845051375</v>
      </c>
      <c r="T136" s="183">
        <f>'Ethylene Recycling HC'!S96-'Ethylene Recycling HC'!$C$96</f>
        <v>2212.3881533257227</v>
      </c>
      <c r="U136" s="183">
        <f>'Ethylene Recycling HC'!T96-'Ethylene Recycling HC'!$C$96</f>
        <v>1152.9149621262004</v>
      </c>
      <c r="V136" s="183">
        <f>'Ethylene Recycling HC'!U96-'Ethylene Recycling HC'!$C$96</f>
        <v>78.458401572970615</v>
      </c>
      <c r="W136" s="183">
        <f>'Ethylene Recycling HC'!V96-'Ethylene Recycling HC'!$C$96</f>
        <v>-1010.9925532459602</v>
      </c>
      <c r="X136" s="183">
        <f>'Ethylene Recycling HC'!W96-'Ethylene Recycling HC'!$C$96</f>
        <v>-2115.4483469731495</v>
      </c>
      <c r="Y136" s="183">
        <f>'Ethylene Recycling HC'!X96-'Ethylene Recycling HC'!$C$96</f>
        <v>-2895.2380573419068</v>
      </c>
      <c r="Z136" s="183">
        <f>'Ethylene Recycling HC'!Y96-'Ethylene Recycling HC'!$C$96</f>
        <v>-3670.9993677886305</v>
      </c>
      <c r="AA136" s="183">
        <f>'Ethylene Recycling HC'!Z96-'Ethylene Recycling HC'!$C$96</f>
        <v>-4458.0583422730779</v>
      </c>
      <c r="AB136" s="183">
        <f>'Ethylene Recycling HC'!AA96-'Ethylene Recycling HC'!$C$96</f>
        <v>-5256.4236064150828</v>
      </c>
      <c r="AC136" s="183">
        <f>'Ethylene Recycling HC'!AB96-'Ethylene Recycling HC'!$C$96</f>
        <v>-6066.1033466104745</v>
      </c>
      <c r="AD136" s="183">
        <f>'Ethylene Recycling HC'!AC96-'Ethylene Recycling HC'!$C$96</f>
        <v>-6887.1053131527515</v>
      </c>
      <c r="AE136" s="183">
        <f>'Ethylene Recycling HC'!AD96-'Ethylene Recycling HC'!$C$96</f>
        <v>-7719.4368233393616</v>
      </c>
      <c r="AF136" s="183">
        <f>'Ethylene Recycling HC'!AE96-'Ethylene Recycling HC'!$C$96</f>
        <v>-8563.1047645627332</v>
      </c>
      <c r="AG136" s="183">
        <f>'Ethylene Recycling HC'!AF96-'Ethylene Recycling HC'!$C$96</f>
        <v>-9418.1155973860295</v>
      </c>
      <c r="AH136" s="183">
        <f>'Ethylene Recycling HC'!AG96-'Ethylene Recycling HC'!$C$96</f>
        <v>-10284.475358603693</v>
      </c>
    </row>
    <row r="137" spans="1:36" outlineLevel="1">
      <c r="A137"/>
      <c r="B137" t="s">
        <v>270</v>
      </c>
      <c r="C137" s="50" t="s">
        <v>1420</v>
      </c>
      <c r="D137" s="183">
        <f>'Ethylene Recycling HC'!C185-'Ethylene Recycling HC'!$C$185</f>
        <v>0</v>
      </c>
      <c r="E137" s="183">
        <f>'Ethylene Recycling HC'!D185-'Ethylene Recycling HC'!$C$185</f>
        <v>871.15927905129615</v>
      </c>
      <c r="F137" s="183">
        <f>'Ethylene Recycling HC'!E185-'Ethylene Recycling HC'!$C$185</f>
        <v>1723.0875492767586</v>
      </c>
      <c r="G137" s="183">
        <f>'Ethylene Recycling HC'!F185-'Ethylene Recycling HC'!$C$185</f>
        <v>2555.8994358607547</v>
      </c>
      <c r="H137" s="183">
        <f>'Ethylene Recycling HC'!G185-'Ethylene Recycling HC'!$C$185</f>
        <v>3369.70907664481</v>
      </c>
      <c r="I137" s="183">
        <f>'Ethylene Recycling HC'!H185-'Ethylene Recycling HC'!$C$185</f>
        <v>4164.6301238862052</v>
      </c>
      <c r="J137" s="183">
        <f>'Ethylene Recycling HC'!I185-'Ethylene Recycling HC'!$C$185</f>
        <v>4788.1057754590774</v>
      </c>
      <c r="K137" s="183">
        <f>'Ethylene Recycling HC'!J185-'Ethylene Recycling HC'!$C$185</f>
        <v>5346.1062460657304</v>
      </c>
      <c r="L137" s="183">
        <f>'Ethylene Recycling HC'!K185-'Ethylene Recycling HC'!$C$185</f>
        <v>5840.463376093192</v>
      </c>
      <c r="M137" s="183">
        <f>'Ethylene Recycling HC'!L185-'Ethylene Recycling HC'!$C$185</f>
        <v>6272.9947178156644</v>
      </c>
      <c r="N137" s="183">
        <f>'Ethylene Recycling HC'!M185-'Ethylene Recycling HC'!$C$185</f>
        <v>6645.503610802064</v>
      </c>
      <c r="O137" s="183">
        <f>'Ethylene Recycling HC'!N185-'Ethylene Recycling HC'!$C$185</f>
        <v>6752.1420011496366</v>
      </c>
      <c r="P137" s="183">
        <f>'Ethylene Recycling HC'!O185-'Ethylene Recycling HC'!$C$185</f>
        <v>6822.8270451794051</v>
      </c>
      <c r="Q137" s="183">
        <f>'Ethylene Recycling HC'!P185-'Ethylene Recycling HC'!$C$185</f>
        <v>6858.73034479544</v>
      </c>
      <c r="R137" s="183">
        <f>'Ethylene Recycling HC'!Q185-'Ethylene Recycling HC'!$C$185</f>
        <v>6861.0142028468781</v>
      </c>
      <c r="S137" s="183">
        <f>'Ethylene Recycling HC'!R185-'Ethylene Recycling HC'!$C$185</f>
        <v>6830.8316725280038</v>
      </c>
      <c r="T137" s="183">
        <f>'Ethylene Recycling HC'!S185-'Ethylene Recycling HC'!$C$185</f>
        <v>6862.6471218193383</v>
      </c>
      <c r="U137" s="183">
        <f>'Ethylene Recycling HC'!T185-'Ethylene Recycling HC'!$C$185</f>
        <v>6870.7884001670536</v>
      </c>
      <c r="V137" s="183">
        <f>'Ethylene Recycling HC'!U185-'Ethylene Recycling HC'!$C$185</f>
        <v>6856.0642375445523</v>
      </c>
      <c r="W137" s="183">
        <f>'Ethylene Recycling HC'!V185-'Ethylene Recycling HC'!$C$185</f>
        <v>6819.2769133065076</v>
      </c>
      <c r="X137" s="183">
        <f>'Ethylene Recycling HC'!W185-'Ethylene Recycling HC'!$C$185</f>
        <v>6761.2222905202734</v>
      </c>
      <c r="Y137" s="183">
        <f>'Ethylene Recycling HC'!X185-'Ethylene Recycling HC'!$C$185</f>
        <v>6821.521340684847</v>
      </c>
      <c r="Z137" s="183">
        <f>'Ethylene Recycling HC'!Y185-'Ethylene Recycling HC'!$C$185</f>
        <v>6847.8683289665887</v>
      </c>
      <c r="AA137" s="183">
        <f>'Ethylene Recycling HC'!Z185-'Ethylene Recycling HC'!$C$185</f>
        <v>6841.4794834820814</v>
      </c>
      <c r="AB137" s="183">
        <f>'Ethylene Recycling HC'!AA185-'Ethylene Recycling HC'!$C$185</f>
        <v>6803.5612827033619</v>
      </c>
      <c r="AC137" s="183">
        <f>'Ethylene Recycling HC'!AB185-'Ethylene Recycling HC'!$C$185</f>
        <v>6735.3105074469322</v>
      </c>
      <c r="AD137" s="183">
        <f>'Ethylene Recycling HC'!AC185-'Ethylene Recycling HC'!$C$185</f>
        <v>6571.7116899846305</v>
      </c>
      <c r="AE137" s="183">
        <f>'Ethylene Recycling HC'!AD185-'Ethylene Recycling HC'!$C$185</f>
        <v>6376.0505244217529</v>
      </c>
      <c r="AF137" s="183">
        <f>'Ethylene Recycling HC'!AE185-'Ethylene Recycling HC'!$C$185</f>
        <v>6149.7256797761838</v>
      </c>
      <c r="AG137" s="183">
        <f>'Ethylene Recycling HC'!AF185-'Ethylene Recycling HC'!$C$185</f>
        <v>5894.1244187933844</v>
      </c>
      <c r="AH137" s="183">
        <f>'Ethylene Recycling HC'!AG185-'Ethylene Recycling HC'!$C$185</f>
        <v>5610.6226591533004</v>
      </c>
      <c r="AJ137" s="40"/>
    </row>
    <row r="138" spans="1:36" outlineLevel="1">
      <c r="A138" s="160"/>
      <c r="B138" s="160" t="s">
        <v>269</v>
      </c>
      <c r="C138" s="156" t="s">
        <v>1420</v>
      </c>
      <c r="D138" s="547">
        <f>'Ethylene Recycling HC'!C145-'Ethylene Recycling HC'!$C$145</f>
        <v>0</v>
      </c>
      <c r="E138" s="547">
        <f>'Ethylene Recycling HC'!D145-'Ethylene Recycling HC'!$C$145</f>
        <v>93.025235165240701</v>
      </c>
      <c r="F138" s="547">
        <f>'Ethylene Recycling HC'!E145-'Ethylene Recycling HC'!$C$145</f>
        <v>175.61398300125029</v>
      </c>
      <c r="G138" s="547">
        <f>'Ethylene Recycling HC'!F145-'Ethylene Recycling HC'!$C$145</f>
        <v>247.98294432778221</v>
      </c>
      <c r="H138" s="547">
        <f>'Ethylene Recycling HC'!G145-'Ethylene Recycling HC'!$C$145</f>
        <v>310.34720754362706</v>
      </c>
      <c r="I138" s="547">
        <f>'Ethylene Recycling HC'!H145-'Ethylene Recycling HC'!$C$145</f>
        <v>362.92025697528288</v>
      </c>
      <c r="J138" s="547">
        <f>'Ethylene Recycling HC'!I145-'Ethylene Recycling HC'!$C$145</f>
        <v>405.91398118997449</v>
      </c>
      <c r="K138" s="547">
        <f>'Ethylene Recycling HC'!J145-'Ethylene Recycling HC'!$C$145</f>
        <v>439.53868127314536</v>
      </c>
      <c r="L138" s="547">
        <f>'Ethylene Recycling HC'!K145-'Ethylene Recycling HC'!$C$145</f>
        <v>464.00307907058095</v>
      </c>
      <c r="M138" s="547">
        <f>'Ethylene Recycling HC'!L145-'Ethylene Recycling HC'!$C$145</f>
        <v>479.51432539528241</v>
      </c>
      <c r="N138" s="547">
        <f>'Ethylene Recycling HC'!M145-'Ethylene Recycling HC'!$C$145</f>
        <v>486.27800819921777</v>
      </c>
      <c r="O138" s="547">
        <f>'Ethylene Recycling HC'!N145-'Ethylene Recycling HC'!$C$145</f>
        <v>447.85893477567288</v>
      </c>
      <c r="P138" s="547">
        <f>'Ethylene Recycling HC'!O145-'Ethylene Recycling HC'!$C$145</f>
        <v>404.35625049436067</v>
      </c>
      <c r="Q138" s="547">
        <f>'Ethylene Recycling HC'!P145-'Ethylene Recycling HC'!$C$145</f>
        <v>347.39580807006951</v>
      </c>
      <c r="R138" s="547">
        <f>'Ethylene Recycling HC'!Q145-'Ethylene Recycling HC'!$C$145</f>
        <v>285.95887578348675</v>
      </c>
      <c r="S138" s="547">
        <f>'Ethylene Recycling HC'!R145-'Ethylene Recycling HC'!$C$145</f>
        <v>220.22494538527644</v>
      </c>
      <c r="T138" s="547">
        <f>'Ethylene Recycling HC'!S145-'Ethylene Recycling HC'!$C$145</f>
        <v>150.37093462919574</v>
      </c>
      <c r="U138" s="547">
        <f>'Ethylene Recycling HC'!T145-'Ethylene Recycling HC'!$C$145</f>
        <v>76.571196088393663</v>
      </c>
      <c r="V138" s="547">
        <f>'Ethylene Recycling HC'!U145-'Ethylene Recycling HC'!$C$145</f>
        <v>-1.0024738328725107</v>
      </c>
      <c r="W138" s="547">
        <f>'Ethylene Recycling HC'!V145-'Ethylene Recycling HC'!$C$145</f>
        <v>-82.180825695236308</v>
      </c>
      <c r="X138" s="547">
        <f>'Ethylene Recycling HC'!W145-'Ethylene Recycling HC'!$C$145</f>
        <v>-166.79714763096717</v>
      </c>
      <c r="Y138" s="547">
        <f>'Ethylene Recycling HC'!X145-'Ethylene Recycling HC'!$C$145</f>
        <v>-231.88912636534792</v>
      </c>
      <c r="Z138" s="547">
        <f>'Ethylene Recycling HC'!Y145-'Ethylene Recycling HC'!$C$145</f>
        <v>-303.2434264528149</v>
      </c>
      <c r="AA138" s="547">
        <f>'Ethylene Recycling HC'!Z145-'Ethylene Recycling HC'!$C$145</f>
        <v>-395.08033860335445</v>
      </c>
      <c r="AB138" s="547">
        <f>'Ethylene Recycling HC'!AA145-'Ethylene Recycling HC'!$C$145</f>
        <v>-491.43689934356985</v>
      </c>
      <c r="AC138" s="547">
        <f>'Ethylene Recycling HC'!AB145-'Ethylene Recycling HC'!$C$145</f>
        <v>-591.90237792138828</v>
      </c>
      <c r="AD138" s="547">
        <f>'Ethylene Recycling HC'!AC145-'Ethylene Recycling HC'!$C$145</f>
        <v>-696.07573612287342</v>
      </c>
      <c r="AE138" s="547">
        <f>'Ethylene Recycling HC'!AD145-'Ethylene Recycling HC'!$C$145</f>
        <v>-803.56570150999255</v>
      </c>
      <c r="AF138" s="547">
        <f>'Ethylene Recycling HC'!AE145-'Ethylene Recycling HC'!$C$145</f>
        <v>-913.99083361695466</v>
      </c>
      <c r="AG138" s="547">
        <f>'Ethylene Recycling HC'!AF145-'Ethylene Recycling HC'!$C$145</f>
        <v>-1026.9795832031166</v>
      </c>
      <c r="AH138" s="547">
        <f>'Ethylene Recycling HC'!AG145-'Ethylene Recycling HC'!$C$145</f>
        <v>-1142.1703446596127</v>
      </c>
    </row>
    <row r="139" spans="1:36">
      <c r="A139" s="158"/>
      <c r="B139" s="211" t="s">
        <v>267</v>
      </c>
      <c r="C139" s="159" t="s">
        <v>1420</v>
      </c>
      <c r="D139" s="554">
        <f>D134-D135-D136-D137-D138</f>
        <v>2145788.3365974198</v>
      </c>
      <c r="E139" s="554">
        <f t="shared" ref="E139:AG139" si="44">E134-E135-E136-E137-E138</f>
        <v>2124904.3223518827</v>
      </c>
      <c r="F139" s="554">
        <f t="shared" si="44"/>
        <v>2082499.343501451</v>
      </c>
      <c r="G139" s="554">
        <f t="shared" si="44"/>
        <v>2040393.2670814425</v>
      </c>
      <c r="H139" s="554">
        <f t="shared" si="44"/>
        <v>1998591.3584108863</v>
      </c>
      <c r="I139" s="554">
        <f t="shared" si="44"/>
        <v>1957099.1951320204</v>
      </c>
      <c r="J139" s="554">
        <f t="shared" si="44"/>
        <v>1914247.8256903577</v>
      </c>
      <c r="K139" s="554">
        <f t="shared" si="44"/>
        <v>1871946.8924898731</v>
      </c>
      <c r="L139" s="554">
        <f t="shared" si="44"/>
        <v>1830199.7013498775</v>
      </c>
      <c r="M139" s="554">
        <f t="shared" si="44"/>
        <v>1789009.9759195228</v>
      </c>
      <c r="N139" s="554">
        <f t="shared" si="44"/>
        <v>1748381.8805629003</v>
      </c>
      <c r="O139" s="554">
        <f t="shared" si="44"/>
        <v>1708119.6615383055</v>
      </c>
      <c r="P139" s="554">
        <f t="shared" si="44"/>
        <v>1668240.3374904192</v>
      </c>
      <c r="Q139" s="554">
        <f t="shared" si="44"/>
        <v>1629124.6267218136</v>
      </c>
      <c r="R139" s="554">
        <f t="shared" si="44"/>
        <v>1590601.2815469177</v>
      </c>
      <c r="S139" s="554">
        <f t="shared" si="44"/>
        <v>1552675.9271989577</v>
      </c>
      <c r="T139" s="554">
        <f t="shared" si="44"/>
        <v>1511207.9236432086</v>
      </c>
      <c r="U139" s="554">
        <f t="shared" si="44"/>
        <v>1470461.6454101291</v>
      </c>
      <c r="V139" s="554">
        <f t="shared" si="44"/>
        <v>1430443.1358305702</v>
      </c>
      <c r="W139" s="554">
        <f t="shared" si="44"/>
        <v>1391159.1946553846</v>
      </c>
      <c r="X139" s="554">
        <f t="shared" si="44"/>
        <v>1352617.4180514237</v>
      </c>
      <c r="Y139" s="554">
        <f t="shared" si="44"/>
        <v>1308434.7190312408</v>
      </c>
      <c r="Z139" s="554">
        <f t="shared" si="44"/>
        <v>1265164.1237140589</v>
      </c>
      <c r="AA139" s="554">
        <f t="shared" si="44"/>
        <v>1222843.3436942771</v>
      </c>
      <c r="AB139" s="554">
        <f t="shared" si="44"/>
        <v>1181465.6001326274</v>
      </c>
      <c r="AC139" s="554">
        <f t="shared" si="44"/>
        <v>1141040.7294075005</v>
      </c>
      <c r="AD139" s="554">
        <f t="shared" si="44"/>
        <v>1100372.7648178574</v>
      </c>
      <c r="AE139" s="554">
        <f t="shared" si="44"/>
        <v>1060732.2547924486</v>
      </c>
      <c r="AF139" s="554">
        <f t="shared" si="44"/>
        <v>1022131.5221407933</v>
      </c>
      <c r="AG139" s="554">
        <f t="shared" si="44"/>
        <v>984584.22335576906</v>
      </c>
      <c r="AH139" s="554">
        <f>AH134-AH135-AH136-AH137-AH138</f>
        <v>948105.41954757471</v>
      </c>
      <c r="AI139" s="40"/>
      <c r="AJ139" s="382"/>
    </row>
    <row r="140" spans="1:36" s="61" customFormat="1">
      <c r="A140" s="606" t="s">
        <v>608</v>
      </c>
      <c r="B140" s="54" t="s">
        <v>141</v>
      </c>
      <c r="C140" s="55" t="s">
        <v>1420</v>
      </c>
      <c r="D140" s="571">
        <f>D66+D75-('Ethylene Recycling HC'!C97+'Ethylene Recycling HC'!C146+'Ethylene Recycling HC'!C186+'Ethylene Recycling HC'!C212-('Ethylene Recycling HC'!$C$97+'Ethylene Recycling HC'!$C$146+'Ethylene Recycling HC'!$C$186+'Ethylene Recycling HC'!$C$212))</f>
        <v>243158.34476609659</v>
      </c>
      <c r="E140" s="571">
        <f>E66+E75-('Ethylene Recycling HC'!D97+'Ethylene Recycling HC'!D146+'Ethylene Recycling HC'!D186+'Ethylene Recycling HC'!D212-('Ethylene Recycling HC'!$C$97+'Ethylene Recycling HC'!$C$146+'Ethylene Recycling HC'!$C$186+'Ethylene Recycling HC'!$C$212))</f>
        <v>244864.39946004376</v>
      </c>
      <c r="F140" s="571">
        <f>F66+F75-('Ethylene Recycling HC'!E97+'Ethylene Recycling HC'!E146+'Ethylene Recycling HC'!E186+'Ethylene Recycling HC'!E212-('Ethylene Recycling HC'!$C$97+'Ethylene Recycling HC'!$C$146+'Ethylene Recycling HC'!$C$186+'Ethylene Recycling HC'!$C$212))</f>
        <v>236800.09435257933</v>
      </c>
      <c r="G140" s="571">
        <f>G66+G75-('Ethylene Recycling HC'!F97+'Ethylene Recycling HC'!F146+'Ethylene Recycling HC'!F186+'Ethylene Recycling HC'!F212-('Ethylene Recycling HC'!$C$97+'Ethylene Recycling HC'!$C$146+'Ethylene Recycling HC'!$C$186+'Ethylene Recycling HC'!$C$212))</f>
        <v>228838.90239316045</v>
      </c>
      <c r="H140" s="571">
        <f>H66+H75-('Ethylene Recycling HC'!G97+'Ethylene Recycling HC'!G146+'Ethylene Recycling HC'!G186+'Ethylene Recycling HC'!G212-('Ethylene Recycling HC'!$C$97+'Ethylene Recycling HC'!$C$146+'Ethylene Recycling HC'!$C$186+'Ethylene Recycling HC'!$C$212))</f>
        <v>220983.61164423174</v>
      </c>
      <c r="I140" s="571">
        <f>I66+I75-('Ethylene Recycling HC'!H97+'Ethylene Recycling HC'!H146+'Ethylene Recycling HC'!H186+'Ethylene Recycling HC'!H212-('Ethylene Recycling HC'!$C$97+'Ethylene Recycling HC'!$C$146+'Ethylene Recycling HC'!$C$186+'Ethylene Recycling HC'!$C$212))</f>
        <v>213237.16493222403</v>
      </c>
      <c r="J140" s="571">
        <f>J66+J75-('Ethylene Recycling HC'!I97+'Ethylene Recycling HC'!I146+'Ethylene Recycling HC'!I186+'Ethylene Recycling HC'!I212-('Ethylene Recycling HC'!$C$97+'Ethylene Recycling HC'!$C$146+'Ethylene Recycling HC'!$C$186+'Ethylene Recycling HC'!$C$212))</f>
        <v>205680.92693969561</v>
      </c>
      <c r="K140" s="571">
        <f>K66+K75-('Ethylene Recycling HC'!J97+'Ethylene Recycling HC'!J146+'Ethylene Recycling HC'!J186+'Ethylene Recycling HC'!J212-('Ethylene Recycling HC'!$C$97+'Ethylene Recycling HC'!$C$146+'Ethylene Recycling HC'!$C$186+'Ethylene Recycling HC'!$C$212))</f>
        <v>198299.25705148806</v>
      </c>
      <c r="L140" s="571">
        <f>L66+L75-('Ethylene Recycling HC'!K97+'Ethylene Recycling HC'!K146+'Ethylene Recycling HC'!K186+'Ethylene Recycling HC'!K212-('Ethylene Recycling HC'!$C$97+'Ethylene Recycling HC'!$C$146+'Ethylene Recycling HC'!$C$186+'Ethylene Recycling HC'!$C$212))</f>
        <v>191095.16924904406</v>
      </c>
      <c r="M140" s="571">
        <f>M66+M75-('Ethylene Recycling HC'!L97+'Ethylene Recycling HC'!L146+'Ethylene Recycling HC'!L186+'Ethylene Recycling HC'!L212-('Ethylene Recycling HC'!$C$97+'Ethylene Recycling HC'!$C$146+'Ethylene Recycling HC'!$C$186+'Ethylene Recycling HC'!$C$212))</f>
        <v>184071.86939372425</v>
      </c>
      <c r="N140" s="571">
        <f>N66+N75-('Ethylene Recycling HC'!M97+'Ethylene Recycling HC'!M146+'Ethylene Recycling HC'!M186+'Ethylene Recycling HC'!M212-('Ethylene Recycling HC'!$C$97+'Ethylene Recycling HC'!$C$146+'Ethylene Recycling HC'!$C$186+'Ethylene Recycling HC'!$C$212))</f>
        <v>177232.76523988845</v>
      </c>
      <c r="O140" s="571">
        <f>O66+O75-('Ethylene Recycling HC'!N97+'Ethylene Recycling HC'!N146+'Ethylene Recycling HC'!N186+'Ethylene Recycling HC'!N212-('Ethylene Recycling HC'!$C$97+'Ethylene Recycling HC'!$C$146+'Ethylene Recycling HC'!$C$186+'Ethylene Recycling HC'!$C$212))</f>
        <v>172516.54302195588</v>
      </c>
      <c r="P140" s="571">
        <f>P66+P75-('Ethylene Recycling HC'!O97+'Ethylene Recycling HC'!O146+'Ethylene Recycling HC'!O186+'Ethylene Recycling HC'!O212-('Ethylene Recycling HC'!$C$97+'Ethylene Recycling HC'!$C$146+'Ethylene Recycling HC'!$C$186+'Ethylene Recycling HC'!$C$212))</f>
        <v>167808.77859761656</v>
      </c>
      <c r="Q140" s="571">
        <f>Q66+Q75-('Ethylene Recycling HC'!P97+'Ethylene Recycling HC'!P146+'Ethylene Recycling HC'!P186+'Ethylene Recycling HC'!P212-('Ethylene Recycling HC'!$C$97+'Ethylene Recycling HC'!$C$146+'Ethylene Recycling HC'!$C$186+'Ethylene Recycling HC'!$C$212))</f>
        <v>163406.01644468959</v>
      </c>
      <c r="R140" s="571">
        <f>R66+R75-('Ethylene Recycling HC'!Q97+'Ethylene Recycling HC'!Q146+'Ethylene Recycling HC'!Q186+'Ethylene Recycling HC'!Q212-('Ethylene Recycling HC'!$C$97+'Ethylene Recycling HC'!$C$146+'Ethylene Recycling HC'!$C$186+'Ethylene Recycling HC'!$C$212))</f>
        <v>159175.22412319336</v>
      </c>
      <c r="S140" s="571">
        <f>S66+S75-('Ethylene Recycling HC'!R97+'Ethylene Recycling HC'!R146+'Ethylene Recycling HC'!R186+'Ethylene Recycling HC'!R212-('Ethylene Recycling HC'!$C$97+'Ethylene Recycling HC'!$C$146+'Ethylene Recycling HC'!$C$186+'Ethylene Recycling HC'!$C$212))</f>
        <v>155120.16244856935</v>
      </c>
      <c r="T140" s="571">
        <f>T66+T75-('Ethylene Recycling HC'!S97+'Ethylene Recycling HC'!S146+'Ethylene Recycling HC'!S186+'Ethylene Recycling HC'!S212-('Ethylene Recycling HC'!$C$97+'Ethylene Recycling HC'!$C$146+'Ethylene Recycling HC'!$C$186+'Ethylene Recycling HC'!$C$212))</f>
        <v>150785.51986202857</v>
      </c>
      <c r="U140" s="571">
        <f>U66+U75-('Ethylene Recycling HC'!T97+'Ethylene Recycling HC'!T146+'Ethylene Recycling HC'!T186+'Ethylene Recycling HC'!T212-('Ethylene Recycling HC'!$C$97+'Ethylene Recycling HC'!$C$146+'Ethylene Recycling HC'!$C$186+'Ethylene Recycling HC'!$C$212))</f>
        <v>146648.23395386117</v>
      </c>
      <c r="V140" s="571">
        <f>V66+V75-('Ethylene Recycling HC'!U97+'Ethylene Recycling HC'!U146+'Ethylene Recycling HC'!U186+'Ethylene Recycling HC'!U212-('Ethylene Recycling HC'!$C$97+'Ethylene Recycling HC'!$C$146+'Ethylene Recycling HC'!$C$186+'Ethylene Recycling HC'!$C$212))</f>
        <v>142712.71997179493</v>
      </c>
      <c r="W140" s="571">
        <f>W66+W75-('Ethylene Recycling HC'!V97+'Ethylene Recycling HC'!V146+'Ethylene Recycling HC'!V186+'Ethylene Recycling HC'!V212-('Ethylene Recycling HC'!$C$97+'Ethylene Recycling HC'!$C$146+'Ethylene Recycling HC'!$C$186+'Ethylene Recycling HC'!$C$212))</f>
        <v>138983.71793035016</v>
      </c>
      <c r="X140" s="571">
        <f>X66+X75-('Ethylene Recycling HC'!W97+'Ethylene Recycling HC'!W146+'Ethylene Recycling HC'!W186+'Ethylene Recycling HC'!W212-('Ethylene Recycling HC'!$C$97+'Ethylene Recycling HC'!$C$146+'Ethylene Recycling HC'!$C$186+'Ethylene Recycling HC'!$C$212))</f>
        <v>135466.31061133812</v>
      </c>
      <c r="Y140" s="571">
        <f>Y66+Y75-('Ethylene Recycling HC'!X97+'Ethylene Recycling HC'!X146+'Ethylene Recycling HC'!X186+'Ethylene Recycling HC'!X212-('Ethylene Recycling HC'!$C$97+'Ethylene Recycling HC'!$C$146+'Ethylene Recycling HC'!$C$186+'Ethylene Recycling HC'!$C$212))</f>
        <v>130252.4093068443</v>
      </c>
      <c r="Z140" s="571">
        <f>Z66+Z75-('Ethylene Recycling HC'!Y97+'Ethylene Recycling HC'!Y146+'Ethylene Recycling HC'!Y186+'Ethylene Recycling HC'!Y212-('Ethylene Recycling HC'!$C$97+'Ethylene Recycling HC'!$C$146+'Ethylene Recycling HC'!$C$186+'Ethylene Recycling HC'!$C$212))</f>
        <v>125279.17335444561</v>
      </c>
      <c r="AA140" s="571">
        <f>AA66+AA75-('Ethylene Recycling HC'!Z97+'Ethylene Recycling HC'!Z146+'Ethylene Recycling HC'!Z186+'Ethylene Recycling HC'!Z212-('Ethylene Recycling HC'!$C$97+'Ethylene Recycling HC'!$C$146+'Ethylene Recycling HC'!$C$186+'Ethylene Recycling HC'!$C$212))</f>
        <v>120571.95659540591</v>
      </c>
      <c r="AB140" s="571">
        <f>AB66+AB75-('Ethylene Recycling HC'!AA97+'Ethylene Recycling HC'!AA146+'Ethylene Recycling HC'!AA186+'Ethylene Recycling HC'!AA212-('Ethylene Recycling HC'!$C$97+'Ethylene Recycling HC'!$C$146+'Ethylene Recycling HC'!$C$186+'Ethylene Recycling HC'!$C$212))</f>
        <v>116128.96362991862</v>
      </c>
      <c r="AC140" s="571">
        <f>AC66+AC75-('Ethylene Recycling HC'!AB97+'Ethylene Recycling HC'!AB146+'Ethylene Recycling HC'!AB186+'Ethylene Recycling HC'!AB212-('Ethylene Recycling HC'!$C$97+'Ethylene Recycling HC'!$C$146+'Ethylene Recycling HC'!$C$186+'Ethylene Recycling HC'!$C$212))</f>
        <v>111956.74522281456</v>
      </c>
      <c r="AD140" s="571">
        <f>AD66+AD75-('Ethylene Recycling HC'!AC97+'Ethylene Recycling HC'!AC146+'Ethylene Recycling HC'!AC186+'Ethylene Recycling HC'!AC212-('Ethylene Recycling HC'!$C$97+'Ethylene Recycling HC'!$C$146+'Ethylene Recycling HC'!$C$186+'Ethylene Recycling HC'!$C$212))</f>
        <v>107936.18621037691</v>
      </c>
      <c r="AE140" s="571">
        <f>AE66+AE75-('Ethylene Recycling HC'!AD97+'Ethylene Recycling HC'!AD146+'Ethylene Recycling HC'!AD186+'Ethylene Recycling HC'!AD212-('Ethylene Recycling HC'!$C$97+'Ethylene Recycling HC'!$C$146+'Ethylene Recycling HC'!$C$186+'Ethylene Recycling HC'!$C$212))</f>
        <v>104207.50839084719</v>
      </c>
      <c r="AF140" s="571">
        <f>AF66+AF75-('Ethylene Recycling HC'!AE97+'Ethylene Recycling HC'!AE146+'Ethylene Recycling HC'!AE186+'Ethylene Recycling HC'!AE212-('Ethylene Recycling HC'!$C$97+'Ethylene Recycling HC'!$C$146+'Ethylene Recycling HC'!$C$186+'Ethylene Recycling HC'!$C$212))</f>
        <v>100778.73207457156</v>
      </c>
      <c r="AG140" s="571">
        <f>AG66+AG75-('Ethylene Recycling HC'!AF97+'Ethylene Recycling HC'!AF146+'Ethylene Recycling HC'!AF186+'Ethylene Recycling HC'!AF212-('Ethylene Recycling HC'!$C$97+'Ethylene Recycling HC'!$C$146+'Ethylene Recycling HC'!$C$186+'Ethylene Recycling HC'!$C$212))</f>
        <v>97658.461335273052</v>
      </c>
      <c r="AH140" s="571">
        <f>AH66+AH75-('Ethylene Recycling HC'!AG97+'Ethylene Recycling HC'!AG146+'Ethylene Recycling HC'!AG186+'Ethylene Recycling HC'!AG212-('Ethylene Recycling HC'!$C$97+'Ethylene Recycling HC'!$C$146+'Ethylene Recycling HC'!$C$186+'Ethylene Recycling HC'!$C$212))</f>
        <v>94855.915796041867</v>
      </c>
      <c r="AI140" s="40"/>
      <c r="AJ140" s="382"/>
    </row>
    <row r="141" spans="1:36">
      <c r="A141" s="607"/>
      <c r="B141" s="1" t="s">
        <v>18</v>
      </c>
      <c r="C141" s="50" t="s">
        <v>1420</v>
      </c>
      <c r="D141" s="183">
        <f>D67+D76+(D145-D71-D80)</f>
        <v>107053.65149258176</v>
      </c>
      <c r="E141" s="183">
        <f t="shared" ref="E141:AH141" si="45">E67+E76+(E145-E71-E80)</f>
        <v>110200.38300621895</v>
      </c>
      <c r="F141" s="183">
        <f t="shared" si="45"/>
        <v>108734.82733348837</v>
      </c>
      <c r="G141" s="183">
        <f t="shared" si="45"/>
        <v>107236.95491546468</v>
      </c>
      <c r="H141" s="183">
        <f t="shared" si="45"/>
        <v>105709.7355571923</v>
      </c>
      <c r="I141" s="183">
        <f t="shared" si="45"/>
        <v>104156.18529047159</v>
      </c>
      <c r="J141" s="183">
        <f t="shared" si="45"/>
        <v>102476.01761470255</v>
      </c>
      <c r="K141" s="183">
        <f t="shared" si="45"/>
        <v>100800.07088420451</v>
      </c>
      <c r="L141" s="183">
        <f t="shared" si="45"/>
        <v>99135.704488797695</v>
      </c>
      <c r="M141" s="183">
        <f t="shared" si="45"/>
        <v>97490.115439314526</v>
      </c>
      <c r="N141" s="183">
        <f t="shared" si="45"/>
        <v>95870.345274798761</v>
      </c>
      <c r="O141" s="183">
        <f t="shared" si="45"/>
        <v>94156.015585860005</v>
      </c>
      <c r="P141" s="183">
        <f t="shared" si="45"/>
        <v>92487.919632209887</v>
      </c>
      <c r="Q141" s="183">
        <f t="shared" si="45"/>
        <v>90879.576980733298</v>
      </c>
      <c r="R141" s="183">
        <f t="shared" si="45"/>
        <v>89331.641394376376</v>
      </c>
      <c r="S141" s="183">
        <f t="shared" si="45"/>
        <v>87848.729638211022</v>
      </c>
      <c r="T141" s="183">
        <f t="shared" si="45"/>
        <v>86183.422993330736</v>
      </c>
      <c r="U141" s="183">
        <f t="shared" si="45"/>
        <v>84588.214121076453</v>
      </c>
      <c r="V141" s="183">
        <f t="shared" si="45"/>
        <v>83067.09298274637</v>
      </c>
      <c r="W141" s="183">
        <f t="shared" si="45"/>
        <v>81624.085172778723</v>
      </c>
      <c r="X141" s="183">
        <f t="shared" si="45"/>
        <v>80263.261045298379</v>
      </c>
      <c r="Y141" s="183">
        <f t="shared" si="45"/>
        <v>78731.061904803268</v>
      </c>
      <c r="Z141" s="183">
        <f t="shared" si="45"/>
        <v>77294.889017088833</v>
      </c>
      <c r="AA141" s="183">
        <f t="shared" si="45"/>
        <v>75960.412191725962</v>
      </c>
      <c r="AB141" s="183">
        <f t="shared" si="45"/>
        <v>74732.94052954443</v>
      </c>
      <c r="AC141" s="183">
        <f t="shared" si="45"/>
        <v>73617.82725501401</v>
      </c>
      <c r="AD141" s="183">
        <f t="shared" si="45"/>
        <v>72611.630177503204</v>
      </c>
      <c r="AE141" s="183">
        <f t="shared" si="45"/>
        <v>71738.977030973794</v>
      </c>
      <c r="AF141" s="183">
        <f t="shared" si="45"/>
        <v>71005.586769566857</v>
      </c>
      <c r="AG141" s="183">
        <f t="shared" si="45"/>
        <v>70417.250295977341</v>
      </c>
      <c r="AH141" s="183">
        <f t="shared" si="45"/>
        <v>69979.846675486144</v>
      </c>
      <c r="AI141" s="40"/>
      <c r="AJ141" s="382"/>
    </row>
    <row r="142" spans="1:36">
      <c r="A142" s="607"/>
      <c r="B142" s="1" t="s">
        <v>607</v>
      </c>
      <c r="C142" s="50" t="s">
        <v>1420</v>
      </c>
      <c r="D142" s="183">
        <f>D68+D77+(D144-D70-D79)</f>
        <v>235194.27504285253</v>
      </c>
      <c r="E142" s="183">
        <f t="shared" ref="E142:AH142" si="46">E68+E77+(E144-E70-E79)</f>
        <v>229823.0225604022</v>
      </c>
      <c r="F142" s="183">
        <f t="shared" si="46"/>
        <v>224259.51755569014</v>
      </c>
      <c r="G142" s="183">
        <f t="shared" si="46"/>
        <v>218712.18780146554</v>
      </c>
      <c r="H142" s="183">
        <f t="shared" si="46"/>
        <v>213181.4515469808</v>
      </c>
      <c r="I142" s="183">
        <f t="shared" si="46"/>
        <v>207667.72971689573</v>
      </c>
      <c r="J142" s="183">
        <f t="shared" si="46"/>
        <v>202059.05870236384</v>
      </c>
      <c r="K142" s="183">
        <f t="shared" si="46"/>
        <v>196500.10955730092</v>
      </c>
      <c r="L142" s="183">
        <f t="shared" si="46"/>
        <v>190991.0561815977</v>
      </c>
      <c r="M142" s="183">
        <f t="shared" si="46"/>
        <v>185532.07752337566</v>
      </c>
      <c r="N142" s="183">
        <f t="shared" si="46"/>
        <v>180123.35777582019</v>
      </c>
      <c r="O142" s="183">
        <f t="shared" si="46"/>
        <v>174869.00227875277</v>
      </c>
      <c r="P142" s="183">
        <f t="shared" si="46"/>
        <v>169668.65286325102</v>
      </c>
      <c r="Q142" s="183">
        <f t="shared" si="46"/>
        <v>164529.05078388521</v>
      </c>
      <c r="R142" s="183">
        <f t="shared" si="46"/>
        <v>159446.80522818197</v>
      </c>
      <c r="S142" s="183">
        <f t="shared" si="46"/>
        <v>154421.76559114805</v>
      </c>
      <c r="T142" s="183">
        <f t="shared" si="46"/>
        <v>149009.48700458443</v>
      </c>
      <c r="U142" s="183">
        <f t="shared" si="46"/>
        <v>143666.96811328901</v>
      </c>
      <c r="V142" s="183">
        <f t="shared" si="46"/>
        <v>138393.87429724564</v>
      </c>
      <c r="W142" s="183">
        <f t="shared" si="46"/>
        <v>133189.88166321561</v>
      </c>
      <c r="X142" s="183">
        <f t="shared" si="46"/>
        <v>128054.67733064393</v>
      </c>
      <c r="Y142" s="183">
        <f t="shared" si="46"/>
        <v>122036.82683787771</v>
      </c>
      <c r="Z142" s="183">
        <f t="shared" si="46"/>
        <v>116108.03161425624</v>
      </c>
      <c r="AA142" s="183">
        <f t="shared" si="46"/>
        <v>110269.5981247125</v>
      </c>
      <c r="AB142" s="183">
        <f t="shared" si="46"/>
        <v>104519.71234811185</v>
      </c>
      <c r="AC142" s="183">
        <f t="shared" si="46"/>
        <v>98857.8754791151</v>
      </c>
      <c r="AD142" s="183">
        <f t="shared" si="46"/>
        <v>93149.635547076527</v>
      </c>
      <c r="AE142" s="183">
        <f t="shared" si="46"/>
        <v>87534.022021653887</v>
      </c>
      <c r="AF142" s="183">
        <f t="shared" si="46"/>
        <v>82010.479924595245</v>
      </c>
      <c r="AG142" s="183">
        <f t="shared" si="46"/>
        <v>76578.469948248574</v>
      </c>
      <c r="AH142" s="183">
        <f t="shared" si="46"/>
        <v>71237.469000326586</v>
      </c>
      <c r="AI142" s="40"/>
      <c r="AJ142" s="382"/>
    </row>
    <row r="143" spans="1:36">
      <c r="A143" s="608"/>
      <c r="B143" s="1" t="s">
        <v>27</v>
      </c>
      <c r="C143" s="50" t="s">
        <v>1420</v>
      </c>
      <c r="D143" s="528">
        <f>D69+D78-('Ethylene Recycling HC'!C98+'Ethylene Recycling HC'!C147+'Ethylene Recycling HC'!C187+'Ethylene Recycling HC'!C213-('Ethylene Recycling HC'!$C$98+'Ethylene Recycling HC'!$C$147+'Ethylene Recycling HC'!$C$187+'Ethylene Recycling HC'!$C$213)+'Ethylene Recycling HC'!C101+'Ethylene Recycling HC'!C150+'Ethylene Recycling HC'!C190+'Ethylene Recycling HC'!C216-('Ethylene Recycling HC'!$C$101+'Ethylene Recycling HC'!$C$150+'Ethylene Recycling HC'!$C$190+'Ethylene Recycling HC'!$C$216))</f>
        <v>1560382.065295889</v>
      </c>
      <c r="E143" s="528">
        <f>E69+E78-('Ethylene Recycling HC'!D98+'Ethylene Recycling HC'!D147+'Ethylene Recycling HC'!D187+'Ethylene Recycling HC'!D213-('Ethylene Recycling HC'!$C$98+'Ethylene Recycling HC'!$C$147+'Ethylene Recycling HC'!$C$187+'Ethylene Recycling HC'!$C$213)+'Ethylene Recycling HC'!D101+'Ethylene Recycling HC'!D150+'Ethylene Recycling HC'!D190+'Ethylene Recycling HC'!D216-('Ethylene Recycling HC'!$C$101+'Ethylene Recycling HC'!$C$150+'Ethylene Recycling HC'!$C$190+'Ethylene Recycling HC'!$C$216))</f>
        <v>1540858.6379616344</v>
      </c>
      <c r="F143" s="528">
        <f>F69+F78-('Ethylene Recycling HC'!E98+'Ethylene Recycling HC'!E147+'Ethylene Recycling HC'!E187+'Ethylene Recycling HC'!E213-('Ethylene Recycling HC'!$C$98+'Ethylene Recycling HC'!$C$147+'Ethylene Recycling HC'!$C$187+'Ethylene Recycling HC'!$C$213)+'Ethylene Recycling HC'!E101+'Ethylene Recycling HC'!E150+'Ethylene Recycling HC'!E190+'Ethylene Recycling HC'!E216-('Ethylene Recycling HC'!$C$101+'Ethylene Recycling HC'!$C$150+'Ethylene Recycling HC'!$C$190+'Ethylene Recycling HC'!$C$216))</f>
        <v>1514313.1193056847</v>
      </c>
      <c r="G143" s="528">
        <f>G69+G78-('Ethylene Recycling HC'!F98+'Ethylene Recycling HC'!F147+'Ethylene Recycling HC'!F187+'Ethylene Recycling HC'!F213-('Ethylene Recycling HC'!$C$98+'Ethylene Recycling HC'!$C$147+'Ethylene Recycling HC'!$C$187+'Ethylene Recycling HC'!$C$213)+'Ethylene Recycling HC'!F101+'Ethylene Recycling HC'!F150+'Ethylene Recycling HC'!F190+'Ethylene Recycling HC'!F216-('Ethylene Recycling HC'!$C$101+'Ethylene Recycling HC'!$C$150+'Ethylene Recycling HC'!$C$190+'Ethylene Recycling HC'!$C$216))</f>
        <v>1487905.5314636265</v>
      </c>
      <c r="H143" s="528">
        <f>H69+H78-('Ethylene Recycling HC'!G98+'Ethylene Recycling HC'!G147+'Ethylene Recycling HC'!G187+'Ethylene Recycling HC'!G213-('Ethylene Recycling HC'!$C$98+'Ethylene Recycling HC'!$C$147+'Ethylene Recycling HC'!$C$187+'Ethylene Recycling HC'!$C$213)+'Ethylene Recycling HC'!G101+'Ethylene Recycling HC'!G150+'Ethylene Recycling HC'!G190+'Ethylene Recycling HC'!G216-('Ethylene Recycling HC'!$C$101+'Ethylene Recycling HC'!$C$150+'Ethylene Recycling HC'!$C$190+'Ethylene Recycling HC'!$C$216))</f>
        <v>1461636.9741955737</v>
      </c>
      <c r="I143" s="528">
        <f>I69+I78-('Ethylene Recycling HC'!H98+'Ethylene Recycling HC'!H147+'Ethylene Recycling HC'!H187+'Ethylene Recycling HC'!H213-('Ethylene Recycling HC'!$C$98+'Ethylene Recycling HC'!$C$147+'Ethylene Recycling HC'!$C$187+'Ethylene Recycling HC'!$C$213)+'Ethylene Recycling HC'!H101+'Ethylene Recycling HC'!H150+'Ethylene Recycling HC'!H190+'Ethylene Recycling HC'!H216-('Ethylene Recycling HC'!$C$101+'Ethylene Recycling HC'!$C$150+'Ethylene Recycling HC'!$C$190+'Ethylene Recycling HC'!$C$216))</f>
        <v>1435508.6402956676</v>
      </c>
      <c r="J143" s="528">
        <f>J69+J78-('Ethylene Recycling HC'!I98+'Ethylene Recycling HC'!I147+'Ethylene Recycling HC'!I187+'Ethylene Recycling HC'!I213-('Ethylene Recycling HC'!$C$98+'Ethylene Recycling HC'!$C$147+'Ethylene Recycling HC'!$C$187+'Ethylene Recycling HC'!$C$213)+'Ethylene Recycling HC'!I101+'Ethylene Recycling HC'!I150+'Ethylene Recycling HC'!I190+'Ethylene Recycling HC'!I216-('Ethylene Recycling HC'!$C$101+'Ethylene Recycling HC'!$C$150+'Ethylene Recycling HC'!$C$190+'Ethylene Recycling HC'!$C$216))</f>
        <v>1407862.3070539632</v>
      </c>
      <c r="K143" s="528">
        <f>K69+K78-('Ethylene Recycling HC'!J98+'Ethylene Recycling HC'!J147+'Ethylene Recycling HC'!J187+'Ethylene Recycling HC'!J213-('Ethylene Recycling HC'!$C$98+'Ethylene Recycling HC'!$C$147+'Ethylene Recycling HC'!$C$187+'Ethylene Recycling HC'!$C$213)+'Ethylene Recycling HC'!J101+'Ethylene Recycling HC'!J150+'Ethylene Recycling HC'!J190+'Ethylene Recycling HC'!J216-('Ethylene Recycling HC'!$C$101+'Ethylene Recycling HC'!$C$150+'Ethylene Recycling HC'!$C$190+'Ethylene Recycling HC'!$C$216))</f>
        <v>1380446.1364521969</v>
      </c>
      <c r="L143" s="528">
        <f>L69+L78-('Ethylene Recycling HC'!K98+'Ethylene Recycling HC'!K147+'Ethylene Recycling HC'!K187+'Ethylene Recycling HC'!K213-('Ethylene Recycling HC'!$C$98+'Ethylene Recycling HC'!$C$147+'Ethylene Recycling HC'!$C$187+'Ethylene Recycling HC'!$C$213)+'Ethylene Recycling HC'!K101+'Ethylene Recycling HC'!K150+'Ethylene Recycling HC'!K190+'Ethylene Recycling HC'!K216-('Ethylene Recycling HC'!$C$101+'Ethylene Recycling HC'!$C$150+'Ethylene Recycling HC'!$C$190+'Ethylene Recycling HC'!$C$216))</f>
        <v>1353260.7779062397</v>
      </c>
      <c r="M143" s="528">
        <f>M69+M78-('Ethylene Recycling HC'!L98+'Ethylene Recycling HC'!L147+'Ethylene Recycling HC'!L187+'Ethylene Recycling HC'!L213-('Ethylene Recycling HC'!$C$98+'Ethylene Recycling HC'!$C$147+'Ethylene Recycling HC'!$C$187+'Ethylene Recycling HC'!$C$213)+'Ethylene Recycling HC'!L101+'Ethylene Recycling HC'!L150+'Ethylene Recycling HC'!L190+'Ethylene Recycling HC'!L216-('Ethylene Recycling HC'!$C$101+'Ethylene Recycling HC'!$C$150+'Ethylene Recycling HC'!$C$190+'Ethylene Recycling HC'!$C$216))</f>
        <v>1326307.0098655792</v>
      </c>
      <c r="N143" s="528">
        <f>N69+N78-('Ethylene Recycling HC'!M98+'Ethylene Recycling HC'!M147+'Ethylene Recycling HC'!M187+'Ethylene Recycling HC'!M213-('Ethylene Recycling HC'!$C$98+'Ethylene Recycling HC'!$C$147+'Ethylene Recycling HC'!$C$187+'Ethylene Recycling HC'!$C$213)+'Ethylene Recycling HC'!M101+'Ethylene Recycling HC'!M150+'Ethylene Recycling HC'!M190+'Ethylene Recycling HC'!M216-('Ethylene Recycling HC'!$C$101+'Ethylene Recycling HC'!$C$150+'Ethylene Recycling HC'!$C$190+'Ethylene Recycling HC'!$C$216))</f>
        <v>1299585.7480129281</v>
      </c>
      <c r="O143" s="528">
        <f>O69+O78-('Ethylene Recycling HC'!N98+'Ethylene Recycling HC'!N147+'Ethylene Recycling HC'!N187+'Ethylene Recycling HC'!N213-('Ethylene Recycling HC'!$C$98+'Ethylene Recycling HC'!$C$147+'Ethylene Recycling HC'!$C$187+'Ethylene Recycling HC'!$C$213)+'Ethylene Recycling HC'!N101+'Ethylene Recycling HC'!N150+'Ethylene Recycling HC'!N190+'Ethylene Recycling HC'!N216-('Ethylene Recycling HC'!$C$101+'Ethylene Recycling HC'!$C$150+'Ethylene Recycling HC'!$C$190+'Ethylene Recycling HC'!$C$216))</f>
        <v>1270854.4572524652</v>
      </c>
      <c r="P143" s="528">
        <f>P69+P78-('Ethylene Recycling HC'!O98+'Ethylene Recycling HC'!O147+'Ethylene Recycling HC'!O187+'Ethylene Recycling HC'!O213-('Ethylene Recycling HC'!$C$98+'Ethylene Recycling HC'!$C$147+'Ethylene Recycling HC'!$C$187+'Ethylene Recycling HC'!$C$213)+'Ethylene Recycling HC'!O101+'Ethylene Recycling HC'!O150+'Ethylene Recycling HC'!O190+'Ethylene Recycling HC'!O216-('Ethylene Recycling HC'!$C$101+'Ethylene Recycling HC'!$C$150+'Ethylene Recycling HC'!$C$190+'Ethylene Recycling HC'!$C$216))</f>
        <v>1242368.6826244493</v>
      </c>
      <c r="Q143" s="528">
        <f>Q69+Q78-('Ethylene Recycling HC'!P98+'Ethylene Recycling HC'!P147+'Ethylene Recycling HC'!P187+'Ethylene Recycling HC'!P213-('Ethylene Recycling HC'!$C$98+'Ethylene Recycling HC'!$C$147+'Ethylene Recycling HC'!$C$187+'Ethylene Recycling HC'!$C$213)+'Ethylene Recycling HC'!P101+'Ethylene Recycling HC'!P150+'Ethylene Recycling HC'!P190+'Ethylene Recycling HC'!P216-('Ethylene Recycling HC'!$C$101+'Ethylene Recycling HC'!$C$150+'Ethylene Recycling HC'!$C$190+'Ethylene Recycling HC'!$C$216))</f>
        <v>1214196.596374556</v>
      </c>
      <c r="R143" s="528">
        <f>R69+R78-('Ethylene Recycling HC'!Q98+'Ethylene Recycling HC'!Q147+'Ethylene Recycling HC'!Q187+'Ethylene Recycling HC'!Q213-('Ethylene Recycling HC'!$C$98+'Ethylene Recycling HC'!$C$147+'Ethylene Recycling HC'!$C$187+'Ethylene Recycling HC'!$C$213)+'Ethylene Recycling HC'!Q101+'Ethylene Recycling HC'!Q150+'Ethylene Recycling HC'!Q190+'Ethylene Recycling HC'!Q216-('Ethylene Recycling HC'!$C$101+'Ethylene Recycling HC'!$C$150+'Ethylene Recycling HC'!$C$190+'Ethylene Recycling HC'!$C$216))</f>
        <v>1186306.8183760177</v>
      </c>
      <c r="S143" s="528">
        <f>S69+S78-('Ethylene Recycling HC'!R98+'Ethylene Recycling HC'!R147+'Ethylene Recycling HC'!R187+'Ethylene Recycling HC'!R213-('Ethylene Recycling HC'!$C$98+'Ethylene Recycling HC'!$C$147+'Ethylene Recycling HC'!$C$187+'Ethylene Recycling HC'!$C$213)+'Ethylene Recycling HC'!R101+'Ethylene Recycling HC'!R150+'Ethylene Recycling HC'!R190+'Ethylene Recycling HC'!R216-('Ethylene Recycling HC'!$C$101+'Ethylene Recycling HC'!$C$150+'Ethylene Recycling HC'!$C$190+'Ethylene Recycling HC'!$C$216))</f>
        <v>1158700.6853572931</v>
      </c>
      <c r="T143" s="528">
        <f>T69+T78-('Ethylene Recycling HC'!S98+'Ethylene Recycling HC'!S147+'Ethylene Recycling HC'!S187+'Ethylene Recycling HC'!S213-('Ethylene Recycling HC'!$C$98+'Ethylene Recycling HC'!$C$147+'Ethylene Recycling HC'!$C$187+'Ethylene Recycling HC'!$C$213)+'Ethylene Recycling HC'!S101+'Ethylene Recycling HC'!S150+'Ethylene Recycling HC'!S190+'Ethylene Recycling HC'!S216-('Ethylene Recycling HC'!$C$101+'Ethylene Recycling HC'!$C$150+'Ethylene Recycling HC'!$C$190+'Ethylene Recycling HC'!$C$216))</f>
        <v>1128432.0624401141</v>
      </c>
      <c r="U143" s="528">
        <f>U69+U78-('Ethylene Recycling HC'!T98+'Ethylene Recycling HC'!T147+'Ethylene Recycling HC'!T187+'Ethylene Recycling HC'!T213-('Ethylene Recycling HC'!$C$98+'Ethylene Recycling HC'!$C$147+'Ethylene Recycling HC'!$C$187+'Ethylene Recycling HC'!$C$213)+'Ethylene Recycling HC'!T101+'Ethylene Recycling HC'!T150+'Ethylene Recycling HC'!T190+'Ethylene Recycling HC'!T216-('Ethylene Recycling HC'!$C$101+'Ethylene Recycling HC'!$C$150+'Ethylene Recycling HC'!$C$190+'Ethylene Recycling HC'!$C$216))</f>
        <v>1098535.5708619747</v>
      </c>
      <c r="V143" s="528">
        <f>V69+V78-('Ethylene Recycling HC'!U98+'Ethylene Recycling HC'!U147+'Ethylene Recycling HC'!U187+'Ethylene Recycling HC'!U213-('Ethylene Recycling HC'!$C$98+'Ethylene Recycling HC'!$C$147+'Ethylene Recycling HC'!$C$187+'Ethylene Recycling HC'!$C$213)+'Ethylene Recycling HC'!U101+'Ethylene Recycling HC'!U150+'Ethylene Recycling HC'!U190+'Ethylene Recycling HC'!U216-('Ethylene Recycling HC'!$C$101+'Ethylene Recycling HC'!$C$150+'Ethylene Recycling HC'!$C$190+'Ethylene Recycling HC'!$C$216))</f>
        <v>1069011.874273801</v>
      </c>
      <c r="W143" s="528">
        <f>W69+W78-('Ethylene Recycling HC'!V98+'Ethylene Recycling HC'!V147+'Ethylene Recycling HC'!V187+'Ethylene Recycling HC'!V213-('Ethylene Recycling HC'!$C$98+'Ethylene Recycling HC'!$C$147+'Ethylene Recycling HC'!$C$187+'Ethylene Recycling HC'!$C$213)+'Ethylene Recycling HC'!V101+'Ethylene Recycling HC'!V150+'Ethylene Recycling HC'!V190+'Ethylene Recycling HC'!V216-('Ethylene Recycling HC'!$C$101+'Ethylene Recycling HC'!$C$150+'Ethylene Recycling HC'!$C$190+'Ethylene Recycling HC'!$C$216))</f>
        <v>1039861.9114239193</v>
      </c>
      <c r="X143" s="528">
        <f>X69+X78-('Ethylene Recycling HC'!W98+'Ethylene Recycling HC'!W147+'Ethylene Recycling HC'!W187+'Ethylene Recycling HC'!W213-('Ethylene Recycling HC'!$C$98+'Ethylene Recycling HC'!$C$147+'Ethylene Recycling HC'!$C$187+'Ethylene Recycling HC'!$C$213)+'Ethylene Recycling HC'!W101+'Ethylene Recycling HC'!W150+'Ethylene Recycling HC'!W190+'Ethylene Recycling HC'!W216-('Ethylene Recycling HC'!$C$101+'Ethylene Recycling HC'!$C$150+'Ethylene Recycling HC'!$C$190+'Ethylene Recycling HC'!$C$216))</f>
        <v>1011086.9098276503</v>
      </c>
      <c r="Y143" s="528">
        <f>Y69+Y78-('Ethylene Recycling HC'!X98+'Ethylene Recycling HC'!X147+'Ethylene Recycling HC'!X187+'Ethylene Recycling HC'!X213-('Ethylene Recycling HC'!$C$98+'Ethylene Recycling HC'!$C$147+'Ethylene Recycling HC'!$C$187+'Ethylene Recycling HC'!$C$213)+'Ethylene Recycling HC'!X101+'Ethylene Recycling HC'!X150+'Ethylene Recycling HC'!X190+'Ethylene Recycling HC'!X216-('Ethylene Recycling HC'!$C$101+'Ethylene Recycling HC'!$C$150+'Ethylene Recycling HC'!$C$190+'Ethylene Recycling HC'!$C$216))</f>
        <v>979460.87738392095</v>
      </c>
      <c r="Z143" s="528">
        <f>Z69+Z78-('Ethylene Recycling HC'!Y98+'Ethylene Recycling HC'!Y147+'Ethylene Recycling HC'!Y187+'Ethylene Recycling HC'!Y213-('Ethylene Recycling HC'!$C$98+'Ethylene Recycling HC'!$C$147+'Ethylene Recycling HC'!$C$187+'Ethylene Recycling HC'!$C$213)+'Ethylene Recycling HC'!Y101+'Ethylene Recycling HC'!Y150+'Ethylene Recycling HC'!Y190+'Ethylene Recycling HC'!Y216-('Ethylene Recycling HC'!$C$101+'Ethylene Recycling HC'!$C$150+'Ethylene Recycling HC'!$C$190+'Ethylene Recycling HC'!$C$216))</f>
        <v>948308.12794932583</v>
      </c>
      <c r="AA143" s="528">
        <f>AA69+AA78-('Ethylene Recycling HC'!Z98+'Ethylene Recycling HC'!Z147+'Ethylene Recycling HC'!Z187+'Ethylene Recycling HC'!Z213-('Ethylene Recycling HC'!$C$98+'Ethylene Recycling HC'!$C$147+'Ethylene Recycling HC'!$C$187+'Ethylene Recycling HC'!$C$213)+'Ethylene Recycling HC'!Z101+'Ethylene Recycling HC'!Z150+'Ethylene Recycling HC'!Z190+'Ethylene Recycling HC'!Z216-('Ethylene Recycling HC'!$C$101+'Ethylene Recycling HC'!$C$150+'Ethylene Recycling HC'!$C$190+'Ethylene Recycling HC'!$C$216))</f>
        <v>917637.7219952452</v>
      </c>
      <c r="AB143" s="528">
        <f>AB69+AB78-('Ethylene Recycling HC'!AA98+'Ethylene Recycling HC'!AA147+'Ethylene Recycling HC'!AA187+'Ethylene Recycling HC'!AA213-('Ethylene Recycling HC'!$C$98+'Ethylene Recycling HC'!$C$147+'Ethylene Recycling HC'!$C$187+'Ethylene Recycling HC'!$C$213)+'Ethylene Recycling HC'!AA101+'Ethylene Recycling HC'!AA150+'Ethylene Recycling HC'!AA190+'Ethylene Recycling HC'!AA216-('Ethylene Recycling HC'!$C$101+'Ethylene Recycling HC'!$C$150+'Ethylene Recycling HC'!$C$190+'Ethylene Recycling HC'!$C$216))</f>
        <v>887444.69588159327</v>
      </c>
      <c r="AC143" s="528">
        <f>AC69+AC78-('Ethylene Recycling HC'!AB98+'Ethylene Recycling HC'!AB147+'Ethylene Recycling HC'!AB187+'Ethylene Recycling HC'!AB213-('Ethylene Recycling HC'!$C$98+'Ethylene Recycling HC'!$C$147+'Ethylene Recycling HC'!$C$187+'Ethylene Recycling HC'!$C$213)+'Ethylene Recycling HC'!AB101+'Ethylene Recycling HC'!AB150+'Ethylene Recycling HC'!AB190+'Ethylene Recycling HC'!AB216-('Ethylene Recycling HC'!$C$101+'Ethylene Recycling HC'!$C$150+'Ethylene Recycling HC'!$C$190+'Ethylene Recycling HC'!$C$216))</f>
        <v>857730.83320179814</v>
      </c>
      <c r="AD143" s="528">
        <f>AD69+AD78-('Ethylene Recycling HC'!AC98+'Ethylene Recycling HC'!AC147+'Ethylene Recycling HC'!AC187+'Ethylene Recycling HC'!AC213-('Ethylene Recycling HC'!$C$98+'Ethylene Recycling HC'!$C$147+'Ethylene Recycling HC'!$C$187+'Ethylene Recycling HC'!$C$213)+'Ethylene Recycling HC'!AC101+'Ethylene Recycling HC'!AC150+'Ethylene Recycling HC'!AC190+'Ethylene Recycling HC'!AC216-('Ethylene Recycling HC'!$C$101+'Ethylene Recycling HC'!$C$150+'Ethylene Recycling HC'!$C$190+'Ethylene Recycling HC'!$C$216))</f>
        <v>827551.54110823211</v>
      </c>
      <c r="AE143" s="528">
        <f>AE69+AE78-('Ethylene Recycling HC'!AD98+'Ethylene Recycling HC'!AD147+'Ethylene Recycling HC'!AD187+'Ethylene Recycling HC'!AD213-('Ethylene Recycling HC'!$C$98+'Ethylene Recycling HC'!$C$147+'Ethylene Recycling HC'!$C$187+'Ethylene Recycling HC'!$C$213)+'Ethylene Recycling HC'!AD101+'Ethylene Recycling HC'!AD150+'Ethylene Recycling HC'!AD190+'Ethylene Recycling HC'!AD216-('Ethylene Recycling HC'!$C$101+'Ethylene Recycling HC'!$C$150+'Ethylene Recycling HC'!$C$190+'Ethylene Recycling HC'!$C$216))</f>
        <v>797889.35240141582</v>
      </c>
      <c r="AF143" s="528">
        <f>AF69+AF78-('Ethylene Recycling HC'!AE98+'Ethylene Recycling HC'!AE147+'Ethylene Recycling HC'!AE187+'Ethylene Recycling HC'!AE213-('Ethylene Recycling HC'!$C$98+'Ethylene Recycling HC'!$C$147+'Ethylene Recycling HC'!$C$187+'Ethylene Recycling HC'!$C$213)+'Ethylene Recycling HC'!AE101+'Ethylene Recycling HC'!AE150+'Ethylene Recycling HC'!AE190+'Ethylene Recycling HC'!AE216-('Ethylene Recycling HC'!$C$101+'Ethylene Recycling HC'!$C$150+'Ethylene Recycling HC'!$C$190+'Ethylene Recycling HC'!$C$216))</f>
        <v>768746.70508404484</v>
      </c>
      <c r="AG143" s="528">
        <f>AG69+AG78-('Ethylene Recycling HC'!AF98+'Ethylene Recycling HC'!AF147+'Ethylene Recycling HC'!AF187+'Ethylene Recycling HC'!AF213-('Ethylene Recycling HC'!$C$98+'Ethylene Recycling HC'!$C$147+'Ethylene Recycling HC'!$C$187+'Ethylene Recycling HC'!$C$213)+'Ethylene Recycling HC'!AF101+'Ethylene Recycling HC'!AF150+'Ethylene Recycling HC'!AF190+'Ethylene Recycling HC'!AF216-('Ethylene Recycling HC'!$C$101+'Ethylene Recycling HC'!$C$150+'Ethylene Recycling HC'!$C$190+'Ethylene Recycling HC'!$C$216))</f>
        <v>740126.51259022998</v>
      </c>
      <c r="AH143" s="528">
        <f>AH69+AH78-('Ethylene Recycling HC'!AG98+'Ethylene Recycling HC'!AG147+'Ethylene Recycling HC'!AG187+'Ethylene Recycling HC'!AG213-('Ethylene Recycling HC'!$C$98+'Ethylene Recycling HC'!$C$147+'Ethylene Recycling HC'!$C$187+'Ethylene Recycling HC'!$C$213)+'Ethylene Recycling HC'!AG101+'Ethylene Recycling HC'!AG150+'Ethylene Recycling HC'!AG190+'Ethylene Recycling HC'!AG216-('Ethylene Recycling HC'!$C$101+'Ethylene Recycling HC'!$C$150+'Ethylene Recycling HC'!$C$190+'Ethylene Recycling HC'!$C$216))</f>
        <v>712032.18807572033</v>
      </c>
      <c r="AI143" s="40"/>
      <c r="AJ143" s="382"/>
    </row>
    <row r="144" spans="1:36" s="61" customFormat="1">
      <c r="A144" s="609" t="s">
        <v>609</v>
      </c>
      <c r="B144" s="54" t="s">
        <v>606</v>
      </c>
      <c r="C144" s="55" t="s">
        <v>1420</v>
      </c>
      <c r="D144" s="571">
        <f>D70+D79-('Ethylene Recycling HC'!C99+'Ethylene Recycling HC'!C148+'Ethylene Recycling HC'!C188+'Ethylene Recycling HC'!C214-('Ethylene Recycling HC'!$C$99+'Ethylene Recycling HC'!$C$148+'Ethylene Recycling HC'!$C$188+'Ethylene Recycling HC'!$C$214))</f>
        <v>107207.97978629141</v>
      </c>
      <c r="E144" s="571">
        <f>E70+E79-('Ethylene Recycling HC'!D99+'Ethylene Recycling HC'!D148+'Ethylene Recycling HC'!D188+'Ethylene Recycling HC'!D214-('Ethylene Recycling HC'!$C$99+'Ethylene Recycling HC'!$C$148+'Ethylene Recycling HC'!$C$188+'Ethylene Recycling HC'!$C$214))</f>
        <v>103801.37582255386</v>
      </c>
      <c r="F144" s="571">
        <f>F70+F79-('Ethylene Recycling HC'!E99+'Ethylene Recycling HC'!E148+'Ethylene Recycling HC'!E188+'Ethylene Recycling HC'!E214-('Ethylene Recycling HC'!$C$99+'Ethylene Recycling HC'!$C$148+'Ethylene Recycling HC'!$C$188+'Ethylene Recycling HC'!$C$214))</f>
        <v>100196.86781521565</v>
      </c>
      <c r="G144" s="571">
        <f>G70+G79-('Ethylene Recycling HC'!F99+'Ethylene Recycling HC'!F148+'Ethylene Recycling HC'!F188+'Ethylene Recycling HC'!F214-('Ethylene Recycling HC'!$C$99+'Ethylene Recycling HC'!$C$148+'Ethylene Recycling HC'!$C$188+'Ethylene Recycling HC'!$C$214))</f>
        <v>96602.855313231179</v>
      </c>
      <c r="H144" s="571">
        <f>H70+H79-('Ethylene Recycling HC'!G99+'Ethylene Recycling HC'!G148+'Ethylene Recycling HC'!G188+'Ethylene Recycling HC'!G214-('Ethylene Recycling HC'!$C$99+'Ethylene Recycling HC'!$C$148+'Ethylene Recycling HC'!$C$188+'Ethylene Recycling HC'!$C$214))</f>
        <v>93019.727090438682</v>
      </c>
      <c r="I144" s="571">
        <f>I70+I79-('Ethylene Recycling HC'!H99+'Ethylene Recycling HC'!H148+'Ethylene Recycling HC'!H188+'Ethylene Recycling HC'!H214-('Ethylene Recycling HC'!$C$99+'Ethylene Recycling HC'!$C$148+'Ethylene Recycling HC'!$C$188+'Ethylene Recycling HC'!$C$214))</f>
        <v>89447.873289900628</v>
      </c>
      <c r="J144" s="571">
        <f>J70+J79-('Ethylene Recycling HC'!I99+'Ethylene Recycling HC'!I148+'Ethylene Recycling HC'!I188+'Ethylene Recycling HC'!I214-('Ethylene Recycling HC'!$C$99+'Ethylene Recycling HC'!$C$148+'Ethylene Recycling HC'!$C$188+'Ethylene Recycling HC'!$C$214))</f>
        <v>85935.363272209666</v>
      </c>
      <c r="K144" s="571">
        <f>K70+K79-('Ethylene Recycling HC'!J99+'Ethylene Recycling HC'!J148+'Ethylene Recycling HC'!J188+'Ethylene Recycling HC'!J214-('Ethylene Recycling HC'!$C$99+'Ethylene Recycling HC'!$C$148+'Ethylene Recycling HC'!$C$188+'Ethylene Recycling HC'!$C$214))</f>
        <v>82462.865271695948</v>
      </c>
      <c r="L144" s="571">
        <f>L70+L79-('Ethylene Recycling HC'!K99+'Ethylene Recycling HC'!K148+'Ethylene Recycling HC'!K188+'Ethylene Recycling HC'!K214-('Ethylene Recycling HC'!$C$99+'Ethylene Recycling HC'!$C$148+'Ethylene Recycling HC'!$C$188+'Ethylene Recycling HC'!$C$214))</f>
        <v>79030.567145234425</v>
      </c>
      <c r="M144" s="571">
        <f>M70+M79-('Ethylene Recycling HC'!L99+'Ethylene Recycling HC'!L148+'Ethylene Recycling HC'!L188+'Ethylene Recycling HC'!L214-('Ethylene Recycling HC'!$C$99+'Ethylene Recycling HC'!$C$148+'Ethylene Recycling HC'!$C$188+'Ethylene Recycling HC'!$C$214))</f>
        <v>75638.659786058852</v>
      </c>
      <c r="N144" s="571">
        <f>N70+N79-('Ethylene Recycling HC'!M99+'Ethylene Recycling HC'!M148+'Ethylene Recycling HC'!M188+'Ethylene Recycling HC'!M214-('Ethylene Recycling HC'!$C$99+'Ethylene Recycling HC'!$C$148+'Ethylene Recycling HC'!$C$188+'Ethylene Recycling HC'!$C$214))</f>
        <v>72287.337264414527</v>
      </c>
      <c r="O144" s="571">
        <f>O70+O79-('Ethylene Recycling HC'!N99+'Ethylene Recycling HC'!N148+'Ethylene Recycling HC'!N188+'Ethylene Recycling HC'!N214-('Ethylene Recycling HC'!$C$99+'Ethylene Recycling HC'!$C$148+'Ethylene Recycling HC'!$C$188+'Ethylene Recycling HC'!$C$214))</f>
        <v>69367.31264540914</v>
      </c>
      <c r="P144" s="571">
        <f>P70+P79-('Ethylene Recycling HC'!O99+'Ethylene Recycling HC'!O148+'Ethylene Recycling HC'!O188+'Ethylene Recycling HC'!O214-('Ethylene Recycling HC'!$C$99+'Ethylene Recycling HC'!$C$148+'Ethylene Recycling HC'!$C$188+'Ethylene Recycling HC'!$C$214))</f>
        <v>66484.059476304887</v>
      </c>
      <c r="Q144" s="571">
        <f>Q70+Q79-('Ethylene Recycling HC'!P99+'Ethylene Recycling HC'!P148+'Ethylene Recycling HC'!P188+'Ethylene Recycling HC'!P214-('Ethylene Recycling HC'!$C$99+'Ethylene Recycling HC'!$C$148+'Ethylene Recycling HC'!$C$188+'Ethylene Recycling HC'!$C$214))</f>
        <v>63644.429509940433</v>
      </c>
      <c r="R144" s="571">
        <f>R70+R79-('Ethylene Recycling HC'!Q99+'Ethylene Recycling HC'!Q148+'Ethylene Recycling HC'!Q188+'Ethylene Recycling HC'!Q214-('Ethylene Recycling HC'!$C$99+'Ethylene Recycling HC'!$C$148+'Ethylene Recycling HC'!$C$188+'Ethylene Recycling HC'!$C$214))</f>
        <v>60845.138940095094</v>
      </c>
      <c r="S144" s="571">
        <f>S70+S79-('Ethylene Recycling HC'!R99+'Ethylene Recycling HC'!R148+'Ethylene Recycling HC'!R188+'Ethylene Recycling HC'!R214-('Ethylene Recycling HC'!$C$99+'Ethylene Recycling HC'!$C$148+'Ethylene Recycling HC'!$C$188+'Ethylene Recycling HC'!$C$214))</f>
        <v>58086.140624837841</v>
      </c>
      <c r="T144" s="571">
        <f>T70+T79-('Ethylene Recycling HC'!S99+'Ethylene Recycling HC'!S148+'Ethylene Recycling HC'!S188+'Ethylene Recycling HC'!S214-('Ethylene Recycling HC'!$C$99+'Ethylene Recycling HC'!$C$148+'Ethylene Recycling HC'!$C$188+'Ethylene Recycling HC'!$C$214))</f>
        <v>55164.866285567085</v>
      </c>
      <c r="U144" s="571">
        <f>U70+U79-('Ethylene Recycling HC'!T99+'Ethylene Recycling HC'!T148+'Ethylene Recycling HC'!T188+'Ethylene Recycling HC'!T214-('Ethylene Recycling HC'!$C$99+'Ethylene Recycling HC'!$C$148+'Ethylene Recycling HC'!$C$188+'Ethylene Recycling HC'!$C$214))</f>
        <v>52289.65067263064</v>
      </c>
      <c r="V144" s="571">
        <f>V70+V79-('Ethylene Recycling HC'!U99+'Ethylene Recycling HC'!U148+'Ethylene Recycling HC'!U188+'Ethylene Recycling HC'!U214-('Ethylene Recycling HC'!$C$99+'Ethylene Recycling HC'!$C$148+'Ethylene Recycling HC'!$C$188+'Ethylene Recycling HC'!$C$214))</f>
        <v>49460.364071022006</v>
      </c>
      <c r="W144" s="571">
        <f>W70+W79-('Ethylene Recycling HC'!V99+'Ethylene Recycling HC'!V148+'Ethylene Recycling HC'!V188+'Ethylene Recycling HC'!V214-('Ethylene Recycling HC'!$C$99+'Ethylene Recycling HC'!$C$148+'Ethylene Recycling HC'!$C$188+'Ethylene Recycling HC'!$C$214))</f>
        <v>46676.882301913727</v>
      </c>
      <c r="X144" s="571">
        <f>X70+X79-('Ethylene Recycling HC'!W99+'Ethylene Recycling HC'!W148+'Ethylene Recycling HC'!W188+'Ethylene Recycling HC'!W214-('Ethylene Recycling HC'!$C$99+'Ethylene Recycling HC'!$C$148+'Ethylene Recycling HC'!$C$188+'Ethylene Recycling HC'!$C$214))</f>
        <v>43939.086965542207</v>
      </c>
      <c r="Y144" s="571">
        <f>Y70+Y79-('Ethylene Recycling HC'!X99+'Ethylene Recycling HC'!X148+'Ethylene Recycling HC'!X188+'Ethylene Recycling HC'!X214-('Ethylene Recycling HC'!$C$99+'Ethylene Recycling HC'!$C$148+'Ethylene Recycling HC'!$C$188+'Ethylene Recycling HC'!$C$214))</f>
        <v>40477.136412033353</v>
      </c>
      <c r="Z144" s="571">
        <f>Z70+Z79-('Ethylene Recycling HC'!Y99+'Ethylene Recycling HC'!Y148+'Ethylene Recycling HC'!Y188+'Ethylene Recycling HC'!Y214-('Ethylene Recycling HC'!$C$99+'Ethylene Recycling HC'!$C$148+'Ethylene Recycling HC'!$C$188+'Ethylene Recycling HC'!$C$214))</f>
        <v>37075.589525470721</v>
      </c>
      <c r="AA144" s="571">
        <f>AA70+AA79-('Ethylene Recycling HC'!Z99+'Ethylene Recycling HC'!Z148+'Ethylene Recycling HC'!Z188+'Ethylene Recycling HC'!Z214-('Ethylene Recycling HC'!$C$99+'Ethylene Recycling HC'!$C$148+'Ethylene Recycling HC'!$C$188+'Ethylene Recycling HC'!$C$214))</f>
        <v>33736.019322218643</v>
      </c>
      <c r="AB144" s="571">
        <f>AB70+AB79-('Ethylene Recycling HC'!AA99+'Ethylene Recycling HC'!AA148+'Ethylene Recycling HC'!AA188+'Ethylene Recycling HC'!AA214-('Ethylene Recycling HC'!$C$99+'Ethylene Recycling HC'!$C$148+'Ethylene Recycling HC'!$C$188+'Ethylene Recycling HC'!$C$214))</f>
        <v>30456.871373732632</v>
      </c>
      <c r="AC144" s="571">
        <f>AC70+AC79-('Ethylene Recycling HC'!AB99+'Ethylene Recycling HC'!AB148+'Ethylene Recycling HC'!AB188+'Ethylene Recycling HC'!AB214-('Ethylene Recycling HC'!$C$99+'Ethylene Recycling HC'!$C$148+'Ethylene Recycling HC'!$C$188+'Ethylene Recycling HC'!$C$214))</f>
        <v>27237.899468277858</v>
      </c>
      <c r="AD144" s="571">
        <f>AD70+AD79-('Ethylene Recycling HC'!AC99+'Ethylene Recycling HC'!AC148+'Ethylene Recycling HC'!AC188+'Ethylene Recycling HC'!AC214-('Ethylene Recycling HC'!$C$99+'Ethylene Recycling HC'!$C$148+'Ethylene Recycling HC'!$C$188+'Ethylene Recycling HC'!$C$214))</f>
        <v>24024.073814221243</v>
      </c>
      <c r="AE144" s="571">
        <f>AE70+AE79-('Ethylene Recycling HC'!AD99+'Ethylene Recycling HC'!AD148+'Ethylene Recycling HC'!AD188+'Ethylene Recycling HC'!AD214-('Ethylene Recycling HC'!$C$99+'Ethylene Recycling HC'!$C$148+'Ethylene Recycling HC'!$C$188+'Ethylene Recycling HC'!$C$214))</f>
        <v>20872.860600818298</v>
      </c>
      <c r="AF144" s="571">
        <f>AF70+AF79-('Ethylene Recycling HC'!AE99+'Ethylene Recycling HC'!AE148+'Ethylene Recycling HC'!AE188+'Ethylene Recycling HC'!AE214-('Ethylene Recycling HC'!$C$99+'Ethylene Recycling HC'!$C$148+'Ethylene Recycling HC'!$C$188+'Ethylene Recycling HC'!$C$214))</f>
        <v>17783.985680547325</v>
      </c>
      <c r="AG144" s="571">
        <f>AG70+AG79-('Ethylene Recycling HC'!AF99+'Ethylene Recycling HC'!AF148+'Ethylene Recycling HC'!AF188+'Ethylene Recycling HC'!AF214-('Ethylene Recycling HC'!$C$99+'Ethylene Recycling HC'!$C$148+'Ethylene Recycling HC'!$C$188+'Ethylene Recycling HC'!$C$214))</f>
        <v>14757.182654444143</v>
      </c>
      <c r="AH144" s="571">
        <f>AH70+AH79-('Ethylene Recycling HC'!AG99+'Ethylene Recycling HC'!AG148+'Ethylene Recycling HC'!AG188+'Ethylene Recycling HC'!AG214-('Ethylene Recycling HC'!$C$99+'Ethylene Recycling HC'!$C$148+'Ethylene Recycling HC'!$C$188+'Ethylene Recycling HC'!$C$214))</f>
        <v>11792.19337479899</v>
      </c>
      <c r="AI144" s="56"/>
      <c r="AJ144" s="382"/>
    </row>
    <row r="145" spans="1:36" s="62" customFormat="1">
      <c r="A145" s="610"/>
      <c r="B145" s="58" t="s">
        <v>605</v>
      </c>
      <c r="C145" s="233" t="s">
        <v>1420</v>
      </c>
      <c r="D145" s="528">
        <f>D71+D80-('Ethylene Recycling HC'!C215+'Ethylene Recycling HC'!C189+'Ethylene Recycling HC'!C149+'Ethylene Recycling HC'!C100-('Ethylene Recycling HC'!$C$215+'Ethylene Recycling HC'!$C$189+'Ethylene Recycling HC'!$C$149+'Ethylene Recycling HC'!$C$100))</f>
        <v>35832.469182091416</v>
      </c>
      <c r="E145" s="528">
        <f>E71+E80-('Ethylene Recycling HC'!D215+'Ethylene Recycling HC'!D189+'Ethylene Recycling HC'!D149+'Ethylene Recycling HC'!D100-('Ethylene Recycling HC'!$C$215+'Ethylene Recycling HC'!$C$189+'Ethylene Recycling HC'!$C$149+'Ethylene Recycling HC'!$C$100))</f>
        <v>35443.106185593453</v>
      </c>
      <c r="F145" s="528">
        <f>F71+F80-('Ethylene Recycling HC'!E215+'Ethylene Recycling HC'!E189+'Ethylene Recycling HC'!E149+'Ethylene Recycling HC'!E100-('Ethylene Recycling HC'!$C$215+'Ethylene Recycling HC'!$C$189+'Ethylene Recycling HC'!$C$149+'Ethylene Recycling HC'!$C$100))</f>
        <v>42600.910759163104</v>
      </c>
      <c r="G145" s="528">
        <f>G71+G80-('Ethylene Recycling HC'!F215+'Ethylene Recycling HC'!F189+'Ethylene Recycling HC'!F149+'Ethylene Recycling HC'!F100-('Ethylene Recycling HC'!$C$215+'Ethylene Recycling HC'!$C$189+'Ethylene Recycling HC'!$C$149+'Ethylene Recycling HC'!$C$100))</f>
        <v>58991.874788309622</v>
      </c>
      <c r="H145" s="528">
        <f>H71+H80-('Ethylene Recycling HC'!G215+'Ethylene Recycling HC'!G189+'Ethylene Recycling HC'!G149+'Ethylene Recycling HC'!G100-('Ethylene Recycling HC'!$C$215+'Ethylene Recycling HC'!$C$189+'Ethylene Recycling HC'!$C$149+'Ethylene Recycling HC'!$C$100))</f>
        <v>33080.994796467559</v>
      </c>
      <c r="I145" s="528">
        <f>I71+I80-('Ethylene Recycling HC'!H215+'Ethylene Recycling HC'!H189+'Ethylene Recycling HC'!H149+'Ethylene Recycling HC'!H100-('Ethylene Recycling HC'!$C$215+'Ethylene Recycling HC'!$C$189+'Ethylene Recycling HC'!$C$149+'Ethylene Recycling HC'!$C$100))</f>
        <v>32266.689416416521</v>
      </c>
      <c r="J145" s="528">
        <f>J71+J80-('Ethylene Recycling HC'!I215+'Ethylene Recycling HC'!I189+'Ethylene Recycling HC'!I149+'Ethylene Recycling HC'!I100-('Ethylene Recycling HC'!$C$215+'Ethylene Recycling HC'!$C$189+'Ethylene Recycling HC'!$C$149+'Ethylene Recycling HC'!$C$100))</f>
        <v>31391.376747703787</v>
      </c>
      <c r="K145" s="528">
        <f>K71+K80-('Ethylene Recycling HC'!J215+'Ethylene Recycling HC'!J189+'Ethylene Recycling HC'!J149+'Ethylene Recycling HC'!J100-('Ethylene Recycling HC'!$C$215+'Ethylene Recycling HC'!$C$189+'Ethylene Recycling HC'!$C$149+'Ethylene Recycling HC'!$C$100))</f>
        <v>30493.429009876971</v>
      </c>
      <c r="L145" s="528">
        <f>L71+L80-('Ethylene Recycling HC'!K215+'Ethylene Recycling HC'!K189+'Ethylene Recycling HC'!K149+'Ethylene Recycling HC'!K100-('Ethylene Recycling HC'!$C$215+'Ethylene Recycling HC'!$C$189+'Ethylene Recycling HC'!$C$149+'Ethylene Recycling HC'!$C$100))</f>
        <v>29578.939207457912</v>
      </c>
      <c r="M145" s="528">
        <f>M71+M80-('Ethylene Recycling HC'!L215+'Ethylene Recycling HC'!L189+'Ethylene Recycling HC'!L149+'Ethylene Recycling HC'!L100-('Ethylene Recycling HC'!$C$215+'Ethylene Recycling HC'!$C$189+'Ethylene Recycling HC'!$C$149+'Ethylene Recycling HC'!$C$100))</f>
        <v>28653.761094845562</v>
      </c>
      <c r="N145" s="528">
        <f>N71+N80-('Ethylene Recycling HC'!M215+'Ethylene Recycling HC'!M189+'Ethylene Recycling HC'!M149+'Ethylene Recycling HC'!M100-('Ethylene Recycling HC'!$C$215+'Ethylene Recycling HC'!$C$189+'Ethylene Recycling HC'!$C$149+'Ethylene Recycling HC'!$C$100))</f>
        <v>27723.511544710647</v>
      </c>
      <c r="O145" s="528">
        <f>O71+O80-('Ethylene Recycling HC'!N215+'Ethylene Recycling HC'!N189+'Ethylene Recycling HC'!N149+'Ethylene Recycling HC'!N100-('Ethylene Recycling HC'!$C$215+'Ethylene Recycling HC'!$C$189+'Ethylene Recycling HC'!$C$149+'Ethylene Recycling HC'!$C$100))</f>
        <v>26825.787003184738</v>
      </c>
      <c r="P145" s="528">
        <f>P71+P80-('Ethylene Recycling HC'!O215+'Ethylene Recycling HC'!O189+'Ethylene Recycling HC'!O149+'Ethylene Recycling HC'!O100-('Ethylene Recycling HC'!$C$215+'Ethylene Recycling HC'!$C$189+'Ethylene Recycling HC'!$C$149+'Ethylene Recycling HC'!$C$100))</f>
        <v>25936.078121086604</v>
      </c>
      <c r="Q145" s="528">
        <f>Q71+Q80-('Ethylene Recycling HC'!P215+'Ethylene Recycling HC'!P189+'Ethylene Recycling HC'!P149+'Ethylene Recycling HC'!P100-('Ethylene Recycling HC'!$C$215+'Ethylene Recycling HC'!$C$189+'Ethylene Recycling HC'!$C$149+'Ethylene Recycling HC'!$C$100))</f>
        <v>25066.26520436578</v>
      </c>
      <c r="R145" s="528">
        <f>R71+R80-('Ethylene Recycling HC'!Q215+'Ethylene Recycling HC'!Q189+'Ethylene Recycling HC'!Q149+'Ethylene Recycling HC'!Q100-('Ethylene Recycling HC'!$C$215+'Ethylene Recycling HC'!$C$189+'Ethylene Recycling HC'!$C$149+'Ethylene Recycling HC'!$C$100))</f>
        <v>24215.259673534521</v>
      </c>
      <c r="S145" s="528">
        <f>S71+S80-('Ethylene Recycling HC'!R215+'Ethylene Recycling HC'!R189+'Ethylene Recycling HC'!R149+'Ethylene Recycling HC'!R100-('Ethylene Recycling HC'!$C$215+'Ethylene Recycling HC'!$C$189+'Ethylene Recycling HC'!$C$149+'Ethylene Recycling HC'!$C$100))</f>
        <v>23385.826821830477</v>
      </c>
      <c r="T145" s="528">
        <f>T71+T80-('Ethylene Recycling HC'!S215+'Ethylene Recycling HC'!S189+'Ethylene Recycling HC'!S149+'Ethylene Recycling HC'!S100-('Ethylene Recycling HC'!$C$215+'Ethylene Recycling HC'!$C$189+'Ethylene Recycling HC'!$C$149+'Ethylene Recycling HC'!$C$100))</f>
        <v>22463.123639809543</v>
      </c>
      <c r="U145" s="528">
        <f>U71+U80-('Ethylene Recycling HC'!T215+'Ethylene Recycling HC'!T189+'Ethylene Recycling HC'!T149+'Ethylene Recycling HC'!T100-('Ethylene Recycling HC'!$C$215+'Ethylene Recycling HC'!$C$189+'Ethylene Recycling HC'!$C$149+'Ethylene Recycling HC'!$C$100))</f>
        <v>21559.124655755077</v>
      </c>
      <c r="V145" s="528">
        <f>V71+V80-('Ethylene Recycling HC'!U215+'Ethylene Recycling HC'!U189+'Ethylene Recycling HC'!U149+'Ethylene Recycling HC'!U100-('Ethylene Recycling HC'!$C$215+'Ethylene Recycling HC'!$C$189+'Ethylene Recycling HC'!$C$149+'Ethylene Recycling HC'!$C$100))</f>
        <v>20675.663526086944</v>
      </c>
      <c r="W145" s="528">
        <f>W71+W80-('Ethylene Recycling HC'!V215+'Ethylene Recycling HC'!V189+'Ethylene Recycling HC'!V149+'Ethylene Recycling HC'!V100-('Ethylene Recycling HC'!$C$215+'Ethylene Recycling HC'!$C$189+'Ethylene Recycling HC'!$C$149+'Ethylene Recycling HC'!$C$100))</f>
        <v>19814.471611214198</v>
      </c>
      <c r="X145" s="528">
        <f>X71+X80-('Ethylene Recycling HC'!W215+'Ethylene Recycling HC'!W189+'Ethylene Recycling HC'!W149+'Ethylene Recycling HC'!W100-('Ethylene Recycling HC'!$C$215+'Ethylene Recycling HC'!$C$189+'Ethylene Recycling HC'!$C$149+'Ethylene Recycling HC'!$C$100))</f>
        <v>18977.179039322444</v>
      </c>
      <c r="Y145" s="528">
        <f>Y71+Y80-('Ethylene Recycling HC'!X215+'Ethylene Recycling HC'!X189+'Ethylene Recycling HC'!X149+'Ethylene Recycling HC'!X100-('Ethylene Recycling HC'!$C$215+'Ethylene Recycling HC'!$C$189+'Ethylene Recycling HC'!$C$149+'Ethylene Recycling HC'!$C$100))</f>
        <v>18008.578940247302</v>
      </c>
      <c r="Z145" s="528">
        <f>Z71+Z80-('Ethylene Recycling HC'!Y215+'Ethylene Recycling HC'!Y189+'Ethylene Recycling HC'!Y149+'Ethylene Recycling HC'!Y100-('Ethylene Recycling HC'!$C$215+'Ethylene Recycling HC'!$C$189+'Ethylene Recycling HC'!$C$149+'Ethylene Recycling HC'!$C$100))</f>
        <v>17069.071750019502</v>
      </c>
      <c r="AA145" s="528">
        <f>AA71+AA80-('Ethylene Recycling HC'!Z215+'Ethylene Recycling HC'!Z189+'Ethylene Recycling HC'!Z149+'Ethylene Recycling HC'!Z100-('Ethylene Recycling HC'!$C$215+'Ethylene Recycling HC'!$C$189+'Ethylene Recycling HC'!$C$149+'Ethylene Recycling HC'!$C$100))</f>
        <v>16161.444753051963</v>
      </c>
      <c r="AB145" s="528">
        <f>AB71+AB80-('Ethylene Recycling HC'!AA215+'Ethylene Recycling HC'!AA189+'Ethylene Recycling HC'!AA149+'Ethylene Recycling HC'!AA100-('Ethylene Recycling HC'!$C$215+'Ethylene Recycling HC'!$C$189+'Ethylene Recycling HC'!$C$149+'Ethylene Recycling HC'!$C$100))</f>
        <v>15287.94033492613</v>
      </c>
      <c r="AC145" s="528">
        <f>AC71+AC80-('Ethylene Recycling HC'!AB215+'Ethylene Recycling HC'!AB189+'Ethylene Recycling HC'!AB149+'Ethylene Recycling HC'!AB100-('Ethylene Recycling HC'!$C$215+'Ethylene Recycling HC'!$C$189+'Ethylene Recycling HC'!$C$149+'Ethylene Recycling HC'!$C$100))</f>
        <v>14450.650056228098</v>
      </c>
      <c r="AD145" s="528">
        <f>AD71+AD80-('Ethylene Recycling HC'!AC215+'Ethylene Recycling HC'!AC189+'Ethylene Recycling HC'!AC149+'Ethylene Recycling HC'!AC100-('Ethylene Recycling HC'!$C$215+'Ethylene Recycling HC'!$C$189+'Ethylene Recycling HC'!$C$149+'Ethylene Recycling HC'!$C$100))</f>
        <v>13686.723533083163</v>
      </c>
      <c r="AE145" s="528">
        <f>AE71+AE80-('Ethylene Recycling HC'!AD215+'Ethylene Recycling HC'!AD189+'Ethylene Recycling HC'!AD149+'Ethylene Recycling HC'!AD100-('Ethylene Recycling HC'!$C$215+'Ethylene Recycling HC'!$C$189+'Ethylene Recycling HC'!$C$149+'Ethylene Recycling HC'!$C$100))</f>
        <v>12971.581428346832</v>
      </c>
      <c r="AF145" s="528">
        <f>AF71+AF80-('Ethylene Recycling HC'!AE215+'Ethylene Recycling HC'!AE189+'Ethylene Recycling HC'!AE149+'Ethylene Recycling HC'!AE100-('Ethylene Recycling HC'!$C$215+'Ethylene Recycling HC'!$C$189+'Ethylene Recycling HC'!$C$149+'Ethylene Recycling HC'!$C$100))</f>
        <v>12307.052576976308</v>
      </c>
      <c r="AG145" s="528">
        <f>AG71+AG80-('Ethylene Recycling HC'!AF215+'Ethylene Recycling HC'!AF189+'Ethylene Recycling HC'!AF149+'Ethylene Recycling HC'!AF100-('Ethylene Recycling HC'!$C$215+'Ethylene Recycling HC'!$C$189+'Ethylene Recycling HC'!$C$149+'Ethylene Recycling HC'!$C$100))</f>
        <v>11694.792565756796</v>
      </c>
      <c r="AH145" s="528">
        <f>AH71+AH80-('Ethylene Recycling HC'!AG215+'Ethylene Recycling HC'!AG189+'Ethylene Recycling HC'!AG149+'Ethylene Recycling HC'!AG100-('Ethylene Recycling HC'!$C$215+'Ethylene Recycling HC'!$C$189+'Ethylene Recycling HC'!$C$149+'Ethylene Recycling HC'!$C$100))</f>
        <v>11136.2855845581</v>
      </c>
      <c r="AI145" s="234"/>
    </row>
    <row r="146" spans="1:36" s="61" customFormat="1">
      <c r="A146" s="54" t="s">
        <v>78</v>
      </c>
      <c r="B146" s="54" t="s">
        <v>264</v>
      </c>
      <c r="C146" s="93" t="s">
        <v>1420</v>
      </c>
      <c r="D146" s="572">
        <f t="shared" ref="D146:AG146" si="47">D94+D114+D124+D125+D126+D136+D137+D138+D104</f>
        <v>0</v>
      </c>
      <c r="E146" s="572">
        <f t="shared" si="47"/>
        <v>11642.282367417203</v>
      </c>
      <c r="F146" s="572">
        <f t="shared" si="47"/>
        <v>22745.734694509632</v>
      </c>
      <c r="G146" s="572">
        <f t="shared" si="47"/>
        <v>33307.815802017147</v>
      </c>
      <c r="H146" s="572">
        <f t="shared" si="47"/>
        <v>43326.022197643215</v>
      </c>
      <c r="I146" s="572">
        <f t="shared" si="47"/>
        <v>52797.887840484742</v>
      </c>
      <c r="J146" s="572">
        <f t="shared" si="47"/>
        <v>61415.643965456547</v>
      </c>
      <c r="K146" s="572">
        <f t="shared" si="47"/>
        <v>69388.613788846298</v>
      </c>
      <c r="L146" s="572">
        <f t="shared" si="47"/>
        <v>76717.881490260566</v>
      </c>
      <c r="M146" s="572">
        <f t="shared" si="47"/>
        <v>83404.540150363202</v>
      </c>
      <c r="N146" s="572">
        <f t="shared" si="47"/>
        <v>89449.691668117215</v>
      </c>
      <c r="O146" s="572">
        <f t="shared" si="47"/>
        <v>80349.180077826662</v>
      </c>
      <c r="P146" s="572">
        <f t="shared" si="47"/>
        <v>72870.852686047874</v>
      </c>
      <c r="Q146" s="572">
        <f t="shared" si="47"/>
        <v>63608.464863867906</v>
      </c>
      <c r="R146" s="572">
        <f t="shared" si="47"/>
        <v>54129.395738014297</v>
      </c>
      <c r="S146" s="572">
        <f t="shared" si="47"/>
        <v>44436.173125862922</v>
      </c>
      <c r="T146" s="572">
        <f t="shared" si="47"/>
        <v>34717.949056486192</v>
      </c>
      <c r="U146" s="572">
        <f t="shared" si="47"/>
        <v>24803.604072552807</v>
      </c>
      <c r="V146" s="572">
        <f t="shared" si="47"/>
        <v>14694.981997516134</v>
      </c>
      <c r="W146" s="572">
        <f t="shared" si="47"/>
        <v>4393.9152429074547</v>
      </c>
      <c r="X146" s="572">
        <f t="shared" si="47"/>
        <v>-6097.7751529044126</v>
      </c>
      <c r="Y146" s="572">
        <f t="shared" si="47"/>
        <v>-13312.757369356255</v>
      </c>
      <c r="Z146" s="572">
        <f t="shared" si="47"/>
        <v>-20575.518270111672</v>
      </c>
      <c r="AA146" s="572">
        <f t="shared" si="47"/>
        <v>-28061.77275798735</v>
      </c>
      <c r="AB146" s="572">
        <f t="shared" si="47"/>
        <v>-35728.273533246858</v>
      </c>
      <c r="AC146" s="572">
        <f t="shared" si="47"/>
        <v>-43571.769978668854</v>
      </c>
      <c r="AD146" s="572">
        <f t="shared" si="47"/>
        <v>-51721.44717665232</v>
      </c>
      <c r="AE146" s="572">
        <f t="shared" si="47"/>
        <v>-60049.899384812357</v>
      </c>
      <c r="AF146" s="572">
        <f t="shared" si="47"/>
        <v>-68553.506694304961</v>
      </c>
      <c r="AG146" s="572">
        <f t="shared" si="47"/>
        <v>-77228.684064958856</v>
      </c>
      <c r="AH146" s="572">
        <f>AH94+AH114+AH124+AH125+AH126+AH136+AH137+AH138+AH104</f>
        <v>-86071.881464050966</v>
      </c>
    </row>
    <row r="147" spans="1:36" s="62" customFormat="1">
      <c r="B147" s="58" t="s">
        <v>265</v>
      </c>
      <c r="C147" s="59" t="s">
        <v>1420</v>
      </c>
      <c r="D147" s="587">
        <f t="shared" ref="D147:AH147" si="48">D93+D103+D113+D123+D135</f>
        <v>0</v>
      </c>
      <c r="E147" s="587">
        <f t="shared" si="48"/>
        <v>23655.804754345289</v>
      </c>
      <c r="F147" s="587">
        <f t="shared" si="48"/>
        <v>46926.246202847076</v>
      </c>
      <c r="G147" s="587">
        <f t="shared" si="48"/>
        <v>69808.258141889775</v>
      </c>
      <c r="H147" s="587">
        <f t="shared" si="48"/>
        <v>92298.811688187736</v>
      </c>
      <c r="I147" s="587">
        <f t="shared" si="48"/>
        <v>114394.91505491421</v>
      </c>
      <c r="J147" s="587">
        <f t="shared" si="48"/>
        <v>135203.60226254744</v>
      </c>
      <c r="K147" s="587">
        <f t="shared" si="48"/>
        <v>155477.99420177785</v>
      </c>
      <c r="L147" s="587">
        <f t="shared" si="48"/>
        <v>175213.29456049978</v>
      </c>
      <c r="M147" s="587">
        <f t="shared" si="48"/>
        <v>194404.76409893573</v>
      </c>
      <c r="N147" s="587">
        <f t="shared" si="48"/>
        <v>213047.72030841518</v>
      </c>
      <c r="O147" s="587">
        <f t="shared" si="48"/>
        <v>227412.22270167823</v>
      </c>
      <c r="P147" s="587">
        <f t="shared" si="48"/>
        <v>242082.69914829862</v>
      </c>
      <c r="Q147" s="587">
        <f t="shared" si="48"/>
        <v>254875.36881657958</v>
      </c>
      <c r="R147" s="587">
        <f t="shared" si="48"/>
        <v>266763.87797677761</v>
      </c>
      <c r="S147" s="587">
        <f t="shared" si="48"/>
        <v>277742.5559509818</v>
      </c>
      <c r="T147" s="587">
        <f t="shared" si="48"/>
        <v>287847.710385493</v>
      </c>
      <c r="U147" s="587">
        <f t="shared" si="48"/>
        <v>297039.73087477119</v>
      </c>
      <c r="V147" s="587">
        <f t="shared" si="48"/>
        <v>305313.6757241633</v>
      </c>
      <c r="W147" s="587">
        <f t="shared" si="48"/>
        <v>312664.67655759386</v>
      </c>
      <c r="X147" s="587">
        <f t="shared" si="48"/>
        <v>319087.93787297641</v>
      </c>
      <c r="Y147" s="587">
        <f t="shared" si="48"/>
        <v>337639.89548650506</v>
      </c>
      <c r="Z147" s="587">
        <f t="shared" si="48"/>
        <v>355214.73667805502</v>
      </c>
      <c r="AA147" s="587">
        <f t="shared" si="48"/>
        <v>371609.05396157509</v>
      </c>
      <c r="AB147" s="587">
        <f t="shared" si="48"/>
        <v>386877.1963527312</v>
      </c>
      <c r="AC147" s="587">
        <f t="shared" si="48"/>
        <v>401013.01095534128</v>
      </c>
      <c r="AD147" s="587">
        <f t="shared" si="48"/>
        <v>413907.98265584849</v>
      </c>
      <c r="AE147" s="587">
        <f t="shared" si="48"/>
        <v>425648.0298387548</v>
      </c>
      <c r="AF147" s="587">
        <f t="shared" si="48"/>
        <v>436226.98670156713</v>
      </c>
      <c r="AG147" s="587">
        <f t="shared" si="48"/>
        <v>445638.79664058576</v>
      </c>
      <c r="AH147" s="587">
        <f t="shared" si="48"/>
        <v>453877.51176232769</v>
      </c>
    </row>
    <row r="148" spans="1:36" s="97" customFormat="1">
      <c r="A148" s="95" t="s">
        <v>522</v>
      </c>
      <c r="B148" s="95"/>
      <c r="C148" s="96" t="s">
        <v>1420</v>
      </c>
      <c r="D148" s="583">
        <f>D95+D105+D115+IF(D127&lt;0,0,D127)+D139</f>
        <v>5341060.7015464325</v>
      </c>
      <c r="E148" s="583">
        <f t="shared" ref="E148:AH148" si="49">E95+E105+E115+IF(E127&lt;0,0,E127)+E139</f>
        <v>5233991.4623415731</v>
      </c>
      <c r="F148" s="583">
        <f t="shared" si="49"/>
        <v>5107145.4380377382</v>
      </c>
      <c r="G148" s="583">
        <f t="shared" si="49"/>
        <v>4982340.7538042804</v>
      </c>
      <c r="H148" s="583">
        <f t="shared" si="49"/>
        <v>4859580.9405827783</v>
      </c>
      <c r="I148" s="583">
        <f t="shared" si="49"/>
        <v>4738869.8488238864</v>
      </c>
      <c r="J148" s="583">
        <f t="shared" si="49"/>
        <v>4618723.4032948688</v>
      </c>
      <c r="K148" s="583">
        <f t="shared" si="49"/>
        <v>4500927.4648988377</v>
      </c>
      <c r="L148" s="583">
        <f t="shared" si="49"/>
        <v>4385484.6092905784</v>
      </c>
      <c r="M148" s="583">
        <f t="shared" si="49"/>
        <v>4272397.8253985606</v>
      </c>
      <c r="N148" s="583">
        <f t="shared" si="49"/>
        <v>4161670.538064952</v>
      </c>
      <c r="O148" s="583">
        <f t="shared" si="49"/>
        <v>4047740.0247942489</v>
      </c>
      <c r="P148" s="583">
        <f t="shared" si="49"/>
        <v>3939837.9556882055</v>
      </c>
      <c r="Q148" s="583">
        <f t="shared" si="49"/>
        <v>3831210.5849053049</v>
      </c>
      <c r="R148" s="583">
        <f t="shared" si="49"/>
        <v>3724957.983235606</v>
      </c>
      <c r="S148" s="583">
        <f t="shared" si="49"/>
        <v>3621078.0971032698</v>
      </c>
      <c r="T148" s="583">
        <f t="shared" si="49"/>
        <v>3515287.3535757149</v>
      </c>
      <c r="U148" s="583">
        <f t="shared" si="49"/>
        <v>3411963.2843597857</v>
      </c>
      <c r="V148" s="583">
        <f t="shared" si="49"/>
        <v>3311103.9758950016</v>
      </c>
      <c r="W148" s="583">
        <f t="shared" si="49"/>
        <v>3212708.2397849998</v>
      </c>
      <c r="X148" s="583">
        <f t="shared" si="49"/>
        <v>3116775.6533631841</v>
      </c>
      <c r="Y148" s="583">
        <f t="shared" si="49"/>
        <v>2998901.2821904952</v>
      </c>
      <c r="Z148" s="583">
        <f t="shared" si="49"/>
        <v>2883652.8964187326</v>
      </c>
      <c r="AA148" s="583">
        <f t="shared" si="49"/>
        <v>2770955.6869229442</v>
      </c>
      <c r="AB148" s="583">
        <f t="shared" si="49"/>
        <v>2660718.9432951496</v>
      </c>
      <c r="AC148" s="583">
        <f t="shared" si="49"/>
        <v>2552953.974095162</v>
      </c>
      <c r="AD148" s="583">
        <f t="shared" si="49"/>
        <v>2446581.0230957898</v>
      </c>
      <c r="AE148" s="583">
        <f t="shared" si="49"/>
        <v>2342769.9074126091</v>
      </c>
      <c r="AF148" s="583">
        <f t="shared" si="49"/>
        <v>2241535.7690946106</v>
      </c>
      <c r="AG148" s="583">
        <f t="shared" si="49"/>
        <v>2142895.5283352076</v>
      </c>
      <c r="AH148" s="583">
        <f t="shared" si="49"/>
        <v>2046867.9749071863</v>
      </c>
      <c r="AJ148" s="97" t="s">
        <v>527</v>
      </c>
    </row>
    <row r="149" spans="1:36" s="61" customFormat="1">
      <c r="A149" s="606" t="s">
        <v>608</v>
      </c>
      <c r="B149" s="54" t="s">
        <v>141</v>
      </c>
      <c r="C149" s="55" t="s">
        <v>1420</v>
      </c>
      <c r="D149" s="571">
        <f>D96+D106+D116+D128+D140</f>
        <v>1581163.9728652707</v>
      </c>
      <c r="E149" s="571">
        <f t="shared" ref="E149:AH154" si="50">E96+E106+E116+E128+E140</f>
        <v>1529573.4630771147</v>
      </c>
      <c r="F149" s="571">
        <f t="shared" si="50"/>
        <v>1469444.8153817919</v>
      </c>
      <c r="G149" s="571">
        <f t="shared" si="50"/>
        <v>1410644.8933267503</v>
      </c>
      <c r="H149" s="571">
        <f t="shared" si="50"/>
        <v>1353169.6183509065</v>
      </c>
      <c r="I149" s="571">
        <f t="shared" si="50"/>
        <v>1297014.8093024932</v>
      </c>
      <c r="J149" s="571">
        <f t="shared" si="50"/>
        <v>1242254.4494197902</v>
      </c>
      <c r="K149" s="571">
        <f t="shared" si="50"/>
        <v>1188865.2590873714</v>
      </c>
      <c r="L149" s="571">
        <f t="shared" si="50"/>
        <v>1136842.3556617871</v>
      </c>
      <c r="M149" s="571">
        <f t="shared" si="50"/>
        <v>1086180.7907072823</v>
      </c>
      <c r="N149" s="571">
        <f t="shared" si="50"/>
        <v>1036875.559982092</v>
      </c>
      <c r="O149" s="571">
        <f t="shared" si="50"/>
        <v>987915.84705158789</v>
      </c>
      <c r="P149" s="571">
        <f t="shared" si="50"/>
        <v>943785.38459346408</v>
      </c>
      <c r="Q149" s="571">
        <f t="shared" si="50"/>
        <v>898183.49417858734</v>
      </c>
      <c r="R149" s="571">
        <f t="shared" si="50"/>
        <v>853997.55905659567</v>
      </c>
      <c r="S149" s="571">
        <f t="shared" si="50"/>
        <v>811222.72871791548</v>
      </c>
      <c r="T149" s="571">
        <f t="shared" si="50"/>
        <v>769394.99979861744</v>
      </c>
      <c r="U149" s="571">
        <f t="shared" si="50"/>
        <v>728982.53818681324</v>
      </c>
      <c r="V149" s="571">
        <f t="shared" si="50"/>
        <v>689980.90811915952</v>
      </c>
      <c r="W149" s="571">
        <f t="shared" si="50"/>
        <v>652385.91988351312</v>
      </c>
      <c r="X149" s="571">
        <f t="shared" si="50"/>
        <v>616193.64841797925</v>
      </c>
      <c r="Y149" s="571">
        <f t="shared" si="50"/>
        <v>576438.76599722961</v>
      </c>
      <c r="Z149" s="571">
        <f t="shared" si="50"/>
        <v>538797.70569819596</v>
      </c>
      <c r="AA149" s="571">
        <f t="shared" si="50"/>
        <v>502607.50239085895</v>
      </c>
      <c r="AB149" s="571">
        <f t="shared" si="50"/>
        <v>467815.59321453364</v>
      </c>
      <c r="AC149" s="571">
        <f t="shared" si="50"/>
        <v>434422.393481804</v>
      </c>
      <c r="AD149" s="571">
        <f t="shared" si="50"/>
        <v>402302.58471804298</v>
      </c>
      <c r="AE149" s="571">
        <f t="shared" si="50"/>
        <v>371590.12011258519</v>
      </c>
      <c r="AF149" s="571">
        <f t="shared" si="50"/>
        <v>342286.68866506714</v>
      </c>
      <c r="AG149" s="571">
        <f t="shared" si="50"/>
        <v>314394.50306893379</v>
      </c>
      <c r="AH149" s="571">
        <f t="shared" si="50"/>
        <v>287916.33416625531</v>
      </c>
      <c r="AI149" s="56"/>
    </row>
    <row r="150" spans="1:36">
      <c r="A150" s="607"/>
      <c r="B150" s="1" t="s">
        <v>18</v>
      </c>
      <c r="C150" s="50" t="s">
        <v>1420</v>
      </c>
      <c r="D150" s="183">
        <f t="shared" ref="D150:S154" si="51">D97+D107+D117+D129+D141</f>
        <v>1122665.661247253</v>
      </c>
      <c r="E150" s="183">
        <f t="shared" si="51"/>
        <v>1098994.1431598193</v>
      </c>
      <c r="F150" s="183">
        <f t="shared" si="51"/>
        <v>1071076.705359167</v>
      </c>
      <c r="G150" s="183">
        <f t="shared" si="51"/>
        <v>1043486.2871281577</v>
      </c>
      <c r="H150" s="183">
        <f t="shared" si="51"/>
        <v>1016218.8514684315</v>
      </c>
      <c r="I150" s="183">
        <f t="shared" si="51"/>
        <v>989270.43239187053</v>
      </c>
      <c r="J150" s="183">
        <f t="shared" si="51"/>
        <v>962571.10518148192</v>
      </c>
      <c r="K150" s="183">
        <f t="shared" si="51"/>
        <v>936234.95437668357</v>
      </c>
      <c r="L150" s="183">
        <f t="shared" si="51"/>
        <v>910269.14757818263</v>
      </c>
      <c r="M150" s="183">
        <f t="shared" si="51"/>
        <v>884680.84359410789</v>
      </c>
      <c r="N150" s="183">
        <f t="shared" si="51"/>
        <v>859477.19801381975</v>
      </c>
      <c r="O150" s="183">
        <f t="shared" si="51"/>
        <v>829067.44089376624</v>
      </c>
      <c r="P150" s="183">
        <f t="shared" si="51"/>
        <v>802391.59605868149</v>
      </c>
      <c r="Q150" s="183">
        <f t="shared" si="51"/>
        <v>773430.41415197589</v>
      </c>
      <c r="R150" s="183">
        <f t="shared" si="51"/>
        <v>744942.80895585066</v>
      </c>
      <c r="S150" s="183">
        <f t="shared" si="51"/>
        <v>716930.78656166443</v>
      </c>
      <c r="T150" s="183">
        <f t="shared" si="50"/>
        <v>689072.29639374826</v>
      </c>
      <c r="U150" s="183">
        <f t="shared" si="50"/>
        <v>661672.39813741157</v>
      </c>
      <c r="V150" s="183">
        <f t="shared" si="50"/>
        <v>634731.21494218335</v>
      </c>
      <c r="W150" s="183">
        <f t="shared" si="50"/>
        <v>608248.97513143858</v>
      </c>
      <c r="X150" s="183">
        <f t="shared" si="50"/>
        <v>582226.02073413448</v>
      </c>
      <c r="Y150" s="183">
        <f t="shared" si="50"/>
        <v>560679.22503022221</v>
      </c>
      <c r="Z150" s="183">
        <f t="shared" si="50"/>
        <v>539776.35745068197</v>
      </c>
      <c r="AA150" s="183">
        <f t="shared" si="50"/>
        <v>519298.4189171223</v>
      </c>
      <c r="AB150" s="183">
        <f t="shared" si="50"/>
        <v>499249.32834651531</v>
      </c>
      <c r="AC150" s="183">
        <f t="shared" si="50"/>
        <v>479633.13132806774</v>
      </c>
      <c r="AD150" s="183">
        <f t="shared" si="50"/>
        <v>460544.26108142803</v>
      </c>
      <c r="AE150" s="183">
        <f t="shared" si="50"/>
        <v>441924.93795864889</v>
      </c>
      <c r="AF150" s="183">
        <f t="shared" si="50"/>
        <v>423781.06825802376</v>
      </c>
      <c r="AG150" s="183">
        <f t="shared" si="50"/>
        <v>406118.72474659112</v>
      </c>
      <c r="AH150" s="183">
        <f t="shared" si="50"/>
        <v>388944.16180721426</v>
      </c>
      <c r="AI150" s="40"/>
    </row>
    <row r="151" spans="1:36">
      <c r="A151" s="607"/>
      <c r="B151" s="1" t="s">
        <v>607</v>
      </c>
      <c r="C151" s="50" t="s">
        <v>1420</v>
      </c>
      <c r="D151" s="183">
        <f t="shared" si="51"/>
        <v>1018827.6884632254</v>
      </c>
      <c r="E151" s="183">
        <f t="shared" si="50"/>
        <v>985865.06493703031</v>
      </c>
      <c r="F151" s="183">
        <f t="shared" si="50"/>
        <v>953058.62334691035</v>
      </c>
      <c r="G151" s="183">
        <f t="shared" si="50"/>
        <v>920618.73790836718</v>
      </c>
      <c r="H151" s="183">
        <f t="shared" si="50"/>
        <v>888547.92344406957</v>
      </c>
      <c r="I151" s="183">
        <f t="shared" si="50"/>
        <v>856848.8470767854</v>
      </c>
      <c r="J151" s="183">
        <f t="shared" si="50"/>
        <v>825411.94050975249</v>
      </c>
      <c r="K151" s="183">
        <f t="shared" si="50"/>
        <v>794384.41870754014</v>
      </c>
      <c r="L151" s="183">
        <f t="shared" si="50"/>
        <v>763769.14755922859</v>
      </c>
      <c r="M151" s="183">
        <f t="shared" si="50"/>
        <v>733569.14555605734</v>
      </c>
      <c r="N151" s="183">
        <f t="shared" si="50"/>
        <v>703787.58345913817</v>
      </c>
      <c r="O151" s="183">
        <f t="shared" si="50"/>
        <v>675379.13528517052</v>
      </c>
      <c r="P151" s="183">
        <f t="shared" si="50"/>
        <v>647338.753000297</v>
      </c>
      <c r="Q151" s="183">
        <f t="shared" si="50"/>
        <v>619842.5832365097</v>
      </c>
      <c r="R151" s="183">
        <f t="shared" si="50"/>
        <v>592815.72348436003</v>
      </c>
      <c r="S151" s="183">
        <f t="shared" si="50"/>
        <v>566260.46803222655</v>
      </c>
      <c r="T151" s="183">
        <f t="shared" si="50"/>
        <v>539734.88607985852</v>
      </c>
      <c r="U151" s="183">
        <f t="shared" si="50"/>
        <v>513698.5587712503</v>
      </c>
      <c r="V151" s="183">
        <f t="shared" si="50"/>
        <v>488153.80168032402</v>
      </c>
      <c r="W151" s="183">
        <f t="shared" si="50"/>
        <v>463103.00807292142</v>
      </c>
      <c r="X151" s="183">
        <f t="shared" si="50"/>
        <v>438548.64847010531</v>
      </c>
      <c r="Y151" s="183">
        <f t="shared" si="50"/>
        <v>411018.85780464415</v>
      </c>
      <c r="Z151" s="183">
        <f t="shared" si="50"/>
        <v>384002.1971888094</v>
      </c>
      <c r="AA151" s="183">
        <f t="shared" si="50"/>
        <v>357525.01957077149</v>
      </c>
      <c r="AB151" s="183">
        <f t="shared" si="50"/>
        <v>331581.03066475305</v>
      </c>
      <c r="AC151" s="183">
        <f t="shared" si="50"/>
        <v>306172.73256922723</v>
      </c>
      <c r="AD151" s="183">
        <f t="shared" si="50"/>
        <v>281168.75755992741</v>
      </c>
      <c r="AE151" s="183">
        <f t="shared" si="50"/>
        <v>256711.30248241394</v>
      </c>
      <c r="AF151" s="183">
        <f t="shared" si="50"/>
        <v>232803.06268249344</v>
      </c>
      <c r="AG151" s="183">
        <f t="shared" si="50"/>
        <v>209446.83197587484</v>
      </c>
      <c r="AH151" s="183">
        <f t="shared" si="50"/>
        <v>186645.50307744462</v>
      </c>
      <c r="AI151" s="40"/>
    </row>
    <row r="152" spans="1:36">
      <c r="A152" s="608"/>
      <c r="B152" s="1" t="s">
        <v>27</v>
      </c>
      <c r="C152" s="50" t="s">
        <v>1420</v>
      </c>
      <c r="D152" s="183">
        <f t="shared" ref="D152:AG152" si="52">D99+D109+D119+IF(D131&lt;0,0,D131)+D143</f>
        <v>1670753.7771320087</v>
      </c>
      <c r="E152" s="183">
        <f t="shared" si="52"/>
        <v>1673075.3879620791</v>
      </c>
      <c r="F152" s="183">
        <f t="shared" si="52"/>
        <v>1668241.7605915247</v>
      </c>
      <c r="G152" s="183">
        <f t="shared" si="52"/>
        <v>1663416.6167272476</v>
      </c>
      <c r="H152" s="183">
        <f t="shared" si="52"/>
        <v>1658604.7701184934</v>
      </c>
      <c r="I152" s="183">
        <f t="shared" si="52"/>
        <v>1653811.1416077777</v>
      </c>
      <c r="J152" s="183">
        <f t="shared" si="52"/>
        <v>1647381.2503653923</v>
      </c>
      <c r="K152" s="183">
        <f t="shared" si="52"/>
        <v>1641067.0134511124</v>
      </c>
      <c r="L152" s="183">
        <f t="shared" si="52"/>
        <v>1634872.8483901862</v>
      </c>
      <c r="M152" s="183">
        <f t="shared" si="52"/>
        <v>1628803.3143589133</v>
      </c>
      <c r="N152" s="183">
        <f t="shared" si="52"/>
        <v>1622863.1200179416</v>
      </c>
      <c r="O152" s="183">
        <f t="shared" si="52"/>
        <v>1616262.995180316</v>
      </c>
      <c r="P152" s="183">
        <f t="shared" si="52"/>
        <v>1606737.3814782167</v>
      </c>
      <c r="Q152" s="183">
        <f t="shared" si="52"/>
        <v>1599553.1459460258</v>
      </c>
      <c r="R152" s="183">
        <f t="shared" si="52"/>
        <v>1592301.3867457118</v>
      </c>
      <c r="S152" s="183">
        <f t="shared" si="52"/>
        <v>1584985.7432000712</v>
      </c>
      <c r="T152" s="183">
        <f t="shared" si="52"/>
        <v>1574662.3501541968</v>
      </c>
      <c r="U152" s="183">
        <f t="shared" si="52"/>
        <v>1564368.0670011095</v>
      </c>
      <c r="V152" s="183">
        <f t="shared" si="52"/>
        <v>1554105.7631220878</v>
      </c>
      <c r="W152" s="183">
        <f t="shared" si="52"/>
        <v>1543878.5511363777</v>
      </c>
      <c r="X152" s="183">
        <f t="shared" si="52"/>
        <v>1533689.8008824526</v>
      </c>
      <c r="Y152" s="183">
        <f t="shared" si="52"/>
        <v>1503989.6287379437</v>
      </c>
      <c r="Z152" s="183">
        <f t="shared" si="52"/>
        <v>1473599.3894287194</v>
      </c>
      <c r="AA152" s="183">
        <f t="shared" si="52"/>
        <v>1443289.9328650588</v>
      </c>
      <c r="AB152" s="183">
        <f t="shared" si="52"/>
        <v>1413037.4045018665</v>
      </c>
      <c r="AC152" s="183">
        <f t="shared" si="52"/>
        <v>1382852.0271759287</v>
      </c>
      <c r="AD152" s="183">
        <f t="shared" si="52"/>
        <v>1351798.0468716412</v>
      </c>
      <c r="AE152" s="183">
        <f t="shared" si="52"/>
        <v>1320867.2475906496</v>
      </c>
      <c r="AF152" s="183">
        <f t="shared" si="52"/>
        <v>1290071.7485823249</v>
      </c>
      <c r="AG152" s="183">
        <f t="shared" si="52"/>
        <v>1259424.5900917456</v>
      </c>
      <c r="AH152" s="183">
        <f>AH99+AH109+AH119+IF(AH131&lt;0,0,AH131)+AH143</f>
        <v>1228939.7744028287</v>
      </c>
      <c r="AI152" s="40"/>
    </row>
    <row r="153" spans="1:36" s="61" customFormat="1">
      <c r="A153" s="609" t="s">
        <v>609</v>
      </c>
      <c r="B153" s="54" t="s">
        <v>606</v>
      </c>
      <c r="C153" s="55" t="s">
        <v>1420</v>
      </c>
      <c r="D153" s="571">
        <f t="shared" si="51"/>
        <v>464409.51086321456</v>
      </c>
      <c r="E153" s="571">
        <f t="shared" si="50"/>
        <v>444959.41159617779</v>
      </c>
      <c r="F153" s="571">
        <f t="shared" si="50"/>
        <v>425514.43832761713</v>
      </c>
      <c r="G153" s="571">
        <f t="shared" si="50"/>
        <v>406286.3441976516</v>
      </c>
      <c r="H153" s="571">
        <f t="shared" si="50"/>
        <v>387279.00866231404</v>
      </c>
      <c r="I153" s="571">
        <f t="shared" si="50"/>
        <v>368496.44924502529</v>
      </c>
      <c r="J153" s="571">
        <f t="shared" si="50"/>
        <v>349990.49898645538</v>
      </c>
      <c r="K153" s="571">
        <f t="shared" si="50"/>
        <v>331745.72569677414</v>
      </c>
      <c r="L153" s="571">
        <f t="shared" si="50"/>
        <v>313766.35229505965</v>
      </c>
      <c r="M153" s="571">
        <f t="shared" si="50"/>
        <v>296056.73980833712</v>
      </c>
      <c r="N153" s="571">
        <f t="shared" si="50"/>
        <v>278621.38709214743</v>
      </c>
      <c r="O153" s="571">
        <f t="shared" si="50"/>
        <v>263295.76167215325</v>
      </c>
      <c r="P153" s="571">
        <f t="shared" si="50"/>
        <v>248187.03944242481</v>
      </c>
      <c r="Q153" s="571">
        <f t="shared" si="50"/>
        <v>233472.92324307997</v>
      </c>
      <c r="R153" s="571">
        <f t="shared" si="50"/>
        <v>219080.05176128435</v>
      </c>
      <c r="S153" s="571">
        <f t="shared" si="50"/>
        <v>205012.24551533055</v>
      </c>
      <c r="T153" s="571">
        <f t="shared" si="50"/>
        <v>191070.86173176466</v>
      </c>
      <c r="U153" s="571">
        <f t="shared" si="50"/>
        <v>177468.21785936115</v>
      </c>
      <c r="V153" s="571">
        <f t="shared" si="50"/>
        <v>164208.22342777677</v>
      </c>
      <c r="W153" s="571">
        <f t="shared" si="50"/>
        <v>151294.84940668431</v>
      </c>
      <c r="X153" s="571">
        <f t="shared" si="50"/>
        <v>138732.12781093735</v>
      </c>
      <c r="Y153" s="571">
        <f t="shared" si="50"/>
        <v>123632.16990899417</v>
      </c>
      <c r="Z153" s="571">
        <f t="shared" si="50"/>
        <v>108899.08803218353</v>
      </c>
      <c r="AA153" s="571">
        <f t="shared" si="50"/>
        <v>94560.712895437056</v>
      </c>
      <c r="AB153" s="571">
        <f t="shared" si="50"/>
        <v>80612.200841954633</v>
      </c>
      <c r="AC153" s="571">
        <f t="shared" si="50"/>
        <v>67057.477137046051</v>
      </c>
      <c r="AD153" s="571">
        <f t="shared" si="50"/>
        <v>53845.746047655841</v>
      </c>
      <c r="AE153" s="571">
        <f t="shared" si="50"/>
        <v>41038.769878196246</v>
      </c>
      <c r="AF153" s="571">
        <f t="shared" si="50"/>
        <v>28640.632145199961</v>
      </c>
      <c r="AG153" s="571">
        <f t="shared" si="50"/>
        <v>16655.485172697412</v>
      </c>
      <c r="AH153" s="571">
        <f t="shared" si="50"/>
        <v>5087.5501231384078</v>
      </c>
      <c r="AI153" s="56"/>
    </row>
    <row r="154" spans="1:36" s="62" customFormat="1">
      <c r="A154" s="610"/>
      <c r="B154" s="58" t="s">
        <v>605</v>
      </c>
      <c r="C154" s="233" t="s">
        <v>1420</v>
      </c>
      <c r="D154" s="528">
        <f t="shared" si="51"/>
        <v>395269.29735983856</v>
      </c>
      <c r="E154" s="528">
        <f t="shared" si="50"/>
        <v>384344.24521921307</v>
      </c>
      <c r="F154" s="528">
        <f t="shared" si="50"/>
        <v>381137.67219965538</v>
      </c>
      <c r="G154" s="528">
        <f t="shared" si="50"/>
        <v>387330.4667703415</v>
      </c>
      <c r="H154" s="528">
        <f t="shared" si="50"/>
        <v>351382.52899865352</v>
      </c>
      <c r="I154" s="528">
        <f t="shared" si="50"/>
        <v>340687.1885990919</v>
      </c>
      <c r="J154" s="528">
        <f t="shared" si="50"/>
        <v>330119.10145832086</v>
      </c>
      <c r="K154" s="528">
        <f t="shared" si="50"/>
        <v>319701.74503273051</v>
      </c>
      <c r="L154" s="528">
        <f t="shared" si="50"/>
        <v>309442.86278286204</v>
      </c>
      <c r="M154" s="528">
        <f t="shared" si="50"/>
        <v>299350.09584288805</v>
      </c>
      <c r="N154" s="528">
        <f t="shared" si="50"/>
        <v>289430.98419838061</v>
      </c>
      <c r="O154" s="528">
        <f t="shared" si="50"/>
        <v>279052.83157792891</v>
      </c>
      <c r="P154" s="528">
        <f t="shared" si="50"/>
        <v>269787.6463862661</v>
      </c>
      <c r="Q154" s="528">
        <f t="shared" si="50"/>
        <v>259940.24438011562</v>
      </c>
      <c r="R154" s="528">
        <f t="shared" si="50"/>
        <v>250291.36828638124</v>
      </c>
      <c r="S154" s="528">
        <f t="shared" si="50"/>
        <v>240843.53393846113</v>
      </c>
      <c r="T154" s="528">
        <f t="shared" si="50"/>
        <v>231409.60611281355</v>
      </c>
      <c r="U154" s="528">
        <f t="shared" si="50"/>
        <v>222156.44461911789</v>
      </c>
      <c r="V154" s="528">
        <f t="shared" si="50"/>
        <v>213084.31335864461</v>
      </c>
      <c r="W154" s="528">
        <f t="shared" si="50"/>
        <v>204193.42245944767</v>
      </c>
      <c r="X154" s="528">
        <f t="shared" si="50"/>
        <v>195483.92892671895</v>
      </c>
      <c r="Y154" s="528">
        <f t="shared" si="50"/>
        <v>187633.49557516025</v>
      </c>
      <c r="Z154" s="528">
        <f t="shared" si="50"/>
        <v>180034.10189006256</v>
      </c>
      <c r="AA154" s="528">
        <f t="shared" si="50"/>
        <v>172626.50862554906</v>
      </c>
      <c r="AB154" s="528">
        <f t="shared" si="50"/>
        <v>165413.22210981557</v>
      </c>
      <c r="AC154" s="528">
        <f t="shared" si="50"/>
        <v>158396.66527201439</v>
      </c>
      <c r="AD154" s="528">
        <f t="shared" si="50"/>
        <v>151713.48715017474</v>
      </c>
      <c r="AE154" s="528">
        <f t="shared" si="50"/>
        <v>145258.31017401471</v>
      </c>
      <c r="AF154" s="528">
        <f t="shared" si="50"/>
        <v>139034.74493684206</v>
      </c>
      <c r="AG154" s="528">
        <f t="shared" si="50"/>
        <v>133046.30869662209</v>
      </c>
      <c r="AH154" s="528">
        <f t="shared" si="50"/>
        <v>127296.42628643726</v>
      </c>
      <c r="AI154" s="234"/>
    </row>
    <row r="155" spans="1:36">
      <c r="A155" s="1" t="s">
        <v>763</v>
      </c>
      <c r="C155" s="55" t="s">
        <v>1420</v>
      </c>
      <c r="D155" s="590">
        <f>'Ethylene Recycling HC'!C308</f>
        <v>0.76136668012520736</v>
      </c>
      <c r="E155" s="590">
        <f>'Ethylene Recycling HC'!D308</f>
        <v>1.5386013173962065</v>
      </c>
      <c r="F155" s="590">
        <f>'Ethylene Recycling HC'!E308</f>
        <v>3.0857454192307836</v>
      </c>
      <c r="G155" s="590">
        <f>'Ethylene Recycling HC'!F308</f>
        <v>6.1418849478086557</v>
      </c>
      <c r="H155" s="590">
        <f>'Ethylene Recycling HC'!G308</f>
        <v>12.127595556867826</v>
      </c>
      <c r="I155" s="590">
        <f>'Ethylene Recycling HC'!H308</f>
        <v>23.735067424631023</v>
      </c>
      <c r="J155" s="590">
        <f>'Ethylene Recycling HC'!I308</f>
        <v>45.895993758412317</v>
      </c>
      <c r="K155" s="590">
        <f>'Ethylene Recycling HC'!J308</f>
        <v>87.620659330704413</v>
      </c>
      <c r="L155" s="590">
        <f>'Ethylene Recycling HC'!K308</f>
        <v>164.63647586975304</v>
      </c>
      <c r="M155" s="590">
        <f>'Ethylene Recycling HC'!L308</f>
        <v>303.18351736599431</v>
      </c>
      <c r="N155" s="590">
        <f>'Ethylene Recycling HC'!M308</f>
        <v>544.25587323324112</v>
      </c>
      <c r="O155" s="590">
        <f>'Ethylene Recycling HC'!N308</f>
        <v>925.74509210742849</v>
      </c>
      <c r="P155" s="590">
        <f>'Ethylene Recycling HC'!O308</f>
        <v>1520.4896958272254</v>
      </c>
      <c r="Q155" s="590">
        <f>'Ethylene Recycling HC'!P308</f>
        <v>2376.9556240517609</v>
      </c>
      <c r="R155" s="590">
        <f>'Ethylene Recycling HC'!Q308</f>
        <v>3523.5880765718493</v>
      </c>
      <c r="S155" s="590">
        <f>'Ethylene Recycling HC'!R308</f>
        <v>4929.5696421286275</v>
      </c>
      <c r="T155" s="590">
        <f>'Ethylene Recycling HC'!S308</f>
        <v>6499.218590270706</v>
      </c>
      <c r="U155" s="590">
        <f>'Ethylene Recycling HC'!T308</f>
        <v>8086.6564450969854</v>
      </c>
      <c r="V155" s="590">
        <f>'Ethylene Recycling HC'!U308</f>
        <v>9540.7930693823291</v>
      </c>
      <c r="W155" s="590">
        <f>'Ethylene Recycling HC'!V308</f>
        <v>10746.059535200087</v>
      </c>
      <c r="X155" s="590">
        <f>'Ethylene Recycling HC'!W308</f>
        <v>11643.373081889227</v>
      </c>
      <c r="Y155" s="590">
        <f>'Ethylene Recycling HC'!X308</f>
        <v>12471.876443816182</v>
      </c>
      <c r="Z155" s="590">
        <f>'Ethylene Recycling HC'!Y308</f>
        <v>13034.65839539264</v>
      </c>
      <c r="AA155" s="590">
        <f>'Ethylene Recycling HC'!Z308</f>
        <v>13360.764053568953</v>
      </c>
      <c r="AB155" s="590">
        <f>'Ethylene Recycling HC'!AA308</f>
        <v>13493.431684246661</v>
      </c>
      <c r="AC155" s="590">
        <f>'Ethylene Recycling HC'!AB308</f>
        <v>13472.938640783255</v>
      </c>
      <c r="AD155" s="590">
        <f>'Ethylene Recycling HC'!AC308</f>
        <v>13330.53469531689</v>
      </c>
      <c r="AE155" s="590">
        <f>'Ethylene Recycling HC'!AD308</f>
        <v>13097.851616622982</v>
      </c>
      <c r="AF155" s="590">
        <f>'Ethylene Recycling HC'!AE308</f>
        <v>12796.922674959575</v>
      </c>
      <c r="AG155" s="590">
        <f>'Ethylene Recycling HC'!AF308</f>
        <v>12444.535687845811</v>
      </c>
      <c r="AH155" s="590">
        <f>'Ethylene Recycling HC'!AG308</f>
        <v>12053.348320544748</v>
      </c>
    </row>
    <row r="156" spans="1:36">
      <c r="A156" s="1" t="s">
        <v>764</v>
      </c>
      <c r="C156" s="233" t="s">
        <v>1420</v>
      </c>
      <c r="D156" s="590">
        <f>'Ethylene Recycling HC'!C310</f>
        <v>6.8025295976064548</v>
      </c>
      <c r="E156" s="590">
        <f>'Ethylene Recycling HC'!D310</f>
        <v>13.746833521507368</v>
      </c>
      <c r="F156" s="590">
        <f>'Ethylene Recycling HC'!E310</f>
        <v>27.56999366132489</v>
      </c>
      <c r="G156" s="590">
        <f>'Ethylene Recycling HC'!F310</f>
        <v>54.875469643209421</v>
      </c>
      <c r="H156" s="590">
        <f>'Ethylene Recycling HC'!G310</f>
        <v>108.35557935084184</v>
      </c>
      <c r="I156" s="590">
        <f>'Ethylene Recycling HC'!H310</f>
        <v>212.06404597412296</v>
      </c>
      <c r="J156" s="590">
        <f>'Ethylene Recycling HC'!I310</f>
        <v>410.06372369988384</v>
      </c>
      <c r="K156" s="590">
        <f>'Ethylene Recycling HC'!J310</f>
        <v>782.85817335858371</v>
      </c>
      <c r="L156" s="590">
        <f>'Ethylene Recycling HC'!K310</f>
        <v>1470.9659999376911</v>
      </c>
      <c r="M156" s="590">
        <f>'Ethylene Recycling HC'!L310</f>
        <v>2708.8325562781929</v>
      </c>
      <c r="N156" s="590">
        <f>'Ethylene Recycling HC'!M310</f>
        <v>4862.7248643602579</v>
      </c>
      <c r="O156" s="590">
        <f>'Ethylene Recycling HC'!N310</f>
        <v>8271.1898921871416</v>
      </c>
      <c r="P156" s="590">
        <f>'Ethylene Recycling HC'!O310</f>
        <v>13585.012883699341</v>
      </c>
      <c r="Q156" s="590">
        <f>'Ethylene Recycling HC'!P310</f>
        <v>21237.219078394879</v>
      </c>
      <c r="R156" s="590">
        <f>'Ethylene Recycling HC'!Q310</f>
        <v>31481.955812291959</v>
      </c>
      <c r="S156" s="590">
        <f>'Ethylene Recycling HC'!R310</f>
        <v>44043.880917572627</v>
      </c>
      <c r="T156" s="590">
        <f>'Ethylene Recycling HC'!S310</f>
        <v>58068.113532838106</v>
      </c>
      <c r="U156" s="590">
        <f>'Ethylene Recycling HC'!T310</f>
        <v>72251.283447813665</v>
      </c>
      <c r="V156" s="590">
        <f>'Ethylene Recycling HC'!U310</f>
        <v>85243.456186497046</v>
      </c>
      <c r="W156" s="590">
        <f>'Ethylene Recycling HC'!V310</f>
        <v>96012.066135883739</v>
      </c>
      <c r="X156" s="590">
        <f>'Ethylene Recycling HC'!W310</f>
        <v>104029.23068881937</v>
      </c>
      <c r="Y156" s="590">
        <f>'Ethylene Recycling HC'!X310</f>
        <v>111431.60169919473</v>
      </c>
      <c r="Z156" s="590">
        <f>'Ethylene Recycling HC'!Y310</f>
        <v>116459.85021930072</v>
      </c>
      <c r="AA156" s="590">
        <f>'Ethylene Recycling HC'!Z310</f>
        <v>119373.48362301954</v>
      </c>
      <c r="AB156" s="590">
        <f>'Ethylene Recycling HC'!AA310</f>
        <v>120558.81981895212</v>
      </c>
      <c r="AC156" s="590">
        <f>'Ethylene Recycling HC'!AB310</f>
        <v>120375.72205759233</v>
      </c>
      <c r="AD156" s="590">
        <f>'Ethylene Recycling HC'!AC310</f>
        <v>119103.39549125037</v>
      </c>
      <c r="AE156" s="590">
        <f>'Ethylene Recycling HC'!AD310</f>
        <v>117024.45827085979</v>
      </c>
      <c r="AF156" s="590">
        <f>'Ethylene Recycling HC'!AE310</f>
        <v>114335.76951433964</v>
      </c>
      <c r="AG156" s="590">
        <f>'Ethylene Recycling HC'!AF310</f>
        <v>111187.32216009172</v>
      </c>
      <c r="AH156" s="590">
        <f>'Ethylene Recycling HC'!AG310</f>
        <v>107692.20776417723</v>
      </c>
    </row>
    <row r="157" spans="1:36" s="97" customFormat="1">
      <c r="A157" s="95" t="s">
        <v>765</v>
      </c>
      <c r="B157" s="95"/>
      <c r="C157" s="96" t="s">
        <v>1420</v>
      </c>
      <c r="D157" s="583">
        <f>D148-D155-D156</f>
        <v>5341053.1376501545</v>
      </c>
      <c r="E157" s="583">
        <f t="shared" ref="E157:AH157" si="53">E148-E155-E156</f>
        <v>5233976.1769067338</v>
      </c>
      <c r="F157" s="583">
        <f t="shared" si="53"/>
        <v>5107114.7822986571</v>
      </c>
      <c r="G157" s="583">
        <f t="shared" si="53"/>
        <v>4982279.7364496887</v>
      </c>
      <c r="H157" s="583">
        <f t="shared" si="53"/>
        <v>4859460.4574078703</v>
      </c>
      <c r="I157" s="583">
        <f t="shared" si="53"/>
        <v>4738634.0497104879</v>
      </c>
      <c r="J157" s="583">
        <f t="shared" si="53"/>
        <v>4618267.4435774107</v>
      </c>
      <c r="K157" s="583">
        <f t="shared" si="53"/>
        <v>4500056.9860661486</v>
      </c>
      <c r="L157" s="583">
        <f t="shared" si="53"/>
        <v>4383849.0068147713</v>
      </c>
      <c r="M157" s="583">
        <f t="shared" si="53"/>
        <v>4269385.8093249165</v>
      </c>
      <c r="N157" s="583">
        <f t="shared" si="53"/>
        <v>4156263.5573273585</v>
      </c>
      <c r="O157" s="583">
        <f t="shared" si="53"/>
        <v>4038543.0898099542</v>
      </c>
      <c r="P157" s="583">
        <f t="shared" si="53"/>
        <v>3924732.453108679</v>
      </c>
      <c r="Q157" s="583">
        <f t="shared" si="53"/>
        <v>3807596.410202858</v>
      </c>
      <c r="R157" s="583">
        <f t="shared" si="53"/>
        <v>3689952.4393467419</v>
      </c>
      <c r="S157" s="583">
        <f t="shared" si="53"/>
        <v>3572104.6465435689</v>
      </c>
      <c r="T157" s="583">
        <f t="shared" si="53"/>
        <v>3450720.0214526062</v>
      </c>
      <c r="U157" s="583">
        <f t="shared" si="53"/>
        <v>3331625.3444668748</v>
      </c>
      <c r="V157" s="583">
        <f t="shared" si="53"/>
        <v>3216319.7266391222</v>
      </c>
      <c r="W157" s="583">
        <f t="shared" si="53"/>
        <v>3105950.1141139157</v>
      </c>
      <c r="X157" s="583">
        <f t="shared" si="53"/>
        <v>3001103.0495924759</v>
      </c>
      <c r="Y157" s="583">
        <f t="shared" si="53"/>
        <v>2874997.804047484</v>
      </c>
      <c r="Z157" s="583">
        <f t="shared" si="53"/>
        <v>2754158.3878040388</v>
      </c>
      <c r="AA157" s="583">
        <f t="shared" si="53"/>
        <v>2638221.4392463556</v>
      </c>
      <c r="AB157" s="583">
        <f t="shared" si="53"/>
        <v>2526666.6917919507</v>
      </c>
      <c r="AC157" s="583">
        <f t="shared" si="53"/>
        <v>2419105.3133967868</v>
      </c>
      <c r="AD157" s="583">
        <f t="shared" si="53"/>
        <v>2314147.0929092225</v>
      </c>
      <c r="AE157" s="583">
        <f t="shared" si="53"/>
        <v>2212647.5975251263</v>
      </c>
      <c r="AF157" s="583">
        <f t="shared" si="53"/>
        <v>2114403.0769053116</v>
      </c>
      <c r="AG157" s="583">
        <f t="shared" si="53"/>
        <v>2019263.6704872702</v>
      </c>
      <c r="AH157" s="583">
        <f t="shared" si="53"/>
        <v>1927122.4188224645</v>
      </c>
    </row>
    <row r="158" spans="1:36" s="61" customFormat="1">
      <c r="A158" s="606" t="s">
        <v>608</v>
      </c>
      <c r="B158" s="54" t="s">
        <v>141</v>
      </c>
      <c r="C158" s="55" t="s">
        <v>1420</v>
      </c>
      <c r="D158" s="571">
        <f>D149-D156*D149/D148</f>
        <v>1581161.9590490412</v>
      </c>
      <c r="E158" s="571">
        <f t="shared" ref="E158:AH158" si="54">E149-E156*E149/E148</f>
        <v>1529569.4457240282</v>
      </c>
      <c r="F158" s="571">
        <f t="shared" si="54"/>
        <v>1469436.8828518225</v>
      </c>
      <c r="G158" s="571">
        <f t="shared" si="54"/>
        <v>1410629.3564927909</v>
      </c>
      <c r="H158" s="571">
        <f t="shared" si="54"/>
        <v>1353139.4463093767</v>
      </c>
      <c r="I158" s="571">
        <f t="shared" si="54"/>
        <v>1296956.7679937163</v>
      </c>
      <c r="J158" s="571">
        <f t="shared" si="54"/>
        <v>1242144.1584495734</v>
      </c>
      <c r="K158" s="571">
        <f t="shared" si="54"/>
        <v>1188658.4766203449</v>
      </c>
      <c r="L158" s="571">
        <f t="shared" si="54"/>
        <v>1136461.0394330344</v>
      </c>
      <c r="M158" s="571">
        <f t="shared" si="54"/>
        <v>1085492.1184421715</v>
      </c>
      <c r="N158" s="571">
        <f t="shared" si="54"/>
        <v>1035664.0175208003</v>
      </c>
      <c r="O158" s="571">
        <f t="shared" si="54"/>
        <v>985897.13055339083</v>
      </c>
      <c r="P158" s="571">
        <f t="shared" si="54"/>
        <v>940531.10440393537</v>
      </c>
      <c r="Q158" s="571">
        <f t="shared" si="54"/>
        <v>893204.67111059348</v>
      </c>
      <c r="R158" s="571">
        <f t="shared" si="54"/>
        <v>846779.89014891279</v>
      </c>
      <c r="S158" s="571">
        <f t="shared" si="54"/>
        <v>801355.66805168393</v>
      </c>
      <c r="T158" s="571">
        <f t="shared" si="54"/>
        <v>756685.5647777624</v>
      </c>
      <c r="U158" s="571">
        <f t="shared" si="54"/>
        <v>713545.70032971271</v>
      </c>
      <c r="V158" s="571">
        <f t="shared" si="54"/>
        <v>672217.54045116692</v>
      </c>
      <c r="W158" s="571">
        <f t="shared" si="54"/>
        <v>632889.30973065121</v>
      </c>
      <c r="X158" s="571">
        <f t="shared" si="54"/>
        <v>595626.83247436478</v>
      </c>
      <c r="Y158" s="571">
        <f t="shared" si="54"/>
        <v>555019.75652264617</v>
      </c>
      <c r="Z158" s="571">
        <f t="shared" si="54"/>
        <v>517037.70116296108</v>
      </c>
      <c r="AA158" s="571">
        <f t="shared" si="54"/>
        <v>480955.04192798963</v>
      </c>
      <c r="AB158" s="571">
        <f t="shared" si="54"/>
        <v>446618.57954536355</v>
      </c>
      <c r="AC158" s="571">
        <f t="shared" si="54"/>
        <v>413938.70680982078</v>
      </c>
      <c r="AD158" s="571">
        <f t="shared" si="54"/>
        <v>382717.8648978119</v>
      </c>
      <c r="AE158" s="571">
        <f t="shared" si="54"/>
        <v>353028.70169612422</v>
      </c>
      <c r="AF158" s="571">
        <f t="shared" si="54"/>
        <v>324827.40361478081</v>
      </c>
      <c r="AG158" s="571">
        <f t="shared" si="54"/>
        <v>298081.67659845954</v>
      </c>
      <c r="AH158" s="571">
        <f t="shared" si="54"/>
        <v>272768.14382968092</v>
      </c>
      <c r="AI158" s="56"/>
    </row>
    <row r="159" spans="1:36">
      <c r="A159" s="607"/>
      <c r="B159" s="1" t="s">
        <v>18</v>
      </c>
      <c r="C159" s="50" t="s">
        <v>1420</v>
      </c>
      <c r="D159" s="183">
        <f>D163/('Demand - Ethylene'!$K$14)</f>
        <v>1180906.2560406041</v>
      </c>
      <c r="E159" s="183">
        <f>E163/('Demand - Ethylene'!$K$14)</f>
        <v>1148259.7236928884</v>
      </c>
      <c r="F159" s="183">
        <f>F163/('Demand - Ethylene'!$K$14)</f>
        <v>1138666.4423588847</v>
      </c>
      <c r="G159" s="183">
        <f>G163/('Demand - Ethylene'!$K$14)</f>
        <v>1157141.9406729278</v>
      </c>
      <c r="H159" s="183">
        <f>H163/('Demand - Ethylene'!$K$14)</f>
        <v>1049692.070690447</v>
      </c>
      <c r="I159" s="183">
        <f>I163/('Demand - Ethylene'!$K$14)</f>
        <v>1017639.2590901419</v>
      </c>
      <c r="J159" s="183">
        <f>J163/('Demand - Ethylene'!$K$14)</f>
        <v>985876.60633747291</v>
      </c>
      <c r="K159" s="183">
        <f>K163/('Demand - Ethylene'!$K$14)</f>
        <v>954397.70277475205</v>
      </c>
      <c r="L159" s="183">
        <f>L163/('Demand - Ethylene'!$K$14)</f>
        <v>923092.34101336973</v>
      </c>
      <c r="M159" s="183">
        <f>M163/('Demand - Ethylene'!$K$14)</f>
        <v>891761.4849422127</v>
      </c>
      <c r="N159" s="183">
        <f>N163/('Demand - Ethylene'!$K$14)</f>
        <v>860082.21286010754</v>
      </c>
      <c r="O159" s="183">
        <f>O163/('Demand - Ethylene'!$K$14)</f>
        <v>825875.48900736391</v>
      </c>
      <c r="P159" s="183">
        <f>P163/('Demand - Ethylene'!$K$14)</f>
        <v>793213.24823779496</v>
      </c>
      <c r="Q159" s="183">
        <f>Q163/('Demand - Ethylene'!$K$14)</f>
        <v>756691.37830205029</v>
      </c>
      <c r="R159" s="183">
        <f>R163/('Demand - Ethylene'!$K$14)</f>
        <v>718437.35602473386</v>
      </c>
      <c r="S159" s="183">
        <f>S163/('Demand - Ethylene'!$K$14)</f>
        <v>678767.77408916841</v>
      </c>
      <c r="T159" s="183">
        <f>T163/('Demand - Ethylene'!$K$14)</f>
        <v>637938.97846122808</v>
      </c>
      <c r="U159" s="183">
        <f>U163/('Demand - Ethylene'!$K$14)</f>
        <v>597697.34311757877</v>
      </c>
      <c r="V159" s="183">
        <f>V163/('Demand - Ethylene'!$K$14)</f>
        <v>559289.27052263683</v>
      </c>
      <c r="W159" s="183">
        <f>W163/('Demand - Ethylene'!$K$14)</f>
        <v>523638.79353956453</v>
      </c>
      <c r="X159" s="183">
        <f>X163/('Demand - Ethylene'!$K$14)</f>
        <v>491186.39888801635</v>
      </c>
      <c r="Y159" s="183">
        <f>Y163/('Demand - Ethylene'!$K$14)</f>
        <v>461073.35380017932</v>
      </c>
      <c r="Z159" s="183">
        <f>Z163/('Demand - Ethylene'!$K$14)</f>
        <v>433801.56161307113</v>
      </c>
      <c r="AA159" s="183">
        <f>AA163/('Demand - Ethylene'!$K$14)</f>
        <v>408987.38138187642</v>
      </c>
      <c r="AB159" s="183">
        <f>AB163/('Demand - Ethylene'!$K$14)</f>
        <v>386294.22743283387</v>
      </c>
      <c r="AC159" s="183">
        <f>AC163/('Demand - Ethylene'!$K$14)</f>
        <v>365410.16272550053</v>
      </c>
      <c r="AD159" s="183">
        <f>AD163/('Demand - Ethylene'!$K$14)</f>
        <v>346452.70300343662</v>
      </c>
      <c r="AE159" s="183">
        <f>AE163/('Demand - Ethylene'!$K$14)</f>
        <v>328893.84629142564</v>
      </c>
      <c r="AF159" s="183">
        <f>AF163/('Demand - Ethylene'!$K$14)</f>
        <v>312569.4140803981</v>
      </c>
      <c r="AG159" s="183">
        <f>AG163/('Demand - Ethylene'!$K$14)</f>
        <v>297356.50200103479</v>
      </c>
      <c r="AH159" s="183">
        <f>AH163/('Demand - Ethylene'!$K$14)</f>
        <v>283164.71369507525</v>
      </c>
      <c r="AI159" s="40"/>
    </row>
    <row r="160" spans="1:36">
      <c r="A160" s="607"/>
      <c r="B160" s="1" t="s">
        <v>607</v>
      </c>
      <c r="C160" s="50" t="s">
        <v>1420</v>
      </c>
      <c r="D160" s="183">
        <f>D162/('Demand - Ethylene'!$M$14)</f>
        <v>1018824.841752751</v>
      </c>
      <c r="E160" s="183">
        <f>E162/('Demand - Ethylene'!$M$14)</f>
        <v>976152.12456428353</v>
      </c>
      <c r="F160" s="183">
        <f>F162/('Demand - Ethylene'!$M$14)</f>
        <v>933487.88017537724</v>
      </c>
      <c r="G160" s="183">
        <f>G162/('Demand - Ethylene'!$M$14)</f>
        <v>891294.07696197031</v>
      </c>
      <c r="H160" s="183">
        <f>H162/('Demand - Ethylene'!$M$14)</f>
        <v>849574.31471644389</v>
      </c>
      <c r="I160" s="183">
        <f>I162/('Demand - Ethylene'!$M$14)</f>
        <v>808328.23395215452</v>
      </c>
      <c r="J160" s="183">
        <f>J162/('Demand - Ethylene'!$M$14)</f>
        <v>767652.98838658363</v>
      </c>
      <c r="K160" s="183">
        <f>K162/('Demand - Ethylene'!$M$14)</f>
        <v>727485.0152319764</v>
      </c>
      <c r="L160" s="183">
        <f>L162/('Demand - Ethylene'!$M$14)</f>
        <v>687782.73380671442</v>
      </c>
      <c r="M160" s="183">
        <f>M162/('Demand - Ethylene'!$M$14)</f>
        <v>648472.81204550934</v>
      </c>
      <c r="N160" s="183">
        <f>N162/('Demand - Ethylene'!$M$14)</f>
        <v>609439.19141908456</v>
      </c>
      <c r="O160" s="183">
        <f>O162/('Demand - Ethylene'!$M$14)</f>
        <v>574594.0733547433</v>
      </c>
      <c r="P160" s="183">
        <f>P162/('Demand - Ethylene'!$M$14)</f>
        <v>539579.18252571346</v>
      </c>
      <c r="Q160" s="183">
        <f>Q162/('Demand - Ethylene'!$M$14)</f>
        <v>504658.20118447475</v>
      </c>
      <c r="R160" s="183">
        <f>R162/('Demand - Ethylene'!$M$14)</f>
        <v>469629.12823006813</v>
      </c>
      <c r="S160" s="183">
        <f>S162/('Demand - Ethylene'!$M$14)</f>
        <v>434648.58986270352</v>
      </c>
      <c r="T160" s="183">
        <f>T162/('Demand - Ethylene'!$M$14)</f>
        <v>399614.30093112245</v>
      </c>
      <c r="U160" s="183">
        <f>U162/('Demand - Ethylene'!$M$14)</f>
        <v>365467.78134837467</v>
      </c>
      <c r="V160" s="183">
        <f>V162/('Demand - Ethylene'!$M$14)</f>
        <v>332671.66511000827</v>
      </c>
      <c r="W160" s="183">
        <f>W162/('Demand - Ethylene'!$M$14)</f>
        <v>301550.53196666337</v>
      </c>
      <c r="X160" s="183">
        <f>X162/('Demand - Ethylene'!$M$14)</f>
        <v>272240.37269742356</v>
      </c>
      <c r="Y160" s="183">
        <f>Y162/('Demand - Ethylene'!$M$14)</f>
        <v>237721.03635474708</v>
      </c>
      <c r="Z160" s="183">
        <f>Z162/('Demand - Ethylene'!$M$14)</f>
        <v>204881.72200117208</v>
      </c>
      <c r="AA160" s="183">
        <f>AA162/('Demand - Ethylene'!$M$14)</f>
        <v>173658.83282765283</v>
      </c>
      <c r="AB160" s="183">
        <f>AB162/('Demand - Ethylene'!$M$14)</f>
        <v>143887.94671525285</v>
      </c>
      <c r="AC160" s="183">
        <f>AC162/('Demand - Ethylene'!$M$14)</f>
        <v>115440.5536564666</v>
      </c>
      <c r="AD160" s="183">
        <f>AD162/('Demand - Ethylene'!$M$14)</f>
        <v>88099.171490826149</v>
      </c>
      <c r="AE160" s="183">
        <f>AE162/('Demand - Ethylene'!$M$14)</f>
        <v>61899.974541295742</v>
      </c>
      <c r="AF160" s="183">
        <f>AF162/('Demand - Ethylene'!$M$14)</f>
        <v>36781.173014807689</v>
      </c>
      <c r="AG160" s="183">
        <f>AG162/('Demand - Ethylene'!$M$14)</f>
        <v>12697.844726972404</v>
      </c>
      <c r="AH160" s="183">
        <f>AH162/('Demand - Ethylene'!$M$14)</f>
        <v>-10382.135153990195</v>
      </c>
      <c r="AI160" s="40"/>
    </row>
    <row r="161" spans="1:46">
      <c r="A161" s="608"/>
      <c r="B161" s="1" t="s">
        <v>27</v>
      </c>
      <c r="C161" s="50" t="s">
        <v>1420</v>
      </c>
      <c r="D161" s="183">
        <f>D157-D160-D159-D158</f>
        <v>1560160.0808077587</v>
      </c>
      <c r="E161" s="183">
        <f t="shared" ref="E161:AH161" si="55">E157-E160-E159-E158</f>
        <v>1579994.8829255337</v>
      </c>
      <c r="F161" s="183">
        <f t="shared" si="55"/>
        <v>1565523.5769125724</v>
      </c>
      <c r="G161" s="183">
        <f t="shared" si="55"/>
        <v>1523214.3623219994</v>
      </c>
      <c r="H161" s="183">
        <f t="shared" si="55"/>
        <v>1607054.6256916027</v>
      </c>
      <c r="I161" s="183">
        <f t="shared" si="55"/>
        <v>1615709.7886744754</v>
      </c>
      <c r="J161" s="183">
        <f t="shared" si="55"/>
        <v>1622593.6904037809</v>
      </c>
      <c r="K161" s="183">
        <f t="shared" si="55"/>
        <v>1629515.7914390755</v>
      </c>
      <c r="L161" s="183">
        <f t="shared" si="55"/>
        <v>1636512.8925616529</v>
      </c>
      <c r="M161" s="183">
        <f t="shared" si="55"/>
        <v>1643659.3938950228</v>
      </c>
      <c r="N161" s="183">
        <f t="shared" si="55"/>
        <v>1651078.1355273663</v>
      </c>
      <c r="O161" s="183">
        <f t="shared" si="55"/>
        <v>1652176.3968944559</v>
      </c>
      <c r="P161" s="183">
        <f t="shared" si="55"/>
        <v>1651408.917941235</v>
      </c>
      <c r="Q161" s="183">
        <f t="shared" si="55"/>
        <v>1653042.1596057394</v>
      </c>
      <c r="R161" s="183">
        <f t="shared" si="55"/>
        <v>1655106.0649430274</v>
      </c>
      <c r="S161" s="183">
        <f t="shared" si="55"/>
        <v>1657332.6145400135</v>
      </c>
      <c r="T161" s="183">
        <f t="shared" si="55"/>
        <v>1656481.1772824929</v>
      </c>
      <c r="U161" s="183">
        <f t="shared" si="55"/>
        <v>1654914.5196712087</v>
      </c>
      <c r="V161" s="183">
        <f t="shared" si="55"/>
        <v>1652141.2505553102</v>
      </c>
      <c r="W161" s="183">
        <f t="shared" si="55"/>
        <v>1647871.4788770364</v>
      </c>
      <c r="X161" s="183">
        <f t="shared" si="55"/>
        <v>1642049.4455326712</v>
      </c>
      <c r="Y161" s="183">
        <f t="shared" si="55"/>
        <v>1621183.6573699112</v>
      </c>
      <c r="Z161" s="183">
        <f t="shared" si="55"/>
        <v>1598437.4030268344</v>
      </c>
      <c r="AA161" s="183">
        <f t="shared" si="55"/>
        <v>1574620.1831088369</v>
      </c>
      <c r="AB161" s="183">
        <f t="shared" si="55"/>
        <v>1549865.9380985002</v>
      </c>
      <c r="AC161" s="183">
        <f t="shared" si="55"/>
        <v>1524315.8902049987</v>
      </c>
      <c r="AD161" s="183">
        <f t="shared" si="55"/>
        <v>1496877.3535171477</v>
      </c>
      <c r="AE161" s="183">
        <f t="shared" si="55"/>
        <v>1468825.0749962807</v>
      </c>
      <c r="AF161" s="183">
        <f t="shared" si="55"/>
        <v>1440225.0861953248</v>
      </c>
      <c r="AG161" s="183">
        <f t="shared" si="55"/>
        <v>1411127.6471608034</v>
      </c>
      <c r="AH161" s="183">
        <f t="shared" si="55"/>
        <v>1381571.6964516984</v>
      </c>
      <c r="AI161" s="40"/>
    </row>
    <row r="162" spans="1:46" s="61" customFormat="1">
      <c r="A162" s="609" t="s">
        <v>609</v>
      </c>
      <c r="B162" s="54" t="s">
        <v>606</v>
      </c>
      <c r="C162" s="55" t="s">
        <v>1420</v>
      </c>
      <c r="D162" s="571">
        <f>D153-D156*D151/D148</f>
        <v>464408.21325476316</v>
      </c>
      <c r="E162" s="571">
        <f t="shared" ref="E162:AH162" si="56">E153-E156*E151/E148</f>
        <v>444956.82226774271</v>
      </c>
      <c r="F162" s="571">
        <f t="shared" si="56"/>
        <v>425509.29341437289</v>
      </c>
      <c r="G162" s="571">
        <f t="shared" si="56"/>
        <v>406276.20450867782</v>
      </c>
      <c r="H162" s="571">
        <f t="shared" si="56"/>
        <v>387259.19643442793</v>
      </c>
      <c r="I162" s="571">
        <f t="shared" si="56"/>
        <v>368458.10532778426</v>
      </c>
      <c r="J162" s="571">
        <f t="shared" si="56"/>
        <v>349917.21650894865</v>
      </c>
      <c r="K162" s="571">
        <f t="shared" si="56"/>
        <v>331607.55632172339</v>
      </c>
      <c r="L162" s="571">
        <f t="shared" si="56"/>
        <v>313510.1711547859</v>
      </c>
      <c r="M162" s="571">
        <f t="shared" si="56"/>
        <v>295591.63424818765</v>
      </c>
      <c r="N162" s="571">
        <f t="shared" si="56"/>
        <v>277799.04295173258</v>
      </c>
      <c r="O162" s="571">
        <f t="shared" si="56"/>
        <v>261915.68561910963</v>
      </c>
      <c r="P162" s="571">
        <f t="shared" si="56"/>
        <v>245954.94121946863</v>
      </c>
      <c r="Q162" s="571">
        <f t="shared" si="56"/>
        <v>230037.00333145304</v>
      </c>
      <c r="R162" s="571">
        <f t="shared" si="56"/>
        <v>214069.7943313857</v>
      </c>
      <c r="S162" s="571">
        <f t="shared" si="56"/>
        <v>198124.70872282347</v>
      </c>
      <c r="T162" s="571">
        <f t="shared" si="56"/>
        <v>182155.12213777713</v>
      </c>
      <c r="U162" s="571">
        <f t="shared" si="56"/>
        <v>166590.20508980719</v>
      </c>
      <c r="V162" s="571">
        <f t="shared" si="56"/>
        <v>151640.83880055108</v>
      </c>
      <c r="W162" s="571">
        <f t="shared" si="56"/>
        <v>137454.97559299509</v>
      </c>
      <c r="X162" s="571">
        <f t="shared" si="56"/>
        <v>124094.60378166118</v>
      </c>
      <c r="Y162" s="571">
        <f t="shared" si="56"/>
        <v>108359.74666327436</v>
      </c>
      <c r="Z162" s="571">
        <f t="shared" si="56"/>
        <v>93390.689492251477</v>
      </c>
      <c r="AA162" s="571">
        <f t="shared" si="56"/>
        <v>79158.443104560371</v>
      </c>
      <c r="AB162" s="571">
        <f t="shared" si="56"/>
        <v>65588.059403780935</v>
      </c>
      <c r="AC162" s="571">
        <f t="shared" si="56"/>
        <v>52620.960015569333</v>
      </c>
      <c r="AD162" s="571">
        <f t="shared" si="56"/>
        <v>40158.010626137213</v>
      </c>
      <c r="AE162" s="571">
        <f t="shared" si="56"/>
        <v>28215.700480745429</v>
      </c>
      <c r="AF162" s="571">
        <f t="shared" si="56"/>
        <v>16765.864102640808</v>
      </c>
      <c r="AG162" s="571">
        <f t="shared" si="56"/>
        <v>5788.0247321950883</v>
      </c>
      <c r="AH162" s="571">
        <f t="shared" si="56"/>
        <v>-4732.461007074804</v>
      </c>
      <c r="AI162" s="56"/>
    </row>
    <row r="163" spans="1:46" s="62" customFormat="1">
      <c r="A163" s="610"/>
      <c r="B163" s="58" t="s">
        <v>605</v>
      </c>
      <c r="C163" s="233" t="s">
        <v>1420</v>
      </c>
      <c r="D163" s="528">
        <f>D154-D155-D156*D150/D148</f>
        <v>395267.10613365751</v>
      </c>
      <c r="E163" s="528">
        <f t="shared" ref="E163:AH163" si="57">E154-E155-E156*E150/E148</f>
        <v>384339.82016123337</v>
      </c>
      <c r="F163" s="528">
        <f t="shared" si="57"/>
        <v>381128.80444188975</v>
      </c>
      <c r="G163" s="528">
        <f t="shared" si="57"/>
        <v>387312.83193400758</v>
      </c>
      <c r="H163" s="528">
        <f t="shared" si="57"/>
        <v>351347.74245703849</v>
      </c>
      <c r="I163" s="528">
        <f t="shared" si="57"/>
        <v>340619.18375909526</v>
      </c>
      <c r="J163" s="528">
        <f t="shared" si="57"/>
        <v>329987.74559670483</v>
      </c>
      <c r="K163" s="528">
        <f t="shared" si="57"/>
        <v>319451.28256092145</v>
      </c>
      <c r="L163" s="528">
        <f t="shared" si="57"/>
        <v>308972.90657926066</v>
      </c>
      <c r="M163" s="528">
        <f t="shared" si="57"/>
        <v>298485.99726822169</v>
      </c>
      <c r="N163" s="528">
        <f t="shared" si="57"/>
        <v>287882.46787182568</v>
      </c>
      <c r="O163" s="528">
        <f t="shared" si="57"/>
        <v>276432.96230910619</v>
      </c>
      <c r="P163" s="528">
        <f t="shared" si="57"/>
        <v>265500.41849134833</v>
      </c>
      <c r="Q163" s="528">
        <f t="shared" si="57"/>
        <v>253275.99867288372</v>
      </c>
      <c r="R163" s="528">
        <f t="shared" si="57"/>
        <v>240471.80138272437</v>
      </c>
      <c r="S163" s="528">
        <f t="shared" si="57"/>
        <v>227193.79495927136</v>
      </c>
      <c r="T163" s="528">
        <f t="shared" si="57"/>
        <v>213527.782257393</v>
      </c>
      <c r="U163" s="528">
        <f t="shared" si="57"/>
        <v>200058.30094420124</v>
      </c>
      <c r="V163" s="528">
        <f t="shared" si="57"/>
        <v>187202.5406930233</v>
      </c>
      <c r="W163" s="528">
        <f t="shared" si="57"/>
        <v>175269.78921736425</v>
      </c>
      <c r="X163" s="528">
        <f t="shared" si="57"/>
        <v>164407.48405519751</v>
      </c>
      <c r="Y163" s="528">
        <f t="shared" si="57"/>
        <v>154328.1944182287</v>
      </c>
      <c r="Z163" s="528">
        <f t="shared" si="57"/>
        <v>145199.91491108204</v>
      </c>
      <c r="AA163" s="528">
        <f t="shared" si="57"/>
        <v>136894.23513261357</v>
      </c>
      <c r="AB163" s="528">
        <f t="shared" si="57"/>
        <v>129298.49478946543</v>
      </c>
      <c r="AC163" s="528">
        <f t="shared" si="57"/>
        <v>122308.28385701368</v>
      </c>
      <c r="AD163" s="528">
        <f t="shared" si="57"/>
        <v>115962.93662419496</v>
      </c>
      <c r="AE163" s="528">
        <f t="shared" si="57"/>
        <v>110085.72287918327</v>
      </c>
      <c r="AF163" s="528">
        <f t="shared" si="57"/>
        <v>104621.68960277215</v>
      </c>
      <c r="AG163" s="528">
        <f t="shared" si="57"/>
        <v>99529.698851840833</v>
      </c>
      <c r="AH163" s="528">
        <f t="shared" si="57"/>
        <v>94779.493604079631</v>
      </c>
      <c r="AI163" s="234"/>
    </row>
    <row r="164" spans="1:46" s="371" customFormat="1">
      <c r="A164" s="370" t="str">
        <f>'Ethylene Recycling HC'!A317</f>
        <v>Waste available for pyrolysis</v>
      </c>
      <c r="C164" s="374" t="s">
        <v>1420</v>
      </c>
      <c r="D164" s="585">
        <f>'Ethylene Recycling HC'!C317</f>
        <v>368984.15878677421</v>
      </c>
      <c r="E164" s="585">
        <f>'Ethylene Recycling HC'!D317</f>
        <v>385060.45757232531</v>
      </c>
      <c r="F164" s="585">
        <f>'Ethylene Recycling HC'!E317</f>
        <v>399478.14537392382</v>
      </c>
      <c r="G164" s="585">
        <f>'Ethylene Recycling HC'!F317</f>
        <v>412292.88484177447</v>
      </c>
      <c r="H164" s="585">
        <f>'Ethylene Recycling HC'!G317</f>
        <v>423552.11964184069</v>
      </c>
      <c r="I164" s="585">
        <f>'Ethylene Recycling HC'!H317</f>
        <v>433289.25101284543</v>
      </c>
      <c r="J164" s="585">
        <f>'Ethylene Recycling HC'!I317</f>
        <v>440776.06212432042</v>
      </c>
      <c r="K164" s="585">
        <f>'Ethylene Recycling HC'!J317</f>
        <v>446617.3638064363</v>
      </c>
      <c r="L164" s="585">
        <f>'Ethylene Recycling HC'!K317</f>
        <v>450723.32512211904</v>
      </c>
      <c r="M164" s="585">
        <f>'Ethylene Recycling HC'!L317</f>
        <v>452898.0547452778</v>
      </c>
      <c r="N164" s="585">
        <f>'Ethylene Recycling HC'!M317</f>
        <v>452797.50971815846</v>
      </c>
      <c r="O164" s="585">
        <f>'Ethylene Recycling HC'!N317</f>
        <v>440180.06989971153</v>
      </c>
      <c r="P164" s="585">
        <f>'Ethylene Recycling HC'!O317</f>
        <v>426478.83831459441</v>
      </c>
      <c r="Q164" s="585">
        <f>'Ethylene Recycling HC'!P317</f>
        <v>408244.97125172039</v>
      </c>
      <c r="R164" s="585">
        <f>'Ethylene Recycling HC'!Q317</f>
        <v>386625.81600677589</v>
      </c>
      <c r="S164" s="585">
        <f>'Ethylene Recycling HC'!R317</f>
        <v>361970.48915443558</v>
      </c>
      <c r="T164" s="585">
        <f>'Ethylene Recycling HC'!S317</f>
        <v>335380.26044219581</v>
      </c>
      <c r="U164" s="585">
        <f>'Ethylene Recycling HC'!T317</f>
        <v>308240.21309744183</v>
      </c>
      <c r="V164" s="585">
        <f>'Ethylene Recycling HC'!U317</f>
        <v>282090.61077576346</v>
      </c>
      <c r="W164" s="585">
        <f>'Ethylene Recycling HC'!V317</f>
        <v>258117.91569461126</v>
      </c>
      <c r="X164" s="585">
        <f>'Ethylene Recycling HC'!W317</f>
        <v>236946.53295300185</v>
      </c>
      <c r="Y164" s="585">
        <f>'Ethylene Recycling HC'!X317</f>
        <v>223049.33686980253</v>
      </c>
      <c r="Z164" s="585">
        <f>'Ethylene Recycling HC'!Y317</f>
        <v>211239.86299096403</v>
      </c>
      <c r="AA164" s="585">
        <f>'Ethylene Recycling HC'!Z317</f>
        <v>201121.89775831666</v>
      </c>
      <c r="AB164" s="585">
        <f>'Ethylene Recycling HC'!AA317</f>
        <v>192356.79428886238</v>
      </c>
      <c r="AC164" s="585">
        <f>'Ethylene Recycling HC'!AB317</f>
        <v>184591.44148064716</v>
      </c>
      <c r="AD164" s="585">
        <f>'Ethylene Recycling HC'!AC317</f>
        <v>177478.58168454753</v>
      </c>
      <c r="AE164" s="585">
        <f>'Ethylene Recycling HC'!AD317</f>
        <v>170830.59000785486</v>
      </c>
      <c r="AF164" s="585">
        <f>'Ethylene Recycling HC'!AE317</f>
        <v>164473.00718387711</v>
      </c>
      <c r="AG164" s="585">
        <f>'Ethylene Recycling HC'!AF317</f>
        <v>158282.45982250012</v>
      </c>
      <c r="AH164" s="585">
        <f>'Ethylene Recycling HC'!AG317</f>
        <v>152175.6058895461</v>
      </c>
      <c r="AI164" s="375"/>
    </row>
    <row r="165" spans="1:46" s="673" customFormat="1">
      <c r="A165" s="672" t="str">
        <f>'Ethylene Recycling HC'!A318</f>
        <v>Waste available for gasification (incl. pyrolysis)</v>
      </c>
      <c r="C165" s="674" t="s">
        <v>1420</v>
      </c>
      <c r="D165" s="675">
        <f>'Ethylene Recycling HC'!C318</f>
        <v>2446168.8638205766</v>
      </c>
      <c r="E165" s="675">
        <f>'Ethylene Recycling HC'!D318</f>
        <v>2368521.6556456103</v>
      </c>
      <c r="F165" s="675">
        <f>'Ethylene Recycling HC'!E318</f>
        <v>2291943.2992326296</v>
      </c>
      <c r="G165" s="675">
        <f>'Ethylene Recycling HC'!F318</f>
        <v>2216431.4227137668</v>
      </c>
      <c r="H165" s="675">
        <f>'Ethylene Recycling HC'!G318</f>
        <v>2141976.8117864123</v>
      </c>
      <c r="I165" s="675">
        <f>'Ethylene Recycling HC'!H318</f>
        <v>2068557.5474880617</v>
      </c>
      <c r="J165" s="675">
        <f>'Ethylene Recycling HC'!I318</f>
        <v>1991348.1330089862</v>
      </c>
      <c r="K165" s="675">
        <f>'Ethylene Recycling HC'!J318</f>
        <v>1915294.9334627897</v>
      </c>
      <c r="L165" s="675">
        <f>'Ethylene Recycling HC'!K318</f>
        <v>1840244.7321689236</v>
      </c>
      <c r="M165" s="675">
        <f>'Ethylene Recycling HC'!L318</f>
        <v>1765939.8100595621</v>
      </c>
      <c r="N165" s="675">
        <f>'Ethylene Recycling HC'!M318</f>
        <v>1691975.8098163919</v>
      </c>
      <c r="O165" s="675">
        <f>'Ethylene Recycling HC'!N318</f>
        <v>1618790.1370728745</v>
      </c>
      <c r="P165" s="675">
        <f>'Ethylene Recycling HC'!O318</f>
        <v>1550330.7525117514</v>
      </c>
      <c r="Q165" s="675">
        <f>'Ethylene Recycling HC'!P318</f>
        <v>1475889.5319048902</v>
      </c>
      <c r="R165" s="675">
        <f>'Ethylene Recycling HC'!Q318</f>
        <v>1399911.6418401101</v>
      </c>
      <c r="S165" s="675">
        <f>'Ethylene Recycling HC'!R318</f>
        <v>1322705.6324597227</v>
      </c>
      <c r="T165" s="675">
        <f>'Ethylene Recycling HC'!S318</f>
        <v>1245719.3993725488</v>
      </c>
      <c r="U165" s="675">
        <f>'Ethylene Recycling HC'!T318</f>
        <v>1169885.9314935575</v>
      </c>
      <c r="V165" s="675">
        <f>'Ethylene Recycling HC'!U318</f>
        <v>1096708.6200460412</v>
      </c>
      <c r="W165" s="675">
        <f>'Ethylene Recycling HC'!V318</f>
        <v>1027337.9087817256</v>
      </c>
      <c r="X165" s="675">
        <f>'Ethylene Recycling HC'!W318</f>
        <v>962363.01526545803</v>
      </c>
      <c r="Y165" s="675">
        <f>'Ethylene Recycling HC'!X318</f>
        <v>896136.45262733637</v>
      </c>
      <c r="Z165" s="675">
        <f>'Ethylene Recycling HC'!Y318</f>
        <v>834352.66643946571</v>
      </c>
      <c r="AA165" s="675">
        <f>'Ethylene Recycling HC'!Z318</f>
        <v>776300.90027428372</v>
      </c>
      <c r="AB165" s="675">
        <f>'Ethylene Recycling HC'!AA318</f>
        <v>721641.43549721094</v>
      </c>
      <c r="AC165" s="675">
        <f>'Ethylene Recycling HC'!AB318</f>
        <v>669976.43151939788</v>
      </c>
      <c r="AD165" s="675">
        <f>'Ethylene Recycling HC'!AC318</f>
        <v>620779.99991830136</v>
      </c>
      <c r="AE165" s="675">
        <f>'Ethylene Recycling HC'!AD318</f>
        <v>573978.22640252509</v>
      </c>
      <c r="AF165" s="675">
        <f>'Ethylene Recycling HC'!AE318</f>
        <v>529354.19449767144</v>
      </c>
      <c r="AG165" s="675">
        <f>'Ethylene Recycling HC'!AF318</f>
        <v>486743.03718646045</v>
      </c>
      <c r="AH165" s="675">
        <f>'Ethylene Recycling HC'!AG318</f>
        <v>446020.85735055152</v>
      </c>
      <c r="AI165" s="676"/>
    </row>
    <row r="166" spans="1:46" s="677" customFormat="1">
      <c r="C166" s="678"/>
      <c r="D166" s="576"/>
      <c r="E166" s="576"/>
      <c r="F166" s="576"/>
      <c r="G166" s="576"/>
      <c r="H166" s="576"/>
      <c r="I166" s="576"/>
      <c r="J166" s="576"/>
      <c r="K166" s="576"/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  <c r="AF166" s="576"/>
      <c r="AG166" s="576"/>
      <c r="AH166" s="576"/>
    </row>
    <row r="167" spans="1:46" s="677" customFormat="1">
      <c r="C167" s="678"/>
      <c r="D167" s="576"/>
      <c r="E167" s="576"/>
      <c r="F167" s="576"/>
      <c r="G167" s="576"/>
      <c r="H167" s="576"/>
      <c r="I167" s="576"/>
      <c r="J167" s="576"/>
      <c r="K167" s="576"/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  <c r="AF167" s="576"/>
      <c r="AG167" s="576"/>
      <c r="AH167" s="576"/>
    </row>
    <row r="168" spans="1:46" s="677" customFormat="1">
      <c r="C168" s="678"/>
      <c r="D168" s="576"/>
      <c r="E168" s="576"/>
      <c r="F168" s="576"/>
      <c r="G168" s="576"/>
      <c r="H168" s="576"/>
      <c r="I168" s="576"/>
      <c r="J168" s="576"/>
      <c r="K168" s="576"/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  <c r="AF168" s="576"/>
      <c r="AG168" s="576"/>
      <c r="AH168" s="576"/>
    </row>
    <row r="169" spans="1:46" s="677" customFormat="1">
      <c r="C169" s="678"/>
      <c r="D169" s="576"/>
      <c r="E169" s="576"/>
      <c r="F169" s="576"/>
      <c r="G169" s="576"/>
      <c r="H169" s="576"/>
      <c r="I169" s="576"/>
      <c r="J169" s="576"/>
      <c r="K169" s="576"/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  <c r="AF169" s="576"/>
      <c r="AG169" s="576"/>
      <c r="AH169" s="576"/>
    </row>
    <row r="170" spans="1:46" s="677" customFormat="1">
      <c r="A170" s="679"/>
      <c r="B170" s="679"/>
      <c r="C170" s="680"/>
      <c r="D170" s="590"/>
      <c r="E170" s="590"/>
      <c r="F170" s="590"/>
      <c r="G170" s="590"/>
      <c r="H170" s="590"/>
      <c r="I170" s="590"/>
      <c r="J170" s="590"/>
      <c r="K170" s="590"/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  <c r="X170" s="590"/>
      <c r="Y170" s="590"/>
      <c r="Z170" s="590"/>
      <c r="AA170" s="590"/>
      <c r="AB170" s="590"/>
      <c r="AC170" s="590"/>
      <c r="AD170" s="590"/>
      <c r="AE170" s="590"/>
      <c r="AF170" s="590"/>
      <c r="AG170" s="590"/>
      <c r="AH170" s="591"/>
    </row>
    <row r="171" spans="1:46" s="677" customFormat="1" ht="54" customHeight="1">
      <c r="A171" s="681"/>
      <c r="B171" s="679"/>
      <c r="C171" s="681"/>
      <c r="D171" s="682"/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682"/>
      <c r="W171" s="682"/>
      <c r="X171" s="682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J171" s="683"/>
      <c r="AK171" s="684"/>
      <c r="AL171" s="684"/>
      <c r="AM171" s="684"/>
      <c r="AN171" s="684"/>
      <c r="AO171" s="684"/>
      <c r="AP171" s="684"/>
      <c r="AQ171" s="684"/>
      <c r="AR171" s="684"/>
      <c r="AS171" s="684"/>
      <c r="AT171" s="684"/>
    </row>
    <row r="172" spans="1:46" s="677" customFormat="1">
      <c r="B172" s="685"/>
      <c r="C172" s="162"/>
      <c r="D172" s="547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J172" s="686"/>
      <c r="AK172" s="687"/>
      <c r="AM172" s="687"/>
      <c r="AN172" s="687"/>
      <c r="AO172" s="687"/>
      <c r="AP172" s="687"/>
      <c r="AQ172" s="687"/>
      <c r="AS172" s="688"/>
      <c r="AT172" s="687"/>
    </row>
    <row r="173" spans="1:46" s="677" customFormat="1">
      <c r="B173" s="685"/>
      <c r="C173" s="162"/>
      <c r="D173" s="547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J173" s="686"/>
      <c r="AN173" s="689"/>
      <c r="AO173" s="690"/>
      <c r="AP173" s="689"/>
      <c r="AQ173" s="689"/>
      <c r="AR173" s="690"/>
    </row>
    <row r="174" spans="1:46" s="677" customFormat="1">
      <c r="B174" s="685"/>
      <c r="C174" s="162"/>
      <c r="D174" s="547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J174" s="686"/>
      <c r="AN174" s="689"/>
      <c r="AO174" s="690"/>
      <c r="AQ174" s="690"/>
      <c r="AR174" s="690"/>
    </row>
    <row r="175" spans="1:46" s="677" customFormat="1">
      <c r="B175" s="685"/>
      <c r="C175" s="162"/>
      <c r="D175" s="547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J175" s="686"/>
      <c r="AL175" s="687"/>
      <c r="AS175" s="689"/>
    </row>
    <row r="176" spans="1:46" s="677" customFormat="1">
      <c r="B176" s="685"/>
      <c r="C176" s="162"/>
      <c r="D176" s="547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</row>
    <row r="177" spans="1:45" s="677" customFormat="1">
      <c r="B177" s="685"/>
      <c r="C177" s="162"/>
      <c r="D177" s="547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J177" s="691"/>
      <c r="AK177" s="692"/>
      <c r="AL177" s="692"/>
      <c r="AM177" s="692"/>
      <c r="AN177" s="692"/>
      <c r="AO177" s="692"/>
      <c r="AP177" s="692"/>
      <c r="AQ177" s="692"/>
      <c r="AR177" s="692"/>
      <c r="AS177" s="693"/>
    </row>
    <row r="178" spans="1:45" s="677" customFormat="1">
      <c r="A178" s="694"/>
      <c r="B178" s="685"/>
      <c r="C178" s="162"/>
      <c r="D178" s="547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K178" s="695"/>
      <c r="AL178" s="695"/>
      <c r="AM178" s="695"/>
      <c r="AN178" s="695"/>
      <c r="AO178" s="695"/>
      <c r="AP178" s="695"/>
      <c r="AQ178" s="249"/>
      <c r="AR178" s="249"/>
      <c r="AS178" s="689"/>
    </row>
    <row r="179" spans="1:45" s="677" customFormat="1">
      <c r="B179" s="685"/>
      <c r="C179" s="162"/>
      <c r="D179" s="547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N179" s="689"/>
      <c r="AO179" s="689"/>
      <c r="AP179" s="689"/>
      <c r="AQ179" s="689"/>
      <c r="AR179" s="689"/>
    </row>
    <row r="180" spans="1:45" s="677" customFormat="1">
      <c r="A180" s="679"/>
      <c r="B180" s="696"/>
      <c r="C180" s="247"/>
      <c r="D180" s="574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</row>
    <row r="181" spans="1:45" s="677" customFormat="1">
      <c r="A181" s="679"/>
      <c r="B181" s="679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J181" s="691"/>
      <c r="AK181" s="692"/>
      <c r="AL181" s="692"/>
      <c r="AM181" s="692"/>
      <c r="AN181" s="692"/>
      <c r="AO181" s="692"/>
      <c r="AP181" s="693"/>
      <c r="AQ181" s="692"/>
      <c r="AR181" s="692"/>
    </row>
    <row r="182" spans="1:45" s="677" customFormat="1">
      <c r="A182" s="681"/>
      <c r="B182" s="679"/>
      <c r="C182" s="681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183"/>
      <c r="O182" s="682"/>
      <c r="P182" s="682"/>
      <c r="Q182" s="682"/>
      <c r="R182" s="682"/>
      <c r="S182" s="682"/>
      <c r="T182" s="682"/>
      <c r="U182" s="682"/>
      <c r="V182" s="682"/>
      <c r="W182" s="682"/>
      <c r="X182" s="682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K182" s="695"/>
      <c r="AL182" s="695"/>
      <c r="AM182" s="695"/>
      <c r="AN182" s="695"/>
      <c r="AO182" s="695"/>
      <c r="AP182" s="695"/>
      <c r="AQ182" s="695"/>
    </row>
    <row r="183" spans="1:45" s="677" customFormat="1">
      <c r="B183" s="685"/>
      <c r="C183" s="162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N183" s="689"/>
      <c r="AO183" s="689"/>
    </row>
    <row r="184" spans="1:45" s="677" customFormat="1">
      <c r="B184" s="685"/>
      <c r="C184" s="162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</row>
    <row r="185" spans="1:45" s="677" customFormat="1">
      <c r="B185" s="685"/>
      <c r="C185" s="162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J185" s="691"/>
      <c r="AK185" s="692"/>
      <c r="AL185" s="692"/>
      <c r="AM185" s="692"/>
      <c r="AN185" s="692"/>
      <c r="AO185" s="692"/>
      <c r="AP185" s="692"/>
      <c r="AQ185" s="692"/>
      <c r="AR185" s="692"/>
      <c r="AS185" s="693"/>
    </row>
    <row r="186" spans="1:45" s="677" customFormat="1">
      <c r="A186" s="694"/>
      <c r="B186" s="685"/>
      <c r="C186" s="162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K186" s="695"/>
      <c r="AL186" s="695"/>
      <c r="AM186" s="695"/>
      <c r="AN186" s="695"/>
      <c r="AO186" s="695"/>
      <c r="AP186" s="695"/>
      <c r="AQ186" s="689"/>
      <c r="AS186" s="689"/>
    </row>
    <row r="187" spans="1:45" s="677" customFormat="1">
      <c r="B187" s="685"/>
      <c r="C187" s="162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N187" s="689"/>
      <c r="AO187" s="689"/>
      <c r="AP187" s="689"/>
    </row>
    <row r="188" spans="1:45" s="677" customFormat="1">
      <c r="B188" s="685"/>
      <c r="C188" s="162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J188" s="697"/>
      <c r="AK188" s="692"/>
      <c r="AL188" s="692"/>
      <c r="AM188" s="692"/>
      <c r="AN188" s="692"/>
      <c r="AO188" s="692"/>
      <c r="AP188" s="692"/>
    </row>
    <row r="189" spans="1:45" s="677" customFormat="1">
      <c r="B189" s="685"/>
      <c r="C189" s="162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J189" s="691"/>
      <c r="AK189" s="692"/>
      <c r="AL189" s="692"/>
      <c r="AM189" s="692"/>
      <c r="AN189" s="692"/>
      <c r="AO189" s="692"/>
      <c r="AP189" s="692"/>
      <c r="AQ189" s="692"/>
      <c r="AR189" s="693"/>
    </row>
    <row r="190" spans="1:45" s="677" customFormat="1">
      <c r="A190" s="679"/>
      <c r="B190" s="698"/>
      <c r="C190" s="282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K190" s="695"/>
      <c r="AL190" s="695"/>
      <c r="AM190" s="695"/>
      <c r="AN190" s="695"/>
      <c r="AO190" s="695"/>
      <c r="AP190" s="695"/>
      <c r="AQ190" s="690"/>
      <c r="AR190" s="689"/>
    </row>
    <row r="191" spans="1:45" s="677" customFormat="1">
      <c r="A191" s="679"/>
      <c r="B191" s="679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N191" s="689"/>
      <c r="AO191" s="689"/>
      <c r="AP191" s="689"/>
      <c r="AQ191" s="690"/>
    </row>
    <row r="192" spans="1:45" s="677" customFormat="1">
      <c r="A192" s="681"/>
      <c r="B192" s="681"/>
      <c r="C192" s="681"/>
      <c r="D192" s="682"/>
      <c r="E192" s="183"/>
      <c r="F192" s="183"/>
      <c r="G192" s="183"/>
      <c r="H192" s="183"/>
      <c r="I192" s="183"/>
      <c r="J192" s="183"/>
      <c r="K192" s="183"/>
      <c r="L192" s="183"/>
      <c r="M192" s="183"/>
      <c r="N192" s="682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</row>
    <row r="193" spans="1:47" s="677" customFormat="1">
      <c r="B193" s="685"/>
      <c r="C193" s="685"/>
      <c r="D193" s="551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J193" s="691"/>
      <c r="AK193" s="692"/>
      <c r="AL193" s="692"/>
      <c r="AM193" s="692"/>
      <c r="AN193" s="692"/>
      <c r="AO193" s="692"/>
      <c r="AP193" s="693"/>
    </row>
    <row r="194" spans="1:47" s="677" customFormat="1">
      <c r="B194" s="685"/>
      <c r="C194" s="685"/>
      <c r="D194" s="551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K194" s="695"/>
      <c r="AL194" s="695"/>
      <c r="AM194" s="695"/>
      <c r="AN194" s="695"/>
      <c r="AO194" s="690"/>
      <c r="AP194" s="689"/>
    </row>
    <row r="195" spans="1:47" s="677" customFormat="1">
      <c r="B195" s="685"/>
      <c r="C195" s="685"/>
      <c r="D195" s="551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N195" s="689"/>
      <c r="AO195" s="690"/>
    </row>
    <row r="196" spans="1:47" s="677" customFormat="1">
      <c r="A196" s="694"/>
      <c r="B196" s="685"/>
      <c r="C196" s="685"/>
      <c r="D196" s="551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</row>
    <row r="197" spans="1:47" s="677" customFormat="1">
      <c r="B197" s="685"/>
      <c r="C197" s="685"/>
      <c r="D197" s="551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J197" s="683"/>
      <c r="AK197" s="684"/>
      <c r="AL197" s="684"/>
      <c r="AM197" s="684"/>
      <c r="AN197" s="684"/>
      <c r="AO197" s="693"/>
      <c r="AP197" s="684"/>
      <c r="AQ197" s="684"/>
      <c r="AR197" s="684"/>
      <c r="AS197" s="684"/>
      <c r="AT197" s="684"/>
      <c r="AU197" s="684"/>
    </row>
    <row r="198" spans="1:47" s="677" customFormat="1">
      <c r="B198" s="685"/>
      <c r="C198" s="685"/>
      <c r="D198" s="551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K198" s="687"/>
      <c r="AL198" s="687"/>
      <c r="AM198" s="687"/>
      <c r="AN198" s="687"/>
      <c r="AO198" s="687"/>
      <c r="AP198" s="687"/>
      <c r="AQ198" s="687"/>
      <c r="AR198" s="687"/>
      <c r="AS198" s="687"/>
      <c r="AT198" s="689"/>
      <c r="AU198" s="688"/>
    </row>
    <row r="199" spans="1:47" s="677" customFormat="1">
      <c r="B199" s="685"/>
      <c r="C199" s="685"/>
      <c r="D199" s="551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J199" s="688"/>
    </row>
    <row r="200" spans="1:47" s="677" customFormat="1">
      <c r="A200" s="679"/>
      <c r="B200" s="698"/>
      <c r="C200" s="698"/>
      <c r="D200" s="551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</row>
    <row r="201" spans="1:47" s="677" customFormat="1">
      <c r="A201" s="679"/>
      <c r="B201" s="679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J201" s="697"/>
      <c r="AK201" s="684"/>
      <c r="AL201" s="684"/>
      <c r="AM201" s="684"/>
      <c r="AN201" s="684"/>
      <c r="AO201" s="693"/>
      <c r="AP201" s="684"/>
      <c r="AQ201" s="684"/>
      <c r="AR201" s="684"/>
      <c r="AS201" s="684"/>
    </row>
    <row r="202" spans="1:47" s="677" customFormat="1">
      <c r="A202" s="681"/>
      <c r="B202" s="681"/>
      <c r="C202" s="681"/>
      <c r="D202" s="682"/>
      <c r="E202" s="183"/>
      <c r="F202" s="183"/>
      <c r="G202" s="183"/>
      <c r="H202" s="183"/>
      <c r="I202" s="183"/>
      <c r="J202" s="183"/>
      <c r="K202" s="183"/>
      <c r="L202" s="183"/>
      <c r="M202" s="183"/>
      <c r="N202" s="682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K202" s="687"/>
      <c r="AL202" s="687"/>
      <c r="AM202" s="687"/>
      <c r="AN202" s="687"/>
      <c r="AO202" s="695"/>
      <c r="AP202" s="695"/>
      <c r="AQ202" s="699"/>
      <c r="AR202" s="695"/>
      <c r="AS202" s="695"/>
    </row>
    <row r="203" spans="1:47" s="677" customFormat="1">
      <c r="B203" s="700"/>
      <c r="C203" s="700"/>
      <c r="D203" s="551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</row>
    <row r="204" spans="1:47" s="677" customFormat="1">
      <c r="B204" s="700"/>
      <c r="C204" s="700"/>
      <c r="D204" s="551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</row>
    <row r="205" spans="1:47" s="677" customFormat="1">
      <c r="B205" s="700"/>
      <c r="C205" s="700"/>
      <c r="D205" s="551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J205" s="697"/>
      <c r="AK205" s="684"/>
      <c r="AL205" s="684"/>
      <c r="AM205" s="684"/>
      <c r="AN205" s="684"/>
      <c r="AO205" s="693"/>
      <c r="AP205" s="684"/>
      <c r="AQ205" s="684"/>
      <c r="AR205" s="684"/>
      <c r="AS205" s="684"/>
      <c r="AT205" s="684"/>
      <c r="AU205" s="684"/>
    </row>
    <row r="206" spans="1:47" s="677" customFormat="1">
      <c r="A206" s="694"/>
      <c r="B206" s="700"/>
      <c r="C206" s="700"/>
      <c r="D206" s="551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K206" s="695"/>
      <c r="AL206" s="695"/>
      <c r="AM206" s="695"/>
      <c r="AN206" s="695"/>
      <c r="AO206" s="695"/>
      <c r="AP206" s="695"/>
      <c r="AQ206" s="695"/>
      <c r="AR206" s="689"/>
      <c r="AS206" s="689"/>
      <c r="AT206" s="695"/>
    </row>
    <row r="207" spans="1:47" s="677" customFormat="1">
      <c r="B207" s="700"/>
      <c r="C207" s="700"/>
      <c r="D207" s="551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</row>
    <row r="208" spans="1:47" s="677" customFormat="1">
      <c r="B208" s="700"/>
      <c r="C208" s="700"/>
      <c r="D208" s="551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J208" s="697"/>
      <c r="AK208" s="684"/>
      <c r="AL208" s="684"/>
      <c r="AM208" s="684"/>
      <c r="AN208" s="684"/>
      <c r="AO208" s="693"/>
      <c r="AP208" s="684"/>
      <c r="AQ208" s="684"/>
      <c r="AR208" s="684"/>
      <c r="AS208" s="684"/>
      <c r="AT208" s="684"/>
    </row>
    <row r="209" spans="1:47" s="677" customFormat="1">
      <c r="B209" s="700"/>
      <c r="C209" s="700"/>
      <c r="D209" s="551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K209" s="695"/>
      <c r="AL209" s="695"/>
      <c r="AM209" s="695"/>
      <c r="AN209" s="695"/>
      <c r="AO209" s="695"/>
      <c r="AP209" s="695"/>
      <c r="AR209" s="689"/>
      <c r="AS209" s="689"/>
      <c r="AT209" s="695"/>
    </row>
    <row r="210" spans="1:47" s="677" customFormat="1">
      <c r="A210" s="679"/>
      <c r="B210" s="700"/>
      <c r="C210" s="700"/>
      <c r="D210" s="551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</row>
    <row r="211" spans="1:47" s="677" customFormat="1">
      <c r="A211" s="679"/>
      <c r="B211" s="679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J211" s="697"/>
      <c r="AK211" s="684"/>
      <c r="AL211" s="684"/>
      <c r="AM211" s="684"/>
      <c r="AN211" s="684"/>
      <c r="AO211" s="693"/>
      <c r="AP211" s="684"/>
      <c r="AQ211" s="684"/>
      <c r="AR211" s="684"/>
      <c r="AS211" s="684"/>
    </row>
    <row r="212" spans="1:47" s="677" customFormat="1">
      <c r="A212" s="679"/>
      <c r="B212" s="679"/>
      <c r="D212" s="574"/>
      <c r="E212" s="574"/>
      <c r="F212" s="574"/>
      <c r="G212" s="574"/>
      <c r="H212" s="574"/>
      <c r="I212" s="574"/>
      <c r="J212" s="574"/>
      <c r="K212" s="574"/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  <c r="AF212" s="574"/>
      <c r="AG212" s="574"/>
      <c r="AH212" s="574"/>
      <c r="AK212" s="695"/>
      <c r="AL212" s="695"/>
      <c r="AM212" s="695"/>
      <c r="AN212" s="695"/>
      <c r="AO212" s="695"/>
      <c r="AP212" s="695"/>
      <c r="AQ212" s="701"/>
      <c r="AR212" s="695"/>
    </row>
    <row r="213" spans="1:47" s="677" customFormat="1">
      <c r="A213" s="679"/>
      <c r="B213" s="679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</row>
    <row r="214" spans="1:47" s="677" customFormat="1">
      <c r="A214" s="679"/>
      <c r="B214" s="679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J214" s="697"/>
      <c r="AK214" s="684"/>
      <c r="AL214" s="684"/>
      <c r="AM214" s="684"/>
      <c r="AN214" s="684"/>
      <c r="AO214" s="693"/>
      <c r="AP214" s="684"/>
      <c r="AQ214" s="684"/>
      <c r="AR214" s="684"/>
      <c r="AS214" s="684"/>
      <c r="AT214" s="684"/>
      <c r="AU214" s="684"/>
    </row>
    <row r="215" spans="1:47" s="677" customFormat="1">
      <c r="A215" s="679"/>
      <c r="B215" s="679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K215" s="695"/>
      <c r="AL215" s="695"/>
      <c r="AM215" s="695"/>
      <c r="AN215" s="695"/>
      <c r="AO215" s="695"/>
      <c r="AP215" s="695"/>
      <c r="AQ215" s="695"/>
      <c r="AR215" s="689"/>
      <c r="AS215" s="689"/>
      <c r="AT215" s="695"/>
    </row>
    <row r="216" spans="1:47" s="677" customFormat="1">
      <c r="A216" s="679"/>
      <c r="B216" s="679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</row>
    <row r="217" spans="1:47" s="677" customFormat="1">
      <c r="A217" s="679"/>
      <c r="B217" s="679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J217" s="697"/>
      <c r="AK217" s="684"/>
      <c r="AL217" s="684"/>
      <c r="AM217" s="684"/>
      <c r="AN217" s="684"/>
      <c r="AO217" s="684"/>
      <c r="AP217" s="693"/>
      <c r="AQ217" s="684"/>
      <c r="AR217" s="684"/>
      <c r="AS217" s="684"/>
      <c r="AT217" s="684"/>
    </row>
    <row r="218" spans="1:47" s="677" customFormat="1">
      <c r="A218" s="679"/>
      <c r="B218" s="679"/>
      <c r="C218" s="694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K218" s="695"/>
      <c r="AL218" s="695"/>
      <c r="AM218" s="695"/>
      <c r="AN218" s="689"/>
      <c r="AO218" s="695"/>
      <c r="AP218" s="695"/>
      <c r="AQ218" s="695"/>
      <c r="AS218" s="689"/>
      <c r="AT218" s="695"/>
    </row>
    <row r="219" spans="1:47" s="677" customFormat="1">
      <c r="A219" s="679"/>
      <c r="B219" s="679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</row>
    <row r="220" spans="1:47" s="677" customFormat="1">
      <c r="A220" s="679"/>
      <c r="B220" s="679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</row>
    <row r="221" spans="1:47" s="677" customFormat="1">
      <c r="A221" s="679"/>
      <c r="B221" s="679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</row>
    <row r="222" spans="1:47" s="677" customFormat="1">
      <c r="A222" s="679"/>
      <c r="B222" s="679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</row>
    <row r="223" spans="1:47" s="677" customFormat="1">
      <c r="A223" s="679"/>
      <c r="B223" s="679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</row>
    <row r="224" spans="1:47" s="677" customFormat="1">
      <c r="A224" s="679"/>
      <c r="B224" s="679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</row>
    <row r="225" spans="1:36" s="677" customFormat="1">
      <c r="A225" s="679"/>
      <c r="B225" s="679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689"/>
      <c r="AJ225" s="689"/>
    </row>
    <row r="226" spans="1:36" s="677" customFormat="1">
      <c r="A226" s="679"/>
      <c r="B226" s="679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</row>
    <row r="227" spans="1:36" s="677" customFormat="1">
      <c r="A227" s="679"/>
      <c r="B227" s="679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</row>
    <row r="228" spans="1:36" s="677" customFormat="1">
      <c r="A228" s="679"/>
      <c r="B228" s="679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</row>
    <row r="229" spans="1:36" s="677" customFormat="1">
      <c r="A229" s="679"/>
      <c r="B229" s="679"/>
      <c r="C229" s="694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</row>
    <row r="230" spans="1:36" s="677" customFormat="1">
      <c r="A230" s="679"/>
      <c r="B230" s="679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</row>
    <row r="231" spans="1:36" s="677" customFormat="1">
      <c r="A231" s="679"/>
      <c r="B231" s="679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</row>
    <row r="232" spans="1:36" s="677" customFormat="1">
      <c r="A232" s="679"/>
      <c r="B232" s="679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</row>
    <row r="233" spans="1:36" s="677" customFormat="1">
      <c r="A233" s="679"/>
      <c r="B233" s="679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</row>
    <row r="234" spans="1:36" s="677" customFormat="1">
      <c r="A234" s="679"/>
      <c r="B234" s="679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J234" s="702"/>
    </row>
    <row r="235" spans="1:36" s="677" customFormat="1">
      <c r="A235" s="679"/>
      <c r="B235" s="679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</row>
    <row r="236" spans="1:36" s="677" customFormat="1">
      <c r="A236" s="679"/>
      <c r="B236" s="679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</row>
    <row r="237" spans="1:36" s="677" customFormat="1">
      <c r="A237" s="679"/>
      <c r="B237" s="679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</row>
    <row r="238" spans="1:36" s="677" customFormat="1">
      <c r="A238" s="679"/>
      <c r="B238" s="679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</row>
    <row r="239" spans="1:36" s="677" customFormat="1">
      <c r="A239" s="679"/>
      <c r="B239" s="679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</row>
    <row r="240" spans="1:36" s="677" customFormat="1">
      <c r="A240" s="679"/>
      <c r="B240" s="679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</row>
    <row r="241" spans="1:44" s="677" customFormat="1">
      <c r="A241" s="679"/>
      <c r="B241" s="679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</row>
    <row r="242" spans="1:44" s="677" customFormat="1">
      <c r="A242" s="679"/>
      <c r="B242" s="679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</row>
    <row r="243" spans="1:44" s="677" customFormat="1">
      <c r="A243" s="679"/>
      <c r="B243" s="679"/>
    </row>
    <row r="244" spans="1:44" s="677" customFormat="1">
      <c r="A244" s="679"/>
      <c r="B244" s="679"/>
    </row>
    <row r="245" spans="1:44" s="677" customFormat="1">
      <c r="A245" s="679"/>
      <c r="B245" s="679"/>
    </row>
    <row r="246" spans="1:44" s="677" customFormat="1">
      <c r="A246" s="679"/>
      <c r="B246" s="679"/>
    </row>
    <row r="247" spans="1:44" s="677" customFormat="1">
      <c r="A247" s="679"/>
      <c r="B247" s="679"/>
    </row>
    <row r="248" spans="1:44" s="677" customFormat="1">
      <c r="A248" s="679"/>
      <c r="B248" s="679"/>
      <c r="AJ248" s="686"/>
    </row>
    <row r="249" spans="1:44" s="677" customFormat="1">
      <c r="A249" s="679"/>
      <c r="B249" s="679"/>
      <c r="AJ249" s="686"/>
      <c r="AK249" s="684"/>
      <c r="AL249" s="684"/>
      <c r="AM249" s="684"/>
      <c r="AN249" s="684"/>
      <c r="AO249" s="684"/>
      <c r="AP249" s="693"/>
      <c r="AQ249" s="684"/>
      <c r="AR249" s="684"/>
    </row>
    <row r="250" spans="1:44" s="677" customFormat="1">
      <c r="A250" s="679"/>
      <c r="B250" s="679"/>
    </row>
    <row r="251" spans="1:44" s="677" customFormat="1">
      <c r="A251" s="679"/>
      <c r="B251" s="679"/>
      <c r="AJ251" s="686"/>
      <c r="AK251" s="695"/>
      <c r="AL251" s="688"/>
      <c r="AM251" s="695"/>
      <c r="AN251" s="688"/>
      <c r="AO251" s="688"/>
      <c r="AP251" s="688"/>
      <c r="AQ251" s="688"/>
      <c r="AR251" s="703"/>
    </row>
    <row r="252" spans="1:44" s="677" customFormat="1">
      <c r="A252" s="679"/>
      <c r="B252" s="679"/>
      <c r="AJ252" s="686"/>
      <c r="AK252" s="688"/>
      <c r="AL252" s="688"/>
      <c r="AM252" s="688"/>
      <c r="AN252" s="688"/>
      <c r="AO252" s="695"/>
      <c r="AP252" s="688"/>
      <c r="AQ252" s="688"/>
      <c r="AR252" s="688"/>
    </row>
    <row r="253" spans="1:44" s="677" customFormat="1">
      <c r="A253" s="679"/>
      <c r="B253" s="679"/>
      <c r="AJ253" s="686"/>
      <c r="AK253" s="688"/>
      <c r="AL253" s="688"/>
      <c r="AM253" s="688"/>
      <c r="AN253" s="688"/>
      <c r="AO253" s="688"/>
      <c r="AP253" s="695"/>
      <c r="AQ253" s="688"/>
      <c r="AR253" s="688"/>
    </row>
    <row r="254" spans="1:44" s="677" customFormat="1">
      <c r="A254" s="679"/>
      <c r="B254" s="679"/>
      <c r="AJ254" s="686"/>
      <c r="AK254" s="688"/>
      <c r="AL254" s="688"/>
      <c r="AM254" s="688"/>
      <c r="AN254" s="688"/>
      <c r="AO254" s="688"/>
      <c r="AP254" s="688"/>
      <c r="AQ254" s="695"/>
      <c r="AR254" s="688"/>
    </row>
    <row r="255" spans="1:44" s="677" customFormat="1">
      <c r="A255" s="679"/>
      <c r="B255" s="679"/>
      <c r="AJ255" s="686"/>
      <c r="AK255" s="688"/>
      <c r="AL255" s="688"/>
      <c r="AM255" s="688"/>
      <c r="AN255" s="688"/>
      <c r="AO255" s="688"/>
      <c r="AP255" s="688"/>
      <c r="AQ255" s="695"/>
      <c r="AR255" s="688"/>
    </row>
    <row r="256" spans="1:44" s="677" customFormat="1">
      <c r="A256" s="679"/>
      <c r="B256" s="679"/>
      <c r="AJ256" s="686"/>
      <c r="AK256" s="688"/>
      <c r="AL256" s="695"/>
      <c r="AM256" s="688"/>
      <c r="AN256" s="704"/>
      <c r="AO256" s="688"/>
      <c r="AP256" s="688"/>
      <c r="AQ256" s="688"/>
      <c r="AR256" s="688"/>
    </row>
    <row r="257" spans="1:44" s="677" customFormat="1">
      <c r="A257" s="679"/>
      <c r="B257" s="679"/>
    </row>
    <row r="258" spans="1:44" s="677" customFormat="1">
      <c r="A258" s="679"/>
      <c r="B258" s="679"/>
      <c r="AJ258" s="686"/>
      <c r="AK258" s="695"/>
      <c r="AL258" s="688"/>
      <c r="AM258" s="695"/>
      <c r="AN258" s="688"/>
      <c r="AO258" s="688"/>
      <c r="AP258" s="688"/>
      <c r="AQ258" s="688"/>
      <c r="AR258" s="703"/>
    </row>
    <row r="259" spans="1:44" s="677" customFormat="1">
      <c r="A259" s="679"/>
      <c r="B259" s="679"/>
      <c r="AJ259" s="686"/>
      <c r="AO259" s="689"/>
      <c r="AP259" s="689"/>
      <c r="AQ259" s="689"/>
    </row>
    <row r="260" spans="1:44" s="677" customFormat="1">
      <c r="A260" s="679"/>
      <c r="B260" s="679"/>
      <c r="AJ260" s="686"/>
      <c r="AO260" s="689"/>
      <c r="AP260" s="690"/>
      <c r="AQ260" s="689"/>
    </row>
    <row r="261" spans="1:44" s="677" customFormat="1">
      <c r="A261" s="679"/>
      <c r="B261" s="679"/>
      <c r="AJ261" s="686"/>
      <c r="AO261" s="689"/>
      <c r="AQ261" s="689"/>
    </row>
    <row r="262" spans="1:44" s="677" customFormat="1">
      <c r="A262" s="679"/>
      <c r="B262" s="679"/>
      <c r="AJ262" s="686"/>
      <c r="AO262" s="689"/>
      <c r="AP262" s="690"/>
      <c r="AQ262" s="689"/>
    </row>
    <row r="263" spans="1:44" s="677" customFormat="1">
      <c r="A263" s="679"/>
      <c r="B263" s="679"/>
      <c r="AJ263" s="686"/>
      <c r="AO263" s="690"/>
      <c r="AP263" s="690"/>
      <c r="AQ263" s="689"/>
    </row>
    <row r="264" spans="1:44" s="677" customFormat="1">
      <c r="A264" s="679"/>
      <c r="B264" s="679"/>
      <c r="AJ264" s="686"/>
      <c r="AK264" s="688"/>
      <c r="AL264" s="688"/>
      <c r="AM264" s="688"/>
      <c r="AN264" s="688"/>
      <c r="AO264" s="688"/>
      <c r="AP264" s="688"/>
      <c r="AQ264" s="695"/>
      <c r="AR264" s="688"/>
    </row>
    <row r="265" spans="1:44" s="677" customFormat="1">
      <c r="A265" s="679"/>
      <c r="B265" s="679"/>
      <c r="AJ265" s="686"/>
      <c r="AK265" s="688"/>
      <c r="AL265" s="695"/>
      <c r="AM265" s="688"/>
      <c r="AN265" s="704"/>
      <c r="AO265" s="688"/>
      <c r="AP265" s="688"/>
      <c r="AQ265" s="688"/>
      <c r="AR265" s="688"/>
    </row>
    <row r="266" spans="1:44" s="677" customFormat="1">
      <c r="A266" s="679"/>
      <c r="B266" s="679"/>
    </row>
    <row r="267" spans="1:44" s="677" customFormat="1">
      <c r="A267" s="679"/>
      <c r="B267" s="679"/>
    </row>
    <row r="268" spans="1:44" s="677" customFormat="1">
      <c r="A268" s="679"/>
      <c r="B268" s="679"/>
    </row>
    <row r="269" spans="1:44" s="677" customFormat="1">
      <c r="A269" s="679"/>
      <c r="B269" s="679"/>
      <c r="AK269" s="705"/>
      <c r="AL269" s="705"/>
      <c r="AM269" s="705"/>
    </row>
    <row r="270" spans="1:44" s="677" customFormat="1">
      <c r="A270" s="679"/>
      <c r="B270" s="679"/>
    </row>
    <row r="271" spans="1:44" s="677" customFormat="1">
      <c r="A271" s="679"/>
      <c r="B271" s="679"/>
      <c r="AK271" s="690"/>
      <c r="AL271" s="690"/>
      <c r="AM271" s="690"/>
    </row>
    <row r="272" spans="1:44" s="677" customFormat="1">
      <c r="A272" s="679"/>
      <c r="B272" s="679"/>
      <c r="AK272" s="690"/>
      <c r="AL272" s="690"/>
      <c r="AM272" s="690"/>
      <c r="AN272" s="149"/>
    </row>
    <row r="273" spans="1:40" s="677" customFormat="1">
      <c r="A273" s="679"/>
      <c r="B273" s="679"/>
      <c r="AK273" s="690"/>
      <c r="AL273" s="690"/>
      <c r="AM273" s="690"/>
      <c r="AN273" s="149"/>
    </row>
    <row r="274" spans="1:40" s="677" customFormat="1">
      <c r="A274" s="679"/>
      <c r="B274" s="679"/>
      <c r="AK274" s="690"/>
      <c r="AL274" s="690"/>
      <c r="AM274" s="690"/>
      <c r="AN274" s="149"/>
    </row>
    <row r="275" spans="1:40" s="677" customFormat="1">
      <c r="A275" s="679"/>
      <c r="B275" s="679"/>
      <c r="AK275" s="690"/>
      <c r="AL275" s="690"/>
      <c r="AM275" s="690"/>
      <c r="AN275" s="149"/>
    </row>
    <row r="276" spans="1:40" s="677" customFormat="1">
      <c r="A276" s="679"/>
      <c r="B276" s="679"/>
      <c r="AK276" s="690"/>
      <c r="AL276" s="690"/>
      <c r="AM276" s="690"/>
      <c r="AN276" s="149"/>
    </row>
    <row r="277" spans="1:40" s="677" customFormat="1">
      <c r="A277" s="679"/>
      <c r="B277" s="679"/>
      <c r="AK277" s="149"/>
      <c r="AL277" s="149"/>
      <c r="AM277" s="149"/>
    </row>
    <row r="278" spans="1:40" s="677" customFormat="1">
      <c r="A278" s="679"/>
      <c r="B278" s="679"/>
      <c r="AK278" s="149"/>
      <c r="AL278" s="149"/>
      <c r="AM278" s="149"/>
    </row>
    <row r="279" spans="1:40" s="677" customFormat="1">
      <c r="A279" s="679"/>
      <c r="B279" s="679"/>
    </row>
    <row r="280" spans="1:40" s="677" customFormat="1">
      <c r="A280" s="679"/>
      <c r="B280" s="679"/>
    </row>
  </sheetData>
  <mergeCells count="31">
    <mergeCell ref="A149:A152"/>
    <mergeCell ref="A153:A154"/>
    <mergeCell ref="A158:A161"/>
    <mergeCell ref="A70:A71"/>
    <mergeCell ref="A38:A39"/>
    <mergeCell ref="A44:A47"/>
    <mergeCell ref="A48:A49"/>
    <mergeCell ref="A56:A59"/>
    <mergeCell ref="A60:A61"/>
    <mergeCell ref="A66:A69"/>
    <mergeCell ref="A5:A8"/>
    <mergeCell ref="A9:A10"/>
    <mergeCell ref="A20:A23"/>
    <mergeCell ref="A24:A25"/>
    <mergeCell ref="A34:A37"/>
    <mergeCell ref="AK269:AM269"/>
    <mergeCell ref="A85:A88"/>
    <mergeCell ref="A89:A90"/>
    <mergeCell ref="A75:A78"/>
    <mergeCell ref="A79:A80"/>
    <mergeCell ref="A120:A121"/>
    <mergeCell ref="A128:A131"/>
    <mergeCell ref="A132:A133"/>
    <mergeCell ref="A96:A99"/>
    <mergeCell ref="A100:A101"/>
    <mergeCell ref="A106:A109"/>
    <mergeCell ref="A110:A111"/>
    <mergeCell ref="A116:A119"/>
    <mergeCell ref="A162:A163"/>
    <mergeCell ref="A140:A143"/>
    <mergeCell ref="A144:A145"/>
  </mergeCells>
  <phoneticPr fontId="2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7972-7931-403D-BC49-255E127D3867}">
  <sheetPr>
    <tabColor theme="9"/>
  </sheetPr>
  <dimension ref="A2:AU280"/>
  <sheetViews>
    <sheetView zoomScale="20" zoomScaleNormal="20" workbookViewId="0">
      <pane xSplit="3" ySplit="3" topLeftCell="D56" activePane="bottomRight" state="frozen"/>
      <selection activeCell="B152" sqref="B152"/>
      <selection pane="topRight" activeCell="B152" sqref="B152"/>
      <selection pane="bottomLeft" activeCell="B152" sqref="B152"/>
      <selection pane="bottomRight" activeCell="AJ115" sqref="AJ115"/>
    </sheetView>
  </sheetViews>
  <sheetFormatPr defaultRowHeight="14.75" outlineLevelRow="1" outlineLevelCol="1"/>
  <cols>
    <col min="1" max="1" width="42.81640625" style="1" customWidth="1"/>
    <col min="2" max="2" width="34.453125" style="1" bestFit="1" customWidth="1"/>
    <col min="3" max="3" width="10.81640625" customWidth="1"/>
    <col min="4" max="4" width="15.54296875" customWidth="1"/>
    <col min="5" max="13" width="15.54296875" hidden="1" customWidth="1" outlineLevel="1"/>
    <col min="14" max="14" width="15.54296875" customWidth="1" collapsed="1"/>
    <col min="15" max="23" width="15.54296875" hidden="1" customWidth="1" outlineLevel="1"/>
    <col min="24" max="24" width="15.54296875" customWidth="1" collapsed="1"/>
    <col min="25" max="33" width="15.54296875" hidden="1" customWidth="1" outlineLevel="1"/>
    <col min="34" max="34" width="15.54296875" customWidth="1" collapsed="1"/>
    <col min="36" max="37" width="8.81640625" bestFit="1" customWidth="1"/>
    <col min="38" max="38" width="17.7265625" bestFit="1" customWidth="1"/>
    <col min="39" max="66" width="8.81640625" bestFit="1" customWidth="1"/>
  </cols>
  <sheetData>
    <row r="2" spans="1:34" s="49" customFormat="1">
      <c r="A2" s="48" t="s">
        <v>256</v>
      </c>
      <c r="B2" s="48"/>
      <c r="C2" s="48"/>
    </row>
    <row r="3" spans="1:34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4">
      <c r="A4" s="1" t="s">
        <v>255</v>
      </c>
      <c r="C4" s="50" t="s">
        <v>1420</v>
      </c>
      <c r="D4" s="99">
        <f>'Yearly Demand - Eth-Prop'!L3</f>
        <v>5341060.7015464325</v>
      </c>
      <c r="E4" s="99">
        <f>'Yearly Demand - Eth-Prop'!M3</f>
        <v>5313864.8623622619</v>
      </c>
      <c r="F4" s="99">
        <f>'Yearly Demand - Eth-Prop'!N3</f>
        <v>5286807.5001043538</v>
      </c>
      <c r="G4" s="99">
        <f>'Yearly Demand - Eth-Prop'!O3</f>
        <v>5259887.909670027</v>
      </c>
      <c r="H4" s="99">
        <f>'Yearly Demand - Eth-Prop'!P3</f>
        <v>5233105.389546874</v>
      </c>
      <c r="I4" s="99">
        <f>'Yearly Demand - Eth-Prop'!Q3</f>
        <v>5206459.2417944744</v>
      </c>
      <c r="J4" s="99">
        <f>'Yearly Demand - Eth-Prop'!R3</f>
        <v>5177154.5047407569</v>
      </c>
      <c r="K4" s="99">
        <f>'Yearly Demand - Eth-Prop'!S3</f>
        <v>5148014.7104195002</v>
      </c>
      <c r="L4" s="99">
        <f>'Yearly Demand - Eth-Prop'!T3</f>
        <v>5119038.9304447938</v>
      </c>
      <c r="M4" s="99">
        <f>'Yearly Demand - Eth-Prop'!U3</f>
        <v>5090226.2416561795</v>
      </c>
      <c r="N4" s="99">
        <f>'Yearly Demand - Eth-Prop'!V3</f>
        <v>5061575.7260892428</v>
      </c>
      <c r="O4" s="99">
        <f>'Yearly Demand - Eth-Prop'!W3</f>
        <v>5027905.2457716037</v>
      </c>
      <c r="P4" s="99">
        <f>'Yearly Demand - Eth-Prop'!X3</f>
        <v>4994458.7473335555</v>
      </c>
      <c r="Q4" s="99">
        <f>'Yearly Demand - Eth-Prop'!Y3</f>
        <v>4961234.7408087561</v>
      </c>
      <c r="R4" s="99">
        <f>'Yearly Demand - Eth-Prop'!Z3</f>
        <v>4928231.7461423781</v>
      </c>
      <c r="S4" s="99">
        <f>'Yearly Demand - Eth-Prop'!AA3</f>
        <v>4895448.2931251777</v>
      </c>
      <c r="T4" s="99">
        <f>'Yearly Demand - Eth-Prop'!AB3</f>
        <v>4858350.7522049826</v>
      </c>
      <c r="U4" s="99">
        <f>'Yearly Demand - Eth-Prop'!AC3</f>
        <v>4821534.335190081</v>
      </c>
      <c r="V4" s="99">
        <f>'Yearly Demand - Eth-Prop'!AD3</f>
        <v>4784996.9117330648</v>
      </c>
      <c r="W4" s="99">
        <f>'Yearly Demand - Eth-Prop'!AE3</f>
        <v>4748736.3676302275</v>
      </c>
      <c r="X4" s="99">
        <f>'Yearly Demand - Eth-Prop'!AF3</f>
        <v>4712750.6046992252</v>
      </c>
      <c r="Y4" s="99">
        <f>'Yearly Demand - Eth-Prop'!AG3</f>
        <v>4673875.4659375874</v>
      </c>
      <c r="Z4" s="99">
        <f>'Yearly Demand - Eth-Prop'!AH3</f>
        <v>4635321.0053829039</v>
      </c>
      <c r="AA4" s="99">
        <f>'Yearly Demand - Eth-Prop'!AI3</f>
        <v>4597084.5777838472</v>
      </c>
      <c r="AB4" s="99">
        <f>'Yearly Demand - Eth-Prop'!AJ3</f>
        <v>4559163.559709576</v>
      </c>
      <c r="AC4" s="99">
        <f>'Yearly Demand - Eth-Prop'!AK3</f>
        <v>4521555.3493697401</v>
      </c>
      <c r="AD4" s="99">
        <f>'Yearly Demand - Eth-Prop'!AL3</f>
        <v>4482652.6072071437</v>
      </c>
      <c r="AE4" s="99">
        <f>'Yearly Demand - Eth-Prop'!AM3</f>
        <v>4444084.5780428043</v>
      </c>
      <c r="AF4" s="99">
        <f>'Yearly Demand - Eth-Prop'!AN3</f>
        <v>4405848.3820593869</v>
      </c>
      <c r="AG4" s="99">
        <f>'Yearly Demand - Eth-Prop'!AO3</f>
        <v>4367941.1642170493</v>
      </c>
      <c r="AH4" s="99">
        <f>'Yearly Demand - Eth-Prop'!AP3</f>
        <v>4330360.0940402551</v>
      </c>
    </row>
    <row r="5" spans="1:34" s="61" customFormat="1">
      <c r="A5" s="606" t="s">
        <v>608</v>
      </c>
      <c r="B5" s="54" t="s">
        <v>141</v>
      </c>
      <c r="C5" s="55" t="s">
        <v>1420</v>
      </c>
      <c r="D5" s="571">
        <f>D4*'Demand - Ethylene'!$C$6</f>
        <v>2331196</v>
      </c>
      <c r="E5" s="571">
        <f>E4*'Demand - Ethylene'!$C$6</f>
        <v>2319325.9174329876</v>
      </c>
      <c r="F5" s="571">
        <f>F4*'Demand - Ethylene'!$C$6</f>
        <v>2307516.2754553324</v>
      </c>
      <c r="G5" s="571">
        <f>G4*'Demand - Ethylene'!$C$6</f>
        <v>2295766.7663130811</v>
      </c>
      <c r="H5" s="571">
        <f>H4*'Demand - Ethylene'!$C$6</f>
        <v>2284077.0838193139</v>
      </c>
      <c r="I5" s="571">
        <f>I4*'Demand - Ethylene'!$C$6</f>
        <v>2272446.9233461674</v>
      </c>
      <c r="J5" s="571">
        <f>J4*'Demand - Ethylene'!$C$6</f>
        <v>2259656.3767453958</v>
      </c>
      <c r="K5" s="571">
        <f>K4*'Demand - Ethylene'!$C$6</f>
        <v>2246937.8221813431</v>
      </c>
      <c r="L5" s="571">
        <f>L4*'Demand - Ethylene'!$C$6</f>
        <v>2234290.8544443245</v>
      </c>
      <c r="M5" s="571">
        <f>M4*'Demand - Ethylene'!$C$6</f>
        <v>2221715.0706053926</v>
      </c>
      <c r="N5" s="571">
        <f>N4*'Demand - Ethylene'!$C$6</f>
        <v>2209210.0700035002</v>
      </c>
      <c r="O5" s="571">
        <f>O4*'Demand - Ethylene'!$C$6</f>
        <v>2194514.0211434243</v>
      </c>
      <c r="P5" s="571">
        <f>P4*'Demand - Ethylene'!$C$6</f>
        <v>2179915.7329513035</v>
      </c>
      <c r="Q5" s="571">
        <f>Q4*'Demand - Ethylene'!$C$6</f>
        <v>2165414.5551062063</v>
      </c>
      <c r="R5" s="571">
        <f>R4*'Demand - Ethylene'!$C$6</f>
        <v>2151009.8416132466</v>
      </c>
      <c r="S5" s="571">
        <f>S4*'Demand - Ethylene'!$C$6</f>
        <v>2136700.9507748112</v>
      </c>
      <c r="T5" s="571">
        <f>T4*'Demand - Ethylene'!$C$6</f>
        <v>2120509.1035303199</v>
      </c>
      <c r="U5" s="571">
        <f>U4*'Demand - Ethylene'!$C$6</f>
        <v>2104439.9575543865</v>
      </c>
      <c r="V5" s="571">
        <f>V4*'Demand - Ethylene'!$C$6</f>
        <v>2088492.5830209646</v>
      </c>
      <c r="W5" s="571">
        <f>W4*'Demand - Ethylene'!$C$6</f>
        <v>2072666.0571501984</v>
      </c>
      <c r="X5" s="571">
        <f>X4*'Demand - Ethylene'!$C$6</f>
        <v>2056959.4641550258</v>
      </c>
      <c r="Y5" s="571">
        <f>Y4*'Demand - Ethylene'!$C$6</f>
        <v>2039991.754360165</v>
      </c>
      <c r="Z5" s="571">
        <f>Z4*'Demand - Ethylene'!$C$6</f>
        <v>2023164.0099757558</v>
      </c>
      <c r="AA5" s="571">
        <f>AA4*'Demand - Ethylene'!$C$6</f>
        <v>2006475.0764372544</v>
      </c>
      <c r="AB5" s="571">
        <f>AB4*'Demand - Ethylene'!$C$6</f>
        <v>1989923.8087040356</v>
      </c>
      <c r="AC5" s="571">
        <f>AC4*'Demand - Ethylene'!$C$6</f>
        <v>1973509.0711808316</v>
      </c>
      <c r="AD5" s="571">
        <f>AD4*'Demand - Ethylene'!$C$6</f>
        <v>1956529.3134161956</v>
      </c>
      <c r="AE5" s="571">
        <f>AE4*'Demand - Ethylene'!$C$6</f>
        <v>1939695.6467833188</v>
      </c>
      <c r="AF5" s="571">
        <f>AF4*'Demand - Ethylene'!$C$6</f>
        <v>1923006.8143373684</v>
      </c>
      <c r="AG5" s="571">
        <f>AG4*'Demand - Ethylene'!$C$6</f>
        <v>1906461.5699480658</v>
      </c>
      <c r="AH5" s="571">
        <f>AH4*'Demand - Ethylene'!$C$6</f>
        <v>1890058.6782066377</v>
      </c>
    </row>
    <row r="6" spans="1:34">
      <c r="A6" s="607"/>
      <c r="B6" s="1" t="s">
        <v>18</v>
      </c>
      <c r="C6" s="50" t="s">
        <v>1420</v>
      </c>
      <c r="D6" s="183">
        <f>D4*'Demand - Ethylene'!$C$7</f>
        <v>1080464.2518371809</v>
      </c>
      <c r="E6" s="183">
        <f>E4*'Demand - Ethylene'!$C$7</f>
        <v>1074962.6981797395</v>
      </c>
      <c r="F6" s="183">
        <f>F4*'Demand - Ethylene'!$C$7</f>
        <v>1069489.1575663155</v>
      </c>
      <c r="G6" s="183">
        <f>G4*'Demand - Ethylene'!$C$7</f>
        <v>1064043.4873589037</v>
      </c>
      <c r="H6" s="183">
        <f>H4*'Demand - Ethylene'!$C$7</f>
        <v>1058625.5456457909</v>
      </c>
      <c r="I6" s="183">
        <f>I4*'Demand - Ethylene'!$C$7</f>
        <v>1053235.1912378541</v>
      </c>
      <c r="J6" s="183">
        <f>J4*'Demand - Ethylene'!$C$7</f>
        <v>1047307.0203060271</v>
      </c>
      <c r="K6" s="183">
        <f>K4*'Demand - Ethylene'!$C$7</f>
        <v>1041412.2162906206</v>
      </c>
      <c r="L6" s="183">
        <f>L4*'Demand - Ethylene'!$C$7</f>
        <v>1035550.591384784</v>
      </c>
      <c r="M6" s="183">
        <f>M4*'Demand - Ethylene'!$C$7</f>
        <v>1029721.9588387442</v>
      </c>
      <c r="N6" s="183">
        <f>N4*'Demand - Ethylene'!$C$7</f>
        <v>1023926.1329538564</v>
      </c>
      <c r="O6" s="183">
        <f>O4*'Demand - Ethylene'!$C$7</f>
        <v>1017114.7985844748</v>
      </c>
      <c r="P6" s="183">
        <f>P4*'Demand - Ethylene'!$C$7</f>
        <v>1010348.7743936289</v>
      </c>
      <c r="Q6" s="183">
        <f>Q4*'Demand - Ethylene'!$C$7</f>
        <v>1003627.7589701463</v>
      </c>
      <c r="R6" s="183">
        <f>R4*'Demand - Ethylene'!$C$7</f>
        <v>996951.45290789346</v>
      </c>
      <c r="S6" s="183">
        <f>S4*'Demand - Ethylene'!$C$7</f>
        <v>990319.55879243941</v>
      </c>
      <c r="T6" s="183">
        <f>T4*'Demand - Ethylene'!$C$7</f>
        <v>982814.95080628933</v>
      </c>
      <c r="U6" s="183">
        <f>U4*'Demand - Ethylene'!$C$7</f>
        <v>975367.2124846084</v>
      </c>
      <c r="V6" s="183">
        <f>V4*'Demand - Ethylene'!$C$7</f>
        <v>967975.91287101049</v>
      </c>
      <c r="W6" s="183">
        <f>W4*'Demand - Ethylene'!$C$7</f>
        <v>960640.62427488237</v>
      </c>
      <c r="X6" s="183">
        <f>X4*'Demand - Ethylene'!$C$7</f>
        <v>953360.92224663578</v>
      </c>
      <c r="Y6" s="183">
        <f>Y4*'Demand - Ethylene'!$C$7</f>
        <v>945496.71697651071</v>
      </c>
      <c r="Z6" s="183">
        <f>Z4*'Demand - Ethylene'!$C$7</f>
        <v>937697.38296666858</v>
      </c>
      <c r="AA6" s="183">
        <f>AA4*'Demand - Ethylene'!$C$7</f>
        <v>929962.38509877701</v>
      </c>
      <c r="AB6" s="183">
        <f>AB4*'Demand - Ethylene'!$C$7</f>
        <v>922291.19266865565</v>
      </c>
      <c r="AC6" s="183">
        <f>AC4*'Demand - Ethylene'!$C$7</f>
        <v>914683.27934986469</v>
      </c>
      <c r="AD6" s="183">
        <f>AD4*'Demand - Ethylene'!$C$7</f>
        <v>906813.49007880199</v>
      </c>
      <c r="AE6" s="183">
        <f>AE4*'Demand - Ethylene'!$C$7</f>
        <v>899011.41122135392</v>
      </c>
      <c r="AF6" s="183">
        <f>AF4*'Demand - Ethylene'!$C$7</f>
        <v>891276.46020790422</v>
      </c>
      <c r="AG6" s="183">
        <f>AG4*'Demand - Ethylene'!$C$7</f>
        <v>883608.05948117364</v>
      </c>
      <c r="AH6" s="183">
        <f>AH4*'Demand - Ethylene'!$C$7</f>
        <v>876005.6364530935</v>
      </c>
    </row>
    <row r="7" spans="1:34">
      <c r="A7" s="607"/>
      <c r="B7" s="1" t="s">
        <v>607</v>
      </c>
      <c r="C7" s="50" t="s">
        <v>1420</v>
      </c>
      <c r="D7" s="183">
        <f>D4*'Demand - Ethylene'!$C$8</f>
        <v>926112.21586044075</v>
      </c>
      <c r="E7" s="183">
        <f>E4*'Demand - Ethylene'!$C$8</f>
        <v>921396.59843977669</v>
      </c>
      <c r="F7" s="183">
        <f>F4*'Demand - Ethylene'!$C$8</f>
        <v>916704.99219969881</v>
      </c>
      <c r="G7" s="183">
        <f>G4*'Demand - Ethylene'!$C$8</f>
        <v>912037.27487906034</v>
      </c>
      <c r="H7" s="183">
        <f>H4*'Demand - Ethylene'!$C$8</f>
        <v>907393.32483924925</v>
      </c>
      <c r="I7" s="183">
        <f>I4*'Demand - Ethylene'!$C$8</f>
        <v>902773.02106101764</v>
      </c>
      <c r="J7" s="183">
        <f>J4*'Demand - Ethylene'!$C$8</f>
        <v>897691.73169088038</v>
      </c>
      <c r="K7" s="183">
        <f>K4*'Demand - Ethylene'!$C$8</f>
        <v>892639.04253481759</v>
      </c>
      <c r="L7" s="183">
        <f>L4*'Demand - Ethylene'!$C$8</f>
        <v>887614.79261552903</v>
      </c>
      <c r="M7" s="183">
        <f>M4*'Demand - Ethylene'!$C$8</f>
        <v>882618.8218617806</v>
      </c>
      <c r="N7" s="183">
        <f>N4*'Demand - Ethylene'!$C$8</f>
        <v>877650.97110330535</v>
      </c>
      <c r="O7" s="183">
        <f>O4*'Demand - Ethylene'!$C$8</f>
        <v>871812.68450097833</v>
      </c>
      <c r="P7" s="183">
        <f>P4*'Demand - Ethylene'!$C$8</f>
        <v>866013.23519453907</v>
      </c>
      <c r="Q7" s="183">
        <f>Q4*'Demand - Ethylene'!$C$8</f>
        <v>860252.36483155389</v>
      </c>
      <c r="R7" s="183">
        <f>R4*'Demand - Ethylene'!$C$8</f>
        <v>854529.81677819428</v>
      </c>
      <c r="S7" s="183">
        <f>S4*'Demand - Ethylene'!$C$8</f>
        <v>848845.33610780514</v>
      </c>
      <c r="T7" s="183">
        <f>T4*'Demand - Ethylene'!$C$8</f>
        <v>842412.81497681933</v>
      </c>
      <c r="U7" s="183">
        <f>U4*'Demand - Ethylene'!$C$8</f>
        <v>836029.03927252139</v>
      </c>
      <c r="V7" s="183">
        <f>V4*'Demand - Ethylene'!$C$8</f>
        <v>829693.63960372319</v>
      </c>
      <c r="W7" s="183">
        <f>W4*'Demand - Ethylene'!$C$8</f>
        <v>823406.24937847059</v>
      </c>
      <c r="X7" s="183">
        <f>X4*'Demand - Ethylene'!$C$8</f>
        <v>817166.5047828306</v>
      </c>
      <c r="Y7" s="183">
        <f>Y4*'Demand - Ethylene'!$C$8</f>
        <v>810425.75740843767</v>
      </c>
      <c r="Z7" s="183">
        <f>Z4*'Demand - Ethylene'!$C$8</f>
        <v>803740.61397143011</v>
      </c>
      <c r="AA7" s="183">
        <f>AA4*'Demand - Ethylene'!$C$8</f>
        <v>797110.61579895159</v>
      </c>
      <c r="AB7" s="183">
        <f>AB4*'Demand - Ethylene'!$C$8</f>
        <v>790535.30800170475</v>
      </c>
      <c r="AC7" s="183">
        <f>AC4*'Demand - Ethylene'!$C$8</f>
        <v>784014.23944274103</v>
      </c>
      <c r="AD7" s="183">
        <f>AD4*'Demand - Ethylene'!$C$8</f>
        <v>777268.70578183024</v>
      </c>
      <c r="AE7" s="183">
        <f>AE4*'Demand - Ethylene'!$C$8</f>
        <v>770581.20961830323</v>
      </c>
      <c r="AF7" s="183">
        <f>AF4*'Demand - Ethylene'!$C$8</f>
        <v>763951.25160677498</v>
      </c>
      <c r="AG7" s="183">
        <f>AG4*'Demand - Ethylene'!$C$8</f>
        <v>757378.33669814887</v>
      </c>
      <c r="AH7" s="183">
        <f>AH4*'Demand - Ethylene'!$C$8</f>
        <v>750861.97410265158</v>
      </c>
    </row>
    <row r="8" spans="1:34" s="62" customFormat="1">
      <c r="A8" s="608"/>
      <c r="B8" s="58" t="s">
        <v>27</v>
      </c>
      <c r="C8" s="233" t="s">
        <v>1420</v>
      </c>
      <c r="D8" s="528">
        <f t="shared" ref="D8:AH8" si="1">D4-SUM(D6,D5,D7)</f>
        <v>1003288.2338488111</v>
      </c>
      <c r="E8" s="528">
        <f t="shared" si="1"/>
        <v>998179.64830975793</v>
      </c>
      <c r="F8" s="528">
        <f t="shared" si="1"/>
        <v>993097.07488300744</v>
      </c>
      <c r="G8" s="528">
        <f t="shared" si="1"/>
        <v>988040.38111898117</v>
      </c>
      <c r="H8" s="528">
        <f t="shared" si="1"/>
        <v>983009.43524251971</v>
      </c>
      <c r="I8" s="528">
        <f t="shared" si="1"/>
        <v>978004.10614943504</v>
      </c>
      <c r="J8" s="528">
        <f t="shared" si="1"/>
        <v>972499.37599845324</v>
      </c>
      <c r="K8" s="528">
        <f t="shared" si="1"/>
        <v>967025.62941271905</v>
      </c>
      <c r="L8" s="528">
        <f t="shared" si="1"/>
        <v>961582.69200015627</v>
      </c>
      <c r="M8" s="528">
        <f t="shared" si="1"/>
        <v>956170.39035026217</v>
      </c>
      <c r="N8" s="528">
        <f t="shared" si="1"/>
        <v>950788.55202858103</v>
      </c>
      <c r="O8" s="528">
        <f t="shared" si="1"/>
        <v>944463.74154272629</v>
      </c>
      <c r="P8" s="528">
        <f t="shared" si="1"/>
        <v>938181.004794084</v>
      </c>
      <c r="Q8" s="528">
        <f t="shared" si="1"/>
        <v>931940.06190084945</v>
      </c>
      <c r="R8" s="528">
        <f t="shared" si="1"/>
        <v>925740.63484304398</v>
      </c>
      <c r="S8" s="528">
        <f t="shared" si="1"/>
        <v>919582.44745012186</v>
      </c>
      <c r="T8" s="528">
        <f t="shared" si="1"/>
        <v>912613.88289155392</v>
      </c>
      <c r="U8" s="528">
        <f t="shared" si="1"/>
        <v>905698.12587856501</v>
      </c>
      <c r="V8" s="528">
        <f t="shared" si="1"/>
        <v>898834.77623736626</v>
      </c>
      <c r="W8" s="528">
        <f t="shared" si="1"/>
        <v>892023.43682667613</v>
      </c>
      <c r="X8" s="528">
        <f t="shared" si="1"/>
        <v>885263.71351473313</v>
      </c>
      <c r="Y8" s="528">
        <f t="shared" si="1"/>
        <v>877961.23719247384</v>
      </c>
      <c r="Z8" s="528">
        <f t="shared" si="1"/>
        <v>870718.99846904911</v>
      </c>
      <c r="AA8" s="528">
        <f t="shared" si="1"/>
        <v>863536.50044886442</v>
      </c>
      <c r="AB8" s="528">
        <f t="shared" si="1"/>
        <v>856413.2503351802</v>
      </c>
      <c r="AC8" s="528">
        <f t="shared" si="1"/>
        <v>849348.75939630298</v>
      </c>
      <c r="AD8" s="528">
        <f t="shared" si="1"/>
        <v>842041.09793031588</v>
      </c>
      <c r="AE8" s="528">
        <f t="shared" si="1"/>
        <v>834796.31041982863</v>
      </c>
      <c r="AF8" s="528">
        <f t="shared" si="1"/>
        <v>827613.85590733914</v>
      </c>
      <c r="AG8" s="528">
        <f t="shared" si="1"/>
        <v>820493.19808966108</v>
      </c>
      <c r="AH8" s="528">
        <f t="shared" si="1"/>
        <v>813433.8052778719</v>
      </c>
    </row>
    <row r="9" spans="1:34" s="61" customFormat="1">
      <c r="A9" s="606" t="s">
        <v>609</v>
      </c>
      <c r="B9" s="54" t="s">
        <v>606</v>
      </c>
      <c r="C9" s="55" t="s">
        <v>1420</v>
      </c>
      <c r="D9" s="571">
        <f>D4*'Demand - Ethylene'!$O$14</f>
        <v>422147.26400000002</v>
      </c>
      <c r="E9" s="571">
        <f>E4*'Demand - Ethylene'!$O$14</f>
        <v>419997.75667452486</v>
      </c>
      <c r="F9" s="571">
        <f>F4*'Demand - Ethylene'!$O$14</f>
        <v>417859.19430152548</v>
      </c>
      <c r="G9" s="571">
        <f>G4*'Demand - Ethylene'!$O$14</f>
        <v>415731.5211510291</v>
      </c>
      <c r="H9" s="571">
        <f>H4*'Demand - Ethylene'!$O$14</f>
        <v>413614.68177683133</v>
      </c>
      <c r="I9" s="571">
        <f>I4*'Demand - Ethylene'!$O$14</f>
        <v>411508.62101505074</v>
      </c>
      <c r="J9" s="571">
        <f>J4*'Demand - Ethylene'!$O$14</f>
        <v>409192.43041907332</v>
      </c>
      <c r="K9" s="571">
        <f>K4*'Demand - Ethylene'!$O$14</f>
        <v>406889.27658248064</v>
      </c>
      <c r="L9" s="571">
        <f>L4*'Demand - Ethylene'!$O$14</f>
        <v>404599.08612741862</v>
      </c>
      <c r="M9" s="571">
        <f>M4*'Demand - Ethylene'!$O$14</f>
        <v>402321.78608904325</v>
      </c>
      <c r="N9" s="571">
        <f>N4*'Demand - Ethylene'!$O$14</f>
        <v>400057.30391319568</v>
      </c>
      <c r="O9" s="571">
        <f>O4*'Demand - Ethylene'!$O$14</f>
        <v>397396.05328566738</v>
      </c>
      <c r="P9" s="571">
        <f>P4*'Demand - Ethylene'!$O$14</f>
        <v>394752.50575925299</v>
      </c>
      <c r="Q9" s="571">
        <f>Q4*'Demand - Ethylene'!$O$14</f>
        <v>392126.54356985091</v>
      </c>
      <c r="R9" s="571">
        <f>R4*'Demand - Ethylene'!$O$14</f>
        <v>389518.04973674688</v>
      </c>
      <c r="S9" s="571">
        <f>S4*'Demand - Ethylene'!$O$14</f>
        <v>386926.90805740282</v>
      </c>
      <c r="T9" s="571">
        <f>T4*'Demand - Ethylene'!$O$14</f>
        <v>383994.78908784041</v>
      </c>
      <c r="U9" s="571">
        <f>U4*'Demand - Ethylene'!$O$14</f>
        <v>381084.88961625722</v>
      </c>
      <c r="V9" s="571">
        <f>V4*'Demand - Ethylene'!$O$14</f>
        <v>378197.04126405204</v>
      </c>
      <c r="W9" s="571">
        <f>W4*'Demand - Ethylene'!$O$14</f>
        <v>375331.07692859106</v>
      </c>
      <c r="X9" s="571">
        <f>X4*'Demand - Ethylene'!$O$14</f>
        <v>372486.83077353862</v>
      </c>
      <c r="Y9" s="571">
        <f>Y4*'Demand - Ethylene'!$O$14</f>
        <v>369414.21385662281</v>
      </c>
      <c r="Z9" s="571">
        <f>Z4*'Demand - Ethylene'!$O$14</f>
        <v>366366.94273434498</v>
      </c>
      <c r="AA9" s="571">
        <f>AA4*'Demand - Ethylene'!$O$14</f>
        <v>363344.80833107891</v>
      </c>
      <c r="AB9" s="571">
        <f>AB4*'Demand - Ethylene'!$O$14</f>
        <v>360347.60329584812</v>
      </c>
      <c r="AC9" s="571">
        <f>AC4*'Demand - Ethylene'!$O$14</f>
        <v>357375.12198809936</v>
      </c>
      <c r="AD9" s="571">
        <f>AD4*'Demand - Ethylene'!$O$14</f>
        <v>354300.32335095177</v>
      </c>
      <c r="AE9" s="571">
        <f>AE4*'Demand - Ethylene'!$O$14</f>
        <v>351251.97979161271</v>
      </c>
      <c r="AF9" s="571">
        <f>AF4*'Demand - Ethylene'!$O$14</f>
        <v>348229.86369480559</v>
      </c>
      <c r="AG9" s="571">
        <f>AG4*'Demand - Ethylene'!$O$14</f>
        <v>345233.74940361967</v>
      </c>
      <c r="AH9" s="571">
        <f>AH4*'Demand - Ethylene'!$O$14</f>
        <v>342263.41320266016</v>
      </c>
    </row>
    <row r="10" spans="1:34" s="62" customFormat="1">
      <c r="A10" s="608"/>
      <c r="B10" s="58" t="s">
        <v>605</v>
      </c>
      <c r="C10" s="233" t="s">
        <v>1420</v>
      </c>
      <c r="D10" s="528">
        <f>D4*'Demand - Ethylene'!$J$14</f>
        <v>381143.85015608743</v>
      </c>
      <c r="E10" s="528">
        <f>E4*'Demand - Ethylene'!$J$14</f>
        <v>379203.12575056264</v>
      </c>
      <c r="F10" s="528">
        <f>F4*'Demand - Ethylene'!$J$14</f>
        <v>377272.28320779558</v>
      </c>
      <c r="G10" s="528">
        <f>G4*'Demand - Ethylene'!$J$14</f>
        <v>375351.27221089869</v>
      </c>
      <c r="H10" s="528">
        <f>H4*'Demand - Ethylene'!$J$14</f>
        <v>373440.04269919032</v>
      </c>
      <c r="I10" s="528">
        <f>I4*'Demand - Ethylene'!$J$14</f>
        <v>371538.54486688954</v>
      </c>
      <c r="J10" s="528">
        <f>J4*'Demand - Ethylene'!$J$14</f>
        <v>369447.32723567414</v>
      </c>
      <c r="K10" s="528">
        <f>K4*'Demand - Ethylene'!$J$14</f>
        <v>367367.880095681</v>
      </c>
      <c r="L10" s="528">
        <f>L4*'Demand - Ethylene'!$J$14</f>
        <v>365300.13719629071</v>
      </c>
      <c r="M10" s="528">
        <f>M4*'Demand - Ethylene'!$J$14</f>
        <v>363244.03265977761</v>
      </c>
      <c r="N10" s="528">
        <f>N4*'Demand - Ethylene'!$J$14</f>
        <v>361199.5009792113</v>
      </c>
      <c r="O10" s="528">
        <f>O4*'Demand - Ethylene'!$J$14</f>
        <v>358796.73920173256</v>
      </c>
      <c r="P10" s="528">
        <f>P4*'Demand - Ethylene'!$J$14</f>
        <v>356409.96101266867</v>
      </c>
      <c r="Q10" s="528">
        <f>Q4*'Demand - Ethylene'!$J$14</f>
        <v>354039.06008641509</v>
      </c>
      <c r="R10" s="528">
        <f>R4*'Demand - Ethylene'!$J$14</f>
        <v>351683.93080466363</v>
      </c>
      <c r="S10" s="528">
        <f>S4*'Demand - Ethylene'!$J$14</f>
        <v>349344.46825169749</v>
      </c>
      <c r="T10" s="528">
        <f>T4*'Demand - Ethylene'!$J$14</f>
        <v>346697.14773471619</v>
      </c>
      <c r="U10" s="528">
        <f>U4*'Demand - Ethylene'!$J$14</f>
        <v>344069.88852271199</v>
      </c>
      <c r="V10" s="528">
        <f>V4*'Demand - Ethylene'!$J$14</f>
        <v>341462.53859179688</v>
      </c>
      <c r="W10" s="528">
        <f>W4*'Demand - Ethylene'!$J$14</f>
        <v>338874.94707011495</v>
      </c>
      <c r="X10" s="528">
        <f>X4*'Demand - Ethylene'!$J$14</f>
        <v>336306.96422911197</v>
      </c>
      <c r="Y10" s="528">
        <f>Y4*'Demand - Ethylene'!$J$14</f>
        <v>333532.79241363856</v>
      </c>
      <c r="Z10" s="528">
        <f>Z4*'Demand - Ethylene'!$J$14</f>
        <v>330781.50454075437</v>
      </c>
      <c r="AA10" s="528">
        <f>AA4*'Demand - Ethylene'!$J$14</f>
        <v>328052.91184247268</v>
      </c>
      <c r="AB10" s="528">
        <f>AB4*'Demand - Ethylene'!$J$14</f>
        <v>325346.82710794016</v>
      </c>
      <c r="AC10" s="528">
        <f>AC4*'Demand - Ethylene'!$J$14</f>
        <v>322663.06467059231</v>
      </c>
      <c r="AD10" s="528">
        <f>AD4*'Demand - Ethylene'!$J$14</f>
        <v>319886.92304666573</v>
      </c>
      <c r="AE10" s="528">
        <f>AE4*'Demand - Ethylene'!$J$14</f>
        <v>317134.66690316744</v>
      </c>
      <c r="AF10" s="528">
        <f>AF4*'Demand - Ethylene'!$J$14</f>
        <v>314406.09073322744</v>
      </c>
      <c r="AG10" s="528">
        <f>AG4*'Demand - Ethylene'!$J$14</f>
        <v>311700.99079812452</v>
      </c>
      <c r="AH10" s="528">
        <f>AH4*'Demand - Ethylene'!$J$14</f>
        <v>309019.16511207266</v>
      </c>
    </row>
    <row r="11" spans="1:34"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54" t="s">
        <v>259</v>
      </c>
      <c r="B12" s="54" t="s">
        <v>179</v>
      </c>
      <c r="C12" s="55" t="s">
        <v>1420</v>
      </c>
      <c r="D12" s="571">
        <f>'R&amp;S - Transportation'!D4</f>
        <v>582875.6940607368</v>
      </c>
      <c r="E12" s="571">
        <f>D12*(1+'R&amp;S - Transportation'!$B$5)</f>
        <v>592784.58085976925</v>
      </c>
      <c r="F12" s="571">
        <f>E12*(1+'R&amp;S - Transportation'!$B$5)</f>
        <v>602861.91873438528</v>
      </c>
      <c r="G12" s="571">
        <f>F12*(1+'R&amp;S - Transportation'!$B$5)</f>
        <v>613110.57135286974</v>
      </c>
      <c r="H12" s="571">
        <f>G12*(1+'R&amp;S - Transportation'!$B$5)</f>
        <v>623533.45106586849</v>
      </c>
      <c r="I12" s="571">
        <f>H12*(1+'R&amp;S - Transportation'!$B$5)</f>
        <v>634133.51973398821</v>
      </c>
      <c r="J12" s="571">
        <f>I12*(1+'R&amp;S - Transportation'!$B$5)</f>
        <v>644913.78956946591</v>
      </c>
      <c r="K12" s="571">
        <f>J12*(1+'R&amp;S - Transportation'!$B$5)</f>
        <v>655877.32399214676</v>
      </c>
      <c r="L12" s="571">
        <f>K12*(1+'R&amp;S - Transportation'!$B$5)</f>
        <v>667027.23850001325</v>
      </c>
      <c r="M12" s="571">
        <f>L12*(1+'R&amp;S - Transportation'!$B$5)</f>
        <v>678366.70155451342</v>
      </c>
      <c r="N12" s="571">
        <f>M12*(1+'R&amp;S - Transportation'!$B$5)</f>
        <v>689898.93548094004</v>
      </c>
      <c r="O12" s="571">
        <f>N12*(1+'R&amp;S - Transportation'!$B$5)</f>
        <v>701627.21738411591</v>
      </c>
      <c r="P12" s="571">
        <f>O12*(1+'R&amp;S - Transportation'!$B$5)</f>
        <v>713554.88007964578</v>
      </c>
      <c r="Q12" s="571">
        <f>P12*(1+'R&amp;S - Transportation'!$B$5)</f>
        <v>725685.3130409997</v>
      </c>
      <c r="R12" s="571">
        <f>Q12*(1+'R&amp;S - Transportation'!$B$5)</f>
        <v>738021.96336269658</v>
      </c>
      <c r="S12" s="571">
        <f>R12*(1+'R&amp;S - Transportation'!$B$5)</f>
        <v>750568.33673986234</v>
      </c>
      <c r="T12" s="571">
        <f>S12*(1+'R&amp;S - Transportation'!$B$5)</f>
        <v>763327.99846443988</v>
      </c>
      <c r="U12" s="571">
        <f>T12*(1+'R&amp;S - Transportation'!$B$5)</f>
        <v>776304.57443833526</v>
      </c>
      <c r="V12" s="571">
        <f>U12*(1+'R&amp;S - Transportation'!$B$5)</f>
        <v>789501.75220378686</v>
      </c>
      <c r="W12" s="571">
        <f>V12*(1+'R&amp;S - Transportation'!$B$5)</f>
        <v>802923.28199125116</v>
      </c>
      <c r="X12" s="571">
        <f>W12*(1+'R&amp;S - Transportation'!$B$5)</f>
        <v>816572.97778510232</v>
      </c>
      <c r="Y12" s="571">
        <f>X12*(1+'R&amp;S - Transportation'!$B$5)</f>
        <v>830454.71840744896</v>
      </c>
      <c r="Z12" s="571">
        <f>Y12*(1+'R&amp;S - Transportation'!$B$5)</f>
        <v>844572.44862037548</v>
      </c>
      <c r="AA12" s="571">
        <f>Z12*(1+'R&amp;S - Transportation'!$B$5)</f>
        <v>858930.18024692184</v>
      </c>
      <c r="AB12" s="571">
        <f>AA12*(1+'R&amp;S - Transportation'!$B$5)</f>
        <v>873531.99331111938</v>
      </c>
      <c r="AC12" s="571">
        <f>AB12*(1+'R&amp;S - Transportation'!$B$5)</f>
        <v>888382.03719740838</v>
      </c>
      <c r="AD12" s="571">
        <f>AC12*(1+'R&amp;S - Transportation'!$B$5)</f>
        <v>903484.53182976425</v>
      </c>
      <c r="AE12" s="571">
        <f>AD12*(1+'R&amp;S - Transportation'!$B$5)</f>
        <v>918843.76887087012</v>
      </c>
      <c r="AF12" s="571">
        <f>AE12*(1+'R&amp;S - Transportation'!$B$5)</f>
        <v>934464.11294167477</v>
      </c>
      <c r="AG12" s="571">
        <f>AF12*(1+'R&amp;S - Transportation'!$B$5)</f>
        <v>950350.00286168314</v>
      </c>
      <c r="AH12" s="571">
        <f>AG12*(1+'R&amp;S - Transportation'!$B$5)</f>
        <v>966505.95291033166</v>
      </c>
    </row>
    <row r="13" spans="1:34" outlineLevel="1">
      <c r="B13" s="1" t="s">
        <v>180</v>
      </c>
      <c r="C13" s="50" t="s">
        <v>1420</v>
      </c>
      <c r="D13" s="183">
        <v>0</v>
      </c>
      <c r="E13" s="183">
        <f>E12*('R&amp;S - Transportation'!$B$8*'R&amp;S - Transportation'!$C$19*('Yearly LC Ethylene'!E3-'Yearly LC Ethylene'!$D$3)/10)</f>
        <v>592.78458085976945</v>
      </c>
      <c r="F13" s="183">
        <f>F12*('R&amp;S - Transportation'!$B$8*'R&amp;S - Transportation'!$C$19*('Yearly LC Ethylene'!F3-'Yearly LC Ethylene'!$D$3)/10)</f>
        <v>1205.7238374687709</v>
      </c>
      <c r="G13" s="183">
        <f>G12*('R&amp;S - Transportation'!$B$8*'R&amp;S - Transportation'!$C$19*('Yearly LC Ethylene'!G3-'Yearly LC Ethylene'!$D$3)/10)</f>
        <v>1839.3317140586096</v>
      </c>
      <c r="H13" s="183">
        <f>H12*('R&amp;S - Transportation'!$B$8*'R&amp;S - Transportation'!$C$19*('Yearly LC Ethylene'!H3-'Yearly LC Ethylene'!$D$3)/10)</f>
        <v>2494.1338042634748</v>
      </c>
      <c r="I13" s="183">
        <f>I12*('R&amp;S - Transportation'!$B$8*'R&amp;S - Transportation'!$C$19*('Yearly LC Ethylene'!I3-'Yearly LC Ethylene'!$D$3)/10)</f>
        <v>3170.6675986699415</v>
      </c>
      <c r="J13" s="183">
        <f>J12*('R&amp;S - Transportation'!$B$8*'R&amp;S - Transportation'!$C$19*('Yearly LC Ethylene'!J3-'Yearly LC Ethylene'!$D$3)/10)</f>
        <v>3869.4827374167962</v>
      </c>
      <c r="K13" s="183">
        <f>K12*('R&amp;S - Transportation'!$B$8*'R&amp;S - Transportation'!$C$19*('Yearly LC Ethylene'!K3-'Yearly LC Ethylene'!$D$3)/10)</f>
        <v>4591.1412679450277</v>
      </c>
      <c r="L13" s="183">
        <f>L12*('R&amp;S - Transportation'!$B$8*'R&amp;S - Transportation'!$C$19*('Yearly LC Ethylene'!L3-'Yearly LC Ethylene'!$D$3)/10)</f>
        <v>5336.2179080001069</v>
      </c>
      <c r="M13" s="183">
        <f>M12*('R&amp;S - Transportation'!$B$8*'R&amp;S - Transportation'!$C$19*('Yearly LC Ethylene'!M3-'Yearly LC Ethylene'!$D$3)/10)</f>
        <v>6105.3003139906223</v>
      </c>
      <c r="N13" s="183">
        <f>N12*('R&amp;S - Transportation'!$B$8*'R&amp;S - Transportation'!$C$19*('Yearly LC Ethylene'!N3-'Yearly LC Ethylene'!$D$3)/10)</f>
        <v>6898.9893548094014</v>
      </c>
      <c r="O13" s="183">
        <f>O12*('R&amp;S - Transportation'!$B$8*('R&amp;S - Transportation'!$C$19+('R&amp;S - Transportation'!$C$20-'R&amp;S - Transportation'!$C$19)*('Yearly LC Ethylene'!O3-'Yearly LC Ethylene'!$N$3)/10))</f>
        <v>9822.7810433776249</v>
      </c>
      <c r="P13" s="183">
        <f>P12*('R&amp;S - Transportation'!$B$8*('R&amp;S - Transportation'!$C$19+('R&amp;S - Transportation'!$C$20-'R&amp;S - Transportation'!$C$19)*('Yearly LC Ethylene'!P3-'Yearly LC Ethylene'!$N$3)/10))</f>
        <v>12843.987841433624</v>
      </c>
      <c r="Q13" s="183">
        <f>Q12*('R&amp;S - Transportation'!$B$8*('R&amp;S - Transportation'!$C$19+('R&amp;S - Transportation'!$C$20-'R&amp;S - Transportation'!$C$19)*('Yearly LC Ethylene'!Q3-'Yearly LC Ethylene'!$N$3)/10))</f>
        <v>15965.076886901998</v>
      </c>
      <c r="R13" s="183">
        <f>R12*('R&amp;S - Transportation'!$B$8*('R&amp;S - Transportation'!$C$19+('R&amp;S - Transportation'!$C$20-'R&amp;S - Transportation'!$C$19)*('Yearly LC Ethylene'!R3-'Yearly LC Ethylene'!$N$3)/10))</f>
        <v>19188.571047430112</v>
      </c>
      <c r="S13" s="183">
        <f>S12*('R&amp;S - Transportation'!$B$8*('R&amp;S - Transportation'!$C$19+('R&amp;S - Transportation'!$C$20-'R&amp;S - Transportation'!$C$19)*('Yearly LC Ethylene'!S3-'Yearly LC Ethylene'!$N$3)/10))</f>
        <v>22517.050102195873</v>
      </c>
      <c r="T13" s="183">
        <f>T12*('R&amp;S - Transportation'!$B$8*('R&amp;S - Transportation'!$C$19+('R&amp;S - Transportation'!$C$20-'R&amp;S - Transportation'!$C$19)*('Yearly LC Ethylene'!T3-'Yearly LC Ethylene'!$N$3)/10))</f>
        <v>25953.151947790964</v>
      </c>
      <c r="U13" s="183">
        <f>U12*('R&amp;S - Transportation'!$B$8*('R&amp;S - Transportation'!$C$19+('R&amp;S - Transportation'!$C$20-'R&amp;S - Transportation'!$C$19)*('Yearly LC Ethylene'!U3-'Yearly LC Ethylene'!$N$3)/10))</f>
        <v>29499.573828656743</v>
      </c>
      <c r="V13" s="183">
        <f>V12*('R&amp;S - Transportation'!$B$8*('R&amp;S - Transportation'!$C$19+('R&amp;S - Transportation'!$C$20-'R&amp;S - Transportation'!$C$19)*('Yearly LC Ethylene'!V3-'Yearly LC Ethylene'!$N$3)/10))</f>
        <v>33159.073592559056</v>
      </c>
      <c r="W13" s="183">
        <f>W12*('R&amp;S - Transportation'!$B$8*('R&amp;S - Transportation'!$C$19+('R&amp;S - Transportation'!$C$20-'R&amp;S - Transportation'!$C$19)*('Yearly LC Ethylene'!W3-'Yearly LC Ethylene'!$N$3)/10))</f>
        <v>36934.470971597555</v>
      </c>
      <c r="X13" s="183">
        <f>X12*('R&amp;S - Transportation'!$B$8*('R&amp;S - Transportation'!$C$19+('R&amp;S - Transportation'!$C$20-'R&amp;S - Transportation'!$C$19)*('Yearly LC Ethylene'!X3-'Yearly LC Ethylene'!$N$3)/10))</f>
        <v>40828.648889255121</v>
      </c>
      <c r="Y13" s="183">
        <f>Y12*('R&amp;S - Transportation'!$B$8*('R&amp;S - Transportation'!$C$20+('R&amp;S - Transportation'!$C$21-'R&amp;S - Transportation'!$C$20)*('Yearly LC Ethylene'!Y3-'Yearly LC Ethylene'!$X$3)/10))</f>
        <v>45675.009512409699</v>
      </c>
      <c r="Z13" s="183">
        <f>Z12*('R&amp;S - Transportation'!$B$8*('R&amp;S - Transportation'!$C$20+('R&amp;S - Transportation'!$C$21-'R&amp;S - Transportation'!$C$20)*('Yearly LC Ethylene'!Z3-'Yearly LC Ethylene'!$X$3)/10))</f>
        <v>50674.34691722253</v>
      </c>
      <c r="AA13" s="183">
        <f>AA12*('R&amp;S - Transportation'!$B$8*('R&amp;S - Transportation'!$C$20+('R&amp;S - Transportation'!$C$21-'R&amp;S - Transportation'!$C$20)*('Yearly LC Ethylene'!AA3-'Yearly LC Ethylene'!$X$3)/10))</f>
        <v>55830.461716049918</v>
      </c>
      <c r="AB13" s="183">
        <f>AB12*('R&amp;S - Transportation'!$B$8*('R&amp;S - Transportation'!$C$20+('R&amp;S - Transportation'!$C$21-'R&amp;S - Transportation'!$C$20)*('Yearly LC Ethylene'!AB3-'Yearly LC Ethylene'!$X$3)/10))</f>
        <v>61147.239531778352</v>
      </c>
      <c r="AC13" s="183">
        <f>AC12*('R&amp;S - Transportation'!$B$8*('R&amp;S - Transportation'!$C$20+('R&amp;S - Transportation'!$C$21-'R&amp;S - Transportation'!$C$20)*('Yearly LC Ethylene'!AC3-'Yearly LC Ethylene'!$X$3)/10))</f>
        <v>66628.652789805637</v>
      </c>
      <c r="AD13" s="183">
        <f>AD12*('R&amp;S - Transportation'!$B$8*('R&amp;S - Transportation'!$C$20+('R&amp;S - Transportation'!$C$21-'R&amp;S - Transportation'!$C$20)*('Yearly LC Ethylene'!AD3-'Yearly LC Ethylene'!$X$3)/10))</f>
        <v>72278.762546381156</v>
      </c>
      <c r="AE13" s="183">
        <f>AE12*('R&amp;S - Transportation'!$B$8*('R&amp;S - Transportation'!$C$20+('R&amp;S - Transportation'!$C$21-'R&amp;S - Transportation'!$C$20)*('Yearly LC Ethylene'!AE3-'Yearly LC Ethylene'!$X$3)/10))</f>
        <v>78101.720354023972</v>
      </c>
      <c r="AF13" s="183">
        <f>AF12*('R&amp;S - Transportation'!$B$8*('R&amp;S - Transportation'!$C$20+('R&amp;S - Transportation'!$C$21-'R&amp;S - Transportation'!$C$20)*('Yearly LC Ethylene'!AF3-'Yearly LC Ethylene'!$X$3)/10))</f>
        <v>84101.770164750735</v>
      </c>
      <c r="AG13" s="183">
        <f>AG12*('R&amp;S - Transportation'!$B$8*('R&amp;S - Transportation'!$C$20+('R&amp;S - Transportation'!$C$21-'R&amp;S - Transportation'!$C$20)*('Yearly LC Ethylene'!AG3-'Yearly LC Ethylene'!$X$3)/10))</f>
        <v>90283.250271859899</v>
      </c>
      <c r="AH13" s="183">
        <f>AH12*('R&amp;S - Transportation'!$B$8*('R&amp;S - Transportation'!$C$20+('R&amp;S - Transportation'!$C$21-'R&amp;S - Transportation'!$C$20)*('Yearly LC Ethylene'!AH3-'Yearly LC Ethylene'!$X$3)/10))</f>
        <v>96650.595291033169</v>
      </c>
    </row>
    <row r="14" spans="1:34" outlineLevel="1">
      <c r="B14" s="1" t="s">
        <v>181</v>
      </c>
      <c r="C14" s="50" t="s">
        <v>1420</v>
      </c>
      <c r="D14" s="183">
        <f>SUM(D12:D13)</f>
        <v>582875.6940607368</v>
      </c>
      <c r="E14" s="183">
        <f t="shared" ref="E14:AG14" si="2">SUM(E12:E13)</f>
        <v>593377.36544062907</v>
      </c>
      <c r="F14" s="183">
        <f t="shared" si="2"/>
        <v>604067.64257185406</v>
      </c>
      <c r="G14" s="183">
        <f t="shared" si="2"/>
        <v>614949.90306692838</v>
      </c>
      <c r="H14" s="183">
        <f t="shared" si="2"/>
        <v>626027.58487013192</v>
      </c>
      <c r="I14" s="183">
        <f t="shared" si="2"/>
        <v>637304.18733265821</v>
      </c>
      <c r="J14" s="183">
        <f t="shared" si="2"/>
        <v>648783.27230688266</v>
      </c>
      <c r="K14" s="183">
        <f t="shared" si="2"/>
        <v>660468.46526009182</v>
      </c>
      <c r="L14" s="183">
        <f t="shared" si="2"/>
        <v>672363.45640801336</v>
      </c>
      <c r="M14" s="183">
        <f t="shared" si="2"/>
        <v>684472.0018685041</v>
      </c>
      <c r="N14" s="183">
        <f>SUM(N12:N13)</f>
        <v>696797.92483574944</v>
      </c>
      <c r="O14" s="183">
        <f t="shared" si="2"/>
        <v>711449.9984274935</v>
      </c>
      <c r="P14" s="183">
        <f t="shared" si="2"/>
        <v>726398.86792107939</v>
      </c>
      <c r="Q14" s="183">
        <f t="shared" si="2"/>
        <v>741650.38992790168</v>
      </c>
      <c r="R14" s="183">
        <f t="shared" si="2"/>
        <v>757210.53441012674</v>
      </c>
      <c r="S14" s="183">
        <f t="shared" si="2"/>
        <v>773085.38684205816</v>
      </c>
      <c r="T14" s="183">
        <f t="shared" si="2"/>
        <v>789281.15041223087</v>
      </c>
      <c r="U14" s="183">
        <f t="shared" si="2"/>
        <v>805804.14826699195</v>
      </c>
      <c r="V14" s="183">
        <f t="shared" si="2"/>
        <v>822660.82579634595</v>
      </c>
      <c r="W14" s="183">
        <f t="shared" si="2"/>
        <v>839857.75296284875</v>
      </c>
      <c r="X14" s="183">
        <f t="shared" si="2"/>
        <v>857401.62667435745</v>
      </c>
      <c r="Y14" s="183">
        <f t="shared" si="2"/>
        <v>876129.72791985865</v>
      </c>
      <c r="Z14" s="183">
        <f t="shared" si="2"/>
        <v>895246.79553759797</v>
      </c>
      <c r="AA14" s="183">
        <f t="shared" si="2"/>
        <v>914760.64196297177</v>
      </c>
      <c r="AB14" s="183">
        <f t="shared" si="2"/>
        <v>934679.23284289776</v>
      </c>
      <c r="AC14" s="183">
        <f t="shared" si="2"/>
        <v>955010.68998721405</v>
      </c>
      <c r="AD14" s="183">
        <f t="shared" si="2"/>
        <v>975763.29437614535</v>
      </c>
      <c r="AE14" s="183">
        <f t="shared" si="2"/>
        <v>996945.48922489409</v>
      </c>
      <c r="AF14" s="183">
        <f t="shared" si="2"/>
        <v>1018565.8831064255</v>
      </c>
      <c r="AG14" s="183">
        <f t="shared" si="2"/>
        <v>1040633.2531335431</v>
      </c>
      <c r="AH14" s="183">
        <f>SUM(AH12:AH13)</f>
        <v>1063156.5482013649</v>
      </c>
    </row>
    <row r="15" spans="1:34" outlineLevel="1">
      <c r="B15" s="57" t="s">
        <v>134</v>
      </c>
      <c r="C15" s="50" t="s">
        <v>1420</v>
      </c>
      <c r="D15" s="183">
        <v>0</v>
      </c>
      <c r="E15" s="183">
        <f>E14*'R&amp;S - Transportation'!$B$16*('R&amp;S - Transportation'!$B$10*'R&amp;S - Transportation'!$B$19*('Yearly LC Ethylene'!E$3-'Yearly LC Ethylene'!$D$3)/10)</f>
        <v>979.07265297703793</v>
      </c>
      <c r="F15" s="183">
        <f>F14*'R&amp;S - Transportation'!$B$16*('R&amp;S - Transportation'!$B$10*'R&amp;S - Transportation'!$B$19*('Yearly LC Ethylene'!F$3-'Yearly LC Ethylene'!$D$3)/10)</f>
        <v>1993.4232204871184</v>
      </c>
      <c r="G15" s="183">
        <f>G14*'R&amp;S - Transportation'!$B$16*('R&amp;S - Transportation'!$B$10*'R&amp;S - Transportation'!$B$19*('Yearly LC Ethylene'!G$3-'Yearly LC Ethylene'!$D$3)/10)</f>
        <v>3044.0020201812958</v>
      </c>
      <c r="H15" s="183">
        <f>H14*'R&amp;S - Transportation'!$B$16*('R&amp;S - Transportation'!$B$10*'R&amp;S - Transportation'!$B$19*('Yearly LC Ethylene'!H$3-'Yearly LC Ethylene'!$D$3)/10)</f>
        <v>4131.7820601428703</v>
      </c>
      <c r="I15" s="183">
        <f>I14*'R&amp;S - Transportation'!$B$16*('R&amp;S - Transportation'!$B$10*'R&amp;S - Transportation'!$B$19*('Yearly LC Ethylene'!I$3-'Yearly LC Ethylene'!$D$3)/10)</f>
        <v>5257.7595454944303</v>
      </c>
      <c r="J15" s="183">
        <f>J14*'R&amp;S - Transportation'!$B$16*('R&amp;S - Transportation'!$B$10*'R&amp;S - Transportation'!$B$19*('Yearly LC Ethylene'!J$3-'Yearly LC Ethylene'!$D$3)/10)</f>
        <v>6422.9543958381391</v>
      </c>
      <c r="K15" s="183">
        <f>K14*'R&amp;S - Transportation'!$B$16*('R&amp;S - Transportation'!$B$10*'R&amp;S - Transportation'!$B$19*('Yearly LC Ethylene'!K$3-'Yearly LC Ethylene'!$D$3)/10)</f>
        <v>7628.4107737540617</v>
      </c>
      <c r="L15" s="183">
        <f>L14*'R&amp;S - Transportation'!$B$16*('R&amp;S - Transportation'!$B$10*'R&amp;S - Transportation'!$B$19*('Yearly LC Ethylene'!L$3-'Yearly LC Ethylene'!$D$3)/10)</f>
        <v>8875.1976245857768</v>
      </c>
      <c r="M15" s="183">
        <f>M14*'R&amp;S - Transportation'!$B$16*('R&amp;S - Transportation'!$B$10*'R&amp;S - Transportation'!$B$19*('Yearly LC Ethylene'!M$3-'Yearly LC Ethylene'!$D$3)/10)</f>
        <v>10164.409227747286</v>
      </c>
      <c r="N15" s="183">
        <f>N14*'R&amp;S - Transportation'!$B$16*('R&amp;S - Transportation'!$B$10*'R&amp;S - Transportation'!$B$19*('Yearly LC Ethylene'!N$3-'Yearly LC Ethylene'!$D$3)/10)</f>
        <v>11497.165759789867</v>
      </c>
      <c r="O15" s="183">
        <f>O14*'R&amp;S - Transportation'!$B$16*('R&amp;S - Transportation'!$B$10*('R&amp;S - Transportation'!$B$19+('R&amp;S - Transportation'!$B$20-'R&amp;S - Transportation'!$B$19)*('Yearly LC Ethylene'!O3-'Yearly LC Ethylene'!$N$3)/10))</f>
        <v>15260.602466269736</v>
      </c>
      <c r="P15" s="183">
        <f>P14*'R&amp;S - Transportation'!$B$16*('R&amp;S - Transportation'!$B$10*('R&amp;S - Transportation'!$B$19+('R&amp;S - Transportation'!$B$20-'R&amp;S - Transportation'!$B$19)*('Yearly LC Ethylene'!P3-'Yearly LC Ethylene'!$N$3)/10))</f>
        <v>19176.930113116501</v>
      </c>
      <c r="Q15" s="183">
        <f>Q14*'R&amp;S - Transportation'!$B$16*('R&amp;S - Transportation'!$B$10*('R&amp;S - Transportation'!$B$19+('R&amp;S - Transportation'!$B$20-'R&amp;S - Transportation'!$B$19)*('Yearly LC Ethylene'!Q3-'Yearly LC Ethylene'!$N$3)/10))</f>
        <v>23250.73972423972</v>
      </c>
      <c r="R15" s="183">
        <f>R14*'R&amp;S - Transportation'!$B$16*('R&amp;S - Transportation'!$B$10*('R&amp;S - Transportation'!$B$19+('R&amp;S - Transportation'!$B$20-'R&amp;S - Transportation'!$B$19)*('Yearly LC Ethylene'!R3-'Yearly LC Ethylene'!$N$3)/10))</f>
        <v>27486.742399087605</v>
      </c>
      <c r="S15" s="183">
        <f>S14*'R&amp;S - Transportation'!$B$16*('R&amp;S - Transportation'!$B$10*('R&amp;S - Transportation'!$B$19+('R&amp;S - Transportation'!$B$20-'R&amp;S - Transportation'!$B$19)*('Yearly LC Ethylene'!S3-'Yearly LC Ethylene'!$N$3)/10))</f>
        <v>31889.772207234899</v>
      </c>
      <c r="T15" s="183">
        <f>T14*'R&amp;S - Transportation'!$B$16*('R&amp;S - Transportation'!$B$10*('R&amp;S - Transportation'!$B$19+('R&amp;S - Transportation'!$B$20-'R&amp;S - Transportation'!$B$19)*('Yearly LC Ethylene'!T3-'Yearly LC Ethylene'!$N$3)/10))</f>
        <v>36464.789149045071</v>
      </c>
      <c r="U15" s="183">
        <f>U14*'R&amp;S - Transportation'!$B$16*('R&amp;S - Transportation'!$B$10*('R&amp;S - Transportation'!$B$19+('R&amp;S - Transportation'!$B$20-'R&amp;S - Transportation'!$B$19)*('Yearly LC Ethylene'!U3-'Yearly LC Ethylene'!$N$3)/10))</f>
        <v>41216.882183856644</v>
      </c>
      <c r="V15" s="183">
        <f>V14*'R&amp;S - Transportation'!$B$16*('R&amp;S - Transportation'!$B$10*('R&amp;S - Transportation'!$B$19+('R&amp;S - Transportation'!$B$20-'R&amp;S - Transportation'!$B$19)*('Yearly LC Ethylene'!V3-'Yearly LC Ethylene'!$N$3)/10))</f>
        <v>46151.272327175022</v>
      </c>
      <c r="W15" s="183">
        <f>W14*'R&amp;S - Transportation'!$B$16*('R&amp;S - Transportation'!$B$10*('R&amp;S - Transportation'!$B$19+('R&amp;S - Transportation'!$B$20-'R&amp;S - Transportation'!$B$19)*('Yearly LC Ethylene'!W3-'Yearly LC Ethylene'!$N$3)/10))</f>
        <v>51273.315818381918</v>
      </c>
      <c r="X15" s="183">
        <f>X14*'R&amp;S - Transportation'!$B$16*('R&amp;S - Transportation'!$B$10*('R&amp;S - Transportation'!$B$19+('R&amp;S - Transportation'!$B$20-'R&amp;S - Transportation'!$B$19)*('Yearly LC Ethylene'!X3-'Yearly LC Ethylene'!$N$3)/10))</f>
        <v>56588.507360507596</v>
      </c>
      <c r="Y15" s="183">
        <f>Y14*'R&amp;S - Transportation'!$B$16*('R&amp;S - Transportation'!$B$10*('R&amp;S - Transportation'!$B$20+('R&amp;S - Transportation'!$B$21-'R&amp;S - Transportation'!$B$20)*('Yearly LC Ethylene'!Y3-'Yearly LC Ethylene'!$X$3)/10))</f>
        <v>66498.246349117282</v>
      </c>
      <c r="Z15" s="183">
        <f>Z14*'R&amp;S - Transportation'!$B$16*('R&amp;S - Transportation'!$B$10*('R&amp;S - Transportation'!$B$20+('R&amp;S - Transportation'!$B$21-'R&amp;S - Transportation'!$B$20)*('Yearly LC Ethylene'!Z3-'Yearly LC Ethylene'!$X$3)/10))</f>
        <v>76812.175057125904</v>
      </c>
      <c r="AA15" s="183">
        <f>AA14*'R&amp;S - Transportation'!$B$16*('R&amp;S - Transportation'!$B$10*('R&amp;S - Transportation'!$B$20+('R&amp;S - Transportation'!$B$21-'R&amp;S - Transportation'!$B$20)*('Yearly LC Ethylene'!AA3-'Yearly LC Ethylene'!$X$3)/10))</f>
        <v>87542.593435856412</v>
      </c>
      <c r="AB15" s="183">
        <f>AB14*'R&amp;S - Transportation'!$B$16*('R&amp;S - Transportation'!$B$10*('R&amp;S - Transportation'!$B$20+('R&amp;S - Transportation'!$B$21-'R&amp;S - Transportation'!$B$20)*('Yearly LC Ethylene'!AB3-'Yearly LC Ethylene'!$X$3)/10))</f>
        <v>98702.126988210017</v>
      </c>
      <c r="AC15" s="183">
        <f>AC14*'R&amp;S - Transportation'!$B$16*('R&amp;S - Transportation'!$B$10*('R&amp;S - Transportation'!$B$20+('R&amp;S - Transportation'!$B$21-'R&amp;S - Transportation'!$B$20)*('Yearly LC Ethylene'!AC3-'Yearly LC Ethylene'!$X$3)/10))</f>
        <v>110303.73469352322</v>
      </c>
      <c r="AD15" s="183">
        <f>AD14*'R&amp;S - Transportation'!$B$16*('R&amp;S - Transportation'!$B$10*('R&amp;S - Transportation'!$B$20+('R&amp;S - Transportation'!$B$21-'R&amp;S - Transportation'!$B$20)*('Yearly LC Ethylene'!AD3-'Yearly LC Ethylene'!$X$3)/10))</f>
        <v>122360.71711476863</v>
      </c>
      <c r="AE15" s="183">
        <f>AE14*'R&amp;S - Transportation'!$B$16*('R&amp;S - Transportation'!$B$10*('R&amp;S - Transportation'!$B$20+('R&amp;S - Transportation'!$B$21-'R&amp;S - Transportation'!$B$20)*('Yearly LC Ethylene'!AE3-'Yearly LC Ethylene'!$X$3)/10))</f>
        <v>134886.72469212816</v>
      </c>
      <c r="AF15" s="183">
        <f>AF14*'R&amp;S - Transportation'!$B$16*('R&amp;S - Transportation'!$B$10*('R&amp;S - Transportation'!$B$20+('R&amp;S - Transportation'!$B$21-'R&amp;S - Transportation'!$B$20)*('Yearly LC Ethylene'!AF3-'Yearly LC Ethylene'!$X$3)/10))</f>
        <v>147895.76622705298</v>
      </c>
      <c r="AG15" s="183">
        <f>AG14*'R&amp;S - Transportation'!$B$16*('R&amp;S - Transportation'!$B$10*('R&amp;S - Transportation'!$B$20+('R&amp;S - Transportation'!$B$21-'R&amp;S - Transportation'!$B$20)*('Yearly LC Ethylene'!AG3-'Yearly LC Ethylene'!$X$3)/10))</f>
        <v>161402.21756101251</v>
      </c>
      <c r="AH15" s="183">
        <f>AH14*'R&amp;S - Transportation'!$B$16*('R&amp;S - Transportation'!$B$10*('R&amp;S - Transportation'!$B$20+('R&amp;S - Transportation'!$B$21-'R&amp;S - Transportation'!$B$20)*('Yearly LC Ethylene'!AH3-'Yearly LC Ethylene'!$X$3)/10))</f>
        <v>175420.83045322521</v>
      </c>
    </row>
    <row r="16" spans="1:34" outlineLevel="1">
      <c r="B16" s="57" t="s">
        <v>182</v>
      </c>
      <c r="C16" s="50" t="s">
        <v>1420</v>
      </c>
      <c r="D16" s="183">
        <v>0</v>
      </c>
      <c r="E16" s="183">
        <f>(E14-E15)*'R&amp;S - Transportation'!$B$16*('R&amp;S - Transportation'!$B$11*'R&amp;S - Transportation'!$B$19*('Yearly LC Ethylene'!E$3-'Yearly LC Ethylene'!$D$3)/10)</f>
        <v>622.01820742703467</v>
      </c>
      <c r="F16" s="183">
        <f>(F14-F15)*'R&amp;S - Transportation'!$B$16*('R&amp;S - Transportation'!$B$11*'R&amp;S - Transportation'!$B$19*('Yearly LC Ethylene'!F$3-'Yearly LC Ethylene'!$D$3)/10)</f>
        <v>1264.3558606378708</v>
      </c>
      <c r="G16" s="183">
        <f>(G14-G15)*'R&amp;S - Transportation'!$B$16*('R&amp;S - Transportation'!$B$11*'R&amp;S - Transportation'!$B$19*('Yearly LC Ethylene'!G$3-'Yearly LC Ethylene'!$D$3)/10)</f>
        <v>1927.5035882972534</v>
      </c>
      <c r="H16" s="183">
        <f>(H14-H15)*'R&amp;S - Transportation'!$B$16*('R&amp;S - Transportation'!$B$11*'R&amp;S - Transportation'!$B$19*('Yearly LC Ethylene'!H$3-'Yearly LC Ethylene'!$D$3)/10)</f>
        <v>2611.9623718019543</v>
      </c>
      <c r="I16" s="183">
        <f>(I14-I15)*'R&amp;S - Transportation'!$B$16*('R&amp;S - Transportation'!$B$11*'R&amp;S - Transportation'!$B$19*('Yearly LC Ethylene'!I$3-'Yearly LC Ethylene'!$D$3)/10)</f>
        <v>3318.2437458826098</v>
      </c>
      <c r="J16" s="183">
        <f>(J14-J15)*'R&amp;S - Transportation'!$B$16*('R&amp;S - Transportation'!$B$11*'R&amp;S - Transportation'!$B$19*('Yearly LC Ethylene'!J$3-'Yearly LC Ethylene'!$D$3)/10)</f>
        <v>4046.870002839581</v>
      </c>
      <c r="K16" s="183">
        <f>(K14-K15)*'R&amp;S - Transportation'!$B$16*('R&amp;S - Transportation'!$B$11*'R&amp;S - Transportation'!$B$19*('Yearly LC Ethylene'!K$3-'Yearly LC Ethylene'!$D$3)/10)</f>
        <v>4798.3744004745831</v>
      </c>
      <c r="L16" s="183">
        <f>(L14-L15)*'R&amp;S - Transportation'!$B$16*('R&amp;S - Transportation'!$B$11*'R&amp;S - Transportation'!$B$19*('Yearly LC Ethylene'!L$3-'Yearly LC Ethylene'!$D$3)/10)</f>
        <v>5573.3013737807923</v>
      </c>
      <c r="M16" s="183">
        <f>(M14-M15)*'R&amp;S - Transportation'!$B$16*('R&amp;S - Transportation'!$B$11*'R&amp;S - Transportation'!$B$19*('Yearly LC Ethylene'!M$3-'Yearly LC Ethylene'!$D$3)/10)</f>
        <v>6372.2067504551524</v>
      </c>
      <c r="N16" s="183">
        <f>(N14-N15)*'R&amp;S - Transportation'!$B$16*('R&amp;S - Transportation'!$B$11*'R&amp;S - Transportation'!$B$19*('Yearly LC Ethylene'!N$3-'Yearly LC Ethylene'!$D$3)/10)</f>
        <v>7195.657970297576</v>
      </c>
      <c r="O16" s="183">
        <f>(O14-O15)*'R&amp;S - Transportation'!$B$16*('R&amp;S - Transportation'!$B$11*('R&amp;S - Transportation'!$B$19+('R&amp;S - Transportation'!$B$20-'R&amp;S - Transportation'!$B$19)*('Yearly LC Ethylene'!O$3-'Yearly LC Ethylene'!$N$3)/10))</f>
        <v>9502.985254870704</v>
      </c>
      <c r="P16" s="183">
        <f>(P14-P15)*'R&amp;S - Transportation'!$B$16*('R&amp;S - Transportation'!$B$11*('R&amp;S - Transportation'!$B$19+('R&amp;S - Transportation'!$B$20-'R&amp;S - Transportation'!$B$19)*('Yearly LC Ethylene'!P$3-'Yearly LC Ethylene'!$N$3)/10))</f>
        <v>11881.328555173777</v>
      </c>
      <c r="Q16" s="183">
        <f>(Q14-Q15)*'R&amp;S - Transportation'!$B$16*('R&amp;S - Transportation'!$B$11*('R&amp;S - Transportation'!$B$19+('R&amp;S - Transportation'!$B$20-'R&amp;S - Transportation'!$B$19)*('Yearly LC Ethylene'!Q$3-'Yearly LC Ethylene'!$N$3)/10))</f>
        <v>14332.073021563056</v>
      </c>
      <c r="R16" s="183">
        <f>(R14-R15)*'R&amp;S - Transportation'!$B$16*('R&amp;S - Transportation'!$B$11*('R&amp;S - Transportation'!$B$19+('R&amp;S - Transportation'!$B$20-'R&amp;S - Transportation'!$B$19)*('Yearly LC Ethylene'!R$3-'Yearly LC Ethylene'!$N$3)/10))</f>
        <v>16856.619595455006</v>
      </c>
      <c r="S16" s="183">
        <f>(S14-S15)*'R&amp;S - Transportation'!$B$16*('R&amp;S - Transportation'!$B$11*('R&amp;S - Transportation'!$B$19+('R&amp;S - Transportation'!$B$20-'R&amp;S - Transportation'!$B$19)*('Yearly LC Ethylene'!S$3-'Yearly LC Ethylene'!$N$3)/10))</f>
        <v>19456.384884164112</v>
      </c>
      <c r="T16" s="183">
        <f>(T14-T15)*'R&amp;S - Transportation'!$B$16*('R&amp;S - Transportation'!$B$11*('R&amp;S - Transportation'!$B$19+('R&amp;S - Transportation'!$B$20-'R&amp;S - Transportation'!$B$19)*('Yearly LC Ethylene'!T$3-'Yearly LC Ethylene'!$N$3)/10))</f>
        <v>22132.801021137664</v>
      </c>
      <c r="U16" s="183">
        <f>(U14-U15)*'R&amp;S - Transportation'!$B$16*('R&amp;S - Transportation'!$B$11*('R&amp;S - Transportation'!$B$19+('R&amp;S - Transportation'!$B$20-'R&amp;S - Transportation'!$B$19)*('Yearly LC Ethylene'!U$3-'Yearly LC Ethylene'!$N$3)/10))</f>
        <v>24887.315511006054</v>
      </c>
      <c r="V16" s="183">
        <f>(V14-V15)*'R&amp;S - Transportation'!$B$16*('R&amp;S - Transportation'!$B$11*('R&amp;S - Transportation'!$B$19+('R&amp;S - Transportation'!$B$20-'R&amp;S - Transportation'!$B$19)*('Yearly LC Ethylene'!V$3-'Yearly LC Ethylene'!$N$3)/10))</f>
        <v>27721.391058849411</v>
      </c>
      <c r="W16" s="183">
        <f>(W14-W15)*'R&amp;S - Transportation'!$B$16*('R&amp;S - Transportation'!$B$11*('R&amp;S - Transportation'!$B$19+('R&amp;S - Transportation'!$B$20-'R&amp;S - Transportation'!$B$19)*('Yearly LC Ethylene'!W$3-'Yearly LC Ethylene'!$N$3)/10))</f>
        <v>30636.505383062533</v>
      </c>
      <c r="X16" s="183">
        <f>(X14-X15)*'R&amp;S - Transportation'!$B$16*('R&amp;S - Transportation'!$B$11*('R&amp;S - Transportation'!$B$19+('R&amp;S - Transportation'!$B$20-'R&amp;S - Transportation'!$B$19)*('Yearly LC Ethylene'!X$3-'Yearly LC Ethylene'!$N$3)/10))</f>
        <v>33634.151011181697</v>
      </c>
      <c r="Y16" s="183">
        <f>(Y14-Y15)*'R&amp;S - Transportation'!$B$16*('R&amp;S - Transportation'!$B$11*('R&amp;S - Transportation'!$B$20+('R&amp;S - Transportation'!$B$21-'R&amp;S - Transportation'!$B$20)*('Yearly LC Ethylene'!Y$3-'Yearly LC Ethylene'!$X$3)/10))</f>
        <v>39105.200559866811</v>
      </c>
      <c r="Z16" s="183">
        <f>(Z14-Z15)*'R&amp;S - Transportation'!$B$16*('R&amp;S - Transportation'!$B$11*('R&amp;S - Transportation'!$B$20+('R&amp;S - Transportation'!$B$21-'R&amp;S - Transportation'!$B$20)*('Yearly LC Ethylene'!Z$3-'Yearly LC Ethylene'!$X$3)/10))</f>
        <v>44686.530278233782</v>
      </c>
      <c r="AA16" s="183">
        <f>(AA14-AA15)*'R&amp;S - Transportation'!$B$16*('R&amp;S - Transportation'!$B$11*('R&amp;S - Transportation'!$B$20+('R&amp;S - Transportation'!$B$21-'R&amp;S - Transportation'!$B$20)*('Yearly LC Ethylene'!AA$3-'Yearly LC Ethylene'!$X$3)/10))</f>
        <v>50377.579155301326</v>
      </c>
      <c r="AB16" s="183">
        <f>(AB14-AB15)*'R&amp;S - Transportation'!$B$16*('R&amp;S - Transportation'!$B$11*('R&amp;S - Transportation'!$B$20+('R&amp;S - Transportation'!$B$21-'R&amp;S - Transportation'!$B$20)*('Yearly LC Ethylene'!AB$3-'Yearly LC Ethylene'!$X$3)/10))</f>
        <v>56177.661513435014</v>
      </c>
      <c r="AC16" s="183">
        <f>(AC14-AC15)*'R&amp;S - Transportation'!$B$16*('R&amp;S - Transportation'!$B$11*('R&amp;S - Transportation'!$B$20+('R&amp;S - Transportation'!$B$21-'R&amp;S - Transportation'!$B$20)*('Yearly LC Ethylene'!AC$3-'Yearly LC Ethylene'!$X$3)/10))</f>
        <v>62085.961214086266</v>
      </c>
      <c r="AD16" s="183">
        <f>(AD14-AD15)*'R&amp;S - Transportation'!$B$16*('R&amp;S - Transportation'!$B$11*('R&amp;S - Transportation'!$B$20+('R&amp;S - Transportation'!$B$21-'R&amp;S - Transportation'!$B$20)*('Yearly LC Ethylene'!AD$3-'Yearly LC Ethylene'!$X$3)/10))</f>
        <v>68101.525665457855</v>
      </c>
      <c r="AE16" s="183">
        <f>(AE14-AE15)*'R&amp;S - Transportation'!$B$16*('R&amp;S - Transportation'!$B$11*('R&amp;S - Transportation'!$B$20+('R&amp;S - Transportation'!$B$21-'R&amp;S - Transportation'!$B$20)*('Yearly LC Ethylene'!AE$3-'Yearly LC Ethylene'!$X$3)/10))</f>
        <v>74223.25962627116</v>
      </c>
      <c r="AF16" s="183">
        <f>(AF14-AF15)*'R&amp;S - Transportation'!$B$16*('R&amp;S - Transportation'!$B$11*('R&amp;S - Transportation'!$B$20+('R&amp;S - Transportation'!$B$21-'R&amp;S - Transportation'!$B$20)*('Yearly LC Ethylene'!AF$3-'Yearly LC Ethylene'!$X$3)/10))</f>
        <v>80449.918799654013</v>
      </c>
      <c r="AG16" s="183">
        <f>(AG14-AG15)*'R&amp;S - Transportation'!$B$16*('R&amp;S - Transportation'!$B$11*('R&amp;S - Transportation'!$B$20+('R&amp;S - Transportation'!$B$21-'R&amp;S - Transportation'!$B$20)*('Yearly LC Ethylene'!AG$3-'Yearly LC Ethylene'!$X$3)/10))</f>
        <v>86780.103211008769</v>
      </c>
      <c r="AH16" s="183">
        <f>(AH14-AH15)*'R&amp;S - Transportation'!$B$16*('R&amp;S - Transportation'!$B$11*('R&amp;S - Transportation'!$B$20+('R&amp;S - Transportation'!$B$21-'R&amp;S - Transportation'!$B$20)*('Yearly LC Ethylene'!AH$3-'Yearly LC Ethylene'!$X$3)/10))</f>
        <v>93212.250363554675</v>
      </c>
    </row>
    <row r="17" spans="1:42" outlineLevel="1">
      <c r="B17" s="1" t="s">
        <v>169</v>
      </c>
      <c r="C17" s="50" t="s">
        <v>1420</v>
      </c>
      <c r="D17" s="183">
        <f>SUM(D15:D16)</f>
        <v>0</v>
      </c>
      <c r="E17" s="183">
        <f t="shared" ref="E17:AG17" si="3">SUM(E15:E16)</f>
        <v>1601.0908604040726</v>
      </c>
      <c r="F17" s="183">
        <f t="shared" si="3"/>
        <v>3257.7790811249893</v>
      </c>
      <c r="G17" s="183">
        <f t="shared" si="3"/>
        <v>4971.5056084785492</v>
      </c>
      <c r="H17" s="183">
        <f t="shared" si="3"/>
        <v>6743.7444319448241</v>
      </c>
      <c r="I17" s="183">
        <f t="shared" si="3"/>
        <v>8576.003291377041</v>
      </c>
      <c r="J17" s="183">
        <f t="shared" si="3"/>
        <v>10469.82439867772</v>
      </c>
      <c r="K17" s="183">
        <f t="shared" si="3"/>
        <v>12426.785174228644</v>
      </c>
      <c r="L17" s="183">
        <f t="shared" si="3"/>
        <v>14448.498998366569</v>
      </c>
      <c r="M17" s="183">
        <f t="shared" si="3"/>
        <v>16536.615978202441</v>
      </c>
      <c r="N17" s="183">
        <f t="shared" si="3"/>
        <v>18692.823730087443</v>
      </c>
      <c r="O17" s="183">
        <f t="shared" si="3"/>
        <v>24763.58772114044</v>
      </c>
      <c r="P17" s="183">
        <f t="shared" si="3"/>
        <v>31058.258668290277</v>
      </c>
      <c r="Q17" s="183">
        <f t="shared" si="3"/>
        <v>37582.812745802774</v>
      </c>
      <c r="R17" s="183">
        <f t="shared" si="3"/>
        <v>44343.361994542611</v>
      </c>
      <c r="S17" s="183">
        <f t="shared" si="3"/>
        <v>51346.157091399014</v>
      </c>
      <c r="T17" s="183">
        <f t="shared" si="3"/>
        <v>58597.590170182739</v>
      </c>
      <c r="U17" s="183">
        <f t="shared" si="3"/>
        <v>66104.197694862698</v>
      </c>
      <c r="V17" s="183">
        <f t="shared" si="3"/>
        <v>73872.663386024433</v>
      </c>
      <c r="W17" s="183">
        <f t="shared" si="3"/>
        <v>81909.821201444458</v>
      </c>
      <c r="X17" s="183">
        <f t="shared" si="3"/>
        <v>90222.658371689293</v>
      </c>
      <c r="Y17" s="183">
        <f t="shared" si="3"/>
        <v>105603.4469089841</v>
      </c>
      <c r="Z17" s="183">
        <f t="shared" si="3"/>
        <v>121498.70533535969</v>
      </c>
      <c r="AA17" s="183">
        <f t="shared" si="3"/>
        <v>137920.17259115772</v>
      </c>
      <c r="AB17" s="183">
        <f t="shared" si="3"/>
        <v>154879.78850164503</v>
      </c>
      <c r="AC17" s="183">
        <f t="shared" si="3"/>
        <v>172389.69590760948</v>
      </c>
      <c r="AD17" s="183">
        <f t="shared" si="3"/>
        <v>190462.24278022649</v>
      </c>
      <c r="AE17" s="183">
        <f t="shared" si="3"/>
        <v>209109.98431839934</v>
      </c>
      <c r="AF17" s="183">
        <f t="shared" si="3"/>
        <v>228345.68502670701</v>
      </c>
      <c r="AG17" s="183">
        <f t="shared" si="3"/>
        <v>248182.32077202128</v>
      </c>
      <c r="AH17" s="183">
        <f>SUM(AH15:AH16)</f>
        <v>268633.08081677987</v>
      </c>
      <c r="AI17" s="40"/>
      <c r="AM17" s="40"/>
      <c r="AN17" s="40"/>
      <c r="AO17" s="40"/>
      <c r="AP17" s="40"/>
    </row>
    <row r="18" spans="1:42" outlineLevel="1">
      <c r="B18" s="1" t="s">
        <v>172</v>
      </c>
      <c r="C18" s="50" t="s">
        <v>1420</v>
      </c>
      <c r="D18" s="183">
        <v>0</v>
      </c>
      <c r="E18" s="183">
        <v>0</v>
      </c>
      <c r="F18" s="183">
        <v>0</v>
      </c>
      <c r="G18" s="183">
        <v>0</v>
      </c>
      <c r="H18" s="183">
        <v>0</v>
      </c>
      <c r="I18" s="183">
        <v>0</v>
      </c>
      <c r="J18" s="183">
        <v>0</v>
      </c>
      <c r="K18" s="183">
        <v>0</v>
      </c>
      <c r="L18" s="183">
        <v>0</v>
      </c>
      <c r="M18" s="183">
        <v>0</v>
      </c>
      <c r="N18" s="183">
        <v>0</v>
      </c>
      <c r="O18" s="183">
        <v>0</v>
      </c>
      <c r="P18" s="183">
        <v>0</v>
      </c>
      <c r="Q18" s="183">
        <v>0</v>
      </c>
      <c r="R18" s="183">
        <v>0</v>
      </c>
      <c r="S18" s="183">
        <v>0</v>
      </c>
      <c r="T18" s="183">
        <v>0</v>
      </c>
      <c r="U18" s="183">
        <v>0</v>
      </c>
      <c r="V18" s="183">
        <v>0</v>
      </c>
      <c r="W18" s="183">
        <v>0</v>
      </c>
      <c r="X18" s="183">
        <v>0</v>
      </c>
      <c r="Y18" s="183">
        <v>0</v>
      </c>
      <c r="Z18" s="183">
        <v>0</v>
      </c>
      <c r="AA18" s="183">
        <v>0</v>
      </c>
      <c r="AB18" s="183">
        <v>0</v>
      </c>
      <c r="AC18" s="183">
        <v>0</v>
      </c>
      <c r="AD18" s="183">
        <v>0</v>
      </c>
      <c r="AE18" s="183">
        <v>0</v>
      </c>
      <c r="AF18" s="183">
        <v>0</v>
      </c>
      <c r="AG18" s="183">
        <v>0</v>
      </c>
      <c r="AH18" s="183">
        <v>0</v>
      </c>
      <c r="AM18" s="40"/>
      <c r="AN18" s="40"/>
      <c r="AO18" s="40"/>
      <c r="AP18" s="40"/>
    </row>
    <row r="19" spans="1:42" s="1" customFormat="1">
      <c r="A19" s="58"/>
      <c r="B19" s="58" t="s">
        <v>200</v>
      </c>
      <c r="C19" s="59" t="s">
        <v>1420</v>
      </c>
      <c r="D19" s="577">
        <f>D14-D17-D18</f>
        <v>582875.6940607368</v>
      </c>
      <c r="E19" s="577">
        <f t="shared" ref="E19:AG19" si="4">E14-E17-E18</f>
        <v>591776.274580225</v>
      </c>
      <c r="F19" s="577">
        <f t="shared" si="4"/>
        <v>600809.86349072901</v>
      </c>
      <c r="G19" s="577">
        <f t="shared" si="4"/>
        <v>609978.39745844982</v>
      </c>
      <c r="H19" s="577">
        <f t="shared" si="4"/>
        <v>619283.84043818712</v>
      </c>
      <c r="I19" s="577">
        <f t="shared" si="4"/>
        <v>628728.18404128123</v>
      </c>
      <c r="J19" s="577">
        <f t="shared" si="4"/>
        <v>638313.44790820498</v>
      </c>
      <c r="K19" s="577">
        <f t="shared" si="4"/>
        <v>648041.68008586322</v>
      </c>
      <c r="L19" s="577">
        <f t="shared" si="4"/>
        <v>657914.95740964683</v>
      </c>
      <c r="M19" s="577">
        <f t="shared" si="4"/>
        <v>667935.38589030167</v>
      </c>
      <c r="N19" s="577">
        <f>N14-N17-N18</f>
        <v>678105.10110566195</v>
      </c>
      <c r="O19" s="577">
        <f t="shared" si="4"/>
        <v>686686.41070635302</v>
      </c>
      <c r="P19" s="577">
        <f t="shared" si="4"/>
        <v>695340.60925278906</v>
      </c>
      <c r="Q19" s="577">
        <f t="shared" si="4"/>
        <v>704067.57718209887</v>
      </c>
      <c r="R19" s="577">
        <f t="shared" si="4"/>
        <v>712867.17241558409</v>
      </c>
      <c r="S19" s="577">
        <f t="shared" si="4"/>
        <v>721739.22975065908</v>
      </c>
      <c r="T19" s="577">
        <f t="shared" si="4"/>
        <v>730683.56024204812</v>
      </c>
      <c r="U19" s="577">
        <f t="shared" si="4"/>
        <v>739699.95057212922</v>
      </c>
      <c r="V19" s="577">
        <f t="shared" si="4"/>
        <v>748788.16241032153</v>
      </c>
      <c r="W19" s="577">
        <f t="shared" si="4"/>
        <v>757947.93176140427</v>
      </c>
      <c r="X19" s="577">
        <f>X14-X17-X18</f>
        <v>767178.96830266819</v>
      </c>
      <c r="Y19" s="577">
        <f t="shared" si="4"/>
        <v>770526.28101087455</v>
      </c>
      <c r="Z19" s="577">
        <f t="shared" si="4"/>
        <v>773748.09020223829</v>
      </c>
      <c r="AA19" s="577">
        <f t="shared" si="4"/>
        <v>776840.46937181405</v>
      </c>
      <c r="AB19" s="577">
        <f t="shared" si="4"/>
        <v>779799.44434125279</v>
      </c>
      <c r="AC19" s="577">
        <f t="shared" si="4"/>
        <v>782620.99407960451</v>
      </c>
      <c r="AD19" s="577">
        <f t="shared" si="4"/>
        <v>785301.05159591883</v>
      </c>
      <c r="AE19" s="577">
        <f t="shared" si="4"/>
        <v>787835.50490649475</v>
      </c>
      <c r="AF19" s="577">
        <f t="shared" si="4"/>
        <v>790220.19807971851</v>
      </c>
      <c r="AG19" s="577">
        <f t="shared" si="4"/>
        <v>792450.93236152176</v>
      </c>
      <c r="AH19" s="577">
        <f>AH14-AH17-AH18</f>
        <v>794523.46738458506</v>
      </c>
      <c r="AL19"/>
      <c r="AM19" s="40"/>
      <c r="AN19" s="40"/>
      <c r="AO19" s="40"/>
      <c r="AP19" s="40"/>
    </row>
    <row r="20" spans="1:42" s="61" customFormat="1">
      <c r="A20" s="606" t="s">
        <v>608</v>
      </c>
      <c r="B20" s="54" t="s">
        <v>141</v>
      </c>
      <c r="C20" s="55" t="s">
        <v>1420</v>
      </c>
      <c r="D20" s="571">
        <f>D19*('Demand - Ethylene'!$C$75)</f>
        <v>36825.842975206615</v>
      </c>
      <c r="E20" s="571">
        <f>E19*('Demand - Ethylene'!$C$75)</f>
        <v>37388.177936054548</v>
      </c>
      <c r="F20" s="571">
        <f>F19*('Demand - Ethylene'!$C$75)</f>
        <v>37958.916311510162</v>
      </c>
      <c r="G20" s="571">
        <f>G19*('Demand - Ethylene'!$C$75)</f>
        <v>38538.180459335395</v>
      </c>
      <c r="H20" s="571">
        <f>H19*('Demand - Ethylene'!$C$75)</f>
        <v>39126.094461374458</v>
      </c>
      <c r="I20" s="571">
        <f>I19*('Demand - Ethylene'!$C$75)</f>
        <v>39722.784146800252</v>
      </c>
      <c r="J20" s="571">
        <f>J19*('Demand - Ethylene'!$C$75)</f>
        <v>40328.377115654555</v>
      </c>
      <c r="K20" s="571">
        <f>K19*('Demand - Ethylene'!$C$75)</f>
        <v>40943.002762685683</v>
      </c>
      <c r="L20" s="571">
        <f>L19*('Demand - Ethylene'!$C$75)</f>
        <v>41566.792301486443</v>
      </c>
      <c r="M20" s="571">
        <f>M19*('Demand - Ethylene'!$C$75)</f>
        <v>42199.878788936432</v>
      </c>
      <c r="N20" s="571">
        <f>N19*('Demand - Ethylene'!$C$75)</f>
        <v>42842.397149951503</v>
      </c>
      <c r="O20" s="571">
        <f>O19*('Demand - Ethylene'!$C$75)</f>
        <v>43384.560707459103</v>
      </c>
      <c r="P20" s="571">
        <f>P19*('Demand - Ethylene'!$C$75)</f>
        <v>43931.329358124618</v>
      </c>
      <c r="Q20" s="571">
        <f>Q19*('Demand - Ethylene'!$C$75)</f>
        <v>44482.69554801577</v>
      </c>
      <c r="R20" s="571">
        <f>R19*('Demand - Ethylene'!$C$75)</f>
        <v>45038.650300659712</v>
      </c>
      <c r="S20" s="571">
        <f>S19*('Demand - Ethylene'!$C$75)</f>
        <v>45599.183178626066</v>
      </c>
      <c r="T20" s="571">
        <f>T19*('Demand - Ethylene'!$C$75)</f>
        <v>46164.282244431204</v>
      </c>
      <c r="U20" s="571">
        <f>U19*('Demand - Ethylene'!$C$75)</f>
        <v>46733.934020756846</v>
      </c>
      <c r="V20" s="571">
        <f>V19*('Demand - Ethylene'!$C$75)</f>
        <v>47308.123449976396</v>
      </c>
      <c r="W20" s="571">
        <f>W19*('Demand - Ethylene'!$C$75)</f>
        <v>47886.833852982039</v>
      </c>
      <c r="X20" s="571">
        <f>X19*('Demand - Ethylene'!$C$75)</f>
        <v>48470.046887306227</v>
      </c>
      <c r="Y20" s="571">
        <f>Y19*('Demand - Ethylene'!$C$75)</f>
        <v>48681.528706564379</v>
      </c>
      <c r="Z20" s="571">
        <f>Z19*('Demand - Ethylene'!$C$75)</f>
        <v>48885.081266031499</v>
      </c>
      <c r="AA20" s="571">
        <f>AA19*('Demand - Ethylene'!$C$75)</f>
        <v>49080.456490764635</v>
      </c>
      <c r="AB20" s="571">
        <f>AB19*('Demand - Ethylene'!$C$75)</f>
        <v>49267.403293835072</v>
      </c>
      <c r="AC20" s="571">
        <f>AC19*('Demand - Ethylene'!$C$75)</f>
        <v>49445.667628186347</v>
      </c>
      <c r="AD20" s="571">
        <f>AD19*('Demand - Ethylene'!$C$75)</f>
        <v>49614.992543028362</v>
      </c>
      <c r="AE20" s="571">
        <f>AE19*('Demand - Ethylene'!$C$75)</f>
        <v>49775.118244947807</v>
      </c>
      <c r="AF20" s="571">
        <f>AF19*('Demand - Ethylene'!$C$75)</f>
        <v>49925.782163920616</v>
      </c>
      <c r="AG20" s="571">
        <f>AG19*('Demand - Ethylene'!$C$75)</f>
        <v>50066.7190244179</v>
      </c>
      <c r="AH20" s="571">
        <f>AH19*('Demand - Ethylene'!$C$75)</f>
        <v>50197.660921802963</v>
      </c>
    </row>
    <row r="21" spans="1:42">
      <c r="A21" s="607"/>
      <c r="B21" s="1" t="s">
        <v>18</v>
      </c>
      <c r="C21" s="50" t="s">
        <v>1420</v>
      </c>
      <c r="D21" s="183">
        <f>D25/('Demand - Ethylene'!$K$14)</f>
        <v>0</v>
      </c>
      <c r="E21" s="183">
        <f>E25/('Demand - Ethylene'!$K$14)</f>
        <v>0</v>
      </c>
      <c r="F21" s="183">
        <f>F25/('Demand - Ethylene'!$K$14)</f>
        <v>0</v>
      </c>
      <c r="G21" s="183">
        <f>G25/('Demand - Ethylene'!$K$14)</f>
        <v>0</v>
      </c>
      <c r="H21" s="183">
        <f>H25/('Demand - Ethylene'!$K$14)</f>
        <v>0</v>
      </c>
      <c r="I21" s="183">
        <f>I25/('Demand - Ethylene'!$K$14)</f>
        <v>0</v>
      </c>
      <c r="J21" s="183">
        <f>J25/('Demand - Ethylene'!$K$14)</f>
        <v>0</v>
      </c>
      <c r="K21" s="183">
        <f>K25/('Demand - Ethylene'!$K$14)</f>
        <v>0</v>
      </c>
      <c r="L21" s="183">
        <f>L25/('Demand - Ethylene'!$K$14)</f>
        <v>0</v>
      </c>
      <c r="M21" s="183">
        <f>M25/('Demand - Ethylene'!$K$14)</f>
        <v>0</v>
      </c>
      <c r="N21" s="183">
        <f>N25/('Demand - Ethylene'!$K$14)</f>
        <v>0</v>
      </c>
      <c r="O21" s="183">
        <f>O25/('Demand - Ethylene'!$K$14)</f>
        <v>0</v>
      </c>
      <c r="P21" s="183">
        <f>P25/('Demand - Ethylene'!$K$14)</f>
        <v>0</v>
      </c>
      <c r="Q21" s="183">
        <f>Q25/('Demand - Ethylene'!$K$14)</f>
        <v>0</v>
      </c>
      <c r="R21" s="183">
        <f>R25/('Demand - Ethylene'!$K$14)</f>
        <v>0</v>
      </c>
      <c r="S21" s="183">
        <f>S25/('Demand - Ethylene'!$K$14)</f>
        <v>0</v>
      </c>
      <c r="T21" s="183">
        <f>T25/('Demand - Ethylene'!$K$14)</f>
        <v>0</v>
      </c>
      <c r="U21" s="183">
        <f>U25/('Demand - Ethylene'!$K$14)</f>
        <v>0</v>
      </c>
      <c r="V21" s="183">
        <f>V25/('Demand - Ethylene'!$K$14)</f>
        <v>0</v>
      </c>
      <c r="W21" s="183">
        <f>W25/('Demand - Ethylene'!$K$14)</f>
        <v>0</v>
      </c>
      <c r="X21" s="183">
        <f>X25/('Demand - Ethylene'!$K$14)</f>
        <v>0</v>
      </c>
      <c r="Y21" s="183">
        <f>Y25/('Demand - Ethylene'!$K$14)</f>
        <v>0</v>
      </c>
      <c r="Z21" s="183">
        <f>Z25/('Demand - Ethylene'!$K$14)</f>
        <v>0</v>
      </c>
      <c r="AA21" s="183">
        <f>AA25/('Demand - Ethylene'!$K$14)</f>
        <v>0</v>
      </c>
      <c r="AB21" s="183">
        <f>AB25/('Demand - Ethylene'!$K$14)</f>
        <v>0</v>
      </c>
      <c r="AC21" s="183">
        <f>AC25/('Demand - Ethylene'!$K$14)</f>
        <v>0</v>
      </c>
      <c r="AD21" s="183">
        <f>AD25/('Demand - Ethylene'!$K$14)</f>
        <v>0</v>
      </c>
      <c r="AE21" s="183">
        <f>AE25/('Demand - Ethylene'!$K$14)</f>
        <v>0</v>
      </c>
      <c r="AF21" s="183">
        <f>AF25/('Demand - Ethylene'!$K$14)</f>
        <v>0</v>
      </c>
      <c r="AG21" s="183">
        <f>AG25/('Demand - Ethylene'!$K$14)</f>
        <v>0</v>
      </c>
      <c r="AH21" s="183">
        <f>AH25/('Demand - Ethylene'!$K$14)</f>
        <v>0</v>
      </c>
    </row>
    <row r="22" spans="1:42">
      <c r="A22" s="607"/>
      <c r="B22" s="1" t="s">
        <v>607</v>
      </c>
      <c r="C22" s="50" t="s">
        <v>1420</v>
      </c>
      <c r="D22" s="183">
        <f>D24/('Demand - Ethylene'!$M$14)</f>
        <v>23746.467073344633</v>
      </c>
      <c r="E22" s="183">
        <f>E24/('Demand - Ethylene'!$M$14)</f>
        <v>24109.078423231618</v>
      </c>
      <c r="F22" s="183">
        <f>F24/('Demand - Ethylene'!$M$14)</f>
        <v>24477.108560365905</v>
      </c>
      <c r="G22" s="183">
        <f>G24/('Demand - Ethylene'!$M$14)</f>
        <v>24850.636384898313</v>
      </c>
      <c r="H22" s="183">
        <f>H24/('Demand - Ethylene'!$M$14)</f>
        <v>25229.741908722386</v>
      </c>
      <c r="I22" s="183">
        <f>I24/('Demand - Ethylene'!$M$14)</f>
        <v>25614.506270464426</v>
      </c>
      <c r="J22" s="183">
        <f>J24/('Demand - Ethylene'!$M$14)</f>
        <v>26005.011750662936</v>
      </c>
      <c r="K22" s="183">
        <f>K24/('Demand - Ethylene'!$M$14)</f>
        <v>26401.341787139871</v>
      </c>
      <c r="L22" s="183">
        <f>L24/('Demand - Ethylene'!$M$14)</f>
        <v>26803.580990565632</v>
      </c>
      <c r="M22" s="183">
        <f>M24/('Demand - Ethylene'!$M$14)</f>
        <v>27211.815160220132</v>
      </c>
      <c r="N22" s="183">
        <f>N24/('Demand - Ethylene'!$M$14)</f>
        <v>27626.131299952114</v>
      </c>
      <c r="O22" s="183">
        <f>O24/('Demand - Ethylene'!$M$14)</f>
        <v>27975.735491644064</v>
      </c>
      <c r="P22" s="183">
        <f>P24/('Demand - Ethylene'!$M$14)</f>
        <v>28328.309192903453</v>
      </c>
      <c r="Q22" s="183">
        <f>Q24/('Demand - Ethylene'!$M$14)</f>
        <v>28683.847532716085</v>
      </c>
      <c r="R22" s="183">
        <f>R24/('Demand - Ethylene'!$M$14)</f>
        <v>29042.344722768659</v>
      </c>
      <c r="S22" s="183">
        <f>S24/('Demand - Ethylene'!$M$14)</f>
        <v>29403.794032676284</v>
      </c>
      <c r="T22" s="183">
        <f>T24/('Demand - Ethylene'!$M$14)</f>
        <v>29768.187764772363</v>
      </c>
      <c r="U22" s="183">
        <f>U24/('Demand - Ethylene'!$M$14)</f>
        <v>30135.517228456232</v>
      </c>
      <c r="V22" s="183">
        <f>V24/('Demand - Ethylene'!$M$14)</f>
        <v>30505.772714094524</v>
      </c>
      <c r="W22" s="183">
        <f>W24/('Demand - Ethylene'!$M$14)</f>
        <v>30878.943466471534</v>
      </c>
      <c r="X22" s="183">
        <f>X24/('Demand - Ethylene'!$M$14)</f>
        <v>31255.017657784658</v>
      </c>
      <c r="Y22" s="183">
        <f>Y24/('Demand - Ethylene'!$M$14)</f>
        <v>31391.387816670242</v>
      </c>
      <c r="Z22" s="183">
        <f>Z24/('Demand - Ethylene'!$M$14)</f>
        <v>31522.64493831537</v>
      </c>
      <c r="AA22" s="183">
        <f>AA24/('Demand - Ethylene'!$M$14)</f>
        <v>31648.629056158818</v>
      </c>
      <c r="AB22" s="183">
        <f>AB24/('Demand - Ethylene'!$M$14)</f>
        <v>31769.178261415789</v>
      </c>
      <c r="AC22" s="183">
        <f>AC24/('Demand - Ethylene'!$M$14)</f>
        <v>31884.128736517589</v>
      </c>
      <c r="AD22" s="183">
        <f>AD24/('Demand - Ethylene'!$M$14)</f>
        <v>31993.314791476325</v>
      </c>
      <c r="AE22" s="183">
        <f>AE24/('Demand - Ethylene'!$M$14)</f>
        <v>32096.568903290856</v>
      </c>
      <c r="AF22" s="183">
        <f>AF24/('Demand - Ethylene'!$M$14)</f>
        <v>32193.721758513682</v>
      </c>
      <c r="AG22" s="183">
        <f>AG24/('Demand - Ethylene'!$M$14)</f>
        <v>32284.602299102331</v>
      </c>
      <c r="AH22" s="183">
        <f>AH24/('Demand - Ethylene'!$M$14)</f>
        <v>32369.037771682524</v>
      </c>
    </row>
    <row r="23" spans="1:42" s="62" customFormat="1">
      <c r="A23" s="608"/>
      <c r="B23" s="58" t="s">
        <v>27</v>
      </c>
      <c r="C23" s="233" t="s">
        <v>1420</v>
      </c>
      <c r="D23" s="528">
        <f>D19-SUM(D21,D20,D22)</f>
        <v>522303.38401218556</v>
      </c>
      <c r="E23" s="528">
        <f t="shared" ref="E23:AH23" si="5">E19-SUM(E21,E20,E22)</f>
        <v>530279.01822093886</v>
      </c>
      <c r="F23" s="528">
        <f t="shared" si="5"/>
        <v>538373.8386188529</v>
      </c>
      <c r="G23" s="528">
        <f t="shared" si="5"/>
        <v>546589.58061421616</v>
      </c>
      <c r="H23" s="528">
        <f t="shared" si="5"/>
        <v>554928.00406809023</v>
      </c>
      <c r="I23" s="528">
        <f t="shared" si="5"/>
        <v>563390.89362401655</v>
      </c>
      <c r="J23" s="528">
        <f t="shared" si="5"/>
        <v>571980.05904188752</v>
      </c>
      <c r="K23" s="528">
        <f t="shared" si="5"/>
        <v>580697.33553603769</v>
      </c>
      <c r="L23" s="528">
        <f t="shared" si="5"/>
        <v>589544.58411759476</v>
      </c>
      <c r="M23" s="528">
        <f t="shared" si="5"/>
        <v>598523.69194114511</v>
      </c>
      <c r="N23" s="528">
        <f t="shared" si="5"/>
        <v>607636.57265575835</v>
      </c>
      <c r="O23" s="528">
        <f t="shared" si="5"/>
        <v>615326.11450724991</v>
      </c>
      <c r="P23" s="528">
        <f t="shared" si="5"/>
        <v>623080.97070176096</v>
      </c>
      <c r="Q23" s="528">
        <f t="shared" si="5"/>
        <v>630901.034101367</v>
      </c>
      <c r="R23" s="528">
        <f t="shared" si="5"/>
        <v>638786.17739215575</v>
      </c>
      <c r="S23" s="528">
        <f t="shared" si="5"/>
        <v>646736.2525393567</v>
      </c>
      <c r="T23" s="528">
        <f t="shared" si="5"/>
        <v>654751.09023284458</v>
      </c>
      <c r="U23" s="528">
        <f t="shared" si="5"/>
        <v>662830.49932291615</v>
      </c>
      <c r="V23" s="528">
        <f t="shared" si="5"/>
        <v>670974.2662462506</v>
      </c>
      <c r="W23" s="528">
        <f t="shared" si="5"/>
        <v>679182.15444195073</v>
      </c>
      <c r="X23" s="528">
        <f t="shared" si="5"/>
        <v>687453.9037575773</v>
      </c>
      <c r="Y23" s="528">
        <f t="shared" si="5"/>
        <v>690453.36448763986</v>
      </c>
      <c r="Z23" s="528">
        <f t="shared" si="5"/>
        <v>693340.36399789143</v>
      </c>
      <c r="AA23" s="528">
        <f t="shared" si="5"/>
        <v>696111.3838248906</v>
      </c>
      <c r="AB23" s="528">
        <f t="shared" si="5"/>
        <v>698762.86278600199</v>
      </c>
      <c r="AC23" s="528">
        <f t="shared" si="5"/>
        <v>701291.1977149006</v>
      </c>
      <c r="AD23" s="528">
        <f t="shared" si="5"/>
        <v>703692.74426141416</v>
      </c>
      <c r="AE23" s="528">
        <f t="shared" si="5"/>
        <v>705963.8177582561</v>
      </c>
      <c r="AF23" s="528">
        <f t="shared" si="5"/>
        <v>708100.69415728422</v>
      </c>
      <c r="AG23" s="528">
        <f t="shared" si="5"/>
        <v>710099.61103800149</v>
      </c>
      <c r="AH23" s="528">
        <f t="shared" si="5"/>
        <v>711956.7686910996</v>
      </c>
    </row>
    <row r="24" spans="1:42" s="61" customFormat="1">
      <c r="A24" s="606" t="s">
        <v>609</v>
      </c>
      <c r="B24" s="54" t="s">
        <v>606</v>
      </c>
      <c r="C24" s="55" t="s">
        <v>1420</v>
      </c>
      <c r="D24" s="571">
        <f>D19*'Demand - Ethylene'!$E$75</f>
        <v>10824.28882051282</v>
      </c>
      <c r="E24" s="571">
        <f>E19*'Demand - Ethylene'!$E$75</f>
        <v>10989.57698605971</v>
      </c>
      <c r="F24" s="571">
        <f>F19*'Demand - Ethylene'!$E$75</f>
        <v>11157.33518296076</v>
      </c>
      <c r="G24" s="571">
        <f>G19*'Demand - Ethylene'!$E$75</f>
        <v>11327.599376061513</v>
      </c>
      <c r="H24" s="571">
        <f>H19*'Demand - Ethylene'!$E$75</f>
        <v>11500.406036970235</v>
      </c>
      <c r="I24" s="571">
        <f>I19*'Demand - Ethylene'!$E$75</f>
        <v>11675.79215089078</v>
      </c>
      <c r="J24" s="571">
        <f>J19*'Demand - Ethylene'!$E$75</f>
        <v>11853.795223541803</v>
      </c>
      <c r="K24" s="571">
        <f>K19*'Demand - Ethylene'!$E$75</f>
        <v>12034.453288163393</v>
      </c>
      <c r="L24" s="571">
        <f>L19*'Demand - Ethylene'!$E$75</f>
        <v>12217.804912612015</v>
      </c>
      <c r="M24" s="571">
        <f>M19*'Demand - Ethylene'!$E$75</f>
        <v>12403.889206544845</v>
      </c>
      <c r="N24" s="571">
        <f>N19*'Demand - Ethylene'!$E$75</f>
        <v>12592.74582869446</v>
      </c>
      <c r="O24" s="571">
        <f>O19*'Demand - Ethylene'!$E$75</f>
        <v>12752.104975975082</v>
      </c>
      <c r="P24" s="571">
        <f>P19*'Demand - Ethylene'!$E$75</f>
        <v>12912.817706890441</v>
      </c>
      <c r="Q24" s="571">
        <f>Q19*'Demand - Ethylene'!$E$75</f>
        <v>13074.881801099109</v>
      </c>
      <c r="R24" s="571">
        <f>R19*'Demand - Ethylene'!$E$75</f>
        <v>13238.294620129656</v>
      </c>
      <c r="S24" s="571">
        <f>S19*'Demand - Ethylene'!$E$75</f>
        <v>13403.053096088672</v>
      </c>
      <c r="T24" s="571">
        <f>T19*'Demand - Ethylene'!$E$75</f>
        <v>13569.153720169295</v>
      </c>
      <c r="U24" s="571">
        <f>U19*'Demand - Ethylene'!$E$75</f>
        <v>13736.592530958182</v>
      </c>
      <c r="V24" s="571">
        <f>V19*'Demand - Ethylene'!$E$75</f>
        <v>13905.365102539021</v>
      </c>
      <c r="W24" s="571">
        <f>W19*'Demand - Ethylene'!$E$75</f>
        <v>14075.466532390494</v>
      </c>
      <c r="X24" s="571">
        <f>X19*'Demand - Ethylene'!$E$75</f>
        <v>14246.891429076848</v>
      </c>
      <c r="Y24" s="571">
        <f>Y19*'Demand - Ethylene'!$E$75</f>
        <v>14309.052675283183</v>
      </c>
      <c r="Z24" s="571">
        <f>Z19*'Demand - Ethylene'!$E$75</f>
        <v>14368.883259346396</v>
      </c>
      <c r="AA24" s="571">
        <f>AA19*'Demand - Ethylene'!$E$75</f>
        <v>14426.310264135067</v>
      </c>
      <c r="AB24" s="571">
        <f>AB19*'Demand - Ethylene'!$E$75</f>
        <v>14481.259887199183</v>
      </c>
      <c r="AC24" s="571">
        <f>AC19*'Demand - Ethylene'!$E$75</f>
        <v>14533.65745601285</v>
      </c>
      <c r="AD24" s="571">
        <f>AD19*'Demand - Ethylene'!$E$75</f>
        <v>14583.42744455032</v>
      </c>
      <c r="AE24" s="571">
        <f>AE19*'Demand - Ethylene'!$E$75</f>
        <v>14630.493491248297</v>
      </c>
      <c r="AF24" s="571">
        <f>AF19*'Demand - Ethylene'!$E$75</f>
        <v>14674.778418409094</v>
      </c>
      <c r="AG24" s="571">
        <f>AG19*'Demand - Ethylene'!$E$75</f>
        <v>14716.204253100945</v>
      </c>
      <c r="AH24" s="571">
        <f>AH19*'Demand - Ethylene'!$E$75</f>
        <v>14754.692249613505</v>
      </c>
    </row>
    <row r="25" spans="1:42" s="62" customFormat="1">
      <c r="A25" s="608"/>
      <c r="B25" s="58" t="s">
        <v>605</v>
      </c>
      <c r="C25" s="233" t="s">
        <v>1420</v>
      </c>
      <c r="D25" s="528">
        <f>D19*'Demand - Ethylene'!$D$75/'Demand - Ethylene'!$L$24</f>
        <v>0</v>
      </c>
      <c r="E25" s="528">
        <f>E19*'Demand - Ethylene'!$D$75/'Demand - Ethylene'!$L$24</f>
        <v>0</v>
      </c>
      <c r="F25" s="528">
        <f>F19*'Demand - Ethylene'!$D$75/'Demand - Ethylene'!$L$24</f>
        <v>0</v>
      </c>
      <c r="G25" s="528">
        <f>G19*'Demand - Ethylene'!$D$75/'Demand - Ethylene'!$L$24</f>
        <v>0</v>
      </c>
      <c r="H25" s="528">
        <f>H19*'Demand - Ethylene'!$D$75/'Demand - Ethylene'!$L$24</f>
        <v>0</v>
      </c>
      <c r="I25" s="528">
        <f>I19*'Demand - Ethylene'!$D$75/'Demand - Ethylene'!$L$24</f>
        <v>0</v>
      </c>
      <c r="J25" s="528">
        <f>J19*'Demand - Ethylene'!$D$75/'Demand - Ethylene'!$L$24</f>
        <v>0</v>
      </c>
      <c r="K25" s="528">
        <f>K19*'Demand - Ethylene'!$D$75/'Demand - Ethylene'!$L$24</f>
        <v>0</v>
      </c>
      <c r="L25" s="528">
        <f>L19*'Demand - Ethylene'!$D$75/'Demand - Ethylene'!$L$24</f>
        <v>0</v>
      </c>
      <c r="M25" s="528">
        <f>M19*'Demand - Ethylene'!$D$75/'Demand - Ethylene'!$L$24</f>
        <v>0</v>
      </c>
      <c r="N25" s="528">
        <f>N19*'Demand - Ethylene'!$D$75/'Demand - Ethylene'!$L$24</f>
        <v>0</v>
      </c>
      <c r="O25" s="528">
        <f>O19*'Demand - Ethylene'!$D$75/'Demand - Ethylene'!$L$24</f>
        <v>0</v>
      </c>
      <c r="P25" s="528">
        <f>P19*'Demand - Ethylene'!$D$75/'Demand - Ethylene'!$L$24</f>
        <v>0</v>
      </c>
      <c r="Q25" s="528">
        <f>Q19*'Demand - Ethylene'!$D$75/'Demand - Ethylene'!$L$24</f>
        <v>0</v>
      </c>
      <c r="R25" s="528">
        <f>R19*'Demand - Ethylene'!$D$75/'Demand - Ethylene'!$L$24</f>
        <v>0</v>
      </c>
      <c r="S25" s="528">
        <f>S19*'Demand - Ethylene'!$D$75/'Demand - Ethylene'!$L$24</f>
        <v>0</v>
      </c>
      <c r="T25" s="528">
        <f>T19*'Demand - Ethylene'!$D$75/'Demand - Ethylene'!$L$24</f>
        <v>0</v>
      </c>
      <c r="U25" s="528">
        <f>U19*'Demand - Ethylene'!$D$75/'Demand - Ethylene'!$L$24</f>
        <v>0</v>
      </c>
      <c r="V25" s="528">
        <f>V19*'Demand - Ethylene'!$D$75/'Demand - Ethylene'!$L$24</f>
        <v>0</v>
      </c>
      <c r="W25" s="528">
        <f>W19*'Demand - Ethylene'!$D$75/'Demand - Ethylene'!$L$24</f>
        <v>0</v>
      </c>
      <c r="X25" s="528">
        <f>X19*'Demand - Ethylene'!$D$75/'Demand - Ethylene'!$L$24</f>
        <v>0</v>
      </c>
      <c r="Y25" s="528">
        <f>Y19*'Demand - Ethylene'!$D$75/'Demand - Ethylene'!$L$24</f>
        <v>0</v>
      </c>
      <c r="Z25" s="528">
        <f>Z19*'Demand - Ethylene'!$D$75/'Demand - Ethylene'!$L$24</f>
        <v>0</v>
      </c>
      <c r="AA25" s="528">
        <f>AA19*'Demand - Ethylene'!$D$75/'Demand - Ethylene'!$L$24</f>
        <v>0</v>
      </c>
      <c r="AB25" s="528">
        <f>AB19*'Demand - Ethylene'!$D$75/'Demand - Ethylene'!$L$24</f>
        <v>0</v>
      </c>
      <c r="AC25" s="528">
        <f>AC19*'Demand - Ethylene'!$D$75/'Demand - Ethylene'!$L$24</f>
        <v>0</v>
      </c>
      <c r="AD25" s="528">
        <f>AD19*'Demand - Ethylene'!$D$75/'Demand - Ethylene'!$L$24</f>
        <v>0</v>
      </c>
      <c r="AE25" s="528">
        <f>AE19*'Demand - Ethylene'!$D$75/'Demand - Ethylene'!$L$24</f>
        <v>0</v>
      </c>
      <c r="AF25" s="528">
        <f>AF19*'Demand - Ethylene'!$D$75/'Demand - Ethylene'!$L$24</f>
        <v>0</v>
      </c>
      <c r="AG25" s="528">
        <f>AG19*'Demand - Ethylene'!$D$75/'Demand - Ethylene'!$L$24</f>
        <v>0</v>
      </c>
      <c r="AH25" s="528">
        <f>AH19*'Demand - Ethylene'!$D$75/'Demand - Ethylene'!$L$24</f>
        <v>0</v>
      </c>
    </row>
    <row r="26" spans="1:42">
      <c r="A26" s="1" t="s">
        <v>385</v>
      </c>
      <c r="B26" s="1" t="s">
        <v>179</v>
      </c>
      <c r="C26" s="50" t="s">
        <v>1420</v>
      </c>
      <c r="D26" s="99">
        <f>'R&amp;S - Packaging and hh goods'!J4</f>
        <v>1749397.7312644324</v>
      </c>
      <c r="E26" s="99">
        <f>D26*(1+'R&amp;S - Packaging and hh goods'!$C$5)</f>
        <v>1737207.8196432679</v>
      </c>
      <c r="F26" s="99">
        <f>E26*(1+'R&amp;S - Packaging and hh goods'!$C$5)</f>
        <v>1725102.8480804311</v>
      </c>
      <c r="G26" s="99">
        <f>F26*(1+'R&amp;S - Packaging and hh goods'!$C$5)</f>
        <v>1713082.2247083404</v>
      </c>
      <c r="H26" s="99">
        <f>G26*(1+'R&amp;S - Packaging and hh goods'!$C$5)</f>
        <v>1701145.3617835843</v>
      </c>
      <c r="I26" s="99">
        <f>H26*(1+'R&amp;S - Packaging and hh goods'!$C$5)</f>
        <v>1689291.6756581841</v>
      </c>
      <c r="J26" s="99">
        <f>I26*(1+'R&amp;S - Packaging and hh goods'!$C$5)</f>
        <v>1677520.5867510559</v>
      </c>
      <c r="K26" s="99">
        <f>J26*(1+'R&amp;S - Packaging and hh goods'!$C$5)</f>
        <v>1665831.5195196725</v>
      </c>
      <c r="L26" s="99">
        <f>K26*(1+'R&amp;S - Packaging and hh goods'!$C$5)</f>
        <v>1654223.9024319232</v>
      </c>
      <c r="M26" s="99">
        <f>L26*(1+'R&amp;S - Packaging and hh goods'!$C$5)</f>
        <v>1642697.1679381679</v>
      </c>
      <c r="N26" s="99">
        <f>M26*(1+'R&amp;S - Packaging and hh goods'!$C$5)</f>
        <v>1631250.7524434878</v>
      </c>
      <c r="O26" s="99">
        <f>N26*(1+'R&amp;S - Packaging and hh goods'!$C$5)</f>
        <v>1619884.0962801282</v>
      </c>
      <c r="P26" s="99">
        <f>O26*(1+'R&amp;S - Packaging and hh goods'!$C$5)</f>
        <v>1608596.6436801341</v>
      </c>
      <c r="Q26" s="99">
        <f>P26*(1+'R&amp;S - Packaging and hh goods'!$C$5)</f>
        <v>1597387.8427481756</v>
      </c>
      <c r="R26" s="99">
        <f>Q26*(1+'R&amp;S - Packaging and hh goods'!$C$5)</f>
        <v>1586257.1454345642</v>
      </c>
      <c r="S26" s="99">
        <f>R26*(1+'R&amp;S - Packaging and hh goods'!$C$5)</f>
        <v>1575204.0075084551</v>
      </c>
      <c r="T26" s="99">
        <f>S26*(1+'R&amp;S - Packaging and hh goods'!$C$5)</f>
        <v>1564227.8885312378</v>
      </c>
      <c r="U26" s="99">
        <f>T26*(1+'R&amp;S - Packaging and hh goods'!$C$5)</f>
        <v>1553328.2518301117</v>
      </c>
      <c r="V26" s="99">
        <f>U26*(1+'R&amp;S - Packaging and hh goods'!$C$5)</f>
        <v>1542504.5644718453</v>
      </c>
      <c r="W26" s="99">
        <f>V26*(1+'R&amp;S - Packaging and hh goods'!$C$5)</f>
        <v>1531756.2972367185</v>
      </c>
      <c r="X26" s="99">
        <f>W26*(1+'R&amp;S - Packaging and hh goods'!$C$5)</f>
        <v>1521082.9245926475</v>
      </c>
      <c r="Y26" s="99">
        <f>X26*(1+'R&amp;S - Packaging and hh goods'!$C$5)</f>
        <v>1510483.9246694881</v>
      </c>
      <c r="Z26" s="99">
        <f>Y26*(1+'R&amp;S - Packaging and hh goods'!$C$5)</f>
        <v>1499958.7792335199</v>
      </c>
      <c r="AA26" s="99">
        <f>Z26*(1+'R&amp;S - Packaging and hh goods'!$C$5)</f>
        <v>1489506.9736621073</v>
      </c>
      <c r="AB26" s="99">
        <f>AA26*(1+'R&amp;S - Packaging and hh goods'!$C$5)</f>
        <v>1479127.9969185363</v>
      </c>
      <c r="AC26" s="99">
        <f>AB26*(1+'R&amp;S - Packaging and hh goods'!$C$5)</f>
        <v>1468821.3415270289</v>
      </c>
      <c r="AD26" s="99">
        <f>AC26*(1+'R&amp;S - Packaging and hh goods'!$C$5)</f>
        <v>1458586.5035479299</v>
      </c>
      <c r="AE26" s="99">
        <f>AD26*(1+'R&amp;S - Packaging and hh goods'!$C$5)</f>
        <v>1448422.9825530665</v>
      </c>
      <c r="AF26" s="99">
        <f>AE26*(1+'R&amp;S - Packaging and hh goods'!$C$5)</f>
        <v>1438330.2816012802</v>
      </c>
      <c r="AG26" s="99">
        <f>AF26*(1+'R&amp;S - Packaging and hh goods'!$C$5)</f>
        <v>1428307.9072141296</v>
      </c>
      <c r="AH26" s="99">
        <f>AG26*(1+'R&amp;S - Packaging and hh goods'!$C$5)</f>
        <v>1418355.3693517612</v>
      </c>
    </row>
    <row r="27" spans="1:42" outlineLevel="1">
      <c r="B27" s="57" t="s">
        <v>146</v>
      </c>
      <c r="C27" s="50" t="s">
        <v>1420</v>
      </c>
      <c r="D27" s="183">
        <v>0</v>
      </c>
      <c r="E27" s="183">
        <f>E26*'R&amp;S - Packaging and hh goods'!$C$7*('R&amp;S - Packaging and hh goods'!$B$15*'R&amp;S - Packaging and hh goods'!$B$19*('Yearly LC Ethylene'!E$3-'Yearly LC Ethylene'!$D$3)/10)</f>
        <v>3517.8458347776173</v>
      </c>
      <c r="F27" s="183">
        <f>F26*'R&amp;S - Packaging and hh goods'!$C$7*('R&amp;S - Packaging and hh goods'!$B$15*'R&amp;S - Packaging and hh goods'!$B$19*('Yearly LC Ethylene'!F$3-'Yearly LC Ethylene'!$D$3)/10)</f>
        <v>6986.6665347257458</v>
      </c>
      <c r="G27" s="183">
        <f>G26*'R&amp;S - Packaging and hh goods'!$C$7*('R&amp;S - Packaging and hh goods'!$B$15*'R&amp;S - Packaging and hh goods'!$B$19*('Yearly LC Ethylene'!G$3-'Yearly LC Ethylene'!$D$3)/10)</f>
        <v>10406.974515103166</v>
      </c>
      <c r="H27" s="183">
        <f>H26*'R&amp;S - Packaging and hh goods'!$C$7*('R&amp;S - Packaging and hh goods'!$B$15*'R&amp;S - Packaging and hh goods'!$B$19*('Yearly LC Ethylene'!H$3-'Yearly LC Ethylene'!$D$3)/10)</f>
        <v>13779.277430447033</v>
      </c>
      <c r="I27" s="183">
        <f>I26*'R&amp;S - Packaging and hh goods'!$C$7*('R&amp;S - Packaging and hh goods'!$B$15*'R&amp;S - Packaging and hh goods'!$B$19*('Yearly LC Ethylene'!I$3-'Yearly LC Ethylene'!$D$3)/10)</f>
        <v>17104.078216039114</v>
      </c>
      <c r="J27" s="183">
        <f>J26*'R&amp;S - Packaging and hh goods'!$C$7*('R&amp;S - Packaging and hh goods'!$B$15*'R&amp;S - Packaging and hh goods'!$B$19*('Yearly LC Ethylene'!J$3-'Yearly LC Ethylene'!$D$3)/10)</f>
        <v>20381.875129025324</v>
      </c>
      <c r="K27" s="183">
        <f>K26*'R&amp;S - Packaging and hh goods'!$C$7*('R&amp;S - Packaging and hh goods'!$B$15*'R&amp;S - Packaging and hh goods'!$B$19*('Yearly LC Ethylene'!K$3-'Yearly LC Ethylene'!$D$3)/10)</f>
        <v>23613.161789191356</v>
      </c>
      <c r="L27" s="183">
        <f>L26*'R&amp;S - Packaging and hh goods'!$C$7*('R&amp;S - Packaging and hh goods'!$B$15*'R&amp;S - Packaging and hh goods'!$B$19*('Yearly LC Ethylene'!L$3-'Yearly LC Ethylene'!$D$3)/10)</f>
        <v>26798.427219397152</v>
      </c>
      <c r="M27" s="183">
        <f>M26*'R&amp;S - Packaging and hh goods'!$C$7*('R&amp;S - Packaging and hh goods'!$B$15*'R&amp;S - Packaging and hh goods'!$B$19*('Yearly LC Ethylene'!M$3-'Yearly LC Ethylene'!$D$3)/10)</f>
        <v>29938.15588567311</v>
      </c>
      <c r="N27" s="183">
        <f>N26*'R&amp;S - Packaging and hh goods'!$C$7*('R&amp;S - Packaging and hh goods'!$B$15*'R&amp;S - Packaging and hh goods'!$B$19*('Yearly LC Ethylene'!N$3-'Yearly LC Ethylene'!$D$3)/10)</f>
        <v>33032.827736980631</v>
      </c>
      <c r="O27" s="183">
        <f>O26*'R&amp;S - Packaging and hh goods'!$C$7*('R&amp;S - Packaging and hh goods'!$B$15*('R&amp;S - Packaging and hh goods'!$B$19+('R&amp;S - Packaging and hh goods'!$B$20-'R&amp;S - Packaging and hh goods'!$B$19)*('Yearly LC Ethylene'!O$3-'Yearly LC Ethylene'!$N$3)/10))</f>
        <v>42862.133187572195</v>
      </c>
      <c r="P27" s="183">
        <f>P26*'R&amp;S - Packaging and hh goods'!$C$7*('R&amp;S - Packaging and hh goods'!$B$15*('R&amp;S - Packaging and hh goods'!$B$19+('R&amp;S - Packaging and hh goods'!$B$20-'R&amp;S - Packaging and hh goods'!$B$19)*('Yearly LC Ethylene'!P$3-'Yearly LC Ethylene'!$N$3)/10))</f>
        <v>52552.85234902997</v>
      </c>
      <c r="Q27" s="183">
        <f>Q26*'R&amp;S - Packaging and hh goods'!$C$7*('R&amp;S - Packaging and hh goods'!$B$15*('R&amp;S - Packaging and hh goods'!$B$19+('R&amp;S - Packaging and hh goods'!$B$20-'R&amp;S - Packaging and hh goods'!$B$19)*('Yearly LC Ethylene'!Q$3-'Yearly LC Ethylene'!$N$3)/10))</f>
        <v>62106.439326049054</v>
      </c>
      <c r="R27" s="183">
        <f>R26*'R&amp;S - Packaging and hh goods'!$C$7*('R&amp;S - Packaging and hh goods'!$B$15*('R&amp;S - Packaging and hh goods'!$B$19+('R&amp;S - Packaging and hh goods'!$B$20-'R&amp;S - Packaging and hh goods'!$B$19)*('Yearly LC Ethylene'!R$3-'Yearly LC Ethylene'!$N$3)/10))</f>
        <v>71524.33468764447</v>
      </c>
      <c r="S27" s="183">
        <f>S26*'R&amp;S - Packaging and hh goods'!$C$7*('R&amp;S - Packaging and hh goods'!$B$15*('R&amp;S - Packaging and hh goods'!$B$19+('R&amp;S - Packaging and hh goods'!$B$20-'R&amp;S - Packaging and hh goods'!$B$19)*('Yearly LC Ethylene'!S$3-'Yearly LC Ethylene'!$N$3)/10))</f>
        <v>80807.965585183745</v>
      </c>
      <c r="T27" s="183">
        <f>T26*'R&amp;S - Packaging and hh goods'!$C$7*('R&amp;S - Packaging and hh goods'!$B$15*('R&amp;S - Packaging and hh goods'!$B$19+('R&amp;S - Packaging and hh goods'!$B$20-'R&amp;S - Packaging and hh goods'!$B$19)*('Yearly LC Ethylene'!T$3-'Yearly LC Ethylene'!$N$3)/10))</f>
        <v>89958.74586943147</v>
      </c>
      <c r="U27" s="183">
        <f>U26*'R&amp;S - Packaging and hh goods'!$C$7*('R&amp;S - Packaging and hh goods'!$B$15*('R&amp;S - Packaging and hh goods'!$B$19+('R&amp;S - Packaging and hh goods'!$B$20-'R&amp;S - Packaging and hh goods'!$B$19)*('Yearly LC Ethylene'!U$3-'Yearly LC Ethylene'!$N$3)/10))</f>
        <v>98978.076206614714</v>
      </c>
      <c r="V27" s="183">
        <f>V26*'R&amp;S - Packaging and hh goods'!$C$7*('R&amp;S - Packaging and hh goods'!$B$15*('R&amp;S - Packaging and hh goods'!$B$19+('R&amp;S - Packaging and hh goods'!$B$20-'R&amp;S - Packaging and hh goods'!$B$19)*('Yearly LC Ethylene'!V$3-'Yearly LC Ethylene'!$N$3)/10))</f>
        <v>107867.34419351614</v>
      </c>
      <c r="W27" s="183">
        <f>W26*'R&amp;S - Packaging and hh goods'!$C$7*('R&amp;S - Packaging and hh goods'!$B$15*('R&amp;S - Packaging and hh goods'!$B$19+('R&amp;S - Packaging and hh goods'!$B$20-'R&amp;S - Packaging and hh goods'!$B$19)*('Yearly LC Ethylene'!W$3-'Yearly LC Ethylene'!$N$3)/10))</f>
        <v>116627.92447160372</v>
      </c>
      <c r="X27" s="183">
        <f>X26*'R&amp;S - Packaging and hh goods'!$C$7*('R&amp;S - Packaging and hh goods'!$B$15*('R&amp;S - Packaging and hh goods'!$B$19+('R&amp;S - Packaging and hh goods'!$B$20-'R&amp;S - Packaging and hh goods'!$B$19)*('Yearly LC Ethylene'!X$3-'Yearly LC Ethylene'!$N$3)/10))</f>
        <v>125261.17884020451</v>
      </c>
      <c r="Y27" s="183">
        <f>Y26*'R&amp;S - Packaging and hh goods'!$C$7*('R&amp;S - Packaging and hh goods'!$B$15*('R&amp;S - Packaging and hh goods'!$B$20+('R&amp;S - Packaging and hh goods'!$B$21-'R&amp;S - Packaging and hh goods'!$B$20)*('Yearly LC Ethylene'!Y$3-'Yearly LC Ethylene'!$X$3)/10))</f>
        <v>132341.04905991722</v>
      </c>
      <c r="Z27" s="183">
        <f>Z26*'R&amp;S - Packaging and hh goods'!$C$7*('R&amp;S - Packaging and hh goods'!$B$15*('R&amp;S - Packaging and hh goods'!$B$20+('R&amp;S - Packaging and hh goods'!$B$21-'R&amp;S - Packaging and hh goods'!$B$20)*('Yearly LC Ethylene'!Z$3-'Yearly LC Ethylene'!$X$3)/10))</f>
        <v>139316.17141520933</v>
      </c>
      <c r="AA27" s="183">
        <f>AA26*'R&amp;S - Packaging and hh goods'!$C$7*('R&amp;S - Packaging and hh goods'!$B$15*('R&amp;S - Packaging and hh goods'!$B$20+('R&amp;S - Packaging and hh goods'!$B$21-'R&amp;S - Packaging and hh goods'!$B$20)*('Yearly LC Ethylene'!AA$3-'Yearly LC Ethylene'!$X$3)/10))</f>
        <v>146187.66193006749</v>
      </c>
      <c r="AB27" s="183">
        <f>AB26*'R&amp;S - Packaging and hh goods'!$C$7*('R&amp;S - Packaging and hh goods'!$B$15*('R&amp;S - Packaging and hh goods'!$B$20+('R&amp;S - Packaging and hh goods'!$B$21-'R&amp;S - Packaging and hh goods'!$B$20)*('Yearly LC Ethylene'!AB$3-'Yearly LC Ethylene'!$X$3)/10))</f>
        <v>152956.62616134583</v>
      </c>
      <c r="AC27" s="183">
        <f>AC26*'R&amp;S - Packaging and hh goods'!$C$7*('R&amp;S - Packaging and hh goods'!$B$15*('R&amp;S - Packaging and hh goods'!$B$20+('R&amp;S - Packaging and hh goods'!$B$21-'R&amp;S - Packaging and hh goods'!$B$20)*('Yearly LC Ethylene'!AC$3-'Yearly LC Ethylene'!$X$3)/10))</f>
        <v>159624.15929044987</v>
      </c>
      <c r="AD27" s="183">
        <f>AD26*'R&amp;S - Packaging and hh goods'!$C$7*('R&amp;S - Packaging and hh goods'!$B$15*('R&amp;S - Packaging and hh goods'!$B$20+('R&amp;S - Packaging and hh goods'!$B$21-'R&amp;S - Packaging and hh goods'!$B$20)*('Yearly LC Ethylene'!AD$3-'Yearly LC Ethylene'!$X$3)/10))</f>
        <v>166191.34621425116</v>
      </c>
      <c r="AE27" s="183">
        <f>AE26*'R&amp;S - Packaging and hh goods'!$C$7*('R&amp;S - Packaging and hh goods'!$B$15*('R&amp;S - Packaging and hh goods'!$B$20+('R&amp;S - Packaging and hh goods'!$B$21-'R&amp;S - Packaging and hh goods'!$B$20)*('Yearly LC Ethylene'!AE$3-'Yearly LC Ethylene'!$X$3)/10))</f>
        <v>172659.26163523828</v>
      </c>
      <c r="AF27" s="183">
        <f>AF26*'R&amp;S - Packaging and hh goods'!$C$7*('R&amp;S - Packaging and hh goods'!$B$15*('R&amp;S - Packaging and hh goods'!$B$20+('R&amp;S - Packaging and hh goods'!$B$21-'R&amp;S - Packaging and hh goods'!$B$20)*('Yearly LC Ethylene'!AF$3-'Yearly LC Ethylene'!$X$3)/10))</f>
        <v>179028.97015091134</v>
      </c>
      <c r="AG27" s="183">
        <f>AG26*'R&amp;S - Packaging and hh goods'!$C$7*('R&amp;S - Packaging and hh goods'!$B$15*('R&amp;S - Packaging and hh goods'!$B$20+('R&amp;S - Packaging and hh goods'!$B$21-'R&amp;S - Packaging and hh goods'!$B$20)*('Yearly LC Ethylene'!AG$3-'Yearly LC Ethylene'!$X$3)/10))</f>
        <v>185301.52634242509</v>
      </c>
      <c r="AH27" s="183">
        <f>AH26*'R&amp;S - Packaging and hh goods'!$C$7*('R&amp;S - Packaging and hh goods'!$B$15*('R&amp;S - Packaging and hh goods'!$B$20+('R&amp;S - Packaging and hh goods'!$B$21-'R&amp;S - Packaging and hh goods'!$B$20)*('Yearly LC Ethylene'!AH$3-'Yearly LC Ethylene'!$X$3)/10))</f>
        <v>191477.97486248775</v>
      </c>
    </row>
    <row r="28" spans="1:42" outlineLevel="1">
      <c r="B28" s="57" t="s">
        <v>193</v>
      </c>
      <c r="C28" s="50" t="s">
        <v>1420</v>
      </c>
      <c r="D28" s="183">
        <v>0</v>
      </c>
      <c r="E28" s="183">
        <f>E26*'R&amp;S - Packaging and hh goods'!$C$8*('R&amp;S - Packaging and hh goods'!$B$15*'R&amp;S - Packaging and hh goods'!$C$19*('Yearly LC Ethylene'!E$3-'Yearly LC Ethylene'!$D$3)/10)</f>
        <v>8350.3236870702785</v>
      </c>
      <c r="F28" s="183">
        <f>F26*'R&amp;S - Packaging and hh goods'!$C$8*('R&amp;S - Packaging and hh goods'!$B$15*'R&amp;S - Packaging and hh goods'!$C$19*('Yearly LC Ethylene'!F$3-'Yearly LC Ethylene'!$D$3)/10)</f>
        <v>16584.276230021227</v>
      </c>
      <c r="G28" s="183">
        <f>G26*'R&amp;S - Packaging and hh goods'!$C$8*('R&amp;S - Packaging and hh goods'!$B$15*'R&amp;S - Packaging and hh goods'!$C$19*('Yearly LC Ethylene'!G$3-'Yearly LC Ethylene'!$D$3)/10)</f>
        <v>24703.073950850441</v>
      </c>
      <c r="H28" s="183">
        <f>H26*'R&amp;S - Packaging and hh goods'!$C$8*('R&amp;S - Packaging and hh goods'!$B$15*'R&amp;S - Packaging and hh goods'!$C$19*('Yearly LC Ethylene'!H$3-'Yearly LC Ethylene'!$D$3)/10)</f>
        <v>32707.921871012979</v>
      </c>
      <c r="I28" s="183">
        <f>I26*'R&amp;S - Packaging and hh goods'!$C$8*('R&amp;S - Packaging and hh goods'!$B$15*'R&amp;S - Packaging and hh goods'!$C$19*('Yearly LC Ethylene'!I$3-'Yearly LC Ethylene'!$D$3)/10)</f>
        <v>40600.013809849886</v>
      </c>
      <c r="J28" s="183">
        <f>J26*'R&amp;S - Packaging and hh goods'!$C$8*('R&amp;S - Packaging and hh goods'!$B$15*'R&amp;S - Packaging and hh goods'!$C$19*('Yearly LC Ethylene'!J$3-'Yearly LC Ethylene'!$D$3)/10)</f>
        <v>48380.532482193827</v>
      </c>
      <c r="K28" s="183">
        <f>K26*'R&amp;S - Packaging and hh goods'!$C$8*('R&amp;S - Packaging and hh goods'!$B$15*'R&amp;S - Packaging and hh goods'!$C$19*('Yearly LC Ethylene'!K$3-'Yearly LC Ethylene'!$D$3)/10)</f>
        <v>56050.649595158291</v>
      </c>
      <c r="L28" s="183">
        <f>L26*'R&amp;S - Packaging and hh goods'!$C$8*('R&amp;S - Packaging and hh goods'!$B$15*'R&amp;S - Packaging and hh goods'!$C$19*('Yearly LC Ethylene'!L$3-'Yearly LC Ethylene'!$D$3)/10)</f>
        <v>63611.52594411718</v>
      </c>
      <c r="M28" s="183">
        <f>M26*'R&amp;S - Packaging and hh goods'!$C$8*('R&amp;S - Packaging and hh goods'!$B$15*'R&amp;S - Packaging and hh goods'!$C$19*('Yearly LC Ethylene'!M$3-'Yearly LC Ethylene'!$D$3)/10)</f>
        <v>71064.31150788111</v>
      </c>
      <c r="N28" s="183">
        <f>N26*'R&amp;S - Packaging and hh goods'!$C$8*('R&amp;S - Packaging and hh goods'!$B$15*'R&amp;S - Packaging and hh goods'!$C$19*('Yearly LC Ethylene'!N$3-'Yearly LC Ethylene'!$D$3)/10)</f>
        <v>78410.145543077349</v>
      </c>
      <c r="O28" s="183">
        <f>O26*'R&amp;S - Packaging and hh goods'!$C$8*('R&amp;S - Packaging and hh goods'!$B$15*('R&amp;S - Packaging and hh goods'!$C$19+('R&amp;S - Packaging and hh goods'!$C$20-'R&amp;S - Packaging and hh goods'!$C$19)*('Yearly LC Ethylene'!O$3-'Yearly LC Ethylene'!$N$3)/10))</f>
        <v>89140.601934199178</v>
      </c>
      <c r="P28" s="183">
        <f>P26*'R&amp;S - Packaging and hh goods'!$C$8*('R&amp;S - Packaging and hh goods'!$B$15*('R&amp;S - Packaging and hh goods'!$C$19+('R&amp;S - Packaging and hh goods'!$C$20-'R&amp;S - Packaging and hh goods'!$C$19)*('Yearly LC Ethylene'!P$3-'Yearly LC Ethylene'!$N$3)/10))</f>
        <v>99717.710240053348</v>
      </c>
      <c r="Q28" s="183">
        <f>Q26*'R&amp;S - Packaging and hh goods'!$C$8*('R&amp;S - Packaging and hh goods'!$B$15*('R&amp;S - Packaging and hh goods'!$C$19+('R&amp;S - Packaging and hh goods'!$C$20-'R&amp;S - Packaging and hh goods'!$C$19)*('Yearly LC Ethylene'!Q$3-'Yearly LC Ethylene'!$N$3)/10))</f>
        <v>110143.08653317222</v>
      </c>
      <c r="R28" s="183">
        <f>R26*'R&amp;S - Packaging and hh goods'!$C$8*('R&amp;S - Packaging and hh goods'!$B$15*('R&amp;S - Packaging and hh goods'!$C$19+('R&amp;S - Packaging and hh goods'!$C$20-'R&amp;S - Packaging and hh goods'!$C$19)*('Yearly LC Ethylene'!R$3-'Yearly LC Ethylene'!$N$3)/10))</f>
        <v>120418.3318099468</v>
      </c>
      <c r="S28" s="183">
        <f>S26*'R&amp;S - Packaging and hh goods'!$C$8*('R&amp;S - Packaging and hh goods'!$B$15*('R&amp;S - Packaging and hh goods'!$C$19+('R&amp;S - Packaging and hh goods'!$C$20-'R&amp;S - Packaging and hh goods'!$C$19)*('Yearly LC Ethylene'!S$3-'Yearly LC Ethylene'!$N$3)/10))</f>
        <v>130545.03212226322</v>
      </c>
      <c r="T28" s="183">
        <f>T26*'R&amp;S - Packaging and hh goods'!$C$8*('R&amp;S - Packaging and hh goods'!$B$15*('R&amp;S - Packaging and hh goods'!$C$19+('R&amp;S - Packaging and hh goods'!$C$20-'R&amp;S - Packaging and hh goods'!$C$19)*('Yearly LC Ethylene'!T$3-'Yearly LC Ethylene'!$N$3)/10))</f>
        <v>140524.75870803656</v>
      </c>
      <c r="U28" s="183">
        <f>U26*'R&amp;S - Packaging and hh goods'!$C$8*('R&amp;S - Packaging and hh goods'!$B$15*('R&amp;S - Packaging and hh goods'!$C$19+('R&amp;S - Packaging and hh goods'!$C$20-'R&amp;S - Packaging and hh goods'!$C$19)*('Yearly LC Ethylene'!U$3-'Yearly LC Ethylene'!$N$3)/10))</f>
        <v>150359.06812065115</v>
      </c>
      <c r="V28" s="183">
        <f>V26*'R&amp;S - Packaging and hh goods'!$C$8*('R&amp;S - Packaging and hh goods'!$B$15*('R&amp;S - Packaging and hh goods'!$C$19+('R&amp;S - Packaging and hh goods'!$C$20-'R&amp;S - Packaging and hh goods'!$C$19)*('Yearly LC Ethylene'!V$3-'Yearly LC Ethylene'!$N$3)/10))</f>
        <v>160049.50235731641</v>
      </c>
      <c r="W28" s="183">
        <f>W26*'R&amp;S - Packaging and hh goods'!$C$8*('R&amp;S - Packaging and hh goods'!$B$15*('R&amp;S - Packaging and hh goods'!$C$19+('R&amp;S - Packaging and hh goods'!$C$20-'R&amp;S - Packaging and hh goods'!$C$19)*('Yearly LC Ethylene'!W$3-'Yearly LC Ethylene'!$N$3)/10))</f>
        <v>169597.5889863467</v>
      </c>
      <c r="X28" s="183">
        <f>X26*'R&amp;S - Packaging and hh goods'!$C$8*('R&amp;S - Packaging and hh goods'!$B$15*('R&amp;S - Packaging and hh goods'!$C$19+('R&amp;S - Packaging and hh goods'!$C$20-'R&amp;S - Packaging and hh goods'!$C$19)*('Yearly LC Ethylene'!X$3-'Yearly LC Ethylene'!$N$3)/10))</f>
        <v>179004.84127337424</v>
      </c>
      <c r="Y28" s="183">
        <f>Y26*'R&amp;S - Packaging and hh goods'!$C$8*('R&amp;S - Packaging and hh goods'!$B$15*('R&amp;S - Packaging and hh goods'!$C$20+('R&amp;S - Packaging and hh goods'!$C$21-'R&amp;S - Packaging and hh goods'!$C$20)*('Yearly LC Ethylene'!Y$3-'Yearly LC Ethylene'!$X$3)/10))</f>
        <v>185018.04306982213</v>
      </c>
      <c r="Z28" s="183">
        <f>Z26*'R&amp;S - Packaging and hh goods'!$C$8*('R&amp;S - Packaging and hh goods'!$B$15*('R&amp;S - Packaging and hh goods'!$C$20+('R&amp;S - Packaging and hh goods'!$C$21-'R&amp;S - Packaging and hh goods'!$C$20)*('Yearly LC Ethylene'!Z$3-'Yearly LC Ethylene'!$X$3)/10))</f>
        <v>190938.7527613102</v>
      </c>
      <c r="AA28" s="183">
        <f>AA26*'R&amp;S - Packaging and hh goods'!$C$8*('R&amp;S - Packaging and hh goods'!$B$15*('R&amp;S - Packaging and hh goods'!$C$20+('R&amp;S - Packaging and hh goods'!$C$21-'R&amp;S - Packaging and hh goods'!$C$20)*('Yearly LC Ethylene'!AA$3-'Yearly LC Ethylene'!$X$3)/10))</f>
        <v>196767.96736494196</v>
      </c>
      <c r="AB28" s="183">
        <f>AB26*'R&amp;S - Packaging and hh goods'!$C$8*('R&amp;S - Packaging and hh goods'!$B$15*('R&amp;S - Packaging and hh goods'!$C$20+('R&amp;S - Packaging and hh goods'!$C$21-'R&amp;S - Packaging and hh goods'!$C$20)*('Yearly LC Ethylene'!AB$3-'Yearly LC Ethylene'!$X$3)/10))</f>
        <v>202506.67449411834</v>
      </c>
      <c r="AC28" s="183">
        <f>AC26*'R&amp;S - Packaging and hh goods'!$C$8*('R&amp;S - Packaging and hh goods'!$B$15*('R&amp;S - Packaging and hh goods'!$C$20+('R&amp;S - Packaging and hh goods'!$C$21-'R&amp;S - Packaging and hh goods'!$C$20)*('Yearly LC Ethylene'!AC$3-'Yearly LC Ethylene'!$X$3)/10))</f>
        <v>208155.85244117983</v>
      </c>
      <c r="AD28" s="183">
        <f>AD26*'R&amp;S - Packaging and hh goods'!$C$8*('R&amp;S - Packaging and hh goods'!$B$15*('R&amp;S - Packaging and hh goods'!$C$20+('R&amp;S - Packaging and hh goods'!$C$21-'R&amp;S - Packaging and hh goods'!$C$20)*('Yearly LC Ethylene'!AD$3-'Yearly LC Ethylene'!$X$3)/10))</f>
        <v>213716.47025935334</v>
      </c>
      <c r="AE28" s="183">
        <f>AE26*'R&amp;S - Packaging and hh goods'!$C$8*('R&amp;S - Packaging and hh goods'!$B$15*('R&amp;S - Packaging and hh goods'!$C$20+('R&amp;S - Packaging and hh goods'!$C$21-'R&amp;S - Packaging and hh goods'!$C$20)*('Yearly LC Ethylene'!AE$3-'Yearly LC Ethylene'!$X$3)/10))</f>
        <v>219189.48784400994</v>
      </c>
      <c r="AF28" s="183">
        <f>AF26*'R&amp;S - Packaging and hh goods'!$C$8*('R&amp;S - Packaging and hh goods'!$B$15*('R&amp;S - Packaging and hh goods'!$C$20+('R&amp;S - Packaging and hh goods'!$C$21-'R&amp;S - Packaging and hh goods'!$C$20)*('Yearly LC Ethylene'!AF$3-'Yearly LC Ethylene'!$X$3)/10))</f>
        <v>224575.85601323828</v>
      </c>
      <c r="AG28" s="183">
        <f>AG26*'R&amp;S - Packaging and hh goods'!$C$8*('R&amp;S - Packaging and hh goods'!$B$15*('R&amp;S - Packaging and hh goods'!$C$20+('R&amp;S - Packaging and hh goods'!$C$21-'R&amp;S - Packaging and hh goods'!$C$20)*('Yearly LC Ethylene'!AG$3-'Yearly LC Ethylene'!$X$3)/10))</f>
        <v>229876.51658774048</v>
      </c>
      <c r="AH28" s="183">
        <f>AH26*'R&amp;S - Packaging and hh goods'!$C$8*('R&amp;S - Packaging and hh goods'!$B$15*('R&amp;S - Packaging and hh goods'!$C$20+('R&amp;S - Packaging and hh goods'!$C$21-'R&amp;S - Packaging and hh goods'!$C$20)*('Yearly LC Ethylene'!AH$3-'Yearly LC Ethylene'!$X$3)/10))</f>
        <v>235092.40247005445</v>
      </c>
    </row>
    <row r="29" spans="1:42" outlineLevel="1">
      <c r="B29" s="1" t="s">
        <v>169</v>
      </c>
      <c r="C29" s="50" t="s">
        <v>1420</v>
      </c>
      <c r="D29" s="99">
        <f>SUM(D27:D28)</f>
        <v>0</v>
      </c>
      <c r="E29" s="99">
        <f t="shared" ref="E29:AG29" si="6">SUM(E27:E28)</f>
        <v>11868.169521847896</v>
      </c>
      <c r="F29" s="99">
        <f t="shared" si="6"/>
        <v>23570.942764746971</v>
      </c>
      <c r="G29" s="99">
        <f t="shared" si="6"/>
        <v>35110.048465953609</v>
      </c>
      <c r="H29" s="99">
        <f t="shared" si="6"/>
        <v>46487.199301460016</v>
      </c>
      <c r="I29" s="99">
        <f t="shared" si="6"/>
        <v>57704.092025888996</v>
      </c>
      <c r="J29" s="99">
        <f t="shared" si="6"/>
        <v>68762.407611219154</v>
      </c>
      <c r="K29" s="99">
        <f t="shared" si="6"/>
        <v>79663.811384349654</v>
      </c>
      <c r="L29" s="99">
        <f t="shared" si="6"/>
        <v>90409.953163514336</v>
      </c>
      <c r="M29" s="99">
        <f t="shared" si="6"/>
        <v>101002.46739355422</v>
      </c>
      <c r="N29" s="99">
        <f t="shared" si="6"/>
        <v>111442.97328005798</v>
      </c>
      <c r="O29" s="99">
        <f t="shared" si="6"/>
        <v>132002.73512177137</v>
      </c>
      <c r="P29" s="99">
        <f t="shared" si="6"/>
        <v>152270.56258908333</v>
      </c>
      <c r="Q29" s="99">
        <f t="shared" si="6"/>
        <v>172249.52585922126</v>
      </c>
      <c r="R29" s="99">
        <f t="shared" si="6"/>
        <v>191942.66649759127</v>
      </c>
      <c r="S29" s="99">
        <f t="shared" si="6"/>
        <v>211352.99770744698</v>
      </c>
      <c r="T29" s="99">
        <f t="shared" si="6"/>
        <v>230483.50457746803</v>
      </c>
      <c r="U29" s="99">
        <f t="shared" si="6"/>
        <v>249337.14432726585</v>
      </c>
      <c r="V29" s="99">
        <f t="shared" si="6"/>
        <v>267916.84655083256</v>
      </c>
      <c r="W29" s="99">
        <f t="shared" si="6"/>
        <v>286225.51345795044</v>
      </c>
      <c r="X29" s="99">
        <f t="shared" si="6"/>
        <v>304266.02011357876</v>
      </c>
      <c r="Y29" s="99">
        <f t="shared" si="6"/>
        <v>317359.09212973935</v>
      </c>
      <c r="Z29" s="99">
        <f t="shared" si="6"/>
        <v>330254.9241765195</v>
      </c>
      <c r="AA29" s="99">
        <f t="shared" si="6"/>
        <v>342955.62929500942</v>
      </c>
      <c r="AB29" s="99">
        <f t="shared" si="6"/>
        <v>355463.30065546418</v>
      </c>
      <c r="AC29" s="99">
        <f t="shared" si="6"/>
        <v>367780.01173162973</v>
      </c>
      <c r="AD29" s="99">
        <f t="shared" si="6"/>
        <v>379907.81647360453</v>
      </c>
      <c r="AE29" s="99">
        <f t="shared" si="6"/>
        <v>391848.74947924819</v>
      </c>
      <c r="AF29" s="99">
        <f t="shared" si="6"/>
        <v>403604.82616414962</v>
      </c>
      <c r="AG29" s="99">
        <f t="shared" si="6"/>
        <v>415178.04293016554</v>
      </c>
      <c r="AH29" s="99">
        <f>SUM(AH27:AH28)</f>
        <v>426570.37733254221</v>
      </c>
    </row>
    <row r="30" spans="1:42" outlineLevel="1">
      <c r="B30" s="57" t="s">
        <v>194</v>
      </c>
      <c r="C30" s="50" t="s">
        <v>1420</v>
      </c>
      <c r="D30" s="183">
        <v>0</v>
      </c>
      <c r="E30" s="183">
        <f>E26*'R&amp;S - Packaging and hh goods'!$C$9*('R&amp;S - Packaging and hh goods'!$C$15*'R&amp;S - Packaging and hh goods'!$D$19*('Yearly LC Ethylene'!E$3-'Yearly LC Ethylene'!$D$3)/10)</f>
        <v>7341.5097341252358</v>
      </c>
      <c r="F30" s="183">
        <f>F26*'R&amp;S - Packaging and hh goods'!$C$9*('R&amp;S - Packaging and hh goods'!$C$15*'R&amp;S - Packaging and hh goods'!$D$19*('Yearly LC Ethylene'!F$3-'Yearly LC Ethylene'!$D$3)/10)</f>
        <v>14580.707280203649</v>
      </c>
      <c r="G30" s="183">
        <f>G26*'R&amp;S - Packaging and hh goods'!$C$9*('R&amp;S - Packaging and hh goods'!$C$15*'R&amp;S - Packaging and hh goods'!$D$19*('Yearly LC Ethylene'!G$3-'Yearly LC Ethylene'!$D$3)/10)</f>
        <v>21718.662014719306</v>
      </c>
      <c r="H30" s="183">
        <f>H26*'R&amp;S - Packaging and hh goods'!$C$9*('R&amp;S - Packaging and hh goods'!$C$15*'R&amp;S - Packaging and hh goods'!$D$19*('Yearly LC Ethylene'!H$3-'Yearly LC Ethylene'!$D$3)/10)</f>
        <v>28756.433378847596</v>
      </c>
      <c r="I30" s="183">
        <f>I26*'R&amp;S - Packaging and hh goods'!$C$9*('R&amp;S - Packaging and hh goods'!$C$15*'R&amp;S - Packaging and hh goods'!$D$19*('Yearly LC Ethylene'!I$3-'Yearly LC Ethylene'!$D$3)/10)</f>
        <v>35695.07096499257</v>
      </c>
      <c r="J30" s="183">
        <f>J26*'R&amp;S - Packaging and hh goods'!$C$9*('R&amp;S - Packaging and hh goods'!$C$15*'R&amp;S - Packaging and hh goods'!$D$19*('Yearly LC Ethylene'!J$3-'Yearly LC Ethylene'!$D$3)/10)</f>
        <v>42535.614602600603</v>
      </c>
      <c r="K30" s="183">
        <f>K26*'R&amp;S - Packaging and hh goods'!$C$9*('R&amp;S - Packaging and hh goods'!$C$15*'R&amp;S - Packaging and hh goods'!$D$19*('Yearly LC Ethylene'!K$3-'Yearly LC Ethylene'!$D$3)/10)</f>
        <v>49279.094443256428</v>
      </c>
      <c r="L30" s="183">
        <f>L26*'R&amp;S - Packaging and hh goods'!$C$9*('R&amp;S - Packaging and hh goods'!$C$15*'R&amp;S - Packaging and hh goods'!$D$19*('Yearly LC Ethylene'!L$3-'Yearly LC Ethylene'!$D$3)/10)</f>
        <v>55926.53104506724</v>
      </c>
      <c r="M30" s="183">
        <f>M26*'R&amp;S - Packaging and hh goods'!$C$9*('R&amp;S - Packaging and hh goods'!$C$15*'R&amp;S - Packaging and hh goods'!$D$19*('Yearly LC Ethylene'!M$3-'Yearly LC Ethylene'!$D$3)/10)</f>
        <v>62478.93545634074</v>
      </c>
      <c r="N30" s="183">
        <f>N26*'R&amp;S - Packaging and hh goods'!$C$9*('R&amp;S - Packaging and hh goods'!$C$15*'R&amp;S - Packaging and hh goods'!$D$19*('Yearly LC Ethylene'!N$3-'Yearly LC Ethylene'!$D$3)/10)</f>
        <v>68937.309298562774</v>
      </c>
      <c r="O30" s="183">
        <f>O26*'R&amp;S - Packaging and hh goods'!$C$9*('R&amp;S - Packaging and hh goods'!$C$15*'R&amp;S - Packaging and hh goods'!$D$19*('Yearly LC Ethylene'!O$3-'Yearly LC Ethylene'!$D$3)/10)</f>
        <v>75302.644848680415</v>
      </c>
      <c r="P30" s="183">
        <f>P26*'R&amp;S - Packaging and hh goods'!$C$9*('R&amp;S - Packaging and hh goods'!$C$15*'R&amp;S - Packaging and hh goods'!$D$19*('Yearly LC Ethylene'!P$3-'Yearly LC Ethylene'!$D$3)/10)</f>
        <v>81575.925120695931</v>
      </c>
      <c r="Q30" s="183">
        <f>Q26*'R&amp;S - Packaging and hh goods'!$C$9*('R&amp;S - Packaging and hh goods'!$C$15*'R&amp;S - Packaging and hh goods'!$D$19*('Yearly LC Ethylene'!Q$3-'Yearly LC Ethylene'!$D$3)/10)</f>
        <v>87758.123946577514</v>
      </c>
      <c r="R30" s="183">
        <f>R26*'R&amp;S - Packaging and hh goods'!$C$9*('R&amp;S - Packaging and hh goods'!$C$15*'R&amp;S - Packaging and hh goods'!$D$19*('Yearly LC Ethylene'!R$3-'Yearly LC Ethylene'!$D$3)/10)</f>
        <v>93850.20605649201</v>
      </c>
      <c r="S30" s="183">
        <f>S26*'R&amp;S - Packaging and hh goods'!$C$9*('R&amp;S - Packaging and hh goods'!$C$15*'R&amp;S - Packaging and hh goods'!$D$19*('Yearly LC Ethylene'!S$3-'Yearly LC Ethylene'!$D$3)/10)</f>
        <v>99853.127158365503</v>
      </c>
      <c r="T30" s="183">
        <f>T26*'R&amp;S - Packaging and hh goods'!$C$9*('R&amp;S - Packaging and hh goods'!$C$15*'R&amp;S - Packaging and hh goods'!$D$19*('Yearly LC Ethylene'!T$3-'Yearly LC Ethylene'!$D$3)/10)</f>
        <v>105767.83401677683</v>
      </c>
      <c r="U30" s="183">
        <f>U26*'R&amp;S - Packaging and hh goods'!$C$9*('R&amp;S - Packaging and hh goods'!$C$15*'R&amp;S - Packaging and hh goods'!$D$19*('Yearly LC Ethylene'!U$3-'Yearly LC Ethylene'!$D$3)/10)</f>
        <v>111595.26453119014</v>
      </c>
      <c r="V30" s="183">
        <f>V26*'R&amp;S - Packaging and hh goods'!$C$9*('R&amp;S - Packaging and hh goods'!$C$15*'R&amp;S - Packaging and hh goods'!$D$19*('Yearly LC Ethylene'!V$3-'Yearly LC Ethylene'!$D$3)/10)</f>
        <v>117336.34781353075</v>
      </c>
      <c r="W30" s="183">
        <f>W26*'R&amp;S - Packaging and hh goods'!$C$9*('R&amp;S - Packaging and hh goods'!$C$15*'R&amp;S - Packaging and hh goods'!$D$19*('Yearly LC Ethylene'!W$3-'Yearly LC Ethylene'!$D$3)/10)</f>
        <v>122992.00426511098</v>
      </c>
      <c r="X30" s="183">
        <f>X26*'R&amp;S - Packaging and hh goods'!$C$9*('R&amp;S - Packaging and hh goods'!$C$15*'R&amp;S - Packaging and hh goods'!$D$19*('Yearly LC Ethylene'!X$3-'Yearly LC Ethylene'!$D$3)/10)</f>
        <v>128563.14565291026</v>
      </c>
      <c r="Y30" s="183">
        <f>Y26*'R&amp;S - Packaging and hh goods'!$C$9*('R&amp;S - Packaging and hh goods'!$C$15*('R&amp;S - Packaging and hh goods'!$D$20+('R&amp;S - Packaging and hh goods'!$D$21-'R&amp;S - Packaging and hh goods'!$D$20)*('Yearly LC Ethylene'!Y$3-'Yearly LC Ethylene'!$X$3)/10))</f>
        <v>128322.01385251361</v>
      </c>
      <c r="Z30" s="183">
        <f>Z26*'R&amp;S - Packaging and hh goods'!$C$9*('R&amp;S - Packaging and hh goods'!$C$15*('R&amp;S - Packaging and hh goods'!$D$20+('R&amp;S - Packaging and hh goods'!$D$21-'R&amp;S - Packaging and hh goods'!$D$20)*('Yearly LC Ethylene'!Z$3-'Yearly LC Ethylene'!$X$3)/10))</f>
        <v>131328.71092073733</v>
      </c>
      <c r="AA30" s="183">
        <f>AA26*'R&amp;S - Packaging and hh goods'!$C$9*('R&amp;S - Packaging and hh goods'!$C$15*('R&amp;S - Packaging and hh goods'!$D$20+('R&amp;S - Packaging and hh goods'!$D$21-'R&amp;S - Packaging and hh goods'!$D$20)*('Yearly LC Ethylene'!AA$3-'Yearly LC Ethylene'!$X$3)/10))</f>
        <v>134287.27575413359</v>
      </c>
      <c r="AB30" s="183">
        <f>AB26*'R&amp;S - Packaging and hh goods'!$C$9*('R&amp;S - Packaging and hh goods'!$C$15*('R&amp;S - Packaging and hh goods'!$D$20+('R&amp;S - Packaging and hh goods'!$D$21-'R&amp;S - Packaging and hh goods'!$D$20)*('Yearly LC Ethylene'!AB$3-'Yearly LC Ethylene'!$X$3)/10))</f>
        <v>137198.23314265526</v>
      </c>
      <c r="AC30" s="183">
        <f>AC26*'R&amp;S - Packaging and hh goods'!$C$9*('R&amp;S - Packaging and hh goods'!$C$15*('R&amp;S - Packaging and hh goods'!$D$20+('R&amp;S - Packaging and hh goods'!$D$21-'R&amp;S - Packaging and hh goods'!$D$20)*('Yearly LC Ethylene'!AC$3-'Yearly LC Ethylene'!$X$3)/10))</f>
        <v>140062.10289972462</v>
      </c>
      <c r="AD30" s="183">
        <f>AD26*'R&amp;S - Packaging and hh goods'!$C$9*('R&amp;S - Packaging and hh goods'!$C$15*('R&amp;S - Packaging and hh goods'!$D$20+('R&amp;S - Packaging and hh goods'!$D$21-'R&amp;S - Packaging and hh goods'!$D$20)*('Yearly LC Ethylene'!AD$3-'Yearly LC Ethylene'!$X$3)/10))</f>
        <v>142879.39990610615</v>
      </c>
      <c r="AE30" s="183">
        <f>AE26*'R&amp;S - Packaging and hh goods'!$C$9*('R&amp;S - Packaging and hh goods'!$C$15*('R&amp;S - Packaging and hh goods'!$D$20+('R&amp;S - Packaging and hh goods'!$D$21-'R&amp;S - Packaging and hh goods'!$D$20)*('Yearly LC Ethylene'!AE$3-'Yearly LC Ethylene'!$X$3)/10))</f>
        <v>145650.63415340986</v>
      </c>
      <c r="AF30" s="183">
        <f>AF26*'R&amp;S - Packaging and hh goods'!$C$9*('R&amp;S - Packaging and hh goods'!$C$15*('R&amp;S - Packaging and hh goods'!$D$20+('R&amp;S - Packaging and hh goods'!$D$21-'R&amp;S - Packaging and hh goods'!$D$20)*('Yearly LC Ethylene'!AF$3-'Yearly LC Ethylene'!$X$3)/10))</f>
        <v>148376.31078722762</v>
      </c>
      <c r="AG30" s="183">
        <f>AG26*'R&amp;S - Packaging and hh goods'!$C$9*('R&amp;S - Packaging and hh goods'!$C$15*('R&amp;S - Packaging and hh goods'!$D$20+('R&amp;S - Packaging and hh goods'!$D$21-'R&amp;S - Packaging and hh goods'!$D$20)*('Yearly LC Ethylene'!AG$3-'Yearly LC Ethylene'!$X$3)/10))</f>
        <v>151056.93014990573</v>
      </c>
      <c r="AH30" s="183">
        <f>AH26*'R&amp;S - Packaging and hh goods'!$C$9*('R&amp;S - Packaging and hh goods'!$C$15*('R&amp;S - Packaging and hh goods'!$D$20+('R&amp;S - Packaging and hh goods'!$D$21-'R&amp;S - Packaging and hh goods'!$D$20)*('Yearly LC Ethylene'!AH$3-'Yearly LC Ethylene'!$X$3)/10))</f>
        <v>153692.98782295684</v>
      </c>
    </row>
    <row r="31" spans="1:42" outlineLevel="1">
      <c r="B31" s="57" t="s">
        <v>185</v>
      </c>
      <c r="C31" s="50" t="s">
        <v>1420</v>
      </c>
      <c r="D31" s="183">
        <v>0</v>
      </c>
      <c r="E31" s="183">
        <f>E26*'R&amp;S - Packaging and hh goods'!$C$10*('R&amp;S - Packaging and hh goods'!$C$15*'R&amp;S - Packaging and hh goods'!$E$19*('Yearly LC Ethylene'!E$3-'Yearly LC Ethylene'!$D$3)/10)</f>
        <v>5208.0795549777322</v>
      </c>
      <c r="F31" s="183">
        <f>F26*'R&amp;S - Packaging and hh goods'!$C$10*('R&amp;S - Packaging and hh goods'!$C$15*'R&amp;S - Packaging and hh goods'!$E$19*('Yearly LC Ethylene'!F$3-'Yearly LC Ethylene'!$D$3)/10)</f>
        <v>10343.578668862419</v>
      </c>
      <c r="G31" s="183">
        <f>G26*'R&amp;S - Packaging and hh goods'!$C$10*('R&amp;S - Packaging and hh goods'!$C$15*'R&amp;S - Packaging and hh goods'!$E$19*('Yearly LC Ethylene'!G$3-'Yearly LC Ethylene'!$D$3)/10)</f>
        <v>15407.255959159847</v>
      </c>
      <c r="H31" s="183">
        <f>H26*'R&amp;S - Packaging and hh goods'!$C$10*('R&amp;S - Packaging and hh goods'!$C$15*'R&amp;S - Packaging and hh goods'!$E$19*('Yearly LC Ethylene'!H$3-'Yearly LC Ethylene'!$D$3)/10)</f>
        <v>20399.862995250856</v>
      </c>
      <c r="I31" s="183">
        <f>I26*'R&amp;S - Packaging and hh goods'!$C$10*('R&amp;S - Packaging and hh goods'!$C$15*'R&amp;S - Packaging and hh goods'!$E$19*('Yearly LC Ethylene'!I$3-'Yearly LC Ethylene'!$D$3)/10)</f>
        <v>25322.144359781043</v>
      </c>
      <c r="J31" s="183">
        <f>J26*'R&amp;S - Packaging and hh goods'!$C$10*('R&amp;S - Packaging and hh goods'!$C$15*'R&amp;S - Packaging and hh goods'!$E$19*('Yearly LC Ethylene'!J$3-'Yearly LC Ethylene'!$D$3)/10)</f>
        <v>30174.837709537172</v>
      </c>
      <c r="K31" s="183">
        <f>K26*'R&amp;S - Packaging and hh goods'!$C$10*('R&amp;S - Packaging and hh goods'!$C$15*'R&amp;S - Packaging and hh goods'!$E$19*('Yearly LC Ethylene'!K$3-'Yearly LC Ethylene'!$D$3)/10)</f>
        <v>34958.673835814378</v>
      </c>
      <c r="L31" s="183">
        <f>L26*'R&amp;S - Packaging and hh goods'!$C$10*('R&amp;S - Packaging and hh goods'!$C$15*'R&amp;S - Packaging and hh goods'!$E$19*('Yearly LC Ethylene'!L$3-'Yearly LC Ethylene'!$D$3)/10)</f>
        <v>39674.376724278467</v>
      </c>
      <c r="M31" s="183">
        <f>M26*'R&amp;S - Packaging and hh goods'!$C$10*('R&amp;S - Packaging and hh goods'!$C$15*'R&amp;S - Packaging and hh goods'!$E$19*('Yearly LC Ethylene'!M$3-'Yearly LC Ethylene'!$D$3)/10)</f>
        <v>44322.66361432719</v>
      </c>
      <c r="N31" s="183">
        <f>N26*'R&amp;S - Packaging and hh goods'!$C$10*('R&amp;S - Packaging and hh goods'!$C$15*'R&amp;S - Packaging and hh goods'!$E$19*('Yearly LC Ethylene'!N$3-'Yearly LC Ethylene'!$D$3)/10)</f>
        <v>48904.24505795478</v>
      </c>
      <c r="O31" s="183">
        <f>O26*'R&amp;S - Packaging and hh goods'!$C$10*('R&amp;S - Packaging and hh goods'!$C$15*'R&amp;S - Packaging and hh goods'!$E$19*('Yearly LC Ethylene'!O$3-'Yearly LC Ethylene'!$D$3)/10)</f>
        <v>53419.824978123695</v>
      </c>
      <c r="P31" s="183">
        <f>P26*'R&amp;S - Packaging and hh goods'!$C$10*('R&amp;S - Packaging and hh goods'!$C$15*('R&amp;S - Packaging and hh goods'!$E$19+('R&amp;S - Packaging and hh goods'!$E$20-'R&amp;S - Packaging and hh goods'!$E$19)*('Yearly LC Ethylene'!P$3-'Yearly LC Ethylene'!$O$3)/10))</f>
        <v>52129.019305353133</v>
      </c>
      <c r="Q31" s="183">
        <f>Q26*'R&amp;S - Packaging and hh goods'!$C$10*('R&amp;S - Packaging and hh goods'!$C$15*('R&amp;S - Packaging and hh goods'!$E$19+('R&amp;S - Packaging and hh goods'!$E$20-'R&amp;S - Packaging and hh goods'!$E$19)*('Yearly LC Ethylene'!Q$3-'Yearly LC Ethylene'!$O$3)/10))</f>
        <v>55642.513577098012</v>
      </c>
      <c r="R31" s="183">
        <f>R26*'R&amp;S - Packaging and hh goods'!$C$10*('R&amp;S - Packaging and hh goods'!$C$15*('R&amp;S - Packaging and hh goods'!$E$19+('R&amp;S - Packaging and hh goods'!$E$20-'R&amp;S - Packaging and hh goods'!$E$19)*('Yearly LC Ethylene'!R$3-'Yearly LC Ethylene'!$O$3)/10))</f>
        <v>59104.51229146422</v>
      </c>
      <c r="S31" s="183">
        <f>S26*'R&amp;S - Packaging and hh goods'!$C$10*('R&amp;S - Packaging and hh goods'!$C$15*('R&amp;S - Packaging and hh goods'!$E$19+('R&amp;S - Packaging and hh goods'!$E$20-'R&amp;S - Packaging and hh goods'!$E$19)*('Yearly LC Ethylene'!S$3-'Yearly LC Ethylene'!$O$3)/10))</f>
        <v>62515.562503110166</v>
      </c>
      <c r="T31" s="183">
        <f>T26*'R&amp;S - Packaging and hh goods'!$C$10*('R&amp;S - Packaging and hh goods'!$C$15*('R&amp;S - Packaging and hh goods'!$E$19+('R&amp;S - Packaging and hh goods'!$E$20-'R&amp;S - Packaging and hh goods'!$E$19)*('Yearly LC Ethylene'!T$3-'Yearly LC Ethylene'!$O$3)/10))</f>
        <v>65876.206143182251</v>
      </c>
      <c r="U31" s="183">
        <f>U26*'R&amp;S - Packaging and hh goods'!$C$10*('R&amp;S - Packaging and hh goods'!$C$15*('R&amp;S - Packaging and hh goods'!$E$19+('R&amp;S - Packaging and hh goods'!$E$20-'R&amp;S - Packaging and hh goods'!$E$19)*('Yearly LC Ethylene'!U$3-'Yearly LC Ethylene'!$O$3)/10))</f>
        <v>69186.980064155228</v>
      </c>
      <c r="V31" s="183">
        <f>V26*'R&amp;S - Packaging and hh goods'!$C$10*('R&amp;S - Packaging and hh goods'!$C$15*('R&amp;S - Packaging and hh goods'!$E$19+('R&amp;S - Packaging and hh goods'!$E$20-'R&amp;S - Packaging and hh goods'!$E$19)*('Yearly LC Ethylene'!V$3-'Yearly LC Ethylene'!$O$3)/10))</f>
        <v>72448.416084296216</v>
      </c>
      <c r="W31" s="183">
        <f>W26*'R&amp;S - Packaging and hh goods'!$C$10*('R&amp;S - Packaging and hh goods'!$C$15*('R&amp;S - Packaging and hh goods'!$E$19+('R&amp;S - Packaging and hh goods'!$E$20-'R&amp;S - Packaging and hh goods'!$E$19)*('Yearly LC Ethylene'!W$3-'Yearly LC Ethylene'!$O$3)/10))</f>
        <v>75661.041031755827</v>
      </c>
      <c r="X31" s="183">
        <f>X26*'R&amp;S - Packaging and hh goods'!$C$10*('R&amp;S - Packaging and hh goods'!$C$15*('R&amp;S - Packaging and hh goods'!$E$19+('R&amp;S - Packaging and hh goods'!$E$20-'R&amp;S - Packaging and hh goods'!$E$19)*('Yearly LC Ethylene'!X$3-'Yearly LC Ethylene'!$O$3)/10))</f>
        <v>78825.376788289243</v>
      </c>
      <c r="Y31" s="183">
        <f>Y26*'R&amp;S - Packaging and hh goods'!$C$10*('R&amp;S - Packaging and hh goods'!$C$15*('R&amp;S - Packaging and hh goods'!$E$20+('R&amp;S - Packaging and hh goods'!$E$21-'R&amp;S - Packaging and hh goods'!$E$20)*('Yearly LC Ethylene'!Y$3-'Yearly LC Ethylene'!$X$3)/10))</f>
        <v>84529.580553639928</v>
      </c>
      <c r="Z31" s="183">
        <f>Z26*'R&amp;S - Packaging and hh goods'!$C$10*('R&amp;S - Packaging and hh goods'!$C$15*('R&amp;S - Packaging and hh goods'!$E$20+('R&amp;S - Packaging and hh goods'!$E$21-'R&amp;S - Packaging and hh goods'!$E$20)*('Yearly LC Ethylene'!Z$3-'Yearly LC Ethylene'!$X$3)/10))</f>
        <v>86510.182590644443</v>
      </c>
      <c r="AA31" s="183">
        <f>AA26*'R&amp;S - Packaging and hh goods'!$C$10*('R&amp;S - Packaging and hh goods'!$C$15*('R&amp;S - Packaging and hh goods'!$E$20+('R&amp;S - Packaging and hh goods'!$E$21-'R&amp;S - Packaging and hh goods'!$E$20)*('Yearly LC Ethylene'!AA$3-'Yearly LC Ethylene'!$X$3)/10))</f>
        <v>88459.078472961017</v>
      </c>
      <c r="AB31" s="183">
        <f>AB26*'R&amp;S - Packaging and hh goods'!$C$10*('R&amp;S - Packaging and hh goods'!$C$15*('R&amp;S - Packaging and hh goods'!$E$20+('R&amp;S - Packaging and hh goods'!$E$21-'R&amp;S - Packaging and hh goods'!$E$20)*('Yearly LC Ethylene'!AB$3-'Yearly LC Ethylene'!$X$3)/10))</f>
        <v>90376.613895558621</v>
      </c>
      <c r="AC31" s="183">
        <f>AC26*'R&amp;S - Packaging and hh goods'!$C$10*('R&amp;S - Packaging and hh goods'!$C$15*('R&amp;S - Packaging and hh goods'!$E$20+('R&amp;S - Packaging and hh goods'!$E$21-'R&amp;S - Packaging and hh goods'!$E$20)*('Yearly LC Ethylene'!AC$3-'Yearly LC Ethylene'!$X$3)/10))</f>
        <v>92263.131275215404</v>
      </c>
      <c r="AD31" s="183">
        <f>AD26*'R&amp;S - Packaging and hh goods'!$C$10*('R&amp;S - Packaging and hh goods'!$C$15*('R&amp;S - Packaging and hh goods'!$E$20+('R&amp;S - Packaging and hh goods'!$E$21-'R&amp;S - Packaging and hh goods'!$E$20)*('Yearly LC Ethylene'!AD$3-'Yearly LC Ethylene'!$X$3)/10))</f>
        <v>94118.969779419131</v>
      </c>
      <c r="AE31" s="183">
        <f>AE26*'R&amp;S - Packaging and hh goods'!$C$10*('R&amp;S - Packaging and hh goods'!$C$15*('R&amp;S - Packaging and hh goods'!$E$20+('R&amp;S - Packaging and hh goods'!$E$21-'R&amp;S - Packaging and hh goods'!$E$20)*('Yearly LC Ethylene'!AE$3-'Yearly LC Ethylene'!$X$3)/10))</f>
        <v>95944.465355023945</v>
      </c>
      <c r="AF31" s="183">
        <f>AF26*'R&amp;S - Packaging and hh goods'!$C$10*('R&amp;S - Packaging and hh goods'!$C$15*('R&amp;S - Packaging and hh goods'!$E$20+('R&amp;S - Packaging and hh goods'!$E$21-'R&amp;S - Packaging and hh goods'!$E$20)*('Yearly LC Ethylene'!AF$3-'Yearly LC Ethylene'!$X$3)/10))</f>
        <v>97739.950756665814</v>
      </c>
      <c r="AG31" s="183">
        <f>AG26*'R&amp;S - Packaging and hh goods'!$C$10*('R&amp;S - Packaging and hh goods'!$C$15*('R&amp;S - Packaging and hh goods'!$E$20+('R&amp;S - Packaging and hh goods'!$E$21-'R&amp;S - Packaging and hh goods'!$E$20)*('Yearly LC Ethylene'!AG$3-'Yearly LC Ethylene'!$X$3)/10))</f>
        <v>99505.75557493791</v>
      </c>
      <c r="AH31" s="183">
        <f>AH26*'R&amp;S - Packaging and hh goods'!$C$10*('R&amp;S - Packaging and hh goods'!$C$15*('R&amp;S - Packaging and hh goods'!$E$20+('R&amp;S - Packaging and hh goods'!$E$21-'R&amp;S - Packaging and hh goods'!$E$20)*('Yearly LC Ethylene'!AH$3-'Yearly LC Ethylene'!$X$3)/10))</f>
        <v>101242.20626432872</v>
      </c>
    </row>
    <row r="32" spans="1:42" outlineLevel="1">
      <c r="B32" s="1" t="s">
        <v>172</v>
      </c>
      <c r="C32" s="50" t="s">
        <v>1420</v>
      </c>
      <c r="D32" s="99">
        <f>SUM(D30:D31)</f>
        <v>0</v>
      </c>
      <c r="E32" s="99">
        <f t="shared" ref="E32:AH32" si="7">SUM(E30:E31)</f>
        <v>12549.589289102969</v>
      </c>
      <c r="F32" s="99">
        <f t="shared" si="7"/>
        <v>24924.28594906607</v>
      </c>
      <c r="G32" s="99">
        <f t="shared" si="7"/>
        <v>37125.917973879157</v>
      </c>
      <c r="H32" s="99">
        <f t="shared" si="7"/>
        <v>49156.296374098456</v>
      </c>
      <c r="I32" s="99">
        <f t="shared" si="7"/>
        <v>61017.215324773613</v>
      </c>
      <c r="J32" s="99">
        <f t="shared" si="7"/>
        <v>72710.452312137772</v>
      </c>
      <c r="K32" s="99">
        <f t="shared" si="7"/>
        <v>84237.768279070806</v>
      </c>
      <c r="L32" s="99">
        <f t="shared" si="7"/>
        <v>95600.907769345707</v>
      </c>
      <c r="M32" s="99">
        <f t="shared" si="7"/>
        <v>106801.59907066793</v>
      </c>
      <c r="N32" s="99">
        <f t="shared" si="7"/>
        <v>117841.55435651756</v>
      </c>
      <c r="O32" s="99">
        <f t="shared" si="7"/>
        <v>128722.46982680411</v>
      </c>
      <c r="P32" s="99">
        <f t="shared" si="7"/>
        <v>133704.94442604907</v>
      </c>
      <c r="Q32" s="99">
        <f t="shared" si="7"/>
        <v>143400.63752367551</v>
      </c>
      <c r="R32" s="99">
        <f t="shared" si="7"/>
        <v>152954.71834795622</v>
      </c>
      <c r="S32" s="99">
        <f t="shared" si="7"/>
        <v>162368.68966147566</v>
      </c>
      <c r="T32" s="99">
        <f t="shared" si="7"/>
        <v>171644.04015995908</v>
      </c>
      <c r="U32" s="99">
        <f t="shared" si="7"/>
        <v>180782.24459534537</v>
      </c>
      <c r="V32" s="99">
        <f t="shared" si="7"/>
        <v>189784.76389782695</v>
      </c>
      <c r="W32" s="99">
        <f t="shared" si="7"/>
        <v>198653.0452968668</v>
      </c>
      <c r="X32" s="99">
        <f t="shared" si="7"/>
        <v>207388.52244119952</v>
      </c>
      <c r="Y32" s="99">
        <f t="shared" si="7"/>
        <v>212851.59440615354</v>
      </c>
      <c r="Z32" s="99">
        <f t="shared" si="7"/>
        <v>217838.89351138176</v>
      </c>
      <c r="AA32" s="99">
        <f t="shared" si="7"/>
        <v>222746.35422709462</v>
      </c>
      <c r="AB32" s="99">
        <f t="shared" si="7"/>
        <v>227574.84703821386</v>
      </c>
      <c r="AC32" s="99">
        <f t="shared" si="7"/>
        <v>232325.23417494004</v>
      </c>
      <c r="AD32" s="99">
        <f t="shared" si="7"/>
        <v>236998.36968552528</v>
      </c>
      <c r="AE32" s="99">
        <f t="shared" si="7"/>
        <v>241595.09950843381</v>
      </c>
      <c r="AF32" s="99">
        <f t="shared" si="7"/>
        <v>246116.26154389343</v>
      </c>
      <c r="AG32" s="99">
        <f t="shared" si="7"/>
        <v>250562.68572484364</v>
      </c>
      <c r="AH32" s="99">
        <f t="shared" si="7"/>
        <v>254935.19408728555</v>
      </c>
    </row>
    <row r="33" spans="1:35" s="1" customFormat="1">
      <c r="B33" s="1" t="s">
        <v>200</v>
      </c>
      <c r="C33" s="60" t="s">
        <v>1420</v>
      </c>
      <c r="D33" s="574">
        <f>D26-D29-D32</f>
        <v>1749397.7312644324</v>
      </c>
      <c r="E33" s="574">
        <f t="shared" ref="E33:AG33" si="8">E26-E29-E32</f>
        <v>1712790.060832317</v>
      </c>
      <c r="F33" s="574">
        <f t="shared" si="8"/>
        <v>1676607.6193666181</v>
      </c>
      <c r="G33" s="574">
        <f t="shared" si="8"/>
        <v>1640846.2582685074</v>
      </c>
      <c r="H33" s="574">
        <f t="shared" si="8"/>
        <v>1605501.8661080259</v>
      </c>
      <c r="I33" s="574">
        <f t="shared" si="8"/>
        <v>1570570.3683075213</v>
      </c>
      <c r="J33" s="574">
        <f t="shared" si="8"/>
        <v>1536047.726827699</v>
      </c>
      <c r="K33" s="574">
        <f t="shared" si="8"/>
        <v>1501929.9398562522</v>
      </c>
      <c r="L33" s="574">
        <f t="shared" si="8"/>
        <v>1468213.0414990631</v>
      </c>
      <c r="M33" s="574">
        <f t="shared" si="8"/>
        <v>1434893.1014739457</v>
      </c>
      <c r="N33" s="574">
        <f t="shared" si="8"/>
        <v>1401966.2248069122</v>
      </c>
      <c r="O33" s="574">
        <f t="shared" si="8"/>
        <v>1359158.8913315528</v>
      </c>
      <c r="P33" s="574">
        <f t="shared" si="8"/>
        <v>1322621.1366650017</v>
      </c>
      <c r="Q33" s="574">
        <f t="shared" si="8"/>
        <v>1281737.6793652787</v>
      </c>
      <c r="R33" s="574">
        <f t="shared" si="8"/>
        <v>1241359.7605890168</v>
      </c>
      <c r="S33" s="574">
        <f t="shared" si="8"/>
        <v>1201482.3201395324</v>
      </c>
      <c r="T33" s="574">
        <f t="shared" si="8"/>
        <v>1162100.3437938106</v>
      </c>
      <c r="U33" s="574">
        <f t="shared" si="8"/>
        <v>1123208.8629075005</v>
      </c>
      <c r="V33" s="574">
        <f t="shared" si="8"/>
        <v>1084802.9540231859</v>
      </c>
      <c r="W33" s="574">
        <f t="shared" si="8"/>
        <v>1046877.7384819012</v>
      </c>
      <c r="X33" s="574">
        <f t="shared" si="8"/>
        <v>1009428.3820378692</v>
      </c>
      <c r="Y33" s="574">
        <f t="shared" si="8"/>
        <v>980273.23813359533</v>
      </c>
      <c r="Z33" s="574">
        <f t="shared" si="8"/>
        <v>951864.96154561872</v>
      </c>
      <c r="AA33" s="574">
        <f t="shared" si="8"/>
        <v>923804.99014000315</v>
      </c>
      <c r="AB33" s="574">
        <f t="shared" si="8"/>
        <v>896089.84922485822</v>
      </c>
      <c r="AC33" s="574">
        <f t="shared" si="8"/>
        <v>868716.09562045918</v>
      </c>
      <c r="AD33" s="574">
        <f t="shared" si="8"/>
        <v>841680.31738880021</v>
      </c>
      <c r="AE33" s="574">
        <f t="shared" si="8"/>
        <v>814979.13356538443</v>
      </c>
      <c r="AF33" s="574">
        <f t="shared" si="8"/>
        <v>788609.19389323704</v>
      </c>
      <c r="AG33" s="574">
        <f t="shared" si="8"/>
        <v>762567.1785591204</v>
      </c>
      <c r="AH33" s="574">
        <f>AH26-AH29-AH32</f>
        <v>736849.79793193343</v>
      </c>
    </row>
    <row r="34" spans="1:35" s="61" customFormat="1">
      <c r="A34" s="606" t="s">
        <v>608</v>
      </c>
      <c r="B34" s="54" t="s">
        <v>141</v>
      </c>
      <c r="C34" s="55" t="s">
        <v>1420</v>
      </c>
      <c r="D34" s="571">
        <f>D26*('Demand - Ethylene'!$C$73)</f>
        <v>1121142.3305785127</v>
      </c>
      <c r="E34" s="571">
        <f>E26*('Demand - Ethylene'!$C$73)-E$27/'R&amp;S - Packaging and hh goods'!$C$7*'R&amp;S - Packaging and hh goods'!$S7-E$28/'R&amp;S - Packaging and hh goods'!$C$8*'R&amp;S - Packaging and hh goods'!$S8-E$30/'R&amp;S - Packaging and hh goods'!$C$9*'R&amp;S - Packaging and hh goods'!$S9-E$31/'R&amp;S - Packaging and hh goods'!$C$10*'R&amp;S - Packaging and hh goods'!$S10</f>
        <v>1092583.6586759633</v>
      </c>
      <c r="F34" s="571">
        <f>F26*('Demand - Ethylene'!$C$73)-F$27/'R&amp;S - Packaging and hh goods'!$C$7*'R&amp;S - Packaging and hh goods'!$S7-F$28/'R&amp;S - Packaging and hh goods'!$C$8*'R&amp;S - Packaging and hh goods'!$S8-F$30/'R&amp;S - Packaging and hh goods'!$C$9*'R&amp;S - Packaging and hh goods'!$S9-F$31/'R&amp;S - Packaging and hh goods'!$C$10*'R&amp;S - Packaging and hh goods'!$S10</f>
        <v>1064368.5481416071</v>
      </c>
      <c r="G34" s="571">
        <f>G26*('Demand - Ethylene'!$C$73)-G$27/'R&amp;S - Packaging and hh goods'!$C$7*'R&amp;S - Packaging and hh goods'!$S7-G$28/'R&amp;S - Packaging and hh goods'!$C$8*'R&amp;S - Packaging and hh goods'!$S8-G$30/'R&amp;S - Packaging and hh goods'!$C$9*'R&amp;S - Packaging and hh goods'!$S9-G$31/'R&amp;S - Packaging and hh goods'!$C$10*'R&amp;S - Packaging and hh goods'!$S10</f>
        <v>1036493.5976962112</v>
      </c>
      <c r="H34" s="571">
        <f>H26*('Demand - Ethylene'!$C$73)-H$27/'R&amp;S - Packaging and hh goods'!$C$7*'R&amp;S - Packaging and hh goods'!$S7-H$28/'R&amp;S - Packaging and hh goods'!$C$8*'R&amp;S - Packaging and hh goods'!$S8-H$30/'R&amp;S - Packaging and hh goods'!$C$9*'R&amp;S - Packaging and hh goods'!$S9-H$31/'R&amp;S - Packaging and hh goods'!$C$10*'R&amp;S - Packaging and hh goods'!$S10</f>
        <v>1008955.4367799525</v>
      </c>
      <c r="I34" s="571">
        <f>I26*('Demand - Ethylene'!$C$73)-I$27/'R&amp;S - Packaging and hh goods'!$C$7*'R&amp;S - Packaging and hh goods'!$S7-I$28/'R&amp;S - Packaging and hh goods'!$C$8*'R&amp;S - Packaging and hh goods'!$S8-I$30/'R&amp;S - Packaging and hh goods'!$C$9*'R&amp;S - Packaging and hh goods'!$S9-I$31/'R&amp;S - Packaging and hh goods'!$C$10*'R&amp;S - Packaging and hh goods'!$S10</f>
        <v>981750.72528945236</v>
      </c>
      <c r="J34" s="571">
        <f>J26*('Demand - Ethylene'!$C$73)-J$27/'R&amp;S - Packaging and hh goods'!$C$7*'R&amp;S - Packaging and hh goods'!$S7-J$28/'R&amp;S - Packaging and hh goods'!$C$8*'R&amp;S - Packaging and hh goods'!$S8-J$30/'R&amp;S - Packaging and hh goods'!$C$9*'R&amp;S - Packaging and hh goods'!$S9-J$31/'R&amp;S - Packaging and hh goods'!$C$10*'R&amp;S - Packaging and hh goods'!$S10</f>
        <v>954876.15331698454</v>
      </c>
      <c r="K34" s="571">
        <f>K26*('Demand - Ethylene'!$C$73)-K$27/'R&amp;S - Packaging and hh goods'!$C$7*'R&amp;S - Packaging and hh goods'!$S7-K$28/'R&amp;S - Packaging and hh goods'!$C$8*'R&amp;S - Packaging and hh goods'!$S8-K$30/'R&amp;S - Packaging and hh goods'!$C$9*'R&amp;S - Packaging and hh goods'!$S9-K$31/'R&amp;S - Packaging and hh goods'!$C$10*'R&amp;S - Packaging and hh goods'!$S10</f>
        <v>928328.44089184166</v>
      </c>
      <c r="L34" s="571">
        <f>L26*('Demand - Ethylene'!$C$73)-L$27/'R&amp;S - Packaging and hh goods'!$C$7*'R&amp;S - Packaging and hh goods'!$S7-L$28/'R&amp;S - Packaging and hh goods'!$C$8*'R&amp;S - Packaging and hh goods'!$S8-L$30/'R&amp;S - Packaging and hh goods'!$C$9*'R&amp;S - Packaging and hh goods'!$S9-L$31/'R&amp;S - Packaging and hh goods'!$C$10*'R&amp;S - Packaging and hh goods'!$S10</f>
        <v>902104.3377238377</v>
      </c>
      <c r="M34" s="571">
        <f>M26*('Demand - Ethylene'!$C$73)-M$27/'R&amp;S - Packaging and hh goods'!$C$7*'R&amp;S - Packaging and hh goods'!$S7-M$28/'R&amp;S - Packaging and hh goods'!$C$8*'R&amp;S - Packaging and hh goods'!$S8-M$30/'R&amp;S - Packaging and hh goods'!$C$9*'R&amp;S - Packaging and hh goods'!$S9-M$31/'R&amp;S - Packaging and hh goods'!$C$10*'R&amp;S - Packaging and hh goods'!$S10</f>
        <v>876200.62294893141</v>
      </c>
      <c r="N34" s="571">
        <f>N26*('Demand - Ethylene'!$C$73)-N$27/'R&amp;S - Packaging and hh goods'!$C$7*'R&amp;S - Packaging and hh goods'!$S7-N$28/'R&amp;S - Packaging and hh goods'!$C$8*'R&amp;S - Packaging and hh goods'!$S8-N$30/'R&amp;S - Packaging and hh goods'!$C$9*'R&amp;S - Packaging and hh goods'!$S9-N$31/'R&amp;S - Packaging and hh goods'!$C$10*'R&amp;S - Packaging and hh goods'!$S10</f>
        <v>850614.10487695353</v>
      </c>
      <c r="O34" s="571">
        <f>O26*('Demand - Ethylene'!$C$73)-O$27/'R&amp;S - Packaging and hh goods'!$C$7*'R&amp;S - Packaging and hh goods'!$S7-O$28/'R&amp;S - Packaging and hh goods'!$C$8*'R&amp;S - Packaging and hh goods'!$S8-O$30/'R&amp;S - Packaging and hh goods'!$C$9*'R&amp;S - Packaging and hh goods'!$S9-O$31/'R&amp;S - Packaging and hh goods'!$C$10*'R&amp;S - Packaging and hh goods'!$S10</f>
        <v>816323.32100640796</v>
      </c>
      <c r="P34" s="571">
        <f>P26*('Demand - Ethylene'!$C$73)-P$27/'R&amp;S - Packaging and hh goods'!$C$7*'R&amp;S - Packaging and hh goods'!$S7-P$28/'R&amp;S - Packaging and hh goods'!$C$8*'R&amp;S - Packaging and hh goods'!$S8-P$30/'R&amp;S - Packaging and hh goods'!$C$9*'R&amp;S - Packaging and hh goods'!$S9-P$31/'R&amp;S - Packaging and hh goods'!$C$10*'R&amp;S - Packaging and hh goods'!$S10</f>
        <v>787587.6716425661</v>
      </c>
      <c r="Q34" s="571">
        <f>Q26*('Demand - Ethylene'!$C$73)-Q$27/'R&amp;S - Packaging and hh goods'!$C$7*'R&amp;S - Packaging and hh goods'!$S7-Q$28/'R&amp;S - Packaging and hh goods'!$C$8*'R&amp;S - Packaging and hh goods'!$S8-Q$30/'R&amp;S - Packaging and hh goods'!$C$9*'R&amp;S - Packaging and hh goods'!$S9-Q$31/'R&amp;S - Packaging and hh goods'!$C$10*'R&amp;S - Packaging and hh goods'!$S10</f>
        <v>754943.22415708704</v>
      </c>
      <c r="R34" s="571">
        <f>R26*('Demand - Ethylene'!$C$73)-R$27/'R&amp;S - Packaging and hh goods'!$C$7*'R&amp;S - Packaging and hh goods'!$S7-R$28/'R&amp;S - Packaging and hh goods'!$C$8*'R&amp;S - Packaging and hh goods'!$S8-R$30/'R&amp;S - Packaging and hh goods'!$C$9*'R&amp;S - Packaging and hh goods'!$S9-R$31/'R&amp;S - Packaging and hh goods'!$C$10*'R&amp;S - Packaging and hh goods'!$S10</f>
        <v>722715.47328881803</v>
      </c>
      <c r="S34" s="571">
        <f>S26*('Demand - Ethylene'!$C$73)-S$27/'R&amp;S - Packaging and hh goods'!$C$7*'R&amp;S - Packaging and hh goods'!$S7-S$28/'R&amp;S - Packaging and hh goods'!$C$8*'R&amp;S - Packaging and hh goods'!$S8-S$30/'R&amp;S - Packaging and hh goods'!$C$9*'R&amp;S - Packaging and hh goods'!$S9-S$31/'R&amp;S - Packaging and hh goods'!$C$10*'R&amp;S - Packaging and hh goods'!$S10</f>
        <v>690900.19691692921</v>
      </c>
      <c r="T34" s="571">
        <f>T26*('Demand - Ethylene'!$C$73)-T$27/'R&amp;S - Packaging and hh goods'!$C$7*'R&amp;S - Packaging and hh goods'!$S7-T$28/'R&amp;S - Packaging and hh goods'!$C$8*'R&amp;S - Packaging and hh goods'!$S8-T$30/'R&amp;S - Packaging and hh goods'!$C$9*'R&amp;S - Packaging and hh goods'!$S9-T$31/'R&amp;S - Packaging and hh goods'!$C$10*'R&amp;S - Packaging and hh goods'!$S10</f>
        <v>659493.21152834967</v>
      </c>
      <c r="U34" s="571">
        <f>U26*('Demand - Ethylene'!$C$73)-U$27/'R&amp;S - Packaging and hh goods'!$C$7*'R&amp;S - Packaging and hh goods'!$S7-U$28/'R&amp;S - Packaging and hh goods'!$C$8*'R&amp;S - Packaging and hh goods'!$S8-U$30/'R&amp;S - Packaging and hh goods'!$C$9*'R&amp;S - Packaging and hh goods'!$S9-U$31/'R&amp;S - Packaging and hh goods'!$C$10*'R&amp;S - Packaging and hh goods'!$S10</f>
        <v>628490.37188472459</v>
      </c>
      <c r="V34" s="571">
        <f>V26*('Demand - Ethylene'!$C$73)-V$27/'R&amp;S - Packaging and hh goods'!$C$7*'R&amp;S - Packaging and hh goods'!$S7-V$28/'R&amp;S - Packaging and hh goods'!$C$8*'R&amp;S - Packaging and hh goods'!$S8-V$30/'R&amp;S - Packaging and hh goods'!$C$9*'R&amp;S - Packaging and hh goods'!$S9-V$31/'R&amp;S - Packaging and hh goods'!$C$10*'R&amp;S - Packaging and hh goods'!$S10</f>
        <v>597887.57069213933</v>
      </c>
      <c r="W34" s="571">
        <f>W26*('Demand - Ethylene'!$C$73)-W$27/'R&amp;S - Packaging and hh goods'!$C$7*'R&amp;S - Packaging and hh goods'!$S7-W$28/'R&amp;S - Packaging and hh goods'!$C$8*'R&amp;S - Packaging and hh goods'!$S8-W$30/'R&amp;S - Packaging and hh goods'!$C$9*'R&amp;S - Packaging and hh goods'!$S9-W$31/'R&amp;S - Packaging and hh goods'!$C$10*'R&amp;S - Packaging and hh goods'!$S10</f>
        <v>567680.73827358964</v>
      </c>
      <c r="X34" s="571">
        <f>X26*('Demand - Ethylene'!$C$73)-X$27/'R&amp;S - Packaging and hh goods'!$C$7*'R&amp;S - Packaging and hh goods'!$S7-X$28/'R&amp;S - Packaging and hh goods'!$C$8*'R&amp;S - Packaging and hh goods'!$S8-X$30/'R&amp;S - Packaging and hh goods'!$C$9*'R&amp;S - Packaging and hh goods'!$S9-X$31/'R&amp;S - Packaging and hh goods'!$C$10*'R&amp;S - Packaging and hh goods'!$S10</f>
        <v>537865.84224417189</v>
      </c>
      <c r="Y34" s="571">
        <f>Y26*('Demand - Ethylene'!$C$73)-Y$27/'R&amp;S - Packaging and hh goods'!$C$7*'R&amp;S - Packaging and hh goods'!$S7-Y$28/'R&amp;S - Packaging and hh goods'!$C$8*'R&amp;S - Packaging and hh goods'!$S8-Y$30/'R&amp;S - Packaging and hh goods'!$C$9*'R&amp;S - Packaging and hh goods'!$S9-Y$31/'R&amp;S - Packaging and hh goods'!$C$10*'R&amp;S - Packaging and hh goods'!$S10</f>
        <v>514618.8660135275</v>
      </c>
      <c r="Z34" s="571">
        <f>Z26*('Demand - Ethylene'!$C$73)-Z$27/'R&amp;S - Packaging and hh goods'!$C$7*'R&amp;S - Packaging and hh goods'!$S7-Z$28/'R&amp;S - Packaging and hh goods'!$C$8*'R&amp;S - Packaging and hh goods'!$S8-Z$30/'R&amp;S - Packaging and hh goods'!$C$9*'R&amp;S - Packaging and hh goods'!$S9-Z$31/'R&amp;S - Packaging and hh goods'!$C$10*'R&amp;S - Packaging and hh goods'!$S10</f>
        <v>492464.36520606966</v>
      </c>
      <c r="AA34" s="571">
        <f>AA26*('Demand - Ethylene'!$C$73)-AA$27/'R&amp;S - Packaging and hh goods'!$C$7*'R&amp;S - Packaging and hh goods'!$S7-AA$28/'R&amp;S - Packaging and hh goods'!$C$8*'R&amp;S - Packaging and hh goods'!$S8-AA$30/'R&amp;S - Packaging and hh goods'!$C$9*'R&amp;S - Packaging and hh goods'!$S9-AA$31/'R&amp;S - Packaging and hh goods'!$C$10*'R&amp;S - Packaging and hh goods'!$S10</f>
        <v>470593.62551727606</v>
      </c>
      <c r="AB34" s="571">
        <f>AB26*('Demand - Ethylene'!$C$73)-AB$27/'R&amp;S - Packaging and hh goods'!$C$7*'R&amp;S - Packaging and hh goods'!$S7-AB$28/'R&amp;S - Packaging and hh goods'!$C$8*'R&amp;S - Packaging and hh goods'!$S8-AB$30/'R&amp;S - Packaging and hh goods'!$C$9*'R&amp;S - Packaging and hh goods'!$S9-AB$31/'R&amp;S - Packaging and hh goods'!$C$10*'R&amp;S - Packaging and hh goods'!$S10</f>
        <v>449003.76810419664</v>
      </c>
      <c r="AC34" s="571">
        <f>AC26*('Demand - Ethylene'!$C$73)-AC$27/'R&amp;S - Packaging and hh goods'!$C$7*'R&amp;S - Packaging and hh goods'!$S7-AC$28/'R&amp;S - Packaging and hh goods'!$C$8*'R&amp;S - Packaging and hh goods'!$S8-AC$30/'R&amp;S - Packaging and hh goods'!$C$9*'R&amp;S - Packaging and hh goods'!$S9-AC$31/'R&amp;S - Packaging and hh goods'!$C$10*'R&amp;S - Packaging and hh goods'!$S10</f>
        <v>427691.94046608778</v>
      </c>
      <c r="AD34" s="571">
        <f>AD26*('Demand - Ethylene'!$C$73)-AD$27/'R&amp;S - Packaging and hh goods'!$C$7*'R&amp;S - Packaging and hh goods'!$S7-AD$28/'R&amp;S - Packaging and hh goods'!$C$8*'R&amp;S - Packaging and hh goods'!$S8-AD$30/'R&amp;S - Packaging and hh goods'!$C$9*'R&amp;S - Packaging and hh goods'!$S9-AD$31/'R&amp;S - Packaging and hh goods'!$C$10*'R&amp;S - Packaging and hh goods'!$S10</f>
        <v>406655.31621708395</v>
      </c>
      <c r="AE34" s="571">
        <f>AE26*('Demand - Ethylene'!$C$73)-AE$27/'R&amp;S - Packaging and hh goods'!$C$7*'R&amp;S - Packaging and hh goods'!$S7-AE$28/'R&amp;S - Packaging and hh goods'!$C$8*'R&amp;S - Packaging and hh goods'!$S8-AE$30/'R&amp;S - Packaging and hh goods'!$C$9*'R&amp;S - Packaging and hh goods'!$S9-AE$31/'R&amp;S - Packaging and hh goods'!$C$10*'R&amp;S - Packaging and hh goods'!$S10</f>
        <v>385891.09486075561</v>
      </c>
      <c r="AF34" s="571">
        <f>AF26*('Demand - Ethylene'!$C$73)-AF$27/'R&amp;S - Packaging and hh goods'!$C$7*'R&amp;S - Packaging and hh goods'!$S7-AF$28/'R&amp;S - Packaging and hh goods'!$C$8*'R&amp;S - Packaging and hh goods'!$S8-AF$30/'R&amp;S - Packaging and hh goods'!$C$9*'R&amp;S - Packaging and hh goods'!$S9-AF$31/'R&amp;S - Packaging and hh goods'!$C$10*'R&amp;S - Packaging and hh goods'!$S10</f>
        <v>365396.50156654464</v>
      </c>
      <c r="AG34" s="571">
        <f>AG26*('Demand - Ethylene'!$C$73)-AG$27/'R&amp;S - Packaging and hh goods'!$C$7*'R&amp;S - Packaging and hh goods'!$S7-AG$28/'R&amp;S - Packaging and hh goods'!$C$8*'R&amp;S - Packaging and hh goods'!$S8-AG$30/'R&amp;S - Packaging and hh goods'!$C$9*'R&amp;S - Packaging and hh goods'!$S9-AG$31/'R&amp;S - Packaging and hh goods'!$C$10*'R&amp;S - Packaging and hh goods'!$S10</f>
        <v>345168.78694805549</v>
      </c>
      <c r="AH34" s="571">
        <f>AH26*('Demand - Ethylene'!$C$73)-AH$27/'R&amp;S - Packaging and hh goods'!$C$7*'R&amp;S - Packaging and hh goods'!$S7-AH$28/'R&amp;S - Packaging and hh goods'!$C$8*'R&amp;S - Packaging and hh goods'!$S8-AH$30/'R&amp;S - Packaging and hh goods'!$C$9*'R&amp;S - Packaging and hh goods'!$S9-AH$31/'R&amp;S - Packaging and hh goods'!$C$10*'R&amp;S - Packaging and hh goods'!$S10</f>
        <v>325205.22684319154</v>
      </c>
      <c r="AI34" s="56"/>
    </row>
    <row r="35" spans="1:35">
      <c r="A35" s="607"/>
      <c r="B35" s="1" t="s">
        <v>18</v>
      </c>
      <c r="C35" s="50" t="s">
        <v>1420</v>
      </c>
      <c r="D35" s="183">
        <f>D39/('Demand - Ethylene'!$K$14)</f>
        <v>921454.73749526253</v>
      </c>
      <c r="E35" s="183">
        <f>E39/('Demand - Ethylene'!$K$14)</f>
        <v>902172.49495802273</v>
      </c>
      <c r="F35" s="183">
        <f>F39/('Demand - Ethylene'!$K$14)</f>
        <v>883114.23193020036</v>
      </c>
      <c r="G35" s="183">
        <f>G39/('Demand - Ethylene'!$K$14)</f>
        <v>864277.76323344756</v>
      </c>
      <c r="H35" s="183">
        <f>H39/('Demand - Ethylene'!$K$14)</f>
        <v>845660.9232672574</v>
      </c>
      <c r="I35" s="183">
        <f>I39/('Demand - Ethylene'!$K$14)</f>
        <v>827261.56584222207</v>
      </c>
      <c r="J35" s="183">
        <f>J39/('Demand - Ethylene'!$K$14)</f>
        <v>809077.56401466718</v>
      </c>
      <c r="K35" s="183">
        <f>K39/('Demand - Ethylene'!$K$14)</f>
        <v>791106.80992264557</v>
      </c>
      <c r="L35" s="183">
        <f>L39/('Demand - Ethylene'!$K$14)</f>
        <v>773347.21462328348</v>
      </c>
      <c r="M35" s="183">
        <f>M39/('Demand - Ethylene'!$K$14)</f>
        <v>755796.7079314685</v>
      </c>
      <c r="N35" s="183">
        <f>N39/('Demand - Ethylene'!$K$14)</f>
        <v>738453.23825986299</v>
      </c>
      <c r="O35" s="183">
        <f>O39/('Demand - Ethylene'!$K$14)</f>
        <v>715905.46680374059</v>
      </c>
      <c r="P35" s="183">
        <f>P39/('Demand - Ethylene'!$K$14)</f>
        <v>696660.05077670678</v>
      </c>
      <c r="Q35" s="183">
        <f>Q39/('Demand - Ethylene'!$K$14)</f>
        <v>675125.63653759251</v>
      </c>
      <c r="R35" s="183">
        <f>R39/('Demand - Ethylene'!$K$14)</f>
        <v>653857.50300703535</v>
      </c>
      <c r="S35" s="183">
        <f>S39/('Demand - Ethylene'!$K$14)</f>
        <v>632852.98484363081</v>
      </c>
      <c r="T35" s="183">
        <f>T39/('Demand - Ethylene'!$K$14)</f>
        <v>612109.44092153886</v>
      </c>
      <c r="U35" s="183">
        <f>U39/('Demand - Ethylene'!$K$14)</f>
        <v>591624.25412242557</v>
      </c>
      <c r="V35" s="183">
        <f>V39/('Demand - Ethylene'!$K$14)</f>
        <v>571394.83112912811</v>
      </c>
      <c r="W35" s="183">
        <f>W39/('Demand - Ethylene'!$K$14)</f>
        <v>551418.60222103004</v>
      </c>
      <c r="X35" s="183">
        <f>X39/('Demand - Ethylene'!$K$14)</f>
        <v>531693.0210711332</v>
      </c>
      <c r="Y35" s="183">
        <f>Y39/('Demand - Ethylene'!$K$14)</f>
        <v>516336.22427596891</v>
      </c>
      <c r="Z35" s="183">
        <f>Z39/('Demand - Ethylene'!$K$14)</f>
        <v>501372.82254162082</v>
      </c>
      <c r="AA35" s="183">
        <f>AA39/('Demand - Ethylene'!$K$14)</f>
        <v>486592.88249505527</v>
      </c>
      <c r="AB35" s="183">
        <f>AB39/('Demand - Ethylene'!$K$14)</f>
        <v>471994.57392279571</v>
      </c>
      <c r="AC35" s="183">
        <f>AC39/('Demand - Ethylene'!$K$14)</f>
        <v>457576.08320966881</v>
      </c>
      <c r="AD35" s="183">
        <f>AD39/('Demand - Ethylene'!$K$14)</f>
        <v>443335.6131963532</v>
      </c>
      <c r="AE35" s="183">
        <f>AE39/('Demand - Ethylene'!$K$14)</f>
        <v>429271.38303810608</v>
      </c>
      <c r="AF35" s="183">
        <f>AF39/('Demand - Ethylene'!$K$14)</f>
        <v>415381.62806466053</v>
      </c>
      <c r="AG35" s="183">
        <f>AG39/('Demand - Ethylene'!$K$14)</f>
        <v>401664.59964128322</v>
      </c>
      <c r="AH35" s="183">
        <f>AH39/('Demand - Ethylene'!$K$14)</f>
        <v>388118.56503098202</v>
      </c>
      <c r="AI35" s="40"/>
    </row>
    <row r="36" spans="1:35">
      <c r="A36" s="607"/>
      <c r="B36" s="1" t="s">
        <v>607</v>
      </c>
      <c r="C36" s="50" t="s">
        <v>1420</v>
      </c>
      <c r="D36" s="183">
        <f>D38/('Demand - Ethylene'!$M$14)</f>
        <v>118732.33536672319</v>
      </c>
      <c r="E36" s="183">
        <f>E38/('Demand - Ethylene'!$M$14)</f>
        <v>117439.09299073272</v>
      </c>
      <c r="F36" s="183">
        <f>F38/('Demand - Ethylene'!$M$14)</f>
        <v>116158.10848421445</v>
      </c>
      <c r="G36" s="183">
        <f>G38/('Demand - Ethylene'!$M$14)</f>
        <v>114889.27381192574</v>
      </c>
      <c r="H36" s="183">
        <f>H38/('Demand - Ethylene'!$M$14)</f>
        <v>113632.48184904941</v>
      </c>
      <c r="I36" s="183">
        <f>I38/('Demand - Ethylene'!$M$14)</f>
        <v>112387.62637375123</v>
      </c>
      <c r="J36" s="183">
        <f>J38/('Demand - Ethylene'!$M$14)</f>
        <v>111154.6020597973</v>
      </c>
      <c r="K36" s="183">
        <f>K38/('Demand - Ethylene'!$M$14)</f>
        <v>109933.30446923026</v>
      </c>
      <c r="L36" s="183">
        <f>L38/('Demand - Ethylene'!$M$14)</f>
        <v>108723.63004510422</v>
      </c>
      <c r="M36" s="183">
        <f>M38/('Demand - Ethylene'!$M$14)</f>
        <v>107525.47610427767</v>
      </c>
      <c r="N36" s="183">
        <f>N38/('Demand - Ethylene'!$M$14)</f>
        <v>106338.74083026414</v>
      </c>
      <c r="O36" s="183">
        <f>O38/('Demand - Ethylene'!$M$14)</f>
        <v>104515.65724577272</v>
      </c>
      <c r="P36" s="183">
        <f>P38/('Demand - Ethylene'!$M$14)</f>
        <v>102712.8172205728</v>
      </c>
      <c r="Q36" s="183">
        <f>Q38/('Demand - Ethylene'!$M$14)</f>
        <v>100930.02715571012</v>
      </c>
      <c r="R36" s="183">
        <f>R38/('Demand - Ethylene'!$M$14)</f>
        <v>99167.095167346022</v>
      </c>
      <c r="S36" s="183">
        <f>S38/('Demand - Ethylene'!$M$14)</f>
        <v>97423.83107225514</v>
      </c>
      <c r="T36" s="183">
        <f>T38/('Demand - Ethylene'!$M$14)</f>
        <v>95700.046373442354</v>
      </c>
      <c r="U36" s="183">
        <f>U38/('Demand - Ethylene'!$M$14)</f>
        <v>93995.554245877371</v>
      </c>
      <c r="V36" s="183">
        <f>V38/('Demand - Ethylene'!$M$14)</f>
        <v>92310.169522346157</v>
      </c>
      <c r="W36" s="183">
        <f>W38/('Demand - Ethylene'!$M$14)</f>
        <v>90643.708679418647</v>
      </c>
      <c r="X36" s="183">
        <f>X38/('Demand - Ethylene'!$M$14)</f>
        <v>88995.989823531243</v>
      </c>
      <c r="Y36" s="183">
        <f>Y38/('Demand - Ethylene'!$M$14)</f>
        <v>87553.229398247029</v>
      </c>
      <c r="Z36" s="183">
        <f>Z38/('Demand - Ethylene'!$M$14)</f>
        <v>86126.25435960725</v>
      </c>
      <c r="AA36" s="183">
        <f>AA38/('Demand - Ethylene'!$M$14)</f>
        <v>84714.914772135933</v>
      </c>
      <c r="AB36" s="183">
        <f>AB38/('Demand - Ethylene'!$M$14)</f>
        <v>83319.062023434555</v>
      </c>
      <c r="AC36" s="183">
        <f>AC38/('Demand - Ethylene'!$M$14)</f>
        <v>81938.548813023473</v>
      </c>
      <c r="AD36" s="183">
        <f>AD38/('Demand - Ethylene'!$M$14)</f>
        <v>80573.22914127454</v>
      </c>
      <c r="AE36" s="183">
        <f>AE38/('Demand - Ethylene'!$M$14)</f>
        <v>79222.958298434329</v>
      </c>
      <c r="AF36" s="183">
        <f>AF38/('Demand - Ethylene'!$M$14)</f>
        <v>77887.59285373702</v>
      </c>
      <c r="AG36" s="183">
        <f>AG38/('Demand - Ethylene'!$M$14)</f>
        <v>76566.990644606631</v>
      </c>
      <c r="AH36" s="183">
        <f>AH38/('Demand - Ethylene'!$M$14)</f>
        <v>75261.010765947387</v>
      </c>
      <c r="AI36" s="40"/>
    </row>
    <row r="37" spans="1:35" s="62" customFormat="1">
      <c r="A37" s="608"/>
      <c r="B37" s="58" t="s">
        <v>27</v>
      </c>
      <c r="C37" s="233" t="s">
        <v>1420</v>
      </c>
      <c r="D37" s="528">
        <f>D33-SUM(D35,D34,D36)</f>
        <v>-411931.67217606585</v>
      </c>
      <c r="E37" s="528">
        <f>E33-E34-E35-E36</f>
        <v>-399405.18579240178</v>
      </c>
      <c r="F37" s="528">
        <f t="shared" ref="F37:AH37" si="9">F33-F34-F35-F36</f>
        <v>-387033.2691894038</v>
      </c>
      <c r="G37" s="528">
        <f t="shared" si="9"/>
        <v>-374814.37647307705</v>
      </c>
      <c r="H37" s="528">
        <f t="shared" si="9"/>
        <v>-362746.97578823339</v>
      </c>
      <c r="I37" s="528">
        <f t="shared" si="9"/>
        <v>-350829.5491979043</v>
      </c>
      <c r="J37" s="528">
        <f t="shared" si="9"/>
        <v>-339060.59256374999</v>
      </c>
      <c r="K37" s="528">
        <f t="shared" si="9"/>
        <v>-327438.61542746529</v>
      </c>
      <c r="L37" s="528">
        <f t="shared" si="9"/>
        <v>-315962.14089316223</v>
      </c>
      <c r="M37" s="528">
        <f t="shared" si="9"/>
        <v>-304629.7055107319</v>
      </c>
      <c r="N37" s="528">
        <f t="shared" si="9"/>
        <v>-293439.85916016845</v>
      </c>
      <c r="O37" s="528">
        <f t="shared" si="9"/>
        <v>-277585.55372436851</v>
      </c>
      <c r="P37" s="528">
        <f t="shared" si="9"/>
        <v>-264339.40297484392</v>
      </c>
      <c r="Q37" s="528">
        <f t="shared" si="9"/>
        <v>-249261.20848511098</v>
      </c>
      <c r="R37" s="528">
        <f t="shared" si="9"/>
        <v>-234380.31087418256</v>
      </c>
      <c r="S37" s="528">
        <f t="shared" si="9"/>
        <v>-219694.69269328273</v>
      </c>
      <c r="T37" s="528">
        <f t="shared" si="9"/>
        <v>-205202.35502952029</v>
      </c>
      <c r="U37" s="528">
        <f t="shared" si="9"/>
        <v>-190901.31734552706</v>
      </c>
      <c r="V37" s="528">
        <f t="shared" si="9"/>
        <v>-176789.61732042773</v>
      </c>
      <c r="W37" s="528">
        <f t="shared" si="9"/>
        <v>-162865.31069213711</v>
      </c>
      <c r="X37" s="528">
        <f t="shared" si="9"/>
        <v>-149126.47110096714</v>
      </c>
      <c r="Y37" s="528">
        <f t="shared" si="9"/>
        <v>-138235.08155414811</v>
      </c>
      <c r="Z37" s="528">
        <f t="shared" si="9"/>
        <v>-128098.48056167901</v>
      </c>
      <c r="AA37" s="528">
        <f t="shared" si="9"/>
        <v>-118096.4326444641</v>
      </c>
      <c r="AB37" s="528">
        <f t="shared" si="9"/>
        <v>-108227.55482556869</v>
      </c>
      <c r="AC37" s="528">
        <f t="shared" si="9"/>
        <v>-98490.476868320882</v>
      </c>
      <c r="AD37" s="528">
        <f t="shared" si="9"/>
        <v>-88883.841165911479</v>
      </c>
      <c r="AE37" s="528">
        <f t="shared" si="9"/>
        <v>-79406.302631911589</v>
      </c>
      <c r="AF37" s="528">
        <f t="shared" si="9"/>
        <v>-70056.528591705151</v>
      </c>
      <c r="AG37" s="528">
        <f t="shared" si="9"/>
        <v>-60833.198674824947</v>
      </c>
      <c r="AH37" s="528">
        <f t="shared" si="9"/>
        <v>-51735.004708187524</v>
      </c>
      <c r="AI37" s="234"/>
    </row>
    <row r="38" spans="1:35" s="61" customFormat="1">
      <c r="A38" s="606" t="s">
        <v>609</v>
      </c>
      <c r="B38" s="54" t="s">
        <v>606</v>
      </c>
      <c r="C38" s="55" t="s">
        <v>1420</v>
      </c>
      <c r="D38" s="571">
        <f>D33*'Demand - Ethylene'!$E$73</f>
        <v>54121.444102564106</v>
      </c>
      <c r="E38" s="571">
        <f>E26*'Demand - Ethylene'!$E$73-E$27/'R&amp;S - Packaging and hh goods'!$C$7*'R&amp;S - Packaging and hh goods'!$U9-E$28/'R&amp;S - Packaging and hh goods'!$C$8*'R&amp;S - Packaging and hh goods'!$U10-E$30/'R&amp;S - Packaging and hh goods'!$C$9*'R&amp;S - Packaging and hh goods'!$U11-E$31/'R&amp;S - Packaging and hh goods'!$C$10*'R&amp;S - Packaging and hh goods'!$U12</f>
        <v>53531.948875783186</v>
      </c>
      <c r="F38" s="571">
        <f>F26*'Demand - Ethylene'!$E$73-F$27/'R&amp;S - Packaging and hh goods'!$C$7*'R&amp;S - Packaging and hh goods'!$U9-F$28/'R&amp;S - Packaging and hh goods'!$C$8*'R&amp;S - Packaging and hh goods'!$U10-F$30/'R&amp;S - Packaging and hh goods'!$C$9*'R&amp;S - Packaging and hh goods'!$U11-F$31/'R&amp;S - Packaging and hh goods'!$C$10*'R&amp;S - Packaging and hh goods'!$U12</f>
        <v>52948.041120986258</v>
      </c>
      <c r="G38" s="571">
        <f>G26*'Demand - Ethylene'!$E$73-G$27/'R&amp;S - Packaging and hh goods'!$C$7*'R&amp;S - Packaging and hh goods'!$U9-G$28/'R&amp;S - Packaging and hh goods'!$C$8*'R&amp;S - Packaging and hh goods'!$U10-G$30/'R&amp;S - Packaging and hh goods'!$C$9*'R&amp;S - Packaging and hh goods'!$U11-G$31/'R&amp;S - Packaging and hh goods'!$C$10*'R&amp;S - Packaging and hh goods'!$U12</f>
        <v>52369.671592756502</v>
      </c>
      <c r="H38" s="571">
        <f>H26*'Demand - Ethylene'!$E$73-H$27/'R&amp;S - Packaging and hh goods'!$C$7*'R&amp;S - Packaging and hh goods'!$U9-H$28/'R&amp;S - Packaging and hh goods'!$C$8*'R&amp;S - Packaging and hh goods'!$U10-H$30/'R&amp;S - Packaging and hh goods'!$C$9*'R&amp;S - Packaging and hh goods'!$U11-H$31/'R&amp;S - Packaging and hh goods'!$C$10*'R&amp;S - Packaging and hh goods'!$U12</f>
        <v>51796.791460673907</v>
      </c>
      <c r="I38" s="571">
        <f>I26*'Demand - Ethylene'!$E$73-I$27/'R&amp;S - Packaging and hh goods'!$C$7*'R&amp;S - Packaging and hh goods'!$U9-I$28/'R&amp;S - Packaging and hh goods'!$C$8*'R&amp;S - Packaging and hh goods'!$U10-I$30/'R&amp;S - Packaging and hh goods'!$C$9*'R&amp;S - Packaging and hh goods'!$U11-I$31/'R&amp;S - Packaging and hh goods'!$C$10*'R&amp;S - Packaging and hh goods'!$U12</f>
        <v>51229.352305922781</v>
      </c>
      <c r="J38" s="571">
        <f>J26*'Demand - Ethylene'!$E$73-J$27/'R&amp;S - Packaging and hh goods'!$C$7*'R&amp;S - Packaging and hh goods'!$U9-J$28/'R&amp;S - Packaging and hh goods'!$C$8*'R&amp;S - Packaging and hh goods'!$U10-J$30/'R&amp;S - Packaging and hh goods'!$C$9*'R&amp;S - Packaging and hh goods'!$U11-J$31/'R&amp;S - Packaging and hh goods'!$C$10*'R&amp;S - Packaging and hh goods'!$U12</f>
        <v>50667.306117926521</v>
      </c>
      <c r="K38" s="571">
        <f>K26*'Demand - Ethylene'!$E$73-K$27/'R&amp;S - Packaging and hh goods'!$C$7*'R&amp;S - Packaging and hh goods'!$U9-K$28/'R&amp;S - Packaging and hh goods'!$C$8*'R&amp;S - Packaging and hh goods'!$U10-K$30/'R&amp;S - Packaging and hh goods'!$C$9*'R&amp;S - Packaging and hh goods'!$U11-K$31/'R&amp;S - Packaging and hh goods'!$C$10*'R&amp;S - Packaging and hh goods'!$U12</f>
        <v>50110.605291009277</v>
      </c>
      <c r="L38" s="571">
        <f>L26*'Demand - Ethylene'!$E$73-L$27/'R&amp;S - Packaging and hh goods'!$C$7*'R&amp;S - Packaging and hh goods'!$U9-L$28/'R&amp;S - Packaging and hh goods'!$C$8*'R&amp;S - Packaging and hh goods'!$U10-L$30/'R&amp;S - Packaging and hh goods'!$C$9*'R&amp;S - Packaging and hh goods'!$U11-L$31/'R&amp;S - Packaging and hh goods'!$C$10*'R&amp;S - Packaging and hh goods'!$U12</f>
        <v>49559.202621084296</v>
      </c>
      <c r="M38" s="571">
        <f>M26*'Demand - Ethylene'!$E$73-M$27/'R&amp;S - Packaging and hh goods'!$C$7*'R&amp;S - Packaging and hh goods'!$U9-M$28/'R&amp;S - Packaging and hh goods'!$C$8*'R&amp;S - Packaging and hh goods'!$U10-M$30/'R&amp;S - Packaging and hh goods'!$C$9*'R&amp;S - Packaging and hh goods'!$U11-M$31/'R&amp;S - Packaging and hh goods'!$C$10*'R&amp;S - Packaging and hh goods'!$U12</f>
        <v>49013.05130236876</v>
      </c>
      <c r="N38" s="571">
        <f>N26*'Demand - Ethylene'!$E$73-N$27/'R&amp;S - Packaging and hh goods'!$C$7*'R&amp;S - Packaging and hh goods'!$U9-N$28/'R&amp;S - Packaging and hh goods'!$C$8*'R&amp;S - Packaging and hh goods'!$U10-N$30/'R&amp;S - Packaging and hh goods'!$C$9*'R&amp;S - Packaging and hh goods'!$U11-N$31/'R&amp;S - Packaging and hh goods'!$C$10*'R&amp;S - Packaging and hh goods'!$U12</f>
        <v>48472.104924124906</v>
      </c>
      <c r="O38" s="571">
        <f>O26*'Demand - Ethylene'!$E$73-O$27/'R&amp;S - Packaging and hh goods'!$C$7*'R&amp;S - Packaging and hh goods'!$U9-O$28/'R&amp;S - Packaging and hh goods'!$C$8*'R&amp;S - Packaging and hh goods'!$U10-O$30/'R&amp;S - Packaging and hh goods'!$C$9*'R&amp;S - Packaging and hh goods'!$U11-O$31/'R&amp;S - Packaging and hh goods'!$C$10*'R&amp;S - Packaging and hh goods'!$U12</f>
        <v>47641.093590880228</v>
      </c>
      <c r="P38" s="571">
        <f>P26*'Demand - Ethylene'!$E$73-P$27/'R&amp;S - Packaging and hh goods'!$C$7*'R&amp;S - Packaging and hh goods'!$U9-P$28/'R&amp;S - Packaging and hh goods'!$C$8*'R&amp;S - Packaging and hh goods'!$U10-P$30/'R&amp;S - Packaging and hh goods'!$C$9*'R&amp;S - Packaging and hh goods'!$U11-P$31/'R&amp;S - Packaging and hh goods'!$C$10*'R&amp;S - Packaging and hh goods'!$U12</f>
        <v>46819.309825334341</v>
      </c>
      <c r="Q38" s="571">
        <f>Q26*'Demand - Ethylene'!$E$73-Q$27/'R&amp;S - Packaging and hh goods'!$C$7*'R&amp;S - Packaging and hh goods'!$U9-Q$28/'R&amp;S - Packaging and hh goods'!$C$8*'R&amp;S - Packaging and hh goods'!$U10-Q$30/'R&amp;S - Packaging and hh goods'!$C$9*'R&amp;S - Packaging and hh goods'!$U11-Q$31/'R&amp;S - Packaging and hh goods'!$C$10*'R&amp;S - Packaging and hh goods'!$U12</f>
        <v>46006.665379791717</v>
      </c>
      <c r="R38" s="571">
        <f>R26*'Demand - Ethylene'!$E$73-R$27/'R&amp;S - Packaging and hh goods'!$C$7*'R&amp;S - Packaging and hh goods'!$U9-R$28/'R&amp;S - Packaging and hh goods'!$C$8*'R&amp;S - Packaging and hh goods'!$U10-R$30/'R&amp;S - Packaging and hh goods'!$C$9*'R&amp;S - Packaging and hh goods'!$U11-R$31/'R&amp;S - Packaging and hh goods'!$C$10*'R&amp;S - Packaging and hh goods'!$U12</f>
        <v>45203.072788353384</v>
      </c>
      <c r="S38" s="571">
        <f>S26*'Demand - Ethylene'!$E$73-S$27/'R&amp;S - Packaging and hh goods'!$C$7*'R&amp;S - Packaging and hh goods'!$U9-S$28/'R&amp;S - Packaging and hh goods'!$C$8*'R&amp;S - Packaging and hh goods'!$U10-S$30/'R&amp;S - Packaging and hh goods'!$C$9*'R&amp;S - Packaging and hh goods'!$U11-S$31/'R&amp;S - Packaging and hh goods'!$C$10*'R&amp;S - Packaging and hh goods'!$U12</f>
        <v>44408.445360306425</v>
      </c>
      <c r="T38" s="571">
        <f>T26*'Demand - Ethylene'!$E$73-T$27/'R&amp;S - Packaging and hh goods'!$C$7*'R&amp;S - Packaging and hh goods'!$U9-T$28/'R&amp;S - Packaging and hh goods'!$C$8*'R&amp;S - Packaging and hh goods'!$U10-T$30/'R&amp;S - Packaging and hh goods'!$C$9*'R&amp;S - Packaging and hh goods'!$U11-T$31/'R&amp;S - Packaging and hh goods'!$C$10*'R&amp;S - Packaging and hh goods'!$U12</f>
        <v>43622.697173567751</v>
      </c>
      <c r="U38" s="571">
        <f>U26*'Demand - Ethylene'!$E$73-U$27/'R&amp;S - Packaging and hh goods'!$C$7*'R&amp;S - Packaging and hh goods'!$U9-U$28/'R&amp;S - Packaging and hh goods'!$C$8*'R&amp;S - Packaging and hh goods'!$U10-U$30/'R&amp;S - Packaging and hh goods'!$C$9*'R&amp;S - Packaging and hh goods'!$U11-U$31/'R&amp;S - Packaging and hh goods'!$C$10*'R&amp;S - Packaging and hh goods'!$U12</f>
        <v>42845.743068181531</v>
      </c>
      <c r="V38" s="571">
        <f>V26*'Demand - Ethylene'!$E$73-V$27/'R&amp;S - Packaging and hh goods'!$C$7*'R&amp;S - Packaging and hh goods'!$U9-V$28/'R&amp;S - Packaging and hh goods'!$C$8*'R&amp;S - Packaging and hh goods'!$U10-V$30/'R&amp;S - Packaging and hh goods'!$C$9*'R&amp;S - Packaging and hh goods'!$U11-V$31/'R&amp;S - Packaging and hh goods'!$C$10*'R&amp;S - Packaging and hh goods'!$U12</f>
        <v>42077.498639869926</v>
      </c>
      <c r="W38" s="571">
        <f>W26*'Demand - Ethylene'!$E$73-W$27/'R&amp;S - Packaging and hh goods'!$C$7*'R&amp;S - Packaging and hh goods'!$U9-W$28/'R&amp;S - Packaging and hh goods'!$C$8*'R&amp;S - Packaging and hh goods'!$U10-W$30/'R&amp;S - Packaging and hh goods'!$C$9*'R&amp;S - Packaging and hh goods'!$U11-W$31/'R&amp;S - Packaging and hh goods'!$C$10*'R&amp;S - Packaging and hh goods'!$U12</f>
        <v>41317.880233636752</v>
      </c>
      <c r="X38" s="571">
        <f>X26*'Demand - Ethylene'!$E$73-X$27/'R&amp;S - Packaging and hh goods'!$C$7*'R&amp;S - Packaging and hh goods'!$U9-X$28/'R&amp;S - Packaging and hh goods'!$C$8*'R&amp;S - Packaging and hh goods'!$U10-X$30/'R&amp;S - Packaging and hh goods'!$C$9*'R&amp;S - Packaging and hh goods'!$U11-X$31/'R&amp;S - Packaging and hh goods'!$C$10*'R&amp;S - Packaging and hh goods'!$U12</f>
        <v>40566.804937423512</v>
      </c>
      <c r="Y38" s="571">
        <f>Y26*'Demand - Ethylene'!$E$73-Y$27/'R&amp;S - Packaging and hh goods'!$C$7*'R&amp;S - Packaging and hh goods'!$U9-Y$28/'R&amp;S - Packaging and hh goods'!$C$8*'R&amp;S - Packaging and hh goods'!$U10-Y$30/'R&amp;S - Packaging and hh goods'!$C$9*'R&amp;S - Packaging and hh goods'!$U11-Y$31/'R&amp;S - Packaging and hh goods'!$C$10*'R&amp;S - Packaging and hh goods'!$U12</f>
        <v>39909.155296580218</v>
      </c>
      <c r="Z38" s="571">
        <f>Z26*'Demand - Ethylene'!$E$73-Z$27/'R&amp;S - Packaging and hh goods'!$C$7*'R&amp;S - Packaging and hh goods'!$U9-Z$28/'R&amp;S - Packaging and hh goods'!$C$8*'R&amp;S - Packaging and hh goods'!$U10-Z$30/'R&amp;S - Packaging and hh goods'!$C$9*'R&amp;S - Packaging and hh goods'!$U11-Z$31/'R&amp;S - Packaging and hh goods'!$C$10*'R&amp;S - Packaging and hh goods'!$U12</f>
        <v>39258.7010664755</v>
      </c>
      <c r="AA38" s="571">
        <f>AA26*'Demand - Ethylene'!$E$73-AA$27/'R&amp;S - Packaging and hh goods'!$C$7*'R&amp;S - Packaging and hh goods'!$U9-AA$28/'R&amp;S - Packaging and hh goods'!$C$8*'R&amp;S - Packaging and hh goods'!$U10-AA$30/'R&amp;S - Packaging and hh goods'!$C$9*'R&amp;S - Packaging and hh goods'!$U11-AA$31/'R&amp;S - Packaging and hh goods'!$C$10*'R&amp;S - Packaging and hh goods'!$U12</f>
        <v>38615.373902420804</v>
      </c>
      <c r="AB38" s="571">
        <f>AB26*'Demand - Ethylene'!$E$73-AB$27/'R&amp;S - Packaging and hh goods'!$C$7*'R&amp;S - Packaging and hh goods'!$U9-AB$28/'R&amp;S - Packaging and hh goods'!$C$8*'R&amp;S - Packaging and hh goods'!$U10-AB$30/'R&amp;S - Packaging and hh goods'!$C$9*'R&amp;S - Packaging and hh goods'!$U11-AB$31/'R&amp;S - Packaging and hh goods'!$C$10*'R&amp;S - Packaging and hh goods'!$U12</f>
        <v>37979.106062822451</v>
      </c>
      <c r="AC38" s="571">
        <f>AC26*'Demand - Ethylene'!$E$73-AC$27/'R&amp;S - Packaging and hh goods'!$C$7*'R&amp;S - Packaging and hh goods'!$U9-AC$28/'R&amp;S - Packaging and hh goods'!$C$8*'R&amp;S - Packaging and hh goods'!$U10-AC$30/'R&amp;S - Packaging and hh goods'!$C$9*'R&amp;S - Packaging and hh goods'!$U11-AC$31/'R&amp;S - Packaging and hh goods'!$C$10*'R&amp;S - Packaging and hh goods'!$U12</f>
        <v>37349.830404095243</v>
      </c>
      <c r="AD38" s="571">
        <f>AD26*'Demand - Ethylene'!$E$73-AD$27/'R&amp;S - Packaging and hh goods'!$C$7*'R&amp;S - Packaging and hh goods'!$U9-AD$28/'R&amp;S - Packaging and hh goods'!$C$8*'R&amp;S - Packaging and hh goods'!$U10-AD$30/'R&amp;S - Packaging and hh goods'!$C$9*'R&amp;S - Packaging and hh goods'!$U11-AD$31/'R&amp;S - Packaging and hh goods'!$C$10*'R&amp;S - Packaging and hh goods'!$U12</f>
        <v>36727.480375617655</v>
      </c>
      <c r="AE38" s="571">
        <f>AE26*'Demand - Ethylene'!$E$73-AE$27/'R&amp;S - Packaging and hh goods'!$C$7*'R&amp;S - Packaging and hh goods'!$U9-AE$28/'R&amp;S - Packaging and hh goods'!$C$8*'R&amp;S - Packaging and hh goods'!$U10-AE$30/'R&amp;S - Packaging and hh goods'!$C$9*'R&amp;S - Packaging and hh goods'!$U11-AE$31/'R&amp;S - Packaging and hh goods'!$C$10*'R&amp;S - Packaging and hh goods'!$U12</f>
        <v>36111.990014728312</v>
      </c>
      <c r="AF38" s="571">
        <f>AF26*'Demand - Ethylene'!$E$73-AF$27/'R&amp;S - Packaging and hh goods'!$C$7*'R&amp;S - Packaging and hh goods'!$U9-AF$28/'R&amp;S - Packaging and hh goods'!$C$8*'R&amp;S - Packaging and hh goods'!$U10-AF$30/'R&amp;S - Packaging and hh goods'!$C$9*'R&amp;S - Packaging and hh goods'!$U11-AF$31/'R&amp;S - Packaging and hh goods'!$C$10*'R&amp;S - Packaging and hh goods'!$U12</f>
        <v>35503.293941763368</v>
      </c>
      <c r="AG38" s="571">
        <f>AG26*'Demand - Ethylene'!$E$73-AG$27/'R&amp;S - Packaging and hh goods'!$C$7*'R&amp;S - Packaging and hh goods'!$U9-AG$28/'R&amp;S - Packaging and hh goods'!$C$8*'R&amp;S - Packaging and hh goods'!$U10-AG$30/'R&amp;S - Packaging and hh goods'!$C$9*'R&amp;S - Packaging and hh goods'!$U11-AG$31/'R&amp;S - Packaging and hh goods'!$C$10*'R&amp;S - Packaging and hh goods'!$U12</f>
        <v>34901.327355134563</v>
      </c>
      <c r="AH38" s="571">
        <f>AH26*'Demand - Ethylene'!$E$73-AH$27/'R&amp;S - Packaging and hh goods'!$C$7*'R&amp;S - Packaging and hh goods'!$U9-AH$28/'R&amp;S - Packaging and hh goods'!$C$8*'R&amp;S - Packaging and hh goods'!$U10-AH$30/'R&amp;S - Packaging and hh goods'!$C$9*'R&amp;S - Packaging and hh goods'!$U11-AH$31/'R&amp;S - Packaging and hh goods'!$C$10*'R&amp;S - Packaging and hh goods'!$U12</f>
        <v>34306.026026447485</v>
      </c>
      <c r="AI38" s="56"/>
    </row>
    <row r="39" spans="1:35" s="62" customFormat="1">
      <c r="A39" s="608"/>
      <c r="B39" s="58" t="s">
        <v>605</v>
      </c>
      <c r="C39" s="233" t="s">
        <v>1420</v>
      </c>
      <c r="D39" s="528">
        <f>D33*'Demand - Ethylene'!$D$73/'Demand - Ethylene'!$L$24</f>
        <v>308424.77602250775</v>
      </c>
      <c r="E39" s="528">
        <f>E33*'Demand - Ethylene'!$D$73/'Demand - Ethylene'!$L$24</f>
        <v>301970.71909082861</v>
      </c>
      <c r="F39" s="528">
        <f>F33*'Demand - Ethylene'!$D$73/'Demand - Ethylene'!$L$24</f>
        <v>295591.6314736635</v>
      </c>
      <c r="G39" s="528">
        <f>G33*'Demand - Ethylene'!$D$73/'Demand - Ethylene'!$L$24</f>
        <v>289286.7817589147</v>
      </c>
      <c r="H39" s="528">
        <f>H33*'Demand - Ethylene'!$D$73/'Demand - Ethylene'!$L$24</f>
        <v>283055.44508748257</v>
      </c>
      <c r="I39" s="528">
        <f>I33*'Demand - Ethylene'!$D$73/'Demand - Ethylene'!$L$24</f>
        <v>276896.90309745481</v>
      </c>
      <c r="J39" s="528">
        <f>J33*'Demand - Ethylene'!$D$73/'Demand - Ethylene'!$L$24</f>
        <v>270810.44386875577</v>
      </c>
      <c r="K39" s="528">
        <f>K33*'Demand - Ethylene'!$D$73/'Demand - Ethylene'!$L$24</f>
        <v>264795.36186825129</v>
      </c>
      <c r="L39" s="528">
        <f>L33*'Demand - Ethylene'!$D$73/'Demand - Ethylene'!$L$24</f>
        <v>258850.957895306</v>
      </c>
      <c r="M39" s="528">
        <f>M33*'Demand - Ethylene'!$D$73/'Demand - Ethylene'!$L$24</f>
        <v>252976.53902778958</v>
      </c>
      <c r="N39" s="528">
        <f>N33*'Demand - Ethylene'!$D$73/'Demand - Ethylene'!$L$24</f>
        <v>247171.41856852709</v>
      </c>
      <c r="O39" s="528">
        <f>O33*'Demand - Ethylene'!$D$73/'Demand - Ethylene'!$L$24</f>
        <v>239624.33993494743</v>
      </c>
      <c r="P39" s="528">
        <f>P33*'Demand - Ethylene'!$D$73/'Demand - Ethylene'!$L$24</f>
        <v>233182.60939077253</v>
      </c>
      <c r="Q39" s="528">
        <f>Q33*'Demand - Ethylene'!$D$73/'Demand - Ethylene'!$L$24</f>
        <v>225974.71667698759</v>
      </c>
      <c r="R39" s="528">
        <f>R33*'Demand - Ethylene'!$D$73/'Demand - Ethylene'!$L$24</f>
        <v>218855.95212604557</v>
      </c>
      <c r="S39" s="528">
        <f>S33*'Demand - Ethylene'!$D$73/'Demand - Ethylene'!$L$24</f>
        <v>211825.42360804329</v>
      </c>
      <c r="T39" s="528">
        <f>T33*'Demand - Ethylene'!$D$73/'Demand - Ethylene'!$L$24</f>
        <v>204882.24709839173</v>
      </c>
      <c r="U39" s="528">
        <f>U33*'Demand - Ethylene'!$D$73/'Demand - Ethylene'!$L$24</f>
        <v>198025.54660817559</v>
      </c>
      <c r="V39" s="528">
        <f>V33*'Demand - Ethylene'!$D$73/'Demand - Ethylene'!$L$24</f>
        <v>191254.45411508999</v>
      </c>
      <c r="W39" s="528">
        <f>W33*'Demand - Ethylene'!$D$73/'Demand - Ethylene'!$L$24</f>
        <v>184568.1094949494</v>
      </c>
      <c r="X39" s="528">
        <f>X33*'Demand - Ethylene'!$D$73/'Demand - Ethylene'!$L$24</f>
        <v>177965.66045376466</v>
      </c>
      <c r="Y39" s="528">
        <f>Y33*'Demand - Ethylene'!$D$73/'Demand - Ethylene'!$L$24</f>
        <v>172825.50932182037</v>
      </c>
      <c r="Z39" s="528">
        <f>Z33*'Demand - Ethylene'!$D$73/'Demand - Ethylene'!$L$24</f>
        <v>167817.03344052419</v>
      </c>
      <c r="AA39" s="528">
        <f>AA33*'Demand - Ethylene'!$D$73/'Demand - Ethylene'!$L$24</f>
        <v>162869.96494871832</v>
      </c>
      <c r="AB39" s="528">
        <f>AB33*'Demand - Ethylene'!$D$73/'Demand - Ethylene'!$L$24</f>
        <v>157983.69124639253</v>
      </c>
      <c r="AC39" s="528">
        <f>AC33*'Demand - Ethylene'!$D$73/'Demand - Ethylene'!$L$24</f>
        <v>153157.60528923868</v>
      </c>
      <c r="AD39" s="528">
        <f>AD33*'Demand - Ethylene'!$D$73/'Demand - Ethylene'!$L$24</f>
        <v>148391.10554097005</v>
      </c>
      <c r="AE39" s="528">
        <f>AE33*'Demand - Ethylene'!$D$73/'Demand - Ethylene'!$L$24</f>
        <v>143683.59592603505</v>
      </c>
      <c r="AF39" s="528">
        <f>AF33*'Demand - Ethylene'!$D$73/'Demand - Ethylene'!$L$24</f>
        <v>139034.48578272268</v>
      </c>
      <c r="AG39" s="528">
        <f>AG33*'Demand - Ethylene'!$D$73/'Demand - Ethylene'!$L$24</f>
        <v>134443.18981665655</v>
      </c>
      <c r="AH39" s="528">
        <f>AH33*'Demand - Ethylene'!$D$73/'Demand - Ethylene'!$L$24</f>
        <v>129909.12805467362</v>
      </c>
      <c r="AI39" s="234"/>
    </row>
    <row r="40" spans="1:35" s="61" customFormat="1">
      <c r="A40" s="54" t="s">
        <v>260</v>
      </c>
      <c r="B40" s="54" t="s">
        <v>179</v>
      </c>
      <c r="C40" s="55" t="s">
        <v>1420</v>
      </c>
      <c r="D40" s="571">
        <f>'R&amp;S - Buildings'!J4</f>
        <v>833693.90944694402</v>
      </c>
      <c r="E40" s="571">
        <f>D40*(1+'R&amp;S - Buildings'!$C$5)</f>
        <v>827884.67870790791</v>
      </c>
      <c r="F40" s="571">
        <f>E40*(1+'R&amp;S - Buildings'!$C$5)</f>
        <v>822115.92704806011</v>
      </c>
      <c r="G40" s="571">
        <f>F40*(1+'R&amp;S - Buildings'!$C$5)</f>
        <v>816387.37240667269</v>
      </c>
      <c r="H40" s="571">
        <f>G40*(1+'R&amp;S - Buildings'!$C$5)</f>
        <v>810698.73468843405</v>
      </c>
      <c r="I40" s="571">
        <f>H40*(1+'R&amp;S - Buildings'!$C$5)</f>
        <v>805049.73574975412</v>
      </c>
      <c r="J40" s="571">
        <f>I40*(1+'R&amp;S - Buildings'!$C$5)</f>
        <v>799440.09938516468</v>
      </c>
      <c r="K40" s="571">
        <f>J40*(1+'R&amp;S - Buildings'!$C$5)</f>
        <v>793869.55131381413</v>
      </c>
      <c r="L40" s="571">
        <f>K40*(1+'R&amp;S - Buildings'!$C$5)</f>
        <v>788337.81916605693</v>
      </c>
      <c r="M40" s="571">
        <f>L40*(1+'R&amp;S - Buildings'!$C$5)</f>
        <v>782844.63247013616</v>
      </c>
      <c r="N40" s="571">
        <f>M40*(1+'R&amp;S - Buildings'!$C$5)</f>
        <v>777389.72263895872</v>
      </c>
      <c r="O40" s="571">
        <f>N40*(1+'R&amp;S - Buildings'!$C$5)</f>
        <v>771972.82295696286</v>
      </c>
      <c r="P40" s="571">
        <f>O40*(1+'R&amp;S - Buildings'!$C$5)</f>
        <v>766593.66856707772</v>
      </c>
      <c r="Q40" s="571">
        <f>P40*(1+'R&amp;S - Buildings'!$C$5)</f>
        <v>761251.99645777256</v>
      </c>
      <c r="R40" s="571">
        <f>Q40*(1+'R&amp;S - Buildings'!$C$5)</f>
        <v>755947.54545019742</v>
      </c>
      <c r="S40" s="571">
        <f>R40*(1+'R&amp;S - Buildings'!$C$5)</f>
        <v>750680.05618541269</v>
      </c>
      <c r="T40" s="571">
        <f>S40*(1+'R&amp;S - Buildings'!$C$5)</f>
        <v>745449.2711117079</v>
      </c>
      <c r="U40" s="571">
        <f>T40*(1+'R&amp;S - Buildings'!$C$5)</f>
        <v>740254.93447200884</v>
      </c>
      <c r="V40" s="571">
        <f>U40*(1+'R&amp;S - Buildings'!$C$5)</f>
        <v>735096.79229137243</v>
      </c>
      <c r="W40" s="571">
        <f>V40*(1+'R&amp;S - Buildings'!$C$5)</f>
        <v>729974.59236456861</v>
      </c>
      <c r="X40" s="571">
        <f>W40*(1+'R&amp;S - Buildings'!$C$5)</f>
        <v>724888.08424374915</v>
      </c>
      <c r="Y40" s="571">
        <f>X40*(1+'R&amp;S - Buildings'!$C$5)</f>
        <v>719837.01922620181</v>
      </c>
      <c r="Z40" s="571">
        <f>Y40*(1+'R&amp;S - Buildings'!$C$5)</f>
        <v>714821.15034219017</v>
      </c>
      <c r="AA40" s="571">
        <f>Z40*(1+'R&amp;S - Buildings'!$C$5)</f>
        <v>709840.23234287824</v>
      </c>
      <c r="AB40" s="571">
        <f>AA40*(1+'R&amp;S - Buildings'!$C$5)</f>
        <v>704894.02168833918</v>
      </c>
      <c r="AC40" s="571">
        <f>AB40*(1+'R&amp;S - Buildings'!$C$5)</f>
        <v>699982.27653564746</v>
      </c>
      <c r="AD40" s="571">
        <f>AC40*(1+'R&amp;S - Buildings'!$C$5)</f>
        <v>695104.75672705378</v>
      </c>
      <c r="AE40" s="571">
        <f>AD40*(1+'R&amp;S - Buildings'!$C$5)</f>
        <v>690261.22377824318</v>
      </c>
      <c r="AF40" s="571">
        <f>AE40*(1+'R&amp;S - Buildings'!$C$5)</f>
        <v>685451.44086667395</v>
      </c>
      <c r="AG40" s="571">
        <f>AF40*(1+'R&amp;S - Buildings'!$C$5)</f>
        <v>680675.17281999858</v>
      </c>
      <c r="AH40" s="571">
        <f>AG40*(1+'R&amp;S - Buildings'!$C$5)</f>
        <v>675932.18610456516</v>
      </c>
    </row>
    <row r="41" spans="1:35" outlineLevel="1">
      <c r="B41" s="1" t="s">
        <v>169</v>
      </c>
      <c r="C41" s="50" t="s">
        <v>1420</v>
      </c>
      <c r="D41" s="183">
        <v>0</v>
      </c>
      <c r="E41" s="183">
        <f>E40*'R&amp;S - Buildings'!$C$7*'R&amp;S - Buildings'!$B$12*'R&amp;S - Buildings'!$B$15*('Yearly LC Ethylene'!E$3-'Yearly LC Ethylene'!$D$3)/10</f>
        <v>6010.4427674194112</v>
      </c>
      <c r="F41" s="183">
        <f>F40*'R&amp;S - Buildings'!$C$7*'R&amp;S - Buildings'!$B$12*'R&amp;S - Buildings'!$B$15*('Yearly LC Ethylene'!F$3-'Yearly LC Ethylene'!$D$3)/10</f>
        <v>11937.123260737835</v>
      </c>
      <c r="G41" s="183">
        <f>G40*'R&amp;S - Buildings'!$C$7*'R&amp;S - Buildings'!$B$12*'R&amp;S - Buildings'!$B$15*('Yearly LC Ethylene'!G$3-'Yearly LC Ethylene'!$D$3)/10</f>
        <v>17780.91697101733</v>
      </c>
      <c r="H41" s="183">
        <f>H40*'R&amp;S - Buildings'!$C$7*'R&amp;S - Buildings'!$B$12*'R&amp;S - Buildings'!$B$15*('Yearly LC Ethylene'!H$3-'Yearly LC Ethylene'!$D$3)/10</f>
        <v>23542.691255352129</v>
      </c>
      <c r="I41" s="183">
        <f>I40*'R&amp;S - Buildings'!$C$7*'R&amp;S - Buildings'!$B$12*'R&amp;S - Buildings'!$B$15*('Yearly LC Ethylene'!I$3-'Yearly LC Ethylene'!$D$3)/10</f>
        <v>29223.30540771607</v>
      </c>
      <c r="J41" s="183">
        <f>J40*'R&amp;S - Buildings'!$C$7*'R&amp;S - Buildings'!$B$12*'R&amp;S - Buildings'!$B$15*('Yearly LC Ethylene'!J$3-'Yearly LC Ethylene'!$D$3)/10</f>
        <v>34823.610729217777</v>
      </c>
      <c r="K41" s="183">
        <f>K40*'R&amp;S - Buildings'!$C$7*'R&amp;S - Buildings'!$B$12*'R&amp;S - Buildings'!$B$15*('Yearly LC Ethylene'!K$3-'Yearly LC Ethylene'!$D$3)/10</f>
        <v>40344.450597768031</v>
      </c>
      <c r="L41" s="183">
        <f>L40*'R&amp;S - Buildings'!$C$7*'R&amp;S - Buildings'!$B$12*'R&amp;S - Buildings'!$B$15*('Yearly LC Ethylene'!L$3-'Yearly LC Ethylene'!$D$3)/10</f>
        <v>45786.660537164586</v>
      </c>
      <c r="M41" s="183">
        <f>M40*'R&amp;S - Buildings'!$C$7*'R&amp;S - Buildings'!$B$12*'R&amp;S - Buildings'!$B$15*('Yearly LC Ethylene'!M$3-'Yearly LC Ethylene'!$D$3)/10</f>
        <v>51151.068285598696</v>
      </c>
      <c r="N41" s="183">
        <f>N40*'R&amp;S - Buildings'!$C$7*'R&amp;S - Buildings'!$B$12*'R&amp;S - Buildings'!$B$15*('Yearly LC Ethylene'!N$3-'Yearly LC Ethylene'!$D$3)/10</f>
        <v>56438.49386358841</v>
      </c>
      <c r="O41" s="183">
        <f>O40*'R&amp;S - Buildings'!$C$7*'R&amp;S - Buildings'!$B$12*('R&amp;S - Buildings'!$B$15+('R&amp;S - Buildings'!$B$16-'R&amp;S - Buildings'!$B$15)*('Yearly LC Ethylene'!O$3-'Yearly LC Ethylene'!$N$3)/10)</f>
        <v>61649.749641343049</v>
      </c>
      <c r="P41" s="183">
        <f>P40*'R&amp;S - Buildings'!$C$7*'R&amp;S - Buildings'!$B$12*('R&amp;S - Buildings'!$B$15+('R&amp;S - Buildings'!$B$16-'R&amp;S - Buildings'!$B$15)*('Yearly LC Ethylene'!P$3-'Yearly LC Ethylene'!$N$3)/10)</f>
        <v>66785.640405563812</v>
      </c>
      <c r="Q41" s="183">
        <f>Q40*'R&amp;S - Buildings'!$C$7*'R&amp;S - Buildings'!$B$12*('R&amp;S - Buildings'!$B$15+('R&amp;S - Buildings'!$B$16-'R&amp;S - Buildings'!$B$15)*('Yearly LC Ethylene'!Q$3-'Yearly LC Ethylene'!$N$3)/10)</f>
        <v>71846.963425684575</v>
      </c>
      <c r="R41" s="183">
        <f>R40*'R&amp;S - Buildings'!$C$7*'R&amp;S - Buildings'!$B$12*('R&amp;S - Buildings'!$B$15+('R&amp;S - Buildings'!$B$16-'R&amp;S - Buildings'!$B$15)*('Yearly LC Ethylene'!R$3-'Yearly LC Ethylene'!$N$3)/10)</f>
        <v>76834.508519558076</v>
      </c>
      <c r="S41" s="183">
        <f>S40*'R&amp;S - Buildings'!$C$7*'R&amp;S - Buildings'!$B$12*('R&amp;S - Buildings'!$B$15+('R&amp;S - Buildings'!$B$16-'R&amp;S - Buildings'!$B$15)*('Yearly LC Ethylene'!S$3-'Yearly LC Ethylene'!$N$3)/10)</f>
        <v>81749.058118591449</v>
      </c>
      <c r="T41" s="183">
        <f>T40*'R&amp;S - Buildings'!$C$7*'R&amp;S - Buildings'!$B$12*('R&amp;S - Buildings'!$B$15+('R&amp;S - Buildings'!$B$16-'R&amp;S - Buildings'!$B$15)*('Yearly LC Ethylene'!T$3-'Yearly LC Ethylene'!$N$3)/10)</f>
        <v>86591.387332335988</v>
      </c>
      <c r="U41" s="183">
        <f>U40*'R&amp;S - Buildings'!$C$7*'R&amp;S - Buildings'!$B$12*('R&amp;S - Buildings'!$B$15+('R&amp;S - Buildings'!$B$16-'R&amp;S - Buildings'!$B$15)*('Yearly LC Ethylene'!U$3-'Yearly LC Ethylene'!$N$3)/10)</f>
        <v>91362.26401253535</v>
      </c>
      <c r="V41" s="183">
        <f>V40*'R&amp;S - Buildings'!$C$7*'R&amp;S - Buildings'!$B$12*('R&amp;S - Buildings'!$B$15+('R&amp;S - Buildings'!$B$16-'R&amp;S - Buildings'!$B$15)*('Yearly LC Ethylene'!V$3-'Yearly LC Ethylene'!$N$3)/10)</f>
        <v>96062.448816636563</v>
      </c>
      <c r="W41" s="183">
        <f>W40*'R&amp;S - Buildings'!$C$7*'R&amp;S - Buildings'!$B$12*('R&amp;S - Buildings'!$B$15+('R&amp;S - Buildings'!$B$16-'R&amp;S - Buildings'!$B$15)*('Yearly LC Ethylene'!W$3-'Yearly LC Ethylene'!$N$3)/10)</f>
        <v>100692.69527076859</v>
      </c>
      <c r="X41" s="183">
        <f>X40*'R&amp;S - Buildings'!$C$7*'R&amp;S - Buildings'!$B$12*('R&amp;S - Buildings'!$B$15+('R&amp;S - Buildings'!$B$16-'R&amp;S - Buildings'!$B$15)*('Yearly LC Ethylene'!X$3-'Yearly LC Ethylene'!$N$3)/10)</f>
        <v>105253.74983219238</v>
      </c>
      <c r="Y41" s="183">
        <f>Y40*'R&amp;S - Buildings'!$C$7*'R&amp;S - Buildings'!$B$12*('R&amp;S - Buildings'!$B$16+('R&amp;S - Buildings'!$B$17-'R&amp;S - Buildings'!$B$16)*('Yearly LC Ethylene'!Y$3-'Yearly LC Ethylene'!$X$3)/10)</f>
        <v>109904.7160954565</v>
      </c>
      <c r="Z41" s="183">
        <f>Z40*'R&amp;S - Buildings'!$C$7*'R&amp;S - Buildings'!$B$12*('R&amp;S - Buildings'!$B$16+('R&amp;S - Buildings'!$B$17-'R&amp;S - Buildings'!$B$16)*('Yearly LC Ethylene'!Z$3-'Yearly LC Ethylene'!$X$3)/10)</f>
        <v>114485.75543880518</v>
      </c>
      <c r="AA41" s="183">
        <f>AA40*'R&amp;S - Buildings'!$C$7*'R&amp;S - Buildings'!$B$12*('R&amp;S - Buildings'!$B$16+('R&amp;S - Buildings'!$B$17-'R&amp;S - Buildings'!$B$16)*('Yearly LC Ethylene'!AA$3-'Yearly LC Ethylene'!$X$3)/10)</f>
        <v>118997.6165499601</v>
      </c>
      <c r="AB41" s="183">
        <f>AB40*'R&amp;S - Buildings'!$C$7*'R&amp;S - Buildings'!$B$12*('R&amp;S - Buildings'!$B$16+('R&amp;S - Buildings'!$B$17-'R&amp;S - Buildings'!$B$16)*('Yearly LC Ethylene'!AB$3-'Yearly LC Ethylene'!$X$3)/10)</f>
        <v>123441.04107806197</v>
      </c>
      <c r="AC41" s="183">
        <f>AC40*'R&amp;S - Buildings'!$C$7*'R&amp;S - Buildings'!$B$12*('R&amp;S - Buildings'!$B$16+('R&amp;S - Buildings'!$B$17-'R&amp;S - Buildings'!$B$16)*('Yearly LC Ethylene'!AC$3-'Yearly LC Ethylene'!$X$3)/10)</f>
        <v>127816.76369540924</v>
      </c>
      <c r="AD41" s="183">
        <f>AD40*'R&amp;S - Buildings'!$C$7*'R&amp;S - Buildings'!$B$12*('R&amp;S - Buildings'!$B$16+('R&amp;S - Buildings'!$B$17-'R&amp;S - Buildings'!$B$16)*('Yearly LC Ethylene'!AD$3-'Yearly LC Ethylene'!$X$3)/10)</f>
        <v>132125.51215867838</v>
      </c>
      <c r="AE41" s="183">
        <f>AE40*'R&amp;S - Buildings'!$C$7*'R&amp;S - Buildings'!$B$12*('R&amp;S - Buildings'!$B$16+('R&amp;S - Buildings'!$B$17-'R&amp;S - Buildings'!$B$16)*('Yearly LC Ethylene'!AE$3-'Yearly LC Ethylene'!$X$3)/10)</f>
        <v>136368.00736962972</v>
      </c>
      <c r="AF41" s="183">
        <f>AF40*'R&amp;S - Buildings'!$C$7*'R&amp;S - Buildings'!$B$12*('R&amp;S - Buildings'!$B$16+('R&amp;S - Buildings'!$B$17-'R&amp;S - Buildings'!$B$16)*('Yearly LC Ethylene'!AF$3-'Yearly LC Ethylene'!$X$3)/10)</f>
        <v>140544.96343530281</v>
      </c>
      <c r="AG41" s="183">
        <f>AG40*'R&amp;S - Buildings'!$C$7*'R&amp;S - Buildings'!$B$12*('R&amp;S - Buildings'!$B$16+('R&amp;S - Buildings'!$B$17-'R&amp;S - Buildings'!$B$16)*('Yearly LC Ethylene'!AG$3-'Yearly LC Ethylene'!$X$3)/10)</f>
        <v>144657.08772770609</v>
      </c>
      <c r="AH41" s="183">
        <f>AH40*'R&amp;S - Buildings'!$C$7*'R&amp;S - Buildings'!$B$12*('R&amp;S - Buildings'!$B$16+('R&amp;S - Buildings'!$B$17-'R&amp;S - Buildings'!$B$16)*('Yearly LC Ethylene'!AH$3-'Yearly LC Ethylene'!$X$3)/10)</f>
        <v>148705.08094300434</v>
      </c>
    </row>
    <row r="42" spans="1:35" outlineLevel="1">
      <c r="B42" s="1" t="s">
        <v>172</v>
      </c>
      <c r="C42" s="50" t="s">
        <v>1420</v>
      </c>
      <c r="D42" s="183">
        <v>0</v>
      </c>
      <c r="E42" s="183">
        <f>E40*'R&amp;S - Buildings'!$C$8*'R&amp;S - Buildings'!$C$12*'R&amp;S - Buildings'!$B$15*('Yearly LC Ethylene'!E$3-'Yearly LC Ethylene'!$D$3)/10</f>
        <v>2646.4011790592504</v>
      </c>
      <c r="F42" s="183">
        <f>F40*'R&amp;S - Buildings'!$C$8*'R&amp;S - Buildings'!$C$12*'R&amp;S - Buildings'!$B$15*('Yearly LC Ethylene'!F$3-'Yearly LC Ethylene'!$D$3)/10</f>
        <v>5255.921783838161</v>
      </c>
      <c r="G42" s="183">
        <f>G40*'R&amp;S - Buildings'!$C$8*'R&amp;S - Buildings'!$C$12*'R&amp;S - Buildings'!$B$15*('Yearly LC Ethylene'!G$3-'Yearly LC Ethylene'!$D$3)/10</f>
        <v>7828.9472935216372</v>
      </c>
      <c r="H42" s="183">
        <f>H40*'R&amp;S - Buildings'!$C$8*'R&amp;S - Buildings'!$C$12*'R&amp;S - Buildings'!$B$15*('Yearly LC Ethylene'!H$3-'Yearly LC Ethylene'!$D$3)/10</f>
        <v>10365.859605904172</v>
      </c>
      <c r="I42" s="183">
        <f>I40*'R&amp;S - Buildings'!$C$8*'R&amp;S - Buildings'!$C$12*'R&amp;S - Buildings'!$B$15*('Yearly LC Ethylene'!I$3-'Yearly LC Ethylene'!$D$3)/10</f>
        <v>12867.037068584035</v>
      </c>
      <c r="J42" s="183">
        <f>J40*'R&amp;S - Buildings'!$C$8*'R&amp;S - Buildings'!$C$12*'R&amp;S - Buildings'!$B$15*('Yearly LC Ethylene'!J$3-'Yearly LC Ethylene'!$D$3)/10</f>
        <v>15332.854509896624</v>
      </c>
      <c r="K42" s="183">
        <f>K40*'R&amp;S - Buildings'!$C$8*'R&amp;S - Buildings'!$C$12*'R&amp;S - Buildings'!$B$15*('Yearly LC Ethylene'!K$3-'Yearly LC Ethylene'!$D$3)/10</f>
        <v>17763.683269589099</v>
      </c>
      <c r="L42" s="183">
        <f>L40*'R&amp;S - Buildings'!$C$8*'R&amp;S - Buildings'!$C$12*'R&amp;S - Buildings'!$B$15*('Yearly LC Ethylene'!L$3-'Yearly LC Ethylene'!$D$3)/10</f>
        <v>20159.891229238405</v>
      </c>
      <c r="M42" s="183">
        <f>M40*'R&amp;S - Buildings'!$C$8*'R&amp;S - Buildings'!$C$12*'R&amp;S - Buildings'!$B$15*('Yearly LC Ethylene'!M$3-'Yearly LC Ethylene'!$D$3)/10</f>
        <v>22521.84284241479</v>
      </c>
      <c r="N42" s="183">
        <f>N40*'R&amp;S - Buildings'!$C$8*'R&amp;S - Buildings'!$C$12*'R&amp;S - Buildings'!$B$15*('Yearly LC Ethylene'!N$3-'Yearly LC Ethylene'!$D$3)/10</f>
        <v>24849.899164592822</v>
      </c>
      <c r="O42" s="183">
        <f>O40*'R&amp;S - Buildings'!$C$8*'R&amp;S - Buildings'!$C$12*('R&amp;S - Buildings'!$B$15+('R&amp;S - Buildings'!$B$16-'R&amp;S - Buildings'!$B$15)*('Yearly LC Ethylene'!O$3-'Yearly LC Ethylene'!$N$3)/10)</f>
        <v>27144.417882812053</v>
      </c>
      <c r="P42" s="183">
        <f>P40*'R&amp;S - Buildings'!$C$8*'R&amp;S - Buildings'!$C$12*('R&amp;S - Buildings'!$B$15+('R&amp;S - Buildings'!$B$16-'R&amp;S - Buildings'!$B$15)*('Yearly LC Ethylene'!P$3-'Yearly LC Ethylene'!$N$3)/10)</f>
        <v>29405.753345089302</v>
      </c>
      <c r="Q42" s="183">
        <f>Q40*'R&amp;S - Buildings'!$C$8*'R&amp;S - Buildings'!$C$12*('R&amp;S - Buildings'!$B$15+('R&amp;S - Buildings'!$B$16-'R&amp;S - Buildings'!$B$15)*('Yearly LC Ethylene'!Q$3-'Yearly LC Ethylene'!$N$3)/10)</f>
        <v>31634.25658958458</v>
      </c>
      <c r="R42" s="183">
        <f>R40*'R&amp;S - Buildings'!$C$8*'R&amp;S - Buildings'!$C$12*('R&amp;S - Buildings'!$B$15+('R&amp;S - Buildings'!$B$16-'R&amp;S - Buildings'!$B$15)*('Yearly LC Ethylene'!R$3-'Yearly LC Ethylene'!$N$3)/10)</f>
        <v>33830.275373522687</v>
      </c>
      <c r="S42" s="183">
        <f>S40*'R&amp;S - Buildings'!$C$8*'R&amp;S - Buildings'!$C$12*('R&amp;S - Buildings'!$B$15+('R&amp;S - Buildings'!$B$16-'R&amp;S - Buildings'!$B$15)*('Yearly LC Ethylene'!S$3-'Yearly LC Ethylene'!$N$3)/10)</f>
        <v>35994.154201872494</v>
      </c>
      <c r="T42" s="183">
        <f>T40*'R&amp;S - Buildings'!$C$8*'R&amp;S - Buildings'!$C$12*('R&amp;S - Buildings'!$B$15+('R&amp;S - Buildings'!$B$16-'R&amp;S - Buildings'!$B$15)*('Yearly LC Ethylene'!T$3-'Yearly LC Ethylene'!$N$3)/10)</f>
        <v>38126.234355785797</v>
      </c>
      <c r="U42" s="183">
        <f>U40*'R&amp;S - Buildings'!$C$8*'R&amp;S - Buildings'!$C$12*('R&amp;S - Buildings'!$B$15+('R&amp;S - Buildings'!$B$16-'R&amp;S - Buildings'!$B$15)*('Yearly LC Ethylene'!U$3-'Yearly LC Ethylene'!$N$3)/10)</f>
        <v>40226.853920797752</v>
      </c>
      <c r="V42" s="183">
        <f>V40*'R&amp;S - Buildings'!$C$8*'R&amp;S - Buildings'!$C$12*('R&amp;S - Buildings'!$B$15+('R&amp;S - Buildings'!$B$16-'R&amp;S - Buildings'!$B$15)*('Yearly LC Ethylene'!V$3-'Yearly LC Ethylene'!$N$3)/10)</f>
        <v>42296.347814790912</v>
      </c>
      <c r="W42" s="183">
        <f>W40*'R&amp;S - Buildings'!$C$8*'R&amp;S - Buildings'!$C$12*('R&amp;S - Buildings'!$B$15+('R&amp;S - Buildings'!$B$16-'R&amp;S - Buildings'!$B$15)*('Yearly LC Ethylene'!W$3-'Yearly LC Ethylene'!$N$3)/10)</f>
        <v>44335.047815724618</v>
      </c>
      <c r="X42" s="183">
        <f>X40*'R&amp;S - Buildings'!$C$8*'R&amp;S - Buildings'!$C$12*('R&amp;S - Buildings'!$B$15+('R&amp;S - Buildings'!$B$16-'R&amp;S - Buildings'!$B$15)*('Yearly LC Ethylene'!X$3-'Yearly LC Ethylene'!$N$3)/10)</f>
        <v>46343.282589131821</v>
      </c>
      <c r="Y42" s="183">
        <f>Y40*'R&amp;S - Buildings'!$C$8*'R&amp;S - Buildings'!$C$12*('R&amp;S - Buildings'!$B$16+('R&amp;S - Buildings'!$B$17-'R&amp;S - Buildings'!$B$16)*('Yearly LC Ethylene'!Y$3-'Yearly LC Ethylene'!$X$3)/10)</f>
        <v>48391.105533156209</v>
      </c>
      <c r="Z42" s="183">
        <f>Z40*'R&amp;S - Buildings'!$C$8*'R&amp;S - Buildings'!$C$12*('R&amp;S - Buildings'!$B$16+('R&amp;S - Buildings'!$B$17-'R&amp;S - Buildings'!$B$16)*('Yearly LC Ethylene'!Z$3-'Yearly LC Ethylene'!$X$3)/10)</f>
        <v>50408.139616779954</v>
      </c>
      <c r="AA42" s="183">
        <f>AA40*'R&amp;S - Buildings'!$C$8*'R&amp;S - Buildings'!$C$12*('R&amp;S - Buildings'!$B$16+('R&amp;S - Buildings'!$B$17-'R&amp;S - Buildings'!$B$16)*('Yearly LC Ethylene'!AA$3-'Yearly LC Ethylene'!$X$3)/10)</f>
        <v>52394.714487609068</v>
      </c>
      <c r="AB42" s="183">
        <f>AB40*'R&amp;S - Buildings'!$C$8*'R&amp;S - Buildings'!$C$12*('R&amp;S - Buildings'!$B$16+('R&amp;S - Buildings'!$B$17-'R&amp;S - Buildings'!$B$16)*('Yearly LC Ethylene'!AB$3-'Yearly LC Ethylene'!$X$3)/10)</f>
        <v>54351.15669415857</v>
      </c>
      <c r="AC42" s="183">
        <f>AC40*'R&amp;S - Buildings'!$C$8*'R&amp;S - Buildings'!$C$12*('R&amp;S - Buildings'!$B$16+('R&amp;S - Buildings'!$B$17-'R&amp;S - Buildings'!$B$16)*('Yearly LC Ethylene'!AC$3-'Yearly LC Ethylene'!$X$3)/10)</f>
        <v>56277.789713036131</v>
      </c>
      <c r="AD42" s="183">
        <f>AD40*'R&amp;S - Buildings'!$C$8*'R&amp;S - Buildings'!$C$12*('R&amp;S - Buildings'!$B$16+('R&amp;S - Buildings'!$B$17-'R&amp;S - Buildings'!$B$16)*('Yearly LC Ethylene'!AD$3-'Yearly LC Ethylene'!$X$3)/10)</f>
        <v>58174.933975897315</v>
      </c>
      <c r="AE42" s="183">
        <f>AE40*'R&amp;S - Buildings'!$C$8*'R&amp;S - Buildings'!$C$12*('R&amp;S - Buildings'!$B$16+('R&amp;S - Buildings'!$B$17-'R&amp;S - Buildings'!$B$16)*('Yearly LC Ethylene'!AE$3-'Yearly LC Ethylene'!$X$3)/10)</f>
        <v>60042.906896174412</v>
      </c>
      <c r="AF42" s="183">
        <f>AF40*'R&amp;S - Buildings'!$C$8*'R&amp;S - Buildings'!$C$12*('R&amp;S - Buildings'!$B$16+('R&amp;S - Buildings'!$B$17-'R&amp;S - Buildings'!$B$16)*('Yearly LC Ethylene'!AF$3-'Yearly LC Ethylene'!$X$3)/10)</f>
        <v>61882.022895580558</v>
      </c>
      <c r="AG42" s="183">
        <f>AG40*'R&amp;S - Buildings'!$C$8*'R&amp;S - Buildings'!$C$12*('R&amp;S - Buildings'!$B$16+('R&amp;S - Buildings'!$B$17-'R&amp;S - Buildings'!$B$16)*('Yearly LC Ethylene'!AG$3-'Yearly LC Ethylene'!$X$3)/10)</f>
        <v>63692.593430391018</v>
      </c>
      <c r="AH42" s="183">
        <f>AH40*'R&amp;S - Buildings'!$C$8*'R&amp;S - Buildings'!$C$12*('R&amp;S - Buildings'!$B$16+('R&amp;S - Buildings'!$B$17-'R&amp;S - Buildings'!$B$16)*('Yearly LC Ethylene'!AH$3-'Yearly LC Ethylene'!$X$3)/10)</f>
        <v>65474.927017503527</v>
      </c>
    </row>
    <row r="43" spans="1:35" s="62" customFormat="1">
      <c r="A43" s="58"/>
      <c r="B43" s="58" t="s">
        <v>200</v>
      </c>
      <c r="C43" s="59" t="s">
        <v>1420</v>
      </c>
      <c r="D43" s="577">
        <f>D40-D41-D42</f>
        <v>833693.90944694402</v>
      </c>
      <c r="E43" s="577">
        <f t="shared" ref="E43:AG43" si="10">E40-E41-E42</f>
        <v>819227.83476142923</v>
      </c>
      <c r="F43" s="577">
        <f t="shared" si="10"/>
        <v>804922.88200348406</v>
      </c>
      <c r="G43" s="577">
        <f t="shared" si="10"/>
        <v>790777.50814213371</v>
      </c>
      <c r="H43" s="577">
        <f t="shared" si="10"/>
        <v>776790.18382717774</v>
      </c>
      <c r="I43" s="577">
        <f t="shared" si="10"/>
        <v>762959.39327345404</v>
      </c>
      <c r="J43" s="577">
        <f t="shared" si="10"/>
        <v>749283.63414605032</v>
      </c>
      <c r="K43" s="577">
        <f t="shared" si="10"/>
        <v>735761.41744645697</v>
      </c>
      <c r="L43" s="577">
        <f t="shared" si="10"/>
        <v>722391.26739965403</v>
      </c>
      <c r="M43" s="577">
        <f t="shared" si="10"/>
        <v>709171.72134212276</v>
      </c>
      <c r="N43" s="577">
        <f t="shared" si="10"/>
        <v>696101.32961077744</v>
      </c>
      <c r="O43" s="577">
        <f t="shared" si="10"/>
        <v>683178.65543280775</v>
      </c>
      <c r="P43" s="577">
        <f t="shared" si="10"/>
        <v>670402.27481642459</v>
      </c>
      <c r="Q43" s="577">
        <f t="shared" si="10"/>
        <v>657770.77644250332</v>
      </c>
      <c r="R43" s="577">
        <f t="shared" si="10"/>
        <v>645282.76155711664</v>
      </c>
      <c r="S43" s="577">
        <f t="shared" si="10"/>
        <v>632936.84386494872</v>
      </c>
      <c r="T43" s="577">
        <f t="shared" si="10"/>
        <v>620731.64942358609</v>
      </c>
      <c r="U43" s="577">
        <f t="shared" si="10"/>
        <v>608665.8165386758</v>
      </c>
      <c r="V43" s="577">
        <f t="shared" si="10"/>
        <v>596737.99565994495</v>
      </c>
      <c r="W43" s="577">
        <f t="shared" si="10"/>
        <v>584946.84927807539</v>
      </c>
      <c r="X43" s="577">
        <f t="shared" si="10"/>
        <v>573291.05182242498</v>
      </c>
      <c r="Y43" s="577">
        <f t="shared" si="10"/>
        <v>561541.19759758911</v>
      </c>
      <c r="Z43" s="577">
        <f t="shared" si="10"/>
        <v>549927.25528660498</v>
      </c>
      <c r="AA43" s="577">
        <f t="shared" si="10"/>
        <v>538447.90130530903</v>
      </c>
      <c r="AB43" s="577">
        <f t="shared" si="10"/>
        <v>527101.82391611871</v>
      </c>
      <c r="AC43" s="577">
        <f t="shared" si="10"/>
        <v>515887.72312720201</v>
      </c>
      <c r="AD43" s="577">
        <f t="shared" si="10"/>
        <v>504804.31059247808</v>
      </c>
      <c r="AE43" s="577">
        <f t="shared" si="10"/>
        <v>493850.30951243907</v>
      </c>
      <c r="AF43" s="577">
        <f t="shared" si="10"/>
        <v>483024.45453579054</v>
      </c>
      <c r="AG43" s="577">
        <f t="shared" si="10"/>
        <v>472325.49166190147</v>
      </c>
      <c r="AH43" s="577">
        <f>AH40-AH41-AH42</f>
        <v>461752.17814405728</v>
      </c>
    </row>
    <row r="44" spans="1:35" s="61" customFormat="1">
      <c r="A44" s="606" t="s">
        <v>608</v>
      </c>
      <c r="B44" s="54" t="s">
        <v>141</v>
      </c>
      <c r="C44" s="55" t="s">
        <v>1420</v>
      </c>
      <c r="D44" s="571">
        <f>D43*('Demand - Ethylene'!$C$74)</f>
        <v>180037.45454545456</v>
      </c>
      <c r="E44" s="571">
        <f>E43*('Demand - Ethylene'!$C$74)</f>
        <v>176913.48394409529</v>
      </c>
      <c r="F44" s="571">
        <f>F43*('Demand - Ethylene'!$C$74)</f>
        <v>173824.3078655008</v>
      </c>
      <c r="G44" s="571">
        <f>G43*('Demand - Ethylene'!$C$74)</f>
        <v>170769.59308980961</v>
      </c>
      <c r="H44" s="571">
        <f>H43*('Demand - Ethylene'!$C$74)</f>
        <v>167749.00935154414</v>
      </c>
      <c r="I44" s="571">
        <f>I43*('Demand - Ethylene'!$C$74)</f>
        <v>164762.22931461717</v>
      </c>
      <c r="J44" s="571">
        <f>J43*('Demand - Ethylene'!$C$74)</f>
        <v>161808.92854754324</v>
      </c>
      <c r="K44" s="571">
        <f>K43*('Demand - Ethylene'!$C$74)</f>
        <v>158888.78549885305</v>
      </c>
      <c r="L44" s="571">
        <f>L43*('Demand - Ethylene'!$C$74)</f>
        <v>156001.48147270989</v>
      </c>
      <c r="M44" s="571">
        <f>M43*('Demand - Ethylene'!$C$74)</f>
        <v>153146.70060472543</v>
      </c>
      <c r="N44" s="571">
        <f>N43*('Demand - Ethylene'!$C$74)</f>
        <v>150324.12983797432</v>
      </c>
      <c r="O44" s="571">
        <f>O43*('Demand - Ethylene'!$C$74)</f>
        <v>147533.45889920575</v>
      </c>
      <c r="P44" s="571">
        <f>P43*('Demand - Ethylene'!$C$74)</f>
        <v>144774.3802752496</v>
      </c>
      <c r="Q44" s="571">
        <f>Q43*('Demand - Ethylene'!$C$74)</f>
        <v>142046.58918961667</v>
      </c>
      <c r="R44" s="571">
        <f>R43*('Demand - Ethylene'!$C$74)</f>
        <v>139349.78357929114</v>
      </c>
      <c r="S44" s="571">
        <f>S43*('Demand - Ethylene'!$C$74)</f>
        <v>136683.66407171296</v>
      </c>
      <c r="T44" s="571">
        <f>T43*('Demand - Ethylene'!$C$74)</f>
        <v>134047.93396195004</v>
      </c>
      <c r="U44" s="571">
        <f>U43*('Demand - Ethylene'!$C$74)</f>
        <v>131442.29919005738</v>
      </c>
      <c r="V44" s="571">
        <f>V43*('Demand - Ethylene'!$C$74)</f>
        <v>128866.46831862233</v>
      </c>
      <c r="W44" s="571">
        <f>W43*('Demand - Ethylene'!$C$74)</f>
        <v>126320.1525104945</v>
      </c>
      <c r="X44" s="571">
        <f>X43*('Demand - Ethylene'!$C$74)</f>
        <v>123803.06550669861</v>
      </c>
      <c r="Y44" s="571">
        <f>Y43*('Demand - Ethylene'!$C$74)</f>
        <v>121265.66680203142</v>
      </c>
      <c r="Z44" s="571">
        <f>Z43*('Demand - Ethylene'!$C$74)</f>
        <v>118757.61847972278</v>
      </c>
      <c r="AA44" s="571">
        <f>AA43*('Demand - Ethylene'!$C$74)</f>
        <v>116278.63470978044</v>
      </c>
      <c r="AB44" s="571">
        <f>AB43*('Demand - Ethylene'!$C$74)</f>
        <v>113828.43222049913</v>
      </c>
      <c r="AC44" s="571">
        <f>AC43*('Demand - Ethylene'!$C$74)</f>
        <v>111406.73027668612</v>
      </c>
      <c r="AD44" s="571">
        <f>AD43*('Demand - Ethylene'!$C$74)</f>
        <v>109013.25065806613</v>
      </c>
      <c r="AE44" s="571">
        <f>AE43*('Demand - Ethylene'!$C$74)</f>
        <v>106647.71763786372</v>
      </c>
      <c r="AF44" s="571">
        <f>AF43*('Demand - Ethylene'!$C$74)</f>
        <v>104309.85796156237</v>
      </c>
      <c r="AG44" s="571">
        <f>AG43*('Demand - Ethylene'!$C$74)</f>
        <v>101999.4008258384</v>
      </c>
      <c r="AH44" s="571">
        <f>AH43*('Demand - Ethylene'!$C$74)</f>
        <v>99716.077857668322</v>
      </c>
      <c r="AI44" s="56"/>
    </row>
    <row r="45" spans="1:35">
      <c r="A45" s="607"/>
      <c r="B45" s="1" t="s">
        <v>18</v>
      </c>
      <c r="C45" s="50" t="s">
        <v>1420</v>
      </c>
      <c r="D45" s="183">
        <f>D49/('Demand - Ethylene'!$K$14)</f>
        <v>64852.242082509627</v>
      </c>
      <c r="E45" s="183">
        <f>E49/('Demand - Ethylene'!$K$14)</f>
        <v>63726.940137925405</v>
      </c>
      <c r="F45" s="183">
        <f>F49/('Demand - Ethylene'!$K$14)</f>
        <v>62614.171712098061</v>
      </c>
      <c r="G45" s="183">
        <f>G49/('Demand - Ethylene'!$K$14)</f>
        <v>61513.816774141924</v>
      </c>
      <c r="H45" s="183">
        <f>H49/('Demand - Ethylene'!$K$14)</f>
        <v>60425.756357385544</v>
      </c>
      <c r="I45" s="183">
        <f>I49/('Demand - Ethylene'!$K$14)</f>
        <v>59349.872550368658</v>
      </c>
      <c r="J45" s="183">
        <f>J49/('Demand - Ethylene'!$K$14)</f>
        <v>58286.048487912893</v>
      </c>
      <c r="K45" s="183">
        <f>K49/('Demand - Ethylene'!$K$14)</f>
        <v>57234.168342265744</v>
      </c>
      <c r="L45" s="183">
        <f>L49/('Demand - Ethylene'!$K$14)</f>
        <v>56194.117314317198</v>
      </c>
      <c r="M45" s="183">
        <f>M49/('Demand - Ethylene'!$K$14)</f>
        <v>55165.781624888179</v>
      </c>
      <c r="N45" s="183">
        <f>N49/('Demand - Ethylene'!$K$14)</f>
        <v>54149.048506090716</v>
      </c>
      <c r="O45" s="183">
        <f>O49/('Demand - Ethylene'!$K$14)</f>
        <v>53143.806192758901</v>
      </c>
      <c r="P45" s="183">
        <f>P49/('Demand - Ethylene'!$K$14)</f>
        <v>52149.943913950097</v>
      </c>
      <c r="Q45" s="183">
        <f>Q49/('Demand - Ethylene'!$K$14)</f>
        <v>51167.351884515941</v>
      </c>
      <c r="R45" s="183">
        <f>R49/('Demand - Ethylene'!$K$14)</f>
        <v>50195.921296742614</v>
      </c>
      <c r="S45" s="183">
        <f>S49/('Demand - Ethylene'!$K$14)</f>
        <v>49235.544312059639</v>
      </c>
      <c r="T45" s="183">
        <f>T49/('Demand - Ethylene'!$K$14)</f>
        <v>48286.114052816854</v>
      </c>
      <c r="U45" s="183">
        <f>U49/('Demand - Ethylene'!$K$14)</f>
        <v>47347.524594128838</v>
      </c>
      <c r="V45" s="183">
        <f>V49/('Demand - Ethylene'!$K$14)</f>
        <v>46419.670955786409</v>
      </c>
      <c r="W45" s="183">
        <f>W49/('Demand - Ethylene'!$K$14)</f>
        <v>45502.449094234624</v>
      </c>
      <c r="X45" s="183">
        <f>X49/('Demand - Ethylene'!$K$14)</f>
        <v>44595.755894616566</v>
      </c>
      <c r="Y45" s="183">
        <f>Y49/('Demand - Ethylene'!$K$14)</f>
        <v>43681.746109983789</v>
      </c>
      <c r="Z45" s="183">
        <f>Z49/('Demand - Ethylene'!$K$14)</f>
        <v>42778.308781547639</v>
      </c>
      <c r="AA45" s="183">
        <f>AA49/('Demand - Ethylene'!$K$14)</f>
        <v>41885.34094897742</v>
      </c>
      <c r="AB45" s="183">
        <f>AB49/('Demand - Ethylene'!$K$14)</f>
        <v>41002.740573476549</v>
      </c>
      <c r="AC45" s="183">
        <f>AC49/('Demand - Ethylene'!$K$14)</f>
        <v>40130.406529938991</v>
      </c>
      <c r="AD45" s="183">
        <f>AD49/('Demand - Ethylene'!$K$14)</f>
        <v>39268.238599170414</v>
      </c>
      <c r="AE45" s="183">
        <f>AE49/('Demand - Ethylene'!$K$14)</f>
        <v>38416.137460173217</v>
      </c>
      <c r="AF45" s="183">
        <f>AF49/('Demand - Ethylene'!$K$14)</f>
        <v>37574.004682495259</v>
      </c>
      <c r="AG45" s="183">
        <f>AG49/('Demand - Ethylene'!$K$14)</f>
        <v>36741.742718641493</v>
      </c>
      <c r="AH45" s="183">
        <f>AH49/('Demand - Ethylene'!$K$14)</f>
        <v>35919.254896548155</v>
      </c>
      <c r="AI45" s="40"/>
    </row>
    <row r="46" spans="1:35">
      <c r="A46" s="607"/>
      <c r="B46" s="1" t="s">
        <v>607</v>
      </c>
      <c r="C46" s="50" t="s">
        <v>1420</v>
      </c>
      <c r="D46" s="183">
        <f>D48/('Demand - Ethylene'!$M$14)</f>
        <v>641154.61098030512</v>
      </c>
      <c r="E46" s="183">
        <f>E48/('Demand - Ethylene'!$M$14)</f>
        <v>630029.43616218015</v>
      </c>
      <c r="F46" s="183">
        <f>F48/('Demand - Ethylene'!$M$14)</f>
        <v>619028.17260887404</v>
      </c>
      <c r="G46" s="183">
        <f>G48/('Demand - Ethylene'!$M$14)</f>
        <v>608149.63364814024</v>
      </c>
      <c r="H46" s="183">
        <f>H48/('Demand - Ethylene'!$M$14)</f>
        <v>597392.64312896971</v>
      </c>
      <c r="I46" s="183">
        <f>I48/('Demand - Ethylene'!$M$14)</f>
        <v>586756.03533258382</v>
      </c>
      <c r="J46" s="183">
        <f>J48/('Demand - Ethylene'!$M$14)</f>
        <v>576238.65488415572</v>
      </c>
      <c r="K46" s="183">
        <f>K48/('Demand - Ethylene'!$M$14)</f>
        <v>565839.35666525597</v>
      </c>
      <c r="L46" s="183">
        <f>L48/('Demand - Ethylene'!$M$14)</f>
        <v>555557.0057270166</v>
      </c>
      <c r="M46" s="183">
        <f>M48/('Demand - Ethylene'!$M$14)</f>
        <v>545390.47720400593</v>
      </c>
      <c r="N46" s="183">
        <f>N48/('Demand - Ethylene'!$M$14)</f>
        <v>535338.65622881113</v>
      </c>
      <c r="O46" s="183">
        <f>O48/('Demand - Ethylene'!$M$14)</f>
        <v>525400.43784732174</v>
      </c>
      <c r="P46" s="183">
        <f>P48/('Demand - Ethylene'!$M$14)</f>
        <v>515574.72693470679</v>
      </c>
      <c r="Q46" s="183">
        <f>Q48/('Demand - Ethylene'!$M$14)</f>
        <v>505860.43811208312</v>
      </c>
      <c r="R46" s="183">
        <f>R48/('Demand - Ethylene'!$M$14)</f>
        <v>496256.49566386745</v>
      </c>
      <c r="S46" s="183">
        <f>S48/('Demand - Ethylene'!$M$14)</f>
        <v>486761.83345580619</v>
      </c>
      <c r="T46" s="183">
        <f>T48/('Demand - Ethylene'!$M$14)</f>
        <v>477375.39485367935</v>
      </c>
      <c r="U46" s="183">
        <f>U48/('Demand - Ethylene'!$M$14)</f>
        <v>468096.13264267193</v>
      </c>
      <c r="V46" s="183">
        <f>V48/('Demand - Ethylene'!$M$14)</f>
        <v>458923.00894740748</v>
      </c>
      <c r="W46" s="183">
        <f>W48/('Demand - Ethylene'!$M$14)</f>
        <v>449854.99515263893</v>
      </c>
      <c r="X46" s="183">
        <f>X48/('Demand - Ethylene'!$M$14)</f>
        <v>440891.0718245912</v>
      </c>
      <c r="Y46" s="183">
        <f>Y48/('Demand - Ethylene'!$M$14)</f>
        <v>431854.8138775978</v>
      </c>
      <c r="Z46" s="183">
        <f>Z48/('Demand - Ethylene'!$M$14)</f>
        <v>422923.07936452399</v>
      </c>
      <c r="AA46" s="183">
        <f>AA48/('Demand - Ethylene'!$M$14)</f>
        <v>414094.85037930141</v>
      </c>
      <c r="AB46" s="183">
        <f>AB48/('Demand - Ethylene'!$M$14)</f>
        <v>405369.11812650785</v>
      </c>
      <c r="AC46" s="183">
        <f>AC48/('Demand - Ethylene'!$M$14)</f>
        <v>396744.882843823</v>
      </c>
      <c r="AD46" s="183">
        <f>AD48/('Demand - Ethylene'!$M$14)</f>
        <v>388221.15372512367</v>
      </c>
      <c r="AE46" s="183">
        <f>AE48/('Demand - Ethylene'!$M$14)</f>
        <v>379796.94884421083</v>
      </c>
      <c r="AF46" s="183">
        <f>AF48/('Demand - Ethylene'!$M$14)</f>
        <v>371471.2950791656</v>
      </c>
      <c r="AG46" s="183">
        <f>AG48/('Demand - Ethylene'!$M$14)</f>
        <v>363243.22803732799</v>
      </c>
      <c r="AH46" s="183">
        <f>AH48/('Demand - Ethylene'!$M$14)</f>
        <v>355111.79198089417</v>
      </c>
      <c r="AI46" s="40"/>
    </row>
    <row r="47" spans="1:35" s="62" customFormat="1">
      <c r="A47" s="608"/>
      <c r="B47" s="58" t="s">
        <v>27</v>
      </c>
      <c r="C47" s="233" t="s">
        <v>1420</v>
      </c>
      <c r="D47" s="528">
        <f>D43-SUM(D45,D44,D46)</f>
        <v>-52350.398161325254</v>
      </c>
      <c r="E47" s="528">
        <f t="shared" ref="E47:AH47" si="11">E43-SUM(E45,E44,E46)</f>
        <v>-51442.025482771569</v>
      </c>
      <c r="F47" s="528">
        <f t="shared" si="11"/>
        <v>-50543.770182988839</v>
      </c>
      <c r="G47" s="528">
        <f t="shared" si="11"/>
        <v>-49655.53536995803</v>
      </c>
      <c r="H47" s="528">
        <f t="shared" si="11"/>
        <v>-48777.225010721595</v>
      </c>
      <c r="I47" s="528">
        <f t="shared" si="11"/>
        <v>-47908.743924115668</v>
      </c>
      <c r="J47" s="528">
        <f t="shared" si="11"/>
        <v>-47049.99777356151</v>
      </c>
      <c r="K47" s="528">
        <f t="shared" si="11"/>
        <v>-46200.893059917842</v>
      </c>
      <c r="L47" s="528">
        <f t="shared" si="11"/>
        <v>-45361.337114389637</v>
      </c>
      <c r="M47" s="528">
        <f t="shared" si="11"/>
        <v>-44531.238091496751</v>
      </c>
      <c r="N47" s="528">
        <f t="shared" si="11"/>
        <v>-43710.504962098668</v>
      </c>
      <c r="O47" s="528">
        <f t="shared" si="11"/>
        <v>-42899.047506478615</v>
      </c>
      <c r="P47" s="528">
        <f t="shared" si="11"/>
        <v>-42096.776307481923</v>
      </c>
      <c r="Q47" s="528">
        <f t="shared" si="11"/>
        <v>-41303.602743712487</v>
      </c>
      <c r="R47" s="528">
        <f t="shared" si="11"/>
        <v>-40519.438982784515</v>
      </c>
      <c r="S47" s="528">
        <f t="shared" si="11"/>
        <v>-39744.197974630049</v>
      </c>
      <c r="T47" s="528">
        <f t="shared" si="11"/>
        <v>-38977.793444860145</v>
      </c>
      <c r="U47" s="528">
        <f t="shared" si="11"/>
        <v>-38220.139888182399</v>
      </c>
      <c r="V47" s="528">
        <f t="shared" si="11"/>
        <v>-37471.152561871218</v>
      </c>
      <c r="W47" s="528">
        <f t="shared" si="11"/>
        <v>-36730.747479292681</v>
      </c>
      <c r="X47" s="528">
        <f t="shared" si="11"/>
        <v>-35998.841403481434</v>
      </c>
      <c r="Y47" s="528">
        <f t="shared" si="11"/>
        <v>-35261.029192023911</v>
      </c>
      <c r="Z47" s="528">
        <f t="shared" si="11"/>
        <v>-34531.751339189359</v>
      </c>
      <c r="AA47" s="528">
        <f t="shared" si="11"/>
        <v>-33810.924732750282</v>
      </c>
      <c r="AB47" s="528">
        <f t="shared" si="11"/>
        <v>-33098.467004364822</v>
      </c>
      <c r="AC47" s="528">
        <f t="shared" si="11"/>
        <v>-32394.296523246099</v>
      </c>
      <c r="AD47" s="528">
        <f t="shared" si="11"/>
        <v>-31698.332389882125</v>
      </c>
      <c r="AE47" s="528">
        <f t="shared" si="11"/>
        <v>-31010.494429808692</v>
      </c>
      <c r="AF47" s="528">
        <f t="shared" si="11"/>
        <v>-30330.703187432664</v>
      </c>
      <c r="AG47" s="528">
        <f t="shared" si="11"/>
        <v>-29658.87991990638</v>
      </c>
      <c r="AH47" s="528">
        <f t="shared" si="11"/>
        <v>-28994.946591053391</v>
      </c>
      <c r="AI47" s="234"/>
    </row>
    <row r="48" spans="1:35" s="61" customFormat="1">
      <c r="A48" s="606" t="s">
        <v>609</v>
      </c>
      <c r="B48" s="54" t="s">
        <v>606</v>
      </c>
      <c r="C48" s="55" t="s">
        <v>1420</v>
      </c>
      <c r="D48" s="571">
        <f>D43*'Demand - Ethylene'!$E$74</f>
        <v>292255.79815384618</v>
      </c>
      <c r="E48" s="571">
        <f>E43*'Demand - Ethylene'!$E$74</f>
        <v>287184.63935628108</v>
      </c>
      <c r="F48" s="571">
        <f>F43*'Demand - Ethylene'!$E$74</f>
        <v>282169.96270043298</v>
      </c>
      <c r="G48" s="571">
        <f>G43*'Demand - Ethylene'!$E$74</f>
        <v>277211.22726865328</v>
      </c>
      <c r="H48" s="571">
        <f>H43*'Demand - Ethylene'!$E$74</f>
        <v>272307.89693916106</v>
      </c>
      <c r="I48" s="571">
        <f>I43*'Demand - Ethylene'!$E$74</f>
        <v>267459.44034547108</v>
      </c>
      <c r="J48" s="571">
        <f>J43*'Demand - Ethylene'!$E$74</f>
        <v>262665.33083615429</v>
      </c>
      <c r="K48" s="571">
        <f>K43*'Demand - Ethylene'!$E$74</f>
        <v>257925.04643492773</v>
      </c>
      <c r="L48" s="571">
        <f>L43*'Demand - Ethylene'!$E$74</f>
        <v>253238.06980107271</v>
      </c>
      <c r="M48" s="571">
        <f>M43*'Demand - Ethylene'!$E$74</f>
        <v>248603.88819017634</v>
      </c>
      <c r="N48" s="571">
        <f>N43*'Demand - Ethylene'!$E$74</f>
        <v>244021.99341519614</v>
      </c>
      <c r="O48" s="571">
        <f>O43*'Demand - Ethylene'!$E$74</f>
        <v>239491.88180784372</v>
      </c>
      <c r="P48" s="571">
        <f>P43*'Demand - Ethylene'!$E$74</f>
        <v>235013.05418028502</v>
      </c>
      <c r="Q48" s="571">
        <f>Q43*'Demand - Ethylene'!$E$74</f>
        <v>230585.01578715543</v>
      </c>
      <c r="R48" s="571">
        <f>R43*'Demand - Ethylene'!$E$74</f>
        <v>226207.27628788652</v>
      </c>
      <c r="S48" s="571">
        <f>S43*'Demand - Ethylene'!$E$74</f>
        <v>221879.34970934188</v>
      </c>
      <c r="T48" s="571">
        <f>T43*'Demand - Ethylene'!$E$74</f>
        <v>217600.75440876014</v>
      </c>
      <c r="U48" s="571">
        <f>U43*'Demand - Ethylene'!$E$74</f>
        <v>213371.01303700215</v>
      </c>
      <c r="V48" s="571">
        <f>V43*'Demand - Ethylene'!$E$74</f>
        <v>209189.65250210019</v>
      </c>
      <c r="W48" s="571">
        <f>W43*'Demand - Ethylene'!$E$74</f>
        <v>205056.20393310662</v>
      </c>
      <c r="X48" s="571">
        <f>X43*'Demand - Ethylene'!$E$74</f>
        <v>200970.20264423973</v>
      </c>
      <c r="Y48" s="571">
        <f>Y43*'Demand - Ethylene'!$E$74</f>
        <v>196851.22925873334</v>
      </c>
      <c r="Z48" s="571">
        <f>Z43*'Demand - Ethylene'!$E$74</f>
        <v>192779.90051163829</v>
      </c>
      <c r="AA48" s="571">
        <f>AA43*'Demand - Ethylene'!$E$74</f>
        <v>188755.75241354344</v>
      </c>
      <c r="AB48" s="571">
        <f>AB43*'Demand - Ethylene'!$E$74</f>
        <v>184778.32512791909</v>
      </c>
      <c r="AC48" s="571">
        <f>AC43*'Demand - Ethylene'!$E$74</f>
        <v>180847.16293577032</v>
      </c>
      <c r="AD48" s="571">
        <f>AD43*'Demand - Ethylene'!$E$74</f>
        <v>176961.81420058175</v>
      </c>
      <c r="AE48" s="571">
        <f>AE43*'Demand - Ethylene'!$E$74</f>
        <v>173121.8313335501</v>
      </c>
      <c r="AF48" s="571">
        <f>AF43*'Demand - Ethylene'!$E$74</f>
        <v>169326.7707591037</v>
      </c>
      <c r="AG48" s="571">
        <f>AG43*'Demand - Ethylene'!$E$74</f>
        <v>165576.19288070573</v>
      </c>
      <c r="AH48" s="571">
        <f>AH43*'Demand - Ethylene'!$E$74</f>
        <v>161869.66204693928</v>
      </c>
      <c r="AI48" s="56"/>
    </row>
    <row r="49" spans="1:35" s="62" customFormat="1">
      <c r="A49" s="608"/>
      <c r="B49" s="58" t="s">
        <v>605</v>
      </c>
      <c r="C49" s="233" t="s">
        <v>1420</v>
      </c>
      <c r="D49" s="528">
        <f>D43*'Demand - Ethylene'!$D$74/'Demand - Ethylene'!$L$24</f>
        <v>21707.02197834033</v>
      </c>
      <c r="E49" s="528">
        <f>E43*'Demand - Ethylene'!$D$74/'Demand - Ethylene'!$L$24</f>
        <v>21330.366472547928</v>
      </c>
      <c r="F49" s="528">
        <f>F43*'Demand - Ethylene'!$D$74/'Demand - Ethylene'!$L$24</f>
        <v>20957.90612421478</v>
      </c>
      <c r="G49" s="528">
        <f>G43*'Demand - Ethylene'!$D$74/'Demand - Ethylene'!$L$24</f>
        <v>20589.600757196004</v>
      </c>
      <c r="H49" s="528">
        <f>H43*'Demand - Ethylene'!$D$74/'Demand - Ethylene'!$L$24</f>
        <v>20225.410551555255</v>
      </c>
      <c r="I49" s="528">
        <f>I43*'Demand - Ethylene'!$D$74/'Demand - Ethylene'!$L$24</f>
        <v>19865.296040551253</v>
      </c>
      <c r="J49" s="528">
        <f>J43*'Demand - Ethylene'!$D$74/'Demand - Ethylene'!$L$24</f>
        <v>19509.218107649031</v>
      </c>
      <c r="K49" s="528">
        <f>K43*'Demand - Ethylene'!$D$74/'Demand - Ethylene'!$L$24</f>
        <v>19157.137983555673</v>
      </c>
      <c r="L49" s="528">
        <f>L43*'Demand - Ethylene'!$D$74/'Demand - Ethylene'!$L$24</f>
        <v>18809.017243280399</v>
      </c>
      <c r="M49" s="528">
        <f>M43*'Demand - Ethylene'!$D$74/'Demand - Ethylene'!$L$24</f>
        <v>18464.81780321867</v>
      </c>
      <c r="N49" s="528">
        <f>N43*'Demand - Ethylene'!$D$74/'Demand - Ethylene'!$L$24</f>
        <v>18124.50191826031</v>
      </c>
      <c r="O49" s="528">
        <f>O43*'Demand - Ethylene'!$D$74/'Demand - Ethylene'!$L$24</f>
        <v>17788.032178921316</v>
      </c>
      <c r="P49" s="528">
        <f>P43*'Demand - Ethylene'!$D$74/'Demand - Ethylene'!$L$24</f>
        <v>17455.371508499182</v>
      </c>
      <c r="Q49" s="528">
        <f>Q43*'Demand - Ethylene'!$D$74/'Demand - Ethylene'!$L$24</f>
        <v>17126.483160251595</v>
      </c>
      <c r="R49" s="528">
        <f>R43*'Demand - Ethylene'!$D$74/'Demand - Ethylene'!$L$24</f>
        <v>16801.330714598298</v>
      </c>
      <c r="S49" s="528">
        <f>S43*'Demand - Ethylene'!$D$74/'Demand - Ethylene'!$L$24</f>
        <v>16479.878076345907</v>
      </c>
      <c r="T49" s="528">
        <f>T43*'Demand - Ethylene'!$D$74/'Demand - Ethylene'!$L$24</f>
        <v>16162.089471935531</v>
      </c>
      <c r="U49" s="528">
        <f>U43*'Demand - Ethylene'!$D$74/'Demand - Ethylene'!$L$24</f>
        <v>15847.929446712993</v>
      </c>
      <c r="V49" s="528">
        <f>V43*'Demand - Ethylene'!$D$74/'Demand - Ethylene'!$L$24</f>
        <v>15537.362862221475</v>
      </c>
      <c r="W49" s="528">
        <f>W43*'Demand - Ethylene'!$D$74/'Demand - Ethylene'!$L$24</f>
        <v>15230.354893516434</v>
      </c>
      <c r="X49" s="528">
        <f>X43*'Demand - Ethylene'!$D$74/'Demand - Ethylene'!$L$24</f>
        <v>14926.871026502546</v>
      </c>
      <c r="Y49" s="528">
        <f>Y43*'Demand - Ethylene'!$D$74/'Demand - Ethylene'!$L$24</f>
        <v>14620.938188310161</v>
      </c>
      <c r="Z49" s="528">
        <f>Z43*'Demand - Ethylene'!$D$74/'Demand - Ethylene'!$L$24</f>
        <v>14318.544110408178</v>
      </c>
      <c r="AA49" s="528">
        <f>AA43*'Demand - Ethylene'!$D$74/'Demand - Ethylene'!$L$24</f>
        <v>14019.654330423527</v>
      </c>
      <c r="AB49" s="528">
        <f>AB43*'Demand - Ethylene'!$D$74/'Demand - Ethylene'!$L$24</f>
        <v>13724.234694434475</v>
      </c>
      <c r="AC49" s="528">
        <f>AC43*'Demand - Ethylene'!$D$74/'Demand - Ethylene'!$L$24</f>
        <v>13432.251354345281</v>
      </c>
      <c r="AD49" s="528">
        <f>AD43*'Demand - Ethylene'!$D$74/'Demand - Ethylene'!$L$24</f>
        <v>13143.670765282484</v>
      </c>
      <c r="AE49" s="528">
        <f>AE43*'Demand - Ethylene'!$D$74/'Demand - Ethylene'!$L$24</f>
        <v>12858.459683012603</v>
      </c>
      <c r="AF49" s="528">
        <f>AF43*'Demand - Ethylene'!$D$74/'Demand - Ethylene'!$L$24</f>
        <v>12576.585161381125</v>
      </c>
      <c r="AG49" s="528">
        <f>AG43*'Demand - Ethylene'!$D$74/'Demand - Ethylene'!$L$24</f>
        <v>12298.014549772575</v>
      </c>
      <c r="AH49" s="528">
        <f>AH43*'Demand - Ethylene'!$D$74/'Demand - Ethylene'!$L$24</f>
        <v>12022.715490591512</v>
      </c>
      <c r="AI49" s="234"/>
    </row>
    <row r="50" spans="1:35">
      <c r="A50" s="1" t="s">
        <v>261</v>
      </c>
      <c r="B50" s="54" t="s">
        <v>179</v>
      </c>
      <c r="C50" s="55" t="s">
        <v>1420</v>
      </c>
      <c r="D50" s="571">
        <f>'R&amp;S - Apparel'!E4</f>
        <v>29305.030176899061</v>
      </c>
      <c r="E50" s="571">
        <f>D50*(1+'R&amp;S - Apparel'!$C$5)</f>
        <v>29100.830913616741</v>
      </c>
      <c r="F50" s="571">
        <f>E50*(1+'R&amp;S - Apparel'!$C$5)</f>
        <v>28898.054523434137</v>
      </c>
      <c r="G50" s="571">
        <f>F50*(1+'R&amp;S - Apparel'!$C$5)</f>
        <v>28696.69109168346</v>
      </c>
      <c r="H50" s="571">
        <f>G50*(1+'R&amp;S - Apparel'!$C$5)</f>
        <v>28496.730772782943</v>
      </c>
      <c r="I50" s="571">
        <f>H50*(1+'R&amp;S - Apparel'!$C$5)</f>
        <v>28298.163789755436</v>
      </c>
      <c r="J50" s="571">
        <f>I50*(1+'R&amp;S - Apparel'!$C$5)</f>
        <v>28100.980433750377</v>
      </c>
      <c r="K50" s="571">
        <f>J50*(1+'R&amp;S - Apparel'!$C$5)</f>
        <v>27905.171063569072</v>
      </c>
      <c r="L50" s="571">
        <f>K50*(1+'R&amp;S - Apparel'!$C$5)</f>
        <v>27710.726105193298</v>
      </c>
      <c r="M50" s="571">
        <f>L50*(1+'R&amp;S - Apparel'!$C$5)</f>
        <v>27517.636051317182</v>
      </c>
      <c r="N50" s="571">
        <f>M50*(1+'R&amp;S - Apparel'!$C$5)</f>
        <v>27325.891460882347</v>
      </c>
      <c r="O50" s="571">
        <f>N50*(1+'R&amp;S - Apparel'!$C$5)</f>
        <v>27135.482958616296</v>
      </c>
      <c r="P50" s="571">
        <f>O50*(1+'R&amp;S - Apparel'!$C$5)</f>
        <v>26946.401234574008</v>
      </c>
      <c r="Q50" s="571">
        <f>P50*(1+'R&amp;S - Apparel'!$C$5)</f>
        <v>26758.637043682735</v>
      </c>
      <c r="R50" s="571">
        <f>Q50*(1+'R&amp;S - Apparel'!$C$5)</f>
        <v>26572.18120528997</v>
      </c>
      <c r="S50" s="571">
        <f>R50*(1+'R&amp;S - Apparel'!$C$5)</f>
        <v>26387.024602714559</v>
      </c>
      <c r="T50" s="571">
        <f>S50*(1+'R&amp;S - Apparel'!$C$5)</f>
        <v>26203.158182800948</v>
      </c>
      <c r="U50" s="571">
        <f>T50*(1+'R&amp;S - Apparel'!$C$5)</f>
        <v>26020.572955476531</v>
      </c>
      <c r="V50" s="571">
        <f>U50*(1+'R&amp;S - Apparel'!$C$5)</f>
        <v>25839.25999331208</v>
      </c>
      <c r="W50" s="571">
        <f>V50*(1+'R&amp;S - Apparel'!$C$5)</f>
        <v>25659.210431085252</v>
      </c>
      <c r="X50" s="571">
        <f>W50*(1+'R&amp;S - Apparel'!$C$5)</f>
        <v>25480.41546534712</v>
      </c>
      <c r="Y50" s="571">
        <f>X50*(1+'R&amp;S - Apparel'!$C$5)</f>
        <v>25302.866353991729</v>
      </c>
      <c r="Z50" s="571">
        <f>Y50*(1+'R&amp;S - Apparel'!$C$5)</f>
        <v>25126.554415828668</v>
      </c>
      <c r="AA50" s="571">
        <f>Z50*(1+'R&amp;S - Apparel'!$C$5)</f>
        <v>24951.471030158591</v>
      </c>
      <c r="AB50" s="571">
        <f>AA50*(1+'R&amp;S - Apparel'!$C$5)</f>
        <v>24777.607636351717</v>
      </c>
      <c r="AC50" s="571">
        <f>AB50*(1+'R&amp;S - Apparel'!$C$5)</f>
        <v>24604.955733429269</v>
      </c>
      <c r="AD50" s="571">
        <f>AC50*(1+'R&amp;S - Apparel'!$C$5)</f>
        <v>24433.506879647812</v>
      </c>
      <c r="AE50" s="571">
        <f>AD50*(1+'R&amp;S - Apparel'!$C$5)</f>
        <v>24263.252692086502</v>
      </c>
      <c r="AF50" s="571">
        <f>AE50*(1+'R&amp;S - Apparel'!$C$5)</f>
        <v>24094.184846237211</v>
      </c>
      <c r="AG50" s="571">
        <f>AF50*(1+'R&amp;S - Apparel'!$C$5)</f>
        <v>23926.295075597489</v>
      </c>
      <c r="AH50" s="571">
        <f>AG50*(1+'R&amp;S - Apparel'!$C$5)</f>
        <v>23759.575171266395</v>
      </c>
    </row>
    <row r="51" spans="1:35" outlineLevel="1">
      <c r="B51" s="57" t="s">
        <v>201</v>
      </c>
      <c r="C51" s="50" t="s">
        <v>1420</v>
      </c>
      <c r="D51" s="183">
        <v>0</v>
      </c>
      <c r="E51" s="183">
        <f>E50*'R&amp;S - Apparel'!$C$7*'R&amp;S - Apparel'!$B$14*'R&amp;S - Apparel'!$B$17*('Yearly LC Ethylene'!E$3-'Yearly LC Ethylene'!$D$3)/10</f>
        <v>254.63227049414644</v>
      </c>
      <c r="F51" s="183">
        <f>F50*'R&amp;S - Apparel'!$C$7*'R&amp;S - Apparel'!$B$14*'R&amp;S - Apparel'!$B$17*('Yearly LC Ethylene'!F$3-'Yearly LC Ethylene'!$D$3)/10</f>
        <v>505.7159541600974</v>
      </c>
      <c r="G51" s="183">
        <f>G50*'R&amp;S - Apparel'!$C$7*'R&amp;S - Apparel'!$B$14*'R&amp;S - Apparel'!$B$17*('Yearly LC Ethylene'!G$3-'Yearly LC Ethylene'!$D$3)/10</f>
        <v>753.28814115669081</v>
      </c>
      <c r="H51" s="183">
        <f>H50*'R&amp;S - Apparel'!$C$7*'R&amp;S - Apparel'!$B$14*'R&amp;S - Apparel'!$B$17*('Yearly LC Ethylene'!H$3-'Yearly LC Ethylene'!$D$3)/10</f>
        <v>997.38557704740288</v>
      </c>
      <c r="I51" s="183">
        <f>I50*'R&amp;S - Apparel'!$C$7*'R&amp;S - Apparel'!$B$14*'R&amp;S - Apparel'!$B$17*('Yearly LC Ethylene'!I$3-'Yearly LC Ethylene'!$D$3)/10</f>
        <v>1238.0446658018002</v>
      </c>
      <c r="J51" s="183">
        <f>J50*'R&amp;S - Apparel'!$C$7*'R&amp;S - Apparel'!$B$14*'R&amp;S - Apparel'!$B$17*('Yearly LC Ethylene'!J$3-'Yearly LC Ethylene'!$D$3)/10</f>
        <v>1475.3014727718946</v>
      </c>
      <c r="K51" s="183">
        <f>K50*'R&amp;S - Apparel'!$C$7*'R&amp;S - Apparel'!$B$14*'R&amp;S - Apparel'!$B$17*('Yearly LC Ethylene'!K$3-'Yearly LC Ethylene'!$D$3)/10</f>
        <v>1709.1917276436056</v>
      </c>
      <c r="L51" s="183">
        <f>L50*'R&amp;S - Apparel'!$C$7*'R&amp;S - Apparel'!$B$14*'R&amp;S - Apparel'!$B$17*('Yearly LC Ethylene'!L$3-'Yearly LC Ethylene'!$D$3)/10</f>
        <v>1939.7508273635308</v>
      </c>
      <c r="M51" s="183">
        <f>M50*'R&amp;S - Apparel'!$C$7*'R&amp;S - Apparel'!$B$14*'R&amp;S - Apparel'!$B$17*('Yearly LC Ethylene'!M$3-'Yearly LC Ethylene'!$D$3)/10</f>
        <v>2167.0138390412276</v>
      </c>
      <c r="N51" s="183">
        <f>N50*'R&amp;S - Apparel'!$C$7*'R&amp;S - Apparel'!$B$14*'R&amp;S - Apparel'!$B$17*('Yearly LC Ethylene'!N$3-'Yearly LC Ethylene'!$D$3)/10</f>
        <v>2391.0155028272052</v>
      </c>
      <c r="O51" s="183">
        <f>O50*'R&amp;S - Apparel'!$C$7*'R&amp;S - Apparel'!$B$14*('R&amp;S - Apparel'!$B$17+('R&amp;S - Apparel'!$B$18-'R&amp;S - Apparel'!$B$17)*('Yearly LC Ethylene'!O$3-'Yearly LC Ethylene'!$N$3)/10)</f>
        <v>2442.1934662754666</v>
      </c>
      <c r="P51" s="183">
        <f>P50*'R&amp;S - Apparel'!$C$7*'R&amp;S - Apparel'!$B$14*('R&amp;S - Apparel'!$B$17+('R&amp;S - Apparel'!$B$18-'R&amp;S - Apparel'!$B$17)*('Yearly LC Ethylene'!P$3-'Yearly LC Ethylene'!$N$3)/10)</f>
        <v>2492.5421141980955</v>
      </c>
      <c r="Q51" s="183">
        <f>Q50*'R&amp;S - Apparel'!$C$7*'R&amp;S - Apparel'!$B$14*('R&amp;S - Apparel'!$B$17+('R&amp;S - Apparel'!$B$18-'R&amp;S - Apparel'!$B$17)*('Yearly LC Ethylene'!Q$3-'Yearly LC Ethylene'!$N$3)/10)</f>
        <v>2542.07051914986</v>
      </c>
      <c r="R51" s="183">
        <f>R50*'R&amp;S - Apparel'!$C$7*'R&amp;S - Apparel'!$B$14*('R&amp;S - Apparel'!$B$17+('R&amp;S - Apparel'!$B$18-'R&amp;S - Apparel'!$B$17)*('Yearly LC Ethylene'!R$3-'Yearly LC Ethylene'!$N$3)/10)</f>
        <v>2590.7876675157722</v>
      </c>
      <c r="S51" s="183">
        <f>S50*'R&amp;S - Apparel'!$C$7*'R&amp;S - Apparel'!$B$14*('R&amp;S - Apparel'!$B$17+('R&amp;S - Apparel'!$B$18-'R&amp;S - Apparel'!$B$17)*('Yearly LC Ethylene'!S$3-'Yearly LC Ethylene'!$N$3)/10)</f>
        <v>2638.7024602714559</v>
      </c>
      <c r="T51" s="183">
        <f>T50*'R&amp;S - Apparel'!$C$7*'R&amp;S - Apparel'!$B$14*('R&amp;S - Apparel'!$B$17+('R&amp;S - Apparel'!$B$18-'R&amp;S - Apparel'!$B$17)*('Yearly LC Ethylene'!T$3-'Yearly LC Ethylene'!$N$3)/10)</f>
        <v>2685.823713737097</v>
      </c>
      <c r="U51" s="183">
        <f>U50*'R&amp;S - Apparel'!$C$7*'R&amp;S - Apparel'!$B$14*('R&amp;S - Apparel'!$B$17+('R&amp;S - Apparel'!$B$18-'R&amp;S - Apparel'!$B$17)*('Yearly LC Ethylene'!U$3-'Yearly LC Ethylene'!$N$3)/10)</f>
        <v>2732.1601603250356</v>
      </c>
      <c r="V51" s="183">
        <f>V50*'R&amp;S - Apparel'!$C$7*'R&amp;S - Apparel'!$B$14*('R&amp;S - Apparel'!$B$17+('R&amp;S - Apparel'!$B$18-'R&amp;S - Apparel'!$B$17)*('Yearly LC Ethylene'!V$3-'Yearly LC Ethylene'!$N$3)/10)</f>
        <v>2777.7204492810488</v>
      </c>
      <c r="W51" s="183">
        <f>W50*'R&amp;S - Apparel'!$C$7*'R&amp;S - Apparel'!$B$14*('R&amp;S - Apparel'!$B$17+('R&amp;S - Apparel'!$B$18-'R&amp;S - Apparel'!$B$17)*('Yearly LC Ethylene'!W$3-'Yearly LC Ethylene'!$N$3)/10)</f>
        <v>2822.5131474193777</v>
      </c>
      <c r="X51" s="183">
        <f>X50*'R&amp;S - Apparel'!$C$7*'R&amp;S - Apparel'!$B$14*('R&amp;S - Apparel'!$B$17+('R&amp;S - Apparel'!$B$18-'R&amp;S - Apparel'!$B$17)*('Yearly LC Ethylene'!X$3-'Yearly LC Ethylene'!$N$3)/10)</f>
        <v>2866.5467398515511</v>
      </c>
      <c r="Y51" s="183">
        <f>Y50*'R&amp;S - Apparel'!$C$7*'R&amp;S - Apparel'!$B$14*('R&amp;S - Apparel'!$B$18+('R&amp;S - Apparel'!$B$19-'R&amp;S - Apparel'!$B$18)*('Yearly LC Ethylene'!Y$3-'Yearly LC Ethylene'!$X$3)/10)</f>
        <v>2878.2010477665594</v>
      </c>
      <c r="Z51" s="183">
        <f>Z50*'R&amp;S - Apparel'!$C$7*'R&amp;S - Apparel'!$B$14*('R&amp;S - Apparel'!$B$18+('R&amp;S - Apparel'!$B$19-'R&amp;S - Apparel'!$B$18)*('Yearly LC Ethylene'!Z$3-'Yearly LC Ethylene'!$X$3)/10)</f>
        <v>2889.5537578202971</v>
      </c>
      <c r="AA51" s="183">
        <f>AA50*'R&amp;S - Apparel'!$C$7*'R&amp;S - Apparel'!$B$14*('R&amp;S - Apparel'!$B$18+('R&amp;S - Apparel'!$B$19-'R&amp;S - Apparel'!$B$18)*('Yearly LC Ethylene'!AA$3-'Yearly LC Ethylene'!$X$3)/10)</f>
        <v>2900.6085072559363</v>
      </c>
      <c r="AB51" s="183">
        <f>AB50*'R&amp;S - Apparel'!$C$7*'R&amp;S - Apparel'!$B$14*('R&amp;S - Apparel'!$B$18+('R&amp;S - Apparel'!$B$19-'R&amp;S - Apparel'!$B$18)*('Yearly LC Ethylene'!AB$3-'Yearly LC Ethylene'!$X$3)/10)</f>
        <v>2911.3688972713271</v>
      </c>
      <c r="AC51" s="183">
        <f>AC50*'R&amp;S - Apparel'!$C$7*'R&amp;S - Apparel'!$B$14*('R&amp;S - Apparel'!$B$18+('R&amp;S - Apparel'!$B$19-'R&amp;S - Apparel'!$B$18)*('Yearly LC Ethylene'!AC$3-'Yearly LC Ethylene'!$X$3)/10)</f>
        <v>2921.8384933447255</v>
      </c>
      <c r="AD51" s="183">
        <f>AD50*'R&amp;S - Apparel'!$C$7*'R&amp;S - Apparel'!$B$14*('R&amp;S - Apparel'!$B$18+('R&amp;S - Apparel'!$B$19-'R&amp;S - Apparel'!$B$18)*('Yearly LC Ethylene'!AD$3-'Yearly LC Ethylene'!$X$3)/10)</f>
        <v>2932.0208255577372</v>
      </c>
      <c r="AE51" s="183">
        <f>AE50*'R&amp;S - Apparel'!$C$7*'R&amp;S - Apparel'!$B$14*('R&amp;S - Apparel'!$B$18+('R&amp;S - Apparel'!$B$19-'R&amp;S - Apparel'!$B$18)*('Yearly LC Ethylene'!AE$3-'Yearly LC Ethylene'!$X$3)/10)</f>
        <v>2941.9193889154881</v>
      </c>
      <c r="AF51" s="183">
        <f>AF50*'R&amp;S - Apparel'!$C$7*'R&amp;S - Apparel'!$B$14*('R&amp;S - Apparel'!$B$18+('R&amp;S - Apparel'!$B$19-'R&amp;S - Apparel'!$B$18)*('Yearly LC Ethylene'!AF$3-'Yearly LC Ethylene'!$X$3)/10)</f>
        <v>2951.5376436640581</v>
      </c>
      <c r="AG51" s="183">
        <f>AG50*'R&amp;S - Apparel'!$C$7*'R&amp;S - Apparel'!$B$14*('R&amp;S - Apparel'!$B$18+('R&amp;S - Apparel'!$B$19-'R&amp;S - Apparel'!$B$18)*('Yearly LC Ethylene'!AG$3-'Yearly LC Ethylene'!$X$3)/10)</f>
        <v>2960.8790156051891</v>
      </c>
      <c r="AH51" s="183">
        <f>AH50*'R&amp;S - Apparel'!$C$7*'R&amp;S - Apparel'!$B$14*('R&amp;S - Apparel'!$B$18+('R&amp;S - Apparel'!$B$19-'R&amp;S - Apparel'!$B$18)*('Yearly LC Ethylene'!AH$3-'Yearly LC Ethylene'!$X$3)/10)</f>
        <v>2969.9468964082994</v>
      </c>
    </row>
    <row r="52" spans="1:35" outlineLevel="1">
      <c r="B52" s="57" t="s">
        <v>205</v>
      </c>
      <c r="C52" s="50" t="s">
        <v>1420</v>
      </c>
      <c r="D52" s="183">
        <v>0</v>
      </c>
      <c r="E52" s="183">
        <f>E50*'R&amp;S - Apparel'!$C$8*'R&amp;S - Apparel'!$B$14*'R&amp;S - Apparel'!$C$17*('Yearly LC Ethylene'!E$3-'Yearly LC Ethylene'!$D$3)/10</f>
        <v>98.942825106296937</v>
      </c>
      <c r="F52" s="183">
        <f>F50*'R&amp;S - Apparel'!$C$8*'R&amp;S - Apparel'!$B$14*'R&amp;S - Apparel'!$C$17*('Yearly LC Ethylene'!F$3-'Yearly LC Ethylene'!$D$3)/10</f>
        <v>196.50677075935215</v>
      </c>
      <c r="G52" s="183">
        <f>G50*'R&amp;S - Apparel'!$C$8*'R&amp;S - Apparel'!$B$14*'R&amp;S - Apparel'!$C$17*('Yearly LC Ethylene'!G$3-'Yearly LC Ethylene'!$D$3)/10</f>
        <v>292.70624913517133</v>
      </c>
      <c r="H52" s="183">
        <f>H50*'R&amp;S - Apparel'!$C$8*'R&amp;S - Apparel'!$B$14*'R&amp;S - Apparel'!$C$17*('Yearly LC Ethylene'!H$3-'Yearly LC Ethylene'!$D$3)/10</f>
        <v>387.55553850984808</v>
      </c>
      <c r="I52" s="183">
        <f>I50*'R&amp;S - Apparel'!$C$8*'R&amp;S - Apparel'!$B$14*'R&amp;S - Apparel'!$C$17*('Yearly LC Ethylene'!I$3-'Yearly LC Ethylene'!$D$3)/10</f>
        <v>481.06878442584258</v>
      </c>
      <c r="J52" s="183">
        <f>J50*'R&amp;S - Apparel'!$C$8*'R&amp;S - Apparel'!$B$14*'R&amp;S - Apparel'!$C$17*('Yearly LC Ethylene'!J$3-'Yearly LC Ethylene'!$D$3)/10</f>
        <v>573.26000084850773</v>
      </c>
      <c r="K52" s="183">
        <f>K50*'R&amp;S - Apparel'!$C$8*'R&amp;S - Apparel'!$B$14*'R&amp;S - Apparel'!$C$17*('Yearly LC Ethylene'!K$3-'Yearly LC Ethylene'!$D$3)/10</f>
        <v>664.14307131294402</v>
      </c>
      <c r="L52" s="183">
        <f>L50*'R&amp;S - Apparel'!$C$8*'R&amp;S - Apparel'!$B$14*'R&amp;S - Apparel'!$C$17*('Yearly LC Ethylene'!L$3-'Yearly LC Ethylene'!$D$3)/10</f>
        <v>753.7317500612578</v>
      </c>
      <c r="M52" s="183">
        <f>M50*'R&amp;S - Apparel'!$C$8*'R&amp;S - Apparel'!$B$14*'R&amp;S - Apparel'!$C$17*('Yearly LC Ethylene'!M$3-'Yearly LC Ethylene'!$D$3)/10</f>
        <v>842.03966317030586</v>
      </c>
      <c r="N52" s="183">
        <f>N50*'R&amp;S - Apparel'!$C$8*'R&amp;S - Apparel'!$B$14*'R&amp;S - Apparel'!$C$17*('Yearly LC Ethylene'!N$3-'Yearly LC Ethylene'!$D$3)/10</f>
        <v>929.08030966999991</v>
      </c>
      <c r="O52" s="183">
        <f>O50*'R&amp;S - Apparel'!$C$8*'R&amp;S - Apparel'!$B$14*('R&amp;S - Apparel'!$C$17+('R&amp;S - Apparel'!$C$18-'R&amp;S - Apparel'!$C$17)*('Yearly LC Ethylene'!O$3-'Yearly LC Ethylene'!$N$3)/10)</f>
        <v>1060.9973836818972</v>
      </c>
      <c r="P52" s="183">
        <f>P50*'R&amp;S - Apparel'!$C$8*'R&amp;S - Apparel'!$B$14*('R&amp;S - Apparel'!$C$17+('R&amp;S - Apparel'!$C$18-'R&amp;S - Apparel'!$C$17)*('Yearly LC Ethylene'!P$3-'Yearly LC Ethylene'!$N$3)/10)</f>
        <v>1191.0309345681715</v>
      </c>
      <c r="Q52" s="183">
        <f>Q50*'R&amp;S - Apparel'!$C$8*'R&amp;S - Apparel'!$B$14*('R&amp;S - Apparel'!$C$17+('R&amp;S - Apparel'!$C$18-'R&amp;S - Apparel'!$C$17)*('Yearly LC Ethylene'!Q$3-'Yearly LC Ethylene'!$N$3)/10)</f>
        <v>1319.200806253559</v>
      </c>
      <c r="R52" s="183">
        <f>R50*'R&amp;S - Apparel'!$C$8*'R&amp;S - Apparel'!$B$14*('R&amp;S - Apparel'!$C$17+('R&amp;S - Apparel'!$C$18-'R&amp;S - Apparel'!$C$17)*('Yearly LC Ethylene'!R$3-'Yearly LC Ethylene'!$N$3)/10)</f>
        <v>1445.5266575677745</v>
      </c>
      <c r="S52" s="183">
        <f>S50*'R&amp;S - Apparel'!$C$8*'R&amp;S - Apparel'!$B$14*('R&amp;S - Apparel'!$C$17+('R&amp;S - Apparel'!$C$18-'R&amp;S - Apparel'!$C$17)*('Yearly LC Ethylene'!S$3-'Yearly LC Ethylene'!$N$3)/10)</f>
        <v>1570.0279638615164</v>
      </c>
      <c r="T52" s="183">
        <f>T50*'R&amp;S - Apparel'!$C$8*'R&amp;S - Apparel'!$B$14*('R&amp;S - Apparel'!$C$17+('R&amp;S - Apparel'!$C$18-'R&amp;S - Apparel'!$C$17)*('Yearly LC Ethylene'!T$3-'Yearly LC Ethylene'!$N$3)/10)</f>
        <v>1692.7240186089414</v>
      </c>
      <c r="U52" s="183">
        <f>U50*'R&amp;S - Apparel'!$C$8*'R&amp;S - Apparel'!$B$14*('R&amp;S - Apparel'!$C$17+('R&amp;S - Apparel'!$C$18-'R&amp;S - Apparel'!$C$17)*('Yearly LC Ethylene'!U$3-'Yearly LC Ethylene'!$N$3)/10)</f>
        <v>1813.6339349967145</v>
      </c>
      <c r="V52" s="183">
        <f>V50*'R&amp;S - Apparel'!$C$8*'R&amp;S - Apparel'!$B$14*('R&amp;S - Apparel'!$C$17+('R&amp;S - Apparel'!$C$18-'R&amp;S - Apparel'!$C$17)*('Yearly LC Ethylene'!V$3-'Yearly LC Ethylene'!$N$3)/10)</f>
        <v>1932.7766474997436</v>
      </c>
      <c r="W52" s="183">
        <f>W50*'R&amp;S - Apparel'!$C$8*'R&amp;S - Apparel'!$B$14*('R&amp;S - Apparel'!$C$17+('R&amp;S - Apparel'!$C$18-'R&amp;S - Apparel'!$C$17)*('Yearly LC Ethylene'!W$3-'Yearly LC Ethylene'!$N$3)/10)</f>
        <v>2050.1709134437115</v>
      </c>
      <c r="X52" s="183">
        <f>X50*'R&amp;S - Apparel'!$C$8*'R&amp;S - Apparel'!$B$14*('R&amp;S - Apparel'!$C$17+('R&amp;S - Apparel'!$C$18-'R&amp;S - Apparel'!$C$17)*('Yearly LC Ethylene'!X$3-'Yearly LC Ethylene'!$N$3)/10)</f>
        <v>2165.8353145545052</v>
      </c>
      <c r="Y52" s="183">
        <f>Y50*'R&amp;S - Apparel'!$C$8*'R&amp;S - Apparel'!$B$14*('R&amp;S - Apparel'!$C$18+('R&amp;S - Apparel'!$C$19-'R&amp;S - Apparel'!$C$18)*('Yearly LC Ethylene'!Y$3-'Yearly LC Ethylene'!$X$3)/10)</f>
        <v>2365.818004098227</v>
      </c>
      <c r="Z52" s="183">
        <f>Z50*'R&amp;S - Apparel'!$C$8*'R&amp;S - Apparel'!$B$14*('R&amp;S - Apparel'!$C$18+('R&amp;S - Apparel'!$C$19-'R&amp;S - Apparel'!$C$18)*('Yearly LC Ethylene'!Z$3-'Yearly LC Ethylene'!$X$3)/10)</f>
        <v>2562.9085504145246</v>
      </c>
      <c r="AA52" s="183">
        <f>AA50*'R&amp;S - Apparel'!$C$8*'R&amp;S - Apparel'!$B$14*('R&amp;S - Apparel'!$C$18+('R&amp;S - Apparel'!$C$19-'R&amp;S - Apparel'!$C$18)*('Yearly LC Ethylene'!AA$3-'Yearly LC Ethylene'!$X$3)/10)</f>
        <v>2757.1375488325248</v>
      </c>
      <c r="AB52" s="183">
        <f>AB50*'R&amp;S - Apparel'!$C$8*'R&amp;S - Apparel'!$B$14*('R&amp;S - Apparel'!$C$18+('R&amp;S - Apparel'!$C$19-'R&amp;S - Apparel'!$C$18)*('Yearly LC Ethylene'!AB$3-'Yearly LC Ethylene'!$X$3)/10)</f>
        <v>2948.5353087258541</v>
      </c>
      <c r="AC52" s="183">
        <f>AC50*'R&amp;S - Apparel'!$C$8*'R&amp;S - Apparel'!$B$14*('R&amp;S - Apparel'!$C$18+('R&amp;S - Apparel'!$C$19-'R&amp;S - Apparel'!$C$18)*('Yearly LC Ethylene'!AC$3-'Yearly LC Ethylene'!$X$3)/10)</f>
        <v>3137.1318560122318</v>
      </c>
      <c r="AD52" s="183">
        <f>AD50*'R&amp;S - Apparel'!$C$8*'R&amp;S - Apparel'!$B$14*('R&amp;S - Apparel'!$C$18+('R&amp;S - Apparel'!$C$19-'R&amp;S - Apparel'!$C$18)*('Yearly LC Ethylene'!AD$3-'Yearly LC Ethylene'!$X$3)/10)</f>
        <v>3322.9569356321031</v>
      </c>
      <c r="AE52" s="183">
        <f>AE50*'R&amp;S - Apparel'!$C$8*'R&amp;S - Apparel'!$B$14*('R&amp;S - Apparel'!$C$18+('R&amp;S - Apparel'!$C$19-'R&amp;S - Apparel'!$C$18)*('Yearly LC Ethylene'!AE$3-'Yearly LC Ethylene'!$X$3)/10)</f>
        <v>3506.0400140064999</v>
      </c>
      <c r="AF52" s="183">
        <f>AF50*'R&amp;S - Apparel'!$C$8*'R&amp;S - Apparel'!$B$14*('R&amp;S - Apparel'!$C$18+('R&amp;S - Apparel'!$C$19-'R&amp;S - Apparel'!$C$18)*('Yearly LC Ethylene'!AF$3-'Yearly LC Ethylene'!$X$3)/10)</f>
        <v>3686.4102814742937</v>
      </c>
      <c r="AG52" s="183">
        <f>AG50*'R&amp;S - Apparel'!$C$8*'R&amp;S - Apparel'!$B$14*('R&amp;S - Apparel'!$C$18+('R&amp;S - Apparel'!$C$19-'R&amp;S - Apparel'!$C$18)*('Yearly LC Ethylene'!AG$3-'Yearly LC Ethylene'!$X$3)/10)</f>
        <v>3864.0966547089947</v>
      </c>
      <c r="AH52" s="183">
        <f>AH50*'R&amp;S - Apparel'!$C$8*'R&amp;S - Apparel'!$B$14*('R&amp;S - Apparel'!$C$18+('R&amp;S - Apparel'!$C$19-'R&amp;S - Apparel'!$C$18)*('Yearly LC Ethylene'!AH$3-'Yearly LC Ethylene'!$X$3)/10)</f>
        <v>4039.1277791152875</v>
      </c>
    </row>
    <row r="53" spans="1:35" outlineLevel="1">
      <c r="B53" s="1" t="s">
        <v>169</v>
      </c>
      <c r="C53" s="50" t="s">
        <v>1420</v>
      </c>
      <c r="D53" s="183">
        <f>SUM(D51:D52)</f>
        <v>0</v>
      </c>
      <c r="E53" s="183">
        <f t="shared" ref="E53:AG53" si="12">SUM(E51:E52)</f>
        <v>353.57509560044338</v>
      </c>
      <c r="F53" s="183">
        <f t="shared" si="12"/>
        <v>702.22272491944955</v>
      </c>
      <c r="G53" s="183">
        <f t="shared" si="12"/>
        <v>1045.9943902918621</v>
      </c>
      <c r="H53" s="183">
        <f t="shared" si="12"/>
        <v>1384.9411155572509</v>
      </c>
      <c r="I53" s="183">
        <f t="shared" si="12"/>
        <v>1719.1134502276427</v>
      </c>
      <c r="J53" s="183">
        <f t="shared" si="12"/>
        <v>2048.5614736204025</v>
      </c>
      <c r="K53" s="183">
        <f t="shared" si="12"/>
        <v>2373.3347989565495</v>
      </c>
      <c r="L53" s="183">
        <f t="shared" si="12"/>
        <v>2693.4825774247884</v>
      </c>
      <c r="M53" s="183">
        <f t="shared" si="12"/>
        <v>3009.0535022115337</v>
      </c>
      <c r="N53" s="183">
        <f t="shared" si="12"/>
        <v>3320.0958124972049</v>
      </c>
      <c r="O53" s="183">
        <f t="shared" si="12"/>
        <v>3503.1908499573638</v>
      </c>
      <c r="P53" s="183">
        <f t="shared" si="12"/>
        <v>3683.5730487662668</v>
      </c>
      <c r="Q53" s="183">
        <f t="shared" si="12"/>
        <v>3861.2713254034188</v>
      </c>
      <c r="R53" s="183">
        <f t="shared" si="12"/>
        <v>4036.3143250835465</v>
      </c>
      <c r="S53" s="183">
        <f t="shared" si="12"/>
        <v>4208.7304241329721</v>
      </c>
      <c r="T53" s="183">
        <f t="shared" si="12"/>
        <v>4378.5477323460382</v>
      </c>
      <c r="U53" s="183">
        <f t="shared" si="12"/>
        <v>4545.7940953217503</v>
      </c>
      <c r="V53" s="183">
        <f t="shared" si="12"/>
        <v>4710.4970967807922</v>
      </c>
      <c r="W53" s="183">
        <f t="shared" si="12"/>
        <v>4872.6840608630891</v>
      </c>
      <c r="X53" s="183">
        <f t="shared" si="12"/>
        <v>5032.3820544060563</v>
      </c>
      <c r="Y53" s="183">
        <f t="shared" si="12"/>
        <v>5244.0190518647869</v>
      </c>
      <c r="Z53" s="183">
        <f t="shared" si="12"/>
        <v>5452.4623082348216</v>
      </c>
      <c r="AA53" s="183">
        <f t="shared" si="12"/>
        <v>5657.746056088461</v>
      </c>
      <c r="AB53" s="183">
        <f t="shared" si="12"/>
        <v>5859.9042059971816</v>
      </c>
      <c r="AC53" s="183">
        <f t="shared" si="12"/>
        <v>6058.9703493569577</v>
      </c>
      <c r="AD53" s="183">
        <f t="shared" si="12"/>
        <v>6254.9777611898407</v>
      </c>
      <c r="AE53" s="183">
        <f t="shared" si="12"/>
        <v>6447.9594029219879</v>
      </c>
      <c r="AF53" s="183">
        <f t="shared" si="12"/>
        <v>6637.9479251383518</v>
      </c>
      <c r="AG53" s="183">
        <f t="shared" si="12"/>
        <v>6824.9756703141838</v>
      </c>
      <c r="AH53" s="183">
        <f>SUM(AH51:AH52)</f>
        <v>7009.0746755235868</v>
      </c>
    </row>
    <row r="54" spans="1:35" outlineLevel="1">
      <c r="B54" s="1" t="s">
        <v>172</v>
      </c>
      <c r="C54" s="50" t="s">
        <v>1420</v>
      </c>
      <c r="D54" s="183">
        <v>0</v>
      </c>
      <c r="E54" s="183">
        <f>E50*'R&amp;S - Apparel'!$C$10*'R&amp;S - Apparel'!$B$14*'R&amp;S - Apparel'!$D$17*(E$3-$D$3)/10</f>
        <v>96.032742014935252</v>
      </c>
      <c r="F54" s="183">
        <f>F50*'R&amp;S - Apparel'!$C$10*'R&amp;S - Apparel'!$B$14*'R&amp;S - Apparel'!$D$17*(F$3-$D$3)/10</f>
        <v>190.72715985466533</v>
      </c>
      <c r="G54" s="183">
        <f>G50*'R&amp;S - Apparel'!$C$10*'R&amp;S - Apparel'!$B$14*'R&amp;S - Apparel'!$D$17*(G$3-$D$3)/10</f>
        <v>284.09724180766625</v>
      </c>
      <c r="H54" s="183">
        <f>H50*'R&amp;S - Apparel'!$C$10*'R&amp;S - Apparel'!$B$14*'R&amp;S - Apparel'!$D$17*(H$3-$D$3)/10</f>
        <v>376.15684620073489</v>
      </c>
      <c r="I54" s="183">
        <f>I50*'R&amp;S - Apparel'!$C$10*'R&amp;S - Apparel'!$B$14*'R&amp;S - Apparel'!$D$17*(I$3-$D$3)/10</f>
        <v>466.91970253096468</v>
      </c>
      <c r="J54" s="183">
        <f>J50*'R&amp;S - Apparel'!$C$10*'R&amp;S - Apparel'!$B$14*'R&amp;S - Apparel'!$D$17*(J$3-$D$3)/10</f>
        <v>556.39941258825752</v>
      </c>
      <c r="K54" s="183">
        <f>K50*'R&amp;S - Apparel'!$C$10*'R&amp;S - Apparel'!$B$14*'R&amp;S - Apparel'!$D$17*(K$3-$D$3)/10</f>
        <v>644.60945156844559</v>
      </c>
      <c r="L54" s="183">
        <f>L50*'R&amp;S - Apparel'!$C$10*'R&amp;S - Apparel'!$B$14*'R&amp;S - Apparel'!$D$17*(L$3-$D$3)/10</f>
        <v>731.56316917710308</v>
      </c>
      <c r="M54" s="183">
        <f>M50*'R&amp;S - Apparel'!$C$10*'R&amp;S - Apparel'!$B$14*'R&amp;S - Apparel'!$D$17*(M$3-$D$3)/10</f>
        <v>817.27379072412054</v>
      </c>
      <c r="N54" s="183">
        <f>N50*'R&amp;S - Apparel'!$C$10*'R&amp;S - Apparel'!$B$14*'R&amp;S - Apparel'!$D$17*(N$3-$D$3)/10</f>
        <v>901.7544182091176</v>
      </c>
      <c r="O54" s="183">
        <f>O50*'R&amp;S - Apparel'!$C$10*'R&amp;S - Apparel'!$B$14*('R&amp;S - Apparel'!$D$17+('R&amp;S - Apparel'!$D$18-'R&amp;S - Apparel'!$D$17)*(O$3-$N$3)/10)</f>
        <v>985.01803139777167</v>
      </c>
      <c r="P54" s="183">
        <f>P50*'R&amp;S - Apparel'!$C$10*'R&amp;S - Apparel'!$B$14*('R&amp;S - Apparel'!$D$17+('R&amp;S - Apparel'!$D$18-'R&amp;S - Apparel'!$D$17)*(P$3-$N$3)/10)</f>
        <v>1067.0774888891308</v>
      </c>
      <c r="Q54" s="183">
        <f>Q50*'R&amp;S - Apparel'!$C$10*'R&amp;S - Apparel'!$B$14*('R&amp;S - Apparel'!$D$17+('R&amp;S - Apparel'!$D$18-'R&amp;S - Apparel'!$D$17)*(Q$3-$N$3)/10)</f>
        <v>1147.9455291739896</v>
      </c>
      <c r="R54" s="183">
        <f>R50*'R&amp;S - Apparel'!$C$10*'R&amp;S - Apparel'!$B$14*('R&amp;S - Apparel'!$D$17+('R&amp;S - Apparel'!$D$18-'R&amp;S - Apparel'!$D$17)*(R$3-$N$3)/10)</f>
        <v>1227.6347716843968</v>
      </c>
      <c r="S54" s="183">
        <f>S50*'R&amp;S - Apparel'!$C$10*'R&amp;S - Apparel'!$B$14*('R&amp;S - Apparel'!$D$17+('R&amp;S - Apparel'!$D$18-'R&amp;S - Apparel'!$D$17)*(S$3-$N$3)/10)</f>
        <v>1306.1577178343707</v>
      </c>
      <c r="T54" s="183">
        <f>T50*'R&amp;S - Apparel'!$C$10*'R&amp;S - Apparel'!$B$14*('R&amp;S - Apparel'!$D$17+('R&amp;S - Apparel'!$D$18-'R&amp;S - Apparel'!$D$17)*(T$3-$N$3)/10)</f>
        <v>1383.5267520518901</v>
      </c>
      <c r="U54" s="183">
        <f>U50*'R&amp;S - Apparel'!$C$10*'R&amp;S - Apparel'!$B$14*('R&amp;S - Apparel'!$D$17+('R&amp;S - Apparel'!$D$18-'R&amp;S - Apparel'!$D$17)*(U$3-$N$3)/10)</f>
        <v>1459.7541428022337</v>
      </c>
      <c r="V54" s="183">
        <f>V50*'R&amp;S - Apparel'!$C$10*'R&amp;S - Apparel'!$B$14*('R&amp;S - Apparel'!$D$17+('R&amp;S - Apparel'!$D$18-'R&amp;S - Apparel'!$D$17)*(V$3-$N$3)/10)</f>
        <v>1534.8520436027377</v>
      </c>
      <c r="W54" s="183">
        <f>W50*'R&amp;S - Apparel'!$C$10*'R&amp;S - Apparel'!$B$14*('R&amp;S - Apparel'!$D$17+('R&amp;S - Apparel'!$D$18-'R&amp;S - Apparel'!$D$17)*(W$3-$N$3)/10)</f>
        <v>1608.8324940290454</v>
      </c>
      <c r="X54" s="183">
        <f>X50*'R&amp;S - Apparel'!$C$10*'R&amp;S - Apparel'!$B$14*('R&amp;S - Apparel'!$D$17+('R&amp;S - Apparel'!$D$18-'R&amp;S - Apparel'!$D$17)*(X$3-$N$3)/10)</f>
        <v>1681.7074207129101</v>
      </c>
      <c r="Y54" s="183">
        <f>Y50*'R&amp;S - Apparel'!$C$10*'R&amp;S - Apparel'!$B$14*('R&amp;S - Apparel'!$D$18+('R&amp;S - Apparel'!$D$19-'R&amp;S - Apparel'!$D$18)*(Y$3-$X$3)/10)</f>
        <v>1756.0189249670264</v>
      </c>
      <c r="Z54" s="183">
        <f>Z50*'R&amp;S - Apparel'!$C$10*'R&amp;S - Apparel'!$B$14*('R&amp;S - Apparel'!$D$18+('R&amp;S - Apparel'!$D$19-'R&amp;S - Apparel'!$D$18)*(Z$3-$X$3)/10)</f>
        <v>1829.2131614723271</v>
      </c>
      <c r="AA54" s="183">
        <f>AA50*'R&amp;S - Apparel'!$C$10*'R&amp;S - Apparel'!$B$14*('R&amp;S - Apparel'!$D$18+('R&amp;S - Apparel'!$D$19-'R&amp;S - Apparel'!$D$18)*(AA$3-$X$3)/10)</f>
        <v>1901.3020924980847</v>
      </c>
      <c r="AB54" s="183">
        <f>AB50*'R&amp;S - Apparel'!$C$10*'R&amp;S - Apparel'!$B$14*('R&amp;S - Apparel'!$D$18+('R&amp;S - Apparel'!$D$19-'R&amp;S - Apparel'!$D$18)*(AB$3-$X$3)/10)</f>
        <v>1972.2975678535968</v>
      </c>
      <c r="AC54" s="183">
        <f>AC50*'R&amp;S - Apparel'!$C$10*'R&amp;S - Apparel'!$B$14*('R&amp;S - Apparel'!$D$18+('R&amp;S - Apparel'!$D$19-'R&amp;S - Apparel'!$D$18)*(AC$3-$X$3)/10)</f>
        <v>2042.2113258746294</v>
      </c>
      <c r="AD54" s="183">
        <f>AD50*'R&amp;S - Apparel'!$C$10*'R&amp;S - Apparel'!$B$14*('R&amp;S - Apparel'!$D$18+('R&amp;S - Apparel'!$D$19-'R&amp;S - Apparel'!$D$18)*(AD$3-$X$3)/10)</f>
        <v>2111.0549944015711</v>
      </c>
      <c r="AE54" s="183">
        <f>AE50*'R&amp;S - Apparel'!$C$10*'R&amp;S - Apparel'!$B$14*('R&amp;S - Apparel'!$D$18+('R&amp;S - Apparel'!$D$19-'R&amp;S - Apparel'!$D$18)*(AE$3-$X$3)/10)</f>
        <v>2178.8400917493682</v>
      </c>
      <c r="AF54" s="183">
        <f>AF50*'R&amp;S - Apparel'!$C$10*'R&amp;S - Apparel'!$B$14*('R&amp;S - Apparel'!$D$18+('R&amp;S - Apparel'!$D$19-'R&amp;S - Apparel'!$D$18)*(AF$3-$X$3)/10)</f>
        <v>2245.5780276693081</v>
      </c>
      <c r="AG54" s="183">
        <f>AG50*'R&amp;S - Apparel'!$C$10*'R&amp;S - Apparel'!$B$14*('R&amp;S - Apparel'!$D$18+('R&amp;S - Apparel'!$D$19-'R&amp;S - Apparel'!$D$18)*(AG$3-$X$3)/10)</f>
        <v>2311.2801043027175</v>
      </c>
      <c r="AH54" s="183">
        <f>AH50*'R&amp;S - Apparel'!$C$10*'R&amp;S - Apparel'!$B$14*('R&amp;S - Apparel'!$D$18+('R&amp;S - Apparel'!$D$19-'R&amp;S - Apparel'!$D$18)*(AH$3-$X$3)/10)</f>
        <v>2375.9575171266397</v>
      </c>
    </row>
    <row r="55" spans="1:35">
      <c r="B55" s="1" t="s">
        <v>200</v>
      </c>
      <c r="C55" s="60" t="s">
        <v>1420</v>
      </c>
      <c r="D55" s="574">
        <f>D50-D53-D54</f>
        <v>29305.030176899061</v>
      </c>
      <c r="E55" s="574">
        <f t="shared" ref="E55:AH55" si="13">E50-E53-E54</f>
        <v>28651.223076001359</v>
      </c>
      <c r="F55" s="574">
        <f t="shared" si="13"/>
        <v>28005.104638660021</v>
      </c>
      <c r="G55" s="574">
        <f t="shared" si="13"/>
        <v>27366.599459583933</v>
      </c>
      <c r="H55" s="574">
        <f t="shared" si="13"/>
        <v>26735.632811024956</v>
      </c>
      <c r="I55" s="574">
        <f t="shared" si="13"/>
        <v>26112.130636996826</v>
      </c>
      <c r="J55" s="574">
        <f t="shared" si="13"/>
        <v>25496.019547541717</v>
      </c>
      <c r="K55" s="574">
        <f t="shared" si="13"/>
        <v>24887.226813044079</v>
      </c>
      <c r="L55" s="574">
        <f t="shared" si="13"/>
        <v>24285.680358591409</v>
      </c>
      <c r="M55" s="574">
        <f t="shared" si="13"/>
        <v>23691.308758381529</v>
      </c>
      <c r="N55" s="574">
        <f t="shared" si="13"/>
        <v>23104.041230176023</v>
      </c>
      <c r="O55" s="574">
        <f t="shared" si="13"/>
        <v>22647.274077261161</v>
      </c>
      <c r="P55" s="574">
        <f t="shared" si="13"/>
        <v>22195.750696918611</v>
      </c>
      <c r="Q55" s="574">
        <f t="shared" si="13"/>
        <v>21749.420189105327</v>
      </c>
      <c r="R55" s="574">
        <f t="shared" si="13"/>
        <v>21308.232108522028</v>
      </c>
      <c r="S55" s="574">
        <f t="shared" si="13"/>
        <v>20872.136460747213</v>
      </c>
      <c r="T55" s="574">
        <f t="shared" si="13"/>
        <v>20441.083698403017</v>
      </c>
      <c r="U55" s="574">
        <f t="shared" si="13"/>
        <v>20015.024717352546</v>
      </c>
      <c r="V55" s="574">
        <f t="shared" si="13"/>
        <v>19593.910852928548</v>
      </c>
      <c r="W55" s="574">
        <f t="shared" si="13"/>
        <v>19177.69387619312</v>
      </c>
      <c r="X55" s="574">
        <f t="shared" si="13"/>
        <v>18766.32599022815</v>
      </c>
      <c r="Y55" s="574">
        <f t="shared" si="13"/>
        <v>18302.828377159916</v>
      </c>
      <c r="Z55" s="574">
        <f t="shared" si="13"/>
        <v>17844.87894612152</v>
      </c>
      <c r="AA55" s="574">
        <f t="shared" si="13"/>
        <v>17392.422881572045</v>
      </c>
      <c r="AB55" s="574">
        <f t="shared" si="13"/>
        <v>16945.405862500942</v>
      </c>
      <c r="AC55" s="574">
        <f t="shared" si="13"/>
        <v>16503.774058197683</v>
      </c>
      <c r="AD55" s="574">
        <f t="shared" si="13"/>
        <v>16067.474124056398</v>
      </c>
      <c r="AE55" s="574">
        <f t="shared" si="13"/>
        <v>15636.453197415147</v>
      </c>
      <c r="AF55" s="574">
        <f t="shared" si="13"/>
        <v>15210.658893429551</v>
      </c>
      <c r="AG55" s="574">
        <f t="shared" si="13"/>
        <v>14790.039300980588</v>
      </c>
      <c r="AH55" s="574">
        <f t="shared" si="13"/>
        <v>14374.542978616169</v>
      </c>
    </row>
    <row r="56" spans="1:35" s="61" customFormat="1">
      <c r="A56" s="606" t="s">
        <v>608</v>
      </c>
      <c r="B56" s="54" t="s">
        <v>141</v>
      </c>
      <c r="C56" s="55" t="s">
        <v>1420</v>
      </c>
      <c r="D56" s="571">
        <f>D55*('Demand - Ethylene'!$C$77)</f>
        <v>0</v>
      </c>
      <c r="E56" s="571">
        <f>E55*('Demand - Ethylene'!$C$77)</f>
        <v>0</v>
      </c>
      <c r="F56" s="571">
        <f>F55*('Demand - Ethylene'!$C$77)</f>
        <v>0</v>
      </c>
      <c r="G56" s="571">
        <f>G55*('Demand - Ethylene'!$C$77)</f>
        <v>0</v>
      </c>
      <c r="H56" s="571">
        <f>H55*('Demand - Ethylene'!$C$77)</f>
        <v>0</v>
      </c>
      <c r="I56" s="571">
        <f>I55*('Demand - Ethylene'!$C$77)</f>
        <v>0</v>
      </c>
      <c r="J56" s="571">
        <f>J55*('Demand - Ethylene'!$C$77)</f>
        <v>0</v>
      </c>
      <c r="K56" s="571">
        <f>K55*('Demand - Ethylene'!$C$77)</f>
        <v>0</v>
      </c>
      <c r="L56" s="571">
        <f>L55*('Demand - Ethylene'!$C$77)</f>
        <v>0</v>
      </c>
      <c r="M56" s="571">
        <f>M55*('Demand - Ethylene'!$C$77)</f>
        <v>0</v>
      </c>
      <c r="N56" s="571">
        <f>N55*('Demand - Ethylene'!$C$77)</f>
        <v>0</v>
      </c>
      <c r="O56" s="571">
        <f>O55*('Demand - Ethylene'!$C$77)</f>
        <v>0</v>
      </c>
      <c r="P56" s="571">
        <f>P55*('Demand - Ethylene'!$C$77)</f>
        <v>0</v>
      </c>
      <c r="Q56" s="571">
        <f>Q55*('Demand - Ethylene'!$C$77)</f>
        <v>0</v>
      </c>
      <c r="R56" s="571">
        <f>R55*('Demand - Ethylene'!$C$77)</f>
        <v>0</v>
      </c>
      <c r="S56" s="571">
        <f>S55*('Demand - Ethylene'!$C$77)</f>
        <v>0</v>
      </c>
      <c r="T56" s="571">
        <f>T55*('Demand - Ethylene'!$C$77)</f>
        <v>0</v>
      </c>
      <c r="U56" s="571">
        <f>U55*('Demand - Ethylene'!$C$77)</f>
        <v>0</v>
      </c>
      <c r="V56" s="571">
        <f>V55*('Demand - Ethylene'!$C$77)</f>
        <v>0</v>
      </c>
      <c r="W56" s="571">
        <f>W55*('Demand - Ethylene'!$C$77)</f>
        <v>0</v>
      </c>
      <c r="X56" s="571">
        <f>X55*('Demand - Ethylene'!$C$77)</f>
        <v>0</v>
      </c>
      <c r="Y56" s="571">
        <f>Y55*('Demand - Ethylene'!$C$77)</f>
        <v>0</v>
      </c>
      <c r="Z56" s="571">
        <f>Z55*('Demand - Ethylene'!$C$77)</f>
        <v>0</v>
      </c>
      <c r="AA56" s="571">
        <f>AA55*('Demand - Ethylene'!$C$77)</f>
        <v>0</v>
      </c>
      <c r="AB56" s="571">
        <f>AB55*('Demand - Ethylene'!$C$77)</f>
        <v>0</v>
      </c>
      <c r="AC56" s="571">
        <f>AC55*('Demand - Ethylene'!$C$77)</f>
        <v>0</v>
      </c>
      <c r="AD56" s="571">
        <f>AD55*('Demand - Ethylene'!$C$77)</f>
        <v>0</v>
      </c>
      <c r="AE56" s="571">
        <f>AE55*('Demand - Ethylene'!$C$77)</f>
        <v>0</v>
      </c>
      <c r="AF56" s="571">
        <f>AF55*('Demand - Ethylene'!$C$77)</f>
        <v>0</v>
      </c>
      <c r="AG56" s="571">
        <f>AG55*('Demand - Ethylene'!$C$77)</f>
        <v>0</v>
      </c>
      <c r="AH56" s="571">
        <f>AH55*('Demand - Ethylene'!$C$77)</f>
        <v>0</v>
      </c>
      <c r="AI56" s="56"/>
    </row>
    <row r="57" spans="1:35">
      <c r="A57" s="607"/>
      <c r="B57" s="1" t="s">
        <v>18</v>
      </c>
      <c r="C57" s="50" t="s">
        <v>1420</v>
      </c>
      <c r="D57" s="183">
        <f>D61</f>
        <v>29305.030176899061</v>
      </c>
      <c r="E57" s="183">
        <f t="shared" ref="E57:AH57" si="14">E61</f>
        <v>28651.223076001359</v>
      </c>
      <c r="F57" s="183">
        <f t="shared" si="14"/>
        <v>28005.104638660021</v>
      </c>
      <c r="G57" s="183">
        <f t="shared" si="14"/>
        <v>27366.599459583933</v>
      </c>
      <c r="H57" s="183">
        <f t="shared" si="14"/>
        <v>26735.632811024956</v>
      </c>
      <c r="I57" s="183">
        <f t="shared" si="14"/>
        <v>26112.130636996826</v>
      </c>
      <c r="J57" s="183">
        <f t="shared" si="14"/>
        <v>25496.019547541717</v>
      </c>
      <c r="K57" s="183">
        <f t="shared" si="14"/>
        <v>24887.226813044079</v>
      </c>
      <c r="L57" s="183">
        <f t="shared" si="14"/>
        <v>24285.680358591409</v>
      </c>
      <c r="M57" s="183">
        <f t="shared" si="14"/>
        <v>23691.308758381529</v>
      </c>
      <c r="N57" s="183">
        <f t="shared" si="14"/>
        <v>23104.041230176023</v>
      </c>
      <c r="O57" s="183">
        <f t="shared" si="14"/>
        <v>22647.274077261161</v>
      </c>
      <c r="P57" s="183">
        <f t="shared" si="14"/>
        <v>22195.750696918611</v>
      </c>
      <c r="Q57" s="183">
        <f t="shared" si="14"/>
        <v>21749.420189105327</v>
      </c>
      <c r="R57" s="183">
        <f t="shared" si="14"/>
        <v>21308.232108522028</v>
      </c>
      <c r="S57" s="183">
        <f t="shared" si="14"/>
        <v>20872.136460747213</v>
      </c>
      <c r="T57" s="183">
        <f t="shared" si="14"/>
        <v>20441.083698403017</v>
      </c>
      <c r="U57" s="183">
        <f t="shared" si="14"/>
        <v>20015.024717352546</v>
      </c>
      <c r="V57" s="183">
        <f t="shared" si="14"/>
        <v>19593.910852928548</v>
      </c>
      <c r="W57" s="183">
        <f t="shared" si="14"/>
        <v>19177.69387619312</v>
      </c>
      <c r="X57" s="183">
        <f t="shared" si="14"/>
        <v>18766.32599022815</v>
      </c>
      <c r="Y57" s="183">
        <f t="shared" si="14"/>
        <v>18302.828377159916</v>
      </c>
      <c r="Z57" s="183">
        <f t="shared" si="14"/>
        <v>17844.87894612152</v>
      </c>
      <c r="AA57" s="183">
        <f t="shared" si="14"/>
        <v>17392.422881572045</v>
      </c>
      <c r="AB57" s="183">
        <f t="shared" si="14"/>
        <v>16945.405862500942</v>
      </c>
      <c r="AC57" s="183">
        <f t="shared" si="14"/>
        <v>16503.774058197683</v>
      </c>
      <c r="AD57" s="183">
        <f t="shared" si="14"/>
        <v>16067.474124056398</v>
      </c>
      <c r="AE57" s="183">
        <f t="shared" si="14"/>
        <v>15636.453197415147</v>
      </c>
      <c r="AF57" s="183">
        <f t="shared" si="14"/>
        <v>15210.658893429551</v>
      </c>
      <c r="AG57" s="183">
        <f t="shared" si="14"/>
        <v>14790.039300980588</v>
      </c>
      <c r="AH57" s="183">
        <f t="shared" si="14"/>
        <v>14374.542978616169</v>
      </c>
      <c r="AI57" s="40"/>
    </row>
    <row r="58" spans="1:35">
      <c r="A58" s="607"/>
      <c r="B58" s="1" t="s">
        <v>607</v>
      </c>
      <c r="C58" s="50" t="s">
        <v>1420</v>
      </c>
      <c r="D58" s="183">
        <f>D60/('Demand - Ethylene'!$M$14)</f>
        <v>0</v>
      </c>
      <c r="E58" s="183">
        <f>E60/('Demand - Ethylene'!$M$14)</f>
        <v>0</v>
      </c>
      <c r="F58" s="183">
        <f>F60/('Demand - Ethylene'!$M$14)</f>
        <v>0</v>
      </c>
      <c r="G58" s="183">
        <f>G60/('Demand - Ethylene'!$M$14)</f>
        <v>0</v>
      </c>
      <c r="H58" s="183">
        <f>H60/('Demand - Ethylene'!$M$14)</f>
        <v>0</v>
      </c>
      <c r="I58" s="183">
        <f>I60/('Demand - Ethylene'!$M$14)</f>
        <v>0</v>
      </c>
      <c r="J58" s="183">
        <f>J60/('Demand - Ethylene'!$M$14)</f>
        <v>0</v>
      </c>
      <c r="K58" s="183">
        <f>K60/('Demand - Ethylene'!$M$14)</f>
        <v>0</v>
      </c>
      <c r="L58" s="183">
        <f>L60/('Demand - Ethylene'!$M$14)</f>
        <v>0</v>
      </c>
      <c r="M58" s="183">
        <f>M60/('Demand - Ethylene'!$M$14)</f>
        <v>0</v>
      </c>
      <c r="N58" s="183">
        <f>N60/('Demand - Ethylene'!$M$14)</f>
        <v>0</v>
      </c>
      <c r="O58" s="183">
        <f>O60/('Demand - Ethylene'!$M$14)</f>
        <v>0</v>
      </c>
      <c r="P58" s="183">
        <f>P60/('Demand - Ethylene'!$M$14)</f>
        <v>0</v>
      </c>
      <c r="Q58" s="183">
        <f>Q60/('Demand - Ethylene'!$M$14)</f>
        <v>0</v>
      </c>
      <c r="R58" s="183">
        <f>R60/('Demand - Ethylene'!$M$14)</f>
        <v>0</v>
      </c>
      <c r="S58" s="183">
        <f>S60/('Demand - Ethylene'!$M$14)</f>
        <v>0</v>
      </c>
      <c r="T58" s="183">
        <f>T60/('Demand - Ethylene'!$M$14)</f>
        <v>0</v>
      </c>
      <c r="U58" s="183">
        <f>U60/('Demand - Ethylene'!$M$14)</f>
        <v>0</v>
      </c>
      <c r="V58" s="183">
        <f>V60/('Demand - Ethylene'!$M$14)</f>
        <v>0</v>
      </c>
      <c r="W58" s="183">
        <f>W60/('Demand - Ethylene'!$M$14)</f>
        <v>0</v>
      </c>
      <c r="X58" s="183">
        <f>X60/('Demand - Ethylene'!$M$14)</f>
        <v>0</v>
      </c>
      <c r="Y58" s="183">
        <f>Y60/('Demand - Ethylene'!$M$14)</f>
        <v>0</v>
      </c>
      <c r="Z58" s="183">
        <f>Z60/('Demand - Ethylene'!$M$14)</f>
        <v>0</v>
      </c>
      <c r="AA58" s="183">
        <f>AA60/('Demand - Ethylene'!$M$14)</f>
        <v>0</v>
      </c>
      <c r="AB58" s="183">
        <f>AB60/('Demand - Ethylene'!$M$14)</f>
        <v>0</v>
      </c>
      <c r="AC58" s="183">
        <f>AC60/('Demand - Ethylene'!$M$14)</f>
        <v>0</v>
      </c>
      <c r="AD58" s="183">
        <f>AD60/('Demand - Ethylene'!$M$14)</f>
        <v>0</v>
      </c>
      <c r="AE58" s="183">
        <f>AE60/('Demand - Ethylene'!$M$14)</f>
        <v>0</v>
      </c>
      <c r="AF58" s="183">
        <f>AF60/('Demand - Ethylene'!$M$14)</f>
        <v>0</v>
      </c>
      <c r="AG58" s="183">
        <f>AG60/('Demand - Ethylene'!$M$14)</f>
        <v>0</v>
      </c>
      <c r="AH58" s="183">
        <f>AH60/('Demand - Ethylene'!$M$14)</f>
        <v>0</v>
      </c>
      <c r="AI58" s="40"/>
    </row>
    <row r="59" spans="1:35" s="62" customFormat="1">
      <c r="A59" s="608"/>
      <c r="B59" s="58" t="s">
        <v>27</v>
      </c>
      <c r="C59" s="233" t="s">
        <v>1420</v>
      </c>
      <c r="D59" s="528">
        <f>D55-SUM(D57,D56,D58)</f>
        <v>0</v>
      </c>
      <c r="E59" s="528">
        <f t="shared" ref="E59:AH59" si="15">E55-SUM(E57,E56,E58)</f>
        <v>0</v>
      </c>
      <c r="F59" s="528">
        <f t="shared" si="15"/>
        <v>0</v>
      </c>
      <c r="G59" s="528">
        <f t="shared" si="15"/>
        <v>0</v>
      </c>
      <c r="H59" s="528">
        <f t="shared" si="15"/>
        <v>0</v>
      </c>
      <c r="I59" s="528">
        <f t="shared" si="15"/>
        <v>0</v>
      </c>
      <c r="J59" s="528">
        <f t="shared" si="15"/>
        <v>0</v>
      </c>
      <c r="K59" s="528">
        <f t="shared" si="15"/>
        <v>0</v>
      </c>
      <c r="L59" s="528">
        <f t="shared" si="15"/>
        <v>0</v>
      </c>
      <c r="M59" s="528">
        <f t="shared" si="15"/>
        <v>0</v>
      </c>
      <c r="N59" s="528">
        <f t="shared" si="15"/>
        <v>0</v>
      </c>
      <c r="O59" s="528">
        <f t="shared" si="15"/>
        <v>0</v>
      </c>
      <c r="P59" s="528">
        <f t="shared" si="15"/>
        <v>0</v>
      </c>
      <c r="Q59" s="528">
        <f t="shared" si="15"/>
        <v>0</v>
      </c>
      <c r="R59" s="528">
        <f t="shared" si="15"/>
        <v>0</v>
      </c>
      <c r="S59" s="528">
        <f t="shared" si="15"/>
        <v>0</v>
      </c>
      <c r="T59" s="528">
        <f t="shared" si="15"/>
        <v>0</v>
      </c>
      <c r="U59" s="528">
        <f t="shared" si="15"/>
        <v>0</v>
      </c>
      <c r="V59" s="528">
        <f t="shared" si="15"/>
        <v>0</v>
      </c>
      <c r="W59" s="528">
        <f t="shared" si="15"/>
        <v>0</v>
      </c>
      <c r="X59" s="528">
        <f t="shared" si="15"/>
        <v>0</v>
      </c>
      <c r="Y59" s="528">
        <f t="shared" si="15"/>
        <v>0</v>
      </c>
      <c r="Z59" s="528">
        <f t="shared" si="15"/>
        <v>0</v>
      </c>
      <c r="AA59" s="528">
        <f t="shared" si="15"/>
        <v>0</v>
      </c>
      <c r="AB59" s="528">
        <f t="shared" si="15"/>
        <v>0</v>
      </c>
      <c r="AC59" s="528">
        <f t="shared" si="15"/>
        <v>0</v>
      </c>
      <c r="AD59" s="528">
        <f t="shared" si="15"/>
        <v>0</v>
      </c>
      <c r="AE59" s="528">
        <f t="shared" si="15"/>
        <v>0</v>
      </c>
      <c r="AF59" s="528">
        <f t="shared" si="15"/>
        <v>0</v>
      </c>
      <c r="AG59" s="528">
        <f t="shared" si="15"/>
        <v>0</v>
      </c>
      <c r="AH59" s="528">
        <f t="shared" si="15"/>
        <v>0</v>
      </c>
      <c r="AI59" s="234"/>
    </row>
    <row r="60" spans="1:35" s="61" customFormat="1">
      <c r="A60" s="606" t="s">
        <v>609</v>
      </c>
      <c r="B60" s="54" t="s">
        <v>606</v>
      </c>
      <c r="C60" s="55" t="s">
        <v>1420</v>
      </c>
      <c r="D60" s="571">
        <f>D55*'Demand - Ethylene'!$E$77</f>
        <v>0</v>
      </c>
      <c r="E60" s="571">
        <f>E55*'Demand - Ethylene'!$E$77</f>
        <v>0</v>
      </c>
      <c r="F60" s="571">
        <f>F55*'Demand - Ethylene'!$E$77</f>
        <v>0</v>
      </c>
      <c r="G60" s="571">
        <f>G55*'Demand - Ethylene'!$E$77</f>
        <v>0</v>
      </c>
      <c r="H60" s="571">
        <f>H55*'Demand - Ethylene'!$E$77</f>
        <v>0</v>
      </c>
      <c r="I60" s="571">
        <f>I55*'Demand - Ethylene'!$E$77</f>
        <v>0</v>
      </c>
      <c r="J60" s="571">
        <f>J55*'Demand - Ethylene'!$E$77</f>
        <v>0</v>
      </c>
      <c r="K60" s="571">
        <f>K55*'Demand - Ethylene'!$E$77</f>
        <v>0</v>
      </c>
      <c r="L60" s="571">
        <f>L55*'Demand - Ethylene'!$E$77</f>
        <v>0</v>
      </c>
      <c r="M60" s="571">
        <f>M55*'Demand - Ethylene'!$E$77</f>
        <v>0</v>
      </c>
      <c r="N60" s="571">
        <f>N55*'Demand - Ethylene'!$E$77</f>
        <v>0</v>
      </c>
      <c r="O60" s="571">
        <f>O55*'Demand - Ethylene'!$E$77</f>
        <v>0</v>
      </c>
      <c r="P60" s="571">
        <f>P55*'Demand - Ethylene'!$E$77</f>
        <v>0</v>
      </c>
      <c r="Q60" s="571">
        <f>Q55*'Demand - Ethylene'!$E$77</f>
        <v>0</v>
      </c>
      <c r="R60" s="571">
        <f>R55*'Demand - Ethylene'!$E$77</f>
        <v>0</v>
      </c>
      <c r="S60" s="571">
        <f>S55*'Demand - Ethylene'!$E$77</f>
        <v>0</v>
      </c>
      <c r="T60" s="571">
        <f>T55*'Demand - Ethylene'!$E$77</f>
        <v>0</v>
      </c>
      <c r="U60" s="571">
        <f>U55*'Demand - Ethylene'!$E$77</f>
        <v>0</v>
      </c>
      <c r="V60" s="571">
        <f>V55*'Demand - Ethylene'!$E$77</f>
        <v>0</v>
      </c>
      <c r="W60" s="571">
        <f>W55*'Demand - Ethylene'!$E$77</f>
        <v>0</v>
      </c>
      <c r="X60" s="571">
        <f>X55*'Demand - Ethylene'!$E$77</f>
        <v>0</v>
      </c>
      <c r="Y60" s="571">
        <f>Y55*'Demand - Ethylene'!$E$77</f>
        <v>0</v>
      </c>
      <c r="Z60" s="571">
        <f>Z55*'Demand - Ethylene'!$E$77</f>
        <v>0</v>
      </c>
      <c r="AA60" s="571">
        <f>AA55*'Demand - Ethylene'!$E$77</f>
        <v>0</v>
      </c>
      <c r="AB60" s="571">
        <f>AB55*'Demand - Ethylene'!$E$77</f>
        <v>0</v>
      </c>
      <c r="AC60" s="571">
        <f>AC55*'Demand - Ethylene'!$E$77</f>
        <v>0</v>
      </c>
      <c r="AD60" s="571">
        <f>AD55*'Demand - Ethylene'!$E$77</f>
        <v>0</v>
      </c>
      <c r="AE60" s="571">
        <f>AE55*'Demand - Ethylene'!$E$77</f>
        <v>0</v>
      </c>
      <c r="AF60" s="571">
        <f>AF55*'Demand - Ethylene'!$E$77</f>
        <v>0</v>
      </c>
      <c r="AG60" s="571">
        <f>AG55*'Demand - Ethylene'!$E$77</f>
        <v>0</v>
      </c>
      <c r="AH60" s="571">
        <f>AH55*'Demand - Ethylene'!$E$77</f>
        <v>0</v>
      </c>
      <c r="AI60" s="56"/>
    </row>
    <row r="61" spans="1:35" s="62" customFormat="1">
      <c r="A61" s="608"/>
      <c r="B61" s="58" t="s">
        <v>605</v>
      </c>
      <c r="C61" s="233" t="s">
        <v>1420</v>
      </c>
      <c r="D61" s="528">
        <f>D55*'Demand - Ethylene'!$D$77</f>
        <v>29305.030176899061</v>
      </c>
      <c r="E61" s="528">
        <f>E55*'Demand - Ethylene'!$D$77</f>
        <v>28651.223076001359</v>
      </c>
      <c r="F61" s="528">
        <f>F55*'Demand - Ethylene'!$D$77</f>
        <v>28005.104638660021</v>
      </c>
      <c r="G61" s="528">
        <f>G55*'Demand - Ethylene'!$D$77</f>
        <v>27366.599459583933</v>
      </c>
      <c r="H61" s="528">
        <f>H55*'Demand - Ethylene'!$D$77</f>
        <v>26735.632811024956</v>
      </c>
      <c r="I61" s="528">
        <f>I55*'Demand - Ethylene'!$D$77</f>
        <v>26112.130636996826</v>
      </c>
      <c r="J61" s="528">
        <f>J55*'Demand - Ethylene'!$D$77</f>
        <v>25496.019547541717</v>
      </c>
      <c r="K61" s="528">
        <f>K55*'Demand - Ethylene'!$D$77</f>
        <v>24887.226813044079</v>
      </c>
      <c r="L61" s="528">
        <f>L55*'Demand - Ethylene'!$D$77</f>
        <v>24285.680358591409</v>
      </c>
      <c r="M61" s="528">
        <f>M55*'Demand - Ethylene'!$D$77</f>
        <v>23691.308758381529</v>
      </c>
      <c r="N61" s="528">
        <f>N55*'Demand - Ethylene'!$D$77</f>
        <v>23104.041230176023</v>
      </c>
      <c r="O61" s="528">
        <f>O55*'Demand - Ethylene'!$D$77</f>
        <v>22647.274077261161</v>
      </c>
      <c r="P61" s="528">
        <f>P55*'Demand - Ethylene'!$D$77</f>
        <v>22195.750696918611</v>
      </c>
      <c r="Q61" s="528">
        <f>Q55*'Demand - Ethylene'!$D$77</f>
        <v>21749.420189105327</v>
      </c>
      <c r="R61" s="528">
        <f>R55*'Demand - Ethylene'!$D$77</f>
        <v>21308.232108522028</v>
      </c>
      <c r="S61" s="528">
        <f>S55*'Demand - Ethylene'!$D$77</f>
        <v>20872.136460747213</v>
      </c>
      <c r="T61" s="528">
        <f>T55*'Demand - Ethylene'!$D$77</f>
        <v>20441.083698403017</v>
      </c>
      <c r="U61" s="528">
        <f>U55*'Demand - Ethylene'!$D$77</f>
        <v>20015.024717352546</v>
      </c>
      <c r="V61" s="528">
        <f>V55*'Demand - Ethylene'!$D$77</f>
        <v>19593.910852928548</v>
      </c>
      <c r="W61" s="528">
        <f>W55*'Demand - Ethylene'!$D$77</f>
        <v>19177.69387619312</v>
      </c>
      <c r="X61" s="528">
        <f>X55*'Demand - Ethylene'!$D$77</f>
        <v>18766.32599022815</v>
      </c>
      <c r="Y61" s="528">
        <f>Y55*'Demand - Ethylene'!$D$77</f>
        <v>18302.828377159916</v>
      </c>
      <c r="Z61" s="528">
        <f>Z55*'Demand - Ethylene'!$D$77</f>
        <v>17844.87894612152</v>
      </c>
      <c r="AA61" s="528">
        <f>AA55*'Demand - Ethylene'!$D$77</f>
        <v>17392.422881572045</v>
      </c>
      <c r="AB61" s="528">
        <f>AB55*'Demand - Ethylene'!$D$77</f>
        <v>16945.405862500942</v>
      </c>
      <c r="AC61" s="528">
        <f>AC55*'Demand - Ethylene'!$D$77</f>
        <v>16503.774058197683</v>
      </c>
      <c r="AD61" s="528">
        <f>AD55*'Demand - Ethylene'!$D$77</f>
        <v>16067.474124056398</v>
      </c>
      <c r="AE61" s="528">
        <f>AE55*'Demand - Ethylene'!$D$77</f>
        <v>15636.453197415147</v>
      </c>
      <c r="AF61" s="528">
        <f>AF55*'Demand - Ethylene'!$D$77</f>
        <v>15210.658893429551</v>
      </c>
      <c r="AG61" s="528">
        <f>AG55*'Demand - Ethylene'!$D$77</f>
        <v>14790.039300980588</v>
      </c>
      <c r="AH61" s="528">
        <f>AH55*'Demand - Ethylene'!$D$77</f>
        <v>14374.542978616169</v>
      </c>
      <c r="AI61" s="234"/>
    </row>
    <row r="62" spans="1:35" s="61" customFormat="1">
      <c r="A62" s="54" t="s">
        <v>307</v>
      </c>
      <c r="B62" s="54" t="s">
        <v>179</v>
      </c>
      <c r="C62" s="55" t="s">
        <v>1420</v>
      </c>
      <c r="D62" s="571">
        <f>D4-D12-D26-D40-D50</f>
        <v>2145788.3365974198</v>
      </c>
      <c r="E62" s="571">
        <f t="shared" ref="E62:AH62" si="16">E4-E12-E26-E40-E50</f>
        <v>2126886.9522377001</v>
      </c>
      <c r="F62" s="571">
        <f t="shared" si="16"/>
        <v>2107828.7517180429</v>
      </c>
      <c r="G62" s="571">
        <f t="shared" si="16"/>
        <v>2088611.0501104614</v>
      </c>
      <c r="H62" s="571">
        <f t="shared" si="16"/>
        <v>2069231.1112362044</v>
      </c>
      <c r="I62" s="571">
        <f t="shared" si="16"/>
        <v>2049686.146862793</v>
      </c>
      <c r="J62" s="571">
        <f t="shared" si="16"/>
        <v>2027179.0486013195</v>
      </c>
      <c r="K62" s="571">
        <f t="shared" si="16"/>
        <v>2004531.144530297</v>
      </c>
      <c r="L62" s="571">
        <f t="shared" si="16"/>
        <v>1981739.2442416076</v>
      </c>
      <c r="M62" s="571">
        <f t="shared" si="16"/>
        <v>1958800.1036420446</v>
      </c>
      <c r="N62" s="571">
        <f>N4-N12-N26-N40-N50</f>
        <v>1935710.4240649741</v>
      </c>
      <c r="O62" s="571">
        <f t="shared" si="16"/>
        <v>1907285.6261917804</v>
      </c>
      <c r="P62" s="571">
        <f t="shared" si="16"/>
        <v>1878767.1537721243</v>
      </c>
      <c r="Q62" s="571">
        <f t="shared" si="16"/>
        <v>1850150.9515181258</v>
      </c>
      <c r="R62" s="571">
        <f t="shared" si="16"/>
        <v>1821432.9106896301</v>
      </c>
      <c r="S62" s="571">
        <f t="shared" si="16"/>
        <v>1792608.8680887334</v>
      </c>
      <c r="T62" s="571">
        <f t="shared" si="16"/>
        <v>1759142.4359147958</v>
      </c>
      <c r="U62" s="571">
        <f t="shared" si="16"/>
        <v>1725626.0014941485</v>
      </c>
      <c r="V62" s="571">
        <f t="shared" si="16"/>
        <v>1692054.5427727478</v>
      </c>
      <c r="W62" s="571">
        <f t="shared" si="16"/>
        <v>1658422.9856066036</v>
      </c>
      <c r="X62" s="571">
        <f t="shared" si="16"/>
        <v>1624726.2026123791</v>
      </c>
      <c r="Y62" s="571">
        <f t="shared" si="16"/>
        <v>1587796.9372804572</v>
      </c>
      <c r="Z62" s="571">
        <f t="shared" si="16"/>
        <v>1550842.0727709897</v>
      </c>
      <c r="AA62" s="571">
        <f t="shared" si="16"/>
        <v>1513855.7205017812</v>
      </c>
      <c r="AB62" s="571">
        <f t="shared" si="16"/>
        <v>1476831.9401552295</v>
      </c>
      <c r="AC62" s="571">
        <f t="shared" si="16"/>
        <v>1439764.7383762263</v>
      </c>
      <c r="AD62" s="571">
        <f t="shared" si="16"/>
        <v>1401043.3082227479</v>
      </c>
      <c r="AE62" s="571">
        <f t="shared" si="16"/>
        <v>1362293.3501485381</v>
      </c>
      <c r="AF62" s="571">
        <f t="shared" si="16"/>
        <v>1323508.3618035205</v>
      </c>
      <c r="AG62" s="571">
        <f t="shared" si="16"/>
        <v>1284681.7862456404</v>
      </c>
      <c r="AH62" s="571">
        <f t="shared" si="16"/>
        <v>1245807.0105023307</v>
      </c>
    </row>
    <row r="63" spans="1:35" outlineLevel="1">
      <c r="B63" s="1" t="s">
        <v>169</v>
      </c>
      <c r="C63" s="50" t="s">
        <v>1420</v>
      </c>
      <c r="D63" s="183">
        <v>0</v>
      </c>
      <c r="E63" s="183">
        <f>E62*'R&amp;S - Others'!$C$7*'R&amp;S - Others'!$B$12*'R&amp;S - Others'!$B$15*('Yearly HC Ethylene'!E$3-'Yearly HC Ethylene'!$D$3)/10</f>
        <v>5264.045206788307</v>
      </c>
      <c r="F63" s="183">
        <f>F62*'R&amp;S - Others'!$C$7*'R&amp;S - Others'!$B$12*'R&amp;S - Others'!$B$15*('Yearly HC Ethylene'!F$3-'Yearly HC Ethylene'!$D$3)/10</f>
        <v>10433.752321004313</v>
      </c>
      <c r="G63" s="183">
        <f>G62*'R&amp;S - Others'!$C$7*'R&amp;S - Others'!$B$12*'R&amp;S - Others'!$B$15*('Yearly HC Ethylene'!G$3-'Yearly HC Ethylene'!$D$3)/10</f>
        <v>15507.937047070178</v>
      </c>
      <c r="H63" s="183">
        <f>H62*'R&amp;S - Others'!$C$7*'R&amp;S - Others'!$B$12*'R&amp;S - Others'!$B$15*('Yearly HC Ethylene'!H$3-'Yearly HC Ethylene'!$D$3)/10</f>
        <v>20485.388001238422</v>
      </c>
      <c r="I63" s="183">
        <f>I62*'R&amp;S - Others'!$C$7*'R&amp;S - Others'!$B$12*'R&amp;S - Others'!$B$15*('Yearly HC Ethylene'!I$3-'Yearly HC Ethylene'!$D$3)/10</f>
        <v>25364.866067427061</v>
      </c>
      <c r="J63" s="183">
        <f>J62*'R&amp;S - Others'!$C$7*'R&amp;S - Others'!$B$12*'R&amp;S - Others'!$B$15*('Yearly HC Ethylene'!J$3-'Yearly HC Ethylene'!$D$3)/10</f>
        <v>30103.608871729597</v>
      </c>
      <c r="K63" s="183">
        <f>K62*'R&amp;S - Others'!$C$7*'R&amp;S - Others'!$B$12*'R&amp;S - Others'!$B$15*('Yearly HC Ethylene'!K$3-'Yearly HC Ethylene'!$D$3)/10</f>
        <v>34728.502078987403</v>
      </c>
      <c r="L63" s="183">
        <f>L62*'R&amp;S - Others'!$C$7*'R&amp;S - Others'!$B$12*'R&amp;S - Others'!$B$15*('Yearly HC Ethylene'!L$3-'Yearly HC Ethylene'!$D$3)/10</f>
        <v>39238.437035983829</v>
      </c>
      <c r="M63" s="183">
        <f>M62*'R&amp;S - Others'!$C$7*'R&amp;S - Others'!$B$12*'R&amp;S - Others'!$B$15*('Yearly HC Ethylene'!M$3-'Yearly HC Ethylene'!$D$3)/10</f>
        <v>43632.272308626547</v>
      </c>
      <c r="N63" s="183">
        <f>N62*'R&amp;S - Others'!$C$7*'R&amp;S - Others'!$B$12*'R&amp;S - Others'!$B$15*('Yearly HC Ethylene'!N$3-'Yearly HC Ethylene'!$D$3)/10</f>
        <v>47908.832995608107</v>
      </c>
      <c r="O63" s="183">
        <f>O62*'R&amp;S - Others'!$C$7*'R&amp;S - Others'!$B$12*('R&amp;S - Others'!$B$15+('R&amp;S - Others'!$B$16-'R&amp;S - Others'!$B$15)*('Yearly HC Ethylene'!O$3-'Yearly HC Ethylene'!$N$3)/10)</f>
        <v>51925.85117307122</v>
      </c>
      <c r="P63" s="183">
        <f>P62*'R&amp;S - Others'!$C$7*'R&amp;S - Others'!$B$12*('R&amp;S - Others'!$B$15+('R&amp;S - Others'!$B$16-'R&amp;S - Others'!$B$15)*('Yearly HC Ethylene'!P$3-'Yearly HC Ethylene'!$N$3)/10)</f>
        <v>55799.38446703209</v>
      </c>
      <c r="Q63" s="183">
        <f>Q62*'R&amp;S - Others'!$C$7*'R&amp;S - Others'!$B$12*('R&amp;S - Others'!$B$15+('R&amp;S - Others'!$B$16-'R&amp;S - Others'!$B$15)*('Yearly HC Ethylene'!Q$3-'Yearly HC Ethylene'!$N$3)/10)</f>
        <v>59528.606865095702</v>
      </c>
      <c r="R63" s="183">
        <f>R62*'R&amp;S - Others'!$C$7*'R&amp;S - Others'!$B$12*('R&amp;S - Others'!$B$15+('R&amp;S - Others'!$B$16-'R&amp;S - Others'!$B$15)*('Yearly HC Ethylene'!R$3-'Yearly HC Ethylene'!$N$3)/10)</f>
        <v>63112.650355395686</v>
      </c>
      <c r="S63" s="183">
        <f>S62*'R&amp;S - Others'!$C$7*'R&amp;S - Others'!$B$12*('R&amp;S - Others'!$B$15+('R&amp;S - Others'!$B$16-'R&amp;S - Others'!$B$15)*('Yearly HC Ethylene'!S$3-'Yearly HC Ethylene'!$N$3)/10)</f>
        <v>66550.604227794232</v>
      </c>
      <c r="T63" s="183">
        <f>T62*'R&amp;S - Others'!$C$7*'R&amp;S - Others'!$B$12*('R&amp;S - Others'!$B$15+('R&amp;S - Others'!$B$16-'R&amp;S - Others'!$B$15)*('Yearly HC Ethylene'!T$3-'Yearly HC Ethylene'!$N$3)/10)</f>
        <v>69662.040462225908</v>
      </c>
      <c r="U63" s="183">
        <f>U62*'R&amp;S - Others'!$C$7*'R&amp;S - Others'!$B$12*('R&amp;S - Others'!$B$15+('R&amp;S - Others'!$B$16-'R&amp;S - Others'!$B$15)*('Yearly HC Ethylene'!U$3-'Yearly HC Ethylene'!$N$3)/10)</f>
        <v>72605.714012866301</v>
      </c>
      <c r="V63" s="183">
        <f>V62*'R&amp;S - Others'!$C$7*'R&amp;S - Others'!$B$12*('R&amp;S - Others'!$B$15+('R&amp;S - Others'!$B$16-'R&amp;S - Others'!$B$15)*('Yearly HC Ethylene'!V$3-'Yearly HC Ethylene'!$N$3)/10)</f>
        <v>75381.029880525923</v>
      </c>
      <c r="W63" s="183">
        <f>W62*'R&amp;S - Others'!$C$7*'R&amp;S - Others'!$B$12*('R&amp;S - Others'!$B$15+('R&amp;S - Others'!$B$16-'R&amp;S - Others'!$B$15)*('Yearly HC Ethylene'!W$3-'Yearly HC Ethylene'!$N$3)/10)</f>
        <v>77987.340898150534</v>
      </c>
      <c r="X63" s="183">
        <f>X62*'R&amp;S - Others'!$C$7*'R&amp;S - Others'!$B$12*('R&amp;S - Others'!$B$15+('R&amp;S - Others'!$B$16-'R&amp;S - Others'!$B$15)*('Yearly HC Ethylene'!X$3-'Yearly HC Ethylene'!$N$3)/10)</f>
        <v>80423.947029312767</v>
      </c>
      <c r="Y63" s="183">
        <f>Y62*'R&amp;S - Others'!$C$7*'R&amp;S - Others'!$B$12*('R&amp;S - Others'!$B$16+('R&amp;S - Others'!$B$17-'R&amp;S - Others'!$B$16)*('Yearly HC Ethylene'!Y$3-'Yearly HC Ethylene'!$X$3)/10)</f>
        <v>82644.830585447809</v>
      </c>
      <c r="Z63" s="183">
        <f>Z62*'R&amp;S - Others'!$C$7*'R&amp;S - Others'!$B$12*('R&amp;S - Others'!$B$16+('R&amp;S - Others'!$B$17-'R&amp;S - Others'!$B$16)*('Yearly HC Ethylene'!Z$3-'Yearly HC Ethylene'!$X$3)/10)</f>
        <v>84675.977173296036</v>
      </c>
      <c r="AA63" s="183">
        <f>AA62*'R&amp;S - Others'!$C$7*'R&amp;S - Others'!$B$12*('R&amp;S - Others'!$B$16+('R&amp;S - Others'!$B$17-'R&amp;S - Others'!$B$16)*('Yearly HC Ethylene'!AA$3-'Yearly HC Ethylene'!$X$3)/10)</f>
        <v>86516.854426676786</v>
      </c>
      <c r="AB63" s="183">
        <f>AB62*'R&amp;S - Others'!$C$7*'R&amp;S - Others'!$B$12*('R&amp;S - Others'!$B$16+('R&amp;S - Others'!$B$17-'R&amp;S - Others'!$B$16)*('Yearly HC Ethylene'!AB$3-'Yearly HC Ethylene'!$X$3)/10)</f>
        <v>88166.866827267208</v>
      </c>
      <c r="AC63" s="183">
        <f>AC62*'R&amp;S - Others'!$C$7*'R&amp;S - Others'!$B$12*('R&amp;S - Others'!$B$16+('R&amp;S - Others'!$B$17-'R&amp;S - Others'!$B$16)*('Yearly HC Ethylene'!AC$3-'Yearly HC Ethylene'!$X$3)/10)</f>
        <v>89625.354963920079</v>
      </c>
      <c r="AD63" s="183">
        <f>AD62*'R&amp;S - Others'!$C$7*'R&amp;S - Others'!$B$12*('R&amp;S - Others'!$B$16+('R&amp;S - Others'!$B$17-'R&amp;S - Others'!$B$16)*('Yearly HC Ethylene'!AD$3-'Yearly HC Ethylene'!$X$3)/10)</f>
        <v>90787.606372834067</v>
      </c>
      <c r="AE63" s="183">
        <f>AE62*'R&amp;S - Others'!$C$7*'R&amp;S - Others'!$B$12*('R&amp;S - Others'!$B$16+('R&amp;S - Others'!$B$17-'R&amp;S - Others'!$B$16)*('Yearly HC Ethylene'!AE$3-'Yearly HC Ethylene'!$X$3)/10)</f>
        <v>91750.457132504031</v>
      </c>
      <c r="AF63" s="183">
        <f>AF62*'R&amp;S - Others'!$C$7*'R&amp;S - Others'!$B$12*('R&amp;S - Others'!$B$16+('R&amp;S - Others'!$B$17-'R&amp;S - Others'!$B$16)*('Yearly HC Ethylene'!AF$3-'Yearly HC Ethylene'!$X$3)/10)</f>
        <v>92513.234490066068</v>
      </c>
      <c r="AG63" s="183">
        <f>AG62*'R&amp;S - Others'!$C$7*'R&amp;S - Others'!$B$12*('R&amp;S - Others'!$B$16+('R&amp;S - Others'!$B$17-'R&amp;S - Others'!$B$16)*('Yearly HC Ethylene'!AG$3-'Yearly HC Ethylene'!$X$3)/10)</f>
        <v>93075.195413496636</v>
      </c>
      <c r="AH63" s="183">
        <f>AH62*'R&amp;S - Others'!$C$7*'R&amp;S - Others'!$B$12*('R&amp;S - Others'!$B$16+('R&amp;S - Others'!$B$17-'R&amp;S - Others'!$B$16)*('Yearly HC Ethylene'!AH$3-'Yearly HC Ethylene'!$X$3)/10)</f>
        <v>93435.525787674807</v>
      </c>
    </row>
    <row r="64" spans="1:35" outlineLevel="1">
      <c r="B64" s="1" t="s">
        <v>172</v>
      </c>
      <c r="C64" s="50" t="s">
        <v>1420</v>
      </c>
      <c r="D64" s="183">
        <v>0</v>
      </c>
      <c r="E64" s="183">
        <f>E62*'R&amp;S - Others'!$C$8*'R&amp;S - Others'!$B$12*'R&amp;S - Others'!$C$15*('Yearly HC Ethylene'!E$3-'Yearly HC Ethylene'!$D$3)/10</f>
        <v>1754.6817355961025</v>
      </c>
      <c r="F64" s="183">
        <f>F62*'R&amp;S - Others'!$C$8*'R&amp;S - Others'!$B$12*'R&amp;S - Others'!$C$15*('Yearly HC Ethylene'!F$3-'Yearly HC Ethylene'!$D$3)/10</f>
        <v>3477.9174403347715</v>
      </c>
      <c r="G64" s="183">
        <f>G62*'R&amp;S - Others'!$C$8*'R&amp;S - Others'!$B$12*'R&amp;S - Others'!$C$15*('Yearly HC Ethylene'!G$3-'Yearly HC Ethylene'!$D$3)/10</f>
        <v>5169.312349023392</v>
      </c>
      <c r="H64" s="183">
        <f>H62*'R&amp;S - Others'!$C$8*'R&amp;S - Others'!$B$12*'R&amp;S - Others'!$C$15*('Yearly HC Ethylene'!H$3-'Yearly HC Ethylene'!$D$3)/10</f>
        <v>6828.4626670794751</v>
      </c>
      <c r="I64" s="183">
        <f>I62*'R&amp;S - Others'!$C$8*'R&amp;S - Others'!$B$12*'R&amp;S - Others'!$C$15*('Yearly HC Ethylene'!I$3-'Yearly HC Ethylene'!$D$3)/10</f>
        <v>8454.9553558090229</v>
      </c>
      <c r="J64" s="183">
        <f>J62*'R&amp;S - Others'!$C$8*'R&amp;S - Others'!$B$12*'R&amp;S - Others'!$C$15*('Yearly HC Ethylene'!J$3-'Yearly HC Ethylene'!$D$3)/10</f>
        <v>10034.536290576532</v>
      </c>
      <c r="K64" s="183">
        <f>K62*'R&amp;S - Others'!$C$8*'R&amp;S - Others'!$B$12*'R&amp;S - Others'!$C$15*('Yearly HC Ethylene'!K$3-'Yearly HC Ethylene'!$D$3)/10</f>
        <v>11576.167359662466</v>
      </c>
      <c r="L64" s="183">
        <f>L62*'R&amp;S - Others'!$C$8*'R&amp;S - Others'!$B$12*'R&amp;S - Others'!$C$15*('Yearly HC Ethylene'!L$3-'Yearly HC Ethylene'!$D$3)/10</f>
        <v>13079.479011994612</v>
      </c>
      <c r="M64" s="183">
        <f>M62*'R&amp;S - Others'!$C$8*'R&amp;S - Others'!$B$12*'R&amp;S - Others'!$C$15*('Yearly HC Ethylene'!M$3-'Yearly HC Ethylene'!$D$3)/10</f>
        <v>14544.090769542183</v>
      </c>
      <c r="N64" s="183">
        <f>N62*'R&amp;S - Others'!$C$8*'R&amp;S - Others'!$B$12*'R&amp;S - Others'!$C$15*('Yearly HC Ethylene'!N$3-'Yearly HC Ethylene'!$D$3)/10</f>
        <v>15969.610998536034</v>
      </c>
      <c r="O64" s="183">
        <f>O62*'R&amp;S - Others'!$C$8*'R&amp;S - Others'!$B$12*('R&amp;S - Others'!$C$15+('R&amp;S - Others'!$C$16-'R&amp;S - Others'!$C$15)*('Yearly HC Ethylene'!O$3-'Yearly HC Ethylene'!$N$3)/10)</f>
        <v>17308.617057690408</v>
      </c>
      <c r="P64" s="183">
        <f>P62*'R&amp;S - Others'!$C$8*'R&amp;S - Others'!$B$12*('R&amp;S - Others'!$C$15+('R&amp;S - Others'!$C$16-'R&amp;S - Others'!$C$15)*('Yearly HC Ethylene'!P$3-'Yearly HC Ethylene'!$N$3)/10)</f>
        <v>18599.794822344033</v>
      </c>
      <c r="Q64" s="183">
        <f>Q62*'R&amp;S - Others'!$C$8*'R&amp;S - Others'!$B$12*('R&amp;S - Others'!$C$15+('R&amp;S - Others'!$C$16-'R&amp;S - Others'!$C$15)*('Yearly HC Ethylene'!Q$3-'Yearly HC Ethylene'!$N$3)/10)</f>
        <v>19842.868955031903</v>
      </c>
      <c r="R64" s="183">
        <f>R62*'R&amp;S - Others'!$C$8*'R&amp;S - Others'!$B$12*('R&amp;S - Others'!$C$15+('R&amp;S - Others'!$C$16-'R&amp;S - Others'!$C$15)*('Yearly HC Ethylene'!R$3-'Yearly HC Ethylene'!$N$3)/10)</f>
        <v>21037.550118465228</v>
      </c>
      <c r="S64" s="183">
        <f>S62*'R&amp;S - Others'!$C$8*'R&amp;S - Others'!$B$12*('R&amp;S - Others'!$C$15+('R&amp;S - Others'!$C$16-'R&amp;S - Others'!$C$15)*('Yearly HC Ethylene'!S$3-'Yearly HC Ethylene'!$N$3)/10)</f>
        <v>22183.534742598076</v>
      </c>
      <c r="T64" s="183">
        <f>T62*'R&amp;S - Others'!$C$8*'R&amp;S - Others'!$B$12*('R&amp;S - Others'!$C$15+('R&amp;S - Others'!$C$16-'R&amp;S - Others'!$C$15)*('Yearly HC Ethylene'!T$3-'Yearly HC Ethylene'!$N$3)/10)</f>
        <v>23220.680154075308</v>
      </c>
      <c r="U64" s="183">
        <f>U62*'R&amp;S - Others'!$C$8*'R&amp;S - Others'!$B$12*('R&amp;S - Others'!$C$15+('R&amp;S - Others'!$C$16-'R&amp;S - Others'!$C$15)*('Yearly HC Ethylene'!U$3-'Yearly HC Ethylene'!$N$3)/10)</f>
        <v>24201.904670955435</v>
      </c>
      <c r="V64" s="183">
        <f>V62*'R&amp;S - Others'!$C$8*'R&amp;S - Others'!$B$12*('R&amp;S - Others'!$C$15+('R&amp;S - Others'!$C$16-'R&amp;S - Others'!$C$15)*('Yearly HC Ethylene'!V$3-'Yearly HC Ethylene'!$N$3)/10)</f>
        <v>25127.00996017531</v>
      </c>
      <c r="W64" s="183">
        <f>W62*'R&amp;S - Others'!$C$8*'R&amp;S - Others'!$B$12*('R&amp;S - Others'!$C$15+('R&amp;S - Others'!$C$16-'R&amp;S - Others'!$C$15)*('Yearly HC Ethylene'!W$3-'Yearly HC Ethylene'!$N$3)/10)</f>
        <v>25995.78029938351</v>
      </c>
      <c r="X64" s="183">
        <f>X62*'R&amp;S - Others'!$C$8*'R&amp;S - Others'!$B$12*('R&amp;S - Others'!$C$15+('R&amp;S - Others'!$C$16-'R&amp;S - Others'!$C$15)*('Yearly HC Ethylene'!X$3-'Yearly HC Ethylene'!$N$3)/10)</f>
        <v>26807.982343104261</v>
      </c>
      <c r="Y64" s="183">
        <f>Y62*'R&amp;S - Others'!$C$8*'R&amp;S - Others'!$B$12*('R&amp;S - Others'!$C$16+('R&amp;S - Others'!$C$17-'R&amp;S - Others'!$C$16)*('Yearly HC Ethylene'!Y$3-'Yearly HC Ethylene'!$X$3)/10)</f>
        <v>27548.276861815939</v>
      </c>
      <c r="Z64" s="183">
        <f>Z62*'R&amp;S - Others'!$C$8*'R&amp;S - Others'!$B$12*('R&amp;S - Others'!$C$16+('R&amp;S - Others'!$C$17-'R&amp;S - Others'!$C$16)*('Yearly HC Ethylene'!Z$3-'Yearly HC Ethylene'!$X$3)/10)</f>
        <v>28225.325724432016</v>
      </c>
      <c r="AA64" s="183">
        <f>AA62*'R&amp;S - Others'!$C$8*'R&amp;S - Others'!$B$12*('R&amp;S - Others'!$C$16+('R&amp;S - Others'!$C$17-'R&amp;S - Others'!$C$16)*('Yearly HC Ethylene'!AA$3-'Yearly HC Ethylene'!$X$3)/10)</f>
        <v>28838.951475558933</v>
      </c>
      <c r="AB64" s="183">
        <f>AB62*'R&amp;S - Others'!$C$8*'R&amp;S - Others'!$B$12*('R&amp;S - Others'!$C$16+('R&amp;S - Others'!$C$17-'R&amp;S - Others'!$C$16)*('Yearly HC Ethylene'!AB$3-'Yearly HC Ethylene'!$X$3)/10)</f>
        <v>29388.955609089069</v>
      </c>
      <c r="AC64" s="183">
        <f>AC62*'R&amp;S - Others'!$C$8*'R&amp;S - Others'!$B$12*('R&amp;S - Others'!$C$16+('R&amp;S - Others'!$C$17-'R&amp;S - Others'!$C$16)*('Yearly HC Ethylene'!AC$3-'Yearly HC Ethylene'!$X$3)/10)</f>
        <v>29875.118321306702</v>
      </c>
      <c r="AD64" s="183">
        <f>AD62*'R&amp;S - Others'!$C$8*'R&amp;S - Others'!$B$12*('R&amp;S - Others'!$C$16+('R&amp;S - Others'!$C$17-'R&amp;S - Others'!$C$16)*('Yearly HC Ethylene'!AD$3-'Yearly HC Ethylene'!$X$3)/10)</f>
        <v>30262.535457611357</v>
      </c>
      <c r="AE64" s="183">
        <f>AE62*'R&amp;S - Others'!$C$8*'R&amp;S - Others'!$B$12*('R&amp;S - Others'!$C$16+('R&amp;S - Others'!$C$17-'R&amp;S - Others'!$C$16)*('Yearly HC Ethylene'!AE$3-'Yearly HC Ethylene'!$X$3)/10)</f>
        <v>30583.485710834684</v>
      </c>
      <c r="AF64" s="183">
        <f>AF62*'R&amp;S - Others'!$C$8*'R&amp;S - Others'!$B$12*('R&amp;S - Others'!$C$16+('R&amp;S - Others'!$C$17-'R&amp;S - Others'!$C$16)*('Yearly HC Ethylene'!AF$3-'Yearly HC Ethylene'!$X$3)/10)</f>
        <v>30837.744830022028</v>
      </c>
      <c r="AG64" s="183">
        <f>AG62*'R&amp;S - Others'!$C$8*'R&amp;S - Others'!$B$12*('R&amp;S - Others'!$C$16+('R&amp;S - Others'!$C$17-'R&amp;S - Others'!$C$16)*('Yearly HC Ethylene'!AG$3-'Yearly HC Ethylene'!$X$3)/10)</f>
        <v>31025.065137832215</v>
      </c>
      <c r="AH64" s="183">
        <f>AH62*'R&amp;S - Others'!$C$8*'R&amp;S - Others'!$B$12*('R&amp;S - Others'!$C$16+('R&amp;S - Others'!$C$17-'R&amp;S - Others'!$C$16)*('Yearly HC Ethylene'!AH$3-'Yearly HC Ethylene'!$X$3)/10)</f>
        <v>31145.17526255827</v>
      </c>
    </row>
    <row r="65" spans="1:35" s="160" customFormat="1">
      <c r="A65" s="158"/>
      <c r="B65" s="158" t="s">
        <v>200</v>
      </c>
      <c r="C65" s="159" t="s">
        <v>1420</v>
      </c>
      <c r="D65" s="568">
        <f>D62-D63-D64</f>
        <v>2145788.3365974198</v>
      </c>
      <c r="E65" s="568">
        <f t="shared" ref="E65:AH65" si="17">E62-E63-E64</f>
        <v>2119868.2252953155</v>
      </c>
      <c r="F65" s="568">
        <f t="shared" si="17"/>
        <v>2093917.0819567037</v>
      </c>
      <c r="G65" s="568">
        <f t="shared" si="17"/>
        <v>2067933.800714368</v>
      </c>
      <c r="H65" s="568">
        <f t="shared" si="17"/>
        <v>2041917.2605678865</v>
      </c>
      <c r="I65" s="568">
        <f t="shared" si="17"/>
        <v>2015866.325439557</v>
      </c>
      <c r="J65" s="568">
        <f t="shared" si="17"/>
        <v>1987040.9034390135</v>
      </c>
      <c r="K65" s="568">
        <f t="shared" si="17"/>
        <v>1958226.4750916471</v>
      </c>
      <c r="L65" s="568">
        <f t="shared" si="17"/>
        <v>1929421.3281936292</v>
      </c>
      <c r="M65" s="568">
        <f t="shared" si="17"/>
        <v>1900623.740563876</v>
      </c>
      <c r="N65" s="568">
        <f t="shared" si="17"/>
        <v>1871831.9800708299</v>
      </c>
      <c r="O65" s="568">
        <f t="shared" si="17"/>
        <v>1838051.1579610188</v>
      </c>
      <c r="P65" s="568">
        <f t="shared" si="17"/>
        <v>1804367.9744827482</v>
      </c>
      <c r="Q65" s="568">
        <f t="shared" si="17"/>
        <v>1770779.4756979982</v>
      </c>
      <c r="R65" s="568">
        <f t="shared" si="17"/>
        <v>1737282.7102157692</v>
      </c>
      <c r="S65" s="568">
        <f t="shared" si="17"/>
        <v>1703874.7291183409</v>
      </c>
      <c r="T65" s="568">
        <f t="shared" si="17"/>
        <v>1666259.7152984946</v>
      </c>
      <c r="U65" s="568">
        <f t="shared" si="17"/>
        <v>1628818.3828103268</v>
      </c>
      <c r="V65" s="568">
        <f t="shared" si="17"/>
        <v>1591546.5029320465</v>
      </c>
      <c r="W65" s="568">
        <f t="shared" si="17"/>
        <v>1554439.8644090695</v>
      </c>
      <c r="X65" s="568">
        <f t="shared" si="17"/>
        <v>1517494.2732399621</v>
      </c>
      <c r="Y65" s="568">
        <f t="shared" si="17"/>
        <v>1477603.8298331934</v>
      </c>
      <c r="Z65" s="568">
        <f t="shared" si="17"/>
        <v>1437940.7698732617</v>
      </c>
      <c r="AA65" s="568">
        <f t="shared" si="17"/>
        <v>1398499.9145995453</v>
      </c>
      <c r="AB65" s="568">
        <f t="shared" si="17"/>
        <v>1359276.1177188733</v>
      </c>
      <c r="AC65" s="568">
        <f t="shared" si="17"/>
        <v>1320264.2650909994</v>
      </c>
      <c r="AD65" s="568">
        <f t="shared" si="17"/>
        <v>1279993.1663923024</v>
      </c>
      <c r="AE65" s="568">
        <f t="shared" si="17"/>
        <v>1239959.4073051994</v>
      </c>
      <c r="AF65" s="568">
        <f t="shared" si="17"/>
        <v>1200157.3824834323</v>
      </c>
      <c r="AG65" s="568">
        <f t="shared" si="17"/>
        <v>1160581.5256943116</v>
      </c>
      <c r="AH65" s="568">
        <f t="shared" si="17"/>
        <v>1121226.3094520976</v>
      </c>
    </row>
    <row r="66" spans="1:35" s="61" customFormat="1">
      <c r="A66" s="606" t="s">
        <v>608</v>
      </c>
      <c r="B66" s="54" t="s">
        <v>141</v>
      </c>
      <c r="C66" s="55" t="s">
        <v>1420</v>
      </c>
      <c r="D66" s="571">
        <f>D65*('Demand - Ethylene'!$C$76)</f>
        <v>243158.34476609659</v>
      </c>
      <c r="E66" s="571">
        <f>E65*('Demand - Ethylene'!$C$76)</f>
        <v>240221.10661782383</v>
      </c>
      <c r="F66" s="571">
        <f>F65*('Demand - Ethylene'!$C$76)</f>
        <v>237280.35195373115</v>
      </c>
      <c r="G66" s="571">
        <f>G65*('Demand - Ethylene'!$C$76)</f>
        <v>234335.95545817705</v>
      </c>
      <c r="H66" s="571">
        <f>H65*('Demand - Ethylene'!$C$76)</f>
        <v>231387.79010064204</v>
      </c>
      <c r="I66" s="571">
        <f>I65*('Demand - Ethylene'!$C$76)</f>
        <v>228435.72714206608</v>
      </c>
      <c r="J66" s="571">
        <f>J65*('Demand - Ethylene'!$C$76)</f>
        <v>225169.26242078291</v>
      </c>
      <c r="K66" s="571">
        <f>K65*('Demand - Ethylene'!$C$76)</f>
        <v>221904.0434880353</v>
      </c>
      <c r="L66" s="571">
        <f>L65*('Demand - Ethylene'!$C$76)</f>
        <v>218639.87631879208</v>
      </c>
      <c r="M66" s="571">
        <f>M65*('Demand - Ethylene'!$C$76)</f>
        <v>215376.56575741069</v>
      </c>
      <c r="N66" s="571">
        <f>N65*('Demand - Ethylene'!$C$76)</f>
        <v>212113.91552067184</v>
      </c>
      <c r="O66" s="571">
        <f>O65*('Demand - Ethylene'!$C$76)</f>
        <v>208285.91037731056</v>
      </c>
      <c r="P66" s="571">
        <f>P65*('Demand - Ethylene'!$C$76)</f>
        <v>204468.96953494562</v>
      </c>
      <c r="Q66" s="571">
        <f>Q65*('Demand - Ethylene'!$C$76)</f>
        <v>200662.75825661013</v>
      </c>
      <c r="R66" s="571">
        <f>R65*('Demand - Ethylene'!$C$76)</f>
        <v>196866.94209396266</v>
      </c>
      <c r="S66" s="571">
        <f>S65*('Demand - Ethylene'!$C$76)</f>
        <v>193081.18687893104</v>
      </c>
      <c r="T66" s="571">
        <f>T65*('Demand - Ethylene'!$C$76)</f>
        <v>188818.6954007216</v>
      </c>
      <c r="U66" s="571">
        <f>U65*('Demand - Ethylene'!$C$76)</f>
        <v>184575.88529760748</v>
      </c>
      <c r="V66" s="571">
        <f>V65*('Demand - Ethylene'!$C$76)</f>
        <v>180352.27737554442</v>
      </c>
      <c r="W66" s="571">
        <f>W65*('Demand - Ethylene'!$C$76)</f>
        <v>176147.39441985253</v>
      </c>
      <c r="X66" s="571">
        <f>X65*('Demand - Ethylene'!$C$76)</f>
        <v>171960.76117095974</v>
      </c>
      <c r="Y66" s="571">
        <f>Y65*('Demand - Ethylene'!$C$76)</f>
        <v>167440.42054586514</v>
      </c>
      <c r="Z66" s="571">
        <f>Z65*('Demand - Ethylene'!$C$76)</f>
        <v>162945.84675975321</v>
      </c>
      <c r="AA66" s="571">
        <f>AA65*('Demand - Ethylene'!$C$76)</f>
        <v>158476.4529612374</v>
      </c>
      <c r="AB66" s="571">
        <f>AB65*('Demand - Ethylene'!$C$76)</f>
        <v>154031.65597810646</v>
      </c>
      <c r="AC66" s="571">
        <f>AC65*('Demand - Ethylene'!$C$76)</f>
        <v>149610.87628168275</v>
      </c>
      <c r="AD66" s="571">
        <f>AD65*('Demand - Ethylene'!$C$76)</f>
        <v>145047.40022280227</v>
      </c>
      <c r="AE66" s="571">
        <f>AE65*('Demand - Ethylene'!$C$76)</f>
        <v>140510.81922440766</v>
      </c>
      <c r="AF66" s="571">
        <f>AF65*('Demand - Ethylene'!$C$76)</f>
        <v>136000.49809490301</v>
      </c>
      <c r="AG66" s="571">
        <f>AG65*('Demand - Ethylene'!$C$76)</f>
        <v>131515.80607499846</v>
      </c>
      <c r="AH66" s="571">
        <f>AH65*('Demand - Ethylene'!$C$76)</f>
        <v>127056.1167961654</v>
      </c>
      <c r="AI66" s="56"/>
    </row>
    <row r="67" spans="1:35">
      <c r="A67" s="607"/>
      <c r="B67" s="1" t="s">
        <v>18</v>
      </c>
      <c r="C67" s="50" t="s">
        <v>1420</v>
      </c>
      <c r="D67" s="183">
        <f>D71/('Demand - Ethylene'!$K$14)</f>
        <v>107053.65149258176</v>
      </c>
      <c r="E67" s="183">
        <f>E71/('Demand - Ethylene'!$K$14)</f>
        <v>105760.49386158053</v>
      </c>
      <c r="F67" s="183">
        <f>F71/('Demand - Ethylene'!$K$14)</f>
        <v>104465.7880383533</v>
      </c>
      <c r="G67" s="183">
        <f>G71/('Demand - Ethylene'!$K$14)</f>
        <v>103169.47885104475</v>
      </c>
      <c r="H67" s="183">
        <f>H71/('Demand - Ethylene'!$K$14)</f>
        <v>101871.51037280209</v>
      </c>
      <c r="I67" s="183">
        <f>I71/('Demand - Ethylene'!$K$14)</f>
        <v>100571.82592456507</v>
      </c>
      <c r="J67" s="183">
        <f>J71/('Demand - Ethylene'!$K$14)</f>
        <v>99133.721975381501</v>
      </c>
      <c r="K67" s="183">
        <f>K71/('Demand - Ethylene'!$K$14)</f>
        <v>97696.166500945328</v>
      </c>
      <c r="L67" s="183">
        <f>L71/('Demand - Ethylene'!$K$14)</f>
        <v>96259.074079190963</v>
      </c>
      <c r="M67" s="183">
        <f>M71/('Demand - Ethylene'!$K$14)</f>
        <v>94822.358790286366</v>
      </c>
      <c r="N67" s="183">
        <f>N71/('Demand - Ethylene'!$K$14)</f>
        <v>93385.934217969057</v>
      </c>
      <c r="O67" s="183">
        <f>O71/('Demand - Ethylene'!$K$14)</f>
        <v>91700.604730620325</v>
      </c>
      <c r="P67" s="183">
        <f>P71/('Demand - Ethylene'!$K$14)</f>
        <v>90020.14644694759</v>
      </c>
      <c r="Q67" s="183">
        <f>Q71/('Demand - Ethylene'!$K$14)</f>
        <v>88344.411994609458</v>
      </c>
      <c r="R67" s="183">
        <f>R71/('Demand - Ethylene'!$K$14)</f>
        <v>86673.254128335684</v>
      </c>
      <c r="S67" s="183">
        <f>S71/('Demand - Ethylene'!$K$14)</f>
        <v>85006.525726248263</v>
      </c>
      <c r="T67" s="183">
        <f>T71/('Demand - Ethylene'!$K$14)</f>
        <v>83129.907929572277</v>
      </c>
      <c r="U67" s="183">
        <f>U71/('Demand - Ethylene'!$K$14)</f>
        <v>81261.955116499361</v>
      </c>
      <c r="V67" s="183">
        <f>V71/('Demand - Ethylene'!$K$14)</f>
        <v>79402.456315564559</v>
      </c>
      <c r="W67" s="183">
        <f>W71/('Demand - Ethylene'!$K$14)</f>
        <v>77551.201426744068</v>
      </c>
      <c r="X67" s="183">
        <f>X71/('Demand - Ethylene'!$K$14)</f>
        <v>75707.981210775906</v>
      </c>
      <c r="Y67" s="183">
        <f>Y71/('Demand - Ethylene'!$K$14)</f>
        <v>73717.841944232801</v>
      </c>
      <c r="Z67" s="183">
        <f>Z71/('Demand - Ethylene'!$K$14)</f>
        <v>71739.046866609744</v>
      </c>
      <c r="AA67" s="183">
        <f>AA71/('Demand - Ethylene'!$K$14)</f>
        <v>69771.337608884409</v>
      </c>
      <c r="AB67" s="183">
        <f>AB71/('Demand - Ethylene'!$K$14)</f>
        <v>67814.45742183963</v>
      </c>
      <c r="AC67" s="183">
        <f>AC71/('Demand - Ethylene'!$K$14)</f>
        <v>65868.151160371723</v>
      </c>
      <c r="AD67" s="183">
        <f>AD71/('Demand - Ethylene'!$K$14)</f>
        <v>63859.020953172483</v>
      </c>
      <c r="AE67" s="183">
        <f>AE71/('Demand - Ethylene'!$K$14)</f>
        <v>61861.731649212226</v>
      </c>
      <c r="AF67" s="183">
        <f>AF71/('Demand - Ethylene'!$K$14)</f>
        <v>59876.003597057213</v>
      </c>
      <c r="AG67" s="183">
        <f>AG71/('Demand - Ethylene'!$K$14)</f>
        <v>57901.559096654601</v>
      </c>
      <c r="AH67" s="183">
        <f>AH71/('Demand - Ethylene'!$K$14)</f>
        <v>55938.122381041765</v>
      </c>
      <c r="AI67" s="40"/>
    </row>
    <row r="68" spans="1:35">
      <c r="A68" s="607"/>
      <c r="B68" s="1" t="s">
        <v>607</v>
      </c>
      <c r="C68" s="50" t="s">
        <v>1420</v>
      </c>
      <c r="D68" s="183">
        <f>D70/('Demand - Ethylene'!$M$14)</f>
        <v>235194.27504285253</v>
      </c>
      <c r="E68" s="183">
        <f>E70/('Demand - Ethylene'!$M$14)</f>
        <v>232353.23910153721</v>
      </c>
      <c r="F68" s="183">
        <f>F70/('Demand - Ethylene'!$M$14)</f>
        <v>229508.80181946285</v>
      </c>
      <c r="G68" s="183">
        <f>G70/('Demand - Ethylene'!$M$14)</f>
        <v>226660.84198540205</v>
      </c>
      <c r="H68" s="183">
        <f>H70/('Demand - Ethylene'!$M$14)</f>
        <v>223809.23672941589</v>
      </c>
      <c r="I68" s="183">
        <f>I70/('Demand - Ethylene'!$M$14)</f>
        <v>220953.86152898421</v>
      </c>
      <c r="J68" s="183">
        <f>J70/('Demand - Ethylene'!$M$14)</f>
        <v>217794.38204324309</v>
      </c>
      <c r="K68" s="183">
        <f>K70/('Demand - Ethylene'!$M$14)</f>
        <v>214636.1075432151</v>
      </c>
      <c r="L68" s="183">
        <f>L70/('Demand - Ethylene'!$M$14)</f>
        <v>211478.85035869473</v>
      </c>
      <c r="M68" s="183">
        <f>M70/('Demand - Ethylene'!$M$14)</f>
        <v>208322.42172589546</v>
      </c>
      <c r="N68" s="183">
        <f>N70/('Demand - Ethylene'!$M$14)</f>
        <v>205166.63179038523</v>
      </c>
      <c r="O68" s="183">
        <f>O70/('Demand - Ethylene'!$M$14)</f>
        <v>201464.00379536729</v>
      </c>
      <c r="P68" s="183">
        <f>P70/('Demand - Ethylene'!$M$14)</f>
        <v>197772.07771664261</v>
      </c>
      <c r="Q68" s="183">
        <f>Q70/('Demand - Ethylene'!$M$14)</f>
        <v>194090.52978075264</v>
      </c>
      <c r="R68" s="183">
        <f>R70/('Demand - Ethylene'!$M$14)</f>
        <v>190419.03649341105</v>
      </c>
      <c r="S68" s="183">
        <f>S70/('Demand - Ethylene'!$M$14)</f>
        <v>186757.27463142126</v>
      </c>
      <c r="T68" s="183">
        <f>T70/('Demand - Ethylene'!$M$14)</f>
        <v>182634.3908617601</v>
      </c>
      <c r="U68" s="183">
        <f>U70/('Demand - Ethylene'!$M$14)</f>
        <v>178530.54385084909</v>
      </c>
      <c r="V68" s="183">
        <f>V70/('Demand - Ethylene'!$M$14)</f>
        <v>174445.27009949819</v>
      </c>
      <c r="W68" s="183">
        <f>W70/('Demand - Ethylene'!$M$14)</f>
        <v>170378.10802305239</v>
      </c>
      <c r="X68" s="183">
        <f>X70/('Demand - Ethylene'!$M$14)</f>
        <v>166328.59792792966</v>
      </c>
      <c r="Y68" s="183">
        <f>Y70/('Demand - Ethylene'!$M$14)</f>
        <v>161956.31024317601</v>
      </c>
      <c r="Z68" s="183">
        <f>Z70/('Demand - Ethylene'!$M$14)</f>
        <v>157608.94546625231</v>
      </c>
      <c r="AA68" s="183">
        <f>AA70/('Demand - Ethylene'!$M$14)</f>
        <v>153285.9359666848</v>
      </c>
      <c r="AB68" s="183">
        <f>AB70/('Demand - Ethylene'!$M$14)</f>
        <v>148986.71767267256</v>
      </c>
      <c r="AC68" s="183">
        <f>AC70/('Demand - Ethylene'!$M$14)</f>
        <v>144710.73003661301</v>
      </c>
      <c r="AD68" s="183">
        <f>AD70/('Demand - Ethylene'!$M$14)</f>
        <v>140296.7197159873</v>
      </c>
      <c r="AE68" s="183">
        <f>AE70/('Demand - Ethylene'!$M$14)</f>
        <v>135908.72357249915</v>
      </c>
      <c r="AF68" s="183">
        <f>AF70/('Demand - Ethylene'!$M$14)</f>
        <v>131546.12721873331</v>
      </c>
      <c r="AG68" s="183">
        <f>AG70/('Demand - Ethylene'!$M$14)</f>
        <v>127208.32055441117</v>
      </c>
      <c r="AH68" s="183">
        <f>AH70/('Demand - Ethylene'!$M$14)</f>
        <v>122894.69772620639</v>
      </c>
      <c r="AI68" s="40"/>
    </row>
    <row r="69" spans="1:35" s="62" customFormat="1">
      <c r="A69" s="608"/>
      <c r="B69" s="58" t="s">
        <v>27</v>
      </c>
      <c r="C69" s="233" t="s">
        <v>1420</v>
      </c>
      <c r="D69" s="528">
        <f>D65-SUM(D67,D66,D68)</f>
        <v>1560382.065295889</v>
      </c>
      <c r="E69" s="528">
        <f t="shared" ref="E69:AH69" si="18">E65-SUM(E67,E66,E68)</f>
        <v>1541533.385714374</v>
      </c>
      <c r="F69" s="528">
        <f t="shared" si="18"/>
        <v>1522662.1401451563</v>
      </c>
      <c r="G69" s="528">
        <f t="shared" si="18"/>
        <v>1503767.524419744</v>
      </c>
      <c r="H69" s="528">
        <f t="shared" si="18"/>
        <v>1484848.7233650265</v>
      </c>
      <c r="I69" s="528">
        <f t="shared" si="18"/>
        <v>1465904.9108439416</v>
      </c>
      <c r="J69" s="528">
        <f t="shared" si="18"/>
        <v>1444943.5369996061</v>
      </c>
      <c r="K69" s="528">
        <f t="shared" si="18"/>
        <v>1423990.1575594514</v>
      </c>
      <c r="L69" s="528">
        <f t="shared" si="18"/>
        <v>1403043.5274369514</v>
      </c>
      <c r="M69" s="528">
        <f t="shared" si="18"/>
        <v>1382102.3942902833</v>
      </c>
      <c r="N69" s="528">
        <f t="shared" si="18"/>
        <v>1361165.4985418038</v>
      </c>
      <c r="O69" s="528">
        <f t="shared" si="18"/>
        <v>1336600.6390577205</v>
      </c>
      <c r="P69" s="528">
        <f t="shared" si="18"/>
        <v>1312106.7807842125</v>
      </c>
      <c r="Q69" s="528">
        <f t="shared" si="18"/>
        <v>1287681.7756660259</v>
      </c>
      <c r="R69" s="528">
        <f t="shared" si="18"/>
        <v>1263323.4775000599</v>
      </c>
      <c r="S69" s="528">
        <f t="shared" si="18"/>
        <v>1239029.7418817403</v>
      </c>
      <c r="T69" s="528">
        <f t="shared" si="18"/>
        <v>1211676.7211064405</v>
      </c>
      <c r="U69" s="528">
        <f t="shared" si="18"/>
        <v>1184449.9985453708</v>
      </c>
      <c r="V69" s="528">
        <f t="shared" si="18"/>
        <v>1157346.4991414393</v>
      </c>
      <c r="W69" s="528">
        <f t="shared" si="18"/>
        <v>1130363.1605394206</v>
      </c>
      <c r="X69" s="528">
        <f t="shared" si="18"/>
        <v>1103496.9329302968</v>
      </c>
      <c r="Y69" s="528">
        <f t="shared" si="18"/>
        <v>1074489.2570999195</v>
      </c>
      <c r="Z69" s="528">
        <f t="shared" si="18"/>
        <v>1045646.9307806464</v>
      </c>
      <c r="AA69" s="528">
        <f t="shared" si="18"/>
        <v>1016966.1880627386</v>
      </c>
      <c r="AB69" s="528">
        <f t="shared" si="18"/>
        <v>988443.28664625471</v>
      </c>
      <c r="AC69" s="528">
        <f t="shared" si="18"/>
        <v>960074.507612332</v>
      </c>
      <c r="AD69" s="528">
        <f t="shared" si="18"/>
        <v>930790.02550034027</v>
      </c>
      <c r="AE69" s="528">
        <f t="shared" si="18"/>
        <v>901678.13285908033</v>
      </c>
      <c r="AF69" s="528">
        <f t="shared" si="18"/>
        <v>872734.75357273873</v>
      </c>
      <c r="AG69" s="528">
        <f t="shared" si="18"/>
        <v>843955.83996824734</v>
      </c>
      <c r="AH69" s="528">
        <f t="shared" si="18"/>
        <v>815337.37254868401</v>
      </c>
      <c r="AI69" s="234"/>
    </row>
    <row r="70" spans="1:35" s="61" customFormat="1">
      <c r="A70" s="606" t="s">
        <v>609</v>
      </c>
      <c r="B70" s="54" t="s">
        <v>606</v>
      </c>
      <c r="C70" s="55" t="s">
        <v>1420</v>
      </c>
      <c r="D70" s="571">
        <f>D65*'Demand - Ethylene'!$E$76</f>
        <v>107207.97978629141</v>
      </c>
      <c r="E70" s="571">
        <f>E65*'Demand - Ethylene'!$E$76</f>
        <v>105912.95794227261</v>
      </c>
      <c r="F70" s="571">
        <f>F65*'Demand - Ethylene'!$E$76</f>
        <v>104616.3856741575</v>
      </c>
      <c r="G70" s="571">
        <f>G65*'Demand - Ethylene'!$E$76</f>
        <v>103318.20773055521</v>
      </c>
      <c r="H70" s="571">
        <f>H65*'Demand - Ethylene'!$E$76</f>
        <v>102018.36810398885</v>
      </c>
      <c r="I70" s="571">
        <f>I65*'Demand - Ethylene'!$E$76</f>
        <v>100716.81003368981</v>
      </c>
      <c r="J70" s="571">
        <f>J65*'Demand - Ethylene'!$E$76</f>
        <v>99276.632917215262</v>
      </c>
      <c r="K70" s="571">
        <f>K65*'Demand - Ethylene'!$E$76</f>
        <v>97837.005066168</v>
      </c>
      <c r="L70" s="571">
        <f>L65*'Demand - Ethylene'!$E$76</f>
        <v>96397.840935338245</v>
      </c>
      <c r="M70" s="571">
        <f>M65*'Demand - Ethylene'!$E$76</f>
        <v>94959.054481032072</v>
      </c>
      <c r="N70" s="571">
        <f>N65*'Demand - Ethylene'!$E$76</f>
        <v>93520.55916240954</v>
      </c>
      <c r="O70" s="571">
        <f>O65*'Demand - Ethylene'!$E$76</f>
        <v>91832.800108012001</v>
      </c>
      <c r="P70" s="571">
        <f>P65*'Demand - Ethylene'!$E$76</f>
        <v>90149.919279606285</v>
      </c>
      <c r="Q70" s="571">
        <f>Q65*'Demand - Ethylene'!$E$76</f>
        <v>88471.76909239938</v>
      </c>
      <c r="R70" s="571">
        <f>R65*'Demand - Ethylene'!$E$76</f>
        <v>86798.202088852617</v>
      </c>
      <c r="S70" s="571">
        <f>S65*'Demand - Ethylene'!$E$76</f>
        <v>85129.070934997406</v>
      </c>
      <c r="T70" s="571">
        <f>T65*'Demand - Ethylene'!$E$76</f>
        <v>83249.747810493092</v>
      </c>
      <c r="U70" s="571">
        <f>U65*'Demand - Ethylene'!$E$76</f>
        <v>81379.102161011964</v>
      </c>
      <c r="V70" s="571">
        <f>V65*'Demand - Ethylene'!$E$76</f>
        <v>79516.922710953091</v>
      </c>
      <c r="W70" s="571">
        <f>W65*'Demand - Ethylene'!$E$76</f>
        <v>77662.999057412933</v>
      </c>
      <c r="X70" s="571">
        <f>X65*'Demand - Ethylene'!$E$76</f>
        <v>75817.121659490731</v>
      </c>
      <c r="Y70" s="571">
        <f>Y65*'Demand - Ethylene'!$E$76</f>
        <v>73824.113412833729</v>
      </c>
      <c r="Z70" s="571">
        <f>Z65*'Demand - Ethylene'!$E$76</f>
        <v>71842.465708853037</v>
      </c>
      <c r="AA70" s="571">
        <f>AA65*'Demand - Ethylene'!$E$76</f>
        <v>69871.919806062098</v>
      </c>
      <c r="AB70" s="571">
        <f>AB65*'Demand - Ethylene'!$E$76</f>
        <v>67912.218585114693</v>
      </c>
      <c r="AC70" s="571">
        <f>AC65*'Demand - Ethylene'!$E$76</f>
        <v>65963.10653309054</v>
      </c>
      <c r="AD70" s="571">
        <f>AD65*'Demand - Ethylene'!$E$76</f>
        <v>63951.079968481776</v>
      </c>
      <c r="AE70" s="571">
        <f>AE65*'Demand - Ethylene'!$E$76</f>
        <v>61950.911376930417</v>
      </c>
      <c r="AF70" s="571">
        <f>AF65*'Demand - Ethylene'!$E$76</f>
        <v>59962.320703857877</v>
      </c>
      <c r="AG70" s="571">
        <f>AG65*'Demand - Ethylene'!$E$76</f>
        <v>57985.029848879552</v>
      </c>
      <c r="AH70" s="571">
        <f>AH65*'Demand - Ethylene'!$E$76</f>
        <v>56018.762647487834</v>
      </c>
      <c r="AI70" s="56"/>
    </row>
    <row r="71" spans="1:35" s="62" customFormat="1">
      <c r="A71" s="608"/>
      <c r="B71" s="58" t="s">
        <v>605</v>
      </c>
      <c r="C71" s="233" t="s">
        <v>1420</v>
      </c>
      <c r="D71" s="528">
        <f>D65*'Demand - Ethylene'!$D$76/'Demand - Ethylene'!$L$24</f>
        <v>35832.469182091416</v>
      </c>
      <c r="E71" s="528">
        <f>E65*'Demand - Ethylene'!$D$76/'Demand - Ethylene'!$L$24</f>
        <v>35399.62985046293</v>
      </c>
      <c r="F71" s="528">
        <f>F65*'Demand - Ethylene'!$D$76/'Demand - Ethylene'!$L$24</f>
        <v>34966.272315583527</v>
      </c>
      <c r="G71" s="528">
        <f>G65*'Demand - Ethylene'!$D$76/'Demand - Ethylene'!$L$24</f>
        <v>34532.378110602447</v>
      </c>
      <c r="H71" s="528">
        <f>H65*'Demand - Ethylene'!$D$76/'Demand - Ethylene'!$L$24</f>
        <v>34097.928515959902</v>
      </c>
      <c r="I71" s="528">
        <f>I65*'Demand - Ethylene'!$D$76/'Demand - Ethylene'!$L$24</f>
        <v>33662.904560320952</v>
      </c>
      <c r="J71" s="528">
        <f>J65*'Demand - Ethylene'!$D$76/'Demand - Ethylene'!$L$24</f>
        <v>33181.549513376711</v>
      </c>
      <c r="K71" s="528">
        <f>K65*'Demand - Ethylene'!$D$76/'Demand - Ethylene'!$L$24</f>
        <v>32700.378049189425</v>
      </c>
      <c r="L71" s="528">
        <f>L65*'Demand - Ethylene'!$D$76/'Demand - Ethylene'!$L$24</f>
        <v>32219.361575707448</v>
      </c>
      <c r="M71" s="528">
        <f>M65*'Demand - Ethylene'!$D$76/'Demand - Ethylene'!$L$24</f>
        <v>31738.471334269201</v>
      </c>
      <c r="N71" s="528">
        <f>N65*'Demand - Ethylene'!$D$76/'Demand - Ethylene'!$L$24</f>
        <v>31257.678400050365</v>
      </c>
      <c r="O71" s="528">
        <f>O65*'Demand - Ethylene'!$D$76/'Demand - Ethylene'!$L$24</f>
        <v>30693.573242728591</v>
      </c>
      <c r="P71" s="528">
        <f>P65*'Demand - Ethylene'!$D$76/'Demand - Ethylene'!$L$24</f>
        <v>30131.098550628376</v>
      </c>
      <c r="Q71" s="528">
        <f>Q65*'Demand - Ethylene'!$D$76/'Demand - Ethylene'!$L$24</f>
        <v>29570.204996007909</v>
      </c>
      <c r="R71" s="528">
        <f>R65*'Demand - Ethylene'!$D$76/'Demand - Ethylene'!$L$24</f>
        <v>29010.843293657999</v>
      </c>
      <c r="S71" s="528">
        <f>S65*'Demand - Ethylene'!$D$76/'Demand - Ethylene'!$L$24</f>
        <v>28452.964199670692</v>
      </c>
      <c r="T71" s="528">
        <f>T65*'Demand - Ethylene'!$D$76/'Demand - Ethylene'!$L$24</f>
        <v>27824.831964773352</v>
      </c>
      <c r="U71" s="528">
        <f>U65*'Demand - Ethylene'!$D$76/'Demand - Ethylene'!$L$24</f>
        <v>27199.600030366386</v>
      </c>
      <c r="V71" s="528">
        <f>V65*'Demand - Ethylene'!$D$76/'Demand - Ethylene'!$L$24</f>
        <v>26577.197781123636</v>
      </c>
      <c r="W71" s="528">
        <f>W65*'Demand - Ethylene'!$D$76/'Demand - Ethylene'!$L$24</f>
        <v>25957.554893403427</v>
      </c>
      <c r="X71" s="528">
        <f>X65*'Demand - Ethylene'!$D$76/'Demand - Ethylene'!$L$24</f>
        <v>25340.601331674017</v>
      </c>
      <c r="Y71" s="528">
        <f>Y65*'Demand - Ethylene'!$D$76/'Demand - Ethylene'!$L$24</f>
        <v>24674.471751391393</v>
      </c>
      <c r="Z71" s="528">
        <f>Z65*'Demand - Ethylene'!$D$76/'Demand - Ethylene'!$L$24</f>
        <v>24012.139241962552</v>
      </c>
      <c r="AA71" s="528">
        <f>AA65*'Demand - Ethylene'!$D$76/'Demand - Ethylene'!$L$24</f>
        <v>23353.517323385167</v>
      </c>
      <c r="AB71" s="528">
        <f>AB65*'Demand - Ethylene'!$D$76/'Demand - Ethylene'!$L$24</f>
        <v>22698.52005783009</v>
      </c>
      <c r="AC71" s="528">
        <f>AC65*'Demand - Ethylene'!$D$76/'Demand - Ethylene'!$L$24</f>
        <v>22047.062044389109</v>
      </c>
      <c r="AD71" s="528">
        <f>AD65*'Demand - Ethylene'!$D$76/'Demand - Ethylene'!$L$24</f>
        <v>21374.575910300871</v>
      </c>
      <c r="AE71" s="528">
        <f>AE65*'Demand - Ethylene'!$D$76/'Demand - Ethylene'!$L$24</f>
        <v>20706.053104828552</v>
      </c>
      <c r="AF71" s="528">
        <f>AF65*'Demand - Ethylene'!$D$76/'Demand - Ethylene'!$L$24</f>
        <v>20041.40002442625</v>
      </c>
      <c r="AG71" s="528">
        <f>AG65*'Demand - Ethylene'!$D$76/'Demand - Ethylene'!$L$24</f>
        <v>19380.523718704637</v>
      </c>
      <c r="AH71" s="528">
        <f>AH65*'Demand - Ethylene'!$D$76/'Demand - Ethylene'!$L$24</f>
        <v>18723.331884308787</v>
      </c>
      <c r="AI71" s="234"/>
    </row>
    <row r="72" spans="1:35" s="61" customFormat="1" outlineLevel="1">
      <c r="B72" s="54" t="s">
        <v>198</v>
      </c>
      <c r="C72" s="55" t="s">
        <v>1420</v>
      </c>
      <c r="D72" s="571">
        <f>'Demand - Wind'!D37</f>
        <v>0</v>
      </c>
      <c r="E72" s="571">
        <f>'Demand - Wind'!E37</f>
        <v>729.19798588721312</v>
      </c>
      <c r="F72" s="571">
        <f>'Demand - Wind'!F37</f>
        <v>766.87350720893528</v>
      </c>
      <c r="G72" s="571">
        <f>'Demand - Wind'!G37</f>
        <v>806.49561222168882</v>
      </c>
      <c r="H72" s="571">
        <f>'Demand - Wind'!H37</f>
        <v>848.16487519580949</v>
      </c>
      <c r="I72" s="571">
        <f>'Demand - Wind'!I37</f>
        <v>891.9870667792037</v>
      </c>
      <c r="J72" s="571">
        <f>'Demand - Wind'!J37</f>
        <v>938.07342247895167</v>
      </c>
      <c r="K72" s="571">
        <f>'Demand - Wind'!K37</f>
        <v>986.54092501455375</v>
      </c>
      <c r="L72" s="571">
        <f>'Demand - Wind'!L37</f>
        <v>1037.5126012595351</v>
      </c>
      <c r="M72" s="571">
        <f>'Demand - Wind'!M37</f>
        <v>1091.1178345251603</v>
      </c>
      <c r="N72" s="571">
        <f>'Demand - Wind'!N37</f>
        <v>1147.492692978926</v>
      </c>
      <c r="O72" s="571">
        <f>'Demand - Wind'!O37</f>
        <v>1206.7802750314795</v>
      </c>
      <c r="P72" s="571">
        <f>'Demand - Wind'!P37</f>
        <v>1269.1310725686676</v>
      </c>
      <c r="Q72" s="571">
        <f>'Demand - Wind'!Q37</f>
        <v>1334.7033529507123</v>
      </c>
      <c r="R72" s="571">
        <f>'Demand - Wind'!R37</f>
        <v>1403.6635607481669</v>
      </c>
      <c r="S72" s="571">
        <f>'Demand - Wind'!S37</f>
        <v>1476.1867402343896</v>
      </c>
      <c r="T72" s="571">
        <f>'Demand - Wind'!T37</f>
        <v>1552.456979706973</v>
      </c>
      <c r="U72" s="571">
        <f>'Demand - Wind'!U37</f>
        <v>1632.6678787659423</v>
      </c>
      <c r="V72" s="571">
        <f>'Demand - Wind'!V37</f>
        <v>1717.0230397348676</v>
      </c>
      <c r="W72" s="571">
        <f>'Demand - Wind'!W37</f>
        <v>1805.7365844722526</v>
      </c>
      <c r="X72" s="571">
        <f>'Demand - Wind'!X37</f>
        <v>1899.0336978850387</v>
      </c>
      <c r="Y72" s="571">
        <f>'Demand - Wind'!Y37</f>
        <v>1997.1511995238889</v>
      </c>
      <c r="Z72" s="571">
        <f>'Demand - Wind'!Z37</f>
        <v>2100.3381447110919</v>
      </c>
      <c r="AA72" s="571">
        <f>'Demand - Wind'!AA37</f>
        <v>2208.8564567270055</v>
      </c>
      <c r="AB72" s="571">
        <f>'Demand - Wind'!AB37</f>
        <v>2322.9815916597131</v>
      </c>
      <c r="AC72" s="571">
        <f>'Demand - Wind'!AC37</f>
        <v>2443.0032376055087</v>
      </c>
      <c r="AD72" s="571">
        <f>'Demand - Wind'!AD37</f>
        <v>2569.2260499949975</v>
      </c>
      <c r="AE72" s="571">
        <f>'Demand - Wind'!AE37</f>
        <v>2701.9704249114175</v>
      </c>
      <c r="AF72" s="571">
        <f>'Demand - Wind'!AF37</f>
        <v>2841.5733123639234</v>
      </c>
      <c r="AG72" s="571">
        <f>'Demand - Wind'!AG37</f>
        <v>2988.3890715804514</v>
      </c>
      <c r="AH72" s="571">
        <f>'Demand - Wind'!AH37</f>
        <v>3142.7903704909827</v>
      </c>
    </row>
    <row r="73" spans="1:35" outlineLevel="1">
      <c r="B73" s="1" t="s">
        <v>199</v>
      </c>
      <c r="C73" s="50" t="s">
        <v>1420</v>
      </c>
      <c r="D73" s="183">
        <f>'Demand - Solar'!D32</f>
        <v>0</v>
      </c>
      <c r="E73" s="183">
        <f>'Demand - Solar'!E32</f>
        <v>22385.593101243907</v>
      </c>
      <c r="F73" s="183">
        <f>'Demand - Solar'!F32</f>
        <v>23725.314373926591</v>
      </c>
      <c r="G73" s="183">
        <f>'Demand - Solar'!G32</f>
        <v>25145.21458492738</v>
      </c>
      <c r="H73" s="183">
        <f>'Demand - Solar'!H32</f>
        <v>26650.092241428971</v>
      </c>
      <c r="I73" s="183">
        <f>'Demand - Solar'!I32</f>
        <v>28245.033029163329</v>
      </c>
      <c r="J73" s="183">
        <f>'Demand - Solar'!J32</f>
        <v>29935.426999323143</v>
      </c>
      <c r="K73" s="183">
        <f>'Demand - Solar'!K32</f>
        <v>31726.986784067201</v>
      </c>
      <c r="L73" s="183">
        <f>'Demand - Solar'!L32</f>
        <v>33625.766902176954</v>
      </c>
      <c r="M73" s="183">
        <f>'Demand - Solar'!M32</f>
        <v>35638.184220108684</v>
      </c>
      <c r="N73" s="183">
        <f>'Demand - Solar'!N32</f>
        <v>37771.03963758747</v>
      </c>
      <c r="O73" s="183">
        <f>'Demand - Solar'!O32</f>
        <v>40031.541071029664</v>
      </c>
      <c r="P73" s="183">
        <f>'Demand - Solar'!P32</f>
        <v>42427.327812465126</v>
      </c>
      <c r="Q73" s="183">
        <f>'Demand - Solar'!Q32</f>
        <v>44966.496346278975</v>
      </c>
      <c r="R73" s="183">
        <f>'Demand - Solar'!R32</f>
        <v>47657.627711021356</v>
      </c>
      <c r="S73" s="183">
        <f>'Demand - Solar'!S32</f>
        <v>50509.816498751046</v>
      </c>
      <c r="T73" s="183">
        <f>'Demand - Solar'!T32</f>
        <v>53532.701589917779</v>
      </c>
      <c r="U73" s="183">
        <f>'Demand - Solar'!U32</f>
        <v>56736.498727649348</v>
      </c>
      <c r="V73" s="183">
        <f>'Demand - Solar'!V32</f>
        <v>60132.035041527131</v>
      </c>
      <c r="W73" s="183">
        <f>'Demand - Solar'!W32</f>
        <v>63730.785637523411</v>
      </c>
      <c r="X73" s="183">
        <f>'Demand - Solar'!X32</f>
        <v>67544.91237775379</v>
      </c>
      <c r="Y73" s="183">
        <f>'Demand - Solar'!Y32</f>
        <v>71587.304981098932</v>
      </c>
      <c r="Z73" s="183">
        <f>'Demand - Solar'!Z32</f>
        <v>75871.624583596917</v>
      </c>
      <c r="AA73" s="183">
        <f>'Demand - Solar'!AA32</f>
        <v>80412.349905812793</v>
      </c>
      <c r="AB73" s="183">
        <f>'Demand - Solar'!AB32</f>
        <v>85224.826183210724</v>
      </c>
      <c r="AC73" s="183">
        <f>'Demand - Solar'!AC32</f>
        <v>90325.317024884542</v>
      </c>
      <c r="AD73" s="183">
        <f>'Demand - Solar'!AD32</f>
        <v>95731.059375902303</v>
      </c>
      <c r="AE73" s="183">
        <f>'Demand - Solar'!AE32</f>
        <v>101460.32176900876</v>
      </c>
      <c r="AF73" s="183">
        <f>'Demand - Solar'!AF32</f>
        <v>107532.46606254637</v>
      </c>
      <c r="AG73" s="183">
        <f>'Demand - Solar'!AG32</f>
        <v>113968.01287323225</v>
      </c>
      <c r="AH73" s="183">
        <f>'Demand - Solar'!AH32</f>
        <v>120788.71092492521</v>
      </c>
    </row>
    <row r="74" spans="1:35" s="168" customFormat="1">
      <c r="A74" s="165" t="s">
        <v>197</v>
      </c>
      <c r="B74" s="166" t="s">
        <v>230</v>
      </c>
      <c r="C74" s="167" t="s">
        <v>1420</v>
      </c>
      <c r="D74" s="581">
        <f>D72+D73</f>
        <v>0</v>
      </c>
      <c r="E74" s="581">
        <f t="shared" ref="E74:AH74" si="19">E72+E73</f>
        <v>23114.791087131121</v>
      </c>
      <c r="F74" s="581">
        <f t="shared" si="19"/>
        <v>24492.187881135527</v>
      </c>
      <c r="G74" s="581">
        <f t="shared" si="19"/>
        <v>25951.71019714907</v>
      </c>
      <c r="H74" s="581">
        <f t="shared" si="19"/>
        <v>27498.25711662478</v>
      </c>
      <c r="I74" s="581">
        <f t="shared" si="19"/>
        <v>29137.020095942531</v>
      </c>
      <c r="J74" s="581">
        <f t="shared" si="19"/>
        <v>30873.500421802095</v>
      </c>
      <c r="K74" s="581">
        <f t="shared" si="19"/>
        <v>32713.527709081754</v>
      </c>
      <c r="L74" s="581">
        <f t="shared" si="19"/>
        <v>34663.27950343649</v>
      </c>
      <c r="M74" s="581">
        <f t="shared" si="19"/>
        <v>36729.302054633845</v>
      </c>
      <c r="N74" s="581">
        <f t="shared" si="19"/>
        <v>38918.532330566399</v>
      </c>
      <c r="O74" s="581">
        <f t="shared" si="19"/>
        <v>41238.321346061144</v>
      </c>
      <c r="P74" s="581">
        <f t="shared" si="19"/>
        <v>43696.458885033797</v>
      </c>
      <c r="Q74" s="581">
        <f t="shared" si="19"/>
        <v>46301.199699229684</v>
      </c>
      <c r="R74" s="581">
        <f t="shared" si="19"/>
        <v>49061.291271769522</v>
      </c>
      <c r="S74" s="581">
        <f t="shared" si="19"/>
        <v>51986.003238985439</v>
      </c>
      <c r="T74" s="581">
        <f t="shared" si="19"/>
        <v>55085.158569624749</v>
      </c>
      <c r="U74" s="581">
        <f t="shared" si="19"/>
        <v>58369.166606415289</v>
      </c>
      <c r="V74" s="581">
        <f t="shared" si="19"/>
        <v>61849.058081261996</v>
      </c>
      <c r="W74" s="581">
        <f t="shared" si="19"/>
        <v>65536.522221995663</v>
      </c>
      <c r="X74" s="581">
        <f t="shared" si="19"/>
        <v>69443.946075638829</v>
      </c>
      <c r="Y74" s="581">
        <f t="shared" si="19"/>
        <v>73584.456180622816</v>
      </c>
      <c r="Z74" s="581">
        <f t="shared" si="19"/>
        <v>77971.962728308004</v>
      </c>
      <c r="AA74" s="581">
        <f t="shared" si="19"/>
        <v>82621.2063625398</v>
      </c>
      <c r="AB74" s="581">
        <f t="shared" si="19"/>
        <v>87547.807774870438</v>
      </c>
      <c r="AC74" s="581">
        <f t="shared" si="19"/>
        <v>92768.320262490044</v>
      </c>
      <c r="AD74" s="581">
        <f t="shared" si="19"/>
        <v>98300.285425897295</v>
      </c>
      <c r="AE74" s="581">
        <f t="shared" si="19"/>
        <v>104162.29219392018</v>
      </c>
      <c r="AF74" s="581">
        <f t="shared" si="19"/>
        <v>110374.0393749103</v>
      </c>
      <c r="AG74" s="581">
        <f t="shared" si="19"/>
        <v>116956.40194481269</v>
      </c>
      <c r="AH74" s="581">
        <f t="shared" si="19"/>
        <v>123931.50129541619</v>
      </c>
    </row>
    <row r="75" spans="1:35" s="61" customFormat="1">
      <c r="A75" s="606" t="s">
        <v>608</v>
      </c>
      <c r="B75" s="54" t="s">
        <v>141</v>
      </c>
      <c r="C75" s="55" t="s">
        <v>1420</v>
      </c>
      <c r="D75" s="571">
        <f>D72*'Demand - Wind'!$I$22+D73*'Demand - Solar'!$J$25</f>
        <v>0</v>
      </c>
      <c r="E75" s="571">
        <f>E72*'Demand - Wind'!$I$22+E73*'Demand - Solar'!$J$25</f>
        <v>10461.576604048369</v>
      </c>
      <c r="F75" s="571">
        <f>F72*'Demand - Wind'!$I$22+F73*'Demand - Solar'!$J$25</f>
        <v>11087.675571310678</v>
      </c>
      <c r="G75" s="571">
        <f>G72*'Demand - Wind'!$I$22+G73*'Demand - Solar'!$J$25</f>
        <v>11751.244982239699</v>
      </c>
      <c r="H75" s="571">
        <f>H72*'Demand - Wind'!$I$22+H73*'Demand - Solar'!$J$25</f>
        <v>12454.527348358351</v>
      </c>
      <c r="I75" s="571">
        <f>I72*'Demand - Wind'!$I$22+I73*'Demand - Solar'!$J$25</f>
        <v>13199.899389846814</v>
      </c>
      <c r="J75" s="571">
        <f>J72*'Demand - Wind'!$I$22+J73*'Demand - Solar'!$J$25</f>
        <v>13989.880067591988</v>
      </c>
      <c r="K75" s="571">
        <f>K72*'Demand - Wind'!$I$22+K73*'Demand - Solar'!$J$25</f>
        <v>14827.139095935128</v>
      </c>
      <c r="L75" s="571">
        <f>L72*'Demand - Wind'!$I$22+L73*'Demand - Solar'!$J$25</f>
        <v>15714.50596488556</v>
      </c>
      <c r="M75" s="571">
        <f>M72*'Demand - Wind'!$I$22+M73*'Demand - Solar'!$J$25</f>
        <v>16654.979502291477</v>
      </c>
      <c r="N75" s="571">
        <f>N72*'Demand - Wind'!$I$22+N73*'Demand - Solar'!$J$25</f>
        <v>17651.738008282278</v>
      </c>
      <c r="O75" s="571">
        <f>O72*'Demand - Wind'!$I$22+O73*'Demand - Solar'!$J$25</f>
        <v>18708.149996231914</v>
      </c>
      <c r="P75" s="571">
        <f>P72*'Demand - Wind'!$I$22+P73*'Demand - Solar'!$J$25</f>
        <v>19827.785576541723</v>
      </c>
      <c r="Q75" s="571">
        <f>Q72*'Demand - Wind'!$I$22+Q73*'Demand - Solar'!$J$25</f>
        <v>21014.428521713755</v>
      </c>
      <c r="R75" s="571">
        <f>R72*'Demand - Wind'!$I$22+R73*'Demand - Solar'!$J$25</f>
        <v>22272.089053488773</v>
      </c>
      <c r="S75" s="571">
        <f>S72*'Demand - Wind'!$I$22+S73*'Demand - Solar'!$J$25</f>
        <v>23605.017395261588</v>
      </c>
      <c r="T75" s="571">
        <f>T72*'Demand - Wind'!$I$22+T73*'Demand - Solar'!$J$25</f>
        <v>25017.718135574753</v>
      </c>
      <c r="U75" s="571">
        <f>U72*'Demand - Wind'!$I$22+U73*'Demand - Solar'!$J$25</f>
        <v>26514.965451230968</v>
      </c>
      <c r="V75" s="571">
        <f>V72*'Demand - Wind'!$I$22+V73*'Demand - Solar'!$J$25</f>
        <v>28101.819241470126</v>
      </c>
      <c r="W75" s="571">
        <f>W72*'Demand - Wind'!$I$22+W73*'Demand - Solar'!$J$25</f>
        <v>29783.642227736582</v>
      </c>
      <c r="X75" s="571">
        <f>X72*'Demand - Wind'!$I$22+X73*'Demand - Solar'!$J$25</f>
        <v>31566.11807682419</v>
      </c>
      <c r="Y75" s="571">
        <f>Y72*'Demand - Wind'!$I$22+Y73*'Demand - Solar'!$J$25</f>
        <v>33455.270608645369</v>
      </c>
      <c r="Z75" s="571">
        <f>Z72*'Demand - Wind'!$I$22+Z73*'Demand - Solar'!$J$25</f>
        <v>35457.484153537698</v>
      </c>
      <c r="AA75" s="571">
        <f>AA72*'Demand - Wind'!$I$22+AA73*'Demand - Solar'!$J$25</f>
        <v>37579.525127902765</v>
      </c>
      <c r="AB75" s="571">
        <f>AB72*'Demand - Wind'!$I$22+AB73*'Demand - Solar'!$J$25</f>
        <v>39828.564901093603</v>
      </c>
      <c r="AC75" s="571">
        <f>AC72*'Demand - Wind'!$I$22+AC73*'Demand - Solar'!$J$25</f>
        <v>42212.204030827124</v>
      </c>
      <c r="AD75" s="571">
        <f>AD72*'Demand - Wind'!$I$22+AD73*'Demand - Solar'!$J$25</f>
        <v>44738.497949024822</v>
      </c>
      <c r="AE75" s="571">
        <f>AE72*'Demand - Wind'!$I$22+AE73*'Demand - Solar'!$J$25</f>
        <v>47415.984184886322</v>
      </c>
      <c r="AF75" s="571">
        <f>AF72*'Demand - Wind'!$I$22+AF73*'Demand - Solar'!$J$25</f>
        <v>50253.711217195734</v>
      </c>
      <c r="AG75" s="571">
        <f>AG72*'Demand - Wind'!$I$22+AG73*'Demand - Solar'!$J$25</f>
        <v>53261.269053364405</v>
      </c>
      <c r="AH75" s="571">
        <f>AH72*'Demand - Wind'!$I$22+AH73*'Demand - Solar'!$J$25</f>
        <v>56448.821638553869</v>
      </c>
      <c r="AI75" s="56"/>
    </row>
    <row r="76" spans="1:35">
      <c r="A76" s="607"/>
      <c r="B76" s="1" t="s">
        <v>18</v>
      </c>
      <c r="C76" s="50" t="s">
        <v>1420</v>
      </c>
      <c r="D76" s="183">
        <f>D72*'Demand - Wind'!$J$22+D73*'Demand - Solar'!$K$25</f>
        <v>0</v>
      </c>
      <c r="E76" s="183">
        <f>E72*'Demand - Wind'!$J$22+E73*'Demand - Solar'!$K$25</f>
        <v>4848.1318232500498</v>
      </c>
      <c r="F76" s="183">
        <f>F72*'Demand - Wind'!$J$22+F73*'Demand - Solar'!$K$25</f>
        <v>5135.2977127376153</v>
      </c>
      <c r="G76" s="183">
        <f>G72*'Demand - Wind'!$J$22+G73*'Demand - Solar'!$K$25</f>
        <v>5439.4956556421439</v>
      </c>
      <c r="H76" s="183">
        <f>H72*'Demand - Wind'!$J$22+H73*'Demand - Solar'!$K$25</f>
        <v>5761.7370154657692</v>
      </c>
      <c r="I76" s="183">
        <f>I72*'Demand - Wind'!$J$22+I73*'Demand - Solar'!$K$25</f>
        <v>6103.09327189538</v>
      </c>
      <c r="J76" s="183">
        <f>J72*'Demand - Wind'!$J$22+J73*'Demand - Solar'!$K$25</f>
        <v>6464.6995973503281</v>
      </c>
      <c r="K76" s="183">
        <f>K72*'Demand - Wind'!$J$22+K73*'Demand - Solar'!$K$25</f>
        <v>6847.758646479474</v>
      </c>
      <c r="L76" s="183">
        <f>L72*'Demand - Wind'!$J$22+L73*'Demand - Solar'!$K$25</f>
        <v>7253.5445712950077</v>
      </c>
      <c r="M76" s="183">
        <f>M72*'Demand - Wind'!$J$22+M73*'Demand - Solar'!$K$25</f>
        <v>7683.4072753874989</v>
      </c>
      <c r="N76" s="183">
        <f>N72*'Demand - Wind'!$J$22+N73*'Demand - Solar'!$K$25</f>
        <v>8138.7769214675827</v>
      </c>
      <c r="O76" s="183">
        <f>O72*'Demand - Wind'!$J$22+O73*'Demand - Solar'!$K$25</f>
        <v>8621.1687073294161</v>
      </c>
      <c r="P76" s="183">
        <f>P72*'Demand - Wind'!$J$22+P73*'Demand - Solar'!$K$25</f>
        <v>9132.1879262307866</v>
      </c>
      <c r="Q76" s="183">
        <f>Q72*'Demand - Wind'!$J$22+Q73*'Demand - Solar'!$K$25</f>
        <v>9673.5353286383943</v>
      </c>
      <c r="R76" s="183">
        <f>R72*'Demand - Wind'!$J$22+R73*'Demand - Solar'!$K$25</f>
        <v>10247.012803297843</v>
      </c>
      <c r="S76" s="183">
        <f>S72*'Demand - Wind'!$J$22+S73*'Demand - Solar'!$K$25</f>
        <v>10854.529396657876</v>
      </c>
      <c r="T76" s="183">
        <f>T72*'Demand - Wind'!$J$22+T73*'Demand - Solar'!$K$25</f>
        <v>11498.107690814095</v>
      </c>
      <c r="U76" s="183">
        <f>U72*'Demand - Wind'!$J$22+U73*'Demand - Solar'!$K$25</f>
        <v>12179.8905613391</v>
      </c>
      <c r="V76" s="183">
        <f>V72*'Demand - Wind'!$J$22+V73*'Demand - Solar'!$K$25</f>
        <v>12902.148337640345</v>
      </c>
      <c r="W76" s="183">
        <f>W72*'Demand - Wind'!$J$22+W73*'Demand - Solar'!$K$25</f>
        <v>13667.286389837518</v>
      </c>
      <c r="X76" s="183">
        <f>X72*'Demand - Wind'!$J$22+X73*'Demand - Solar'!$K$25</f>
        <v>14477.853167581457</v>
      </c>
      <c r="Y76" s="183">
        <f>Y72*'Demand - Wind'!$J$22+Y73*'Demand - Solar'!$K$25</f>
        <v>15336.548717752816</v>
      </c>
      <c r="Z76" s="183">
        <f>Z72*'Demand - Wind'!$J$22+Z73*'Demand - Solar'!$K$25</f>
        <v>16246.233709585986</v>
      </c>
      <c r="AA76" s="183">
        <f>AA72*'Demand - Wind'!$J$22+AA73*'Demand - Solar'!$K$25</f>
        <v>17209.938997464687</v>
      </c>
      <c r="AB76" s="183">
        <f>AB72*'Demand - Wind'!$J$22+AB73*'Demand - Solar'!$K$25</f>
        <v>18230.8757534414</v>
      </c>
      <c r="AC76" s="183">
        <f>AC72*'Demand - Wind'!$J$22+AC73*'Demand - Solar'!$K$25</f>
        <v>19312.446203442953</v>
      </c>
      <c r="AD76" s="183">
        <f>AD72*'Demand - Wind'!$J$22+AD73*'Demand - Solar'!$K$25</f>
        <v>20458.255003150996</v>
      </c>
      <c r="AE76" s="183">
        <f>AE72*'Demand - Wind'!$J$22+AE73*'Demand - Solar'!$K$25</f>
        <v>21672.121291692703</v>
      </c>
      <c r="AF76" s="183">
        <f>AF72*'Demand - Wind'!$J$22+AF73*'Demand - Solar'!$K$25</f>
        <v>22958.091463551562</v>
      </c>
      <c r="AG76" s="183">
        <f>AG72*'Demand - Wind'!$J$22+AG73*'Demand - Solar'!$K$25</f>
        <v>24320.452701517828</v>
      </c>
      <c r="AH76" s="183">
        <f>AH72*'Demand - Wind'!$J$22+AH73*'Demand - Solar'!$K$25</f>
        <v>25763.74731605429</v>
      </c>
      <c r="AI76" s="40"/>
    </row>
    <row r="77" spans="1:35">
      <c r="A77" s="607"/>
      <c r="B77" s="1" t="s">
        <v>607</v>
      </c>
      <c r="C77" s="50" t="s">
        <v>1420</v>
      </c>
      <c r="D77" s="183">
        <f>D72*'Demand - Wind'!$K$22+D73*'Demand - Solar'!$L$25</f>
        <v>0</v>
      </c>
      <c r="E77" s="183">
        <f>E72*'Demand - Wind'!$K$22+E73*'Demand - Solar'!$L$25</f>
        <v>218.75939576616392</v>
      </c>
      <c r="F77" s="183">
        <f>F72*'Demand - Wind'!$K$22+F73*'Demand - Solar'!$L$25</f>
        <v>230.06205216268057</v>
      </c>
      <c r="G77" s="183">
        <f>G72*'Demand - Wind'!$K$22+G73*'Demand - Solar'!$L$25</f>
        <v>241.94868366650664</v>
      </c>
      <c r="H77" s="183">
        <f>H72*'Demand - Wind'!$K$22+H73*'Demand - Solar'!$L$25</f>
        <v>254.44946255874282</v>
      </c>
      <c r="I77" s="183">
        <f>I72*'Demand - Wind'!$K$22+I73*'Demand - Solar'!$L$25</f>
        <v>267.59612003376111</v>
      </c>
      <c r="J77" s="183">
        <f>J72*'Demand - Wind'!$K$22+J73*'Demand - Solar'!$L$25</f>
        <v>281.42202674368548</v>
      </c>
      <c r="K77" s="183">
        <f>K72*'Demand - Wind'!$K$22+K73*'Demand - Solar'!$L$25</f>
        <v>295.96227750436611</v>
      </c>
      <c r="L77" s="183">
        <f>L72*'Demand - Wind'!$K$22+L73*'Demand - Solar'!$L$25</f>
        <v>311.25378037786055</v>
      </c>
      <c r="M77" s="183">
        <f>M72*'Demand - Wind'!$K$22+M73*'Demand - Solar'!$L$25</f>
        <v>327.33535035754807</v>
      </c>
      <c r="N77" s="183">
        <f>N72*'Demand - Wind'!$K$22+N73*'Demand - Solar'!$L$25</f>
        <v>344.24780789367782</v>
      </c>
      <c r="O77" s="183">
        <f>O72*'Demand - Wind'!$K$22+O73*'Demand - Solar'!$L$25</f>
        <v>362.03408250944386</v>
      </c>
      <c r="P77" s="183">
        <f>P72*'Demand - Wind'!$K$22+P73*'Demand - Solar'!$L$25</f>
        <v>380.73932177060027</v>
      </c>
      <c r="Q77" s="183">
        <f>Q72*'Demand - Wind'!$K$22+Q73*'Demand - Solar'!$L$25</f>
        <v>400.41100588521368</v>
      </c>
      <c r="R77" s="183">
        <f>R72*'Demand - Wind'!$K$22+R73*'Demand - Solar'!$L$25</f>
        <v>421.09906822445004</v>
      </c>
      <c r="S77" s="183">
        <f>S72*'Demand - Wind'!$K$22+S73*'Demand - Solar'!$L$25</f>
        <v>442.8560220703169</v>
      </c>
      <c r="T77" s="183">
        <f>T72*'Demand - Wind'!$K$22+T73*'Demand - Solar'!$L$25</f>
        <v>465.73709391209189</v>
      </c>
      <c r="U77" s="183">
        <f>U72*'Demand - Wind'!$K$22+U73*'Demand - Solar'!$L$25</f>
        <v>489.80036362978268</v>
      </c>
      <c r="V77" s="183">
        <f>V72*'Demand - Wind'!$K$22+V73*'Demand - Solar'!$L$25</f>
        <v>515.10691192046022</v>
      </c>
      <c r="W77" s="183">
        <f>W72*'Demand - Wind'!$K$22+W73*'Demand - Solar'!$L$25</f>
        <v>541.72097534167574</v>
      </c>
      <c r="X77" s="183">
        <f>X72*'Demand - Wind'!$K$22+X73*'Demand - Solar'!$L$25</f>
        <v>569.71010936551158</v>
      </c>
      <c r="Y77" s="183">
        <f>Y72*'Demand - Wind'!$K$22+Y73*'Demand - Solar'!$L$25</f>
        <v>599.14535985716668</v>
      </c>
      <c r="Z77" s="183">
        <f>Z72*'Demand - Wind'!$K$22+Z73*'Demand - Solar'!$L$25</f>
        <v>630.1014434133275</v>
      </c>
      <c r="AA77" s="183">
        <f>AA72*'Demand - Wind'!$K$22+AA73*'Demand - Solar'!$L$25</f>
        <v>662.65693701810164</v>
      </c>
      <c r="AB77" s="183">
        <f>AB72*'Demand - Wind'!$K$22+AB73*'Demand - Solar'!$L$25</f>
        <v>696.89447749791395</v>
      </c>
      <c r="AC77" s="183">
        <f>AC72*'Demand - Wind'!$K$22+AC73*'Demand - Solar'!$L$25</f>
        <v>732.90097128165257</v>
      </c>
      <c r="AD77" s="183">
        <f>AD72*'Demand - Wind'!$K$22+AD73*'Demand - Solar'!$L$25</f>
        <v>770.76781499849926</v>
      </c>
      <c r="AE77" s="183">
        <f>AE72*'Demand - Wind'!$K$22+AE73*'Demand - Solar'!$L$25</f>
        <v>810.59112747342522</v>
      </c>
      <c r="AF77" s="183">
        <f>AF72*'Demand - Wind'!$K$22+AF73*'Demand - Solar'!$L$25</f>
        <v>852.47199370917701</v>
      </c>
      <c r="AG77" s="183">
        <f>AG72*'Demand - Wind'!$K$22+AG73*'Demand - Solar'!$L$25</f>
        <v>896.51672147413535</v>
      </c>
      <c r="AH77" s="183">
        <f>AH72*'Demand - Wind'!$K$22+AH73*'Demand - Solar'!$L$25</f>
        <v>942.83711114729476</v>
      </c>
      <c r="AI77" s="40"/>
    </row>
    <row r="78" spans="1:35" s="62" customFormat="1">
      <c r="A78" s="608"/>
      <c r="B78" s="58" t="s">
        <v>27</v>
      </c>
      <c r="C78" s="233" t="s">
        <v>1420</v>
      </c>
      <c r="D78" s="528">
        <f>D72*'Demand - Wind'!$L$22+D73*'Demand - Solar'!$M$25</f>
        <v>0</v>
      </c>
      <c r="E78" s="528">
        <f>E72*'Demand - Wind'!$L$22+E73*'Demand - Solar'!$M$25</f>
        <v>7586.3232640665346</v>
      </c>
      <c r="F78" s="528">
        <f>F72*'Demand - Wind'!$L$22+F73*'Demand - Solar'!$M$25</f>
        <v>8039.1525449245501</v>
      </c>
      <c r="G78" s="528">
        <f>G72*'Demand - Wind'!$L$22+G73*'Demand - Solar'!$M$25</f>
        <v>8519.020875600716</v>
      </c>
      <c r="H78" s="528">
        <f>H72*'Demand - Wind'!$L$22+H73*'Demand - Solar'!$M$25</f>
        <v>9027.5432902419143</v>
      </c>
      <c r="I78" s="528">
        <f>I72*'Demand - Wind'!$L$22+I73*'Demand - Solar'!$M$25</f>
        <v>9566.4313141665752</v>
      </c>
      <c r="J78" s="528">
        <f>J72*'Demand - Wind'!$L$22+J73*'Demand - Solar'!$M$25</f>
        <v>10137.498730116091</v>
      </c>
      <c r="K78" s="528">
        <f>K72*'Demand - Wind'!$L$22+K73*'Demand - Solar'!$M$25</f>
        <v>10742.667689162783</v>
      </c>
      <c r="L78" s="528">
        <f>L72*'Demand - Wind'!$L$22+L73*'Demand - Solar'!$M$25</f>
        <v>11383.975186878057</v>
      </c>
      <c r="M78" s="528">
        <f>M72*'Demand - Wind'!$L$22+M73*'Demand - Solar'!$M$25</f>
        <v>12063.579926597316</v>
      </c>
      <c r="N78" s="528">
        <f>N72*'Demand - Wind'!$L$22+N73*'Demand - Solar'!$M$25</f>
        <v>12783.769592922852</v>
      </c>
      <c r="O78" s="528">
        <f>O72*'Demand - Wind'!$L$22+O73*'Demand - Solar'!$M$25</f>
        <v>13546.968559990368</v>
      </c>
      <c r="P78" s="528">
        <f>P72*'Demand - Wind'!$L$22+P73*'Demand - Solar'!$M$25</f>
        <v>14355.746060490681</v>
      </c>
      <c r="Q78" s="528">
        <f>Q72*'Demand - Wind'!$L$22+Q73*'Demand - Solar'!$M$25</f>
        <v>15212.824842992322</v>
      </c>
      <c r="R78" s="528">
        <f>R72*'Demand - Wind'!$L$22+R73*'Demand - Solar'!$M$25</f>
        <v>16121.09034675845</v>
      </c>
      <c r="S78" s="528">
        <f>S72*'Demand - Wind'!$L$22+S73*'Demand - Solar'!$M$25</f>
        <v>17083.60042499565</v>
      </c>
      <c r="T78" s="528">
        <f>T72*'Demand - Wind'!$L$22+T73*'Demand - Solar'!$M$25</f>
        <v>18103.595649323808</v>
      </c>
      <c r="U78" s="528">
        <f>U72*'Demand - Wind'!$L$22+U73*'Demand - Solar'!$M$25</f>
        <v>19184.510230215437</v>
      </c>
      <c r="V78" s="528">
        <f>V72*'Demand - Wind'!$L$22+V73*'Demand - Solar'!$M$25</f>
        <v>20329.983590231062</v>
      </c>
      <c r="W78" s="528">
        <f>W72*'Demand - Wind'!$L$22+W73*'Demand - Solar'!$M$25</f>
        <v>21543.872629079884</v>
      </c>
      <c r="X78" s="528">
        <f>X72*'Demand - Wind'!$L$22+X73*'Demand - Solar'!$M$25</f>
        <v>22830.264721867668</v>
      </c>
      <c r="Y78" s="528">
        <f>Y72*'Demand - Wind'!$L$22+Y73*'Demand - Solar'!$M$25</f>
        <v>24193.491494367459</v>
      </c>
      <c r="Z78" s="528">
        <f>Z72*'Demand - Wind'!$L$22+Z73*'Demand - Solar'!$M$25</f>
        <v>25638.143421770994</v>
      </c>
      <c r="AA78" s="528">
        <f>AA72*'Demand - Wind'!$L$22+AA73*'Demand - Solar'!$M$25</f>
        <v>27169.085300154238</v>
      </c>
      <c r="AB78" s="528">
        <f>AB72*'Demand - Wind'!$L$22+AB73*'Demand - Solar'!$M$25</f>
        <v>28791.472642837514</v>
      </c>
      <c r="AC78" s="528">
        <f>AC72*'Demand - Wind'!$L$22+AC73*'Demand - Solar'!$M$25</f>
        <v>30510.769056938316</v>
      </c>
      <c r="AD78" s="528">
        <f>AD72*'Demand - Wind'!$L$22+AD73*'Demand - Solar'!$M$25</f>
        <v>32332.764658722976</v>
      </c>
      <c r="AE78" s="528">
        <f>AE72*'Demand - Wind'!$L$22+AE73*'Demand - Solar'!$M$25</f>
        <v>34263.59558986772</v>
      </c>
      <c r="AF78" s="528">
        <f>AF72*'Demand - Wind'!$L$22+AF73*'Demand - Solar'!$M$25</f>
        <v>36309.764700453808</v>
      </c>
      <c r="AG78" s="528">
        <f>AG72*'Demand - Wind'!$L$22+AG73*'Demand - Solar'!$M$25</f>
        <v>38478.163468456325</v>
      </c>
      <c r="AH78" s="528">
        <f>AH72*'Demand - Wind'!$L$22+AH73*'Demand - Solar'!$M$25</f>
        <v>40776.095229660728</v>
      </c>
      <c r="AI78" s="234"/>
    </row>
    <row r="79" spans="1:35" s="61" customFormat="1">
      <c r="A79" s="606" t="s">
        <v>609</v>
      </c>
      <c r="B79" s="54" t="s">
        <v>606</v>
      </c>
      <c r="C79" s="55" t="s">
        <v>1420</v>
      </c>
      <c r="D79" s="571">
        <f>D72*'Demand - Wind'!$K$22+D73*'Demand - Solar'!$L$25</f>
        <v>0</v>
      </c>
      <c r="E79" s="571">
        <f>E72*'Demand - Wind'!$K$22+E73*'Demand - Solar'!$L$25</f>
        <v>218.75939576616392</v>
      </c>
      <c r="F79" s="571">
        <f>F72*'Demand - Wind'!$K$22+F73*'Demand - Solar'!$L$25</f>
        <v>230.06205216268057</v>
      </c>
      <c r="G79" s="571">
        <f>G72*'Demand - Wind'!$K$22+G73*'Demand - Solar'!$L$25</f>
        <v>241.94868366650664</v>
      </c>
      <c r="H79" s="571">
        <f>H72*'Demand - Wind'!$K$22+H73*'Demand - Solar'!$L$25</f>
        <v>254.44946255874282</v>
      </c>
      <c r="I79" s="571">
        <f>I72*'Demand - Wind'!$K$22+I73*'Demand - Solar'!$L$25</f>
        <v>267.59612003376111</v>
      </c>
      <c r="J79" s="571">
        <f>J72*'Demand - Wind'!$K$22+J73*'Demand - Solar'!$L$25</f>
        <v>281.42202674368548</v>
      </c>
      <c r="K79" s="571">
        <f>K72*'Demand - Wind'!$K$22+K73*'Demand - Solar'!$L$25</f>
        <v>295.96227750436611</v>
      </c>
      <c r="L79" s="571">
        <f>L72*'Demand - Wind'!$K$22+L73*'Demand - Solar'!$L$25</f>
        <v>311.25378037786055</v>
      </c>
      <c r="M79" s="571">
        <f>M72*'Demand - Wind'!$K$22+M73*'Demand - Solar'!$L$25</f>
        <v>327.33535035754807</v>
      </c>
      <c r="N79" s="571">
        <f>N72*'Demand - Wind'!$K$22+N73*'Demand - Solar'!$L$25</f>
        <v>344.24780789367782</v>
      </c>
      <c r="O79" s="571">
        <f>O72*'Demand - Wind'!$K$22+O73*'Demand - Solar'!$L$25</f>
        <v>362.03408250944386</v>
      </c>
      <c r="P79" s="571">
        <f>P72*'Demand - Wind'!$K$22+P73*'Demand - Solar'!$L$25</f>
        <v>380.73932177060027</v>
      </c>
      <c r="Q79" s="571">
        <f>Q72*'Demand - Wind'!$K$22+Q73*'Demand - Solar'!$L$25</f>
        <v>400.41100588521368</v>
      </c>
      <c r="R79" s="571">
        <f>R72*'Demand - Wind'!$K$22+R73*'Demand - Solar'!$L$25</f>
        <v>421.09906822445004</v>
      </c>
      <c r="S79" s="571">
        <f>S72*'Demand - Wind'!$K$22+S73*'Demand - Solar'!$L$25</f>
        <v>442.8560220703169</v>
      </c>
      <c r="T79" s="571">
        <f>T72*'Demand - Wind'!$K$22+T73*'Demand - Solar'!$L$25</f>
        <v>465.73709391209189</v>
      </c>
      <c r="U79" s="571">
        <f>U72*'Demand - Wind'!$K$22+U73*'Demand - Solar'!$L$25</f>
        <v>489.80036362978268</v>
      </c>
      <c r="V79" s="571">
        <f>V72*'Demand - Wind'!$K$22+V73*'Demand - Solar'!$L$25</f>
        <v>515.10691192046022</v>
      </c>
      <c r="W79" s="571">
        <f>W72*'Demand - Wind'!$K$22+W73*'Demand - Solar'!$L$25</f>
        <v>541.72097534167574</v>
      </c>
      <c r="X79" s="571">
        <f>X72*'Demand - Wind'!$K$22+X73*'Demand - Solar'!$L$25</f>
        <v>569.71010936551158</v>
      </c>
      <c r="Y79" s="571">
        <f>Y72*'Demand - Wind'!$K$22+Y73*'Demand - Solar'!$L$25</f>
        <v>599.14535985716668</v>
      </c>
      <c r="Z79" s="571">
        <f>Z72*'Demand - Wind'!$K$22+Z73*'Demand - Solar'!$L$25</f>
        <v>630.1014434133275</v>
      </c>
      <c r="AA79" s="571">
        <f>AA72*'Demand - Wind'!$K$22+AA73*'Demand - Solar'!$L$25</f>
        <v>662.65693701810164</v>
      </c>
      <c r="AB79" s="571">
        <f>AB72*'Demand - Wind'!$K$22+AB73*'Demand - Solar'!$L$25</f>
        <v>696.89447749791395</v>
      </c>
      <c r="AC79" s="571">
        <f>AC72*'Demand - Wind'!$K$22+AC73*'Demand - Solar'!$L$25</f>
        <v>732.90097128165257</v>
      </c>
      <c r="AD79" s="571">
        <f>AD72*'Demand - Wind'!$K$22+AD73*'Demand - Solar'!$L$25</f>
        <v>770.76781499849926</v>
      </c>
      <c r="AE79" s="571">
        <f>AE72*'Demand - Wind'!$K$22+AE73*'Demand - Solar'!$L$25</f>
        <v>810.59112747342522</v>
      </c>
      <c r="AF79" s="571">
        <f>AF72*'Demand - Wind'!$K$22+AF73*'Demand - Solar'!$L$25</f>
        <v>852.47199370917701</v>
      </c>
      <c r="AG79" s="571">
        <f>AG72*'Demand - Wind'!$K$22+AG73*'Demand - Solar'!$L$25</f>
        <v>896.51672147413535</v>
      </c>
      <c r="AH79" s="571">
        <f>AH72*'Demand - Wind'!$K$22+AH73*'Demand - Solar'!$L$25</f>
        <v>942.83711114729476</v>
      </c>
      <c r="AI79" s="56"/>
    </row>
    <row r="80" spans="1:35" s="62" customFormat="1">
      <c r="A80" s="608"/>
      <c r="B80" s="58" t="s">
        <v>605</v>
      </c>
      <c r="C80" s="233" t="s">
        <v>1420</v>
      </c>
      <c r="D80" s="528">
        <f>D72*'Demand - Wind'!J22+D73*'Demand - Solar'!K25</f>
        <v>0</v>
      </c>
      <c r="E80" s="528">
        <f>E72*'Demand - Wind'!K22+E73*'Demand - Solar'!L25</f>
        <v>218.75939576616392</v>
      </c>
      <c r="F80" s="528">
        <f>F72*'Demand - Wind'!L22+F73*'Demand - Solar'!M25</f>
        <v>8039.1525449245501</v>
      </c>
      <c r="G80" s="528">
        <f>G72*'Demand - Wind'!M22+G73*'Demand - Solar'!N25</f>
        <v>25145.214584927377</v>
      </c>
      <c r="H80" s="528">
        <f>H72*'Demand - Wind'!N22+H73*'Demand - Solar'!O25</f>
        <v>0</v>
      </c>
      <c r="I80" s="528">
        <f>I72*'Demand - Wind'!O22+I73*'Demand - Solar'!P25</f>
        <v>0</v>
      </c>
      <c r="J80" s="528">
        <f>J72*'Demand - Wind'!P22+J73*'Demand - Solar'!Q25</f>
        <v>0</v>
      </c>
      <c r="K80" s="528">
        <f>K72*'Demand - Wind'!Q22+K73*'Demand - Solar'!R25</f>
        <v>0</v>
      </c>
      <c r="L80" s="528">
        <f>L72*'Demand - Wind'!R22+L73*'Demand - Solar'!S25</f>
        <v>0</v>
      </c>
      <c r="M80" s="528">
        <f>M72*'Demand - Wind'!S22+M73*'Demand - Solar'!T25</f>
        <v>0</v>
      </c>
      <c r="N80" s="528">
        <f>N72*'Demand - Wind'!T22+N73*'Demand - Solar'!U25</f>
        <v>0</v>
      </c>
      <c r="O80" s="528">
        <f>O72*'Demand - Wind'!U22+O73*'Demand - Solar'!V25</f>
        <v>0</v>
      </c>
      <c r="P80" s="528">
        <f>P72*'Demand - Wind'!V22+P73*'Demand - Solar'!W25</f>
        <v>0</v>
      </c>
      <c r="Q80" s="528">
        <f>Q72*'Demand - Wind'!W22+Q73*'Demand - Solar'!X25</f>
        <v>0</v>
      </c>
      <c r="R80" s="528">
        <f>R72*'Demand - Wind'!X22+R73*'Demand - Solar'!Y25</f>
        <v>0</v>
      </c>
      <c r="S80" s="528">
        <f>S72*'Demand - Wind'!Y22+S73*'Demand - Solar'!Z25</f>
        <v>0</v>
      </c>
      <c r="T80" s="528">
        <f>T72*'Demand - Wind'!Z22+T73*'Demand - Solar'!AA25</f>
        <v>0</v>
      </c>
      <c r="U80" s="528">
        <f>U72*'Demand - Wind'!AA22+U73*'Demand - Solar'!AB25</f>
        <v>0</v>
      </c>
      <c r="V80" s="528">
        <f>V72*'Demand - Wind'!AB22+V73*'Demand - Solar'!AC25</f>
        <v>0</v>
      </c>
      <c r="W80" s="528">
        <f>W72*'Demand - Wind'!AC22+W73*'Demand - Solar'!AD25</f>
        <v>0</v>
      </c>
      <c r="X80" s="528">
        <f>X72*'Demand - Wind'!AD22+X73*'Demand - Solar'!AE25</f>
        <v>0</v>
      </c>
      <c r="Y80" s="528">
        <f>Y72*'Demand - Wind'!AE22+Y73*'Demand - Solar'!AF25</f>
        <v>0</v>
      </c>
      <c r="Z80" s="528">
        <f>Z72*'Demand - Wind'!AF22+Z73*'Demand - Solar'!AG25</f>
        <v>0</v>
      </c>
      <c r="AA80" s="528">
        <f>AA72*'Demand - Wind'!AG22+AA73*'Demand - Solar'!AH25</f>
        <v>0</v>
      </c>
      <c r="AB80" s="528">
        <f>AB72*'Demand - Wind'!AH22+AB73*'Demand - Solar'!AI25</f>
        <v>0</v>
      </c>
      <c r="AC80" s="528">
        <f>AC72*'Demand - Wind'!AI22+AC73*'Demand - Solar'!AJ25</f>
        <v>0</v>
      </c>
      <c r="AD80" s="528">
        <f>AD72*'Demand - Wind'!AJ22+AD73*'Demand - Solar'!AK25</f>
        <v>0</v>
      </c>
      <c r="AE80" s="528">
        <f>AE72*'Demand - Wind'!AK22+AE73*'Demand - Solar'!AL25</f>
        <v>0</v>
      </c>
      <c r="AF80" s="528">
        <f>AF72*'Demand - Wind'!AL22+AF73*'Demand - Solar'!AM25</f>
        <v>0</v>
      </c>
      <c r="AG80" s="528">
        <f>AG72*'Demand - Wind'!AM22+AG73*'Demand - Solar'!AN25</f>
        <v>0</v>
      </c>
      <c r="AH80" s="528">
        <f>AH72*'Demand - Wind'!AN22+AH73*'Demand - Solar'!AO25</f>
        <v>0</v>
      </c>
      <c r="AI80" s="234"/>
    </row>
    <row r="81" spans="1:35" outlineLevel="1">
      <c r="A81" s="1" t="s">
        <v>78</v>
      </c>
      <c r="B81" s="1" t="s">
        <v>169</v>
      </c>
      <c r="C81" s="50" t="s">
        <v>1420</v>
      </c>
      <c r="D81" s="574">
        <f>D17+D29+D41+D53+D63</f>
        <v>0</v>
      </c>
      <c r="E81" s="574">
        <f t="shared" ref="E81:AH81" si="20">E17+E29+E41+E53+E63</f>
        <v>25097.323452060133</v>
      </c>
      <c r="F81" s="574">
        <f t="shared" si="20"/>
        <v>49901.820152533561</v>
      </c>
      <c r="G81" s="574">
        <f t="shared" si="20"/>
        <v>74416.402482811522</v>
      </c>
      <c r="H81" s="574">
        <f t="shared" si="20"/>
        <v>98643.96410555263</v>
      </c>
      <c r="I81" s="574">
        <f t="shared" si="20"/>
        <v>122587.38024263682</v>
      </c>
      <c r="J81" s="574">
        <f t="shared" si="20"/>
        <v>146208.01308446465</v>
      </c>
      <c r="K81" s="574">
        <f t="shared" si="20"/>
        <v>169536.88403429027</v>
      </c>
      <c r="L81" s="574">
        <f t="shared" si="20"/>
        <v>192577.03231245413</v>
      </c>
      <c r="M81" s="574">
        <f t="shared" si="20"/>
        <v>215331.47746819345</v>
      </c>
      <c r="N81" s="574">
        <f t="shared" si="20"/>
        <v>237803.21968183914</v>
      </c>
      <c r="O81" s="574">
        <f t="shared" si="20"/>
        <v>273845.11450728343</v>
      </c>
      <c r="P81" s="574">
        <f t="shared" si="20"/>
        <v>309597.41917873576</v>
      </c>
      <c r="Q81" s="574">
        <f t="shared" si="20"/>
        <v>345069.18022120779</v>
      </c>
      <c r="R81" s="574">
        <f t="shared" si="20"/>
        <v>380269.50169217121</v>
      </c>
      <c r="S81" s="574">
        <f t="shared" si="20"/>
        <v>415207.5475693646</v>
      </c>
      <c r="T81" s="574">
        <f t="shared" si="20"/>
        <v>449713.07027455873</v>
      </c>
      <c r="U81" s="574">
        <f t="shared" si="20"/>
        <v>483955.1141428519</v>
      </c>
      <c r="V81" s="574">
        <f t="shared" si="20"/>
        <v>517943.48573080031</v>
      </c>
      <c r="W81" s="574">
        <f t="shared" si="20"/>
        <v>551688.05488917721</v>
      </c>
      <c r="X81" s="574">
        <f t="shared" si="20"/>
        <v>585198.75740117917</v>
      </c>
      <c r="Y81" s="574">
        <f t="shared" si="20"/>
        <v>620756.10477149254</v>
      </c>
      <c r="Z81" s="574">
        <f t="shared" si="20"/>
        <v>656367.82443221519</v>
      </c>
      <c r="AA81" s="574">
        <f t="shared" si="20"/>
        <v>692048.01891889249</v>
      </c>
      <c r="AB81" s="574">
        <f t="shared" si="20"/>
        <v>727810.90126843553</v>
      </c>
      <c r="AC81" s="574">
        <f t="shared" si="20"/>
        <v>763670.79664792563</v>
      </c>
      <c r="AD81" s="574">
        <f t="shared" si="20"/>
        <v>799538.15554653329</v>
      </c>
      <c r="AE81" s="574">
        <f t="shared" si="20"/>
        <v>835525.15770270326</v>
      </c>
      <c r="AF81" s="574">
        <f t="shared" si="20"/>
        <v>871646.65704136388</v>
      </c>
      <c r="AG81" s="574">
        <f t="shared" si="20"/>
        <v>907917.62251370377</v>
      </c>
      <c r="AH81" s="574">
        <f t="shared" si="20"/>
        <v>944353.1395555248</v>
      </c>
    </row>
    <row r="82" spans="1:35" outlineLevel="1">
      <c r="B82" s="1" t="s">
        <v>172</v>
      </c>
      <c r="C82" s="50" t="s">
        <v>1420</v>
      </c>
      <c r="D82" s="574">
        <f>D18+D42+D54+D32+D64</f>
        <v>0</v>
      </c>
      <c r="E82" s="574">
        <f t="shared" ref="E82:AH82" si="21">E18+E42+E54+E32+E64</f>
        <v>17046.704945773257</v>
      </c>
      <c r="F82" s="574">
        <f t="shared" si="21"/>
        <v>33848.852333093666</v>
      </c>
      <c r="G82" s="574">
        <f t="shared" si="21"/>
        <v>50408.274858231853</v>
      </c>
      <c r="H82" s="574">
        <f t="shared" si="21"/>
        <v>66726.775493282839</v>
      </c>
      <c r="I82" s="574">
        <f t="shared" si="21"/>
        <v>82806.127451697641</v>
      </c>
      <c r="J82" s="574">
        <f t="shared" si="21"/>
        <v>98634.242525199195</v>
      </c>
      <c r="K82" s="574">
        <f t="shared" si="21"/>
        <v>114222.22835989081</v>
      </c>
      <c r="L82" s="574">
        <f t="shared" si="21"/>
        <v>129571.84117975582</v>
      </c>
      <c r="M82" s="574">
        <f t="shared" si="21"/>
        <v>144684.80647334902</v>
      </c>
      <c r="N82" s="574">
        <f t="shared" si="21"/>
        <v>159562.81893785551</v>
      </c>
      <c r="O82" s="574">
        <f t="shared" si="21"/>
        <v>174160.52279870433</v>
      </c>
      <c r="P82" s="574">
        <f t="shared" si="21"/>
        <v>182777.57008237153</v>
      </c>
      <c r="Q82" s="574">
        <f t="shared" si="21"/>
        <v>196025.708597466</v>
      </c>
      <c r="R82" s="574">
        <f t="shared" si="21"/>
        <v>209050.17861162854</v>
      </c>
      <c r="S82" s="574">
        <f t="shared" si="21"/>
        <v>221852.5363237806</v>
      </c>
      <c r="T82" s="574">
        <f t="shared" si="21"/>
        <v>234374.4814218721</v>
      </c>
      <c r="U82" s="574">
        <f t="shared" si="21"/>
        <v>246670.75732990081</v>
      </c>
      <c r="V82" s="574">
        <f t="shared" si="21"/>
        <v>258742.97371639591</v>
      </c>
      <c r="W82" s="574">
        <f t="shared" si="21"/>
        <v>270592.705906004</v>
      </c>
      <c r="X82" s="574">
        <f t="shared" si="21"/>
        <v>282221.49479414849</v>
      </c>
      <c r="Y82" s="574">
        <f t="shared" si="21"/>
        <v>290546.99572609272</v>
      </c>
      <c r="Z82" s="574">
        <f t="shared" si="21"/>
        <v>298301.57201406604</v>
      </c>
      <c r="AA82" s="574">
        <f t="shared" si="21"/>
        <v>305881.3222827607</v>
      </c>
      <c r="AB82" s="574">
        <f t="shared" si="21"/>
        <v>313287.25690931507</v>
      </c>
      <c r="AC82" s="574">
        <f t="shared" si="21"/>
        <v>320520.35353515751</v>
      </c>
      <c r="AD82" s="574">
        <f t="shared" si="21"/>
        <v>327546.89411343553</v>
      </c>
      <c r="AE82" s="574">
        <f t="shared" si="21"/>
        <v>334400.33220719226</v>
      </c>
      <c r="AF82" s="574">
        <f t="shared" si="21"/>
        <v>341081.60729716532</v>
      </c>
      <c r="AG82" s="574">
        <f t="shared" si="21"/>
        <v>347591.62439736957</v>
      </c>
      <c r="AH82" s="574">
        <f t="shared" si="21"/>
        <v>353931.25388447399</v>
      </c>
    </row>
    <row r="83" spans="1:35" outlineLevel="1">
      <c r="B83" s="1" t="s">
        <v>249</v>
      </c>
      <c r="C83" s="50" t="s">
        <v>1420</v>
      </c>
      <c r="D83" s="574">
        <f>D74+D13</f>
        <v>0</v>
      </c>
      <c r="E83" s="574">
        <f t="shared" ref="E83:AG83" si="22">E74+E13</f>
        <v>23707.575667990892</v>
      </c>
      <c r="F83" s="574">
        <f t="shared" si="22"/>
        <v>25697.911718604297</v>
      </c>
      <c r="G83" s="574">
        <f t="shared" si="22"/>
        <v>27791.041911207678</v>
      </c>
      <c r="H83" s="574">
        <f t="shared" si="22"/>
        <v>29992.390920888254</v>
      </c>
      <c r="I83" s="574">
        <f t="shared" si="22"/>
        <v>32307.687694612472</v>
      </c>
      <c r="J83" s="574">
        <f t="shared" si="22"/>
        <v>34742.983159218893</v>
      </c>
      <c r="K83" s="574">
        <f t="shared" si="22"/>
        <v>37304.668977026784</v>
      </c>
      <c r="L83" s="574">
        <f t="shared" si="22"/>
        <v>39999.497411436598</v>
      </c>
      <c r="M83" s="574">
        <f t="shared" si="22"/>
        <v>42834.602368624466</v>
      </c>
      <c r="N83" s="574">
        <f t="shared" si="22"/>
        <v>45817.521685375803</v>
      </c>
      <c r="O83" s="574">
        <f t="shared" si="22"/>
        <v>51061.102389438769</v>
      </c>
      <c r="P83" s="574">
        <f t="shared" si="22"/>
        <v>56540.446726467417</v>
      </c>
      <c r="Q83" s="574">
        <f t="shared" si="22"/>
        <v>62266.27658613168</v>
      </c>
      <c r="R83" s="574">
        <f t="shared" si="22"/>
        <v>68249.86231919963</v>
      </c>
      <c r="S83" s="574">
        <f t="shared" si="22"/>
        <v>74503.053341181308</v>
      </c>
      <c r="T83" s="574">
        <f t="shared" si="22"/>
        <v>81038.31051741571</v>
      </c>
      <c r="U83" s="574">
        <f t="shared" si="22"/>
        <v>87868.740435072032</v>
      </c>
      <c r="V83" s="574">
        <f t="shared" si="22"/>
        <v>95008.131673821044</v>
      </c>
      <c r="W83" s="574">
        <f t="shared" si="22"/>
        <v>102470.99319359323</v>
      </c>
      <c r="X83" s="574">
        <f t="shared" si="22"/>
        <v>110272.59496489394</v>
      </c>
      <c r="Y83" s="574">
        <f t="shared" si="22"/>
        <v>119259.46569303251</v>
      </c>
      <c r="Z83" s="574">
        <f t="shared" si="22"/>
        <v>128646.30964553053</v>
      </c>
      <c r="AA83" s="574">
        <f t="shared" si="22"/>
        <v>138451.66807858972</v>
      </c>
      <c r="AB83" s="574">
        <f t="shared" si="22"/>
        <v>148695.0473066488</v>
      </c>
      <c r="AC83" s="574">
        <f t="shared" si="22"/>
        <v>159396.97305229568</v>
      </c>
      <c r="AD83" s="574">
        <f t="shared" si="22"/>
        <v>170579.04797227844</v>
      </c>
      <c r="AE83" s="574">
        <f t="shared" si="22"/>
        <v>182264.01254794415</v>
      </c>
      <c r="AF83" s="574">
        <f t="shared" si="22"/>
        <v>194475.80953966104</v>
      </c>
      <c r="AG83" s="574">
        <f t="shared" si="22"/>
        <v>207239.65221667261</v>
      </c>
      <c r="AH83" s="574">
        <f>AH74+AH13</f>
        <v>220582.09658644936</v>
      </c>
    </row>
    <row r="84" spans="1:35" s="63" customFormat="1">
      <c r="A84" s="63" t="s">
        <v>254</v>
      </c>
      <c r="C84" s="64" t="s">
        <v>1420</v>
      </c>
      <c r="D84" s="589">
        <f>D4+D83-D81-D82</f>
        <v>5341060.7015464325</v>
      </c>
      <c r="E84" s="589">
        <f t="shared" ref="E84:AG84" si="23">E4+E83-E81-E82</f>
        <v>5295428.4096324202</v>
      </c>
      <c r="F84" s="589">
        <f t="shared" si="23"/>
        <v>5228754.7393373307</v>
      </c>
      <c r="G84" s="589">
        <f t="shared" si="23"/>
        <v>5162854.274240192</v>
      </c>
      <c r="H84" s="589">
        <f t="shared" si="23"/>
        <v>5097727.0408689268</v>
      </c>
      <c r="I84" s="589">
        <f t="shared" si="23"/>
        <v>5033373.4217947535</v>
      </c>
      <c r="J84" s="589">
        <f t="shared" si="23"/>
        <v>4967055.2322903117</v>
      </c>
      <c r="K84" s="589">
        <f t="shared" si="23"/>
        <v>4901560.267002346</v>
      </c>
      <c r="L84" s="589">
        <f t="shared" si="23"/>
        <v>4836889.5543640209</v>
      </c>
      <c r="M84" s="589">
        <f t="shared" si="23"/>
        <v>4773044.5600832617</v>
      </c>
      <c r="N84" s="589">
        <f>N4+N83-N81-N82</f>
        <v>4710027.2091549234</v>
      </c>
      <c r="O84" s="589">
        <f t="shared" si="23"/>
        <v>4630960.7108550556</v>
      </c>
      <c r="P84" s="589">
        <f t="shared" si="23"/>
        <v>4558624.2047989164</v>
      </c>
      <c r="Q84" s="589">
        <f t="shared" si="23"/>
        <v>4482406.1285762144</v>
      </c>
      <c r="R84" s="589">
        <f t="shared" si="23"/>
        <v>4407161.9281577775</v>
      </c>
      <c r="S84" s="589">
        <f t="shared" si="23"/>
        <v>4332891.2625732142</v>
      </c>
      <c r="T84" s="589">
        <f t="shared" si="23"/>
        <v>4255301.5110259671</v>
      </c>
      <c r="U84" s="589">
        <f t="shared" si="23"/>
        <v>4178777.2041524006</v>
      </c>
      <c r="V84" s="589">
        <f t="shared" si="23"/>
        <v>4103318.5839596903</v>
      </c>
      <c r="W84" s="589">
        <f t="shared" si="23"/>
        <v>4028926.6000286392</v>
      </c>
      <c r="X84" s="589">
        <f t="shared" si="23"/>
        <v>3955602.9474687907</v>
      </c>
      <c r="Y84" s="589">
        <f t="shared" si="23"/>
        <v>3881831.8311330345</v>
      </c>
      <c r="Z84" s="589">
        <f t="shared" si="23"/>
        <v>3809297.9185821535</v>
      </c>
      <c r="AA84" s="589">
        <f t="shared" si="23"/>
        <v>3737606.9046607842</v>
      </c>
      <c r="AB84" s="589">
        <f t="shared" si="23"/>
        <v>3666760.4488384738</v>
      </c>
      <c r="AC84" s="589">
        <f t="shared" si="23"/>
        <v>3596761.1722389525</v>
      </c>
      <c r="AD84" s="589">
        <f t="shared" si="23"/>
        <v>3526146.6055194535</v>
      </c>
      <c r="AE84" s="589">
        <f t="shared" si="23"/>
        <v>3456423.1006808528</v>
      </c>
      <c r="AF84" s="589">
        <f t="shared" si="23"/>
        <v>3387595.9272605185</v>
      </c>
      <c r="AG84" s="589">
        <f t="shared" si="23"/>
        <v>3319671.5695226486</v>
      </c>
      <c r="AH84" s="589">
        <f>AH4+AH83-AH81-AH82</f>
        <v>3252657.7971867053</v>
      </c>
    </row>
    <row r="85" spans="1:35" s="61" customFormat="1">
      <c r="A85" s="606" t="s">
        <v>608</v>
      </c>
      <c r="B85" s="54" t="s">
        <v>141</v>
      </c>
      <c r="C85" s="55" t="s">
        <v>1420</v>
      </c>
      <c r="D85" s="571">
        <f>D20+D34+D44+D56+D66+D75</f>
        <v>1581163.9728652707</v>
      </c>
      <c r="E85" s="571">
        <f t="shared" ref="E85:AH90" si="24">E20+E34+E44+E56+E66+E75</f>
        <v>1557568.003777985</v>
      </c>
      <c r="F85" s="571">
        <f t="shared" si="24"/>
        <v>1524519.7998436596</v>
      </c>
      <c r="G85" s="571">
        <f t="shared" si="24"/>
        <v>1491888.5716857731</v>
      </c>
      <c r="H85" s="571">
        <f t="shared" si="24"/>
        <v>1459672.8580418716</v>
      </c>
      <c r="I85" s="571">
        <f t="shared" si="24"/>
        <v>1427871.3652827826</v>
      </c>
      <c r="J85" s="571">
        <f t="shared" si="24"/>
        <v>1396172.601468557</v>
      </c>
      <c r="K85" s="571">
        <f t="shared" si="24"/>
        <v>1364891.4117373505</v>
      </c>
      <c r="L85" s="571">
        <f t="shared" si="24"/>
        <v>1334026.9937817117</v>
      </c>
      <c r="M85" s="571">
        <f t="shared" si="24"/>
        <v>1303578.7476022954</v>
      </c>
      <c r="N85" s="571">
        <f t="shared" si="24"/>
        <v>1273546.2853938336</v>
      </c>
      <c r="O85" s="571">
        <f t="shared" si="24"/>
        <v>1234235.4009866153</v>
      </c>
      <c r="P85" s="571">
        <f t="shared" si="24"/>
        <v>1200590.1363874276</v>
      </c>
      <c r="Q85" s="571">
        <f t="shared" si="24"/>
        <v>1163149.6956730434</v>
      </c>
      <c r="R85" s="571">
        <f t="shared" si="24"/>
        <v>1126242.9383162202</v>
      </c>
      <c r="S85" s="571">
        <f t="shared" si="24"/>
        <v>1089869.248441461</v>
      </c>
      <c r="T85" s="571">
        <f t="shared" si="24"/>
        <v>1053541.8412710272</v>
      </c>
      <c r="U85" s="571">
        <f t="shared" si="24"/>
        <v>1017757.4558443773</v>
      </c>
      <c r="V85" s="571">
        <f t="shared" si="24"/>
        <v>982516.25907775259</v>
      </c>
      <c r="W85" s="571">
        <f t="shared" si="24"/>
        <v>947818.76128465519</v>
      </c>
      <c r="X85" s="571">
        <f t="shared" si="24"/>
        <v>913665.83388596063</v>
      </c>
      <c r="Y85" s="571">
        <f t="shared" si="24"/>
        <v>885461.75267663389</v>
      </c>
      <c r="Z85" s="571">
        <f t="shared" si="24"/>
        <v>858510.39586511475</v>
      </c>
      <c r="AA85" s="571">
        <f t="shared" si="24"/>
        <v>832008.69480696123</v>
      </c>
      <c r="AB85" s="571">
        <f t="shared" si="24"/>
        <v>805959.82449773082</v>
      </c>
      <c r="AC85" s="571">
        <f t="shared" si="24"/>
        <v>780367.41868347011</v>
      </c>
      <c r="AD85" s="571">
        <f t="shared" si="24"/>
        <v>755069.45759000548</v>
      </c>
      <c r="AE85" s="571">
        <f t="shared" si="24"/>
        <v>730240.73415286117</v>
      </c>
      <c r="AF85" s="571">
        <f t="shared" si="24"/>
        <v>705886.35100412648</v>
      </c>
      <c r="AG85" s="571">
        <f t="shared" si="24"/>
        <v>682011.98192667472</v>
      </c>
      <c r="AH85" s="571">
        <f t="shared" si="24"/>
        <v>658623.90405738214</v>
      </c>
      <c r="AI85" s="56"/>
    </row>
    <row r="86" spans="1:35">
      <c r="A86" s="607"/>
      <c r="B86" s="1" t="s">
        <v>18</v>
      </c>
      <c r="C86" s="50" t="s">
        <v>1420</v>
      </c>
      <c r="D86" s="183">
        <f t="shared" ref="D86:S90" si="25">D21+D35+D45+D57+D67+D76</f>
        <v>1122665.661247253</v>
      </c>
      <c r="E86" s="183">
        <f t="shared" si="25"/>
        <v>1105159.2838567803</v>
      </c>
      <c r="F86" s="183">
        <f t="shared" si="25"/>
        <v>1083334.5940320494</v>
      </c>
      <c r="G86" s="183">
        <f t="shared" si="25"/>
        <v>1061767.1539738604</v>
      </c>
      <c r="H86" s="183">
        <f t="shared" si="25"/>
        <v>1040455.5598239356</v>
      </c>
      <c r="I86" s="183">
        <f t="shared" si="25"/>
        <v>1019398.4882260481</v>
      </c>
      <c r="J86" s="183">
        <f t="shared" si="25"/>
        <v>998458.05362285359</v>
      </c>
      <c r="K86" s="183">
        <f t="shared" si="25"/>
        <v>977772.13022538018</v>
      </c>
      <c r="L86" s="183">
        <f t="shared" si="25"/>
        <v>957339.63094667799</v>
      </c>
      <c r="M86" s="183">
        <f t="shared" si="25"/>
        <v>937159.56438041211</v>
      </c>
      <c r="N86" s="183">
        <f t="shared" si="25"/>
        <v>917231.03913556645</v>
      </c>
      <c r="O86" s="183">
        <f t="shared" si="25"/>
        <v>892018.32051171036</v>
      </c>
      <c r="P86" s="183">
        <f t="shared" si="25"/>
        <v>870158.0797607539</v>
      </c>
      <c r="Q86" s="183">
        <f t="shared" si="25"/>
        <v>846060.3559344617</v>
      </c>
      <c r="R86" s="183">
        <f t="shared" si="25"/>
        <v>822281.92334393354</v>
      </c>
      <c r="S86" s="183">
        <f t="shared" si="25"/>
        <v>798821.72073934379</v>
      </c>
      <c r="T86" s="183">
        <f t="shared" si="24"/>
        <v>775464.65429314505</v>
      </c>
      <c r="U86" s="183">
        <f t="shared" si="24"/>
        <v>752428.64911174541</v>
      </c>
      <c r="V86" s="183">
        <f t="shared" si="24"/>
        <v>729713.01759104792</v>
      </c>
      <c r="W86" s="183">
        <f t="shared" si="24"/>
        <v>707317.23300803942</v>
      </c>
      <c r="X86" s="183">
        <f t="shared" si="24"/>
        <v>685240.93733433529</v>
      </c>
      <c r="Y86" s="183">
        <f t="shared" si="24"/>
        <v>667375.18942509824</v>
      </c>
      <c r="Z86" s="183">
        <f t="shared" si="24"/>
        <v>649981.29084548564</v>
      </c>
      <c r="AA86" s="183">
        <f t="shared" si="24"/>
        <v>632851.92293195392</v>
      </c>
      <c r="AB86" s="183">
        <f t="shared" si="24"/>
        <v>615988.05353405408</v>
      </c>
      <c r="AC86" s="183">
        <f t="shared" si="24"/>
        <v>599390.86116162012</v>
      </c>
      <c r="AD86" s="183">
        <f t="shared" si="24"/>
        <v>582988.60187590355</v>
      </c>
      <c r="AE86" s="183">
        <f t="shared" si="24"/>
        <v>566857.82663659938</v>
      </c>
      <c r="AF86" s="183">
        <f t="shared" si="24"/>
        <v>551000.3867011941</v>
      </c>
      <c r="AG86" s="183">
        <f t="shared" si="24"/>
        <v>535418.39345907769</v>
      </c>
      <c r="AH86" s="183">
        <f t="shared" si="24"/>
        <v>520114.23260324239</v>
      </c>
      <c r="AI86" s="40"/>
    </row>
    <row r="87" spans="1:35">
      <c r="A87" s="607"/>
      <c r="B87" s="1" t="s">
        <v>607</v>
      </c>
      <c r="C87" s="50" t="s">
        <v>1420</v>
      </c>
      <c r="D87" s="183">
        <f t="shared" si="25"/>
        <v>1018827.6884632254</v>
      </c>
      <c r="E87" s="183">
        <f t="shared" si="24"/>
        <v>1004149.6060734479</v>
      </c>
      <c r="F87" s="183">
        <f t="shared" si="24"/>
        <v>989402.25352508004</v>
      </c>
      <c r="G87" s="183">
        <f t="shared" si="24"/>
        <v>974792.33451403293</v>
      </c>
      <c r="H87" s="183">
        <f t="shared" si="24"/>
        <v>960318.55307871604</v>
      </c>
      <c r="I87" s="183">
        <f t="shared" si="24"/>
        <v>945979.62562581745</v>
      </c>
      <c r="J87" s="183">
        <f t="shared" si="24"/>
        <v>931474.07276460272</v>
      </c>
      <c r="K87" s="183">
        <f t="shared" si="24"/>
        <v>917106.07274234551</v>
      </c>
      <c r="L87" s="183">
        <f t="shared" si="24"/>
        <v>902874.32090175909</v>
      </c>
      <c r="M87" s="183">
        <f t="shared" si="24"/>
        <v>888777.52554475679</v>
      </c>
      <c r="N87" s="183">
        <f t="shared" si="24"/>
        <v>874814.40795730625</v>
      </c>
      <c r="O87" s="183">
        <f t="shared" si="24"/>
        <v>859717.8684626153</v>
      </c>
      <c r="P87" s="183">
        <f t="shared" si="24"/>
        <v>844768.67038659635</v>
      </c>
      <c r="Q87" s="183">
        <f t="shared" si="24"/>
        <v>829965.25358714722</v>
      </c>
      <c r="R87" s="183">
        <f t="shared" si="24"/>
        <v>815306.07111561764</v>
      </c>
      <c r="S87" s="183">
        <f t="shared" si="24"/>
        <v>800789.58921422914</v>
      </c>
      <c r="T87" s="183">
        <f t="shared" si="24"/>
        <v>785943.75694756629</v>
      </c>
      <c r="U87" s="183">
        <f t="shared" si="24"/>
        <v>771247.54833148443</v>
      </c>
      <c r="V87" s="183">
        <f t="shared" si="24"/>
        <v>756699.32819526689</v>
      </c>
      <c r="W87" s="183">
        <f t="shared" si="24"/>
        <v>742297.47629692324</v>
      </c>
      <c r="X87" s="183">
        <f t="shared" si="24"/>
        <v>728040.38734320237</v>
      </c>
      <c r="Y87" s="183">
        <f t="shared" si="24"/>
        <v>713354.88669554831</v>
      </c>
      <c r="Z87" s="183">
        <f t="shared" si="24"/>
        <v>698811.02557211218</v>
      </c>
      <c r="AA87" s="183">
        <f t="shared" si="24"/>
        <v>684406.98711129918</v>
      </c>
      <c r="AB87" s="183">
        <f t="shared" si="24"/>
        <v>670140.97056152869</v>
      </c>
      <c r="AC87" s="183">
        <f t="shared" si="24"/>
        <v>656011.19140125869</v>
      </c>
      <c r="AD87" s="183">
        <f t="shared" si="24"/>
        <v>641855.1851888604</v>
      </c>
      <c r="AE87" s="183">
        <f t="shared" si="24"/>
        <v>627835.79074590851</v>
      </c>
      <c r="AF87" s="183">
        <f t="shared" si="24"/>
        <v>613951.2089038589</v>
      </c>
      <c r="AG87" s="183">
        <f t="shared" si="24"/>
        <v>600199.65825692227</v>
      </c>
      <c r="AH87" s="183">
        <f>AH22+AH36+AH46+AH58+AH68+AH77</f>
        <v>586579.37535587768</v>
      </c>
      <c r="AI87" s="40"/>
    </row>
    <row r="88" spans="1:35" s="62" customFormat="1">
      <c r="A88" s="608"/>
      <c r="B88" s="58" t="s">
        <v>27</v>
      </c>
      <c r="C88" s="233" t="s">
        <v>1420</v>
      </c>
      <c r="D88" s="528">
        <f t="shared" si="25"/>
        <v>1618403.3789706836</v>
      </c>
      <c r="E88" s="528">
        <f t="shared" si="24"/>
        <v>1628551.515924206</v>
      </c>
      <c r="F88" s="528">
        <f t="shared" si="24"/>
        <v>1631498.091936541</v>
      </c>
      <c r="G88" s="528">
        <f t="shared" si="24"/>
        <v>1634406.2140665257</v>
      </c>
      <c r="H88" s="528">
        <f t="shared" si="24"/>
        <v>1637280.0699244037</v>
      </c>
      <c r="I88" s="528">
        <f t="shared" si="24"/>
        <v>1640123.9426601049</v>
      </c>
      <c r="J88" s="528">
        <f t="shared" si="24"/>
        <v>1640950.5044342983</v>
      </c>
      <c r="K88" s="528">
        <f t="shared" si="24"/>
        <v>1641790.6522972686</v>
      </c>
      <c r="L88" s="528">
        <f t="shared" si="24"/>
        <v>1642648.6087338724</v>
      </c>
      <c r="M88" s="528">
        <f t="shared" si="24"/>
        <v>1643528.7225557971</v>
      </c>
      <c r="N88" s="528">
        <f t="shared" si="24"/>
        <v>1644435.4766682179</v>
      </c>
      <c r="O88" s="528">
        <f t="shared" si="24"/>
        <v>1644989.1208941138</v>
      </c>
      <c r="P88" s="528">
        <f t="shared" si="24"/>
        <v>1643107.3182641382</v>
      </c>
      <c r="Q88" s="528">
        <f t="shared" si="24"/>
        <v>1643230.8233815618</v>
      </c>
      <c r="R88" s="528">
        <f t="shared" si="24"/>
        <v>1643330.995382007</v>
      </c>
      <c r="S88" s="528">
        <f t="shared" si="24"/>
        <v>1643410.7041781798</v>
      </c>
      <c r="T88" s="528">
        <f t="shared" si="24"/>
        <v>1640351.2585142285</v>
      </c>
      <c r="U88" s="528">
        <f t="shared" si="24"/>
        <v>1637343.5508647929</v>
      </c>
      <c r="V88" s="528">
        <f t="shared" si="24"/>
        <v>1634389.979095622</v>
      </c>
      <c r="W88" s="528">
        <f t="shared" si="24"/>
        <v>1631493.1294390215</v>
      </c>
      <c r="X88" s="528">
        <f t="shared" si="24"/>
        <v>1628655.7889052932</v>
      </c>
      <c r="Y88" s="528">
        <f t="shared" si="24"/>
        <v>1615640.0023357547</v>
      </c>
      <c r="Z88" s="528">
        <f t="shared" si="24"/>
        <v>1601995.2062994405</v>
      </c>
      <c r="AA88" s="528">
        <f t="shared" si="24"/>
        <v>1588339.299810569</v>
      </c>
      <c r="AB88" s="528">
        <f t="shared" si="24"/>
        <v>1574671.6002451607</v>
      </c>
      <c r="AC88" s="528">
        <f t="shared" si="24"/>
        <v>1560991.700992604</v>
      </c>
      <c r="AD88" s="528">
        <f t="shared" si="24"/>
        <v>1546233.360864684</v>
      </c>
      <c r="AE88" s="528">
        <f t="shared" si="24"/>
        <v>1531488.7491454841</v>
      </c>
      <c r="AF88" s="528">
        <f t="shared" si="24"/>
        <v>1516757.9806513388</v>
      </c>
      <c r="AG88" s="528">
        <f t="shared" si="24"/>
        <v>1502041.5358799738</v>
      </c>
      <c r="AH88" s="528">
        <f t="shared" si="24"/>
        <v>1487340.2851702033</v>
      </c>
      <c r="AI88" s="234"/>
    </row>
    <row r="89" spans="1:35" s="61" customFormat="1">
      <c r="A89" s="606" t="s">
        <v>609</v>
      </c>
      <c r="B89" s="54" t="s">
        <v>606</v>
      </c>
      <c r="C89" s="55" t="s">
        <v>1420</v>
      </c>
      <c r="D89" s="571">
        <f t="shared" si="25"/>
        <v>464409.51086321456</v>
      </c>
      <c r="E89" s="571">
        <f t="shared" si="24"/>
        <v>457837.88255616277</v>
      </c>
      <c r="F89" s="571">
        <f t="shared" si="24"/>
        <v>451121.78673070011</v>
      </c>
      <c r="G89" s="571">
        <f t="shared" si="24"/>
        <v>444468.65465169307</v>
      </c>
      <c r="H89" s="571">
        <f t="shared" si="24"/>
        <v>437877.91200335277</v>
      </c>
      <c r="I89" s="571">
        <f t="shared" si="24"/>
        <v>431348.9909560082</v>
      </c>
      <c r="J89" s="571">
        <f t="shared" si="24"/>
        <v>424744.48712158162</v>
      </c>
      <c r="K89" s="571">
        <f t="shared" si="24"/>
        <v>418203.07235777273</v>
      </c>
      <c r="L89" s="571">
        <f t="shared" si="24"/>
        <v>411724.1720504851</v>
      </c>
      <c r="M89" s="571">
        <f t="shared" si="24"/>
        <v>405307.21853047953</v>
      </c>
      <c r="N89" s="571">
        <f t="shared" si="24"/>
        <v>398951.6511383187</v>
      </c>
      <c r="O89" s="571">
        <f t="shared" si="24"/>
        <v>392079.91456522048</v>
      </c>
      <c r="P89" s="571">
        <f t="shared" si="24"/>
        <v>385275.84031388676</v>
      </c>
      <c r="Q89" s="571">
        <f t="shared" si="24"/>
        <v>378538.74306633085</v>
      </c>
      <c r="R89" s="571">
        <f t="shared" si="24"/>
        <v>371867.94485344656</v>
      </c>
      <c r="S89" s="571">
        <f t="shared" si="24"/>
        <v>365262.77512280474</v>
      </c>
      <c r="T89" s="571">
        <f t="shared" si="24"/>
        <v>358508.09020690236</v>
      </c>
      <c r="U89" s="571">
        <f t="shared" si="24"/>
        <v>351822.25116078358</v>
      </c>
      <c r="V89" s="571">
        <f t="shared" si="24"/>
        <v>345204.54586738272</v>
      </c>
      <c r="W89" s="571">
        <f t="shared" si="24"/>
        <v>338654.27073188848</v>
      </c>
      <c r="X89" s="571">
        <f t="shared" si="24"/>
        <v>332170.73077959637</v>
      </c>
      <c r="Y89" s="571">
        <f t="shared" si="24"/>
        <v>325492.69600328762</v>
      </c>
      <c r="Z89" s="571">
        <f t="shared" si="24"/>
        <v>318880.05198972655</v>
      </c>
      <c r="AA89" s="571">
        <f t="shared" si="24"/>
        <v>312332.0133231795</v>
      </c>
      <c r="AB89" s="571">
        <f t="shared" si="24"/>
        <v>305847.80414055334</v>
      </c>
      <c r="AC89" s="571">
        <f t="shared" si="24"/>
        <v>299426.65830025059</v>
      </c>
      <c r="AD89" s="571">
        <f t="shared" si="24"/>
        <v>292994.56980423001</v>
      </c>
      <c r="AE89" s="571">
        <f t="shared" si="24"/>
        <v>286625.8173439306</v>
      </c>
      <c r="AF89" s="571">
        <f t="shared" si="24"/>
        <v>280319.63581684319</v>
      </c>
      <c r="AG89" s="571">
        <f t="shared" si="24"/>
        <v>274075.27105929493</v>
      </c>
      <c r="AH89" s="571">
        <f t="shared" si="24"/>
        <v>267891.98008163535</v>
      </c>
      <c r="AI89" s="56"/>
    </row>
    <row r="90" spans="1:35" s="62" customFormat="1">
      <c r="A90" s="608"/>
      <c r="B90" s="58" t="s">
        <v>605</v>
      </c>
      <c r="C90" s="233" t="s">
        <v>1420</v>
      </c>
      <c r="D90" s="528">
        <f t="shared" si="25"/>
        <v>395269.29735983856</v>
      </c>
      <c r="E90" s="528">
        <f t="shared" si="24"/>
        <v>387570.69788560702</v>
      </c>
      <c r="F90" s="528">
        <f t="shared" si="24"/>
        <v>387560.06709704635</v>
      </c>
      <c r="G90" s="528">
        <f t="shared" si="24"/>
        <v>396920.57467122446</v>
      </c>
      <c r="H90" s="528">
        <f t="shared" si="24"/>
        <v>364114.41696602269</v>
      </c>
      <c r="I90" s="528">
        <f t="shared" si="24"/>
        <v>356537.23433532385</v>
      </c>
      <c r="J90" s="528">
        <f t="shared" si="24"/>
        <v>348997.23103732325</v>
      </c>
      <c r="K90" s="528">
        <f t="shared" si="24"/>
        <v>341540.10471404047</v>
      </c>
      <c r="L90" s="528">
        <f t="shared" si="24"/>
        <v>334165.0170728853</v>
      </c>
      <c r="M90" s="528">
        <f t="shared" si="24"/>
        <v>326871.13692365895</v>
      </c>
      <c r="N90" s="528">
        <f t="shared" si="24"/>
        <v>319657.64011701383</v>
      </c>
      <c r="O90" s="528">
        <f t="shared" si="24"/>
        <v>310753.21943385853</v>
      </c>
      <c r="P90" s="528">
        <f t="shared" si="24"/>
        <v>302964.83014681865</v>
      </c>
      <c r="Q90" s="528">
        <f t="shared" si="24"/>
        <v>294420.82502235245</v>
      </c>
      <c r="R90" s="528">
        <f t="shared" si="24"/>
        <v>285976.35824282392</v>
      </c>
      <c r="S90" s="528">
        <f t="shared" si="24"/>
        <v>277630.40234480711</v>
      </c>
      <c r="T90" s="528">
        <f t="shared" si="24"/>
        <v>269310.25223350362</v>
      </c>
      <c r="U90" s="528">
        <f t="shared" si="24"/>
        <v>261088.10080260751</v>
      </c>
      <c r="V90" s="528">
        <f t="shared" si="24"/>
        <v>252962.92561136364</v>
      </c>
      <c r="W90" s="528">
        <f t="shared" si="24"/>
        <v>244933.71315806237</v>
      </c>
      <c r="X90" s="528">
        <f t="shared" si="24"/>
        <v>236999.45880216939</v>
      </c>
      <c r="Y90" s="528">
        <f t="shared" si="24"/>
        <v>230423.74763868185</v>
      </c>
      <c r="Z90" s="528">
        <f t="shared" si="24"/>
        <v>223992.59573901643</v>
      </c>
      <c r="AA90" s="528">
        <f t="shared" si="24"/>
        <v>217635.55948409907</v>
      </c>
      <c r="AB90" s="528">
        <f t="shared" si="24"/>
        <v>211351.85186115804</v>
      </c>
      <c r="AC90" s="528">
        <f t="shared" si="24"/>
        <v>205140.69274617077</v>
      </c>
      <c r="AD90" s="528">
        <f t="shared" si="24"/>
        <v>198976.82634060978</v>
      </c>
      <c r="AE90" s="528">
        <f t="shared" si="24"/>
        <v>192884.56191129136</v>
      </c>
      <c r="AF90" s="528">
        <f t="shared" si="24"/>
        <v>186863.12986195963</v>
      </c>
      <c r="AG90" s="528">
        <f t="shared" si="24"/>
        <v>180911.76738611437</v>
      </c>
      <c r="AH90" s="528">
        <f t="shared" si="24"/>
        <v>175029.71840819009</v>
      </c>
      <c r="AI90" s="234"/>
    </row>
    <row r="91" spans="1:35">
      <c r="A91" s="248"/>
      <c r="C91" s="50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40"/>
    </row>
    <row r="92" spans="1:35" s="61" customFormat="1">
      <c r="A92" s="54" t="s">
        <v>386</v>
      </c>
      <c r="B92" s="54" t="s">
        <v>200</v>
      </c>
      <c r="C92" s="93" t="s">
        <v>1420</v>
      </c>
      <c r="D92" s="572">
        <f>D33</f>
        <v>1749397.7312644324</v>
      </c>
      <c r="E92" s="572">
        <f t="shared" ref="E92:AH92" si="26">E33</f>
        <v>1712790.060832317</v>
      </c>
      <c r="F92" s="572">
        <f t="shared" si="26"/>
        <v>1676607.6193666181</v>
      </c>
      <c r="G92" s="572">
        <f t="shared" si="26"/>
        <v>1640846.2582685074</v>
      </c>
      <c r="H92" s="572">
        <f t="shared" si="26"/>
        <v>1605501.8661080259</v>
      </c>
      <c r="I92" s="572">
        <f t="shared" si="26"/>
        <v>1570570.3683075213</v>
      </c>
      <c r="J92" s="572">
        <f t="shared" si="26"/>
        <v>1536047.726827699</v>
      </c>
      <c r="K92" s="572">
        <f t="shared" si="26"/>
        <v>1501929.9398562522</v>
      </c>
      <c r="L92" s="572">
        <f t="shared" si="26"/>
        <v>1468213.0414990631</v>
      </c>
      <c r="M92" s="572">
        <f t="shared" si="26"/>
        <v>1434893.1014739457</v>
      </c>
      <c r="N92" s="572">
        <f t="shared" si="26"/>
        <v>1401966.2248069122</v>
      </c>
      <c r="O92" s="572">
        <f t="shared" si="26"/>
        <v>1359158.8913315528</v>
      </c>
      <c r="P92" s="572">
        <f t="shared" si="26"/>
        <v>1322621.1366650017</v>
      </c>
      <c r="Q92" s="572">
        <f t="shared" si="26"/>
        <v>1281737.6793652787</v>
      </c>
      <c r="R92" s="572">
        <f t="shared" si="26"/>
        <v>1241359.7605890168</v>
      </c>
      <c r="S92" s="572">
        <f t="shared" si="26"/>
        <v>1201482.3201395324</v>
      </c>
      <c r="T92" s="572">
        <f t="shared" si="26"/>
        <v>1162100.3437938106</v>
      </c>
      <c r="U92" s="572">
        <f t="shared" si="26"/>
        <v>1123208.8629075005</v>
      </c>
      <c r="V92" s="572">
        <f t="shared" si="26"/>
        <v>1084802.9540231859</v>
      </c>
      <c r="W92" s="572">
        <f t="shared" si="26"/>
        <v>1046877.7384819012</v>
      </c>
      <c r="X92" s="572">
        <f t="shared" si="26"/>
        <v>1009428.3820378692</v>
      </c>
      <c r="Y92" s="572">
        <f t="shared" si="26"/>
        <v>980273.23813359533</v>
      </c>
      <c r="Z92" s="572">
        <f t="shared" si="26"/>
        <v>951864.96154561872</v>
      </c>
      <c r="AA92" s="572">
        <f t="shared" si="26"/>
        <v>923804.99014000315</v>
      </c>
      <c r="AB92" s="572">
        <f t="shared" si="26"/>
        <v>896089.84922485822</v>
      </c>
      <c r="AC92" s="572">
        <f t="shared" si="26"/>
        <v>868716.09562045918</v>
      </c>
      <c r="AD92" s="572">
        <f t="shared" si="26"/>
        <v>841680.31738880021</v>
      </c>
      <c r="AE92" s="572">
        <f t="shared" si="26"/>
        <v>814979.13356538443</v>
      </c>
      <c r="AF92" s="572">
        <f t="shared" si="26"/>
        <v>788609.19389323704</v>
      </c>
      <c r="AG92" s="572">
        <f t="shared" si="26"/>
        <v>762567.1785591204</v>
      </c>
      <c r="AH92" s="572">
        <f t="shared" si="26"/>
        <v>736849.79793193343</v>
      </c>
    </row>
    <row r="93" spans="1:35" outlineLevel="1">
      <c r="A93"/>
      <c r="B93" t="s">
        <v>266</v>
      </c>
      <c r="C93" s="50" t="s">
        <v>1420</v>
      </c>
      <c r="D93" s="183">
        <f>'Ethylene Recycling LC'!C64-'Ethylene Recycling LC'!$C$64</f>
        <v>0</v>
      </c>
      <c r="E93" s="183">
        <f>'Ethylene Recycling LC'!D64-'Ethylene Recycling LC'!$C$64</f>
        <v>8987.4057841153408</v>
      </c>
      <c r="F93" s="183">
        <f>'Ethylene Recycling LC'!E64-'Ethylene Recycling LC'!$C$64</f>
        <v>17604.503946876852</v>
      </c>
      <c r="G93" s="183">
        <f>'Ethylene Recycling LC'!F64-'Ethylene Recycling LC'!$C$64</f>
        <v>25848.757700689399</v>
      </c>
      <c r="H93" s="183">
        <f>'Ethylene Recycling LC'!G64-'Ethylene Recycling LC'!$C$64</f>
        <v>33717.663096321106</v>
      </c>
      <c r="I93" s="183">
        <f>'Ethylene Recycling LC'!H64-'Ethylene Recycling LC'!$C$64</f>
        <v>41208.748822829482</v>
      </c>
      <c r="J93" s="183">
        <f>'Ethylene Recycling LC'!I64-'Ethylene Recycling LC'!$C$64</f>
        <v>48319.57600841159</v>
      </c>
      <c r="K93" s="183">
        <f>'Ethylene Recycling LC'!J64-'Ethylene Recycling LC'!$C$64</f>
        <v>55047.738022175821</v>
      </c>
      <c r="L93" s="183">
        <f>'Ethylene Recycling LC'!K64-'Ethylene Recycling LC'!$C$64</f>
        <v>61390.860276830004</v>
      </c>
      <c r="M93" s="183">
        <f>'Ethylene Recycling LC'!L64-'Ethylene Recycling LC'!$C$64</f>
        <v>67346.600032283633</v>
      </c>
      <c r="N93" s="183">
        <f>'Ethylene Recycling LC'!M64-'Ethylene Recycling LC'!$C$64</f>
        <v>72912.646200160088</v>
      </c>
      <c r="O93" s="183">
        <f>'Ethylene Recycling LC'!N64-'Ethylene Recycling LC'!$C$64</f>
        <v>79028.247423442925</v>
      </c>
      <c r="P93" s="183">
        <f>'Ethylene Recycling LC'!O64-'Ethylene Recycling LC'!$C$64</f>
        <v>85562.174019773782</v>
      </c>
      <c r="Q93" s="183">
        <f>'Ethylene Recycling LC'!P64-'Ethylene Recycling LC'!$C$64</f>
        <v>90347.400367655529</v>
      </c>
      <c r="R93" s="183">
        <f>'Ethylene Recycling LC'!Q64-'Ethylene Recycling LC'!$C$64</f>
        <v>94346.35694347875</v>
      </c>
      <c r="S93" s="183">
        <f>'Ethylene Recycling LC'!R64-'Ethylene Recycling LC'!$C$64</f>
        <v>97554.953997101635</v>
      </c>
      <c r="T93" s="183">
        <f>'Ethylene Recycling LC'!S64-'Ethylene Recycling LC'!$C$64</f>
        <v>99969.1606715378</v>
      </c>
      <c r="U93" s="183">
        <f>'Ethylene Recycling LC'!T64-'Ethylene Recycling LC'!$C$64</f>
        <v>101585.00463622031</v>
      </c>
      <c r="V93" s="183">
        <f>'Ethylene Recycling LC'!U64-'Ethylene Recycling LC'!$C$64</f>
        <v>102398.57172197572</v>
      </c>
      <c r="W93" s="183">
        <f>'Ethylene Recycling LC'!V64-'Ethylene Recycling LC'!$C$64</f>
        <v>102406.00555770358</v>
      </c>
      <c r="X93" s="183">
        <f>'Ethylene Recycling LC'!W64-'Ethylene Recycling LC'!$C$64</f>
        <v>101603.50720875236</v>
      </c>
      <c r="Y93" s="183">
        <f>'Ethylene Recycling LC'!X64-'Ethylene Recycling LC'!$C$64</f>
        <v>108199.90284590202</v>
      </c>
      <c r="Z93" s="183">
        <f>'Ethylene Recycling LC'!Y64-'Ethylene Recycling LC'!$C$64</f>
        <v>113998.31068794642</v>
      </c>
      <c r="AA93" s="183">
        <f>'Ethylene Recycling LC'!Z64-'Ethylene Recycling LC'!$C$64</f>
        <v>118865.92890001688</v>
      </c>
      <c r="AB93" s="183">
        <f>'Ethylene Recycling LC'!AA64-'Ethylene Recycling LC'!$C$64</f>
        <v>122798.28513732532</v>
      </c>
      <c r="AC93" s="183">
        <f>'Ethylene Recycling LC'!AB64-'Ethylene Recycling LC'!$C$64</f>
        <v>125790.97350833312</v>
      </c>
      <c r="AD93" s="183">
        <f>'Ethylene Recycling LC'!AC64-'Ethylene Recycling LC'!$C$64</f>
        <v>127839.6541586387</v>
      </c>
      <c r="AE93" s="183">
        <f>'Ethylene Recycling LC'!AD64-'Ethylene Recycling LC'!$C$64</f>
        <v>128940.05285681193</v>
      </c>
      <c r="AF93" s="183">
        <f>'Ethylene Recycling LC'!AE64-'Ethylene Recycling LC'!$C$64</f>
        <v>129087.96058216543</v>
      </c>
      <c r="AG93" s="183">
        <f>'Ethylene Recycling LC'!AF64-'Ethylene Recycling LC'!$C$64</f>
        <v>128279.23311445789</v>
      </c>
      <c r="AH93" s="183">
        <f>'Ethylene Recycling LC'!AG64-'Ethylene Recycling LC'!$C$64</f>
        <v>126509.79062551862</v>
      </c>
    </row>
    <row r="94" spans="1:35" outlineLevel="1">
      <c r="A94"/>
      <c r="B94" s="160" t="s">
        <v>269</v>
      </c>
      <c r="C94" s="50" t="s">
        <v>1420</v>
      </c>
      <c r="D94" s="183">
        <f>'Ethylene Recycling LC'!C115-'Ethylene Recycling LC'!$C$115</f>
        <v>0</v>
      </c>
      <c r="E94" s="183">
        <f>'Ethylene Recycling LC'!D115-'Ethylene Recycling LC'!$C$115</f>
        <v>31.008411721746825</v>
      </c>
      <c r="F94" s="183">
        <f>'Ethylene Recycling LC'!E115-'Ethylene Recycling LC'!$C$115</f>
        <v>58.537994333750021</v>
      </c>
      <c r="G94" s="183">
        <f>'Ethylene Recycling LC'!F115-'Ethylene Recycling LC'!$C$115</f>
        <v>82.660981442594107</v>
      </c>
      <c r="H94" s="183">
        <f>'Ethylene Recycling LC'!G115-'Ethylene Recycling LC'!$C$115</f>
        <v>103.44906918120887</v>
      </c>
      <c r="I94" s="183">
        <f>'Ethylene Recycling LC'!H115-'Ethylene Recycling LC'!$C$115</f>
        <v>120.97341899176104</v>
      </c>
      <c r="J94" s="183">
        <f>'Ethylene Recycling LC'!I115-'Ethylene Recycling LC'!$C$115</f>
        <v>135.30466039665828</v>
      </c>
      <c r="K94" s="183">
        <f>'Ethylene Recycling LC'!J115-'Ethylene Recycling LC'!$C$115</f>
        <v>146.51289375771501</v>
      </c>
      <c r="L94" s="183">
        <f>'Ethylene Recycling LC'!K115-'Ethylene Recycling LC'!$C$115</f>
        <v>154.66769302352691</v>
      </c>
      <c r="M94" s="183">
        <f>'Ethylene Recycling LC'!L115-'Ethylene Recycling LC'!$C$115</f>
        <v>159.83810846509414</v>
      </c>
      <c r="N94" s="183">
        <f>'Ethylene Recycling LC'!M115-'Ethylene Recycling LC'!$C$115</f>
        <v>162.09266939973918</v>
      </c>
      <c r="O94" s="183">
        <f>'Ethylene Recycling LC'!N115-'Ethylene Recycling LC'!$C$115</f>
        <v>149.28631159189081</v>
      </c>
      <c r="P94" s="183">
        <f>'Ethylene Recycling LC'!O115-'Ethylene Recycling LC'!$C$115</f>
        <v>134.7854168314534</v>
      </c>
      <c r="Q94" s="183">
        <f>'Ethylene Recycling LC'!P115-'Ethylene Recycling LC'!$C$115</f>
        <v>115.79860269002313</v>
      </c>
      <c r="R94" s="183">
        <f>'Ethylene Recycling LC'!Q115-'Ethylene Recycling LC'!$C$115</f>
        <v>95.319625261162287</v>
      </c>
      <c r="S94" s="183">
        <f>'Ethylene Recycling LC'!R115-'Ethylene Recycling LC'!$C$115</f>
        <v>73.408315128425443</v>
      </c>
      <c r="T94" s="183">
        <f>'Ethylene Recycling LC'!S115-'Ethylene Recycling LC'!$C$115</f>
        <v>50.123644876398544</v>
      </c>
      <c r="U94" s="183">
        <f>'Ethylene Recycling LC'!T115-'Ethylene Recycling LC'!$C$115</f>
        <v>25.523732029464668</v>
      </c>
      <c r="V94" s="183">
        <f>'Ethylene Recycling LC'!U115-'Ethylene Recycling LC'!$C$115</f>
        <v>-0.33415794429083689</v>
      </c>
      <c r="W94" s="183">
        <f>'Ethylene Recycling LC'!V115-'Ethylene Recycling LC'!$C$115</f>
        <v>-27.393608565078694</v>
      </c>
      <c r="X94" s="183">
        <f>'Ethylene Recycling LC'!W115-'Ethylene Recycling LC'!$C$115</f>
        <v>-55.599049210322391</v>
      </c>
      <c r="Y94" s="183">
        <f>'Ethylene Recycling LC'!X115-'Ethylene Recycling LC'!$C$115</f>
        <v>-77.296375455115935</v>
      </c>
      <c r="Z94" s="183">
        <f>'Ethylene Recycling LC'!Y115-'Ethylene Recycling LC'!$C$115</f>
        <v>-101.08114215093849</v>
      </c>
      <c r="AA94" s="183">
        <f>'Ethylene Recycling LC'!Z115-'Ethylene Recycling LC'!$C$115</f>
        <v>-131.69344620111826</v>
      </c>
      <c r="AB94" s="183">
        <f>'Ethylene Recycling LC'!AA115-'Ethylene Recycling LC'!$C$115</f>
        <v>-163.81229978119006</v>
      </c>
      <c r="AC94" s="183">
        <f>'Ethylene Recycling LC'!AB115-'Ethylene Recycling LC'!$C$115</f>
        <v>-197.30079264046287</v>
      </c>
      <c r="AD94" s="183">
        <f>'Ethylene Recycling LC'!AC115-'Ethylene Recycling LC'!$C$115</f>
        <v>-232.02524537429122</v>
      </c>
      <c r="AE94" s="183">
        <f>'Ethylene Recycling LC'!AD115-'Ethylene Recycling LC'!$C$115</f>
        <v>-267.8552338366643</v>
      </c>
      <c r="AF94" s="183">
        <f>'Ethylene Recycling LC'!AE115-'Ethylene Recycling LC'!$C$115</f>
        <v>-304.66361120565165</v>
      </c>
      <c r="AG94" s="183">
        <f>'Ethylene Recycling LC'!AF115-'Ethylene Recycling LC'!$C$115</f>
        <v>-342.32652773437218</v>
      </c>
      <c r="AH94" s="183">
        <f>'Ethylene Recycling LC'!AG115-'Ethylene Recycling LC'!$C$115</f>
        <v>-380.72344821987093</v>
      </c>
    </row>
    <row r="95" spans="1:35" s="62" customFormat="1">
      <c r="A95" s="58"/>
      <c r="B95" s="58" t="s">
        <v>267</v>
      </c>
      <c r="C95" s="59" t="s">
        <v>1420</v>
      </c>
      <c r="D95" s="577">
        <f>D92-D93-D94</f>
        <v>1749397.7312644324</v>
      </c>
      <c r="E95" s="577">
        <f t="shared" ref="E95:AG95" si="27">E92-E93-E94</f>
        <v>1703771.6466364798</v>
      </c>
      <c r="F95" s="577">
        <f t="shared" si="27"/>
        <v>1658944.5774254075</v>
      </c>
      <c r="G95" s="577">
        <f t="shared" si="27"/>
        <v>1614914.8395863755</v>
      </c>
      <c r="H95" s="577">
        <f t="shared" si="27"/>
        <v>1571680.7539425236</v>
      </c>
      <c r="I95" s="577">
        <f t="shared" si="27"/>
        <v>1529240.6460657001</v>
      </c>
      <c r="J95" s="577">
        <f t="shared" si="27"/>
        <v>1487592.8461588908</v>
      </c>
      <c r="K95" s="577">
        <f t="shared" si="27"/>
        <v>1446735.6889403185</v>
      </c>
      <c r="L95" s="577">
        <f t="shared" si="27"/>
        <v>1406667.5135292097</v>
      </c>
      <c r="M95" s="577">
        <f t="shared" si="27"/>
        <v>1367386.6633331969</v>
      </c>
      <c r="N95" s="577">
        <f t="shared" si="27"/>
        <v>1328891.4859373525</v>
      </c>
      <c r="O95" s="577">
        <f t="shared" si="27"/>
        <v>1279981.3575965178</v>
      </c>
      <c r="P95" s="577">
        <f t="shared" si="27"/>
        <v>1236924.1772283965</v>
      </c>
      <c r="Q95" s="577">
        <f t="shared" si="27"/>
        <v>1191274.4803949331</v>
      </c>
      <c r="R95" s="577">
        <f t="shared" si="27"/>
        <v>1146918.0840202768</v>
      </c>
      <c r="S95" s="577">
        <f t="shared" si="27"/>
        <v>1103853.9578273024</v>
      </c>
      <c r="T95" s="577">
        <f t="shared" si="27"/>
        <v>1062081.0594773965</v>
      </c>
      <c r="U95" s="577">
        <f t="shared" si="27"/>
        <v>1021598.3345392507</v>
      </c>
      <c r="V95" s="577">
        <f t="shared" si="27"/>
        <v>982404.7164591545</v>
      </c>
      <c r="W95" s="577">
        <f t="shared" si="27"/>
        <v>944499.12653276278</v>
      </c>
      <c r="X95" s="577">
        <f t="shared" si="27"/>
        <v>907880.47387832718</v>
      </c>
      <c r="Y95" s="577">
        <f t="shared" si="27"/>
        <v>872150.63166314841</v>
      </c>
      <c r="Z95" s="577">
        <f t="shared" si="27"/>
        <v>837967.73199982324</v>
      </c>
      <c r="AA95" s="577">
        <f t="shared" si="27"/>
        <v>805070.75468618737</v>
      </c>
      <c r="AB95" s="577">
        <f t="shared" si="27"/>
        <v>773455.37638731417</v>
      </c>
      <c r="AC95" s="577">
        <f t="shared" si="27"/>
        <v>743122.42290476651</v>
      </c>
      <c r="AD95" s="577">
        <f t="shared" si="27"/>
        <v>714072.68847553583</v>
      </c>
      <c r="AE95" s="577">
        <f t="shared" si="27"/>
        <v>686306.93594240921</v>
      </c>
      <c r="AF95" s="577">
        <f t="shared" si="27"/>
        <v>659825.89692227729</v>
      </c>
      <c r="AG95" s="577">
        <f t="shared" si="27"/>
        <v>634630.27197239688</v>
      </c>
      <c r="AH95" s="577">
        <f>AH92-AH93-AH94</f>
        <v>610720.7307546346</v>
      </c>
    </row>
    <row r="96" spans="1:35" s="61" customFormat="1">
      <c r="A96" s="606" t="s">
        <v>608</v>
      </c>
      <c r="B96" s="54" t="s">
        <v>141</v>
      </c>
      <c r="C96" s="55" t="s">
        <v>1420</v>
      </c>
      <c r="D96" s="571">
        <f>D34-('Ethylene Recycling LC'!C65+'Ethylene Recycling LC'!C116-'Ethylene Recycling LC'!$C$65-'Ethylene Recycling LC'!$C$116)</f>
        <v>1121142.3305785127</v>
      </c>
      <c r="E96" s="571">
        <f>E34-('Ethylene Recycling LC'!D65+'Ethylene Recycling LC'!D116-'Ethylene Recycling LC'!$C$65-'Ethylene Recycling LC'!$C$116)</f>
        <v>1084418.3391355581</v>
      </c>
      <c r="F96" s="571">
        <f>F34-('Ethylene Recycling LC'!E65+'Ethylene Recycling LC'!E116-'Ethylene Recycling LC'!$C$65-'Ethylene Recycling LC'!$C$116)</f>
        <v>1048406.2614583074</v>
      </c>
      <c r="G96" s="571">
        <f>G34-('Ethylene Recycling LC'!F65+'Ethylene Recycling LC'!F116-'Ethylene Recycling LC'!$C$65-'Ethylene Recycling LC'!$C$116)</f>
        <v>1013103.4675512128</v>
      </c>
      <c r="H96" s="571">
        <f>H34-('Ethylene Recycling LC'!G65+'Ethylene Recycling LC'!G116-'Ethylene Recycling LC'!$C$65-'Ethylene Recycling LC'!$C$116)</f>
        <v>978507.31987187685</v>
      </c>
      <c r="I96" s="571">
        <f>I34-('Ethylene Recycling LC'!H65+'Ethylene Recycling LC'!H116-'Ethylene Recycling LC'!$C$65-'Ethylene Recycling LC'!$C$116)</f>
        <v>944615.17341422592</v>
      </c>
      <c r="J96" s="571">
        <f>J34-('Ethylene Recycling LC'!I65+'Ethylene Recycling LC'!I116-'Ethylene Recycling LC'!$C$65-'Ethylene Recycling LC'!$C$116)</f>
        <v>911424.3757917739</v>
      </c>
      <c r="K96" s="571">
        <f>K34-('Ethylene Recycling LC'!J65+'Ethylene Recycling LC'!J116-'Ethylene Recycling LC'!$C$65-'Ethylene Recycling LC'!$C$116)</f>
        <v>878932.26732097392</v>
      </c>
      <c r="L96" s="571">
        <f>L34-('Ethylene Recycling LC'!K65+'Ethylene Recycling LC'!K116-'Ethylene Recycling LC'!$C$65-'Ethylene Recycling LC'!$C$116)</f>
        <v>847136.18110464257</v>
      </c>
      <c r="M96" s="571">
        <f>M34-('Ethylene Recycling LC'!L65+'Ethylene Recycling LC'!L116-'Ethylene Recycling LC'!$C$65-'Ethylene Recycling LC'!$C$116)</f>
        <v>816033.44311545452</v>
      </c>
      <c r="N96" s="571">
        <f>N34-('Ethylene Recycling LC'!M65+'Ethylene Recycling LC'!M116-'Ethylene Recycling LC'!$C$65-'Ethylene Recycling LC'!$C$116)</f>
        <v>785621.37227949814</v>
      </c>
      <c r="O96" s="571">
        <f>O34-('Ethylene Recycling LC'!N65+'Ethylene Recycling LC'!N116-'Ethylene Recycling LC'!$C$65-'Ethylene Recycling LC'!$C$116)</f>
        <v>746026.22238587798</v>
      </c>
      <c r="P96" s="571">
        <f>P34-('Ethylene Recycling LC'!O65+'Ethylene Recycling LC'!O116-'Ethylene Recycling LC'!$C$65-'Ethylene Recycling LC'!$C$116)</f>
        <v>711620.08820010093</v>
      </c>
      <c r="Q96" s="571">
        <f>Q34-('Ethylene Recycling LC'!P65+'Ethylene Recycling LC'!P116-'Ethylene Recycling LC'!$C$65-'Ethylene Recycling LC'!$C$116)</f>
        <v>674917.87705532613</v>
      </c>
      <c r="R96" s="571">
        <f>R34-('Ethylene Recycling LC'!Q65+'Ethylene Recycling LC'!Q116-'Ethylene Recycling LC'!$C$65-'Ethylene Recycling LC'!$C$116)</f>
        <v>639360.37047449034</v>
      </c>
      <c r="S96" s="571">
        <f>S34-('Ethylene Recycling LC'!R65+'Ethylene Recycling LC'!R116-'Ethylene Recycling LC'!$C$65-'Ethylene Recycling LC'!$C$116)</f>
        <v>604944.06005820062</v>
      </c>
      <c r="T96" s="571">
        <f>T34-('Ethylene Recycling LC'!S65+'Ethylene Recycling LC'!S116-'Ethylene Recycling LC'!$C$65-'Ethylene Recycling LC'!$C$116)</f>
        <v>571665.40630930103</v>
      </c>
      <c r="U96" s="571">
        <f>U34-('Ethylene Recycling LC'!T65+'Ethylene Recycling LC'!T116-'Ethylene Recycling LC'!$C$65-'Ethylene Recycling LC'!$C$116)</f>
        <v>539520.83893206553</v>
      </c>
      <c r="V96" s="571">
        <f>V34-('Ethylene Recycling LC'!U65+'Ethylene Recycling LC'!U116-'Ethylene Recycling LC'!$C$65-'Ethylene Recycling LC'!$C$116)</f>
        <v>508506.75713011366</v>
      </c>
      <c r="W96" s="571">
        <f>W34-('Ethylene Recycling LC'!V65+'Ethylene Recycling LC'!V116-'Ethylene Recycling LC'!$C$65-'Ethylene Recycling LC'!$C$116)</f>
        <v>478619.52990305831</v>
      </c>
      <c r="X96" s="571">
        <f>X34-('Ethylene Recycling LC'!W65+'Ethylene Recycling LC'!W116-'Ethylene Recycling LC'!$C$65-'Ethylene Recycling LC'!$C$116)</f>
        <v>449855.49634188454</v>
      </c>
      <c r="Y96" s="571">
        <f>Y34-('Ethylene Recycling LC'!X65+'Ethylene Recycling LC'!X116-'Ethylene Recycling LC'!$C$65-'Ethylene Recycling LC'!$C$116)</f>
        <v>420980.78453318472</v>
      </c>
      <c r="Z96" s="571">
        <f>Z34-('Ethylene Recycling LC'!Y65+'Ethylene Recycling LC'!Y116-'Ethylene Recycling LC'!$C$65-'Ethylene Recycling LC'!$C$116)</f>
        <v>393933.86825522658</v>
      </c>
      <c r="AA96" s="571">
        <f>AA34-('Ethylene Recycling LC'!Z65+'Ethylene Recycling LC'!Z116-'Ethylene Recycling LC'!$C$65-'Ethylene Recycling LC'!$C$116)</f>
        <v>368024.69789331674</v>
      </c>
      <c r="AB96" s="571">
        <f>AB34-('Ethylene Recycling LC'!AA65+'Ethylene Recycling LC'!AA116-'Ethylene Recycling LC'!$C$65-'Ethylene Recycling LC'!$C$116)</f>
        <v>343248.21184319665</v>
      </c>
      <c r="AC96" s="571">
        <f>AC34-('Ethylene Recycling LC'!AB65+'Ethylene Recycling LC'!AB116-'Ethylene Recycling LC'!$C$65-'Ethylene Recycling LC'!$C$116)</f>
        <v>319601.92726400384</v>
      </c>
      <c r="AD96" s="571">
        <f>AD34-('Ethylene Recycling LC'!AC65+'Ethylene Recycling LC'!AC116-'Ethylene Recycling LC'!$C$65-'Ethylene Recycling LC'!$C$116)</f>
        <v>297083.31581132469</v>
      </c>
      <c r="AE96" s="571">
        <f>AE34-('Ethylene Recycling LC'!AD65+'Ethylene Recycling LC'!AD116-'Ethylene Recycling LC'!$C$65-'Ethylene Recycling LC'!$C$116)</f>
        <v>275689.80396819214</v>
      </c>
      <c r="AF96" s="571">
        <f>AF34-('Ethylene Recycling LC'!AE65+'Ethylene Recycling LC'!AE116-'Ethylene Recycling LC'!$C$65-'Ethylene Recycling LC'!$C$116)</f>
        <v>255418.77337012204</v>
      </c>
      <c r="AG96" s="571">
        <f>AG34-('Ethylene Recycling LC'!AF65+'Ethylene Recycling LC'!AF116-'Ethylene Recycling LC'!$C$65-'Ethylene Recycling LC'!$C$116)</f>
        <v>236267.56112443493</v>
      </c>
      <c r="AH96" s="571">
        <f>AH34-('Ethylene Recycling LC'!AG65+'Ethylene Recycling LC'!AG116-'Ethylene Recycling LC'!$C$65-'Ethylene Recycling LC'!$C$116)</f>
        <v>218233.46012412279</v>
      </c>
      <c r="AI96" s="56"/>
    </row>
    <row r="97" spans="1:36">
      <c r="A97" s="607"/>
      <c r="B97" s="1" t="s">
        <v>18</v>
      </c>
      <c r="C97" s="50" t="s">
        <v>1420</v>
      </c>
      <c r="D97" s="183">
        <f>D35+(D101-D39)</f>
        <v>921454.73749526253</v>
      </c>
      <c r="E97" s="183">
        <f t="shared" ref="E97:AH97" si="28">E35+(E101-E39)</f>
        <v>901748.71152129932</v>
      </c>
      <c r="F97" s="183">
        <f t="shared" si="28"/>
        <v>882319.16182635841</v>
      </c>
      <c r="G97" s="183">
        <f t="shared" si="28"/>
        <v>863162.41735507664</v>
      </c>
      <c r="H97" s="183">
        <f t="shared" si="28"/>
        <v>844274.80930779083</v>
      </c>
      <c r="I97" s="183">
        <f t="shared" si="28"/>
        <v>825652.67123181093</v>
      </c>
      <c r="J97" s="183">
        <f t="shared" si="28"/>
        <v>807292.3391122194</v>
      </c>
      <c r="K97" s="183">
        <f t="shared" si="28"/>
        <v>789190.15146218985</v>
      </c>
      <c r="L97" s="183">
        <f t="shared" si="28"/>
        <v>771342.44941282785</v>
      </c>
      <c r="M97" s="183">
        <f t="shared" si="28"/>
        <v>753745.57680253254</v>
      </c>
      <c r="N97" s="183">
        <f t="shared" si="28"/>
        <v>736395.88026587327</v>
      </c>
      <c r="O97" s="183">
        <f t="shared" si="28"/>
        <v>713827.77993309218</v>
      </c>
      <c r="P97" s="183">
        <f t="shared" si="28"/>
        <v>694557.53231680382</v>
      </c>
      <c r="Q97" s="183">
        <f t="shared" si="28"/>
        <v>673110.3075539358</v>
      </c>
      <c r="R97" s="183">
        <f t="shared" si="28"/>
        <v>651984.0722648364</v>
      </c>
      <c r="S97" s="183">
        <f t="shared" si="28"/>
        <v>631172.84497169964</v>
      </c>
      <c r="T97" s="183">
        <f t="shared" si="28"/>
        <v>610670.64114579919</v>
      </c>
      <c r="U97" s="183">
        <f t="shared" si="28"/>
        <v>590471.47345610685</v>
      </c>
      <c r="V97" s="183">
        <f t="shared" si="28"/>
        <v>570569.35201627261</v>
      </c>
      <c r="W97" s="183">
        <f t="shared" si="28"/>
        <v>550958.28462997114</v>
      </c>
      <c r="X97" s="183">
        <f t="shared" si="28"/>
        <v>531632.27703462006</v>
      </c>
      <c r="Y97" s="183">
        <f t="shared" si="28"/>
        <v>516369.54248480476</v>
      </c>
      <c r="Z97" s="183">
        <f t="shared" si="28"/>
        <v>501551.39285883843</v>
      </c>
      <c r="AA97" s="183">
        <f t="shared" si="28"/>
        <v>486969.36621642183</v>
      </c>
      <c r="AB97" s="183">
        <f t="shared" si="28"/>
        <v>472617.62818883592</v>
      </c>
      <c r="AC97" s="183">
        <f t="shared" si="28"/>
        <v>458490.33198167558</v>
      </c>
      <c r="AD97" s="183">
        <f t="shared" si="28"/>
        <v>444581.61874221714</v>
      </c>
      <c r="AE97" s="183">
        <f t="shared" si="28"/>
        <v>430885.61792417569</v>
      </c>
      <c r="AF97" s="183">
        <f t="shared" si="28"/>
        <v>417396.44764986483</v>
      </c>
      <c r="AG97" s="183">
        <f t="shared" si="28"/>
        <v>404108.21506977035</v>
      </c>
      <c r="AH97" s="183">
        <f t="shared" si="28"/>
        <v>391015.01671954588</v>
      </c>
      <c r="AI97" s="40"/>
    </row>
    <row r="98" spans="1:36">
      <c r="A98" s="607"/>
      <c r="B98" s="1" t="s">
        <v>607</v>
      </c>
      <c r="C98" s="50" t="s">
        <v>1420</v>
      </c>
      <c r="D98" s="183">
        <f>D36+(D100-D38)</f>
        <v>118732.33536672319</v>
      </c>
      <c r="E98" s="183">
        <f t="shared" ref="E98:AH98" si="29">E36+(E100-E38)</f>
        <v>117202.02309810359</v>
      </c>
      <c r="F98" s="183">
        <f t="shared" si="29"/>
        <v>115657.11676672005</v>
      </c>
      <c r="G98" s="183">
        <f t="shared" si="29"/>
        <v>114099.27761332231</v>
      </c>
      <c r="H98" s="183">
        <f t="shared" si="29"/>
        <v>112530.18212170023</v>
      </c>
      <c r="I98" s="183">
        <f t="shared" si="29"/>
        <v>110951.5217697332</v>
      </c>
      <c r="J98" s="183">
        <f t="shared" si="29"/>
        <v>109365.00278227925</v>
      </c>
      <c r="K98" s="183">
        <f t="shared" si="29"/>
        <v>107772.34588589365</v>
      </c>
      <c r="L98" s="183">
        <f t="shared" si="29"/>
        <v>106175.28606536695</v>
      </c>
      <c r="M98" s="183">
        <f t="shared" si="29"/>
        <v>104575.57232207258</v>
      </c>
      <c r="N98" s="183">
        <f t="shared" si="29"/>
        <v>102974.96743411382</v>
      </c>
      <c r="O98" s="183">
        <f t="shared" si="29"/>
        <v>100712.11355419853</v>
      </c>
      <c r="P98" s="183">
        <f t="shared" si="29"/>
        <v>98443.028395810834</v>
      </c>
      <c r="Q98" s="183">
        <f t="shared" si="29"/>
        <v>96209.27756454362</v>
      </c>
      <c r="R98" s="183">
        <f t="shared" si="29"/>
        <v>93997.840907515987</v>
      </c>
      <c r="S98" s="183">
        <f t="shared" si="29"/>
        <v>91812.282413614172</v>
      </c>
      <c r="T98" s="183">
        <f t="shared" si="29"/>
        <v>89656.190680917294</v>
      </c>
      <c r="U98" s="183">
        <f t="shared" si="29"/>
        <v>87533.178473952663</v>
      </c>
      <c r="V98" s="183">
        <f t="shared" si="29"/>
        <v>85446.882284345571</v>
      </c>
      <c r="W98" s="183">
        <f t="shared" si="29"/>
        <v>83400.961894843</v>
      </c>
      <c r="X98" s="183">
        <f t="shared" si="29"/>
        <v>81399.099946689719</v>
      </c>
      <c r="Y98" s="183">
        <f t="shared" si="29"/>
        <v>79364.251362017181</v>
      </c>
      <c r="Z98" s="183">
        <f t="shared" si="29"/>
        <v>77352.286814804</v>
      </c>
      <c r="AA98" s="183">
        <f t="shared" si="29"/>
        <v>75371.936057539599</v>
      </c>
      <c r="AB98" s="183">
        <f t="shared" si="29"/>
        <v>73427.103377168503</v>
      </c>
      <c r="AC98" s="183">
        <f t="shared" si="29"/>
        <v>71522.151865255029</v>
      </c>
      <c r="AD98" s="183">
        <f t="shared" si="29"/>
        <v>69661.468643912871</v>
      </c>
      <c r="AE98" s="183">
        <f t="shared" si="29"/>
        <v>67849.464428990861</v>
      </c>
      <c r="AF98" s="183">
        <f t="shared" si="29"/>
        <v>66090.573097426939</v>
      </c>
      <c r="AG98" s="183">
        <f t="shared" si="29"/>
        <v>64389.251258687749</v>
      </c>
      <c r="AH98" s="183">
        <f t="shared" si="29"/>
        <v>62749.977830211064</v>
      </c>
      <c r="AI98" s="40"/>
    </row>
    <row r="99" spans="1:36" s="62" customFormat="1">
      <c r="A99" s="608"/>
      <c r="B99" s="58" t="s">
        <v>27</v>
      </c>
      <c r="C99" s="233" t="s">
        <v>1420</v>
      </c>
      <c r="D99" s="183">
        <f>D37-('Ethylene Recycling LC'!C66+'Ethylene Recycling LC'!C117-'Ethylene Recycling LC'!$C$66-'Ethylene Recycling LC'!$C$117+'Ethylene Recycling LC'!C69+'Ethylene Recycling LC'!C120-'Ethylene Recycling LC'!$C$69-'Ethylene Recycling LC'!$C$120)</f>
        <v>-411931.67217606585</v>
      </c>
      <c r="E99" s="183">
        <f>E37-('Ethylene Recycling LC'!D66+'Ethylene Recycling LC'!D117-'Ethylene Recycling LC'!$C$66-'Ethylene Recycling LC'!$C$117+'Ethylene Recycling LC'!D69+'Ethylene Recycling LC'!D120-'Ethylene Recycling LC'!$C$69-'Ethylene Recycling LC'!$C$120)</f>
        <v>-399597.42711848125</v>
      </c>
      <c r="F99" s="183">
        <f>F37-('Ethylene Recycling LC'!E66+'Ethylene Recycling LC'!E117-'Ethylene Recycling LC'!$C$66-'Ethylene Recycling LC'!$C$117+'Ethylene Recycling LC'!E69+'Ethylene Recycling LC'!E120-'Ethylene Recycling LC'!$C$69-'Ethylene Recycling LC'!$C$120)</f>
        <v>-387437.9626259784</v>
      </c>
      <c r="G99" s="183">
        <f>G37-('Ethylene Recycling LC'!F66+'Ethylene Recycling LC'!F117-'Ethylene Recycling LC'!$C$66-'Ethylene Recycling LC'!$C$117+'Ethylene Recycling LC'!F69+'Ethylene Recycling LC'!F120-'Ethylene Recycling LC'!$C$69-'Ethylene Recycling LC'!$C$120)</f>
        <v>-375450.32293323631</v>
      </c>
      <c r="H99" s="183">
        <f>H37-('Ethylene Recycling LC'!G66+'Ethylene Recycling LC'!G117-'Ethylene Recycling LC'!$C$66-'Ethylene Recycling LC'!$C$117+'Ethylene Recycling LC'!G69+'Ethylene Recycling LC'!G120-'Ethylene Recycling LC'!$C$69-'Ethylene Recycling LC'!$C$120)</f>
        <v>-363631.55735884444</v>
      </c>
      <c r="I99" s="183">
        <f>I37-('Ethylene Recycling LC'!H66+'Ethylene Recycling LC'!H117-'Ethylene Recycling LC'!$C$66-'Ethylene Recycling LC'!$C$117+'Ethylene Recycling LC'!H69+'Ethylene Recycling LC'!H120-'Ethylene Recycling LC'!$C$69-'Ethylene Recycling LC'!$C$120)</f>
        <v>-351978.72035006998</v>
      </c>
      <c r="J99" s="183">
        <f>J37-('Ethylene Recycling LC'!I66+'Ethylene Recycling LC'!I117-'Ethylene Recycling LC'!$C$66-'Ethylene Recycling LC'!$C$117+'Ethylene Recycling LC'!I69+'Ethylene Recycling LC'!I120-'Ethylene Recycling LC'!$C$69-'Ethylene Recycling LC'!$C$120)</f>
        <v>-340488.87152738188</v>
      </c>
      <c r="K99" s="183">
        <f>K37-('Ethylene Recycling LC'!J66+'Ethylene Recycling LC'!J117-'Ethylene Recycling LC'!$C$66-'Ethylene Recycling LC'!$C$117+'Ethylene Recycling LC'!J69+'Ethylene Recycling LC'!J120-'Ethylene Recycling LC'!$C$69-'Ethylene Recycling LC'!$C$120)</f>
        <v>-329159.07572873886</v>
      </c>
      <c r="L99" s="183">
        <f>L37-('Ethylene Recycling LC'!K66+'Ethylene Recycling LC'!K117-'Ethylene Recycling LC'!$C$66-'Ethylene Recycling LC'!$C$117+'Ethylene Recycling LC'!K69+'Ethylene Recycling LC'!K120-'Ethylene Recycling LC'!$C$69-'Ethylene Recycling LC'!$C$120)</f>
        <v>-317986.40305362782</v>
      </c>
      <c r="M99" s="183">
        <f>M37-('Ethylene Recycling LC'!L66+'Ethylene Recycling LC'!L117-'Ethylene Recycling LC'!$C$66-'Ethylene Recycling LC'!$C$117+'Ethylene Recycling LC'!L69+'Ethylene Recycling LC'!L120-'Ethylene Recycling LC'!$C$69-'Ethylene Recycling LC'!$C$120)</f>
        <v>-306967.9289068628</v>
      </c>
      <c r="N99" s="183">
        <f>N37-('Ethylene Recycling LC'!M66+'Ethylene Recycling LC'!M117-'Ethylene Recycling LC'!$C$66-'Ethylene Recycling LC'!$C$117+'Ethylene Recycling LC'!M69+'Ethylene Recycling LC'!M120-'Ethylene Recycling LC'!$C$69-'Ethylene Recycling LC'!$C$120)</f>
        <v>-296100.73404213291</v>
      </c>
      <c r="O99" s="183">
        <f>O37-('Ethylene Recycling LC'!N66+'Ethylene Recycling LC'!N117-'Ethylene Recycling LC'!$C$66-'Ethylene Recycling LC'!$C$117+'Ethylene Recycling LC'!N69+'Ethylene Recycling LC'!N120-'Ethylene Recycling LC'!$C$69-'Ethylene Recycling LC'!$C$120)</f>
        <v>-280584.75827665074</v>
      </c>
      <c r="P99" s="183">
        <f>P37-('Ethylene Recycling LC'!O66+'Ethylene Recycling LC'!O117-'Ethylene Recycling LC'!$C$66-'Ethylene Recycling LC'!$C$117+'Ethylene Recycling LC'!O69+'Ethylene Recycling LC'!O120-'Ethylene Recycling LC'!$C$69-'Ethylene Recycling LC'!$C$120)</f>
        <v>-267696.47168431903</v>
      </c>
      <c r="Q99" s="183">
        <f>Q37-('Ethylene Recycling LC'!P66+'Ethylene Recycling LC'!P117-'Ethylene Recycling LC'!$C$66-'Ethylene Recycling LC'!$C$117+'Ethylene Recycling LC'!P69+'Ethylene Recycling LC'!P120-'Ethylene Recycling LC'!$C$69-'Ethylene Recycling LC'!$C$120)</f>
        <v>-252962.98177887249</v>
      </c>
      <c r="R99" s="183">
        <f>R37-('Ethylene Recycling LC'!Q66+'Ethylene Recycling LC'!Q117-'Ethylene Recycling LC'!$C$66-'Ethylene Recycling LC'!$C$117+'Ethylene Recycling LC'!Q69+'Ethylene Recycling LC'!Q120-'Ethylene Recycling LC'!$C$69-'Ethylene Recycling LC'!$C$120)</f>
        <v>-238424.19962656591</v>
      </c>
      <c r="S99" s="183">
        <f>S37-('Ethylene Recycling LC'!R66+'Ethylene Recycling LC'!R117-'Ethylene Recycling LC'!$C$66-'Ethylene Recycling LC'!$C$117+'Ethylene Recycling LC'!R69+'Ethylene Recycling LC'!R120-'Ethylene Recycling LC'!$C$69-'Ethylene Recycling LC'!$C$120)</f>
        <v>-224075.22961621211</v>
      </c>
      <c r="T99" s="183">
        <f>T37-('Ethylene Recycling LC'!S66+'Ethylene Recycling LC'!S117-'Ethylene Recycling LC'!$C$66-'Ethylene Recycling LC'!$C$117+'Ethylene Recycling LC'!S69+'Ethylene Recycling LC'!S120-'Ethylene Recycling LC'!$C$69-'Ethylene Recycling LC'!$C$120)</f>
        <v>-209911.17865862127</v>
      </c>
      <c r="U99" s="183">
        <f>U37-('Ethylene Recycling LC'!T66+'Ethylene Recycling LC'!T117-'Ethylene Recycling LC'!$C$66-'Ethylene Recycling LC'!$C$117+'Ethylene Recycling LC'!T69+'Ethylene Recycling LC'!T120-'Ethylene Recycling LC'!$C$69-'Ethylene Recycling LC'!$C$120)</f>
        <v>-195927.15632287442</v>
      </c>
      <c r="V99" s="183">
        <f>V37-('Ethylene Recycling LC'!U66+'Ethylene Recycling LC'!U117-'Ethylene Recycling LC'!$C$66-'Ethylene Recycling LC'!$C$117+'Ethylene Recycling LC'!U69+'Ethylene Recycling LC'!U120-'Ethylene Recycling LC'!$C$69-'Ethylene Recycling LC'!$C$120)</f>
        <v>-182118.27497157754</v>
      </c>
      <c r="W99" s="183">
        <f>W37-('Ethylene Recycling LC'!V66+'Ethylene Recycling LC'!V117-'Ethylene Recycling LC'!$C$66-'Ethylene Recycling LC'!$C$117+'Ethylene Recycling LC'!V69+'Ethylene Recycling LC'!V120-'Ethylene Recycling LC'!$C$69-'Ethylene Recycling LC'!$C$120)</f>
        <v>-168479.64989510985</v>
      </c>
      <c r="X99" s="183">
        <f>X37-('Ethylene Recycling LC'!W66+'Ethylene Recycling LC'!W117-'Ethylene Recycling LC'!$C$66-'Ethylene Recycling LC'!$C$117+'Ethylene Recycling LC'!W69+'Ethylene Recycling LC'!W120-'Ethylene Recycling LC'!$C$69-'Ethylene Recycling LC'!$C$120)</f>
        <v>-155006.39944486733</v>
      </c>
      <c r="Y99" s="183">
        <f>Y37-('Ethylene Recycling LC'!X66+'Ethylene Recycling LC'!X117-'Ethylene Recycling LC'!$C$66-'Ethylene Recycling LC'!$C$117+'Ethylene Recycling LC'!X69+'Ethylene Recycling LC'!X120-'Ethylene Recycling LC'!$C$69-'Ethylene Recycling LC'!$C$120)</f>
        <v>-144563.94671685842</v>
      </c>
      <c r="Z99" s="183">
        <f>Z37-('Ethylene Recycling LC'!Y66+'Ethylene Recycling LC'!Y117-'Ethylene Recycling LC'!$C$66-'Ethylene Recycling LC'!$C$117+'Ethylene Recycling LC'!Y69+'Ethylene Recycling LC'!Y120-'Ethylene Recycling LC'!$C$69-'Ethylene Recycling LC'!$C$120)</f>
        <v>-134869.81592904593</v>
      </c>
      <c r="AA99" s="183">
        <f>AA37-('Ethylene Recycling LC'!Z66+'Ethylene Recycling LC'!Z117-'Ethylene Recycling LC'!$C$66-'Ethylene Recycling LC'!$C$117+'Ethylene Recycling LC'!Z69+'Ethylene Recycling LC'!Z120-'Ethylene Recycling LC'!$C$69-'Ethylene Recycling LC'!$C$120)</f>
        <v>-125295.24548109087</v>
      </c>
      <c r="AB99" s="183">
        <f>AB37-('Ethylene Recycling LC'!AA66+'Ethylene Recycling LC'!AA117-'Ethylene Recycling LC'!$C$66-'Ethylene Recycling LC'!$C$117+'Ethylene Recycling LC'!AA69+'Ethylene Recycling LC'!AA120-'Ethylene Recycling LC'!$C$69-'Ethylene Recycling LC'!$C$120)</f>
        <v>-115837.56702188709</v>
      </c>
      <c r="AC99" s="183">
        <f>AC37-('Ethylene Recycling LC'!AB66+'Ethylene Recycling LC'!AB117-'Ethylene Recycling LC'!$C$66-'Ethylene Recycling LC'!$C$117+'Ethylene Recycling LC'!AB69+'Ethylene Recycling LC'!AB120-'Ethylene Recycling LC'!$C$69-'Ethylene Recycling LC'!$C$120)</f>
        <v>-106491.98820616808</v>
      </c>
      <c r="AD99" s="183">
        <f>AD37-('Ethylene Recycling LC'!AC66+'Ethylene Recycling LC'!AC117-'Ethylene Recycling LC'!$C$66-'Ethylene Recycling LC'!$C$117+'Ethylene Recycling LC'!AC69+'Ethylene Recycling LC'!AC120-'Ethylene Recycling LC'!$C$69-'Ethylene Recycling LC'!$C$120)</f>
        <v>-97253.71472191911</v>
      </c>
      <c r="AE99" s="183">
        <f>AE37-('Ethylene Recycling LC'!AD66+'Ethylene Recycling LC'!AD117-'Ethylene Recycling LC'!$C$66-'Ethylene Recycling LC'!$C$117+'Ethylene Recycling LC'!AD69+'Ethylene Recycling LC'!AD120-'Ethylene Recycling LC'!$C$69-'Ethylene Recycling LC'!$C$120)</f>
        <v>-88117.950378949696</v>
      </c>
      <c r="AF99" s="183">
        <f>AF37-('Ethylene Recycling LC'!AE66+'Ethylene Recycling LC'!AE117-'Ethylene Recycling LC'!$C$66-'Ethylene Recycling LC'!$C$117+'Ethylene Recycling LC'!AE69+'Ethylene Recycling LC'!AE120-'Ethylene Recycling LC'!$C$69-'Ethylene Recycling LC'!$C$120)</f>
        <v>-79079.897195136771</v>
      </c>
      <c r="AG99" s="183">
        <f>AG37-('Ethylene Recycling LC'!AF66+'Ethylene Recycling LC'!AF117-'Ethylene Recycling LC'!$C$66-'Ethylene Recycling LC'!$C$117+'Ethylene Recycling LC'!AF69+'Ethylene Recycling LC'!AF120-'Ethylene Recycling LC'!$C$69-'Ethylene Recycling LC'!$C$120)</f>
        <v>-70134.755480496358</v>
      </c>
      <c r="AH99" s="183">
        <f>AH37-('Ethylene Recycling LC'!AG66+'Ethylene Recycling LC'!AG117-'Ethylene Recycling LC'!$C$66-'Ethylene Recycling LC'!$C$117+'Ethylene Recycling LC'!AG69+'Ethylene Recycling LC'!AG120-'Ethylene Recycling LC'!$C$69-'Ethylene Recycling LC'!$C$120)</f>
        <v>-61277.723919245109</v>
      </c>
      <c r="AI99" s="234"/>
    </row>
    <row r="100" spans="1:36" s="61" customFormat="1">
      <c r="A100" s="606" t="s">
        <v>609</v>
      </c>
      <c r="B100" s="54" t="s">
        <v>606</v>
      </c>
      <c r="C100" s="55" t="s">
        <v>1420</v>
      </c>
      <c r="D100" s="571">
        <f>D38-('Ethylene Recycling LC'!C67+'Ethylene Recycling LC'!C118-'Ethylene Recycling LC'!$C$67-'Ethylene Recycling LC'!$C$118)</f>
        <v>54121.444102564106</v>
      </c>
      <c r="E100" s="571">
        <f>E38-('Ethylene Recycling LC'!D67+'Ethylene Recycling LC'!D118-'Ethylene Recycling LC'!$C$67-'Ethylene Recycling LC'!$C$118)</f>
        <v>53294.878983154042</v>
      </c>
      <c r="F100" s="571">
        <f>F38-('Ethylene Recycling LC'!E67+'Ethylene Recycling LC'!E118-'Ethylene Recycling LC'!$C$67-'Ethylene Recycling LC'!$C$118)</f>
        <v>52447.049403491867</v>
      </c>
      <c r="G100" s="571">
        <f>G38-('Ethylene Recycling LC'!F67+'Ethylene Recycling LC'!F118-'Ethylene Recycling LC'!$C$67-'Ethylene Recycling LC'!$C$118)</f>
        <v>51579.67539415307</v>
      </c>
      <c r="H100" s="571">
        <f>H38-('Ethylene Recycling LC'!G67+'Ethylene Recycling LC'!G118-'Ethylene Recycling LC'!$C$67-'Ethylene Recycling LC'!$C$118)</f>
        <v>50694.491733324721</v>
      </c>
      <c r="I100" s="571">
        <f>I38-('Ethylene Recycling LC'!H67+'Ethylene Recycling LC'!H118-'Ethylene Recycling LC'!$C$67-'Ethylene Recycling LC'!$C$118)</f>
        <v>49793.247701904744</v>
      </c>
      <c r="J100" s="571">
        <f>J38-('Ethylene Recycling LC'!I67+'Ethylene Recycling LC'!I118-'Ethylene Recycling LC'!$C$67-'Ethylene Recycling LC'!$C$118)</f>
        <v>48877.706840408471</v>
      </c>
      <c r="K100" s="571">
        <f>K38-('Ethylene Recycling LC'!J67+'Ethylene Recycling LC'!J118-'Ethylene Recycling LC'!$C$67-'Ethylene Recycling LC'!$C$118)</f>
        <v>47949.646707672655</v>
      </c>
      <c r="L100" s="571">
        <f>L38-('Ethylene Recycling LC'!K67+'Ethylene Recycling LC'!K118-'Ethylene Recycling LC'!$C$67-'Ethylene Recycling LC'!$C$118)</f>
        <v>47010.858641347026</v>
      </c>
      <c r="M100" s="571">
        <f>M38-('Ethylene Recycling LC'!L67+'Ethylene Recycling LC'!L118-'Ethylene Recycling LC'!$C$67-'Ethylene Recycling LC'!$C$118)</f>
        <v>46063.147520163671</v>
      </c>
      <c r="N100" s="571">
        <f>N38-('Ethylene Recycling LC'!M67+'Ethylene Recycling LC'!M118-'Ethylene Recycling LC'!$C$67-'Ethylene Recycling LC'!$C$118)</f>
        <v>45108.33152797458</v>
      </c>
      <c r="O100" s="571">
        <f>O38-('Ethylene Recycling LC'!N67+'Ethylene Recycling LC'!N118-'Ethylene Recycling LC'!$C$67-'Ethylene Recycling LC'!$C$118)</f>
        <v>43837.549899306032</v>
      </c>
      <c r="P100" s="571">
        <f>P38-('Ethylene Recycling LC'!O67+'Ethylene Recycling LC'!O118-'Ethylene Recycling LC'!$C$67-'Ethylene Recycling LC'!$C$118)</f>
        <v>42549.521000572364</v>
      </c>
      <c r="Q100" s="571">
        <f>Q38-('Ethylene Recycling LC'!P67+'Ethylene Recycling LC'!P118-'Ethylene Recycling LC'!$C$67-'Ethylene Recycling LC'!$C$118)</f>
        <v>41285.915788625214</v>
      </c>
      <c r="R100" s="571">
        <f>R38-('Ethylene Recycling LC'!Q67+'Ethylene Recycling LC'!Q118-'Ethylene Recycling LC'!$C$67-'Ethylene Recycling LC'!$C$118)</f>
        <v>40033.818528523349</v>
      </c>
      <c r="S100" s="571">
        <f>S38-('Ethylene Recycling LC'!R67+'Ethylene Recycling LC'!R118-'Ethylene Recycling LC'!$C$67-'Ethylene Recycling LC'!$C$118)</f>
        <v>38796.896701665457</v>
      </c>
      <c r="T100" s="571">
        <f>T38-('Ethylene Recycling LC'!S67+'Ethylene Recycling LC'!S118-'Ethylene Recycling LC'!$C$67-'Ethylene Recycling LC'!$C$118)</f>
        <v>37578.841481042691</v>
      </c>
      <c r="U100" s="571">
        <f>U38-('Ethylene Recycling LC'!T67+'Ethylene Recycling LC'!T118-'Ethylene Recycling LC'!$C$67-'Ethylene Recycling LC'!$C$118)</f>
        <v>36383.367296256831</v>
      </c>
      <c r="V100" s="571">
        <f>V38-('Ethylene Recycling LC'!U67+'Ethylene Recycling LC'!U118-'Ethylene Recycling LC'!$C$67-'Ethylene Recycling LC'!$C$118)</f>
        <v>35214.211401869346</v>
      </c>
      <c r="W100" s="571">
        <f>W38-('Ethylene Recycling LC'!V67+'Ethylene Recycling LC'!V118-'Ethylene Recycling LC'!$C$67-'Ethylene Recycling LC'!$C$118)</f>
        <v>34075.133449061097</v>
      </c>
      <c r="X100" s="571">
        <f>X38-('Ethylene Recycling LC'!W67+'Ethylene Recycling LC'!W118-'Ethylene Recycling LC'!$C$67-'Ethylene Recycling LC'!$C$118)</f>
        <v>32969.915060581989</v>
      </c>
      <c r="Y100" s="571">
        <f>Y38-('Ethylene Recycling LC'!X67+'Ethylene Recycling LC'!X118-'Ethylene Recycling LC'!$C$67-'Ethylene Recycling LC'!$C$118)</f>
        <v>31720.177260350363</v>
      </c>
      <c r="Z100" s="571">
        <f>Z38-('Ethylene Recycling LC'!Y67+'Ethylene Recycling LC'!Y118-'Ethylene Recycling LC'!$C$67-'Ethylene Recycling LC'!$C$118)</f>
        <v>30484.733521672249</v>
      </c>
      <c r="AA100" s="571">
        <f>AA38-('Ethylene Recycling LC'!Z67+'Ethylene Recycling LC'!Z118-'Ethylene Recycling LC'!$C$67-'Ethylene Recycling LC'!$C$118)</f>
        <v>29272.395187824473</v>
      </c>
      <c r="AB100" s="571">
        <f>AB38-('Ethylene Recycling LC'!AA67+'Ethylene Recycling LC'!AA118-'Ethylene Recycling LC'!$C$67-'Ethylene Recycling LC'!$C$118)</f>
        <v>28087.1474165564</v>
      </c>
      <c r="AC100" s="571">
        <f>AC38-('Ethylene Recycling LC'!AB67+'Ethylene Recycling LC'!AB118-'Ethylene Recycling LC'!$C$67-'Ethylene Recycling LC'!$C$118)</f>
        <v>26933.433456326791</v>
      </c>
      <c r="AD100" s="571">
        <f>AD38-('Ethylene Recycling LC'!AC67+'Ethylene Recycling LC'!AC118-'Ethylene Recycling LC'!$C$67-'Ethylene Recycling LC'!$C$118)</f>
        <v>25815.719878255986</v>
      </c>
      <c r="AE100" s="571">
        <f>AE38-('Ethylene Recycling LC'!AD67+'Ethylene Recycling LC'!AD118-'Ethylene Recycling LC'!$C$67-'Ethylene Recycling LC'!$C$118)</f>
        <v>24738.49614528484</v>
      </c>
      <c r="AF100" s="571">
        <f>AF38-('Ethylene Recycling LC'!AE67+'Ethylene Recycling LC'!AE118-'Ethylene Recycling LC'!$C$67-'Ethylene Recycling LC'!$C$118)</f>
        <v>23706.274185453294</v>
      </c>
      <c r="AG100" s="571">
        <f>AG38-('Ethylene Recycling LC'!AF67+'Ethylene Recycling LC'!AF118-'Ethylene Recycling LC'!$C$67-'Ethylene Recycling LC'!$C$118)</f>
        <v>22723.587969215681</v>
      </c>
      <c r="AH100" s="571">
        <f>AH38-('Ethylene Recycling LC'!AG67+'Ethylene Recycling LC'!AG118-'Ethylene Recycling LC'!$C$67-'Ethylene Recycling LC'!$C$118)</f>
        <v>21794.993090711163</v>
      </c>
      <c r="AI100" s="56"/>
    </row>
    <row r="101" spans="1:36" s="62" customFormat="1">
      <c r="A101" s="608"/>
      <c r="B101" s="58" t="s">
        <v>605</v>
      </c>
      <c r="C101" s="233" t="s">
        <v>1420</v>
      </c>
      <c r="D101" s="528">
        <f>D39-('Ethylene Recycling LC'!C68+'Ethylene Recycling LC'!C119-'Ethylene Recycling LC'!$C$68-'Ethylene Recycling LC'!$C$119)</f>
        <v>308424.77602250775</v>
      </c>
      <c r="E101" s="528">
        <f>E39-('Ethylene Recycling LC'!D68+'Ethylene Recycling LC'!D119-'Ethylene Recycling LC'!$C$68-'Ethylene Recycling LC'!$C$119)</f>
        <v>301546.93565410527</v>
      </c>
      <c r="F101" s="528">
        <f>F39-('Ethylene Recycling LC'!E68+'Ethylene Recycling LC'!E119-'Ethylene Recycling LC'!$C$68-'Ethylene Recycling LC'!$C$119)</f>
        <v>294796.56136982155</v>
      </c>
      <c r="G101" s="528">
        <f>G39-('Ethylene Recycling LC'!F68+'Ethylene Recycling LC'!F119-'Ethylene Recycling LC'!$C$68-'Ethylene Recycling LC'!$C$119)</f>
        <v>288171.43588054384</v>
      </c>
      <c r="H101" s="528">
        <f>H39-('Ethylene Recycling LC'!G68+'Ethylene Recycling LC'!G119-'Ethylene Recycling LC'!$C$68-'Ethylene Recycling LC'!$C$119)</f>
        <v>281669.33112801606</v>
      </c>
      <c r="I101" s="528">
        <f>I39-('Ethylene Recycling LC'!H68+'Ethylene Recycling LC'!H119-'Ethylene Recycling LC'!$C$68-'Ethylene Recycling LC'!$C$119)</f>
        <v>275288.00848704373</v>
      </c>
      <c r="J101" s="528">
        <f>J39-('Ethylene Recycling LC'!I68+'Ethylene Recycling LC'!I119-'Ethylene Recycling LC'!$C$68-'Ethylene Recycling LC'!$C$119)</f>
        <v>269025.21896630805</v>
      </c>
      <c r="K101" s="528">
        <f>K39-('Ethylene Recycling LC'!J68+'Ethylene Recycling LC'!J119-'Ethylene Recycling LC'!$C$68-'Ethylene Recycling LC'!$C$119)</f>
        <v>262878.70340779563</v>
      </c>
      <c r="L101" s="528">
        <f>L39-('Ethylene Recycling LC'!K68+'Ethylene Recycling LC'!K119-'Ethylene Recycling LC'!$C$68-'Ethylene Recycling LC'!$C$119)</f>
        <v>256846.19268485039</v>
      </c>
      <c r="M101" s="528">
        <f>M39-('Ethylene Recycling LC'!L68+'Ethylene Recycling LC'!L119-'Ethylene Recycling LC'!$C$68-'Ethylene Recycling LC'!$C$119)</f>
        <v>250925.40789885365</v>
      </c>
      <c r="N101" s="528">
        <f>N39-('Ethylene Recycling LC'!M68+'Ethylene Recycling LC'!M119-'Ethylene Recycling LC'!$C$68-'Ethylene Recycling LC'!$C$119)</f>
        <v>245114.06057453735</v>
      </c>
      <c r="O101" s="528">
        <f>O39-('Ethylene Recycling LC'!N68+'Ethylene Recycling LC'!N119-'Ethylene Recycling LC'!$C$68-'Ethylene Recycling LC'!$C$119)</f>
        <v>237546.65306429897</v>
      </c>
      <c r="P101" s="528">
        <f>P39-('Ethylene Recycling LC'!O68+'Ethylene Recycling LC'!O119-'Ethylene Recycling LC'!$C$68-'Ethylene Recycling LC'!$C$119)</f>
        <v>231080.09093086954</v>
      </c>
      <c r="Q101" s="528">
        <f>Q39-('Ethylene Recycling LC'!P68+'Ethylene Recycling LC'!P119-'Ethylene Recycling LC'!$C$68-'Ethylene Recycling LC'!$C$119)</f>
        <v>223959.38769333088</v>
      </c>
      <c r="R101" s="528">
        <f>R39-('Ethylene Recycling LC'!Q68+'Ethylene Recycling LC'!Q119-'Ethylene Recycling LC'!$C$68-'Ethylene Recycling LC'!$C$119)</f>
        <v>216982.52138384662</v>
      </c>
      <c r="S101" s="528">
        <f>S39-('Ethylene Recycling LC'!R68+'Ethylene Recycling LC'!R119-'Ethylene Recycling LC'!$C$68-'Ethylene Recycling LC'!$C$119)</f>
        <v>210145.28373611209</v>
      </c>
      <c r="T101" s="528">
        <f>T39-('Ethylene Recycling LC'!S68+'Ethylene Recycling LC'!S119-'Ethylene Recycling LC'!$C$68-'Ethylene Recycling LC'!$C$119)</f>
        <v>203443.44732265203</v>
      </c>
      <c r="U101" s="528">
        <f>U39-('Ethylene Recycling LC'!T68+'Ethylene Recycling LC'!T119-'Ethylene Recycling LC'!$C$68-'Ethylene Recycling LC'!$C$119)</f>
        <v>196872.76594185689</v>
      </c>
      <c r="V101" s="528">
        <f>V39-('Ethylene Recycling LC'!U68+'Ethylene Recycling LC'!U119-'Ethylene Recycling LC'!$C$68-'Ethylene Recycling LC'!$C$119)</f>
        <v>190428.97500223451</v>
      </c>
      <c r="W101" s="528">
        <f>W39-('Ethylene Recycling LC'!V68+'Ethylene Recycling LC'!V119-'Ethylene Recycling LC'!$C$68-'Ethylene Recycling LC'!$C$119)</f>
        <v>184107.79190389052</v>
      </c>
      <c r="X101" s="528">
        <f>X39-('Ethylene Recycling LC'!W68+'Ethylene Recycling LC'!W119-'Ethylene Recycling LC'!$C$68-'Ethylene Recycling LC'!$C$119)</f>
        <v>177904.91641725157</v>
      </c>
      <c r="Y101" s="528">
        <f>Y39-('Ethylene Recycling LC'!X68+'Ethylene Recycling LC'!X119-'Ethylene Recycling LC'!$C$68-'Ethylene Recycling LC'!$C$119)</f>
        <v>172858.82753065624</v>
      </c>
      <c r="Z101" s="528">
        <f>Z39-('Ethylene Recycling LC'!Y68+'Ethylene Recycling LC'!Y119-'Ethylene Recycling LC'!$C$68-'Ethylene Recycling LC'!$C$119)</f>
        <v>167995.6037577418</v>
      </c>
      <c r="AA101" s="528">
        <f>AA39-('Ethylene Recycling LC'!Z68+'Ethylene Recycling LC'!Z119-'Ethylene Recycling LC'!$C$68-'Ethylene Recycling LC'!$C$119)</f>
        <v>163246.44867008485</v>
      </c>
      <c r="AB101" s="528">
        <f>AB39-('Ethylene Recycling LC'!AA68+'Ethylene Recycling LC'!AA119-'Ethylene Recycling LC'!$C$68-'Ethylene Recycling LC'!$C$119)</f>
        <v>158606.74551243271</v>
      </c>
      <c r="AC101" s="528">
        <f>AC39-('Ethylene Recycling LC'!AB68+'Ethylene Recycling LC'!AB119-'Ethylene Recycling LC'!$C$68-'Ethylene Recycling LC'!$C$119)</f>
        <v>154071.85406124542</v>
      </c>
      <c r="AD101" s="528">
        <f>AD39-('Ethylene Recycling LC'!AC68+'Ethylene Recycling LC'!AC119-'Ethylene Recycling LC'!$C$68-'Ethylene Recycling LC'!$C$119)</f>
        <v>149637.11108683399</v>
      </c>
      <c r="AE101" s="528">
        <f>AE39-('Ethylene Recycling LC'!AD68+'Ethylene Recycling LC'!AD119-'Ethylene Recycling LC'!$C$68-'Ethylene Recycling LC'!$C$119)</f>
        <v>145297.83081210463</v>
      </c>
      <c r="AF101" s="528">
        <f>AF39-('Ethylene Recycling LC'!AE68+'Ethylene Recycling LC'!AE119-'Ethylene Recycling LC'!$C$68-'Ethylene Recycling LC'!$C$119)</f>
        <v>141049.30536792698</v>
      </c>
      <c r="AG101" s="528">
        <f>AG39-('Ethylene Recycling LC'!AF68+'Ethylene Recycling LC'!AF119-'Ethylene Recycling LC'!$C$68-'Ethylene Recycling LC'!$C$119)</f>
        <v>136886.80524514365</v>
      </c>
      <c r="AH101" s="528">
        <f>AH39-('Ethylene Recycling LC'!AG68+'Ethylene Recycling LC'!AG119-'Ethylene Recycling LC'!$C$68-'Ethylene Recycling LC'!$C$119)</f>
        <v>132805.57974323747</v>
      </c>
      <c r="AI101" s="234"/>
    </row>
    <row r="102" spans="1:36" s="61" customFormat="1">
      <c r="A102" s="54" t="s">
        <v>262</v>
      </c>
      <c r="B102" s="54" t="s">
        <v>200</v>
      </c>
      <c r="C102" s="93" t="s">
        <v>1420</v>
      </c>
      <c r="D102" s="572">
        <f t="shared" ref="D102:AH102" si="30">D19</f>
        <v>582875.6940607368</v>
      </c>
      <c r="E102" s="572">
        <f t="shared" si="30"/>
        <v>591776.274580225</v>
      </c>
      <c r="F102" s="572">
        <f t="shared" si="30"/>
        <v>600809.86349072901</v>
      </c>
      <c r="G102" s="572">
        <f t="shared" si="30"/>
        <v>609978.39745844982</v>
      </c>
      <c r="H102" s="572">
        <f t="shared" si="30"/>
        <v>619283.84043818712</v>
      </c>
      <c r="I102" s="572">
        <f t="shared" si="30"/>
        <v>628728.18404128123</v>
      </c>
      <c r="J102" s="572">
        <f t="shared" si="30"/>
        <v>638313.44790820498</v>
      </c>
      <c r="K102" s="572">
        <f t="shared" si="30"/>
        <v>648041.68008586322</v>
      </c>
      <c r="L102" s="572">
        <f t="shared" si="30"/>
        <v>657914.95740964683</v>
      </c>
      <c r="M102" s="572">
        <f t="shared" si="30"/>
        <v>667935.38589030167</v>
      </c>
      <c r="N102" s="572">
        <f t="shared" si="30"/>
        <v>678105.10110566195</v>
      </c>
      <c r="O102" s="572">
        <f t="shared" si="30"/>
        <v>686686.41070635302</v>
      </c>
      <c r="P102" s="572">
        <f t="shared" si="30"/>
        <v>695340.60925278906</v>
      </c>
      <c r="Q102" s="572">
        <f t="shared" si="30"/>
        <v>704067.57718209887</v>
      </c>
      <c r="R102" s="572">
        <f t="shared" si="30"/>
        <v>712867.17241558409</v>
      </c>
      <c r="S102" s="572">
        <f t="shared" si="30"/>
        <v>721739.22975065908</v>
      </c>
      <c r="T102" s="572">
        <f t="shared" si="30"/>
        <v>730683.56024204812</v>
      </c>
      <c r="U102" s="572">
        <f t="shared" si="30"/>
        <v>739699.95057212922</v>
      </c>
      <c r="V102" s="572">
        <f t="shared" si="30"/>
        <v>748788.16241032153</v>
      </c>
      <c r="W102" s="572">
        <f t="shared" si="30"/>
        <v>757947.93176140427</v>
      </c>
      <c r="X102" s="572">
        <f t="shared" si="30"/>
        <v>767178.96830266819</v>
      </c>
      <c r="Y102" s="572">
        <f t="shared" si="30"/>
        <v>770526.28101087455</v>
      </c>
      <c r="Z102" s="572">
        <f t="shared" si="30"/>
        <v>773748.09020223829</v>
      </c>
      <c r="AA102" s="572">
        <f t="shared" si="30"/>
        <v>776840.46937181405</v>
      </c>
      <c r="AB102" s="572">
        <f t="shared" si="30"/>
        <v>779799.44434125279</v>
      </c>
      <c r="AC102" s="572">
        <f t="shared" si="30"/>
        <v>782620.99407960451</v>
      </c>
      <c r="AD102" s="572">
        <f t="shared" si="30"/>
        <v>785301.05159591883</v>
      </c>
      <c r="AE102" s="572">
        <f t="shared" si="30"/>
        <v>787835.50490649475</v>
      </c>
      <c r="AF102" s="572">
        <f t="shared" si="30"/>
        <v>790220.19807971851</v>
      </c>
      <c r="AG102" s="572">
        <f t="shared" si="30"/>
        <v>792450.93236152176</v>
      </c>
      <c r="AH102" s="572">
        <f t="shared" si="30"/>
        <v>794523.46738458506</v>
      </c>
    </row>
    <row r="103" spans="1:36" outlineLevel="1">
      <c r="A103"/>
      <c r="B103" t="s">
        <v>266</v>
      </c>
      <c r="C103" s="50" t="s">
        <v>1420</v>
      </c>
      <c r="D103" s="183">
        <f>'Ethylene Recycling LC'!C103-'Ethylene Recycling LC'!$C$103</f>
        <v>0</v>
      </c>
      <c r="E103" s="183">
        <f>'Ethylene Recycling LC'!D103-'Ethylene Recycling LC'!$C$103</f>
        <v>203.3158289249194</v>
      </c>
      <c r="F103" s="183">
        <f>'Ethylene Recycling LC'!E103-'Ethylene Recycling LC'!$C$103</f>
        <v>427.79194847679003</v>
      </c>
      <c r="G103" s="183">
        <f>'Ethylene Recycling LC'!F103-'Ethylene Recycling LC'!$C$103</f>
        <v>672.87144752467793</v>
      </c>
      <c r="H103" s="183">
        <f>'Ethylene Recycling LC'!G103-'Ethylene Recycling LC'!$C$103</f>
        <v>938.00170513425724</v>
      </c>
      <c r="I103" s="183">
        <f>'Ethylene Recycling LC'!H103-'Ethylene Recycling LC'!$C$103</f>
        <v>1222.6343680529208</v>
      </c>
      <c r="J103" s="183">
        <f>'Ethylene Recycling LC'!I103-'Ethylene Recycling LC'!$C$103</f>
        <v>1526.2253282917234</v>
      </c>
      <c r="K103" s="183">
        <f>'Ethylene Recycling LC'!J103-'Ethylene Recycling LC'!$C$103</f>
        <v>1848.2347008037768</v>
      </c>
      <c r="L103" s="183">
        <f>'Ethylene Recycling LC'!K103-'Ethylene Recycling LC'!$C$103</f>
        <v>2188.1268012587507</v>
      </c>
      <c r="M103" s="183">
        <f>'Ethylene Recycling LC'!L103-'Ethylene Recycling LC'!$C$103</f>
        <v>2545.3701239130996</v>
      </c>
      <c r="N103" s="183">
        <f>'Ethylene Recycling LC'!M103-'Ethylene Recycling LC'!$C$103</f>
        <v>2919.4373195756493</v>
      </c>
      <c r="O103" s="183">
        <f>'Ethylene Recycling LC'!N103-'Ethylene Recycling LC'!$C$103</f>
        <v>3256.4350274899975</v>
      </c>
      <c r="P103" s="183">
        <f>'Ethylene Recycling LC'!O103-'Ethylene Recycling LC'!$C$103</f>
        <v>3602.6997715891698</v>
      </c>
      <c r="Q103" s="183">
        <f>'Ethylene Recycling LC'!P103-'Ethylene Recycling LC'!$C$103</f>
        <v>3942.6591645392341</v>
      </c>
      <c r="R103" s="183">
        <f>'Ethylene Recycling LC'!Q103-'Ethylene Recycling LC'!$C$103</f>
        <v>4288.6981678921602</v>
      </c>
      <c r="S103" s="183">
        <f>'Ethylene Recycling LC'!R103-'Ethylene Recycling LC'!$C$103</f>
        <v>4640.3914473317272</v>
      </c>
      <c r="T103" s="183">
        <f>'Ethylene Recycling LC'!S103-'Ethylene Recycling LC'!$C$103</f>
        <v>4997.32059909483</v>
      </c>
      <c r="U103" s="183">
        <f>'Ethylene Recycling LC'!T103-'Ethylene Recycling LC'!$C$103</f>
        <v>5359.0741218824041</v>
      </c>
      <c r="V103" s="183">
        <f>'Ethylene Recycling LC'!U103-'Ethylene Recycling LC'!$C$103</f>
        <v>5725.2473882777449</v>
      </c>
      <c r="W103" s="183">
        <f>'Ethylene Recycling LC'!V103-'Ethylene Recycling LC'!$C$103</f>
        <v>6095.4426156804093</v>
      </c>
      <c r="X103" s="183">
        <f>'Ethylene Recycling LC'!W103-'Ethylene Recycling LC'!$C$103</f>
        <v>6469.2688367638748</v>
      </c>
      <c r="Y103" s="183">
        <f>'Ethylene Recycling LC'!X103-'Ethylene Recycling LC'!$C$103</f>
        <v>6935.2448313315526</v>
      </c>
      <c r="Z103" s="183">
        <f>'Ethylene Recycling LC'!Y103-'Ethylene Recycling LC'!$C$103</f>
        <v>7409.1584592906875</v>
      </c>
      <c r="AA103" s="183">
        <f>'Ethylene Recycling LC'!Z103-'Ethylene Recycling LC'!$C$103</f>
        <v>7821.3209569892078</v>
      </c>
      <c r="AB103" s="183">
        <f>'Ethylene Recycling LC'!AA103-'Ethylene Recycling LC'!$C$103</f>
        <v>8231.4575075153862</v>
      </c>
      <c r="AC103" s="183">
        <f>'Ethylene Recycling LC'!AB103-'Ethylene Recycling LC'!$C$103</f>
        <v>8638.711944742885</v>
      </c>
      <c r="AD103" s="183">
        <f>'Ethylene Recycling LC'!AC103-'Ethylene Recycling LC'!$C$103</f>
        <v>9042.2564199630106</v>
      </c>
      <c r="AE103" s="183">
        <f>'Ethylene Recycling LC'!AD103-'Ethylene Recycling LC'!$C$103</f>
        <v>9441.2914722561691</v>
      </c>
      <c r="AF103" s="183">
        <f>'Ethylene Recycling LC'!AE103-'Ethylene Recycling LC'!$C$103</f>
        <v>9835.0460809082178</v>
      </c>
      <c r="AG103" s="183">
        <f>'Ethylene Recycling LC'!AF103-'Ethylene Recycling LC'!$C$103</f>
        <v>10222.777700132119</v>
      </c>
      <c r="AH103" s="183">
        <f>'Ethylene Recycling LC'!AG103-'Ethylene Recycling LC'!$C$103</f>
        <v>10603.772276353024</v>
      </c>
    </row>
    <row r="104" spans="1:36" outlineLevel="1">
      <c r="A104"/>
      <c r="B104" s="160" t="s">
        <v>268</v>
      </c>
      <c r="C104" s="50" t="s">
        <v>1420</v>
      </c>
      <c r="D104" s="183">
        <f>'Ethylene Recycling LC'!C76-'Ethylene Recycling LC'!$C$76</f>
        <v>0</v>
      </c>
      <c r="E104" s="183">
        <f>'Ethylene Recycling LC'!D76-'Ethylene Recycling LC'!$C$76</f>
        <v>1332.346963939548</v>
      </c>
      <c r="F104" s="183">
        <f>'Ethylene Recycling LC'!E76-'Ethylene Recycling LC'!$C$76</f>
        <v>2599.0139421890708</v>
      </c>
      <c r="G104" s="183">
        <f>'Ethylene Recycling LC'!F76-'Ethylene Recycling LC'!$C$76</f>
        <v>3799.5698980488014</v>
      </c>
      <c r="H104" s="183">
        <f>'Ethylene Recycling LC'!G76-'Ethylene Recycling LC'!$C$76</f>
        <v>4933.58946322681</v>
      </c>
      <c r="I104" s="183">
        <f>'Ethylene Recycling LC'!H76-'Ethylene Recycling LC'!$C$76</f>
        <v>6000.6529031838145</v>
      </c>
      <c r="J104" s="183">
        <f>'Ethylene Recycling LC'!I76-'Ethylene Recycling LC'!$C$76</f>
        <v>7000.3460826380688</v>
      </c>
      <c r="K104" s="183">
        <f>'Ethylene Recycling LC'!J76-'Ethylene Recycling LC'!$C$76</f>
        <v>7932.2604312303956</v>
      </c>
      <c r="L104" s="183">
        <f>'Ethylene Recycling LC'!K76-'Ethylene Recycling LC'!$C$76</f>
        <v>8795.9929093479586</v>
      </c>
      <c r="M104" s="183">
        <f>'Ethylene Recycling LC'!L76-'Ethylene Recycling LC'!$C$76</f>
        <v>9591.1459741067956</v>
      </c>
      <c r="N104" s="183">
        <f>'Ethylene Recycling LC'!M76-'Ethylene Recycling LC'!$C$76</f>
        <v>10317.327545492051</v>
      </c>
      <c r="O104" s="183">
        <f>'Ethylene Recycling LC'!N76-'Ethylene Recycling LC'!$C$76</f>
        <v>9043.5311959011378</v>
      </c>
      <c r="P104" s="183">
        <f>'Ethylene Recycling LC'!O76-'Ethylene Recycling LC'!$C$76</f>
        <v>8005.1775444997038</v>
      </c>
      <c r="Q104" s="183">
        <f>'Ethylene Recycling LC'!P76-'Ethylene Recycling LC'!$C$76</f>
        <v>6735.0830455538598</v>
      </c>
      <c r="R104" s="183">
        <f>'Ethylene Recycling LC'!Q76-'Ethylene Recycling LC'!$C$76</f>
        <v>5446.015319792903</v>
      </c>
      <c r="S104" s="183">
        <f>'Ethylene Recycling LC'!R76-'Ethylene Recycling LC'!$C$76</f>
        <v>4137.9573577981864</v>
      </c>
      <c r="T104" s="183">
        <f>'Ethylene Recycling LC'!S76-'Ethylene Recycling LC'!$C$76</f>
        <v>2810.8929086555872</v>
      </c>
      <c r="U104" s="183">
        <f>'Ethylene Recycling LC'!T76-'Ethylene Recycling LC'!$C$76</f>
        <v>1464.8064746016244</v>
      </c>
      <c r="V104" s="183">
        <f>'Ethylene Recycling LC'!U76-'Ethylene Recycling LC'!$C$76</f>
        <v>99.683305695878516</v>
      </c>
      <c r="W104" s="183">
        <f>'Ethylene Recycling LC'!V76-'Ethylene Recycling LC'!$C$76</f>
        <v>-1284.4906054802486</v>
      </c>
      <c r="X104" s="183">
        <f>'Ethylene Recycling LC'!W76-'Ethylene Recycling LC'!$C$76</f>
        <v>-2687.7285290989239</v>
      </c>
      <c r="Y104" s="183">
        <f>'Ethylene Recycling LC'!X76-'Ethylene Recycling LC'!$C$76</f>
        <v>-3678.4703045975912</v>
      </c>
      <c r="Z104" s="183">
        <f>'Ethylene Recycling LC'!Y76-'Ethylene Recycling LC'!$C$76</f>
        <v>-4664.0939001073348</v>
      </c>
      <c r="AA104" s="183">
        <f>'Ethylene Recycling LC'!Z76-'Ethylene Recycling LC'!$C$76</f>
        <v>-5664.0714523042334</v>
      </c>
      <c r="AB104" s="183">
        <f>'Ethylene Recycling LC'!AA76-'Ethylene Recycling LC'!$C$76</f>
        <v>-6678.4139202478909</v>
      </c>
      <c r="AC104" s="183">
        <f>'Ethylene Recycling LC'!AB76-'Ethylene Recycling LC'!$C$76</f>
        <v>-7707.1317049531135</v>
      </c>
      <c r="AD104" s="183">
        <f>'Ethylene Recycling LC'!AC76-'Ethylene Recycling LC'!$C$76</f>
        <v>-8750.2346533561358</v>
      </c>
      <c r="AE104" s="183">
        <f>'Ethylene Recycling LC'!AD76-'Ethylene Recycling LC'!$C$76</f>
        <v>-9807.7320622611733</v>
      </c>
      <c r="AF104" s="183">
        <f>'Ethylene Recycling LC'!AE76-'Ethylene Recycling LC'!$C$76</f>
        <v>-10879.632682267649</v>
      </c>
      <c r="AG104" s="183">
        <f>'Ethylene Recycling LC'!AF76-'Ethylene Recycling LC'!$C$76</f>
        <v>-11965.944721678072</v>
      </c>
      <c r="AH104" s="183">
        <f>'Ethylene Recycling LC'!AG76-'Ethylene Recycling LC'!$C$76</f>
        <v>-13066.675850386455</v>
      </c>
    </row>
    <row r="105" spans="1:36" s="62" customFormat="1">
      <c r="A105" s="58"/>
      <c r="B105" s="58" t="s">
        <v>267</v>
      </c>
      <c r="C105" s="59" t="s">
        <v>1420</v>
      </c>
      <c r="D105" s="577">
        <f>D102-D103-D104</f>
        <v>582875.6940607368</v>
      </c>
      <c r="E105" s="577">
        <f t="shared" ref="E105:AH105" si="31">E102-E103-E104</f>
        <v>590240.61178736063</v>
      </c>
      <c r="F105" s="577">
        <f t="shared" si="31"/>
        <v>597783.05760006316</v>
      </c>
      <c r="G105" s="577">
        <f t="shared" si="31"/>
        <v>605505.95611287642</v>
      </c>
      <c r="H105" s="577">
        <f t="shared" si="31"/>
        <v>613412.24926982599</v>
      </c>
      <c r="I105" s="577">
        <f t="shared" si="31"/>
        <v>621504.89677004446</v>
      </c>
      <c r="J105" s="577">
        <f t="shared" si="31"/>
        <v>629786.8764972752</v>
      </c>
      <c r="K105" s="577">
        <f t="shared" si="31"/>
        <v>638261.18495382904</v>
      </c>
      <c r="L105" s="577">
        <f t="shared" si="31"/>
        <v>646930.83769904007</v>
      </c>
      <c r="M105" s="577">
        <f t="shared" si="31"/>
        <v>655798.86979228188</v>
      </c>
      <c r="N105" s="577">
        <f t="shared" si="31"/>
        <v>664868.33624059416</v>
      </c>
      <c r="O105" s="577">
        <f t="shared" si="31"/>
        <v>674386.4444829619</v>
      </c>
      <c r="P105" s="577">
        <f t="shared" si="31"/>
        <v>683732.73193670018</v>
      </c>
      <c r="Q105" s="577">
        <f t="shared" si="31"/>
        <v>693389.8349720058</v>
      </c>
      <c r="R105" s="577">
        <f t="shared" si="31"/>
        <v>703132.45892789902</v>
      </c>
      <c r="S105" s="577">
        <f t="shared" si="31"/>
        <v>712960.88094552909</v>
      </c>
      <c r="T105" s="577">
        <f t="shared" si="31"/>
        <v>722875.34673429769</v>
      </c>
      <c r="U105" s="577">
        <f t="shared" si="31"/>
        <v>732876.06997564516</v>
      </c>
      <c r="V105" s="577">
        <f t="shared" si="31"/>
        <v>742963.23171634786</v>
      </c>
      <c r="W105" s="577">
        <f t="shared" si="31"/>
        <v>753136.97975120414</v>
      </c>
      <c r="X105" s="577">
        <f t="shared" si="31"/>
        <v>763397.42799500318</v>
      </c>
      <c r="Y105" s="577">
        <f t="shared" si="31"/>
        <v>767269.50648414064</v>
      </c>
      <c r="Z105" s="577">
        <f t="shared" si="31"/>
        <v>771003.02564305486</v>
      </c>
      <c r="AA105" s="577">
        <f t="shared" si="31"/>
        <v>774683.21986712911</v>
      </c>
      <c r="AB105" s="577">
        <f t="shared" si="31"/>
        <v>778246.40075398528</v>
      </c>
      <c r="AC105" s="577">
        <f t="shared" si="31"/>
        <v>781689.41383981484</v>
      </c>
      <c r="AD105" s="577">
        <f t="shared" si="31"/>
        <v>785009.029829312</v>
      </c>
      <c r="AE105" s="577">
        <f t="shared" si="31"/>
        <v>788201.94549649977</v>
      </c>
      <c r="AF105" s="577">
        <f t="shared" si="31"/>
        <v>791264.78468107793</v>
      </c>
      <c r="AG105" s="577">
        <f t="shared" si="31"/>
        <v>794194.09938306769</v>
      </c>
      <c r="AH105" s="577">
        <f t="shared" si="31"/>
        <v>796986.37095861859</v>
      </c>
      <c r="AI105" s="381"/>
      <c r="AJ105" s="381"/>
    </row>
    <row r="106" spans="1:36" s="61" customFormat="1">
      <c r="A106" s="606" t="s">
        <v>608</v>
      </c>
      <c r="B106" s="54" t="s">
        <v>141</v>
      </c>
      <c r="C106" s="55" t="s">
        <v>1420</v>
      </c>
      <c r="D106" s="571">
        <f>D20-('Ethylene Recycling LC'!C104+'Ethylene Recycling LC'!C77-'Ethylene Recycling LC'!$C$104-'Ethylene Recycling LC'!$C$77)</f>
        <v>36825.842975206615</v>
      </c>
      <c r="E106" s="571">
        <f>E20-('Ethylene Recycling LC'!D104+'Ethylene Recycling LC'!D77-'Ethylene Recycling LC'!$C$104-'Ethylene Recycling LC'!$C$77)</f>
        <v>35902.096021313548</v>
      </c>
      <c r="F106" s="571">
        <f>F20-('Ethylene Recycling LC'!E104+'Ethylene Recycling LC'!E77-'Ethylene Recycling LC'!$C$104-'Ethylene Recycling LC'!$C$77)</f>
        <v>35041.778341381818</v>
      </c>
      <c r="G106" s="571">
        <f>G20-('Ethylene Recycling LC'!F104+'Ethylene Recycling LC'!F77-'Ethylene Recycling LC'!$C$104-'Ethylene Recycling LC'!$C$77)</f>
        <v>34246.776383736047</v>
      </c>
      <c r="H106" s="571">
        <f>H20-('Ethylene Recycling LC'!G104+'Ethylene Recycling LC'!G77-'Ethylene Recycling LC'!$C$104-'Ethylene Recycling LC'!$C$77)</f>
        <v>33518.937586975764</v>
      </c>
      <c r="I106" s="571">
        <f>I20-('Ethylene Recycling LC'!H104+'Ethylene Recycling LC'!H77-'Ethylene Recycling LC'!$C$104-'Ethylene Recycling LC'!$C$77)</f>
        <v>32860.070761124138</v>
      </c>
      <c r="J106" s="571">
        <f>J20-('Ethylene Recycling LC'!I104+'Ethylene Recycling LC'!I77-'Ethylene Recycling LC'!$C$104-'Ethylene Recycling LC'!$C$77)</f>
        <v>32271.946466909096</v>
      </c>
      <c r="K106" s="571">
        <f>K20-('Ethylene Recycling LC'!J104+'Ethylene Recycling LC'!J77-'Ethylene Recycling LC'!$C$104-'Ethylene Recycling LC'!$C$77)</f>
        <v>31756.297393190565</v>
      </c>
      <c r="L106" s="571">
        <f>L20-('Ethylene Recycling LC'!K104+'Ethylene Recycling LC'!K77-'Ethylene Recycling LC'!$C$104-'Ethylene Recycling LC'!$C$77)</f>
        <v>31314.818732547814</v>
      </c>
      <c r="M106" s="571">
        <f>M20-('Ethylene Recycling LC'!L104+'Ethylene Recycling LC'!L77-'Ethylene Recycling LC'!$C$104-'Ethylene Recycling LC'!$C$77)</f>
        <v>30949.168555040946</v>
      </c>
      <c r="N106" s="571">
        <f>N20-('Ethylene Recycling LC'!M104+'Ethylene Recycling LC'!M77-'Ethylene Recycling LC'!$C$104-'Ethylene Recycling LC'!$C$77)</f>
        <v>30660.968180160155</v>
      </c>
      <c r="O106" s="571">
        <f>O20-('Ethylene Recycling LC'!N104+'Ethylene Recycling LC'!N77-'Ethylene Recycling LC'!$C$104-'Ethylene Recycling LC'!$C$77)</f>
        <v>32307.166352912354</v>
      </c>
      <c r="P106" s="571">
        <f>P20-('Ethylene Recycling LC'!O104+'Ethylene Recycling LC'!O77-'Ethylene Recycling LC'!$C$104-'Ethylene Recycling LC'!$C$77)</f>
        <v>33726.276148177414</v>
      </c>
      <c r="Q106" s="571">
        <f>Q20-('Ethylene Recycling LC'!P104+'Ethylene Recycling LC'!P77-'Ethylene Recycling LC'!$C$104-'Ethylene Recycling LC'!$C$77)</f>
        <v>35395.541072587504</v>
      </c>
      <c r="R106" s="571">
        <f>R20-('Ethylene Recycling LC'!Q104+'Ethylene Recycling LC'!Q77-'Ethylene Recycling LC'!$C$104-'Ethylene Recycling LC'!$C$77)</f>
        <v>37094.400423371306</v>
      </c>
      <c r="S106" s="571">
        <f>S20-('Ethylene Recycling LC'!R104+'Ethylene Recycling LC'!R77-'Ethylene Recycling LC'!$C$104-'Ethylene Recycling LC'!$C$77)</f>
        <v>38823.373497154294</v>
      </c>
      <c r="T106" s="571">
        <f>T20-('Ethylene Recycling LC'!S104+'Ethylene Recycling LC'!S77-'Ethylene Recycling LC'!$C$104-'Ethylene Recycling LC'!$C$77)</f>
        <v>40582.949001084315</v>
      </c>
      <c r="U106" s="571">
        <f>U20-('Ethylene Recycling LC'!T104+'Ethylene Recycling LC'!T77-'Ethylene Recycling LC'!$C$104-'Ethylene Recycling LC'!$C$77)</f>
        <v>42373.585529680531</v>
      </c>
      <c r="V106" s="571">
        <f>V20-('Ethylene Recycling LC'!U104+'Ethylene Recycling LC'!U77-'Ethylene Recycling LC'!$C$104-'Ethylene Recycling LC'!$C$77)</f>
        <v>44195.71203882496</v>
      </c>
      <c r="W106" s="571">
        <f>W20-('Ethylene Recycling LC'!V104+'Ethylene Recycling LC'!V77-'Ethylene Recycling LC'!$C$104-'Ethylene Recycling LC'!$C$77)</f>
        <v>46049.728316835783</v>
      </c>
      <c r="X106" s="571">
        <f>X20-('Ethylene Recycling LC'!W104+'Ethylene Recycling LC'!W77-'Ethylene Recycling LC'!$C$104-'Ethylene Recycling LC'!$C$77)</f>
        <v>47936.005452563892</v>
      </c>
      <c r="Y106" s="571">
        <f>Y20-('Ethylene Recycling LC'!X104+'Ethylene Recycling LC'!X77-'Ethylene Recycling LC'!$C$104-'Ethylene Recycling LC'!$C$77)</f>
        <v>49002.062015432122</v>
      </c>
      <c r="Z106" s="571">
        <f>Z20-('Ethylene Recycling LC'!Y104+'Ethylene Recycling LC'!Y77-'Ethylene Recycling LC'!$C$104-'Ethylene Recycling LC'!$C$77)</f>
        <v>50064.487839656606</v>
      </c>
      <c r="AA106" s="571">
        <f>AA20-('Ethylene Recycling LC'!Z104+'Ethylene Recycling LC'!Z77-'Ethylene Recycling LC'!$C$104-'Ethylene Recycling LC'!$C$77)</f>
        <v>51176.15870027394</v>
      </c>
      <c r="AB106" s="571">
        <f>AB20-('Ethylene Recycling LC'!AA104+'Ethylene Recycling LC'!AA77-'Ethylene Recycling LC'!$C$104-'Ethylene Recycling LC'!$C$77)</f>
        <v>52306.491098820268</v>
      </c>
      <c r="AC106" s="571">
        <f>AC20-('Ethylene Recycling LC'!AB104+'Ethylene Recycling LC'!AB77-'Ethylene Recycling LC'!$C$104-'Ethylene Recycling LC'!$C$77)</f>
        <v>53455.539258662255</v>
      </c>
      <c r="AD106" s="571">
        <f>AD20-('Ethylene Recycling LC'!AC104+'Ethylene Recycling LC'!AC77-'Ethylene Recycling LC'!$C$104-'Ethylene Recycling LC'!$C$77)</f>
        <v>54623.292660814957</v>
      </c>
      <c r="AE106" s="571">
        <f>AE20-('Ethylene Recycling LC'!AD104+'Ethylene Recycling LC'!AD77-'Ethylene Recycling LC'!$C$104-'Ethylene Recycling LC'!$C$77)</f>
        <v>55809.678103696002</v>
      </c>
      <c r="AF106" s="571">
        <f>AF20-('Ethylene Recycling LC'!AE104+'Ethylene Recycling LC'!AE77-'Ethylene Recycling LC'!$C$104-'Ethylene Recycling LC'!$C$77)</f>
        <v>57014.561781098295</v>
      </c>
      <c r="AG106" s="571">
        <f>AG20-('Ethylene Recycling LC'!AF104+'Ethylene Recycling LC'!AF77-'Ethylene Recycling LC'!$C$104-'Ethylene Recycling LC'!$C$77)</f>
        <v>58237.75137667339</v>
      </c>
      <c r="AH106" s="571">
        <f>AH20-('Ethylene Recycling LC'!AG104+'Ethylene Recycling LC'!AG77-'Ethylene Recycling LC'!$C$104-'Ethylene Recycling LC'!$C$77)</f>
        <v>59478.99817325476</v>
      </c>
      <c r="AI106" s="381"/>
      <c r="AJ106" s="381"/>
    </row>
    <row r="107" spans="1:36">
      <c r="A107" s="607"/>
      <c r="B107" s="1" t="s">
        <v>18</v>
      </c>
      <c r="C107" s="50" t="s">
        <v>1420</v>
      </c>
      <c r="D107" s="183">
        <f>D21+(D111-D25)</f>
        <v>0</v>
      </c>
      <c r="E107" s="183">
        <f t="shared" ref="E107:AH107" si="32">E21+(E111-E25)</f>
        <v>0</v>
      </c>
      <c r="F107" s="183">
        <f t="shared" si="32"/>
        <v>0</v>
      </c>
      <c r="G107" s="183">
        <f t="shared" si="32"/>
        <v>0</v>
      </c>
      <c r="H107" s="183">
        <f t="shared" si="32"/>
        <v>0</v>
      </c>
      <c r="I107" s="183">
        <f t="shared" si="32"/>
        <v>0</v>
      </c>
      <c r="J107" s="183">
        <f t="shared" si="32"/>
        <v>0</v>
      </c>
      <c r="K107" s="183">
        <f t="shared" si="32"/>
        <v>0</v>
      </c>
      <c r="L107" s="183">
        <f t="shared" si="32"/>
        <v>0</v>
      </c>
      <c r="M107" s="183">
        <f t="shared" si="32"/>
        <v>0</v>
      </c>
      <c r="N107" s="183">
        <f t="shared" si="32"/>
        <v>0</v>
      </c>
      <c r="O107" s="183">
        <f t="shared" si="32"/>
        <v>0</v>
      </c>
      <c r="P107" s="183">
        <f t="shared" si="32"/>
        <v>0</v>
      </c>
      <c r="Q107" s="183">
        <f t="shared" si="32"/>
        <v>0</v>
      </c>
      <c r="R107" s="183">
        <f t="shared" si="32"/>
        <v>0</v>
      </c>
      <c r="S107" s="183">
        <f t="shared" si="32"/>
        <v>0</v>
      </c>
      <c r="T107" s="183">
        <f t="shared" si="32"/>
        <v>0</v>
      </c>
      <c r="U107" s="183">
        <f t="shared" si="32"/>
        <v>0</v>
      </c>
      <c r="V107" s="183">
        <f t="shared" si="32"/>
        <v>0</v>
      </c>
      <c r="W107" s="183">
        <f t="shared" si="32"/>
        <v>0</v>
      </c>
      <c r="X107" s="183">
        <f t="shared" si="32"/>
        <v>0</v>
      </c>
      <c r="Y107" s="183">
        <f t="shared" si="32"/>
        <v>0</v>
      </c>
      <c r="Z107" s="183">
        <f t="shared" si="32"/>
        <v>0</v>
      </c>
      <c r="AA107" s="183">
        <f t="shared" si="32"/>
        <v>0</v>
      </c>
      <c r="AB107" s="183">
        <f t="shared" si="32"/>
        <v>0</v>
      </c>
      <c r="AC107" s="183">
        <f t="shared" si="32"/>
        <v>0</v>
      </c>
      <c r="AD107" s="183">
        <f t="shared" si="32"/>
        <v>0</v>
      </c>
      <c r="AE107" s="183">
        <f t="shared" si="32"/>
        <v>0</v>
      </c>
      <c r="AF107" s="183">
        <f t="shared" si="32"/>
        <v>0</v>
      </c>
      <c r="AG107" s="183">
        <f t="shared" si="32"/>
        <v>0</v>
      </c>
      <c r="AH107" s="183">
        <f t="shared" si="32"/>
        <v>0</v>
      </c>
      <c r="AI107" s="381"/>
      <c r="AJ107" s="381"/>
    </row>
    <row r="108" spans="1:36">
      <c r="A108" s="607"/>
      <c r="B108" s="1" t="s">
        <v>607</v>
      </c>
      <c r="C108" s="50" t="s">
        <v>1420</v>
      </c>
      <c r="D108" s="183">
        <f>D22+(D110-D24)</f>
        <v>23746.467073344633</v>
      </c>
      <c r="E108" s="183">
        <f t="shared" ref="E108:AH108" si="33">E22+(E110-E24)</f>
        <v>24106.20023432219</v>
      </c>
      <c r="F108" s="183">
        <f t="shared" si="33"/>
        <v>24469.559923884379</v>
      </c>
      <c r="G108" s="183">
        <f t="shared" si="33"/>
        <v>24836.378290419812</v>
      </c>
      <c r="H108" s="183">
        <f t="shared" si="33"/>
        <v>25206.497418514366</v>
      </c>
      <c r="I108" s="183">
        <f t="shared" si="33"/>
        <v>25579.769258756336</v>
      </c>
      <c r="J108" s="183">
        <f t="shared" si="33"/>
        <v>25956.055558267948</v>
      </c>
      <c r="K108" s="183">
        <f t="shared" si="33"/>
        <v>26335.227791962963</v>
      </c>
      <c r="L108" s="183">
        <f t="shared" si="33"/>
        <v>26717.167094529625</v>
      </c>
      <c r="M108" s="183">
        <f t="shared" si="33"/>
        <v>27101.764193138566</v>
      </c>
      <c r="N108" s="183">
        <f t="shared" si="33"/>
        <v>27488.919340875265</v>
      </c>
      <c r="O108" s="183">
        <f t="shared" si="33"/>
        <v>27810.003752098128</v>
      </c>
      <c r="P108" s="183">
        <f t="shared" si="33"/>
        <v>28130.923082812697</v>
      </c>
      <c r="Q108" s="183">
        <f t="shared" si="33"/>
        <v>28452.369640667373</v>
      </c>
      <c r="R108" s="183">
        <f t="shared" si="33"/>
        <v>28773.720965284381</v>
      </c>
      <c r="S108" s="183">
        <f t="shared" si="33"/>
        <v>29094.922984791938</v>
      </c>
      <c r="T108" s="183">
        <f t="shared" si="33"/>
        <v>29415.927009253035</v>
      </c>
      <c r="U108" s="183">
        <f t="shared" si="33"/>
        <v>29736.689568582307</v>
      </c>
      <c r="V108" s="183">
        <f t="shared" si="33"/>
        <v>30057.172250724863</v>
      </c>
      <c r="W108" s="183">
        <f t="shared" si="33"/>
        <v>30377.341540105437</v>
      </c>
      <c r="X108" s="183">
        <f t="shared" si="33"/>
        <v>30697.168656356887</v>
      </c>
      <c r="Y108" s="183">
        <f t="shared" si="33"/>
        <v>30766.58176488067</v>
      </c>
      <c r="Z108" s="183">
        <f t="shared" si="33"/>
        <v>30826.464267252359</v>
      </c>
      <c r="AA108" s="183">
        <f t="shared" si="33"/>
        <v>30882.959824679674</v>
      </c>
      <c r="AB108" s="183">
        <f t="shared" si="33"/>
        <v>30930.923794685441</v>
      </c>
      <c r="AC108" s="183">
        <f t="shared" si="33"/>
        <v>30970.302070353307</v>
      </c>
      <c r="AD108" s="183">
        <f t="shared" si="33"/>
        <v>31001.04940473448</v>
      </c>
      <c r="AE108" s="183">
        <f t="shared" si="33"/>
        <v>31023.128877439885</v>
      </c>
      <c r="AF108" s="183">
        <f t="shared" si="33"/>
        <v>31036.511364714697</v>
      </c>
      <c r="AG108" s="183">
        <f t="shared" si="33"/>
        <v>31041.175013590389</v>
      </c>
      <c r="AH108" s="183">
        <f t="shared" si="33"/>
        <v>31037.104720705142</v>
      </c>
      <c r="AI108" s="381"/>
      <c r="AJ108" s="381"/>
    </row>
    <row r="109" spans="1:36">
      <c r="A109" s="608"/>
      <c r="B109" s="1" t="s">
        <v>27</v>
      </c>
      <c r="C109" s="50" t="s">
        <v>1420</v>
      </c>
      <c r="D109" s="528">
        <f>D23-('Ethylene Recycling LC'!C78+'Ethylene Recycling LC'!C81-'Ethylene Recycling LC'!$C$78-'Ethylene Recycling LC'!$C$81+'Ethylene Recycling LC'!C105+'Ethylene Recycling LC'!C108-'Ethylene Recycling LC'!$C$105-'Ethylene Recycling LC'!$C$108)</f>
        <v>522303.38401218556</v>
      </c>
      <c r="E109" s="528">
        <f>E23-('Ethylene Recycling LC'!D78+'Ethylene Recycling LC'!D81-'Ethylene Recycling LC'!$C$78-'Ethylene Recycling LC'!$C$81+'Ethylene Recycling LC'!D105+'Ethylene Recycling LC'!D108-'Ethylene Recycling LC'!$C$105-'Ethylene Recycling LC'!$C$108)</f>
        <v>530232.31553172483</v>
      </c>
      <c r="F109" s="528">
        <f>F23-('Ethylene Recycling LC'!E78+'Ethylene Recycling LC'!E81-'Ethylene Recycling LC'!$C$78-'Ethylene Recycling LC'!$C$81+'Ethylene Recycling LC'!E105+'Ethylene Recycling LC'!E108-'Ethylene Recycling LC'!$C$105-'Ethylene Recycling LC'!$C$108)</f>
        <v>538271.71933479689</v>
      </c>
      <c r="G109" s="528">
        <f>G23-('Ethylene Recycling LC'!F78+'Ethylene Recycling LC'!F81-'Ethylene Recycling LC'!$C$78-'Ethylene Recycling LC'!$C$81+'Ethylene Recycling LC'!F105+'Ethylene Recycling LC'!F108-'Ethylene Recycling LC'!$C$105-'Ethylene Recycling LC'!$C$108)</f>
        <v>546422.80143872055</v>
      </c>
      <c r="H109" s="528">
        <f>H23-('Ethylene Recycling LC'!G78+'Ethylene Recycling LC'!G81-'Ethylene Recycling LC'!$C$78-'Ethylene Recycling LC'!$C$81+'Ethylene Recycling LC'!G105+'Ethylene Recycling LC'!G108-'Ethylene Recycling LC'!$C$105-'Ethylene Recycling LC'!$C$108)</f>
        <v>554686.8142643359</v>
      </c>
      <c r="I109" s="528">
        <f>I23-('Ethylene Recycling LC'!H78+'Ethylene Recycling LC'!H81-'Ethylene Recycling LC'!$C$78-'Ethylene Recycling LC'!$C$81+'Ethylene Recycling LC'!H105+'Ethylene Recycling LC'!H108-'Ethylene Recycling LC'!$C$105-'Ethylene Recycling LC'!$C$108)</f>
        <v>563065.05675016402</v>
      </c>
      <c r="J109" s="528">
        <f>J23-('Ethylene Recycling LC'!I78+'Ethylene Recycling LC'!I81-'Ethylene Recycling LC'!$C$78-'Ethylene Recycling LC'!$C$81+'Ethylene Recycling LC'!I105+'Ethylene Recycling LC'!I108-'Ethylene Recycling LC'!$C$105-'Ethylene Recycling LC'!$C$108)</f>
        <v>571558.87447209819</v>
      </c>
      <c r="K109" s="528">
        <f>K23-('Ethylene Recycling LC'!J78+'Ethylene Recycling LC'!J81-'Ethylene Recycling LC'!$C$78-'Ethylene Recycling LC'!$C$81+'Ethylene Recycling LC'!J105+'Ethylene Recycling LC'!J108-'Ethylene Recycling LC'!$C$105-'Ethylene Recycling LC'!$C$108)</f>
        <v>580169.65976867557</v>
      </c>
      <c r="L109" s="528">
        <f>L23-('Ethylene Recycling LC'!K78+'Ethylene Recycling LC'!K81-'Ethylene Recycling LC'!$C$78-'Ethylene Recycling LC'!$C$81+'Ethylene Recycling LC'!K105+'Ethylene Recycling LC'!K108-'Ethylene Recycling LC'!$C$105-'Ethylene Recycling LC'!$C$108)</f>
        <v>588898.85187196266</v>
      </c>
      <c r="M109" s="528">
        <f>M23-('Ethylene Recycling LC'!L78+'Ethylene Recycling LC'!L81-'Ethylene Recycling LC'!$C$78-'Ethylene Recycling LC'!$C$81+'Ethylene Recycling LC'!L105+'Ethylene Recycling LC'!L108-'Ethylene Recycling LC'!$C$105-'Ethylene Recycling LC'!$C$108)</f>
        <v>597747.93704410223</v>
      </c>
      <c r="N109" s="528">
        <f>N23-('Ethylene Recycling LC'!M78+'Ethylene Recycling LC'!M81-'Ethylene Recycling LC'!$C$78-'Ethylene Recycling LC'!$C$81+'Ethylene Recycling LC'!M105+'Ethylene Recycling LC'!M108-'Ethylene Recycling LC'!$C$105-'Ethylene Recycling LC'!$C$108)</f>
        <v>606718.44871955889</v>
      </c>
      <c r="O109" s="528">
        <f>O23-('Ethylene Recycling LC'!N78+'Ethylene Recycling LC'!N81-'Ethylene Recycling LC'!$C$78-'Ethylene Recycling LC'!$C$81+'Ethylene Recycling LC'!N105+'Ethylene Recycling LC'!N108-'Ethylene Recycling LC'!$C$105-'Ethylene Recycling LC'!$C$108)</f>
        <v>614269.2743779514</v>
      </c>
      <c r="P109" s="528">
        <f>P23-('Ethylene Recycling LC'!O78+'Ethylene Recycling LC'!O81-'Ethylene Recycling LC'!$C$78-'Ethylene Recycling LC'!$C$81+'Ethylene Recycling LC'!O105+'Ethylene Recycling LC'!O108-'Ethylene Recycling LC'!$C$105-'Ethylene Recycling LC'!$C$108)</f>
        <v>621875.53270571004</v>
      </c>
      <c r="Q109" s="528">
        <f>Q23-('Ethylene Recycling LC'!P78+'Ethylene Recycling LC'!P81-'Ethylene Recycling LC'!$C$78-'Ethylene Recycling LC'!$C$81+'Ethylene Recycling LC'!P105+'Ethylene Recycling LC'!P108-'Ethylene Recycling LC'!$C$105-'Ethylene Recycling LC'!$C$108)</f>
        <v>629541.92425875086</v>
      </c>
      <c r="R109" s="528">
        <f>R23-('Ethylene Recycling LC'!Q78+'Ethylene Recycling LC'!Q81-'Ethylene Recycling LC'!$C$78-'Ethylene Recycling LC'!$C$81+'Ethylene Recycling LC'!Q105+'Ethylene Recycling LC'!Q108-'Ethylene Recycling LC'!$C$105-'Ethylene Recycling LC'!$C$108)</f>
        <v>637264.3375392434</v>
      </c>
      <c r="S109" s="528">
        <f>S23-('Ethylene Recycling LC'!R78+'Ethylene Recycling LC'!R81-'Ethylene Recycling LC'!$C$78-'Ethylene Recycling LC'!$C$81+'Ethylene Recycling LC'!R105+'Ethylene Recycling LC'!R108-'Ethylene Recycling LC'!$C$105-'Ethylene Recycling LC'!$C$108)</f>
        <v>645042.58446358296</v>
      </c>
      <c r="T109" s="528">
        <f>T23-('Ethylene Recycling LC'!S78+'Ethylene Recycling LC'!S81-'Ethylene Recycling LC'!$C$78-'Ethylene Recycling LC'!$C$81+'Ethylene Recycling LC'!S105+'Ethylene Recycling LC'!S108-'Ethylene Recycling LC'!$C$105-'Ethylene Recycling LC'!$C$108)</f>
        <v>652876.47072396043</v>
      </c>
      <c r="U109" s="528">
        <f>U23-('Ethylene Recycling LC'!T78+'Ethylene Recycling LC'!T81-'Ethylene Recycling LC'!$C$78-'Ethylene Recycling LC'!$C$81+'Ethylene Recycling LC'!T105+'Ethylene Recycling LC'!T108-'Ethylene Recycling LC'!$C$105-'Ethylene Recycling LC'!$C$108)</f>
        <v>660765.79487738234</v>
      </c>
      <c r="V109" s="528">
        <f>V23-('Ethylene Recycling LC'!U78+'Ethylene Recycling LC'!U81-'Ethylene Recycling LC'!$C$78-'Ethylene Recycling LC'!$C$81+'Ethylene Recycling LC'!U105+'Ethylene Recycling LC'!U108-'Ethylene Recycling LC'!$C$105-'Ethylene Recycling LC'!$C$108)</f>
        <v>668710.34742679808</v>
      </c>
      <c r="W109" s="528">
        <f>W23-('Ethylene Recycling LC'!V78+'Ethylene Recycling LC'!V81-'Ethylene Recycling LC'!$C$78-'Ethylene Recycling LC'!$C$81+'Ethylene Recycling LC'!V105+'Ethylene Recycling LC'!V108-'Ethylene Recycling LC'!$C$105-'Ethylene Recycling LC'!$C$108)</f>
        <v>676709.90989426291</v>
      </c>
      <c r="X109" s="528">
        <f>X23-('Ethylene Recycling LC'!W78+'Ethylene Recycling LC'!W81-'Ethylene Recycling LC'!$C$78-'Ethylene Recycling LC'!$C$81+'Ethylene Recycling LC'!W105+'Ethylene Recycling LC'!W108-'Ethylene Recycling LC'!$C$105-'Ethylene Recycling LC'!$C$108)</f>
        <v>684764.25388608244</v>
      </c>
      <c r="Y109" s="528">
        <f>Y23-('Ethylene Recycling LC'!X78+'Ethylene Recycling LC'!X81-'Ethylene Recycling LC'!$C$78-'Ethylene Recycling LC'!$C$81+'Ethylene Recycling LC'!X105+'Ethylene Recycling LC'!X108-'Ethylene Recycling LC'!$C$105-'Ethylene Recycling LC'!$C$108)</f>
        <v>687500.86270382779</v>
      </c>
      <c r="Z109" s="528">
        <f>Z23-('Ethylene Recycling LC'!Y78+'Ethylene Recycling LC'!Y81-'Ethylene Recycling LC'!$C$78-'Ethylene Recycling LC'!$C$81+'Ethylene Recycling LC'!Y105+'Ethylene Recycling LC'!Y108-'Ethylene Recycling LC'!$C$105-'Ethylene Recycling LC'!$C$108)</f>
        <v>690112.07353614597</v>
      </c>
      <c r="AA109" s="528">
        <f>AA23-('Ethylene Recycling LC'!Z78+'Ethylene Recycling LC'!Z81-'Ethylene Recycling LC'!$C$78-'Ethylene Recycling LC'!$C$81+'Ethylene Recycling LC'!Z105+'Ethylene Recycling LC'!Z108-'Ethylene Recycling LC'!$C$105-'Ethylene Recycling LC'!$C$108)</f>
        <v>692624.10134217551</v>
      </c>
      <c r="AB109" s="528">
        <f>AB23-('Ethylene Recycling LC'!AA78+'Ethylene Recycling LC'!AA81-'Ethylene Recycling LC'!$C$78-'Ethylene Recycling LC'!$C$81+'Ethylene Recycling LC'!AA105+'Ethylene Recycling LC'!AA108-'Ethylene Recycling LC'!$C$105-'Ethylene Recycling LC'!$C$108)</f>
        <v>695008.98586047965</v>
      </c>
      <c r="AC109" s="528">
        <f>AC23-('Ethylene Recycling LC'!AB78+'Ethylene Recycling LC'!AB81-'Ethylene Recycling LC'!$C$78-'Ethylene Recycling LC'!$C$81+'Ethylene Recycling LC'!AB105+'Ethylene Recycling LC'!AB108-'Ethylene Recycling LC'!$C$105-'Ethylene Recycling LC'!$C$108)</f>
        <v>697263.57251079916</v>
      </c>
      <c r="AD109" s="528">
        <f>AD23-('Ethylene Recycling LC'!AC78+'Ethylene Recycling LC'!AC81-'Ethylene Recycling LC'!$C$78-'Ethylene Recycling LC'!$C$81+'Ethylene Recycling LC'!AC105+'Ethylene Recycling LC'!AC108-'Ethylene Recycling LC'!$C$105-'Ethylene Recycling LC'!$C$108)</f>
        <v>699384.68776376254</v>
      </c>
      <c r="AE109" s="528">
        <f>AE23-('Ethylene Recycling LC'!AD78+'Ethylene Recycling LC'!AD81-'Ethylene Recycling LC'!$C$78-'Ethylene Recycling LC'!$C$81+'Ethylene Recycling LC'!AD105+'Ethylene Recycling LC'!AD108-'Ethylene Recycling LC'!$C$105-'Ethylene Recycling LC'!$C$108)</f>
        <v>701369.13851536391</v>
      </c>
      <c r="AF109" s="528">
        <f>AF23-('Ethylene Recycling LC'!AE78+'Ethylene Recycling LC'!AE81-'Ethylene Recycling LC'!$C$78-'Ethylene Recycling LC'!$C$81+'Ethylene Recycling LC'!AE105+'Ethylene Recycling LC'!AE108-'Ethylene Recycling LC'!$C$105-'Ethylene Recycling LC'!$C$108)</f>
        <v>703213.71153526497</v>
      </c>
      <c r="AG109" s="528">
        <f>AG23-('Ethylene Recycling LC'!AF78+'Ethylene Recycling LC'!AF81-'Ethylene Recycling LC'!$C$78-'Ethylene Recycling LC'!$C$81+'Ethylene Recycling LC'!AF105+'Ethylene Recycling LC'!AF108-'Ethylene Recycling LC'!$C$105-'Ethylene Recycling LC'!$C$108)</f>
        <v>704915.17299280385</v>
      </c>
      <c r="AH109" s="528">
        <f>AH23-('Ethylene Recycling LC'!AG78+'Ethylene Recycling LC'!AG81-'Ethylene Recycling LC'!$C$78-'Ethylene Recycling LC'!$C$81+'Ethylene Recycling LC'!AG105+'Ethylene Recycling LC'!AG108-'Ethylene Recycling LC'!$C$105-'Ethylene Recycling LC'!$C$108)</f>
        <v>706470.26806465862</v>
      </c>
      <c r="AI109" s="381"/>
      <c r="AJ109" s="381"/>
    </row>
    <row r="110" spans="1:36" s="61" customFormat="1">
      <c r="A110" s="609" t="s">
        <v>609</v>
      </c>
      <c r="B110" s="54" t="s">
        <v>606</v>
      </c>
      <c r="C110" s="55" t="s">
        <v>1420</v>
      </c>
      <c r="D110" s="571">
        <f>D24-('Ethylene Recycling LC'!C79+'Ethylene Recycling LC'!C106-'Ethylene Recycling LC'!$C$79-'Ethylene Recycling LC'!$C$106)</f>
        <v>10824.28882051282</v>
      </c>
      <c r="E110" s="571">
        <f>E24-('Ethylene Recycling LC'!D79+'Ethylene Recycling LC'!D106-'Ethylene Recycling LC'!$C$79-'Ethylene Recycling LC'!$C$106)</f>
        <v>10986.698797150284</v>
      </c>
      <c r="F110" s="571">
        <f>F24-('Ethylene Recycling LC'!E79+'Ethylene Recycling LC'!E106-'Ethylene Recycling LC'!$C$79-'Ethylene Recycling LC'!$C$106)</f>
        <v>11149.786546479236</v>
      </c>
      <c r="G110" s="571">
        <f>G24-('Ethylene Recycling LC'!F79+'Ethylene Recycling LC'!F106-'Ethylene Recycling LC'!$C$79-'Ethylene Recycling LC'!$C$106)</f>
        <v>11313.341281583012</v>
      </c>
      <c r="H110" s="571">
        <f>H24-('Ethylene Recycling LC'!G79+'Ethylene Recycling LC'!G106-'Ethylene Recycling LC'!$C$79-'Ethylene Recycling LC'!$C$106)</f>
        <v>11477.161546762214</v>
      </c>
      <c r="I110" s="571">
        <f>I24-('Ethylene Recycling LC'!H79+'Ethylene Recycling LC'!H106-'Ethylene Recycling LC'!$C$79-'Ethylene Recycling LC'!$C$106)</f>
        <v>11641.05513918269</v>
      </c>
      <c r="J110" s="571">
        <f>J24-('Ethylene Recycling LC'!I79+'Ethylene Recycling LC'!I106-'Ethylene Recycling LC'!$C$79-'Ethylene Recycling LC'!$C$106)</f>
        <v>11804.839031146816</v>
      </c>
      <c r="K110" s="571">
        <f>K24-('Ethylene Recycling LC'!J79+'Ethylene Recycling LC'!J106-'Ethylene Recycling LC'!$C$79-'Ethylene Recycling LC'!$C$106)</f>
        <v>11968.339292986488</v>
      </c>
      <c r="L110" s="571">
        <f>L24-('Ethylene Recycling LC'!K79+'Ethylene Recycling LC'!K106-'Ethylene Recycling LC'!$C$79-'Ethylene Recycling LC'!$C$106)</f>
        <v>12131.391016576008</v>
      </c>
      <c r="M110" s="571">
        <f>M24-('Ethylene Recycling LC'!L79+'Ethylene Recycling LC'!L106-'Ethylene Recycling LC'!$C$79-'Ethylene Recycling LC'!$C$106)</f>
        <v>12293.838239463279</v>
      </c>
      <c r="N110" s="571">
        <f>N24-('Ethylene Recycling LC'!M79+'Ethylene Recycling LC'!M106-'Ethylene Recycling LC'!$C$79-'Ethylene Recycling LC'!$C$106)</f>
        <v>12455.533869617611</v>
      </c>
      <c r="O110" s="571">
        <f>O24-('Ethylene Recycling LC'!N79+'Ethylene Recycling LC'!N106-'Ethylene Recycling LC'!$C$79-'Ethylene Recycling LC'!$C$106)</f>
        <v>12586.373236429146</v>
      </c>
      <c r="P110" s="571">
        <f>P24-('Ethylene Recycling LC'!O79+'Ethylene Recycling LC'!O106-'Ethylene Recycling LC'!$C$79-'Ethylene Recycling LC'!$C$106)</f>
        <v>12715.431596799683</v>
      </c>
      <c r="Q110" s="571">
        <f>Q24-('Ethylene Recycling LC'!P79+'Ethylene Recycling LC'!P106-'Ethylene Recycling LC'!$C$79-'Ethylene Recycling LC'!$C$106)</f>
        <v>12843.403909050397</v>
      </c>
      <c r="R110" s="571">
        <f>R24-('Ethylene Recycling LC'!Q79+'Ethylene Recycling LC'!Q106-'Ethylene Recycling LC'!$C$79-'Ethylene Recycling LC'!$C$106)</f>
        <v>12969.670862645376</v>
      </c>
      <c r="S110" s="571">
        <f>S24-('Ethylene Recycling LC'!R79+'Ethylene Recycling LC'!R106-'Ethylene Recycling LC'!$C$79-'Ethylene Recycling LC'!$C$106)</f>
        <v>13094.182048204326</v>
      </c>
      <c r="T110" s="571">
        <f>T24-('Ethylene Recycling LC'!S79+'Ethylene Recycling LC'!S106-'Ethylene Recycling LC'!$C$79-'Ethylene Recycling LC'!$C$106)</f>
        <v>13216.892964649967</v>
      </c>
      <c r="U110" s="571">
        <f>U24-('Ethylene Recycling LC'!T79+'Ethylene Recycling LC'!T106-'Ethylene Recycling LC'!$C$79-'Ethylene Recycling LC'!$C$106)</f>
        <v>13337.764871084257</v>
      </c>
      <c r="V110" s="571">
        <f>V24-('Ethylene Recycling LC'!U79+'Ethylene Recycling LC'!U106-'Ethylene Recycling LC'!$C$79-'Ethylene Recycling LC'!$C$106)</f>
        <v>13456.76463916936</v>
      </c>
      <c r="W110" s="571">
        <f>W24-('Ethylene Recycling LC'!V79+'Ethylene Recycling LC'!V106-'Ethylene Recycling LC'!$C$79-'Ethylene Recycling LC'!$C$106)</f>
        <v>13573.864606024399</v>
      </c>
      <c r="X110" s="571">
        <f>X24-('Ethylene Recycling LC'!W79+'Ethylene Recycling LC'!W106-'Ethylene Recycling LC'!$C$79-'Ethylene Recycling LC'!$C$106)</f>
        <v>13689.042427649076</v>
      </c>
      <c r="Y110" s="571">
        <f>Y24-('Ethylene Recycling LC'!X79+'Ethylene Recycling LC'!X106-'Ethylene Recycling LC'!$C$79-'Ethylene Recycling LC'!$C$106)</f>
        <v>13684.246623493609</v>
      </c>
      <c r="Z110" s="571">
        <f>Z24-('Ethylene Recycling LC'!Y79+'Ethylene Recycling LC'!Y106-'Ethylene Recycling LC'!$C$79-'Ethylene Recycling LC'!$C$106)</f>
        <v>13672.702588283384</v>
      </c>
      <c r="AA110" s="571">
        <f>AA24-('Ethylene Recycling LC'!Z79+'Ethylene Recycling LC'!Z106-'Ethylene Recycling LC'!$C$79-'Ethylene Recycling LC'!$C$106)</f>
        <v>13660.641032655923</v>
      </c>
      <c r="AB110" s="571">
        <f>AB24-('Ethylene Recycling LC'!AA79+'Ethylene Recycling LC'!AA106-'Ethylene Recycling LC'!$C$79-'Ethylene Recycling LC'!$C$106)</f>
        <v>13643.005420468835</v>
      </c>
      <c r="AC110" s="571">
        <f>AC24-('Ethylene Recycling LC'!AB79+'Ethylene Recycling LC'!AB106-'Ethylene Recycling LC'!$C$79-'Ethylene Recycling LC'!$C$106)</f>
        <v>13619.830789848569</v>
      </c>
      <c r="AD110" s="571">
        <f>AD24-('Ethylene Recycling LC'!AC79+'Ethylene Recycling LC'!AC106-'Ethylene Recycling LC'!$C$79-'Ethylene Recycling LC'!$C$106)</f>
        <v>13591.162057808475</v>
      </c>
      <c r="AE110" s="571">
        <f>AE24-('Ethylene Recycling LC'!AD79+'Ethylene Recycling LC'!AD106-'Ethylene Recycling LC'!$C$79-'Ethylene Recycling LC'!$C$106)</f>
        <v>13557.053465397326</v>
      </c>
      <c r="AF110" s="571">
        <f>AF24-('Ethylene Recycling LC'!AE79+'Ethylene Recycling LC'!AE106-'Ethylene Recycling LC'!$C$79-'Ethylene Recycling LC'!$C$106)</f>
        <v>13517.568024610109</v>
      </c>
      <c r="AG110" s="571">
        <f>AG24-('Ethylene Recycling LC'!AF79+'Ethylene Recycling LC'!AF106-'Ethylene Recycling LC'!$C$79-'Ethylene Recycling LC'!$C$106)</f>
        <v>13472.776967589003</v>
      </c>
      <c r="AH110" s="571">
        <f>AH24-('Ethylene Recycling LC'!AG79+'Ethylene Recycling LC'!AG106-'Ethylene Recycling LC'!$C$79-'Ethylene Recycling LC'!$C$106)</f>
        <v>13422.759198636122</v>
      </c>
      <c r="AI110" s="381"/>
      <c r="AJ110" s="381"/>
    </row>
    <row r="111" spans="1:36" s="62" customFormat="1">
      <c r="A111" s="610"/>
      <c r="B111" s="58" t="s">
        <v>605</v>
      </c>
      <c r="C111" s="233" t="s">
        <v>1420</v>
      </c>
      <c r="D111" s="528">
        <f>D25-('Ethylene Recycling LC'!C80+'Ethylene Recycling LC'!C107-'Ethylene Recycling LC'!$C$80-'Ethylene Recycling LC'!$C$107)</f>
        <v>0</v>
      </c>
      <c r="E111" s="528">
        <f>E25-('Ethylene Recycling LC'!D80+'Ethylene Recycling LC'!D107-'Ethylene Recycling LC'!$C$80-'Ethylene Recycling LC'!$C$107)</f>
        <v>0</v>
      </c>
      <c r="F111" s="528">
        <f>F25-('Ethylene Recycling LC'!E80+'Ethylene Recycling LC'!E107-'Ethylene Recycling LC'!$C$80-'Ethylene Recycling LC'!$C$107)</f>
        <v>0</v>
      </c>
      <c r="G111" s="528">
        <f>G25-('Ethylene Recycling LC'!F80+'Ethylene Recycling LC'!F107-'Ethylene Recycling LC'!$C$80-'Ethylene Recycling LC'!$C$107)</f>
        <v>0</v>
      </c>
      <c r="H111" s="528">
        <f>H25-('Ethylene Recycling LC'!G80+'Ethylene Recycling LC'!G107-'Ethylene Recycling LC'!$C$80-'Ethylene Recycling LC'!$C$107)</f>
        <v>0</v>
      </c>
      <c r="I111" s="528">
        <f>I25-('Ethylene Recycling LC'!H80+'Ethylene Recycling LC'!H107-'Ethylene Recycling LC'!$C$80-'Ethylene Recycling LC'!$C$107)</f>
        <v>0</v>
      </c>
      <c r="J111" s="528">
        <f>J25-('Ethylene Recycling LC'!I80+'Ethylene Recycling LC'!I107-'Ethylene Recycling LC'!$C$80-'Ethylene Recycling LC'!$C$107)</f>
        <v>0</v>
      </c>
      <c r="K111" s="528">
        <f>K25-('Ethylene Recycling LC'!J80+'Ethylene Recycling LC'!J107-'Ethylene Recycling LC'!$C$80-'Ethylene Recycling LC'!$C$107)</f>
        <v>0</v>
      </c>
      <c r="L111" s="528">
        <f>L25-('Ethylene Recycling LC'!K80+'Ethylene Recycling LC'!K107-'Ethylene Recycling LC'!$C$80-'Ethylene Recycling LC'!$C$107)</f>
        <v>0</v>
      </c>
      <c r="M111" s="528">
        <f>M25-('Ethylene Recycling LC'!L80+'Ethylene Recycling LC'!L107-'Ethylene Recycling LC'!$C$80-'Ethylene Recycling LC'!$C$107)</f>
        <v>0</v>
      </c>
      <c r="N111" s="528">
        <f>N25-('Ethylene Recycling LC'!M80+'Ethylene Recycling LC'!M107-'Ethylene Recycling LC'!$C$80-'Ethylene Recycling LC'!$C$107)</f>
        <v>0</v>
      </c>
      <c r="O111" s="528">
        <f>O25-('Ethylene Recycling LC'!N80+'Ethylene Recycling LC'!N107-'Ethylene Recycling LC'!$C$80-'Ethylene Recycling LC'!$C$107)</f>
        <v>0</v>
      </c>
      <c r="P111" s="528">
        <f>P25-('Ethylene Recycling LC'!O80+'Ethylene Recycling LC'!O107-'Ethylene Recycling LC'!$C$80-'Ethylene Recycling LC'!$C$107)</f>
        <v>0</v>
      </c>
      <c r="Q111" s="528">
        <f>Q25-('Ethylene Recycling LC'!P80+'Ethylene Recycling LC'!P107-'Ethylene Recycling LC'!$C$80-'Ethylene Recycling LC'!$C$107)</f>
        <v>0</v>
      </c>
      <c r="R111" s="528">
        <f>R25-('Ethylene Recycling LC'!Q80+'Ethylene Recycling LC'!Q107-'Ethylene Recycling LC'!$C$80-'Ethylene Recycling LC'!$C$107)</f>
        <v>0</v>
      </c>
      <c r="S111" s="528">
        <f>S25-('Ethylene Recycling LC'!R80+'Ethylene Recycling LC'!R107-'Ethylene Recycling LC'!$C$80-'Ethylene Recycling LC'!$C$107)</f>
        <v>0</v>
      </c>
      <c r="T111" s="528">
        <f>T25-('Ethylene Recycling LC'!S80+'Ethylene Recycling LC'!S107-'Ethylene Recycling LC'!$C$80-'Ethylene Recycling LC'!$C$107)</f>
        <v>0</v>
      </c>
      <c r="U111" s="528">
        <f>U25-('Ethylene Recycling LC'!T80+'Ethylene Recycling LC'!T107-'Ethylene Recycling LC'!$C$80-'Ethylene Recycling LC'!$C$107)</f>
        <v>0</v>
      </c>
      <c r="V111" s="528">
        <f>V25-('Ethylene Recycling LC'!U80+'Ethylene Recycling LC'!U107-'Ethylene Recycling LC'!$C$80-'Ethylene Recycling LC'!$C$107)</f>
        <v>0</v>
      </c>
      <c r="W111" s="528">
        <f>W25-('Ethylene Recycling LC'!V80+'Ethylene Recycling LC'!V107-'Ethylene Recycling LC'!$C$80-'Ethylene Recycling LC'!$C$107)</f>
        <v>0</v>
      </c>
      <c r="X111" s="528">
        <f>X25-('Ethylene Recycling LC'!W80+'Ethylene Recycling LC'!W107-'Ethylene Recycling LC'!$C$80-'Ethylene Recycling LC'!$C$107)</f>
        <v>0</v>
      </c>
      <c r="Y111" s="528">
        <f>Y25-('Ethylene Recycling LC'!X80+'Ethylene Recycling LC'!X107-'Ethylene Recycling LC'!$C$80-'Ethylene Recycling LC'!$C$107)</f>
        <v>0</v>
      </c>
      <c r="Z111" s="528">
        <f>Z25-('Ethylene Recycling LC'!Y80+'Ethylene Recycling LC'!Y107-'Ethylene Recycling LC'!$C$80-'Ethylene Recycling LC'!$C$107)</f>
        <v>0</v>
      </c>
      <c r="AA111" s="528">
        <f>AA25-('Ethylene Recycling LC'!Z80+'Ethylene Recycling LC'!Z107-'Ethylene Recycling LC'!$C$80-'Ethylene Recycling LC'!$C$107)</f>
        <v>0</v>
      </c>
      <c r="AB111" s="528">
        <f>AB25-('Ethylene Recycling LC'!AA80+'Ethylene Recycling LC'!AA107-'Ethylene Recycling LC'!$C$80-'Ethylene Recycling LC'!$C$107)</f>
        <v>0</v>
      </c>
      <c r="AC111" s="528">
        <f>AC25-('Ethylene Recycling LC'!AB80+'Ethylene Recycling LC'!AB107-'Ethylene Recycling LC'!$C$80-'Ethylene Recycling LC'!$C$107)</f>
        <v>0</v>
      </c>
      <c r="AD111" s="528">
        <f>AD25-('Ethylene Recycling LC'!AC80+'Ethylene Recycling LC'!AC107-'Ethylene Recycling LC'!$C$80-'Ethylene Recycling LC'!$C$107)</f>
        <v>0</v>
      </c>
      <c r="AE111" s="528">
        <f>AE25-('Ethylene Recycling LC'!AD80+'Ethylene Recycling LC'!AD107-'Ethylene Recycling LC'!$C$80-'Ethylene Recycling LC'!$C$107)</f>
        <v>0</v>
      </c>
      <c r="AF111" s="528">
        <f>AF25-('Ethylene Recycling LC'!AE80+'Ethylene Recycling LC'!AE107-'Ethylene Recycling LC'!$C$80-'Ethylene Recycling LC'!$C$107)</f>
        <v>0</v>
      </c>
      <c r="AG111" s="528">
        <f>AG25-('Ethylene Recycling LC'!AF80+'Ethylene Recycling LC'!AF107-'Ethylene Recycling LC'!$C$80-'Ethylene Recycling LC'!$C$107)</f>
        <v>0</v>
      </c>
      <c r="AH111" s="528">
        <f>AH25-('Ethylene Recycling LC'!AG80+'Ethylene Recycling LC'!AG107-'Ethylene Recycling LC'!$C$80-'Ethylene Recycling LC'!$C$107)</f>
        <v>0</v>
      </c>
      <c r="AI111" s="381"/>
    </row>
    <row r="112" spans="1:36" s="61" customFormat="1">
      <c r="A112" s="54" t="s">
        <v>519</v>
      </c>
      <c r="B112" s="54" t="s">
        <v>200</v>
      </c>
      <c r="C112" s="93" t="s">
        <v>1420</v>
      </c>
      <c r="D112" s="574">
        <f t="shared" ref="D112:AH112" si="34">D55</f>
        <v>29305.030176899061</v>
      </c>
      <c r="E112" s="574">
        <f t="shared" si="34"/>
        <v>28651.223076001359</v>
      </c>
      <c r="F112" s="574">
        <f t="shared" si="34"/>
        <v>28005.104638660021</v>
      </c>
      <c r="G112" s="574">
        <f t="shared" si="34"/>
        <v>27366.599459583933</v>
      </c>
      <c r="H112" s="574">
        <f t="shared" si="34"/>
        <v>26735.632811024956</v>
      </c>
      <c r="I112" s="574">
        <f t="shared" si="34"/>
        <v>26112.130636996826</v>
      </c>
      <c r="J112" s="574">
        <f t="shared" si="34"/>
        <v>25496.019547541717</v>
      </c>
      <c r="K112" s="574">
        <f t="shared" si="34"/>
        <v>24887.226813044079</v>
      </c>
      <c r="L112" s="574">
        <f t="shared" si="34"/>
        <v>24285.680358591409</v>
      </c>
      <c r="M112" s="574">
        <f t="shared" si="34"/>
        <v>23691.308758381529</v>
      </c>
      <c r="N112" s="574">
        <f t="shared" si="34"/>
        <v>23104.041230176023</v>
      </c>
      <c r="O112" s="574">
        <f t="shared" si="34"/>
        <v>22647.274077261161</v>
      </c>
      <c r="P112" s="574">
        <f t="shared" si="34"/>
        <v>22195.750696918611</v>
      </c>
      <c r="Q112" s="574">
        <f t="shared" si="34"/>
        <v>21749.420189105327</v>
      </c>
      <c r="R112" s="574">
        <f t="shared" si="34"/>
        <v>21308.232108522028</v>
      </c>
      <c r="S112" s="574">
        <f t="shared" si="34"/>
        <v>20872.136460747213</v>
      </c>
      <c r="T112" s="574">
        <f t="shared" si="34"/>
        <v>20441.083698403017</v>
      </c>
      <c r="U112" s="574">
        <f t="shared" si="34"/>
        <v>20015.024717352546</v>
      </c>
      <c r="V112" s="574">
        <f t="shared" si="34"/>
        <v>19593.910852928548</v>
      </c>
      <c r="W112" s="574">
        <f t="shared" si="34"/>
        <v>19177.69387619312</v>
      </c>
      <c r="X112" s="574">
        <f t="shared" si="34"/>
        <v>18766.32599022815</v>
      </c>
      <c r="Y112" s="574">
        <f t="shared" si="34"/>
        <v>18302.828377159916</v>
      </c>
      <c r="Z112" s="574">
        <f t="shared" si="34"/>
        <v>17844.87894612152</v>
      </c>
      <c r="AA112" s="574">
        <f t="shared" si="34"/>
        <v>17392.422881572045</v>
      </c>
      <c r="AB112" s="574">
        <f t="shared" si="34"/>
        <v>16945.405862500942</v>
      </c>
      <c r="AC112" s="574">
        <f t="shared" si="34"/>
        <v>16503.774058197683</v>
      </c>
      <c r="AD112" s="574">
        <f t="shared" si="34"/>
        <v>16067.474124056398</v>
      </c>
      <c r="AE112" s="574">
        <f t="shared" si="34"/>
        <v>15636.453197415147</v>
      </c>
      <c r="AF112" s="574">
        <f t="shared" si="34"/>
        <v>15210.658893429551</v>
      </c>
      <c r="AG112" s="574">
        <f t="shared" si="34"/>
        <v>14790.039300980588</v>
      </c>
      <c r="AH112" s="574">
        <f t="shared" si="34"/>
        <v>14374.542978616169</v>
      </c>
    </row>
    <row r="113" spans="1:36" outlineLevel="1">
      <c r="A113"/>
      <c r="B113" t="s">
        <v>266</v>
      </c>
      <c r="C113" s="50" t="s">
        <v>1420</v>
      </c>
      <c r="D113" s="183">
        <f>'Ethylene Recycling LC'!C135-'Ethylene Recycling LC'!$C$135</f>
        <v>0</v>
      </c>
      <c r="E113" s="183">
        <f>'Ethylene Recycling LC'!D135-'Ethylene Recycling LC'!$C$135</f>
        <v>107.93123811254998</v>
      </c>
      <c r="F113" s="183">
        <f>'Ethylene Recycling LC'!E135-'Ethylene Recycling LC'!$C$135</f>
        <v>246.15536418239407</v>
      </c>
      <c r="G113" s="183">
        <f>'Ethylene Recycling LC'!F135-'Ethylene Recycling LC'!$C$135</f>
        <v>414.47017878823044</v>
      </c>
      <c r="H113" s="183">
        <f>'Ethylene Recycling LC'!G135-'Ethylene Recycling LC'!$C$135</f>
        <v>612.67437757178368</v>
      </c>
      <c r="I113" s="183">
        <f>'Ethylene Recycling LC'!H135-'Ethylene Recycling LC'!$C$135</f>
        <v>840.56754794033486</v>
      </c>
      <c r="J113" s="183">
        <f>'Ethylene Recycling LC'!I135-'Ethylene Recycling LC'!$C$135</f>
        <v>1064.0235056575727</v>
      </c>
      <c r="K113" s="183">
        <f>'Ethylene Recycling LC'!J135-'Ethylene Recycling LC'!$C$135</f>
        <v>1299.0538541841959</v>
      </c>
      <c r="L113" s="183">
        <f>'Ethylene Recycling LC'!K135-'Ethylene Recycling LC'!$C$135</f>
        <v>1542.7639106661261</v>
      </c>
      <c r="M113" s="183">
        <f>'Ethylene Recycling LC'!L135-'Ethylene Recycling LC'!$C$135</f>
        <v>1792.2842050901895</v>
      </c>
      <c r="N113" s="183">
        <f>'Ethylene Recycling LC'!M135-'Ethylene Recycling LC'!$C$135</f>
        <v>2044.7703417852506</v>
      </c>
      <c r="O113" s="183">
        <f>'Ethylene Recycling LC'!N135-'Ethylene Recycling LC'!$C$135</f>
        <v>2228.8624081464818</v>
      </c>
      <c r="P113" s="183">
        <f>'Ethylene Recycling LC'!O135-'Ethylene Recycling LC'!$C$135</f>
        <v>2408.0566041809666</v>
      </c>
      <c r="Q113" s="183">
        <f>'Ethylene Recycling LC'!P135-'Ethylene Recycling LC'!$C$135</f>
        <v>2580.5124069527396</v>
      </c>
      <c r="R113" s="183">
        <f>'Ethylene Recycling LC'!Q135-'Ethylene Recycling LC'!$C$135</f>
        <v>2744.4056811387513</v>
      </c>
      <c r="S113" s="183">
        <f>'Ethylene Recycling LC'!R135-'Ethylene Recycling LC'!$C$135</f>
        <v>2897.9285883452139</v>
      </c>
      <c r="T113" s="183">
        <f>'Ethylene Recycling LC'!S135-'Ethylene Recycling LC'!$C$135</f>
        <v>3081.1885036739882</v>
      </c>
      <c r="U113" s="183">
        <f>'Ethylene Recycling LC'!T135-'Ethylene Recycling LC'!$C$135</f>
        <v>3258.3120248214896</v>
      </c>
      <c r="V113" s="183">
        <f>'Ethylene Recycling LC'!U135-'Ethylene Recycling LC'!$C$135</f>
        <v>3428.0321187722752</v>
      </c>
      <c r="W113" s="183">
        <f>'Ethylene Recycling LC'!V135-'Ethylene Recycling LC'!$C$135</f>
        <v>3589.0931122665816</v>
      </c>
      <c r="X113" s="183">
        <f>'Ethylene Recycling LC'!W135-'Ethylene Recycling LC'!$C$135</f>
        <v>3740.2506287984488</v>
      </c>
      <c r="Y113" s="183">
        <f>'Ethylene Recycling LC'!X135-'Ethylene Recycling LC'!$C$135</f>
        <v>3960.8833591073303</v>
      </c>
      <c r="Z113" s="183">
        <f>'Ethylene Recycling LC'!Y135-'Ethylene Recycling LC'!$C$135</f>
        <v>4168.267678501401</v>
      </c>
      <c r="AA113" s="183">
        <f>'Ethylene Recycling LC'!Z135-'Ethylene Recycling LC'!$C$135</f>
        <v>4360.5034070545144</v>
      </c>
      <c r="AB113" s="183">
        <f>'Ethylene Recycling LC'!AA135-'Ethylene Recycling LC'!$C$135</f>
        <v>4535.707521802241</v>
      </c>
      <c r="AC113" s="183">
        <f>'Ethylene Recycling LC'!AB135-'Ethylene Recycling LC'!$C$135</f>
        <v>4692.0140613675258</v>
      </c>
      <c r="AD113" s="183">
        <f>'Ethylene Recycling LC'!AC135-'Ethylene Recycling LC'!$C$135</f>
        <v>4779.4266836251854</v>
      </c>
      <c r="AE113" s="183">
        <f>'Ethylene Recycling LC'!AD135-'Ethylene Recycling LC'!$C$135</f>
        <v>4837.0038461130553</v>
      </c>
      <c r="AF113" s="183">
        <f>'Ethylene Recycling LC'!AE135-'Ethylene Recycling LC'!$C$135</f>
        <v>4862.5737933114024</v>
      </c>
      <c r="AG113" s="183">
        <f>'Ethylene Recycling LC'!AF135-'Ethylene Recycling LC'!$C$135</f>
        <v>4853.9848154769061</v>
      </c>
      <c r="AH113" s="183">
        <f>'Ethylene Recycling LC'!AG135-'Ethylene Recycling LC'!$C$135</f>
        <v>4809.1051364171144</v>
      </c>
    </row>
    <row r="114" spans="1:36" outlineLevel="1">
      <c r="A114"/>
      <c r="B114" t="s">
        <v>268</v>
      </c>
      <c r="C114" s="50" t="s">
        <v>1420</v>
      </c>
      <c r="D114" s="183">
        <f>'Ethylene Recycling LC'!C70-'Ethylene Recycling LC'!$C$70</f>
        <v>0</v>
      </c>
      <c r="E114" s="183">
        <f>'Ethylene Recycling LC'!D70-'Ethylene Recycling LC'!$C$70</f>
        <v>465.9635396340891</v>
      </c>
      <c r="F114" s="183">
        <f>'Ethylene Recycling LC'!E70-'Ethylene Recycling LC'!$C$70</f>
        <v>837.36255650932435</v>
      </c>
      <c r="G114" s="183">
        <f>'Ethylene Recycling LC'!F70-'Ethylene Recycling LC'!$C$70</f>
        <v>1116.9534206284297</v>
      </c>
      <c r="H114" s="183">
        <f>'Ethylene Recycling LC'!G70-'Ethylene Recycling LC'!$C$70</f>
        <v>1307.5239583985676</v>
      </c>
      <c r="I114" s="183">
        <f>'Ethylene Recycling LC'!H70-'Ethylene Recycling LC'!$C$70</f>
        <v>1411.8929812075148</v>
      </c>
      <c r="J114" s="183">
        <f>'Ethylene Recycling LC'!I70-'Ethylene Recycling LC'!$C$70</f>
        <v>1432.9098173848906</v>
      </c>
      <c r="K114" s="183">
        <f>'Ethylene Recycling LC'!J70-'Ethylene Recycling LC'!$C$70</f>
        <v>1373.4538475306617</v>
      </c>
      <c r="L114" s="183">
        <f>'Ethylene Recycling LC'!K70-'Ethylene Recycling LC'!$C$70</f>
        <v>1236.4340431925666</v>
      </c>
      <c r="M114" s="183">
        <f>'Ethylene Recycling LC'!L70-'Ethylene Recycling LC'!$C$70</f>
        <v>1024.7885088747789</v>
      </c>
      <c r="N114" s="183">
        <f>'Ethylene Recycling LC'!M70-'Ethylene Recycling LC'!$C$70</f>
        <v>741.48402735986019</v>
      </c>
      <c r="O114" s="183">
        <f>'Ethylene Recycling LC'!N70-'Ethylene Recycling LC'!$C$70</f>
        <v>-886.67399967172241</v>
      </c>
      <c r="P114" s="183">
        <f>'Ethylene Recycling LC'!O70-'Ethylene Recycling LC'!$C$70</f>
        <v>-2322.8747788071341</v>
      </c>
      <c r="Q114" s="183">
        <f>'Ethylene Recycling LC'!P70-'Ethylene Recycling LC'!$C$70</f>
        <v>-3872.3562585738473</v>
      </c>
      <c r="R114" s="183">
        <f>'Ethylene Recycling LC'!Q70-'Ethylene Recycling LC'!$C$70</f>
        <v>-5393.5793386621153</v>
      </c>
      <c r="S114" s="183">
        <f>'Ethylene Recycling LC'!R70-'Ethylene Recycling LC'!$C$70</f>
        <v>-6885.6599941117493</v>
      </c>
      <c r="T114" s="183">
        <f>'Ethylene Recycling LC'!S70-'Ethylene Recycling LC'!$C$70</f>
        <v>-8347.7126892896158</v>
      </c>
      <c r="U114" s="183">
        <f>'Ethylene Recycling LC'!T70-'Ethylene Recycling LC'!$C$70</f>
        <v>-9778.8504405040003</v>
      </c>
      <c r="V114" s="183">
        <f>'Ethylene Recycling LC'!U70-'Ethylene Recycling LC'!$C$70</f>
        <v>-11178.184878099841</v>
      </c>
      <c r="W114" s="183">
        <f>'Ethylene Recycling LC'!V70-'Ethylene Recycling LC'!$C$70</f>
        <v>-12544.826308037686</v>
      </c>
      <c r="X114" s="183">
        <f>'Ethylene Recycling LC'!W70-'Ethylene Recycling LC'!$C$70</f>
        <v>-13877.8837729595</v>
      </c>
      <c r="Y114" s="183">
        <f>'Ethylene Recycling LC'!X70-'Ethylene Recycling LC'!$C$70</f>
        <v>-14958.983829111039</v>
      </c>
      <c r="Z114" s="183">
        <f>'Ethylene Recycling LC'!Y70-'Ethylene Recycling LC'!$C$70</f>
        <v>-16006.4562866497</v>
      </c>
      <c r="AA114" s="183">
        <f>'Ethylene Recycling LC'!Z70-'Ethylene Recycling LC'!$C$70</f>
        <v>-17029.74309646065</v>
      </c>
      <c r="AB114" s="183">
        <f>'Ethylene Recycling LC'!AA70-'Ethylene Recycling LC'!$C$70</f>
        <v>-18028.172769006229</v>
      </c>
      <c r="AC114" s="183">
        <f>'Ethylene Recycling LC'!AB70-'Ethylene Recycling LC'!$C$70</f>
        <v>-19001.072879941123</v>
      </c>
      <c r="AD114" s="183">
        <f>'Ethylene Recycling LC'!AC70-'Ethylene Recycling LC'!$C$70</f>
        <v>-19947.770115633502</v>
      </c>
      <c r="AE114" s="183">
        <f>'Ethylene Recycling LC'!AD70-'Ethylene Recycling LC'!$C$70</f>
        <v>-20867.590318304297</v>
      </c>
      <c r="AF114" s="183">
        <f>'Ethylene Recycling LC'!AE70-'Ethylene Recycling LC'!$C$70</f>
        <v>-21759.858530786805</v>
      </c>
      <c r="AG114" s="183">
        <f>'Ethylene Recycling LC'!AF70-'Ethylene Recycling LC'!$C$70</f>
        <v>-22623.899040908796</v>
      </c>
      <c r="AH114" s="183">
        <f>'Ethylene Recycling LC'!AG70-'Ethylene Recycling LC'!$C$70</f>
        <v>-23459.035425499307</v>
      </c>
    </row>
    <row r="115" spans="1:36" s="62" customFormat="1">
      <c r="A115" s="58"/>
      <c r="B115" s="58" t="s">
        <v>267</v>
      </c>
      <c r="C115" s="59" t="s">
        <v>1420</v>
      </c>
      <c r="D115" s="577">
        <f>D112-D113-IF(D114&lt;0,0,D114)</f>
        <v>29305.030176899061</v>
      </c>
      <c r="E115" s="577">
        <f t="shared" ref="E115:AH115" si="35">E112-E113-IF(E114&lt;0,0,E114)</f>
        <v>28077.328298254721</v>
      </c>
      <c r="F115" s="577">
        <f t="shared" si="35"/>
        <v>26921.586717968301</v>
      </c>
      <c r="G115" s="577">
        <f t="shared" si="35"/>
        <v>25835.175860167274</v>
      </c>
      <c r="H115" s="577">
        <f t="shared" si="35"/>
        <v>24815.434475054604</v>
      </c>
      <c r="I115" s="577">
        <f t="shared" si="35"/>
        <v>23859.670107848975</v>
      </c>
      <c r="J115" s="577">
        <f t="shared" si="35"/>
        <v>22999.086224499253</v>
      </c>
      <c r="K115" s="577">
        <f t="shared" si="35"/>
        <v>22214.719111329221</v>
      </c>
      <c r="L115" s="577">
        <f t="shared" si="35"/>
        <v>21506.482404732717</v>
      </c>
      <c r="M115" s="577">
        <f t="shared" si="35"/>
        <v>20874.236044416561</v>
      </c>
      <c r="N115" s="577">
        <f t="shared" si="35"/>
        <v>20317.786861030912</v>
      </c>
      <c r="O115" s="577">
        <f t="shared" si="35"/>
        <v>20418.411669114681</v>
      </c>
      <c r="P115" s="577">
        <f t="shared" si="35"/>
        <v>19787.694092737645</v>
      </c>
      <c r="Q115" s="577">
        <f t="shared" si="35"/>
        <v>19168.907782152586</v>
      </c>
      <c r="R115" s="577">
        <f t="shared" si="35"/>
        <v>18563.826427383276</v>
      </c>
      <c r="S115" s="577">
        <f t="shared" si="35"/>
        <v>17974.207872401999</v>
      </c>
      <c r="T115" s="577">
        <f t="shared" si="35"/>
        <v>17359.89519472903</v>
      </c>
      <c r="U115" s="577">
        <f t="shared" si="35"/>
        <v>16756.712692531055</v>
      </c>
      <c r="V115" s="577">
        <f t="shared" si="35"/>
        <v>16165.878734156273</v>
      </c>
      <c r="W115" s="577">
        <f t="shared" si="35"/>
        <v>15588.600763926537</v>
      </c>
      <c r="X115" s="577">
        <f t="shared" si="35"/>
        <v>15026.075361429701</v>
      </c>
      <c r="Y115" s="577">
        <f t="shared" si="35"/>
        <v>14341.945018052586</v>
      </c>
      <c r="Z115" s="577">
        <f t="shared" si="35"/>
        <v>13676.611267620119</v>
      </c>
      <c r="AA115" s="577">
        <f t="shared" si="35"/>
        <v>13031.91947451753</v>
      </c>
      <c r="AB115" s="577">
        <f t="shared" si="35"/>
        <v>12409.698340698702</v>
      </c>
      <c r="AC115" s="577">
        <f t="shared" si="35"/>
        <v>11811.759996830158</v>
      </c>
      <c r="AD115" s="577">
        <f t="shared" si="35"/>
        <v>11288.047440431212</v>
      </c>
      <c r="AE115" s="577">
        <f t="shared" si="35"/>
        <v>10799.449351302092</v>
      </c>
      <c r="AF115" s="577">
        <f t="shared" si="35"/>
        <v>10348.085100118147</v>
      </c>
      <c r="AG115" s="577">
        <f t="shared" si="35"/>
        <v>9936.0544855036824</v>
      </c>
      <c r="AH115" s="577">
        <f t="shared" si="35"/>
        <v>9565.437842199055</v>
      </c>
      <c r="AJ115" s="62" t="s">
        <v>778</v>
      </c>
    </row>
    <row r="116" spans="1:36" s="61" customFormat="1">
      <c r="A116" s="606" t="s">
        <v>608</v>
      </c>
      <c r="B116" s="54" t="s">
        <v>141</v>
      </c>
      <c r="C116" s="55" t="s">
        <v>1420</v>
      </c>
      <c r="D116" s="571">
        <f>D56-('Ethylene Recycling LC'!C71+'Ethylene Recycling LC'!C136-'Ethylene Recycling LC'!$C$71-'Ethylene Recycling LC'!$C$136)</f>
        <v>0</v>
      </c>
      <c r="E116" s="571">
        <f>E56-('Ethylene Recycling LC'!D71+'Ethylene Recycling LC'!D136-'Ethylene Recycling LC'!$C$71-'Ethylene Recycling LC'!$C$136)</f>
        <v>0</v>
      </c>
      <c r="F116" s="571">
        <f>F56-('Ethylene Recycling LC'!E71+'Ethylene Recycling LC'!E136-'Ethylene Recycling LC'!$C$71-'Ethylene Recycling LC'!$C$136)</f>
        <v>0</v>
      </c>
      <c r="G116" s="571">
        <f>G56-('Ethylene Recycling LC'!F71+'Ethylene Recycling LC'!F136-'Ethylene Recycling LC'!$C$71-'Ethylene Recycling LC'!$C$136)</f>
        <v>0</v>
      </c>
      <c r="H116" s="571">
        <f>H56-('Ethylene Recycling LC'!G71+'Ethylene Recycling LC'!G136-'Ethylene Recycling LC'!$C$71-'Ethylene Recycling LC'!$C$136)</f>
        <v>0</v>
      </c>
      <c r="I116" s="571">
        <f>I56-('Ethylene Recycling LC'!H71+'Ethylene Recycling LC'!H136-'Ethylene Recycling LC'!$C$71-'Ethylene Recycling LC'!$C$136)</f>
        <v>0</v>
      </c>
      <c r="J116" s="571">
        <f>J56-('Ethylene Recycling LC'!I71+'Ethylene Recycling LC'!I136-'Ethylene Recycling LC'!$C$71-'Ethylene Recycling LC'!$C$136)</f>
        <v>0</v>
      </c>
      <c r="K116" s="571">
        <f>K56-('Ethylene Recycling LC'!J71+'Ethylene Recycling LC'!J136-'Ethylene Recycling LC'!$C$71-'Ethylene Recycling LC'!$C$136)</f>
        <v>0</v>
      </c>
      <c r="L116" s="571">
        <f>L56-('Ethylene Recycling LC'!K71+'Ethylene Recycling LC'!K136-'Ethylene Recycling LC'!$C$71-'Ethylene Recycling LC'!$C$136)</f>
        <v>0</v>
      </c>
      <c r="M116" s="571">
        <f>M56-('Ethylene Recycling LC'!L71+'Ethylene Recycling LC'!L136-'Ethylene Recycling LC'!$C$71-'Ethylene Recycling LC'!$C$136)</f>
        <v>0</v>
      </c>
      <c r="N116" s="571">
        <f>N56-('Ethylene Recycling LC'!M71+'Ethylene Recycling LC'!M136-'Ethylene Recycling LC'!$C$71-'Ethylene Recycling LC'!$C$136)</f>
        <v>0</v>
      </c>
      <c r="O116" s="571">
        <f>O56-('Ethylene Recycling LC'!N71+'Ethylene Recycling LC'!N136-'Ethylene Recycling LC'!$C$71-'Ethylene Recycling LC'!$C$136)</f>
        <v>0</v>
      </c>
      <c r="P116" s="571">
        <f>P56-('Ethylene Recycling LC'!O71+'Ethylene Recycling LC'!O136-'Ethylene Recycling LC'!$C$71-'Ethylene Recycling LC'!$C$136)</f>
        <v>0</v>
      </c>
      <c r="Q116" s="571">
        <f>Q56-('Ethylene Recycling LC'!P71+'Ethylene Recycling LC'!P136-'Ethylene Recycling LC'!$C$71-'Ethylene Recycling LC'!$C$136)</f>
        <v>0</v>
      </c>
      <c r="R116" s="571">
        <f>R56-('Ethylene Recycling LC'!Q71+'Ethylene Recycling LC'!Q136-'Ethylene Recycling LC'!$C$71-'Ethylene Recycling LC'!$C$136)</f>
        <v>0</v>
      </c>
      <c r="S116" s="571">
        <f>S56-('Ethylene Recycling LC'!R71+'Ethylene Recycling LC'!R136-'Ethylene Recycling LC'!$C$71-'Ethylene Recycling LC'!$C$136)</f>
        <v>0</v>
      </c>
      <c r="T116" s="571">
        <f>T56-('Ethylene Recycling LC'!S71+'Ethylene Recycling LC'!S136-'Ethylene Recycling LC'!$C$71-'Ethylene Recycling LC'!$C$136)</f>
        <v>0</v>
      </c>
      <c r="U116" s="571">
        <f>U56-('Ethylene Recycling LC'!T71+'Ethylene Recycling LC'!T136-'Ethylene Recycling LC'!$C$71-'Ethylene Recycling LC'!$C$136)</f>
        <v>0</v>
      </c>
      <c r="V116" s="571">
        <f>V56-('Ethylene Recycling LC'!U71+'Ethylene Recycling LC'!U136-'Ethylene Recycling LC'!$C$71-'Ethylene Recycling LC'!$C$136)</f>
        <v>0</v>
      </c>
      <c r="W116" s="571">
        <f>W56-('Ethylene Recycling LC'!V71+'Ethylene Recycling LC'!V136-'Ethylene Recycling LC'!$C$71-'Ethylene Recycling LC'!$C$136)</f>
        <v>0</v>
      </c>
      <c r="X116" s="571">
        <f>X56-('Ethylene Recycling LC'!W71+'Ethylene Recycling LC'!W136-'Ethylene Recycling LC'!$C$71-'Ethylene Recycling LC'!$C$136)</f>
        <v>0</v>
      </c>
      <c r="Y116" s="571">
        <f>Y56-('Ethylene Recycling LC'!X71+'Ethylene Recycling LC'!X136-'Ethylene Recycling LC'!$C$71-'Ethylene Recycling LC'!$C$136)</f>
        <v>0</v>
      </c>
      <c r="Z116" s="571">
        <f>Z56-('Ethylene Recycling LC'!Y71+'Ethylene Recycling LC'!Y136-'Ethylene Recycling LC'!$C$71-'Ethylene Recycling LC'!$C$136)</f>
        <v>0</v>
      </c>
      <c r="AA116" s="571">
        <f>AA56-('Ethylene Recycling LC'!Z71+'Ethylene Recycling LC'!Z136-'Ethylene Recycling LC'!$C$71-'Ethylene Recycling LC'!$C$136)</f>
        <v>0</v>
      </c>
      <c r="AB116" s="571">
        <f>AB56-('Ethylene Recycling LC'!AA71+'Ethylene Recycling LC'!AA136-'Ethylene Recycling LC'!$C$71-'Ethylene Recycling LC'!$C$136)</f>
        <v>0</v>
      </c>
      <c r="AC116" s="571">
        <f>AC56-('Ethylene Recycling LC'!AB71+'Ethylene Recycling LC'!AB136-'Ethylene Recycling LC'!$C$71-'Ethylene Recycling LC'!$C$136)</f>
        <v>0</v>
      </c>
      <c r="AD116" s="571">
        <f>AD56-('Ethylene Recycling LC'!AC71+'Ethylene Recycling LC'!AC136-'Ethylene Recycling LC'!$C$71-'Ethylene Recycling LC'!$C$136)</f>
        <v>0</v>
      </c>
      <c r="AE116" s="571">
        <f>AE56-('Ethylene Recycling LC'!AD71+'Ethylene Recycling LC'!AD136-'Ethylene Recycling LC'!$C$71-'Ethylene Recycling LC'!$C$136)</f>
        <v>0</v>
      </c>
      <c r="AF116" s="571">
        <f>AF56-('Ethylene Recycling LC'!AE71+'Ethylene Recycling LC'!AE136-'Ethylene Recycling LC'!$C$71-'Ethylene Recycling LC'!$C$136)</f>
        <v>0</v>
      </c>
      <c r="AG116" s="571">
        <f>AG56-('Ethylene Recycling LC'!AF71+'Ethylene Recycling LC'!AF136-'Ethylene Recycling LC'!$C$71-'Ethylene Recycling LC'!$C$136)</f>
        <v>0</v>
      </c>
      <c r="AH116" s="571">
        <f>AH56-('Ethylene Recycling LC'!AG71+'Ethylene Recycling LC'!AG136-'Ethylene Recycling LC'!$C$71-'Ethylene Recycling LC'!$C$136)</f>
        <v>0</v>
      </c>
      <c r="AI116" s="56"/>
    </row>
    <row r="117" spans="1:36">
      <c r="A117" s="607"/>
      <c r="B117" s="1" t="s">
        <v>18</v>
      </c>
      <c r="C117" s="50" t="s">
        <v>1420</v>
      </c>
      <c r="D117" s="183">
        <f>D57+(D121-D61)</f>
        <v>29305.030176899061</v>
      </c>
      <c r="E117" s="183">
        <f t="shared" ref="E117:AH117" si="36">E57+(E121-E61)</f>
        <v>28181.66189870712</v>
      </c>
      <c r="F117" s="183">
        <f t="shared" si="36"/>
        <v>27151.332045095303</v>
      </c>
      <c r="G117" s="183">
        <f t="shared" si="36"/>
        <v>26208.19983069475</v>
      </c>
      <c r="H117" s="183">
        <f t="shared" si="36"/>
        <v>25346.420531331929</v>
      </c>
      <c r="I117" s="183">
        <f t="shared" si="36"/>
        <v>24560.145801046699</v>
      </c>
      <c r="J117" s="183">
        <f t="shared" si="36"/>
        <v>23850.309185911377</v>
      </c>
      <c r="K117" s="183">
        <f t="shared" si="36"/>
        <v>23210.666320479617</v>
      </c>
      <c r="L117" s="183">
        <f t="shared" si="36"/>
        <v>22637.850642168738</v>
      </c>
      <c r="M117" s="183">
        <f t="shared" si="36"/>
        <v>22128.845491020082</v>
      </c>
      <c r="N117" s="183">
        <f t="shared" si="36"/>
        <v>21680.980402937817</v>
      </c>
      <c r="O117" s="183">
        <f t="shared" si="36"/>
        <v>21830.040491602824</v>
      </c>
      <c r="P117" s="183">
        <f t="shared" si="36"/>
        <v>21232.546870651873</v>
      </c>
      <c r="Q117" s="183">
        <f t="shared" si="36"/>
        <v>20631.219989226589</v>
      </c>
      <c r="R117" s="183">
        <f t="shared" si="36"/>
        <v>20027.534474713655</v>
      </c>
      <c r="S117" s="183">
        <f t="shared" si="36"/>
        <v>19423.200470364183</v>
      </c>
      <c r="T117" s="183">
        <f t="shared" si="36"/>
        <v>18797.815263026525</v>
      </c>
      <c r="U117" s="183">
        <f t="shared" si="36"/>
        <v>18168.68397005627</v>
      </c>
      <c r="V117" s="183">
        <f t="shared" si="36"/>
        <v>17537.131759176864</v>
      </c>
      <c r="W117" s="183">
        <f t="shared" si="36"/>
        <v>16904.645973905092</v>
      </c>
      <c r="X117" s="183">
        <f t="shared" si="36"/>
        <v>16272.874278586341</v>
      </c>
      <c r="Y117" s="183">
        <f t="shared" si="36"/>
        <v>15530.264185577897</v>
      </c>
      <c r="Z117" s="183">
        <f t="shared" si="36"/>
        <v>14788.209024788644</v>
      </c>
      <c r="AA117" s="183">
        <f t="shared" si="36"/>
        <v>14049.435572043061</v>
      </c>
      <c r="AB117" s="183">
        <f t="shared" si="36"/>
        <v>13316.91072476919</v>
      </c>
      <c r="AC117" s="183">
        <f t="shared" si="36"/>
        <v>12593.838717807581</v>
      </c>
      <c r="AD117" s="183">
        <f t="shared" si="36"/>
        <v>11925.385243928544</v>
      </c>
      <c r="AE117" s="183">
        <f t="shared" si="36"/>
        <v>11283.234772505148</v>
      </c>
      <c r="AF117" s="183">
        <f t="shared" si="36"/>
        <v>10672.345338613923</v>
      </c>
      <c r="AG117" s="183">
        <f t="shared" si="36"/>
        <v>10097.945635597682</v>
      </c>
      <c r="AH117" s="183">
        <f t="shared" si="36"/>
        <v>9565.5317823329751</v>
      </c>
      <c r="AI117" s="40"/>
    </row>
    <row r="118" spans="1:36">
      <c r="A118" s="607"/>
      <c r="B118" s="1" t="s">
        <v>607</v>
      </c>
      <c r="C118" s="50" t="s">
        <v>1420</v>
      </c>
      <c r="D118" s="183">
        <f>D58+(D120-D60)</f>
        <v>0</v>
      </c>
      <c r="E118" s="183">
        <f t="shared" ref="E118:AH118" si="37">E58+(E120-E60)</f>
        <v>0</v>
      </c>
      <c r="F118" s="183">
        <f t="shared" si="37"/>
        <v>0</v>
      </c>
      <c r="G118" s="183">
        <f t="shared" si="37"/>
        <v>0</v>
      </c>
      <c r="H118" s="183">
        <f t="shared" si="37"/>
        <v>0</v>
      </c>
      <c r="I118" s="183">
        <f t="shared" si="37"/>
        <v>0</v>
      </c>
      <c r="J118" s="183">
        <f t="shared" si="37"/>
        <v>0</v>
      </c>
      <c r="K118" s="183">
        <f t="shared" si="37"/>
        <v>0</v>
      </c>
      <c r="L118" s="183">
        <f t="shared" si="37"/>
        <v>0</v>
      </c>
      <c r="M118" s="183">
        <f t="shared" si="37"/>
        <v>0</v>
      </c>
      <c r="N118" s="183">
        <f t="shared" si="37"/>
        <v>0</v>
      </c>
      <c r="O118" s="183">
        <f t="shared" si="37"/>
        <v>0</v>
      </c>
      <c r="P118" s="183">
        <f t="shared" si="37"/>
        <v>0</v>
      </c>
      <c r="Q118" s="183">
        <f t="shared" si="37"/>
        <v>0</v>
      </c>
      <c r="R118" s="183">
        <f t="shared" si="37"/>
        <v>0</v>
      </c>
      <c r="S118" s="183">
        <f t="shared" si="37"/>
        <v>0</v>
      </c>
      <c r="T118" s="183">
        <f t="shared" si="37"/>
        <v>0</v>
      </c>
      <c r="U118" s="183">
        <f t="shared" si="37"/>
        <v>0</v>
      </c>
      <c r="V118" s="183">
        <f t="shared" si="37"/>
        <v>0</v>
      </c>
      <c r="W118" s="183">
        <f t="shared" si="37"/>
        <v>0</v>
      </c>
      <c r="X118" s="183">
        <f t="shared" si="37"/>
        <v>0</v>
      </c>
      <c r="Y118" s="183">
        <f t="shared" si="37"/>
        <v>0</v>
      </c>
      <c r="Z118" s="183">
        <f t="shared" si="37"/>
        <v>0</v>
      </c>
      <c r="AA118" s="183">
        <f t="shared" si="37"/>
        <v>0</v>
      </c>
      <c r="AB118" s="183">
        <f t="shared" si="37"/>
        <v>0</v>
      </c>
      <c r="AC118" s="183">
        <f t="shared" si="37"/>
        <v>0</v>
      </c>
      <c r="AD118" s="183">
        <f t="shared" si="37"/>
        <v>0</v>
      </c>
      <c r="AE118" s="183">
        <f t="shared" si="37"/>
        <v>0</v>
      </c>
      <c r="AF118" s="183">
        <f t="shared" si="37"/>
        <v>0</v>
      </c>
      <c r="AG118" s="183">
        <f t="shared" si="37"/>
        <v>0</v>
      </c>
      <c r="AH118" s="183">
        <f t="shared" si="37"/>
        <v>0</v>
      </c>
      <c r="AI118" s="40"/>
    </row>
    <row r="119" spans="1:36">
      <c r="A119" s="608"/>
      <c r="B119" s="1" t="s">
        <v>27</v>
      </c>
      <c r="C119" s="50" t="s">
        <v>1420</v>
      </c>
      <c r="D119" s="183">
        <f>D59-('Ethylene Recycling LC'!C72+'Ethylene Recycling LC'!C75-'Ethylene Recycling LC'!$C$72-'Ethylene Recycling LC'!$C$75+'Ethylene Recycling LC'!C137+'Ethylene Recycling LC'!C140-'Ethylene Recycling LC'!$C$137-'Ethylene Recycling LC'!$C$140)</f>
        <v>0</v>
      </c>
      <c r="E119" s="183">
        <f>E59-('Ethylene Recycling LC'!D72+'Ethylene Recycling LC'!D75-'Ethylene Recycling LC'!$C$72-'Ethylene Recycling LC'!$C$75+'Ethylene Recycling LC'!D137+'Ethylene Recycling LC'!D140-'Ethylene Recycling LC'!$C$137-'Ethylene Recycling LC'!$C$140)</f>
        <v>-9.3304030766975483</v>
      </c>
      <c r="F119" s="183">
        <f>F59-('Ethylene Recycling LC'!E72+'Ethylene Recycling LC'!E75-'Ethylene Recycling LC'!$C$72-'Ethylene Recycling LC'!$C$75+'Ethylene Recycling LC'!E137+'Ethylene Recycling LC'!E140-'Ethylene Recycling LC'!$C$137-'Ethylene Recycling LC'!$C$140)</f>
        <v>-18.867317712613332</v>
      </c>
      <c r="G119" s="183">
        <f>G59-('Ethylene Recycling LC'!F72+'Ethylene Recycling LC'!F75-'Ethylene Recycling LC'!$C$72-'Ethylene Recycling LC'!$C$75+'Ethylene Recycling LC'!F137+'Ethylene Recycling LC'!F140-'Ethylene Recycling LC'!$C$137-'Ethylene Recycling LC'!$C$140)</f>
        <v>-28.534296348739961</v>
      </c>
      <c r="H119" s="183">
        <f>H59-('Ethylene Recycling LC'!G72+'Ethylene Recycling LC'!G75-'Ethylene Recycling LC'!$C$72-'Ethylene Recycling LC'!$C$75+'Ethylene Recycling LC'!G137+'Ethylene Recycling LC'!G140-'Ethylene Recycling LC'!$C$137-'Ethylene Recycling LC'!$C$140)</f>
        <v>-38.257988468190177</v>
      </c>
      <c r="I119" s="183">
        <f>I59-('Ethylene Recycling LC'!H72+'Ethylene Recycling LC'!H75-'Ethylene Recycling LC'!$C$72-'Ethylene Recycling LC'!$C$75+'Ethylene Recycling LC'!H137+'Ethylene Recycling LC'!H140-'Ethylene Recycling LC'!$C$137-'Ethylene Recycling LC'!$C$140)</f>
        <v>-47.968183633538757</v>
      </c>
      <c r="J119" s="183">
        <f>J59-('Ethylene Recycling LC'!I72+'Ethylene Recycling LC'!I75-'Ethylene Recycling LC'!$C$72-'Ethylene Recycling LC'!$C$75+'Ethylene Recycling LC'!I137+'Ethylene Recycling LC'!I140-'Ethylene Recycling LC'!$C$137-'Ethylene Recycling LC'!$C$140)</f>
        <v>-57.597721200721956</v>
      </c>
      <c r="K119" s="183">
        <f>K59-('Ethylene Recycling LC'!J72+'Ethylene Recycling LC'!J75-'Ethylene Recycling LC'!$C$72-'Ethylene Recycling LC'!$C$75+'Ethylene Recycling LC'!J137+'Ethylene Recycling LC'!J140-'Ethylene Recycling LC'!$C$137-'Ethylene Recycling LC'!$C$140)</f>
        <v>-67.082804502311461</v>
      </c>
      <c r="L119" s="183">
        <f>L59-('Ethylene Recycling LC'!K72+'Ethylene Recycling LC'!K75-'Ethylene Recycling LC'!$C$72-'Ethylene Recycling LC'!$C$75+'Ethylene Recycling LC'!K137+'Ethylene Recycling LC'!K140-'Ethylene Recycling LC'!$C$137-'Ethylene Recycling LC'!$C$140)</f>
        <v>-76.362845140050055</v>
      </c>
      <c r="M119" s="183">
        <f>M59-('Ethylene Recycling LC'!L72+'Ethylene Recycling LC'!L75-'Ethylene Recycling LC'!$C$72-'Ethylene Recycling LC'!$C$75+'Ethylene Recycling LC'!L137+'Ethylene Recycling LC'!L140-'Ethylene Recycling LC'!$C$137-'Ethylene Recycling LC'!$C$140)</f>
        <v>-85.380552327491969</v>
      </c>
      <c r="N119" s="183">
        <f>N59-('Ethylene Recycling LC'!M72+'Ethylene Recycling LC'!M75-'Ethylene Recycling LC'!$C$72-'Ethylene Recycling LC'!$C$75+'Ethylene Recycling LC'!M137+'Ethylene Recycling LC'!M140-'Ethylene Recycling LC'!$C$137-'Ethylene Recycling LC'!$C$140)</f>
        <v>-94.081972170395943</v>
      </c>
      <c r="O119" s="183">
        <f>O59-('Ethylene Recycling LC'!N72+'Ethylene Recycling LC'!N75-'Ethylene Recycling LC'!$C$72-'Ethylene Recycling LC'!$C$75+'Ethylene Recycling LC'!N137+'Ethylene Recycling LC'!N140-'Ethylene Recycling LC'!$C$137-'Ethylene Recycling LC'!$C$140)</f>
        <v>-98.51659029973905</v>
      </c>
      <c r="P119" s="183">
        <f>P59-('Ethylene Recycling LC'!O72+'Ethylene Recycling LC'!O75-'Ethylene Recycling LC'!$C$72-'Ethylene Recycling LC'!$C$75+'Ethylene Recycling LC'!O137+'Ethylene Recycling LC'!O140-'Ethylene Recycling LC'!$C$137-'Ethylene Recycling LC'!$C$140)</f>
        <v>-102.68673672866478</v>
      </c>
      <c r="Q119" s="183">
        <f>Q59-('Ethylene Recycling LC'!P72+'Ethylene Recycling LC'!P75-'Ethylene Recycling LC'!$C$72-'Ethylene Recycling LC'!$C$75+'Ethylene Recycling LC'!P137+'Ethylene Recycling LC'!P140-'Ethylene Recycling LC'!$C$137-'Ethylene Recycling LC'!$C$140)</f>
        <v>-105.65010815715705</v>
      </c>
      <c r="R119" s="183">
        <f>R59-('Ethylene Recycling LC'!Q72+'Ethylene Recycling LC'!Q75-'Ethylene Recycling LC'!$C$72-'Ethylene Recycling LC'!$C$75+'Ethylene Recycling LC'!Q137+'Ethylene Recycling LC'!Q140-'Ethylene Recycling LC'!$C$137-'Ethylene Recycling LC'!$C$140)</f>
        <v>-107.86270132449459</v>
      </c>
      <c r="S119" s="183">
        <f>S59-('Ethylene Recycling LC'!R72+'Ethylene Recycling LC'!R75-'Ethylene Recycling LC'!$C$72-'Ethylene Recycling LC'!$C$75+'Ethylene Recycling LC'!R137+'Ethylene Recycling LC'!R140-'Ethylene Recycling LC'!$C$137-'Ethylene Recycling LC'!$C$140)</f>
        <v>-109.35171378910104</v>
      </c>
      <c r="T119" s="183">
        <f>T59-('Ethylene Recycling LC'!S72+'Ethylene Recycling LC'!S75-'Ethylene Recycling LC'!$C$72-'Ethylene Recycling LC'!$C$75+'Ethylene Recycling LC'!S137+'Ethylene Recycling LC'!S140-'Ethylene Recycling LC'!$C$137-'Ethylene Recycling LC'!$C$140)</f>
        <v>-110.1457640330087</v>
      </c>
      <c r="U119" s="183">
        <f>U59-('Ethylene Recycling LC'!T72+'Ethylene Recycling LC'!T75-'Ethylene Recycling LC'!$C$72-'Ethylene Recycling LC'!$C$75+'Ethylene Recycling LC'!T137+'Ethylene Recycling LC'!T140-'Ethylene Recycling LC'!$C$137-'Ethylene Recycling LC'!$C$140)</f>
        <v>-110.27372471564341</v>
      </c>
      <c r="V119" s="183">
        <f>V59-('Ethylene Recycling LC'!U72+'Ethylene Recycling LC'!U75-'Ethylene Recycling LC'!$C$72-'Ethylene Recycling LC'!$C$75+'Ethylene Recycling LC'!U137+'Ethylene Recycling LC'!U140-'Ethylene Recycling LC'!$C$137-'Ethylene Recycling LC'!$C$140)</f>
        <v>-109.76577312170463</v>
      </c>
      <c r="W119" s="183">
        <f>W59-('Ethylene Recycling LC'!V72+'Ethylene Recycling LC'!V75-'Ethylene Recycling LC'!$C$72-'Ethylene Recycling LC'!$C$75+'Ethylene Recycling LC'!V137+'Ethylene Recycling LC'!V140-'Ethylene Recycling LC'!$C$137-'Ethylene Recycling LC'!$C$140)</f>
        <v>-108.65307743770195</v>
      </c>
      <c r="X119" s="183">
        <f>X59-('Ethylene Recycling LC'!W72+'Ethylene Recycling LC'!W75-'Ethylene Recycling LC'!$C$72-'Ethylene Recycling LC'!$C$75+'Ethylene Recycling LC'!W137+'Ethylene Recycling LC'!W140-'Ethylene Recycling LC'!$C$137-'Ethylene Recycling LC'!$C$140)</f>
        <v>-106.96779828827727</v>
      </c>
      <c r="Y119" s="183">
        <f>Y59-('Ethylene Recycling LC'!X72+'Ethylene Recycling LC'!X75-'Ethylene Recycling LC'!$C$72-'Ethylene Recycling LC'!$C$75+'Ethylene Recycling LC'!X137+'Ethylene Recycling LC'!X140-'Ethylene Recycling LC'!$C$137-'Ethylene Recycling LC'!$C$140)</f>
        <v>-106.01282568610439</v>
      </c>
      <c r="Z119" s="183">
        <f>Z59-('Ethylene Recycling LC'!Y72+'Ethylene Recycling LC'!Y75-'Ethylene Recycling LC'!$C$72-'Ethylene Recycling LC'!$C$75+'Ethylene Recycling LC'!Y137+'Ethylene Recycling LC'!Y140-'Ethylene Recycling LC'!$C$137-'Ethylene Recycling LC'!$C$140)</f>
        <v>-104.6628438291703</v>
      </c>
      <c r="AA119" s="183">
        <f>AA59-('Ethylene Recycling LC'!Z72+'Ethylene Recycling LC'!Z75-'Ethylene Recycling LC'!$C$72-'Ethylene Recycling LC'!$C$75+'Ethylene Recycling LC'!Z137+'Ethylene Recycling LC'!Z140-'Ethylene Recycling LC'!$C$137-'Ethylene Recycling LC'!$C$140)</f>
        <v>-102.88549799776972</v>
      </c>
      <c r="AB119" s="183">
        <f>AB59-('Ethylene Recycling LC'!AA72+'Ethylene Recycling LC'!AA75-'Ethylene Recycling LC'!$C$72-'Ethylene Recycling LC'!$C$75+'Ethylene Recycling LC'!AA137+'Ethylene Recycling LC'!AA140-'Ethylene Recycling LC'!$C$137-'Ethylene Recycling LC'!$C$140)</f>
        <v>-100.70536033127533</v>
      </c>
      <c r="AC119" s="183">
        <f>AC59-('Ethylene Recycling LC'!AB72+'Ethylene Recycling LC'!AB75-'Ethylene Recycling LC'!$C$72-'Ethylene Recycling LC'!$C$75+'Ethylene Recycling LC'!AB137+'Ethylene Recycling LC'!AB140-'Ethylene Recycling LC'!$C$137-'Ethylene Recycling LC'!$C$140)</f>
        <v>-98.14775092916031</v>
      </c>
      <c r="AD119" s="183">
        <f>AD59-('Ethylene Recycling LC'!AC72+'Ethylene Recycling LC'!AC75-'Ethylene Recycling LC'!$C$72-'Ethylene Recycling LC'!$C$75+'Ethylene Recycling LC'!AC137+'Ethylene Recycling LC'!AC140-'Ethylene Recycling LC'!$C$137-'Ethylene Recycling LC'!$C$140)</f>
        <v>-95.237923773631891</v>
      </c>
      <c r="AE119" s="183">
        <f>AE59-('Ethylene Recycling LC'!AD72+'Ethylene Recycling LC'!AD75-'Ethylene Recycling LC'!$C$72-'Ethylene Recycling LC'!$C$75+'Ethylene Recycling LC'!AD137+'Ethylene Recycling LC'!AD140-'Ethylene Recycling LC'!$C$137-'Ethylene Recycling LC'!$C$140)</f>
        <v>-92.003322705283637</v>
      </c>
      <c r="AF119" s="183">
        <f>AF59-('Ethylene Recycling LC'!AE72+'Ethylene Recycling LC'!AE75-'Ethylene Recycling LC'!$C$72-'Ethylene Recycling LC'!$C$75+'Ethylene Recycling LC'!AE137+'Ethylene Recycling LC'!AE140-'Ethylene Recycling LC'!$C$137-'Ethylene Recycling LC'!$C$140)</f>
        <v>-88.471496879072447</v>
      </c>
      <c r="AG119" s="183">
        <f>AG59-('Ethylene Recycling LC'!AF72+'Ethylene Recycling LC'!AF75-'Ethylene Recycling LC'!$C$72-'Ethylene Recycling LC'!$C$75+'Ethylene Recycling LC'!AF137+'Ethylene Recycling LC'!AF140-'Ethylene Recycling LC'!$C$137-'Ethylene Recycling LC'!$C$140)</f>
        <v>-84.670746202005645</v>
      </c>
      <c r="AH119" s="183">
        <f>AH59-('Ethylene Recycling LC'!AG72+'Ethylene Recycling LC'!AG75-'Ethylene Recycling LC'!$C$72-'Ethylene Recycling LC'!$C$75+'Ethylene Recycling LC'!AG137+'Ethylene Recycling LC'!AG140-'Ethylene Recycling LC'!$C$137-'Ethylene Recycling LC'!$C$140)</f>
        <v>-80.630122078102289</v>
      </c>
      <c r="AI119" s="40"/>
    </row>
    <row r="120" spans="1:36" s="61" customFormat="1">
      <c r="A120" s="609" t="s">
        <v>609</v>
      </c>
      <c r="B120" s="54" t="s">
        <v>606</v>
      </c>
      <c r="C120" s="55" t="s">
        <v>1420</v>
      </c>
      <c r="D120" s="571">
        <f>D60-('Ethylene Recycling LC'!C73+'Ethylene Recycling LC'!C138-'Ethylene Recycling LC'!$C$73-'Ethylene Recycling LC'!$C$138)</f>
        <v>0</v>
      </c>
      <c r="E120" s="571">
        <f>E60-('Ethylene Recycling LC'!D73+'Ethylene Recycling LC'!D138-'Ethylene Recycling LC'!$C$73-'Ethylene Recycling LC'!$C$138)</f>
        <v>0</v>
      </c>
      <c r="F120" s="571">
        <f>F60-('Ethylene Recycling LC'!E73+'Ethylene Recycling LC'!E138-'Ethylene Recycling LC'!$C$73-'Ethylene Recycling LC'!$C$138)</f>
        <v>0</v>
      </c>
      <c r="G120" s="571">
        <f>G60-('Ethylene Recycling LC'!F73+'Ethylene Recycling LC'!F138-'Ethylene Recycling LC'!$C$73-'Ethylene Recycling LC'!$C$138)</f>
        <v>0</v>
      </c>
      <c r="H120" s="571">
        <f>H60-('Ethylene Recycling LC'!G73+'Ethylene Recycling LC'!G138-'Ethylene Recycling LC'!$C$73-'Ethylene Recycling LC'!$C$138)</f>
        <v>0</v>
      </c>
      <c r="I120" s="571">
        <f>I60-('Ethylene Recycling LC'!H73+'Ethylene Recycling LC'!H138-'Ethylene Recycling LC'!$C$73-'Ethylene Recycling LC'!$C$138)</f>
        <v>0</v>
      </c>
      <c r="J120" s="571">
        <f>J60-('Ethylene Recycling LC'!I73+'Ethylene Recycling LC'!I138-'Ethylene Recycling LC'!$C$73-'Ethylene Recycling LC'!$C$138)</f>
        <v>0</v>
      </c>
      <c r="K120" s="571">
        <f>K60-('Ethylene Recycling LC'!J73+'Ethylene Recycling LC'!J138-'Ethylene Recycling LC'!$C$73-'Ethylene Recycling LC'!$C$138)</f>
        <v>0</v>
      </c>
      <c r="L120" s="571">
        <f>L60-('Ethylene Recycling LC'!K73+'Ethylene Recycling LC'!K138-'Ethylene Recycling LC'!$C$73-'Ethylene Recycling LC'!$C$138)</f>
        <v>0</v>
      </c>
      <c r="M120" s="571">
        <f>M60-('Ethylene Recycling LC'!L73+'Ethylene Recycling LC'!L138-'Ethylene Recycling LC'!$C$73-'Ethylene Recycling LC'!$C$138)</f>
        <v>0</v>
      </c>
      <c r="N120" s="571">
        <f>N60-('Ethylene Recycling LC'!M73+'Ethylene Recycling LC'!M138-'Ethylene Recycling LC'!$C$73-'Ethylene Recycling LC'!$C$138)</f>
        <v>0</v>
      </c>
      <c r="O120" s="571">
        <f>O60-('Ethylene Recycling LC'!N73+'Ethylene Recycling LC'!N138-'Ethylene Recycling LC'!$C$73-'Ethylene Recycling LC'!$C$138)</f>
        <v>0</v>
      </c>
      <c r="P120" s="571">
        <f>P60-('Ethylene Recycling LC'!O73+'Ethylene Recycling LC'!O138-'Ethylene Recycling LC'!$C$73-'Ethylene Recycling LC'!$C$138)</f>
        <v>0</v>
      </c>
      <c r="Q120" s="571">
        <f>Q60-('Ethylene Recycling LC'!P73+'Ethylene Recycling LC'!P138-'Ethylene Recycling LC'!$C$73-'Ethylene Recycling LC'!$C$138)</f>
        <v>0</v>
      </c>
      <c r="R120" s="571">
        <f>R60-('Ethylene Recycling LC'!Q73+'Ethylene Recycling LC'!Q138-'Ethylene Recycling LC'!$C$73-'Ethylene Recycling LC'!$C$138)</f>
        <v>0</v>
      </c>
      <c r="S120" s="571">
        <f>S60-('Ethylene Recycling LC'!R73+'Ethylene Recycling LC'!R138-'Ethylene Recycling LC'!$C$73-'Ethylene Recycling LC'!$C$138)</f>
        <v>0</v>
      </c>
      <c r="T120" s="571">
        <f>T60-('Ethylene Recycling LC'!S73+'Ethylene Recycling LC'!S138-'Ethylene Recycling LC'!$C$73-'Ethylene Recycling LC'!$C$138)</f>
        <v>0</v>
      </c>
      <c r="U120" s="571">
        <f>U60-('Ethylene Recycling LC'!T73+'Ethylene Recycling LC'!T138-'Ethylene Recycling LC'!$C$73-'Ethylene Recycling LC'!$C$138)</f>
        <v>0</v>
      </c>
      <c r="V120" s="571">
        <f>V60-('Ethylene Recycling LC'!U73+'Ethylene Recycling LC'!U138-'Ethylene Recycling LC'!$C$73-'Ethylene Recycling LC'!$C$138)</f>
        <v>0</v>
      </c>
      <c r="W120" s="571">
        <f>W60-('Ethylene Recycling LC'!V73+'Ethylene Recycling LC'!V138-'Ethylene Recycling LC'!$C$73-'Ethylene Recycling LC'!$C$138)</f>
        <v>0</v>
      </c>
      <c r="X120" s="571">
        <f>X60-('Ethylene Recycling LC'!W73+'Ethylene Recycling LC'!W138-'Ethylene Recycling LC'!$C$73-'Ethylene Recycling LC'!$C$138)</f>
        <v>0</v>
      </c>
      <c r="Y120" s="571">
        <f>Y60-('Ethylene Recycling LC'!X73+'Ethylene Recycling LC'!X138-'Ethylene Recycling LC'!$C$73-'Ethylene Recycling LC'!$C$138)</f>
        <v>0</v>
      </c>
      <c r="Z120" s="571">
        <f>Z60-('Ethylene Recycling LC'!Y73+'Ethylene Recycling LC'!Y138-'Ethylene Recycling LC'!$C$73-'Ethylene Recycling LC'!$C$138)</f>
        <v>0</v>
      </c>
      <c r="AA120" s="571">
        <f>AA60-('Ethylene Recycling LC'!Z73+'Ethylene Recycling LC'!Z138-'Ethylene Recycling LC'!$C$73-'Ethylene Recycling LC'!$C$138)</f>
        <v>0</v>
      </c>
      <c r="AB120" s="571">
        <f>AB60-('Ethylene Recycling LC'!AA73+'Ethylene Recycling LC'!AA138-'Ethylene Recycling LC'!$C$73-'Ethylene Recycling LC'!$C$138)</f>
        <v>0</v>
      </c>
      <c r="AC120" s="571">
        <f>AC60-('Ethylene Recycling LC'!AB73+'Ethylene Recycling LC'!AB138-'Ethylene Recycling LC'!$C$73-'Ethylene Recycling LC'!$C$138)</f>
        <v>0</v>
      </c>
      <c r="AD120" s="571">
        <f>AD60-('Ethylene Recycling LC'!AC73+'Ethylene Recycling LC'!AC138-'Ethylene Recycling LC'!$C$73-'Ethylene Recycling LC'!$C$138)</f>
        <v>0</v>
      </c>
      <c r="AE120" s="571">
        <f>AE60-('Ethylene Recycling LC'!AD73+'Ethylene Recycling LC'!AD138-'Ethylene Recycling LC'!$C$73-'Ethylene Recycling LC'!$C$138)</f>
        <v>0</v>
      </c>
      <c r="AF120" s="571">
        <f>AF60-('Ethylene Recycling LC'!AE73+'Ethylene Recycling LC'!AE138-'Ethylene Recycling LC'!$C$73-'Ethylene Recycling LC'!$C$138)</f>
        <v>0</v>
      </c>
      <c r="AG120" s="571">
        <f>AG60-('Ethylene Recycling LC'!AF73+'Ethylene Recycling LC'!AF138-'Ethylene Recycling LC'!$C$73-'Ethylene Recycling LC'!$C$138)</f>
        <v>0</v>
      </c>
      <c r="AH120" s="571">
        <f>AH60-('Ethylene Recycling LC'!AG73+'Ethylene Recycling LC'!AG138-'Ethylene Recycling LC'!$C$73-'Ethylene Recycling LC'!$C$138)</f>
        <v>0</v>
      </c>
      <c r="AI120" s="56"/>
    </row>
    <row r="121" spans="1:36" s="62" customFormat="1">
      <c r="A121" s="610"/>
      <c r="B121" s="58" t="s">
        <v>605</v>
      </c>
      <c r="C121" s="233" t="s">
        <v>1420</v>
      </c>
      <c r="D121" s="528">
        <f>D61-('Ethylene Recycling LC'!C139-'Ethylene Recycling LC'!$C$139)-IF('Ethylene Recycling LC'!C74-'Ethylene Recycling LC'!$C$74&lt;0,0,'Ethylene Recycling LC'!C74-'Ethylene Recycling LC'!$C$74)</f>
        <v>29305.030176899061</v>
      </c>
      <c r="E121" s="528">
        <f>E61-('Ethylene Recycling LC'!D139-'Ethylene Recycling LC'!$C$139)-IF('Ethylene Recycling LC'!D74-'Ethylene Recycling LC'!$C$74&lt;0,0,'Ethylene Recycling LC'!D74-'Ethylene Recycling LC'!$C$74)</f>
        <v>28181.66189870712</v>
      </c>
      <c r="F121" s="528">
        <f>F61-('Ethylene Recycling LC'!E139-'Ethylene Recycling LC'!$C$139)-IF('Ethylene Recycling LC'!E74-'Ethylene Recycling LC'!$C$74&lt;0,0,'Ethylene Recycling LC'!E74-'Ethylene Recycling LC'!$C$74)</f>
        <v>27151.332045095303</v>
      </c>
      <c r="G121" s="528">
        <f>G61-('Ethylene Recycling LC'!F139-'Ethylene Recycling LC'!$C$139)-IF('Ethylene Recycling LC'!F74-'Ethylene Recycling LC'!$C$74&lt;0,0,'Ethylene Recycling LC'!F74-'Ethylene Recycling LC'!$C$74)</f>
        <v>26208.19983069475</v>
      </c>
      <c r="H121" s="528">
        <f>H61-('Ethylene Recycling LC'!G139-'Ethylene Recycling LC'!$C$139)-IF('Ethylene Recycling LC'!G74-'Ethylene Recycling LC'!$C$74&lt;0,0,'Ethylene Recycling LC'!G74-'Ethylene Recycling LC'!$C$74)</f>
        <v>25346.420531331929</v>
      </c>
      <c r="I121" s="528">
        <f>I61-('Ethylene Recycling LC'!H139-'Ethylene Recycling LC'!$C$139)-IF('Ethylene Recycling LC'!H74-'Ethylene Recycling LC'!$C$74&lt;0,0,'Ethylene Recycling LC'!H74-'Ethylene Recycling LC'!$C$74)</f>
        <v>24560.145801046699</v>
      </c>
      <c r="J121" s="528">
        <f>J61-('Ethylene Recycling LC'!I139-'Ethylene Recycling LC'!$C$139)-IF('Ethylene Recycling LC'!I74-'Ethylene Recycling LC'!$C$74&lt;0,0,'Ethylene Recycling LC'!I74-'Ethylene Recycling LC'!$C$74)</f>
        <v>23850.309185911377</v>
      </c>
      <c r="K121" s="528">
        <f>K61-('Ethylene Recycling LC'!J139-'Ethylene Recycling LC'!$C$139)-IF('Ethylene Recycling LC'!J74-'Ethylene Recycling LC'!$C$74&lt;0,0,'Ethylene Recycling LC'!J74-'Ethylene Recycling LC'!$C$74)</f>
        <v>23210.666320479617</v>
      </c>
      <c r="L121" s="528">
        <f>L61-('Ethylene Recycling LC'!K139-'Ethylene Recycling LC'!$C$139)-IF('Ethylene Recycling LC'!K74-'Ethylene Recycling LC'!$C$74&lt;0,0,'Ethylene Recycling LC'!K74-'Ethylene Recycling LC'!$C$74)</f>
        <v>22637.850642168738</v>
      </c>
      <c r="M121" s="528">
        <f>M61-('Ethylene Recycling LC'!L139-'Ethylene Recycling LC'!$C$139)-IF('Ethylene Recycling LC'!L74-'Ethylene Recycling LC'!$C$74&lt;0,0,'Ethylene Recycling LC'!L74-'Ethylene Recycling LC'!$C$74)</f>
        <v>22128.845491020082</v>
      </c>
      <c r="N121" s="528">
        <f>N61-('Ethylene Recycling LC'!M139-'Ethylene Recycling LC'!$C$139)-IF('Ethylene Recycling LC'!M74-'Ethylene Recycling LC'!$C$74&lt;0,0,'Ethylene Recycling LC'!M74-'Ethylene Recycling LC'!$C$74)</f>
        <v>21680.980402937817</v>
      </c>
      <c r="O121" s="528">
        <f>O61-('Ethylene Recycling LC'!N139-'Ethylene Recycling LC'!$C$139)-IF('Ethylene Recycling LC'!N74-'Ethylene Recycling LC'!$C$74&lt;0,0,'Ethylene Recycling LC'!N74-'Ethylene Recycling LC'!$C$74)</f>
        <v>21830.040491602824</v>
      </c>
      <c r="P121" s="528">
        <f>P61-('Ethylene Recycling LC'!O139-'Ethylene Recycling LC'!$C$139)-IF('Ethylene Recycling LC'!O74-'Ethylene Recycling LC'!$C$74&lt;0,0,'Ethylene Recycling LC'!O74-'Ethylene Recycling LC'!$C$74)</f>
        <v>21232.546870651873</v>
      </c>
      <c r="Q121" s="528">
        <f>Q61-('Ethylene Recycling LC'!P139-'Ethylene Recycling LC'!$C$139)-IF('Ethylene Recycling LC'!P74-'Ethylene Recycling LC'!$C$74&lt;0,0,'Ethylene Recycling LC'!P74-'Ethylene Recycling LC'!$C$74)</f>
        <v>20631.219989226589</v>
      </c>
      <c r="R121" s="528">
        <f>R61-('Ethylene Recycling LC'!Q139-'Ethylene Recycling LC'!$C$139)-IF('Ethylene Recycling LC'!Q74-'Ethylene Recycling LC'!$C$74&lt;0,0,'Ethylene Recycling LC'!Q74-'Ethylene Recycling LC'!$C$74)</f>
        <v>20027.534474713655</v>
      </c>
      <c r="S121" s="528">
        <f>S61-('Ethylene Recycling LC'!R139-'Ethylene Recycling LC'!$C$139)-IF('Ethylene Recycling LC'!R74-'Ethylene Recycling LC'!$C$74&lt;0,0,'Ethylene Recycling LC'!R74-'Ethylene Recycling LC'!$C$74)</f>
        <v>19423.200470364183</v>
      </c>
      <c r="T121" s="528">
        <f>T61-('Ethylene Recycling LC'!S139-'Ethylene Recycling LC'!$C$139)-IF('Ethylene Recycling LC'!S74-'Ethylene Recycling LC'!$C$74&lt;0,0,'Ethylene Recycling LC'!S74-'Ethylene Recycling LC'!$C$74)</f>
        <v>18797.815263026525</v>
      </c>
      <c r="U121" s="528">
        <f>U61-('Ethylene Recycling LC'!T139-'Ethylene Recycling LC'!$C$139)-IF('Ethylene Recycling LC'!T74-'Ethylene Recycling LC'!$C$74&lt;0,0,'Ethylene Recycling LC'!T74-'Ethylene Recycling LC'!$C$74)</f>
        <v>18168.68397005627</v>
      </c>
      <c r="V121" s="528">
        <f>V61-('Ethylene Recycling LC'!U139-'Ethylene Recycling LC'!$C$139)-IF('Ethylene Recycling LC'!U74-'Ethylene Recycling LC'!$C$74&lt;0,0,'Ethylene Recycling LC'!U74-'Ethylene Recycling LC'!$C$74)</f>
        <v>17537.131759176864</v>
      </c>
      <c r="W121" s="528">
        <f>W61-('Ethylene Recycling LC'!V139-'Ethylene Recycling LC'!$C$139)-IF('Ethylene Recycling LC'!V74-'Ethylene Recycling LC'!$C$74&lt;0,0,'Ethylene Recycling LC'!V74-'Ethylene Recycling LC'!$C$74)</f>
        <v>16904.645973905092</v>
      </c>
      <c r="X121" s="528">
        <f>X61-('Ethylene Recycling LC'!W139-'Ethylene Recycling LC'!$C$139)-IF('Ethylene Recycling LC'!W74-'Ethylene Recycling LC'!$C$74&lt;0,0,'Ethylene Recycling LC'!W74-'Ethylene Recycling LC'!$C$74)</f>
        <v>16272.874278586341</v>
      </c>
      <c r="Y121" s="528">
        <f>Y61-('Ethylene Recycling LC'!X139-'Ethylene Recycling LC'!$C$139)-IF('Ethylene Recycling LC'!X74-'Ethylene Recycling LC'!$C$74&lt;0,0,'Ethylene Recycling LC'!X74-'Ethylene Recycling LC'!$C$74)</f>
        <v>15530.264185577897</v>
      </c>
      <c r="Z121" s="528">
        <f>Z61-('Ethylene Recycling LC'!Y139-'Ethylene Recycling LC'!$C$139)-IF('Ethylene Recycling LC'!Y74-'Ethylene Recycling LC'!$C$74&lt;0,0,'Ethylene Recycling LC'!Y74-'Ethylene Recycling LC'!$C$74)</f>
        <v>14788.209024788644</v>
      </c>
      <c r="AA121" s="528">
        <f>AA61-('Ethylene Recycling LC'!Z139-'Ethylene Recycling LC'!$C$139)-IF('Ethylene Recycling LC'!Z74-'Ethylene Recycling LC'!$C$74&lt;0,0,'Ethylene Recycling LC'!Z74-'Ethylene Recycling LC'!$C$74)</f>
        <v>14049.435572043061</v>
      </c>
      <c r="AB121" s="528">
        <f>AB61-('Ethylene Recycling LC'!AA139-'Ethylene Recycling LC'!$C$139)-IF('Ethylene Recycling LC'!AA74-'Ethylene Recycling LC'!$C$74&lt;0,0,'Ethylene Recycling LC'!AA74-'Ethylene Recycling LC'!$C$74)</f>
        <v>13316.91072476919</v>
      </c>
      <c r="AC121" s="528">
        <f>AC61-('Ethylene Recycling LC'!AB139-'Ethylene Recycling LC'!$C$139)-IF('Ethylene Recycling LC'!AB74-'Ethylene Recycling LC'!$C$74&lt;0,0,'Ethylene Recycling LC'!AB74-'Ethylene Recycling LC'!$C$74)</f>
        <v>12593.838717807581</v>
      </c>
      <c r="AD121" s="528">
        <f>AD61-('Ethylene Recycling LC'!AC139-'Ethylene Recycling LC'!$C$139)-IF('Ethylene Recycling LC'!AC74-'Ethylene Recycling LC'!$C$74&lt;0,0,'Ethylene Recycling LC'!AC74-'Ethylene Recycling LC'!$C$74)</f>
        <v>11925.385243928544</v>
      </c>
      <c r="AE121" s="528">
        <f>AE61-('Ethylene Recycling LC'!AD139-'Ethylene Recycling LC'!$C$139)-IF('Ethylene Recycling LC'!AD74-'Ethylene Recycling LC'!$C$74&lt;0,0,'Ethylene Recycling LC'!AD74-'Ethylene Recycling LC'!$C$74)</f>
        <v>11283.234772505148</v>
      </c>
      <c r="AF121" s="528">
        <f>AF61-('Ethylene Recycling LC'!AE139-'Ethylene Recycling LC'!$C$139)-IF('Ethylene Recycling LC'!AE74-'Ethylene Recycling LC'!$C$74&lt;0,0,'Ethylene Recycling LC'!AE74-'Ethylene Recycling LC'!$C$74)</f>
        <v>10672.345338613923</v>
      </c>
      <c r="AG121" s="528">
        <f>AG61-('Ethylene Recycling LC'!AF139-'Ethylene Recycling LC'!$C$139)-IF('Ethylene Recycling LC'!AF74-'Ethylene Recycling LC'!$C$74&lt;0,0,'Ethylene Recycling LC'!AF74-'Ethylene Recycling LC'!$C$74)</f>
        <v>10097.945635597682</v>
      </c>
      <c r="AH121" s="528">
        <f>AH61-('Ethylene Recycling LC'!AG139-'Ethylene Recycling LC'!$C$139)-IF('Ethylene Recycling LC'!AG74-'Ethylene Recycling LC'!$C$74&lt;0,0,'Ethylene Recycling LC'!AG74-'Ethylene Recycling LC'!$C$74)</f>
        <v>9565.5317823329751</v>
      </c>
      <c r="AI121" s="234"/>
      <c r="AJ121" s="62" t="s">
        <v>778</v>
      </c>
    </row>
    <row r="122" spans="1:36" s="61" customFormat="1">
      <c r="A122" s="54" t="s">
        <v>263</v>
      </c>
      <c r="B122" s="54" t="s">
        <v>200</v>
      </c>
      <c r="C122" s="93" t="s">
        <v>1420</v>
      </c>
      <c r="D122" s="572">
        <f t="shared" ref="D122:AH122" si="38">D43</f>
        <v>833693.90944694402</v>
      </c>
      <c r="E122" s="572">
        <f t="shared" si="38"/>
        <v>819227.83476142923</v>
      </c>
      <c r="F122" s="572">
        <f t="shared" si="38"/>
        <v>804922.88200348406</v>
      </c>
      <c r="G122" s="572">
        <f t="shared" si="38"/>
        <v>790777.50814213371</v>
      </c>
      <c r="H122" s="572">
        <f t="shared" si="38"/>
        <v>776790.18382717774</v>
      </c>
      <c r="I122" s="572">
        <f t="shared" si="38"/>
        <v>762959.39327345404</v>
      </c>
      <c r="J122" s="572">
        <f t="shared" si="38"/>
        <v>749283.63414605032</v>
      </c>
      <c r="K122" s="572">
        <f t="shared" si="38"/>
        <v>735761.41744645697</v>
      </c>
      <c r="L122" s="572">
        <f t="shared" si="38"/>
        <v>722391.26739965403</v>
      </c>
      <c r="M122" s="572">
        <f t="shared" si="38"/>
        <v>709171.72134212276</v>
      </c>
      <c r="N122" s="572">
        <f t="shared" si="38"/>
        <v>696101.32961077744</v>
      </c>
      <c r="O122" s="572">
        <f t="shared" si="38"/>
        <v>683178.65543280775</v>
      </c>
      <c r="P122" s="572">
        <f t="shared" si="38"/>
        <v>670402.27481642459</v>
      </c>
      <c r="Q122" s="572">
        <f t="shared" si="38"/>
        <v>657770.77644250332</v>
      </c>
      <c r="R122" s="572">
        <f t="shared" si="38"/>
        <v>645282.76155711664</v>
      </c>
      <c r="S122" s="572">
        <f t="shared" si="38"/>
        <v>632936.84386494872</v>
      </c>
      <c r="T122" s="572">
        <f t="shared" si="38"/>
        <v>620731.64942358609</v>
      </c>
      <c r="U122" s="572">
        <f t="shared" si="38"/>
        <v>608665.8165386758</v>
      </c>
      <c r="V122" s="572">
        <f t="shared" si="38"/>
        <v>596737.99565994495</v>
      </c>
      <c r="W122" s="572">
        <f t="shared" si="38"/>
        <v>584946.84927807539</v>
      </c>
      <c r="X122" s="572">
        <f t="shared" si="38"/>
        <v>573291.05182242498</v>
      </c>
      <c r="Y122" s="572">
        <f t="shared" si="38"/>
        <v>561541.19759758911</v>
      </c>
      <c r="Z122" s="572">
        <f t="shared" si="38"/>
        <v>549927.25528660498</v>
      </c>
      <c r="AA122" s="572">
        <f t="shared" si="38"/>
        <v>538447.90130530903</v>
      </c>
      <c r="AB122" s="572">
        <f t="shared" si="38"/>
        <v>527101.82391611871</v>
      </c>
      <c r="AC122" s="572">
        <f t="shared" si="38"/>
        <v>515887.72312720201</v>
      </c>
      <c r="AD122" s="572">
        <f t="shared" si="38"/>
        <v>504804.31059247808</v>
      </c>
      <c r="AE122" s="572">
        <f t="shared" si="38"/>
        <v>493850.30951243907</v>
      </c>
      <c r="AF122" s="572">
        <f t="shared" si="38"/>
        <v>483024.45453579054</v>
      </c>
      <c r="AG122" s="572">
        <f t="shared" si="38"/>
        <v>472325.49166190147</v>
      </c>
      <c r="AH122" s="572">
        <f t="shared" si="38"/>
        <v>461752.17814405728</v>
      </c>
    </row>
    <row r="123" spans="1:36" outlineLevel="1">
      <c r="A123"/>
      <c r="B123" t="s">
        <v>266</v>
      </c>
      <c r="C123" s="50" t="s">
        <v>1420</v>
      </c>
      <c r="D123" s="183">
        <f>'Ethylene Recycling LC'!C159-'Ethylene Recycling LC'!$C$159</f>
        <v>0</v>
      </c>
      <c r="E123" s="183">
        <f>'Ethylene Recycling LC'!D159-'Ethylene Recycling LC'!$C$159</f>
        <v>5310.0285044200382</v>
      </c>
      <c r="F123" s="183">
        <f>'Ethylene Recycling LC'!E159-'Ethylene Recycling LC'!$C$159</f>
        <v>10593.863068295981</v>
      </c>
      <c r="G123" s="183">
        <f>'Ethylene Recycling LC'!F159-'Ethylene Recycling LC'!$C$159</f>
        <v>15851.599479874007</v>
      </c>
      <c r="H123" s="183">
        <f>'Ethylene Recycling LC'!G159-'Ethylene Recycling LC'!$C$159</f>
        <v>21083.333218853491</v>
      </c>
      <c r="I123" s="183">
        <f>'Ethylene Recycling LC'!H159-'Ethylene Recycling LC'!$C$159</f>
        <v>26289.159457311805</v>
      </c>
      <c r="J123" s="183">
        <f>'Ethylene Recycling LC'!I159-'Ethylene Recycling LC'!$C$159</f>
        <v>31469.173060626465</v>
      </c>
      <c r="K123" s="183">
        <f>'Ethylene Recycling LC'!J159-'Ethylene Recycling LC'!$C$159</f>
        <v>36623.468588394608</v>
      </c>
      <c r="L123" s="183">
        <f>'Ethylene Recycling LC'!K159-'Ethylene Recycling LC'!$C$159</f>
        <v>41752.140295349891</v>
      </c>
      <c r="M123" s="183">
        <f>'Ethylene Recycling LC'!L159-'Ethylene Recycling LC'!$C$159</f>
        <v>46855.282132276719</v>
      </c>
      <c r="N123" s="183">
        <f>'Ethylene Recycling LC'!M159-'Ethylene Recycling LC'!$C$159</f>
        <v>51932.987746921921</v>
      </c>
      <c r="O123" s="183">
        <f>'Ethylene Recycling LC'!N159-'Ethylene Recycling LC'!$C$159</f>
        <v>55281.281411664306</v>
      </c>
      <c r="P123" s="183">
        <f>'Ethylene Recycling LC'!O159-'Ethylene Recycling LC'!$C$159</f>
        <v>58612.723725790929</v>
      </c>
      <c r="Q123" s="183">
        <f>'Ethylene Recycling LC'!P159-'Ethylene Recycling LC'!$C$159</f>
        <v>61927.376726311835</v>
      </c>
      <c r="R123" s="183">
        <f>'Ethylene Recycling LC'!Q159-'Ethylene Recycling LC'!$C$159</f>
        <v>65225.302249730332</v>
      </c>
      <c r="S123" s="183">
        <f>'Ethylene Recycling LC'!R159-'Ethylene Recycling LC'!$C$159</f>
        <v>68506.561932645141</v>
      </c>
      <c r="T123" s="183">
        <f>'Ethylene Recycling LC'!S159-'Ethylene Recycling LC'!$C$159</f>
        <v>71771.217212350981</v>
      </c>
      <c r="U123" s="183">
        <f>'Ethylene Recycling LC'!T159-'Ethylene Recycling LC'!$C$159</f>
        <v>75019.329327437168</v>
      </c>
      <c r="V123" s="183">
        <f>'Ethylene Recycling LC'!U159-'Ethylene Recycling LC'!$C$159</f>
        <v>78250.959318384877</v>
      </c>
      <c r="W123" s="183">
        <f>'Ethylene Recycling LC'!V159-'Ethylene Recycling LC'!$C$159</f>
        <v>81466.168028162196</v>
      </c>
      <c r="X123" s="183">
        <f>'Ethylene Recycling LC'!W159-'Ethylene Recycling LC'!$C$159</f>
        <v>84665.016102818015</v>
      </c>
      <c r="Y123" s="183">
        <f>'Ethylene Recycling LC'!X159-'Ethylene Recycling LC'!$C$159</f>
        <v>89677.799071829984</v>
      </c>
      <c r="Z123" s="183">
        <f>'Ethylene Recycling LC'!Y159-'Ethylene Recycling LC'!$C$159</f>
        <v>94665.319397258834</v>
      </c>
      <c r="AA123" s="183">
        <f>'Ethylene Recycling LC'!Z159-'Ethylene Recycling LC'!$C$159</f>
        <v>99627.670134547559</v>
      </c>
      <c r="AB123" s="183">
        <f>'Ethylene Recycling LC'!AA159-'Ethylene Recycling LC'!$C$159</f>
        <v>104564.94403827316</v>
      </c>
      <c r="AC123" s="183">
        <f>'Ethylene Recycling LC'!AB159-'Ethylene Recycling LC'!$C$159</f>
        <v>109477.23356305055</v>
      </c>
      <c r="AD123" s="183">
        <f>'Ethylene Recycling LC'!AC159-'Ethylene Recycling LC'!$C$159</f>
        <v>114364.63086443357</v>
      </c>
      <c r="AE123" s="183">
        <f>'Ethylene Recycling LC'!AD159-'Ethylene Recycling LC'!$C$159</f>
        <v>119227.22779981398</v>
      </c>
      <c r="AF123" s="183">
        <f>'Ethylene Recycling LC'!AE159-'Ethylene Recycling LC'!$C$159</f>
        <v>124065.11592931734</v>
      </c>
      <c r="AG123" s="183">
        <f>'Ethylene Recycling LC'!AF159-'Ethylene Recycling LC'!$C$159</f>
        <v>128878.38651669664</v>
      </c>
      <c r="AH123" s="183">
        <f>'Ethylene Recycling LC'!AG159-'Ethylene Recycling LC'!$C$159</f>
        <v>133667.1305302231</v>
      </c>
    </row>
    <row r="124" spans="1:36" outlineLevel="1">
      <c r="A124"/>
      <c r="B124" t="s">
        <v>268</v>
      </c>
      <c r="C124" s="50" t="s">
        <v>1420</v>
      </c>
      <c r="D124" s="183">
        <f>'Ethylene Recycling LC'!C82-'Ethylene Recycling LC'!$C$82</f>
        <v>0</v>
      </c>
      <c r="E124" s="183">
        <f>'Ethylene Recycling LC'!D82-'Ethylene Recycling LC'!$C$82</f>
        <v>6813.57636014733</v>
      </c>
      <c r="F124" s="183">
        <f>'Ethylene Recycling LC'!E82-'Ethylene Recycling LC'!$C$82</f>
        <v>13362.861712633749</v>
      </c>
      <c r="G124" s="183">
        <f>'Ethylene Recycling LC'!F82-'Ethylene Recycling LC'!$C$82</f>
        <v>19642.744633601193</v>
      </c>
      <c r="H124" s="183">
        <f>'Ethylene Recycling LC'!G82-'Ethylene Recycling LC'!$C$82</f>
        <v>25648.113213248987</v>
      </c>
      <c r="I124" s="183">
        <f>'Ethylene Recycling LC'!H82-'Ethylene Recycling LC'!$C$82</f>
        <v>31373.85533791245</v>
      </c>
      <c r="J124" s="183">
        <f>'Ethylene Recycling LC'!I82-'Ethylene Recycling LC'!$C$82</f>
        <v>36814.858969630819</v>
      </c>
      <c r="K124" s="183">
        <f>'Ethylene Recycling LC'!J82-'Ethylene Recycling LC'!$C$82</f>
        <v>41966.012423222797</v>
      </c>
      <c r="L124" s="183">
        <f>'Ethylene Recycling LC'!K82-'Ethylene Recycling LC'!$C$82</f>
        <v>46822.204640880693</v>
      </c>
      <c r="M124" s="183">
        <f>'Ethylene Recycling LC'!L82-'Ethylene Recycling LC'!$C$82</f>
        <v>51378.325464300433</v>
      </c>
      <c r="N124" s="183">
        <f>'Ethylene Recycling LC'!M82-'Ethylene Recycling LC'!$C$82</f>
        <v>55629.265904360451</v>
      </c>
      <c r="O124" s="183">
        <f>'Ethylene Recycling LC'!N82-'Ethylene Recycling LC'!$C$82</f>
        <v>50297.786838344502</v>
      </c>
      <c r="P124" s="183">
        <f>'Ethylene Recycling LC'!O82-'Ethylene Recycling LC'!$C$82</f>
        <v>46060.738051082881</v>
      </c>
      <c r="Q124" s="183">
        <f>'Ethylene Recycling LC'!P82-'Ethylene Recycling LC'!$C$82</f>
        <v>40670.80822748231</v>
      </c>
      <c r="R124" s="183">
        <f>'Ethylene Recycling LC'!Q82-'Ethylene Recycling LC'!$C$82</f>
        <v>35148.956044764578</v>
      </c>
      <c r="S124" s="183">
        <f>'Ethylene Recycling LC'!R82-'Ethylene Recycling LC'!$C$82</f>
        <v>29494.204543662461</v>
      </c>
      <c r="T124" s="183">
        <f>'Ethylene Recycling LC'!S82-'Ethylene Recycling LC'!$C$82</f>
        <v>23705.579398474656</v>
      </c>
      <c r="U124" s="183">
        <f>'Ethylene Recycling LC'!T82-'Ethylene Recycling LC'!$C$82</f>
        <v>17782.108950428054</v>
      </c>
      <c r="V124" s="183">
        <f>'Ethylene Recycling LC'!U82-'Ethylene Recycling LC'!$C$82</f>
        <v>11722.82424066469</v>
      </c>
      <c r="W124" s="183">
        <f>'Ethylene Recycling LC'!V82-'Ethylene Recycling LC'!$C$82</f>
        <v>5526.7590428563708</v>
      </c>
      <c r="X124" s="183">
        <f>'Ethylene Recycling LC'!W82-'Ethylene Recycling LC'!$C$82</f>
        <v>-807.0501045526762</v>
      </c>
      <c r="Y124" s="183">
        <f>'Ethylene Recycling LC'!X82-'Ethylene Recycling LC'!$C$82</f>
        <v>-5139.0627587702184</v>
      </c>
      <c r="Z124" s="183">
        <f>'Ethylene Recycling LC'!Y82-'Ethylene Recycling LC'!$C$82</f>
        <v>-9476.7388277566351</v>
      </c>
      <c r="AA124" s="183">
        <f>'Ethylene Recycling LC'!Z82-'Ethylene Recycling LC'!$C$82</f>
        <v>-13917.026212297409</v>
      </c>
      <c r="AB124" s="183">
        <f>'Ethylene Recycling LC'!AA82-'Ethylene Recycling LC'!$C$82</f>
        <v>-18460.656278909679</v>
      </c>
      <c r="AC124" s="183">
        <f>'Ethylene Recycling LC'!AB82-'Ethylene Recycling LC'!$C$82</f>
        <v>-23108.358279930515</v>
      </c>
      <c r="AD124" s="183">
        <f>'Ethylene Recycling LC'!AC82-'Ethylene Recycling LC'!$C$82</f>
        <v>-27860.859329666098</v>
      </c>
      <c r="AE124" s="183">
        <f>'Ethylene Recycling LC'!AD82-'Ethylene Recycling LC'!$C$82</f>
        <v>-32718.884380815318</v>
      </c>
      <c r="AF124" s="183">
        <f>'Ethylene Recycling LC'!AE82-'Ethylene Recycling LC'!$C$82</f>
        <v>-37683.15620116741</v>
      </c>
      <c r="AG124" s="183">
        <f>'Ethylene Recycling LC'!AF82-'Ethylene Recycling LC'!$C$82</f>
        <v>-42754.395350570994</v>
      </c>
      <c r="AH124" s="183">
        <f>'Ethylene Recycling LC'!AG82-'Ethylene Recycling LC'!$C$82</f>
        <v>-47933.320158172806</v>
      </c>
    </row>
    <row r="125" spans="1:36" outlineLevel="1">
      <c r="A125"/>
      <c r="B125" t="s">
        <v>270</v>
      </c>
      <c r="C125" s="50" t="s">
        <v>1420</v>
      </c>
      <c r="D125" s="183">
        <f>'Ethylene Recycling LC'!C141-'Ethylene Recycling LC'!$C$141</f>
        <v>0</v>
      </c>
      <c r="E125" s="183">
        <f>'Ethylene Recycling LC'!D141-'Ethylene Recycling LC'!$C$141</f>
        <v>871.15927905129615</v>
      </c>
      <c r="F125" s="183">
        <f>'Ethylene Recycling LC'!E141-'Ethylene Recycling LC'!$C$141</f>
        <v>1723.0875492767586</v>
      </c>
      <c r="G125" s="183">
        <f>'Ethylene Recycling LC'!F141-'Ethylene Recycling LC'!$C$141</f>
        <v>2555.8994358607547</v>
      </c>
      <c r="H125" s="183">
        <f>'Ethylene Recycling LC'!G141-'Ethylene Recycling LC'!$C$141</f>
        <v>3369.70907664481</v>
      </c>
      <c r="I125" s="183">
        <f>'Ethylene Recycling LC'!H141-'Ethylene Recycling LC'!$C$141</f>
        <v>4164.6301238862052</v>
      </c>
      <c r="J125" s="183">
        <f>'Ethylene Recycling LC'!I141-'Ethylene Recycling LC'!$C$141</f>
        <v>4788.1057754590774</v>
      </c>
      <c r="K125" s="183">
        <f>'Ethylene Recycling LC'!J141-'Ethylene Recycling LC'!$C$141</f>
        <v>5346.1062460657304</v>
      </c>
      <c r="L125" s="183">
        <f>'Ethylene Recycling LC'!K141-'Ethylene Recycling LC'!$C$141</f>
        <v>5840.463376093192</v>
      </c>
      <c r="M125" s="183">
        <f>'Ethylene Recycling LC'!L141-'Ethylene Recycling LC'!$C$141</f>
        <v>6272.9947178156644</v>
      </c>
      <c r="N125" s="183">
        <f>'Ethylene Recycling LC'!M141-'Ethylene Recycling LC'!$C$141</f>
        <v>6645.503610802064</v>
      </c>
      <c r="O125" s="183">
        <f>'Ethylene Recycling LC'!N141-'Ethylene Recycling LC'!$C$141</f>
        <v>6752.1420011496366</v>
      </c>
      <c r="P125" s="183">
        <f>'Ethylene Recycling LC'!O141-'Ethylene Recycling LC'!$C$141</f>
        <v>6822.8270451794051</v>
      </c>
      <c r="Q125" s="183">
        <f>'Ethylene Recycling LC'!P141-'Ethylene Recycling LC'!$C$141</f>
        <v>6858.73034479544</v>
      </c>
      <c r="R125" s="183">
        <f>'Ethylene Recycling LC'!Q141-'Ethylene Recycling LC'!$C$141</f>
        <v>6861.0142028468781</v>
      </c>
      <c r="S125" s="183">
        <f>'Ethylene Recycling LC'!R141-'Ethylene Recycling LC'!$C$141</f>
        <v>6830.8316725280038</v>
      </c>
      <c r="T125" s="183">
        <f>'Ethylene Recycling LC'!S141-'Ethylene Recycling LC'!$C$141</f>
        <v>6862.6471218193383</v>
      </c>
      <c r="U125" s="183">
        <f>'Ethylene Recycling LC'!T141-'Ethylene Recycling LC'!$C$141</f>
        <v>6870.7884001670536</v>
      </c>
      <c r="V125" s="183">
        <f>'Ethylene Recycling LC'!U141-'Ethylene Recycling LC'!$C$141</f>
        <v>6856.0642375445523</v>
      </c>
      <c r="W125" s="183">
        <f>'Ethylene Recycling LC'!V141-'Ethylene Recycling LC'!$C$141</f>
        <v>6819.2769133065076</v>
      </c>
      <c r="X125" s="183">
        <f>'Ethylene Recycling LC'!W141-'Ethylene Recycling LC'!$C$141</f>
        <v>6761.2222905202734</v>
      </c>
      <c r="Y125" s="183">
        <f>'Ethylene Recycling LC'!X141-'Ethylene Recycling LC'!$C$141</f>
        <v>6821.521340684847</v>
      </c>
      <c r="Z125" s="183">
        <f>'Ethylene Recycling LC'!Y141-'Ethylene Recycling LC'!$C$141</f>
        <v>6847.8683289665887</v>
      </c>
      <c r="AA125" s="183">
        <f>'Ethylene Recycling LC'!Z141-'Ethylene Recycling LC'!$C$141</f>
        <v>6841.4794834820814</v>
      </c>
      <c r="AB125" s="183">
        <f>'Ethylene Recycling LC'!AA141-'Ethylene Recycling LC'!$C$141</f>
        <v>6803.5612827033619</v>
      </c>
      <c r="AC125" s="183">
        <f>'Ethylene Recycling LC'!AB141-'Ethylene Recycling LC'!$C$141</f>
        <v>6735.3105074469322</v>
      </c>
      <c r="AD125" s="183">
        <f>'Ethylene Recycling LC'!AC141-'Ethylene Recycling LC'!$C$141</f>
        <v>6571.7116899846305</v>
      </c>
      <c r="AE125" s="183">
        <f>'Ethylene Recycling LC'!AD141-'Ethylene Recycling LC'!$C$141</f>
        <v>6376.0505244217529</v>
      </c>
      <c r="AF125" s="183">
        <f>'Ethylene Recycling LC'!AE141-'Ethylene Recycling LC'!$C$141</f>
        <v>6149.7256797761838</v>
      </c>
      <c r="AG125" s="183">
        <f>'Ethylene Recycling LC'!AF141-'Ethylene Recycling LC'!$C$141</f>
        <v>5894.1244187933844</v>
      </c>
      <c r="AH125" s="183">
        <f>'Ethylene Recycling LC'!AG141-'Ethylene Recycling LC'!$C$141</f>
        <v>5610.6226591533004</v>
      </c>
    </row>
    <row r="126" spans="1:36" outlineLevel="1">
      <c r="A126" s="160"/>
      <c r="B126" s="160" t="s">
        <v>269</v>
      </c>
      <c r="C126" s="156" t="s">
        <v>1420</v>
      </c>
      <c r="D126" s="547">
        <f>'Ethylene Recycling LC'!C109-'Ethylene Recycling LC'!$C$109</f>
        <v>0</v>
      </c>
      <c r="E126" s="547">
        <f>'Ethylene Recycling LC'!D109-'Ethylene Recycling LC'!$C$109</f>
        <v>134.36978412757026</v>
      </c>
      <c r="F126" s="547">
        <f>'Ethylene Recycling LC'!E109-'Ethylene Recycling LC'!$C$109</f>
        <v>253.66464211291805</v>
      </c>
      <c r="G126" s="547">
        <f>'Ethylene Recycling LC'!F109-'Ethylene Recycling LC'!$C$109</f>
        <v>358.19758625124086</v>
      </c>
      <c r="H126" s="547">
        <f>'Ethylene Recycling LC'!G109-'Ethylene Recycling LC'!$C$109</f>
        <v>448.27929978523935</v>
      </c>
      <c r="I126" s="547">
        <f>'Ethylene Recycling LC'!H109-'Ethylene Recycling LC'!$C$109</f>
        <v>524.21814896429851</v>
      </c>
      <c r="J126" s="547">
        <f>'Ethylene Recycling LC'!I109-'Ethylene Recycling LC'!$C$109</f>
        <v>586.32019505218568</v>
      </c>
      <c r="K126" s="547">
        <f>'Ethylene Recycling LC'!J109-'Ethylene Recycling LC'!$C$109</f>
        <v>634.88920628343203</v>
      </c>
      <c r="L126" s="547">
        <f>'Ethylene Recycling LC'!K109-'Ethylene Recycling LC'!$C$109</f>
        <v>670.22666976861728</v>
      </c>
      <c r="M126" s="547">
        <f>'Ethylene Recycling LC'!L109-'Ethylene Recycling LC'!$C$109</f>
        <v>692.63180334874141</v>
      </c>
      <c r="N126" s="547">
        <f>'Ethylene Recycling LC'!M109-'Ethylene Recycling LC'!$C$109</f>
        <v>702.40156739887061</v>
      </c>
      <c r="O126" s="547">
        <f>'Ethylene Recycling LC'!N109-'Ethylene Recycling LC'!$C$109</f>
        <v>646.90735023152774</v>
      </c>
      <c r="P126" s="547">
        <f>'Ethylene Recycling LC'!O109-'Ethylene Recycling LC'!$C$109</f>
        <v>584.07013960296536</v>
      </c>
      <c r="Q126" s="547">
        <f>'Ethylene Recycling LC'!P109-'Ethylene Recycling LC'!$C$109</f>
        <v>501.7939449901005</v>
      </c>
      <c r="R126" s="547">
        <f>'Ethylene Recycling LC'!Q109-'Ethylene Recycling LC'!$C$109</f>
        <v>413.05170946503677</v>
      </c>
      <c r="S126" s="547">
        <f>'Ethylene Recycling LC'!R109-'Ethylene Recycling LC'!$C$109</f>
        <v>318.10269888984431</v>
      </c>
      <c r="T126" s="547">
        <f>'Ethylene Recycling LC'!S109-'Ethylene Recycling LC'!$C$109</f>
        <v>217.20246113106077</v>
      </c>
      <c r="U126" s="547">
        <f>'Ethylene Recycling LC'!T109-'Ethylene Recycling LC'!$C$109</f>
        <v>110.60283879434701</v>
      </c>
      <c r="V126" s="547">
        <f>'Ethylene Recycling LC'!U109-'Ethylene Recycling LC'!$C$109</f>
        <v>-1.4480177585933234</v>
      </c>
      <c r="W126" s="547">
        <f>'Ethylene Recycling LC'!V109-'Ethylene Recycling LC'!$C$109</f>
        <v>-118.70563711534123</v>
      </c>
      <c r="X126" s="547">
        <f>'Ethylene Recycling LC'!W109-'Ethylene Recycling LC'!$C$109</f>
        <v>-240.92921324473036</v>
      </c>
      <c r="Y126" s="547">
        <f>'Ethylene Recycling LC'!X109-'Ethylene Recycling LC'!$C$109</f>
        <v>-334.95096030550212</v>
      </c>
      <c r="Z126" s="547">
        <f>'Ethylene Recycling LC'!Y109-'Ethylene Recycling LC'!$C$109</f>
        <v>-438.01828265406584</v>
      </c>
      <c r="AA126" s="547">
        <f>'Ethylene Recycling LC'!Z109-'Ethylene Recycling LC'!$C$109</f>
        <v>-570.67160020484562</v>
      </c>
      <c r="AB126" s="547">
        <f>'Ethylene Recycling LC'!AA109-'Ethylene Recycling LC'!$C$109</f>
        <v>-709.85329905182289</v>
      </c>
      <c r="AC126" s="547">
        <f>'Ethylene Recycling LC'!AB109-'Ethylene Recycling LC'!$C$109</f>
        <v>-854.97010144200522</v>
      </c>
      <c r="AD126" s="547">
        <f>'Ethylene Recycling LC'!AC109-'Ethylene Recycling LC'!$C$109</f>
        <v>-1005.4427299552617</v>
      </c>
      <c r="AE126" s="547">
        <f>'Ethylene Recycling LC'!AD109-'Ethylene Recycling LC'!$C$109</f>
        <v>-1160.7060132922111</v>
      </c>
      <c r="AF126" s="547">
        <f>'Ethylene Recycling LC'!AE109-'Ethylene Recycling LC'!$C$109</f>
        <v>-1320.2089818911566</v>
      </c>
      <c r="AG126" s="547">
        <f>'Ethylene Recycling LC'!AF109-'Ethylene Recycling LC'!$C$109</f>
        <v>-1483.414953515613</v>
      </c>
      <c r="AH126" s="547">
        <f>'Ethylene Recycling LC'!AG109-'Ethylene Recycling LC'!$C$109</f>
        <v>-1649.8016089527739</v>
      </c>
    </row>
    <row r="127" spans="1:36" s="62" customFormat="1">
      <c r="A127" s="211"/>
      <c r="B127" s="211" t="s">
        <v>267</v>
      </c>
      <c r="C127" s="212" t="s">
        <v>1420</v>
      </c>
      <c r="D127" s="554">
        <f>D122-D123-D124-D125-D126</f>
        <v>833693.90944694402</v>
      </c>
      <c r="E127" s="554">
        <f t="shared" ref="E127:AH127" si="39">E122-E123-E124-E125-E126</f>
        <v>806098.7008336829</v>
      </c>
      <c r="F127" s="554">
        <f t="shared" si="39"/>
        <v>778989.40503116464</v>
      </c>
      <c r="G127" s="554">
        <f t="shared" si="39"/>
        <v>752369.06700654654</v>
      </c>
      <c r="H127" s="554">
        <f t="shared" si="39"/>
        <v>726240.74901864515</v>
      </c>
      <c r="I127" s="554">
        <f t="shared" si="39"/>
        <v>700607.53020537924</v>
      </c>
      <c r="J127" s="554">
        <f t="shared" si="39"/>
        <v>675625.17614528176</v>
      </c>
      <c r="K127" s="554">
        <f t="shared" si="39"/>
        <v>651190.94098249055</v>
      </c>
      <c r="L127" s="554">
        <f t="shared" si="39"/>
        <v>627306.2324175617</v>
      </c>
      <c r="M127" s="554">
        <f t="shared" si="39"/>
        <v>603972.48722438118</v>
      </c>
      <c r="N127" s="554">
        <f t="shared" si="39"/>
        <v>581191.170781294</v>
      </c>
      <c r="O127" s="554">
        <f t="shared" si="39"/>
        <v>570200.53783141775</v>
      </c>
      <c r="P127" s="554">
        <f t="shared" si="39"/>
        <v>558321.91585476836</v>
      </c>
      <c r="Q127" s="554">
        <f t="shared" si="39"/>
        <v>547812.06719892367</v>
      </c>
      <c r="R127" s="554">
        <f t="shared" si="39"/>
        <v>537634.4373503098</v>
      </c>
      <c r="S127" s="554">
        <f t="shared" si="39"/>
        <v>527787.14301722322</v>
      </c>
      <c r="T127" s="554">
        <f t="shared" si="39"/>
        <v>518175.00322981016</v>
      </c>
      <c r="U127" s="554">
        <f t="shared" si="39"/>
        <v>508882.98702184908</v>
      </c>
      <c r="V127" s="554">
        <f t="shared" si="39"/>
        <v>499909.59588110942</v>
      </c>
      <c r="W127" s="554">
        <f t="shared" si="39"/>
        <v>491253.35093086562</v>
      </c>
      <c r="X127" s="554">
        <f t="shared" si="39"/>
        <v>482912.79274688417</v>
      </c>
      <c r="Y127" s="554">
        <f t="shared" si="39"/>
        <v>470515.89090414997</v>
      </c>
      <c r="Z127" s="554">
        <f t="shared" si="39"/>
        <v>458328.82467079023</v>
      </c>
      <c r="AA127" s="554">
        <f t="shared" si="39"/>
        <v>446466.44949978165</v>
      </c>
      <c r="AB127" s="554">
        <f t="shared" si="39"/>
        <v>434903.82817310363</v>
      </c>
      <c r="AC127" s="554">
        <f t="shared" si="39"/>
        <v>423638.50743807701</v>
      </c>
      <c r="AD127" s="554">
        <f t="shared" si="39"/>
        <v>412734.27009768126</v>
      </c>
      <c r="AE127" s="554">
        <f t="shared" si="39"/>
        <v>402126.62158231088</v>
      </c>
      <c r="AF127" s="554">
        <f t="shared" si="39"/>
        <v>391812.97810975555</v>
      </c>
      <c r="AG127" s="554">
        <f t="shared" si="39"/>
        <v>381790.79103049811</v>
      </c>
      <c r="AH127" s="554">
        <f t="shared" si="39"/>
        <v>372057.5467218064</v>
      </c>
    </row>
    <row r="128" spans="1:36" s="61" customFormat="1">
      <c r="A128" s="606" t="s">
        <v>608</v>
      </c>
      <c r="B128" s="54" t="s">
        <v>141</v>
      </c>
      <c r="C128" s="55" t="s">
        <v>1420</v>
      </c>
      <c r="D128" s="571">
        <f>D44-('Ethylene Recycling LC'!C83+'Ethylene Recycling LC'!C110+'Ethylene Recycling LC'!C142+'Ethylene Recycling LC'!C160-('Ethylene Recycling LC'!$C$83+'Ethylene Recycling LC'!$C$110+'Ethylene Recycling LC'!$C$142+'Ethylene Recycling LC'!$C$160))</f>
        <v>180037.45454545456</v>
      </c>
      <c r="E128" s="571">
        <f>E44-('Ethylene Recycling LC'!D83+'Ethylene Recycling LC'!D110+'Ethylene Recycling LC'!D142+'Ethylene Recycling LC'!D160-('Ethylene Recycling LC'!$C$83+'Ethylene Recycling LC'!$C$110+'Ethylene Recycling LC'!$C$142+'Ethylene Recycling LC'!$C$160))</f>
        <v>172150.45218955999</v>
      </c>
      <c r="F128" s="571">
        <f>F44-('Ethylene Recycling LC'!E83+'Ethylene Recycling LC'!E110+'Ethylene Recycling LC'!E142+'Ethylene Recycling LC'!E160-('Ethylene Recycling LC'!$C$83+'Ethylene Recycling LC'!$C$110+'Ethylene Recycling LC'!$C$142+'Ethylene Recycling LC'!$C$160))</f>
        <v>164615.43448074374</v>
      </c>
      <c r="G128" s="571">
        <f>G44-('Ethylene Recycling LC'!F83+'Ethylene Recycling LC'!F110+'Ethylene Recycling LC'!F142+'Ethylene Recycling LC'!F160-('Ethylene Recycling LC'!$C$83+'Ethylene Recycling LC'!$C$110+'Ethylene Recycling LC'!$C$142+'Ethylene Recycling LC'!$C$160))</f>
        <v>157427.72048506953</v>
      </c>
      <c r="H128" s="571">
        <f>H44-('Ethylene Recycling LC'!G83+'Ethylene Recycling LC'!G110+'Ethylene Recycling LC'!G142+'Ethylene Recycling LC'!G160-('Ethylene Recycling LC'!$C$83+'Ethylene Recycling LC'!$C$110+'Ethylene Recycling LC'!$C$142+'Ethylene Recycling LC'!$C$160))</f>
        <v>150582.40962609937</v>
      </c>
      <c r="I128" s="571">
        <f>I44-('Ethylene Recycling LC'!H83+'Ethylene Recycling LC'!H110+'Ethylene Recycling LC'!H142+'Ethylene Recycling LC'!H160-('Ethylene Recycling LC'!$C$83+'Ethylene Recycling LC'!$C$110+'Ethylene Recycling LC'!$C$142+'Ethylene Recycling LC'!$C$160))</f>
        <v>144074.38120737617</v>
      </c>
      <c r="J128" s="571">
        <f>J44-('Ethylene Recycling LC'!I83+'Ethylene Recycling LC'!I110+'Ethylene Recycling LC'!I142+'Ethylene Recycling LC'!I160-('Ethylene Recycling LC'!$C$83+'Ethylene Recycling LC'!$C$110+'Ethylene Recycling LC'!$C$142+'Ethylene Recycling LC'!$C$160))</f>
        <v>137898.29395820218</v>
      </c>
      <c r="K128" s="571">
        <f>K44-('Ethylene Recycling LC'!J83+'Ethylene Recycling LC'!J110+'Ethylene Recycling LC'!J142+'Ethylene Recycling LC'!J160-('Ethylene Recycling LC'!$C$83+'Ethylene Recycling LC'!$C$110+'Ethylene Recycling LC'!$C$142+'Ethylene Recycling LC'!$C$160))</f>
        <v>132048.58560248531</v>
      </c>
      <c r="L128" s="571">
        <f>L44-('Ethylene Recycling LC'!K83+'Ethylene Recycling LC'!K110+'Ethylene Recycling LC'!K142+'Ethylene Recycling LC'!K160-('Ethylene Recycling LC'!$C$83+'Ethylene Recycling LC'!$C$110+'Ethylene Recycling LC'!$C$142+'Ethylene Recycling LC'!$C$160))</f>
        <v>126519.47245043356</v>
      </c>
      <c r="M128" s="571">
        <f>M44-('Ethylene Recycling LC'!L83+'Ethylene Recycling LC'!L110+'Ethylene Recycling LC'!L142+'Ethylene Recycling LC'!L160-('Ethylene Recycling LC'!$C$83+'Ethylene Recycling LC'!$C$110+'Ethylene Recycling LC'!$C$142+'Ethylene Recycling LC'!$C$160))</f>
        <v>121304.94901287169</v>
      </c>
      <c r="N128" s="571">
        <f>N44-('Ethylene Recycling LC'!M83+'Ethylene Recycling LC'!M110+'Ethylene Recycling LC'!M142+'Ethylene Recycling LC'!M160-('Ethylene Recycling LC'!$C$83+'Ethylene Recycling LC'!$C$110+'Ethylene Recycling LC'!$C$142+'Ethylene Recycling LC'!$C$160))</f>
        <v>116398.78763796191</v>
      </c>
      <c r="O128" s="571">
        <f>O44-('Ethylene Recycling LC'!N83+'Ethylene Recycling LC'!N110+'Ethylene Recycling LC'!N142+'Ethylene Recycling LC'!N160-('Ethylene Recycling LC'!$C$83+'Ethylene Recycling LC'!$C$110+'Ethylene Recycling LC'!$C$142+'Ethylene Recycling LC'!$C$160))</f>
        <v>120115.98085606878</v>
      </c>
      <c r="P128" s="571">
        <f>P44-('Ethylene Recycling LC'!O83+'Ethylene Recycling LC'!O110+'Ethylene Recycling LC'!O142+'Ethylene Recycling LC'!O160-('Ethylene Recycling LC'!$C$83+'Ethylene Recycling LC'!$C$110+'Ethylene Recycling LC'!$C$142+'Ethylene Recycling LC'!$C$160))</f>
        <v>122731.25756241014</v>
      </c>
      <c r="Q128" s="571">
        <f>Q44-('Ethylene Recycling LC'!P83+'Ethylene Recycling LC'!P110+'Ethylene Recycling LC'!P142+'Ethylene Recycling LC'!P160-('Ethylene Recycling LC'!$C$83+'Ethylene Recycling LC'!$C$110+'Ethylene Recycling LC'!$C$142+'Ethylene Recycling LC'!$C$160))</f>
        <v>126196.82715049462</v>
      </c>
      <c r="R128" s="571">
        <f>R44-('Ethylene Recycling LC'!Q83+'Ethylene Recycling LC'!Q110+'Ethylene Recycling LC'!Q142+'Ethylene Recycling LC'!Q160-('Ethylene Recycling LC'!$C$83+'Ethylene Recycling LC'!$C$110+'Ethylene Recycling LC'!$C$142+'Ethylene Recycling LC'!$C$160))</f>
        <v>129609.6714813243</v>
      </c>
      <c r="S128" s="571">
        <f>S44-('Ethylene Recycling LC'!R83+'Ethylene Recycling LC'!R110+'Ethylene Recycling LC'!R142+'Ethylene Recycling LC'!R160-('Ethylene Recycling LC'!$C$83+'Ethylene Recycling LC'!$C$110+'Ethylene Recycling LC'!$C$142+'Ethylene Recycling LC'!$C$160))</f>
        <v>132965.7872958396</v>
      </c>
      <c r="T128" s="571">
        <f>T44-('Ethylene Recycling LC'!S83+'Ethylene Recycling LC'!S110+'Ethylene Recycling LC'!S142+'Ethylene Recycling LC'!S160-('Ethylene Recycling LC'!$C$83+'Ethylene Recycling LC'!$C$110+'Ethylene Recycling LC'!$C$142+'Ethylene Recycling LC'!$C$160))</f>
        <v>136261.14058609944</v>
      </c>
      <c r="U128" s="571">
        <f>U44-('Ethylene Recycling LC'!T83+'Ethylene Recycling LC'!T110+'Ethylene Recycling LC'!T142+'Ethylene Recycling LC'!T160-('Ethylene Recycling LC'!$C$83+'Ethylene Recycling LC'!$C$110+'Ethylene Recycling LC'!$C$142+'Ethylene Recycling LC'!$C$160))</f>
        <v>139491.66643733313</v>
      </c>
      <c r="V128" s="571">
        <f>V44-('Ethylene Recycling LC'!U83+'Ethylene Recycling LC'!U110+'Ethylene Recycling LC'!U142+'Ethylene Recycling LC'!U160-('Ethylene Recycling LC'!$C$83+'Ethylene Recycling LC'!$C$110+'Ethylene Recycling LC'!$C$142+'Ethylene Recycling LC'!$C$160))</f>
        <v>142653.26887370911</v>
      </c>
      <c r="W128" s="571">
        <f>W44-('Ethylene Recycling LC'!V83+'Ethylene Recycling LC'!V110+'Ethylene Recycling LC'!V142+'Ethylene Recycling LC'!V160-('Ethylene Recycling LC'!$C$83+'Ethylene Recycling LC'!$C$110+'Ethylene Recycling LC'!$C$142+'Ethylene Recycling LC'!$C$160))</f>
        <v>145741.82070781628</v>
      </c>
      <c r="X128" s="571">
        <f>X44-('Ethylene Recycling LC'!W83+'Ethylene Recycling LC'!W110+'Ethylene Recycling LC'!W142+'Ethylene Recycling LC'!W160-('Ethylene Recycling LC'!$C$83+'Ethylene Recycling LC'!$C$110+'Ethylene Recycling LC'!$C$142+'Ethylene Recycling LC'!$C$160))</f>
        <v>148753.16339385556</v>
      </c>
      <c r="Y128" s="571">
        <f>Y44-('Ethylene Recycling LC'!X83+'Ethylene Recycling LC'!X110+'Ethylene Recycling LC'!X142+'Ethylene Recycling LC'!X160-('Ethylene Recycling LC'!$C$83+'Ethylene Recycling LC'!$C$110+'Ethylene Recycling LC'!$C$142+'Ethylene Recycling LC'!$C$160))</f>
        <v>149581.04223312269</v>
      </c>
      <c r="Z128" s="571">
        <f>Z44-('Ethylene Recycling LC'!Y83+'Ethylene Recycling LC'!Y110+'Ethylene Recycling LC'!Y142+'Ethylene Recycling LC'!Y160-('Ethylene Recycling LC'!$C$83+'Ethylene Recycling LC'!$C$110+'Ethylene Recycling LC'!$C$142+'Ethylene Recycling LC'!$C$160))</f>
        <v>150239.67232829134</v>
      </c>
      <c r="AA128" s="571">
        <f>AA44-('Ethylene Recycling LC'!Z83+'Ethylene Recycling LC'!Z110+'Ethylene Recycling LC'!Z142+'Ethylene Recycling LC'!Z160-('Ethylene Recycling LC'!$C$83+'Ethylene Recycling LC'!$C$110+'Ethylene Recycling LC'!$C$142+'Ethylene Recycling LC'!$C$160))</f>
        <v>150809.73840295896</v>
      </c>
      <c r="AB128" s="571">
        <f>AB44-('Ethylene Recycling LC'!AA83+'Ethylene Recycling LC'!AA110+'Ethylene Recycling LC'!AA142+'Ethylene Recycling LC'!AA160-('Ethylene Recycling LC'!$C$83+'Ethylene Recycling LC'!$C$110+'Ethylene Recycling LC'!$C$142+'Ethylene Recycling LC'!$C$160))</f>
        <v>151276.73237914848</v>
      </c>
      <c r="AC128" s="571">
        <f>AC44-('Ethylene Recycling LC'!AB83+'Ethylene Recycling LC'!AB110+'Ethylene Recycling LC'!AB142+'Ethylene Recycling LC'!AB160-('Ethylene Recycling LC'!$C$83+'Ethylene Recycling LC'!$C$110+'Ethylene Recycling LC'!$C$142+'Ethylene Recycling LC'!$C$160))</f>
        <v>151637.52336206625</v>
      </c>
      <c r="AD128" s="571">
        <f>AD44-('Ethylene Recycling LC'!AC83+'Ethylene Recycling LC'!AC110+'Ethylene Recycling LC'!AC142+'Ethylene Recycling LC'!AC160-('Ethylene Recycling LC'!$C$83+'Ethylene Recycling LC'!$C$110+'Ethylene Recycling LC'!$C$142+'Ethylene Recycling LC'!$C$160))</f>
        <v>151888.98351457651</v>
      </c>
      <c r="AE128" s="571">
        <f>AE44-('Ethylene Recycling LC'!AD83+'Ethylene Recycling LC'!AD110+'Ethylene Recycling LC'!AD142+'Ethylene Recycling LC'!AD160-('Ethylene Recycling LC'!$C$83+'Ethylene Recycling LC'!$C$110+'Ethylene Recycling LC'!$C$142+'Ethylene Recycling LC'!$C$160))</f>
        <v>152027.9872041124</v>
      </c>
      <c r="AF128" s="571">
        <f>AF44-('Ethylene Recycling LC'!AE83+'Ethylene Recycling LC'!AE110+'Ethylene Recycling LC'!AE142+'Ethylene Recycling LC'!AE160-('Ethylene Recycling LC'!$C$83+'Ethylene Recycling LC'!$C$110+'Ethylene Recycling LC'!$C$142+'Ethylene Recycling LC'!$C$160))</f>
        <v>152051.4101383308</v>
      </c>
      <c r="AG128" s="571">
        <f>AG44-('Ethylene Recycling LC'!AF83+'Ethylene Recycling LC'!AF110+'Ethylene Recycling LC'!AF142+'Ethylene Recycling LC'!AF160-('Ethylene Recycling LC'!$C$83+'Ethylene Recycling LC'!$C$110+'Ethylene Recycling LC'!$C$142+'Ethylene Recycling LC'!$C$160))</f>
        <v>151956.12849055865</v>
      </c>
      <c r="AH128" s="571">
        <f>AH44-('Ethylene Recycling LC'!AG83+'Ethylene Recycling LC'!AG110+'Ethylene Recycling LC'!AG142+'Ethylene Recycling LC'!AG160-('Ethylene Recycling LC'!$C$83+'Ethylene Recycling LC'!$C$110+'Ethylene Recycling LC'!$C$142+'Ethylene Recycling LC'!$C$160))</f>
        <v>151739.01801606332</v>
      </c>
      <c r="AI128" s="56"/>
    </row>
    <row r="129" spans="1:35">
      <c r="A129" s="607"/>
      <c r="B129" s="1" t="s">
        <v>18</v>
      </c>
      <c r="C129" s="50" t="s">
        <v>1420</v>
      </c>
      <c r="D129" s="183">
        <f>D45+(D133-D49)</f>
        <v>64852.242082509627</v>
      </c>
      <c r="E129" s="183">
        <f t="shared" ref="E129:AH129" si="40">E45+(E133-E49)</f>
        <v>63380.016447542352</v>
      </c>
      <c r="F129" s="183">
        <f t="shared" si="40"/>
        <v>61841.699271568825</v>
      </c>
      <c r="G129" s="183">
        <f t="shared" si="40"/>
        <v>60240.42913688354</v>
      </c>
      <c r="H129" s="183">
        <f t="shared" si="40"/>
        <v>58579.36455131229</v>
      </c>
      <c r="I129" s="183">
        <f t="shared" si="40"/>
        <v>56861.684021837107</v>
      </c>
      <c r="J129" s="183">
        <f t="shared" si="40"/>
        <v>55121.11952281394</v>
      </c>
      <c r="K129" s="183">
        <f t="shared" si="40"/>
        <v>53351.456859520724</v>
      </c>
      <c r="L129" s="183">
        <f t="shared" si="40"/>
        <v>51560.157540146378</v>
      </c>
      <c r="M129" s="183">
        <f t="shared" si="40"/>
        <v>49754.478198773155</v>
      </c>
      <c r="N129" s="183">
        <f t="shared" si="40"/>
        <v>47941.472930916563</v>
      </c>
      <c r="O129" s="183">
        <f t="shared" si="40"/>
        <v>46374.116863603238</v>
      </c>
      <c r="P129" s="183">
        <f t="shared" si="40"/>
        <v>44821.295792576457</v>
      </c>
      <c r="Q129" s="183">
        <f t="shared" si="40"/>
        <v>43329.207106614427</v>
      </c>
      <c r="R129" s="183">
        <f t="shared" si="40"/>
        <v>41882.619743148243</v>
      </c>
      <c r="S129" s="183">
        <f t="shared" si="40"/>
        <v>40484.895262534228</v>
      </c>
      <c r="T129" s="183">
        <f t="shared" si="40"/>
        <v>39089.483829027035</v>
      </c>
      <c r="U129" s="183">
        <f t="shared" si="40"/>
        <v>37739.323343100201</v>
      </c>
      <c r="V129" s="183">
        <f t="shared" si="40"/>
        <v>36436.89426216876</v>
      </c>
      <c r="W129" s="183">
        <f t="shared" si="40"/>
        <v>35184.580610252895</v>
      </c>
      <c r="X129" s="183">
        <f t="shared" si="40"/>
        <v>33984.670998370828</v>
      </c>
      <c r="Y129" s="183">
        <f t="shared" si="40"/>
        <v>32649.518901217205</v>
      </c>
      <c r="Z129" s="183">
        <f t="shared" si="40"/>
        <v>31360.464795187338</v>
      </c>
      <c r="AA129" s="183">
        <f t="shared" si="40"/>
        <v>30123.613089746214</v>
      </c>
      <c r="AB129" s="183">
        <f t="shared" si="40"/>
        <v>28941.712412842855</v>
      </c>
      <c r="AC129" s="183">
        <f t="shared" si="40"/>
        <v>27817.364314370534</v>
      </c>
      <c r="AD129" s="183">
        <f t="shared" si="40"/>
        <v>26810.399279321657</v>
      </c>
      <c r="AE129" s="183">
        <f t="shared" si="40"/>
        <v>25873.853210677949</v>
      </c>
      <c r="AF129" s="183">
        <f t="shared" si="40"/>
        <v>25010.089800421134</v>
      </c>
      <c r="AG129" s="183">
        <f t="shared" si="40"/>
        <v>24221.302875513258</v>
      </c>
      <c r="AH129" s="183">
        <f t="shared" si="40"/>
        <v>23509.518210635833</v>
      </c>
      <c r="AI129" s="40"/>
    </row>
    <row r="130" spans="1:35">
      <c r="A130" s="607"/>
      <c r="B130" s="1" t="s">
        <v>607</v>
      </c>
      <c r="C130" s="50" t="s">
        <v>1420</v>
      </c>
      <c r="D130" s="183">
        <f>D46+(D132-D48)</f>
        <v>641154.61098030512</v>
      </c>
      <c r="E130" s="183">
        <f t="shared" ref="E130:AH130" si="41">E46+(E132-E48)</f>
        <v>623898.9904742561</v>
      </c>
      <c r="F130" s="183">
        <f t="shared" si="41"/>
        <v>606877.15716183139</v>
      </c>
      <c r="G130" s="183">
        <f t="shared" si="41"/>
        <v>590090.93413844029</v>
      </c>
      <c r="H130" s="183">
        <f t="shared" si="41"/>
        <v>573542.25803201436</v>
      </c>
      <c r="I130" s="183">
        <f t="shared" si="41"/>
        <v>557233.17894257093</v>
      </c>
      <c r="J130" s="183">
        <f t="shared" si="41"/>
        <v>541165.86037390924</v>
      </c>
      <c r="K130" s="183">
        <f t="shared" si="41"/>
        <v>525342.57915752765</v>
      </c>
      <c r="L130" s="183">
        <f t="shared" si="41"/>
        <v>509765.72536884097</v>
      </c>
      <c r="M130" s="183">
        <f t="shared" si="41"/>
        <v>494437.80223577935</v>
      </c>
      <c r="N130" s="183">
        <f t="shared" si="41"/>
        <v>479361.42603985174</v>
      </c>
      <c r="O130" s="183">
        <f t="shared" si="41"/>
        <v>466489.3929517729</v>
      </c>
      <c r="P130" s="183">
        <f t="shared" si="41"/>
        <v>453827.42338369798</v>
      </c>
      <c r="Q130" s="183">
        <f t="shared" si="41"/>
        <v>441504.03766260738</v>
      </c>
      <c r="R130" s="183">
        <f t="shared" si="41"/>
        <v>429462.7288598757</v>
      </c>
      <c r="S130" s="183">
        <f t="shared" si="41"/>
        <v>417703.78345438722</v>
      </c>
      <c r="T130" s="183">
        <f t="shared" si="41"/>
        <v>406227.51650749834</v>
      </c>
      <c r="U130" s="183">
        <f t="shared" si="41"/>
        <v>395034.27157247264</v>
      </c>
      <c r="V130" s="183">
        <f t="shared" si="41"/>
        <v>384124.42060333618</v>
      </c>
      <c r="W130" s="183">
        <f t="shared" si="41"/>
        <v>373498.36386315653</v>
      </c>
      <c r="X130" s="183">
        <f t="shared" si="41"/>
        <v>363156.52983174339</v>
      </c>
      <c r="Y130" s="183">
        <f t="shared" si="41"/>
        <v>351412.22960129351</v>
      </c>
      <c r="Z130" s="183">
        <f t="shared" si="41"/>
        <v>339977.73417350516</v>
      </c>
      <c r="AA130" s="183">
        <f t="shared" si="41"/>
        <v>328864.11460212024</v>
      </c>
      <c r="AB130" s="183">
        <f t="shared" si="41"/>
        <v>318069.00037185563</v>
      </c>
      <c r="AC130" s="183">
        <f t="shared" si="41"/>
        <v>307591.92362778116</v>
      </c>
      <c r="AD130" s="183">
        <f t="shared" si="41"/>
        <v>297432.43720009032</v>
      </c>
      <c r="AE130" s="183">
        <f t="shared" si="41"/>
        <v>287590.11474025203</v>
      </c>
      <c r="AF130" s="183">
        <f t="shared" si="41"/>
        <v>278064.55085859844</v>
      </c>
      <c r="AG130" s="183">
        <f t="shared" si="41"/>
        <v>268855.36126308248</v>
      </c>
      <c r="AH130" s="183">
        <f t="shared" si="41"/>
        <v>259962.18289894675</v>
      </c>
      <c r="AI130" s="40"/>
    </row>
    <row r="131" spans="1:35">
      <c r="A131" s="608"/>
      <c r="B131" s="1" t="s">
        <v>27</v>
      </c>
      <c r="C131" s="50" t="s">
        <v>1420</v>
      </c>
      <c r="D131" s="183">
        <f>D47-('Ethylene Recycling LC'!C84+'Ethylene Recycling LC'!C111+'Ethylene Recycling LC'!C143+'Ethylene Recycling LC'!C161-('Ethylene Recycling LC'!$C$84+'Ethylene Recycling LC'!$C$111+'Ethylene Recycling LC'!$C$143+'Ethylene Recycling LC'!$C$161)+'Ethylene Recycling LC'!C87+'Ethylene Recycling LC'!C114+'Ethylene Recycling LC'!C146+'Ethylene Recycling LC'!C164-('Ethylene Recycling LC'!$C$87+'Ethylene Recycling LC'!$C$114+'Ethylene Recycling LC'!$C$146+'Ethylene Recycling LC'!$C$164))</f>
        <v>-52350.398161325254</v>
      </c>
      <c r="E131" s="183">
        <f>E47-('Ethylene Recycling LC'!D84+'Ethylene Recycling LC'!D111+'Ethylene Recycling LC'!D143+'Ethylene Recycling LC'!D161-('Ethylene Recycling LC'!$C$84+'Ethylene Recycling LC'!$C$111+'Ethylene Recycling LC'!$C$143+'Ethylene Recycling LC'!$C$161)+'Ethylene Recycling LC'!D87+'Ethylene Recycling LC'!D114+'Ethylene Recycling LC'!D146+'Ethylene Recycling LC'!D164-('Ethylene Recycling LC'!$C$87+'Ethylene Recycling LC'!$C$114+'Ethylene Recycling LC'!$C$146+'Ethylene Recycling LC'!$C$164))</f>
        <v>-52488.637641259091</v>
      </c>
      <c r="F131" s="183">
        <f>F47-('Ethylene Recycling LC'!E84+'Ethylene Recycling LC'!E111+'Ethylene Recycling LC'!E143+'Ethylene Recycling LC'!E161-('Ethylene Recycling LC'!$C$84+'Ethylene Recycling LC'!$C$111+'Ethylene Recycling LC'!$C$143+'Ethylene Recycling LC'!$C$161)+'Ethylene Recycling LC'!E87+'Ethylene Recycling LC'!E114+'Ethylene Recycling LC'!E146+'Ethylene Recycling LC'!E164-('Ethylene Recycling LC'!$C$87+'Ethylene Recycling LC'!$C$114+'Ethylene Recycling LC'!$C$146+'Ethylene Recycling LC'!$C$164))</f>
        <v>-52736.670836987738</v>
      </c>
      <c r="G131" s="183">
        <f>G47-('Ethylene Recycling LC'!F84+'Ethylene Recycling LC'!F111+'Ethylene Recycling LC'!F143+'Ethylene Recycling LC'!F161-('Ethylene Recycling LC'!$C$84+'Ethylene Recycling LC'!$C$111+'Ethylene Recycling LC'!$C$143+'Ethylene Recycling LC'!$C$161)+'Ethylene Recycling LC'!F87+'Ethylene Recycling LC'!F114+'Ethylene Recycling LC'!F146+'Ethylene Recycling LC'!F164-('Ethylene Recycling LC'!$C$87+'Ethylene Recycling LC'!$C$114+'Ethylene Recycling LC'!$C$146+'Ethylene Recycling LC'!$C$164))</f>
        <v>-53089.707261572024</v>
      </c>
      <c r="H131" s="183">
        <f>H47-('Ethylene Recycling LC'!G84+'Ethylene Recycling LC'!G111+'Ethylene Recycling LC'!G143+'Ethylene Recycling LC'!G161-('Ethylene Recycling LC'!$C$84+'Ethylene Recycling LC'!$C$111+'Ethylene Recycling LC'!$C$143+'Ethylene Recycling LC'!$C$161)+'Ethylene Recycling LC'!G87+'Ethylene Recycling LC'!G114+'Ethylene Recycling LC'!G146+'Ethylene Recycling LC'!G164-('Ethylene Recycling LC'!$C$87+'Ethylene Recycling LC'!$C$114+'Ethylene Recycling LC'!$C$146+'Ethylene Recycling LC'!$C$164))</f>
        <v>-53542.868657688501</v>
      </c>
      <c r="I131" s="183">
        <f>I47-('Ethylene Recycling LC'!H84+'Ethylene Recycling LC'!H111+'Ethylene Recycling LC'!H143+'Ethylene Recycling LC'!H161-('Ethylene Recycling LC'!$C$84+'Ethylene Recycling LC'!$C$111+'Ethylene Recycling LC'!$C$143+'Ethylene Recycling LC'!$C$161)+'Ethylene Recycling LC'!H87+'Ethylene Recycling LC'!H114+'Ethylene Recycling LC'!H146+'Ethylene Recycling LC'!H164-('Ethylene Recycling LC'!$C$87+'Ethylene Recycling LC'!$C$114+'Ethylene Recycling LC'!$C$146+'Ethylene Recycling LC'!$C$164))</f>
        <v>-54091.188863166368</v>
      </c>
      <c r="J131" s="183">
        <f>J47-('Ethylene Recycling LC'!I84+'Ethylene Recycling LC'!I111+'Ethylene Recycling LC'!I143+'Ethylene Recycling LC'!I161-('Ethylene Recycling LC'!$C$84+'Ethylene Recycling LC'!$C$111+'Ethylene Recycling LC'!$C$143+'Ethylene Recycling LC'!$C$161)+'Ethylene Recycling LC'!I87+'Ethylene Recycling LC'!I114+'Ethylene Recycling LC'!I146+'Ethylene Recycling LC'!I164-('Ethylene Recycling LC'!$C$87+'Ethylene Recycling LC'!$C$114+'Ethylene Recycling LC'!$C$146+'Ethylene Recycling LC'!$C$164))</f>
        <v>-54729.613089276259</v>
      </c>
      <c r="K131" s="183">
        <f>K47-('Ethylene Recycling LC'!J84+'Ethylene Recycling LC'!J111+'Ethylene Recycling LC'!J143+'Ethylene Recycling LC'!J161-('Ethylene Recycling LC'!$C$84+'Ethylene Recycling LC'!$C$111+'Ethylene Recycling LC'!$C$143+'Ethylene Recycling LC'!$C$161)+'Ethylene Recycling LC'!J87+'Ethylene Recycling LC'!J114+'Ethylene Recycling LC'!J146+'Ethylene Recycling LC'!J164-('Ethylene Recycling LC'!$C$87+'Ethylene Recycling LC'!$C$114+'Ethylene Recycling LC'!$C$146+'Ethylene Recycling LC'!$C$164))</f>
        <v>-55452.999181726234</v>
      </c>
      <c r="L131" s="183">
        <f>L47-('Ethylene Recycling LC'!K84+'Ethylene Recycling LC'!K111+'Ethylene Recycling LC'!K143+'Ethylene Recycling LC'!K161-('Ethylene Recycling LC'!$C$84+'Ethylene Recycling LC'!$C$111+'Ethylene Recycling LC'!$C$143+'Ethylene Recycling LC'!$C$161)+'Ethylene Recycling LC'!K87+'Ethylene Recycling LC'!K114+'Ethylene Recycling LC'!K146+'Ethylene Recycling LC'!K164-('Ethylene Recycling LC'!$C$87+'Ethylene Recycling LC'!$C$114+'Ethylene Recycling LC'!$C$146+'Ethylene Recycling LC'!$C$164))</f>
        <v>-56256.116466057494</v>
      </c>
      <c r="M131" s="183">
        <f>M47-('Ethylene Recycling LC'!L84+'Ethylene Recycling LC'!L111+'Ethylene Recycling LC'!L143+'Ethylene Recycling LC'!L161-('Ethylene Recycling LC'!$C$84+'Ethylene Recycling LC'!$C$111+'Ethylene Recycling LC'!$C$143+'Ethylene Recycling LC'!$C$161)+'Ethylene Recycling LC'!L87+'Ethylene Recycling LC'!L114+'Ethylene Recycling LC'!L146+'Ethylene Recycling LC'!L164-('Ethylene Recycling LC'!$C$87+'Ethylene Recycling LC'!$C$114+'Ethylene Recycling LC'!$C$146+'Ethylene Recycling LC'!$C$164))</f>
        <v>-57133.645920571871</v>
      </c>
      <c r="N131" s="183">
        <f>N47-('Ethylene Recycling LC'!M84+'Ethylene Recycling LC'!M111+'Ethylene Recycling LC'!M143+'Ethylene Recycling LC'!M161-('Ethylene Recycling LC'!$C$84+'Ethylene Recycling LC'!$C$111+'Ethylene Recycling LC'!$C$143+'Ethylene Recycling LC'!$C$161)+'Ethylene Recycling LC'!M87+'Ethylene Recycling LC'!M114+'Ethylene Recycling LC'!M146+'Ethylene Recycling LC'!M164-('Ethylene Recycling LC'!$C$87+'Ethylene Recycling LC'!$C$114+'Ethylene Recycling LC'!$C$146+'Ethylene Recycling LC'!$C$164))</f>
        <v>-58080.18008690112</v>
      </c>
      <c r="O131" s="183">
        <f>O47-('Ethylene Recycling LC'!N84+'Ethylene Recycling LC'!N111+'Ethylene Recycling LC'!N143+'Ethylene Recycling LC'!N161-('Ethylene Recycling LC'!$C$84+'Ethylene Recycling LC'!$C$111+'Ethylene Recycling LC'!$C$143+'Ethylene Recycling LC'!$C$161)+'Ethylene Recycling LC'!N87+'Ethylene Recycling LC'!N114+'Ethylene Recycling LC'!N146+'Ethylene Recycling LC'!N164-('Ethylene Recycling LC'!$C$87+'Ethylene Recycling LC'!$C$114+'Ethylene Recycling LC'!$C$146+'Ethylene Recycling LC'!$C$164))</f>
        <v>-58502.596239298888</v>
      </c>
      <c r="P131" s="183">
        <f>P47-('Ethylene Recycling LC'!O84+'Ethylene Recycling LC'!O111+'Ethylene Recycling LC'!O143+'Ethylene Recycling LC'!O161-('Ethylene Recycling LC'!$C$84+'Ethylene Recycling LC'!$C$111+'Ethylene Recycling LC'!$C$143+'Ethylene Recycling LC'!$C$161)+'Ethylene Recycling LC'!O87+'Ethylene Recycling LC'!O114+'Ethylene Recycling LC'!O146+'Ethylene Recycling LC'!O164-('Ethylene Recycling LC'!$C$87+'Ethylene Recycling LC'!$C$114+'Ethylene Recycling LC'!$C$146+'Ethylene Recycling LC'!$C$164))</f>
        <v>-58964.36465680843</v>
      </c>
      <c r="Q131" s="183">
        <f>Q47-('Ethylene Recycling LC'!P84+'Ethylene Recycling LC'!P111+'Ethylene Recycling LC'!P143+'Ethylene Recycling LC'!P161-('Ethylene Recycling LC'!$C$84+'Ethylene Recycling LC'!$C$111+'Ethylene Recycling LC'!$C$143+'Ethylene Recycling LC'!$C$161)+'Ethylene Recycling LC'!P87+'Ethylene Recycling LC'!P114+'Ethylene Recycling LC'!P146+'Ethylene Recycling LC'!P164-('Ethylene Recycling LC'!$C$87+'Ethylene Recycling LC'!$C$114+'Ethylene Recycling LC'!$C$146+'Ethylene Recycling LC'!$C$164))</f>
        <v>-59331.390858741943</v>
      </c>
      <c r="R131" s="183">
        <f>R47-('Ethylene Recycling LC'!Q84+'Ethylene Recycling LC'!Q111+'Ethylene Recycling LC'!Q143+'Ethylene Recycling LC'!Q161-('Ethylene Recycling LC'!$C$84+'Ethylene Recycling LC'!$C$111+'Ethylene Recycling LC'!$C$143+'Ethylene Recycling LC'!$C$161)+'Ethylene Recycling LC'!Q87+'Ethylene Recycling LC'!Q114+'Ethylene Recycling LC'!Q146+'Ethylene Recycling LC'!Q164-('Ethylene Recycling LC'!$C$87+'Ethylene Recycling LC'!$C$114+'Ethylene Recycling LC'!$C$146+'Ethylene Recycling LC'!$C$164))</f>
        <v>-59661.375159186573</v>
      </c>
      <c r="S131" s="183">
        <f>S47-('Ethylene Recycling LC'!R84+'Ethylene Recycling LC'!R111+'Ethylene Recycling LC'!R143+'Ethylene Recycling LC'!R161-('Ethylene Recycling LC'!$C$84+'Ethylene Recycling LC'!$C$111+'Ethylene Recycling LC'!$C$143+'Ethylene Recycling LC'!$C$161)+'Ethylene Recycling LC'!R87+'Ethylene Recycling LC'!R114+'Ethylene Recycling LC'!R146+'Ethylene Recycling LC'!R164-('Ethylene Recycling LC'!$C$87+'Ethylene Recycling LC'!$C$114+'Ethylene Recycling LC'!$C$146+'Ethylene Recycling LC'!$C$164))</f>
        <v>-59951.907159273578</v>
      </c>
      <c r="T131" s="183">
        <f>T47-('Ethylene Recycling LC'!S84+'Ethylene Recycling LC'!S111+'Ethylene Recycling LC'!S143+'Ethylene Recycling LC'!S161-('Ethylene Recycling LC'!$C$84+'Ethylene Recycling LC'!$C$111+'Ethylene Recycling LC'!$C$143+'Ethylene Recycling LC'!$C$161)+'Ethylene Recycling LC'!S87+'Ethylene Recycling LC'!S114+'Ethylene Recycling LC'!S146+'Ethylene Recycling LC'!S164-('Ethylene Recycling LC'!$C$87+'Ethylene Recycling LC'!$C$114+'Ethylene Recycling LC'!$C$146+'Ethylene Recycling LC'!$C$164))</f>
        <v>-60200.569035965585</v>
      </c>
      <c r="U131" s="183">
        <f>U47-('Ethylene Recycling LC'!T84+'Ethylene Recycling LC'!T111+'Ethylene Recycling LC'!T143+'Ethylene Recycling LC'!T161-('Ethylene Recycling LC'!$C$84+'Ethylene Recycling LC'!$C$111+'Ethylene Recycling LC'!$C$143+'Ethylene Recycling LC'!$C$161)+'Ethylene Recycling LC'!T87+'Ethylene Recycling LC'!T114+'Ethylene Recycling LC'!T146+'Ethylene Recycling LC'!T164-('Ethylene Recycling LC'!$C$87+'Ethylene Recycling LC'!$C$114+'Ethylene Recycling LC'!$C$146+'Ethylene Recycling LC'!$C$164))</f>
        <v>-60404.932690984264</v>
      </c>
      <c r="V131" s="183">
        <f>V47-('Ethylene Recycling LC'!U84+'Ethylene Recycling LC'!U111+'Ethylene Recycling LC'!U143+'Ethylene Recycling LC'!U161-('Ethylene Recycling LC'!$C$84+'Ethylene Recycling LC'!$C$111+'Ethylene Recycling LC'!$C$143+'Ethylene Recycling LC'!$C$161)+'Ethylene Recycling LC'!U87+'Ethylene Recycling LC'!U114+'Ethylene Recycling LC'!U146+'Ethylene Recycling LC'!U164-('Ethylene Recycling LC'!$C$87+'Ethylene Recycling LC'!$C$114+'Ethylene Recycling LC'!$C$146+'Ethylene Recycling LC'!$C$164))</f>
        <v>-60562.562163086528</v>
      </c>
      <c r="W131" s="183">
        <f>W47-('Ethylene Recycling LC'!V84+'Ethylene Recycling LC'!V111+'Ethylene Recycling LC'!V143+'Ethylene Recycling LC'!V161-('Ethylene Recycling LC'!$C$84+'Ethylene Recycling LC'!$C$111+'Ethylene Recycling LC'!$C$143+'Ethylene Recycling LC'!$C$161)+'Ethylene Recycling LC'!V87+'Ethylene Recycling LC'!V114+'Ethylene Recycling LC'!V146+'Ethylene Recycling LC'!V164-('Ethylene Recycling LC'!$C$87+'Ethylene Recycling LC'!$C$114+'Ethylene Recycling LC'!$C$146+'Ethylene Recycling LC'!$C$164))</f>
        <v>-60671.012715480749</v>
      </c>
      <c r="X131" s="183">
        <f>X47-('Ethylene Recycling LC'!W84+'Ethylene Recycling LC'!W111+'Ethylene Recycling LC'!W143+'Ethylene Recycling LC'!W161-('Ethylene Recycling LC'!$C$84+'Ethylene Recycling LC'!$C$111+'Ethylene Recycling LC'!$C$143+'Ethylene Recycling LC'!$C$161)+'Ethylene Recycling LC'!W87+'Ethylene Recycling LC'!W114+'Ethylene Recycling LC'!W146+'Ethylene Recycling LC'!W164-('Ethylene Recycling LC'!$C$87+'Ethylene Recycling LC'!$C$114+'Ethylene Recycling LC'!$C$146+'Ethylene Recycling LC'!$C$164))</f>
        <v>-60727.830713578755</v>
      </c>
      <c r="Y131" s="183">
        <f>Y47-('Ethylene Recycling LC'!X84+'Ethylene Recycling LC'!X111+'Ethylene Recycling LC'!X143+'Ethylene Recycling LC'!X161-('Ethylene Recycling LC'!$C$84+'Ethylene Recycling LC'!$C$111+'Ethylene Recycling LC'!$C$143+'Ethylene Recycling LC'!$C$161)+'Ethylene Recycling LC'!X87+'Ethylene Recycling LC'!X114+'Ethylene Recycling LC'!X146+'Ethylene Recycling LC'!X164-('Ethylene Recycling LC'!$C$87+'Ethylene Recycling LC'!$C$114+'Ethylene Recycling LC'!$C$146+'Ethylene Recycling LC'!$C$164))</f>
        <v>-61080.443429277759</v>
      </c>
      <c r="Z131" s="183">
        <f>Z47-('Ethylene Recycling LC'!Y84+'Ethylene Recycling LC'!Y111+'Ethylene Recycling LC'!Y143+'Ethylene Recycling LC'!Y161-('Ethylene Recycling LC'!$C$84+'Ethylene Recycling LC'!$C$111+'Ethylene Recycling LC'!$C$143+'Ethylene Recycling LC'!$C$161)+'Ethylene Recycling LC'!Y87+'Ethylene Recycling LC'!Y114+'Ethylene Recycling LC'!Y146+'Ethylene Recycling LC'!Y164-('Ethylene Recycling LC'!$C$87+'Ethylene Recycling LC'!$C$114+'Ethylene Recycling LC'!$C$146+'Ethylene Recycling LC'!$C$164))</f>
        <v>-61422.948405135496</v>
      </c>
      <c r="AA131" s="183">
        <f>AA47-('Ethylene Recycling LC'!Z84+'Ethylene Recycling LC'!Z111+'Ethylene Recycling LC'!Z143+'Ethylene Recycling LC'!Z161-('Ethylene Recycling LC'!$C$84+'Ethylene Recycling LC'!$C$111+'Ethylene Recycling LC'!$C$143+'Ethylene Recycling LC'!$C$161)+'Ethylene Recycling LC'!Z87+'Ethylene Recycling LC'!Z114+'Ethylene Recycling LC'!Z146+'Ethylene Recycling LC'!Z164-('Ethylene Recycling LC'!$C$87+'Ethylene Recycling LC'!$C$114+'Ethylene Recycling LC'!$C$146+'Ethylene Recycling LC'!$C$164))</f>
        <v>-61734.671382231121</v>
      </c>
      <c r="AB131" s="183">
        <f>AB47-('Ethylene Recycling LC'!AA84+'Ethylene Recycling LC'!AA111+'Ethylene Recycling LC'!AA143+'Ethylene Recycling LC'!AA161-('Ethylene Recycling LC'!$C$84+'Ethylene Recycling LC'!$C$111+'Ethylene Recycling LC'!$C$143+'Ethylene Recycling LC'!$C$161)+'Ethylene Recycling LC'!AA87+'Ethylene Recycling LC'!AA114+'Ethylene Recycling LC'!AA146+'Ethylene Recycling LC'!AA164-('Ethylene Recycling LC'!$C$87+'Ethylene Recycling LC'!$C$114+'Ethylene Recycling LC'!$C$146+'Ethylene Recycling LC'!$C$164))</f>
        <v>-62022.904734202326</v>
      </c>
      <c r="AC131" s="183">
        <f>AC47-('Ethylene Recycling LC'!AB84+'Ethylene Recycling LC'!AB111+'Ethylene Recycling LC'!AB143+'Ethylene Recycling LC'!AB161-('Ethylene Recycling LC'!$C$84+'Ethylene Recycling LC'!$C$111+'Ethylene Recycling LC'!$C$143+'Ethylene Recycling LC'!$C$161)+'Ethylene Recycling LC'!AB87+'Ethylene Recycling LC'!AB114+'Ethylene Recycling LC'!AB146+'Ethylene Recycling LC'!AB164-('Ethylene Recycling LC'!$C$87+'Ethylene Recycling LC'!$C$114+'Ethylene Recycling LC'!$C$146+'Ethylene Recycling LC'!$C$164))</f>
        <v>-62285.752114899442</v>
      </c>
      <c r="AD131" s="183">
        <f>AD47-('Ethylene Recycling LC'!AC84+'Ethylene Recycling LC'!AC111+'Ethylene Recycling LC'!AC143+'Ethylene Recycling LC'!AC161-('Ethylene Recycling LC'!$C$84+'Ethylene Recycling LC'!$C$111+'Ethylene Recycling LC'!$C$143+'Ethylene Recycling LC'!$C$161)+'Ethylene Recycling LC'!AC87+'Ethylene Recycling LC'!AC114+'Ethylene Recycling LC'!AC146+'Ethylene Recycling LC'!AC164-('Ethylene Recycling LC'!$C$87+'Ethylene Recycling LC'!$C$114+'Ethylene Recycling LC'!$C$146+'Ethylene Recycling LC'!$C$164))</f>
        <v>-62521.321670975682</v>
      </c>
      <c r="AE131" s="183">
        <f>AE47-('Ethylene Recycling LC'!AD84+'Ethylene Recycling LC'!AD111+'Ethylene Recycling LC'!AD143+'Ethylene Recycling LC'!AD161-('Ethylene Recycling LC'!$C$84+'Ethylene Recycling LC'!$C$111+'Ethylene Recycling LC'!$C$143+'Ethylene Recycling LC'!$C$161)+'Ethylene Recycling LC'!AD87+'Ethylene Recycling LC'!AD114+'Ethylene Recycling LC'!AD146+'Ethylene Recycling LC'!AD164-('Ethylene Recycling LC'!$C$87+'Ethylene Recycling LC'!$C$114+'Ethylene Recycling LC'!$C$146+'Ethylene Recycling LC'!$C$164))</f>
        <v>-62727.728520289063</v>
      </c>
      <c r="AF131" s="183">
        <f>AF47-('Ethylene Recycling LC'!AE84+'Ethylene Recycling LC'!AE111+'Ethylene Recycling LC'!AE143+'Ethylene Recycling LC'!AE161-('Ethylene Recycling LC'!$C$84+'Ethylene Recycling LC'!$C$111+'Ethylene Recycling LC'!$C$143+'Ethylene Recycling LC'!$C$161)+'Ethylene Recycling LC'!AE87+'Ethylene Recycling LC'!AE114+'Ethylene Recycling LC'!AE146+'Ethylene Recycling LC'!AE164-('Ethylene Recycling LC'!$C$87+'Ethylene Recycling LC'!$C$114+'Ethylene Recycling LC'!$C$146+'Ethylene Recycling LC'!$C$164))</f>
        <v>-62903.090975609375</v>
      </c>
      <c r="AG131" s="183">
        <f>AG47-('Ethylene Recycling LC'!AF84+'Ethylene Recycling LC'!AF111+'Ethylene Recycling LC'!AF143+'Ethylene Recycling LC'!AF161-('Ethylene Recycling LC'!$C$84+'Ethylene Recycling LC'!$C$111+'Ethylene Recycling LC'!$C$143+'Ethylene Recycling LC'!$C$161)+'Ethylene Recycling LC'!AF87+'Ethylene Recycling LC'!AF114+'Ethylene Recycling LC'!AF146+'Ethylene Recycling LC'!AF164-('Ethylene Recycling LC'!$C$87+'Ethylene Recycling LC'!$C$114+'Ethylene Recycling LC'!$C$146+'Ethylene Recycling LC'!$C$164))</f>
        <v>-63045.530784696173</v>
      </c>
      <c r="AH131" s="183">
        <f>AH47-('Ethylene Recycling LC'!AG84+'Ethylene Recycling LC'!AG111+'Ethylene Recycling LC'!AG143+'Ethylene Recycling LC'!AG161-('Ethylene Recycling LC'!$C$84+'Ethylene Recycling LC'!$C$111+'Ethylene Recycling LC'!$C$143+'Ethylene Recycling LC'!$C$161)+'Ethylene Recycling LC'!AG87+'Ethylene Recycling LC'!AG114+'Ethylene Recycling LC'!AG146+'Ethylene Recycling LC'!AG164-('Ethylene Recycling LC'!$C$87+'Ethylene Recycling LC'!$C$114+'Ethylene Recycling LC'!$C$146+'Ethylene Recycling LC'!$C$164))</f>
        <v>-63153.17240383949</v>
      </c>
      <c r="AI131" s="40"/>
    </row>
    <row r="132" spans="1:35" s="61" customFormat="1">
      <c r="A132" s="609" t="s">
        <v>609</v>
      </c>
      <c r="B132" s="54" t="s">
        <v>606</v>
      </c>
      <c r="C132" s="55" t="s">
        <v>1420</v>
      </c>
      <c r="D132" s="571">
        <f>D48-('Ethylene Recycling LC'!C85+'Ethylene Recycling LC'!C112+'Ethylene Recycling LC'!C144+'Ethylene Recycling LC'!C162-('Ethylene Recycling LC'!$C$85+'Ethylene Recycling LC'!$C$112+'Ethylene Recycling LC'!$C$144+'Ethylene Recycling LC'!$C$162))</f>
        <v>292255.79815384618</v>
      </c>
      <c r="E132" s="571">
        <f>E48-('Ethylene Recycling LC'!D85+'Ethylene Recycling LC'!D112+'Ethylene Recycling LC'!D144+'Ethylene Recycling LC'!D162-('Ethylene Recycling LC'!$C$85+'Ethylene Recycling LC'!$C$112+'Ethylene Recycling LC'!$C$144+'Ethylene Recycling LC'!$C$162))</f>
        <v>281054.19366835704</v>
      </c>
      <c r="F132" s="571">
        <f>F48-('Ethylene Recycling LC'!E85+'Ethylene Recycling LC'!E112+'Ethylene Recycling LC'!E144+'Ethylene Recycling LC'!E162-('Ethylene Recycling LC'!$C$85+'Ethylene Recycling LC'!$C$112+'Ethylene Recycling LC'!$C$144+'Ethylene Recycling LC'!$C$162))</f>
        <v>270018.94725339039</v>
      </c>
      <c r="G132" s="571">
        <f>G48-('Ethylene Recycling LC'!F85+'Ethylene Recycling LC'!F112+'Ethylene Recycling LC'!F144+'Ethylene Recycling LC'!F162-('Ethylene Recycling LC'!$C$85+'Ethylene Recycling LC'!$C$112+'Ethylene Recycling LC'!$C$144+'Ethylene Recycling LC'!$C$162))</f>
        <v>259152.52775895328</v>
      </c>
      <c r="H132" s="571">
        <f>H48-('Ethylene Recycling LC'!G85+'Ethylene Recycling LC'!G112+'Ethylene Recycling LC'!G144+'Ethylene Recycling LC'!G162-('Ethylene Recycling LC'!$C$85+'Ethylene Recycling LC'!$C$112+'Ethylene Recycling LC'!$C$144+'Ethylene Recycling LC'!$C$162))</f>
        <v>248457.51184220568</v>
      </c>
      <c r="I132" s="571">
        <f>I48-('Ethylene Recycling LC'!H85+'Ethylene Recycling LC'!H112+'Ethylene Recycling LC'!H144+'Ethylene Recycling LC'!H162-('Ethylene Recycling LC'!$C$85+'Ethylene Recycling LC'!$C$112+'Ethylene Recycling LC'!$C$144+'Ethylene Recycling LC'!$C$162))</f>
        <v>237936.58395545813</v>
      </c>
      <c r="J132" s="571">
        <f>J48-('Ethylene Recycling LC'!I85+'Ethylene Recycling LC'!I112+'Ethylene Recycling LC'!I144+'Ethylene Recycling LC'!I162-('Ethylene Recycling LC'!$C$85+'Ethylene Recycling LC'!$C$112+'Ethylene Recycling LC'!$C$144+'Ethylene Recycling LC'!$C$162))</f>
        <v>227592.5363259078</v>
      </c>
      <c r="K132" s="571">
        <f>K48-('Ethylene Recycling LC'!J85+'Ethylene Recycling LC'!J112+'Ethylene Recycling LC'!J144+'Ethylene Recycling LC'!J162-('Ethylene Recycling LC'!$C$85+'Ethylene Recycling LC'!$C$112+'Ethylene Recycling LC'!$C$144+'Ethylene Recycling LC'!$C$162))</f>
        <v>217428.26892719942</v>
      </c>
      <c r="L132" s="571">
        <f>L48-('Ethylene Recycling LC'!K85+'Ethylene Recycling LC'!K112+'Ethylene Recycling LC'!K144+'Ethylene Recycling LC'!K162-('Ethylene Recycling LC'!$C$85+'Ethylene Recycling LC'!$C$112+'Ethylene Recycling LC'!$C$144+'Ethylene Recycling LC'!$C$162))</f>
        <v>207446.78944289708</v>
      </c>
      <c r="M132" s="571">
        <f>M48-('Ethylene Recycling LC'!L85+'Ethylene Recycling LC'!L112+'Ethylene Recycling LC'!L144+'Ethylene Recycling LC'!L162-('Ethylene Recycling LC'!$C$85+'Ethylene Recycling LC'!$C$112+'Ethylene Recycling LC'!$C$144+'Ethylene Recycling LC'!$C$162))</f>
        <v>197651.21322194973</v>
      </c>
      <c r="N132" s="571">
        <f>N48-('Ethylene Recycling LC'!M85+'Ethylene Recycling LC'!M112+'Ethylene Recycling LC'!M144+'Ethylene Recycling LC'!M162-('Ethylene Recycling LC'!$C$85+'Ethylene Recycling LC'!$C$112+'Ethylene Recycling LC'!$C$144+'Ethylene Recycling LC'!$C$162))</f>
        <v>188044.76322623671</v>
      </c>
      <c r="O132" s="571">
        <f>O48-('Ethylene Recycling LC'!N85+'Ethylene Recycling LC'!N112+'Ethylene Recycling LC'!N144+'Ethylene Recycling LC'!N162-('Ethylene Recycling LC'!$C$85+'Ethylene Recycling LC'!$C$112+'Ethylene Recycling LC'!$C$144+'Ethylene Recycling LC'!$C$162))</f>
        <v>180580.83691229491</v>
      </c>
      <c r="P132" s="571">
        <f>P48-('Ethylene Recycling LC'!O85+'Ethylene Recycling LC'!O112+'Ethylene Recycling LC'!O144+'Ethylene Recycling LC'!O162-('Ethylene Recycling LC'!$C$85+'Ethylene Recycling LC'!$C$112+'Ethylene Recycling LC'!$C$144+'Ethylene Recycling LC'!$C$162))</f>
        <v>173265.75062927624</v>
      </c>
      <c r="Q132" s="571">
        <f>Q48-('Ethylene Recycling LC'!P85+'Ethylene Recycling LC'!P112+'Ethylene Recycling LC'!P144+'Ethylene Recycling LC'!P162-('Ethylene Recycling LC'!$C$85+'Ethylene Recycling LC'!$C$112+'Ethylene Recycling LC'!$C$144+'Ethylene Recycling LC'!$C$162))</f>
        <v>166228.61533767969</v>
      </c>
      <c r="R132" s="571">
        <f>R48-('Ethylene Recycling LC'!Q85+'Ethylene Recycling LC'!Q112+'Ethylene Recycling LC'!Q144+'Ethylene Recycling LC'!Q162-('Ethylene Recycling LC'!$C$85+'Ethylene Recycling LC'!$C$112+'Ethylene Recycling LC'!$C$144+'Ethylene Recycling LC'!$C$162))</f>
        <v>159413.5094838948</v>
      </c>
      <c r="S132" s="571">
        <f>S48-('Ethylene Recycling LC'!R85+'Ethylene Recycling LC'!R112+'Ethylene Recycling LC'!R144+'Ethylene Recycling LC'!R162-('Ethylene Recycling LC'!$C$85+'Ethylene Recycling LC'!$C$112+'Ethylene Recycling LC'!$C$144+'Ethylene Recycling LC'!$C$162))</f>
        <v>152821.29970792291</v>
      </c>
      <c r="T132" s="571">
        <f>T48-('Ethylene Recycling LC'!S85+'Ethylene Recycling LC'!S112+'Ethylene Recycling LC'!S144+'Ethylene Recycling LC'!S162-('Ethylene Recycling LC'!$C$85+'Ethylene Recycling LC'!$C$112+'Ethylene Recycling LC'!$C$144+'Ethylene Recycling LC'!$C$162))</f>
        <v>146452.87606257916</v>
      </c>
      <c r="U132" s="571">
        <f>U48-('Ethylene Recycling LC'!T85+'Ethylene Recycling LC'!T112+'Ethylene Recycling LC'!T144+'Ethylene Recycling LC'!T162-('Ethylene Recycling LC'!$C$85+'Ethylene Recycling LC'!$C$112+'Ethylene Recycling LC'!$C$144+'Ethylene Recycling LC'!$C$162))</f>
        <v>140309.15196680286</v>
      </c>
      <c r="V132" s="571">
        <f>V48-('Ethylene Recycling LC'!U85+'Ethylene Recycling LC'!U112+'Ethylene Recycling LC'!U144+'Ethylene Recycling LC'!U162-('Ethylene Recycling LC'!$C$85+'Ethylene Recycling LC'!$C$112+'Ethylene Recycling LC'!$C$144+'Ethylene Recycling LC'!$C$162))</f>
        <v>134391.06415802886</v>
      </c>
      <c r="W132" s="571">
        <f>W48-('Ethylene Recycling LC'!V85+'Ethylene Recycling LC'!V112+'Ethylene Recycling LC'!V144+'Ethylene Recycling LC'!V162-('Ethylene Recycling LC'!$C$85+'Ethylene Recycling LC'!$C$112+'Ethylene Recycling LC'!$C$144+'Ethylene Recycling LC'!$C$162))</f>
        <v>128699.57264362421</v>
      </c>
      <c r="X132" s="571">
        <f>X48-('Ethylene Recycling LC'!W85+'Ethylene Recycling LC'!W112+'Ethylene Recycling LC'!W144+'Ethylene Recycling LC'!W162-('Ethylene Recycling LC'!$C$85+'Ethylene Recycling LC'!$C$112+'Ethylene Recycling LC'!$C$144+'Ethylene Recycling LC'!$C$162))</f>
        <v>123235.66065139194</v>
      </c>
      <c r="Y132" s="571">
        <f>Y48-('Ethylene Recycling LC'!X85+'Ethylene Recycling LC'!X112+'Ethylene Recycling LC'!X144+'Ethylene Recycling LC'!X162-('Ethylene Recycling LC'!$C$85+'Ethylene Recycling LC'!$C$112+'Ethylene Recycling LC'!$C$144+'Ethylene Recycling LC'!$C$162))</f>
        <v>116408.64498242906</v>
      </c>
      <c r="Z132" s="571">
        <f>Z48-('Ethylene Recycling LC'!Y85+'Ethylene Recycling LC'!Y112+'Ethylene Recycling LC'!Y144+'Ethylene Recycling LC'!Y162-('Ethylene Recycling LC'!$C$85+'Ethylene Recycling LC'!$C$112+'Ethylene Recycling LC'!$C$144+'Ethylene Recycling LC'!$C$162))</f>
        <v>109834.55532061945</v>
      </c>
      <c r="AA132" s="571">
        <f>AA48-('Ethylene Recycling LC'!Z85+'Ethylene Recycling LC'!Z112+'Ethylene Recycling LC'!Z144+'Ethylene Recycling LC'!Z162-('Ethylene Recycling LC'!$C$85+'Ethylene Recycling LC'!$C$112+'Ethylene Recycling LC'!$C$144+'Ethylene Recycling LC'!$C$162))</f>
        <v>103525.0166363623</v>
      </c>
      <c r="AB132" s="571">
        <f>AB48-('Ethylene Recycling LC'!AA85+'Ethylene Recycling LC'!AA112+'Ethylene Recycling LC'!AA144+'Ethylene Recycling LC'!AA162-('Ethylene Recycling LC'!$C$85+'Ethylene Recycling LC'!$C$112+'Ethylene Recycling LC'!$C$144+'Ethylene Recycling LC'!$C$162))</f>
        <v>97478.20737326685</v>
      </c>
      <c r="AC132" s="571">
        <f>AC48-('Ethylene Recycling LC'!AB85+'Ethylene Recycling LC'!AB112+'Ethylene Recycling LC'!AB144+'Ethylene Recycling LC'!AB162-('Ethylene Recycling LC'!$C$85+'Ethylene Recycling LC'!$C$112+'Ethylene Recycling LC'!$C$144+'Ethylene Recycling LC'!$C$162))</f>
        <v>91694.203719728495</v>
      </c>
      <c r="AD132" s="571">
        <f>AD48-('Ethylene Recycling LC'!AC85+'Ethylene Recycling LC'!AC112+'Ethylene Recycling LC'!AC144+'Ethylene Recycling LC'!AC162-('Ethylene Recycling LC'!$C$85+'Ethylene Recycling LC'!$C$112+'Ethylene Recycling LC'!$C$144+'Ethylene Recycling LC'!$C$162))</f>
        <v>86173.097675548415</v>
      </c>
      <c r="AE132" s="571">
        <f>AE48-('Ethylene Recycling LC'!AD85+'Ethylene Recycling LC'!AD112+'Ethylene Recycling LC'!AD144+'Ethylene Recycling LC'!AD162-('Ethylene Recycling LC'!$C$85+'Ethylene Recycling LC'!$C$112+'Ethylene Recycling LC'!$C$144+'Ethylene Recycling LC'!$C$162))</f>
        <v>80914.997229591288</v>
      </c>
      <c r="AF132" s="571">
        <f>AF48-('Ethylene Recycling LC'!AE85+'Ethylene Recycling LC'!AE112+'Ethylene Recycling LC'!AE144+'Ethylene Recycling LC'!AE162-('Ethylene Recycling LC'!$C$85+'Ethylene Recycling LC'!$C$112+'Ethylene Recycling LC'!$C$144+'Ethylene Recycling LC'!$C$162))</f>
        <v>75920.02653853652</v>
      </c>
      <c r="AG132" s="571">
        <f>AG48-('Ethylene Recycling LC'!AF85+'Ethylene Recycling LC'!AF112+'Ethylene Recycling LC'!AF144+'Ethylene Recycling LC'!AF162-('Ethylene Recycling LC'!$C$85+'Ethylene Recycling LC'!$C$112+'Ethylene Recycling LC'!$C$144+'Ethylene Recycling LC'!$C$162))</f>
        <v>71188.326106460183</v>
      </c>
      <c r="AH132" s="571">
        <f>AH48-('Ethylene Recycling LC'!AG85+'Ethylene Recycling LC'!AG112+'Ethylene Recycling LC'!AG144+'Ethylene Recycling LC'!AG162-('Ethylene Recycling LC'!$C$85+'Ethylene Recycling LC'!$C$112+'Ethylene Recycling LC'!$C$144+'Ethylene Recycling LC'!$C$162))</f>
        <v>66720.052964991875</v>
      </c>
      <c r="AI132" s="56"/>
    </row>
    <row r="133" spans="1:35" s="62" customFormat="1">
      <c r="A133" s="610"/>
      <c r="B133" s="58" t="s">
        <v>605</v>
      </c>
      <c r="C133" s="233" t="s">
        <v>1420</v>
      </c>
      <c r="D133" s="528">
        <f>D49-('Ethylene Recycling LC'!C86+'Ethylene Recycling LC'!C113+'Ethylene Recycling LC'!C145+'Ethylene Recycling LC'!C163-('Ethylene Recycling LC'!$C$86+'Ethylene Recycling LC'!$C$113+'Ethylene Recycling LC'!$C$145+'Ethylene Recycling LC'!$C$163))</f>
        <v>21707.02197834033</v>
      </c>
      <c r="E133" s="528">
        <f>E49-('Ethylene Recycling LC'!D86+'Ethylene Recycling LC'!D113+'Ethylene Recycling LC'!D145+'Ethylene Recycling LC'!D163-('Ethylene Recycling LC'!$C$86+'Ethylene Recycling LC'!$C$113+'Ethylene Recycling LC'!$C$145+'Ethylene Recycling LC'!$C$163))</f>
        <v>20983.442782164875</v>
      </c>
      <c r="F133" s="528">
        <f>F49-('Ethylene Recycling LC'!E86+'Ethylene Recycling LC'!E113+'Ethylene Recycling LC'!E145+'Ethylene Recycling LC'!E163-('Ethylene Recycling LC'!$C$86+'Ethylene Recycling LC'!$C$113+'Ethylene Recycling LC'!$C$145+'Ethylene Recycling LC'!$C$163))</f>
        <v>20185.433683685544</v>
      </c>
      <c r="G133" s="528">
        <f>G49-('Ethylene Recycling LC'!F86+'Ethylene Recycling LC'!F113+'Ethylene Recycling LC'!F145+'Ethylene Recycling LC'!F163-('Ethylene Recycling LC'!$C$86+'Ethylene Recycling LC'!$C$113+'Ethylene Recycling LC'!$C$145+'Ethylene Recycling LC'!$C$163))</f>
        <v>19316.21311993762</v>
      </c>
      <c r="H133" s="528">
        <f>H49-('Ethylene Recycling LC'!G86+'Ethylene Recycling LC'!G113+'Ethylene Recycling LC'!G145+'Ethylene Recycling LC'!G163-('Ethylene Recycling LC'!$C$86+'Ethylene Recycling LC'!$C$113+'Ethylene Recycling LC'!$C$145+'Ethylene Recycling LC'!$C$163))</f>
        <v>18379.018745481997</v>
      </c>
      <c r="I133" s="528">
        <f>I49-('Ethylene Recycling LC'!H86+'Ethylene Recycling LC'!H113+'Ethylene Recycling LC'!H145+'Ethylene Recycling LC'!H163-('Ethylene Recycling LC'!$C$86+'Ethylene Recycling LC'!$C$113+'Ethylene Recycling LC'!$C$145+'Ethylene Recycling LC'!$C$163))</f>
        <v>17377.107512019702</v>
      </c>
      <c r="J133" s="528">
        <f>J49-('Ethylene Recycling LC'!I86+'Ethylene Recycling LC'!I113+'Ethylene Recycling LC'!I145+'Ethylene Recycling LC'!I163-('Ethylene Recycling LC'!$C$86+'Ethylene Recycling LC'!$C$113+'Ethylene Recycling LC'!$C$145+'Ethylene Recycling LC'!$C$163))</f>
        <v>16344.289142550082</v>
      </c>
      <c r="K133" s="528">
        <f>K49-('Ethylene Recycling LC'!J86+'Ethylene Recycling LC'!J113+'Ethylene Recycling LC'!J145+'Ethylene Recycling LC'!J163-('Ethylene Recycling LC'!$C$86+'Ethylene Recycling LC'!$C$113+'Ethylene Recycling LC'!$C$145+'Ethylene Recycling LC'!$C$163))</f>
        <v>15274.426500810654</v>
      </c>
      <c r="L133" s="528">
        <f>L49-('Ethylene Recycling LC'!K86+'Ethylene Recycling LC'!K113+'Ethylene Recycling LC'!K145+'Ethylene Recycling LC'!K163-('Ethylene Recycling LC'!$C$86+'Ethylene Recycling LC'!$C$113+'Ethylene Recycling LC'!$C$145+'Ethylene Recycling LC'!$C$163))</f>
        <v>14175.057469109581</v>
      </c>
      <c r="M133" s="528">
        <f>M49-('Ethylene Recycling LC'!L86+'Ethylene Recycling LC'!L113+'Ethylene Recycling LC'!L145+'Ethylene Recycling LC'!L163-('Ethylene Recycling LC'!$C$86+'Ethylene Recycling LC'!$C$113+'Ethylene Recycling LC'!$C$145+'Ethylene Recycling LC'!$C$163))</f>
        <v>13053.514377103649</v>
      </c>
      <c r="N133" s="528">
        <f>N49-('Ethylene Recycling LC'!M86+'Ethylene Recycling LC'!M113+'Ethylene Recycling LC'!M145+'Ethylene Recycling LC'!M163-('Ethylene Recycling LC'!$C$86+'Ethylene Recycling LC'!$C$113+'Ethylene Recycling LC'!$C$145+'Ethylene Recycling LC'!$C$163))</f>
        <v>11916.926343086156</v>
      </c>
      <c r="O133" s="528">
        <f>O49-('Ethylene Recycling LC'!N86+'Ethylene Recycling LC'!N113+'Ethylene Recycling LC'!N145+'Ethylene Recycling LC'!N163-('Ethylene Recycling LC'!$C$86+'Ethylene Recycling LC'!$C$113+'Ethylene Recycling LC'!$C$145+'Ethylene Recycling LC'!$C$163))</f>
        <v>11018.34284976565</v>
      </c>
      <c r="P133" s="528">
        <f>P49-('Ethylene Recycling LC'!O86+'Ethylene Recycling LC'!O113+'Ethylene Recycling LC'!O145+'Ethylene Recycling LC'!O163-('Ethylene Recycling LC'!$C$86+'Ethylene Recycling LC'!$C$113+'Ethylene Recycling LC'!$C$145+'Ethylene Recycling LC'!$C$163))</f>
        <v>10126.723387125543</v>
      </c>
      <c r="Q133" s="528">
        <f>Q49-('Ethylene Recycling LC'!P86+'Ethylene Recycling LC'!P113+'Ethylene Recycling LC'!P145+'Ethylene Recycling LC'!P163-('Ethylene Recycling LC'!$C$86+'Ethylene Recycling LC'!$C$113+'Ethylene Recycling LC'!$C$145+'Ethylene Recycling LC'!$C$163))</f>
        <v>9288.3383823500772</v>
      </c>
      <c r="R133" s="528">
        <f>R49-('Ethylene Recycling LC'!Q86+'Ethylene Recycling LC'!Q113+'Ethylene Recycling LC'!Q145+'Ethylene Recycling LC'!Q163-('Ethylene Recycling LC'!$C$86+'Ethylene Recycling LC'!$C$113+'Ethylene Recycling LC'!$C$145+'Ethylene Recycling LC'!$C$163))</f>
        <v>8488.0291610039312</v>
      </c>
      <c r="S133" s="528">
        <f>S49-('Ethylene Recycling LC'!R86+'Ethylene Recycling LC'!R113+'Ethylene Recycling LC'!R145+'Ethylene Recycling LC'!R163-('Ethylene Recycling LC'!$C$86+'Ethylene Recycling LC'!$C$113+'Ethylene Recycling LC'!$C$145+'Ethylene Recycling LC'!$C$163))</f>
        <v>7729.2290268204943</v>
      </c>
      <c r="T133" s="528">
        <f>T49-('Ethylene Recycling LC'!S86+'Ethylene Recycling LC'!S113+'Ethylene Recycling LC'!S145+'Ethylene Recycling LC'!S163-('Ethylene Recycling LC'!$C$86+'Ethylene Recycling LC'!$C$113+'Ethylene Recycling LC'!$C$145+'Ethylene Recycling LC'!$C$163))</f>
        <v>6965.459248145713</v>
      </c>
      <c r="U133" s="528">
        <f>U49-('Ethylene Recycling LC'!T86+'Ethylene Recycling LC'!T113+'Ethylene Recycling LC'!T145+'Ethylene Recycling LC'!T163-('Ethylene Recycling LC'!$C$86+'Ethylene Recycling LC'!$C$113+'Ethylene Recycling LC'!$C$145+'Ethylene Recycling LC'!$C$163))</f>
        <v>6239.7281956843526</v>
      </c>
      <c r="V133" s="528">
        <f>V49-('Ethylene Recycling LC'!U86+'Ethylene Recycling LC'!U113+'Ethylene Recycling LC'!U145+'Ethylene Recycling LC'!U163-('Ethylene Recycling LC'!$C$86+'Ethylene Recycling LC'!$C$113+'Ethylene Recycling LC'!$C$145+'Ethylene Recycling LC'!$C$163))</f>
        <v>5554.5861686038224</v>
      </c>
      <c r="W133" s="528">
        <f>W49-('Ethylene Recycling LC'!V86+'Ethylene Recycling LC'!V113+'Ethylene Recycling LC'!V145+'Ethylene Recycling LC'!V163-('Ethylene Recycling LC'!$C$86+'Ethylene Recycling LC'!$C$113+'Ethylene Recycling LC'!$C$145+'Ethylene Recycling LC'!$C$163))</f>
        <v>4912.4864095347057</v>
      </c>
      <c r="X133" s="528">
        <f>X49-('Ethylene Recycling LC'!W86+'Ethylene Recycling LC'!W113+'Ethylene Recycling LC'!W145+'Ethylene Recycling LC'!W163-('Ethylene Recycling LC'!$C$86+'Ethylene Recycling LC'!$C$113+'Ethylene Recycling LC'!$C$145+'Ethylene Recycling LC'!$C$163))</f>
        <v>4315.786130256809</v>
      </c>
      <c r="Y133" s="528">
        <f>Y49-('Ethylene Recycling LC'!X86+'Ethylene Recycling LC'!X113+'Ethylene Recycling LC'!X145+'Ethylene Recycling LC'!X163-('Ethylene Recycling LC'!$C$86+'Ethylene Recycling LC'!$C$113+'Ethylene Recycling LC'!$C$145+'Ethylene Recycling LC'!$C$163))</f>
        <v>3588.7109795435772</v>
      </c>
      <c r="Z133" s="528">
        <f>Z49-('Ethylene Recycling LC'!Y86+'Ethylene Recycling LC'!Y113+'Ethylene Recycling LC'!Y145+'Ethylene Recycling LC'!Y163-('Ethylene Recycling LC'!$C$86+'Ethylene Recycling LC'!$C$113+'Ethylene Recycling LC'!$C$145+'Ethylene Recycling LC'!$C$163))</f>
        <v>2900.7001240478767</v>
      </c>
      <c r="AA133" s="528">
        <f>AA49-('Ethylene Recycling LC'!Z86+'Ethylene Recycling LC'!Z113+'Ethylene Recycling LC'!Z145+'Ethylene Recycling LC'!Z163-('Ethylene Recycling LC'!$C$86+'Ethylene Recycling LC'!$C$113+'Ethylene Recycling LC'!$C$145+'Ethylene Recycling LC'!$C$163))</f>
        <v>2257.9264711923224</v>
      </c>
      <c r="AB133" s="528">
        <f>AB49-('Ethylene Recycling LC'!AA86+'Ethylene Recycling LC'!AA113+'Ethylene Recycling LC'!AA145+'Ethylene Recycling LC'!AA163-('Ethylene Recycling LC'!$C$86+'Ethylene Recycling LC'!$C$113+'Ethylene Recycling LC'!$C$145+'Ethylene Recycling LC'!$C$163))</f>
        <v>1663.2065338007815</v>
      </c>
      <c r="AC133" s="528">
        <f>AC49-('Ethylene Recycling LC'!AB86+'Ethylene Recycling LC'!AB113+'Ethylene Recycling LC'!AB145+'Ethylene Recycling LC'!AB163-('Ethylene Recycling LC'!$C$86+'Ethylene Recycling LC'!$C$113+'Ethylene Recycling LC'!$C$145+'Ethylene Recycling LC'!$C$163))</f>
        <v>1119.2091387768232</v>
      </c>
      <c r="AD133" s="528">
        <f>AD49-('Ethylene Recycling LC'!AC86+'Ethylene Recycling LC'!AC113+'Ethylene Recycling LC'!AC145+'Ethylene Recycling LC'!AC163-('Ethylene Recycling LC'!$C$86+'Ethylene Recycling LC'!$C$113+'Ethylene Recycling LC'!$C$145+'Ethylene Recycling LC'!$C$163))</f>
        <v>685.83144543372691</v>
      </c>
      <c r="AE133" s="528">
        <f>AE49-('Ethylene Recycling LC'!AD86+'Ethylene Recycling LC'!AD113+'Ethylene Recycling LC'!AD145+'Ethylene Recycling LC'!AD163-('Ethylene Recycling LC'!$C$86+'Ethylene Recycling LC'!$C$113+'Ethylene Recycling LC'!$C$145+'Ethylene Recycling LC'!$C$163))</f>
        <v>316.17543351733548</v>
      </c>
      <c r="AF133" s="528">
        <f>AF49-('Ethylene Recycling LC'!AE86+'Ethylene Recycling LC'!AE113+'Ethylene Recycling LC'!AE145+'Ethylene Recycling LC'!AE163-('Ethylene Recycling LC'!$C$86+'Ethylene Recycling LC'!$C$113+'Ethylene Recycling LC'!$C$145+'Ethylene Recycling LC'!$C$163))</f>
        <v>12.670279307001692</v>
      </c>
      <c r="AG133" s="528">
        <f>AG49-('Ethylene Recycling LC'!AF86+'Ethylene Recycling LC'!AF113+'Ethylene Recycling LC'!AF145+'Ethylene Recycling LC'!AF163-('Ethylene Recycling LC'!$C$86+'Ethylene Recycling LC'!$C$113+'Ethylene Recycling LC'!$C$145+'Ethylene Recycling LC'!$C$163))</f>
        <v>-222.42529335565996</v>
      </c>
      <c r="AH133" s="528">
        <f>AH49-('Ethylene Recycling LC'!AG86+'Ethylene Recycling LC'!AG113+'Ethylene Recycling LC'!AG145+'Ethylene Recycling LC'!AG163-('Ethylene Recycling LC'!$C$86+'Ethylene Recycling LC'!$C$113+'Ethylene Recycling LC'!$C$145+'Ethylene Recycling LC'!$C$163))</f>
        <v>-387.02119532080906</v>
      </c>
      <c r="AI133" s="234"/>
    </row>
    <row r="134" spans="1:35">
      <c r="A134" s="158" t="s">
        <v>308</v>
      </c>
      <c r="B134" s="213" t="s">
        <v>200</v>
      </c>
      <c r="C134" s="214" t="s">
        <v>1420</v>
      </c>
      <c r="D134" s="568">
        <f t="shared" ref="D134:AH134" si="42">D65+D74</f>
        <v>2145788.3365974198</v>
      </c>
      <c r="E134" s="568">
        <f t="shared" si="42"/>
        <v>2142983.0163824465</v>
      </c>
      <c r="F134" s="568">
        <f t="shared" si="42"/>
        <v>2118409.2698378391</v>
      </c>
      <c r="G134" s="568">
        <f t="shared" si="42"/>
        <v>2093885.5109115171</v>
      </c>
      <c r="H134" s="568">
        <f t="shared" si="42"/>
        <v>2069415.5176845114</v>
      </c>
      <c r="I134" s="568">
        <f t="shared" si="42"/>
        <v>2045003.3455354995</v>
      </c>
      <c r="J134" s="568">
        <f t="shared" si="42"/>
        <v>2017914.4038608156</v>
      </c>
      <c r="K134" s="568">
        <f t="shared" si="42"/>
        <v>1990940.0028007289</v>
      </c>
      <c r="L134" s="568">
        <f t="shared" si="42"/>
        <v>1964084.6076970657</v>
      </c>
      <c r="M134" s="568">
        <f t="shared" si="42"/>
        <v>1937353.0426185098</v>
      </c>
      <c r="N134" s="568">
        <f t="shared" si="42"/>
        <v>1910750.5124013962</v>
      </c>
      <c r="O134" s="568">
        <f t="shared" si="42"/>
        <v>1879289.4793070799</v>
      </c>
      <c r="P134" s="568">
        <f t="shared" si="42"/>
        <v>1848064.433367782</v>
      </c>
      <c r="Q134" s="568">
        <f t="shared" si="42"/>
        <v>1817080.675397228</v>
      </c>
      <c r="R134" s="568">
        <f t="shared" si="42"/>
        <v>1786344.0014875387</v>
      </c>
      <c r="S134" s="568">
        <f t="shared" si="42"/>
        <v>1755860.7323573264</v>
      </c>
      <c r="T134" s="568">
        <f t="shared" si="42"/>
        <v>1721344.8738681192</v>
      </c>
      <c r="U134" s="568">
        <f t="shared" si="42"/>
        <v>1687187.5494167421</v>
      </c>
      <c r="V134" s="568">
        <f t="shared" si="42"/>
        <v>1653395.5610133086</v>
      </c>
      <c r="W134" s="568">
        <f t="shared" si="42"/>
        <v>1619976.3866310653</v>
      </c>
      <c r="X134" s="568">
        <f t="shared" si="42"/>
        <v>1586938.2193156008</v>
      </c>
      <c r="Y134" s="568">
        <f t="shared" si="42"/>
        <v>1551188.2860138163</v>
      </c>
      <c r="Z134" s="568">
        <f t="shared" si="42"/>
        <v>1515912.7326015697</v>
      </c>
      <c r="AA134" s="568">
        <f t="shared" si="42"/>
        <v>1481121.1209620852</v>
      </c>
      <c r="AB134" s="568">
        <f t="shared" si="42"/>
        <v>1446823.9254937437</v>
      </c>
      <c r="AC134" s="568">
        <f t="shared" si="42"/>
        <v>1413032.5853534895</v>
      </c>
      <c r="AD134" s="568">
        <f t="shared" si="42"/>
        <v>1378293.4518181996</v>
      </c>
      <c r="AE134" s="568">
        <f t="shared" si="42"/>
        <v>1344121.6994991195</v>
      </c>
      <c r="AF134" s="568">
        <f t="shared" si="42"/>
        <v>1310531.4218583426</v>
      </c>
      <c r="AG134" s="568">
        <f t="shared" si="42"/>
        <v>1277537.9276391242</v>
      </c>
      <c r="AH134" s="568">
        <f t="shared" si="42"/>
        <v>1245157.8107475138</v>
      </c>
    </row>
    <row r="135" spans="1:35">
      <c r="A135" s="158"/>
      <c r="B135" s="160" t="s">
        <v>266</v>
      </c>
      <c r="C135" s="156" t="s">
        <v>1420</v>
      </c>
      <c r="D135" s="547">
        <f>'Ethylene Recycling LC'!C169-'Ethylene Recycling LC'!$C$169</f>
        <v>0</v>
      </c>
      <c r="E135" s="547">
        <f>'Ethylene Recycling LC'!D169-'Ethylene Recycling LC'!$C$169</f>
        <v>9047.1233987724409</v>
      </c>
      <c r="F135" s="547">
        <f>'Ethylene Recycling LC'!E169-'Ethylene Recycling LC'!$C$169</f>
        <v>18053.931875015056</v>
      </c>
      <c r="G135" s="547">
        <f>'Ethylene Recycling LC'!F169-'Ethylene Recycling LC'!$C$169</f>
        <v>27020.559335013459</v>
      </c>
      <c r="H135" s="547">
        <f>'Ethylene Recycling LC'!G169-'Ethylene Recycling LC'!$C$169</f>
        <v>35947.139290307096</v>
      </c>
      <c r="I135" s="547">
        <f>'Ethylene Recycling LC'!H169-'Ethylene Recycling LC'!$C$169</f>
        <v>44833.804858779666</v>
      </c>
      <c r="J135" s="547">
        <f>'Ethylene Recycling LC'!I169-'Ethylene Recycling LC'!$C$169</f>
        <v>52824.604359560093</v>
      </c>
      <c r="K135" s="547">
        <f>'Ethylene Recycling LC'!J169-'Ethylene Recycling LC'!$C$169</f>
        <v>60659.499036219466</v>
      </c>
      <c r="L135" s="547">
        <f>'Ethylene Recycling LC'!K169-'Ethylene Recycling LC'!$C$169</f>
        <v>68339.403276394994</v>
      </c>
      <c r="M135" s="547">
        <f>'Ethylene Recycling LC'!L169-'Ethylene Recycling LC'!$C$169</f>
        <v>75865.227605372085</v>
      </c>
      <c r="N135" s="547">
        <f>'Ethylene Recycling LC'!M169-'Ethylene Recycling LC'!$C$169</f>
        <v>83237.878699972294</v>
      </c>
      <c r="O135" s="547">
        <f>'Ethylene Recycling LC'!N169-'Ethylene Recycling LC'!$C$169</f>
        <v>87617.396430934517</v>
      </c>
      <c r="P135" s="547">
        <f>'Ethylene Recycling LC'!O169-'Ethylene Recycling LC'!$C$169</f>
        <v>91897.04502696378</v>
      </c>
      <c r="Q135" s="547">
        <f>'Ethylene Recycling LC'!P169-'Ethylene Recycling LC'!$C$169</f>
        <v>96077.420151120226</v>
      </c>
      <c r="R135" s="547">
        <f>'Ethylene Recycling LC'!Q169-'Ethylene Recycling LC'!$C$169</f>
        <v>100159.11493453762</v>
      </c>
      <c r="S135" s="547">
        <f>'Ethylene Recycling LC'!R169-'Ethylene Recycling LC'!$C$169</f>
        <v>104142.7199855581</v>
      </c>
      <c r="T135" s="547">
        <f>'Ethylene Recycling LC'!S169-'Ethylene Recycling LC'!$C$169</f>
        <v>108028.82339883537</v>
      </c>
      <c r="U135" s="547">
        <f>'Ethylene Recycling LC'!T169-'Ethylene Recycling LC'!$C$169</f>
        <v>111818.01076440982</v>
      </c>
      <c r="V135" s="547">
        <f>'Ethylene Recycling LC'!U169-'Ethylene Recycling LC'!$C$169</f>
        <v>115510.86517675268</v>
      </c>
      <c r="W135" s="547">
        <f>'Ethylene Recycling LC'!V169-'Ethylene Recycling LC'!$C$169</f>
        <v>119107.96724378105</v>
      </c>
      <c r="X135" s="547">
        <f>'Ethylene Recycling LC'!W169-'Ethylene Recycling LC'!$C$169</f>
        <v>122609.89509584373</v>
      </c>
      <c r="Y135" s="547">
        <f>'Ethylene Recycling LC'!X169-'Ethylene Recycling LC'!$C$169</f>
        <v>128866.06537833417</v>
      </c>
      <c r="Z135" s="547">
        <f>'Ethylene Recycling LC'!Y169-'Ethylene Recycling LC'!$C$169</f>
        <v>134973.68045505771</v>
      </c>
      <c r="AA135" s="547">
        <f>'Ethylene Recycling LC'!Z169-'Ethylene Recycling LC'!$C$169</f>
        <v>140933.63056296692</v>
      </c>
      <c r="AB135" s="547">
        <f>'Ethylene Recycling LC'!AA169-'Ethylene Recycling LC'!$C$169</f>
        <v>146746.80214781512</v>
      </c>
      <c r="AC135" s="547">
        <f>'Ethylene Recycling LC'!AB169-'Ethylene Recycling LC'!$C$169</f>
        <v>152414.07787784719</v>
      </c>
      <c r="AD135" s="547">
        <f>'Ethylene Recycling LC'!AC169-'Ethylene Recycling LC'!$C$169</f>
        <v>157882.01452918802</v>
      </c>
      <c r="AE135" s="547">
        <f>'Ethylene Recycling LC'!AD169-'Ethylene Recycling LC'!$C$169</f>
        <v>163202.4538637597</v>
      </c>
      <c r="AF135" s="547">
        <f>'Ethylene Recycling LC'!AE169-'Ethylene Recycling LC'!$C$169</f>
        <v>168376.29031586478</v>
      </c>
      <c r="AG135" s="547">
        <f>'Ethylene Recycling LC'!AF169-'Ethylene Recycling LC'!$C$169</f>
        <v>173404.41449382217</v>
      </c>
      <c r="AH135" s="547">
        <f>'Ethylene Recycling LC'!AG169-'Ethylene Recycling LC'!$C$169</f>
        <v>178287.71319381584</v>
      </c>
    </row>
    <row r="136" spans="1:35" outlineLevel="1">
      <c r="A136"/>
      <c r="B136" t="s">
        <v>268</v>
      </c>
      <c r="C136" s="50" t="s">
        <v>1420</v>
      </c>
      <c r="D136" s="183">
        <f>'Ethylene Recycling LC'!C88-'Ethylene Recycling LC'!$C$88</f>
        <v>0</v>
      </c>
      <c r="E136" s="183">
        <f>'Ethylene Recycling LC'!D88-'Ethylene Recycling LC'!$C$88</f>
        <v>1048.6591751904161</v>
      </c>
      <c r="F136" s="183">
        <f>'Ethylene Recycling LC'!E88-'Ethylene Recycling LC'!$C$88</f>
        <v>2045.6231677562027</v>
      </c>
      <c r="G136" s="183">
        <f>'Ethylene Recycling LC'!F88-'Ethylene Recycling LC'!$C$88</f>
        <v>2990.5527187788539</v>
      </c>
      <c r="H136" s="183">
        <f>'Ethylene Recycling LC'!G88-'Ethylene Recycling LC'!$C$88</f>
        <v>3883.1130308113061</v>
      </c>
      <c r="I136" s="183">
        <f>'Ethylene Recycling LC'!H88-'Ethylene Recycling LC'!$C$88</f>
        <v>4722.9737406015556</v>
      </c>
      <c r="J136" s="183">
        <f>'Ethylene Recycling LC'!I88-'Ethylene Recycling LC'!$C$88</f>
        <v>5509.8088919424699</v>
      </c>
      <c r="K136" s="183">
        <f>'Ethylene Recycling LC'!J88-'Ethylene Recycling LC'!$C$88</f>
        <v>6243.2969086474623</v>
      </c>
      <c r="L136" s="183">
        <f>'Ethylene Recycling LC'!K88-'Ethylene Recycling LC'!$C$88</f>
        <v>6923.1205676512182</v>
      </c>
      <c r="M136" s="183">
        <f>'Ethylene Recycling LC'!L88-'Ethylene Recycling LC'!$C$88</f>
        <v>7548.9669722353428</v>
      </c>
      <c r="N136" s="183">
        <f>'Ethylene Recycling LC'!M88-'Ethylene Recycling LC'!$C$88</f>
        <v>8120.5275253780856</v>
      </c>
      <c r="O136" s="183">
        <f>'Ethylene Recycling LC'!N88-'Ethylene Recycling LC'!$C$88</f>
        <v>7117.9521711528796</v>
      </c>
      <c r="P136" s="183">
        <f>'Ethylene Recycling LC'!O88-'Ethylene Recycling LC'!$C$88</f>
        <v>6300.6882653494467</v>
      </c>
      <c r="Q136" s="183">
        <f>'Ethylene Recycling LC'!P88-'Ethylene Recycling LC'!$C$88</f>
        <v>5301.0265513014674</v>
      </c>
      <c r="R136" s="183">
        <f>'Ethylene Recycling LC'!Q88-'Ethylene Recycling LC'!$C$88</f>
        <v>4286.4314535920639</v>
      </c>
      <c r="S136" s="183">
        <f>'Ethylene Recycling LC'!R88-'Ethylene Recycling LC'!$C$88</f>
        <v>3256.8895845051375</v>
      </c>
      <c r="T136" s="183">
        <f>'Ethylene Recycling LC'!S88-'Ethylene Recycling LC'!$C$88</f>
        <v>2212.3881533257227</v>
      </c>
      <c r="U136" s="183">
        <f>'Ethylene Recycling LC'!T88-'Ethylene Recycling LC'!$C$88</f>
        <v>1152.9149621262004</v>
      </c>
      <c r="V136" s="183">
        <f>'Ethylene Recycling LC'!U88-'Ethylene Recycling LC'!$C$88</f>
        <v>78.458401572970615</v>
      </c>
      <c r="W136" s="183">
        <f>'Ethylene Recycling LC'!V88-'Ethylene Recycling LC'!$C$88</f>
        <v>-1010.9925532459602</v>
      </c>
      <c r="X136" s="183">
        <f>'Ethylene Recycling LC'!W88-'Ethylene Recycling LC'!$C$88</f>
        <v>-2115.4483469731495</v>
      </c>
      <c r="Y136" s="183">
        <f>'Ethylene Recycling LC'!X88-'Ethylene Recycling LC'!$C$88</f>
        <v>-2895.2380573419068</v>
      </c>
      <c r="Z136" s="183">
        <f>'Ethylene Recycling LC'!Y88-'Ethylene Recycling LC'!$C$88</f>
        <v>-3670.9993677886305</v>
      </c>
      <c r="AA136" s="183">
        <f>'Ethylene Recycling LC'!Z88-'Ethylene Recycling LC'!$C$88</f>
        <v>-4458.0583422730779</v>
      </c>
      <c r="AB136" s="183">
        <f>'Ethylene Recycling LC'!AA88-'Ethylene Recycling LC'!$C$88</f>
        <v>-5256.4236064150828</v>
      </c>
      <c r="AC136" s="183">
        <f>'Ethylene Recycling LC'!AB88-'Ethylene Recycling LC'!$C$88</f>
        <v>-6066.1033466104745</v>
      </c>
      <c r="AD136" s="183">
        <f>'Ethylene Recycling LC'!AC88-'Ethylene Recycling LC'!$C$88</f>
        <v>-6887.1053131527515</v>
      </c>
      <c r="AE136" s="183">
        <f>'Ethylene Recycling LC'!AD88-'Ethylene Recycling LC'!$C$88</f>
        <v>-7719.4368233393616</v>
      </c>
      <c r="AF136" s="183">
        <f>'Ethylene Recycling LC'!AE88-'Ethylene Recycling LC'!$C$88</f>
        <v>-8563.1047645627332</v>
      </c>
      <c r="AG136" s="183">
        <f>'Ethylene Recycling LC'!AF88-'Ethylene Recycling LC'!$C$88</f>
        <v>-9418.1155973860295</v>
      </c>
      <c r="AH136" s="183">
        <f>'Ethylene Recycling LC'!AG88-'Ethylene Recycling LC'!$C$88</f>
        <v>-10284.475358603693</v>
      </c>
    </row>
    <row r="137" spans="1:35" outlineLevel="1">
      <c r="A137"/>
      <c r="B137" t="s">
        <v>270</v>
      </c>
      <c r="C137" s="50" t="s">
        <v>1420</v>
      </c>
      <c r="D137" s="183">
        <f>'Ethylene Recycling LC'!C147-'Ethylene Recycling LC'!$C$147</f>
        <v>0</v>
      </c>
      <c r="E137" s="183">
        <f>'Ethylene Recycling LC'!D147-'Ethylene Recycling LC'!$C$147</f>
        <v>871.15927905129615</v>
      </c>
      <c r="F137" s="183">
        <f>'Ethylene Recycling LC'!E147-'Ethylene Recycling LC'!$C$147</f>
        <v>1723.0875492767586</v>
      </c>
      <c r="G137" s="183">
        <f>'Ethylene Recycling LC'!F147-'Ethylene Recycling LC'!$C$147</f>
        <v>2555.8994358607547</v>
      </c>
      <c r="H137" s="183">
        <f>'Ethylene Recycling LC'!G147-'Ethylene Recycling LC'!$C$147</f>
        <v>3369.70907664481</v>
      </c>
      <c r="I137" s="183">
        <f>'Ethylene Recycling LC'!H147-'Ethylene Recycling LC'!$C$147</f>
        <v>4164.6301238862052</v>
      </c>
      <c r="J137" s="183">
        <f>'Ethylene Recycling LC'!I147-'Ethylene Recycling LC'!$C$147</f>
        <v>4788.1057754590774</v>
      </c>
      <c r="K137" s="183">
        <f>'Ethylene Recycling LC'!J147-'Ethylene Recycling LC'!$C$147</f>
        <v>5346.1062460657304</v>
      </c>
      <c r="L137" s="183">
        <f>'Ethylene Recycling LC'!K147-'Ethylene Recycling LC'!$C$147</f>
        <v>5840.463376093192</v>
      </c>
      <c r="M137" s="183">
        <f>'Ethylene Recycling LC'!L147-'Ethylene Recycling LC'!$C$147</f>
        <v>6272.9947178156644</v>
      </c>
      <c r="N137" s="183">
        <f>'Ethylene Recycling LC'!M147-'Ethylene Recycling LC'!$C$147</f>
        <v>6645.503610802064</v>
      </c>
      <c r="O137" s="183">
        <f>'Ethylene Recycling LC'!N147-'Ethylene Recycling LC'!$C$147</f>
        <v>6752.1420011496366</v>
      </c>
      <c r="P137" s="183">
        <f>'Ethylene Recycling LC'!O147-'Ethylene Recycling LC'!$C$147</f>
        <v>6822.8270451794051</v>
      </c>
      <c r="Q137" s="183">
        <f>'Ethylene Recycling LC'!P147-'Ethylene Recycling LC'!$C$147</f>
        <v>6858.73034479544</v>
      </c>
      <c r="R137" s="183">
        <f>'Ethylene Recycling LC'!Q147-'Ethylene Recycling LC'!$C$147</f>
        <v>6861.0142028468781</v>
      </c>
      <c r="S137" s="183">
        <f>'Ethylene Recycling LC'!R147-'Ethylene Recycling LC'!$C$147</f>
        <v>6830.8316725280038</v>
      </c>
      <c r="T137" s="183">
        <f>'Ethylene Recycling LC'!S147-'Ethylene Recycling LC'!$C$147</f>
        <v>6862.6471218193383</v>
      </c>
      <c r="U137" s="183">
        <f>'Ethylene Recycling LC'!T147-'Ethylene Recycling LC'!$C$147</f>
        <v>6870.7884001670536</v>
      </c>
      <c r="V137" s="183">
        <f>'Ethylene Recycling LC'!U147-'Ethylene Recycling LC'!$C$147</f>
        <v>6856.0642375445523</v>
      </c>
      <c r="W137" s="183">
        <f>'Ethylene Recycling LC'!V147-'Ethylene Recycling LC'!$C$147</f>
        <v>6819.2769133065076</v>
      </c>
      <c r="X137" s="183">
        <f>'Ethylene Recycling LC'!W147-'Ethylene Recycling LC'!$C$147</f>
        <v>6761.2222905202734</v>
      </c>
      <c r="Y137" s="183">
        <f>'Ethylene Recycling LC'!X147-'Ethylene Recycling LC'!$C$147</f>
        <v>6821.521340684847</v>
      </c>
      <c r="Z137" s="183">
        <f>'Ethylene Recycling LC'!Y147-'Ethylene Recycling LC'!$C$147</f>
        <v>6847.8683289665887</v>
      </c>
      <c r="AA137" s="183">
        <f>'Ethylene Recycling LC'!Z147-'Ethylene Recycling LC'!$C$147</f>
        <v>6841.4794834820814</v>
      </c>
      <c r="AB137" s="183">
        <f>'Ethylene Recycling LC'!AA147-'Ethylene Recycling LC'!$C$147</f>
        <v>6803.5612827033619</v>
      </c>
      <c r="AC137" s="183">
        <f>'Ethylene Recycling LC'!AB147-'Ethylene Recycling LC'!$C$147</f>
        <v>6735.3105074469322</v>
      </c>
      <c r="AD137" s="183">
        <f>'Ethylene Recycling LC'!AC147-'Ethylene Recycling LC'!$C$147</f>
        <v>6571.7116899846305</v>
      </c>
      <c r="AE137" s="183">
        <f>'Ethylene Recycling LC'!AD147-'Ethylene Recycling LC'!$C$147</f>
        <v>6376.0505244217529</v>
      </c>
      <c r="AF137" s="183">
        <f>'Ethylene Recycling LC'!AE147-'Ethylene Recycling LC'!$C$147</f>
        <v>6149.7256797761838</v>
      </c>
      <c r="AG137" s="183">
        <f>'Ethylene Recycling LC'!AF147-'Ethylene Recycling LC'!$C$147</f>
        <v>5894.1244187933844</v>
      </c>
      <c r="AH137" s="183">
        <f>'Ethylene Recycling LC'!AG147-'Ethylene Recycling LC'!$C$147</f>
        <v>5610.6226591533004</v>
      </c>
    </row>
    <row r="138" spans="1:35" outlineLevel="1">
      <c r="A138" s="160"/>
      <c r="B138" s="160" t="s">
        <v>269</v>
      </c>
      <c r="C138" s="156" t="s">
        <v>1420</v>
      </c>
      <c r="D138" s="547">
        <f>'Ethylene Recycling LC'!C121-'Ethylene Recycling LC'!$C$121</f>
        <v>0</v>
      </c>
      <c r="E138" s="547">
        <f>'Ethylene Recycling LC'!D121-'Ethylene Recycling LC'!$C$121</f>
        <v>93.025235165240701</v>
      </c>
      <c r="F138" s="547">
        <f>'Ethylene Recycling LC'!E121-'Ethylene Recycling LC'!$C$121</f>
        <v>175.61398300125029</v>
      </c>
      <c r="G138" s="547">
        <f>'Ethylene Recycling LC'!F121-'Ethylene Recycling LC'!$C$121</f>
        <v>247.98294432778221</v>
      </c>
      <c r="H138" s="547">
        <f>'Ethylene Recycling LC'!G121-'Ethylene Recycling LC'!$C$121</f>
        <v>310.34720754362706</v>
      </c>
      <c r="I138" s="547">
        <f>'Ethylene Recycling LC'!H121-'Ethylene Recycling LC'!$C$121</f>
        <v>362.92025697528288</v>
      </c>
      <c r="J138" s="547">
        <f>'Ethylene Recycling LC'!I121-'Ethylene Recycling LC'!$C$121</f>
        <v>405.91398118997449</v>
      </c>
      <c r="K138" s="547">
        <f>'Ethylene Recycling LC'!J121-'Ethylene Recycling LC'!$C$121</f>
        <v>439.53868127314536</v>
      </c>
      <c r="L138" s="547">
        <f>'Ethylene Recycling LC'!K121-'Ethylene Recycling LC'!$C$121</f>
        <v>464.00307907058095</v>
      </c>
      <c r="M138" s="547">
        <f>'Ethylene Recycling LC'!L121-'Ethylene Recycling LC'!$C$121</f>
        <v>479.51432539528241</v>
      </c>
      <c r="N138" s="547">
        <f>'Ethylene Recycling LC'!M121-'Ethylene Recycling LC'!$C$121</f>
        <v>486.27800819921777</v>
      </c>
      <c r="O138" s="547">
        <f>'Ethylene Recycling LC'!N121-'Ethylene Recycling LC'!$C$121</f>
        <v>447.85893477567288</v>
      </c>
      <c r="P138" s="547">
        <f>'Ethylene Recycling LC'!O121-'Ethylene Recycling LC'!$C$121</f>
        <v>404.35625049436067</v>
      </c>
      <c r="Q138" s="547">
        <f>'Ethylene Recycling LC'!P121-'Ethylene Recycling LC'!$C$121</f>
        <v>347.39580807006951</v>
      </c>
      <c r="R138" s="547">
        <f>'Ethylene Recycling LC'!Q121-'Ethylene Recycling LC'!$C$121</f>
        <v>285.95887578348675</v>
      </c>
      <c r="S138" s="547">
        <f>'Ethylene Recycling LC'!R121-'Ethylene Recycling LC'!$C$121</f>
        <v>220.22494538527644</v>
      </c>
      <c r="T138" s="547">
        <f>'Ethylene Recycling LC'!S121-'Ethylene Recycling LC'!$C$121</f>
        <v>150.37093462919574</v>
      </c>
      <c r="U138" s="547">
        <f>'Ethylene Recycling LC'!T121-'Ethylene Recycling LC'!$C$121</f>
        <v>76.571196088393663</v>
      </c>
      <c r="V138" s="547">
        <f>'Ethylene Recycling LC'!U121-'Ethylene Recycling LC'!$C$121</f>
        <v>-1.0024738328725107</v>
      </c>
      <c r="W138" s="547">
        <f>'Ethylene Recycling LC'!V121-'Ethylene Recycling LC'!$C$121</f>
        <v>-82.180825695236308</v>
      </c>
      <c r="X138" s="547">
        <f>'Ethylene Recycling LC'!W121-'Ethylene Recycling LC'!$C$121</f>
        <v>-166.79714763096717</v>
      </c>
      <c r="Y138" s="547">
        <f>'Ethylene Recycling LC'!X121-'Ethylene Recycling LC'!$C$121</f>
        <v>-231.88912636534792</v>
      </c>
      <c r="Z138" s="547">
        <f>'Ethylene Recycling LC'!Y121-'Ethylene Recycling LC'!$C$121</f>
        <v>-303.2434264528149</v>
      </c>
      <c r="AA138" s="547">
        <f>'Ethylene Recycling LC'!Z121-'Ethylene Recycling LC'!$C$121</f>
        <v>-395.08033860335445</v>
      </c>
      <c r="AB138" s="547">
        <f>'Ethylene Recycling LC'!AA121-'Ethylene Recycling LC'!$C$121</f>
        <v>-491.43689934356985</v>
      </c>
      <c r="AC138" s="547">
        <f>'Ethylene Recycling LC'!AB121-'Ethylene Recycling LC'!$C$121</f>
        <v>-591.90237792138828</v>
      </c>
      <c r="AD138" s="547">
        <f>'Ethylene Recycling LC'!AC121-'Ethylene Recycling LC'!$C$121</f>
        <v>-696.07573612287342</v>
      </c>
      <c r="AE138" s="547">
        <f>'Ethylene Recycling LC'!AD121-'Ethylene Recycling LC'!$C$121</f>
        <v>-803.56570150999255</v>
      </c>
      <c r="AF138" s="547">
        <f>'Ethylene Recycling LC'!AE121-'Ethylene Recycling LC'!$C$121</f>
        <v>-913.99083361695466</v>
      </c>
      <c r="AG138" s="547">
        <f>'Ethylene Recycling LC'!AF121-'Ethylene Recycling LC'!$C$121</f>
        <v>-1026.9795832031166</v>
      </c>
      <c r="AH138" s="547">
        <f>'Ethylene Recycling LC'!AG121-'Ethylene Recycling LC'!$C$121</f>
        <v>-1142.1703446596127</v>
      </c>
    </row>
    <row r="139" spans="1:35">
      <c r="A139" s="158"/>
      <c r="B139" s="211" t="s">
        <v>267</v>
      </c>
      <c r="C139" s="159" t="s">
        <v>1420</v>
      </c>
      <c r="D139" s="554">
        <f>D134-D135-D136-D137-D138</f>
        <v>2145788.3365974198</v>
      </c>
      <c r="E139" s="554">
        <f t="shared" ref="E139:AG139" si="43">E134-E135-E136-E137-E138</f>
        <v>2131923.0492942668</v>
      </c>
      <c r="F139" s="554">
        <f t="shared" si="43"/>
        <v>2096411.0132627899</v>
      </c>
      <c r="G139" s="554">
        <f t="shared" si="43"/>
        <v>2061070.5164775362</v>
      </c>
      <c r="H139" s="554">
        <f t="shared" si="43"/>
        <v>2025905.2090792044</v>
      </c>
      <c r="I139" s="554">
        <f t="shared" si="43"/>
        <v>1990919.0165552567</v>
      </c>
      <c r="J139" s="554">
        <f t="shared" si="43"/>
        <v>1954385.970852664</v>
      </c>
      <c r="K139" s="554">
        <f t="shared" si="43"/>
        <v>1918251.561928523</v>
      </c>
      <c r="L139" s="554">
        <f t="shared" si="43"/>
        <v>1882517.6173978557</v>
      </c>
      <c r="M139" s="554">
        <f t="shared" si="43"/>
        <v>1847186.3389976914</v>
      </c>
      <c r="N139" s="554">
        <f t="shared" si="43"/>
        <v>1812260.3245570443</v>
      </c>
      <c r="O139" s="554">
        <f t="shared" si="43"/>
        <v>1777354.129769067</v>
      </c>
      <c r="P139" s="554">
        <f t="shared" si="43"/>
        <v>1742639.5167797951</v>
      </c>
      <c r="Q139" s="554">
        <f t="shared" si="43"/>
        <v>1708496.102541941</v>
      </c>
      <c r="R139" s="554">
        <f t="shared" si="43"/>
        <v>1674751.4820207786</v>
      </c>
      <c r="S139" s="554">
        <f t="shared" si="43"/>
        <v>1641410.0661693497</v>
      </c>
      <c r="T139" s="554">
        <f t="shared" si="43"/>
        <v>1604090.6442595096</v>
      </c>
      <c r="U139" s="554">
        <f t="shared" si="43"/>
        <v>1567269.2640939506</v>
      </c>
      <c r="V139" s="554">
        <f t="shared" si="43"/>
        <v>1530951.1756712713</v>
      </c>
      <c r="W139" s="554">
        <f t="shared" si="43"/>
        <v>1495142.3158529189</v>
      </c>
      <c r="X139" s="554">
        <f t="shared" si="43"/>
        <v>1459849.3474238408</v>
      </c>
      <c r="Y139" s="554">
        <f t="shared" si="43"/>
        <v>1418627.8264785046</v>
      </c>
      <c r="Z139" s="554">
        <f t="shared" si="43"/>
        <v>1378065.4266117869</v>
      </c>
      <c r="AA139" s="554">
        <f t="shared" si="43"/>
        <v>1338199.1495965126</v>
      </c>
      <c r="AB139" s="554">
        <f t="shared" si="43"/>
        <v>1299021.4225689839</v>
      </c>
      <c r="AC139" s="554">
        <f t="shared" si="43"/>
        <v>1260541.2026927271</v>
      </c>
      <c r="AD139" s="554">
        <f t="shared" si="43"/>
        <v>1221422.9066483027</v>
      </c>
      <c r="AE139" s="554">
        <f t="shared" si="43"/>
        <v>1183066.1976357875</v>
      </c>
      <c r="AF139" s="554">
        <f t="shared" si="43"/>
        <v>1145482.5014608814</v>
      </c>
      <c r="AG139" s="554">
        <f t="shared" si="43"/>
        <v>1108684.4839070975</v>
      </c>
      <c r="AH139" s="554">
        <f>AH134-AH135-AH136-AH137-AH138</f>
        <v>1072686.1205978079</v>
      </c>
    </row>
    <row r="140" spans="1:35" s="61" customFormat="1">
      <c r="A140" s="606" t="s">
        <v>608</v>
      </c>
      <c r="B140" s="54" t="s">
        <v>141</v>
      </c>
      <c r="C140" s="55" t="s">
        <v>1420</v>
      </c>
      <c r="D140" s="571">
        <f>D66+D75-('Ethylene Recycling LC'!C89+'Ethylene Recycling LC'!C122+'Ethylene Recycling LC'!C148+'Ethylene Recycling LC'!C170-('Ethylene Recycling LC'!$C$89+'Ethylene Recycling LC'!$C$122+'Ethylene Recycling LC'!$C$148+'Ethylene Recycling LC'!$C$170))</f>
        <v>243158.34476609659</v>
      </c>
      <c r="E140" s="571">
        <f>E66+E75-('Ethylene Recycling LC'!D89+'Ethylene Recycling LC'!D122+'Ethylene Recycling LC'!D148+'Ethylene Recycling LC'!D170-('Ethylene Recycling LC'!$C$89+'Ethylene Recycling LC'!$C$122+'Ethylene Recycling LC'!$C$148+'Ethylene Recycling LC'!$C$170))</f>
        <v>245659.75378114215</v>
      </c>
      <c r="F140" s="571">
        <f>F66+F75-('Ethylene Recycling LC'!E89+'Ethylene Recycling LC'!E122+'Ethylene Recycling LC'!E148+'Ethylene Recycling LC'!E170-('Ethylene Recycling LC'!$C$89+'Ethylene Recycling LC'!$C$122+'Ethylene Recycling LC'!$C$148+'Ethylene Recycling LC'!$C$170))</f>
        <v>238376.54927798163</v>
      </c>
      <c r="G140" s="571">
        <f>G66+G75-('Ethylene Recycling LC'!F89+'Ethylene Recycling LC'!F122+'Ethylene Recycling LC'!F148+'Ethylene Recycling LC'!F170-('Ethylene Recycling LC'!$C$89+'Ethylene Recycling LC'!$C$122+'Ethylene Recycling LC'!$C$148+'Ethylene Recycling LC'!$C$170))</f>
        <v>231182.02526866389</v>
      </c>
      <c r="H140" s="571">
        <f>H66+H75-('Ethylene Recycling LC'!G89+'Ethylene Recycling LC'!G122+'Ethylene Recycling LC'!G148+'Ethylene Recycling LC'!G170-('Ethylene Recycling LC'!$C$89+'Ethylene Recycling LC'!$C$122+'Ethylene Recycling LC'!$C$148+'Ethylene Recycling LC'!$C$170))</f>
        <v>224078.78678542396</v>
      </c>
      <c r="I140" s="571">
        <f>I66+I75-('Ethylene Recycling LC'!H89+'Ethylene Recycling LC'!H122+'Ethylene Recycling LC'!H148+'Ethylene Recycling LC'!H170-('Ethylene Recycling LC'!$C$89+'Ethylene Recycling LC'!$C$122+'Ethylene Recycling LC'!$C$148+'Ethylene Recycling LC'!$C$170))</f>
        <v>217069.58943435329</v>
      </c>
      <c r="J140" s="571">
        <f>J66+J75-('Ethylene Recycling LC'!I89+'Ethylene Recycling LC'!I122+'Ethylene Recycling LC'!I148+'Ethylene Recycling LC'!I170-('Ethylene Recycling LC'!$C$89+'Ethylene Recycling LC'!$C$122+'Ethylene Recycling LC'!$C$148+'Ethylene Recycling LC'!$C$170))</f>
        <v>210229.33685188851</v>
      </c>
      <c r="K140" s="571">
        <f>K66+K75-('Ethylene Recycling LC'!J89+'Ethylene Recycling LC'!J122+'Ethylene Recycling LC'!J148+'Ethylene Recycling LC'!J170-('Ethylene Recycling LC'!$C$89+'Ethylene Recycling LC'!$C$122+'Ethylene Recycling LC'!$C$148+'Ethylene Recycling LC'!$C$170))</f>
        <v>203546.45062767153</v>
      </c>
      <c r="L140" s="571">
        <f>L66+L75-('Ethylene Recycling LC'!K89+'Ethylene Recycling LC'!K122+'Ethylene Recycling LC'!K148+'Ethylene Recycling LC'!K170-('Ethylene Recycling LC'!$C$89+'Ethylene Recycling LC'!$C$122+'Ethylene Recycling LC'!$C$148+'Ethylene Recycling LC'!$C$170))</f>
        <v>197023.77723468095</v>
      </c>
      <c r="M140" s="571">
        <f>M66+M75-('Ethylene Recycling LC'!L89+'Ethylene Recycling LC'!L122+'Ethylene Recycling LC'!L148+'Ethylene Recycling LC'!L170-('Ethylene Recycling LC'!$C$89+'Ethylene Recycling LC'!$C$122+'Ethylene Recycling LC'!$C$148+'Ethylene Recycling LC'!$C$170))</f>
        <v>190664.35007289058</v>
      </c>
      <c r="N140" s="571">
        <f>N66+N75-('Ethylene Recycling LC'!M89+'Ethylene Recycling LC'!M122+'Ethylene Recycling LC'!M148+'Ethylene Recycling LC'!M170-('Ethylene Recycling LC'!$C$89+'Ethylene Recycling LC'!$C$122+'Ethylene Recycling LC'!$C$148+'Ethylene Recycling LC'!$C$170))</f>
        <v>184471.39937864972</v>
      </c>
      <c r="O140" s="571">
        <f>O66+O75-('Ethylene Recycling LC'!N89+'Ethylene Recycling LC'!N122+'Ethylene Recycling LC'!N148+'Ethylene Recycling LC'!N170-('Ethylene Recycling LC'!$C$89+'Ethylene Recycling LC'!$C$122+'Ethylene Recycling LC'!$C$148+'Ethylene Recycling LC'!$C$170))</f>
        <v>180362.11586277394</v>
      </c>
      <c r="P140" s="571">
        <f>P66+P75-('Ethylene Recycling LC'!O89+'Ethylene Recycling LC'!O122+'Ethylene Recycling LC'!O148+'Ethylene Recycling LC'!O170-('Ethylene Recycling LC'!$C$89+'Ethylene Recycling LC'!$C$122+'Ethylene Recycling LC'!$C$148+'Ethylene Recycling LC'!$C$170))</f>
        <v>176239.6107442053</v>
      </c>
      <c r="Q140" s="571">
        <f>Q66+Q75-('Ethylene Recycling LC'!P89+'Ethylene Recycling LC'!P122+'Ethylene Recycling LC'!P148+'Ethylene Recycling LC'!P170-('Ethylene Recycling LC'!$C$89+'Ethylene Recycling LC'!$C$122+'Ethylene Recycling LC'!$C$148+'Ethylene Recycling LC'!$C$170))</f>
        <v>172400.30369702331</v>
      </c>
      <c r="R140" s="571">
        <f>R66+R75-('Ethylene Recycling LC'!Q89+'Ethylene Recycling LC'!Q122+'Ethylene Recycling LC'!Q148+'Ethylene Recycling LC'!Q170-('Ethylene Recycling LC'!$C$89+'Ethylene Recycling LC'!$C$122+'Ethylene Recycling LC'!$C$148+'Ethylene Recycling LC'!$C$170))</f>
        <v>168711.03113172876</v>
      </c>
      <c r="S140" s="571">
        <f>S66+S75-('Ethylene Recycling LC'!R89+'Ethylene Recycling LC'!R122+'Ethylene Recycling LC'!R148+'Ethylene Recycling LC'!R170-('Ethylene Recycling LC'!$C$89+'Ethylene Recycling LC'!$C$122+'Ethylene Recycling LC'!$C$148+'Ethylene Recycling LC'!$C$170))</f>
        <v>165175.41626288506</v>
      </c>
      <c r="T140" s="571">
        <f>T66+T75-('Ethylene Recycling LC'!S89+'Ethylene Recycling LC'!S122+'Ethylene Recycling LC'!S148+'Ethylene Recycling LC'!S170-('Ethylene Recycling LC'!$C$89+'Ethylene Recycling LC'!$C$122+'Ethylene Recycling LC'!$C$148+'Ethylene Recycling LC'!$C$170))</f>
        <v>161310.88632862282</v>
      </c>
      <c r="U140" s="571">
        <f>U66+U75-('Ethylene Recycling LC'!T89+'Ethylene Recycling LC'!T122+'Ethylene Recycling LC'!T148+'Ethylene Recycling LC'!T170-('Ethylene Recycling LC'!$C$89+'Ethylene Recycling LC'!$C$122+'Ethylene Recycling LC'!$C$148+'Ethylene Recycling LC'!$C$170))</f>
        <v>157618.36549872372</v>
      </c>
      <c r="V140" s="571">
        <f>V66+V75-('Ethylene Recycling LC'!U89+'Ethylene Recycling LC'!U122+'Ethylene Recycling LC'!U148+'Ethylene Recycling LC'!U170-('Ethylene Recycling LC'!$C$89+'Ethylene Recycling LC'!$C$122+'Ethylene Recycling LC'!$C$148+'Ethylene Recycling LC'!$C$170))</f>
        <v>154102.17912138812</v>
      </c>
      <c r="W140" s="571">
        <f>W66+W75-('Ethylene Recycling LC'!V89+'Ethylene Recycling LC'!V122+'Ethylene Recycling LC'!V148+'Ethylene Recycling LC'!V170-('Ethylene Recycling LC'!$C$89+'Ethylene Recycling LC'!$C$122+'Ethylene Recycling LC'!$C$148+'Ethylene Recycling LC'!$C$170))</f>
        <v>150766.96942946975</v>
      </c>
      <c r="X140" s="571">
        <f>X66+X75-('Ethylene Recycling LC'!W89+'Ethylene Recycling LC'!W122+'Ethylene Recycling LC'!W148+'Ethylene Recycling LC'!W170-('Ethylene Recycling LC'!$C$89+'Ethylene Recycling LC'!$C$122+'Ethylene Recycling LC'!$C$148+'Ethylene Recycling LC'!$C$170))</f>
        <v>147617.71343498194</v>
      </c>
      <c r="Y140" s="571">
        <f>Y66+Y75-('Ethylene Recycling LC'!X89+'Ethylene Recycling LC'!X122+'Ethylene Recycling LC'!X148+'Ethylene Recycling LC'!X170-('Ethylene Recycling LC'!$C$89+'Ethylene Recycling LC'!$C$122+'Ethylene Recycling LC'!$C$148+'Ethylene Recycling LC'!$C$170))</f>
        <v>142739.3695323795</v>
      </c>
      <c r="Z140" s="571">
        <f>Z66+Z75-('Ethylene Recycling LC'!Y89+'Ethylene Recycling LC'!Y122+'Ethylene Recycling LC'!Y148+'Ethylene Recycling LC'!Y170-('Ethylene Recycling LC'!$C$89+'Ethylene Recycling LC'!$C$122+'Ethylene Recycling LC'!$C$148+'Ethylene Recycling LC'!$C$170))</f>
        <v>138073.02327259706</v>
      </c>
      <c r="AA140" s="571">
        <f>AA66+AA75-('Ethylene Recycling LC'!Z89+'Ethylene Recycling LC'!Z122+'Ethylene Recycling LC'!Z148+'Ethylene Recycling LC'!Z170-('Ethylene Recycling LC'!$C$89+'Ethylene Recycling LC'!$C$122+'Ethylene Recycling LC'!$C$148+'Ethylene Recycling LC'!$C$170))</f>
        <v>133643.94806070821</v>
      </c>
      <c r="AB140" s="571">
        <f>AB66+AB75-('Ethylene Recycling LC'!AA89+'Ethylene Recycling LC'!AA122+'Ethylene Recycling LC'!AA148+'Ethylene Recycling LC'!AA170-('Ethylene Recycling LC'!$C$89+'Ethylene Recycling LC'!$C$122+'Ethylene Recycling LC'!$C$148+'Ethylene Recycling LC'!$C$170))</f>
        <v>129450.25851894218</v>
      </c>
      <c r="AC140" s="571">
        <f>AC66+AC75-('Ethylene Recycling LC'!AB89+'Ethylene Recycling LC'!AB122+'Ethylene Recycling LC'!AB148+'Ethylene Recycling LC'!AB170-('Ethylene Recycling LC'!$C$89+'Ethylene Recycling LC'!$C$122+'Ethylene Recycling LC'!$C$148+'Ethylene Recycling LC'!$C$170))</f>
        <v>125498.40578048048</v>
      </c>
      <c r="AD140" s="571">
        <f>AD66+AD75-('Ethylene Recycling LC'!AC89+'Ethylene Recycling LC'!AC122+'Ethylene Recycling LC'!AC148+'Ethylene Recycling LC'!AC170-('Ethylene Recycling LC'!$C$89+'Ethylene Recycling LC'!$C$122+'Ethylene Recycling LC'!$C$148+'Ethylene Recycling LC'!$C$170))</f>
        <v>121653.45348188531</v>
      </c>
      <c r="AE140" s="571">
        <f>AE66+AE75-('Ethylene Recycling LC'!AD89+'Ethylene Recycling LC'!AD122+'Ethylene Recycling LC'!AD148+'Ethylene Recycling LC'!AD170-('Ethylene Recycling LC'!$C$89+'Ethylene Recycling LC'!$C$122+'Ethylene Recycling LC'!$C$148+'Ethylene Recycling LC'!$C$170))</f>
        <v>118070.25456350358</v>
      </c>
      <c r="AF140" s="571">
        <f>AF66+AF75-('Ethylene Recycling LC'!AE89+'Ethylene Recycling LC'!AE122+'Ethylene Recycling LC'!AE148+'Ethylene Recycling LC'!AE170-('Ethylene Recycling LC'!$C$89+'Ethylene Recycling LC'!$C$122+'Ethylene Recycling LC'!$C$148+'Ethylene Recycling LC'!$C$170))</f>
        <v>114756.72768820736</v>
      </c>
      <c r="AG140" s="571">
        <f>AG66+AG75-('Ethylene Recycling LC'!AF89+'Ethylene Recycling LC'!AF122+'Ethylene Recycling LC'!AF148+'Ethylene Recycling LC'!AF170-('Ethylene Recycling LC'!$C$89+'Ethylene Recycling LC'!$C$122+'Ethylene Recycling LC'!$C$148+'Ethylene Recycling LC'!$C$170))</f>
        <v>111721.36466363794</v>
      </c>
      <c r="AH140" s="571">
        <f>AH66+AH75-('Ethylene Recycling LC'!AG89+'Ethylene Recycling LC'!AG122+'Ethylene Recycling LC'!AG148+'Ethylene Recycling LC'!AG170-('Ethylene Recycling LC'!$C$89+'Ethylene Recycling LC'!$C$122+'Ethylene Recycling LC'!$C$148+'Ethylene Recycling LC'!$C$170))</f>
        <v>108973.26210672691</v>
      </c>
      <c r="AI140" s="56"/>
    </row>
    <row r="141" spans="1:35">
      <c r="A141" s="607"/>
      <c r="B141" s="1" t="s">
        <v>18</v>
      </c>
      <c r="C141" s="50" t="s">
        <v>1420</v>
      </c>
      <c r="D141" s="183">
        <f>D67+D76+(D145-D71-D80)</f>
        <v>107053.65149258176</v>
      </c>
      <c r="E141" s="183">
        <f t="shared" ref="E141:AH141" si="44">E67+E76+(E145-E71-E80)</f>
        <v>110550.54818103905</v>
      </c>
      <c r="F141" s="183">
        <f t="shared" si="44"/>
        <v>109428.88229730268</v>
      </c>
      <c r="G141" s="183">
        <f t="shared" si="44"/>
        <v>108268.5455029057</v>
      </c>
      <c r="H141" s="183">
        <f t="shared" si="44"/>
        <v>107072.42702144137</v>
      </c>
      <c r="I141" s="183">
        <f t="shared" si="44"/>
        <v>105843.46045849938</v>
      </c>
      <c r="J141" s="183">
        <f t="shared" si="44"/>
        <v>104478.51475315649</v>
      </c>
      <c r="K141" s="183">
        <f t="shared" si="44"/>
        <v>103110.21669869099</v>
      </c>
      <c r="L141" s="183">
        <f t="shared" si="44"/>
        <v>101745.85193712413</v>
      </c>
      <c r="M141" s="183">
        <f t="shared" si="44"/>
        <v>100392.54155090012</v>
      </c>
      <c r="N141" s="183">
        <f t="shared" si="44"/>
        <v>99057.248924429558</v>
      </c>
      <c r="O141" s="183">
        <f t="shared" si="44"/>
        <v>97610.131962036743</v>
      </c>
      <c r="P141" s="183">
        <f t="shared" si="44"/>
        <v>96199.704096286427</v>
      </c>
      <c r="Q141" s="183">
        <f t="shared" si="44"/>
        <v>94839.429947579745</v>
      </c>
      <c r="R141" s="183">
        <f t="shared" si="44"/>
        <v>93529.90553856708</v>
      </c>
      <c r="S141" s="183">
        <f t="shared" si="44"/>
        <v>92275.687053728412</v>
      </c>
      <c r="T141" s="183">
        <f t="shared" si="44"/>
        <v>90817.353671837292</v>
      </c>
      <c r="U141" s="183">
        <f t="shared" si="44"/>
        <v>89417.958460556896</v>
      </c>
      <c r="V141" s="183">
        <f t="shared" si="44"/>
        <v>88081.451801739066</v>
      </c>
      <c r="W141" s="183">
        <f t="shared" si="44"/>
        <v>86811.81624016042</v>
      </c>
      <c r="X141" s="183">
        <f t="shared" si="44"/>
        <v>85613.075563404593</v>
      </c>
      <c r="Y141" s="183">
        <f t="shared" si="44"/>
        <v>84228.609971566388</v>
      </c>
      <c r="Z141" s="183">
        <f t="shared" si="44"/>
        <v>82927.549297383477</v>
      </c>
      <c r="AA141" s="183">
        <f t="shared" si="44"/>
        <v>81715.527937338629</v>
      </c>
      <c r="AB141" s="183">
        <f t="shared" si="44"/>
        <v>80597.815378282423</v>
      </c>
      <c r="AC141" s="183">
        <f t="shared" si="44"/>
        <v>79579.720980543847</v>
      </c>
      <c r="AD141" s="183">
        <f t="shared" si="44"/>
        <v>78650.837062741935</v>
      </c>
      <c r="AE141" s="183">
        <f t="shared" si="44"/>
        <v>77842.232911109226</v>
      </c>
      <c r="AF141" s="183">
        <f t="shared" si="44"/>
        <v>77159.582728152789</v>
      </c>
      <c r="AG141" s="183">
        <f t="shared" si="44"/>
        <v>76608.627989952147</v>
      </c>
      <c r="AH141" s="183">
        <f t="shared" si="44"/>
        <v>76195.193606713015</v>
      </c>
      <c r="AI141" s="40"/>
    </row>
    <row r="142" spans="1:35">
      <c r="A142" s="607"/>
      <c r="B142" s="1" t="s">
        <v>607</v>
      </c>
      <c r="C142" s="50" t="s">
        <v>1420</v>
      </c>
      <c r="D142" s="183">
        <f>D68+D77+(D144-D70-D79)</f>
        <v>235194.27504285253</v>
      </c>
      <c r="E142" s="183">
        <f t="shared" ref="E142:AH142" si="45">E68+E77+(E144-E70-E79)</f>
        <v>230592.32695393593</v>
      </c>
      <c r="F142" s="183">
        <f t="shared" si="45"/>
        <v>225784.33947234851</v>
      </c>
      <c r="G142" s="183">
        <f t="shared" si="45"/>
        <v>220978.56729409812</v>
      </c>
      <c r="H142" s="183">
        <f t="shared" si="45"/>
        <v>216175.25163294384</v>
      </c>
      <c r="I142" s="183">
        <f t="shared" si="45"/>
        <v>211374.63232516038</v>
      </c>
      <c r="J142" s="183">
        <f t="shared" si="45"/>
        <v>206458.49633188458</v>
      </c>
      <c r="K142" s="183">
        <f t="shared" si="45"/>
        <v>201575.44386403475</v>
      </c>
      <c r="L142" s="183">
        <f t="shared" si="45"/>
        <v>196725.48679937658</v>
      </c>
      <c r="M142" s="183">
        <f t="shared" si="45"/>
        <v>191908.63727320469</v>
      </c>
      <c r="N142" s="183">
        <f t="shared" si="45"/>
        <v>187124.90777487162</v>
      </c>
      <c r="O142" s="183">
        <f t="shared" si="45"/>
        <v>182457.61215503362</v>
      </c>
      <c r="P142" s="183">
        <f t="shared" si="45"/>
        <v>177823.35327722336</v>
      </c>
      <c r="Q142" s="183">
        <f t="shared" si="45"/>
        <v>173228.75167991937</v>
      </c>
      <c r="R142" s="183">
        <f t="shared" si="45"/>
        <v>168670.28969661935</v>
      </c>
      <c r="S142" s="183">
        <f t="shared" si="45"/>
        <v>164147.68362823944</v>
      </c>
      <c r="T142" s="183">
        <f t="shared" si="45"/>
        <v>159190.12027897305</v>
      </c>
      <c r="U142" s="183">
        <f t="shared" si="45"/>
        <v>154277.79925009649</v>
      </c>
      <c r="V142" s="183">
        <f t="shared" si="45"/>
        <v>149410.2989665101</v>
      </c>
      <c r="W142" s="183">
        <f t="shared" si="45"/>
        <v>144587.20095591317</v>
      </c>
      <c r="X142" s="183">
        <f t="shared" si="45"/>
        <v>139808.09003218927</v>
      </c>
      <c r="Y142" s="183">
        <f t="shared" si="45"/>
        <v>134114.806561579</v>
      </c>
      <c r="Z142" s="183">
        <f t="shared" si="45"/>
        <v>128482.84959305602</v>
      </c>
      <c r="AA142" s="183">
        <f t="shared" si="45"/>
        <v>122913.44778985792</v>
      </c>
      <c r="AB142" s="183">
        <f t="shared" si="45"/>
        <v>117404.70009989885</v>
      </c>
      <c r="AC142" s="183">
        <f t="shared" si="45"/>
        <v>111956.01134938648</v>
      </c>
      <c r="AD142" s="183">
        <f t="shared" si="45"/>
        <v>106417.6265534921</v>
      </c>
      <c r="AE142" s="183">
        <f t="shared" si="45"/>
        <v>100942.72711593038</v>
      </c>
      <c r="AF142" s="183">
        <f t="shared" si="45"/>
        <v>95530.659740195086</v>
      </c>
      <c r="AG142" s="183">
        <f t="shared" si="45"/>
        <v>90180.776529559284</v>
      </c>
      <c r="AH142" s="183">
        <f t="shared" si="45"/>
        <v>84892.435414349515</v>
      </c>
      <c r="AI142" s="40"/>
    </row>
    <row r="143" spans="1:35">
      <c r="A143" s="608"/>
      <c r="B143" s="1" t="s">
        <v>27</v>
      </c>
      <c r="C143" s="50" t="s">
        <v>1420</v>
      </c>
      <c r="D143" s="528">
        <f>D69+D78-('Ethylene Recycling LC'!C90+'Ethylene Recycling LC'!C123+'Ethylene Recycling LC'!C149+'Ethylene Recycling LC'!C171-('Ethylene Recycling LC'!$C$90+'Ethylene Recycling LC'!$C$123+'Ethylene Recycling LC'!$C$149+'Ethylene Recycling LC'!$C$171)+'Ethylene Recycling LC'!C93+'Ethylene Recycling LC'!C126+'Ethylene Recycling LC'!C152+'Ethylene Recycling LC'!C174-('Ethylene Recycling LC'!$C$93+'Ethylene Recycling LC'!$C$126+'Ethylene Recycling LC'!$C$152+'Ethylene Recycling LC'!$C$174))</f>
        <v>1560382.065295889</v>
      </c>
      <c r="E143" s="528">
        <f>E69+E78-('Ethylene Recycling LC'!D90+'Ethylene Recycling LC'!D123+'Ethylene Recycling LC'!D149+'Ethylene Recycling LC'!D171-('Ethylene Recycling LC'!$C$90+'Ethylene Recycling LC'!$C$123+'Ethylene Recycling LC'!$C$149+'Ethylene Recycling LC'!$C$171)+'Ethylene Recycling LC'!D93+'Ethylene Recycling LC'!D126+'Ethylene Recycling LC'!D152+'Ethylene Recycling LC'!D174-('Ethylene Recycling LC'!$C$93+'Ethylene Recycling LC'!$C$126+'Ethylene Recycling LC'!$C$152+'Ethylene Recycling LC'!$C$174))</f>
        <v>1545962.5410145666</v>
      </c>
      <c r="F143" s="528">
        <f>F69+F78-('Ethylene Recycling LC'!E90+'Ethylene Recycling LC'!E123+'Ethylene Recycling LC'!E149+'Ethylene Recycling LC'!E171-('Ethylene Recycling LC'!$C$90+'Ethylene Recycling LC'!$C$123+'Ethylene Recycling LC'!$C$149+'Ethylene Recycling LC'!$C$171)+'Ethylene Recycling LC'!E93+'Ethylene Recycling LC'!E126+'Ethylene Recycling LC'!E152+'Ethylene Recycling LC'!E174-('Ethylene Recycling LC'!$C$93+'Ethylene Recycling LC'!$C$126+'Ethylene Recycling LC'!$C$152+'Ethylene Recycling LC'!$C$174))</f>
        <v>1524429.4572611486</v>
      </c>
      <c r="G143" s="528">
        <f>G69+G78-('Ethylene Recycling LC'!F90+'Ethylene Recycling LC'!F123+'Ethylene Recycling LC'!F149+'Ethylene Recycling LC'!F171-('Ethylene Recycling LC'!$C$90+'Ethylene Recycling LC'!$C$123+'Ethylene Recycling LC'!$C$149+'Ethylene Recycling LC'!$C$171)+'Ethylene Recycling LC'!F93+'Ethylene Recycling LC'!F126+'Ethylene Recycling LC'!F152+'Ethylene Recycling LC'!F174-('Ethylene Recycling LC'!$C$93+'Ethylene Recycling LC'!$C$126+'Ethylene Recycling LC'!$C$152+'Ethylene Recycling LC'!$C$174))</f>
        <v>1502941.687904143</v>
      </c>
      <c r="H143" s="528">
        <f>H69+H78-('Ethylene Recycling LC'!G90+'Ethylene Recycling LC'!G123+'Ethylene Recycling LC'!G149+'Ethylene Recycling LC'!G171-('Ethylene Recycling LC'!$C$90+'Ethylene Recycling LC'!$C$123+'Ethylene Recycling LC'!$C$149+'Ethylene Recycling LC'!$C$171)+'Ethylene Recycling LC'!G93+'Ethylene Recycling LC'!G126+'Ethylene Recycling LC'!G152+'Ethylene Recycling LC'!G174-('Ethylene Recycling LC'!$C$93+'Ethylene Recycling LC'!$C$126+'Ethylene Recycling LC'!$C$152+'Ethylene Recycling LC'!$C$174))</f>
        <v>1481499.1581724875</v>
      </c>
      <c r="I143" s="528">
        <f>I69+I78-('Ethylene Recycling LC'!H90+'Ethylene Recycling LC'!H123+'Ethylene Recycling LC'!H149+'Ethylene Recycling LC'!H171-('Ethylene Recycling LC'!$C$90+'Ethylene Recycling LC'!$C$123+'Ethylene Recycling LC'!$C$149+'Ethylene Recycling LC'!$C$171)+'Ethylene Recycling LC'!H93+'Ethylene Recycling LC'!H126+'Ethylene Recycling LC'!H152+'Ethylene Recycling LC'!H174-('Ethylene Recycling LC'!$C$93+'Ethylene Recycling LC'!$C$126+'Ethylene Recycling LC'!$C$152+'Ethylene Recycling LC'!$C$174))</f>
        <v>1460101.8594404822</v>
      </c>
      <c r="J143" s="528">
        <f>J69+J78-('Ethylene Recycling LC'!I90+'Ethylene Recycling LC'!I123+'Ethylene Recycling LC'!I149+'Ethylene Recycling LC'!I171-('Ethylene Recycling LC'!$C$90+'Ethylene Recycling LC'!$C$123+'Ethylene Recycling LC'!$C$149+'Ethylene Recycling LC'!$C$171)+'Ethylene Recycling LC'!I93+'Ethylene Recycling LC'!I126+'Ethylene Recycling LC'!I152+'Ethylene Recycling LC'!I174-('Ethylene Recycling LC'!$C$93+'Ethylene Recycling LC'!$C$126+'Ethylene Recycling LC'!$C$152+'Ethylene Recycling LC'!$C$174))</f>
        <v>1437050.1075361017</v>
      </c>
      <c r="K143" s="528">
        <f>K69+K78-('Ethylene Recycling LC'!J90+'Ethylene Recycling LC'!J123+'Ethylene Recycling LC'!J149+'Ethylene Recycling LC'!J171-('Ethylene Recycling LC'!$C$90+'Ethylene Recycling LC'!$C$123+'Ethylene Recycling LC'!$C$149+'Ethylene Recycling LC'!$C$171)+'Ethylene Recycling LC'!J93+'Ethylene Recycling LC'!J126+'Ethylene Recycling LC'!J152+'Ethylene Recycling LC'!J174-('Ethylene Recycling LC'!$C$93+'Ethylene Recycling LC'!$C$126+'Ethylene Recycling LC'!$C$152+'Ethylene Recycling LC'!$C$174))</f>
        <v>1414118.1321934429</v>
      </c>
      <c r="L143" s="528">
        <f>L69+L78-('Ethylene Recycling LC'!K90+'Ethylene Recycling LC'!K123+'Ethylene Recycling LC'!K149+'Ethylene Recycling LC'!K171-('Ethylene Recycling LC'!$C$90+'Ethylene Recycling LC'!$C$123+'Ethylene Recycling LC'!$C$149+'Ethylene Recycling LC'!$C$171)+'Ethylene Recycling LC'!K93+'Ethylene Recycling LC'!K126+'Ethylene Recycling LC'!K152+'Ethylene Recycling LC'!K174-('Ethylene Recycling LC'!$C$93+'Ethylene Recycling LC'!$C$126+'Ethylene Recycling LC'!$C$152+'Ethylene Recycling LC'!$C$174))</f>
        <v>1391305.5079024758</v>
      </c>
      <c r="M143" s="528">
        <f>M69+M78-('Ethylene Recycling LC'!L90+'Ethylene Recycling LC'!L123+'Ethylene Recycling LC'!L149+'Ethylene Recycling LC'!L171-('Ethylene Recycling LC'!$C$90+'Ethylene Recycling LC'!$C$123+'Ethylene Recycling LC'!$C$149+'Ethylene Recycling LC'!$C$171)+'Ethylene Recycling LC'!L93+'Ethylene Recycling LC'!L126+'Ethylene Recycling LC'!L152+'Ethylene Recycling LC'!L174-('Ethylene Recycling LC'!$C$93+'Ethylene Recycling LC'!$C$126+'Ethylene Recycling LC'!$C$152+'Ethylene Recycling LC'!$C$174))</f>
        <v>1368611.9064031669</v>
      </c>
      <c r="N143" s="528">
        <f>N69+N78-('Ethylene Recycling LC'!M90+'Ethylene Recycling LC'!M123+'Ethylene Recycling LC'!M149+'Ethylene Recycling LC'!M171-('Ethylene Recycling LC'!$C$90+'Ethylene Recycling LC'!$C$123+'Ethylene Recycling LC'!$C$149+'Ethylene Recycling LC'!$C$171)+'Ethylene Recycling LC'!M93+'Ethylene Recycling LC'!M126+'Ethylene Recycling LC'!M152+'Ethylene Recycling LC'!M174-('Ethylene Recycling LC'!$C$93+'Ethylene Recycling LC'!$C$126+'Ethylene Recycling LC'!$C$152+'Ethylene Recycling LC'!$C$174))</f>
        <v>1346037.1042196285</v>
      </c>
      <c r="O143" s="528">
        <f>O69+O78-('Ethylene Recycling LC'!N90+'Ethylene Recycling LC'!N123+'Ethylene Recycling LC'!N149+'Ethylene Recycling LC'!N171-('Ethylene Recycling LC'!$C$90+'Ethylene Recycling LC'!$C$123+'Ethylene Recycling LC'!$C$149+'Ethylene Recycling LC'!$C$171)+'Ethylene Recycling LC'!N93+'Ethylene Recycling LC'!N126+'Ethylene Recycling LC'!N152+'Ethylene Recycling LC'!N174-('Ethylene Recycling LC'!$C$93+'Ethylene Recycling LC'!$C$126+'Ethylene Recycling LC'!$C$152+'Ethylene Recycling LC'!$C$174))</f>
        <v>1321200.626389951</v>
      </c>
      <c r="P143" s="528">
        <f>P69+P78-('Ethylene Recycling LC'!O90+'Ethylene Recycling LC'!O123+'Ethylene Recycling LC'!O149+'Ethylene Recycling LC'!O171-('Ethylene Recycling LC'!$C$90+'Ethylene Recycling LC'!$C$123+'Ethylene Recycling LC'!$C$149+'Ethylene Recycling LC'!$C$171)+'Ethylene Recycling LC'!O93+'Ethylene Recycling LC'!O126+'Ethylene Recycling LC'!O152+'Ethylene Recycling LC'!O174-('Ethylene Recycling LC'!$C$93+'Ethylene Recycling LC'!$C$126+'Ethylene Recycling LC'!$C$152+'Ethylene Recycling LC'!$C$174))</f>
        <v>1296470.5448891877</v>
      </c>
      <c r="Q143" s="528">
        <f>Q69+Q78-('Ethylene Recycling LC'!P90+'Ethylene Recycling LC'!P123+'Ethylene Recycling LC'!P149+'Ethylene Recycling LC'!P171-('Ethylene Recycling LC'!$C$90+'Ethylene Recycling LC'!$C$123+'Ethylene Recycling LC'!$C$149+'Ethylene Recycling LC'!$C$171)+'Ethylene Recycling LC'!P93+'Ethylene Recycling LC'!P126+'Ethylene Recycling LC'!P152+'Ethylene Recycling LC'!P174-('Ethylene Recycling LC'!$C$93+'Ethylene Recycling LC'!$C$126+'Ethylene Recycling LC'!$C$152+'Ethylene Recycling LC'!$C$174))</f>
        <v>1271914.231079469</v>
      </c>
      <c r="R143" s="528">
        <f>R69+R78-('Ethylene Recycling LC'!Q90+'Ethylene Recycling LC'!Q123+'Ethylene Recycling LC'!Q149+'Ethylene Recycling LC'!Q171-('Ethylene Recycling LC'!$C$90+'Ethylene Recycling LC'!$C$123+'Ethylene Recycling LC'!$C$149+'Ethylene Recycling LC'!$C$171)+'Ethylene Recycling LC'!Q93+'Ethylene Recycling LC'!Q126+'Ethylene Recycling LC'!Q152+'Ethylene Recycling LC'!Q174-('Ethylene Recycling LC'!$C$93+'Ethylene Recycling LC'!$C$126+'Ethylene Recycling LC'!$C$152+'Ethylene Recycling LC'!$C$174))</f>
        <v>1247499.4632287151</v>
      </c>
      <c r="S143" s="528">
        <f>S69+S78-('Ethylene Recycling LC'!R90+'Ethylene Recycling LC'!R123+'Ethylene Recycling LC'!R149+'Ethylene Recycling LC'!R171-('Ethylene Recycling LC'!$C$90+'Ethylene Recycling LC'!$C$123+'Ethylene Recycling LC'!$C$149+'Ethylene Recycling LC'!$C$171)+'Ethylene Recycling LC'!R93+'Ethylene Recycling LC'!R126+'Ethylene Recycling LC'!R152+'Ethylene Recycling LC'!R174-('Ethylene Recycling LC'!$C$93+'Ethylene Recycling LC'!$C$126+'Ethylene Recycling LC'!$C$152+'Ethylene Recycling LC'!$C$174))</f>
        <v>1223226.6950607607</v>
      </c>
      <c r="T143" s="528">
        <f>T69+T78-('Ethylene Recycling LC'!S90+'Ethylene Recycling LC'!S123+'Ethylene Recycling LC'!S149+'Ethylene Recycling LC'!S171-('Ethylene Recycling LC'!$C$90+'Ethylene Recycling LC'!$C$123+'Ethylene Recycling LC'!$C$149+'Ethylene Recycling LC'!$C$171)+'Ethylene Recycling LC'!S93+'Ethylene Recycling LC'!S126+'Ethylene Recycling LC'!S152+'Ethylene Recycling LC'!S174-('Ethylene Recycling LC'!$C$93+'Ethylene Recycling LC'!$C$126+'Ethylene Recycling LC'!$C$152+'Ethylene Recycling LC'!$C$174))</f>
        <v>1195974.8526369256</v>
      </c>
      <c r="U143" s="528">
        <f>U69+U78-('Ethylene Recycling LC'!T90+'Ethylene Recycling LC'!T123+'Ethylene Recycling LC'!T149+'Ethylene Recycling LC'!T171-('Ethylene Recycling LC'!$C$90+'Ethylene Recycling LC'!$C$123+'Ethylene Recycling LC'!$C$149+'Ethylene Recycling LC'!$C$171)+'Ethylene Recycling LC'!T93+'Ethylene Recycling LC'!T126+'Ethylene Recycling LC'!T152+'Ethylene Recycling LC'!T174-('Ethylene Recycling LC'!$C$93+'Ethylene Recycling LC'!$C$126+'Ethylene Recycling LC'!$C$152+'Ethylene Recycling LC'!$C$174))</f>
        <v>1168932.4825246457</v>
      </c>
      <c r="V143" s="528">
        <f>V69+V78-('Ethylene Recycling LC'!U90+'Ethylene Recycling LC'!U123+'Ethylene Recycling LC'!U149+'Ethylene Recycling LC'!U171-('Ethylene Recycling LC'!$C$90+'Ethylene Recycling LC'!$C$123+'Ethylene Recycling LC'!$C$149+'Ethylene Recycling LC'!$C$171)+'Ethylene Recycling LC'!U93+'Ethylene Recycling LC'!U126+'Ethylene Recycling LC'!U152+'Ethylene Recycling LC'!U174-('Ethylene Recycling LC'!$C$93+'Ethylene Recycling LC'!$C$126+'Ethylene Recycling LC'!$C$152+'Ethylene Recycling LC'!$C$174))</f>
        <v>1142099.6714766517</v>
      </c>
      <c r="W143" s="528">
        <f>W69+W78-('Ethylene Recycling LC'!V90+'Ethylene Recycling LC'!V123+'Ethylene Recycling LC'!V149+'Ethylene Recycling LC'!V171-('Ethylene Recycling LC'!$C$90+'Ethylene Recycling LC'!$C$123+'Ethylene Recycling LC'!$C$149+'Ethylene Recycling LC'!$C$171)+'Ethylene Recycling LC'!V93+'Ethylene Recycling LC'!V126+'Ethylene Recycling LC'!V152+'Ethylene Recycling LC'!V174-('Ethylene Recycling LC'!$C$93+'Ethylene Recycling LC'!$C$126+'Ethylene Recycling LC'!$C$152+'Ethylene Recycling LC'!$C$174))</f>
        <v>1115476.7307622547</v>
      </c>
      <c r="X143" s="528">
        <f>X69+X78-('Ethylene Recycling LC'!W90+'Ethylene Recycling LC'!W123+'Ethylene Recycling LC'!W149+'Ethylene Recycling LC'!W171-('Ethylene Recycling LC'!$C$90+'Ethylene Recycling LC'!$C$123+'Ethylene Recycling LC'!$C$149+'Ethylene Recycling LC'!$C$171)+'Ethylene Recycling LC'!W93+'Ethylene Recycling LC'!W126+'Ethylene Recycling LC'!W152+'Ethylene Recycling LC'!W174-('Ethylene Recycling LC'!$C$93+'Ethylene Recycling LC'!$C$126+'Ethylene Recycling LC'!$C$152+'Ethylene Recycling LC'!$C$174))</f>
        <v>1089064.2091567719</v>
      </c>
      <c r="Y143" s="528">
        <f>Y69+Y78-('Ethylene Recycling LC'!X90+'Ethylene Recycling LC'!X123+'Ethylene Recycling LC'!X149+'Ethylene Recycling LC'!X171-('Ethylene Recycling LC'!$C$90+'Ethylene Recycling LC'!$C$123+'Ethylene Recycling LC'!$C$149+'Ethylene Recycling LC'!$C$171)+'Ethylene Recycling LC'!X93+'Ethylene Recycling LC'!X126+'Ethylene Recycling LC'!X152+'Ethylene Recycling LC'!X174-('Ethylene Recycling LC'!$C$93+'Ethylene Recycling LC'!$C$126+'Ethylene Recycling LC'!$C$152+'Ethylene Recycling LC'!$C$174))</f>
        <v>1059591.4968151848</v>
      </c>
      <c r="Z143" s="528">
        <f>Z69+Z78-('Ethylene Recycling LC'!Y90+'Ethylene Recycling LC'!Y123+'Ethylene Recycling LC'!Y149+'Ethylene Recycling LC'!Y171-('Ethylene Recycling LC'!$C$90+'Ethylene Recycling LC'!$C$123+'Ethylene Recycling LC'!$C$149+'Ethylene Recycling LC'!$C$171)+'Ethylene Recycling LC'!Y93+'Ethylene Recycling LC'!Y126+'Ethylene Recycling LC'!Y152+'Ethylene Recycling LC'!Y174-('Ethylene Recycling LC'!$C$93+'Ethylene Recycling LC'!$C$126+'Ethylene Recycling LC'!$C$152+'Ethylene Recycling LC'!$C$174))</f>
        <v>1030408.102669808</v>
      </c>
      <c r="AA143" s="528">
        <f>AA69+AA78-('Ethylene Recycling LC'!Z90+'Ethylene Recycling LC'!Z123+'Ethylene Recycling LC'!Z149+'Ethylene Recycling LC'!Z171-('Ethylene Recycling LC'!$C$90+'Ethylene Recycling LC'!$C$123+'Ethylene Recycling LC'!$C$149+'Ethylene Recycling LC'!$C$171)+'Ethylene Recycling LC'!Z93+'Ethylene Recycling LC'!Z126+'Ethylene Recycling LC'!Z152+'Ethylene Recycling LC'!Z174-('Ethylene Recycling LC'!$C$93+'Ethylene Recycling LC'!$C$126+'Ethylene Recycling LC'!$C$152+'Ethylene Recycling LC'!$C$174))</f>
        <v>1001522.5710214202</v>
      </c>
      <c r="AB143" s="528">
        <f>AB69+AB78-('Ethylene Recycling LC'!AA90+'Ethylene Recycling LC'!AA123+'Ethylene Recycling LC'!AA149+'Ethylene Recycling LC'!AA171-('Ethylene Recycling LC'!$C$90+'Ethylene Recycling LC'!$C$123+'Ethylene Recycling LC'!$C$149+'Ethylene Recycling LC'!$C$171)+'Ethylene Recycling LC'!AA93+'Ethylene Recycling LC'!AA126+'Ethylene Recycling LC'!AA152+'Ethylene Recycling LC'!AA174-('Ethylene Recycling LC'!$C$93+'Ethylene Recycling LC'!$C$126+'Ethylene Recycling LC'!$C$152+'Ethylene Recycling LC'!$C$174))</f>
        <v>972929.36082840117</v>
      </c>
      <c r="AC143" s="528">
        <f>AC69+AC78-('Ethylene Recycling LC'!AB90+'Ethylene Recycling LC'!AB123+'Ethylene Recycling LC'!AB149+'Ethylene Recycling LC'!AB171-('Ethylene Recycling LC'!$C$90+'Ethylene Recycling LC'!$C$123+'Ethylene Recycling LC'!$C$149+'Ethylene Recycling LC'!$C$171)+'Ethylene Recycling LC'!AB93+'Ethylene Recycling LC'!AB126+'Ethylene Recycling LC'!AB152+'Ethylene Recycling LC'!AB174-('Ethylene Recycling LC'!$C$93+'Ethylene Recycling LC'!$C$126+'Ethylene Recycling LC'!$C$152+'Ethylene Recycling LC'!$C$174))</f>
        <v>944629.61633355764</v>
      </c>
      <c r="AD143" s="528">
        <f>AD69+AD78-('Ethylene Recycling LC'!AC90+'Ethylene Recycling LC'!AC123+'Ethylene Recycling LC'!AC149+'Ethylene Recycling LC'!AC171-('Ethylene Recycling LC'!$C$90+'Ethylene Recycling LC'!$C$123+'Ethylene Recycling LC'!$C$149+'Ethylene Recycling LC'!$C$171)+'Ethylene Recycling LC'!AC93+'Ethylene Recycling LC'!AC126+'Ethylene Recycling LC'!AC152+'Ethylene Recycling LC'!AC174-('Ethylene Recycling LC'!$C$93+'Ethylene Recycling LC'!$C$126+'Ethylene Recycling LC'!$C$152+'Ethylene Recycling LC'!$C$174))</f>
        <v>915577.21777551458</v>
      </c>
      <c r="AE143" s="528">
        <f>AE69+AE78-('Ethylene Recycling LC'!AD90+'Ethylene Recycling LC'!AD123+'Ethylene Recycling LC'!AD149+'Ethylene Recycling LC'!AD171-('Ethylene Recycling LC'!$C$90+'Ethylene Recycling LC'!$C$123+'Ethylene Recycling LC'!$C$149+'Ethylene Recycling LC'!$C$171)+'Ethylene Recycling LC'!AD93+'Ethylene Recycling LC'!AD126+'Ethylene Recycling LC'!AD152+'Ethylene Recycling LC'!AD174-('Ethylene Recycling LC'!$C$93+'Ethylene Recycling LC'!$C$126+'Ethylene Recycling LC'!$C$152+'Ethylene Recycling LC'!$C$174))</f>
        <v>886848.58809768641</v>
      </c>
      <c r="AF143" s="528">
        <f>AF69+AF78-('Ethylene Recycling LC'!AE90+'Ethylene Recycling LC'!AE123+'Ethylene Recycling LC'!AE149+'Ethylene Recycling LC'!AE171-('Ethylene Recycling LC'!$C$90+'Ethylene Recycling LC'!$C$123+'Ethylene Recycling LC'!$C$149+'Ethylene Recycling LC'!$C$171)+'Ethylene Recycling LC'!AE93+'Ethylene Recycling LC'!AE126+'Ethylene Recycling LC'!AE152+'Ethylene Recycling LC'!AE174-('Ethylene Recycling LC'!$C$93+'Ethylene Recycling LC'!$C$126+'Ethylene Recycling LC'!$C$152+'Ethylene Recycling LC'!$C$174))</f>
        <v>858445.5130163111</v>
      </c>
      <c r="AG143" s="528">
        <f>AG69+AG78-('Ethylene Recycling LC'!AF90+'Ethylene Recycling LC'!AF123+'Ethylene Recycling LC'!AF149+'Ethylene Recycling LC'!AF171-('Ethylene Recycling LC'!$C$90+'Ethylene Recycling LC'!$C$123+'Ethylene Recycling LC'!$C$149+'Ethylene Recycling LC'!$C$171)+'Ethylene Recycling LC'!AF93+'Ethylene Recycling LC'!AF126+'Ethylene Recycling LC'!AF152+'Ethylene Recycling LC'!AF174-('Ethylene Recycling LC'!$C$93+'Ethylene Recycling LC'!$C$126+'Ethylene Recycling LC'!$C$152+'Ethylene Recycling LC'!$C$174))</f>
        <v>830370.18553790823</v>
      </c>
      <c r="AH143" s="528">
        <f>AH69+AH78-('Ethylene Recycling LC'!AG90+'Ethylene Recycling LC'!AG123+'Ethylene Recycling LC'!AG149+'Ethylene Recycling LC'!AG171-('Ethylene Recycling LC'!$C$90+'Ethylene Recycling LC'!$C$123+'Ethylene Recycling LC'!$C$149+'Ethylene Recycling LC'!$C$171)+'Ethylene Recycling LC'!AG93+'Ethylene Recycling LC'!AG126+'Ethylene Recycling LC'!AG152+'Ethylene Recycling LC'!AG174-('Ethylene Recycling LC'!$C$93+'Ethylene Recycling LC'!$C$126+'Ethylene Recycling LC'!$C$152+'Ethylene Recycling LC'!$C$174))</f>
        <v>802625.22947001853</v>
      </c>
      <c r="AI143" s="40"/>
    </row>
    <row r="144" spans="1:35" s="61" customFormat="1">
      <c r="A144" s="609" t="s">
        <v>609</v>
      </c>
      <c r="B144" s="54" t="s">
        <v>606</v>
      </c>
      <c r="C144" s="55" t="s">
        <v>1420</v>
      </c>
      <c r="D144" s="571">
        <f>D70+D79-('Ethylene Recycling LC'!C91+'Ethylene Recycling LC'!C124+'Ethylene Recycling LC'!C150+'Ethylene Recycling LC'!C172-('Ethylene Recycling LC'!$C$91+'Ethylene Recycling LC'!$C$124+'Ethylene Recycling LC'!$C$150+'Ethylene Recycling LC'!$C$172))</f>
        <v>107207.97978629141</v>
      </c>
      <c r="E144" s="571">
        <f>E70+E79-('Ethylene Recycling LC'!D91+'Ethylene Recycling LC'!D124+'Ethylene Recycling LC'!D150+'Ethylene Recycling LC'!D172-('Ethylene Recycling LC'!$C$91+'Ethylene Recycling LC'!$C$124+'Ethylene Recycling LC'!$C$150+'Ethylene Recycling LC'!$C$172))</f>
        <v>104152.04579467134</v>
      </c>
      <c r="F144" s="571">
        <f>F70+F79-('Ethylene Recycling LC'!E91+'Ethylene Recycling LC'!E124+'Ethylene Recycling LC'!E150+'Ethylene Recycling LC'!E172-('Ethylene Recycling LC'!$C$91+'Ethylene Recycling LC'!$C$124+'Ethylene Recycling LC'!$C$150+'Ethylene Recycling LC'!$C$172))</f>
        <v>100891.92332704314</v>
      </c>
      <c r="G144" s="571">
        <f>G70+G79-('Ethylene Recycling LC'!F91+'Ethylene Recycling LC'!F124+'Ethylene Recycling LC'!F150+'Ethylene Recycling LC'!F172-('Ethylene Recycling LC'!$C$91+'Ethylene Recycling LC'!$C$124+'Ethylene Recycling LC'!$C$150+'Ethylene Recycling LC'!$C$172))</f>
        <v>97635.933039251293</v>
      </c>
      <c r="H144" s="571">
        <f>H70+H79-('Ethylene Recycling LC'!G91+'Ethylene Recycling LC'!G124+'Ethylene Recycling LC'!G150+'Ethylene Recycling LC'!G172-('Ethylene Recycling LC'!$C$91+'Ethylene Recycling LC'!$C$124+'Ethylene Recycling LC'!$C$150+'Ethylene Recycling LC'!$C$172))</f>
        <v>94384.383007516793</v>
      </c>
      <c r="I144" s="571">
        <f>I70+I79-('Ethylene Recycling LC'!H91+'Ethylene Recycling LC'!H124+'Ethylene Recycling LC'!H150+'Ethylene Recycling LC'!H172-('Ethylene Recycling LC'!$C$91+'Ethylene Recycling LC'!$C$124+'Ethylene Recycling LC'!$C$150+'Ethylene Recycling LC'!$C$172))</f>
        <v>91137.580829865954</v>
      </c>
      <c r="J144" s="571">
        <f>J70+J79-('Ethylene Recycling LC'!I91+'Ethylene Recycling LC'!I124+'Ethylene Recycling LC'!I150+'Ethylene Recycling LC'!I172-('Ethylene Recycling LC'!$C$91+'Ethylene Recycling LC'!$C$124+'Ethylene Recycling LC'!$C$150+'Ethylene Recycling LC'!$C$172))</f>
        <v>87940.747205856751</v>
      </c>
      <c r="K144" s="571">
        <f>K70+K79-('Ethylene Recycling LC'!J91+'Ethylene Recycling LC'!J124+'Ethylene Recycling LC'!J150+'Ethylene Recycling LC'!J172-('Ethylene Recycling LC'!$C$91+'Ethylene Recycling LC'!$C$124+'Ethylene Recycling LC'!$C$150+'Ethylene Recycling LC'!$C$172))</f>
        <v>84776.341386987653</v>
      </c>
      <c r="L144" s="571">
        <f>L70+L79-('Ethylene Recycling LC'!K91+'Ethylene Recycling LC'!K124+'Ethylene Recycling LC'!K150+'Ethylene Recycling LC'!K172-('Ethylene Recycling LC'!$C$91+'Ethylene Recycling LC'!$C$124+'Ethylene Recycling LC'!$C$150+'Ethylene Recycling LC'!$C$172))</f>
        <v>81644.477376020091</v>
      </c>
      <c r="M144" s="571">
        <f>M70+M79-('Ethylene Recycling LC'!L91+'Ethylene Recycling LC'!L124+'Ethylene Recycling LC'!L150+'Ethylene Recycling LC'!L172-('Ethylene Recycling LC'!$C$91+'Ethylene Recycling LC'!$C$124+'Ethylene Recycling LC'!$C$150+'Ethylene Recycling LC'!$C$172))</f>
        <v>78545.2700283413</v>
      </c>
      <c r="N144" s="571">
        <f>N70+N79-('Ethylene Recycling LC'!M91+'Ethylene Recycling LC'!M124+'Ethylene Recycling LC'!M150+'Ethylene Recycling LC'!M172-('Ethylene Recycling LC'!$C$91+'Ethylene Recycling LC'!$C$124+'Ethylene Recycling LC'!$C$150+'Ethylene Recycling LC'!$C$172))</f>
        <v>75478.83514689593</v>
      </c>
      <c r="O144" s="571">
        <f>O70+O79-('Ethylene Recycling LC'!N91+'Ethylene Recycling LC'!N124+'Ethylene Recycling LC'!N150+'Ethylene Recycling LC'!N172-('Ethylene Recycling LC'!$C$91+'Ethylene Recycling LC'!$C$124+'Ethylene Recycling LC'!$C$150+'Ethylene Recycling LC'!$C$172))</f>
        <v>72826.408467678353</v>
      </c>
      <c r="P144" s="571">
        <f>P70+P79-('Ethylene Recycling LC'!O91+'Ethylene Recycling LC'!O124+'Ethylene Recycling LC'!O150+'Ethylene Recycling LC'!O172-('Ethylene Recycling LC'!$C$91+'Ethylene Recycling LC'!$C$124+'Ethylene Recycling LC'!$C$150+'Ethylene Recycling LC'!$C$172))</f>
        <v>70201.194840187032</v>
      </c>
      <c r="Q144" s="571">
        <f>Q70+Q79-('Ethylene Recycling LC'!P91+'Ethylene Recycling LC'!P124+'Ethylene Recycling LC'!P150+'Ethylene Recycling LC'!P172-('Ethylene Recycling LC'!$C$91+'Ethylene Recycling LC'!$C$124+'Ethylene Recycling LC'!$C$150+'Ethylene Recycling LC'!$C$172))</f>
        <v>67609.990991566097</v>
      </c>
      <c r="R144" s="571">
        <f>R70+R79-('Ethylene Recycling LC'!Q91+'Ethylene Recycling LC'!Q124+'Ethylene Recycling LC'!Q150+'Ethylene Recycling LC'!Q172-('Ethylene Recycling LC'!$C$91+'Ethylene Recycling LC'!$C$124+'Ethylene Recycling LC'!$C$150+'Ethylene Recycling LC'!$C$172))</f>
        <v>65049.455292060906</v>
      </c>
      <c r="S144" s="571">
        <f>S70+S79-('Ethylene Recycling LC'!R91+'Ethylene Recycling LC'!R124+'Ethylene Recycling LC'!R150+'Ethylene Recycling LC'!R172-('Ethylene Recycling LC'!$C$91+'Ethylene Recycling LC'!$C$124+'Ethylene Recycling LC'!$C$150+'Ethylene Recycling LC'!$C$172))</f>
        <v>62519.479931815607</v>
      </c>
      <c r="T144" s="571">
        <f>T70+T79-('Ethylene Recycling LC'!S91+'Ethylene Recycling LC'!S124+'Ethylene Recycling LC'!S150+'Ethylene Recycling LC'!S172-('Ethylene Recycling LC'!$C$91+'Ethylene Recycling LC'!$C$124+'Ethylene Recycling LC'!$C$150+'Ethylene Recycling LC'!$C$172))</f>
        <v>59805.47722770604</v>
      </c>
      <c r="U144" s="571">
        <f>U70+U79-('Ethylene Recycling LC'!T91+'Ethylene Recycling LC'!T124+'Ethylene Recycling LC'!T150+'Ethylene Recycling LC'!T172-('Ethylene Recycling LC'!$C$91+'Ethylene Recycling LC'!$C$124+'Ethylene Recycling LC'!$C$150+'Ethylene Recycling LC'!$C$172))</f>
        <v>57126.357560259363</v>
      </c>
      <c r="V144" s="571">
        <f>V70+V79-('Ethylene Recycling LC'!U91+'Ethylene Recycling LC'!U124+'Ethylene Recycling LC'!U150+'Ethylene Recycling LC'!U172-('Ethylene Recycling LC'!$C$91+'Ethylene Recycling LC'!$C$124+'Ethylene Recycling LC'!$C$150+'Ethylene Recycling LC'!$C$172))</f>
        <v>54481.951577965025</v>
      </c>
      <c r="W144" s="571">
        <f>W70+W79-('Ethylene Recycling LC'!V91+'Ethylene Recycling LC'!V124+'Ethylene Recycling LC'!V150+'Ethylene Recycling LC'!V172-('Ethylene Recycling LC'!$C$91+'Ethylene Recycling LC'!$C$124+'Ethylene Recycling LC'!$C$150+'Ethylene Recycling LC'!$C$172))</f>
        <v>51872.091990273701</v>
      </c>
      <c r="X144" s="571">
        <f>X70+X79-('Ethylene Recycling LC'!W91+'Ethylene Recycling LC'!W124+'Ethylene Recycling LC'!W150+'Ethylene Recycling LC'!W172-('Ethylene Recycling LC'!$C$91+'Ethylene Recycling LC'!$C$124+'Ethylene Recycling LC'!$C$150+'Ethylene Recycling LC'!$C$172))</f>
        <v>49296.613763750334</v>
      </c>
      <c r="Y144" s="571">
        <f>Y70+Y79-('Ethylene Recycling LC'!X91+'Ethylene Recycling LC'!X124+'Ethylene Recycling LC'!X150+'Ethylene Recycling LC'!X172-('Ethylene Recycling LC'!$C$91+'Ethylene Recycling LC'!$C$124+'Ethylene Recycling LC'!$C$150+'Ethylene Recycling LC'!$C$172))</f>
        <v>45982.609731236727</v>
      </c>
      <c r="Z144" s="571">
        <f>Z70+Z79-('Ethylene Recycling LC'!Y91+'Ethylene Recycling LC'!Y124+'Ethylene Recycling LC'!Y150+'Ethylene Recycling LC'!Y172-('Ethylene Recycling LC'!$C$91+'Ethylene Recycling LC'!$C$124+'Ethylene Recycling LC'!$C$150+'Ethylene Recycling LC'!$C$172))</f>
        <v>42716.369835656755</v>
      </c>
      <c r="AA144" s="571">
        <f>AA70+AA79-('Ethylene Recycling LC'!Z91+'Ethylene Recycling LC'!Z124+'Ethylene Recycling LC'!Z150+'Ethylene Recycling LC'!Z172-('Ethylene Recycling LC'!$C$91+'Ethylene Recycling LC'!$C$124+'Ethylene Recycling LC'!$C$150+'Ethylene Recycling LC'!$C$172))</f>
        <v>39499.431629235216</v>
      </c>
      <c r="AB144" s="571">
        <f>AB70+AB79-('Ethylene Recycling LC'!AA91+'Ethylene Recycling LC'!AA124+'Ethylene Recycling LC'!AA150+'Ethylene Recycling LC'!AA172-('Ethylene Recycling LC'!$C$91+'Ethylene Recycling LC'!$C$124+'Ethylene Recycling LC'!$C$150+'Ethylene Recycling LC'!$C$172))</f>
        <v>36330.201012341</v>
      </c>
      <c r="AC144" s="571">
        <f>AC70+AC79-('Ethylene Recycling LC'!AB91+'Ethylene Recycling LC'!AB124+'Ethylene Recycling LC'!AB150+'Ethylene Recycling LC'!AB172-('Ethylene Recycling LC'!$C$91+'Ethylene Recycling LC'!$C$124+'Ethylene Recycling LC'!$C$150+'Ethylene Recycling LC'!$C$172))</f>
        <v>33208.38784586401</v>
      </c>
      <c r="AD144" s="571">
        <f>AD70+AD79-('Ethylene Recycling LC'!AC91+'Ethylene Recycling LC'!AC124+'Ethylene Recycling LC'!AC150+'Ethylene Recycling LC'!AC172-('Ethylene Recycling LC'!$C$91+'Ethylene Recycling LC'!$C$124+'Ethylene Recycling LC'!$C$150+'Ethylene Recycling LC'!$C$172))</f>
        <v>30071.986805986584</v>
      </c>
      <c r="AE144" s="571">
        <f>AE70+AE79-('Ethylene Recycling LC'!AD91+'Ethylene Recycling LC'!AD124+'Ethylene Recycling LC'!AD150+'Ethylene Recycling LC'!AD172-('Ethylene Recycling LC'!$C$91+'Ethylene Recycling LC'!$C$124+'Ethylene Recycling LC'!$C$150+'Ethylene Recycling LC'!$C$172))</f>
        <v>26984.914920361654</v>
      </c>
      <c r="AF144" s="571">
        <f>AF70+AF79-('Ethylene Recycling LC'!AE91+'Ethylene Recycling LC'!AE124+'Ethylene Recycling LC'!AE150+'Ethylene Recycling LC'!AE172-('Ethylene Recycling LC'!$C$91+'Ethylene Recycling LC'!$C$124+'Ethylene Recycling LC'!$C$150+'Ethylene Recycling LC'!$C$172))</f>
        <v>23946.853225319654</v>
      </c>
      <c r="AG144" s="571">
        <f>AG70+AG79-('Ethylene Recycling LC'!AF91+'Ethylene Recycling LC'!AF124+'Ethylene Recycling LC'!AF150+'Ethylene Recycling LC'!AF172-('Ethylene Recycling LC'!$C$91+'Ethylene Recycling LC'!$C$124+'Ethylene Recycling LC'!$C$150+'Ethylene Recycling LC'!$C$172))</f>
        <v>20957.485824027666</v>
      </c>
      <c r="AH144" s="571">
        <f>AH70+AH79-('Ethylene Recycling LC'!AG91+'Ethylene Recycling LC'!AG124+'Ethylene Recycling LC'!AG150+'Ethylene Recycling LC'!AG172-('Ethylene Recycling LC'!$C$91+'Ethylene Recycling LC'!$C$124+'Ethylene Recycling LC'!$C$150+'Ethylene Recycling LC'!$C$172))</f>
        <v>18016.500335630968</v>
      </c>
      <c r="AI144" s="56"/>
    </row>
    <row r="145" spans="1:36" s="62" customFormat="1">
      <c r="A145" s="610"/>
      <c r="B145" s="58" t="s">
        <v>605</v>
      </c>
      <c r="C145" s="233" t="s">
        <v>1420</v>
      </c>
      <c r="D145" s="528">
        <f>D71+D80-('Ethylene Recycling LC'!C92+'Ethylene Recycling LC'!C125+'Ethylene Recycling LC'!C151+'Ethylene Recycling LC'!C173-('Ethylene Recycling LC'!$C$92+'Ethylene Recycling LC'!$C$125+'Ethylene Recycling LC'!$C$151+'Ethylene Recycling LC'!$C$173))</f>
        <v>35832.469182091416</v>
      </c>
      <c r="E145" s="528">
        <f>E71+E80-('Ethylene Recycling LC'!D92+'Ethylene Recycling LC'!D125+'Ethylene Recycling LC'!D151+'Ethylene Recycling LC'!D173-('Ethylene Recycling LC'!$C$92+'Ethylene Recycling LC'!$C$125+'Ethylene Recycling LC'!$C$151+'Ethylene Recycling LC'!$C$173))</f>
        <v>35560.31174243756</v>
      </c>
      <c r="F145" s="528">
        <f>F71+F80-('Ethylene Recycling LC'!E92+'Ethylene Recycling LC'!E125+'Ethylene Recycling LC'!E151+'Ethylene Recycling LC'!E173-('Ethylene Recycling LC'!$C$92+'Ethylene Recycling LC'!$C$125+'Ethylene Recycling LC'!$C$151+'Ethylene Recycling LC'!$C$173))</f>
        <v>42833.221406719829</v>
      </c>
      <c r="G145" s="528">
        <f>G71+G80-('Ethylene Recycling LC'!F92+'Ethylene Recycling LC'!F125+'Ethylene Recycling LC'!F151+'Ethylene Recycling LC'!F173-('Ethylene Recycling LC'!$C$92+'Ethylene Recycling LC'!$C$125+'Ethylene Recycling LC'!$C$151+'Ethylene Recycling LC'!$C$173))</f>
        <v>59337.163691748632</v>
      </c>
      <c r="H145" s="528">
        <f>H71+H80-('Ethylene Recycling LC'!G92+'Ethylene Recycling LC'!G125+'Ethylene Recycling LC'!G151+'Ethylene Recycling LC'!G173-('Ethylene Recycling LC'!$C$92+'Ethylene Recycling LC'!$C$125+'Ethylene Recycling LC'!$C$151+'Ethylene Recycling LC'!$C$173))</f>
        <v>33537.108149133419</v>
      </c>
      <c r="I145" s="528">
        <f>I71+I80-('Ethylene Recycling LC'!H92+'Ethylene Recycling LC'!H125+'Ethylene Recycling LC'!H151+'Ethylene Recycling LC'!H173-('Ethylene Recycling LC'!$C$92+'Ethylene Recycling LC'!$C$125+'Ethylene Recycling LC'!$C$151+'Ethylene Recycling LC'!$C$173))</f>
        <v>32831.445822359885</v>
      </c>
      <c r="J145" s="528">
        <f>J71+J80-('Ethylene Recycling LC'!I92+'Ethylene Recycling LC'!I125+'Ethylene Recycling LC'!I151+'Ethylene Recycling LC'!I173-('Ethylene Recycling LC'!$C$92+'Ethylene Recycling LC'!$C$125+'Ethylene Recycling LC'!$C$151+'Ethylene Recycling LC'!$C$173))</f>
        <v>32061.642693801379</v>
      </c>
      <c r="K145" s="528">
        <f>K71+K80-('Ethylene Recycling LC'!J92+'Ethylene Recycling LC'!J125+'Ethylene Recycling LC'!J151+'Ethylene Recycling LC'!J173-('Ethylene Recycling LC'!$C$92+'Ethylene Recycling LC'!$C$125+'Ethylene Recycling LC'!$C$151+'Ethylene Recycling LC'!$C$173))</f>
        <v>31266.669600455614</v>
      </c>
      <c r="L145" s="528">
        <f>L71+L80-('Ethylene Recycling LC'!K92+'Ethylene Recycling LC'!K125+'Ethylene Recycling LC'!K151+'Ethylene Recycling LC'!K173-('Ethylene Recycling LC'!$C$92+'Ethylene Recycling LC'!$C$125+'Ethylene Recycling LC'!$C$151+'Ethylene Recycling LC'!$C$173))</f>
        <v>30452.594862345617</v>
      </c>
      <c r="M145" s="528">
        <f>M71+M80-('Ethylene Recycling LC'!L92+'Ethylene Recycling LC'!L125+'Ethylene Recycling LC'!L151+'Ethylene Recycling LC'!L173-('Ethylene Recycling LC'!$C$92+'Ethylene Recycling LC'!$C$125+'Ethylene Recycling LC'!$C$151+'Ethylene Recycling LC'!$C$173))</f>
        <v>29625.24681949546</v>
      </c>
      <c r="N145" s="528">
        <f>N71+N80-('Ethylene Recycling LC'!M92+'Ethylene Recycling LC'!M125+'Ethylene Recycling LC'!M151+'Ethylene Recycling LC'!M173-('Ethylene Recycling LC'!$C$92+'Ethylene Recycling LC'!$C$125+'Ethylene Recycling LC'!$C$151+'Ethylene Recycling LC'!$C$173))</f>
        <v>28790.216185043286</v>
      </c>
      <c r="O145" s="528">
        <f>O71+O80-('Ethylene Recycling LC'!N92+'Ethylene Recycling LC'!N125+'Ethylene Recycling LC'!N151+'Ethylene Recycling LC'!N173-('Ethylene Recycling LC'!$C$92+'Ethylene Recycling LC'!$C$125+'Ethylene Recycling LC'!$C$151+'Ethylene Recycling LC'!$C$173))</f>
        <v>27981.931766815585</v>
      </c>
      <c r="P145" s="528">
        <f>P71+P80-('Ethylene Recycling LC'!O92+'Ethylene Recycling LC'!O125+'Ethylene Recycling LC'!O151+'Ethylene Recycling LC'!O173-('Ethylene Recycling LC'!$C$92+'Ethylene Recycling LC'!$C$125+'Ethylene Recycling LC'!$C$151+'Ethylene Recycling LC'!$C$173))</f>
        <v>27178.468273736416</v>
      </c>
      <c r="Q145" s="528">
        <f>Q71+Q80-('Ethylene Recycling LC'!P92+'Ethylene Recycling LC'!P125+'Ethylene Recycling LC'!P151+'Ethylene Recycling LC'!P173-('Ethylene Recycling LC'!$C$92+'Ethylene Recycling LC'!$C$125+'Ethylene Recycling LC'!$C$151+'Ethylene Recycling LC'!$C$173))</f>
        <v>26391.687620339802</v>
      </c>
      <c r="R145" s="528">
        <f>R71+R80-('Ethylene Recycling LC'!Q92+'Ethylene Recycling LC'!Q125+'Ethylene Recycling LC'!Q151+'Ethylene Recycling LC'!Q173-('Ethylene Recycling LC'!$C$92+'Ethylene Recycling LC'!$C$125+'Ethylene Recycling LC'!$C$151+'Ethylene Recycling LC'!$C$173))</f>
        <v>25620.481900591552</v>
      </c>
      <c r="S145" s="528">
        <f>S71+S80-('Ethylene Recycling LC'!R92+'Ethylene Recycling LC'!R125+'Ethylene Recycling LC'!R151+'Ethylene Recycling LC'!R173-('Ethylene Recycling LC'!$C$92+'Ethylene Recycling LC'!$C$125+'Ethylene Recycling LC'!$C$151+'Ethylene Recycling LC'!$C$173))</f>
        <v>24867.596130492962</v>
      </c>
      <c r="T145" s="528">
        <f>T71+T80-('Ethylene Recycling LC'!S92+'Ethylene Recycling LC'!S125+'Ethylene Recycling LC'!S151+'Ethylene Recycling LC'!S173-('Ethylene Recycling LC'!$C$92+'Ethylene Recycling LC'!$C$125+'Ethylene Recycling LC'!$C$151+'Ethylene Recycling LC'!$C$173))</f>
        <v>24014.170016224271</v>
      </c>
      <c r="U145" s="528">
        <f>U71+U80-('Ethylene Recycling LC'!T92+'Ethylene Recycling LC'!T125+'Ethylene Recycling LC'!T151+'Ethylene Recycling LC'!T173-('Ethylene Recycling LC'!$C$92+'Ethylene Recycling LC'!$C$125+'Ethylene Recycling LC'!$C$151+'Ethylene Recycling LC'!$C$173))</f>
        <v>23175.712813084825</v>
      </c>
      <c r="V145" s="528">
        <f>V71+V80-('Ethylene Recycling LC'!U92+'Ethylene Recycling LC'!U125+'Ethylene Recycling LC'!U151+'Ethylene Recycling LC'!U173-('Ethylene Recycling LC'!$C$92+'Ethylene Recycling LC'!$C$125+'Ethylene Recycling LC'!$C$151+'Ethylene Recycling LC'!$C$173))</f>
        <v>22354.044929657794</v>
      </c>
      <c r="W145" s="528">
        <f>W71+W80-('Ethylene Recycling LC'!V92+'Ethylene Recycling LC'!V125+'Ethylene Recycling LC'!V151+'Ethylene Recycling LC'!V173-('Ethylene Recycling LC'!$C$92+'Ethylene Recycling LC'!$C$125+'Ethylene Recycling LC'!$C$151+'Ethylene Recycling LC'!$C$173))</f>
        <v>21550.883316982254</v>
      </c>
      <c r="X145" s="528">
        <f>X71+X80-('Ethylene Recycling LC'!W92+'Ethylene Recycling LC'!W125+'Ethylene Recycling LC'!W151+'Ethylene Recycling LC'!W173-('Ethylene Recycling LC'!$C$92+'Ethylene Recycling LC'!$C$125+'Ethylene Recycling LC'!$C$151+'Ethylene Recycling LC'!$C$173))</f>
        <v>20767.842516721248</v>
      </c>
      <c r="Y145" s="528">
        <f>Y71+Y80-('Ethylene Recycling LC'!X92+'Ethylene Recycling LC'!X125+'Ethylene Recycling LC'!X151+'Ethylene Recycling LC'!X173-('Ethylene Recycling LC'!$C$92+'Ethylene Recycling LC'!$C$125+'Ethylene Recycling LC'!$C$151+'Ethylene Recycling LC'!$C$173))</f>
        <v>19848.691060972167</v>
      </c>
      <c r="Z145" s="528">
        <f>Z71+Z80-('Ethylene Recycling LC'!Y92+'Ethylene Recycling LC'!Y125+'Ethylene Recycling LC'!Y151+'Ethylene Recycling LC'!Y173-('Ethylene Recycling LC'!$C$92+'Ethylene Recycling LC'!$C$125+'Ethylene Recycling LC'!$C$151+'Ethylene Recycling LC'!$C$173))</f>
        <v>18954.407963150297</v>
      </c>
      <c r="AA145" s="528">
        <f>AA71+AA80-('Ethylene Recycling LC'!Z92+'Ethylene Recycling LC'!Z125+'Ethylene Recycling LC'!Z151+'Ethylene Recycling LC'!Z173-('Ethylene Recycling LC'!$C$92+'Ethylene Recycling LC'!$C$125+'Ethylene Recycling LC'!$C$151+'Ethylene Recycling LC'!$C$173))</f>
        <v>18087.768654374704</v>
      </c>
      <c r="AB145" s="528">
        <f>AB71+AB80-('Ethylene Recycling LC'!AA92+'Ethylene Recycling LC'!AA125+'Ethylene Recycling LC'!AA151+'Ethylene Recycling LC'!AA173-('Ethylene Recycling LC'!$C$92+'Ethylene Recycling LC'!$C$125+'Ethylene Recycling LC'!$C$151+'Ethylene Recycling LC'!$C$173))</f>
        <v>17251.002260831476</v>
      </c>
      <c r="AC145" s="528">
        <f>AC71+AC80-('Ethylene Recycling LC'!AB92+'Ethylene Recycling LC'!AB125+'Ethylene Recycling LC'!AB151+'Ethylene Recycling LC'!AB173-('Ethylene Recycling LC'!$C$92+'Ethylene Recycling LC'!$C$125+'Ethylene Recycling LC'!$C$151+'Ethylene Recycling LC'!$C$173))</f>
        <v>16446.185661118281</v>
      </c>
      <c r="AD145" s="528">
        <f>AD71+AD80-('Ethylene Recycling LC'!AC92+'Ethylene Recycling LC'!AC125+'Ethylene Recycling LC'!AC151+'Ethylene Recycling LC'!AC173-('Ethylene Recycling LC'!$C$92+'Ethylene Recycling LC'!$C$125+'Ethylene Recycling LC'!$C$151+'Ethylene Recycling LC'!$C$173))</f>
        <v>15708.137016719322</v>
      </c>
      <c r="AE145" s="528">
        <f>AE71+AE80-('Ethylene Recycling LC'!AD92+'Ethylene Recycling LC'!AD125+'Ethylene Recycling LC'!AD151+'Ethylene Recycling LC'!AD173-('Ethylene Recycling LC'!$C$92+'Ethylene Recycling LC'!$C$125+'Ethylene Recycling LC'!$C$151+'Ethylene Recycling LC'!$C$173))</f>
        <v>15014.433075032844</v>
      </c>
      <c r="AF145" s="528">
        <f>AF71+AF80-('Ethylene Recycling LC'!AE92+'Ethylene Recycling LC'!AE125+'Ethylene Recycling LC'!AE151+'Ethylene Recycling LC'!AE173-('Ethylene Recycling LC'!$C$92+'Ethylene Recycling LC'!$C$125+'Ethylene Recycling LC'!$C$151+'Ethylene Recycling LC'!$C$173))</f>
        <v>14366.887691970267</v>
      </c>
      <c r="AG145" s="528">
        <f>AG71+AG80-('Ethylene Recycling LC'!AF92+'Ethylene Recycling LC'!AF125+'Ethylene Recycling LC'!AF151+'Ethylene Recycling LC'!AF173-('Ethylene Recycling LC'!$C$92+'Ethylene Recycling LC'!$C$125+'Ethylene Recycling LC'!$C$151+'Ethylene Recycling LC'!$C$173))</f>
        <v>13767.139910484346</v>
      </c>
      <c r="AH145" s="528">
        <f>AH71+AH80-('Ethylene Recycling LC'!AG92+'Ethylene Recycling LC'!AG125+'Ethylene Recycling LC'!AG151+'Ethylene Recycling LC'!AG173-('Ethylene Recycling LC'!$C$92+'Ethylene Recycling LC'!$C$125+'Ethylene Recycling LC'!$C$151+'Ethylene Recycling LC'!$C$173))</f>
        <v>13216.655793925744</v>
      </c>
      <c r="AI145" s="234"/>
    </row>
    <row r="146" spans="1:36" s="61" customFormat="1">
      <c r="A146" s="54" t="s">
        <v>78</v>
      </c>
      <c r="B146" s="54" t="s">
        <v>264</v>
      </c>
      <c r="C146" s="93" t="s">
        <v>1420</v>
      </c>
      <c r="D146" s="572">
        <f t="shared" ref="D146:AH146" si="46">D94+D114+D124+D125+D126+D136+D137+D138+D104</f>
        <v>0</v>
      </c>
      <c r="E146" s="572">
        <f t="shared" si="46"/>
        <v>11661.268028028535</v>
      </c>
      <c r="F146" s="572">
        <f t="shared" si="46"/>
        <v>22778.853097089785</v>
      </c>
      <c r="G146" s="572">
        <f t="shared" si="46"/>
        <v>33350.461054800406</v>
      </c>
      <c r="H146" s="572">
        <f t="shared" si="46"/>
        <v>43373.833395485366</v>
      </c>
      <c r="I146" s="572">
        <f t="shared" si="46"/>
        <v>52846.747035609085</v>
      </c>
      <c r="J146" s="572">
        <f t="shared" si="46"/>
        <v>61461.674149153223</v>
      </c>
      <c r="K146" s="572">
        <f t="shared" si="46"/>
        <v>69428.176884077082</v>
      </c>
      <c r="L146" s="572">
        <f t="shared" si="46"/>
        <v>76747.576355121535</v>
      </c>
      <c r="M146" s="572">
        <f t="shared" si="46"/>
        <v>83421.200592357796</v>
      </c>
      <c r="N146" s="572">
        <f t="shared" si="46"/>
        <v>89450.384469192402</v>
      </c>
      <c r="O146" s="572">
        <f t="shared" si="46"/>
        <v>80320.932804625161</v>
      </c>
      <c r="P146" s="572">
        <f t="shared" si="46"/>
        <v>72812.594979412475</v>
      </c>
      <c r="Q146" s="572">
        <f t="shared" si="46"/>
        <v>63517.010611104866</v>
      </c>
      <c r="R146" s="572">
        <f t="shared" si="46"/>
        <v>54004.18209569087</v>
      </c>
      <c r="S146" s="572">
        <f t="shared" si="46"/>
        <v>44276.790796313588</v>
      </c>
      <c r="T146" s="572">
        <f t="shared" si="46"/>
        <v>34524.139055441687</v>
      </c>
      <c r="U146" s="572">
        <f t="shared" si="46"/>
        <v>24575.254513898191</v>
      </c>
      <c r="V146" s="572">
        <f t="shared" si="46"/>
        <v>14432.124895387045</v>
      </c>
      <c r="W146" s="572">
        <f t="shared" si="46"/>
        <v>4096.7233313298357</v>
      </c>
      <c r="X146" s="572">
        <f t="shared" si="46"/>
        <v>-6428.9915826297238</v>
      </c>
      <c r="Y146" s="572">
        <f t="shared" si="46"/>
        <v>-13672.848730577029</v>
      </c>
      <c r="Z146" s="572">
        <f t="shared" si="46"/>
        <v>-20964.894575626939</v>
      </c>
      <c r="AA146" s="572">
        <f t="shared" si="46"/>
        <v>-28483.385521380525</v>
      </c>
      <c r="AB146" s="572">
        <f t="shared" si="46"/>
        <v>-36181.646507348742</v>
      </c>
      <c r="AC146" s="572">
        <f t="shared" si="46"/>
        <v>-44056.218468545216</v>
      </c>
      <c r="AD146" s="572">
        <f t="shared" si="46"/>
        <v>-52236.089743291661</v>
      </c>
      <c r="AE146" s="572">
        <f t="shared" si="46"/>
        <v>-60593.669484515507</v>
      </c>
      <c r="AF146" s="572">
        <f t="shared" si="46"/>
        <v>-69125.164245945984</v>
      </c>
      <c r="AG146" s="572">
        <f t="shared" si="46"/>
        <v>-77826.826937410209</v>
      </c>
      <c r="AH146" s="572">
        <f t="shared" si="46"/>
        <v>-86694.956876187905</v>
      </c>
    </row>
    <row r="147" spans="1:36" s="62" customFormat="1">
      <c r="B147" s="58" t="s">
        <v>265</v>
      </c>
      <c r="C147" s="59" t="s">
        <v>1420</v>
      </c>
      <c r="D147" s="587">
        <f t="shared" ref="D147:AH147" si="47">D93+D103+D113+D123+D135</f>
        <v>0</v>
      </c>
      <c r="E147" s="587">
        <f t="shared" si="47"/>
        <v>23655.804754345289</v>
      </c>
      <c r="F147" s="587">
        <f t="shared" si="47"/>
        <v>46926.246202847076</v>
      </c>
      <c r="G147" s="587">
        <f t="shared" si="47"/>
        <v>69808.258141889775</v>
      </c>
      <c r="H147" s="587">
        <f t="shared" si="47"/>
        <v>92298.811688187736</v>
      </c>
      <c r="I147" s="587">
        <f t="shared" si="47"/>
        <v>114394.91505491421</v>
      </c>
      <c r="J147" s="587">
        <f t="shared" si="47"/>
        <v>135203.60226254744</v>
      </c>
      <c r="K147" s="587">
        <f t="shared" si="47"/>
        <v>155477.99420177785</v>
      </c>
      <c r="L147" s="587">
        <f t="shared" si="47"/>
        <v>175213.29456049978</v>
      </c>
      <c r="M147" s="587">
        <f t="shared" si="47"/>
        <v>194404.76409893573</v>
      </c>
      <c r="N147" s="587">
        <f t="shared" si="47"/>
        <v>213047.72030841518</v>
      </c>
      <c r="O147" s="587">
        <f t="shared" si="47"/>
        <v>227412.22270167823</v>
      </c>
      <c r="P147" s="587">
        <f t="shared" si="47"/>
        <v>242082.69914829862</v>
      </c>
      <c r="Q147" s="587">
        <f t="shared" si="47"/>
        <v>254875.36881657958</v>
      </c>
      <c r="R147" s="587">
        <f t="shared" si="47"/>
        <v>266763.87797677761</v>
      </c>
      <c r="S147" s="587">
        <f t="shared" si="47"/>
        <v>277742.5559509818</v>
      </c>
      <c r="T147" s="587">
        <f t="shared" si="47"/>
        <v>287847.710385493</v>
      </c>
      <c r="U147" s="587">
        <f t="shared" si="47"/>
        <v>297039.73087477119</v>
      </c>
      <c r="V147" s="587">
        <f t="shared" si="47"/>
        <v>305313.6757241633</v>
      </c>
      <c r="W147" s="587">
        <f t="shared" si="47"/>
        <v>312664.67655759386</v>
      </c>
      <c r="X147" s="587">
        <f t="shared" si="47"/>
        <v>319087.93787297641</v>
      </c>
      <c r="Y147" s="587">
        <f t="shared" si="47"/>
        <v>337639.89548650506</v>
      </c>
      <c r="Z147" s="587">
        <f t="shared" si="47"/>
        <v>355214.73667805502</v>
      </c>
      <c r="AA147" s="587">
        <f t="shared" si="47"/>
        <v>371609.05396157509</v>
      </c>
      <c r="AB147" s="587">
        <f t="shared" si="47"/>
        <v>386877.1963527312</v>
      </c>
      <c r="AC147" s="587">
        <f t="shared" si="47"/>
        <v>401013.01095534128</v>
      </c>
      <c r="AD147" s="587">
        <f t="shared" si="47"/>
        <v>413907.98265584849</v>
      </c>
      <c r="AE147" s="587">
        <f t="shared" si="47"/>
        <v>425648.0298387548</v>
      </c>
      <c r="AF147" s="587">
        <f t="shared" si="47"/>
        <v>436226.98670156713</v>
      </c>
      <c r="AG147" s="587">
        <f t="shared" si="47"/>
        <v>445638.79664058576</v>
      </c>
      <c r="AH147" s="587">
        <f t="shared" si="47"/>
        <v>453877.51176232769</v>
      </c>
    </row>
    <row r="148" spans="1:36" s="97" customFormat="1">
      <c r="A148" s="95" t="s">
        <v>522</v>
      </c>
      <c r="B148" s="95"/>
      <c r="C148" s="96" t="s">
        <v>1420</v>
      </c>
      <c r="D148" s="583">
        <f>D95+D105+D115+IF(D127&lt;0,0,D127)+D139</f>
        <v>5341060.7015464325</v>
      </c>
      <c r="E148" s="583">
        <f t="shared" ref="E148:AH148" si="48">E95+E105+E115+IF(E127&lt;0,0,E127)+E139</f>
        <v>5260111.3368500452</v>
      </c>
      <c r="F148" s="583">
        <f t="shared" si="48"/>
        <v>5159049.6400373932</v>
      </c>
      <c r="G148" s="583">
        <f t="shared" si="48"/>
        <v>5059695.5550435018</v>
      </c>
      <c r="H148" s="583">
        <f t="shared" si="48"/>
        <v>4962054.3957852535</v>
      </c>
      <c r="I148" s="583">
        <f t="shared" si="48"/>
        <v>4866131.7597042294</v>
      </c>
      <c r="J148" s="583">
        <f t="shared" si="48"/>
        <v>4770389.9558786107</v>
      </c>
      <c r="K148" s="583">
        <f t="shared" si="48"/>
        <v>4676654.0959164901</v>
      </c>
      <c r="L148" s="583">
        <f t="shared" si="48"/>
        <v>4584928.6834483994</v>
      </c>
      <c r="M148" s="583">
        <f t="shared" si="48"/>
        <v>4495218.5953919683</v>
      </c>
      <c r="N148" s="583">
        <f t="shared" si="48"/>
        <v>4407529.1043773154</v>
      </c>
      <c r="O148" s="583">
        <f t="shared" si="48"/>
        <v>4322340.8813490793</v>
      </c>
      <c r="P148" s="583">
        <f t="shared" si="48"/>
        <v>4241406.0358923981</v>
      </c>
      <c r="Q148" s="583">
        <f t="shared" si="48"/>
        <v>4160141.392889956</v>
      </c>
      <c r="R148" s="583">
        <f t="shared" si="48"/>
        <v>4081000.2887466475</v>
      </c>
      <c r="S148" s="583">
        <f t="shared" si="48"/>
        <v>4003986.255831806</v>
      </c>
      <c r="T148" s="583">
        <f t="shared" si="48"/>
        <v>3924581.9488957431</v>
      </c>
      <c r="U148" s="583">
        <f t="shared" si="48"/>
        <v>3847383.3683232265</v>
      </c>
      <c r="V148" s="583">
        <f t="shared" si="48"/>
        <v>3772394.5984620396</v>
      </c>
      <c r="W148" s="583">
        <f t="shared" si="48"/>
        <v>3699620.3738316782</v>
      </c>
      <c r="X148" s="583">
        <f t="shared" si="48"/>
        <v>3629066.1174054849</v>
      </c>
      <c r="Y148" s="583">
        <f t="shared" si="48"/>
        <v>3542905.8005479961</v>
      </c>
      <c r="Z148" s="583">
        <f t="shared" si="48"/>
        <v>3459041.6201930754</v>
      </c>
      <c r="AA148" s="583">
        <f t="shared" si="48"/>
        <v>3377451.4931241283</v>
      </c>
      <c r="AB148" s="583">
        <f t="shared" si="48"/>
        <v>3298036.7262240858</v>
      </c>
      <c r="AC148" s="583">
        <f t="shared" si="48"/>
        <v>3220803.3068722156</v>
      </c>
      <c r="AD148" s="583">
        <f t="shared" si="48"/>
        <v>3144526.9424912632</v>
      </c>
      <c r="AE148" s="583">
        <f t="shared" si="48"/>
        <v>3070501.1500083096</v>
      </c>
      <c r="AF148" s="583">
        <f t="shared" si="48"/>
        <v>2998734.2462741104</v>
      </c>
      <c r="AG148" s="583">
        <f t="shared" si="48"/>
        <v>2929235.700778564</v>
      </c>
      <c r="AH148" s="583">
        <f t="shared" si="48"/>
        <v>2862016.2068750663</v>
      </c>
      <c r="AJ148" s="97" t="s">
        <v>527</v>
      </c>
    </row>
    <row r="149" spans="1:36" s="61" customFormat="1">
      <c r="A149" s="606" t="s">
        <v>608</v>
      </c>
      <c r="B149" s="54" t="s">
        <v>141</v>
      </c>
      <c r="C149" s="55" t="s">
        <v>1420</v>
      </c>
      <c r="D149" s="571">
        <f>D96+D106+D116+D128+D140</f>
        <v>1581163.9728652707</v>
      </c>
      <c r="E149" s="571">
        <f t="shared" ref="E149:AH154" si="49">E96+E106+E116+E128+E140</f>
        <v>1538130.6411275738</v>
      </c>
      <c r="F149" s="571">
        <f t="shared" si="49"/>
        <v>1486440.0235584145</v>
      </c>
      <c r="G149" s="571">
        <f t="shared" si="49"/>
        <v>1435959.9896886821</v>
      </c>
      <c r="H149" s="571">
        <f t="shared" si="49"/>
        <v>1386687.4538703759</v>
      </c>
      <c r="I149" s="571">
        <f t="shared" si="49"/>
        <v>1338619.2148170797</v>
      </c>
      <c r="J149" s="571">
        <f t="shared" si="49"/>
        <v>1291823.9530687737</v>
      </c>
      <c r="K149" s="571">
        <f t="shared" si="49"/>
        <v>1246283.6009443214</v>
      </c>
      <c r="L149" s="571">
        <f t="shared" si="49"/>
        <v>1201994.2495223049</v>
      </c>
      <c r="M149" s="571">
        <f t="shared" si="49"/>
        <v>1158951.9107562578</v>
      </c>
      <c r="N149" s="571">
        <f t="shared" si="49"/>
        <v>1117152.52747627</v>
      </c>
      <c r="O149" s="571">
        <f t="shared" si="49"/>
        <v>1078811.4854576329</v>
      </c>
      <c r="P149" s="571">
        <f t="shared" si="49"/>
        <v>1044317.2326548938</v>
      </c>
      <c r="Q149" s="571">
        <f t="shared" si="49"/>
        <v>1008910.5489754316</v>
      </c>
      <c r="R149" s="571">
        <f t="shared" si="49"/>
        <v>974775.47351091472</v>
      </c>
      <c r="S149" s="571">
        <f t="shared" si="49"/>
        <v>941908.63711407967</v>
      </c>
      <c r="T149" s="571">
        <f t="shared" si="49"/>
        <v>909820.38222510763</v>
      </c>
      <c r="U149" s="571">
        <f t="shared" si="49"/>
        <v>879004.4563978028</v>
      </c>
      <c r="V149" s="571">
        <f t="shared" si="49"/>
        <v>849457.91716403584</v>
      </c>
      <c r="W149" s="571">
        <f t="shared" si="49"/>
        <v>821178.0483571802</v>
      </c>
      <c r="X149" s="571">
        <f t="shared" si="49"/>
        <v>794162.3786232858</v>
      </c>
      <c r="Y149" s="571">
        <f t="shared" si="49"/>
        <v>762303.25831411895</v>
      </c>
      <c r="Z149" s="571">
        <f t="shared" si="49"/>
        <v>732311.05169577152</v>
      </c>
      <c r="AA149" s="571">
        <f t="shared" si="49"/>
        <v>703654.54305725789</v>
      </c>
      <c r="AB149" s="571">
        <f t="shared" si="49"/>
        <v>676281.69384010765</v>
      </c>
      <c r="AC149" s="571">
        <f t="shared" si="49"/>
        <v>650193.39566521277</v>
      </c>
      <c r="AD149" s="571">
        <f t="shared" si="49"/>
        <v>625249.0454686014</v>
      </c>
      <c r="AE149" s="571">
        <f t="shared" si="49"/>
        <v>601597.72383950418</v>
      </c>
      <c r="AF149" s="571">
        <f t="shared" si="49"/>
        <v>579241.4729777585</v>
      </c>
      <c r="AG149" s="571">
        <f t="shared" si="49"/>
        <v>558182.80565530492</v>
      </c>
      <c r="AH149" s="571">
        <f t="shared" si="49"/>
        <v>538424.73842016782</v>
      </c>
      <c r="AI149" s="56"/>
    </row>
    <row r="150" spans="1:36">
      <c r="A150" s="607"/>
      <c r="B150" s="1" t="s">
        <v>18</v>
      </c>
      <c r="C150" s="50" t="s">
        <v>1420</v>
      </c>
      <c r="D150" s="183">
        <f t="shared" ref="D150:S154" si="50">D97+D107+D117+D129+D141</f>
        <v>1122665.661247253</v>
      </c>
      <c r="E150" s="183">
        <f t="shared" si="50"/>
        <v>1103860.9380485879</v>
      </c>
      <c r="F150" s="183">
        <f t="shared" si="50"/>
        <v>1080741.0754403251</v>
      </c>
      <c r="G150" s="183">
        <f t="shared" si="50"/>
        <v>1057879.5918255607</v>
      </c>
      <c r="H150" s="183">
        <f t="shared" si="50"/>
        <v>1035273.0214118764</v>
      </c>
      <c r="I150" s="183">
        <f t="shared" si="50"/>
        <v>1012917.9615131941</v>
      </c>
      <c r="J150" s="183">
        <f t="shared" si="50"/>
        <v>990742.28257410123</v>
      </c>
      <c r="K150" s="183">
        <f t="shared" si="50"/>
        <v>968862.49134088121</v>
      </c>
      <c r="L150" s="183">
        <f t="shared" si="50"/>
        <v>947286.30953226716</v>
      </c>
      <c r="M150" s="183">
        <f t="shared" si="50"/>
        <v>926021.44204322586</v>
      </c>
      <c r="N150" s="183">
        <f t="shared" si="50"/>
        <v>905075.58252415725</v>
      </c>
      <c r="O150" s="183">
        <f t="shared" si="50"/>
        <v>879642.06925033499</v>
      </c>
      <c r="P150" s="183">
        <f t="shared" si="50"/>
        <v>856811.07907631865</v>
      </c>
      <c r="Q150" s="183">
        <f t="shared" si="50"/>
        <v>831910.16459735646</v>
      </c>
      <c r="R150" s="183">
        <f t="shared" si="50"/>
        <v>807424.13202126534</v>
      </c>
      <c r="S150" s="183">
        <f t="shared" si="50"/>
        <v>783356.62775832647</v>
      </c>
      <c r="T150" s="183">
        <f t="shared" si="49"/>
        <v>759375.29390968999</v>
      </c>
      <c r="U150" s="183">
        <f t="shared" si="49"/>
        <v>735797.43922982027</v>
      </c>
      <c r="V150" s="183">
        <f t="shared" si="49"/>
        <v>712624.82983935729</v>
      </c>
      <c r="W150" s="183">
        <f t="shared" si="49"/>
        <v>689859.32745428954</v>
      </c>
      <c r="X150" s="183">
        <f t="shared" si="49"/>
        <v>667502.89787498186</v>
      </c>
      <c r="Y150" s="183">
        <f t="shared" si="49"/>
        <v>648777.93554316624</v>
      </c>
      <c r="Z150" s="183">
        <f t="shared" si="49"/>
        <v>630627.61597619788</v>
      </c>
      <c r="AA150" s="183">
        <f t="shared" si="49"/>
        <v>612857.94281554967</v>
      </c>
      <c r="AB150" s="183">
        <f t="shared" si="49"/>
        <v>595474.06670473039</v>
      </c>
      <c r="AC150" s="183">
        <f t="shared" si="49"/>
        <v>578481.25599439756</v>
      </c>
      <c r="AD150" s="183">
        <f t="shared" si="49"/>
        <v>561968.24032820924</v>
      </c>
      <c r="AE150" s="183">
        <f t="shared" si="49"/>
        <v>545884.93881846801</v>
      </c>
      <c r="AF150" s="183">
        <f t="shared" si="49"/>
        <v>530238.46551705268</v>
      </c>
      <c r="AG150" s="183">
        <f t="shared" si="49"/>
        <v>515036.09157083347</v>
      </c>
      <c r="AH150" s="183">
        <f t="shared" si="49"/>
        <v>500285.2603192277</v>
      </c>
      <c r="AI150" s="40"/>
    </row>
    <row r="151" spans="1:36">
      <c r="A151" s="607"/>
      <c r="B151" s="1" t="s">
        <v>607</v>
      </c>
      <c r="C151" s="50" t="s">
        <v>1420</v>
      </c>
      <c r="D151" s="183">
        <f t="shared" si="50"/>
        <v>1018827.6884632254</v>
      </c>
      <c r="E151" s="183">
        <f t="shared" si="49"/>
        <v>995799.54076061782</v>
      </c>
      <c r="F151" s="183">
        <f t="shared" si="49"/>
        <v>972788.17332478426</v>
      </c>
      <c r="G151" s="183">
        <f t="shared" si="49"/>
        <v>950005.15733628056</v>
      </c>
      <c r="H151" s="183">
        <f t="shared" si="49"/>
        <v>927454.18920517282</v>
      </c>
      <c r="I151" s="183">
        <f t="shared" si="49"/>
        <v>905139.10229622084</v>
      </c>
      <c r="J151" s="183">
        <f t="shared" si="49"/>
        <v>882945.41504634102</v>
      </c>
      <c r="K151" s="183">
        <f t="shared" si="49"/>
        <v>861025.59669941897</v>
      </c>
      <c r="L151" s="183">
        <f t="shared" si="49"/>
        <v>839383.66532811406</v>
      </c>
      <c r="M151" s="183">
        <f t="shared" si="49"/>
        <v>818023.77602419513</v>
      </c>
      <c r="N151" s="183">
        <f t="shared" si="49"/>
        <v>796950.22058971249</v>
      </c>
      <c r="O151" s="183">
        <f t="shared" si="49"/>
        <v>777469.12241310312</v>
      </c>
      <c r="P151" s="183">
        <f t="shared" si="49"/>
        <v>758224.72813954484</v>
      </c>
      <c r="Q151" s="183">
        <f t="shared" si="49"/>
        <v>739394.4365477378</v>
      </c>
      <c r="R151" s="183">
        <f t="shared" si="49"/>
        <v>720904.58042929543</v>
      </c>
      <c r="S151" s="183">
        <f t="shared" si="49"/>
        <v>702758.67248103279</v>
      </c>
      <c r="T151" s="183">
        <f t="shared" si="49"/>
        <v>684489.75447664165</v>
      </c>
      <c r="U151" s="183">
        <f t="shared" si="49"/>
        <v>666581.93886510411</v>
      </c>
      <c r="V151" s="183">
        <f t="shared" si="49"/>
        <v>649038.77410491672</v>
      </c>
      <c r="W151" s="183">
        <f t="shared" si="49"/>
        <v>631863.86825401813</v>
      </c>
      <c r="X151" s="183">
        <f t="shared" si="49"/>
        <v>615060.88846697926</v>
      </c>
      <c r="Y151" s="183">
        <f t="shared" si="49"/>
        <v>595657.86928977037</v>
      </c>
      <c r="Z151" s="183">
        <f t="shared" si="49"/>
        <v>576639.33484861755</v>
      </c>
      <c r="AA151" s="183">
        <f t="shared" si="49"/>
        <v>558032.45827419753</v>
      </c>
      <c r="AB151" s="183">
        <f t="shared" si="49"/>
        <v>539831.72764360835</v>
      </c>
      <c r="AC151" s="183">
        <f t="shared" si="49"/>
        <v>522040.38891277596</v>
      </c>
      <c r="AD151" s="183">
        <f t="shared" si="49"/>
        <v>504512.5818022298</v>
      </c>
      <c r="AE151" s="183">
        <f t="shared" si="49"/>
        <v>487405.43516261317</v>
      </c>
      <c r="AF151" s="183">
        <f t="shared" si="49"/>
        <v>470722.29506093514</v>
      </c>
      <c r="AG151" s="183">
        <f t="shared" si="49"/>
        <v>454466.56406491989</v>
      </c>
      <c r="AH151" s="183">
        <f t="shared" si="49"/>
        <v>438641.70086421247</v>
      </c>
      <c r="AI151" s="40"/>
    </row>
    <row r="152" spans="1:36">
      <c r="A152" s="608"/>
      <c r="B152" s="1" t="s">
        <v>27</v>
      </c>
      <c r="C152" s="50" t="s">
        <v>1420</v>
      </c>
      <c r="D152" s="183">
        <f t="shared" ref="D152:AG152" si="51">D99+D109+D119+IF(D131&lt;0,0,D131)+D143</f>
        <v>1670753.7771320087</v>
      </c>
      <c r="E152" s="183">
        <f t="shared" si="51"/>
        <v>1676588.0990247335</v>
      </c>
      <c r="F152" s="183">
        <f t="shared" si="51"/>
        <v>1675244.3466522545</v>
      </c>
      <c r="G152" s="183">
        <f t="shared" si="51"/>
        <v>1673885.6321132784</v>
      </c>
      <c r="H152" s="183">
        <f t="shared" si="51"/>
        <v>1672516.1570895107</v>
      </c>
      <c r="I152" s="183">
        <f t="shared" si="51"/>
        <v>1671140.2276569428</v>
      </c>
      <c r="J152" s="183">
        <f t="shared" si="51"/>
        <v>1668062.5127596173</v>
      </c>
      <c r="K152" s="183">
        <f t="shared" si="51"/>
        <v>1665061.6334288772</v>
      </c>
      <c r="L152" s="183">
        <f t="shared" si="51"/>
        <v>1662141.5938756706</v>
      </c>
      <c r="M152" s="183">
        <f t="shared" si="51"/>
        <v>1659306.5339880788</v>
      </c>
      <c r="N152" s="183">
        <f t="shared" si="51"/>
        <v>1656560.7369248841</v>
      </c>
      <c r="O152" s="183">
        <f t="shared" si="51"/>
        <v>1654786.6259009519</v>
      </c>
      <c r="P152" s="183">
        <f t="shared" si="51"/>
        <v>1650546.91917385</v>
      </c>
      <c r="Q152" s="183">
        <f t="shared" si="51"/>
        <v>1648387.5234511902</v>
      </c>
      <c r="R152" s="183">
        <f t="shared" si="51"/>
        <v>1646231.738440068</v>
      </c>
      <c r="S152" s="183">
        <f t="shared" si="51"/>
        <v>1644084.6981943424</v>
      </c>
      <c r="T152" s="183">
        <f t="shared" si="51"/>
        <v>1638829.9989382317</v>
      </c>
      <c r="U152" s="183">
        <f t="shared" si="51"/>
        <v>1633660.8473544382</v>
      </c>
      <c r="V152" s="183">
        <f t="shared" si="51"/>
        <v>1628581.9781587506</v>
      </c>
      <c r="W152" s="183">
        <f t="shared" si="51"/>
        <v>1623598.3376839701</v>
      </c>
      <c r="X152" s="183">
        <f t="shared" si="51"/>
        <v>1618715.0957996985</v>
      </c>
      <c r="Y152" s="183">
        <f t="shared" si="51"/>
        <v>1602422.3999764682</v>
      </c>
      <c r="Z152" s="183">
        <f t="shared" si="51"/>
        <v>1585545.6974330789</v>
      </c>
      <c r="AA152" s="183">
        <f t="shared" si="51"/>
        <v>1568748.541384507</v>
      </c>
      <c r="AB152" s="183">
        <f t="shared" si="51"/>
        <v>1552000.0743066627</v>
      </c>
      <c r="AC152" s="183">
        <f t="shared" si="51"/>
        <v>1535303.0528872595</v>
      </c>
      <c r="AD152" s="183">
        <f t="shared" si="51"/>
        <v>1517612.9528935845</v>
      </c>
      <c r="AE152" s="183">
        <f t="shared" si="51"/>
        <v>1500007.7729113954</v>
      </c>
      <c r="AF152" s="183">
        <f t="shared" si="51"/>
        <v>1482490.8558595602</v>
      </c>
      <c r="AG152" s="183">
        <f t="shared" si="51"/>
        <v>1465065.9323040138</v>
      </c>
      <c r="AH152" s="183">
        <f>AH99+AH109+AH119+IF(AH131&lt;0,0,AH131)+AH143</f>
        <v>1447737.1434933539</v>
      </c>
      <c r="AI152" s="40"/>
    </row>
    <row r="153" spans="1:36" s="61" customFormat="1">
      <c r="A153" s="609" t="s">
        <v>609</v>
      </c>
      <c r="B153" s="54" t="s">
        <v>606</v>
      </c>
      <c r="C153" s="55" t="s">
        <v>1420</v>
      </c>
      <c r="D153" s="571">
        <f t="shared" si="50"/>
        <v>464409.51086321456</v>
      </c>
      <c r="E153" s="571">
        <f t="shared" si="49"/>
        <v>449487.81724333268</v>
      </c>
      <c r="F153" s="571">
        <f t="shared" si="49"/>
        <v>434507.70653040463</v>
      </c>
      <c r="G153" s="571">
        <f t="shared" si="49"/>
        <v>419681.47747394064</v>
      </c>
      <c r="H153" s="571">
        <f t="shared" si="49"/>
        <v>405013.54812980938</v>
      </c>
      <c r="I153" s="571">
        <f t="shared" si="49"/>
        <v>390508.46762641153</v>
      </c>
      <c r="J153" s="571">
        <f t="shared" si="49"/>
        <v>376215.82940331986</v>
      </c>
      <c r="K153" s="571">
        <f t="shared" si="49"/>
        <v>362122.59631484619</v>
      </c>
      <c r="L153" s="571">
        <f t="shared" si="49"/>
        <v>348233.51647684019</v>
      </c>
      <c r="M153" s="571">
        <f t="shared" si="49"/>
        <v>334553.46900991799</v>
      </c>
      <c r="N153" s="571">
        <f t="shared" si="49"/>
        <v>321087.46377072483</v>
      </c>
      <c r="O153" s="571">
        <f t="shared" si="49"/>
        <v>309831.16851570841</v>
      </c>
      <c r="P153" s="571">
        <f t="shared" si="49"/>
        <v>298731.8980668353</v>
      </c>
      <c r="Q153" s="571">
        <f t="shared" si="49"/>
        <v>287967.92602692137</v>
      </c>
      <c r="R153" s="571">
        <f t="shared" si="49"/>
        <v>277466.45416712441</v>
      </c>
      <c r="S153" s="571">
        <f t="shared" si="49"/>
        <v>267231.85838960827</v>
      </c>
      <c r="T153" s="571">
        <f t="shared" si="49"/>
        <v>257054.08773597784</v>
      </c>
      <c r="U153" s="571">
        <f t="shared" si="49"/>
        <v>247156.64169440331</v>
      </c>
      <c r="V153" s="571">
        <f t="shared" si="49"/>
        <v>237543.99177703258</v>
      </c>
      <c r="W153" s="571">
        <f t="shared" si="49"/>
        <v>228220.6626889834</v>
      </c>
      <c r="X153" s="571">
        <f t="shared" si="49"/>
        <v>219191.23190337332</v>
      </c>
      <c r="Y153" s="571">
        <f t="shared" si="49"/>
        <v>207795.67859750977</v>
      </c>
      <c r="Z153" s="571">
        <f t="shared" si="49"/>
        <v>196708.36126623183</v>
      </c>
      <c r="AA153" s="571">
        <f t="shared" si="49"/>
        <v>185957.48448607791</v>
      </c>
      <c r="AB153" s="571">
        <f t="shared" si="49"/>
        <v>175538.56122263311</v>
      </c>
      <c r="AC153" s="571">
        <f t="shared" si="49"/>
        <v>165455.85581176786</v>
      </c>
      <c r="AD153" s="571">
        <f t="shared" si="49"/>
        <v>155651.96641759947</v>
      </c>
      <c r="AE153" s="571">
        <f t="shared" si="49"/>
        <v>146195.46176063511</v>
      </c>
      <c r="AF153" s="571">
        <f t="shared" si="49"/>
        <v>137090.72197391957</v>
      </c>
      <c r="AG153" s="571">
        <f t="shared" si="49"/>
        <v>128342.17686729254</v>
      </c>
      <c r="AH153" s="571">
        <f t="shared" si="49"/>
        <v>119954.30558997011</v>
      </c>
      <c r="AI153" s="56"/>
    </row>
    <row r="154" spans="1:36" s="62" customFormat="1">
      <c r="A154" s="610"/>
      <c r="B154" s="58" t="s">
        <v>605</v>
      </c>
      <c r="C154" s="233" t="s">
        <v>1420</v>
      </c>
      <c r="D154" s="528">
        <f t="shared" si="50"/>
        <v>395269.29735983856</v>
      </c>
      <c r="E154" s="528">
        <f t="shared" si="49"/>
        <v>386272.35207741481</v>
      </c>
      <c r="F154" s="528">
        <f t="shared" si="49"/>
        <v>384966.54850532219</v>
      </c>
      <c r="G154" s="528">
        <f t="shared" si="49"/>
        <v>393033.01252292487</v>
      </c>
      <c r="H154" s="528">
        <f t="shared" si="49"/>
        <v>358931.87855396338</v>
      </c>
      <c r="I154" s="528">
        <f t="shared" si="49"/>
        <v>350056.70762246998</v>
      </c>
      <c r="J154" s="528">
        <f t="shared" si="49"/>
        <v>341281.45998857089</v>
      </c>
      <c r="K154" s="528">
        <f t="shared" si="49"/>
        <v>332630.4658295415</v>
      </c>
      <c r="L154" s="528">
        <f t="shared" si="49"/>
        <v>324111.69565847435</v>
      </c>
      <c r="M154" s="528">
        <f t="shared" si="49"/>
        <v>315733.01458647283</v>
      </c>
      <c r="N154" s="528">
        <f t="shared" si="49"/>
        <v>307502.18350560463</v>
      </c>
      <c r="O154" s="528">
        <f t="shared" si="49"/>
        <v>298376.96817248303</v>
      </c>
      <c r="P154" s="528">
        <f t="shared" si="49"/>
        <v>289617.82946238335</v>
      </c>
      <c r="Q154" s="528">
        <f t="shared" si="49"/>
        <v>280270.63368524733</v>
      </c>
      <c r="R154" s="528">
        <f t="shared" si="49"/>
        <v>271118.56692015578</v>
      </c>
      <c r="S154" s="528">
        <f t="shared" si="49"/>
        <v>262165.30936378974</v>
      </c>
      <c r="T154" s="528">
        <f t="shared" si="49"/>
        <v>253220.89185004853</v>
      </c>
      <c r="U154" s="528">
        <f t="shared" si="49"/>
        <v>244456.89092068234</v>
      </c>
      <c r="V154" s="528">
        <f t="shared" si="49"/>
        <v>235874.73785967301</v>
      </c>
      <c r="W154" s="528">
        <f t="shared" si="49"/>
        <v>227475.80760431255</v>
      </c>
      <c r="X154" s="528">
        <f t="shared" si="49"/>
        <v>219261.41934281596</v>
      </c>
      <c r="Y154" s="528">
        <f t="shared" si="49"/>
        <v>211826.49375674987</v>
      </c>
      <c r="Z154" s="528">
        <f t="shared" si="49"/>
        <v>204638.92086972861</v>
      </c>
      <c r="AA154" s="528">
        <f t="shared" si="49"/>
        <v>197641.57936769494</v>
      </c>
      <c r="AB154" s="528">
        <f t="shared" si="49"/>
        <v>190837.86503183417</v>
      </c>
      <c r="AC154" s="528">
        <f t="shared" si="49"/>
        <v>184231.08757894809</v>
      </c>
      <c r="AD154" s="528">
        <f t="shared" si="49"/>
        <v>177956.46479291559</v>
      </c>
      <c r="AE154" s="528">
        <f t="shared" si="49"/>
        <v>171911.67409315996</v>
      </c>
      <c r="AF154" s="528">
        <f t="shared" si="49"/>
        <v>166101.20867781818</v>
      </c>
      <c r="AG154" s="528">
        <f t="shared" si="49"/>
        <v>160529.46549787003</v>
      </c>
      <c r="AH154" s="528">
        <f t="shared" si="49"/>
        <v>155200.74612417538</v>
      </c>
      <c r="AI154" s="234"/>
    </row>
    <row r="155" spans="1:36">
      <c r="A155" s="1" t="s">
        <v>763</v>
      </c>
      <c r="C155" s="55" t="s">
        <v>1420</v>
      </c>
      <c r="D155" s="590">
        <f>'Ethylene Recycling LC'!C266</f>
        <v>0.76136668012520714</v>
      </c>
      <c r="E155" s="590">
        <f>'Ethylene Recycling LC'!D266</f>
        <v>1.5386013173962072</v>
      </c>
      <c r="F155" s="590">
        <f>'Ethylene Recycling LC'!E266</f>
        <v>3.0857454192307818</v>
      </c>
      <c r="G155" s="590">
        <f>'Ethylene Recycling LC'!F266</f>
        <v>6.1418849478086557</v>
      </c>
      <c r="H155" s="590">
        <f>'Ethylene Recycling LC'!G266</f>
        <v>12.127595556867828</v>
      </c>
      <c r="I155" s="590">
        <f>'Ethylene Recycling LC'!H266</f>
        <v>23.735067424631016</v>
      </c>
      <c r="J155" s="590">
        <f>'Ethylene Recycling LC'!I266</f>
        <v>45.895993758412295</v>
      </c>
      <c r="K155" s="590">
        <f>'Ethylene Recycling LC'!J266</f>
        <v>87.620659330704427</v>
      </c>
      <c r="L155" s="590">
        <f>'Ethylene Recycling LC'!K266</f>
        <v>164.63647586975304</v>
      </c>
      <c r="M155" s="590">
        <f>'Ethylene Recycling LC'!L266</f>
        <v>303.18351736599431</v>
      </c>
      <c r="N155" s="590">
        <f>'Ethylene Recycling LC'!M266</f>
        <v>544.25587323324112</v>
      </c>
      <c r="O155" s="590">
        <f>'Ethylene Recycling LC'!N266</f>
        <v>925.74509210742849</v>
      </c>
      <c r="P155" s="590">
        <f>'Ethylene Recycling LC'!O266</f>
        <v>1520.4896958272254</v>
      </c>
      <c r="Q155" s="590">
        <f>'Ethylene Recycling LC'!P266</f>
        <v>2376.9556240517609</v>
      </c>
      <c r="R155" s="590">
        <f>'Ethylene Recycling LC'!Q266</f>
        <v>3523.5880765718493</v>
      </c>
      <c r="S155" s="590">
        <f>'Ethylene Recycling LC'!R266</f>
        <v>4929.5696421286275</v>
      </c>
      <c r="T155" s="590">
        <f>'Ethylene Recycling LC'!S266</f>
        <v>6499.2185902707088</v>
      </c>
      <c r="U155" s="590">
        <f>'Ethylene Recycling LC'!T266</f>
        <v>8086.6564450969854</v>
      </c>
      <c r="V155" s="590">
        <f>'Ethylene Recycling LC'!U266</f>
        <v>9540.7930693823255</v>
      </c>
      <c r="W155" s="590">
        <f>'Ethylene Recycling LC'!V266</f>
        <v>10746.059535200086</v>
      </c>
      <c r="X155" s="590">
        <f>'Ethylene Recycling LC'!W266</f>
        <v>11643.373081889227</v>
      </c>
      <c r="Y155" s="590">
        <f>'Ethylene Recycling LC'!X266</f>
        <v>12471.876443816178</v>
      </c>
      <c r="Z155" s="590">
        <f>'Ethylene Recycling LC'!Y266</f>
        <v>13034.65839539264</v>
      </c>
      <c r="AA155" s="590">
        <f>'Ethylene Recycling LC'!Z266</f>
        <v>13360.764053568957</v>
      </c>
      <c r="AB155" s="590">
        <f>'Ethylene Recycling LC'!AA266</f>
        <v>13493.431684246661</v>
      </c>
      <c r="AC155" s="590">
        <f>'Ethylene Recycling LC'!AB266</f>
        <v>13472.938640783255</v>
      </c>
      <c r="AD155" s="590">
        <f>'Ethylene Recycling LC'!AC266</f>
        <v>13330.534695316892</v>
      </c>
      <c r="AE155" s="590">
        <f>'Ethylene Recycling LC'!AD266</f>
        <v>13097.851616622982</v>
      </c>
      <c r="AF155" s="590">
        <f>'Ethylene Recycling LC'!AE266</f>
        <v>12796.922674959575</v>
      </c>
      <c r="AG155" s="590">
        <f>'Ethylene Recycling LC'!AF266</f>
        <v>12444.535687845811</v>
      </c>
      <c r="AH155" s="590">
        <f>'Ethylene Recycling LC'!AG266</f>
        <v>12053.348320544748</v>
      </c>
    </row>
    <row r="156" spans="1:36">
      <c r="A156" s="1" t="s">
        <v>764</v>
      </c>
      <c r="C156" s="233" t="s">
        <v>1420</v>
      </c>
      <c r="D156" s="590">
        <f>'Ethylene Recycling LC'!C268</f>
        <v>3.4012647988032261</v>
      </c>
      <c r="E156" s="590">
        <f>'Ethylene Recycling LC'!D268</f>
        <v>6.8734167607536865</v>
      </c>
      <c r="F156" s="590">
        <f>'Ethylene Recycling LC'!E268</f>
        <v>13.784996830662438</v>
      </c>
      <c r="G156" s="590">
        <f>'Ethylene Recycling LC'!F268</f>
        <v>27.43773482160471</v>
      </c>
      <c r="H156" s="590">
        <f>'Ethylene Recycling LC'!G268</f>
        <v>54.177789675420925</v>
      </c>
      <c r="I156" s="590">
        <f>'Ethylene Recycling LC'!H268</f>
        <v>106.03202298706144</v>
      </c>
      <c r="J156" s="590">
        <f>'Ethylene Recycling LC'!I268</f>
        <v>205.03186184994183</v>
      </c>
      <c r="K156" s="590">
        <f>'Ethylene Recycling LC'!J268</f>
        <v>391.42908667929191</v>
      </c>
      <c r="L156" s="590">
        <f>'Ethylene Recycling LC'!K268</f>
        <v>735.48299996884555</v>
      </c>
      <c r="M156" s="590">
        <f>'Ethylene Recycling LC'!L268</f>
        <v>1354.4162781390964</v>
      </c>
      <c r="N156" s="590">
        <f>'Ethylene Recycling LC'!M268</f>
        <v>2431.362432180129</v>
      </c>
      <c r="O156" s="590">
        <f>'Ethylene Recycling LC'!N268</f>
        <v>4135.5949460935708</v>
      </c>
      <c r="P156" s="590">
        <f>'Ethylene Recycling LC'!O268</f>
        <v>6792.5064418496704</v>
      </c>
      <c r="Q156" s="590">
        <f>'Ethylene Recycling LC'!P268</f>
        <v>10618.60953919744</v>
      </c>
      <c r="R156" s="590">
        <f>'Ethylene Recycling LC'!Q268</f>
        <v>15740.977906145979</v>
      </c>
      <c r="S156" s="590">
        <f>'Ethylene Recycling LC'!R268</f>
        <v>22021.940458786314</v>
      </c>
      <c r="T156" s="590">
        <f>'Ethylene Recycling LC'!S268</f>
        <v>29034.056766419064</v>
      </c>
      <c r="U156" s="590">
        <f>'Ethylene Recycling LC'!T268</f>
        <v>36125.641723906832</v>
      </c>
      <c r="V156" s="590">
        <f>'Ethylene Recycling LC'!U268</f>
        <v>42621.728093248508</v>
      </c>
      <c r="W156" s="590">
        <f>'Ethylene Recycling LC'!V268</f>
        <v>48006.033067941862</v>
      </c>
      <c r="X156" s="590">
        <f>'Ethylene Recycling LC'!W268</f>
        <v>52014.615344409685</v>
      </c>
      <c r="Y156" s="590">
        <f>'Ethylene Recycling LC'!X268</f>
        <v>55715.800849597348</v>
      </c>
      <c r="Z156" s="590">
        <f>'Ethylene Recycling LC'!Y268</f>
        <v>58229.925109650358</v>
      </c>
      <c r="AA156" s="590">
        <f>'Ethylene Recycling LC'!Z268</f>
        <v>59686.741811509783</v>
      </c>
      <c r="AB156" s="590">
        <f>'Ethylene Recycling LC'!AA268</f>
        <v>60279.40990947606</v>
      </c>
      <c r="AC156" s="590">
        <f>'Ethylene Recycling LC'!AB268</f>
        <v>60187.861028796164</v>
      </c>
      <c r="AD156" s="590">
        <f>'Ethylene Recycling LC'!AC268</f>
        <v>59551.697745625192</v>
      </c>
      <c r="AE156" s="590">
        <f>'Ethylene Recycling LC'!AD268</f>
        <v>58512.229135429894</v>
      </c>
      <c r="AF156" s="590">
        <f>'Ethylene Recycling LC'!AE268</f>
        <v>57167.884757169821</v>
      </c>
      <c r="AG156" s="590">
        <f>'Ethylene Recycling LC'!AF268</f>
        <v>55593.661080045858</v>
      </c>
      <c r="AH156" s="590">
        <f>'Ethylene Recycling LC'!AG268</f>
        <v>53846.103882088617</v>
      </c>
    </row>
    <row r="157" spans="1:36" s="97" customFormat="1">
      <c r="A157" s="95" t="s">
        <v>765</v>
      </c>
      <c r="B157" s="95"/>
      <c r="C157" s="96" t="s">
        <v>1420</v>
      </c>
      <c r="D157" s="583">
        <f>D148-D155-D156</f>
        <v>5341056.5389149534</v>
      </c>
      <c r="E157" s="583">
        <f t="shared" ref="E157:AH157" si="52">E148-E155-E156</f>
        <v>5260102.9248319669</v>
      </c>
      <c r="F157" s="583">
        <f t="shared" si="52"/>
        <v>5159032.769295143</v>
      </c>
      <c r="G157" s="583">
        <f t="shared" si="52"/>
        <v>5059661.9754237318</v>
      </c>
      <c r="H157" s="583">
        <f t="shared" si="52"/>
        <v>4961988.0904000215</v>
      </c>
      <c r="I157" s="583">
        <f t="shared" si="52"/>
        <v>4866001.9926138176</v>
      </c>
      <c r="J157" s="583">
        <f t="shared" si="52"/>
        <v>4770139.0280230027</v>
      </c>
      <c r="K157" s="583">
        <f t="shared" si="52"/>
        <v>4676175.0461704796</v>
      </c>
      <c r="L157" s="583">
        <f t="shared" si="52"/>
        <v>4584028.5639725607</v>
      </c>
      <c r="M157" s="583">
        <f t="shared" si="52"/>
        <v>4493560.9955964638</v>
      </c>
      <c r="N157" s="583">
        <f t="shared" si="52"/>
        <v>4404553.4860719023</v>
      </c>
      <c r="O157" s="583">
        <f t="shared" si="52"/>
        <v>4317279.5413108785</v>
      </c>
      <c r="P157" s="583">
        <f t="shared" si="52"/>
        <v>4233093.0397547213</v>
      </c>
      <c r="Q157" s="583">
        <f t="shared" si="52"/>
        <v>4147145.8277267069</v>
      </c>
      <c r="R157" s="583">
        <f t="shared" si="52"/>
        <v>4061735.7227639295</v>
      </c>
      <c r="S157" s="583">
        <f t="shared" si="52"/>
        <v>3977034.7457308914</v>
      </c>
      <c r="T157" s="583">
        <f t="shared" si="52"/>
        <v>3889048.6735390532</v>
      </c>
      <c r="U157" s="583">
        <f t="shared" si="52"/>
        <v>3803171.0701542227</v>
      </c>
      <c r="V157" s="583">
        <f t="shared" si="52"/>
        <v>3720232.0772994091</v>
      </c>
      <c r="W157" s="583">
        <f t="shared" si="52"/>
        <v>3640868.2812285363</v>
      </c>
      <c r="X157" s="583">
        <f t="shared" si="52"/>
        <v>3565408.1289791861</v>
      </c>
      <c r="Y157" s="583">
        <f t="shared" si="52"/>
        <v>3474718.1232545823</v>
      </c>
      <c r="Z157" s="583">
        <f t="shared" si="52"/>
        <v>3387777.0366880321</v>
      </c>
      <c r="AA157" s="583">
        <f t="shared" si="52"/>
        <v>3304403.9872590494</v>
      </c>
      <c r="AB157" s="583">
        <f t="shared" si="52"/>
        <v>3224263.884630363</v>
      </c>
      <c r="AC157" s="583">
        <f t="shared" si="52"/>
        <v>3147142.5072026365</v>
      </c>
      <c r="AD157" s="583">
        <f t="shared" si="52"/>
        <v>3071644.7100503207</v>
      </c>
      <c r="AE157" s="583">
        <f t="shared" si="52"/>
        <v>2998891.0692562568</v>
      </c>
      <c r="AF157" s="583">
        <f t="shared" si="52"/>
        <v>2928769.4388419809</v>
      </c>
      <c r="AG157" s="583">
        <f t="shared" si="52"/>
        <v>2861197.5040106727</v>
      </c>
      <c r="AH157" s="583">
        <f t="shared" si="52"/>
        <v>2796116.7546724328</v>
      </c>
    </row>
    <row r="158" spans="1:36" s="61" customFormat="1">
      <c r="A158" s="606" t="s">
        <v>608</v>
      </c>
      <c r="B158" s="54" t="s">
        <v>141</v>
      </c>
      <c r="C158" s="55" t="s">
        <v>1420</v>
      </c>
      <c r="D158" s="571">
        <f>D149-D156*D149/D148</f>
        <v>1581162.9659571559</v>
      </c>
      <c r="E158" s="571">
        <f t="shared" ref="E158:AH158" si="53">E149-E156*E149/E148</f>
        <v>1538128.6312437041</v>
      </c>
      <c r="F158" s="571">
        <f t="shared" si="53"/>
        <v>1486436.0517860062</v>
      </c>
      <c r="G158" s="571">
        <f t="shared" si="53"/>
        <v>1435952.2027598082</v>
      </c>
      <c r="H158" s="571">
        <f t="shared" si="53"/>
        <v>1386672.3134355419</v>
      </c>
      <c r="I158" s="571">
        <f t="shared" si="53"/>
        <v>1338590.0465761924</v>
      </c>
      <c r="J158" s="571">
        <f t="shared" si="53"/>
        <v>1291768.4303394519</v>
      </c>
      <c r="K158" s="571">
        <f t="shared" si="53"/>
        <v>1246179.288835353</v>
      </c>
      <c r="L158" s="571">
        <f t="shared" si="53"/>
        <v>1201801.4337998324</v>
      </c>
      <c r="M158" s="571">
        <f t="shared" si="53"/>
        <v>1158602.7167626403</v>
      </c>
      <c r="N158" s="571">
        <f t="shared" si="53"/>
        <v>1116536.2632107378</v>
      </c>
      <c r="O158" s="571">
        <f t="shared" si="53"/>
        <v>1077779.2838221029</v>
      </c>
      <c r="P158" s="571">
        <f t="shared" si="53"/>
        <v>1042644.7845397841</v>
      </c>
      <c r="Q158" s="571">
        <f t="shared" si="53"/>
        <v>1006335.3415082389</v>
      </c>
      <c r="R158" s="571">
        <f t="shared" si="53"/>
        <v>971015.6307992395</v>
      </c>
      <c r="S158" s="571">
        <f t="shared" si="53"/>
        <v>936728.13583390391</v>
      </c>
      <c r="T158" s="571">
        <f t="shared" si="53"/>
        <v>903089.53115135152</v>
      </c>
      <c r="U158" s="571">
        <f t="shared" si="53"/>
        <v>870750.89884307852</v>
      </c>
      <c r="V158" s="571">
        <f t="shared" si="53"/>
        <v>839860.4682686358</v>
      </c>
      <c r="W158" s="571">
        <f t="shared" si="53"/>
        <v>810522.49547317601</v>
      </c>
      <c r="X158" s="571">
        <f t="shared" si="53"/>
        <v>782779.82197958825</v>
      </c>
      <c r="Y158" s="571">
        <f t="shared" si="53"/>
        <v>750315.26345389453</v>
      </c>
      <c r="Z158" s="571">
        <f t="shared" si="53"/>
        <v>719983.2388564354</v>
      </c>
      <c r="AA158" s="571">
        <f t="shared" si="53"/>
        <v>691219.47267313651</v>
      </c>
      <c r="AB158" s="571">
        <f t="shared" si="53"/>
        <v>663921.04875901563</v>
      </c>
      <c r="AC158" s="571">
        <f t="shared" si="53"/>
        <v>638043.08842458145</v>
      </c>
      <c r="AD158" s="571">
        <f t="shared" si="53"/>
        <v>613407.95049550908</v>
      </c>
      <c r="AE158" s="571">
        <f t="shared" si="53"/>
        <v>590133.52886124956</v>
      </c>
      <c r="AF158" s="571">
        <f t="shared" si="53"/>
        <v>568198.81062283006</v>
      </c>
      <c r="AG158" s="571">
        <f t="shared" si="53"/>
        <v>547589.11197948968</v>
      </c>
      <c r="AH158" s="571">
        <f t="shared" si="53"/>
        <v>528294.79075319984</v>
      </c>
      <c r="AI158" s="56"/>
    </row>
    <row r="159" spans="1:36">
      <c r="A159" s="607"/>
      <c r="B159" s="1" t="s">
        <v>18</v>
      </c>
      <c r="C159" s="50" t="s">
        <v>1420</v>
      </c>
      <c r="D159" s="183">
        <f>D163/('Demand - Ethylene'!$K$14)</f>
        <v>1180908.3919760305</v>
      </c>
      <c r="E159" s="183">
        <f>E163/('Demand - Ethylene'!$K$14)</f>
        <v>1154024.4804517489</v>
      </c>
      <c r="F159" s="183">
        <f>F163/('Demand - Ethylene'!$K$14)</f>
        <v>1150114.3007131061</v>
      </c>
      <c r="G159" s="183">
        <f>G163/('Demand - Ethylene'!$K$14)</f>
        <v>1174196.15407683</v>
      </c>
      <c r="H159" s="183">
        <f>H163/('Demand - Ethylene'!$K$14)</f>
        <v>1072280.5523646735</v>
      </c>
      <c r="I159" s="183">
        <f>I163/('Demand - Ethylene'!$K$14)</f>
        <v>1045698.1028475214</v>
      </c>
      <c r="J159" s="183">
        <f>J163/('Demand - Ethylene'!$K$14)</f>
        <v>1019353.5471519288</v>
      </c>
      <c r="K159" s="183">
        <f>K163/('Demand - Ethylene'!$K$14)</f>
        <v>993267.98937905487</v>
      </c>
      <c r="L159" s="183">
        <f>L163/('Demand - Ethylene'!$K$14)</f>
        <v>967375.36632738996</v>
      </c>
      <c r="M159" s="183">
        <f>M163/('Demand - Ethylene'!$K$14)</f>
        <v>941549.57099086128</v>
      </c>
      <c r="N159" s="183">
        <f>N163/('Demand - Ethylene'!$K$14)</f>
        <v>915580.71774286008</v>
      </c>
      <c r="O159" s="183">
        <f>O163/('Demand - Ethylene'!$K$14)</f>
        <v>886155.48832134309</v>
      </c>
      <c r="P159" s="183">
        <f>P163/('Demand - Ethylene'!$K$14)</f>
        <v>856624.67563982075</v>
      </c>
      <c r="Q159" s="183">
        <f>Q163/('Demand - Ethylene'!$K$14)</f>
        <v>823895.58204464871</v>
      </c>
      <c r="R159" s="183">
        <f>R163/('Demand - Ethylene'!$K$14)</f>
        <v>790166.52161196433</v>
      </c>
      <c r="S159" s="183">
        <f>S163/('Demand - Ethylene'!$K$14)</f>
        <v>755649.52632721432</v>
      </c>
      <c r="T159" s="183">
        <f>T163/('Demand - Ethylene'!$K$14)</f>
        <v>720325.56969324651</v>
      </c>
      <c r="U159" s="183">
        <f>U163/('Demand - Ethylene'!$K$14)</f>
        <v>685542.33606958191</v>
      </c>
      <c r="V159" s="183">
        <f>V163/('Demand - Ethylene'!$K$14)</f>
        <v>652144.18905511801</v>
      </c>
      <c r="W159" s="183">
        <f>W163/('Demand - Ethylene'!$K$14)</f>
        <v>620761.37093765556</v>
      </c>
      <c r="X159" s="183">
        <f>X163/('Demand - Ethylene'!$K$14)</f>
        <v>591699.91787808738</v>
      </c>
      <c r="Y159" s="183">
        <f>Y163/('Demand - Ethylene'!$K$14)</f>
        <v>565113.27812664316</v>
      </c>
      <c r="Z159" s="183">
        <f>Z163/('Demand - Ethylene'!$K$14)</f>
        <v>540723.21067994274</v>
      </c>
      <c r="AA159" s="183">
        <f>AA163/('Demand - Ethylene'!$K$14)</f>
        <v>518202.89975771069</v>
      </c>
      <c r="AB159" s="183">
        <f>AB163/('Demand - Ethylene'!$K$14)</f>
        <v>497320.7343023963</v>
      </c>
      <c r="AC159" s="183">
        <f>AC163/('Demand - Ethylene'!$K$14)</f>
        <v>477863.00128412712</v>
      </c>
      <c r="AD159" s="183">
        <f>AD163/('Demand - Ethylene'!$K$14)</f>
        <v>460042.82234607957</v>
      </c>
      <c r="AE159" s="183">
        <f>AE163/('Demand - Ethylene'!$K$14)</f>
        <v>443395.95874665002</v>
      </c>
      <c r="AF159" s="183">
        <f>AF163/('Demand - Ethylene'!$K$14)</f>
        <v>427814.08768941212</v>
      </c>
      <c r="AG159" s="183">
        <f>AG163/('Demand - Ethylene'!$K$14)</f>
        <v>413217.48094427248</v>
      </c>
      <c r="AH159" s="183">
        <f>AH163/('Demand - Ethylene'!$K$14)</f>
        <v>399548.82451690949</v>
      </c>
      <c r="AI159" s="40"/>
    </row>
    <row r="160" spans="1:36">
      <c r="A160" s="607"/>
      <c r="B160" s="1" t="s">
        <v>607</v>
      </c>
      <c r="C160" s="50" t="s">
        <v>1420</v>
      </c>
      <c r="D160" s="183">
        <f>D162/('Demand - Ethylene'!$M$14)</f>
        <v>1018826.2651079884</v>
      </c>
      <c r="E160" s="183">
        <f>E162/('Demand - Ethylene'!$M$14)</f>
        <v>986089.42626409978</v>
      </c>
      <c r="F160" s="183">
        <f>F162/('Demand - Ethylene'!$M$14)</f>
        <v>953223.01476828405</v>
      </c>
      <c r="G160" s="183">
        <f>G162/('Demand - Ethylene'!$M$14)</f>
        <v>920691.4391247289</v>
      </c>
      <c r="H160" s="183">
        <f>H162/('Demand - Ethylene'!$M$14)</f>
        <v>888501.82951979863</v>
      </c>
      <c r="I160" s="183">
        <f>I162/('Demand - Ethylene'!$M$14)</f>
        <v>856659.3404293498</v>
      </c>
      <c r="J160" s="183">
        <f>J162/('Demand - Ethylene'!$M$14)</f>
        <v>825263.9777801435</v>
      </c>
      <c r="K160" s="183">
        <f>K162/('Demand - Ethylene'!$M$14)</f>
        <v>794271.21040609211</v>
      </c>
      <c r="L160" s="183">
        <f>L162/('Demand - Ethylene'!$M$14)</f>
        <v>763663.8721267262</v>
      </c>
      <c r="M160" s="183">
        <f>M162/('Demand - Ethylene'!$M$14)</f>
        <v>733407.08408148633</v>
      </c>
      <c r="N160" s="183">
        <f>N162/('Demand - Ethylene'!$M$14)</f>
        <v>703441.43544125301</v>
      </c>
      <c r="O160" s="183">
        <f>O162/('Demand - Ethylene'!$M$14)</f>
        <v>678079.75856780168</v>
      </c>
      <c r="P160" s="183">
        <f>P162/('Demand - Ethylene'!$M$14)</f>
        <v>652698.06488557183</v>
      </c>
      <c r="Q160" s="183">
        <f>Q162/('Demand - Ethylene'!$M$14)</f>
        <v>627607.48679846281</v>
      </c>
      <c r="R160" s="183">
        <f>R162/('Demand - Ethylene'!$M$14)</f>
        <v>602609.37584278407</v>
      </c>
      <c r="S160" s="183">
        <f>S162/('Demand - Ethylene'!$M$14)</f>
        <v>577777.29020157841</v>
      </c>
      <c r="T160" s="183">
        <f>T162/('Demand - Ethylene'!$M$14)</f>
        <v>552819.48411519791</v>
      </c>
      <c r="U160" s="183">
        <f>U162/('Demand - Ethylene'!$M$14)</f>
        <v>528484.45353042649</v>
      </c>
      <c r="V160" s="183">
        <f>V162/('Demand - Ethylene'!$M$14)</f>
        <v>505039.79199250869</v>
      </c>
      <c r="W160" s="183">
        <f>W162/('Demand - Ethylene'!$M$14)</f>
        <v>482686.36170416616</v>
      </c>
      <c r="X160" s="183">
        <f>X162/('Demand - Ethylene'!$M$14)</f>
        <v>461524.97106892784</v>
      </c>
      <c r="Y160" s="183">
        <f>Y162/('Demand - Ethylene'!$M$14)</f>
        <v>435314.72679563903</v>
      </c>
      <c r="Z160" s="183">
        <f>Z162/('Demand - Ethylene'!$M$14)</f>
        <v>410245.56944706157</v>
      </c>
      <c r="AA160" s="183">
        <f>AA162/('Demand - Ethylene'!$M$14)</f>
        <v>386321.42441607307</v>
      </c>
      <c r="AB160" s="183">
        <f>AB162/('Demand - Ethylene'!$M$14)</f>
        <v>363453.10715097882</v>
      </c>
      <c r="AC160" s="183">
        <f>AC162/('Demand - Ethylene'!$M$14)</f>
        <v>341577.5224922038</v>
      </c>
      <c r="AD160" s="183">
        <f>AD162/('Demand - Ethylene'!$M$14)</f>
        <v>320510.40370975976</v>
      </c>
      <c r="AE160" s="183">
        <f>AE162/('Demand - Ethylene'!$M$14)</f>
        <v>300349.12898119882</v>
      </c>
      <c r="AF160" s="183">
        <f>AF162/('Demand - Ethylene'!$M$14)</f>
        <v>281064.47269154264</v>
      </c>
      <c r="AG160" s="183">
        <f>AG162/('Demand - Ethylene'!$M$14)</f>
        <v>262636.51519306866</v>
      </c>
      <c r="AH160" s="183">
        <f>AH162/('Demand - Ethylene'!$M$14)</f>
        <v>245052.6148538166</v>
      </c>
      <c r="AI160" s="40"/>
    </row>
    <row r="161" spans="1:46">
      <c r="A161" s="608"/>
      <c r="B161" s="1" t="s">
        <v>27</v>
      </c>
      <c r="C161" s="50" t="s">
        <v>1420</v>
      </c>
      <c r="D161" s="183">
        <f>D157-D160-D159-D158</f>
        <v>1560158.9158737785</v>
      </c>
      <c r="E161" s="183">
        <f t="shared" ref="E161:AH161" si="54">E157-E160-E159-E158</f>
        <v>1581860.3868724143</v>
      </c>
      <c r="F161" s="183">
        <f t="shared" si="54"/>
        <v>1569259.4020277469</v>
      </c>
      <c r="G161" s="183">
        <f t="shared" si="54"/>
        <v>1528822.1794623646</v>
      </c>
      <c r="H161" s="183">
        <f t="shared" si="54"/>
        <v>1614533.3950800076</v>
      </c>
      <c r="I161" s="183">
        <f t="shared" si="54"/>
        <v>1625054.5027607542</v>
      </c>
      <c r="J161" s="183">
        <f t="shared" si="54"/>
        <v>1633753.0727514783</v>
      </c>
      <c r="K161" s="183">
        <f t="shared" si="54"/>
        <v>1642456.5575499798</v>
      </c>
      <c r="L161" s="183">
        <f t="shared" si="54"/>
        <v>1651187.8917186118</v>
      </c>
      <c r="M161" s="183">
        <f t="shared" si="54"/>
        <v>1660001.6237614758</v>
      </c>
      <c r="N161" s="183">
        <f t="shared" si="54"/>
        <v>1668995.0696770514</v>
      </c>
      <c r="O161" s="183">
        <f t="shared" si="54"/>
        <v>1675265.0105996309</v>
      </c>
      <c r="P161" s="183">
        <f t="shared" si="54"/>
        <v>1681125.5146895449</v>
      </c>
      <c r="Q161" s="183">
        <f t="shared" si="54"/>
        <v>1689307.4173753564</v>
      </c>
      <c r="R161" s="183">
        <f t="shared" si="54"/>
        <v>1697944.1945099416</v>
      </c>
      <c r="S161" s="183">
        <f t="shared" si="54"/>
        <v>1706879.793368195</v>
      </c>
      <c r="T161" s="183">
        <f t="shared" si="54"/>
        <v>1712814.0885792575</v>
      </c>
      <c r="U161" s="183">
        <f t="shared" si="54"/>
        <v>1718393.3817111356</v>
      </c>
      <c r="V161" s="183">
        <f t="shared" si="54"/>
        <v>1723187.6279831463</v>
      </c>
      <c r="W161" s="183">
        <f t="shared" si="54"/>
        <v>1726898.0531135385</v>
      </c>
      <c r="X161" s="183">
        <f t="shared" si="54"/>
        <v>1729403.4180525825</v>
      </c>
      <c r="Y161" s="183">
        <f t="shared" si="54"/>
        <v>1723974.8548784058</v>
      </c>
      <c r="Z161" s="183">
        <f t="shared" si="54"/>
        <v>1716825.0177045926</v>
      </c>
      <c r="AA161" s="183">
        <f t="shared" si="54"/>
        <v>1708660.190412129</v>
      </c>
      <c r="AB161" s="183">
        <f t="shared" si="54"/>
        <v>1699568.9944179719</v>
      </c>
      <c r="AC161" s="183">
        <f t="shared" si="54"/>
        <v>1689658.8950017239</v>
      </c>
      <c r="AD161" s="183">
        <f t="shared" si="54"/>
        <v>1677683.5334989722</v>
      </c>
      <c r="AE161" s="183">
        <f t="shared" si="54"/>
        <v>1665012.4526671583</v>
      </c>
      <c r="AF161" s="183">
        <f t="shared" si="54"/>
        <v>1651692.0678381962</v>
      </c>
      <c r="AG161" s="183">
        <f t="shared" si="54"/>
        <v>1637754.395893842</v>
      </c>
      <c r="AH161" s="183">
        <f t="shared" si="54"/>
        <v>1623220.5245485068</v>
      </c>
      <c r="AI161" s="40"/>
    </row>
    <row r="162" spans="1:46" s="61" customFormat="1">
      <c r="A162" s="609" t="s">
        <v>609</v>
      </c>
      <c r="B162" s="54" t="s">
        <v>606</v>
      </c>
      <c r="C162" s="55" t="s">
        <v>1420</v>
      </c>
      <c r="D162" s="571">
        <f>D153-D156*D151/D148</f>
        <v>464408.86205898889</v>
      </c>
      <c r="E162" s="571">
        <f t="shared" ref="E162:AH162" si="55">E153-E156*E151/E148</f>
        <v>449486.5160265303</v>
      </c>
      <c r="F162" s="571">
        <f t="shared" si="55"/>
        <v>434505.10723735223</v>
      </c>
      <c r="G162" s="571">
        <f t="shared" si="55"/>
        <v>419676.32578263775</v>
      </c>
      <c r="H162" s="571">
        <f t="shared" si="55"/>
        <v>405003.42179624096</v>
      </c>
      <c r="I162" s="571">
        <f t="shared" si="55"/>
        <v>390488.74482915894</v>
      </c>
      <c r="J162" s="571">
        <f t="shared" si="55"/>
        <v>376177.88031655061</v>
      </c>
      <c r="K162" s="571">
        <f t="shared" si="55"/>
        <v>362050.52973561856</v>
      </c>
      <c r="L162" s="571">
        <f t="shared" si="55"/>
        <v>348098.86827205372</v>
      </c>
      <c r="M162" s="571">
        <f t="shared" si="55"/>
        <v>334306.99718777172</v>
      </c>
      <c r="N162" s="571">
        <f t="shared" si="55"/>
        <v>320647.83540281793</v>
      </c>
      <c r="O162" s="571">
        <f t="shared" si="55"/>
        <v>309087.28980237752</v>
      </c>
      <c r="P162" s="571">
        <f t="shared" si="55"/>
        <v>297517.61999332049</v>
      </c>
      <c r="Q162" s="571">
        <f t="shared" si="55"/>
        <v>286080.64863039489</v>
      </c>
      <c r="R162" s="571">
        <f t="shared" si="55"/>
        <v>274685.82631363749</v>
      </c>
      <c r="S162" s="571">
        <f t="shared" si="55"/>
        <v>263366.6828736504</v>
      </c>
      <c r="T162" s="571">
        <f t="shared" si="55"/>
        <v>251990.23261808461</v>
      </c>
      <c r="U162" s="571">
        <f t="shared" si="55"/>
        <v>240897.66046021381</v>
      </c>
      <c r="V162" s="571">
        <f t="shared" si="55"/>
        <v>230210.94285284184</v>
      </c>
      <c r="W162" s="571">
        <f t="shared" si="55"/>
        <v>220021.63827869666</v>
      </c>
      <c r="X162" s="571">
        <f t="shared" si="55"/>
        <v>210375.69796378425</v>
      </c>
      <c r="Y162" s="571">
        <f t="shared" si="55"/>
        <v>198428.35214623605</v>
      </c>
      <c r="Z162" s="571">
        <f t="shared" si="55"/>
        <v>187001.14494148598</v>
      </c>
      <c r="AA162" s="571">
        <f t="shared" si="55"/>
        <v>176095.86565091141</v>
      </c>
      <c r="AB162" s="571">
        <f t="shared" si="55"/>
        <v>165671.86151791955</v>
      </c>
      <c r="AC162" s="571">
        <f t="shared" si="55"/>
        <v>155700.3720440199</v>
      </c>
      <c r="AD162" s="571">
        <f t="shared" si="55"/>
        <v>146097.40341660689</v>
      </c>
      <c r="AE162" s="571">
        <f t="shared" si="55"/>
        <v>136907.34327091835</v>
      </c>
      <c r="AF162" s="571">
        <f t="shared" si="55"/>
        <v>128116.86977274182</v>
      </c>
      <c r="AG162" s="571">
        <f t="shared" si="55"/>
        <v>119716.90300212601</v>
      </c>
      <c r="AH162" s="571">
        <f t="shared" si="55"/>
        <v>111701.68055765441</v>
      </c>
      <c r="AI162" s="56"/>
    </row>
    <row r="163" spans="1:46" s="62" customFormat="1">
      <c r="A163" s="610"/>
      <c r="B163" s="58" t="s">
        <v>605</v>
      </c>
      <c r="C163" s="233" t="s">
        <v>1420</v>
      </c>
      <c r="D163" s="528">
        <f>D154-D155-D156*D150/D148</f>
        <v>395267.82106340799</v>
      </c>
      <c r="E163" s="528">
        <f t="shared" ref="E163:AH163" si="56">E154-E155-E156*E150/E148</f>
        <v>386269.37105486577</v>
      </c>
      <c r="F163" s="528">
        <f t="shared" si="56"/>
        <v>384960.5750163573</v>
      </c>
      <c r="G163" s="528">
        <f t="shared" si="56"/>
        <v>393021.13396481203</v>
      </c>
      <c r="H163" s="528">
        <f t="shared" si="56"/>
        <v>358908.44741363719</v>
      </c>
      <c r="I163" s="528">
        <f t="shared" si="56"/>
        <v>350010.90127833461</v>
      </c>
      <c r="J163" s="528">
        <f t="shared" si="56"/>
        <v>341192.98178734339</v>
      </c>
      <c r="K163" s="528">
        <f t="shared" si="56"/>
        <v>332461.75280110992</v>
      </c>
      <c r="L163" s="528">
        <f t="shared" si="56"/>
        <v>323795.10197130067</v>
      </c>
      <c r="M163" s="528">
        <f t="shared" si="56"/>
        <v>315150.81938404776</v>
      </c>
      <c r="N163" s="528">
        <f t="shared" si="56"/>
        <v>306458.65315964079</v>
      </c>
      <c r="O163" s="528">
        <f t="shared" si="56"/>
        <v>296609.58578340523</v>
      </c>
      <c r="P163" s="528">
        <f t="shared" si="56"/>
        <v>286725.17810015968</v>
      </c>
      <c r="Q163" s="528">
        <f t="shared" si="56"/>
        <v>275770.25763499411</v>
      </c>
      <c r="R163" s="528">
        <f t="shared" si="56"/>
        <v>264480.63321168511</v>
      </c>
      <c r="S163" s="528">
        <f t="shared" si="56"/>
        <v>252927.27512856634</v>
      </c>
      <c r="T163" s="528">
        <f t="shared" si="56"/>
        <v>241103.81493053754</v>
      </c>
      <c r="U163" s="528">
        <f t="shared" si="56"/>
        <v>229461.34286633323</v>
      </c>
      <c r="V163" s="528">
        <f t="shared" si="56"/>
        <v>218282.48014703905</v>
      </c>
      <c r="W163" s="528">
        <f t="shared" si="56"/>
        <v>207778.17835665052</v>
      </c>
      <c r="X163" s="528">
        <f t="shared" si="56"/>
        <v>198050.87240655007</v>
      </c>
      <c r="Y163" s="528">
        <f t="shared" si="56"/>
        <v>189151.9237367328</v>
      </c>
      <c r="Z163" s="528">
        <f t="shared" si="56"/>
        <v>180988.20089357891</v>
      </c>
      <c r="AA163" s="528">
        <f t="shared" si="56"/>
        <v>173450.31371419659</v>
      </c>
      <c r="AB163" s="528">
        <f t="shared" si="56"/>
        <v>166460.73848999475</v>
      </c>
      <c r="AC163" s="528">
        <f t="shared" si="56"/>
        <v>159947.94225175708</v>
      </c>
      <c r="AD163" s="528">
        <f t="shared" si="56"/>
        <v>153983.26002266759</v>
      </c>
      <c r="AE163" s="528">
        <f t="shared" si="56"/>
        <v>148411.30410534539</v>
      </c>
      <c r="AF163" s="528">
        <f t="shared" si="56"/>
        <v>143195.81722868813</v>
      </c>
      <c r="AG163" s="528">
        <f t="shared" si="56"/>
        <v>138310.11315352572</v>
      </c>
      <c r="AH163" s="528">
        <f t="shared" si="56"/>
        <v>133735.00802291726</v>
      </c>
      <c r="AI163" s="234"/>
    </row>
    <row r="164" spans="1:46" s="371" customFormat="1">
      <c r="A164" s="370" t="s">
        <v>647</v>
      </c>
      <c r="C164" s="374" t="s">
        <v>1420</v>
      </c>
      <c r="D164" s="585">
        <f>'Ethylene Recycling LC'!C275</f>
        <v>368987.56005157286</v>
      </c>
      <c r="E164" s="585">
        <f>'Ethylene Recycling LC'!D275</f>
        <v>385067.33098908619</v>
      </c>
      <c r="F164" s="585">
        <f>'Ethylene Recycling LC'!E275</f>
        <v>399491.93037075427</v>
      </c>
      <c r="G164" s="585">
        <f>'Ethylene Recycling LC'!F275</f>
        <v>412320.32257659611</v>
      </c>
      <c r="H164" s="585">
        <f>'Ethylene Recycling LC'!G275</f>
        <v>423606.29743151617</v>
      </c>
      <c r="I164" s="585">
        <f>'Ethylene Recycling LC'!H275</f>
        <v>433395.28303583234</v>
      </c>
      <c r="J164" s="585">
        <f>'Ethylene Recycling LC'!I275</f>
        <v>440981.09398617019</v>
      </c>
      <c r="K164" s="585">
        <f>'Ethylene Recycling LC'!J275</f>
        <v>447008.79289311566</v>
      </c>
      <c r="L164" s="585">
        <f>'Ethylene Recycling LC'!K275</f>
        <v>451458.80812208785</v>
      </c>
      <c r="M164" s="585">
        <f>'Ethylene Recycling LC'!L275</f>
        <v>454252.4710234169</v>
      </c>
      <c r="N164" s="585">
        <f>'Ethylene Recycling LC'!M275</f>
        <v>455228.87215033855</v>
      </c>
      <c r="O164" s="585">
        <f>'Ethylene Recycling LC'!N275</f>
        <v>444315.66484580509</v>
      </c>
      <c r="P164" s="585">
        <f>'Ethylene Recycling LC'!O275</f>
        <v>433271.34475644404</v>
      </c>
      <c r="Q164" s="585">
        <f>'Ethylene Recycling LC'!P275</f>
        <v>418863.5807909178</v>
      </c>
      <c r="R164" s="585">
        <f>'Ethylene Recycling LC'!Q275</f>
        <v>402366.79391292186</v>
      </c>
      <c r="S164" s="585">
        <f>'Ethylene Recycling LC'!R275</f>
        <v>383992.4296132219</v>
      </c>
      <c r="T164" s="585">
        <f>'Ethylene Recycling LC'!S275</f>
        <v>364414.31720861496</v>
      </c>
      <c r="U164" s="585">
        <f>'Ethylene Recycling LC'!T275</f>
        <v>344365.85482134862</v>
      </c>
      <c r="V164" s="585">
        <f>'Ethylene Recycling LC'!U275</f>
        <v>324712.3388690119</v>
      </c>
      <c r="W164" s="585">
        <f>'Ethylene Recycling LC'!V275</f>
        <v>306123.94876255305</v>
      </c>
      <c r="X164" s="585">
        <f>'Ethylene Recycling LC'!W275</f>
        <v>288961.14829741151</v>
      </c>
      <c r="Y164" s="585">
        <f>'Ethylene Recycling LC'!X275</f>
        <v>278765.13771939988</v>
      </c>
      <c r="Z164" s="585">
        <f>'Ethylene Recycling LC'!Y275</f>
        <v>269469.78810061439</v>
      </c>
      <c r="AA164" s="585">
        <f>'Ethylene Recycling LC'!Z275</f>
        <v>260808.63956982648</v>
      </c>
      <c r="AB164" s="585">
        <f>'Ethylene Recycling LC'!AA275</f>
        <v>252636.20419833844</v>
      </c>
      <c r="AC164" s="585">
        <f>'Ethylene Recycling LC'!AB275</f>
        <v>244779.30250944331</v>
      </c>
      <c r="AD164" s="585">
        <f>'Ethylene Recycling LC'!AC275</f>
        <v>237030.27943017273</v>
      </c>
      <c r="AE164" s="585">
        <f>'Ethylene Recycling LC'!AD275</f>
        <v>229342.81914328475</v>
      </c>
      <c r="AF164" s="585">
        <f>'Ethylene Recycling LC'!AE275</f>
        <v>221640.89194104692</v>
      </c>
      <c r="AG164" s="585">
        <f>'Ethylene Recycling LC'!AF275</f>
        <v>213876.12090254598</v>
      </c>
      <c r="AH164" s="585">
        <f>'Ethylene Recycling LC'!AG275</f>
        <v>206021.70977163472</v>
      </c>
      <c r="AI164" s="375"/>
    </row>
    <row r="165" spans="1:46" s="373" customFormat="1">
      <c r="A165" s="372" t="s">
        <v>648</v>
      </c>
      <c r="C165" s="376" t="s">
        <v>1420</v>
      </c>
      <c r="D165" s="586">
        <f>'Ethylene Recycling LC'!C276</f>
        <v>2446172.2650853754</v>
      </c>
      <c r="E165" s="586">
        <f>'Ethylene Recycling LC'!D276</f>
        <v>2375783.4812880671</v>
      </c>
      <c r="F165" s="586">
        <f>'Ethylene Recycling LC'!E276</f>
        <v>2306439.8797533545</v>
      </c>
      <c r="G165" s="586">
        <f>'Ethylene Recycling LC'!F276</f>
        <v>2238142.4638095773</v>
      </c>
      <c r="H165" s="586">
        <f>'Ethylene Recycling LC'!G276</f>
        <v>2170888.4386112066</v>
      </c>
      <c r="I165" s="586">
        <f>'Ethylene Recycling LC'!H276</f>
        <v>2104667.9851875328</v>
      </c>
      <c r="J165" s="586">
        <f>'Ethylene Recycling LC'!I276</f>
        <v>2037666.0156311181</v>
      </c>
      <c r="K165" s="586">
        <f>'Ethylene Recycling LC'!J276</f>
        <v>1971869.7455485954</v>
      </c>
      <c r="L165" s="586">
        <f>'Ethylene Recycling LC'!K276</f>
        <v>1907196.3204738055</v>
      </c>
      <c r="M165" s="586">
        <f>'Ethylene Recycling LC'!L276</f>
        <v>1843505.3466912231</v>
      </c>
      <c r="N165" s="586">
        <f>'Ethylene Recycling LC'!M276</f>
        <v>1780575.7028338534</v>
      </c>
      <c r="O165" s="586">
        <f>'Ethylene Recycling LC'!N276</f>
        <v>1723371.6323950361</v>
      </c>
      <c r="P165" s="586">
        <f>'Ethylene Recycling LC'!O276</f>
        <v>1670597.070252049</v>
      </c>
      <c r="Q165" s="586">
        <f>'Ethylene Recycling LC'!P276</f>
        <v>1614005.3026321598</v>
      </c>
      <c r="R165" s="586">
        <f>'Ethylene Recycling LC'!Q276</f>
        <v>1557120.423673891</v>
      </c>
      <c r="S165" s="586">
        <f>'Ethylene Recycling LC'!R276</f>
        <v>1500113.4536131914</v>
      </c>
      <c r="T165" s="586">
        <f>'Ethylene Recycling LC'!S276</f>
        <v>1443643.2182889052</v>
      </c>
      <c r="U165" s="586">
        <f>'Ethylene Recycling LC'!T276</f>
        <v>1388354.2853035105</v>
      </c>
      <c r="V165" s="586">
        <f>'Ethylene Recycling LC'!U276</f>
        <v>1335075.2152077889</v>
      </c>
      <c r="W165" s="586">
        <f>'Ethylene Recycling LC'!V276</f>
        <v>1284440.3052085903</v>
      </c>
      <c r="X165" s="586">
        <f>'Ethylene Recycling LC'!W276</f>
        <v>1236774.9675255124</v>
      </c>
      <c r="Y165" s="586">
        <f>'Ethylene Recycling LC'!X276</f>
        <v>1184724.0758051602</v>
      </c>
      <c r="Z165" s="586">
        <f>'Ethylene Recycling LC'!Y276</f>
        <v>1135803.629970052</v>
      </c>
      <c r="AA165" s="586">
        <f>'Ethylene Recycling LC'!Z276</f>
        <v>1089649.6180439696</v>
      </c>
      <c r="AB165" s="586">
        <f>'Ethylene Recycling LC'!AA276</f>
        <v>1045983.7326047395</v>
      </c>
      <c r="AC165" s="586">
        <f>'Ethylene Recycling LC'!AB276</f>
        <v>1004588.1383700685</v>
      </c>
      <c r="AD165" s="586">
        <f>'Ethylene Recycling LC'!AC276</f>
        <v>965302.89508703724</v>
      </c>
      <c r="AE165" s="586">
        <f>'Ethylene Recycling LC'!AD276</f>
        <v>927968.35257259267</v>
      </c>
      <c r="AF165" s="586">
        <f>'Ethylene Recycling LC'!AE276</f>
        <v>892466.09993875364</v>
      </c>
      <c r="AG165" s="586">
        <f>'Ethylene Recycling LC'!AF276</f>
        <v>858706.34267360985</v>
      </c>
      <c r="AH165" s="586">
        <f>'Ethylene Recycling LC'!AG276</f>
        <v>826621.80548103689</v>
      </c>
      <c r="AI165" s="377"/>
    </row>
    <row r="166" spans="1:46" hidden="1">
      <c r="A166" t="s">
        <v>523</v>
      </c>
      <c r="B166"/>
      <c r="C166" s="50"/>
      <c r="D166" s="40">
        <f>'Ethylene Recycling LC'!C277</f>
        <v>0</v>
      </c>
      <c r="E166" s="40">
        <f>'Ethylene Recycling LC'!D277</f>
        <v>0</v>
      </c>
      <c r="F166" s="40">
        <f>'Ethylene Recycling LC'!E277</f>
        <v>0</v>
      </c>
      <c r="G166" s="40">
        <f>'Ethylene Recycling LC'!F277</f>
        <v>0</v>
      </c>
      <c r="H166" s="40">
        <f>'Ethylene Recycling LC'!G277</f>
        <v>0</v>
      </c>
      <c r="I166" s="40">
        <f>'Ethylene Recycling LC'!H277</f>
        <v>0</v>
      </c>
      <c r="J166" s="40">
        <f>'Ethylene Recycling LC'!I277</f>
        <v>0</v>
      </c>
      <c r="K166" s="40">
        <f>'Ethylene Recycling LC'!J277</f>
        <v>0</v>
      </c>
      <c r="L166" s="40">
        <f>'Ethylene Recycling LC'!K277</f>
        <v>0</v>
      </c>
      <c r="M166" s="40">
        <f>'Ethylene Recycling LC'!L277</f>
        <v>0</v>
      </c>
      <c r="N166" s="40">
        <f>'Ethylene Recycling LC'!M277</f>
        <v>0</v>
      </c>
      <c r="O166" s="40">
        <f>'Ethylene Recycling LC'!N277</f>
        <v>0</v>
      </c>
      <c r="P166" s="40">
        <f>'Ethylene Recycling LC'!O277</f>
        <v>0</v>
      </c>
      <c r="Q166" s="40">
        <f>'Ethylene Recycling LC'!P277</f>
        <v>0</v>
      </c>
      <c r="R166" s="40">
        <f>'Ethylene Recycling LC'!Q277</f>
        <v>0</v>
      </c>
      <c r="S166" s="40">
        <f>'Ethylene Recycling LC'!R277</f>
        <v>0</v>
      </c>
      <c r="T166" s="40">
        <f>'Ethylene Recycling LC'!S277</f>
        <v>0</v>
      </c>
      <c r="U166" s="40">
        <f>'Ethylene Recycling LC'!T277</f>
        <v>0</v>
      </c>
      <c r="V166" s="40">
        <f>'Ethylene Recycling LC'!U277</f>
        <v>0</v>
      </c>
      <c r="W166" s="40">
        <f>'Ethylene Recycling LC'!V277</f>
        <v>0</v>
      </c>
      <c r="X166" s="40">
        <f>'Ethylene Recycling LC'!W277</f>
        <v>0</v>
      </c>
      <c r="Y166" s="40">
        <f>'Ethylene Recycling LC'!X277</f>
        <v>0</v>
      </c>
      <c r="Z166" s="40">
        <f>'Ethylene Recycling LC'!Y277</f>
        <v>0</v>
      </c>
      <c r="AA166" s="40">
        <f>'Ethylene Recycling LC'!Z277</f>
        <v>0</v>
      </c>
      <c r="AB166" s="40">
        <f>'Ethylene Recycling LC'!AA277</f>
        <v>0</v>
      </c>
      <c r="AC166" s="40">
        <f>'Ethylene Recycling LC'!AB277</f>
        <v>0</v>
      </c>
      <c r="AD166" s="40">
        <f>'Ethylene Recycling LC'!AC277</f>
        <v>0</v>
      </c>
      <c r="AE166" s="40">
        <f>'Ethylene Recycling LC'!AD277</f>
        <v>0</v>
      </c>
      <c r="AF166" s="40">
        <f>'Ethylene Recycling LC'!AE277</f>
        <v>0</v>
      </c>
      <c r="AG166" s="40">
        <f>'Ethylene Recycling LC'!AF277</f>
        <v>0</v>
      </c>
      <c r="AH166" s="40">
        <f>'Ethylene Recycling LC'!AG277</f>
        <v>0</v>
      </c>
    </row>
    <row r="167" spans="1:46" hidden="1">
      <c r="A167" t="s">
        <v>524</v>
      </c>
      <c r="B167"/>
      <c r="C167" s="50"/>
      <c r="D167" s="40">
        <f>'Ethylene Recycling LC'!C278</f>
        <v>0</v>
      </c>
      <c r="E167" s="40">
        <f>'Ethylene Recycling LC'!D278</f>
        <v>0</v>
      </c>
      <c r="F167" s="40">
        <f>'Ethylene Recycling LC'!E278</f>
        <v>0</v>
      </c>
      <c r="G167" s="40">
        <f>'Ethylene Recycling LC'!F278</f>
        <v>0</v>
      </c>
      <c r="H167" s="40">
        <f>'Ethylene Recycling LC'!G278</f>
        <v>0</v>
      </c>
      <c r="I167" s="40">
        <f>'Ethylene Recycling LC'!H278</f>
        <v>0</v>
      </c>
      <c r="J167" s="40">
        <f>'Ethylene Recycling LC'!I278</f>
        <v>0</v>
      </c>
      <c r="K167" s="40">
        <f>'Ethylene Recycling LC'!J278</f>
        <v>0</v>
      </c>
      <c r="L167" s="40">
        <f>'Ethylene Recycling LC'!K278</f>
        <v>0</v>
      </c>
      <c r="M167" s="40">
        <f>'Ethylene Recycling LC'!L278</f>
        <v>0</v>
      </c>
      <c r="N167" s="40">
        <f>'Ethylene Recycling LC'!M278</f>
        <v>0</v>
      </c>
      <c r="O167" s="40">
        <f>'Ethylene Recycling LC'!N278</f>
        <v>0</v>
      </c>
      <c r="P167" s="40">
        <f>'Ethylene Recycling LC'!O278</f>
        <v>0</v>
      </c>
      <c r="Q167" s="40">
        <f>'Ethylene Recycling LC'!P278</f>
        <v>0</v>
      </c>
      <c r="R167" s="40">
        <f>'Ethylene Recycling LC'!Q278</f>
        <v>0</v>
      </c>
      <c r="S167" s="40">
        <f>'Ethylene Recycling LC'!R278</f>
        <v>0</v>
      </c>
      <c r="T167" s="40">
        <f>'Ethylene Recycling LC'!S278</f>
        <v>0</v>
      </c>
      <c r="U167" s="40">
        <f>'Ethylene Recycling LC'!T278</f>
        <v>0</v>
      </c>
      <c r="V167" s="40">
        <f>'Ethylene Recycling LC'!U278</f>
        <v>0</v>
      </c>
      <c r="W167" s="40">
        <f>'Ethylene Recycling LC'!V278</f>
        <v>0</v>
      </c>
      <c r="X167" s="40">
        <f>'Ethylene Recycling LC'!W278</f>
        <v>0</v>
      </c>
      <c r="Y167" s="40">
        <f>'Ethylene Recycling LC'!X278</f>
        <v>0</v>
      </c>
      <c r="Z167" s="40">
        <f>'Ethylene Recycling LC'!Y278</f>
        <v>0</v>
      </c>
      <c r="AA167" s="40">
        <f>'Ethylene Recycling LC'!Z278</f>
        <v>0</v>
      </c>
      <c r="AB167" s="40">
        <f>'Ethylene Recycling LC'!AA278</f>
        <v>0</v>
      </c>
      <c r="AC167" s="40">
        <f>'Ethylene Recycling LC'!AB278</f>
        <v>0</v>
      </c>
      <c r="AD167" s="40">
        <f>'Ethylene Recycling LC'!AC278</f>
        <v>0</v>
      </c>
      <c r="AE167" s="40">
        <f>'Ethylene Recycling LC'!AD278</f>
        <v>0</v>
      </c>
      <c r="AF167" s="40">
        <f>'Ethylene Recycling LC'!AE278</f>
        <v>0</v>
      </c>
      <c r="AG167" s="40">
        <f>'Ethylene Recycling LC'!AF278</f>
        <v>0</v>
      </c>
      <c r="AH167" s="40">
        <f>'Ethylene Recycling LC'!AG278</f>
        <v>0</v>
      </c>
    </row>
    <row r="168" spans="1:46" hidden="1">
      <c r="A168" t="s">
        <v>525</v>
      </c>
      <c r="B168"/>
      <c r="C168" s="50"/>
      <c r="D168" s="216">
        <f>'Ethylene Recycling LC'!C279</f>
        <v>0</v>
      </c>
      <c r="E168" s="216">
        <f>'Ethylene Recycling LC'!D279</f>
        <v>0</v>
      </c>
      <c r="F168" s="216">
        <f>'Ethylene Recycling LC'!E279</f>
        <v>0</v>
      </c>
      <c r="G168" s="216">
        <f>'Ethylene Recycling LC'!F279</f>
        <v>0</v>
      </c>
      <c r="H168" s="216">
        <f>'Ethylene Recycling LC'!G279</f>
        <v>0</v>
      </c>
      <c r="I168" s="216">
        <f>'Ethylene Recycling LC'!H279</f>
        <v>0</v>
      </c>
      <c r="J168" s="216">
        <f>'Ethylene Recycling LC'!I279</f>
        <v>0</v>
      </c>
      <c r="K168" s="216">
        <f>'Ethylene Recycling LC'!J279</f>
        <v>0</v>
      </c>
      <c r="L168" s="216">
        <f>'Ethylene Recycling LC'!K279</f>
        <v>0</v>
      </c>
      <c r="M168" s="216">
        <f>'Ethylene Recycling LC'!L279</f>
        <v>0</v>
      </c>
      <c r="N168" s="216">
        <f>'Ethylene Recycling LC'!M279</f>
        <v>0</v>
      </c>
      <c r="O168" s="216">
        <f>'Ethylene Recycling LC'!N279</f>
        <v>0</v>
      </c>
      <c r="P168" s="216">
        <f>'Ethylene Recycling LC'!O279</f>
        <v>0</v>
      </c>
      <c r="Q168" s="216">
        <f>'Ethylene Recycling LC'!P279</f>
        <v>0</v>
      </c>
      <c r="R168" s="216">
        <f>'Ethylene Recycling LC'!Q279</f>
        <v>0</v>
      </c>
      <c r="S168" s="216">
        <f>'Ethylene Recycling LC'!R279</f>
        <v>0</v>
      </c>
      <c r="T168" s="216">
        <f>'Ethylene Recycling LC'!S279</f>
        <v>0</v>
      </c>
      <c r="U168" s="216">
        <f>'Ethylene Recycling LC'!T279</f>
        <v>0</v>
      </c>
      <c r="V168" s="216">
        <f>'Ethylene Recycling LC'!U279</f>
        <v>0</v>
      </c>
      <c r="W168" s="216">
        <f>'Ethylene Recycling LC'!V279</f>
        <v>0</v>
      </c>
      <c r="X168" s="216">
        <f>'Ethylene Recycling LC'!W279</f>
        <v>0</v>
      </c>
      <c r="Y168" s="216">
        <f>'Ethylene Recycling LC'!X279</f>
        <v>0</v>
      </c>
      <c r="Z168" s="216">
        <f>'Ethylene Recycling LC'!Y279</f>
        <v>0</v>
      </c>
      <c r="AA168" s="216">
        <f>'Ethylene Recycling LC'!Z279</f>
        <v>0</v>
      </c>
      <c r="AB168" s="216">
        <f>'Ethylene Recycling LC'!AA279</f>
        <v>0</v>
      </c>
      <c r="AC168" s="216">
        <f>'Ethylene Recycling LC'!AB279</f>
        <v>0</v>
      </c>
      <c r="AD168" s="216">
        <f>'Ethylene Recycling LC'!AC279</f>
        <v>0</v>
      </c>
      <c r="AE168" s="216">
        <f>'Ethylene Recycling LC'!AD279</f>
        <v>0</v>
      </c>
      <c r="AF168" s="216">
        <f>'Ethylene Recycling LC'!AE279</f>
        <v>0</v>
      </c>
      <c r="AG168" s="216">
        <f>'Ethylene Recycling LC'!AF279</f>
        <v>0</v>
      </c>
      <c r="AH168" s="216">
        <f>'Ethylene Recycling LC'!AG279</f>
        <v>0</v>
      </c>
    </row>
    <row r="169" spans="1:46" hidden="1">
      <c r="A169" t="s">
        <v>526</v>
      </c>
      <c r="B169"/>
      <c r="C169" s="50"/>
      <c r="D169" s="216">
        <f>'Ethylene Recycling LC'!C280</f>
        <v>0</v>
      </c>
      <c r="E169" s="216">
        <f>'Ethylene Recycling LC'!D280</f>
        <v>0</v>
      </c>
      <c r="F169" s="216">
        <f>'Ethylene Recycling LC'!E280</f>
        <v>0</v>
      </c>
      <c r="G169" s="216">
        <f>'Ethylene Recycling LC'!F280</f>
        <v>0</v>
      </c>
      <c r="H169" s="216">
        <f>'Ethylene Recycling LC'!G280</f>
        <v>0</v>
      </c>
      <c r="I169" s="216">
        <f>'Ethylene Recycling LC'!H280</f>
        <v>0</v>
      </c>
      <c r="J169" s="216">
        <f>'Ethylene Recycling LC'!I280</f>
        <v>0</v>
      </c>
      <c r="K169" s="216">
        <f>'Ethylene Recycling LC'!J280</f>
        <v>0</v>
      </c>
      <c r="L169" s="216">
        <f>'Ethylene Recycling LC'!K280</f>
        <v>0</v>
      </c>
      <c r="M169" s="216">
        <f>'Ethylene Recycling LC'!L280</f>
        <v>0</v>
      </c>
      <c r="N169" s="216">
        <f>'Ethylene Recycling LC'!M280</f>
        <v>0</v>
      </c>
      <c r="O169" s="216">
        <f>'Ethylene Recycling LC'!N280</f>
        <v>0</v>
      </c>
      <c r="P169" s="216">
        <f>'Ethylene Recycling LC'!O280</f>
        <v>0</v>
      </c>
      <c r="Q169" s="216">
        <f>'Ethylene Recycling LC'!P280</f>
        <v>0</v>
      </c>
      <c r="R169" s="216">
        <f>'Ethylene Recycling LC'!Q280</f>
        <v>0</v>
      </c>
      <c r="S169" s="216">
        <f>'Ethylene Recycling LC'!R280</f>
        <v>0</v>
      </c>
      <c r="T169" s="216">
        <f>'Ethylene Recycling LC'!S280</f>
        <v>0</v>
      </c>
      <c r="U169" s="216">
        <f>'Ethylene Recycling LC'!T280</f>
        <v>0</v>
      </c>
      <c r="V169" s="216">
        <f>'Ethylene Recycling LC'!U280</f>
        <v>0</v>
      </c>
      <c r="W169" s="216">
        <f>'Ethylene Recycling LC'!V280</f>
        <v>0</v>
      </c>
      <c r="X169" s="216">
        <f>'Ethylene Recycling LC'!W280</f>
        <v>0</v>
      </c>
      <c r="Y169" s="216">
        <f>'Ethylene Recycling LC'!X280</f>
        <v>0</v>
      </c>
      <c r="Z169" s="216">
        <f>'Ethylene Recycling LC'!Y280</f>
        <v>0</v>
      </c>
      <c r="AA169" s="216">
        <f>'Ethylene Recycling LC'!Z280</f>
        <v>0</v>
      </c>
      <c r="AB169" s="216">
        <f>'Ethylene Recycling LC'!AA280</f>
        <v>0</v>
      </c>
      <c r="AC169" s="216">
        <f>'Ethylene Recycling LC'!AB280</f>
        <v>0</v>
      </c>
      <c r="AD169" s="216">
        <f>'Ethylene Recycling LC'!AC280</f>
        <v>0</v>
      </c>
      <c r="AE169" s="216">
        <f>'Ethylene Recycling LC'!AD280</f>
        <v>0</v>
      </c>
      <c r="AF169" s="216">
        <f>'Ethylene Recycling LC'!AE280</f>
        <v>0</v>
      </c>
      <c r="AG169" s="216">
        <f>'Ethylene Recycling LC'!AF280</f>
        <v>0</v>
      </c>
      <c r="AH169" s="216">
        <f>'Ethylene Recycling LC'!AG280</f>
        <v>0</v>
      </c>
    </row>
    <row r="170" spans="1:46">
      <c r="C170" s="60"/>
      <c r="D170" s="21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  <c r="AD170" s="215"/>
      <c r="AE170" s="215"/>
      <c r="AF170" s="215"/>
      <c r="AG170" s="215"/>
      <c r="AH170" s="215"/>
    </row>
    <row r="171" spans="1:46" s="708" customFormat="1" ht="54" customHeight="1">
      <c r="A171" s="706"/>
      <c r="B171" s="707"/>
      <c r="C171" s="706"/>
      <c r="D171" s="706"/>
      <c r="E171" s="706"/>
      <c r="F171" s="706"/>
      <c r="G171" s="706"/>
      <c r="H171" s="706"/>
      <c r="I171" s="706"/>
      <c r="J171" s="706"/>
      <c r="K171" s="706"/>
      <c r="L171" s="706"/>
      <c r="M171" s="706"/>
      <c r="N171" s="706"/>
      <c r="O171" s="706"/>
      <c r="P171" s="706"/>
      <c r="Q171" s="706"/>
      <c r="R171" s="706"/>
      <c r="S171" s="706"/>
      <c r="T171" s="706"/>
      <c r="U171" s="706"/>
      <c r="V171" s="706"/>
      <c r="W171" s="706"/>
      <c r="X171" s="706"/>
      <c r="AJ171" s="709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</row>
    <row r="172" spans="1:46" s="708" customFormat="1">
      <c r="B172" s="711"/>
      <c r="C172" s="712"/>
      <c r="D172" s="713"/>
      <c r="N172" s="432"/>
      <c r="X172" s="714"/>
      <c r="AJ172" s="715"/>
      <c r="AK172" s="716"/>
      <c r="AM172" s="716"/>
      <c r="AN172" s="716"/>
      <c r="AO172" s="716"/>
      <c r="AP172" s="716"/>
      <c r="AQ172" s="716"/>
      <c r="AS172" s="717"/>
      <c r="AT172" s="716"/>
    </row>
    <row r="173" spans="1:46" s="708" customFormat="1">
      <c r="B173" s="711"/>
      <c r="C173" s="712"/>
      <c r="D173" s="713"/>
      <c r="N173" s="432"/>
      <c r="X173" s="714"/>
      <c r="AJ173" s="715"/>
      <c r="AN173" s="714"/>
      <c r="AO173" s="718"/>
      <c r="AP173" s="714"/>
      <c r="AQ173" s="714"/>
      <c r="AR173" s="718"/>
    </row>
    <row r="174" spans="1:46" s="708" customFormat="1">
      <c r="B174" s="711"/>
      <c r="C174" s="712"/>
      <c r="D174" s="713"/>
      <c r="N174" s="432"/>
      <c r="X174" s="714"/>
      <c r="AJ174" s="715"/>
      <c r="AN174" s="714"/>
      <c r="AO174" s="718"/>
      <c r="AQ174" s="718"/>
      <c r="AR174" s="718"/>
    </row>
    <row r="175" spans="1:46" s="708" customFormat="1">
      <c r="B175" s="711"/>
      <c r="C175" s="712"/>
      <c r="D175" s="713"/>
      <c r="N175" s="432"/>
      <c r="X175" s="714"/>
      <c r="AJ175" s="715"/>
      <c r="AL175" s="716"/>
      <c r="AS175" s="714"/>
    </row>
    <row r="176" spans="1:46" s="708" customFormat="1">
      <c r="B176" s="711"/>
      <c r="C176" s="712"/>
      <c r="D176" s="713"/>
      <c r="N176" s="432"/>
      <c r="X176" s="714"/>
    </row>
    <row r="177" spans="1:43" s="708" customFormat="1">
      <c r="B177" s="711"/>
      <c r="C177" s="712"/>
      <c r="D177" s="713"/>
      <c r="N177" s="432"/>
      <c r="X177" s="714"/>
      <c r="AJ177" s="719"/>
      <c r="AK177" s="710"/>
      <c r="AL177" s="710"/>
      <c r="AM177" s="710"/>
      <c r="AN177" s="710"/>
      <c r="AO177" s="710"/>
      <c r="AP177" s="710"/>
    </row>
    <row r="178" spans="1:43" s="708" customFormat="1">
      <c r="A178" s="720"/>
      <c r="B178" s="711"/>
      <c r="C178" s="712"/>
      <c r="D178" s="713"/>
      <c r="N178" s="432"/>
      <c r="X178" s="714"/>
      <c r="AK178" s="721"/>
      <c r="AL178" s="722"/>
      <c r="AM178" s="721"/>
      <c r="AN178" s="722"/>
      <c r="AO178" s="722"/>
      <c r="AP178" s="721"/>
    </row>
    <row r="179" spans="1:43" s="708" customFormat="1">
      <c r="B179" s="711"/>
      <c r="C179" s="712"/>
      <c r="D179" s="713"/>
      <c r="N179" s="432"/>
      <c r="X179" s="714"/>
    </row>
    <row r="180" spans="1:43" s="708" customFormat="1">
      <c r="A180" s="707"/>
      <c r="B180" s="723"/>
      <c r="C180" s="323"/>
      <c r="D180" s="724"/>
      <c r="N180" s="711"/>
      <c r="X180" s="714"/>
    </row>
    <row r="181" spans="1:43" s="708" customFormat="1">
      <c r="A181" s="707"/>
      <c r="B181" s="707"/>
      <c r="AJ181" s="719"/>
      <c r="AK181" s="725"/>
      <c r="AL181" s="725"/>
      <c r="AM181" s="725"/>
      <c r="AN181" s="725"/>
      <c r="AO181" s="725"/>
      <c r="AP181" s="725"/>
      <c r="AQ181" s="725"/>
    </row>
    <row r="182" spans="1:43" s="708" customFormat="1">
      <c r="A182" s="706"/>
      <c r="B182" s="707"/>
      <c r="C182" s="706"/>
      <c r="D182" s="706"/>
      <c r="E182" s="706"/>
      <c r="F182" s="706"/>
      <c r="G182" s="706"/>
      <c r="H182" s="706"/>
      <c r="I182" s="706"/>
      <c r="J182" s="706"/>
      <c r="K182" s="706"/>
      <c r="L182" s="706"/>
      <c r="M182" s="706"/>
      <c r="O182" s="706"/>
      <c r="P182" s="706"/>
      <c r="Q182" s="706"/>
      <c r="R182" s="706"/>
      <c r="S182" s="706"/>
      <c r="T182" s="706"/>
      <c r="U182" s="706"/>
      <c r="V182" s="706"/>
      <c r="W182" s="706"/>
      <c r="X182" s="706"/>
      <c r="AK182" s="721"/>
      <c r="AL182" s="722"/>
      <c r="AM182" s="722"/>
      <c r="AN182" s="722"/>
      <c r="AO182" s="722"/>
      <c r="AP182" s="721"/>
      <c r="AQ182" s="722"/>
    </row>
    <row r="183" spans="1:43" s="708" customFormat="1">
      <c r="B183" s="711"/>
      <c r="C183" s="712"/>
      <c r="D183" s="432"/>
      <c r="X183" s="714"/>
    </row>
    <row r="184" spans="1:43" s="708" customFormat="1">
      <c r="B184" s="711"/>
      <c r="C184" s="712"/>
      <c r="D184" s="432"/>
      <c r="X184" s="714"/>
      <c r="AJ184" s="719"/>
      <c r="AK184" s="725"/>
      <c r="AL184" s="725"/>
      <c r="AM184" s="725"/>
      <c r="AN184" s="725"/>
      <c r="AO184" s="725"/>
      <c r="AP184" s="710"/>
    </row>
    <row r="185" spans="1:43" s="708" customFormat="1">
      <c r="B185" s="711"/>
      <c r="C185" s="712"/>
      <c r="D185" s="432"/>
      <c r="X185" s="714"/>
      <c r="AK185" s="721"/>
      <c r="AL185" s="722"/>
      <c r="AM185" s="721"/>
      <c r="AN185" s="722"/>
      <c r="AO185" s="722"/>
      <c r="AP185" s="721"/>
    </row>
    <row r="186" spans="1:43" s="708" customFormat="1">
      <c r="A186" s="720"/>
      <c r="B186" s="711"/>
      <c r="C186" s="712"/>
      <c r="D186" s="432"/>
      <c r="X186" s="714"/>
    </row>
    <row r="187" spans="1:43" s="708" customFormat="1">
      <c r="B187" s="711"/>
      <c r="C187" s="712"/>
      <c r="D187" s="432"/>
      <c r="X187" s="714"/>
      <c r="AJ187" s="719"/>
      <c r="AK187" s="725"/>
      <c r="AL187" s="725"/>
      <c r="AM187" s="725"/>
      <c r="AN187" s="725"/>
      <c r="AO187" s="725"/>
      <c r="AP187" s="725"/>
    </row>
    <row r="188" spans="1:43" s="708" customFormat="1">
      <c r="B188" s="711"/>
      <c r="C188" s="712"/>
      <c r="D188" s="432"/>
      <c r="X188" s="714"/>
      <c r="AK188" s="721"/>
      <c r="AL188" s="722"/>
      <c r="AM188" s="722"/>
      <c r="AN188" s="722"/>
      <c r="AO188" s="722"/>
      <c r="AP188" s="721"/>
    </row>
    <row r="189" spans="1:43" s="708" customFormat="1">
      <c r="B189" s="711"/>
      <c r="C189" s="712"/>
      <c r="D189" s="432"/>
      <c r="X189" s="714"/>
    </row>
    <row r="190" spans="1:43" s="708" customFormat="1">
      <c r="A190" s="707"/>
      <c r="B190" s="726"/>
      <c r="C190" s="727"/>
      <c r="D190" s="726"/>
      <c r="X190" s="714"/>
    </row>
    <row r="191" spans="1:43" s="708" customFormat="1">
      <c r="A191" s="707"/>
      <c r="B191" s="707"/>
    </row>
    <row r="192" spans="1:43" s="708" customFormat="1">
      <c r="A192" s="706"/>
      <c r="B192" s="706"/>
      <c r="C192" s="706"/>
      <c r="D192" s="706"/>
      <c r="N192" s="706"/>
    </row>
    <row r="193" spans="1:47" s="708" customFormat="1">
      <c r="B193" s="711"/>
      <c r="C193" s="711"/>
      <c r="D193" s="712"/>
      <c r="N193" s="432"/>
    </row>
    <row r="194" spans="1:47" s="708" customFormat="1">
      <c r="B194" s="711"/>
      <c r="C194" s="711"/>
      <c r="D194" s="712"/>
      <c r="N194" s="432"/>
      <c r="AJ194" s="709"/>
      <c r="AK194" s="710"/>
      <c r="AL194" s="710"/>
      <c r="AM194" s="710"/>
      <c r="AN194" s="710"/>
      <c r="AO194" s="710"/>
      <c r="AP194" s="710"/>
      <c r="AQ194" s="710"/>
      <c r="AR194" s="710"/>
      <c r="AS194" s="710"/>
      <c r="AT194" s="710"/>
      <c r="AU194" s="710"/>
    </row>
    <row r="195" spans="1:47" s="708" customFormat="1">
      <c r="B195" s="711"/>
      <c r="C195" s="711"/>
      <c r="D195" s="712"/>
      <c r="N195" s="432"/>
      <c r="AK195" s="716"/>
      <c r="AL195" s="716"/>
      <c r="AM195" s="716"/>
      <c r="AN195" s="716"/>
      <c r="AO195" s="716"/>
      <c r="AP195" s="716"/>
      <c r="AQ195" s="716"/>
      <c r="AR195" s="716"/>
      <c r="AS195" s="716"/>
      <c r="AT195" s="717"/>
      <c r="AU195" s="717"/>
    </row>
    <row r="196" spans="1:47" s="708" customFormat="1">
      <c r="A196" s="720"/>
      <c r="B196" s="711"/>
      <c r="C196" s="711"/>
      <c r="D196" s="712"/>
      <c r="N196" s="432"/>
      <c r="AJ196" s="717"/>
    </row>
    <row r="197" spans="1:47" s="708" customFormat="1">
      <c r="B197" s="711"/>
      <c r="C197" s="711"/>
      <c r="D197" s="712"/>
      <c r="N197" s="432"/>
      <c r="AJ197" s="709"/>
      <c r="AK197" s="710"/>
      <c r="AL197" s="710"/>
      <c r="AM197" s="710"/>
      <c r="AN197" s="710"/>
      <c r="AO197" s="728"/>
      <c r="AP197" s="710"/>
      <c r="AQ197" s="710"/>
      <c r="AR197" s="710"/>
      <c r="AS197" s="710"/>
      <c r="AT197" s="710"/>
      <c r="AU197" s="710"/>
    </row>
    <row r="198" spans="1:47" s="708" customFormat="1">
      <c r="B198" s="711"/>
      <c r="C198" s="711"/>
      <c r="D198" s="712"/>
      <c r="N198" s="432"/>
      <c r="AK198" s="716"/>
      <c r="AL198" s="716"/>
      <c r="AM198" s="716"/>
      <c r="AN198" s="716"/>
      <c r="AO198" s="716"/>
      <c r="AP198" s="716"/>
      <c r="AQ198" s="716"/>
      <c r="AR198" s="716"/>
      <c r="AS198" s="716"/>
      <c r="AT198" s="714"/>
      <c r="AU198" s="717"/>
    </row>
    <row r="199" spans="1:47" s="708" customFormat="1">
      <c r="B199" s="711"/>
      <c r="C199" s="711"/>
      <c r="D199" s="712"/>
      <c r="N199" s="432"/>
      <c r="AK199" s="721"/>
      <c r="AL199" s="722"/>
      <c r="AM199" s="721"/>
      <c r="AN199" s="722"/>
      <c r="AO199" s="722"/>
      <c r="AP199" s="721"/>
    </row>
    <row r="200" spans="1:47" s="708" customFormat="1">
      <c r="A200" s="707"/>
      <c r="B200" s="726"/>
      <c r="C200" s="726"/>
      <c r="D200" s="727"/>
      <c r="N200" s="726"/>
    </row>
    <row r="201" spans="1:47" s="708" customFormat="1">
      <c r="A201" s="707"/>
      <c r="B201" s="707"/>
    </row>
    <row r="202" spans="1:47" s="708" customFormat="1">
      <c r="A202" s="707"/>
      <c r="B202" s="707"/>
      <c r="AJ202" s="719"/>
      <c r="AK202" s="725"/>
      <c r="AL202" s="725"/>
      <c r="AM202" s="725"/>
      <c r="AN202" s="725"/>
      <c r="AO202" s="725"/>
      <c r="AP202" s="725"/>
      <c r="AQ202" s="725"/>
    </row>
    <row r="203" spans="1:47" s="708" customFormat="1">
      <c r="A203" s="707"/>
      <c r="B203" s="707"/>
      <c r="AK203" s="721"/>
      <c r="AL203" s="722"/>
      <c r="AM203" s="722"/>
      <c r="AN203" s="722"/>
      <c r="AO203" s="722"/>
      <c r="AP203" s="721"/>
      <c r="AQ203" s="722"/>
    </row>
    <row r="204" spans="1:47" s="708" customFormat="1">
      <c r="A204" s="707"/>
      <c r="B204" s="707"/>
    </row>
    <row r="205" spans="1:47" s="708" customFormat="1">
      <c r="A205" s="707"/>
      <c r="B205" s="707"/>
      <c r="AJ205" s="719"/>
      <c r="AK205" s="725"/>
      <c r="AL205" s="725"/>
      <c r="AM205" s="725"/>
      <c r="AN205" s="725"/>
      <c r="AO205" s="725"/>
      <c r="AP205" s="710"/>
    </row>
    <row r="206" spans="1:47" s="708" customFormat="1">
      <c r="A206" s="707"/>
      <c r="B206" s="707"/>
      <c r="AK206" s="721"/>
      <c r="AL206" s="722"/>
      <c r="AM206" s="721"/>
      <c r="AN206" s="722"/>
      <c r="AO206" s="722"/>
      <c r="AP206" s="721"/>
    </row>
    <row r="207" spans="1:47" s="708" customFormat="1">
      <c r="A207" s="707"/>
      <c r="B207" s="707"/>
    </row>
    <row r="208" spans="1:47" s="708" customFormat="1">
      <c r="A208" s="707"/>
      <c r="B208" s="707"/>
      <c r="AJ208" s="719"/>
      <c r="AK208" s="725"/>
      <c r="AL208" s="725"/>
      <c r="AM208" s="725"/>
      <c r="AN208" s="725"/>
      <c r="AO208" s="725"/>
      <c r="AP208" s="725"/>
    </row>
    <row r="209" spans="1:42" s="708" customFormat="1">
      <c r="A209" s="707"/>
      <c r="B209" s="707"/>
      <c r="AK209" s="721"/>
      <c r="AL209" s="722"/>
      <c r="AM209" s="722"/>
      <c r="AN209" s="722"/>
      <c r="AO209" s="722"/>
      <c r="AP209" s="721"/>
    </row>
    <row r="210" spans="1:42" s="708" customFormat="1">
      <c r="A210" s="707"/>
      <c r="B210" s="707"/>
    </row>
    <row r="211" spans="1:42" s="708" customFormat="1">
      <c r="A211" s="707"/>
      <c r="B211" s="707"/>
    </row>
    <row r="212" spans="1:42" s="708" customFormat="1">
      <c r="A212" s="707"/>
      <c r="B212" s="707"/>
      <c r="D212" s="707"/>
      <c r="E212" s="707"/>
      <c r="F212" s="707"/>
      <c r="G212" s="707"/>
      <c r="H212" s="707"/>
      <c r="I212" s="707"/>
      <c r="J212" s="707"/>
      <c r="K212" s="707"/>
      <c r="L212" s="707"/>
      <c r="M212" s="707"/>
      <c r="N212" s="707"/>
      <c r="O212" s="707"/>
      <c r="P212" s="707"/>
      <c r="Q212" s="707"/>
      <c r="R212" s="707"/>
      <c r="S212" s="707"/>
      <c r="T212" s="707"/>
      <c r="U212" s="707"/>
      <c r="V212" s="707"/>
      <c r="W212" s="707"/>
      <c r="X212" s="707"/>
      <c r="Y212" s="707"/>
      <c r="Z212" s="707"/>
      <c r="AA212" s="707"/>
      <c r="AB212" s="707"/>
      <c r="AC212" s="707"/>
      <c r="AD212" s="707"/>
      <c r="AE212" s="707"/>
      <c r="AF212" s="707"/>
      <c r="AG212" s="707"/>
      <c r="AH212" s="707"/>
      <c r="AK212" s="721"/>
      <c r="AL212" s="722"/>
      <c r="AM212" s="722"/>
      <c r="AN212" s="722"/>
      <c r="AO212" s="722"/>
      <c r="AP212" s="721"/>
    </row>
    <row r="213" spans="1:42" s="708" customFormat="1">
      <c r="A213" s="707"/>
      <c r="B213" s="707"/>
      <c r="D213" s="714"/>
      <c r="E213" s="714"/>
      <c r="F213" s="714"/>
      <c r="G213" s="714"/>
      <c r="H213" s="714"/>
      <c r="I213" s="714"/>
      <c r="J213" s="714"/>
      <c r="K213" s="714"/>
      <c r="L213" s="714"/>
      <c r="M213" s="714"/>
      <c r="N213" s="714"/>
      <c r="O213" s="714"/>
      <c r="P213" s="714"/>
      <c r="Q213" s="714"/>
      <c r="R213" s="714"/>
      <c r="S213" s="714"/>
      <c r="T213" s="714"/>
      <c r="U213" s="714"/>
      <c r="V213" s="714"/>
      <c r="W213" s="714"/>
      <c r="X213" s="714"/>
      <c r="Y213" s="714"/>
      <c r="Z213" s="714"/>
      <c r="AA213" s="714"/>
      <c r="AB213" s="714"/>
      <c r="AC213" s="714"/>
      <c r="AD213" s="714"/>
      <c r="AE213" s="714"/>
      <c r="AF213" s="714"/>
      <c r="AG213" s="714"/>
      <c r="AH213" s="714"/>
    </row>
    <row r="214" spans="1:42" s="708" customFormat="1">
      <c r="A214" s="707"/>
      <c r="B214" s="707"/>
      <c r="D214" s="714"/>
      <c r="E214" s="714"/>
      <c r="F214" s="714"/>
      <c r="G214" s="714"/>
      <c r="H214" s="714"/>
      <c r="I214" s="714"/>
      <c r="J214" s="714"/>
      <c r="K214" s="714"/>
      <c r="L214" s="714"/>
      <c r="M214" s="714"/>
      <c r="N214" s="714"/>
      <c r="O214" s="714"/>
      <c r="P214" s="714"/>
      <c r="Q214" s="714"/>
      <c r="R214" s="714"/>
      <c r="S214" s="714"/>
      <c r="T214" s="714"/>
      <c r="U214" s="714"/>
      <c r="V214" s="714"/>
      <c r="W214" s="714"/>
      <c r="X214" s="714"/>
      <c r="Y214" s="714"/>
      <c r="Z214" s="714"/>
      <c r="AA214" s="714"/>
      <c r="AB214" s="714"/>
      <c r="AC214" s="714"/>
      <c r="AD214" s="714"/>
      <c r="AE214" s="714"/>
      <c r="AF214" s="714"/>
      <c r="AG214" s="714"/>
      <c r="AH214" s="714"/>
    </row>
    <row r="215" spans="1:42" s="708" customFormat="1">
      <c r="A215" s="707"/>
      <c r="B215" s="707"/>
      <c r="D215" s="714"/>
      <c r="E215" s="714"/>
      <c r="F215" s="714"/>
      <c r="G215" s="714"/>
      <c r="H215" s="714"/>
      <c r="I215" s="714"/>
      <c r="J215" s="714"/>
      <c r="K215" s="714"/>
      <c r="L215" s="714"/>
      <c r="M215" s="714"/>
      <c r="N215" s="714"/>
      <c r="O215" s="714"/>
      <c r="P215" s="714"/>
      <c r="Q215" s="714"/>
      <c r="R215" s="714"/>
      <c r="S215" s="714"/>
      <c r="T215" s="714"/>
      <c r="U215" s="714"/>
      <c r="V215" s="714"/>
      <c r="W215" s="714"/>
      <c r="X215" s="714"/>
      <c r="Y215" s="714"/>
      <c r="Z215" s="714"/>
      <c r="AA215" s="714"/>
      <c r="AB215" s="714"/>
      <c r="AC215" s="714"/>
      <c r="AD215" s="714"/>
      <c r="AE215" s="714"/>
      <c r="AF215" s="714"/>
      <c r="AG215" s="714"/>
      <c r="AH215" s="714"/>
    </row>
    <row r="216" spans="1:42" s="708" customFormat="1">
      <c r="A216" s="707"/>
      <c r="B216" s="707"/>
      <c r="D216" s="714"/>
      <c r="E216" s="714"/>
      <c r="F216" s="714"/>
      <c r="G216" s="714"/>
      <c r="H216" s="714"/>
      <c r="I216" s="714"/>
      <c r="J216" s="714"/>
      <c r="K216" s="714"/>
      <c r="L216" s="714"/>
      <c r="M216" s="714"/>
      <c r="N216" s="714"/>
      <c r="O216" s="714"/>
      <c r="P216" s="714"/>
      <c r="Q216" s="714"/>
      <c r="R216" s="714"/>
      <c r="S216" s="714"/>
      <c r="T216" s="714"/>
      <c r="U216" s="714"/>
      <c r="V216" s="714"/>
      <c r="W216" s="714"/>
      <c r="X216" s="714"/>
      <c r="Y216" s="714"/>
      <c r="Z216" s="714"/>
      <c r="AA216" s="714"/>
      <c r="AB216" s="714"/>
      <c r="AC216" s="714"/>
      <c r="AD216" s="714"/>
      <c r="AE216" s="714"/>
      <c r="AF216" s="714"/>
      <c r="AG216" s="714"/>
      <c r="AH216" s="714"/>
    </row>
    <row r="217" spans="1:42" s="708" customFormat="1">
      <c r="A217" s="707"/>
      <c r="B217" s="707"/>
      <c r="D217" s="714"/>
      <c r="E217" s="714"/>
      <c r="F217" s="714"/>
      <c r="G217" s="714"/>
      <c r="H217" s="714"/>
      <c r="I217" s="714"/>
      <c r="J217" s="714"/>
      <c r="K217" s="714"/>
      <c r="L217" s="714"/>
      <c r="M217" s="714"/>
      <c r="N217" s="714"/>
      <c r="O217" s="714"/>
      <c r="P217" s="714"/>
      <c r="Q217" s="714"/>
      <c r="R217" s="714"/>
      <c r="S217" s="714"/>
      <c r="T217" s="714"/>
      <c r="U217" s="714"/>
      <c r="V217" s="714"/>
      <c r="W217" s="714"/>
      <c r="X217" s="714"/>
      <c r="Y217" s="714"/>
      <c r="Z217" s="714"/>
      <c r="AA217" s="714"/>
      <c r="AB217" s="714"/>
      <c r="AC217" s="714"/>
      <c r="AD217" s="714"/>
      <c r="AE217" s="714"/>
      <c r="AF217" s="714"/>
      <c r="AG217" s="714"/>
      <c r="AH217" s="714"/>
    </row>
    <row r="218" spans="1:42" s="708" customFormat="1">
      <c r="A218" s="707"/>
      <c r="B218" s="707"/>
      <c r="C218" s="720"/>
      <c r="D218" s="714"/>
      <c r="E218" s="714"/>
      <c r="F218" s="714"/>
      <c r="G218" s="714"/>
      <c r="H218" s="714"/>
      <c r="I218" s="714"/>
      <c r="J218" s="714"/>
      <c r="K218" s="714"/>
      <c r="L218" s="714"/>
      <c r="M218" s="714"/>
      <c r="N218" s="714"/>
      <c r="O218" s="714"/>
      <c r="P218" s="714"/>
      <c r="Q218" s="714"/>
      <c r="R218" s="714"/>
      <c r="S218" s="714"/>
      <c r="T218" s="714"/>
      <c r="U218" s="714"/>
      <c r="V218" s="714"/>
      <c r="W218" s="714"/>
      <c r="X218" s="714"/>
      <c r="Y218" s="714"/>
      <c r="Z218" s="714"/>
      <c r="AA218" s="714"/>
      <c r="AB218" s="714"/>
      <c r="AC218" s="714"/>
      <c r="AD218" s="714"/>
      <c r="AE218" s="714"/>
      <c r="AF218" s="714"/>
      <c r="AG218" s="714"/>
      <c r="AH218" s="714"/>
    </row>
    <row r="219" spans="1:42" s="708" customFormat="1">
      <c r="A219" s="707"/>
      <c r="B219" s="707"/>
      <c r="D219" s="714"/>
      <c r="E219" s="714"/>
      <c r="F219" s="714"/>
      <c r="G219" s="714"/>
      <c r="H219" s="714"/>
      <c r="I219" s="714"/>
      <c r="J219" s="714"/>
      <c r="K219" s="714"/>
      <c r="L219" s="714"/>
      <c r="M219" s="714"/>
      <c r="N219" s="714"/>
      <c r="O219" s="714"/>
      <c r="P219" s="714"/>
      <c r="Q219" s="714"/>
      <c r="R219" s="714"/>
      <c r="S219" s="714"/>
      <c r="T219" s="714"/>
      <c r="U219" s="714"/>
      <c r="V219" s="714"/>
      <c r="W219" s="714"/>
      <c r="X219" s="714"/>
      <c r="Y219" s="714"/>
      <c r="Z219" s="714"/>
      <c r="AA219" s="714"/>
      <c r="AB219" s="714"/>
      <c r="AC219" s="714"/>
      <c r="AD219" s="714"/>
      <c r="AE219" s="714"/>
      <c r="AF219" s="714"/>
      <c r="AG219" s="714"/>
      <c r="AH219" s="714"/>
    </row>
    <row r="220" spans="1:42" s="708" customFormat="1">
      <c r="A220" s="707"/>
      <c r="B220" s="707"/>
      <c r="D220" s="714"/>
      <c r="E220" s="714"/>
      <c r="F220" s="714"/>
      <c r="G220" s="714"/>
      <c r="H220" s="714"/>
      <c r="I220" s="714"/>
      <c r="J220" s="714"/>
      <c r="K220" s="714"/>
      <c r="L220" s="714"/>
      <c r="M220" s="714"/>
      <c r="N220" s="714"/>
      <c r="O220" s="714"/>
      <c r="P220" s="714"/>
      <c r="Q220" s="714"/>
      <c r="R220" s="714"/>
      <c r="S220" s="714"/>
      <c r="T220" s="714"/>
      <c r="U220" s="714"/>
      <c r="V220" s="714"/>
      <c r="W220" s="714"/>
      <c r="X220" s="714"/>
      <c r="Y220" s="714"/>
      <c r="Z220" s="714"/>
      <c r="AA220" s="714"/>
      <c r="AB220" s="714"/>
      <c r="AC220" s="714"/>
      <c r="AD220" s="714"/>
      <c r="AE220" s="714"/>
      <c r="AF220" s="714"/>
      <c r="AG220" s="714"/>
      <c r="AH220" s="714"/>
    </row>
    <row r="221" spans="1:42" s="708" customFormat="1">
      <c r="A221" s="707"/>
      <c r="B221" s="707"/>
      <c r="D221" s="714"/>
      <c r="E221" s="714"/>
      <c r="F221" s="714"/>
      <c r="G221" s="714"/>
      <c r="H221" s="714"/>
      <c r="I221" s="714"/>
      <c r="J221" s="714"/>
      <c r="K221" s="714"/>
      <c r="L221" s="714"/>
      <c r="M221" s="714"/>
      <c r="N221" s="714"/>
      <c r="O221" s="714"/>
      <c r="P221" s="714"/>
      <c r="Q221" s="714"/>
      <c r="R221" s="714"/>
      <c r="S221" s="714"/>
      <c r="T221" s="714"/>
      <c r="U221" s="714"/>
      <c r="V221" s="714"/>
      <c r="W221" s="714"/>
      <c r="X221" s="714"/>
      <c r="Y221" s="714"/>
      <c r="Z221" s="714"/>
      <c r="AA221" s="714"/>
      <c r="AB221" s="714"/>
      <c r="AC221" s="714"/>
      <c r="AD221" s="714"/>
      <c r="AE221" s="714"/>
      <c r="AF221" s="714"/>
      <c r="AG221" s="714"/>
      <c r="AH221" s="714"/>
    </row>
    <row r="222" spans="1:42" s="708" customFormat="1">
      <c r="A222" s="707"/>
      <c r="B222" s="707"/>
    </row>
    <row r="223" spans="1:42" s="708" customFormat="1">
      <c r="A223" s="707"/>
      <c r="B223" s="707"/>
      <c r="D223" s="714"/>
      <c r="E223" s="714"/>
      <c r="F223" s="714"/>
      <c r="G223" s="714"/>
      <c r="H223" s="714"/>
      <c r="I223" s="714"/>
      <c r="J223" s="714"/>
      <c r="K223" s="714"/>
      <c r="L223" s="714"/>
      <c r="M223" s="714"/>
      <c r="N223" s="714"/>
      <c r="O223" s="714"/>
      <c r="P223" s="714"/>
      <c r="Q223" s="714"/>
      <c r="R223" s="714"/>
      <c r="S223" s="714"/>
      <c r="T223" s="714"/>
      <c r="U223" s="714"/>
      <c r="V223" s="714"/>
      <c r="W223" s="714"/>
      <c r="X223" s="714"/>
      <c r="Y223" s="714"/>
      <c r="Z223" s="714"/>
      <c r="AA223" s="714"/>
      <c r="AB223" s="714"/>
      <c r="AC223" s="714"/>
      <c r="AD223" s="714"/>
      <c r="AE223" s="714"/>
      <c r="AF223" s="714"/>
      <c r="AG223" s="714"/>
      <c r="AH223" s="714"/>
    </row>
    <row r="224" spans="1:42" s="708" customFormat="1">
      <c r="A224" s="707"/>
      <c r="B224" s="707"/>
      <c r="D224" s="714"/>
      <c r="E224" s="714"/>
      <c r="F224" s="714"/>
      <c r="G224" s="714"/>
      <c r="H224" s="714"/>
      <c r="I224" s="714"/>
      <c r="J224" s="714"/>
      <c r="K224" s="714"/>
      <c r="L224" s="714"/>
      <c r="M224" s="714"/>
      <c r="N224" s="714"/>
      <c r="O224" s="714"/>
      <c r="P224" s="714"/>
      <c r="Q224" s="714"/>
      <c r="R224" s="714"/>
      <c r="S224" s="714"/>
      <c r="T224" s="714"/>
      <c r="U224" s="714"/>
      <c r="V224" s="714"/>
      <c r="W224" s="714"/>
      <c r="X224" s="714"/>
      <c r="Y224" s="714"/>
      <c r="Z224" s="714"/>
      <c r="AA224" s="714"/>
      <c r="AB224" s="714"/>
      <c r="AC224" s="714"/>
      <c r="AD224" s="714"/>
      <c r="AE224" s="714"/>
      <c r="AF224" s="714"/>
      <c r="AG224" s="714"/>
      <c r="AH224" s="714"/>
    </row>
    <row r="225" spans="1:36" s="708" customFormat="1">
      <c r="A225" s="707"/>
      <c r="B225" s="707"/>
      <c r="D225" s="714"/>
      <c r="E225" s="714"/>
      <c r="F225" s="714"/>
      <c r="G225" s="714"/>
      <c r="H225" s="714"/>
      <c r="I225" s="714"/>
      <c r="J225" s="714"/>
      <c r="K225" s="714"/>
      <c r="L225" s="714"/>
      <c r="M225" s="714"/>
      <c r="N225" s="714"/>
      <c r="O225" s="714"/>
      <c r="P225" s="714"/>
      <c r="Q225" s="714"/>
      <c r="R225" s="714"/>
      <c r="S225" s="714"/>
      <c r="T225" s="714"/>
      <c r="U225" s="714"/>
      <c r="V225" s="714"/>
      <c r="W225" s="714"/>
      <c r="X225" s="714"/>
      <c r="Y225" s="714"/>
      <c r="Z225" s="714"/>
      <c r="AA225" s="714"/>
      <c r="AB225" s="714"/>
      <c r="AC225" s="714"/>
      <c r="AD225" s="714"/>
      <c r="AE225" s="714"/>
      <c r="AF225" s="714"/>
      <c r="AG225" s="714"/>
      <c r="AH225" s="714"/>
      <c r="AI225" s="714"/>
    </row>
    <row r="226" spans="1:36" s="708" customFormat="1">
      <c r="A226" s="707"/>
      <c r="B226" s="707"/>
      <c r="D226" s="714"/>
      <c r="E226" s="714"/>
      <c r="F226" s="714"/>
      <c r="G226" s="714"/>
      <c r="H226" s="714"/>
      <c r="I226" s="714"/>
      <c r="J226" s="714"/>
      <c r="K226" s="714"/>
      <c r="L226" s="714"/>
      <c r="M226" s="714"/>
      <c r="N226" s="714"/>
      <c r="O226" s="714"/>
      <c r="P226" s="714"/>
      <c r="Q226" s="714"/>
      <c r="R226" s="714"/>
      <c r="S226" s="714"/>
      <c r="T226" s="714"/>
      <c r="U226" s="714"/>
      <c r="V226" s="714"/>
      <c r="W226" s="714"/>
      <c r="X226" s="714"/>
      <c r="Y226" s="714"/>
      <c r="Z226" s="714"/>
      <c r="AA226" s="714"/>
      <c r="AB226" s="714"/>
      <c r="AC226" s="714"/>
      <c r="AD226" s="714"/>
      <c r="AE226" s="714"/>
      <c r="AF226" s="714"/>
      <c r="AG226" s="714"/>
      <c r="AH226" s="714"/>
    </row>
    <row r="227" spans="1:36" s="708" customFormat="1">
      <c r="A227" s="707"/>
      <c r="B227" s="707"/>
      <c r="D227" s="714"/>
      <c r="E227" s="714"/>
      <c r="F227" s="714"/>
      <c r="G227" s="714"/>
      <c r="H227" s="714"/>
      <c r="I227" s="714"/>
      <c r="J227" s="714"/>
      <c r="K227" s="714"/>
      <c r="L227" s="714"/>
      <c r="M227" s="714"/>
      <c r="N227" s="714"/>
      <c r="O227" s="714"/>
      <c r="P227" s="714"/>
      <c r="Q227" s="714"/>
      <c r="R227" s="714"/>
      <c r="S227" s="714"/>
      <c r="T227" s="714"/>
      <c r="U227" s="714"/>
      <c r="V227" s="714"/>
      <c r="W227" s="714"/>
      <c r="X227" s="714"/>
      <c r="Y227" s="714"/>
      <c r="Z227" s="714"/>
      <c r="AA227" s="714"/>
      <c r="AB227" s="714"/>
      <c r="AC227" s="714"/>
      <c r="AD227" s="714"/>
      <c r="AE227" s="714"/>
      <c r="AF227" s="714"/>
      <c r="AG227" s="714"/>
      <c r="AH227" s="714"/>
    </row>
    <row r="228" spans="1:36" s="708" customFormat="1">
      <c r="A228" s="707"/>
      <c r="B228" s="707"/>
      <c r="D228" s="714"/>
      <c r="E228" s="714"/>
      <c r="F228" s="714"/>
      <c r="G228" s="714"/>
      <c r="H228" s="714"/>
      <c r="I228" s="714"/>
      <c r="J228" s="714"/>
      <c r="K228" s="714"/>
      <c r="L228" s="714"/>
      <c r="M228" s="714"/>
      <c r="N228" s="714"/>
      <c r="O228" s="714"/>
      <c r="P228" s="714"/>
      <c r="Q228" s="714"/>
      <c r="R228" s="714"/>
      <c r="S228" s="714"/>
      <c r="T228" s="714"/>
      <c r="U228" s="714"/>
      <c r="V228" s="714"/>
      <c r="W228" s="714"/>
      <c r="X228" s="714"/>
      <c r="Y228" s="714"/>
      <c r="Z228" s="714"/>
      <c r="AA228" s="714"/>
      <c r="AB228" s="714"/>
      <c r="AC228" s="714"/>
      <c r="AD228" s="714"/>
      <c r="AE228" s="714"/>
      <c r="AF228" s="714"/>
      <c r="AG228" s="714"/>
      <c r="AH228" s="714"/>
    </row>
    <row r="229" spans="1:36" s="708" customFormat="1">
      <c r="A229" s="707"/>
      <c r="B229" s="707"/>
      <c r="C229" s="720"/>
      <c r="D229" s="714"/>
      <c r="E229" s="714"/>
      <c r="F229" s="714"/>
      <c r="G229" s="714"/>
      <c r="H229" s="714"/>
      <c r="I229" s="714"/>
      <c r="J229" s="714"/>
      <c r="K229" s="714"/>
      <c r="L229" s="714"/>
      <c r="M229" s="714"/>
      <c r="N229" s="714"/>
      <c r="O229" s="714"/>
      <c r="P229" s="714"/>
      <c r="Q229" s="714"/>
      <c r="R229" s="714"/>
      <c r="S229" s="714"/>
      <c r="T229" s="714"/>
      <c r="U229" s="714"/>
      <c r="V229" s="714"/>
      <c r="W229" s="714"/>
      <c r="X229" s="714"/>
      <c r="Y229" s="714"/>
      <c r="Z229" s="714"/>
      <c r="AA229" s="714"/>
      <c r="AB229" s="714"/>
      <c r="AC229" s="714"/>
      <c r="AD229" s="714"/>
      <c r="AE229" s="714"/>
      <c r="AF229" s="714"/>
      <c r="AG229" s="714"/>
      <c r="AH229" s="714"/>
    </row>
    <row r="230" spans="1:36" s="708" customFormat="1">
      <c r="A230" s="707"/>
      <c r="B230" s="707"/>
      <c r="D230" s="714"/>
      <c r="E230" s="714"/>
      <c r="F230" s="714"/>
      <c r="G230" s="714"/>
      <c r="H230" s="714"/>
      <c r="I230" s="714"/>
      <c r="J230" s="714"/>
      <c r="K230" s="714"/>
      <c r="L230" s="714"/>
      <c r="M230" s="714"/>
      <c r="N230" s="714"/>
      <c r="O230" s="714"/>
      <c r="P230" s="714"/>
      <c r="Q230" s="714"/>
      <c r="R230" s="714"/>
      <c r="S230" s="714"/>
      <c r="T230" s="714"/>
      <c r="U230" s="714"/>
      <c r="V230" s="714"/>
      <c r="W230" s="714"/>
      <c r="X230" s="714"/>
      <c r="Y230" s="714"/>
      <c r="Z230" s="714"/>
      <c r="AA230" s="714"/>
      <c r="AB230" s="714"/>
      <c r="AC230" s="714"/>
      <c r="AD230" s="714"/>
      <c r="AE230" s="714"/>
      <c r="AF230" s="714"/>
      <c r="AG230" s="714"/>
      <c r="AH230" s="714"/>
    </row>
    <row r="231" spans="1:36" s="708" customFormat="1">
      <c r="A231" s="707"/>
      <c r="B231" s="707"/>
      <c r="D231" s="714"/>
      <c r="E231" s="714"/>
      <c r="F231" s="714"/>
      <c r="G231" s="714"/>
      <c r="H231" s="714"/>
      <c r="I231" s="714"/>
      <c r="J231" s="714"/>
      <c r="K231" s="714"/>
      <c r="L231" s="714"/>
      <c r="M231" s="714"/>
      <c r="N231" s="714"/>
      <c r="O231" s="714"/>
      <c r="P231" s="714"/>
      <c r="Q231" s="714"/>
      <c r="R231" s="714"/>
      <c r="S231" s="714"/>
      <c r="T231" s="714"/>
      <c r="U231" s="714"/>
      <c r="V231" s="714"/>
      <c r="W231" s="714"/>
      <c r="X231" s="714"/>
      <c r="Y231" s="714"/>
      <c r="Z231" s="714"/>
      <c r="AA231" s="714"/>
      <c r="AB231" s="714"/>
      <c r="AC231" s="714"/>
      <c r="AD231" s="714"/>
      <c r="AE231" s="714"/>
      <c r="AF231" s="714"/>
      <c r="AG231" s="714"/>
      <c r="AH231" s="714"/>
    </row>
    <row r="232" spans="1:36" s="708" customFormat="1">
      <c r="A232" s="707"/>
      <c r="B232" s="707"/>
      <c r="D232" s="714"/>
      <c r="E232" s="714"/>
      <c r="F232" s="714"/>
      <c r="G232" s="714"/>
      <c r="H232" s="714"/>
      <c r="I232" s="714"/>
      <c r="J232" s="714"/>
      <c r="K232" s="714"/>
      <c r="L232" s="714"/>
      <c r="M232" s="714"/>
      <c r="N232" s="714"/>
      <c r="O232" s="714"/>
      <c r="P232" s="714"/>
      <c r="Q232" s="714"/>
      <c r="R232" s="714"/>
      <c r="S232" s="714"/>
      <c r="T232" s="714"/>
      <c r="U232" s="714"/>
      <c r="V232" s="714"/>
      <c r="W232" s="714"/>
      <c r="X232" s="714"/>
      <c r="Y232" s="714"/>
      <c r="Z232" s="714"/>
      <c r="AA232" s="714"/>
      <c r="AB232" s="714"/>
      <c r="AC232" s="714"/>
      <c r="AD232" s="714"/>
      <c r="AE232" s="714"/>
      <c r="AF232" s="714"/>
      <c r="AG232" s="714"/>
      <c r="AH232" s="714"/>
    </row>
    <row r="233" spans="1:36" s="708" customFormat="1">
      <c r="A233" s="707"/>
      <c r="B233" s="707"/>
      <c r="D233" s="714"/>
      <c r="E233" s="714"/>
      <c r="F233" s="714"/>
      <c r="G233" s="714"/>
      <c r="H233" s="714"/>
      <c r="I233" s="714"/>
      <c r="J233" s="714"/>
      <c r="K233" s="714"/>
      <c r="L233" s="714"/>
      <c r="M233" s="714"/>
      <c r="N233" s="714"/>
      <c r="O233" s="714"/>
      <c r="P233" s="714"/>
      <c r="Q233" s="714"/>
      <c r="R233" s="714"/>
      <c r="S233" s="714"/>
      <c r="T233" s="714"/>
      <c r="U233" s="714"/>
      <c r="V233" s="714"/>
      <c r="W233" s="714"/>
      <c r="X233" s="714"/>
      <c r="Y233" s="714"/>
      <c r="Z233" s="714"/>
      <c r="AA233" s="714"/>
      <c r="AB233" s="714"/>
      <c r="AC233" s="714"/>
      <c r="AD233" s="714"/>
      <c r="AE233" s="714"/>
      <c r="AF233" s="714"/>
      <c r="AG233" s="714"/>
      <c r="AH233" s="714"/>
    </row>
    <row r="234" spans="1:36" s="708" customFormat="1">
      <c r="A234" s="707"/>
      <c r="B234" s="707"/>
      <c r="D234" s="714"/>
      <c r="E234" s="714"/>
      <c r="F234" s="714"/>
      <c r="G234" s="714"/>
      <c r="H234" s="714"/>
      <c r="I234" s="714"/>
      <c r="J234" s="714"/>
      <c r="K234" s="714"/>
      <c r="L234" s="714"/>
      <c r="M234" s="714"/>
      <c r="N234" s="714"/>
      <c r="O234" s="714"/>
      <c r="P234" s="714"/>
      <c r="Q234" s="714"/>
      <c r="R234" s="714"/>
      <c r="S234" s="714"/>
      <c r="T234" s="714"/>
      <c r="U234" s="714"/>
      <c r="V234" s="714"/>
      <c r="W234" s="714"/>
      <c r="X234" s="714"/>
      <c r="Y234" s="714"/>
      <c r="Z234" s="714"/>
      <c r="AA234" s="714"/>
      <c r="AB234" s="714"/>
      <c r="AC234" s="714"/>
      <c r="AD234" s="714"/>
      <c r="AE234" s="714"/>
      <c r="AF234" s="714"/>
      <c r="AG234" s="714"/>
      <c r="AH234" s="714"/>
      <c r="AJ234" s="729"/>
    </row>
    <row r="235" spans="1:36" s="708" customFormat="1">
      <c r="A235" s="707"/>
      <c r="B235" s="707"/>
    </row>
    <row r="236" spans="1:36" s="708" customFormat="1">
      <c r="A236" s="707"/>
      <c r="B236" s="707"/>
    </row>
    <row r="237" spans="1:36" s="708" customFormat="1">
      <c r="A237" s="707"/>
      <c r="B237" s="707"/>
    </row>
    <row r="238" spans="1:36" s="708" customFormat="1">
      <c r="A238" s="707"/>
      <c r="B238" s="707"/>
    </row>
    <row r="239" spans="1:36" s="708" customFormat="1">
      <c r="A239" s="707"/>
      <c r="B239" s="707"/>
    </row>
    <row r="240" spans="1:36" s="708" customFormat="1">
      <c r="A240" s="707"/>
      <c r="B240" s="707"/>
    </row>
    <row r="241" spans="1:44" s="708" customFormat="1">
      <c r="A241" s="707"/>
      <c r="B241" s="707"/>
    </row>
    <row r="242" spans="1:44" s="708" customFormat="1">
      <c r="A242" s="707"/>
      <c r="B242" s="707"/>
    </row>
    <row r="243" spans="1:44" s="708" customFormat="1">
      <c r="A243" s="707"/>
      <c r="B243" s="707"/>
    </row>
    <row r="244" spans="1:44" s="708" customFormat="1">
      <c r="A244" s="707"/>
      <c r="B244" s="707"/>
    </row>
    <row r="245" spans="1:44" s="708" customFormat="1">
      <c r="A245" s="707"/>
      <c r="B245" s="707"/>
    </row>
    <row r="246" spans="1:44" s="708" customFormat="1">
      <c r="A246" s="707"/>
      <c r="B246" s="707"/>
    </row>
    <row r="247" spans="1:44" s="708" customFormat="1">
      <c r="A247" s="707"/>
      <c r="B247" s="707"/>
    </row>
    <row r="248" spans="1:44" s="708" customFormat="1">
      <c r="A248" s="707"/>
      <c r="B248" s="707"/>
    </row>
    <row r="249" spans="1:44" s="708" customFormat="1">
      <c r="A249" s="707"/>
      <c r="B249" s="707"/>
      <c r="AJ249" s="715"/>
      <c r="AK249" s="710"/>
      <c r="AL249" s="710"/>
      <c r="AM249" s="710"/>
      <c r="AN249" s="710"/>
      <c r="AO249" s="710"/>
      <c r="AP249" s="728"/>
      <c r="AQ249" s="710"/>
      <c r="AR249" s="710"/>
    </row>
    <row r="250" spans="1:44" s="708" customFormat="1">
      <c r="A250" s="707"/>
      <c r="B250" s="707"/>
    </row>
    <row r="251" spans="1:44" s="708" customFormat="1">
      <c r="A251" s="707"/>
      <c r="B251" s="707"/>
      <c r="AJ251" s="715"/>
      <c r="AK251" s="722"/>
      <c r="AL251" s="717"/>
      <c r="AM251" s="722"/>
      <c r="AN251" s="717"/>
      <c r="AO251" s="717"/>
      <c r="AP251" s="717"/>
      <c r="AQ251" s="717"/>
      <c r="AR251" s="730"/>
    </row>
    <row r="252" spans="1:44" s="708" customFormat="1">
      <c r="A252" s="707"/>
      <c r="B252" s="707"/>
      <c r="AJ252" s="715"/>
      <c r="AK252" s="717"/>
      <c r="AL252" s="717"/>
      <c r="AM252" s="717"/>
      <c r="AN252" s="717"/>
      <c r="AO252" s="722"/>
      <c r="AP252" s="717"/>
      <c r="AQ252" s="717"/>
      <c r="AR252" s="717"/>
    </row>
    <row r="253" spans="1:44" s="708" customFormat="1">
      <c r="A253" s="707"/>
      <c r="B253" s="707"/>
      <c r="AJ253" s="715"/>
      <c r="AK253" s="717"/>
      <c r="AL253" s="717"/>
      <c r="AM253" s="717"/>
      <c r="AN253" s="717"/>
      <c r="AO253" s="717"/>
      <c r="AP253" s="722"/>
      <c r="AQ253" s="717"/>
      <c r="AR253" s="717"/>
    </row>
    <row r="254" spans="1:44" s="708" customFormat="1">
      <c r="A254" s="707"/>
      <c r="B254" s="707"/>
      <c r="AJ254" s="715"/>
      <c r="AK254" s="717"/>
      <c r="AL254" s="717"/>
      <c r="AM254" s="717"/>
      <c r="AN254" s="717"/>
      <c r="AO254" s="717"/>
      <c r="AP254" s="717"/>
      <c r="AQ254" s="722"/>
      <c r="AR254" s="717"/>
    </row>
    <row r="255" spans="1:44" s="708" customFormat="1">
      <c r="A255" s="707"/>
      <c r="B255" s="707"/>
      <c r="AJ255" s="715"/>
      <c r="AK255" s="717"/>
      <c r="AL255" s="717"/>
      <c r="AM255" s="717"/>
      <c r="AN255" s="717"/>
      <c r="AO255" s="717"/>
      <c r="AP255" s="717"/>
      <c r="AQ255" s="722"/>
      <c r="AR255" s="717"/>
    </row>
    <row r="256" spans="1:44" s="708" customFormat="1">
      <c r="A256" s="707"/>
      <c r="B256" s="707"/>
      <c r="AJ256" s="715"/>
      <c r="AK256" s="717"/>
      <c r="AL256" s="722"/>
      <c r="AM256" s="717"/>
      <c r="AN256" s="731"/>
      <c r="AO256" s="717"/>
      <c r="AP256" s="717"/>
      <c r="AQ256" s="717"/>
      <c r="AR256" s="717"/>
    </row>
    <row r="257" spans="1:2" s="708" customFormat="1">
      <c r="A257" s="707"/>
      <c r="B257" s="707"/>
    </row>
    <row r="258" spans="1:2" s="708" customFormat="1">
      <c r="A258" s="707"/>
      <c r="B258" s="707"/>
    </row>
    <row r="259" spans="1:2" s="708" customFormat="1">
      <c r="A259" s="707"/>
      <c r="B259" s="707"/>
    </row>
    <row r="260" spans="1:2" s="708" customFormat="1">
      <c r="A260" s="707"/>
      <c r="B260" s="707"/>
    </row>
    <row r="261" spans="1:2" s="708" customFormat="1">
      <c r="A261" s="707"/>
      <c r="B261" s="707"/>
    </row>
    <row r="262" spans="1:2" s="708" customFormat="1">
      <c r="A262" s="707"/>
      <c r="B262" s="707"/>
    </row>
    <row r="263" spans="1:2" s="708" customFormat="1">
      <c r="A263" s="707"/>
      <c r="B263" s="707"/>
    </row>
    <row r="264" spans="1:2" s="708" customFormat="1">
      <c r="A264" s="707"/>
      <c r="B264" s="707"/>
    </row>
    <row r="265" spans="1:2" s="708" customFormat="1">
      <c r="A265" s="707"/>
      <c r="B265" s="707"/>
    </row>
    <row r="266" spans="1:2" s="708" customFormat="1">
      <c r="A266" s="707"/>
      <c r="B266" s="707"/>
    </row>
    <row r="267" spans="1:2" s="708" customFormat="1">
      <c r="A267" s="707"/>
      <c r="B267" s="707"/>
    </row>
    <row r="268" spans="1:2" s="708" customFormat="1">
      <c r="A268" s="707"/>
      <c r="B268" s="707"/>
    </row>
    <row r="269" spans="1:2" s="708" customFormat="1">
      <c r="A269" s="707"/>
      <c r="B269" s="707"/>
    </row>
    <row r="270" spans="1:2" s="708" customFormat="1">
      <c r="A270" s="707"/>
      <c r="B270" s="707"/>
    </row>
    <row r="271" spans="1:2" s="708" customFormat="1">
      <c r="A271" s="707"/>
      <c r="B271" s="707"/>
    </row>
    <row r="272" spans="1:2" s="708" customFormat="1">
      <c r="A272" s="707"/>
      <c r="B272" s="707"/>
    </row>
    <row r="273" spans="1:2" s="708" customFormat="1">
      <c r="A273" s="707"/>
      <c r="B273" s="707"/>
    </row>
    <row r="274" spans="1:2" s="708" customFormat="1">
      <c r="A274" s="707"/>
      <c r="B274" s="707"/>
    </row>
    <row r="275" spans="1:2" s="708" customFormat="1">
      <c r="A275" s="707"/>
      <c r="B275" s="707"/>
    </row>
    <row r="276" spans="1:2" s="708" customFormat="1">
      <c r="A276" s="707"/>
      <c r="B276" s="707"/>
    </row>
    <row r="277" spans="1:2" s="708" customFormat="1">
      <c r="A277" s="707"/>
      <c r="B277" s="707"/>
    </row>
    <row r="278" spans="1:2" s="708" customFormat="1">
      <c r="A278" s="707"/>
      <c r="B278" s="707"/>
    </row>
    <row r="279" spans="1:2" s="708" customFormat="1">
      <c r="A279" s="707"/>
      <c r="B279" s="707"/>
    </row>
    <row r="280" spans="1:2" s="708" customFormat="1">
      <c r="A280" s="707"/>
      <c r="B280" s="707"/>
    </row>
  </sheetData>
  <mergeCells count="30">
    <mergeCell ref="A149:A152"/>
    <mergeCell ref="A153:A154"/>
    <mergeCell ref="A158:A161"/>
    <mergeCell ref="A162:A163"/>
    <mergeCell ref="A120:A121"/>
    <mergeCell ref="A128:A131"/>
    <mergeCell ref="A132:A133"/>
    <mergeCell ref="A140:A143"/>
    <mergeCell ref="A144:A145"/>
    <mergeCell ref="A96:A99"/>
    <mergeCell ref="A100:A101"/>
    <mergeCell ref="A106:A109"/>
    <mergeCell ref="A110:A111"/>
    <mergeCell ref="A116:A119"/>
    <mergeCell ref="A38:A39"/>
    <mergeCell ref="A5:A8"/>
    <mergeCell ref="A9:A10"/>
    <mergeCell ref="A20:A23"/>
    <mergeCell ref="A24:A25"/>
    <mergeCell ref="A34:A37"/>
    <mergeCell ref="A75:A78"/>
    <mergeCell ref="A79:A80"/>
    <mergeCell ref="A85:A88"/>
    <mergeCell ref="A89:A90"/>
    <mergeCell ref="A44:A47"/>
    <mergeCell ref="A48:A49"/>
    <mergeCell ref="A56:A59"/>
    <mergeCell ref="A60:A61"/>
    <mergeCell ref="A66:A69"/>
    <mergeCell ref="A70:A7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1FC4-54DC-421E-B792-54D5F178C5C2}">
  <sheetPr>
    <tabColor theme="9"/>
  </sheetPr>
  <dimension ref="A2:AT154"/>
  <sheetViews>
    <sheetView zoomScale="40" zoomScaleNormal="40" workbookViewId="0">
      <pane xSplit="3" ySplit="3" topLeftCell="D61" activePane="bottomRight" state="frozen"/>
      <selection activeCell="C65" sqref="C65"/>
      <selection pane="topRight" activeCell="C65" sqref="C65"/>
      <selection pane="bottomLeft" activeCell="C65" sqref="C65"/>
      <selection pane="bottomRight" activeCell="A79" sqref="A79:XFD154"/>
    </sheetView>
  </sheetViews>
  <sheetFormatPr defaultRowHeight="14.75" outlineLevelRow="1" outlineLevelCol="1"/>
  <cols>
    <col min="1" max="1" width="53.453125" style="1" customWidth="1"/>
    <col min="2" max="2" width="24.453125" style="1" customWidth="1"/>
    <col min="4" max="4" width="12.7265625" bestFit="1" customWidth="1"/>
    <col min="5" max="13" width="8.81640625" hidden="1" customWidth="1" outlineLevel="1"/>
    <col min="14" max="14" width="12.7265625" bestFit="1" customWidth="1" collapsed="1"/>
    <col min="15" max="23" width="8.81640625" hidden="1" customWidth="1" outlineLevel="1"/>
    <col min="24" max="24" width="12.7265625" bestFit="1" customWidth="1" collapsed="1"/>
    <col min="25" max="33" width="8.81640625" hidden="1" customWidth="1" outlineLevel="1"/>
    <col min="34" max="34" width="12.7265625" bestFit="1" customWidth="1" collapsed="1"/>
    <col min="36" max="36" width="15.453125" customWidth="1"/>
  </cols>
  <sheetData>
    <row r="2" spans="1:36" s="49" customFormat="1">
      <c r="A2" s="48" t="s">
        <v>250</v>
      </c>
      <c r="B2" s="48"/>
      <c r="C2" s="48"/>
    </row>
    <row r="3" spans="1:36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6">
      <c r="A4" s="1" t="s">
        <v>251</v>
      </c>
      <c r="C4" s="50" t="s">
        <v>1420</v>
      </c>
      <c r="D4" s="99">
        <f>'Yearly Demand - Eth-Prop'!L4</f>
        <v>4343145.1257582027</v>
      </c>
      <c r="E4" s="99">
        <f>'Yearly Demand - Eth-Prop'!M4</f>
        <v>4321030.5153851286</v>
      </c>
      <c r="F4" s="99">
        <f>'Yearly Demand - Eth-Prop'!N4</f>
        <v>4299028.5091221621</v>
      </c>
      <c r="G4" s="99">
        <f>'Yearly Demand - Eth-Prop'!O4</f>
        <v>4277138.5336069241</v>
      </c>
      <c r="H4" s="99">
        <f>'Yearly Demand - Eth-Prop'!P4</f>
        <v>4255360.0183965061</v>
      </c>
      <c r="I4" s="99">
        <f>'Yearly Demand - Eth-Prop'!Q4</f>
        <v>4233692.3959526056</v>
      </c>
      <c r="J4" s="99">
        <f>'Yearly Demand - Eth-Prop'!R4</f>
        <v>4209862.9109479459</v>
      </c>
      <c r="K4" s="99">
        <f>'Yearly Demand - Eth-Prop'!S4</f>
        <v>4186167.5510290223</v>
      </c>
      <c r="L4" s="99">
        <f>'Yearly Demand - Eth-Prop'!T4</f>
        <v>4162605.5612681215</v>
      </c>
      <c r="M4" s="99">
        <f>'Yearly Demand - Eth-Prop'!U4</f>
        <v>4139176.1909866668</v>
      </c>
      <c r="N4" s="99">
        <f>'Yearly Demand - Eth-Prop'!V4</f>
        <v>4115878.6937313033</v>
      </c>
      <c r="O4" s="99">
        <f>'Yearly Demand - Eth-Prop'!W4</f>
        <v>4088499.1542268842</v>
      </c>
      <c r="P4" s="99">
        <f>'Yearly Demand - Eth-Prop'!X4</f>
        <v>4061301.7481717858</v>
      </c>
      <c r="Q4" s="99">
        <f>'Yearly Demand - Eth-Prop'!Y4</f>
        <v>4034285.2639826881</v>
      </c>
      <c r="R4" s="99">
        <f>'Yearly Demand - Eth-Prop'!Z4</f>
        <v>4007448.4981359346</v>
      </c>
      <c r="S4" s="99">
        <f>'Yearly Demand - Eth-Prop'!AA4</f>
        <v>3980790.2551139155</v>
      </c>
      <c r="T4" s="99">
        <f>'Yearly Demand - Eth-Prop'!AB4</f>
        <v>3950623.961744789</v>
      </c>
      <c r="U4" s="99">
        <f>'Yearly Demand - Eth-Prop'!AC4</f>
        <v>3920686.2675223933</v>
      </c>
      <c r="V4" s="99">
        <f>'Yearly Demand - Eth-Prop'!AD4</f>
        <v>3890975.4401301569</v>
      </c>
      <c r="W4" s="99">
        <f>'Yearly Demand - Eth-Prop'!AE4</f>
        <v>3861489.7603789456</v>
      </c>
      <c r="X4" s="99">
        <f>'Yearly Demand - Eth-Prop'!AF4</f>
        <v>3832227.5221075811</v>
      </c>
      <c r="Y4" s="99">
        <f>'Yearly Demand - Eth-Prop'!AG4</f>
        <v>3800615.7545467117</v>
      </c>
      <c r="Z4" s="99">
        <f>'Yearly Demand - Eth-Prop'!AH4</f>
        <v>3769264.75016928</v>
      </c>
      <c r="AA4" s="99">
        <f>'Yearly Demand - Eth-Prop'!AI4</f>
        <v>3738172.3579586525</v>
      </c>
      <c r="AB4" s="99">
        <f>'Yearly Demand - Eth-Prop'!AJ4</f>
        <v>3707336.4446417764</v>
      </c>
      <c r="AC4" s="99">
        <f>'Yearly Demand - Eth-Prop'!AK4</f>
        <v>3676754.8945428128</v>
      </c>
      <c r="AD4" s="99">
        <f>'Yearly Demand - Eth-Prop'!AL4</f>
        <v>3645120.6809580117</v>
      </c>
      <c r="AE4" s="99">
        <f>'Yearly Demand - Eth-Prop'!AM4</f>
        <v>3613758.643109106</v>
      </c>
      <c r="AF4" s="99">
        <f>'Yearly Demand - Eth-Prop'!AN4</f>
        <v>3582666.4392394084</v>
      </c>
      <c r="AG4" s="99">
        <f>'Yearly Demand - Eth-Prop'!AO4</f>
        <v>3551841.747740333</v>
      </c>
      <c r="AH4" s="99">
        <f>'Yearly Demand - Eth-Prop'!AP4</f>
        <v>3521282.2669780441</v>
      </c>
    </row>
    <row r="5" spans="1:36"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</row>
    <row r="6" spans="1:36">
      <c r="A6" s="54" t="s">
        <v>170</v>
      </c>
      <c r="B6" s="54" t="s">
        <v>179</v>
      </c>
      <c r="C6" s="55" t="s">
        <v>1420</v>
      </c>
      <c r="D6" s="571">
        <f>'R&amp;S - Transportation'!C4</f>
        <v>816476.05129449558</v>
      </c>
      <c r="E6" s="571">
        <f>D6*(1+'R&amp;S - Transportation'!$B$5)</f>
        <v>830356.14416650194</v>
      </c>
      <c r="F6" s="571">
        <f>E6*(1+'R&amp;S - Transportation'!$B$5)</f>
        <v>844472.19861733238</v>
      </c>
      <c r="G6" s="571">
        <f>F6*(1+'R&amp;S - Transportation'!$B$5)</f>
        <v>858828.22599382699</v>
      </c>
      <c r="H6" s="571">
        <f>G6*(1+'R&amp;S - Transportation'!$B$5)</f>
        <v>873428.30583572201</v>
      </c>
      <c r="I6" s="571">
        <f>H6*(1+'R&amp;S - Transportation'!$B$5)</f>
        <v>888276.58703492919</v>
      </c>
      <c r="J6" s="571">
        <f>I6*(1+'R&amp;S - Transportation'!$B$5)</f>
        <v>903377.28901452292</v>
      </c>
      <c r="K6" s="571">
        <f>J6*(1+'R&amp;S - Transportation'!$B$5)</f>
        <v>918734.70292776974</v>
      </c>
      <c r="L6" s="571">
        <f>K6*(1+'R&amp;S - Transportation'!$B$5)</f>
        <v>934353.19287754176</v>
      </c>
      <c r="M6" s="571">
        <f>L6*(1+'R&amp;S - Transportation'!$B$5)</f>
        <v>950237.19715645991</v>
      </c>
      <c r="N6" s="571">
        <f>M6*(1+'R&amp;S - Transportation'!$B$5)</f>
        <v>966391.22950811964</v>
      </c>
      <c r="O6" s="571">
        <f>N6*(1+'R&amp;S - Transportation'!$B$5)</f>
        <v>982819.88040975761</v>
      </c>
      <c r="P6" s="571">
        <f>O6*(1+'R&amp;S - Transportation'!$B$5)</f>
        <v>999527.81837672344</v>
      </c>
      <c r="Q6" s="571">
        <f>P6*(1+'R&amp;S - Transportation'!$B$5)</f>
        <v>1016519.7912891277</v>
      </c>
      <c r="R6" s="571">
        <f>Q6*(1+'R&amp;S - Transportation'!$B$5)</f>
        <v>1033800.6277410428</v>
      </c>
      <c r="S6" s="571">
        <f>R6*(1+'R&amp;S - Transportation'!$B$5)</f>
        <v>1051375.2384126403</v>
      </c>
      <c r="T6" s="571">
        <f>S6*(1+'R&amp;S - Transportation'!$B$5)</f>
        <v>1069248.6174656551</v>
      </c>
      <c r="U6" s="571">
        <f>T6*(1+'R&amp;S - Transportation'!$B$5)</f>
        <v>1087425.8439625711</v>
      </c>
      <c r="V6" s="571">
        <f>U6*(1+'R&amp;S - Transportation'!$B$5)</f>
        <v>1105912.0833099347</v>
      </c>
      <c r="W6" s="571">
        <f>V6*(1+'R&amp;S - Transportation'!$B$5)</f>
        <v>1124712.5887262034</v>
      </c>
      <c r="X6" s="571">
        <f>W6*(1+'R&amp;S - Transportation'!$B$5)</f>
        <v>1143832.7027345488</v>
      </c>
      <c r="Y6" s="571">
        <f>X6*(1+'R&amp;S - Transportation'!$B$5)</f>
        <v>1163277.8586810362</v>
      </c>
      <c r="Z6" s="571">
        <f>Y6*(1+'R&amp;S - Transportation'!$B$5)</f>
        <v>1183053.5822786137</v>
      </c>
      <c r="AA6" s="571">
        <f>Z6*(1+'R&amp;S - Transportation'!$B$5)</f>
        <v>1203165.4931773499</v>
      </c>
      <c r="AB6" s="571">
        <f>AA6*(1+'R&amp;S - Transportation'!$B$5)</f>
        <v>1223619.3065613648</v>
      </c>
      <c r="AC6" s="571">
        <f>AB6*(1+'R&amp;S - Transportation'!$B$5)</f>
        <v>1244420.8347729079</v>
      </c>
      <c r="AD6" s="571">
        <f>AC6*(1+'R&amp;S - Transportation'!$B$5)</f>
        <v>1265575.9889640473</v>
      </c>
      <c r="AE6" s="571">
        <f>AD6*(1+'R&amp;S - Transportation'!$B$5)</f>
        <v>1287090.780776436</v>
      </c>
      <c r="AF6" s="571">
        <f>AE6*(1+'R&amp;S - Transportation'!$B$5)</f>
        <v>1308971.3240496353</v>
      </c>
      <c r="AG6" s="571">
        <f>AF6*(1+'R&amp;S - Transportation'!$B$5)</f>
        <v>1331223.8365584789</v>
      </c>
      <c r="AH6" s="571">
        <f>AG6*(1+'R&amp;S - Transportation'!$B$5)</f>
        <v>1353854.6417799729</v>
      </c>
      <c r="AJ6" s="39"/>
    </row>
    <row r="7" spans="1:36" outlineLevel="1">
      <c r="B7" s="1" t="s">
        <v>180</v>
      </c>
      <c r="C7" s="50" t="s">
        <v>1420</v>
      </c>
      <c r="D7" s="183">
        <v>0</v>
      </c>
      <c r="E7" s="183">
        <f>E6*('R&amp;S - Transportation'!$B$8*'R&amp;S - Transportation'!$D$19*('Yearly HC Propylene'!E3-'Yearly HC Propylene'!$D$3)/10)</f>
        <v>1660.7122883330044</v>
      </c>
      <c r="F7" s="183">
        <f>F6*('R&amp;S - Transportation'!$B$8*'R&amp;S - Transportation'!$D$19*('Yearly HC Propylene'!F3-'Yearly HC Propylene'!$D$3)/10)</f>
        <v>3377.8887944693302</v>
      </c>
      <c r="G7" s="183">
        <f>G6*('R&amp;S - Transportation'!$B$8*'R&amp;S - Transportation'!$D$19*('Yearly HC Propylene'!G3-'Yearly HC Propylene'!$D$3)/10)</f>
        <v>5152.9693559629632</v>
      </c>
      <c r="H7" s="183">
        <f>H6*('R&amp;S - Transportation'!$B$8*'R&amp;S - Transportation'!$D$19*('Yearly HC Propylene'!H3-'Yearly HC Propylene'!$D$3)/10)</f>
        <v>6987.4264466857776</v>
      </c>
      <c r="I7" s="183">
        <f>I6*('R&amp;S - Transportation'!$B$8*'R&amp;S - Transportation'!$D$19*('Yearly HC Propylene'!I3-'Yearly HC Propylene'!$D$3)/10)</f>
        <v>8882.7658703492943</v>
      </c>
      <c r="J7" s="183">
        <f>J6*('R&amp;S - Transportation'!$B$8*'R&amp;S - Transportation'!$D$19*('Yearly HC Propylene'!J3-'Yearly HC Propylene'!$D$3)/10)</f>
        <v>10840.527468174278</v>
      </c>
      <c r="K7" s="183">
        <f>K6*('R&amp;S - Transportation'!$B$8*'R&amp;S - Transportation'!$D$19*('Yearly HC Propylene'!K3-'Yearly HC Propylene'!$D$3)/10)</f>
        <v>12862.285840988778</v>
      </c>
      <c r="L7" s="183">
        <f>L6*('R&amp;S - Transportation'!$B$8*'R&amp;S - Transportation'!$D$19*('Yearly HC Propylene'!L3-'Yearly HC Propylene'!$D$3)/10)</f>
        <v>14949.651086040672</v>
      </c>
      <c r="M7" s="183">
        <f>M6*('R&amp;S - Transportation'!$B$8*'R&amp;S - Transportation'!$D$19*('Yearly HC Propylene'!M3-'Yearly HC Propylene'!$D$3)/10)</f>
        <v>17104.269548816283</v>
      </c>
      <c r="N7" s="183">
        <f>N6*('R&amp;S - Transportation'!$B$8*'R&amp;S - Transportation'!$D$19*('Yearly HC Propylene'!N3-'Yearly HC Propylene'!$D$3)/10)</f>
        <v>19327.824590162396</v>
      </c>
      <c r="O7" s="183">
        <f>O6*('R&amp;S - Transportation'!$B$8*('R&amp;S - Transportation'!$D$19+('R&amp;S - Transportation'!$D$20-'R&amp;S - Transportation'!$D$19)*('Yearly HC Propylene'!O3-'Yearly HC Propylene'!$N$3)/10))</f>
        <v>24570.49701024394</v>
      </c>
      <c r="P7" s="183">
        <f>P6*('R&amp;S - Transportation'!$B$8*('R&amp;S - Transportation'!$D$19+('R&amp;S - Transportation'!$D$20-'R&amp;S - Transportation'!$D$19)*('Yearly HC Propylene'!P3-'Yearly HC Propylene'!$N$3)/10))</f>
        <v>29985.834551301701</v>
      </c>
      <c r="Q7" s="183">
        <f>Q6*('R&amp;S - Transportation'!$B$8*('R&amp;S - Transportation'!$D$19+('R&amp;S - Transportation'!$D$20-'R&amp;S - Transportation'!$D$19)*('Yearly HC Propylene'!Q3-'Yearly HC Propylene'!$N$3)/10))</f>
        <v>35578.192695119462</v>
      </c>
      <c r="R7" s="183">
        <f>R6*('R&amp;S - Transportation'!$B$8*('R&amp;S - Transportation'!$D$19+('R&amp;S - Transportation'!$D$20-'R&amp;S - Transportation'!$D$19)*('Yearly HC Propylene'!R3-'Yearly HC Propylene'!$N$3)/10))</f>
        <v>41352.02510964172</v>
      </c>
      <c r="S7" s="183">
        <f>S6*('R&amp;S - Transportation'!$B$8*('R&amp;S - Transportation'!$D$19+('R&amp;S - Transportation'!$D$20-'R&amp;S - Transportation'!$D$19)*('Yearly HC Propylene'!S3-'Yearly HC Propylene'!$N$3)/10))</f>
        <v>47311.885728568814</v>
      </c>
      <c r="T7" s="183">
        <f>T6*('R&amp;S - Transportation'!$B$8*('R&amp;S - Transportation'!$D$19+('R&amp;S - Transportation'!$D$20-'R&amp;S - Transportation'!$D$19)*('Yearly HC Propylene'!T3-'Yearly HC Propylene'!$N$3)/10))</f>
        <v>53462.430873282749</v>
      </c>
      <c r="U7" s="183">
        <f>U6*('R&amp;S - Transportation'!$B$8*('R&amp;S - Transportation'!$D$19+('R&amp;S - Transportation'!$D$20-'R&amp;S - Transportation'!$D$19)*('Yearly HC Propylene'!U3-'Yearly HC Propylene'!$N$3)/10))</f>
        <v>59808.421417941419</v>
      </c>
      <c r="V7" s="183">
        <f>V6*('R&amp;S - Transportation'!$B$8*('R&amp;S - Transportation'!$D$19+('R&amp;S - Transportation'!$D$20-'R&amp;S - Transportation'!$D$19)*('Yearly HC Propylene'!V3-'Yearly HC Propylene'!$N$3)/10))</f>
        <v>66354.724998596081</v>
      </c>
      <c r="W7" s="183">
        <f>W6*('R&amp;S - Transportation'!$B$8*('R&amp;S - Transportation'!$D$19+('R&amp;S - Transportation'!$D$20-'R&amp;S - Transportation'!$D$19)*('Yearly HC Propylene'!W3-'Yearly HC Propylene'!$N$3)/10))</f>
        <v>73106.318267203213</v>
      </c>
      <c r="X7" s="183">
        <f>X6*('R&amp;S - Transportation'!$B$8*('R&amp;S - Transportation'!$D$19+('R&amp;S - Transportation'!$D$20-'R&amp;S - Transportation'!$D$19)*('Yearly HC Propylene'!X3-'Yearly HC Propylene'!$N$3)/10))</f>
        <v>80068.289191418415</v>
      </c>
      <c r="Y7" s="183">
        <f>Y6*('R&amp;S - Transportation'!$B$8*('R&amp;S - Transportation'!$D$20+('R&amp;S - Transportation'!$D$21-'R&amp;S - Transportation'!$D$20)*('Yearly HC Propylene'!Y3-'Yearly HC Propylene'!$X$3)/10))</f>
        <v>84919.283683715636</v>
      </c>
      <c r="Z7" s="183">
        <f>Z6*('R&amp;S - Transportation'!$B$8*('R&amp;S - Transportation'!$D$20+('R&amp;S - Transportation'!$D$21-'R&amp;S - Transportation'!$D$20)*('Yearly HC Propylene'!Z3-'Yearly HC Propylene'!$X$3)/10))</f>
        <v>89912.072253174658</v>
      </c>
      <c r="AA7" s="183">
        <f>AA6*('R&amp;S - Transportation'!$B$8*('R&amp;S - Transportation'!$D$20+('R&amp;S - Transportation'!$D$21-'R&amp;S - Transportation'!$D$20)*('Yearly HC Propylene'!AA3-'Yearly HC Propylene'!$X$3)/10))</f>
        <v>95050.073961010639</v>
      </c>
      <c r="AB7" s="183">
        <f>AB6*('R&amp;S - Transportation'!$B$8*('R&amp;S - Transportation'!$D$20+('R&amp;S - Transportation'!$D$21-'R&amp;S - Transportation'!$D$20)*('Yearly HC Propylene'!AB3-'Yearly HC Propylene'!$X$3)/10))</f>
        <v>100336.78313803191</v>
      </c>
      <c r="AC7" s="183">
        <f>AC6*('R&amp;S - Transportation'!$B$8*('R&amp;S - Transportation'!$D$20+('R&amp;S - Transportation'!$D$21-'R&amp;S - Transportation'!$D$20)*('Yearly HC Propylene'!AC3-'Yearly HC Propylene'!$X$3)/10))</f>
        <v>105775.77095569718</v>
      </c>
      <c r="AD7" s="183">
        <f>AD6*('R&amp;S - Transportation'!$B$8*('R&amp;S - Transportation'!$D$20+('R&amp;S - Transportation'!$D$21-'R&amp;S - Transportation'!$D$20)*('Yearly HC Propylene'!AD3-'Yearly HC Propylene'!$X$3)/10))</f>
        <v>111370.68702883617</v>
      </c>
      <c r="AE7" s="183">
        <f>AE6*('R&amp;S - Transportation'!$B$8*('R&amp;S - Transportation'!$D$20+('R&amp;S - Transportation'!$D$21-'R&amp;S - Transportation'!$D$20)*('Yearly HC Propylene'!AE3-'Yearly HC Propylene'!$X$3)/10))</f>
        <v>117125.26105065568</v>
      </c>
      <c r="AF7" s="183">
        <f>AF6*('R&amp;S - Transportation'!$B$8*('R&amp;S - Transportation'!$D$20+('R&amp;S - Transportation'!$D$21-'R&amp;S - Transportation'!$D$20)*('Yearly HC Propylene'!AF3-'Yearly HC Propylene'!$X$3)/10))</f>
        <v>123043.30446066572</v>
      </c>
      <c r="AG7" s="183">
        <f>AG6*('R&amp;S - Transportation'!$B$8*('R&amp;S - Transportation'!$D$20+('R&amp;S - Transportation'!$D$21-'R&amp;S - Transportation'!$D$20)*('Yearly HC Propylene'!AG3-'Yearly HC Propylene'!$X$3)/10))</f>
        <v>129128.71214617246</v>
      </c>
      <c r="AH7" s="183">
        <f>AH6*('R&amp;S - Transportation'!$B$8*('R&amp;S - Transportation'!$D$20+('R&amp;S - Transportation'!$D$21-'R&amp;S - Transportation'!$D$20)*('Yearly HC Propylene'!AH3-'Yearly HC Propylene'!$X$3)/10))</f>
        <v>135385.46417799729</v>
      </c>
      <c r="AJ7" s="39"/>
    </row>
    <row r="8" spans="1:36" outlineLevel="1">
      <c r="B8" s="1" t="s">
        <v>181</v>
      </c>
      <c r="C8" s="50" t="s">
        <v>1420</v>
      </c>
      <c r="D8" s="183">
        <f>SUM(D6:D7)</f>
        <v>816476.05129449558</v>
      </c>
      <c r="E8" s="183">
        <f t="shared" ref="E8:AH8" si="1">SUM(E6:E7)</f>
        <v>832016.85645483492</v>
      </c>
      <c r="F8" s="183">
        <f t="shared" si="1"/>
        <v>847850.08741180168</v>
      </c>
      <c r="G8" s="183">
        <f t="shared" si="1"/>
        <v>863981.19534978992</v>
      </c>
      <c r="H8" s="183">
        <f t="shared" si="1"/>
        <v>880415.73228240781</v>
      </c>
      <c r="I8" s="183">
        <f t="shared" si="1"/>
        <v>897159.35290527844</v>
      </c>
      <c r="J8" s="183">
        <f t="shared" si="1"/>
        <v>914217.81648269715</v>
      </c>
      <c r="K8" s="183">
        <f t="shared" si="1"/>
        <v>931596.98876875849</v>
      </c>
      <c r="L8" s="183">
        <f t="shared" si="1"/>
        <v>949302.84396358242</v>
      </c>
      <c r="M8" s="183">
        <f t="shared" si="1"/>
        <v>967341.46670527617</v>
      </c>
      <c r="N8" s="183">
        <f>SUM(N6:N7)</f>
        <v>985719.05409828201</v>
      </c>
      <c r="O8" s="183">
        <f t="shared" si="1"/>
        <v>1007390.3774200015</v>
      </c>
      <c r="P8" s="183">
        <f t="shared" si="1"/>
        <v>1029513.6529280251</v>
      </c>
      <c r="Q8" s="183">
        <f t="shared" si="1"/>
        <v>1052097.9839842471</v>
      </c>
      <c r="R8" s="183">
        <f t="shared" si="1"/>
        <v>1075152.6528506845</v>
      </c>
      <c r="S8" s="183">
        <f t="shared" si="1"/>
        <v>1098687.1241412091</v>
      </c>
      <c r="T8" s="183">
        <f t="shared" si="1"/>
        <v>1122711.0483389378</v>
      </c>
      <c r="U8" s="183">
        <f t="shared" si="1"/>
        <v>1147234.2653805125</v>
      </c>
      <c r="V8" s="183">
        <f t="shared" si="1"/>
        <v>1172266.8083085308</v>
      </c>
      <c r="W8" s="183">
        <f t="shared" si="1"/>
        <v>1197818.9069934066</v>
      </c>
      <c r="X8" s="183">
        <f t="shared" si="1"/>
        <v>1223900.9919259672</v>
      </c>
      <c r="Y8" s="183">
        <f t="shared" si="1"/>
        <v>1248197.1423647518</v>
      </c>
      <c r="Z8" s="183">
        <f t="shared" si="1"/>
        <v>1272965.6545317883</v>
      </c>
      <c r="AA8" s="183">
        <f t="shared" si="1"/>
        <v>1298215.5671383606</v>
      </c>
      <c r="AB8" s="183">
        <f t="shared" si="1"/>
        <v>1323956.0896993966</v>
      </c>
      <c r="AC8" s="183">
        <f t="shared" si="1"/>
        <v>1350196.6057286051</v>
      </c>
      <c r="AD8" s="183">
        <f t="shared" si="1"/>
        <v>1376946.6759928835</v>
      </c>
      <c r="AE8" s="183">
        <f t="shared" si="1"/>
        <v>1404216.0418270917</v>
      </c>
      <c r="AF8" s="183">
        <f t="shared" si="1"/>
        <v>1432014.628510301</v>
      </c>
      <c r="AG8" s="183">
        <f t="shared" si="1"/>
        <v>1460352.5487046514</v>
      </c>
      <c r="AH8" s="183">
        <f t="shared" si="1"/>
        <v>1489240.1059579703</v>
      </c>
      <c r="AJ8" s="39"/>
    </row>
    <row r="9" spans="1:36" outlineLevel="1">
      <c r="B9" s="57" t="s">
        <v>134</v>
      </c>
      <c r="C9" s="50" t="s">
        <v>1420</v>
      </c>
      <c r="D9" s="183">
        <v>0</v>
      </c>
      <c r="E9" s="183">
        <f>E8*'R&amp;S - Transportation'!$B$15*('R&amp;S - Transportation'!$B$10*'R&amp;S - Transportation'!$B$19*('Yearly HC Propylene'!E$3-'Yearly HC Propylene'!$D$3)/10)</f>
        <v>2745.6556263009552</v>
      </c>
      <c r="F9" s="183">
        <f>F8*'R&amp;S - Transportation'!$B$15*('R&amp;S - Transportation'!$B$10*'R&amp;S - Transportation'!$B$19*('Yearly HC Propylene'!F$3-'Yearly HC Propylene'!$D$3)/10)</f>
        <v>5595.810576917891</v>
      </c>
      <c r="G9" s="183">
        <f>G8*'R&amp;S - Transportation'!$B$15*('R&amp;S - Transportation'!$B$10*'R&amp;S - Transportation'!$B$19*('Yearly HC Propylene'!G$3-'Yearly HC Propylene'!$D$3)/10)</f>
        <v>8553.4138339629208</v>
      </c>
      <c r="H9" s="183">
        <f>H8*'R&amp;S - Transportation'!$B$15*('R&amp;S - Transportation'!$B$10*'R&amp;S - Transportation'!$B$19*('Yearly HC Propylene'!H$3-'Yearly HC Propylene'!$D$3)/10)</f>
        <v>11621.487666127783</v>
      </c>
      <c r="I9" s="183">
        <f>I8*'R&amp;S - Transportation'!$B$15*('R&amp;S - Transportation'!$B$10*'R&amp;S - Transportation'!$B$19*('Yearly HC Propylene'!I$3-'Yearly HC Propylene'!$D$3)/10)</f>
        <v>14803.129322937095</v>
      </c>
      <c r="J9" s="183">
        <f>J8*'R&amp;S - Transportation'!$B$15*('R&amp;S - Transportation'!$B$10*'R&amp;S - Transportation'!$B$19*('Yearly HC Propylene'!J$3-'Yearly HC Propylene'!$D$3)/10)</f>
        <v>18101.512766357406</v>
      </c>
      <c r="K9" s="183">
        <f>K8*'R&amp;S - Transportation'!$B$15*('R&amp;S - Transportation'!$B$10*'R&amp;S - Transportation'!$B$19*('Yearly HC Propylene'!K$3-'Yearly HC Propylene'!$D$3)/10)</f>
        <v>21519.890440558323</v>
      </c>
      <c r="L9" s="183">
        <f>L8*'R&amp;S - Transportation'!$B$15*('R&amp;S - Transportation'!$B$10*'R&amp;S - Transportation'!$B$19*('Yearly HC Propylene'!L$3-'Yearly HC Propylene'!$D$3)/10)</f>
        <v>25061.595080638577</v>
      </c>
      <c r="M9" s="183">
        <f>M8*'R&amp;S - Transportation'!$B$15*('R&amp;S - Transportation'!$B$10*'R&amp;S - Transportation'!$B$19*('Yearly HC Propylene'!M$3-'Yearly HC Propylene'!$D$3)/10)</f>
        <v>28730.041561146707</v>
      </c>
      <c r="N9" s="183">
        <f>N8*'R&amp;S - Transportation'!$B$15*('R&amp;S - Transportation'!$B$10*'R&amp;S - Transportation'!$B$19*('Yearly HC Propylene'!N$3-'Yearly HC Propylene'!$D$3)/10)</f>
        <v>32528.728785243307</v>
      </c>
      <c r="O9" s="183">
        <f>O8*'R&amp;S - Transportation'!$B$15*('R&amp;S - Transportation'!$B$10*('R&amp;S - Transportation'!$B$19+('R&amp;S - Transportation'!$B$20-'R&amp;S - Transportation'!$B$19)*('Yearly HC Propylene'!O3-'Yearly HC Propylene'!$N$3)/10))</f>
        <v>43217.047191318066</v>
      </c>
      <c r="P9" s="183">
        <f>P8*'R&amp;S - Transportation'!$B$15*('R&amp;S - Transportation'!$B$10*('R&amp;S - Transportation'!$B$19+('R&amp;S - Transportation'!$B$20-'R&amp;S - Transportation'!$B$19)*('Yearly HC Propylene'!P3-'Yearly HC Propylene'!$N$3)/10))</f>
        <v>54358.32087459974</v>
      </c>
      <c r="Q9" s="183">
        <f>Q8*'R&amp;S - Transportation'!$B$15*('R&amp;S - Transportation'!$B$10*('R&amp;S - Transportation'!$B$19+('R&amp;S - Transportation'!$B$20-'R&amp;S - Transportation'!$B$19)*('Yearly HC Propylene'!Q3-'Yearly HC Propylene'!$N$3)/10))</f>
        <v>65966.543595812298</v>
      </c>
      <c r="R9" s="183">
        <f>R8*'R&amp;S - Transportation'!$B$15*('R&amp;S - Transportation'!$B$10*('R&amp;S - Transportation'!$B$19+('R&amp;S - Transportation'!$B$20-'R&amp;S - Transportation'!$B$19)*('Yearly HC Propylene'!R3-'Yearly HC Propylene'!$N$3)/10))</f>
        <v>78056.082596959706</v>
      </c>
      <c r="S9" s="183">
        <f>S8*'R&amp;S - Transportation'!$B$15*('R&amp;S - Transportation'!$B$10*('R&amp;S - Transportation'!$B$19+('R&amp;S - Transportation'!$B$20-'R&amp;S - Transportation'!$B$19)*('Yearly HC Propylene'!S3-'Yearly HC Propylene'!$N$3)/10))</f>
        <v>90641.687741649745</v>
      </c>
      <c r="T9" s="183">
        <f>T8*'R&amp;S - Transportation'!$B$15*('R&amp;S - Transportation'!$B$10*('R&amp;S - Transportation'!$B$19+('R&amp;S - Transportation'!$B$20-'R&amp;S - Transportation'!$B$19)*('Yearly HC Propylene'!T3-'Yearly HC Propylene'!$N$3)/10))</f>
        <v>103738.50086651786</v>
      </c>
      <c r="U9" s="183">
        <f>U8*'R&amp;S - Transportation'!$B$15*('R&amp;S - Transportation'!$B$10*('R&amp;S - Transportation'!$B$19+('R&amp;S - Transportation'!$B$20-'R&amp;S - Transportation'!$B$19)*('Yearly HC Propylene'!U3-'Yearly HC Propylene'!$N$3)/10))</f>
        <v>117362.06534842645</v>
      </c>
      <c r="V9" s="183">
        <f>V8*'R&amp;S - Transportation'!$B$15*('R&amp;S - Transportation'!$B$10*('R&amp;S - Transportation'!$B$19+('R&amp;S - Transportation'!$B$20-'R&amp;S - Transportation'!$B$19)*('Yearly HC Propylene'!V3-'Yearly HC Propylene'!$N$3)/10))</f>
        <v>131528.3358922172</v>
      </c>
      <c r="W9" s="183">
        <f>W8*'R&amp;S - Transportation'!$B$15*('R&amp;S - Transportation'!$B$10*('R&amp;S - Transportation'!$B$19+('R&amp;S - Transportation'!$B$20-'R&amp;S - Transportation'!$B$19)*('Yearly HC Propylene'!W3-'Yearly HC Propylene'!$N$3)/10))</f>
        <v>146253.68854389494</v>
      </c>
      <c r="X9" s="183">
        <f>X8*'R&amp;S - Transportation'!$B$15*('R&amp;S - Transportation'!$B$10*('R&amp;S - Transportation'!$B$19+('R&amp;S - Transportation'!$B$20-'R&amp;S - Transportation'!$B$19)*('Yearly HC Propylene'!X3-'Yearly HC Propylene'!$N$3)/10))</f>
        <v>161554.93093422768</v>
      </c>
      <c r="Y9" s="183">
        <f>Y8*'R&amp;S - Transportation'!$B$15*('R&amp;S - Transportation'!$B$10*('R&amp;S - Transportation'!$B$20+('R&amp;S - Transportation'!$B$21-'R&amp;S - Transportation'!$B$20)*('Yearly HC Propylene'!Y3-'Yearly HC Propylene'!$X$3)/10))</f>
        <v>189476.32621096933</v>
      </c>
      <c r="Z9" s="183">
        <f>Z8*'R&amp;S - Transportation'!$B$15*('R&amp;S - Transportation'!$B$10*('R&amp;S - Transportation'!$B$20+('R&amp;S - Transportation'!$B$21-'R&amp;S - Transportation'!$B$20)*('Yearly HC Propylene'!Z3-'Yearly HC Propylene'!$X$3)/10))</f>
        <v>218440.90631765488</v>
      </c>
      <c r="AA9" s="183">
        <f>AA8*'R&amp;S - Transportation'!$B$15*('R&amp;S - Transportation'!$B$10*('R&amp;S - Transportation'!$B$20+('R&amp;S - Transportation'!$B$21-'R&amp;S - Transportation'!$B$20)*('Yearly HC Propylene'!AA3-'Yearly HC Propylene'!$X$3)/10))</f>
        <v>248478.45955028228</v>
      </c>
      <c r="AB9" s="183">
        <f>AB8*'R&amp;S - Transportation'!$B$15*('R&amp;S - Transportation'!$B$10*('R&amp;S - Transportation'!$B$20+('R&amp;S - Transportation'!$B$21-'R&amp;S - Transportation'!$B$20)*('Yearly HC Propylene'!AB3-'Yearly HC Propylene'!$X$3)/10))</f>
        <v>279619.52614451258</v>
      </c>
      <c r="AC9" s="183">
        <f>AC8*'R&amp;S - Transportation'!$B$15*('R&amp;S - Transportation'!$B$10*('R&amp;S - Transportation'!$B$20+('R&amp;S - Transportation'!$B$21-'R&amp;S - Transportation'!$B$20)*('Yearly HC Propylene'!AC3-'Yearly HC Propylene'!$X$3)/10))</f>
        <v>311895.41592330777</v>
      </c>
      <c r="AD9" s="183">
        <f>AD8*'R&amp;S - Transportation'!$B$15*('R&amp;S - Transportation'!$B$10*('R&amp;S - Transportation'!$B$20+('R&amp;S - Transportation'!$B$21-'R&amp;S - Transportation'!$B$20)*('Yearly HC Propylene'!AD3-'Yearly HC Propylene'!$X$3)/10))</f>
        <v>345338.22633901524</v>
      </c>
      <c r="AE9" s="183">
        <f>AE8*'R&amp;S - Transportation'!$B$15*('R&amp;S - Transportation'!$B$10*('R&amp;S - Transportation'!$B$20+('R&amp;S - Transportation'!$B$21-'R&amp;S - Transportation'!$B$20)*('Yearly HC Propylene'!AE3-'Yearly HC Propylene'!$X$3)/10))</f>
        <v>379980.86091841105</v>
      </c>
      <c r="AF9" s="183">
        <f>AF8*'R&amp;S - Transportation'!$B$15*('R&amp;S - Transportation'!$B$10*('R&amp;S - Transportation'!$B$20+('R&amp;S - Transportation'!$B$21-'R&amp;S - Transportation'!$B$20)*('Yearly HC Propylene'!AF3-'Yearly HC Propylene'!$X$3)/10))</f>
        <v>415857.04811939137</v>
      </c>
      <c r="AG9" s="183">
        <f>AG8*'R&amp;S - Transportation'!$B$15*('R&amp;S - Transportation'!$B$10*('R&amp;S - Transportation'!$B$20+('R&amp;S - Transportation'!$B$21-'R&amp;S - Transportation'!$B$20)*('Yearly HC Propylene'!AG3-'Yearly HC Propylene'!$X$3)/10))</f>
        <v>453001.36060818285</v>
      </c>
      <c r="AH9" s="183">
        <f>AH8*'R&amp;S - Transportation'!$B$15*('R&amp;S - Transportation'!$B$10*('R&amp;S - Transportation'!$B$20+('R&amp;S - Transportation'!$B$21-'R&amp;S - Transportation'!$B$20)*('Yearly HC Propylene'!AH3-'Yearly HC Propylene'!$X$3)/10))</f>
        <v>491449.23496613023</v>
      </c>
    </row>
    <row r="10" spans="1:36" outlineLevel="1">
      <c r="B10" s="57" t="s">
        <v>182</v>
      </c>
      <c r="C10" s="50" t="s">
        <v>1420</v>
      </c>
      <c r="D10" s="183">
        <v>0</v>
      </c>
      <c r="E10" s="183">
        <f>(E8-E9)*'R&amp;S - Transportation'!$B$15*('R&amp;S - Transportation'!$B$11*'R&amp;S - Transportation'!$B$19*('Yearly HC Propylene'!E$3-'Yearly HC Propylene'!$D$3)/10)</f>
        <v>1741.4695217399217</v>
      </c>
      <c r="F10" s="183">
        <f>(F8-F9)*'R&amp;S - Transportation'!$B$15*('R&amp;S - Transportation'!$B$11*'R&amp;S - Transportation'!$B$19*('Yearly HC Propylene'!F$3-'Yearly HC Propylene'!$D$3)/10)</f>
        <v>3537.4679627065125</v>
      </c>
      <c r="G10" s="183">
        <f>(G8-G9)*'R&amp;S - Transportation'!$B$15*('R&amp;S - Transportation'!$B$11*'R&amp;S - Transportation'!$B$19*('Yearly HC Propylene'!G$3-'Yearly HC Propylene'!$D$3)/10)</f>
        <v>5389.1950235497106</v>
      </c>
      <c r="H10" s="183">
        <f>(H8-H9)*'R&amp;S - Transportation'!$B$15*('R&amp;S - Transportation'!$B$11*'R&amp;S - Transportation'!$B$19*('Yearly HC Propylene'!H$3-'Yearly HC Propylene'!$D$3)/10)</f>
        <v>7297.8716547767535</v>
      </c>
      <c r="I10" s="183">
        <f>(I8-I9)*'R&amp;S - Transportation'!$B$15*('R&amp;S - Transportation'!$B$11*'R&amp;S - Transportation'!$B$19*('Yearly HC Propylene'!I$3-'Yearly HC Propylene'!$D$3)/10)</f>
        <v>9264.7403476145846</v>
      </c>
      <c r="J10" s="183">
        <f>(J8-J9)*'R&amp;S - Transportation'!$B$15*('R&amp;S - Transportation'!$B$11*'R&amp;S - Transportation'!$B$19*('Yearly HC Propylene'!J$3-'Yearly HC Propylene'!$D$3)/10)</f>
        <v>11291.06542682588</v>
      </c>
      <c r="K10" s="183">
        <f>(K8-K9)*'R&amp;S - Transportation'!$B$15*('R&amp;S - Transportation'!$B$11*'R&amp;S - Transportation'!$B$19*('Yearly HC Propylene'!K$3-'Yearly HC Propylene'!$D$3)/10)</f>
        <v>13378.133345424543</v>
      </c>
      <c r="L10" s="183">
        <f>(L8-L9)*'R&amp;S - Transportation'!$B$15*('R&amp;S - Transportation'!$B$11*'R&amp;S - Transportation'!$B$19*('Yearly HC Propylene'!L$3-'Yearly HC Propylene'!$D$3)/10)</f>
        <v>15527.25298123346</v>
      </c>
      <c r="M10" s="183">
        <f>(M8-M9)*'R&amp;S - Transportation'!$B$15*('R&amp;S - Transportation'!$B$11*'R&amp;S - Transportation'!$B$19*('Yearly HC Propylene'!M$3-'Yearly HC Propylene'!$D$3)/10)</f>
        <v>17739.755935224046</v>
      </c>
      <c r="N10" s="183">
        <f>(N8-N9)*'R&amp;S - Transportation'!$B$15*('R&amp;S - Transportation'!$B$11*'R&amp;S - Transportation'!$B$19*('Yearly HC Propylene'!N$3-'Yearly HC Propylene'!$D$3)/10)</f>
        <v>20016.996831573812</v>
      </c>
      <c r="O10" s="183">
        <f>(O8-O9)*'R&amp;S - Transportation'!$B$15*('R&amp;S - Transportation'!$B$11*('R&amp;S - Transportation'!$B$19+('R&amp;S - Transportation'!$B$20-'R&amp;S - Transportation'!$B$19)*('Yearly HC Propylene'!O$3-'Yearly HC Propylene'!$N$3)/10))</f>
        <v>26321.931915243062</v>
      </c>
      <c r="P10" s="183">
        <f>(P8-P9)*'R&amp;S - Transportation'!$B$15*('R&amp;S - Transportation'!$B$11*('R&amp;S - Transportation'!$B$19+('R&amp;S - Transportation'!$B$20-'R&amp;S - Transportation'!$B$19)*('Yearly HC Propylene'!P$3-'Yearly HC Propylene'!$N$3)/10))</f>
        <v>32765.219156995096</v>
      </c>
      <c r="Q10" s="183">
        <f>(Q8-Q9)*'R&amp;S - Transportation'!$B$15*('R&amp;S - Transportation'!$B$11*('R&amp;S - Transportation'!$B$19+('R&amp;S - Transportation'!$B$20-'R&amp;S - Transportation'!$B$19)*('Yearly HC Propylene'!Q$3-'Yearly HC Propylene'!$N$3)/10))</f>
        <v>39346.644471498548</v>
      </c>
      <c r="R10" s="183">
        <f>(R8-R9)*'R&amp;S - Transportation'!$B$15*('R&amp;S - Transportation'!$B$11*('R&amp;S - Transportation'!$B$19+('R&amp;S - Transportation'!$B$20-'R&amp;S - Transportation'!$B$19)*('Yearly HC Propylene'!R$3-'Yearly HC Propylene'!$N$3)/10))</f>
        <v>46065.861545722095</v>
      </c>
      <c r="S10" s="183">
        <f>(S8-S9)*'R&amp;S - Transportation'!$B$15*('R&amp;S - Transportation'!$B$11*('R&amp;S - Transportation'!$B$19+('R&amp;S - Transportation'!$B$20-'R&amp;S - Transportation'!$B$19)*('Yearly HC Propylene'!S$3-'Yearly HC Propylene'!$N$3)/10))</f>
        <v>52922.385410976858</v>
      </c>
      <c r="T10" s="183">
        <f>(T8-T9)*'R&amp;S - Transportation'!$B$15*('R&amp;S - Transportation'!$B$11*('R&amp;S - Transportation'!$B$19+('R&amp;S - Transportation'!$B$20-'R&amp;S - Transportation'!$B$19)*('Yearly HC Propylene'!T$3-'Yearly HC Propylene'!$N$3)/10))</f>
        <v>59915.585791378297</v>
      </c>
      <c r="U10" s="183">
        <f>(U8-U9)*'R&amp;S - Transportation'!$B$15*('R&amp;S - Transportation'!$B$11*('R&amp;S - Transportation'!$B$19+('R&amp;S - Transportation'!$B$20-'R&amp;S - Transportation'!$B$19)*('Yearly HC Propylene'!U$3-'Yearly HC Propylene'!$N$3)/10))</f>
        <v>67044.680222088806</v>
      </c>
      <c r="V10" s="183">
        <f>(V8-V9)*'R&amp;S - Transportation'!$B$15*('R&amp;S - Transportation'!$B$11*('R&amp;S - Transportation'!$B$19+('R&amp;S - Transportation'!$B$20-'R&amp;S - Transportation'!$B$19)*('Yearly HC Propylene'!V$3-'Yearly HC Propylene'!$N$3)/10))</f>
        <v>74308.726930524805</v>
      </c>
      <c r="W10" s="183">
        <f>(W8-W9)*'R&amp;S - Transportation'!$B$15*('R&amp;S - Transportation'!$B$11*('R&amp;S - Transportation'!$B$19+('R&amp;S - Transportation'!$B$20-'R&amp;S - Transportation'!$B$19)*('Yearly HC Propylene'!W$3-'Yearly HC Propylene'!$N$3)/10))</f>
        <v>81706.617473527032</v>
      </c>
      <c r="X10" s="183">
        <f>(X8-X9)*'R&amp;S - Transportation'!$B$15*('R&amp;S - Transportation'!$B$11*('R&amp;S - Transportation'!$B$19+('R&amp;S - Transportation'!$B$20-'R&amp;S - Transportation'!$B$19)*('Yearly HC Propylene'!X$3-'Yearly HC Propylene'!$N$3)/10))</f>
        <v>89237.069123306108</v>
      </c>
      <c r="Y10" s="183">
        <f>(Y8-Y9)*'R&amp;S - Transportation'!$B$15*('R&amp;S - Transportation'!$B$11*('R&amp;S - Transportation'!$B$20+('R&amp;S - Transportation'!$B$21-'R&amp;S - Transportation'!$B$20)*('Yearly HC Propylene'!Y$3-'Yearly HC Propylene'!$X$3)/10))</f>
        <v>102272.43084045539</v>
      </c>
      <c r="Z10" s="183">
        <f>(Z8-Z9)*'R&amp;S - Transportation'!$B$15*('R&amp;S - Transportation'!$B$11*('R&amp;S - Transportation'!$B$20+('R&amp;S - Transportation'!$B$21-'R&amp;S - Transportation'!$B$20)*('Yearly HC Propylene'!Z$3-'Yearly HC Propylene'!$X$3)/10))</f>
        <v>115154.10250498338</v>
      </c>
      <c r="AA10" s="183">
        <f>(AA8-AA9)*'R&amp;S - Transportation'!$B$15*('R&amp;S - Transportation'!$B$11*('R&amp;S - Transportation'!$B$20+('R&amp;S - Transportation'!$B$21-'R&amp;S - Transportation'!$B$20)*('Yearly HC Propylene'!AA$3-'Yearly HC Propylene'!$X$3)/10))</f>
        <v>127857.97970422795</v>
      </c>
      <c r="AB10" s="183">
        <f>(AB8-AB9)*'R&amp;S - Transportation'!$B$15*('R&amp;S - Transportation'!$B$11*('R&amp;S - Transportation'!$B$20+('R&amp;S - Transportation'!$B$21-'R&amp;S - Transportation'!$B$20)*('Yearly HC Propylene'!AB$3-'Yearly HC Propylene'!$X$3)/10))</f>
        <v>140358.8341417764</v>
      </c>
      <c r="AC10" s="183">
        <f>(AC8-AC9)*'R&amp;S - Transportation'!$B$15*('R&amp;S - Transportation'!$B$11*('R&amp;S - Transportation'!$B$20+('R&amp;S - Transportation'!$B$21-'R&amp;S - Transportation'!$B$20)*('Yearly HC Propylene'!AC$3-'Yearly HC Propylene'!$X$3)/10))</f>
        <v>152630.2749013787</v>
      </c>
      <c r="AD10" s="183">
        <f>(AD8-AD9)*'R&amp;S - Transportation'!$B$15*('R&amp;S - Transportation'!$B$11*('R&amp;S - Transportation'!$B$20+('R&amp;S - Transportation'!$B$21-'R&amp;S - Transportation'!$B$20)*('Yearly HC Propylene'!AD$3-'Yearly HC Propylene'!$X$3)/10))</f>
        <v>164644.70856475737</v>
      </c>
      <c r="AE10" s="183">
        <f>(AE8-AE9)*'R&amp;S - Transportation'!$B$15*('R&amp;S - Transportation'!$B$11*('R&amp;S - Transportation'!$B$20+('R&amp;S - Transportation'!$B$21-'R&amp;S - Transportation'!$B$20)*('Yearly HC Propylene'!AE$3-'Yearly HC Propylene'!$X$3)/10))</f>
        <v>176373.29815247483</v>
      </c>
      <c r="AF10" s="183">
        <f>(AF8-AF9)*'R&amp;S - Transportation'!$B$15*('R&amp;S - Transportation'!$B$11*('R&amp;S - Transportation'!$B$20+('R&amp;S - Transportation'!$B$21-'R&amp;S - Transportation'!$B$20)*('Yearly HC Propylene'!AF$3-'Yearly HC Propylene'!$X$3)/10))</f>
        <v>187785.92085624009</v>
      </c>
      <c r="AG10" s="183">
        <f>(AG8-AG9)*'R&amp;S - Transportation'!$B$15*('R&amp;S - Transportation'!$B$11*('R&amp;S - Transportation'!$B$20+('R&amp;S - Transportation'!$B$21-'R&amp;S - Transportation'!$B$20)*('Yearly HC Propylene'!AG$3-'Yearly HC Propylene'!$X$3)/10))</f>
        <v>198851.1245302429</v>
      </c>
      <c r="AH10" s="183">
        <f>(AH8-AH9)*'R&amp;S - Transportation'!$B$15*('R&amp;S - Transportation'!$B$11*('R&amp;S - Transportation'!$B$20+('R&amp;S - Transportation'!$B$21-'R&amp;S - Transportation'!$B$20)*('Yearly HC Propylene'!AH$3-'Yearly HC Propylene'!$X$3)/10))</f>
        <v>209536.08290828639</v>
      </c>
    </row>
    <row r="11" spans="1:36" outlineLevel="1">
      <c r="B11" s="1" t="s">
        <v>169</v>
      </c>
      <c r="C11" s="50" t="s">
        <v>1420</v>
      </c>
      <c r="D11" s="183">
        <f>SUM(D9:D10)</f>
        <v>0</v>
      </c>
      <c r="E11" s="183">
        <f t="shared" ref="E11:AH11" si="2">SUM(E9:E10)</f>
        <v>4487.1251480408773</v>
      </c>
      <c r="F11" s="183">
        <f t="shared" si="2"/>
        <v>9133.2785396244035</v>
      </c>
      <c r="G11" s="183">
        <f t="shared" si="2"/>
        <v>13942.60885751263</v>
      </c>
      <c r="H11" s="183">
        <f t="shared" si="2"/>
        <v>18919.359320904536</v>
      </c>
      <c r="I11" s="183">
        <f t="shared" si="2"/>
        <v>24067.869670551678</v>
      </c>
      <c r="J11" s="183">
        <f t="shared" si="2"/>
        <v>29392.578193183286</v>
      </c>
      <c r="K11" s="183">
        <f t="shared" si="2"/>
        <v>34898.023785982863</v>
      </c>
      <c r="L11" s="183">
        <f t="shared" si="2"/>
        <v>40588.848061872035</v>
      </c>
      <c r="M11" s="183">
        <f t="shared" si="2"/>
        <v>46469.797496370753</v>
      </c>
      <c r="N11" s="183">
        <f t="shared" si="2"/>
        <v>52545.725616817115</v>
      </c>
      <c r="O11" s="183">
        <f t="shared" si="2"/>
        <v>69538.979106561135</v>
      </c>
      <c r="P11" s="183">
        <f t="shared" si="2"/>
        <v>87123.540031594835</v>
      </c>
      <c r="Q11" s="183">
        <f t="shared" si="2"/>
        <v>105313.18806731084</v>
      </c>
      <c r="R11" s="183">
        <f t="shared" si="2"/>
        <v>124121.94414268181</v>
      </c>
      <c r="S11" s="183">
        <f t="shared" si="2"/>
        <v>143564.0731526266</v>
      </c>
      <c r="T11" s="183">
        <f t="shared" si="2"/>
        <v>163654.08665789617</v>
      </c>
      <c r="U11" s="183">
        <f t="shared" si="2"/>
        <v>184406.74557051525</v>
      </c>
      <c r="V11" s="183">
        <f t="shared" si="2"/>
        <v>205837.06282274201</v>
      </c>
      <c r="W11" s="183">
        <f t="shared" si="2"/>
        <v>227960.30601742197</v>
      </c>
      <c r="X11" s="183">
        <f t="shared" si="2"/>
        <v>250792.00005753379</v>
      </c>
      <c r="Y11" s="183">
        <f t="shared" si="2"/>
        <v>291748.75705142471</v>
      </c>
      <c r="Z11" s="183">
        <f t="shared" si="2"/>
        <v>333595.00882263825</v>
      </c>
      <c r="AA11" s="183">
        <f t="shared" si="2"/>
        <v>376336.43925451022</v>
      </c>
      <c r="AB11" s="183">
        <f t="shared" si="2"/>
        <v>419978.36028628901</v>
      </c>
      <c r="AC11" s="183">
        <f t="shared" si="2"/>
        <v>464525.69082468643</v>
      </c>
      <c r="AD11" s="183">
        <f t="shared" si="2"/>
        <v>509982.93490377261</v>
      </c>
      <c r="AE11" s="183">
        <f t="shared" si="2"/>
        <v>556354.15907088586</v>
      </c>
      <c r="AF11" s="183">
        <f t="shared" si="2"/>
        <v>603642.96897563152</v>
      </c>
      <c r="AG11" s="183">
        <f t="shared" si="2"/>
        <v>651852.48513842572</v>
      </c>
      <c r="AH11" s="183">
        <f t="shared" si="2"/>
        <v>700985.31787441659</v>
      </c>
      <c r="AI11" s="40"/>
    </row>
    <row r="12" spans="1:36" outlineLevel="1">
      <c r="B12" s="1" t="s">
        <v>172</v>
      </c>
      <c r="C12" s="50" t="s">
        <v>1420</v>
      </c>
      <c r="D12" s="183">
        <v>0</v>
      </c>
      <c r="E12" s="183">
        <v>0</v>
      </c>
      <c r="F12" s="183">
        <v>0</v>
      </c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Y12" s="183">
        <v>0</v>
      </c>
      <c r="Z12" s="183">
        <v>0</v>
      </c>
      <c r="AA12" s="183">
        <v>0</v>
      </c>
      <c r="AB12" s="183">
        <v>0</v>
      </c>
      <c r="AC12" s="183">
        <v>0</v>
      </c>
      <c r="AD12" s="183">
        <v>0</v>
      </c>
      <c r="AE12" s="183">
        <v>0</v>
      </c>
      <c r="AF12" s="183">
        <v>0</v>
      </c>
      <c r="AG12" s="183">
        <v>0</v>
      </c>
      <c r="AH12" s="183">
        <v>0</v>
      </c>
    </row>
    <row r="13" spans="1:36" s="1" customFormat="1">
      <c r="A13" s="58"/>
      <c r="B13" s="58" t="s">
        <v>200</v>
      </c>
      <c r="C13" s="59" t="s">
        <v>1420</v>
      </c>
      <c r="D13" s="577">
        <f>D8-D11-D12</f>
        <v>816476.05129449558</v>
      </c>
      <c r="E13" s="577">
        <f t="shared" ref="E13:AG13" si="3">E8-E11-E12</f>
        <v>827529.7313067941</v>
      </c>
      <c r="F13" s="577">
        <f t="shared" si="3"/>
        <v>838716.80887217727</v>
      </c>
      <c r="G13" s="577">
        <f t="shared" si="3"/>
        <v>850038.58649227733</v>
      </c>
      <c r="H13" s="577">
        <f t="shared" si="3"/>
        <v>861496.37296150322</v>
      </c>
      <c r="I13" s="577">
        <f t="shared" si="3"/>
        <v>873091.48323472682</v>
      </c>
      <c r="J13" s="577">
        <f t="shared" si="3"/>
        <v>884825.23828951386</v>
      </c>
      <c r="K13" s="577">
        <f t="shared" si="3"/>
        <v>896698.96498277562</v>
      </c>
      <c r="L13" s="577">
        <f t="shared" si="3"/>
        <v>908713.99590171035</v>
      </c>
      <c r="M13" s="577">
        <f t="shared" si="3"/>
        <v>920871.66920890543</v>
      </c>
      <c r="N13" s="577">
        <f>N8-N11-N12</f>
        <v>933173.32848146488</v>
      </c>
      <c r="O13" s="577">
        <f t="shared" si="3"/>
        <v>937851.39831344038</v>
      </c>
      <c r="P13" s="577">
        <f t="shared" si="3"/>
        <v>942390.11289643031</v>
      </c>
      <c r="Q13" s="577">
        <f t="shared" si="3"/>
        <v>946784.79591693624</v>
      </c>
      <c r="R13" s="577">
        <f t="shared" si="3"/>
        <v>951030.7087080027</v>
      </c>
      <c r="S13" s="577">
        <f t="shared" si="3"/>
        <v>955123.05098858243</v>
      </c>
      <c r="T13" s="577">
        <f t="shared" si="3"/>
        <v>959056.96168104163</v>
      </c>
      <c r="U13" s="577">
        <f t="shared" si="3"/>
        <v>962827.51980999717</v>
      </c>
      <c r="V13" s="577">
        <f t="shared" si="3"/>
        <v>966429.74548578879</v>
      </c>
      <c r="W13" s="577">
        <f t="shared" si="3"/>
        <v>969858.60097598459</v>
      </c>
      <c r="X13" s="577">
        <f t="shared" si="3"/>
        <v>973108.99186843331</v>
      </c>
      <c r="Y13" s="577">
        <f t="shared" si="3"/>
        <v>956448.38531332707</v>
      </c>
      <c r="Z13" s="577">
        <f t="shared" si="3"/>
        <v>939370.64570915001</v>
      </c>
      <c r="AA13" s="577">
        <f t="shared" si="3"/>
        <v>921879.12788385036</v>
      </c>
      <c r="AB13" s="577">
        <f t="shared" si="3"/>
        <v>903977.72941310762</v>
      </c>
      <c r="AC13" s="577">
        <f t="shared" si="3"/>
        <v>885670.91490391863</v>
      </c>
      <c r="AD13" s="577">
        <f t="shared" si="3"/>
        <v>866963.74108911096</v>
      </c>
      <c r="AE13" s="577">
        <f t="shared" si="3"/>
        <v>847861.88275620586</v>
      </c>
      <c r="AF13" s="577">
        <f t="shared" si="3"/>
        <v>828371.65953466948</v>
      </c>
      <c r="AG13" s="577">
        <f t="shared" si="3"/>
        <v>808500.0635662257</v>
      </c>
      <c r="AH13" s="577">
        <f>AH8-AH11-AH12</f>
        <v>788254.78808355366</v>
      </c>
    </row>
    <row r="14" spans="1:36">
      <c r="A14" s="1" t="s">
        <v>385</v>
      </c>
      <c r="B14" s="1" t="s">
        <v>179</v>
      </c>
      <c r="C14" s="50" t="s">
        <v>1420</v>
      </c>
      <c r="D14" s="99">
        <f>'R&amp;S - Packaging and hh goods'!I4</f>
        <v>1598212.8065688689</v>
      </c>
      <c r="E14" s="99">
        <f>D14*(1+'R&amp;S - Packaging and hh goods'!$B$5)</f>
        <v>1587076.360856317</v>
      </c>
      <c r="F14" s="99">
        <f>E14*(1+'R&amp;S - Packaging and hh goods'!$B$5)</f>
        <v>1576017.5145864668</v>
      </c>
      <c r="G14" s="99">
        <f>F14*(1+'R&amp;S - Packaging and hh goods'!$B$5)</f>
        <v>1565035.727041601</v>
      </c>
      <c r="H14" s="99">
        <f>G14*(1+'R&amp;S - Packaging and hh goods'!$B$5)</f>
        <v>1554130.4612717563</v>
      </c>
      <c r="I14" s="99">
        <f>H14*(1+'R&amp;S - Packaging and hh goods'!$B$5)</f>
        <v>1543301.1840684703</v>
      </c>
      <c r="J14" s="99">
        <f>I14*(1+'R&amp;S - Packaging and hh goods'!$B$5)</f>
        <v>1532547.3659387098</v>
      </c>
      <c r="K14" s="99">
        <f>J14*(1+'R&amp;S - Packaging and hh goods'!$B$5)</f>
        <v>1521868.4810789824</v>
      </c>
      <c r="L14" s="99">
        <f>K14*(1+'R&amp;S - Packaging and hh goods'!$B$5)</f>
        <v>1511264.0073496264</v>
      </c>
      <c r="M14" s="99">
        <f>L14*(1+'R&amp;S - Packaging and hh goods'!$B$5)</f>
        <v>1500733.426249282</v>
      </c>
      <c r="N14" s="99">
        <f>M14*(1+'R&amp;S - Packaging and hh goods'!$B$5)</f>
        <v>1490276.2228895384</v>
      </c>
      <c r="O14" s="99">
        <f>N14*(1+'R&amp;S - Packaging and hh goods'!$B$5)</f>
        <v>1479891.8859697597</v>
      </c>
      <c r="P14" s="99">
        <f>O14*(1+'R&amp;S - Packaging and hh goods'!$B$5)</f>
        <v>1469579.9077520841</v>
      </c>
      <c r="Q14" s="99">
        <f>P14*(1+'R&amp;S - Packaging and hh goods'!$B$5)</f>
        <v>1459339.7840365989</v>
      </c>
      <c r="R14" s="99">
        <f>Q14*(1+'R&amp;S - Packaging and hh goods'!$B$5)</f>
        <v>1449171.0141366872</v>
      </c>
      <c r="S14" s="99">
        <f>R14*(1+'R&amp;S - Packaging and hh goods'!$B$5)</f>
        <v>1439073.1008545479</v>
      </c>
      <c r="T14" s="99">
        <f>S14*(1+'R&amp;S - Packaging and hh goods'!$B$5)</f>
        <v>1429045.5504568845</v>
      </c>
      <c r="U14" s="99">
        <f>T14*(1+'R&amp;S - Packaging and hh goods'!$B$5)</f>
        <v>1419087.8726507649</v>
      </c>
      <c r="V14" s="99">
        <f>U14*(1+'R&amp;S - Packaging and hh goods'!$B$5)</f>
        <v>1409199.5805596483</v>
      </c>
      <c r="W14" s="99">
        <f>V14*(1+'R&amp;S - Packaging and hh goods'!$B$5)</f>
        <v>1399380.1906995801</v>
      </c>
      <c r="X14" s="99">
        <f>W14*(1+'R&amp;S - Packaging and hh goods'!$B$5)</f>
        <v>1389629.2229555515</v>
      </c>
      <c r="Y14" s="99">
        <f>X14*(1+'R&amp;S - Packaging and hh goods'!$B$5)</f>
        <v>1379946.2005580249</v>
      </c>
      <c r="Z14" s="99">
        <f>Y14*(1+'R&amp;S - Packaging and hh goods'!$B$5)</f>
        <v>1370330.6500596222</v>
      </c>
      <c r="AA14" s="99">
        <f>Z14*(1+'R&amp;S - Packaging and hh goods'!$B$5)</f>
        <v>1360782.1013119763</v>
      </c>
      <c r="AB14" s="99">
        <f>AA14*(1+'R&amp;S - Packaging and hh goods'!$B$5)</f>
        <v>1351300.0874427424</v>
      </c>
      <c r="AC14" s="99">
        <f>AB14*(1+'R&amp;S - Packaging and hh goods'!$B$5)</f>
        <v>1341884.1448327717</v>
      </c>
      <c r="AD14" s="99">
        <f>AC14*(1+'R&amp;S - Packaging and hh goods'!$B$5)</f>
        <v>1332533.813093442</v>
      </c>
      <c r="AE14" s="99">
        <f>AD14*(1+'R&amp;S - Packaging and hh goods'!$B$5)</f>
        <v>1323248.6350441473</v>
      </c>
      <c r="AF14" s="99">
        <f>AE14*(1+'R&amp;S - Packaging and hh goods'!$B$5)</f>
        <v>1314028.1566899447</v>
      </c>
      <c r="AG14" s="99">
        <f>AF14*(1+'R&amp;S - Packaging and hh goods'!$B$5)</f>
        <v>1304871.927199356</v>
      </c>
      <c r="AH14" s="99">
        <f>AG14*(1+'R&amp;S - Packaging and hh goods'!$B$5)</f>
        <v>1295779.4988823249</v>
      </c>
    </row>
    <row r="15" spans="1:36" outlineLevel="1">
      <c r="B15" s="57" t="s">
        <v>146</v>
      </c>
      <c r="C15" s="50" t="s">
        <v>1420</v>
      </c>
      <c r="D15" s="183">
        <v>0</v>
      </c>
      <c r="E15" s="183">
        <f>E14*'R&amp;S - Packaging and hh goods'!$B$7*('R&amp;S - Packaging and hh goods'!$D$14*'R&amp;S - Packaging and hh goods'!$P$19*('Yearly HC Propylene'!E$3-'Yearly HC Propylene'!$D$3)/10)</f>
        <v>1237.9195614679275</v>
      </c>
      <c r="F15" s="183">
        <f>F14*'R&amp;S - Packaging and hh goods'!$B$7*('R&amp;S - Packaging and hh goods'!$D$14*'R&amp;S - Packaging and hh goods'!$P$19*('Yearly HC Propylene'!F$3-'Yearly HC Propylene'!$D$3)/10)</f>
        <v>2458.5873227548886</v>
      </c>
      <c r="G15" s="183">
        <f>G14*'R&amp;S - Packaging and hh goods'!$B$7*('R&amp;S - Packaging and hh goods'!$D$14*'R&amp;S - Packaging and hh goods'!$P$19*('Yearly HC Propylene'!G$3-'Yearly HC Propylene'!$D$3)/10)</f>
        <v>3662.183601277346</v>
      </c>
      <c r="H15" s="183">
        <f>H14*'R&amp;S - Packaging and hh goods'!$B$7*('R&amp;S - Packaging and hh goods'!$D$14*'R&amp;S - Packaging and hh goods'!$P$19*('Yearly HC Propylene'!H$3-'Yearly HC Propylene'!$D$3)/10)</f>
        <v>4848.8870391678802</v>
      </c>
      <c r="I15" s="183">
        <f>I14*'R&amp;S - Packaging and hh goods'!$B$7*('R&amp;S - Packaging and hh goods'!$D$14*'R&amp;S - Packaging and hh goods'!$P$19*('Yearly HC Propylene'!I$3-'Yearly HC Propylene'!$D$3)/10)</f>
        <v>6018.8746178670344</v>
      </c>
      <c r="J15" s="183">
        <f>J14*'R&amp;S - Packaging and hh goods'!$B$7*('R&amp;S - Packaging and hh goods'!$D$14*'R&amp;S - Packaging and hh goods'!$P$19*('Yearly HC Propylene'!J$3-'Yearly HC Propylene'!$D$3)/10)</f>
        <v>7172.3216725931625</v>
      </c>
      <c r="K15" s="183">
        <f>K14*'R&amp;S - Packaging and hh goods'!$B$7*('R&amp;S - Packaging and hh goods'!$D$14*'R&amp;S - Packaging and hh goods'!$P$19*('Yearly HC Propylene'!K$3-'Yearly HC Propylene'!$D$3)/10)</f>
        <v>8309.4019066912442</v>
      </c>
      <c r="L15" s="183">
        <f>L14*'R&amp;S - Packaging and hh goods'!$B$7*('R&amp;S - Packaging and hh goods'!$D$14*'R&amp;S - Packaging and hh goods'!$P$19*('Yearly HC Propylene'!L$3-'Yearly HC Propylene'!$D$3)/10)</f>
        <v>9430.287405861669</v>
      </c>
      <c r="M15" s="183">
        <f>M14*'R&amp;S - Packaging and hh goods'!$B$7*('R&amp;S - Packaging and hh goods'!$D$14*'R&amp;S - Packaging and hh goods'!$P$19*('Yearly HC Propylene'!M$3-'Yearly HC Propylene'!$D$3)/10)</f>
        <v>10535.148652269958</v>
      </c>
      <c r="N15" s="183">
        <f>N14*'R&amp;S - Packaging and hh goods'!$B$7*('R&amp;S - Packaging and hh goods'!$D$14*'R&amp;S - Packaging and hh goods'!$P$19*('Yearly HC Propylene'!N$3-'Yearly HC Propylene'!$D$3)/10)</f>
        <v>11624.1545385384</v>
      </c>
      <c r="O15" s="183">
        <f>O14*'R&amp;S - Packaging and hh goods'!$B$7*('R&amp;S - Packaging and hh goods'!$D$14*('R&amp;S - Packaging and hh goods'!$P$19+('R&amp;S - Packaging and hh goods'!$P$20-'R&amp;S - Packaging and hh goods'!$P$19)*('Yearly HC Propylene'!O$3-'Yearly HC Propylene'!$N$3)/10))</f>
        <v>15805.245342157034</v>
      </c>
      <c r="P15" s="183">
        <f>P14*'R&amp;S - Packaging and hh goods'!$B$7*('R&amp;S - Packaging and hh goods'!$D$14*('R&amp;S - Packaging and hh goods'!$P$19+('R&amp;S - Packaging and hh goods'!$P$20-'R&amp;S - Packaging and hh goods'!$P$19)*('Yearly HC Propylene'!P$3-'Yearly HC Propylene'!$N$3)/10))</f>
        <v>19927.503549118261</v>
      </c>
      <c r="Q15" s="183">
        <f>Q14*'R&amp;S - Packaging and hh goods'!$B$7*('R&amp;S - Packaging and hh goods'!$D$14*('R&amp;S - Packaging and hh goods'!$P$19+('R&amp;S - Packaging and hh goods'!$P$20-'R&amp;S - Packaging and hh goods'!$P$19)*('Yearly HC Propylene'!Q$3-'Yearly HC Propylene'!$N$3)/10))</f>
        <v>23991.546049561686</v>
      </c>
      <c r="R15" s="183">
        <f>R14*'R&amp;S - Packaging and hh goods'!$B$7*('R&amp;S - Packaging and hh goods'!$D$14*('R&amp;S - Packaging and hh goods'!$P$19+('R&amp;S - Packaging and hh goods'!$P$20-'R&amp;S - Packaging and hh goods'!$P$19)*('Yearly HC Propylene'!R$3-'Yearly HC Propylene'!$N$3)/10))</f>
        <v>27997.983993120797</v>
      </c>
      <c r="S15" s="183">
        <f>S14*'R&amp;S - Packaging and hh goods'!$B$7*('R&amp;S - Packaging and hh goods'!$D$14*('R&amp;S - Packaging and hh goods'!$P$19+('R&amp;S - Packaging and hh goods'!$P$20-'R&amp;S - Packaging and hh goods'!$P$19)*('Yearly HC Propylene'!S$3-'Yearly HC Propylene'!$N$3)/10))</f>
        <v>31947.422838970961</v>
      </c>
      <c r="T15" s="183">
        <f>T14*'R&amp;S - Packaging and hh goods'!$B$7*('R&amp;S - Packaging and hh goods'!$D$14*('R&amp;S - Packaging and hh goods'!$P$19+('R&amp;S - Packaging and hh goods'!$P$20-'R&amp;S - Packaging and hh goods'!$P$19)*('Yearly HC Propylene'!T$3-'Yearly HC Propylene'!$N$3)/10))</f>
        <v>35840.46240545866</v>
      </c>
      <c r="U15" s="183">
        <f>U14*'R&amp;S - Packaging and hh goods'!$B$7*('R&amp;S - Packaging and hh goods'!$D$14*('R&amp;S - Packaging and hh goods'!$P$19+('R&amp;S - Packaging and hh goods'!$P$20-'R&amp;S - Packaging and hh goods'!$P$19)*('Yearly HC Propylene'!U$3-'Yearly HC Propylene'!$N$3)/10))</f>
        <v>39677.696919315385</v>
      </c>
      <c r="V15" s="183">
        <f>V14*'R&amp;S - Packaging and hh goods'!$B$7*('R&amp;S - Packaging and hh goods'!$D$14*('R&amp;S - Packaging and hh goods'!$P$19+('R&amp;S - Packaging and hh goods'!$P$20-'R&amp;S - Packaging and hh goods'!$P$19)*('Yearly HC Propylene'!V$3-'Yearly HC Propylene'!$N$3)/10))</f>
        <v>43459.71506445956</v>
      </c>
      <c r="W15" s="183">
        <f>W14*'R&amp;S - Packaging and hh goods'!$B$7*('R&amp;S - Packaging and hh goods'!$D$14*('R&amp;S - Packaging and hh goods'!$P$19+('R&amp;S - Packaging and hh goods'!$P$20-'R&amp;S - Packaging and hh goods'!$P$19)*('Yearly HC Propylene'!W$3-'Yearly HC Propylene'!$N$3)/10))</f>
        <v>47187.10003038984</v>
      </c>
      <c r="X15" s="183">
        <f>X14*'R&amp;S - Packaging and hh goods'!$B$7*('R&amp;S - Packaging and hh goods'!$D$14*('R&amp;S - Packaging and hh goods'!$P$19+('R&amp;S - Packaging and hh goods'!$P$20-'R&amp;S - Packaging and hh goods'!$P$19)*('Yearly HC Propylene'!X$3-'Yearly HC Propylene'!$N$3)/10))</f>
        <v>50860.429560173179</v>
      </c>
      <c r="Y15" s="183">
        <f>Y14*'R&amp;S - Packaging and hh goods'!$B$7*('R&amp;S - Packaging and hh goods'!$D$14*('R&amp;S - Packaging and hh goods'!$P$20+('R&amp;S - Packaging and hh goods'!$P$21-'R&amp;S - Packaging and hh goods'!$P$20)*('Yearly HC Propylene'!Y$3-'Yearly HC Propylene'!$X$3)/10))</f>
        <v>53735.105049729493</v>
      </c>
      <c r="Z15" s="183">
        <f>Z14*'R&amp;S - Packaging and hh goods'!$B$7*('R&amp;S - Packaging and hh goods'!$D$14*('R&amp;S - Packaging and hh goods'!$P$20+('R&amp;S - Packaging and hh goods'!$P$21-'R&amp;S - Packaging and hh goods'!$P$20)*('Yearly HC Propylene'!Z$3-'Yearly HC Propylene'!$X$3)/10))</f>
        <v>56567.249234461204</v>
      </c>
      <c r="AA15" s="183">
        <f>AA14*'R&amp;S - Packaging and hh goods'!$B$7*('R&amp;S - Packaging and hh goods'!$D$14*('R&amp;S - Packaging and hh goods'!$P$20+('R&amp;S - Packaging and hh goods'!$P$21-'R&amp;S - Packaging and hh goods'!$P$20)*('Yearly HC Propylene'!AA$3-'Yearly HC Propylene'!$X$3)/10))</f>
        <v>59357.315259228402</v>
      </c>
      <c r="AB15" s="183">
        <f>AB14*'R&amp;S - Packaging and hh goods'!$B$7*('R&amp;S - Packaging and hh goods'!$D$14*('R&amp;S - Packaging and hh goods'!$P$20+('R&amp;S - Packaging and hh goods'!$P$21-'R&amp;S - Packaging and hh goods'!$P$20)*('Yearly HC Propylene'!AB$3-'Yearly HC Propylene'!$X$3)/10))</f>
        <v>62105.752018868443</v>
      </c>
      <c r="AC15" s="183">
        <f>AC14*'R&amp;S - Packaging and hh goods'!$B$7*('R&amp;S - Packaging and hh goods'!$D$14*('R&amp;S - Packaging and hh goods'!$P$20+('R&amp;S - Packaging and hh goods'!$P$21-'R&amp;S - Packaging and hh goods'!$P$20)*('Yearly HC Propylene'!AC$3-'Yearly HC Propylene'!$X$3)/10))</f>
        <v>64813.004195422873</v>
      </c>
      <c r="AD15" s="183">
        <f>AD14*'R&amp;S - Packaging and hh goods'!$B$7*('R&amp;S - Packaging and hh goods'!$D$14*('R&amp;S - Packaging and hh goods'!$P$20+('R&amp;S - Packaging and hh goods'!$P$21-'R&amp;S - Packaging and hh goods'!$P$20)*('Yearly HC Propylene'!AD$3-'Yearly HC Propylene'!$X$3)/10))</f>
        <v>67479.5122950519</v>
      </c>
      <c r="AE15" s="183">
        <f>AE14*'R&amp;S - Packaging and hh goods'!$B$7*('R&amp;S - Packaging and hh goods'!$D$14*('R&amp;S - Packaging and hh goods'!$P$20+('R&amp;S - Packaging and hh goods'!$P$21-'R&amp;S - Packaging and hh goods'!$P$20)*('Yearly HC Propylene'!AE$3-'Yearly HC Propylene'!$X$3)/10))</f>
        <v>70105.712684638929</v>
      </c>
      <c r="AF15" s="183">
        <f>AF14*'R&amp;S - Packaging and hh goods'!$B$7*('R&amp;S - Packaging and hh goods'!$D$14*('R&amp;S - Packaging and hh goods'!$P$20+('R&amp;S - Packaging and hh goods'!$P$21-'R&amp;S - Packaging and hh goods'!$P$20)*('Yearly HC Propylene'!AF$3-'Yearly HC Propylene'!$X$3)/10))</f>
        <v>72692.037628087739</v>
      </c>
      <c r="AG15" s="183">
        <f>AG14*'R&amp;S - Packaging and hh goods'!$B$7*('R&amp;S - Packaging and hh goods'!$D$14*('R&amp;S - Packaging and hh goods'!$P$20+('R&amp;S - Packaging and hh goods'!$P$21-'R&amp;S - Packaging and hh goods'!$P$20)*('Yearly HC Propylene'!AG$3-'Yearly HC Propylene'!$X$3)/10))</f>
        <v>75238.915322314875</v>
      </c>
      <c r="AH15" s="183">
        <f>AH14*'R&amp;S - Packaging and hh goods'!$B$7*('R&amp;S - Packaging and hh goods'!$D$14*('R&amp;S - Packaging and hh goods'!$P$20+('R&amp;S - Packaging and hh goods'!$P$21-'R&amp;S - Packaging and hh goods'!$P$20)*('Yearly HC Propylene'!AH$3-'Yearly HC Propylene'!$X$3)/10))</f>
        <v>77746.769932939496</v>
      </c>
    </row>
    <row r="16" spans="1:36" outlineLevel="1">
      <c r="B16" s="57" t="s">
        <v>193</v>
      </c>
      <c r="C16" s="50" t="s">
        <v>1420</v>
      </c>
      <c r="D16" s="183">
        <v>0</v>
      </c>
      <c r="E16" s="183">
        <f>E14*'R&amp;S - Packaging and hh goods'!$B$8*('R&amp;S - Packaging and hh goods'!$D$14*'R&amp;S - Packaging and hh goods'!$Q$19*('Yearly HC Propylene'!E$3-'Yearly HC Propylene'!$D$3)/10)</f>
        <v>6456.2266359634978</v>
      </c>
      <c r="F16" s="183">
        <f>F14*'R&amp;S - Packaging and hh goods'!$B$8*('R&amp;S - Packaging and hh goods'!$D$14*'R&amp;S - Packaging and hh goods'!$Q$19*('Yearly HC Propylene'!F$3-'Yearly HC Propylene'!$D$3)/10)</f>
        <v>12822.478498675495</v>
      </c>
      <c r="G16" s="183">
        <f>G14*'R&amp;S - Packaging and hh goods'!$B$8*('R&amp;S - Packaging and hh goods'!$D$14*'R&amp;S - Packaging and hh goods'!$Q$19*('Yearly HC Propylene'!G$3-'Yearly HC Propylene'!$D$3)/10)</f>
        <v>19099.696012815701</v>
      </c>
      <c r="H16" s="183">
        <f>H14*'R&amp;S - Packaging and hh goods'!$B$8*('R&amp;S - Packaging and hh goods'!$D$14*'R&amp;S - Packaging and hh goods'!$Q$19*('Yearly HC Propylene'!H$3-'Yearly HC Propylene'!$D$3)/10)</f>
        <v>25288.810865814019</v>
      </c>
      <c r="I16" s="183">
        <f>I14*'R&amp;S - Packaging and hh goods'!$B$8*('R&amp;S - Packaging and hh goods'!$D$14*'R&amp;S - Packaging and hh goods'!$Q$19*('Yearly HC Propylene'!I$3-'Yearly HC Propylene'!$D$3)/10)</f>
        <v>31390.746083952683</v>
      </c>
      <c r="J16" s="183">
        <f>J14*'R&amp;S - Packaging and hh goods'!$B$8*('R&amp;S - Packaging and hh goods'!$D$14*'R&amp;S - Packaging and hh goods'!$Q$19*('Yearly HC Propylene'!J$3-'Yearly HC Propylene'!$D$3)/10)</f>
        <v>37406.416107832039</v>
      </c>
      <c r="K16" s="183">
        <f>K14*'R&amp;S - Packaging and hh goods'!$B$8*('R&amp;S - Packaging and hh goods'!$D$14*'R&amp;S - Packaging and hh goods'!$Q$19*('Yearly HC Propylene'!K$3-'Yearly HC Propylene'!$D$3)/10)</f>
        <v>43336.7268672051</v>
      </c>
      <c r="L16" s="183">
        <f>L14*'R&amp;S - Packaging and hh goods'!$B$8*('R&amp;S - Packaging and hh goods'!$D$14*'R&amp;S - Packaging and hh goods'!$Q$19*('Yearly HC Propylene'!L$3-'Yearly HC Propylene'!$D$3)/10)</f>
        <v>49182.575855186238</v>
      </c>
      <c r="M16" s="183">
        <f>M14*'R&amp;S - Packaging and hh goods'!$B$8*('R&amp;S - Packaging and hh goods'!$D$14*'R&amp;S - Packaging and hh goods'!$Q$19*('Yearly HC Propylene'!M$3-'Yearly HC Propylene'!$D$3)/10)</f>
        <v>54944.852201838708</v>
      </c>
      <c r="N16" s="183">
        <f>N14*'R&amp;S - Packaging and hh goods'!$B$8*('R&amp;S - Packaging and hh goods'!$D$14*'R&amp;S - Packaging and hh goods'!$Q$19*('Yearly HC Propylene'!N$3-'Yearly HC Propylene'!$D$3)/10)</f>
        <v>60624.436747146421</v>
      </c>
      <c r="O16" s="183">
        <f>O14*'R&amp;S - Packaging and hh goods'!$B$8*('R&amp;S - Packaging and hh goods'!$D$14*('R&amp;S - Packaging and hh goods'!$Q$19+('R&amp;S - Packaging and hh goods'!$Q$20-'R&amp;S - Packaging and hh goods'!$Q$19)*('Yearly HC Propylene'!O$3-'Yearly HC Propylene'!$N$3)/10))</f>
        <v>66891.113245833141</v>
      </c>
      <c r="P16" s="183">
        <f>P14*'R&amp;S - Packaging and hh goods'!$B$8*('R&amp;S - Packaging and hh goods'!$D$14*('R&amp;S - Packaging and hh goods'!$Q$19+('R&amp;S - Packaging and hh goods'!$Q$20-'R&amp;S - Packaging and hh goods'!$Q$19)*('Yearly HC Propylene'!P$3-'Yearly HC Propylene'!$N$3)/10))</f>
        <v>73067.513013433621</v>
      </c>
      <c r="Q16" s="183">
        <f>Q14*'R&amp;S - Packaging and hh goods'!$B$8*('R&amp;S - Packaging and hh goods'!$D$14*('R&amp;S - Packaging and hh goods'!$Q$19+('R&amp;S - Packaging and hh goods'!$Q$20-'R&amp;S - Packaging and hh goods'!$Q$19)*('Yearly HC Propylene'!Q$3-'Yearly HC Propylene'!$N$3)/10))</f>
        <v>79154.589886145113</v>
      </c>
      <c r="R16" s="183">
        <f>R14*'R&amp;S - Packaging and hh goods'!$B$8*('R&amp;S - Packaging and hh goods'!$D$14*('R&amp;S - Packaging and hh goods'!$Q$19+('R&amp;S - Packaging and hh goods'!$Q$20-'R&amp;S - Packaging and hh goods'!$Q$19)*('Yearly HC Propylene'!R$3-'Yearly HC Propylene'!$N$3)/10))</f>
        <v>85153.288790671751</v>
      </c>
      <c r="S16" s="183">
        <f>S14*'R&amp;S - Packaging and hh goods'!$B$8*('R&amp;S - Packaging and hh goods'!$D$14*('R&amp;S - Packaging and hh goods'!$Q$19+('R&amp;S - Packaging and hh goods'!$Q$20-'R&amp;S - Packaging and hh goods'!$Q$19)*('Yearly HC Propylene'!S$3-'Yearly HC Propylene'!$N$3)/10))</f>
        <v>91064.545822075801</v>
      </c>
      <c r="T16" s="183">
        <f>T14*'R&amp;S - Packaging and hh goods'!$B$8*('R&amp;S - Packaging and hh goods'!$D$14*('R&amp;S - Packaging and hh goods'!$Q$19+('R&amp;S - Packaging and hh goods'!$Q$20-'R&amp;S - Packaging and hh goods'!$Q$19)*('Yearly HC Propylene'!T$3-'Yearly HC Propylene'!$N$3)/10))</f>
        <v>96889.28832097679</v>
      </c>
      <c r="U16" s="183">
        <f>U14*'R&amp;S - Packaging and hh goods'!$B$8*('R&amp;S - Packaging and hh goods'!$D$14*('R&amp;S - Packaging and hh goods'!$Q$19+('R&amp;S - Packaging and hh goods'!$Q$20-'R&amp;S - Packaging and hh goods'!$Q$19)*('Yearly HC Propylene'!U$3-'Yearly HC Propylene'!$N$3)/10))</f>
        <v>102628.43495010331</v>
      </c>
      <c r="V16" s="183">
        <f>V14*'R&amp;S - Packaging and hh goods'!$B$8*('R&amp;S - Packaging and hh goods'!$D$14*('R&amp;S - Packaging and hh goods'!$Q$19+('R&amp;S - Packaging and hh goods'!$Q$20-'R&amp;S - Packaging and hh goods'!$Q$19)*('Yearly HC Propylene'!V$3-'Yearly HC Propylene'!$N$3)/10))</f>
        <v>108282.89577020338</v>
      </c>
      <c r="W16" s="183">
        <f>W14*'R&amp;S - Packaging and hh goods'!$B$8*('R&amp;S - Packaging and hh goods'!$D$14*('R&amp;S - Packaging and hh goods'!$Q$19+('R&amp;S - Packaging and hh goods'!$Q$20-'R&amp;S - Packaging and hh goods'!$Q$19)*('Yearly HC Propylene'!W$3-'Yearly HC Propylene'!$N$3)/10))</f>
        <v>113853.57231531784</v>
      </c>
      <c r="X16" s="183">
        <f>X14*'R&amp;S - Packaging and hh goods'!$B$8*('R&amp;S - Packaging and hh goods'!$D$14*('R&amp;S - Packaging and hh goods'!$Q$19+('R&amp;S - Packaging and hh goods'!$Q$20-'R&amp;S - Packaging and hh goods'!$Q$19)*('Yearly HC Propylene'!X$3-'Yearly HC Propylene'!$N$3)/10))</f>
        <v>119341.35766742275</v>
      </c>
      <c r="Y16" s="183">
        <f>Y14*'R&amp;S - Packaging and hh goods'!$B$8*('R&amp;S - Packaging and hh goods'!$D$14*('R&amp;S - Packaging and hh goods'!$Q$20+('R&amp;S - Packaging and hh goods'!$Q$21-'R&amp;S - Packaging and hh goods'!$Q$20)*('Yearly HC Propylene'!Y$3-'Yearly HC Propylene'!$X$3)/10))</f>
        <v>122252.19379983655</v>
      </c>
      <c r="Z16" s="183">
        <f>Z14*'R&amp;S - Packaging and hh goods'!$B$8*('R&amp;S - Packaging and hh goods'!$D$14*('R&amp;S - Packaging and hh goods'!$Q$20+('R&amp;S - Packaging and hh goods'!$Q$21-'R&amp;S - Packaging and hh goods'!$Q$20)*('Yearly HC Propylene'!Z$3-'Yearly HC Propylene'!$X$3)/10))</f>
        <v>125116.66967304375</v>
      </c>
      <c r="AA16" s="183">
        <f>AA14*'R&amp;S - Packaging and hh goods'!$B$8*('R&amp;S - Packaging and hh goods'!$D$14*('R&amp;S - Packaging and hh goods'!$Q$20+('R&amp;S - Packaging and hh goods'!$Q$21-'R&amp;S - Packaging and hh goods'!$Q$20)*('Yearly HC Propylene'!AA$3-'Yearly HC Propylene'!$X$3)/10))</f>
        <v>127935.29003694677</v>
      </c>
      <c r="AB16" s="183">
        <f>AB14*'R&amp;S - Packaging and hh goods'!$B$8*('R&amp;S - Packaging and hh goods'!$D$14*('R&amp;S - Packaging and hh goods'!$Q$20+('R&amp;S - Packaging and hh goods'!$Q$21-'R&amp;S - Packaging and hh goods'!$Q$20)*('Yearly HC Propylene'!AB$3-'Yearly HC Propylene'!$X$3)/10))</f>
        <v>130708.55485816159</v>
      </c>
      <c r="AC16" s="183">
        <f>AC14*'R&amp;S - Packaging and hh goods'!$B$8*('R&amp;S - Packaging and hh goods'!$D$14*('R&amp;S - Packaging and hh goods'!$Q$20+('R&amp;S - Packaging and hh goods'!$Q$21-'R&amp;S - Packaging and hh goods'!$Q$20)*('Yearly HC Propylene'!AC$3-'Yearly HC Propylene'!$X$3)/10))</f>
        <v>133436.95936217083</v>
      </c>
      <c r="AD16" s="183">
        <f>AD14*'R&amp;S - Packaging and hh goods'!$B$8*('R&amp;S - Packaging and hh goods'!$D$14*('R&amp;S - Packaging and hh goods'!$Q$20+('R&amp;S - Packaging and hh goods'!$Q$21-'R&amp;S - Packaging and hh goods'!$Q$20)*('Yearly HC Propylene'!AD$3-'Yearly HC Propylene'!$X$3)/10))</f>
        <v>136120.9940751213</v>
      </c>
      <c r="AE16" s="183">
        <f>AE14*'R&amp;S - Packaging and hh goods'!$B$8*('R&amp;S - Packaging and hh goods'!$D$14*('R&amp;S - Packaging and hh goods'!$Q$20+('R&amp;S - Packaging and hh goods'!$Q$21-'R&amp;S - Packaging and hh goods'!$Q$20)*('Yearly HC Propylene'!AE$3-'Yearly HC Propylene'!$X$3)/10))</f>
        <v>138761.14486526945</v>
      </c>
      <c r="AF16" s="183">
        <f>AF14*'R&amp;S - Packaging and hh goods'!$B$8*('R&amp;S - Packaging and hh goods'!$D$14*('R&amp;S - Packaging and hh goods'!$Q$20+('R&amp;S - Packaging and hh goods'!$Q$21-'R&amp;S - Packaging and hh goods'!$Q$20)*('Yearly HC Propylene'!AF$3-'Yearly HC Propylene'!$X$3)/10))</f>
        <v>141357.89298407748</v>
      </c>
      <c r="AG16" s="183">
        <f>AG14*'R&amp;S - Packaging and hh goods'!$B$8*('R&amp;S - Packaging and hh goods'!$D$14*('R&amp;S - Packaging and hh goods'!$Q$20+('R&amp;S - Packaging and hh goods'!$Q$21-'R&amp;S - Packaging and hh goods'!$Q$20)*('Yearly HC Propylene'!AG$3-'Yearly HC Propylene'!$X$3)/10))</f>
        <v>143911.71510696257</v>
      </c>
      <c r="AH16" s="183">
        <f>AH14*'R&amp;S - Packaging and hh goods'!$B$8*('R&amp;S - Packaging and hh goods'!$D$14*('R&amp;S - Packaging and hh goods'!$Q$20+('R&amp;S - Packaging and hh goods'!$Q$21-'R&amp;S - Packaging and hh goods'!$Q$20)*('Yearly HC Propylene'!AH$3-'Yearly HC Propylene'!$X$3)/10))</f>
        <v>146423.08337370271</v>
      </c>
    </row>
    <row r="17" spans="1:34" outlineLevel="1">
      <c r="B17" s="1" t="s">
        <v>169</v>
      </c>
      <c r="C17" s="50" t="s">
        <v>1420</v>
      </c>
      <c r="D17" s="99">
        <f>SUM(D15:D16)</f>
        <v>0</v>
      </c>
      <c r="E17" s="99">
        <f t="shared" ref="E17:AH17" si="4">SUM(E15:E16)</f>
        <v>7694.1461974314252</v>
      </c>
      <c r="F17" s="99">
        <f t="shared" si="4"/>
        <v>15281.065821430384</v>
      </c>
      <c r="G17" s="99">
        <f t="shared" si="4"/>
        <v>22761.879614093046</v>
      </c>
      <c r="H17" s="99">
        <f t="shared" si="4"/>
        <v>30137.697904981898</v>
      </c>
      <c r="I17" s="99">
        <f t="shared" si="4"/>
        <v>37409.620701819716</v>
      </c>
      <c r="J17" s="99">
        <f t="shared" si="4"/>
        <v>44578.737780425203</v>
      </c>
      <c r="K17" s="99">
        <f t="shared" si="4"/>
        <v>51646.128773896344</v>
      </c>
      <c r="L17" s="99">
        <f t="shared" si="4"/>
        <v>58612.863261047911</v>
      </c>
      <c r="M17" s="99">
        <f t="shared" si="4"/>
        <v>65480.000854108664</v>
      </c>
      <c r="N17" s="99">
        <f t="shared" si="4"/>
        <v>72248.591285684815</v>
      </c>
      <c r="O17" s="99">
        <f t="shared" si="4"/>
        <v>82696.35858799018</v>
      </c>
      <c r="P17" s="99">
        <f t="shared" si="4"/>
        <v>92995.016562551886</v>
      </c>
      <c r="Q17" s="99">
        <f t="shared" si="4"/>
        <v>103146.1359357068</v>
      </c>
      <c r="R17" s="99">
        <f t="shared" si="4"/>
        <v>113151.27278379255</v>
      </c>
      <c r="S17" s="99">
        <f t="shared" si="4"/>
        <v>123011.96866104676</v>
      </c>
      <c r="T17" s="99">
        <f t="shared" si="4"/>
        <v>132729.75072643545</v>
      </c>
      <c r="U17" s="99">
        <f t="shared" si="4"/>
        <v>142306.13186941869</v>
      </c>
      <c r="V17" s="99">
        <f t="shared" si="4"/>
        <v>151742.61083466295</v>
      </c>
      <c r="W17" s="99">
        <f t="shared" si="4"/>
        <v>161040.67234570769</v>
      </c>
      <c r="X17" s="99">
        <f t="shared" si="4"/>
        <v>170201.78722759592</v>
      </c>
      <c r="Y17" s="99">
        <f t="shared" si="4"/>
        <v>175987.29884956602</v>
      </c>
      <c r="Z17" s="99">
        <f t="shared" si="4"/>
        <v>181683.91890750497</v>
      </c>
      <c r="AA17" s="99">
        <f t="shared" si="4"/>
        <v>187292.60529617517</v>
      </c>
      <c r="AB17" s="99">
        <f t="shared" si="4"/>
        <v>192814.30687703003</v>
      </c>
      <c r="AC17" s="99">
        <f t="shared" si="4"/>
        <v>198249.9635575937</v>
      </c>
      <c r="AD17" s="99">
        <f t="shared" si="4"/>
        <v>203600.50637017319</v>
      </c>
      <c r="AE17" s="99">
        <f t="shared" si="4"/>
        <v>208866.8575499084</v>
      </c>
      <c r="AF17" s="99">
        <f t="shared" si="4"/>
        <v>214049.93061216522</v>
      </c>
      <c r="AG17" s="99">
        <f t="shared" si="4"/>
        <v>219150.63042927743</v>
      </c>
      <c r="AH17" s="99">
        <f t="shared" si="4"/>
        <v>224169.85330664221</v>
      </c>
    </row>
    <row r="18" spans="1:34" outlineLevel="1">
      <c r="B18" s="57" t="s">
        <v>194</v>
      </c>
      <c r="C18" s="50" t="s">
        <v>1420</v>
      </c>
      <c r="D18" s="183">
        <v>0</v>
      </c>
      <c r="E18" s="183">
        <f>E14*'R&amp;S - Packaging and hh goods'!$B$9*('R&amp;S - Packaging and hh goods'!$E$14*'R&amp;S - Packaging and hh goods'!$R$19*('Yearly HC Propylene'!E$3-'Yearly HC Propylene'!$D$3)/10)</f>
        <v>4062.9154837921715</v>
      </c>
      <c r="F18" s="183">
        <f>F14*'R&amp;S - Packaging and hh goods'!$B$9*('R&amp;S - Packaging and hh goods'!$E$14*'R&amp;S - Packaging and hh goods'!$R$19*('Yearly HC Propylene'!F$3-'Yearly HC Propylene'!$D$3)/10)</f>
        <v>8069.2096746827101</v>
      </c>
      <c r="G18" s="183">
        <f>G14*'R&amp;S - Packaging and hh goods'!$B$9*('R&amp;S - Packaging and hh goods'!$E$14*'R&amp;S - Packaging and hh goods'!$R$19*('Yearly HC Propylene'!G$3-'Yearly HC Propylene'!$D$3)/10)</f>
        <v>12019.474383679497</v>
      </c>
      <c r="H18" s="183">
        <f>H14*'R&amp;S - Packaging and hh goods'!$B$9*('R&amp;S - Packaging and hh goods'!$E$14*'R&amp;S - Packaging and hh goods'!$R$19*('Yearly HC Propylene'!H$3-'Yearly HC Propylene'!$D$3)/10)</f>
        <v>15914.295923422786</v>
      </c>
      <c r="I18" s="183">
        <f>I14*'R&amp;S - Packaging and hh goods'!$B$9*('R&amp;S - Packaging and hh goods'!$E$14*'R&amp;S - Packaging and hh goods'!$R$19*('Yearly HC Propylene'!I$3-'Yearly HC Propylene'!$D$3)/10)</f>
        <v>19754.255156076422</v>
      </c>
      <c r="J18" s="183">
        <f>J14*'R&amp;S - Packaging and hh goods'!$B$9*('R&amp;S - Packaging and hh goods'!$E$14*'R&amp;S - Packaging and hh goods'!$R$19*('Yearly HC Propylene'!J$3-'Yearly HC Propylene'!$D$3)/10)</f>
        <v>23539.927540818589</v>
      </c>
      <c r="K18" s="183">
        <f>K14*'R&amp;S - Packaging and hh goods'!$B$9*('R&amp;S - Packaging and hh goods'!$E$14*'R&amp;S - Packaging and hh goods'!$R$19*('Yearly HC Propylene'!K$3-'Yearly HC Propylene'!$D$3)/10)</f>
        <v>27271.883180935365</v>
      </c>
      <c r="L18" s="183">
        <f>L14*'R&amp;S - Packaging and hh goods'!$B$9*('R&amp;S - Packaging and hh goods'!$E$14*'R&amp;S - Packaging and hh goods'!$R$19*('Yearly HC Propylene'!L$3-'Yearly HC Propylene'!$D$3)/10)</f>
        <v>30950.686870520349</v>
      </c>
      <c r="M18" s="183">
        <f>M14*'R&amp;S - Packaging and hh goods'!$B$9*('R&amp;S - Packaging and hh goods'!$E$14*'R&amp;S - Packaging and hh goods'!$R$19*('Yearly HC Propylene'!M$3-'Yearly HC Propylene'!$D$3)/10)</f>
        <v>34576.898140783458</v>
      </c>
      <c r="N18" s="183">
        <f>N14*'R&amp;S - Packaging and hh goods'!$B$9*('R&amp;S - Packaging and hh goods'!$E$14*'R&amp;S - Packaging and hh goods'!$R$19*('Yearly HC Propylene'!N$3-'Yearly HC Propylene'!$D$3)/10)</f>
        <v>38151.071305972189</v>
      </c>
      <c r="O18" s="183">
        <f>O14*'R&amp;S - Packaging and hh goods'!$B$9*('R&amp;S - Packaging and hh goods'!$E$14*'R&amp;S - Packaging and hh goods'!$R$19*('Yearly HC Propylene'!O$3-'Yearly HC Propylene'!$D$3)/10)</f>
        <v>41673.755508908434</v>
      </c>
      <c r="P18" s="183">
        <f>P14*'R&amp;S - Packaging and hh goods'!$B$9*('R&amp;S - Packaging and hh goods'!$E$14*'R&amp;S - Packaging and hh goods'!$R$19*('Yearly HC Propylene'!P$3-'Yearly HC Propylene'!$D$3)/10)</f>
        <v>45145.494766144038</v>
      </c>
      <c r="Q18" s="183">
        <f>Q14*'R&amp;S - Packaging and hh goods'!$B$9*('R&amp;S - Packaging and hh goods'!$E$14*'R&amp;S - Packaging and hh goods'!$R$19*('Yearly HC Propylene'!Q$3-'Yearly HC Propylene'!$D$3)/10)</f>
        <v>48566.828012738013</v>
      </c>
      <c r="R18" s="183">
        <f>R14*'R&amp;S - Packaging and hh goods'!$B$9*('R&amp;S - Packaging and hh goods'!$E$14*'R&amp;S - Packaging and hh goods'!$R$19*('Yearly HC Propylene'!R$3-'Yearly HC Propylene'!$D$3)/10)</f>
        <v>51938.289146658877</v>
      </c>
      <c r="S18" s="183">
        <f>S14*'R&amp;S - Packaging and hh goods'!$B$9*('R&amp;S - Packaging and hh goods'!$E$14*'R&amp;S - Packaging and hh goods'!$R$19*('Yearly HC Propylene'!S$3-'Yearly HC Propylene'!$D$3)/10)</f>
        <v>55260.40707281464</v>
      </c>
      <c r="T18" s="183">
        <f>T14*'R&amp;S - Packaging and hh goods'!$B$9*('R&amp;S - Packaging and hh goods'!$E$14*'R&amp;S - Packaging and hh goods'!$R$19*('Yearly HC Propylene'!T$3-'Yearly HC Propylene'!$D$3)/10)</f>
        <v>58533.705746713989</v>
      </c>
      <c r="U18" s="183">
        <f>U14*'R&amp;S - Packaging and hh goods'!$B$9*('R&amp;S - Packaging and hh goods'!$E$14*'R&amp;S - Packaging and hh goods'!$R$19*('Yearly HC Propylene'!U$3-'Yearly HC Propylene'!$D$3)/10)</f>
        <v>61758.704217761289</v>
      </c>
      <c r="V18" s="183">
        <f>V14*'R&amp;S - Packaging and hh goods'!$B$9*('R&amp;S - Packaging and hh goods'!$E$14*'R&amp;S - Packaging and hh goods'!$R$19*('Yearly HC Propylene'!V$3-'Yearly HC Propylene'!$D$3)/10)</f>
        <v>64935.916672188599</v>
      </c>
      <c r="W18" s="183">
        <f>W14*'R&amp;S - Packaging and hh goods'!$B$9*('R&amp;S - Packaging and hh goods'!$E$14*'R&amp;S - Packaging and hh goods'!$R$19*('Yearly HC Propylene'!W$3-'Yearly HC Propylene'!$D$3)/10)</f>
        <v>68065.852475627587</v>
      </c>
      <c r="X18" s="183">
        <f>X14*'R&amp;S - Packaging and hh goods'!$B$9*('R&amp;S - Packaging and hh goods'!$E$14*'R&amp;S - Packaging and hh goods'!$R$19*('Yearly HC Propylene'!X$3-'Yearly HC Propylene'!$D$3)/10)</f>
        <v>71149.016215324242</v>
      </c>
      <c r="Y18" s="183">
        <f>Y14*'R&amp;S - Packaging and hh goods'!$B$9*('R&amp;S - Packaging and hh goods'!$E$14*('R&amp;S - Packaging and hh goods'!$R$20+('R&amp;S - Packaging and hh goods'!$R$21-'R&amp;S - Packaging and hh goods'!$R$20)*('Yearly HC Propylene'!Y$3-'Yearly HC Propylene'!$X$3)/10))</f>
        <v>70035.029570720886</v>
      </c>
      <c r="Z18" s="183">
        <f>Z14*'R&amp;S - Packaging and hh goods'!$B$9*('R&amp;S - Packaging and hh goods'!$E$14*('R&amp;S - Packaging and hh goods'!$R$20+('R&amp;S - Packaging and hh goods'!$R$21-'R&amp;S - Packaging and hh goods'!$R$20)*('Yearly HC Propylene'!Z$3-'Yearly HC Propylene'!$X$3)/10))</f>
        <v>71564.147868713713</v>
      </c>
      <c r="AA18" s="183">
        <f>AA14*'R&amp;S - Packaging and hh goods'!$B$9*('R&amp;S - Packaging and hh goods'!$E$14*('R&amp;S - Packaging and hh goods'!$R$20+('R&amp;S - Packaging and hh goods'!$R$21-'R&amp;S - Packaging and hh goods'!$R$20)*('Yearly HC Propylene'!AA$3-'Yearly HC Propylene'!$X$3)/10))</f>
        <v>73068.555712047877</v>
      </c>
      <c r="AB18" s="183">
        <f>AB14*'R&amp;S - Packaging and hh goods'!$B$9*('R&amp;S - Packaging and hh goods'!$E$14*('R&amp;S - Packaging and hh goods'!$R$20+('R&amp;S - Packaging and hh goods'!$R$21-'R&amp;S - Packaging and hh goods'!$R$20)*('Yearly HC Propylene'!AB$3-'Yearly HC Propylene'!$X$3)/10))</f>
        <v>74548.523224041215</v>
      </c>
      <c r="AC18" s="183">
        <f>AC14*'R&amp;S - Packaging and hh goods'!$B$9*('R&amp;S - Packaging and hh goods'!$E$14*('R&amp;S - Packaging and hh goods'!$R$20+('R&amp;S - Packaging and hh goods'!$R$21-'R&amp;S - Packaging and hh goods'!$R$20)*('Yearly HC Propylene'!AC$3-'Yearly HC Propylene'!$X$3)/10))</f>
        <v>76004.317963328183</v>
      </c>
      <c r="AD18" s="183">
        <f>AD14*'R&amp;S - Packaging and hh goods'!$B$9*('R&amp;S - Packaging and hh goods'!$E$14*('R&amp;S - Packaging and hh goods'!$R$20+('R&amp;S - Packaging and hh goods'!$R$21-'R&amp;S - Packaging and hh goods'!$R$20)*('Yearly HC Propylene'!AD$3-'Yearly HC Propylene'!$X$3)/10))</f>
        <v>77436.204946486105</v>
      </c>
      <c r="AE18" s="183">
        <f>AE14*'R&amp;S - Packaging and hh goods'!$B$9*('R&amp;S - Packaging and hh goods'!$E$14*('R&amp;S - Packaging and hh goods'!$R$20+('R&amp;S - Packaging and hh goods'!$R$21-'R&amp;S - Packaging and hh goods'!$R$20)*('Yearly HC Propylene'!AE$3-'Yearly HC Propylene'!$X$3)/10))</f>
        <v>78844.446670470468</v>
      </c>
      <c r="AF18" s="183">
        <f>AF14*'R&amp;S - Packaging and hh goods'!$B$9*('R&amp;S - Packaging and hh goods'!$E$14*('R&amp;S - Packaging and hh goods'!$R$20+('R&amp;S - Packaging and hh goods'!$R$21-'R&amp;S - Packaging and hh goods'!$R$20)*('Yearly HC Propylene'!AF$3-'Yearly HC Propylene'!$X$3)/10))</f>
        <v>80229.303134861271</v>
      </c>
      <c r="AG18" s="183">
        <f>AG14*'R&amp;S - Packaging and hh goods'!$B$9*('R&amp;S - Packaging and hh goods'!$E$14*('R&amp;S - Packaging and hh goods'!$R$20+('R&amp;S - Packaging and hh goods'!$R$21-'R&amp;S - Packaging and hh goods'!$R$20)*('Yearly HC Propylene'!AG$3-'Yearly HC Propylene'!$X$3)/10))</f>
        <v>81591.031863921336</v>
      </c>
      <c r="AH18" s="183">
        <f>AH14*'R&amp;S - Packaging and hh goods'!$B$9*('R&amp;S - Packaging and hh goods'!$E$14*('R&amp;S - Packaging and hh goods'!$R$20+('R&amp;S - Packaging and hh goods'!$R$21-'R&amp;S - Packaging and hh goods'!$R$20)*('Yearly HC Propylene'!AH$3-'Yearly HC Propylene'!$X$3)/10))</f>
        <v>82929.887928468801</v>
      </c>
    </row>
    <row r="19" spans="1:34" outlineLevel="1">
      <c r="B19" s="57" t="s">
        <v>185</v>
      </c>
      <c r="C19" s="50" t="s">
        <v>1420</v>
      </c>
      <c r="D19" s="183">
        <v>0</v>
      </c>
      <c r="E19" s="183">
        <f>E14*'R&amp;S - Packaging and hh goods'!$B$10*('R&amp;S - Packaging and hh goods'!$E$14*'R&amp;S - Packaging and hh goods'!$S$19*('Yearly HC Propylene'!E$3-'Yearly HC Propylene'!$D$3)/10)</f>
        <v>1456.9360992660991</v>
      </c>
      <c r="F19" s="183">
        <f>F14*'R&amp;S - Packaging and hh goods'!$B$10*('R&amp;S - Packaging and hh goods'!$E$14*'R&amp;S - Packaging and hh goods'!$S$19*('Yearly HC Propylene'!F$3-'Yearly HC Propylene'!$D$3)/10)</f>
        <v>2893.5681567807528</v>
      </c>
      <c r="G19" s="183">
        <f>G14*'R&amp;S - Packaging and hh goods'!$B$10*('R&amp;S - Packaging and hh goods'!$E$14*'R&amp;S - Packaging and hh goods'!$S$19*('Yearly HC Propylene'!G$3-'Yearly HC Propylene'!$D$3)/10)</f>
        <v>4310.1083922725684</v>
      </c>
      <c r="H19" s="183">
        <f>H14*'R&amp;S - Packaging and hh goods'!$B$10*('R&amp;S - Packaging and hh goods'!$E$14*'R&amp;S - Packaging and hh goods'!$S$19*('Yearly HC Propylene'!H$3-'Yearly HC Propylene'!$D$3)/10)</f>
        <v>5706.7670537898894</v>
      </c>
      <c r="I19" s="183">
        <f>I14*'R&amp;S - Packaging and hh goods'!$B$10*('R&amp;S - Packaging and hh goods'!$E$14*'R&amp;S - Packaging and hh goods'!$S$19*('Yearly HC Propylene'!I$3-'Yearly HC Propylene'!$D$3)/10)</f>
        <v>7083.7524348742782</v>
      </c>
      <c r="J19" s="183">
        <f>J14*'R&amp;S - Packaging and hh goods'!$B$10*('R&amp;S - Packaging and hh goods'!$E$14*'R&amp;S - Packaging and hh goods'!$S$19*('Yearly HC Propylene'!J$3-'Yearly HC Propylene'!$D$3)/10)</f>
        <v>8441.2708915904132</v>
      </c>
      <c r="K19" s="183">
        <f>K14*'R&amp;S - Packaging and hh goods'!$B$10*('R&amp;S - Packaging and hh goods'!$E$14*'R&amp;S - Packaging and hh goods'!$S$19*('Yearly HC Propylene'!K$3-'Yearly HC Propylene'!$D$3)/10)</f>
        <v>9779.5268594135414</v>
      </c>
      <c r="L19" s="183">
        <f>L14*'R&amp;S - Packaging and hh goods'!$B$10*('R&amp;S - Packaging and hh goods'!$E$14*'R&amp;S - Packaging and hh goods'!$S$19*('Yearly HC Propylene'!L$3-'Yearly HC Propylene'!$D$3)/10)</f>
        <v>11098.722869975656</v>
      </c>
      <c r="M19" s="183">
        <f>M14*'R&amp;S - Packaging and hh goods'!$B$10*('R&amp;S - Packaging and hh goods'!$E$14*'R&amp;S - Packaging and hh goods'!$S$19*('Yearly HC Propylene'!M$3-'Yearly HC Propylene'!$D$3)/10)</f>
        <v>12399.059567671566</v>
      </c>
      <c r="N19" s="183">
        <f>N14*'R&amp;S - Packaging and hh goods'!$B$10*('R&amp;S - Packaging and hh goods'!$E$14*'R&amp;S - Packaging and hh goods'!$S$19*('Yearly HC Propylene'!N$3-'Yearly HC Propylene'!$D$3)/10)</f>
        <v>13680.73572612596</v>
      </c>
      <c r="O19" s="183">
        <f>O14*'R&amp;S - Packaging and hh goods'!$B$10*('R&amp;S - Packaging and hh goods'!$E$14*'R&amp;S - Packaging and hh goods'!$S$19*('Yearly HC Propylene'!O$3-'Yearly HC Propylene'!$D$3)/10)</f>
        <v>14943.948264522633</v>
      </c>
      <c r="P19" s="183">
        <f>P14*'R&amp;S - Packaging and hh goods'!$B$10*('R&amp;S - Packaging and hh goods'!$E$14*('R&amp;S - Packaging and hh goods'!$S$19+('R&amp;S - Packaging and hh goods'!$S$20-'R&amp;S - Packaging and hh goods'!$S$19)*('Yearly HC Propylene'!P$3-'Yearly HC Propylene'!$O$3)/10))</f>
        <v>14310.769141689794</v>
      </c>
      <c r="Q19" s="183">
        <f>Q14*'R&amp;S - Packaging and hh goods'!$B$10*('R&amp;S - Packaging and hh goods'!$E$14*('R&amp;S - Packaging and hh goods'!$S$19+('R&amp;S - Packaging and hh goods'!$S$20-'R&amp;S - Packaging and hh goods'!$S$19)*('Yearly HC Propylene'!Q$3-'Yearly HC Propylene'!$O$3)/10))</f>
        <v>15025.362416440819</v>
      </c>
      <c r="R19" s="183">
        <f>R14*'R&amp;S - Packaging and hh goods'!$B$10*('R&amp;S - Packaging and hh goods'!$E$14*('R&amp;S - Packaging and hh goods'!$S$19+('R&amp;S - Packaging and hh goods'!$S$20-'R&amp;S - Packaging and hh goods'!$S$19)*('Yearly HC Propylene'!R$3-'Yearly HC Propylene'!$O$3)/10))</f>
        <v>15729.302187439602</v>
      </c>
      <c r="S19" s="183">
        <f>S14*'R&amp;S - Packaging and hh goods'!$B$10*('R&amp;S - Packaging and hh goods'!$E$14*('R&amp;S - Packaging and hh goods'!$S$19+('R&amp;S - Packaging and hh goods'!$S$20-'R&amp;S - Packaging and hh goods'!$S$19)*('Yearly HC Propylene'!S$3-'Yearly HC Propylene'!$O$3)/10))</f>
        <v>16422.7022269521</v>
      </c>
      <c r="T19" s="183">
        <f>T14*'R&amp;S - Packaging and hh goods'!$B$10*('R&amp;S - Packaging and hh goods'!$E$14*('R&amp;S - Packaging and hh goods'!$S$19+('R&amp;S - Packaging and hh goods'!$S$20-'R&amp;S - Packaging and hh goods'!$S$19)*('Yearly HC Propylene'!T$3-'Yearly HC Propylene'!$O$3)/10))</f>
        <v>17105.675238968906</v>
      </c>
      <c r="U19" s="183">
        <f>U14*'R&amp;S - Packaging and hh goods'!$B$10*('R&amp;S - Packaging and hh goods'!$E$14*('R&amp;S - Packaging and hh goods'!$S$19+('R&amp;S - Packaging and hh goods'!$S$20-'R&amp;S - Packaging and hh goods'!$S$19)*('Yearly HC Propylene'!U$3-'Yearly HC Propylene'!$O$3)/10))</f>
        <v>17778.332868568781</v>
      </c>
      <c r="V19" s="183">
        <f>V14*'R&amp;S - Packaging and hh goods'!$B$10*('R&amp;S - Packaging and hh goods'!$E$14*('R&amp;S - Packaging and hh goods'!$S$19+('R&amp;S - Packaging and hh goods'!$S$20-'R&amp;S - Packaging and hh goods'!$S$19)*('Yearly HC Propylene'!V$3-'Yearly HC Propylene'!$O$3)/10))</f>
        <v>18440.785711203556</v>
      </c>
      <c r="W19" s="183">
        <f>W14*'R&amp;S - Packaging and hh goods'!$B$10*('R&amp;S - Packaging and hh goods'!$E$14*('R&amp;S - Packaging and hh goods'!$S$19+('R&amp;S - Packaging and hh goods'!$S$20-'R&amp;S - Packaging and hh goods'!$S$19)*('Yearly HC Propylene'!W$3-'Yearly HC Propylene'!$O$3)/10))</f>
        <v>19093.14332190507</v>
      </c>
      <c r="X19" s="183">
        <f>X14*'R&amp;S - Packaging and hh goods'!$B$10*('R&amp;S - Packaging and hh goods'!$E$14*('R&amp;S - Packaging and hh goods'!$S$19+('R&amp;S - Packaging and hh goods'!$S$20-'R&amp;S - Packaging and hh goods'!$S$19)*('Yearly HC Propylene'!X$3-'Yearly HC Propylene'!$O$3)/10))</f>
        <v>19735.514224414739</v>
      </c>
      <c r="Y19" s="183">
        <f>Y14*'R&amp;S - Packaging and hh goods'!$B$10*('R&amp;S - Packaging and hh goods'!$E$14*('R&amp;S - Packaging and hh goods'!$S$20+('R&amp;S - Packaging and hh goods'!$S$21-'R&amp;S - Packaging and hh goods'!$S$20)*('Yearly HC Propylene'!Y$3-'Yearly HC Propylene'!$X$3)/10))</f>
        <v>20815.108489217248</v>
      </c>
      <c r="Z19" s="183">
        <f>Z14*'R&amp;S - Packaging and hh goods'!$B$10*('R&amp;S - Packaging and hh goods'!$E$14*('R&amp;S - Packaging and hh goods'!$S$20+('R&amp;S - Packaging and hh goods'!$S$21-'R&amp;S - Packaging and hh goods'!$S$20)*('Yearly HC Propylene'!Z$3-'Yearly HC Propylene'!$X$3)/10))</f>
        <v>21114.054656118657</v>
      </c>
      <c r="AA19" s="183">
        <f>AA14*'R&amp;S - Packaging and hh goods'!$B$10*('R&amp;S - Packaging and hh goods'!$E$14*('R&amp;S - Packaging and hh goods'!$S$20+('R&amp;S - Packaging and hh goods'!$S$21-'R&amp;S - Packaging and hh goods'!$S$20)*('Yearly HC Propylene'!AA$3-'Yearly HC Propylene'!$X$3)/10))</f>
        <v>21407.824017840008</v>
      </c>
      <c r="AB19" s="183">
        <f>AB14*'R&amp;S - Packaging and hh goods'!$B$10*('R&amp;S - Packaging and hh goods'!$E$14*('R&amp;S - Packaging and hh goods'!$S$20+('R&amp;S - Packaging and hh goods'!$S$21-'R&amp;S - Packaging and hh goods'!$S$20)*('Yearly HC Propylene'!AB$3-'Yearly HC Propylene'!$X$3)/10))</f>
        <v>21696.47420398067</v>
      </c>
      <c r="AC19" s="183">
        <f>AC14*'R&amp;S - Packaging and hh goods'!$B$10*('R&amp;S - Packaging and hh goods'!$E$14*('R&amp;S - Packaging and hh goods'!$S$20+('R&amp;S - Packaging and hh goods'!$S$21-'R&amp;S - Packaging and hh goods'!$S$20)*('Yearly HC Propylene'!AC$3-'Yearly HC Propylene'!$X$3)/10))</f>
        <v>21980.062292360795</v>
      </c>
      <c r="AD19" s="183">
        <f>AD14*'R&amp;S - Packaging and hh goods'!$B$10*('R&amp;S - Packaging and hh goods'!$E$14*('R&amp;S - Packaging and hh goods'!$S$20+('R&amp;S - Packaging and hh goods'!$S$21-'R&amp;S - Packaging and hh goods'!$S$20)*('Yearly HC Propylene'!AD$3-'Yearly HC Propylene'!$X$3)/10))</f>
        <v>22258.644813912852</v>
      </c>
      <c r="AE19" s="183">
        <f>AE14*'R&amp;S - Packaging and hh goods'!$B$10*('R&amp;S - Packaging and hh goods'!$E$14*('R&amp;S - Packaging and hh goods'!$S$20+('R&amp;S - Packaging and hh goods'!$S$21-'R&amp;S - Packaging and hh goods'!$S$20)*('Yearly HC Propylene'!AE$3-'Yearly HC Propylene'!$X$3)/10))</f>
        <v>22532.277757531738</v>
      </c>
      <c r="AF19" s="183">
        <f>AF14*'R&amp;S - Packaging and hh goods'!$B$10*('R&amp;S - Packaging and hh goods'!$E$14*('R&amp;S - Packaging and hh goods'!$S$20+('R&amp;S - Packaging and hh goods'!$S$21-'R&amp;S - Packaging and hh goods'!$S$20)*('Yearly HC Propylene'!AF$3-'Yearly HC Propylene'!$X$3)/10))</f>
        <v>22801.016574883917</v>
      </c>
      <c r="AG19" s="183">
        <f>AG14*'R&amp;S - Packaging and hh goods'!$B$10*('R&amp;S - Packaging and hh goods'!$E$14*('R&amp;S - Packaging and hh goods'!$S$20+('R&amp;S - Packaging and hh goods'!$S$21-'R&amp;S - Packaging and hh goods'!$S$20)*('Yearly HC Propylene'!AG$3-'Yearly HC Propylene'!$X$3)/10))</f>
        <v>23064.916185175814</v>
      </c>
      <c r="AH19" s="183">
        <f>AH14*'R&amp;S - Packaging and hh goods'!$B$10*('R&amp;S - Packaging and hh goods'!$E$14*('R&amp;S - Packaging and hh goods'!$S$20+('R&amp;S - Packaging and hh goods'!$S$21-'R&amp;S - Packaging and hh goods'!$S$20)*('Yearly HC Propylene'!AH$3-'Yearly HC Propylene'!$X$3)/10))</f>
        <v>23324.030979881845</v>
      </c>
    </row>
    <row r="20" spans="1:34" outlineLevel="1">
      <c r="B20" s="1" t="s">
        <v>172</v>
      </c>
      <c r="C20" s="50" t="s">
        <v>1420</v>
      </c>
      <c r="D20" s="99">
        <f>SUM(D18:D19)</f>
        <v>0</v>
      </c>
      <c r="E20" s="99">
        <f t="shared" ref="E20:AH20" si="5">SUM(E18:E19)</f>
        <v>5519.851583058271</v>
      </c>
      <c r="F20" s="99">
        <f t="shared" si="5"/>
        <v>10962.777831463463</v>
      </c>
      <c r="G20" s="99">
        <f t="shared" si="5"/>
        <v>16329.582775952065</v>
      </c>
      <c r="H20" s="99">
        <f t="shared" si="5"/>
        <v>21621.062977212674</v>
      </c>
      <c r="I20" s="99">
        <f t="shared" si="5"/>
        <v>26838.0075909507</v>
      </c>
      <c r="J20" s="99">
        <f t="shared" si="5"/>
        <v>31981.198432409001</v>
      </c>
      <c r="K20" s="99">
        <f t="shared" si="5"/>
        <v>37051.410040348906</v>
      </c>
      <c r="L20" s="99">
        <f t="shared" si="5"/>
        <v>42049.409740496005</v>
      </c>
      <c r="M20" s="99">
        <f t="shared" si="5"/>
        <v>46975.957708455026</v>
      </c>
      <c r="N20" s="99">
        <f t="shared" si="5"/>
        <v>51831.80703209815</v>
      </c>
      <c r="O20" s="99">
        <f t="shared" si="5"/>
        <v>56617.703773431065</v>
      </c>
      <c r="P20" s="99">
        <f t="shared" si="5"/>
        <v>59456.263907833832</v>
      </c>
      <c r="Q20" s="99">
        <f t="shared" si="5"/>
        <v>63592.190429178831</v>
      </c>
      <c r="R20" s="99">
        <f t="shared" si="5"/>
        <v>67667.591334098484</v>
      </c>
      <c r="S20" s="99">
        <f t="shared" si="5"/>
        <v>71683.109299766744</v>
      </c>
      <c r="T20" s="99">
        <f t="shared" si="5"/>
        <v>75639.380985682888</v>
      </c>
      <c r="U20" s="99">
        <f t="shared" si="5"/>
        <v>79537.037086330063</v>
      </c>
      <c r="V20" s="99">
        <f t="shared" si="5"/>
        <v>83376.702383392156</v>
      </c>
      <c r="W20" s="99">
        <f t="shared" si="5"/>
        <v>87158.995797532654</v>
      </c>
      <c r="X20" s="99">
        <f t="shared" si="5"/>
        <v>90884.530439738985</v>
      </c>
      <c r="Y20" s="99">
        <f t="shared" si="5"/>
        <v>90850.138059938137</v>
      </c>
      <c r="Z20" s="99">
        <f t="shared" si="5"/>
        <v>92678.202524832363</v>
      </c>
      <c r="AA20" s="99">
        <f t="shared" si="5"/>
        <v>94476.379729887878</v>
      </c>
      <c r="AB20" s="99">
        <f t="shared" si="5"/>
        <v>96244.997428021888</v>
      </c>
      <c r="AC20" s="99">
        <f t="shared" si="5"/>
        <v>97984.380255688971</v>
      </c>
      <c r="AD20" s="99">
        <f t="shared" si="5"/>
        <v>99694.849760398953</v>
      </c>
      <c r="AE20" s="99">
        <f t="shared" si="5"/>
        <v>101376.7244280022</v>
      </c>
      <c r="AF20" s="99">
        <f t="shared" si="5"/>
        <v>103030.31970974519</v>
      </c>
      <c r="AG20" s="99">
        <f t="shared" si="5"/>
        <v>104655.94804909715</v>
      </c>
      <c r="AH20" s="99">
        <f t="shared" si="5"/>
        <v>106253.91890835065</v>
      </c>
    </row>
    <row r="21" spans="1:34" s="1" customFormat="1">
      <c r="B21" s="1" t="s">
        <v>200</v>
      </c>
      <c r="C21" s="60" t="s">
        <v>1420</v>
      </c>
      <c r="D21" s="574">
        <f>D14-D17-D20</f>
        <v>1598212.8065688689</v>
      </c>
      <c r="E21" s="574">
        <f t="shared" ref="E21:AH21" si="6">E14-E17-E20</f>
        <v>1573862.3630758272</v>
      </c>
      <c r="F21" s="574">
        <f t="shared" si="6"/>
        <v>1549773.670933573</v>
      </c>
      <c r="G21" s="574">
        <f t="shared" si="6"/>
        <v>1525944.2646515558</v>
      </c>
      <c r="H21" s="574">
        <f t="shared" si="6"/>
        <v>1502371.7003895617</v>
      </c>
      <c r="I21" s="574">
        <f t="shared" si="6"/>
        <v>1479053.5557756999</v>
      </c>
      <c r="J21" s="574">
        <f t="shared" si="6"/>
        <v>1455987.4297258756</v>
      </c>
      <c r="K21" s="574">
        <f t="shared" si="6"/>
        <v>1433170.9422647371</v>
      </c>
      <c r="L21" s="574">
        <f t="shared" si="6"/>
        <v>1410601.7343480824</v>
      </c>
      <c r="M21" s="574">
        <f t="shared" si="6"/>
        <v>1388277.4676867183</v>
      </c>
      <c r="N21" s="574">
        <f t="shared" si="6"/>
        <v>1366195.8245717555</v>
      </c>
      <c r="O21" s="574">
        <f t="shared" si="6"/>
        <v>1340577.8236083384</v>
      </c>
      <c r="P21" s="574">
        <f t="shared" si="6"/>
        <v>1317128.6272816984</v>
      </c>
      <c r="Q21" s="574">
        <f t="shared" si="6"/>
        <v>1292601.4576717133</v>
      </c>
      <c r="R21" s="574">
        <f t="shared" si="6"/>
        <v>1268352.1500187961</v>
      </c>
      <c r="S21" s="574">
        <f t="shared" si="6"/>
        <v>1244378.0228937343</v>
      </c>
      <c r="T21" s="574">
        <f t="shared" si="6"/>
        <v>1220676.4187447662</v>
      </c>
      <c r="U21" s="574">
        <f t="shared" si="6"/>
        <v>1197244.703695016</v>
      </c>
      <c r="V21" s="574">
        <f t="shared" si="6"/>
        <v>1174080.267341593</v>
      </c>
      <c r="W21" s="574">
        <f t="shared" si="6"/>
        <v>1151180.5225563399</v>
      </c>
      <c r="X21" s="574">
        <f t="shared" si="6"/>
        <v>1128542.9052882167</v>
      </c>
      <c r="Y21" s="574">
        <f t="shared" si="6"/>
        <v>1113108.7636485209</v>
      </c>
      <c r="Z21" s="574">
        <f t="shared" si="6"/>
        <v>1095968.5286272848</v>
      </c>
      <c r="AA21" s="574">
        <f t="shared" si="6"/>
        <v>1079013.1162859132</v>
      </c>
      <c r="AB21" s="574">
        <f t="shared" si="6"/>
        <v>1062240.7831376905</v>
      </c>
      <c r="AC21" s="574">
        <f t="shared" si="6"/>
        <v>1045649.8010194891</v>
      </c>
      <c r="AD21" s="574">
        <f t="shared" si="6"/>
        <v>1029238.4569628697</v>
      </c>
      <c r="AE21" s="574">
        <f t="shared" si="6"/>
        <v>1013005.0530662367</v>
      </c>
      <c r="AF21" s="574">
        <f t="shared" si="6"/>
        <v>996947.90636803419</v>
      </c>
      <c r="AG21" s="574">
        <f t="shared" si="6"/>
        <v>981065.34872098151</v>
      </c>
      <c r="AH21" s="574">
        <f t="shared" si="6"/>
        <v>965355.726667332</v>
      </c>
    </row>
    <row r="22" spans="1:34" s="61" customFormat="1">
      <c r="A22" s="54" t="s">
        <v>195</v>
      </c>
      <c r="B22" s="54" t="s">
        <v>179</v>
      </c>
      <c r="C22" s="55" t="s">
        <v>1420</v>
      </c>
      <c r="D22" s="571">
        <f>'R&amp;S - Buildings'!I4</f>
        <v>350789.70130119962</v>
      </c>
      <c r="E22" s="571">
        <f>D22*(1+'R&amp;S - Buildings'!$B$5)</f>
        <v>348345.37696028163</v>
      </c>
      <c r="F22" s="571">
        <f>E22*(1+'R&amp;S - Buildings'!$B$5)</f>
        <v>345918.08482259378</v>
      </c>
      <c r="G22" s="571">
        <f>F22*(1+'R&amp;S - Buildings'!$B$5)</f>
        <v>343507.70620669023</v>
      </c>
      <c r="H22" s="571">
        <f>G22*(1+'R&amp;S - Buildings'!$B$5)</f>
        <v>341114.12325810484</v>
      </c>
      <c r="I22" s="571">
        <f>H22*(1+'R&amp;S - Buildings'!$B$5)</f>
        <v>338737.21894358861</v>
      </c>
      <c r="J22" s="571">
        <f>I22*(1+'R&amp;S - Buildings'!$B$5)</f>
        <v>336376.87704538746</v>
      </c>
      <c r="K22" s="571">
        <f>J22*(1+'R&amp;S - Buildings'!$B$5)</f>
        <v>334032.98215555988</v>
      </c>
      <c r="L22" s="571">
        <f>K22*(1+'R&amp;S - Buildings'!$B$5)</f>
        <v>331705.41967033397</v>
      </c>
      <c r="M22" s="571">
        <f>L22*(1+'R&amp;S - Buildings'!$B$5)</f>
        <v>329394.07578450406</v>
      </c>
      <c r="N22" s="571">
        <f>M22*(1+'R&amp;S - Buildings'!$B$5)</f>
        <v>327098.83748586621</v>
      </c>
      <c r="O22" s="571">
        <f>N22*(1+'R&amp;S - Buildings'!$B$5)</f>
        <v>324819.59254969237</v>
      </c>
      <c r="P22" s="571">
        <f>O22*(1+'R&amp;S - Buildings'!$B$5)</f>
        <v>322556.22953324352</v>
      </c>
      <c r="Q22" s="571">
        <f>P22*(1+'R&amp;S - Buildings'!$B$5)</f>
        <v>320308.63777032041</v>
      </c>
      <c r="R22" s="571">
        <f>Q22*(1+'R&amp;S - Buildings'!$B$5)</f>
        <v>318076.70736585272</v>
      </c>
      <c r="S22" s="571">
        <f>R22*(1+'R&amp;S - Buildings'!$B$5)</f>
        <v>315860.32919052587</v>
      </c>
      <c r="T22" s="571">
        <f>S22*(1+'R&amp;S - Buildings'!$B$5)</f>
        <v>313659.394875445</v>
      </c>
      <c r="U22" s="571">
        <f>T22*(1+'R&amp;S - Buildings'!$B$5)</f>
        <v>311473.7968068365</v>
      </c>
      <c r="V22" s="571">
        <f>U22*(1+'R&amp;S - Buildings'!$B$5)</f>
        <v>309303.42812078609</v>
      </c>
      <c r="W22" s="571">
        <f>V22*(1+'R&amp;S - Buildings'!$B$5)</f>
        <v>307148.18269801396</v>
      </c>
      <c r="X22" s="571">
        <f>W22*(1+'R&amp;S - Buildings'!$B$5)</f>
        <v>305007.95515868592</v>
      </c>
      <c r="Y22" s="571">
        <f>X22*(1+'R&amp;S - Buildings'!$B$5)</f>
        <v>302882.64085726102</v>
      </c>
      <c r="Z22" s="571">
        <f>Y22*(1+'R&amp;S - Buildings'!$B$5)</f>
        <v>300772.13587737497</v>
      </c>
      <c r="AA22" s="571">
        <f>Z22*(1+'R&amp;S - Buildings'!$B$5)</f>
        <v>298676.33702675905</v>
      </c>
      <c r="AB22" s="571">
        <f>AA22*(1+'R&amp;S - Buildings'!$B$5)</f>
        <v>296595.14183219464</v>
      </c>
      <c r="AC22" s="571">
        <f>AB22*(1+'R&amp;S - Buildings'!$B$5)</f>
        <v>294528.44853450294</v>
      </c>
      <c r="AD22" s="571">
        <f>AC22*(1+'R&amp;S - Buildings'!$B$5)</f>
        <v>292476.15608356934</v>
      </c>
      <c r="AE22" s="571">
        <f>AD22*(1+'R&amp;S - Buildings'!$B$5)</f>
        <v>290438.16413340269</v>
      </c>
      <c r="AF22" s="571">
        <f>AE22*(1+'R&amp;S - Buildings'!$B$5)</f>
        <v>288414.37303722894</v>
      </c>
      <c r="AG22" s="571">
        <f>AF22*(1+'R&amp;S - Buildings'!$B$5)</f>
        <v>286404.68384261889</v>
      </c>
      <c r="AH22" s="571">
        <f>AG22*(1+'R&amp;S - Buildings'!$B$5)</f>
        <v>284408.99828664999</v>
      </c>
    </row>
    <row r="23" spans="1:34" outlineLevel="1">
      <c r="B23" s="1" t="s">
        <v>169</v>
      </c>
      <c r="C23" s="50" t="s">
        <v>1420</v>
      </c>
      <c r="D23" s="183">
        <v>0</v>
      </c>
      <c r="E23" s="183">
        <f>E22*'R&amp;S - Buildings'!$B$7*'R&amp;S - Buildings'!$B$11*'R&amp;S - Buildings'!$B$15*('Yearly HC Propylene'!E$3-'Yearly HC Propylene'!$D$3)/10</f>
        <v>6322.4685918291125</v>
      </c>
      <c r="F23" s="183">
        <f>F22*'R&amp;S - Buildings'!$B$7*'R&amp;S - Buildings'!$B$11*'R&amp;S - Buildings'!$B$15*('Yearly HC Propylene'!F$3-'Yearly HC Propylene'!$D$3)/10</f>
        <v>12556.826479060155</v>
      </c>
      <c r="G23" s="183">
        <f>G22*'R&amp;S - Buildings'!$B$7*'R&amp;S - Buildings'!$B$11*'R&amp;S - Buildings'!$B$15*('Yearly HC Propylene'!G$3-'Yearly HC Propylene'!$D$3)/10</f>
        <v>18703.994602954284</v>
      </c>
      <c r="H23" s="183">
        <f>H22*'R&amp;S - Buildings'!$B$7*'R&amp;S - Buildings'!$B$11*'R&amp;S - Buildings'!$B$15*('Yearly HC Propylene'!H$3-'Yearly HC Propylene'!$D$3)/10</f>
        <v>24764.885348538413</v>
      </c>
      <c r="I23" s="183">
        <f>I22*'R&amp;S - Buildings'!$B$7*'R&amp;S - Buildings'!$B$11*'R&amp;S - Buildings'!$B$15*('Yearly HC Propylene'!I$3-'Yearly HC Propylene'!$D$3)/10</f>
        <v>30740.402619130669</v>
      </c>
      <c r="J23" s="183">
        <f>J22*'R&amp;S - Buildings'!$B$7*'R&amp;S - Buildings'!$B$11*'R&amp;S - Buildings'!$B$15*('Yearly HC Propylene'!J$3-'Yearly HC Propylene'!$D$3)/10</f>
        <v>36631.441910242698</v>
      </c>
      <c r="K23" s="183">
        <f>K22*'R&amp;S - Buildings'!$B$7*'R&amp;S - Buildings'!$B$11*'R&amp;S - Buildings'!$B$15*('Yearly HC Propylene'!K$3-'Yearly HC Propylene'!$D$3)/10</f>
        <v>42438.890382863887</v>
      </c>
      <c r="L23" s="183">
        <f>L22*'R&amp;S - Buildings'!$B$7*'R&amp;S - Buildings'!$B$11*'R&amp;S - Buildings'!$B$15*('Yearly HC Propylene'!L$3-'Yearly HC Propylene'!$D$3)/10</f>
        <v>48163.626936132496</v>
      </c>
      <c r="M23" s="183">
        <f>M22*'R&amp;S - Buildings'!$B$7*'R&amp;S - Buildings'!$B$11*'R&amp;S - Buildings'!$B$15*('Yearly HC Propylene'!M$3-'Yearly HC Propylene'!$D$3)/10</f>
        <v>53806.522279398749</v>
      </c>
      <c r="N23" s="183">
        <f>N22*'R&amp;S - Buildings'!$B$7*'R&amp;S - Buildings'!$B$11*'R&amp;S - Buildings'!$B$15*('Yearly HC Propylene'!N$3-'Yearly HC Propylene'!$D$3)/10</f>
        <v>59368.439003684718</v>
      </c>
      <c r="O23" s="183">
        <f>O22*'R&amp;S - Buildings'!$B$7*'R&amp;S - Buildings'!$B$11*('R&amp;S - Buildings'!$B$15+('R&amp;S - Buildings'!$B$16-'R&amp;S - Buildings'!$B$15)*('Yearly HC Propylene'!O$3-'Yearly HC Propylene'!$N$3)/10)</f>
        <v>64850.231652546085</v>
      </c>
      <c r="P23" s="183">
        <f>P22*'R&amp;S - Buildings'!$B$7*'R&amp;S - Buildings'!$B$11*('R&amp;S - Buildings'!$B$15+('R&amp;S - Buildings'!$B$16-'R&amp;S - Buildings'!$B$15)*('Yearly HC Propylene'!P$3-'Yearly HC Propylene'!$N$3)/10)</f>
        <v>70252.746792340447</v>
      </c>
      <c r="Q23" s="183">
        <f>Q22*'R&amp;S - Buildings'!$B$7*'R&amp;S - Buildings'!$B$11*('R&amp;S - Buildings'!$B$15+('R&amp;S - Buildings'!$B$16-'R&amp;S - Buildings'!$B$15)*('Yearly HC Propylene'!Q$3-'Yearly HC Propylene'!$N$3)/10)</f>
        <v>75576.823081907118</v>
      </c>
      <c r="R23" s="183">
        <f>R22*'R&amp;S - Buildings'!$B$7*'R&amp;S - Buildings'!$B$11*('R&amp;S - Buildings'!$B$15+('R&amp;S - Buildings'!$B$16-'R&amp;S - Buildings'!$B$15)*('Yearly HC Propylene'!R$3-'Yearly HC Propylene'!$N$3)/10)</f>
        <v>80823.291341663178</v>
      </c>
      <c r="S23" s="183">
        <f>S22*'R&amp;S - Buildings'!$B$7*'R&amp;S - Buildings'!$B$11*('R&amp;S - Buildings'!$B$15+('R&amp;S - Buildings'!$B$16-'R&amp;S - Buildings'!$B$15)*('Yearly HC Propylene'!S$3-'Yearly HC Propylene'!$N$3)/10)</f>
        <v>85992.974622120673</v>
      </c>
      <c r="T23" s="183">
        <f>T22*'R&amp;S - Buildings'!$B$7*'R&amp;S - Buildings'!$B$11*('R&amp;S - Buildings'!$B$15+('R&amp;S - Buildings'!$B$16-'R&amp;S - Buildings'!$B$15)*('Yearly HC Propylene'!T$3-'Yearly HC Propylene'!$N$3)/10)</f>
        <v>91086.688271829233</v>
      </c>
      <c r="U23" s="183">
        <f>U22*'R&amp;S - Buildings'!$B$7*'R&amp;S - Buildings'!$B$11*('R&amp;S - Buildings'!$B$15+('R&amp;S - Buildings'!$B$16-'R&amp;S - Buildings'!$B$15)*('Yearly HC Propylene'!U$3-'Yearly HC Propylene'!$N$3)/10)</f>
        <v>96105.240004749416</v>
      </c>
      <c r="V23" s="183">
        <f>V22*'R&amp;S - Buildings'!$B$7*'R&amp;S - Buildings'!$B$11*('R&amp;S - Buildings'!$B$15+('R&amp;S - Buildings'!$B$16-'R&amp;S - Buildings'!$B$15)*('Yearly HC Propylene'!V$3-'Yearly HC Propylene'!$N$3)/10)</f>
        <v>101049.42996706085</v>
      </c>
      <c r="W23" s="183">
        <f>W22*'R&amp;S - Buildings'!$B$7*'R&amp;S - Buildings'!$B$11*('R&amp;S - Buildings'!$B$15+('R&amp;S - Buildings'!$B$16-'R&amp;S - Buildings'!$B$15)*('Yearly HC Propylene'!W$3-'Yearly HC Propylene'!$N$3)/10)</f>
        <v>105920.05080341012</v>
      </c>
      <c r="X23" s="183">
        <f>X22*'R&amp;S - Buildings'!$B$7*'R&amp;S - Buildings'!$B$11*('R&amp;S - Buildings'!$B$15+('R&amp;S - Buildings'!$B$16-'R&amp;S - Buildings'!$B$15)*('Yearly HC Propylene'!X$3-'Yearly HC Propylene'!$N$3)/10)</f>
        <v>110717.887722603</v>
      </c>
      <c r="Y23" s="183">
        <f>Y22*'R&amp;S - Buildings'!$B$7*'R&amp;S - Buildings'!$B$11*('R&amp;S - Buildings'!$B$16+('R&amp;S - Buildings'!$B$17-'R&amp;S - Buildings'!$B$16)*('Yearly HC Propylene'!Y$3-'Yearly HC Propylene'!$X$3)/10)</f>
        <v>115610.30401521655</v>
      </c>
      <c r="Z23" s="183">
        <f>Z22*'R&amp;S - Buildings'!$B$7*'R&amp;S - Buildings'!$B$11*('R&amp;S - Buildings'!$B$16+('R&amp;S - Buildings'!$B$17-'R&amp;S - Buildings'!$B$16)*('Yearly HC Propylene'!Z$3-'Yearly HC Propylene'!$X$3)/10)</f>
        <v>120429.16320530094</v>
      </c>
      <c r="AA23" s="183">
        <f>AA22*'R&amp;S - Buildings'!$B$7*'R&amp;S - Buildings'!$B$11*('R&amp;S - Buildings'!$B$16+('R&amp;S - Buildings'!$B$17-'R&amp;S - Buildings'!$B$16)*('Yearly HC Propylene'!AA$3-'Yearly HC Propylene'!$X$3)/10)</f>
        <v>125175.25284791473</v>
      </c>
      <c r="AB23" s="183">
        <f>AB22*'R&amp;S - Buildings'!$B$7*'R&amp;S - Buildings'!$B$11*('R&amp;S - Buildings'!$B$16+('R&amp;S - Buildings'!$B$17-'R&amp;S - Buildings'!$B$16)*('Yearly HC Propylene'!AB$3-'Yearly HC Propylene'!$X$3)/10)</f>
        <v>129849.35309413481</v>
      </c>
      <c r="AC23" s="183">
        <f>AC22*'R&amp;S - Buildings'!$B$7*'R&amp;S - Buildings'!$B$11*('R&amp;S - Buildings'!$B$16+('R&amp;S - Buildings'!$B$17-'R&amp;S - Buildings'!$B$16)*('Yearly HC Propylene'!AC$3-'Yearly HC Propylene'!$X$3)/10)</f>
        <v>134452.23675600061</v>
      </c>
      <c r="AD23" s="183">
        <f>AD22*'R&amp;S - Buildings'!$B$7*'R&amp;S - Buildings'!$B$11*('R&amp;S - Buildings'!$B$16+('R&amp;S - Buildings'!$B$17-'R&amp;S - Buildings'!$B$16)*('Yearly HC Propylene'!AD$3-'Yearly HC Propylene'!$X$3)/10)</f>
        <v>138984.66937091216</v>
      </c>
      <c r="AE23" s="183">
        <f>AE22*'R&amp;S - Buildings'!$B$7*'R&amp;S - Buildings'!$B$11*('R&amp;S - Buildings'!$B$16+('R&amp;S - Buildings'!$B$17-'R&amp;S - Buildings'!$B$16)*('Yearly HC Propylene'!AE$3-'Yearly HC Propylene'!$X$3)/10)</f>
        <v>143447.4092654876</v>
      </c>
      <c r="AF23" s="183">
        <f>AF22*'R&amp;S - Buildings'!$B$7*'R&amp;S - Buildings'!$B$11*('R&amp;S - Buildings'!$B$16+('R&amp;S - Buildings'!$B$17-'R&amp;S - Buildings'!$B$16)*('Yearly HC Propylene'!AF$3-'Yearly HC Propylene'!$X$3)/10)</f>
        <v>147841.20761888355</v>
      </c>
      <c r="AG23" s="183">
        <f>AG22*'R&amp;S - Buildings'!$B$7*'R&amp;S - Buildings'!$B$11*('R&amp;S - Buildings'!$B$16+('R&amp;S - Buildings'!$B$17-'R&amp;S - Buildings'!$B$16)*('Yearly HC Propylene'!AG$3-'Yearly HC Propylene'!$X$3)/10)</f>
        <v>152166.80852558344</v>
      </c>
      <c r="AH23" s="183">
        <f>AH22*'R&amp;S - Buildings'!$B$7*'R&amp;S - Buildings'!$B$11*('R&amp;S - Buildings'!$B$16+('R&amp;S - Buildings'!$B$17-'R&amp;S - Buildings'!$B$16)*('Yearly HC Propylene'!AH$3-'Yearly HC Propylene'!$X$3)/10)</f>
        <v>156424.9490576575</v>
      </c>
    </row>
    <row r="24" spans="1:34" outlineLevel="1">
      <c r="B24" s="1" t="s">
        <v>172</v>
      </c>
      <c r="C24" s="50" t="s">
        <v>1420</v>
      </c>
      <c r="D24" s="183">
        <v>0</v>
      </c>
      <c r="E24" s="183">
        <f>E22*'R&amp;S - Buildings'!$B$8*'R&amp;S - Buildings'!$C$11*'R&amp;S - Buildings'!$B$15*('Yearly HC Propylene'!E$3-'Yearly HC Propylene'!$D$3)/10</f>
        <v>0</v>
      </c>
      <c r="F24" s="183">
        <f>F22*'R&amp;S - Buildings'!$B$8*'R&amp;S - Buildings'!$C$11*'R&amp;S - Buildings'!$B$15*('Yearly HC Propylene'!F$3-'Yearly HC Propylene'!$D$3)/10</f>
        <v>0</v>
      </c>
      <c r="G24" s="183">
        <f>G22*'R&amp;S - Buildings'!$B$8*'R&amp;S - Buildings'!$C$11*'R&amp;S - Buildings'!$B$15*('Yearly HC Propylene'!G$3-'Yearly HC Propylene'!$D$3)/10</f>
        <v>0</v>
      </c>
      <c r="H24" s="183">
        <f>H22*'R&amp;S - Buildings'!$B$8*'R&amp;S - Buildings'!$C$11*'R&amp;S - Buildings'!$B$15*('Yearly HC Propylene'!H$3-'Yearly HC Propylene'!$D$3)/10</f>
        <v>0</v>
      </c>
      <c r="I24" s="183">
        <f>I22*'R&amp;S - Buildings'!$B$8*'R&amp;S - Buildings'!$C$11*'R&amp;S - Buildings'!$B$15*('Yearly HC Propylene'!I$3-'Yearly HC Propylene'!$D$3)/10</f>
        <v>0</v>
      </c>
      <c r="J24" s="183">
        <f>J22*'R&amp;S - Buildings'!$B$8*'R&amp;S - Buildings'!$C$11*'R&amp;S - Buildings'!$B$15*('Yearly HC Propylene'!J$3-'Yearly HC Propylene'!$D$3)/10</f>
        <v>0</v>
      </c>
      <c r="K24" s="183">
        <f>K22*'R&amp;S - Buildings'!$B$8*'R&amp;S - Buildings'!$C$11*'R&amp;S - Buildings'!$B$15*('Yearly HC Propylene'!K$3-'Yearly HC Propylene'!$D$3)/10</f>
        <v>0</v>
      </c>
      <c r="L24" s="183">
        <f>L22*'R&amp;S - Buildings'!$B$8*'R&amp;S - Buildings'!$C$11*'R&amp;S - Buildings'!$B$15*('Yearly HC Propylene'!L$3-'Yearly HC Propylene'!$D$3)/10</f>
        <v>0</v>
      </c>
      <c r="M24" s="183">
        <f>M22*'R&amp;S - Buildings'!$B$8*'R&amp;S - Buildings'!$C$11*'R&amp;S - Buildings'!$B$15*('Yearly HC Propylene'!M$3-'Yearly HC Propylene'!$D$3)/10</f>
        <v>0</v>
      </c>
      <c r="N24" s="183">
        <f>N22*'R&amp;S - Buildings'!$B$8*'R&amp;S - Buildings'!$C$11*'R&amp;S - Buildings'!$B$15*('Yearly HC Propylene'!N$3-'Yearly HC Propylene'!$D$3)/10</f>
        <v>0</v>
      </c>
      <c r="O24" s="183">
        <f>O22*'R&amp;S - Buildings'!$B$8*'R&amp;S - Buildings'!$C$11*('R&amp;S - Buildings'!$B$15+('R&amp;S - Buildings'!$B$16-'R&amp;S - Buildings'!$B$15)*('Yearly HC Propylene'!O$3-'Yearly HC Propylene'!$N$3)/10)</f>
        <v>0</v>
      </c>
      <c r="P24" s="183">
        <f>P22*'R&amp;S - Buildings'!$B$8*'R&amp;S - Buildings'!$C$11*('R&amp;S - Buildings'!$B$15+('R&amp;S - Buildings'!$B$16-'R&amp;S - Buildings'!$B$15)*('Yearly HC Propylene'!P$3-'Yearly HC Propylene'!$N$3)/10)</f>
        <v>0</v>
      </c>
      <c r="Q24" s="183">
        <f>Q22*'R&amp;S - Buildings'!$B$8*'R&amp;S - Buildings'!$C$11*('R&amp;S - Buildings'!$B$15+('R&amp;S - Buildings'!$B$16-'R&amp;S - Buildings'!$B$15)*('Yearly HC Propylene'!Q$3-'Yearly HC Propylene'!$N$3)/10)</f>
        <v>0</v>
      </c>
      <c r="R24" s="183">
        <f>R22*'R&amp;S - Buildings'!$B$8*'R&amp;S - Buildings'!$C$11*('R&amp;S - Buildings'!$B$15+('R&amp;S - Buildings'!$B$16-'R&amp;S - Buildings'!$B$15)*('Yearly HC Propylene'!R$3-'Yearly HC Propylene'!$N$3)/10)</f>
        <v>0</v>
      </c>
      <c r="S24" s="183">
        <f>S22*'R&amp;S - Buildings'!$B$8*'R&amp;S - Buildings'!$C$11*('R&amp;S - Buildings'!$B$15+('R&amp;S - Buildings'!$B$16-'R&amp;S - Buildings'!$B$15)*('Yearly HC Propylene'!S$3-'Yearly HC Propylene'!$N$3)/10)</f>
        <v>0</v>
      </c>
      <c r="T24" s="183">
        <f>T22*'R&amp;S - Buildings'!$B$8*'R&amp;S - Buildings'!$C$11*('R&amp;S - Buildings'!$B$15+('R&amp;S - Buildings'!$B$16-'R&amp;S - Buildings'!$B$15)*('Yearly HC Propylene'!T$3-'Yearly HC Propylene'!$N$3)/10)</f>
        <v>0</v>
      </c>
      <c r="U24" s="183">
        <f>U22*'R&amp;S - Buildings'!$B$8*'R&amp;S - Buildings'!$C$11*('R&amp;S - Buildings'!$B$15+('R&amp;S - Buildings'!$B$16-'R&amp;S - Buildings'!$B$15)*('Yearly HC Propylene'!U$3-'Yearly HC Propylene'!$N$3)/10)</f>
        <v>0</v>
      </c>
      <c r="V24" s="183">
        <f>V22*'R&amp;S - Buildings'!$B$8*'R&amp;S - Buildings'!$C$11*('R&amp;S - Buildings'!$B$15+('R&amp;S - Buildings'!$B$16-'R&amp;S - Buildings'!$B$15)*('Yearly HC Propylene'!V$3-'Yearly HC Propylene'!$N$3)/10)</f>
        <v>0</v>
      </c>
      <c r="W24" s="183">
        <f>W22*'R&amp;S - Buildings'!$B$8*'R&amp;S - Buildings'!$C$11*('R&amp;S - Buildings'!$B$15+('R&amp;S - Buildings'!$B$16-'R&amp;S - Buildings'!$B$15)*('Yearly HC Propylene'!W$3-'Yearly HC Propylene'!$N$3)/10)</f>
        <v>0</v>
      </c>
      <c r="X24" s="183">
        <f>X22*'R&amp;S - Buildings'!$B$8*'R&amp;S - Buildings'!$C$11*('R&amp;S - Buildings'!$B$15+('R&amp;S - Buildings'!$B$16-'R&amp;S - Buildings'!$B$15)*('Yearly HC Propylene'!X$3-'Yearly HC Propylene'!$N$3)/10)</f>
        <v>0</v>
      </c>
      <c r="Y24" s="183">
        <f>Y22*'R&amp;S - Buildings'!$B$8*'R&amp;S - Buildings'!$C$11*('R&amp;S - Buildings'!$B$16+('R&amp;S - Buildings'!$B$17-'R&amp;S - Buildings'!$B$16)*('Yearly HC Propylene'!Y$3-'Yearly HC Propylene'!$X$3)/10)</f>
        <v>0</v>
      </c>
      <c r="Z24" s="183">
        <f>Z22*'R&amp;S - Buildings'!$B$8*'R&amp;S - Buildings'!$C$11*('R&amp;S - Buildings'!$B$16+('R&amp;S - Buildings'!$B$17-'R&amp;S - Buildings'!$B$16)*('Yearly HC Propylene'!Z$3-'Yearly HC Propylene'!$X$3)/10)</f>
        <v>0</v>
      </c>
      <c r="AA24" s="183">
        <f>AA22*'R&amp;S - Buildings'!$B$8*'R&amp;S - Buildings'!$C$11*('R&amp;S - Buildings'!$B$16+('R&amp;S - Buildings'!$B$17-'R&amp;S - Buildings'!$B$16)*('Yearly HC Propylene'!AA$3-'Yearly HC Propylene'!$X$3)/10)</f>
        <v>0</v>
      </c>
      <c r="AB24" s="183">
        <f>AB22*'R&amp;S - Buildings'!$B$8*'R&amp;S - Buildings'!$C$11*('R&amp;S - Buildings'!$B$16+('R&amp;S - Buildings'!$B$17-'R&amp;S - Buildings'!$B$16)*('Yearly HC Propylene'!AB$3-'Yearly HC Propylene'!$X$3)/10)</f>
        <v>0</v>
      </c>
      <c r="AC24" s="183">
        <f>AC22*'R&amp;S - Buildings'!$B$8*'R&amp;S - Buildings'!$C$11*('R&amp;S - Buildings'!$B$16+('R&amp;S - Buildings'!$B$17-'R&amp;S - Buildings'!$B$16)*('Yearly HC Propylene'!AC$3-'Yearly HC Propylene'!$X$3)/10)</f>
        <v>0</v>
      </c>
      <c r="AD24" s="183">
        <f>AD22*'R&amp;S - Buildings'!$B$8*'R&amp;S - Buildings'!$C$11*('R&amp;S - Buildings'!$B$16+('R&amp;S - Buildings'!$B$17-'R&amp;S - Buildings'!$B$16)*('Yearly HC Propylene'!AD$3-'Yearly HC Propylene'!$X$3)/10)</f>
        <v>0</v>
      </c>
      <c r="AE24" s="183">
        <f>AE22*'R&amp;S - Buildings'!$B$8*'R&amp;S - Buildings'!$C$11*('R&amp;S - Buildings'!$B$16+('R&amp;S - Buildings'!$B$17-'R&amp;S - Buildings'!$B$16)*('Yearly HC Propylene'!AE$3-'Yearly HC Propylene'!$X$3)/10)</f>
        <v>0</v>
      </c>
      <c r="AF24" s="183">
        <f>AF22*'R&amp;S - Buildings'!$B$8*'R&amp;S - Buildings'!$C$11*('R&amp;S - Buildings'!$B$16+('R&amp;S - Buildings'!$B$17-'R&amp;S - Buildings'!$B$16)*('Yearly HC Propylene'!AF$3-'Yearly HC Propylene'!$X$3)/10)</f>
        <v>0</v>
      </c>
      <c r="AG24" s="183">
        <f>AG22*'R&amp;S - Buildings'!$B$8*'R&amp;S - Buildings'!$C$11*('R&amp;S - Buildings'!$B$16+('R&amp;S - Buildings'!$B$17-'R&amp;S - Buildings'!$B$16)*('Yearly HC Propylene'!AG$3-'Yearly HC Propylene'!$X$3)/10)</f>
        <v>0</v>
      </c>
      <c r="AH24" s="183">
        <f>AH22*'R&amp;S - Buildings'!$B$8*'R&amp;S - Buildings'!$C$11*('R&amp;S - Buildings'!$B$16+('R&amp;S - Buildings'!$B$17-'R&amp;S - Buildings'!$B$16)*('Yearly HC Propylene'!AH$3-'Yearly HC Propylene'!$X$3)/10)</f>
        <v>0</v>
      </c>
    </row>
    <row r="25" spans="1:34" s="62" customFormat="1">
      <c r="A25" s="58"/>
      <c r="B25" s="58" t="s">
        <v>200</v>
      </c>
      <c r="C25" s="59" t="s">
        <v>1420</v>
      </c>
      <c r="D25" s="577">
        <f>D22-D23-D24</f>
        <v>350789.70130119962</v>
      </c>
      <c r="E25" s="577">
        <f t="shared" ref="E25:AH25" si="7">E22-E23-E24</f>
        <v>342022.90836845251</v>
      </c>
      <c r="F25" s="577">
        <f t="shared" si="7"/>
        <v>333361.25834353361</v>
      </c>
      <c r="G25" s="577">
        <f t="shared" si="7"/>
        <v>324803.71160373592</v>
      </c>
      <c r="H25" s="577">
        <f t="shared" si="7"/>
        <v>316349.23790956644</v>
      </c>
      <c r="I25" s="577">
        <f t="shared" si="7"/>
        <v>307996.81632445793</v>
      </c>
      <c r="J25" s="577">
        <f t="shared" si="7"/>
        <v>299745.43513514474</v>
      </c>
      <c r="K25" s="577">
        <f t="shared" si="7"/>
        <v>291594.091772696</v>
      </c>
      <c r="L25" s="577">
        <f t="shared" si="7"/>
        <v>283541.79273420147</v>
      </c>
      <c r="M25" s="577">
        <f t="shared" si="7"/>
        <v>275587.55350510532</v>
      </c>
      <c r="N25" s="577">
        <f t="shared" si="7"/>
        <v>267730.39848218148</v>
      </c>
      <c r="O25" s="577">
        <f t="shared" si="7"/>
        <v>259969.36089714628</v>
      </c>
      <c r="P25" s="577">
        <f t="shared" si="7"/>
        <v>252303.48274090307</v>
      </c>
      <c r="Q25" s="577">
        <f t="shared" si="7"/>
        <v>244731.81468841329</v>
      </c>
      <c r="R25" s="577">
        <f t="shared" si="7"/>
        <v>237253.41602418956</v>
      </c>
      <c r="S25" s="577">
        <f t="shared" si="7"/>
        <v>229867.35456840519</v>
      </c>
      <c r="T25" s="577">
        <f t="shared" si="7"/>
        <v>222572.70660361578</v>
      </c>
      <c r="U25" s="577">
        <f t="shared" si="7"/>
        <v>215368.55680208709</v>
      </c>
      <c r="V25" s="577">
        <f t="shared" si="7"/>
        <v>208253.99815372523</v>
      </c>
      <c r="W25" s="577">
        <f t="shared" si="7"/>
        <v>201228.13189460384</v>
      </c>
      <c r="X25" s="577">
        <f t="shared" si="7"/>
        <v>194290.06743608293</v>
      </c>
      <c r="Y25" s="577">
        <f t="shared" si="7"/>
        <v>187272.33684204449</v>
      </c>
      <c r="Z25" s="577">
        <f t="shared" si="7"/>
        <v>180342.97267207404</v>
      </c>
      <c r="AA25" s="577">
        <f t="shared" si="7"/>
        <v>173501.08417884432</v>
      </c>
      <c r="AB25" s="577">
        <f t="shared" si="7"/>
        <v>166745.78873805981</v>
      </c>
      <c r="AC25" s="577">
        <f t="shared" si="7"/>
        <v>160076.21177850233</v>
      </c>
      <c r="AD25" s="577">
        <f t="shared" si="7"/>
        <v>153491.48671265718</v>
      </c>
      <c r="AE25" s="577">
        <f t="shared" si="7"/>
        <v>146990.75486791509</v>
      </c>
      <c r="AF25" s="577">
        <f t="shared" si="7"/>
        <v>140573.16541834539</v>
      </c>
      <c r="AG25" s="577">
        <f t="shared" si="7"/>
        <v>134237.87531703545</v>
      </c>
      <c r="AH25" s="577">
        <f t="shared" si="7"/>
        <v>127984.04922899249</v>
      </c>
    </row>
    <row r="26" spans="1:34">
      <c r="A26" s="1" t="s">
        <v>196</v>
      </c>
      <c r="B26" s="54" t="s">
        <v>179</v>
      </c>
      <c r="C26" s="55" t="s">
        <v>1420</v>
      </c>
      <c r="D26" s="571">
        <v>0</v>
      </c>
      <c r="E26" s="571">
        <v>0</v>
      </c>
      <c r="F26" s="571">
        <v>0</v>
      </c>
      <c r="G26" s="571">
        <v>0</v>
      </c>
      <c r="H26" s="571">
        <v>0</v>
      </c>
      <c r="I26" s="571">
        <v>0</v>
      </c>
      <c r="J26" s="571">
        <v>0</v>
      </c>
      <c r="K26" s="571">
        <v>0</v>
      </c>
      <c r="L26" s="571">
        <v>0</v>
      </c>
      <c r="M26" s="571">
        <v>0</v>
      </c>
      <c r="N26" s="571">
        <v>0</v>
      </c>
      <c r="O26" s="571">
        <v>0</v>
      </c>
      <c r="P26" s="571">
        <v>0</v>
      </c>
      <c r="Q26" s="571">
        <v>0</v>
      </c>
      <c r="R26" s="571">
        <v>0</v>
      </c>
      <c r="S26" s="571">
        <v>0</v>
      </c>
      <c r="T26" s="571">
        <v>0</v>
      </c>
      <c r="U26" s="571">
        <v>0</v>
      </c>
      <c r="V26" s="571">
        <v>0</v>
      </c>
      <c r="W26" s="571">
        <v>0</v>
      </c>
      <c r="X26" s="571">
        <v>0</v>
      </c>
      <c r="Y26" s="571">
        <v>0</v>
      </c>
      <c r="Z26" s="571">
        <v>0</v>
      </c>
      <c r="AA26" s="571">
        <v>0</v>
      </c>
      <c r="AB26" s="571">
        <v>0</v>
      </c>
      <c r="AC26" s="571">
        <v>0</v>
      </c>
      <c r="AD26" s="571">
        <v>0</v>
      </c>
      <c r="AE26" s="571">
        <v>0</v>
      </c>
      <c r="AF26" s="571">
        <v>0</v>
      </c>
      <c r="AG26" s="571">
        <v>0</v>
      </c>
      <c r="AH26" s="571">
        <v>0</v>
      </c>
    </row>
    <row r="27" spans="1:34" outlineLevel="1">
      <c r="B27" s="57" t="s">
        <v>201</v>
      </c>
      <c r="C27" s="50" t="s">
        <v>1420</v>
      </c>
      <c r="D27" s="183">
        <v>0</v>
      </c>
      <c r="E27" s="183">
        <v>0</v>
      </c>
      <c r="F27" s="183">
        <v>0</v>
      </c>
      <c r="G27" s="183">
        <v>0</v>
      </c>
      <c r="H27" s="183">
        <v>0</v>
      </c>
      <c r="I27" s="183">
        <v>0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83">
        <v>0</v>
      </c>
      <c r="AE27" s="183">
        <v>0</v>
      </c>
      <c r="AF27" s="183">
        <v>0</v>
      </c>
      <c r="AG27" s="183">
        <v>0</v>
      </c>
      <c r="AH27" s="183">
        <v>0</v>
      </c>
    </row>
    <row r="28" spans="1:34" outlineLevel="1">
      <c r="B28" s="57" t="s">
        <v>205</v>
      </c>
      <c r="C28" s="50" t="s">
        <v>1420</v>
      </c>
      <c r="D28" s="183">
        <v>0</v>
      </c>
      <c r="E28" s="183">
        <v>0</v>
      </c>
      <c r="F28" s="183">
        <v>0</v>
      </c>
      <c r="G28" s="183">
        <v>0</v>
      </c>
      <c r="H28" s="183">
        <v>0</v>
      </c>
      <c r="I28" s="183">
        <v>0</v>
      </c>
      <c r="J28" s="183">
        <v>0</v>
      </c>
      <c r="K28" s="183">
        <v>0</v>
      </c>
      <c r="L28" s="183">
        <v>0</v>
      </c>
      <c r="M28" s="183">
        <v>0</v>
      </c>
      <c r="N28" s="183">
        <v>0</v>
      </c>
      <c r="O28" s="183">
        <v>0</v>
      </c>
      <c r="P28" s="183">
        <v>0</v>
      </c>
      <c r="Q28" s="183">
        <v>0</v>
      </c>
      <c r="R28" s="183">
        <v>0</v>
      </c>
      <c r="S28" s="183">
        <v>0</v>
      </c>
      <c r="T28" s="183">
        <v>0</v>
      </c>
      <c r="U28" s="183">
        <v>0</v>
      </c>
      <c r="V28" s="183">
        <v>0</v>
      </c>
      <c r="W28" s="183">
        <v>0</v>
      </c>
      <c r="X28" s="183">
        <v>0</v>
      </c>
      <c r="Y28" s="183">
        <v>0</v>
      </c>
      <c r="Z28" s="183">
        <v>0</v>
      </c>
      <c r="AA28" s="183">
        <v>0</v>
      </c>
      <c r="AB28" s="183">
        <v>0</v>
      </c>
      <c r="AC28" s="183">
        <v>0</v>
      </c>
      <c r="AD28" s="183">
        <v>0</v>
      </c>
      <c r="AE28" s="183">
        <v>0</v>
      </c>
      <c r="AF28" s="183">
        <v>0</v>
      </c>
      <c r="AG28" s="183">
        <v>0</v>
      </c>
      <c r="AH28" s="183">
        <v>0</v>
      </c>
    </row>
    <row r="29" spans="1:34" outlineLevel="1">
      <c r="B29" s="1" t="s">
        <v>169</v>
      </c>
      <c r="C29" s="50" t="s">
        <v>1420</v>
      </c>
      <c r="D29" s="183">
        <v>0</v>
      </c>
      <c r="E29" s="183">
        <v>0</v>
      </c>
      <c r="F29" s="183">
        <v>0</v>
      </c>
      <c r="G29" s="183">
        <v>0</v>
      </c>
      <c r="H29" s="183">
        <v>0</v>
      </c>
      <c r="I29" s="183">
        <v>0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3">
        <v>0</v>
      </c>
      <c r="AC29" s="183">
        <v>0</v>
      </c>
      <c r="AD29" s="183">
        <v>0</v>
      </c>
      <c r="AE29" s="183">
        <v>0</v>
      </c>
      <c r="AF29" s="183">
        <v>0</v>
      </c>
      <c r="AG29" s="183">
        <v>0</v>
      </c>
      <c r="AH29" s="183">
        <v>0</v>
      </c>
    </row>
    <row r="30" spans="1:34" outlineLevel="1">
      <c r="B30" s="1" t="s">
        <v>172</v>
      </c>
      <c r="C30" s="50" t="s">
        <v>1420</v>
      </c>
      <c r="D30" s="183">
        <v>0</v>
      </c>
      <c r="E30" s="183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3">
        <v>0</v>
      </c>
      <c r="AG30" s="183">
        <v>0</v>
      </c>
      <c r="AH30" s="183">
        <v>0</v>
      </c>
    </row>
    <row r="31" spans="1:34">
      <c r="B31" s="1" t="s">
        <v>200</v>
      </c>
      <c r="C31" s="60" t="s">
        <v>1420</v>
      </c>
      <c r="D31" s="574">
        <f>D26-D29-D30</f>
        <v>0</v>
      </c>
      <c r="E31" s="574">
        <f t="shared" ref="E31:AH31" si="8">E26-E29-E30</f>
        <v>0</v>
      </c>
      <c r="F31" s="574">
        <f t="shared" si="8"/>
        <v>0</v>
      </c>
      <c r="G31" s="574">
        <f t="shared" si="8"/>
        <v>0</v>
      </c>
      <c r="H31" s="574">
        <f t="shared" si="8"/>
        <v>0</v>
      </c>
      <c r="I31" s="574">
        <f t="shared" si="8"/>
        <v>0</v>
      </c>
      <c r="J31" s="574">
        <f t="shared" si="8"/>
        <v>0</v>
      </c>
      <c r="K31" s="574">
        <f t="shared" si="8"/>
        <v>0</v>
      </c>
      <c r="L31" s="574">
        <f t="shared" si="8"/>
        <v>0</v>
      </c>
      <c r="M31" s="574">
        <f t="shared" si="8"/>
        <v>0</v>
      </c>
      <c r="N31" s="574">
        <f t="shared" si="8"/>
        <v>0</v>
      </c>
      <c r="O31" s="574">
        <f t="shared" si="8"/>
        <v>0</v>
      </c>
      <c r="P31" s="574">
        <f t="shared" si="8"/>
        <v>0</v>
      </c>
      <c r="Q31" s="574">
        <f t="shared" si="8"/>
        <v>0</v>
      </c>
      <c r="R31" s="574">
        <f t="shared" si="8"/>
        <v>0</v>
      </c>
      <c r="S31" s="574">
        <f t="shared" si="8"/>
        <v>0</v>
      </c>
      <c r="T31" s="574">
        <f t="shared" si="8"/>
        <v>0</v>
      </c>
      <c r="U31" s="574">
        <f t="shared" si="8"/>
        <v>0</v>
      </c>
      <c r="V31" s="574">
        <f t="shared" si="8"/>
        <v>0</v>
      </c>
      <c r="W31" s="574">
        <f t="shared" si="8"/>
        <v>0</v>
      </c>
      <c r="X31" s="574">
        <f t="shared" si="8"/>
        <v>0</v>
      </c>
      <c r="Y31" s="574">
        <f t="shared" si="8"/>
        <v>0</v>
      </c>
      <c r="Z31" s="574">
        <f t="shared" si="8"/>
        <v>0</v>
      </c>
      <c r="AA31" s="574">
        <f t="shared" si="8"/>
        <v>0</v>
      </c>
      <c r="AB31" s="574">
        <f t="shared" si="8"/>
        <v>0</v>
      </c>
      <c r="AC31" s="574">
        <f t="shared" si="8"/>
        <v>0</v>
      </c>
      <c r="AD31" s="574">
        <f t="shared" si="8"/>
        <v>0</v>
      </c>
      <c r="AE31" s="574">
        <f t="shared" si="8"/>
        <v>0</v>
      </c>
      <c r="AF31" s="574">
        <f t="shared" si="8"/>
        <v>0</v>
      </c>
      <c r="AG31" s="574">
        <f t="shared" si="8"/>
        <v>0</v>
      </c>
      <c r="AH31" s="574">
        <f t="shared" si="8"/>
        <v>0</v>
      </c>
    </row>
    <row r="32" spans="1:34" s="61" customFormat="1">
      <c r="A32" s="54" t="s">
        <v>307</v>
      </c>
      <c r="B32" s="54" t="s">
        <v>179</v>
      </c>
      <c r="C32" s="55" t="s">
        <v>1420</v>
      </c>
      <c r="D32" s="571">
        <f t="shared" ref="D32:AH32" si="9">D4-D6-D14-D22-D26</f>
        <v>1577666.5665936389</v>
      </c>
      <c r="E32" s="571">
        <f t="shared" si="9"/>
        <v>1555252.6334020277</v>
      </c>
      <c r="F32" s="571">
        <f t="shared" si="9"/>
        <v>1532620.711095769</v>
      </c>
      <c r="G32" s="571">
        <f t="shared" si="9"/>
        <v>1509766.8743648059</v>
      </c>
      <c r="H32" s="571">
        <f t="shared" si="9"/>
        <v>1486687.128030923</v>
      </c>
      <c r="I32" s="571">
        <f t="shared" si="9"/>
        <v>1463377.4059056176</v>
      </c>
      <c r="J32" s="571">
        <f t="shared" si="9"/>
        <v>1437561.3789493258</v>
      </c>
      <c r="K32" s="571">
        <f t="shared" si="9"/>
        <v>1411531.3848667105</v>
      </c>
      <c r="L32" s="571">
        <f t="shared" si="9"/>
        <v>1385282.9413706195</v>
      </c>
      <c r="M32" s="571">
        <f t="shared" si="9"/>
        <v>1358811.4917964209</v>
      </c>
      <c r="N32" s="571">
        <f t="shared" si="9"/>
        <v>1332112.4038477791</v>
      </c>
      <c r="O32" s="571">
        <f t="shared" si="9"/>
        <v>1300967.7952976746</v>
      </c>
      <c r="P32" s="571">
        <f t="shared" si="9"/>
        <v>1269637.7925097346</v>
      </c>
      <c r="Q32" s="571">
        <f t="shared" si="9"/>
        <v>1238117.0508866413</v>
      </c>
      <c r="R32" s="571">
        <f t="shared" si="9"/>
        <v>1206400.1488923521</v>
      </c>
      <c r="S32" s="571">
        <f t="shared" si="9"/>
        <v>1174481.5866562016</v>
      </c>
      <c r="T32" s="571">
        <f t="shared" si="9"/>
        <v>1138670.3989468042</v>
      </c>
      <c r="U32" s="571">
        <f t="shared" si="9"/>
        <v>1102698.7541022208</v>
      </c>
      <c r="V32" s="571">
        <f t="shared" si="9"/>
        <v>1066560.3481397876</v>
      </c>
      <c r="W32" s="571">
        <f t="shared" si="9"/>
        <v>1030248.7982551481</v>
      </c>
      <c r="X32" s="571">
        <f t="shared" si="9"/>
        <v>993757.6412587947</v>
      </c>
      <c r="Y32" s="571">
        <f t="shared" si="9"/>
        <v>954509.05445038958</v>
      </c>
      <c r="Z32" s="571">
        <f t="shared" si="9"/>
        <v>915108.38195366878</v>
      </c>
      <c r="AA32" s="571">
        <f t="shared" si="9"/>
        <v>875548.42644256703</v>
      </c>
      <c r="AB32" s="571">
        <f t="shared" si="9"/>
        <v>835821.90880547452</v>
      </c>
      <c r="AC32" s="571">
        <f t="shared" si="9"/>
        <v>795921.46640263055</v>
      </c>
      <c r="AD32" s="571">
        <f t="shared" si="9"/>
        <v>754534.72281695297</v>
      </c>
      <c r="AE32" s="571">
        <f t="shared" si="9"/>
        <v>712981.06315512001</v>
      </c>
      <c r="AF32" s="571">
        <f t="shared" si="9"/>
        <v>671252.58546259941</v>
      </c>
      <c r="AG32" s="571">
        <f t="shared" si="9"/>
        <v>629341.30013987911</v>
      </c>
      <c r="AH32" s="571">
        <f t="shared" si="9"/>
        <v>587239.12802909594</v>
      </c>
    </row>
    <row r="33" spans="1:34" s="160" customFormat="1" outlineLevel="1">
      <c r="A33" s="158"/>
      <c r="B33" s="158" t="s">
        <v>169</v>
      </c>
      <c r="C33" s="156" t="s">
        <v>1420</v>
      </c>
      <c r="D33" s="547">
        <v>0</v>
      </c>
      <c r="E33" s="547">
        <f>E32*'R&amp;S - Others'!$B$7*'R&amp;S - Others'!$B$11*'R&amp;S - Others'!$B$15*('Yearly HC Propylene'!E$3-'Yearly HC Propylene'!$D$3)/10</f>
        <v>7698.5005353400365</v>
      </c>
      <c r="F33" s="547">
        <f>F32*'R&amp;S - Others'!$B$7*'R&amp;S - Others'!$B$11*'R&amp;S - Others'!$B$15*('Yearly HC Propylene'!F$3-'Yearly HC Propylene'!$D$3)/10</f>
        <v>15172.945039848113</v>
      </c>
      <c r="G33" s="547">
        <f>G32*'R&amp;S - Others'!$B$7*'R&amp;S - Others'!$B$11*'R&amp;S - Others'!$B$15*('Yearly HC Propylene'!G$3-'Yearly HC Propylene'!$D$3)/10</f>
        <v>22420.03808431737</v>
      </c>
      <c r="H33" s="547">
        <f>H32*'R&amp;S - Others'!$B$7*'R&amp;S - Others'!$B$11*'R&amp;S - Others'!$B$15*('Yearly HC Propylene'!H$3-'Yearly HC Propylene'!$D$3)/10</f>
        <v>29436.405135012279</v>
      </c>
      <c r="I33" s="547">
        <f>I32*'R&amp;S - Others'!$B$7*'R&amp;S - Others'!$B$11*'R&amp;S - Others'!$B$15*('Yearly HC Propylene'!I$3-'Yearly HC Propylene'!$D$3)/10</f>
        <v>36218.590796164041</v>
      </c>
      <c r="J33" s="547">
        <f>J32*'R&amp;S - Others'!$B$7*'R&amp;S - Others'!$B$11*'R&amp;S - Others'!$B$15*('Yearly HC Propylene'!J$3-'Yearly HC Propylene'!$D$3)/10</f>
        <v>42695.572954794974</v>
      </c>
      <c r="K33" s="547">
        <f>K32*'R&amp;S - Others'!$B$7*'R&amp;S - Others'!$B$11*'R&amp;S - Others'!$B$15*('Yearly HC Propylene'!K$3-'Yearly HC Propylene'!$D$3)/10</f>
        <v>48909.562485631519</v>
      </c>
      <c r="L33" s="547">
        <f>L32*'R&amp;S - Others'!$B$7*'R&amp;S - Others'!$B$11*'R&amp;S - Others'!$B$15*('Yearly HC Propylene'!L$3-'Yearly HC Propylene'!$D$3)/10</f>
        <v>54857.20447827653</v>
      </c>
      <c r="M33" s="547">
        <f>M32*'R&amp;S - Others'!$B$7*'R&amp;S - Others'!$B$11*'R&amp;S - Others'!$B$15*('Yearly HC Propylene'!M$3-'Yearly HC Propylene'!$D$3)/10</f>
        <v>60535.051959530545</v>
      </c>
      <c r="N33" s="547">
        <f>N32*'R&amp;S - Others'!$B$7*'R&amp;S - Others'!$B$11*'R&amp;S - Others'!$B$15*('Yearly HC Propylene'!N$3-'Yearly HC Propylene'!$D$3)/10</f>
        <v>65939.563990465074</v>
      </c>
      <c r="O33" s="547">
        <f>O32*'R&amp;S - Others'!$B$7*'R&amp;S - Others'!$B$11*('R&amp;S - Others'!$B$15+('R&amp;S - Others'!$B$16-'R&amp;S - Others'!$B$15)*('Yearly HC Propylene'!O$3-'Yearly HC Propylene'!$N$3)/10)</f>
        <v>70837.696453958386</v>
      </c>
      <c r="P33" s="547">
        <f>P32*'R&amp;S - Others'!$B$7*'R&amp;S - Others'!$B$11*('R&amp;S - Others'!$B$15+('R&amp;S - Others'!$B$16-'R&amp;S - Others'!$B$15)*('Yearly HC Propylene'!P$3-'Yearly HC Propylene'!$N$3)/10)</f>
        <v>75416.48487507824</v>
      </c>
      <c r="Q33" s="547">
        <f>Q32*'R&amp;S - Others'!$B$7*'R&amp;S - Others'!$B$11*('R&amp;S - Others'!$B$15+('R&amp;S - Others'!$B$16-'R&amp;S - Others'!$B$15)*('Yearly HC Propylene'!Q$3-'Yearly HC Propylene'!$N$3)/10)</f>
        <v>79672.832224555372</v>
      </c>
      <c r="R33" s="547">
        <f>R32*'R&amp;S - Others'!$B$7*'R&amp;S - Others'!$B$11*('R&amp;S - Others'!$B$15+('R&amp;S - Others'!$B$16-'R&amp;S - Others'!$B$15)*('Yearly HC Propylene'!R$3-'Yearly HC Propylene'!$N$3)/10)</f>
        <v>83603.530318239995</v>
      </c>
      <c r="S33" s="547">
        <f>S32*'R&amp;S - Others'!$B$7*'R&amp;S - Others'!$B$11*('R&amp;S - Others'!$B$15+('R&amp;S - Others'!$B$16-'R&amp;S - Others'!$B$15)*('Yearly HC Propylene'!S$3-'Yearly HC Propylene'!$N$3)/10)</f>
        <v>87205.257809222967</v>
      </c>
      <c r="T33" s="547">
        <f>T32*'R&amp;S - Others'!$B$7*'R&amp;S - Others'!$B$11*('R&amp;S - Others'!$B$15+('R&amp;S - Others'!$B$16-'R&amp;S - Others'!$B$15)*('Yearly HC Propylene'!T$3-'Yearly HC Propylene'!$N$3)/10)</f>
        <v>90182.695596586898</v>
      </c>
      <c r="U33" s="547">
        <f>U32*'R&amp;S - Others'!$B$7*'R&amp;S - Others'!$B$11*('R&amp;S - Others'!$B$15+('R&amp;S - Others'!$B$16-'R&amp;S - Others'!$B$15)*('Yearly HC Propylene'!U$3-'Yearly HC Propylene'!$N$3)/10)</f>
        <v>92792.100157701891</v>
      </c>
      <c r="V33" s="547">
        <f>V32*'R&amp;S - Others'!$B$7*'R&amp;S - Others'!$B$11*('R&amp;S - Others'!$B$15+('R&amp;S - Others'!$B$16-'R&amp;S - Others'!$B$15)*('Yearly HC Propylene'!V$3-'Yearly HC Propylene'!$N$3)/10)</f>
        <v>95030.527019255082</v>
      </c>
      <c r="W33" s="547">
        <f>W32*'R&amp;S - Others'!$B$7*'R&amp;S - Others'!$B$11*('R&amp;S - Others'!$B$15+('R&amp;S - Others'!$B$16-'R&amp;S - Others'!$B$15)*('Yearly HC Propylene'!W$3-'Yearly HC Propylene'!$N$3)/10)</f>
        <v>96894.899475896673</v>
      </c>
      <c r="X33" s="547">
        <f>X32*'R&amp;S - Others'!$B$7*'R&amp;S - Others'!$B$11*('R&amp;S - Others'!$B$15+('R&amp;S - Others'!$B$16-'R&amp;S - Others'!$B$15)*('Yearly HC Propylene'!X$3-'Yearly HC Propylene'!$N$3)/10)</f>
        <v>98382.006484620681</v>
      </c>
      <c r="Y33" s="547">
        <f>Y32*'R&amp;S - Others'!$B$7*'R&amp;S - Others'!$B$11*('R&amp;S - Others'!$B$16+('R&amp;S - Others'!$B$17-'R&amp;S - Others'!$B$16)*('Yearly HC Propylene'!Y$3-'Yearly HC Propylene'!$X$3)/10)</f>
        <v>99364.392568285562</v>
      </c>
      <c r="Z33" s="547">
        <f>Z32*'R&amp;S - Others'!$B$7*'R&amp;S - Others'!$B$11*('R&amp;S - Others'!$B$16+('R&amp;S - Others'!$B$17-'R&amp;S - Others'!$B$16)*('Yearly HC Propylene'!Z$3-'Yearly HC Propylene'!$X$3)/10)</f>
        <v>99929.835309340633</v>
      </c>
      <c r="AA33" s="547">
        <f>AA32*'R&amp;S - Others'!$B$7*'R&amp;S - Others'!$B$11*('R&amp;S - Others'!$B$16+('R&amp;S - Others'!$B$17-'R&amp;S - Others'!$B$16)*('Yearly HC Propylene'!AA$3-'Yearly HC Propylene'!$X$3)/10)</f>
        <v>100075.18514238541</v>
      </c>
      <c r="AB33" s="547">
        <f>AB32*'R&amp;S - Others'!$B$7*'R&amp;S - Others'!$B$11*('R&amp;S - Others'!$B$16+('R&amp;S - Others'!$B$17-'R&amp;S - Others'!$B$16)*('Yearly HC Propylene'!AB$3-'Yearly HC Propylene'!$X$3)/10)</f>
        <v>99797.135911373669</v>
      </c>
      <c r="AC33" s="547">
        <f>AC32*'R&amp;S - Others'!$B$7*'R&amp;S - Others'!$B$11*('R&amp;S - Others'!$B$16+('R&amp;S - Others'!$B$17-'R&amp;S - Others'!$B$16)*('Yearly HC Propylene'!AC$3-'Yearly HC Propylene'!$X$3)/10)</f>
        <v>99092.222567127508</v>
      </c>
      <c r="AD33" s="547">
        <f>AD32*'R&amp;S - Others'!$B$7*'R&amp;S - Others'!$B$11*('R&amp;S - Others'!$B$16+('R&amp;S - Others'!$B$17-'R&amp;S - Others'!$B$16)*('Yearly HC Propylene'!AD$3-'Yearly HC Propylene'!$X$3)/10)</f>
        <v>97787.700077077112</v>
      </c>
      <c r="AE33" s="547">
        <f>AE32*'R&amp;S - Others'!$B$7*'R&amp;S - Others'!$B$11*('R&amp;S - Others'!$B$16+('R&amp;S - Others'!$B$17-'R&amp;S - Others'!$B$16)*('Yearly HC Propylene'!AE$3-'Yearly HC Propylene'!$X$3)/10)</f>
        <v>96038.549206994663</v>
      </c>
      <c r="AF33" s="547">
        <f>AF32*'R&amp;S - Others'!$B$7*'R&amp;S - Others'!$B$11*('R&amp;S - Others'!$B$16+('R&amp;S - Others'!$B$17-'R&amp;S - Others'!$B$16)*('Yearly HC Propylene'!AF$3-'Yearly HC Propylene'!$X$3)/10)</f>
        <v>93841.111447671399</v>
      </c>
      <c r="AG33" s="547">
        <f>AG32*'R&amp;S - Others'!$B$7*'R&amp;S - Others'!$B$11*('R&amp;S - Others'!$B$16+('R&amp;S - Others'!$B$17-'R&amp;S - Others'!$B$16)*('Yearly HC Propylene'!AG$3-'Yearly HC Propylene'!$X$3)/10)</f>
        <v>91191.554390268473</v>
      </c>
      <c r="AH33" s="547">
        <f>AH32*'R&amp;S - Others'!$B$7*'R&amp;S - Others'!$B$11*('R&amp;S - Others'!$B$16+('R&amp;S - Others'!$B$17-'R&amp;S - Others'!$B$16)*('Yearly HC Propylene'!AH$3-'Yearly HC Propylene'!$X$3)/10)</f>
        <v>88085.869204364382</v>
      </c>
    </row>
    <row r="34" spans="1:34" s="160" customFormat="1" outlineLevel="1">
      <c r="A34" s="158"/>
      <c r="B34" s="158" t="s">
        <v>172</v>
      </c>
      <c r="C34" s="156" t="s">
        <v>1420</v>
      </c>
      <c r="D34" s="547">
        <v>0</v>
      </c>
      <c r="E34" s="547">
        <f>E32*'R&amp;S - Others'!$B$8*'R&amp;S - Others'!$B$11*'R&amp;S - Others'!$C$15*('Yearly HC Propylene'!E$3-'Yearly HC Propylene'!$D$3)/10</f>
        <v>2566.1668451133455</v>
      </c>
      <c r="F34" s="547">
        <f>F32*'R&amp;S - Others'!$B$8*'R&amp;S - Others'!$B$11*'R&amp;S - Others'!$C$15*('Yearly HC Propylene'!F$3-'Yearly HC Propylene'!$D$3)/10</f>
        <v>5057.648346616038</v>
      </c>
      <c r="G34" s="547">
        <f>G32*'R&amp;S - Others'!$B$8*'R&amp;S - Others'!$B$11*'R&amp;S - Others'!$C$15*('Yearly HC Propylene'!G$3-'Yearly HC Propylene'!$D$3)/10</f>
        <v>7473.3460281057896</v>
      </c>
      <c r="H34" s="547">
        <f>H32*'R&amp;S - Others'!$B$8*'R&amp;S - Others'!$B$11*'R&amp;S - Others'!$C$15*('Yearly HC Propylene'!H$3-'Yearly HC Propylene'!$D$3)/10</f>
        <v>9812.1350450040918</v>
      </c>
      <c r="I34" s="547">
        <f>I32*'R&amp;S - Others'!$B$8*'R&amp;S - Others'!$B$11*'R&amp;S - Others'!$C$15*('Yearly HC Propylene'!I$3-'Yearly HC Propylene'!$D$3)/10</f>
        <v>12072.863598721346</v>
      </c>
      <c r="J34" s="547">
        <f>J32*'R&amp;S - Others'!$B$8*'R&amp;S - Others'!$B$11*'R&amp;S - Others'!$C$15*('Yearly HC Propylene'!J$3-'Yearly HC Propylene'!$D$3)/10</f>
        <v>14231.857651598326</v>
      </c>
      <c r="K34" s="547">
        <f>K32*'R&amp;S - Others'!$B$8*'R&amp;S - Others'!$B$11*'R&amp;S - Others'!$C$15*('Yearly HC Propylene'!K$3-'Yearly HC Propylene'!$D$3)/10</f>
        <v>16303.187495210508</v>
      </c>
      <c r="L34" s="547">
        <f>L32*'R&amp;S - Others'!$B$8*'R&amp;S - Others'!$B$11*'R&amp;S - Others'!$C$15*('Yearly HC Propylene'!L$3-'Yearly HC Propylene'!$D$3)/10</f>
        <v>18285.734826092179</v>
      </c>
      <c r="M34" s="547">
        <f>M32*'R&amp;S - Others'!$B$8*'R&amp;S - Others'!$B$11*'R&amp;S - Others'!$C$15*('Yearly HC Propylene'!M$3-'Yearly HC Propylene'!$D$3)/10</f>
        <v>20178.350653176851</v>
      </c>
      <c r="N34" s="547">
        <f>N32*'R&amp;S - Others'!$B$8*'R&amp;S - Others'!$B$11*'R&amp;S - Others'!$C$15*('Yearly HC Propylene'!N$3-'Yearly HC Propylene'!$D$3)/10</f>
        <v>21979.854663488357</v>
      </c>
      <c r="O34" s="547">
        <f>O32*'R&amp;S - Others'!$B$8*'R&amp;S - Others'!$B$11*('R&amp;S - Others'!$C$15+('R&amp;S - Others'!$C$16-'R&amp;S - Others'!$C$15)*('Yearly HC Propylene'!O$3-'Yearly HC Propylene'!$N$3)/10)</f>
        <v>23612.565484652794</v>
      </c>
      <c r="P34" s="547">
        <f>P32*'R&amp;S - Others'!$B$8*'R&amp;S - Others'!$B$11*('R&amp;S - Others'!$C$15+('R&amp;S - Others'!$C$16-'R&amp;S - Others'!$C$15)*('Yearly HC Propylene'!P$3-'Yearly HC Propylene'!$N$3)/10)</f>
        <v>25138.828291692749</v>
      </c>
      <c r="Q34" s="547">
        <f>Q32*'R&amp;S - Others'!$B$8*'R&amp;S - Others'!$B$11*('R&amp;S - Others'!$C$15+('R&amp;S - Others'!$C$16-'R&amp;S - Others'!$C$15)*('Yearly HC Propylene'!Q$3-'Yearly HC Propylene'!$N$3)/10)</f>
        <v>26557.61074151846</v>
      </c>
      <c r="R34" s="547">
        <f>R32*'R&amp;S - Others'!$B$8*'R&amp;S - Others'!$B$11*('R&amp;S - Others'!$C$15+('R&amp;S - Others'!$C$16-'R&amp;S - Others'!$C$15)*('Yearly HC Propylene'!R$3-'Yearly HC Propylene'!$N$3)/10)</f>
        <v>27867.843439413336</v>
      </c>
      <c r="S34" s="547">
        <f>S32*'R&amp;S - Others'!$B$8*'R&amp;S - Others'!$B$11*('R&amp;S - Others'!$C$15+('R&amp;S - Others'!$C$16-'R&amp;S - Others'!$C$15)*('Yearly HC Propylene'!S$3-'Yearly HC Propylene'!$N$3)/10)</f>
        <v>29068.419269740993</v>
      </c>
      <c r="T34" s="547">
        <f>T32*'R&amp;S - Others'!$B$8*'R&amp;S - Others'!$B$11*('R&amp;S - Others'!$C$15+('R&amp;S - Others'!$C$16-'R&amp;S - Others'!$C$15)*('Yearly HC Propylene'!T$3-'Yearly HC Propylene'!$N$3)/10)</f>
        <v>30060.898532195635</v>
      </c>
      <c r="U34" s="547">
        <f>U32*'R&amp;S - Others'!$B$8*'R&amp;S - Others'!$B$11*('R&amp;S - Others'!$C$15+('R&amp;S - Others'!$C$16-'R&amp;S - Others'!$C$15)*('Yearly HC Propylene'!U$3-'Yearly HC Propylene'!$N$3)/10)</f>
        <v>30930.700052567299</v>
      </c>
      <c r="V34" s="547">
        <f>V32*'R&amp;S - Others'!$B$8*'R&amp;S - Others'!$B$11*('R&amp;S - Others'!$C$15+('R&amp;S - Others'!$C$16-'R&amp;S - Others'!$C$15)*('Yearly HC Propylene'!V$3-'Yearly HC Propylene'!$N$3)/10)</f>
        <v>31676.8423397517</v>
      </c>
      <c r="W34" s="547">
        <f>W32*'R&amp;S - Others'!$B$8*'R&amp;S - Others'!$B$11*('R&amp;S - Others'!$C$15+('R&amp;S - Others'!$C$16-'R&amp;S - Others'!$C$15)*('Yearly HC Propylene'!W$3-'Yearly HC Propylene'!$N$3)/10)</f>
        <v>32298.299825298895</v>
      </c>
      <c r="X34" s="547">
        <f>X32*'R&amp;S - Others'!$B$8*'R&amp;S - Others'!$B$11*('R&amp;S - Others'!$C$15+('R&amp;S - Others'!$C$16-'R&amp;S - Others'!$C$15)*('Yearly HC Propylene'!X$3-'Yearly HC Propylene'!$N$3)/10)</f>
        <v>32794.002161540229</v>
      </c>
      <c r="Y34" s="547">
        <f>Y32*'R&amp;S - Others'!$B$8*'R&amp;S - Others'!$B$11*('R&amp;S - Others'!$C$16+('R&amp;S - Others'!$C$17-'R&amp;S - Others'!$C$16)*('Yearly HC Propylene'!Y$3-'Yearly HC Propylene'!$X$3)/10)</f>
        <v>33121.464189428523</v>
      </c>
      <c r="Z34" s="547">
        <f>Z32*'R&amp;S - Others'!$B$8*'R&amp;S - Others'!$B$11*('R&amp;S - Others'!$C$16+('R&amp;S - Others'!$C$17-'R&amp;S - Others'!$C$16)*('Yearly HC Propylene'!Z$3-'Yearly HC Propylene'!$X$3)/10)</f>
        <v>33309.945103113547</v>
      </c>
      <c r="AA34" s="547">
        <f>AA32*'R&amp;S - Others'!$B$8*'R&amp;S - Others'!$B$11*('R&amp;S - Others'!$C$16+('R&amp;S - Others'!$C$17-'R&amp;S - Others'!$C$16)*('Yearly HC Propylene'!AA$3-'Yearly HC Propylene'!$X$3)/10)</f>
        <v>33358.39504746181</v>
      </c>
      <c r="AB34" s="547">
        <f>AB32*'R&amp;S - Others'!$B$8*'R&amp;S - Others'!$B$11*('R&amp;S - Others'!$C$16+('R&amp;S - Others'!$C$17-'R&amp;S - Others'!$C$16)*('Yearly HC Propylene'!AB$3-'Yearly HC Propylene'!$X$3)/10)</f>
        <v>33265.711970457887</v>
      </c>
      <c r="AC34" s="547">
        <f>AC32*'R&amp;S - Others'!$B$8*'R&amp;S - Others'!$B$11*('R&amp;S - Others'!$C$16+('R&amp;S - Others'!$C$17-'R&amp;S - Others'!$C$16)*('Yearly HC Propylene'!AC$3-'Yearly HC Propylene'!$X$3)/10)</f>
        <v>33030.740855709177</v>
      </c>
      <c r="AD34" s="547">
        <f>AD32*'R&amp;S - Others'!$B$8*'R&amp;S - Others'!$B$11*('R&amp;S - Others'!$C$16+('R&amp;S - Others'!$C$17-'R&amp;S - Others'!$C$16)*('Yearly HC Propylene'!AD$3-'Yearly HC Propylene'!$X$3)/10)</f>
        <v>32595.900025692372</v>
      </c>
      <c r="AE34" s="547">
        <f>AE32*'R&amp;S - Others'!$B$8*'R&amp;S - Others'!$B$11*('R&amp;S - Others'!$C$16+('R&amp;S - Others'!$C$17-'R&amp;S - Others'!$C$16)*('Yearly HC Propylene'!AE$3-'Yearly HC Propylene'!$X$3)/10)</f>
        <v>32012.849735664891</v>
      </c>
      <c r="AF34" s="547">
        <f>AF32*'R&amp;S - Others'!$B$8*'R&amp;S - Others'!$B$11*('R&amp;S - Others'!$C$16+('R&amp;S - Others'!$C$17-'R&amp;S - Others'!$C$16)*('Yearly HC Propylene'!AF$3-'Yearly HC Propylene'!$X$3)/10)</f>
        <v>31280.370482557129</v>
      </c>
      <c r="AG34" s="547">
        <f>AG32*'R&amp;S - Others'!$B$8*'R&amp;S - Others'!$B$11*('R&amp;S - Others'!$C$16+('R&amp;S - Others'!$C$17-'R&amp;S - Others'!$C$16)*('Yearly HC Propylene'!AG$3-'Yearly HC Propylene'!$X$3)/10)</f>
        <v>30397.184796756163</v>
      </c>
      <c r="AH34" s="547">
        <f>AH32*'R&amp;S - Others'!$B$8*'R&amp;S - Others'!$B$11*('R&amp;S - Others'!$C$16+('R&amp;S - Others'!$C$17-'R&amp;S - Others'!$C$16)*('Yearly HC Propylene'!AH$3-'Yearly HC Propylene'!$X$3)/10)</f>
        <v>29361.956401454798</v>
      </c>
    </row>
    <row r="35" spans="1:34" s="160" customFormat="1">
      <c r="A35" s="158"/>
      <c r="B35" s="158" t="s">
        <v>200</v>
      </c>
      <c r="C35" s="159" t="s">
        <v>1420</v>
      </c>
      <c r="D35" s="568">
        <f>D32-D33-D34</f>
        <v>1577666.5665936389</v>
      </c>
      <c r="E35" s="568">
        <f t="shared" ref="E35:AG35" si="10">E32-E33-E34</f>
        <v>1544987.9660215743</v>
      </c>
      <c r="F35" s="568">
        <f t="shared" si="10"/>
        <v>1512390.1177093049</v>
      </c>
      <c r="G35" s="568">
        <f t="shared" si="10"/>
        <v>1479873.4902523826</v>
      </c>
      <c r="H35" s="568">
        <f t="shared" si="10"/>
        <v>1447438.5878509067</v>
      </c>
      <c r="I35" s="568">
        <f t="shared" si="10"/>
        <v>1415085.9515107323</v>
      </c>
      <c r="J35" s="568">
        <f t="shared" si="10"/>
        <v>1380633.9483429324</v>
      </c>
      <c r="K35" s="568">
        <f t="shared" si="10"/>
        <v>1346318.6348858685</v>
      </c>
      <c r="L35" s="568">
        <f t="shared" si="10"/>
        <v>1312140.0020662509</v>
      </c>
      <c r="M35" s="568">
        <f t="shared" si="10"/>
        <v>1278098.0891837135</v>
      </c>
      <c r="N35" s="568">
        <f t="shared" si="10"/>
        <v>1244192.9851938256</v>
      </c>
      <c r="O35" s="568">
        <f t="shared" si="10"/>
        <v>1206517.5333590636</v>
      </c>
      <c r="P35" s="568">
        <f t="shared" si="10"/>
        <v>1169082.4793429635</v>
      </c>
      <c r="Q35" s="568">
        <f t="shared" si="10"/>
        <v>1131886.6079205675</v>
      </c>
      <c r="R35" s="568">
        <f t="shared" si="10"/>
        <v>1094928.775134699</v>
      </c>
      <c r="S35" s="568">
        <f t="shared" si="10"/>
        <v>1058207.9095772377</v>
      </c>
      <c r="T35" s="568">
        <f t="shared" si="10"/>
        <v>1018426.8048180217</v>
      </c>
      <c r="U35" s="568">
        <f t="shared" si="10"/>
        <v>978975.95389195159</v>
      </c>
      <c r="V35" s="568">
        <f t="shared" si="10"/>
        <v>939852.9787807808</v>
      </c>
      <c r="W35" s="568">
        <f t="shared" si="10"/>
        <v>901055.59895395243</v>
      </c>
      <c r="X35" s="568">
        <f t="shared" si="10"/>
        <v>862581.63261263387</v>
      </c>
      <c r="Y35" s="568">
        <f t="shared" si="10"/>
        <v>822023.19769267552</v>
      </c>
      <c r="Z35" s="568">
        <f t="shared" si="10"/>
        <v>781868.60154121462</v>
      </c>
      <c r="AA35" s="568">
        <f t="shared" si="10"/>
        <v>742114.84625271976</v>
      </c>
      <c r="AB35" s="568">
        <f t="shared" si="10"/>
        <v>702759.06092364294</v>
      </c>
      <c r="AC35" s="568">
        <f t="shared" si="10"/>
        <v>663798.50297979382</v>
      </c>
      <c r="AD35" s="568">
        <f t="shared" si="10"/>
        <v>624151.12271418341</v>
      </c>
      <c r="AE35" s="568">
        <f t="shared" si="10"/>
        <v>584929.6642124604</v>
      </c>
      <c r="AF35" s="568">
        <f t="shared" si="10"/>
        <v>546131.10353237088</v>
      </c>
      <c r="AG35" s="568">
        <f t="shared" si="10"/>
        <v>507752.56095285446</v>
      </c>
      <c r="AH35" s="568">
        <f>AH32-AH33-AH34</f>
        <v>469791.30242327676</v>
      </c>
    </row>
    <row r="36" spans="1:34" s="61" customFormat="1" outlineLevel="1">
      <c r="B36" s="54" t="s">
        <v>198</v>
      </c>
      <c r="C36" s="55" t="s">
        <v>1420</v>
      </c>
      <c r="D36" s="571">
        <v>0</v>
      </c>
      <c r="E36" s="571">
        <v>0</v>
      </c>
      <c r="F36" s="571">
        <v>0</v>
      </c>
      <c r="G36" s="571">
        <v>0</v>
      </c>
      <c r="H36" s="571">
        <v>0</v>
      </c>
      <c r="I36" s="571">
        <v>0</v>
      </c>
      <c r="J36" s="571">
        <v>0</v>
      </c>
      <c r="K36" s="571">
        <v>0</v>
      </c>
      <c r="L36" s="571">
        <v>0</v>
      </c>
      <c r="M36" s="571">
        <v>0</v>
      </c>
      <c r="N36" s="571">
        <v>0</v>
      </c>
      <c r="O36" s="571">
        <v>0</v>
      </c>
      <c r="P36" s="571">
        <v>0</v>
      </c>
      <c r="Q36" s="571">
        <v>0</v>
      </c>
      <c r="R36" s="571">
        <v>0</v>
      </c>
      <c r="S36" s="571">
        <v>0</v>
      </c>
      <c r="T36" s="571">
        <v>0</v>
      </c>
      <c r="U36" s="571">
        <v>0</v>
      </c>
      <c r="V36" s="571">
        <v>0</v>
      </c>
      <c r="W36" s="571">
        <v>0</v>
      </c>
      <c r="X36" s="571">
        <v>0</v>
      </c>
      <c r="Y36" s="571">
        <v>0</v>
      </c>
      <c r="Z36" s="571">
        <v>0</v>
      </c>
      <c r="AA36" s="571">
        <v>0</v>
      </c>
      <c r="AB36" s="571">
        <v>0</v>
      </c>
      <c r="AC36" s="571">
        <v>0</v>
      </c>
      <c r="AD36" s="571">
        <v>0</v>
      </c>
      <c r="AE36" s="571">
        <v>0</v>
      </c>
      <c r="AF36" s="571">
        <v>0</v>
      </c>
      <c r="AG36" s="571">
        <v>0</v>
      </c>
      <c r="AH36" s="571">
        <v>0</v>
      </c>
    </row>
    <row r="37" spans="1:34" outlineLevel="1">
      <c r="B37" s="1" t="s">
        <v>199</v>
      </c>
      <c r="C37" s="50" t="s">
        <v>1420</v>
      </c>
      <c r="D37" s="183">
        <v>0</v>
      </c>
      <c r="E37" s="183">
        <v>0</v>
      </c>
      <c r="F37" s="183">
        <v>0</v>
      </c>
      <c r="G37" s="183">
        <v>0</v>
      </c>
      <c r="H37" s="183">
        <v>0</v>
      </c>
      <c r="I37" s="183">
        <v>0</v>
      </c>
      <c r="J37" s="183">
        <v>0</v>
      </c>
      <c r="K37" s="183">
        <v>0</v>
      </c>
      <c r="L37" s="183">
        <v>0</v>
      </c>
      <c r="M37" s="183">
        <v>0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0</v>
      </c>
      <c r="V37" s="183">
        <v>0</v>
      </c>
      <c r="W37" s="183">
        <v>0</v>
      </c>
      <c r="X37" s="183">
        <v>0</v>
      </c>
      <c r="Y37" s="183">
        <v>0</v>
      </c>
      <c r="Z37" s="183">
        <v>0</v>
      </c>
      <c r="AA37" s="183">
        <v>0</v>
      </c>
      <c r="AB37" s="183">
        <v>0</v>
      </c>
      <c r="AC37" s="183">
        <v>0</v>
      </c>
      <c r="AD37" s="183">
        <v>0</v>
      </c>
      <c r="AE37" s="183">
        <v>0</v>
      </c>
      <c r="AF37" s="183">
        <v>0</v>
      </c>
      <c r="AG37" s="183">
        <v>0</v>
      </c>
      <c r="AH37" s="183">
        <v>0</v>
      </c>
    </row>
    <row r="38" spans="1:34" s="62" customFormat="1">
      <c r="A38" s="58" t="s">
        <v>197</v>
      </c>
      <c r="B38" s="58" t="s">
        <v>230</v>
      </c>
      <c r="C38" s="59" t="s">
        <v>1420</v>
      </c>
      <c r="D38" s="577">
        <f>D36+D37</f>
        <v>0</v>
      </c>
      <c r="E38" s="577">
        <f t="shared" ref="E38:AH38" si="11">E36+E37</f>
        <v>0</v>
      </c>
      <c r="F38" s="577">
        <f t="shared" si="11"/>
        <v>0</v>
      </c>
      <c r="G38" s="577">
        <f t="shared" si="11"/>
        <v>0</v>
      </c>
      <c r="H38" s="577">
        <f t="shared" si="11"/>
        <v>0</v>
      </c>
      <c r="I38" s="577">
        <f t="shared" si="11"/>
        <v>0</v>
      </c>
      <c r="J38" s="577">
        <f t="shared" si="11"/>
        <v>0</v>
      </c>
      <c r="K38" s="577">
        <f t="shared" si="11"/>
        <v>0</v>
      </c>
      <c r="L38" s="577">
        <f t="shared" si="11"/>
        <v>0</v>
      </c>
      <c r="M38" s="577">
        <f t="shared" si="11"/>
        <v>0</v>
      </c>
      <c r="N38" s="577">
        <f t="shared" si="11"/>
        <v>0</v>
      </c>
      <c r="O38" s="577">
        <f t="shared" si="11"/>
        <v>0</v>
      </c>
      <c r="P38" s="577">
        <f t="shared" si="11"/>
        <v>0</v>
      </c>
      <c r="Q38" s="577">
        <f t="shared" si="11"/>
        <v>0</v>
      </c>
      <c r="R38" s="577">
        <f t="shared" si="11"/>
        <v>0</v>
      </c>
      <c r="S38" s="577">
        <f t="shared" si="11"/>
        <v>0</v>
      </c>
      <c r="T38" s="577">
        <f t="shared" si="11"/>
        <v>0</v>
      </c>
      <c r="U38" s="577">
        <f t="shared" si="11"/>
        <v>0</v>
      </c>
      <c r="V38" s="577">
        <f t="shared" si="11"/>
        <v>0</v>
      </c>
      <c r="W38" s="577">
        <f t="shared" si="11"/>
        <v>0</v>
      </c>
      <c r="X38" s="577">
        <f t="shared" si="11"/>
        <v>0</v>
      </c>
      <c r="Y38" s="577">
        <f t="shared" si="11"/>
        <v>0</v>
      </c>
      <c r="Z38" s="577">
        <f t="shared" si="11"/>
        <v>0</v>
      </c>
      <c r="AA38" s="577">
        <f t="shared" si="11"/>
        <v>0</v>
      </c>
      <c r="AB38" s="577">
        <f t="shared" si="11"/>
        <v>0</v>
      </c>
      <c r="AC38" s="577">
        <f t="shared" si="11"/>
        <v>0</v>
      </c>
      <c r="AD38" s="577">
        <f t="shared" si="11"/>
        <v>0</v>
      </c>
      <c r="AE38" s="577">
        <f t="shared" si="11"/>
        <v>0</v>
      </c>
      <c r="AF38" s="577">
        <f t="shared" si="11"/>
        <v>0</v>
      </c>
      <c r="AG38" s="577">
        <f t="shared" si="11"/>
        <v>0</v>
      </c>
      <c r="AH38" s="577">
        <f t="shared" si="11"/>
        <v>0</v>
      </c>
    </row>
    <row r="39" spans="1:34">
      <c r="A39" s="1" t="s">
        <v>78</v>
      </c>
      <c r="B39" s="1" t="s">
        <v>169</v>
      </c>
      <c r="C39" s="50" t="s">
        <v>1420</v>
      </c>
      <c r="D39" s="574">
        <f>D11+D17+D23+D29+D33</f>
        <v>0</v>
      </c>
      <c r="E39" s="574">
        <f t="shared" ref="E39:AH39" si="12">E11+E17+E23+E29+E33</f>
        <v>26202.24047264145</v>
      </c>
      <c r="F39" s="574">
        <f t="shared" si="12"/>
        <v>52144.115879963058</v>
      </c>
      <c r="G39" s="574">
        <f t="shared" si="12"/>
        <v>77828.521158877324</v>
      </c>
      <c r="H39" s="574">
        <f t="shared" si="12"/>
        <v>103258.34770943712</v>
      </c>
      <c r="I39" s="574">
        <f t="shared" si="12"/>
        <v>128436.4837876661</v>
      </c>
      <c r="J39" s="574">
        <f t="shared" si="12"/>
        <v>153298.33083864616</v>
      </c>
      <c r="K39" s="574">
        <f t="shared" si="12"/>
        <v>177892.60542837461</v>
      </c>
      <c r="L39" s="574">
        <f t="shared" si="12"/>
        <v>202222.54273732897</v>
      </c>
      <c r="M39" s="574">
        <f t="shared" si="12"/>
        <v>226291.37258940871</v>
      </c>
      <c r="N39" s="574">
        <f t="shared" si="12"/>
        <v>250102.31989665172</v>
      </c>
      <c r="O39" s="574">
        <f t="shared" si="12"/>
        <v>287923.26580105582</v>
      </c>
      <c r="P39" s="574">
        <f t="shared" si="12"/>
        <v>325787.78826156538</v>
      </c>
      <c r="Q39" s="574">
        <f t="shared" si="12"/>
        <v>363708.97930948011</v>
      </c>
      <c r="R39" s="574">
        <f t="shared" si="12"/>
        <v>401700.03858637752</v>
      </c>
      <c r="S39" s="574">
        <f t="shared" si="12"/>
        <v>439774.27424501698</v>
      </c>
      <c r="T39" s="574">
        <f t="shared" si="12"/>
        <v>477653.22125274775</v>
      </c>
      <c r="U39" s="574">
        <f t="shared" si="12"/>
        <v>515610.21760238521</v>
      </c>
      <c r="V39" s="574">
        <f t="shared" si="12"/>
        <v>553659.63064372086</v>
      </c>
      <c r="W39" s="574">
        <f t="shared" si="12"/>
        <v>591815.9286424364</v>
      </c>
      <c r="X39" s="574">
        <f t="shared" si="12"/>
        <v>630093.68149235332</v>
      </c>
      <c r="Y39" s="574">
        <f t="shared" si="12"/>
        <v>682710.75248449284</v>
      </c>
      <c r="Z39" s="574">
        <f t="shared" si="12"/>
        <v>735637.92624478473</v>
      </c>
      <c r="AA39" s="574">
        <f t="shared" si="12"/>
        <v>788879.48254098557</v>
      </c>
      <c r="AB39" s="574">
        <f t="shared" si="12"/>
        <v>842439.15616882755</v>
      </c>
      <c r="AC39" s="574">
        <f t="shared" si="12"/>
        <v>896320.11370540829</v>
      </c>
      <c r="AD39" s="574">
        <f t="shared" si="12"/>
        <v>950355.81072193512</v>
      </c>
      <c r="AE39" s="574">
        <f t="shared" si="12"/>
        <v>1004706.9750932766</v>
      </c>
      <c r="AF39" s="574">
        <f t="shared" si="12"/>
        <v>1059375.2186543518</v>
      </c>
      <c r="AG39" s="574">
        <f t="shared" si="12"/>
        <v>1114361.4784835551</v>
      </c>
      <c r="AH39" s="574">
        <f t="shared" si="12"/>
        <v>1169665.9894430807</v>
      </c>
    </row>
    <row r="40" spans="1:34">
      <c r="B40" s="1" t="s">
        <v>172</v>
      </c>
      <c r="C40" s="50" t="s">
        <v>1420</v>
      </c>
      <c r="D40" s="574">
        <f>D12+D24+D30+D20+D34</f>
        <v>0</v>
      </c>
      <c r="E40" s="574">
        <f t="shared" ref="E40:AH40" si="13">E12+E24+E30+E20+E34</f>
        <v>8086.0184281716165</v>
      </c>
      <c r="F40" s="574">
        <f t="shared" si="13"/>
        <v>16020.426178079502</v>
      </c>
      <c r="G40" s="574">
        <f t="shared" si="13"/>
        <v>23802.928804057854</v>
      </c>
      <c r="H40" s="574">
        <f t="shared" si="13"/>
        <v>31433.198022216766</v>
      </c>
      <c r="I40" s="574">
        <f t="shared" si="13"/>
        <v>38910.871189672049</v>
      </c>
      <c r="J40" s="574">
        <f t="shared" si="13"/>
        <v>46213.05608400733</v>
      </c>
      <c r="K40" s="574">
        <f t="shared" si="13"/>
        <v>53354.597535559413</v>
      </c>
      <c r="L40" s="574">
        <f t="shared" si="13"/>
        <v>60335.144566588184</v>
      </c>
      <c r="M40" s="574">
        <f t="shared" si="13"/>
        <v>67154.308361631876</v>
      </c>
      <c r="N40" s="574">
        <f t="shared" si="13"/>
        <v>73811.661695586503</v>
      </c>
      <c r="O40" s="574">
        <f t="shared" si="13"/>
        <v>80230.269258083863</v>
      </c>
      <c r="P40" s="574">
        <f t="shared" si="13"/>
        <v>84595.092199526582</v>
      </c>
      <c r="Q40" s="574">
        <f t="shared" si="13"/>
        <v>90149.80117069729</v>
      </c>
      <c r="R40" s="574">
        <f t="shared" si="13"/>
        <v>95535.434773511821</v>
      </c>
      <c r="S40" s="574">
        <f t="shared" si="13"/>
        <v>100751.52856950773</v>
      </c>
      <c r="T40" s="574">
        <f t="shared" si="13"/>
        <v>105700.27951787852</v>
      </c>
      <c r="U40" s="574">
        <f t="shared" si="13"/>
        <v>110467.73713889736</v>
      </c>
      <c r="V40" s="574">
        <f t="shared" si="13"/>
        <v>115053.54472314386</v>
      </c>
      <c r="W40" s="574">
        <f t="shared" si="13"/>
        <v>119457.29562283155</v>
      </c>
      <c r="X40" s="574">
        <f t="shared" si="13"/>
        <v>123678.53260127921</v>
      </c>
      <c r="Y40" s="574">
        <f t="shared" si="13"/>
        <v>123971.60224936667</v>
      </c>
      <c r="Z40" s="574">
        <f t="shared" si="13"/>
        <v>125988.1476279459</v>
      </c>
      <c r="AA40" s="574">
        <f t="shared" si="13"/>
        <v>127834.7747773497</v>
      </c>
      <c r="AB40" s="574">
        <f t="shared" si="13"/>
        <v>129510.70939847978</v>
      </c>
      <c r="AC40" s="574">
        <f t="shared" si="13"/>
        <v>131015.12111139816</v>
      </c>
      <c r="AD40" s="574">
        <f t="shared" si="13"/>
        <v>132290.74978609133</v>
      </c>
      <c r="AE40" s="574">
        <f t="shared" si="13"/>
        <v>133389.5741636671</v>
      </c>
      <c r="AF40" s="574">
        <f t="shared" si="13"/>
        <v>134310.69019230231</v>
      </c>
      <c r="AG40" s="574">
        <f t="shared" si="13"/>
        <v>135053.13284585331</v>
      </c>
      <c r="AH40" s="574">
        <f t="shared" si="13"/>
        <v>135615.87530980544</v>
      </c>
    </row>
    <row r="41" spans="1:34">
      <c r="B41" s="1" t="s">
        <v>249</v>
      </c>
      <c r="C41" s="50" t="s">
        <v>1420</v>
      </c>
      <c r="D41" s="574">
        <f>D38+D7</f>
        <v>0</v>
      </c>
      <c r="E41" s="574">
        <f t="shared" ref="E41:AH41" si="14">E38+E7</f>
        <v>1660.7122883330044</v>
      </c>
      <c r="F41" s="574">
        <f t="shared" si="14"/>
        <v>3377.8887944693302</v>
      </c>
      <c r="G41" s="574">
        <f t="shared" si="14"/>
        <v>5152.9693559629632</v>
      </c>
      <c r="H41" s="574">
        <f t="shared" si="14"/>
        <v>6987.4264466857776</v>
      </c>
      <c r="I41" s="574">
        <f t="shared" si="14"/>
        <v>8882.7658703492943</v>
      </c>
      <c r="J41" s="574">
        <f t="shared" si="14"/>
        <v>10840.527468174278</v>
      </c>
      <c r="K41" s="574">
        <f t="shared" si="14"/>
        <v>12862.285840988778</v>
      </c>
      <c r="L41" s="574">
        <f t="shared" si="14"/>
        <v>14949.651086040672</v>
      </c>
      <c r="M41" s="574">
        <f t="shared" si="14"/>
        <v>17104.269548816283</v>
      </c>
      <c r="N41" s="574">
        <f t="shared" si="14"/>
        <v>19327.824590162396</v>
      </c>
      <c r="O41" s="574">
        <f t="shared" si="14"/>
        <v>24570.49701024394</v>
      </c>
      <c r="P41" s="574">
        <f t="shared" si="14"/>
        <v>29985.834551301701</v>
      </c>
      <c r="Q41" s="574">
        <f t="shared" si="14"/>
        <v>35578.192695119462</v>
      </c>
      <c r="R41" s="574">
        <f t="shared" si="14"/>
        <v>41352.02510964172</v>
      </c>
      <c r="S41" s="574">
        <f t="shared" si="14"/>
        <v>47311.885728568814</v>
      </c>
      <c r="T41" s="574">
        <f t="shared" si="14"/>
        <v>53462.430873282749</v>
      </c>
      <c r="U41" s="574">
        <f t="shared" si="14"/>
        <v>59808.421417941419</v>
      </c>
      <c r="V41" s="574">
        <f t="shared" si="14"/>
        <v>66354.724998596081</v>
      </c>
      <c r="W41" s="574">
        <f t="shared" si="14"/>
        <v>73106.318267203213</v>
      </c>
      <c r="X41" s="574">
        <f t="shared" si="14"/>
        <v>80068.289191418415</v>
      </c>
      <c r="Y41" s="574">
        <f t="shared" si="14"/>
        <v>84919.283683715636</v>
      </c>
      <c r="Z41" s="574">
        <f t="shared" si="14"/>
        <v>89912.072253174658</v>
      </c>
      <c r="AA41" s="574">
        <f t="shared" si="14"/>
        <v>95050.073961010639</v>
      </c>
      <c r="AB41" s="574">
        <f t="shared" si="14"/>
        <v>100336.78313803191</v>
      </c>
      <c r="AC41" s="574">
        <f t="shared" si="14"/>
        <v>105775.77095569718</v>
      </c>
      <c r="AD41" s="574">
        <f t="shared" si="14"/>
        <v>111370.68702883617</v>
      </c>
      <c r="AE41" s="574">
        <f t="shared" si="14"/>
        <v>117125.26105065568</v>
      </c>
      <c r="AF41" s="574">
        <f t="shared" si="14"/>
        <v>123043.30446066572</v>
      </c>
      <c r="AG41" s="574">
        <f t="shared" si="14"/>
        <v>129128.71214617246</v>
      </c>
      <c r="AH41" s="574">
        <f t="shared" si="14"/>
        <v>135385.46417799729</v>
      </c>
    </row>
    <row r="42" spans="1:34" s="63" customFormat="1">
      <c r="A42" s="63" t="s">
        <v>252</v>
      </c>
      <c r="C42" s="64" t="s">
        <v>1420</v>
      </c>
      <c r="D42" s="589">
        <f>D4+D41-D39-D40</f>
        <v>4343145.1257582027</v>
      </c>
      <c r="E42" s="589">
        <f t="shared" ref="E42:AG42" si="15">E4+E41-E39-E40</f>
        <v>4288402.9687726479</v>
      </c>
      <c r="F42" s="589">
        <f t="shared" si="15"/>
        <v>4234241.8558585895</v>
      </c>
      <c r="G42" s="589">
        <f t="shared" si="15"/>
        <v>4180660.0529999519</v>
      </c>
      <c r="H42" s="589">
        <f t="shared" si="15"/>
        <v>4127655.8991115382</v>
      </c>
      <c r="I42" s="589">
        <f t="shared" si="15"/>
        <v>4075227.806845617</v>
      </c>
      <c r="J42" s="589">
        <f t="shared" si="15"/>
        <v>4021192.0514934668</v>
      </c>
      <c r="K42" s="589">
        <f t="shared" si="15"/>
        <v>3967782.6339060771</v>
      </c>
      <c r="L42" s="589">
        <f t="shared" si="15"/>
        <v>3914997.5250502452</v>
      </c>
      <c r="M42" s="589">
        <f t="shared" si="15"/>
        <v>3862834.7795844423</v>
      </c>
      <c r="N42" s="589">
        <f t="shared" si="15"/>
        <v>3811292.5367292273</v>
      </c>
      <c r="O42" s="589">
        <f t="shared" si="15"/>
        <v>3744916.1161779887</v>
      </c>
      <c r="P42" s="589">
        <f t="shared" si="15"/>
        <v>3680904.7022619955</v>
      </c>
      <c r="Q42" s="589">
        <f t="shared" si="15"/>
        <v>3616004.6761976299</v>
      </c>
      <c r="R42" s="589">
        <f t="shared" si="15"/>
        <v>3551565.049885687</v>
      </c>
      <c r="S42" s="589">
        <f t="shared" si="15"/>
        <v>3487576.3380279592</v>
      </c>
      <c r="T42" s="589">
        <f t="shared" si="15"/>
        <v>3420732.8918474456</v>
      </c>
      <c r="U42" s="589">
        <f t="shared" si="15"/>
        <v>3354416.7341990522</v>
      </c>
      <c r="V42" s="589">
        <f t="shared" si="15"/>
        <v>3288616.9897618885</v>
      </c>
      <c r="W42" s="589">
        <f t="shared" si="15"/>
        <v>3223322.8543808809</v>
      </c>
      <c r="X42" s="589">
        <f t="shared" si="15"/>
        <v>3158523.5972053669</v>
      </c>
      <c r="Y42" s="589">
        <f t="shared" si="15"/>
        <v>3078852.6834965679</v>
      </c>
      <c r="Z42" s="589">
        <f t="shared" si="15"/>
        <v>2997550.748549724</v>
      </c>
      <c r="AA42" s="589">
        <f t="shared" si="15"/>
        <v>2916508.1746013281</v>
      </c>
      <c r="AB42" s="589">
        <f t="shared" si="15"/>
        <v>2835723.362212501</v>
      </c>
      <c r="AC42" s="589">
        <f t="shared" si="15"/>
        <v>2755195.4306817036</v>
      </c>
      <c r="AD42" s="589">
        <f t="shared" si="15"/>
        <v>2673844.8074788209</v>
      </c>
      <c r="AE42" s="589">
        <f t="shared" si="15"/>
        <v>2592787.3549028179</v>
      </c>
      <c r="AF42" s="589">
        <f t="shared" si="15"/>
        <v>2512023.83485342</v>
      </c>
      <c r="AG42" s="589">
        <f t="shared" si="15"/>
        <v>2431555.8485570969</v>
      </c>
      <c r="AH42" s="589">
        <f>AH4+AH41-AH39-AH40</f>
        <v>2351385.866403155</v>
      </c>
    </row>
    <row r="43" spans="1:34" s="61" customFormat="1">
      <c r="A43" s="54" t="s">
        <v>386</v>
      </c>
      <c r="B43" s="54" t="s">
        <v>200</v>
      </c>
      <c r="C43" s="93" t="s">
        <v>1420</v>
      </c>
      <c r="D43" s="572">
        <f t="shared" ref="D43" si="16">D21</f>
        <v>1598212.8065688689</v>
      </c>
      <c r="E43" s="572">
        <f t="shared" ref="E43:AH43" si="17">E21</f>
        <v>1573862.3630758272</v>
      </c>
      <c r="F43" s="572">
        <f t="shared" si="17"/>
        <v>1549773.670933573</v>
      </c>
      <c r="G43" s="572">
        <f t="shared" si="17"/>
        <v>1525944.2646515558</v>
      </c>
      <c r="H43" s="572">
        <f t="shared" si="17"/>
        <v>1502371.7003895617</v>
      </c>
      <c r="I43" s="572">
        <f t="shared" si="17"/>
        <v>1479053.5557756999</v>
      </c>
      <c r="J43" s="572">
        <f t="shared" si="17"/>
        <v>1455987.4297258756</v>
      </c>
      <c r="K43" s="572">
        <f t="shared" si="17"/>
        <v>1433170.9422647371</v>
      </c>
      <c r="L43" s="572">
        <f t="shared" si="17"/>
        <v>1410601.7343480824</v>
      </c>
      <c r="M43" s="572">
        <f t="shared" si="17"/>
        <v>1388277.4676867183</v>
      </c>
      <c r="N43" s="572">
        <f t="shared" si="17"/>
        <v>1366195.8245717555</v>
      </c>
      <c r="O43" s="572">
        <f t="shared" si="17"/>
        <v>1340577.8236083384</v>
      </c>
      <c r="P43" s="572">
        <f t="shared" si="17"/>
        <v>1317128.6272816984</v>
      </c>
      <c r="Q43" s="572">
        <f t="shared" si="17"/>
        <v>1292601.4576717133</v>
      </c>
      <c r="R43" s="572">
        <f t="shared" si="17"/>
        <v>1268352.1500187961</v>
      </c>
      <c r="S43" s="572">
        <f t="shared" si="17"/>
        <v>1244378.0228937343</v>
      </c>
      <c r="T43" s="572">
        <f t="shared" si="17"/>
        <v>1220676.4187447662</v>
      </c>
      <c r="U43" s="572">
        <f t="shared" si="17"/>
        <v>1197244.703695016</v>
      </c>
      <c r="V43" s="572">
        <f t="shared" si="17"/>
        <v>1174080.267341593</v>
      </c>
      <c r="W43" s="572">
        <f t="shared" si="17"/>
        <v>1151180.5225563399</v>
      </c>
      <c r="X43" s="572">
        <f t="shared" si="17"/>
        <v>1128542.9052882167</v>
      </c>
      <c r="Y43" s="572">
        <f t="shared" si="17"/>
        <v>1113108.7636485209</v>
      </c>
      <c r="Z43" s="572">
        <f t="shared" si="17"/>
        <v>1095968.5286272848</v>
      </c>
      <c r="AA43" s="572">
        <f t="shared" si="17"/>
        <v>1079013.1162859132</v>
      </c>
      <c r="AB43" s="572">
        <f t="shared" si="17"/>
        <v>1062240.7831376905</v>
      </c>
      <c r="AC43" s="572">
        <f t="shared" si="17"/>
        <v>1045649.8010194891</v>
      </c>
      <c r="AD43" s="572">
        <f t="shared" si="17"/>
        <v>1029238.4569628697</v>
      </c>
      <c r="AE43" s="572">
        <f t="shared" si="17"/>
        <v>1013005.0530662367</v>
      </c>
      <c r="AF43" s="572">
        <f t="shared" si="17"/>
        <v>996947.90636803419</v>
      </c>
      <c r="AG43" s="572">
        <f t="shared" si="17"/>
        <v>981065.34872098151</v>
      </c>
      <c r="AH43" s="572">
        <f t="shared" si="17"/>
        <v>965355.726667332</v>
      </c>
    </row>
    <row r="44" spans="1:34" outlineLevel="1">
      <c r="A44"/>
      <c r="B44" t="s">
        <v>266</v>
      </c>
      <c r="C44" s="50" t="s">
        <v>1420</v>
      </c>
      <c r="D44" s="183">
        <f>0</f>
        <v>0</v>
      </c>
      <c r="E44" s="183">
        <f>'Propylene Recycling HC'!D60*'Propylene Recycling HC'!D42-'Propylene Recycling HC'!$C$60*'Propylene Recycling HC'!$C$42</f>
        <v>3986.7861659109622</v>
      </c>
      <c r="F44" s="183">
        <f>'Propylene Recycling HC'!E60*'Propylene Recycling HC'!E42-'Propylene Recycling HC'!$C$60*'Propylene Recycling HC'!$C$42</f>
        <v>8246.670191287154</v>
      </c>
      <c r="G44" s="183">
        <f>'Propylene Recycling HC'!F60*'Propylene Recycling HC'!F42-'Propylene Recycling HC'!$C$60*'Propylene Recycling HC'!$C$42</f>
        <v>12768.622510499725</v>
      </c>
      <c r="H44" s="183">
        <f>'Propylene Recycling HC'!G60*'Propylene Recycling HC'!G42-'Propylene Recycling HC'!$C$60*'Propylene Recycling HC'!$C$42</f>
        <v>17541.702794725014</v>
      </c>
      <c r="I44" s="183">
        <f>'Propylene Recycling HC'!H60*'Propylene Recycling HC'!H42-'Propylene Recycling HC'!$C$60*'Propylene Recycling HC'!$C$42</f>
        <v>22555.059474617901</v>
      </c>
      <c r="J44" s="183">
        <f>'Propylene Recycling HC'!I60*'Propylene Recycling HC'!I42-'Propylene Recycling HC'!$C$60*'Propylene Recycling HC'!$C$42</f>
        <v>27797.929265058785</v>
      </c>
      <c r="K44" s="183">
        <f>'Propylene Recycling HC'!J60*'Propylene Recycling HC'!J42-'Propylene Recycling HC'!$C$60*'Propylene Recycling HC'!$C$42</f>
        <v>33259.636691966589</v>
      </c>
      <c r="L44" s="183">
        <f>'Propylene Recycling HC'!K60*'Propylene Recycling HC'!K42-'Propylene Recycling HC'!$C$60*'Propylene Recycling HC'!$C$42</f>
        <v>38929.593621169595</v>
      </c>
      <c r="M44" s="183">
        <f>'Propylene Recycling HC'!L60*'Propylene Recycling HC'!L42-'Propylene Recycling HC'!$C$60*'Propylene Recycling HC'!$C$42</f>
        <v>44797.298789326334</v>
      </c>
      <c r="N44" s="183">
        <f>'Propylene Recycling HC'!M60*'Propylene Recycling HC'!M42-'Propylene Recycling HC'!$C$60*'Propylene Recycling HC'!$C$42</f>
        <v>50852.337336888813</v>
      </c>
      <c r="O44" s="183">
        <f>'Propylene Recycling HC'!N60*'Propylene Recycling HC'!N42-'Propylene Recycling HC'!$C$60*'Propylene Recycling HC'!$C$42</f>
        <v>58038.567114513586</v>
      </c>
      <c r="P44" s="183">
        <f>'Propylene Recycling HC'!O60*'Propylene Recycling HC'!O42-'Propylene Recycling HC'!$C$60*'Propylene Recycling HC'!$C$42</f>
        <v>65555.462157520582</v>
      </c>
      <c r="Q44" s="183">
        <f>'Propylene Recycling HC'!P60*'Propylene Recycling HC'!P42-'Propylene Recycling HC'!$C$60*'Propylene Recycling HC'!$C$42</f>
        <v>73186.868332734608</v>
      </c>
      <c r="R44" s="183">
        <f>'Propylene Recycling HC'!Q60*'Propylene Recycling HC'!Q42-'Propylene Recycling HC'!$C$60*'Propylene Recycling HC'!$C$42</f>
        <v>80997.392811340091</v>
      </c>
      <c r="S44" s="183">
        <f>'Propylene Recycling HC'!R60*'Propylene Recycling HC'!R42-'Propylene Recycling HC'!$C$60*'Propylene Recycling HC'!$C$42</f>
        <v>88970.520085550161</v>
      </c>
      <c r="T44" s="183">
        <f>'Propylene Recycling HC'!S60*'Propylene Recycling HC'!S42-'Propylene Recycling HC'!$C$60*'Propylene Recycling HC'!$C$42</f>
        <v>97089.874916488538</v>
      </c>
      <c r="U44" s="183">
        <f>'Propylene Recycling HC'!T60*'Propylene Recycling HC'!T42-'Propylene Recycling HC'!$C$60*'Propylene Recycling HC'!$C$42</f>
        <v>105339.22157060289</v>
      </c>
      <c r="V44" s="183">
        <f>'Propylene Recycling HC'!U60*'Propylene Recycling HC'!U42-'Propylene Recycling HC'!$C$60*'Propylene Recycling HC'!$C$42</f>
        <v>113702.46305942502</v>
      </c>
      <c r="W44" s="183">
        <f>'Propylene Recycling HC'!V60*'Propylene Recycling HC'!V42-'Propylene Recycling HC'!$C$60*'Propylene Recycling HC'!$C$42</f>
        <v>122163.64038266677</v>
      </c>
      <c r="X44" s="183">
        <f>'Propylene Recycling HC'!W60*'Propylene Recycling HC'!W42-'Propylene Recycling HC'!$C$60*'Propylene Recycling HC'!$C$42</f>
        <v>130706.93177463666</v>
      </c>
      <c r="Y44" s="183">
        <f>'Propylene Recycling HC'!X60*'Propylene Recycling HC'!X42-'Propylene Recycling HC'!$C$60*'Propylene Recycling HC'!$C$42</f>
        <v>143853.93664016909</v>
      </c>
      <c r="Z44" s="183">
        <f>'Propylene Recycling HC'!Y60*'Propylene Recycling HC'!Y42-'Propylene Recycling HC'!$C$60*'Propylene Recycling HC'!$C$42</f>
        <v>157048.65187129265</v>
      </c>
      <c r="AA44" s="183">
        <f>'Propylene Recycling HC'!Z60*'Propylene Recycling HC'!Z42-'Propylene Recycling HC'!$C$60*'Propylene Recycling HC'!$C$42</f>
        <v>170529.65671670449</v>
      </c>
      <c r="AB44" s="183">
        <f>'Propylene Recycling HC'!AA60*'Propylene Recycling HC'!AA42-'Propylene Recycling HC'!$C$60*'Propylene Recycling HC'!$C$42</f>
        <v>184279.32107209653</v>
      </c>
      <c r="AC44" s="183">
        <f>'Propylene Recycling HC'!AB60*'Propylene Recycling HC'!AB42-'Propylene Recycling HC'!$C$60*'Propylene Recycling HC'!$C$42</f>
        <v>198280.16156930121</v>
      </c>
      <c r="AD44" s="183">
        <f>'Propylene Recycling HC'!AC60*'Propylene Recycling HC'!AC42-'Propylene Recycling HC'!$C$60*'Propylene Recycling HC'!$C$42</f>
        <v>212514.84078344353</v>
      </c>
      <c r="AE44" s="183">
        <f>'Propylene Recycling HC'!AD60*'Propylene Recycling HC'!AD42-'Propylene Recycling HC'!$C$60*'Propylene Recycling HC'!$C$42</f>
        <v>226966.16644355611</v>
      </c>
      <c r="AF44" s="183">
        <f>'Propylene Recycling HC'!AE60*'Propylene Recycling HC'!AE42-'Propylene Recycling HC'!$C$60*'Propylene Recycling HC'!$C$42</f>
        <v>241617.09064664252</v>
      </c>
      <c r="AG44" s="183">
        <f>'Propylene Recycling HC'!AF60*'Propylene Recycling HC'!AF42-'Propylene Recycling HC'!$C$60*'Propylene Recycling HC'!$C$42</f>
        <v>256450.70907517799</v>
      </c>
      <c r="AH44" s="183">
        <f>'Propylene Recycling HC'!AG60*'Propylene Recycling HC'!AG42-'Propylene Recycling HC'!$C$60*'Propylene Recycling HC'!$C$42</f>
        <v>271450.26021803048</v>
      </c>
    </row>
    <row r="45" spans="1:34" outlineLevel="1">
      <c r="A45"/>
      <c r="B45" s="160" t="s">
        <v>269</v>
      </c>
      <c r="C45" s="50" t="s">
        <v>1420</v>
      </c>
      <c r="D45" s="183">
        <f>0</f>
        <v>0</v>
      </c>
      <c r="E45" s="183">
        <f>'Propylene Recycling HC'!D87*'Propylene Recycling HC'!D43-'Propylene Recycling HC'!$C$87*'Propylene Recycling HC'!$C$43</f>
        <v>122.86327572234222</v>
      </c>
      <c r="F45" s="183">
        <f>'Propylene Recycling HC'!E87*'Propylene Recycling HC'!E43-'Propylene Recycling HC'!$C$87*'Propylene Recycling HC'!$C$43</f>
        <v>225.00708867500043</v>
      </c>
      <c r="G45" s="183">
        <f>'Propylene Recycling HC'!F87*'Propylene Recycling HC'!F43-'Propylene Recycling HC'!$C$87*'Propylene Recycling HC'!$C$43</f>
        <v>307.23419156276532</v>
      </c>
      <c r="H45" s="183">
        <f>'Propylene Recycling HC'!G87*'Propylene Recycling HC'!G43-'Propylene Recycling HC'!$C$87*'Propylene Recycling HC'!$C$43</f>
        <v>370.34084901388314</v>
      </c>
      <c r="I45" s="183">
        <f>'Propylene Recycling HC'!H87*'Propylene Recycling HC'!H43-'Propylene Recycling HC'!$C$87*'Propylene Recycling HC'!$C$43</f>
        <v>415.11687228768778</v>
      </c>
      <c r="J45" s="183">
        <f>'Propylene Recycling HC'!I87*'Propylene Recycling HC'!I43-'Propylene Recycling HC'!$C$87*'Propylene Recycling HC'!$C$43</f>
        <v>442.34565383140352</v>
      </c>
      <c r="K45" s="183">
        <f>'Propylene Recycling HC'!J87*'Propylene Recycling HC'!J43-'Propylene Recycling HC'!$C$87*'Propylene Recycling HC'!$C$43</f>
        <v>452.80420168670844</v>
      </c>
      <c r="L45" s="183">
        <f>'Propylene Recycling HC'!K87*'Propylene Recycling HC'!K43-'Propylene Recycling HC'!$C$87*'Propylene Recycling HC'!$C$43</f>
        <v>447.26317374663313</v>
      </c>
      <c r="M45" s="183">
        <f>'Propylene Recycling HC'!L87*'Propylene Recycling HC'!L43-'Propylene Recycling HC'!$C$87*'Propylene Recycling HC'!$C$43</f>
        <v>426.48691186336782</v>
      </c>
      <c r="N45" s="183">
        <f>'Propylene Recycling HC'!M87*'Propylene Recycling HC'!M43-'Propylene Recycling HC'!$C$87*'Propylene Recycling HC'!$C$43</f>
        <v>391.23347580754125</v>
      </c>
      <c r="O45" s="183">
        <f>'Propylene Recycling HC'!N87*'Propylene Recycling HC'!N43-'Propylene Recycling HC'!$C$87*'Propylene Recycling HC'!$C$43</f>
        <v>286.75074271615767</v>
      </c>
      <c r="P45" s="183">
        <f>'Propylene Recycling HC'!O87*'Propylene Recycling HC'!O43-'Propylene Recycling HC'!$C$87*'Propylene Recycling HC'!$C$43</f>
        <v>175.47018105256893</v>
      </c>
      <c r="Q45" s="183">
        <f>'Propylene Recycling HC'!P87*'Propylene Recycling HC'!P43-'Propylene Recycling HC'!$C$87*'Propylene Recycling HC'!$C$43</f>
        <v>45.295826341663087</v>
      </c>
      <c r="R45" s="183">
        <f>'Propylene Recycling HC'!Q87*'Propylene Recycling HC'!Q43-'Propylene Recycling HC'!$C$87*'Propylene Recycling HC'!$C$43</f>
        <v>-89.897428060115999</v>
      </c>
      <c r="S45" s="183">
        <f>'Propylene Recycling HC'!R87*'Propylene Recycling HC'!R43-'Propylene Recycling HC'!$C$87*'Propylene Recycling HC'!$C$43</f>
        <v>-229.57473316900041</v>
      </c>
      <c r="T45" s="183">
        <f>'Propylene Recycling HC'!S87*'Propylene Recycling HC'!S43-'Propylene Recycling HC'!$C$87*'Propylene Recycling HC'!$C$43</f>
        <v>-373.21153461541826</v>
      </c>
      <c r="U45" s="183">
        <f>'Propylene Recycling HC'!T87*'Propylene Recycling HC'!T43-'Propylene Recycling HC'!$C$87*'Propylene Recycling HC'!$C$43</f>
        <v>-520.29352195415368</v>
      </c>
      <c r="V45" s="183">
        <f>'Propylene Recycling HC'!U87*'Propylene Recycling HC'!U43-'Propylene Recycling HC'!$C$87*'Propylene Recycling HC'!$C$43</f>
        <v>-670.31657728523805</v>
      </c>
      <c r="W45" s="183">
        <f>'Propylene Recycling HC'!V87*'Propylene Recycling HC'!V43-'Propylene Recycling HC'!$C$87*'Propylene Recycling HC'!$C$43</f>
        <v>-822.7867231979767</v>
      </c>
      <c r="X45" s="183">
        <f>'Propylene Recycling HC'!W87*'Propylene Recycling HC'!W43-'Propylene Recycling HC'!$C$87*'Propylene Recycling HC'!$C$43</f>
        <v>-977.22007005038677</v>
      </c>
      <c r="Y45" s="183">
        <f>'Propylene Recycling HC'!X87*'Propylene Recycling HC'!X43-'Propylene Recycling HC'!$C$87*'Propylene Recycling HC'!$C$43</f>
        <v>-1102.8996935030304</v>
      </c>
      <c r="Z45" s="183">
        <f>'Propylene Recycling HC'!Y87*'Propylene Recycling HC'!Y43-'Propylene Recycling HC'!$C$87*'Propylene Recycling HC'!$C$43</f>
        <v>-1234.6392521467847</v>
      </c>
      <c r="AA45" s="183">
        <f>'Propylene Recycling HC'!Z87*'Propylene Recycling HC'!Z43-'Propylene Recycling HC'!$C$87*'Propylene Recycling HC'!$C$43</f>
        <v>-1390.3013978414283</v>
      </c>
      <c r="AB45" s="183">
        <f>'Propylene Recycling HC'!AA87*'Propylene Recycling HC'!AA43-'Propylene Recycling HC'!$C$87*'Propylene Recycling HC'!$C$43</f>
        <v>-1548.3703802967034</v>
      </c>
      <c r="AC45" s="183">
        <f>'Propylene Recycling HC'!AB87*'Propylene Recycling HC'!AB43-'Propylene Recycling HC'!$C$87*'Propylene Recycling HC'!$C$43</f>
        <v>-1707.9863081591216</v>
      </c>
      <c r="AD45" s="183">
        <f>'Propylene Recycling HC'!AC87*'Propylene Recycling HC'!AC43-'Propylene Recycling HC'!$C$87*'Propylene Recycling HC'!$C$43</f>
        <v>-1868.3268630381663</v>
      </c>
      <c r="AE45" s="183">
        <f>'Propylene Recycling HC'!AD87*'Propylene Recycling HC'!AD43-'Propylene Recycling HC'!$C$87*'Propylene Recycling HC'!$C$43</f>
        <v>-2028.6071943922325</v>
      </c>
      <c r="AF45" s="183">
        <f>'Propylene Recycling HC'!AE87*'Propylene Recycling HC'!AE43-'Propylene Recycling HC'!$C$87*'Propylene Recycling HC'!$C$43</f>
        <v>-2188.0797888301977</v>
      </c>
      <c r="AG45" s="183">
        <f>'Propylene Recycling HC'!AF87*'Propylene Recycling HC'!AF43-'Propylene Recycling HC'!$C$87*'Propylene Recycling HC'!$C$43</f>
        <v>-2346.0343142213155</v>
      </c>
      <c r="AH45" s="183">
        <f>'Propylene Recycling HC'!AG87*'Propylene Recycling HC'!AG43-'Propylene Recycling HC'!$C$87*'Propylene Recycling HC'!$C$43</f>
        <v>-2501.7974390026448</v>
      </c>
    </row>
    <row r="46" spans="1:34" s="62" customFormat="1">
      <c r="A46" s="58"/>
      <c r="B46" s="58" t="s">
        <v>267</v>
      </c>
      <c r="C46" s="59" t="s">
        <v>1420</v>
      </c>
      <c r="D46" s="577">
        <f>D43-D44-D45</f>
        <v>1598212.8065688689</v>
      </c>
      <c r="E46" s="577">
        <f t="shared" ref="E46:AH46" si="18">E43-E44-E45</f>
        <v>1569752.7136341939</v>
      </c>
      <c r="F46" s="577">
        <f t="shared" si="18"/>
        <v>1541301.993653611</v>
      </c>
      <c r="G46" s="577">
        <f t="shared" si="18"/>
        <v>1512868.4079494933</v>
      </c>
      <c r="H46" s="577">
        <f t="shared" si="18"/>
        <v>1484459.6567458226</v>
      </c>
      <c r="I46" s="577">
        <f t="shared" si="18"/>
        <v>1456083.3794287944</v>
      </c>
      <c r="J46" s="577">
        <f t="shared" si="18"/>
        <v>1427747.1548069853</v>
      </c>
      <c r="K46" s="577">
        <f t="shared" si="18"/>
        <v>1399458.5013710838</v>
      </c>
      <c r="L46" s="577">
        <f t="shared" si="18"/>
        <v>1371224.8775531661</v>
      </c>
      <c r="M46" s="577">
        <f t="shared" si="18"/>
        <v>1343053.6819855287</v>
      </c>
      <c r="N46" s="577">
        <f t="shared" si="18"/>
        <v>1314952.2537590591</v>
      </c>
      <c r="O46" s="577">
        <f t="shared" si="18"/>
        <v>1282252.5057511085</v>
      </c>
      <c r="P46" s="577">
        <f t="shared" si="18"/>
        <v>1251397.6949431254</v>
      </c>
      <c r="Q46" s="577">
        <f t="shared" si="18"/>
        <v>1219369.293512637</v>
      </c>
      <c r="R46" s="577">
        <f t="shared" si="18"/>
        <v>1187444.6546355162</v>
      </c>
      <c r="S46" s="577">
        <f t="shared" si="18"/>
        <v>1155637.0775413532</v>
      </c>
      <c r="T46" s="577">
        <f t="shared" si="18"/>
        <v>1123959.755362893</v>
      </c>
      <c r="U46" s="577">
        <f t="shared" si="18"/>
        <v>1092425.7756463673</v>
      </c>
      <c r="V46" s="577">
        <f t="shared" si="18"/>
        <v>1061048.1208594532</v>
      </c>
      <c r="W46" s="577">
        <f t="shared" si="18"/>
        <v>1029839.6688968712</v>
      </c>
      <c r="X46" s="577">
        <f t="shared" si="18"/>
        <v>998813.19358363037</v>
      </c>
      <c r="Y46" s="577">
        <f t="shared" si="18"/>
        <v>970357.72670185484</v>
      </c>
      <c r="Z46" s="577">
        <f t="shared" si="18"/>
        <v>940154.51600813901</v>
      </c>
      <c r="AA46" s="577">
        <f t="shared" si="18"/>
        <v>909873.7609670501</v>
      </c>
      <c r="AB46" s="577">
        <f t="shared" si="18"/>
        <v>879509.83244589076</v>
      </c>
      <c r="AC46" s="577">
        <f t="shared" si="18"/>
        <v>849077.62575834687</v>
      </c>
      <c r="AD46" s="577">
        <f t="shared" si="18"/>
        <v>818591.94304246432</v>
      </c>
      <c r="AE46" s="577">
        <f t="shared" si="18"/>
        <v>788067.49381707283</v>
      </c>
      <c r="AF46" s="577">
        <f t="shared" si="18"/>
        <v>757518.89551022195</v>
      </c>
      <c r="AG46" s="577">
        <f t="shared" si="18"/>
        <v>726960.67396002484</v>
      </c>
      <c r="AH46" s="577">
        <f t="shared" si="18"/>
        <v>696407.26388830412</v>
      </c>
    </row>
    <row r="47" spans="1:34" s="61" customFormat="1">
      <c r="A47" s="54" t="s">
        <v>262</v>
      </c>
      <c r="B47" s="54" t="s">
        <v>200</v>
      </c>
      <c r="C47" s="93" t="s">
        <v>1420</v>
      </c>
      <c r="D47" s="572">
        <f>D13</f>
        <v>816476.05129449558</v>
      </c>
      <c r="E47" s="572">
        <f t="shared" ref="E47:AH47" si="19">E13</f>
        <v>827529.7313067941</v>
      </c>
      <c r="F47" s="572">
        <f t="shared" si="19"/>
        <v>838716.80887217727</v>
      </c>
      <c r="G47" s="572">
        <f t="shared" si="19"/>
        <v>850038.58649227733</v>
      </c>
      <c r="H47" s="572">
        <f t="shared" si="19"/>
        <v>861496.37296150322</v>
      </c>
      <c r="I47" s="572">
        <f t="shared" si="19"/>
        <v>873091.48323472682</v>
      </c>
      <c r="J47" s="572">
        <f t="shared" si="19"/>
        <v>884825.23828951386</v>
      </c>
      <c r="K47" s="572">
        <f t="shared" si="19"/>
        <v>896698.96498277562</v>
      </c>
      <c r="L47" s="572">
        <f t="shared" si="19"/>
        <v>908713.99590171035</v>
      </c>
      <c r="M47" s="572">
        <f t="shared" si="19"/>
        <v>920871.66920890543</v>
      </c>
      <c r="N47" s="572">
        <f t="shared" si="19"/>
        <v>933173.32848146488</v>
      </c>
      <c r="O47" s="572">
        <f t="shared" si="19"/>
        <v>937851.39831344038</v>
      </c>
      <c r="P47" s="572">
        <f t="shared" si="19"/>
        <v>942390.11289643031</v>
      </c>
      <c r="Q47" s="572">
        <f t="shared" si="19"/>
        <v>946784.79591693624</v>
      </c>
      <c r="R47" s="572">
        <f t="shared" si="19"/>
        <v>951030.7087080027</v>
      </c>
      <c r="S47" s="572">
        <f t="shared" si="19"/>
        <v>955123.05098858243</v>
      </c>
      <c r="T47" s="572">
        <f t="shared" si="19"/>
        <v>959056.96168104163</v>
      </c>
      <c r="U47" s="572">
        <f t="shared" si="19"/>
        <v>962827.51980999717</v>
      </c>
      <c r="V47" s="572">
        <f t="shared" si="19"/>
        <v>966429.74548578879</v>
      </c>
      <c r="W47" s="572">
        <f t="shared" si="19"/>
        <v>969858.60097598459</v>
      </c>
      <c r="X47" s="572">
        <f t="shared" si="19"/>
        <v>973108.99186843331</v>
      </c>
      <c r="Y47" s="572">
        <f t="shared" si="19"/>
        <v>956448.38531332707</v>
      </c>
      <c r="Z47" s="572">
        <f t="shared" si="19"/>
        <v>939370.64570915001</v>
      </c>
      <c r="AA47" s="572">
        <f t="shared" si="19"/>
        <v>921879.12788385036</v>
      </c>
      <c r="AB47" s="572">
        <f t="shared" si="19"/>
        <v>903977.72941310762</v>
      </c>
      <c r="AC47" s="572">
        <f t="shared" si="19"/>
        <v>885670.91490391863</v>
      </c>
      <c r="AD47" s="572">
        <f t="shared" si="19"/>
        <v>866963.74108911096</v>
      </c>
      <c r="AE47" s="572">
        <f t="shared" si="19"/>
        <v>847861.88275620586</v>
      </c>
      <c r="AF47" s="572">
        <f t="shared" si="19"/>
        <v>828371.65953466948</v>
      </c>
      <c r="AG47" s="572">
        <f t="shared" si="19"/>
        <v>808500.0635662257</v>
      </c>
      <c r="AH47" s="572">
        <f t="shared" si="19"/>
        <v>788254.78808355366</v>
      </c>
    </row>
    <row r="48" spans="1:34" outlineLevel="1">
      <c r="A48"/>
      <c r="B48" t="s">
        <v>266</v>
      </c>
      <c r="C48" s="50" t="s">
        <v>1420</v>
      </c>
      <c r="D48" s="183">
        <f>0</f>
        <v>0</v>
      </c>
      <c r="E48" s="183">
        <f>'Propylene Recycling HC'!D84*'Propylene Recycling HC'!D43-'Propylene Recycling HC'!$C$84*'Propylene Recycling HC'!$C$43</f>
        <v>1001.5643610398356</v>
      </c>
      <c r="F48" s="183">
        <f>'Propylene Recycling HC'!E84*'Propylene Recycling HC'!E43-'Propylene Recycling HC'!$C$84*'Propylene Recycling HC'!$C$43</f>
        <v>2089.2750974594719</v>
      </c>
      <c r="G48" s="183">
        <f>'Propylene Recycling HC'!F84*'Propylene Recycling HC'!F43-'Propylene Recycling HC'!$C$84*'Propylene Recycling HC'!$C$43</f>
        <v>3256.9856072049806</v>
      </c>
      <c r="H48" s="183">
        <f>'Propylene Recycling HC'!G84*'Propylene Recycling HC'!G43-'Propylene Recycling HC'!$C$84*'Propylene Recycling HC'!$C$43</f>
        <v>4498.6010024470206</v>
      </c>
      <c r="I48" s="183">
        <f>'Propylene Recycling HC'!H84*'Propylene Recycling HC'!H43-'Propylene Recycling HC'!$C$84*'Propylene Recycling HC'!$C$43</f>
        <v>5808.0778289264053</v>
      </c>
      <c r="J48" s="183">
        <f>'Propylene Recycling HC'!I84*'Propylene Recycling HC'!I43-'Propylene Recycling HC'!$C$84*'Propylene Recycling HC'!$C$43</f>
        <v>7179.4237865282557</v>
      </c>
      <c r="K48" s="183">
        <f>'Propylene Recycling HC'!J84*'Propylene Recycling HC'!J43-'Propylene Recycling HC'!$C$84*'Propylene Recycling HC'!$C$43</f>
        <v>8606.6974510800101</v>
      </c>
      <c r="L48" s="183">
        <f>'Propylene Recycling HC'!K84*'Propylene Recycling HC'!K43-'Propylene Recycling HC'!$C$84*'Propylene Recycling HC'!$C$43</f>
        <v>10084.007997368592</v>
      </c>
      <c r="M48" s="183">
        <f>'Propylene Recycling HC'!L84*'Propylene Recycling HC'!L43-'Propylene Recycling HC'!$C$84*'Propylene Recycling HC'!$C$43</f>
        <v>11605.514923372068</v>
      </c>
      <c r="N48" s="183">
        <f>'Propylene Recycling HC'!M84*'Propylene Recycling HC'!M43-'Propylene Recycling HC'!$C$84*'Propylene Recycling HC'!$C$43</f>
        <v>13165.42777570108</v>
      </c>
      <c r="O48" s="183">
        <f>'Propylene Recycling HC'!N84*'Propylene Recycling HC'!N43-'Propylene Recycling HC'!$C$84*'Propylene Recycling HC'!$C$43</f>
        <v>14515.45819559239</v>
      </c>
      <c r="P48" s="183">
        <f>'Propylene Recycling HC'!O84*'Propylene Recycling HC'!O43-'Propylene Recycling HC'!$C$84*'Propylene Recycling HC'!$C$43</f>
        <v>15868.909015214918</v>
      </c>
      <c r="Q48" s="183">
        <f>'Propylene Recycling HC'!P84*'Propylene Recycling HC'!P43-'Propylene Recycling HC'!$C$84*'Propylene Recycling HC'!$C$43</f>
        <v>17154.487615630012</v>
      </c>
      <c r="R48" s="183">
        <f>'Propylene Recycling HC'!Q84*'Propylene Recycling HC'!Q43-'Propylene Recycling HC'!$C$84*'Propylene Recycling HC'!$C$43</f>
        <v>18426.777138431866</v>
      </c>
      <c r="S48" s="183">
        <f>'Propylene Recycling HC'!R84*'Propylene Recycling HC'!R43-'Propylene Recycling HC'!$C$84*'Propylene Recycling HC'!$C$43</f>
        <v>19682.193582795131</v>
      </c>
      <c r="T48" s="183">
        <f>'Propylene Recycling HC'!S84*'Propylene Recycling HC'!S43-'Propylene Recycling HC'!$C$84*'Propylene Recycling HC'!$C$43</f>
        <v>20917.235054734429</v>
      </c>
      <c r="U48" s="183">
        <f>'Propylene Recycling HC'!T84*'Propylene Recycling HC'!T43-'Propylene Recycling HC'!$C$84*'Propylene Recycling HC'!$C$43</f>
        <v>22128.48130684123</v>
      </c>
      <c r="V48" s="183">
        <f>'Propylene Recycling HC'!U84*'Propylene Recycling HC'!U43-'Propylene Recycling HC'!$C$84*'Propylene Recycling HC'!$C$43</f>
        <v>23312.593272878919</v>
      </c>
      <c r="W48" s="183">
        <f>'Propylene Recycling HC'!V84*'Propylene Recycling HC'!V43-'Propylene Recycling HC'!$C$84*'Propylene Recycling HC'!$C$43</f>
        <v>24466.312597334687</v>
      </c>
      <c r="X48" s="183">
        <f>'Propylene Recycling HC'!W84*'Propylene Recycling HC'!W43-'Propylene Recycling HC'!$C$84*'Propylene Recycling HC'!$C$43</f>
        <v>25586.461160026025</v>
      </c>
      <c r="Y48" s="183">
        <f>'Propylene Recycling HC'!X84*'Propylene Recycling HC'!X43-'Propylene Recycling HC'!$C$84*'Propylene Recycling HC'!$C$43</f>
        <v>27023.745731083742</v>
      </c>
      <c r="Z48" s="183">
        <f>'Propylene Recycling HC'!Y84*'Propylene Recycling HC'!Y43-'Propylene Recycling HC'!$C$84*'Propylene Recycling HC'!$C$43</f>
        <v>28430.454124577056</v>
      </c>
      <c r="AA48" s="183">
        <f>'Propylene Recycling HC'!Z84*'Propylene Recycling HC'!Z43-'Propylene Recycling HC'!$C$84*'Propylene Recycling HC'!$C$43</f>
        <v>29535.080690974784</v>
      </c>
      <c r="AB48" s="183">
        <f>'Propylene Recycling HC'!AA84*'Propylene Recycling HC'!AA43-'Propylene Recycling HC'!$C$84*'Propylene Recycling HC'!$C$43</f>
        <v>30574.590520796304</v>
      </c>
      <c r="AC48" s="183">
        <f>'Propylene Recycling HC'!AB84*'Propylene Recycling HC'!AB43-'Propylene Recycling HC'!$C$84*'Propylene Recycling HC'!$C$43</f>
        <v>31545.046772103804</v>
      </c>
      <c r="AD48" s="183">
        <f>'Propylene Recycling HC'!AC84*'Propylene Recycling HC'!AC43-'Propylene Recycling HC'!$C$84*'Propylene Recycling HC'!$C$43</f>
        <v>32442.815130686908</v>
      </c>
      <c r="AE48" s="183">
        <f>'Propylene Recycling HC'!AD84*'Propylene Recycling HC'!AD43-'Propylene Recycling HC'!$C$84*'Propylene Recycling HC'!$C$43</f>
        <v>33264.561486740276</v>
      </c>
      <c r="AF48" s="183">
        <f>'Propylene Recycling HC'!AE84*'Propylene Recycling HC'!AE43-'Propylene Recycling HC'!$C$84*'Propylene Recycling HC'!$C$43</f>
        <v>34007.249417618237</v>
      </c>
      <c r="AG48" s="183">
        <f>'Propylene Recycling HC'!AF84*'Propylene Recycling HC'!AF43-'Propylene Recycling HC'!$C$84*'Propylene Recycling HC'!$C$43</f>
        <v>34668.137479790399</v>
      </c>
      <c r="AH48" s="183">
        <f>'Propylene Recycling HC'!AG84*'Propylene Recycling HC'!AG43-'Propylene Recycling HC'!$C$84*'Propylene Recycling HC'!$C$43</f>
        <v>35244.776313094524</v>
      </c>
    </row>
    <row r="49" spans="1:36" s="62" customFormat="1">
      <c r="A49" s="58"/>
      <c r="B49" s="58" t="s">
        <v>267</v>
      </c>
      <c r="C49" s="59" t="s">
        <v>1420</v>
      </c>
      <c r="D49" s="577">
        <f>D47-D48</f>
        <v>816476.05129449558</v>
      </c>
      <c r="E49" s="577">
        <f t="shared" ref="E49:AH49" si="20">E47-E48</f>
        <v>826528.16694575432</v>
      </c>
      <c r="F49" s="577">
        <f t="shared" si="20"/>
        <v>836627.53377471783</v>
      </c>
      <c r="G49" s="577">
        <f t="shared" si="20"/>
        <v>846781.60088507237</v>
      </c>
      <c r="H49" s="577">
        <f t="shared" si="20"/>
        <v>856997.77195905615</v>
      </c>
      <c r="I49" s="577">
        <f t="shared" si="20"/>
        <v>867283.40540580044</v>
      </c>
      <c r="J49" s="577">
        <f t="shared" si="20"/>
        <v>877645.81450298557</v>
      </c>
      <c r="K49" s="577">
        <f t="shared" si="20"/>
        <v>888092.26753169566</v>
      </c>
      <c r="L49" s="577">
        <f t="shared" si="20"/>
        <v>898629.98790434177</v>
      </c>
      <c r="M49" s="577">
        <f t="shared" si="20"/>
        <v>909266.15428553335</v>
      </c>
      <c r="N49" s="577">
        <f t="shared" si="20"/>
        <v>920007.90070576384</v>
      </c>
      <c r="O49" s="577">
        <f t="shared" si="20"/>
        <v>923335.94011784799</v>
      </c>
      <c r="P49" s="577">
        <f t="shared" si="20"/>
        <v>926521.20388121542</v>
      </c>
      <c r="Q49" s="577">
        <f t="shared" si="20"/>
        <v>929630.30830130621</v>
      </c>
      <c r="R49" s="577">
        <f t="shared" si="20"/>
        <v>932603.93156957079</v>
      </c>
      <c r="S49" s="577">
        <f t="shared" si="20"/>
        <v>935440.85740578733</v>
      </c>
      <c r="T49" s="577">
        <f t="shared" si="20"/>
        <v>938139.72662630724</v>
      </c>
      <c r="U49" s="577">
        <f t="shared" si="20"/>
        <v>940699.03850315593</v>
      </c>
      <c r="V49" s="577">
        <f t="shared" si="20"/>
        <v>943117.15221290989</v>
      </c>
      <c r="W49" s="577">
        <f t="shared" si="20"/>
        <v>945392.28837864986</v>
      </c>
      <c r="X49" s="577">
        <f t="shared" si="20"/>
        <v>947522.53070840728</v>
      </c>
      <c r="Y49" s="577">
        <f t="shared" si="20"/>
        <v>929424.63958224328</v>
      </c>
      <c r="Z49" s="577">
        <f t="shared" si="20"/>
        <v>910940.19158457289</v>
      </c>
      <c r="AA49" s="577">
        <f t="shared" si="20"/>
        <v>892344.04719287553</v>
      </c>
      <c r="AB49" s="577">
        <f t="shared" si="20"/>
        <v>873403.13889231137</v>
      </c>
      <c r="AC49" s="577">
        <f t="shared" si="20"/>
        <v>854125.86813181487</v>
      </c>
      <c r="AD49" s="577">
        <f t="shared" si="20"/>
        <v>834520.92595842411</v>
      </c>
      <c r="AE49" s="577">
        <f t="shared" si="20"/>
        <v>814597.32126946561</v>
      </c>
      <c r="AF49" s="577">
        <f t="shared" si="20"/>
        <v>794364.41011705121</v>
      </c>
      <c r="AG49" s="577">
        <f t="shared" si="20"/>
        <v>773831.92608643533</v>
      </c>
      <c r="AH49" s="577">
        <f t="shared" si="20"/>
        <v>753010.01177045912</v>
      </c>
    </row>
    <row r="50" spans="1:36" s="61" customFormat="1">
      <c r="A50" s="54" t="s">
        <v>519</v>
      </c>
      <c r="B50" s="54" t="s">
        <v>200</v>
      </c>
      <c r="C50" s="93" t="s">
        <v>1420</v>
      </c>
      <c r="D50" s="572">
        <f>D31</f>
        <v>0</v>
      </c>
      <c r="E50" s="572">
        <f t="shared" ref="E50:AH50" si="21">E31</f>
        <v>0</v>
      </c>
      <c r="F50" s="572">
        <f t="shared" si="21"/>
        <v>0</v>
      </c>
      <c r="G50" s="572">
        <f t="shared" si="21"/>
        <v>0</v>
      </c>
      <c r="H50" s="572">
        <f t="shared" si="21"/>
        <v>0</v>
      </c>
      <c r="I50" s="572">
        <f t="shared" si="21"/>
        <v>0</v>
      </c>
      <c r="J50" s="572">
        <f t="shared" si="21"/>
        <v>0</v>
      </c>
      <c r="K50" s="572">
        <f t="shared" si="21"/>
        <v>0</v>
      </c>
      <c r="L50" s="572">
        <f t="shared" si="21"/>
        <v>0</v>
      </c>
      <c r="M50" s="572">
        <f t="shared" si="21"/>
        <v>0</v>
      </c>
      <c r="N50" s="572">
        <f t="shared" si="21"/>
        <v>0</v>
      </c>
      <c r="O50" s="572">
        <f t="shared" si="21"/>
        <v>0</v>
      </c>
      <c r="P50" s="572">
        <f t="shared" si="21"/>
        <v>0</v>
      </c>
      <c r="Q50" s="572">
        <f t="shared" si="21"/>
        <v>0</v>
      </c>
      <c r="R50" s="572">
        <f t="shared" si="21"/>
        <v>0</v>
      </c>
      <c r="S50" s="572">
        <f t="shared" si="21"/>
        <v>0</v>
      </c>
      <c r="T50" s="572">
        <f t="shared" si="21"/>
        <v>0</v>
      </c>
      <c r="U50" s="572">
        <f t="shared" si="21"/>
        <v>0</v>
      </c>
      <c r="V50" s="572">
        <f t="shared" si="21"/>
        <v>0</v>
      </c>
      <c r="W50" s="572">
        <f t="shared" si="21"/>
        <v>0</v>
      </c>
      <c r="X50" s="572">
        <f t="shared" si="21"/>
        <v>0</v>
      </c>
      <c r="Y50" s="572">
        <f t="shared" si="21"/>
        <v>0</v>
      </c>
      <c r="Z50" s="572">
        <f t="shared" si="21"/>
        <v>0</v>
      </c>
      <c r="AA50" s="572">
        <f t="shared" si="21"/>
        <v>0</v>
      </c>
      <c r="AB50" s="572">
        <f t="shared" si="21"/>
        <v>0</v>
      </c>
      <c r="AC50" s="572">
        <f t="shared" si="21"/>
        <v>0</v>
      </c>
      <c r="AD50" s="572">
        <f t="shared" si="21"/>
        <v>0</v>
      </c>
      <c r="AE50" s="572">
        <f t="shared" si="21"/>
        <v>0</v>
      </c>
      <c r="AF50" s="572">
        <f t="shared" si="21"/>
        <v>0</v>
      </c>
      <c r="AG50" s="572">
        <f t="shared" si="21"/>
        <v>0</v>
      </c>
      <c r="AH50" s="572">
        <f t="shared" si="21"/>
        <v>0</v>
      </c>
    </row>
    <row r="51" spans="1:36" outlineLevel="1">
      <c r="A51"/>
      <c r="B51" t="s">
        <v>266</v>
      </c>
      <c r="C51" s="50" t="s">
        <v>1420</v>
      </c>
      <c r="D51" s="183">
        <f>0</f>
        <v>0</v>
      </c>
      <c r="E51" s="183">
        <f>'Propylene Recycling HC'!D94*'Propylene Recycling HC'!D45-'Propylene Recycling HC'!$C$94*'Propylene Recycling HC'!$C$45</f>
        <v>0</v>
      </c>
      <c r="F51" s="183">
        <f>'Propylene Recycling HC'!E94*'Propylene Recycling HC'!E45-'Propylene Recycling HC'!$C$94*'Propylene Recycling HC'!$C$45</f>
        <v>0</v>
      </c>
      <c r="G51" s="183">
        <f>'Propylene Recycling HC'!F94*'Propylene Recycling HC'!F45-'Propylene Recycling HC'!$C$94*'Propylene Recycling HC'!$C$45</f>
        <v>0</v>
      </c>
      <c r="H51" s="183">
        <f>'Propylene Recycling HC'!G94*'Propylene Recycling HC'!G45-'Propylene Recycling HC'!$C$94*'Propylene Recycling HC'!$C$45</f>
        <v>0</v>
      </c>
      <c r="I51" s="183">
        <f>'Propylene Recycling HC'!H94*'Propylene Recycling HC'!H45-'Propylene Recycling HC'!$C$94*'Propylene Recycling HC'!$C$45</f>
        <v>0</v>
      </c>
      <c r="J51" s="183">
        <f>'Propylene Recycling HC'!I94*'Propylene Recycling HC'!I45-'Propylene Recycling HC'!$C$94*'Propylene Recycling HC'!$C$45</f>
        <v>0</v>
      </c>
      <c r="K51" s="183">
        <f>'Propylene Recycling HC'!J94*'Propylene Recycling HC'!J45-'Propylene Recycling HC'!$C$94*'Propylene Recycling HC'!$C$45</f>
        <v>0</v>
      </c>
      <c r="L51" s="183">
        <f>'Propylene Recycling HC'!K94*'Propylene Recycling HC'!K45-'Propylene Recycling HC'!$C$94*'Propylene Recycling HC'!$C$45</f>
        <v>0</v>
      </c>
      <c r="M51" s="183">
        <f>'Propylene Recycling HC'!L94*'Propylene Recycling HC'!L45-'Propylene Recycling HC'!$C$94*'Propylene Recycling HC'!$C$45</f>
        <v>0</v>
      </c>
      <c r="N51" s="183">
        <f>'Propylene Recycling HC'!M94*'Propylene Recycling HC'!M45-'Propylene Recycling HC'!$C$94*'Propylene Recycling HC'!$C$45</f>
        <v>0</v>
      </c>
      <c r="O51" s="183">
        <f>'Propylene Recycling HC'!N94*'Propylene Recycling HC'!N45-'Propylene Recycling HC'!$C$94*'Propylene Recycling HC'!$C$45</f>
        <v>0</v>
      </c>
      <c r="P51" s="183">
        <f>'Propylene Recycling HC'!O94*'Propylene Recycling HC'!O45-'Propylene Recycling HC'!$C$94*'Propylene Recycling HC'!$C$45</f>
        <v>0</v>
      </c>
      <c r="Q51" s="183">
        <f>'Propylene Recycling HC'!P94*'Propylene Recycling HC'!P45-'Propylene Recycling HC'!$C$94*'Propylene Recycling HC'!$C$45</f>
        <v>0</v>
      </c>
      <c r="R51" s="183">
        <f>'Propylene Recycling HC'!Q94*'Propylene Recycling HC'!Q45-'Propylene Recycling HC'!$C$94*'Propylene Recycling HC'!$C$45</f>
        <v>0</v>
      </c>
      <c r="S51" s="183">
        <f>'Propylene Recycling HC'!R94*'Propylene Recycling HC'!R45-'Propylene Recycling HC'!$C$94*'Propylene Recycling HC'!$C$45</f>
        <v>0</v>
      </c>
      <c r="T51" s="183">
        <f>'Propylene Recycling HC'!S94*'Propylene Recycling HC'!S45-'Propylene Recycling HC'!$C$94*'Propylene Recycling HC'!$C$45</f>
        <v>0</v>
      </c>
      <c r="U51" s="183">
        <f>'Propylene Recycling HC'!T94*'Propylene Recycling HC'!T45-'Propylene Recycling HC'!$C$94*'Propylene Recycling HC'!$C$45</f>
        <v>0</v>
      </c>
      <c r="V51" s="183">
        <f>'Propylene Recycling HC'!U94*'Propylene Recycling HC'!U45-'Propylene Recycling HC'!$C$94*'Propylene Recycling HC'!$C$45</f>
        <v>0</v>
      </c>
      <c r="W51" s="183">
        <f>'Propylene Recycling HC'!V94*'Propylene Recycling HC'!V45-'Propylene Recycling HC'!$C$94*'Propylene Recycling HC'!$C$45</f>
        <v>0</v>
      </c>
      <c r="X51" s="183">
        <f>'Propylene Recycling HC'!W94*'Propylene Recycling HC'!W45-'Propylene Recycling HC'!$C$94*'Propylene Recycling HC'!$C$45</f>
        <v>0</v>
      </c>
      <c r="Y51" s="183">
        <f>'Propylene Recycling HC'!X94*'Propylene Recycling HC'!X45-'Propylene Recycling HC'!$C$94*'Propylene Recycling HC'!$C$45</f>
        <v>0</v>
      </c>
      <c r="Z51" s="183">
        <f>'Propylene Recycling HC'!Y94*'Propylene Recycling HC'!Y45-'Propylene Recycling HC'!$C$94*'Propylene Recycling HC'!$C$45</f>
        <v>0</v>
      </c>
      <c r="AA51" s="183">
        <f>'Propylene Recycling HC'!Z94*'Propylene Recycling HC'!Z45-'Propylene Recycling HC'!$C$94*'Propylene Recycling HC'!$C$45</f>
        <v>0</v>
      </c>
      <c r="AB51" s="183">
        <f>'Propylene Recycling HC'!AA94*'Propylene Recycling HC'!AA45-'Propylene Recycling HC'!$C$94*'Propylene Recycling HC'!$C$45</f>
        <v>0</v>
      </c>
      <c r="AC51" s="183">
        <f>'Propylene Recycling HC'!AB94*'Propylene Recycling HC'!AB45-'Propylene Recycling HC'!$C$94*'Propylene Recycling HC'!$C$45</f>
        <v>0</v>
      </c>
      <c r="AD51" s="183">
        <f>'Propylene Recycling HC'!AC94*'Propylene Recycling HC'!AC45-'Propylene Recycling HC'!$C$94*'Propylene Recycling HC'!$C$45</f>
        <v>0</v>
      </c>
      <c r="AE51" s="183">
        <f>'Propylene Recycling HC'!AD94*'Propylene Recycling HC'!AD45-'Propylene Recycling HC'!$C$94*'Propylene Recycling HC'!$C$45</f>
        <v>0</v>
      </c>
      <c r="AF51" s="183">
        <f>'Propylene Recycling HC'!AE94*'Propylene Recycling HC'!AE45-'Propylene Recycling HC'!$C$94*'Propylene Recycling HC'!$C$45</f>
        <v>0</v>
      </c>
      <c r="AG51" s="183">
        <f>'Propylene Recycling HC'!AF94*'Propylene Recycling HC'!AF45-'Propylene Recycling HC'!$C$94*'Propylene Recycling HC'!$C$45</f>
        <v>0</v>
      </c>
      <c r="AH51" s="183">
        <f>'Propylene Recycling HC'!AG94*'Propylene Recycling HC'!AG45-'Propylene Recycling HC'!$C$94*'Propylene Recycling HC'!$C$45</f>
        <v>0</v>
      </c>
    </row>
    <row r="52" spans="1:36" outlineLevel="1">
      <c r="A52"/>
      <c r="B52" t="s">
        <v>268</v>
      </c>
      <c r="C52" s="50" t="s">
        <v>1420</v>
      </c>
      <c r="D52" s="183">
        <f>0</f>
        <v>0</v>
      </c>
      <c r="E52" s="183">
        <f>0</f>
        <v>0</v>
      </c>
      <c r="F52" s="183">
        <f>0</f>
        <v>0</v>
      </c>
      <c r="G52" s="183">
        <f>0</f>
        <v>0</v>
      </c>
      <c r="H52" s="183">
        <f>0</f>
        <v>0</v>
      </c>
      <c r="I52" s="183">
        <f>0</f>
        <v>0</v>
      </c>
      <c r="J52" s="183">
        <f>0</f>
        <v>0</v>
      </c>
      <c r="K52" s="183">
        <f>0</f>
        <v>0</v>
      </c>
      <c r="L52" s="183">
        <f>0</f>
        <v>0</v>
      </c>
      <c r="M52" s="183">
        <f>0</f>
        <v>0</v>
      </c>
      <c r="N52" s="183">
        <f>0</f>
        <v>0</v>
      </c>
      <c r="O52" s="183">
        <f>0</f>
        <v>0</v>
      </c>
      <c r="P52" s="183">
        <f>0</f>
        <v>0</v>
      </c>
      <c r="Q52" s="183">
        <f>0</f>
        <v>0</v>
      </c>
      <c r="R52" s="183">
        <f>0</f>
        <v>0</v>
      </c>
      <c r="S52" s="183">
        <f>0</f>
        <v>0</v>
      </c>
      <c r="T52" s="183">
        <f>0</f>
        <v>0</v>
      </c>
      <c r="U52" s="183">
        <f>0</f>
        <v>0</v>
      </c>
      <c r="V52" s="183">
        <f>0</f>
        <v>0</v>
      </c>
      <c r="W52" s="183">
        <f>0</f>
        <v>0</v>
      </c>
      <c r="X52" s="183">
        <f>0</f>
        <v>0</v>
      </c>
      <c r="Y52" s="183">
        <f>0</f>
        <v>0</v>
      </c>
      <c r="Z52" s="183">
        <f>0</f>
        <v>0</v>
      </c>
      <c r="AA52" s="183">
        <f>0</f>
        <v>0</v>
      </c>
      <c r="AB52" s="183">
        <f>0</f>
        <v>0</v>
      </c>
      <c r="AC52" s="183">
        <f>0</f>
        <v>0</v>
      </c>
      <c r="AD52" s="183">
        <f>0</f>
        <v>0</v>
      </c>
      <c r="AE52" s="183">
        <f>0</f>
        <v>0</v>
      </c>
      <c r="AF52" s="183">
        <f>0</f>
        <v>0</v>
      </c>
      <c r="AG52" s="183">
        <f>0</f>
        <v>0</v>
      </c>
      <c r="AH52" s="183">
        <f>0</f>
        <v>0</v>
      </c>
    </row>
    <row r="53" spans="1:36" s="62" customFormat="1">
      <c r="A53" s="58"/>
      <c r="B53" s="58" t="s">
        <v>267</v>
      </c>
      <c r="C53" s="59" t="s">
        <v>1420</v>
      </c>
      <c r="D53" s="577">
        <f>D50-D51-D52</f>
        <v>0</v>
      </c>
      <c r="E53" s="577">
        <f t="shared" ref="E53:AH53" si="22">E50-E51-E52</f>
        <v>0</v>
      </c>
      <c r="F53" s="577">
        <f t="shared" si="22"/>
        <v>0</v>
      </c>
      <c r="G53" s="577">
        <f t="shared" si="22"/>
        <v>0</v>
      </c>
      <c r="H53" s="577">
        <f t="shared" si="22"/>
        <v>0</v>
      </c>
      <c r="I53" s="577">
        <f t="shared" si="22"/>
        <v>0</v>
      </c>
      <c r="J53" s="577">
        <f t="shared" si="22"/>
        <v>0</v>
      </c>
      <c r="K53" s="577">
        <f t="shared" si="22"/>
        <v>0</v>
      </c>
      <c r="L53" s="577">
        <f t="shared" si="22"/>
        <v>0</v>
      </c>
      <c r="M53" s="577">
        <f t="shared" si="22"/>
        <v>0</v>
      </c>
      <c r="N53" s="577">
        <f t="shared" si="22"/>
        <v>0</v>
      </c>
      <c r="O53" s="577">
        <f t="shared" si="22"/>
        <v>0</v>
      </c>
      <c r="P53" s="577">
        <f t="shared" si="22"/>
        <v>0</v>
      </c>
      <c r="Q53" s="577">
        <f t="shared" si="22"/>
        <v>0</v>
      </c>
      <c r="R53" s="577">
        <f t="shared" si="22"/>
        <v>0</v>
      </c>
      <c r="S53" s="577">
        <f t="shared" si="22"/>
        <v>0</v>
      </c>
      <c r="T53" s="577">
        <f t="shared" si="22"/>
        <v>0</v>
      </c>
      <c r="U53" s="577">
        <f t="shared" si="22"/>
        <v>0</v>
      </c>
      <c r="V53" s="577">
        <f t="shared" si="22"/>
        <v>0</v>
      </c>
      <c r="W53" s="577">
        <f t="shared" si="22"/>
        <v>0</v>
      </c>
      <c r="X53" s="577">
        <f t="shared" si="22"/>
        <v>0</v>
      </c>
      <c r="Y53" s="577">
        <f t="shared" si="22"/>
        <v>0</v>
      </c>
      <c r="Z53" s="577">
        <f t="shared" si="22"/>
        <v>0</v>
      </c>
      <c r="AA53" s="577">
        <f t="shared" si="22"/>
        <v>0</v>
      </c>
      <c r="AB53" s="577">
        <f t="shared" si="22"/>
        <v>0</v>
      </c>
      <c r="AC53" s="577">
        <f t="shared" si="22"/>
        <v>0</v>
      </c>
      <c r="AD53" s="577">
        <f t="shared" si="22"/>
        <v>0</v>
      </c>
      <c r="AE53" s="577">
        <f t="shared" si="22"/>
        <v>0</v>
      </c>
      <c r="AF53" s="577">
        <f t="shared" si="22"/>
        <v>0</v>
      </c>
      <c r="AG53" s="577">
        <f t="shared" si="22"/>
        <v>0</v>
      </c>
      <c r="AH53" s="577">
        <f t="shared" si="22"/>
        <v>0</v>
      </c>
    </row>
    <row r="54" spans="1:36" s="61" customFormat="1">
      <c r="A54" s="54" t="s">
        <v>263</v>
      </c>
      <c r="B54" s="54" t="s">
        <v>200</v>
      </c>
      <c r="C54" s="93" t="s">
        <v>1420</v>
      </c>
      <c r="D54" s="572">
        <f>D25</f>
        <v>350789.70130119962</v>
      </c>
      <c r="E54" s="572">
        <f t="shared" ref="E54:AH54" si="23">E25</f>
        <v>342022.90836845251</v>
      </c>
      <c r="F54" s="572">
        <f t="shared" si="23"/>
        <v>333361.25834353361</v>
      </c>
      <c r="G54" s="572">
        <f t="shared" si="23"/>
        <v>324803.71160373592</v>
      </c>
      <c r="H54" s="572">
        <f t="shared" si="23"/>
        <v>316349.23790956644</v>
      </c>
      <c r="I54" s="572">
        <f t="shared" si="23"/>
        <v>307996.81632445793</v>
      </c>
      <c r="J54" s="572">
        <f t="shared" si="23"/>
        <v>299745.43513514474</v>
      </c>
      <c r="K54" s="572">
        <f t="shared" si="23"/>
        <v>291594.091772696</v>
      </c>
      <c r="L54" s="572">
        <f t="shared" si="23"/>
        <v>283541.79273420147</v>
      </c>
      <c r="M54" s="572">
        <f t="shared" si="23"/>
        <v>275587.55350510532</v>
      </c>
      <c r="N54" s="572">
        <f t="shared" si="23"/>
        <v>267730.39848218148</v>
      </c>
      <c r="O54" s="572">
        <f t="shared" si="23"/>
        <v>259969.36089714628</v>
      </c>
      <c r="P54" s="572">
        <f t="shared" si="23"/>
        <v>252303.48274090307</v>
      </c>
      <c r="Q54" s="572">
        <f t="shared" si="23"/>
        <v>244731.81468841329</v>
      </c>
      <c r="R54" s="572">
        <f t="shared" si="23"/>
        <v>237253.41602418956</v>
      </c>
      <c r="S54" s="572">
        <f t="shared" si="23"/>
        <v>229867.35456840519</v>
      </c>
      <c r="T54" s="572">
        <f t="shared" si="23"/>
        <v>222572.70660361578</v>
      </c>
      <c r="U54" s="572">
        <f t="shared" si="23"/>
        <v>215368.55680208709</v>
      </c>
      <c r="V54" s="572">
        <f t="shared" si="23"/>
        <v>208253.99815372523</v>
      </c>
      <c r="W54" s="572">
        <f t="shared" si="23"/>
        <v>201228.13189460384</v>
      </c>
      <c r="X54" s="572">
        <f t="shared" si="23"/>
        <v>194290.06743608293</v>
      </c>
      <c r="Y54" s="572">
        <f t="shared" si="23"/>
        <v>187272.33684204449</v>
      </c>
      <c r="Z54" s="572">
        <f t="shared" si="23"/>
        <v>180342.97267207404</v>
      </c>
      <c r="AA54" s="572">
        <f t="shared" si="23"/>
        <v>173501.08417884432</v>
      </c>
      <c r="AB54" s="572">
        <f t="shared" si="23"/>
        <v>166745.78873805981</v>
      </c>
      <c r="AC54" s="572">
        <f t="shared" si="23"/>
        <v>160076.21177850233</v>
      </c>
      <c r="AD54" s="572">
        <f t="shared" si="23"/>
        <v>153491.48671265718</v>
      </c>
      <c r="AE54" s="572">
        <f t="shared" si="23"/>
        <v>146990.75486791509</v>
      </c>
      <c r="AF54" s="572">
        <f t="shared" si="23"/>
        <v>140573.16541834539</v>
      </c>
      <c r="AG54" s="572">
        <f t="shared" si="23"/>
        <v>134237.87531703545</v>
      </c>
      <c r="AH54" s="572">
        <f t="shared" si="23"/>
        <v>127984.04922899249</v>
      </c>
    </row>
    <row r="55" spans="1:36" outlineLevel="1">
      <c r="A55"/>
      <c r="B55" t="s">
        <v>266</v>
      </c>
      <c r="C55" s="50" t="s">
        <v>1420</v>
      </c>
      <c r="D55" s="183">
        <f>0</f>
        <v>0</v>
      </c>
      <c r="E55" s="183">
        <f>'Propylene Recycling HC'!D108*'Propylene Recycling HC'!D44-'Propylene Recycling HC'!$C$108*'Propylene Recycling HC'!$C$44</f>
        <v>66.380688359245127</v>
      </c>
      <c r="F55" s="183">
        <f>'Propylene Recycling HC'!E108*'Propylene Recycling HC'!E44-'Propylene Recycling HC'!$C$108*'Propylene Recycling HC'!$C$44</f>
        <v>201.00760748039701</v>
      </c>
      <c r="G55" s="183">
        <f>'Propylene Recycling HC'!F108*'Propylene Recycling HC'!F44-'Propylene Recycling HC'!$C$108*'Propylene Recycling HC'!$C$44</f>
        <v>403.42781088693408</v>
      </c>
      <c r="H55" s="183">
        <f>'Propylene Recycling HC'!G108*'Propylene Recycling HC'!G44-'Propylene Recycling HC'!$C$108*'Propylene Recycling HC'!$C$44</f>
        <v>673.19035335709623</v>
      </c>
      <c r="I55" s="183">
        <f>'Propylene Recycling HC'!H108*'Propylene Recycling HC'!H44-'Propylene Recycling HC'!$C$108*'Propylene Recycling HC'!$C$44</f>
        <v>1009.8462835580576</v>
      </c>
      <c r="J55" s="183">
        <f>'Propylene Recycling HC'!I108*'Propylene Recycling HC'!I44-'Propylene Recycling HC'!$C$108*'Propylene Recycling HC'!$C$44</f>
        <v>1412.9486367044967</v>
      </c>
      <c r="K55" s="183">
        <f>'Propylene Recycling HC'!J108*'Propylene Recycling HC'!J44-'Propylene Recycling HC'!$C$108*'Propylene Recycling HC'!$C$44</f>
        <v>1882.0524272414862</v>
      </c>
      <c r="L55" s="183">
        <f>'Propylene Recycling HC'!K108*'Propylene Recycling HC'!K44-'Propylene Recycling HC'!$C$108*'Propylene Recycling HC'!$C$44</f>
        <v>2416.7146415516263</v>
      </c>
      <c r="M55" s="183">
        <f>'Propylene Recycling HC'!L108*'Propylene Recycling HC'!L44-'Propylene Recycling HC'!$C$108*'Propylene Recycling HC'!$C$44</f>
        <v>3016.4942306863545</v>
      </c>
      <c r="N55" s="183">
        <f>'Propylene Recycling HC'!M108*'Propylene Recycling HC'!M44-'Propylene Recycling HC'!$C$108*'Propylene Recycling HC'!$C$44</f>
        <v>3680.952103121344</v>
      </c>
      <c r="O55" s="183">
        <f>'Propylene Recycling HC'!N108*'Propylene Recycling HC'!N44-'Propylene Recycling HC'!$C$108*'Propylene Recycling HC'!$C$44</f>
        <v>4288.3773832398947</v>
      </c>
      <c r="P55" s="183">
        <f>'Propylene Recycling HC'!O108*'Propylene Recycling HC'!O44-'Propylene Recycling HC'!$C$108*'Propylene Recycling HC'!$C$44</f>
        <v>4938.1429553515236</v>
      </c>
      <c r="Q55" s="183">
        <f>'Propylene Recycling HC'!P108*'Propylene Recycling HC'!P44-'Propylene Recycling HC'!$C$108*'Propylene Recycling HC'!$C$44</f>
        <v>5629.9594911141367</v>
      </c>
      <c r="R55" s="183">
        <f>'Propylene Recycling HC'!Q108*'Propylene Recycling HC'!Q44-'Propylene Recycling HC'!$C$108*'Propylene Recycling HC'!$C$44</f>
        <v>6363.5389527707894</v>
      </c>
      <c r="S55" s="183">
        <f>'Propylene Recycling HC'!R108*'Propylene Recycling HC'!R44-'Propylene Recycling HC'!$C$108*'Propylene Recycling HC'!$C$44</f>
        <v>7138.5945883770137</v>
      </c>
      <c r="T55" s="183">
        <f>'Propylene Recycling HC'!S108*'Propylene Recycling HC'!S44-'Propylene Recycling HC'!$C$108*'Propylene Recycling HC'!$C$44</f>
        <v>7954.8409270439888</v>
      </c>
      <c r="U55" s="183">
        <f>'Propylene Recycling HC'!T108*'Propylene Recycling HC'!T44-'Propylene Recycling HC'!$C$108*'Propylene Recycling HC'!$C$44</f>
        <v>8811.9937741975245</v>
      </c>
      <c r="V55" s="183">
        <f>'Propylene Recycling HC'!U108*'Propylene Recycling HC'!U44-'Propylene Recycling HC'!$C$108*'Propylene Recycling HC'!$C$44</f>
        <v>9709.7702068528033</v>
      </c>
      <c r="W55" s="183">
        <f>'Propylene Recycling HC'!V108*'Propylene Recycling HC'!V44-'Propylene Recycling HC'!$C$108*'Propylene Recycling HC'!$C$44</f>
        <v>10647.888568904798</v>
      </c>
      <c r="X55" s="183">
        <f>'Propylene Recycling HC'!W108*'Propylene Recycling HC'!W44-'Propylene Recycling HC'!$C$108*'Propylene Recycling HC'!$C$44</f>
        <v>11626.06846643439</v>
      </c>
      <c r="Y55" s="183">
        <f>'Propylene Recycling HC'!X108*'Propylene Recycling HC'!X44-'Propylene Recycling HC'!$C$108*'Propylene Recycling HC'!$C$44</f>
        <v>12893.336138926961</v>
      </c>
      <c r="Z55" s="183">
        <f>'Propylene Recycling HC'!Y108*'Propylene Recycling HC'!Y44-'Propylene Recycling HC'!$C$108*'Propylene Recycling HC'!$C$44</f>
        <v>14222.698560251381</v>
      </c>
      <c r="AA55" s="183">
        <f>'Propylene Recycling HC'!Z108*'Propylene Recycling HC'!Z44-'Propylene Recycling HC'!$C$108*'Propylene Recycling HC'!$C$44</f>
        <v>15613.725841263898</v>
      </c>
      <c r="AB55" s="183">
        <f>'Propylene Recycling HC'!AA108*'Propylene Recycling HC'!AA44-'Propylene Recycling HC'!$C$108*'Propylene Recycling HC'!$C$44</f>
        <v>17065.990018389231</v>
      </c>
      <c r="AC55" s="183">
        <f>'Propylene Recycling HC'!AB108*'Propylene Recycling HC'!AB44-'Propylene Recycling HC'!$C$108*'Propylene Recycling HC'!$C$44</f>
        <v>18579.06504648507</v>
      </c>
      <c r="AD55" s="183">
        <f>'Propylene Recycling HC'!AC108*'Propylene Recycling HC'!AC44-'Propylene Recycling HC'!$C$108*'Propylene Recycling HC'!$C$44</f>
        <v>20152.526791730295</v>
      </c>
      <c r="AE55" s="183">
        <f>'Propylene Recycling HC'!AD108*'Propylene Recycling HC'!AD44-'Propylene Recycling HC'!$C$108*'Propylene Recycling HC'!$C$44</f>
        <v>21785.95302453687</v>
      </c>
      <c r="AF55" s="183">
        <f>'Propylene Recycling HC'!AE108*'Propylene Recycling HC'!AE44-'Propylene Recycling HC'!$C$108*'Propylene Recycling HC'!$C$44</f>
        <v>23478.923412485321</v>
      </c>
      <c r="AG55" s="183">
        <f>'Propylene Recycling HC'!AF108*'Propylene Recycling HC'!AF44-'Propylene Recycling HC'!$C$108*'Propylene Recycling HC'!$C$44</f>
        <v>25231.019513283682</v>
      </c>
      <c r="AH55" s="183">
        <f>'Propylene Recycling HC'!AG108*'Propylene Recycling HC'!AG44-'Propylene Recycling HC'!$C$108*'Propylene Recycling HC'!$C$44</f>
        <v>27041.824767749971</v>
      </c>
    </row>
    <row r="56" spans="1:36" outlineLevel="1">
      <c r="A56"/>
      <c r="B56" t="s">
        <v>268</v>
      </c>
      <c r="C56" s="50" t="s">
        <v>1420</v>
      </c>
      <c r="D56" s="183">
        <f>0</f>
        <v>0</v>
      </c>
      <c r="E56" s="183">
        <f>'Propylene Recycling HC'!D64*'Propylene Recycling HC'!D42-'Propylene Recycling HC'!$C$64*'Propylene Recycling HC'!$C$42</f>
        <v>5272.6956140983384</v>
      </c>
      <c r="F56" s="183">
        <f>'Propylene Recycling HC'!E64*'Propylene Recycling HC'!E42-'Propylene Recycling HC'!$C$64*'Propylene Recycling HC'!$C$42</f>
        <v>10792.637833005843</v>
      </c>
      <c r="G56" s="183">
        <f>'Propylene Recycling HC'!F64*'Propylene Recycling HC'!F42-'Propylene Recycling HC'!$C$64*'Propylene Recycling HC'!$C$42</f>
        <v>16548.851877376204</v>
      </c>
      <c r="H56" s="183">
        <f>'Propylene Recycling HC'!G64*'Propylene Recycling HC'!G42-'Propylene Recycling HC'!$C$64*'Propylene Recycling HC'!$C$42</f>
        <v>22530.452421126152</v>
      </c>
      <c r="I56" s="183">
        <f>'Propylene Recycling HC'!H64*'Propylene Recycling HC'!H42-'Propylene Recycling HC'!$C$64*'Propylene Recycling HC'!$C$42</f>
        <v>28726.643111677557</v>
      </c>
      <c r="J56" s="183">
        <f>'Propylene Recycling HC'!I64*'Propylene Recycling HC'!I42-'Propylene Recycling HC'!$C$64*'Propylene Recycling HC'!$C$42</f>
        <v>35126.71609228618</v>
      </c>
      <c r="K56" s="183">
        <f>'Propylene Recycling HC'!J64*'Propylene Recycling HC'!J42-'Propylene Recycling HC'!$C$64*'Propylene Recycling HC'!$C$42</f>
        <v>41720.051526450174</v>
      </c>
      <c r="L56" s="183">
        <f>'Propylene Recycling HC'!K64*'Propylene Recycling HC'!K42-'Propylene Recycling HC'!$C$64*'Propylene Recycling HC'!$C$42</f>
        <v>48496.11712438942</v>
      </c>
      <c r="M56" s="183">
        <f>'Propylene Recycling HC'!L64*'Propylene Recycling HC'!L42-'Propylene Recycling HC'!$C$64*'Propylene Recycling HC'!$C$42</f>
        <v>55444.467671588209</v>
      </c>
      <c r="N56" s="183">
        <f>'Propylene Recycling HC'!M64*'Propylene Recycling HC'!M42-'Propylene Recycling HC'!$C$64*'Propylene Recycling HC'!$C$42</f>
        <v>62554.744559393497</v>
      </c>
      <c r="O56" s="183">
        <f>'Propylene Recycling HC'!N64*'Propylene Recycling HC'!N42-'Propylene Recycling HC'!$C$64*'Propylene Recycling HC'!$C$42</f>
        <v>66580.646263202478</v>
      </c>
      <c r="P56" s="183">
        <f>'Propylene Recycling HC'!O64*'Propylene Recycling HC'!O42-'Propylene Recycling HC'!$C$64*'Propylene Recycling HC'!$C$42</f>
        <v>70654.433188121606</v>
      </c>
      <c r="Q56" s="183">
        <f>'Propylene Recycling HC'!P64*'Propylene Recycling HC'!P42-'Propylene Recycling HC'!$C$64*'Propylene Recycling HC'!$C$42</f>
        <v>74523.725894549061</v>
      </c>
      <c r="R56" s="183">
        <f>'Propylene Recycling HC'!Q64*'Propylene Recycling HC'!Q42-'Propylene Recycling HC'!$C$64*'Propylene Recycling HC'!$C$42</f>
        <v>78291.361853143317</v>
      </c>
      <c r="S56" s="183">
        <f>'Propylene Recycling HC'!R64*'Propylene Recycling HC'!R42-'Propylene Recycling HC'!$C$64*'Propylene Recycling HC'!$C$42</f>
        <v>81956.4187312961</v>
      </c>
      <c r="T56" s="183">
        <f>'Propylene Recycling HC'!S64*'Propylene Recycling HC'!S42-'Propylene Recycling HC'!$C$64*'Propylene Recycling HC'!$C$42</f>
        <v>85517.985144309947</v>
      </c>
      <c r="U56" s="183">
        <f>'Propylene Recycling HC'!T64*'Propylene Recycling HC'!T42-'Propylene Recycling HC'!$C$64*'Propylene Recycling HC'!$C$42</f>
        <v>88975.160589977095</v>
      </c>
      <c r="V56" s="183">
        <f>'Propylene Recycling HC'!U64*'Propylene Recycling HC'!U42-'Propylene Recycling HC'!$C$64*'Propylene Recycling HC'!$C$42</f>
        <v>92327.055383457759</v>
      </c>
      <c r="W56" s="183">
        <f>'Propylene Recycling HC'!V64*'Propylene Recycling HC'!V42-'Propylene Recycling HC'!$C$64*'Propylene Recycling HC'!$C$42</f>
        <v>95572.790592457342</v>
      </c>
      <c r="X56" s="183">
        <f>'Propylene Recycling HC'!W64*'Propylene Recycling HC'!W42-'Propylene Recycling HC'!$C$64*'Propylene Recycling HC'!$C$42</f>
        <v>98711.497972700075</v>
      </c>
      <c r="Y56" s="183">
        <f>'Propylene Recycling HC'!X64*'Propylene Recycling HC'!X42-'Propylene Recycling HC'!$C$64*'Propylene Recycling HC'!$C$42</f>
        <v>102632.55658869562</v>
      </c>
      <c r="Z56" s="183">
        <f>'Propylene Recycling HC'!Y64*'Propylene Recycling HC'!Y42-'Propylene Recycling HC'!$C$64*'Propylene Recycling HC'!$C$42</f>
        <v>106264.30847746431</v>
      </c>
      <c r="AA56" s="183">
        <f>'Propylene Recycling HC'!Z64*'Propylene Recycling HC'!Z42-'Propylene Recycling HC'!$C$64*'Propylene Recycling HC'!$C$42</f>
        <v>109831.71102288426</v>
      </c>
      <c r="AB56" s="183">
        <f>'Propylene Recycling HC'!AA64*'Propylene Recycling HC'!AA42-'Propylene Recycling HC'!$C$64*'Propylene Recycling HC'!$C$42</f>
        <v>113334.11009308475</v>
      </c>
      <c r="AC56" s="183">
        <f>'Propylene Recycling HC'!AB64*'Propylene Recycling HC'!AB42-'Propylene Recycling HC'!$C$64*'Propylene Recycling HC'!$C$42</f>
        <v>116770.85905439552</v>
      </c>
      <c r="AD56" s="183">
        <f>'Propylene Recycling HC'!AC64*'Propylene Recycling HC'!AC42-'Propylene Recycling HC'!$C$64*'Propylene Recycling HC'!$C$42</f>
        <v>120141.31872694541</v>
      </c>
      <c r="AE56" s="183">
        <f>'Propylene Recycling HC'!AD64*'Propylene Recycling HC'!AD42-'Propylene Recycling HC'!$C$64*'Propylene Recycling HC'!$C$42</f>
        <v>123444.85734046341</v>
      </c>
      <c r="AF56" s="183">
        <f>'Propylene Recycling HC'!AE64*'Propylene Recycling HC'!AE42-'Propylene Recycling HC'!$C$64*'Propylene Recycling HC'!$C$42</f>
        <v>126680.85049028136</v>
      </c>
      <c r="AG56" s="183">
        <f>'Propylene Recycling HC'!AF64*'Propylene Recycling HC'!AF42-'Propylene Recycling HC'!$C$64*'Propylene Recycling HC'!$C$42</f>
        <v>129848.68109353801</v>
      </c>
      <c r="AH56" s="183">
        <f>'Propylene Recycling HC'!AG64*'Propylene Recycling HC'!AG42-'Propylene Recycling HC'!$C$64*'Propylene Recycling HC'!$C$42</f>
        <v>132947.73934558232</v>
      </c>
    </row>
    <row r="57" spans="1:36" outlineLevel="1">
      <c r="A57"/>
      <c r="B57" t="s">
        <v>270</v>
      </c>
      <c r="C57" s="50" t="s">
        <v>1420</v>
      </c>
      <c r="D57" s="183">
        <f>0</f>
        <v>0</v>
      </c>
      <c r="E57" s="183">
        <f>'Propylene Recycling HC'!D101*'Propylene Recycling HC'!D45-'Propylene Recycling HC'!$C$101*'Propylene Recycling HC'!$C$45</f>
        <v>0</v>
      </c>
      <c r="F57" s="183">
        <f>'Propylene Recycling HC'!E101*'Propylene Recycling HC'!E45-'Propylene Recycling HC'!$C$101*'Propylene Recycling HC'!$C$45</f>
        <v>0</v>
      </c>
      <c r="G57" s="183">
        <f>'Propylene Recycling HC'!F101*'Propylene Recycling HC'!F45-'Propylene Recycling HC'!$C$101*'Propylene Recycling HC'!$C$45</f>
        <v>0</v>
      </c>
      <c r="H57" s="183">
        <f>'Propylene Recycling HC'!G101*'Propylene Recycling HC'!G45-'Propylene Recycling HC'!$C$101*'Propylene Recycling HC'!$C$45</f>
        <v>0</v>
      </c>
      <c r="I57" s="183">
        <f>'Propylene Recycling HC'!H101*'Propylene Recycling HC'!H45-'Propylene Recycling HC'!$C$101*'Propylene Recycling HC'!$C$45</f>
        <v>0</v>
      </c>
      <c r="J57" s="183">
        <f>'Propylene Recycling HC'!I101*'Propylene Recycling HC'!I45-'Propylene Recycling HC'!$C$101*'Propylene Recycling HC'!$C$45</f>
        <v>0</v>
      </c>
      <c r="K57" s="183">
        <f>'Propylene Recycling HC'!J101*'Propylene Recycling HC'!J45-'Propylene Recycling HC'!$C$101*'Propylene Recycling HC'!$C$45</f>
        <v>0</v>
      </c>
      <c r="L57" s="183">
        <f>'Propylene Recycling HC'!K101*'Propylene Recycling HC'!K45-'Propylene Recycling HC'!$C$101*'Propylene Recycling HC'!$C$45</f>
        <v>0</v>
      </c>
      <c r="M57" s="183">
        <f>'Propylene Recycling HC'!L101*'Propylene Recycling HC'!L45-'Propylene Recycling HC'!$C$101*'Propylene Recycling HC'!$C$45</f>
        <v>0</v>
      </c>
      <c r="N57" s="183">
        <f>'Propylene Recycling HC'!M101*'Propylene Recycling HC'!M45-'Propylene Recycling HC'!$C$101*'Propylene Recycling HC'!$C$45</f>
        <v>0</v>
      </c>
      <c r="O57" s="183">
        <f>'Propylene Recycling HC'!N101*'Propylene Recycling HC'!N45-'Propylene Recycling HC'!$C$101*'Propylene Recycling HC'!$C$45</f>
        <v>0</v>
      </c>
      <c r="P57" s="183">
        <f>'Propylene Recycling HC'!O101*'Propylene Recycling HC'!O45-'Propylene Recycling HC'!$C$101*'Propylene Recycling HC'!$C$45</f>
        <v>0</v>
      </c>
      <c r="Q57" s="183">
        <f>'Propylene Recycling HC'!P101*'Propylene Recycling HC'!P45-'Propylene Recycling HC'!$C$101*'Propylene Recycling HC'!$C$45</f>
        <v>0</v>
      </c>
      <c r="R57" s="183">
        <f>'Propylene Recycling HC'!Q101*'Propylene Recycling HC'!Q45-'Propylene Recycling HC'!$C$101*'Propylene Recycling HC'!$C$45</f>
        <v>0</v>
      </c>
      <c r="S57" s="183">
        <f>'Propylene Recycling HC'!R101*'Propylene Recycling HC'!R45-'Propylene Recycling HC'!$C$101*'Propylene Recycling HC'!$C$45</f>
        <v>0</v>
      </c>
      <c r="T57" s="183">
        <f>'Propylene Recycling HC'!S101*'Propylene Recycling HC'!S45-'Propylene Recycling HC'!$C$101*'Propylene Recycling HC'!$C$45</f>
        <v>0</v>
      </c>
      <c r="U57" s="183">
        <f>'Propylene Recycling HC'!T101*'Propylene Recycling HC'!T45-'Propylene Recycling HC'!$C$101*'Propylene Recycling HC'!$C$45</f>
        <v>0</v>
      </c>
      <c r="V57" s="183">
        <f>'Propylene Recycling HC'!U101*'Propylene Recycling HC'!U45-'Propylene Recycling HC'!$C$101*'Propylene Recycling HC'!$C$45</f>
        <v>0</v>
      </c>
      <c r="W57" s="183">
        <f>'Propylene Recycling HC'!V101*'Propylene Recycling HC'!V45-'Propylene Recycling HC'!$C$101*'Propylene Recycling HC'!$C$45</f>
        <v>0</v>
      </c>
      <c r="X57" s="183">
        <f>'Propylene Recycling HC'!W101*'Propylene Recycling HC'!W45-'Propylene Recycling HC'!$C$101*'Propylene Recycling HC'!$C$45</f>
        <v>0</v>
      </c>
      <c r="Y57" s="183">
        <f>'Propylene Recycling HC'!X101*'Propylene Recycling HC'!X45-'Propylene Recycling HC'!$C$101*'Propylene Recycling HC'!$C$45</f>
        <v>0</v>
      </c>
      <c r="Z57" s="183">
        <f>'Propylene Recycling HC'!Y101*'Propylene Recycling HC'!Y45-'Propylene Recycling HC'!$C$101*'Propylene Recycling HC'!$C$45</f>
        <v>0</v>
      </c>
      <c r="AA57" s="183">
        <f>'Propylene Recycling HC'!Z101*'Propylene Recycling HC'!Z45-'Propylene Recycling HC'!$C$101*'Propylene Recycling HC'!$C$45</f>
        <v>0</v>
      </c>
      <c r="AB57" s="183">
        <f>'Propylene Recycling HC'!AA101*'Propylene Recycling HC'!AA45-'Propylene Recycling HC'!$C$101*'Propylene Recycling HC'!$C$45</f>
        <v>0</v>
      </c>
      <c r="AC57" s="183">
        <f>'Propylene Recycling HC'!AB101*'Propylene Recycling HC'!AB45-'Propylene Recycling HC'!$C$101*'Propylene Recycling HC'!$C$45</f>
        <v>0</v>
      </c>
      <c r="AD57" s="183">
        <f>'Propylene Recycling HC'!AC101*'Propylene Recycling HC'!AC45-'Propylene Recycling HC'!$C$101*'Propylene Recycling HC'!$C$45</f>
        <v>0</v>
      </c>
      <c r="AE57" s="183">
        <f>'Propylene Recycling HC'!AD101*'Propylene Recycling HC'!AD45-'Propylene Recycling HC'!$C$101*'Propylene Recycling HC'!$C$45</f>
        <v>0</v>
      </c>
      <c r="AF57" s="183">
        <f>'Propylene Recycling HC'!AE101*'Propylene Recycling HC'!AE45-'Propylene Recycling HC'!$C$101*'Propylene Recycling HC'!$C$45</f>
        <v>0</v>
      </c>
      <c r="AG57" s="183">
        <f>'Propylene Recycling HC'!AF101*'Propylene Recycling HC'!AF45-'Propylene Recycling HC'!$C$101*'Propylene Recycling HC'!$C$45</f>
        <v>0</v>
      </c>
      <c r="AH57" s="183">
        <f>'Propylene Recycling HC'!AG101*'Propylene Recycling HC'!AG45-'Propylene Recycling HC'!$C$101*'Propylene Recycling HC'!$C$45</f>
        <v>0</v>
      </c>
    </row>
    <row r="58" spans="1:36" outlineLevel="1">
      <c r="A58" s="160"/>
      <c r="B58" s="160" t="s">
        <v>269</v>
      </c>
      <c r="C58" s="156" t="s">
        <v>1420</v>
      </c>
      <c r="D58" s="547">
        <f>0</f>
        <v>0</v>
      </c>
      <c r="E58" s="547">
        <f>'Propylene Recycling HC'!D86*'Propylene Recycling HC'!D43-'Propylene Recycling HC'!$C$86*'Propylene Recycling HC'!$C$43</f>
        <v>532.40752813015024</v>
      </c>
      <c r="F58" s="547">
        <f>'Propylene Recycling HC'!E86*'Propylene Recycling HC'!E43-'Propylene Recycling HC'!$C$86*'Propylene Recycling HC'!$C$43</f>
        <v>975.03071759167324</v>
      </c>
      <c r="G58" s="547">
        <f>'Propylene Recycling HC'!F86*'Propylene Recycling HC'!F43-'Propylene Recycling HC'!$C$86*'Propylene Recycling HC'!$C$43</f>
        <v>1331.3481634386499</v>
      </c>
      <c r="H58" s="547">
        <f>'Propylene Recycling HC'!G86*'Propylene Recycling HC'!G43-'Propylene Recycling HC'!$C$86*'Propylene Recycling HC'!$C$43</f>
        <v>1604.8103457268317</v>
      </c>
      <c r="I58" s="547">
        <f>'Propylene Recycling HC'!H86*'Propylene Recycling HC'!H43-'Propylene Recycling HC'!$C$86*'Propylene Recycling HC'!$C$43</f>
        <v>1798.8397799133145</v>
      </c>
      <c r="J58" s="547">
        <f>'Propylene Recycling HC'!I86*'Propylene Recycling HC'!I43-'Propylene Recycling HC'!$C$86*'Propylene Recycling HC'!$C$43</f>
        <v>1916.831166602753</v>
      </c>
      <c r="K58" s="547">
        <f>'Propylene Recycling HC'!J86*'Propylene Recycling HC'!J43-'Propylene Recycling HC'!$C$86*'Propylene Recycling HC'!$C$43</f>
        <v>1962.151540642406</v>
      </c>
      <c r="L58" s="547">
        <f>'Propylene Recycling HC'!K86*'Propylene Recycling HC'!K43-'Propylene Recycling HC'!$C$86*'Propylene Recycling HC'!$C$43</f>
        <v>1938.1404195687483</v>
      </c>
      <c r="M58" s="547">
        <f>'Propylene Recycling HC'!L86*'Propylene Recycling HC'!L43-'Propylene Recycling HC'!$C$86*'Propylene Recycling HC'!$C$43</f>
        <v>1848.1099514079306</v>
      </c>
      <c r="N58" s="547">
        <f>'Propylene Recycling HC'!M86*'Propylene Recycling HC'!M43-'Propylene Recycling HC'!$C$86*'Propylene Recycling HC'!$C$43</f>
        <v>1695.3450618326806</v>
      </c>
      <c r="O58" s="547">
        <f>'Propylene Recycling HC'!N86*'Propylene Recycling HC'!N43-'Propylene Recycling HC'!$C$86*'Propylene Recycling HC'!$C$43</f>
        <v>1242.5865517700204</v>
      </c>
      <c r="P58" s="547">
        <f>'Propylene Recycling HC'!O86*'Propylene Recycling HC'!O43-'Propylene Recycling HC'!$C$86*'Propylene Recycling HC'!$C$43</f>
        <v>760.37078456113704</v>
      </c>
      <c r="Q58" s="547">
        <f>'Propylene Recycling HC'!P86*'Propylene Recycling HC'!P43-'Propylene Recycling HC'!$C$86*'Propylene Recycling HC'!$C$43</f>
        <v>196.28191414720823</v>
      </c>
      <c r="R58" s="547">
        <f>'Propylene Recycling HC'!Q86*'Propylene Recycling HC'!Q43-'Propylene Recycling HC'!$C$86*'Propylene Recycling HC'!$C$43</f>
        <v>-389.55552159383114</v>
      </c>
      <c r="S58" s="547">
        <f>'Propylene Recycling HC'!R86*'Propylene Recycling HC'!R43-'Propylene Recycling HC'!$C$86*'Propylene Recycling HC'!$C$43</f>
        <v>-994.82384373233072</v>
      </c>
      <c r="T58" s="547">
        <f>'Propylene Recycling HC'!S86*'Propylene Recycling HC'!S43-'Propylene Recycling HC'!$C$86*'Propylene Recycling HC'!$C$43</f>
        <v>-1617.249983333475</v>
      </c>
      <c r="U58" s="547">
        <f>'Propylene Recycling HC'!T86*'Propylene Recycling HC'!T43-'Propylene Recycling HC'!$C$86*'Propylene Recycling HC'!$C$43</f>
        <v>-2254.6052618013309</v>
      </c>
      <c r="V58" s="547">
        <f>'Propylene Recycling HC'!U86*'Propylene Recycling HC'!U43-'Propylene Recycling HC'!$C$86*'Propylene Recycling HC'!$C$43</f>
        <v>-2904.7051682360288</v>
      </c>
      <c r="W58" s="547">
        <f>'Propylene Recycling HC'!V86*'Propylene Recycling HC'!V43-'Propylene Recycling HC'!$C$86*'Propylene Recycling HC'!$C$43</f>
        <v>-3565.4091338578983</v>
      </c>
      <c r="X58" s="547">
        <f>'Propylene Recycling HC'!W86*'Propylene Recycling HC'!W43-'Propylene Recycling HC'!$C$86*'Propylene Recycling HC'!$C$43</f>
        <v>-4234.6203035516755</v>
      </c>
      <c r="Y58" s="547">
        <f>'Propylene Recycling HC'!X86*'Propylene Recycling HC'!X43-'Propylene Recycling HC'!$C$86*'Propylene Recycling HC'!$C$43</f>
        <v>-4779.232005179796</v>
      </c>
      <c r="Z58" s="547">
        <f>'Propylene Recycling HC'!Y86*'Propylene Recycling HC'!Y43-'Propylene Recycling HC'!$C$86*'Propylene Recycling HC'!$C$43</f>
        <v>-5350.103425969397</v>
      </c>
      <c r="AA58" s="547">
        <f>'Propylene Recycling HC'!Z86*'Propylene Recycling HC'!Z43-'Propylene Recycling HC'!$C$86*'Propylene Recycling HC'!$C$43</f>
        <v>-6024.6393906461872</v>
      </c>
      <c r="AB58" s="547">
        <f>'Propylene Recycling HC'!AA86*'Propylene Recycling HC'!AA43-'Propylene Recycling HC'!$C$86*'Propylene Recycling HC'!$C$43</f>
        <v>-6709.6049812857127</v>
      </c>
      <c r="AC58" s="547">
        <f>'Propylene Recycling HC'!AB86*'Propylene Recycling HC'!AB43-'Propylene Recycling HC'!$C$86*'Propylene Recycling HC'!$C$43</f>
        <v>-7401.2740020228575</v>
      </c>
      <c r="AD58" s="547">
        <f>'Propylene Recycling HC'!AC86*'Propylene Recycling HC'!AC43-'Propylene Recycling HC'!$C$86*'Propylene Recycling HC'!$C$43</f>
        <v>-8096.0830731653859</v>
      </c>
      <c r="AE58" s="547">
        <f>'Propylene Recycling HC'!AD86*'Propylene Recycling HC'!AD43-'Propylene Recycling HC'!$C$86*'Propylene Recycling HC'!$C$43</f>
        <v>-8790.6311756996711</v>
      </c>
      <c r="AF58" s="547">
        <f>'Propylene Recycling HC'!AE86*'Propylene Recycling HC'!AE43-'Propylene Recycling HC'!$C$86*'Propylene Recycling HC'!$C$43</f>
        <v>-9481.6790849308527</v>
      </c>
      <c r="AG58" s="547">
        <f>'Propylene Recycling HC'!AF86*'Propylene Recycling HC'!AF43-'Propylene Recycling HC'!$C$86*'Propylene Recycling HC'!$C$43</f>
        <v>-10166.148694959033</v>
      </c>
      <c r="AH58" s="547">
        <f>'Propylene Recycling HC'!AG86*'Propylene Recycling HC'!AG43-'Propylene Recycling HC'!$C$86*'Propylene Recycling HC'!$C$43</f>
        <v>-10841.122235678125</v>
      </c>
    </row>
    <row r="59" spans="1:36" s="62" customFormat="1">
      <c r="A59" s="211"/>
      <c r="B59" s="211" t="s">
        <v>267</v>
      </c>
      <c r="C59" s="212" t="s">
        <v>1420</v>
      </c>
      <c r="D59" s="554">
        <f>D54-D55-D56-D57-D58</f>
        <v>350789.70130119962</v>
      </c>
      <c r="E59" s="554">
        <f t="shared" ref="E59:AH59" si="24">E54-E55-E56-E57-E58</f>
        <v>336151.42453786475</v>
      </c>
      <c r="F59" s="554">
        <f t="shared" si="24"/>
        <v>321392.58218545566</v>
      </c>
      <c r="G59" s="554">
        <f t="shared" si="24"/>
        <v>306520.08375203412</v>
      </c>
      <c r="H59" s="554">
        <f t="shared" si="24"/>
        <v>291540.78478935634</v>
      </c>
      <c r="I59" s="554">
        <f t="shared" si="24"/>
        <v>276461.48714930902</v>
      </c>
      <c r="J59" s="554">
        <f t="shared" si="24"/>
        <v>261288.93923955134</v>
      </c>
      <c r="K59" s="554">
        <f t="shared" si="24"/>
        <v>246029.83627836197</v>
      </c>
      <c r="L59" s="554">
        <f t="shared" si="24"/>
        <v>230690.8205486917</v>
      </c>
      <c r="M59" s="554">
        <f t="shared" si="24"/>
        <v>215278.48165142283</v>
      </c>
      <c r="N59" s="554">
        <f t="shared" si="24"/>
        <v>199799.35675783397</v>
      </c>
      <c r="O59" s="554">
        <f t="shared" si="24"/>
        <v>187857.7506989339</v>
      </c>
      <c r="P59" s="554">
        <f t="shared" si="24"/>
        <v>175950.53581286879</v>
      </c>
      <c r="Q59" s="554">
        <f t="shared" si="24"/>
        <v>164381.84738860291</v>
      </c>
      <c r="R59" s="554">
        <f t="shared" si="24"/>
        <v>152988.07073986929</v>
      </c>
      <c r="S59" s="554">
        <f t="shared" si="24"/>
        <v>141767.16509246439</v>
      </c>
      <c r="T59" s="554">
        <f t="shared" si="24"/>
        <v>130717.13051559532</v>
      </c>
      <c r="U59" s="554">
        <f t="shared" si="24"/>
        <v>119836.00769971379</v>
      </c>
      <c r="V59" s="554">
        <f t="shared" si="24"/>
        <v>109121.87773165069</v>
      </c>
      <c r="W59" s="554">
        <f t="shared" si="24"/>
        <v>98572.861867099593</v>
      </c>
      <c r="X59" s="554">
        <f t="shared" si="24"/>
        <v>88187.121300500134</v>
      </c>
      <c r="Y59" s="554">
        <f t="shared" si="24"/>
        <v>76525.676119601703</v>
      </c>
      <c r="Z59" s="554">
        <f t="shared" si="24"/>
        <v>65206.069060327747</v>
      </c>
      <c r="AA59" s="554">
        <f t="shared" si="24"/>
        <v>54080.286705342354</v>
      </c>
      <c r="AB59" s="554">
        <f t="shared" si="24"/>
        <v>43055.293607871528</v>
      </c>
      <c r="AC59" s="554">
        <f t="shared" si="24"/>
        <v>32127.56167964459</v>
      </c>
      <c r="AD59" s="554">
        <f t="shared" si="24"/>
        <v>21293.72426714687</v>
      </c>
      <c r="AE59" s="554">
        <f t="shared" si="24"/>
        <v>10550.57567861449</v>
      </c>
      <c r="AF59" s="554">
        <f t="shared" si="24"/>
        <v>-104.92939949043648</v>
      </c>
      <c r="AG59" s="554">
        <f t="shared" si="24"/>
        <v>-10675.676594827208</v>
      </c>
      <c r="AH59" s="554">
        <f t="shared" si="24"/>
        <v>-21164.39264866168</v>
      </c>
    </row>
    <row r="60" spans="1:36">
      <c r="A60" s="158" t="s">
        <v>308</v>
      </c>
      <c r="B60" s="213" t="s">
        <v>200</v>
      </c>
      <c r="C60" s="214" t="s">
        <v>1420</v>
      </c>
      <c r="D60" s="568">
        <f>D35+D38</f>
        <v>1577666.5665936389</v>
      </c>
      <c r="E60" s="568">
        <f t="shared" ref="E60:AH60" si="25">E35+E38</f>
        <v>1544987.9660215743</v>
      </c>
      <c r="F60" s="568">
        <f t="shared" si="25"/>
        <v>1512390.1177093049</v>
      </c>
      <c r="G60" s="568">
        <f t="shared" si="25"/>
        <v>1479873.4902523826</v>
      </c>
      <c r="H60" s="568">
        <f t="shared" si="25"/>
        <v>1447438.5878509067</v>
      </c>
      <c r="I60" s="568">
        <f t="shared" si="25"/>
        <v>1415085.9515107323</v>
      </c>
      <c r="J60" s="568">
        <f t="shared" si="25"/>
        <v>1380633.9483429324</v>
      </c>
      <c r="K60" s="568">
        <f t="shared" si="25"/>
        <v>1346318.6348858685</v>
      </c>
      <c r="L60" s="568">
        <f t="shared" si="25"/>
        <v>1312140.0020662509</v>
      </c>
      <c r="M60" s="568">
        <f t="shared" si="25"/>
        <v>1278098.0891837135</v>
      </c>
      <c r="N60" s="568">
        <f t="shared" si="25"/>
        <v>1244192.9851938256</v>
      </c>
      <c r="O60" s="568">
        <f t="shared" si="25"/>
        <v>1206517.5333590636</v>
      </c>
      <c r="P60" s="568">
        <f t="shared" si="25"/>
        <v>1169082.4793429635</v>
      </c>
      <c r="Q60" s="568">
        <f t="shared" si="25"/>
        <v>1131886.6079205675</v>
      </c>
      <c r="R60" s="568">
        <f t="shared" si="25"/>
        <v>1094928.775134699</v>
      </c>
      <c r="S60" s="568">
        <f t="shared" si="25"/>
        <v>1058207.9095772377</v>
      </c>
      <c r="T60" s="568">
        <f t="shared" si="25"/>
        <v>1018426.8048180217</v>
      </c>
      <c r="U60" s="568">
        <f t="shared" si="25"/>
        <v>978975.95389195159</v>
      </c>
      <c r="V60" s="568">
        <f t="shared" si="25"/>
        <v>939852.9787807808</v>
      </c>
      <c r="W60" s="568">
        <f t="shared" si="25"/>
        <v>901055.59895395243</v>
      </c>
      <c r="X60" s="568">
        <f t="shared" si="25"/>
        <v>862581.63261263387</v>
      </c>
      <c r="Y60" s="568">
        <f t="shared" si="25"/>
        <v>822023.19769267552</v>
      </c>
      <c r="Z60" s="568">
        <f t="shared" si="25"/>
        <v>781868.60154121462</v>
      </c>
      <c r="AA60" s="568">
        <f t="shared" si="25"/>
        <v>742114.84625271976</v>
      </c>
      <c r="AB60" s="568">
        <f t="shared" si="25"/>
        <v>702759.06092364294</v>
      </c>
      <c r="AC60" s="568">
        <f t="shared" si="25"/>
        <v>663798.50297979382</v>
      </c>
      <c r="AD60" s="568">
        <f t="shared" si="25"/>
        <v>624151.12271418341</v>
      </c>
      <c r="AE60" s="568">
        <f t="shared" si="25"/>
        <v>584929.6642124604</v>
      </c>
      <c r="AF60" s="568">
        <f t="shared" si="25"/>
        <v>546131.10353237088</v>
      </c>
      <c r="AG60" s="568">
        <f t="shared" si="25"/>
        <v>507752.56095285446</v>
      </c>
      <c r="AH60" s="568">
        <f t="shared" si="25"/>
        <v>469791.30242327676</v>
      </c>
    </row>
    <row r="61" spans="1:36">
      <c r="A61" s="158"/>
      <c r="B61" s="160" t="s">
        <v>266</v>
      </c>
      <c r="C61" s="156" t="s">
        <v>1420</v>
      </c>
      <c r="D61" s="547">
        <f>0</f>
        <v>0</v>
      </c>
      <c r="E61" s="547">
        <f>'Propylene Recycling HC'!D111*'Propylene Recycling HC'!D46-'Propylene Recycling HC'!$C$111*'Propylene Recycling HC'!$C$46</f>
        <v>12620.984811903065</v>
      </c>
      <c r="F61" s="547">
        <f>'Propylene Recycling HC'!E111*'Propylene Recycling HC'!E46-'Propylene Recycling HC'!$C$111*'Propylene Recycling HC'!$C$46</f>
        <v>25185.729203230978</v>
      </c>
      <c r="G61" s="547">
        <f>'Propylene Recycling HC'!F111*'Propylene Recycling HC'!F46-'Propylene Recycling HC'!$C$111*'Propylene Recycling HC'!$C$46</f>
        <v>37694.419976917954</v>
      </c>
      <c r="H61" s="547">
        <f>'Propylene Recycling HC'!G111*'Propylene Recycling HC'!G46-'Propylene Recycling HC'!$C$111*'Propylene Recycling HC'!$C$46</f>
        <v>50147.243385216527</v>
      </c>
      <c r="I61" s="547">
        <f>'Propylene Recycling HC'!H111*'Propylene Recycling HC'!H46-'Propylene Recycling HC'!$C$111*'Propylene Recycling HC'!$C$46</f>
        <v>62544.385131218602</v>
      </c>
      <c r="J61" s="547">
        <f>'Propylene Recycling HC'!I111*'Propylene Recycling HC'!I46-'Propylene Recycling HC'!$C$111*'Propylene Recycling HC'!$C$46</f>
        <v>73691.769187900776</v>
      </c>
      <c r="K61" s="547">
        <f>'Propylene Recycling HC'!J111*'Propylene Recycling HC'!J46-'Propylene Recycling HC'!$C$111*'Propylene Recycling HC'!$C$46</f>
        <v>84621.661746942831</v>
      </c>
      <c r="L61" s="547">
        <f>'Propylene Recycling HC'!K111*'Propylene Recycling HC'!K46-'Propylene Recycling HC'!$C$111*'Propylene Recycling HC'!$C$46</f>
        <v>95335.338404130525</v>
      </c>
      <c r="M61" s="547">
        <f>'Propylene Recycling HC'!L111*'Propylene Recycling HC'!L46-'Propylene Recycling HC'!$C$111*'Propylene Recycling HC'!$C$46</f>
        <v>105834.06936716336</v>
      </c>
      <c r="N61" s="547">
        <f>'Propylene Recycling HC'!M111*'Propylene Recycling HC'!M46-'Propylene Recycling HC'!$C$111*'Propylene Recycling HC'!$C$46</f>
        <v>116119.119475028</v>
      </c>
      <c r="O61" s="547">
        <f>'Propylene Recycling HC'!N111*'Propylene Recycling HC'!N46-'Propylene Recycling HC'!$C$111*'Propylene Recycling HC'!$C$46</f>
        <v>122228.66660173498</v>
      </c>
      <c r="P61" s="547">
        <f>'Propylene Recycling HC'!O111*'Propylene Recycling HC'!O46-'Propylene Recycling HC'!$C$111*'Propylene Recycling HC'!$C$46</f>
        <v>128198.89355123114</v>
      </c>
      <c r="Q61" s="547">
        <f>'Propylene Recycling HC'!P111*'Propylene Recycling HC'!P46-'Propylene Recycling HC'!$C$111*'Propylene Recycling HC'!$C$46</f>
        <v>134030.63128979167</v>
      </c>
      <c r="R61" s="547">
        <f>'Propylene Recycling HC'!Q111*'Propylene Recycling HC'!Q46-'Propylene Recycling HC'!$C$111*'Propylene Recycling HC'!$C$46</f>
        <v>139724.70725158579</v>
      </c>
      <c r="S61" s="547">
        <f>'Propylene Recycling HC'!R111*'Propylene Recycling HC'!R46-'Propylene Recycling HC'!$C$111*'Propylene Recycling HC'!$C$46</f>
        <v>145281.94535141881</v>
      </c>
      <c r="T61" s="547">
        <f>'Propylene Recycling HC'!S111*'Propylene Recycling HC'!S46-'Propylene Recycling HC'!$C$111*'Propylene Recycling HC'!$C$46</f>
        <v>150703.16599743237</v>
      </c>
      <c r="U61" s="547">
        <f>'Propylene Recycling HC'!T111*'Propylene Recycling HC'!T46-'Propylene Recycling HC'!$C$111*'Propylene Recycling HC'!$C$46</f>
        <v>155989.18610376347</v>
      </c>
      <c r="V61" s="547">
        <f>'Propylene Recycling HC'!U111*'Propylene Recycling HC'!U46-'Propylene Recycling HC'!$C$111*'Propylene Recycling HC'!$C$46</f>
        <v>161140.81910316221</v>
      </c>
      <c r="W61" s="547">
        <f>'Propylene Recycling HC'!V111*'Propylene Recycling HC'!V46-'Propylene Recycling HC'!$C$111*'Propylene Recycling HC'!$C$46</f>
        <v>166158.87495956739</v>
      </c>
      <c r="X61" s="547">
        <f>'Propylene Recycling HC'!W111*'Propylene Recycling HC'!W46-'Propylene Recycling HC'!$C$111*'Propylene Recycling HC'!$C$46</f>
        <v>171044.16018064221</v>
      </c>
      <c r="Y61" s="547">
        <f>'Propylene Recycling HC'!X111*'Propylene Recycling HC'!X46-'Propylene Recycling HC'!$C$111*'Propylene Recycling HC'!$C$46</f>
        <v>179771.68899125891</v>
      </c>
      <c r="Z61" s="547">
        <f>'Propylene Recycling HC'!Y111*'Propylene Recycling HC'!Y46-'Propylene Recycling HC'!$C$111*'Propylene Recycling HC'!$C$46</f>
        <v>188291.97922303982</v>
      </c>
      <c r="AA61" s="547">
        <f>'Propylene Recycling HC'!Z111*'Propylene Recycling HC'!Z46-'Propylene Recycling HC'!$C$111*'Propylene Recycling HC'!$C$46</f>
        <v>196606.27278090472</v>
      </c>
      <c r="AB61" s="547">
        <f>'Propylene Recycling HC'!AA111*'Propylene Recycling HC'!AA46-'Propylene Recycling HC'!$C$111*'Propylene Recycling HC'!$C$46</f>
        <v>204715.8062809463</v>
      </c>
      <c r="AC61" s="547">
        <f>'Propylene Recycling HC'!AB111*'Propylene Recycling HC'!AB46-'Propylene Recycling HC'!$C$111*'Propylene Recycling HC'!$C$46</f>
        <v>212621.81106953003</v>
      </c>
      <c r="AD61" s="547">
        <f>'Propylene Recycling HC'!AC111*'Propylene Recycling HC'!AC46-'Propylene Recycling HC'!$C$111*'Propylene Recycling HC'!$C$46</f>
        <v>220249.73238630826</v>
      </c>
      <c r="AE61" s="547">
        <f>'Propylene Recycling HC'!AD111*'Propylene Recycling HC'!AD46-'Propylene Recycling HC'!$C$111*'Propylene Recycling HC'!$C$46</f>
        <v>227671.8909083631</v>
      </c>
      <c r="AF61" s="547">
        <f>'Propylene Recycling HC'!AE111*'Propylene Recycling HC'!AE46-'Propylene Recycling HC'!$C$111*'Propylene Recycling HC'!$C$46</f>
        <v>234889.53439603222</v>
      </c>
      <c r="AG61" s="547">
        <f>'Propylene Recycling HC'!AF111*'Propylene Recycling HC'!AF46-'Propylene Recycling HC'!$C$111*'Propylene Recycling HC'!$C$46</f>
        <v>241903.90527230152</v>
      </c>
      <c r="AH61" s="547">
        <f>'Propylene Recycling HC'!AG111*'Propylene Recycling HC'!AG46-'Propylene Recycling HC'!$C$111*'Propylene Recycling HC'!$C$46</f>
        <v>248716.24064212386</v>
      </c>
    </row>
    <row r="62" spans="1:36" outlineLevel="1">
      <c r="A62"/>
      <c r="B62" t="s">
        <v>268</v>
      </c>
      <c r="C62" s="50" t="s">
        <v>1420</v>
      </c>
      <c r="D62" s="183">
        <f>0</f>
        <v>0</v>
      </c>
      <c r="E62" s="183">
        <f>'Propylene Recycling HC'!D63*'Propylene Recycling HC'!D42-'Propylene Recycling HC'!$C$63*'Propylene Recycling HC'!$C$42</f>
        <v>1318.1739035245846</v>
      </c>
      <c r="F62" s="183">
        <f>'Propylene Recycling HC'!E63*'Propylene Recycling HC'!E42-'Propylene Recycling HC'!$C$63*'Propylene Recycling HC'!$C$42</f>
        <v>2698.1594582514608</v>
      </c>
      <c r="G62" s="183">
        <f>'Propylene Recycling HC'!F63*'Propylene Recycling HC'!F42-'Propylene Recycling HC'!$C$63*'Propylene Recycling HC'!$C$42</f>
        <v>4137.2129693440511</v>
      </c>
      <c r="H62" s="183">
        <f>'Propylene Recycling HC'!G63*'Propylene Recycling HC'!G42-'Propylene Recycling HC'!$C$63*'Propylene Recycling HC'!$C$42</f>
        <v>5632.6131052815381</v>
      </c>
      <c r="I62" s="183">
        <f>'Propylene Recycling HC'!H63*'Propylene Recycling HC'!H42-'Propylene Recycling HC'!$C$63*'Propylene Recycling HC'!$C$42</f>
        <v>7181.6607779193891</v>
      </c>
      <c r="J62" s="183">
        <f>'Propylene Recycling HC'!I63*'Propylene Recycling HC'!I42-'Propylene Recycling HC'!$C$63*'Propylene Recycling HC'!$C$42</f>
        <v>8781.6790230715451</v>
      </c>
      <c r="K62" s="183">
        <f>'Propylene Recycling HC'!J63*'Propylene Recycling HC'!J42-'Propylene Recycling HC'!$C$63*'Propylene Recycling HC'!$C$42</f>
        <v>10430.012881612543</v>
      </c>
      <c r="L62" s="183">
        <f>'Propylene Recycling HC'!K63*'Propylene Recycling HC'!K42-'Propylene Recycling HC'!$C$63*'Propylene Recycling HC'!$C$42</f>
        <v>12124.029281097355</v>
      </c>
      <c r="M62" s="183">
        <f>'Propylene Recycling HC'!L63*'Propylene Recycling HC'!L42-'Propylene Recycling HC'!$C$63*'Propylene Recycling HC'!$C$42</f>
        <v>13861.116917897052</v>
      </c>
      <c r="N62" s="183">
        <f>'Propylene Recycling HC'!M63*'Propylene Recycling HC'!M42-'Propylene Recycling HC'!$C$63*'Propylene Recycling HC'!$C$42</f>
        <v>15638.686139848374</v>
      </c>
      <c r="O62" s="183">
        <f>'Propylene Recycling HC'!N63*'Propylene Recycling HC'!N42-'Propylene Recycling HC'!$C$63*'Propylene Recycling HC'!$C$42</f>
        <v>16645.161565800619</v>
      </c>
      <c r="P62" s="183">
        <f>'Propylene Recycling HC'!O63*'Propylene Recycling HC'!O42-'Propylene Recycling HC'!$C$63*'Propylene Recycling HC'!$C$42</f>
        <v>17663.608297030401</v>
      </c>
      <c r="Q62" s="183">
        <f>'Propylene Recycling HC'!P63*'Propylene Recycling HC'!P42-'Propylene Recycling HC'!$C$63*'Propylene Recycling HC'!$C$42</f>
        <v>18630.931473637265</v>
      </c>
      <c r="R62" s="183">
        <f>'Propylene Recycling HC'!Q63*'Propylene Recycling HC'!Q42-'Propylene Recycling HC'!$C$63*'Propylene Recycling HC'!$C$42</f>
        <v>19572.840463285829</v>
      </c>
      <c r="S62" s="183">
        <f>'Propylene Recycling HC'!R63*'Propylene Recycling HC'!R42-'Propylene Recycling HC'!$C$63*'Propylene Recycling HC'!$C$42</f>
        <v>20489.104682824025</v>
      </c>
      <c r="T62" s="183">
        <f>'Propylene Recycling HC'!S63*'Propylene Recycling HC'!S42-'Propylene Recycling HC'!$C$63*'Propylene Recycling HC'!$C$42</f>
        <v>21379.496286077487</v>
      </c>
      <c r="U62" s="183">
        <f>'Propylene Recycling HC'!T63*'Propylene Recycling HC'!T42-'Propylene Recycling HC'!$C$63*'Propylene Recycling HC'!$C$42</f>
        <v>22243.790147494274</v>
      </c>
      <c r="V62" s="183">
        <f>'Propylene Recycling HC'!U63*'Propylene Recycling HC'!U42-'Propylene Recycling HC'!$C$63*'Propylene Recycling HC'!$C$42</f>
        <v>23081.76384586444</v>
      </c>
      <c r="W62" s="183">
        <f>'Propylene Recycling HC'!V63*'Propylene Recycling HC'!V42-'Propylene Recycling HC'!$C$63*'Propylene Recycling HC'!$C$42</f>
        <v>23893.197648114336</v>
      </c>
      <c r="X62" s="183">
        <f>'Propylene Recycling HC'!W63*'Propylene Recycling HC'!W42-'Propylene Recycling HC'!$C$63*'Propylene Recycling HC'!$C$42</f>
        <v>24677.874493175019</v>
      </c>
      <c r="Y62" s="183">
        <f>'Propylene Recycling HC'!X63*'Propylene Recycling HC'!X42-'Propylene Recycling HC'!$C$63*'Propylene Recycling HC'!$C$42</f>
        <v>25658.139147173904</v>
      </c>
      <c r="Z62" s="183">
        <f>'Propylene Recycling HC'!Y63*'Propylene Recycling HC'!Y42-'Propylene Recycling HC'!$C$63*'Propylene Recycling HC'!$C$42</f>
        <v>26566.077119366077</v>
      </c>
      <c r="AA62" s="183">
        <f>'Propylene Recycling HC'!Z63*'Propylene Recycling HC'!Z42-'Propylene Recycling HC'!$C$63*'Propylene Recycling HC'!$C$42</f>
        <v>27457.927755721066</v>
      </c>
      <c r="AB62" s="183">
        <f>'Propylene Recycling HC'!AA63*'Propylene Recycling HC'!AA42-'Propylene Recycling HC'!$C$63*'Propylene Recycling HC'!$C$42</f>
        <v>28333.527523271187</v>
      </c>
      <c r="AC62" s="183">
        <f>'Propylene Recycling HC'!AB63*'Propylene Recycling HC'!AB42-'Propylene Recycling HC'!$C$63*'Propylene Recycling HC'!$C$42</f>
        <v>29192.71476359888</v>
      </c>
      <c r="AD62" s="183">
        <f>'Propylene Recycling HC'!AC63*'Propylene Recycling HC'!AC42-'Propylene Recycling HC'!$C$63*'Propylene Recycling HC'!$C$42</f>
        <v>30035.329681736352</v>
      </c>
      <c r="AE62" s="183">
        <f>'Propylene Recycling HC'!AD63*'Propylene Recycling HC'!AD42-'Propylene Recycling HC'!$C$63*'Propylene Recycling HC'!$C$42</f>
        <v>30861.214335115852</v>
      </c>
      <c r="AF62" s="183">
        <f>'Propylene Recycling HC'!AE63*'Propylene Recycling HC'!AE42-'Propylene Recycling HC'!$C$63*'Propylene Recycling HC'!$C$42</f>
        <v>31670.21262257034</v>
      </c>
      <c r="AG62" s="183">
        <f>'Propylene Recycling HC'!AF63*'Propylene Recycling HC'!AF42-'Propylene Recycling HC'!$C$63*'Propylene Recycling HC'!$C$42</f>
        <v>32462.170273384501</v>
      </c>
      <c r="AH62" s="183">
        <f>'Propylene Recycling HC'!AG63*'Propylene Recycling HC'!AG42-'Propylene Recycling HC'!$C$63*'Propylene Recycling HC'!$C$42</f>
        <v>33236.93483639558</v>
      </c>
    </row>
    <row r="63" spans="1:36" outlineLevel="1">
      <c r="A63"/>
      <c r="B63" t="s">
        <v>270</v>
      </c>
      <c r="C63" s="50" t="s">
        <v>1420</v>
      </c>
      <c r="D63" s="183">
        <f>0</f>
        <v>0</v>
      </c>
      <c r="E63" s="183">
        <f>'Propylene Recycling HC'!D102*'Propylene Recycling HC'!D45-'Propylene Recycling HC'!$C$102*'Propylene Recycling HC'!$C$45</f>
        <v>0</v>
      </c>
      <c r="F63" s="183">
        <f>'Propylene Recycling HC'!E102*'Propylene Recycling HC'!E45-'Propylene Recycling HC'!$C$102*'Propylene Recycling HC'!$C$45</f>
        <v>0</v>
      </c>
      <c r="G63" s="183">
        <f>'Propylene Recycling HC'!F102*'Propylene Recycling HC'!F45-'Propylene Recycling HC'!$C$102*'Propylene Recycling HC'!$C$45</f>
        <v>0</v>
      </c>
      <c r="H63" s="183">
        <f>'Propylene Recycling HC'!G102*'Propylene Recycling HC'!G45-'Propylene Recycling HC'!$C$102*'Propylene Recycling HC'!$C$45</f>
        <v>0</v>
      </c>
      <c r="I63" s="183">
        <f>'Propylene Recycling HC'!H102*'Propylene Recycling HC'!H45-'Propylene Recycling HC'!$C$102*'Propylene Recycling HC'!$C$45</f>
        <v>0</v>
      </c>
      <c r="J63" s="183">
        <f>'Propylene Recycling HC'!I102*'Propylene Recycling HC'!I45-'Propylene Recycling HC'!$C$102*'Propylene Recycling HC'!$C$45</f>
        <v>0</v>
      </c>
      <c r="K63" s="183">
        <f>'Propylene Recycling HC'!J102*'Propylene Recycling HC'!J45-'Propylene Recycling HC'!$C$102*'Propylene Recycling HC'!$C$45</f>
        <v>0</v>
      </c>
      <c r="L63" s="183">
        <f>'Propylene Recycling HC'!K102*'Propylene Recycling HC'!K45-'Propylene Recycling HC'!$C$102*'Propylene Recycling HC'!$C$45</f>
        <v>0</v>
      </c>
      <c r="M63" s="183">
        <f>'Propylene Recycling HC'!L102*'Propylene Recycling HC'!L45-'Propylene Recycling HC'!$C$102*'Propylene Recycling HC'!$C$45</f>
        <v>0</v>
      </c>
      <c r="N63" s="183">
        <f>'Propylene Recycling HC'!M102*'Propylene Recycling HC'!M45-'Propylene Recycling HC'!$C$102*'Propylene Recycling HC'!$C$45</f>
        <v>0</v>
      </c>
      <c r="O63" s="183">
        <f>'Propylene Recycling HC'!N102*'Propylene Recycling HC'!N45-'Propylene Recycling HC'!$C$102*'Propylene Recycling HC'!$C$45</f>
        <v>0</v>
      </c>
      <c r="P63" s="183">
        <f>'Propylene Recycling HC'!O102*'Propylene Recycling HC'!O45-'Propylene Recycling HC'!$C$102*'Propylene Recycling HC'!$C$45</f>
        <v>0</v>
      </c>
      <c r="Q63" s="183">
        <f>'Propylene Recycling HC'!P102*'Propylene Recycling HC'!P45-'Propylene Recycling HC'!$C$102*'Propylene Recycling HC'!$C$45</f>
        <v>0</v>
      </c>
      <c r="R63" s="183">
        <f>'Propylene Recycling HC'!Q102*'Propylene Recycling HC'!Q45-'Propylene Recycling HC'!$C$102*'Propylene Recycling HC'!$C$45</f>
        <v>0</v>
      </c>
      <c r="S63" s="183">
        <f>'Propylene Recycling HC'!R102*'Propylene Recycling HC'!R45-'Propylene Recycling HC'!$C$102*'Propylene Recycling HC'!$C$45</f>
        <v>0</v>
      </c>
      <c r="T63" s="183">
        <f>'Propylene Recycling HC'!S102*'Propylene Recycling HC'!S45-'Propylene Recycling HC'!$C$102*'Propylene Recycling HC'!$C$45</f>
        <v>0</v>
      </c>
      <c r="U63" s="183">
        <f>'Propylene Recycling HC'!T102*'Propylene Recycling HC'!T45-'Propylene Recycling HC'!$C$102*'Propylene Recycling HC'!$C$45</f>
        <v>0</v>
      </c>
      <c r="V63" s="183">
        <f>'Propylene Recycling HC'!U102*'Propylene Recycling HC'!U45-'Propylene Recycling HC'!$C$102*'Propylene Recycling HC'!$C$45</f>
        <v>0</v>
      </c>
      <c r="W63" s="183">
        <f>'Propylene Recycling HC'!V102*'Propylene Recycling HC'!V45-'Propylene Recycling HC'!$C$102*'Propylene Recycling HC'!$C$45</f>
        <v>0</v>
      </c>
      <c r="X63" s="183">
        <f>'Propylene Recycling HC'!W102*'Propylene Recycling HC'!W45-'Propylene Recycling HC'!$C$102*'Propylene Recycling HC'!$C$45</f>
        <v>0</v>
      </c>
      <c r="Y63" s="183">
        <f>'Propylene Recycling HC'!X102*'Propylene Recycling HC'!X45-'Propylene Recycling HC'!$C$102*'Propylene Recycling HC'!$C$45</f>
        <v>0</v>
      </c>
      <c r="Z63" s="183">
        <f>'Propylene Recycling HC'!Y102*'Propylene Recycling HC'!Y45-'Propylene Recycling HC'!$C$102*'Propylene Recycling HC'!$C$45</f>
        <v>0</v>
      </c>
      <c r="AA63" s="183">
        <f>'Propylene Recycling HC'!Z102*'Propylene Recycling HC'!Z45-'Propylene Recycling HC'!$C$102*'Propylene Recycling HC'!$C$45</f>
        <v>0</v>
      </c>
      <c r="AB63" s="183">
        <f>'Propylene Recycling HC'!AA102*'Propylene Recycling HC'!AA45-'Propylene Recycling HC'!$C$102*'Propylene Recycling HC'!$C$45</f>
        <v>0</v>
      </c>
      <c r="AC63" s="183">
        <f>'Propylene Recycling HC'!AB102*'Propylene Recycling HC'!AB45-'Propylene Recycling HC'!$C$102*'Propylene Recycling HC'!$C$45</f>
        <v>0</v>
      </c>
      <c r="AD63" s="183">
        <f>'Propylene Recycling HC'!AC102*'Propylene Recycling HC'!AC45-'Propylene Recycling HC'!$C$102*'Propylene Recycling HC'!$C$45</f>
        <v>0</v>
      </c>
      <c r="AE63" s="183">
        <f>'Propylene Recycling HC'!AD102*'Propylene Recycling HC'!AD45-'Propylene Recycling HC'!$C$102*'Propylene Recycling HC'!$C$45</f>
        <v>0</v>
      </c>
      <c r="AF63" s="183">
        <f>'Propylene Recycling HC'!AE102*'Propylene Recycling HC'!AE45-'Propylene Recycling HC'!$C$102*'Propylene Recycling HC'!$C$45</f>
        <v>0</v>
      </c>
      <c r="AG63" s="183">
        <f>'Propylene Recycling HC'!AF102*'Propylene Recycling HC'!AF45-'Propylene Recycling HC'!$C$102*'Propylene Recycling HC'!$C$45</f>
        <v>0</v>
      </c>
      <c r="AH63" s="183">
        <f>'Propylene Recycling HC'!AG102*'Propylene Recycling HC'!AG45-'Propylene Recycling HC'!$C$102*'Propylene Recycling HC'!$C$45</f>
        <v>0</v>
      </c>
      <c r="AJ63" s="40"/>
    </row>
    <row r="64" spans="1:36" outlineLevel="1">
      <c r="A64" s="160"/>
      <c r="B64" s="160" t="s">
        <v>269</v>
      </c>
      <c r="C64" s="156" t="s">
        <v>1420</v>
      </c>
      <c r="D64" s="547">
        <f>0</f>
        <v>0</v>
      </c>
      <c r="E64" s="547">
        <f>'Propylene Recycling HC'!D88*'Propylene Recycling HC'!D43-'Propylene Recycling HC'!$C$88*'Propylene Recycling HC'!$C$43</f>
        <v>368.58982716702849</v>
      </c>
      <c r="F64" s="547">
        <f>'Propylene Recycling HC'!E88*'Propylene Recycling HC'!E43-'Propylene Recycling HC'!$C$88*'Propylene Recycling HC'!$C$43</f>
        <v>675.02126602500175</v>
      </c>
      <c r="G64" s="547">
        <f>'Propylene Recycling HC'!F88*'Propylene Recycling HC'!F43-'Propylene Recycling HC'!$C$88*'Propylene Recycling HC'!$C$43</f>
        <v>921.70257468829914</v>
      </c>
      <c r="H64" s="547">
        <f>'Propylene Recycling HC'!G88*'Propylene Recycling HC'!G43-'Propylene Recycling HC'!$C$88*'Propylene Recycling HC'!$C$43</f>
        <v>1111.0225470416535</v>
      </c>
      <c r="I64" s="547">
        <f>'Propylene Recycling HC'!H88*'Propylene Recycling HC'!H43-'Propylene Recycling HC'!$C$88*'Propylene Recycling HC'!$C$43</f>
        <v>1245.3506168630629</v>
      </c>
      <c r="J64" s="547">
        <f>'Propylene Recycling HC'!I88*'Propylene Recycling HC'!I43-'Propylene Recycling HC'!$C$88*'Propylene Recycling HC'!$C$43</f>
        <v>1327.0369614942119</v>
      </c>
      <c r="K64" s="547">
        <f>'Propylene Recycling HC'!J88*'Propylene Recycling HC'!J43-'Propylene Recycling HC'!$C$88*'Propylene Recycling HC'!$C$43</f>
        <v>1358.412605060128</v>
      </c>
      <c r="L64" s="547">
        <f>'Propylene Recycling HC'!K88*'Propylene Recycling HC'!K43-'Propylene Recycling HC'!$C$88*'Propylene Recycling HC'!$C$43</f>
        <v>1341.7895212399035</v>
      </c>
      <c r="M64" s="547">
        <f>'Propylene Recycling HC'!L88*'Propylene Recycling HC'!L43-'Propylene Recycling HC'!$C$88*'Propylene Recycling HC'!$C$43</f>
        <v>1279.4607355901044</v>
      </c>
      <c r="N64" s="547">
        <f>'Propylene Recycling HC'!M88*'Propylene Recycling HC'!M43-'Propylene Recycling HC'!$C$88*'Propylene Recycling HC'!$C$43</f>
        <v>1173.7004274226256</v>
      </c>
      <c r="O64" s="547">
        <f>'Propylene Recycling HC'!N88*'Propylene Recycling HC'!N43-'Propylene Recycling HC'!$C$88*'Propylene Recycling HC'!$C$43</f>
        <v>860.25222814847621</v>
      </c>
      <c r="P64" s="547">
        <f>'Propylene Recycling HC'!O88*'Propylene Recycling HC'!O43-'Propylene Recycling HC'!$C$88*'Propylene Recycling HC'!$C$43</f>
        <v>526.41054315770998</v>
      </c>
      <c r="Q64" s="547">
        <f>'Propylene Recycling HC'!P88*'Propylene Recycling HC'!P43-'Propylene Recycling HC'!$C$88*'Propylene Recycling HC'!$C$43</f>
        <v>135.88747902499017</v>
      </c>
      <c r="R64" s="547">
        <f>'Propylene Recycling HC'!Q88*'Propylene Recycling HC'!Q43-'Propylene Recycling HC'!$C$88*'Propylene Recycling HC'!$C$43</f>
        <v>-269.69228418034618</v>
      </c>
      <c r="S64" s="547">
        <f>'Propylene Recycling HC'!R88*'Propylene Recycling HC'!R43-'Propylene Recycling HC'!$C$88*'Propylene Recycling HC'!$C$43</f>
        <v>-688.72419950699805</v>
      </c>
      <c r="T64" s="547">
        <f>'Propylene Recycling HC'!S88*'Propylene Recycling HC'!S43-'Propylene Recycling HC'!$C$88*'Propylene Recycling HC'!$C$43</f>
        <v>-1119.6346038462543</v>
      </c>
      <c r="U64" s="547">
        <f>'Propylene Recycling HC'!T88*'Propylene Recycling HC'!T43-'Propylene Recycling HC'!$C$88*'Propylene Recycling HC'!$C$43</f>
        <v>-1560.8805658624588</v>
      </c>
      <c r="V64" s="547">
        <f>'Propylene Recycling HC'!U88*'Propylene Recycling HC'!U43-'Propylene Recycling HC'!$C$88*'Propylene Recycling HC'!$C$43</f>
        <v>-2010.9497318557114</v>
      </c>
      <c r="W64" s="547">
        <f>'Propylene Recycling HC'!V88*'Propylene Recycling HC'!V43-'Propylene Recycling HC'!$C$88*'Propylene Recycling HC'!$C$43</f>
        <v>-2468.3601695939287</v>
      </c>
      <c r="X64" s="547">
        <f>'Propylene Recycling HC'!W88*'Propylene Recycling HC'!W43-'Propylene Recycling HC'!$C$88*'Propylene Recycling HC'!$C$43</f>
        <v>-2931.6602101511589</v>
      </c>
      <c r="Y64" s="547">
        <f>'Propylene Recycling HC'!X88*'Propylene Recycling HC'!X43-'Propylene Recycling HC'!$C$88*'Propylene Recycling HC'!$C$43</f>
        <v>-3308.6990805090891</v>
      </c>
      <c r="Z64" s="547">
        <f>'Propylene Recycling HC'!Y88*'Propylene Recycling HC'!Y43-'Propylene Recycling HC'!$C$88*'Propylene Recycling HC'!$C$43</f>
        <v>-3703.9177564403517</v>
      </c>
      <c r="AA64" s="547">
        <f>'Propylene Recycling HC'!Z88*'Propylene Recycling HC'!Z43-'Propylene Recycling HC'!$C$88*'Propylene Recycling HC'!$C$43</f>
        <v>-4170.9041935242822</v>
      </c>
      <c r="AB64" s="547">
        <f>'Propylene Recycling HC'!AA88*'Propylene Recycling HC'!AA43-'Propylene Recycling HC'!$C$88*'Propylene Recycling HC'!$C$43</f>
        <v>-4645.1111408901079</v>
      </c>
      <c r="AC64" s="547">
        <f>'Propylene Recycling HC'!AB88*'Propylene Recycling HC'!AB43-'Propylene Recycling HC'!$C$88*'Propylene Recycling HC'!$C$43</f>
        <v>-5123.9589244773624</v>
      </c>
      <c r="AD64" s="547">
        <f>'Propylene Recycling HC'!AC88*'Propylene Recycling HC'!AC43-'Propylene Recycling HC'!$C$88*'Propylene Recycling HC'!$C$43</f>
        <v>-5604.9805891144979</v>
      </c>
      <c r="AE64" s="547">
        <f>'Propylene Recycling HC'!AD88*'Propylene Recycling HC'!AD43-'Propylene Recycling HC'!$C$88*'Propylene Recycling HC'!$C$43</f>
        <v>-6085.8215831766956</v>
      </c>
      <c r="AF64" s="547">
        <f>'Propylene Recycling HC'!AE88*'Propylene Recycling HC'!AE43-'Propylene Recycling HC'!$C$88*'Propylene Recycling HC'!$C$43</f>
        <v>-6564.2393664905903</v>
      </c>
      <c r="AG64" s="547">
        <f>'Propylene Recycling HC'!AF88*'Propylene Recycling HC'!AF43-'Propylene Recycling HC'!$C$88*'Propylene Recycling HC'!$C$43</f>
        <v>-7038.1029426639452</v>
      </c>
      <c r="AH64" s="547">
        <f>'Propylene Recycling HC'!AG88*'Propylene Recycling HC'!AG43-'Propylene Recycling HC'!$C$88*'Propylene Recycling HC'!$C$43</f>
        <v>-7505.3923170079324</v>
      </c>
    </row>
    <row r="65" spans="1:45">
      <c r="A65" s="158"/>
      <c r="B65" s="211" t="s">
        <v>267</v>
      </c>
      <c r="C65" s="159" t="s">
        <v>1420</v>
      </c>
      <c r="D65" s="554">
        <f>D60-D61-D62-D63-D64</f>
        <v>1577666.5665936389</v>
      </c>
      <c r="E65" s="554">
        <f t="shared" ref="E65:AH65" si="26">E60-E61-E62-E63-E64</f>
        <v>1530680.2174789796</v>
      </c>
      <c r="F65" s="554">
        <f t="shared" si="26"/>
        <v>1483831.2077817975</v>
      </c>
      <c r="G65" s="554">
        <f t="shared" si="26"/>
        <v>1437120.1547314322</v>
      </c>
      <c r="H65" s="554">
        <f t="shared" si="26"/>
        <v>1390547.7088133669</v>
      </c>
      <c r="I65" s="554">
        <f t="shared" si="26"/>
        <v>1344114.5549847311</v>
      </c>
      <c r="J65" s="554">
        <f t="shared" si="26"/>
        <v>1296833.4631704658</v>
      </c>
      <c r="K65" s="554">
        <f t="shared" si="26"/>
        <v>1249908.5476522529</v>
      </c>
      <c r="L65" s="554">
        <f t="shared" si="26"/>
        <v>1203338.8448597831</v>
      </c>
      <c r="M65" s="554">
        <f t="shared" si="26"/>
        <v>1157123.442163063</v>
      </c>
      <c r="N65" s="554">
        <f t="shared" si="26"/>
        <v>1111261.4791515267</v>
      </c>
      <c r="O65" s="554">
        <f t="shared" si="26"/>
        <v>1066783.4529633794</v>
      </c>
      <c r="P65" s="554">
        <f t="shared" si="26"/>
        <v>1022693.5669515443</v>
      </c>
      <c r="Q65" s="554">
        <f t="shared" si="26"/>
        <v>979089.15767811367</v>
      </c>
      <c r="R65" s="554">
        <f t="shared" si="26"/>
        <v>935900.91970400768</v>
      </c>
      <c r="S65" s="554">
        <f t="shared" si="26"/>
        <v>893125.58374250191</v>
      </c>
      <c r="T65" s="554">
        <f t="shared" si="26"/>
        <v>847463.77713835798</v>
      </c>
      <c r="U65" s="554">
        <f t="shared" si="26"/>
        <v>802303.85820655618</v>
      </c>
      <c r="V65" s="554">
        <f t="shared" si="26"/>
        <v>757641.34556360985</v>
      </c>
      <c r="W65" s="554">
        <f t="shared" si="26"/>
        <v>713471.88651586464</v>
      </c>
      <c r="X65" s="554">
        <f t="shared" si="26"/>
        <v>669791.25814896775</v>
      </c>
      <c r="Y65" s="554">
        <f t="shared" si="26"/>
        <v>619902.06863475195</v>
      </c>
      <c r="Z65" s="554">
        <f t="shared" si="26"/>
        <v>570714.46295524912</v>
      </c>
      <c r="AA65" s="554">
        <f t="shared" si="26"/>
        <v>522221.54990961828</v>
      </c>
      <c r="AB65" s="554">
        <f t="shared" si="26"/>
        <v>474354.83826031553</v>
      </c>
      <c r="AC65" s="554">
        <f t="shared" si="26"/>
        <v>427107.93607114226</v>
      </c>
      <c r="AD65" s="554">
        <f t="shared" si="26"/>
        <v>379471.04123525327</v>
      </c>
      <c r="AE65" s="554">
        <f t="shared" si="26"/>
        <v>332482.38055215811</v>
      </c>
      <c r="AF65" s="554">
        <f t="shared" si="26"/>
        <v>286135.59588025889</v>
      </c>
      <c r="AG65" s="554">
        <f t="shared" si="26"/>
        <v>240424.5883498324</v>
      </c>
      <c r="AH65" s="554">
        <f t="shared" si="26"/>
        <v>195343.51926176526</v>
      </c>
    </row>
    <row r="66" spans="1:45" s="61" customFormat="1">
      <c r="A66" s="54" t="s">
        <v>78</v>
      </c>
      <c r="B66" s="54" t="s">
        <v>264</v>
      </c>
      <c r="C66" s="93" t="s">
        <v>1420</v>
      </c>
      <c r="D66" s="572">
        <f>D45+D52+D56+D57+D58+D62+D63+D64</f>
        <v>0</v>
      </c>
      <c r="E66" s="572">
        <f t="shared" ref="E66:AG66" si="27">E45+E52+E56+E57+E58+E62+E63+E64</f>
        <v>7614.730148642444</v>
      </c>
      <c r="F66" s="572">
        <f t="shared" si="27"/>
        <v>15365.856363548979</v>
      </c>
      <c r="G66" s="572">
        <f t="shared" si="27"/>
        <v>23246.349776409974</v>
      </c>
      <c r="H66" s="572">
        <f t="shared" si="27"/>
        <v>31249.23926819006</v>
      </c>
      <c r="I66" s="572">
        <f t="shared" si="27"/>
        <v>39367.611158661006</v>
      </c>
      <c r="J66" s="572">
        <f t="shared" si="27"/>
        <v>47594.608897286096</v>
      </c>
      <c r="K66" s="572">
        <f t="shared" si="27"/>
        <v>55923.432755451962</v>
      </c>
      <c r="L66" s="572">
        <f t="shared" si="27"/>
        <v>64347.339520042064</v>
      </c>
      <c r="M66" s="572">
        <f t="shared" si="27"/>
        <v>72859.642188346668</v>
      </c>
      <c r="N66" s="572">
        <f t="shared" si="27"/>
        <v>81453.709664304712</v>
      </c>
      <c r="O66" s="572">
        <f t="shared" si="27"/>
        <v>85615.397351637745</v>
      </c>
      <c r="P66" s="572">
        <f t="shared" si="27"/>
        <v>89780.292993923416</v>
      </c>
      <c r="Q66" s="572">
        <f t="shared" si="27"/>
        <v>93532.1225877002</v>
      </c>
      <c r="R66" s="572">
        <f t="shared" si="27"/>
        <v>97115.057082594853</v>
      </c>
      <c r="S66" s="572">
        <f t="shared" si="27"/>
        <v>100532.40063771179</v>
      </c>
      <c r="T66" s="572">
        <f t="shared" si="27"/>
        <v>103787.38530859229</v>
      </c>
      <c r="U66" s="572">
        <f t="shared" si="27"/>
        <v>106883.17138785342</v>
      </c>
      <c r="V66" s="572">
        <f t="shared" si="27"/>
        <v>109822.84775194521</v>
      </c>
      <c r="W66" s="572">
        <f t="shared" si="27"/>
        <v>112609.43221392187</v>
      </c>
      <c r="X66" s="572">
        <f t="shared" si="27"/>
        <v>115245.87188212188</v>
      </c>
      <c r="Y66" s="572">
        <f t="shared" si="27"/>
        <v>119099.8649566776</v>
      </c>
      <c r="Z66" s="572">
        <f t="shared" si="27"/>
        <v>122541.72516227385</v>
      </c>
      <c r="AA66" s="572">
        <f t="shared" si="27"/>
        <v>125703.79379659343</v>
      </c>
      <c r="AB66" s="572">
        <f t="shared" si="27"/>
        <v>128764.55111388341</v>
      </c>
      <c r="AC66" s="572">
        <f t="shared" si="27"/>
        <v>131730.35458333508</v>
      </c>
      <c r="AD66" s="572">
        <f t="shared" si="27"/>
        <v>134607.25788336369</v>
      </c>
      <c r="AE66" s="572">
        <f t="shared" si="27"/>
        <v>137401.01172231065</v>
      </c>
      <c r="AF66" s="572">
        <f t="shared" si="27"/>
        <v>140117.06487260005</v>
      </c>
      <c r="AG66" s="572">
        <f t="shared" si="27"/>
        <v>142760.56541507822</v>
      </c>
      <c r="AH66" s="572">
        <f>AH45+AH52+AH56+AH57+AH58+AH62+AH63+AH64</f>
        <v>145336.36219028919</v>
      </c>
    </row>
    <row r="67" spans="1:45" s="62" customFormat="1">
      <c r="B67" s="58" t="s">
        <v>265</v>
      </c>
      <c r="C67" s="59" t="s">
        <v>1420</v>
      </c>
      <c r="D67" s="587">
        <f>D44+D48+D51+D55+D61</f>
        <v>0</v>
      </c>
      <c r="E67" s="587">
        <f t="shared" ref="E67:AG67" si="28">E44+E48+E51+E55+E61</f>
        <v>17675.716027213108</v>
      </c>
      <c r="F67" s="587">
        <f t="shared" si="28"/>
        <v>35722.682099457998</v>
      </c>
      <c r="G67" s="587">
        <f t="shared" si="28"/>
        <v>54123.455905509589</v>
      </c>
      <c r="H67" s="587">
        <f t="shared" si="28"/>
        <v>72860.737535745662</v>
      </c>
      <c r="I67" s="587">
        <f t="shared" si="28"/>
        <v>91917.368718320969</v>
      </c>
      <c r="J67" s="587">
        <f t="shared" si="28"/>
        <v>110082.0708761923</v>
      </c>
      <c r="K67" s="587">
        <f t="shared" si="28"/>
        <v>128370.04831723092</v>
      </c>
      <c r="L67" s="587">
        <f t="shared" si="28"/>
        <v>146765.65466422035</v>
      </c>
      <c r="M67" s="587">
        <f t="shared" si="28"/>
        <v>165253.37731054812</v>
      </c>
      <c r="N67" s="587">
        <f t="shared" si="28"/>
        <v>183817.83669073923</v>
      </c>
      <c r="O67" s="587">
        <f t="shared" si="28"/>
        <v>199071.06929508084</v>
      </c>
      <c r="P67" s="587">
        <f t="shared" si="28"/>
        <v>214561.40767931816</v>
      </c>
      <c r="Q67" s="587">
        <f t="shared" si="28"/>
        <v>230001.94672927042</v>
      </c>
      <c r="R67" s="587">
        <f t="shared" si="28"/>
        <v>245512.41615412853</v>
      </c>
      <c r="S67" s="587">
        <f t="shared" si="28"/>
        <v>261073.25360814112</v>
      </c>
      <c r="T67" s="587">
        <f t="shared" si="28"/>
        <v>276665.11689569929</v>
      </c>
      <c r="U67" s="587">
        <f t="shared" si="28"/>
        <v>292268.88275540515</v>
      </c>
      <c r="V67" s="587">
        <f t="shared" si="28"/>
        <v>307865.645642319</v>
      </c>
      <c r="W67" s="587">
        <f t="shared" si="28"/>
        <v>323436.71650847362</v>
      </c>
      <c r="X67" s="587">
        <f t="shared" si="28"/>
        <v>338963.62158173928</v>
      </c>
      <c r="Y67" s="587">
        <f t="shared" si="28"/>
        <v>363542.70750143868</v>
      </c>
      <c r="Z67" s="587">
        <f t="shared" si="28"/>
        <v>387993.78377916093</v>
      </c>
      <c r="AA67" s="587">
        <f t="shared" si="28"/>
        <v>412284.73602984787</v>
      </c>
      <c r="AB67" s="587">
        <f t="shared" si="28"/>
        <v>436635.70789222838</v>
      </c>
      <c r="AC67" s="587">
        <f t="shared" si="28"/>
        <v>461026.08445742016</v>
      </c>
      <c r="AD67" s="587">
        <f t="shared" si="28"/>
        <v>485359.91509216902</v>
      </c>
      <c r="AE67" s="587">
        <f t="shared" si="28"/>
        <v>509688.57186319638</v>
      </c>
      <c r="AF67" s="587">
        <f t="shared" si="28"/>
        <v>533992.79787277826</v>
      </c>
      <c r="AG67" s="587">
        <f t="shared" si="28"/>
        <v>558253.77134055365</v>
      </c>
      <c r="AH67" s="587">
        <f>AH44+AH48+AH51+AH55+AH61</f>
        <v>582453.10194099881</v>
      </c>
    </row>
    <row r="68" spans="1:45" s="97" customFormat="1">
      <c r="A68" s="95" t="s">
        <v>564</v>
      </c>
      <c r="B68" s="95"/>
      <c r="C68" s="96" t="s">
        <v>1420</v>
      </c>
      <c r="D68" s="583">
        <f t="shared" ref="D68:AH68" si="29">D46+D49+D53+IF(D59&lt;0,0,D59)+D65</f>
        <v>4343145.1257582027</v>
      </c>
      <c r="E68" s="583">
        <f t="shared" si="29"/>
        <v>4263112.5225967923</v>
      </c>
      <c r="F68" s="583">
        <f t="shared" si="29"/>
        <v>4183153.3173955819</v>
      </c>
      <c r="G68" s="583">
        <f t="shared" si="29"/>
        <v>4103290.2473180322</v>
      </c>
      <c r="H68" s="583">
        <f t="shared" si="29"/>
        <v>4023545.9223076021</v>
      </c>
      <c r="I68" s="583">
        <f t="shared" si="29"/>
        <v>3943942.826968635</v>
      </c>
      <c r="J68" s="583">
        <f t="shared" si="29"/>
        <v>3863515.3717199881</v>
      </c>
      <c r="K68" s="583">
        <f t="shared" si="29"/>
        <v>3783489.1528333947</v>
      </c>
      <c r="L68" s="583">
        <f t="shared" si="29"/>
        <v>3703884.5308659826</v>
      </c>
      <c r="M68" s="583">
        <f t="shared" si="29"/>
        <v>3624721.7600855483</v>
      </c>
      <c r="N68" s="583">
        <f t="shared" si="29"/>
        <v>3546020.9903741842</v>
      </c>
      <c r="O68" s="583">
        <f t="shared" si="29"/>
        <v>3460229.6495312694</v>
      </c>
      <c r="P68" s="583">
        <f t="shared" si="29"/>
        <v>3376563.0015887534</v>
      </c>
      <c r="Q68" s="583">
        <f t="shared" si="29"/>
        <v>3292470.6068806597</v>
      </c>
      <c r="R68" s="583">
        <f t="shared" si="29"/>
        <v>3208937.5766489645</v>
      </c>
      <c r="S68" s="583">
        <f t="shared" si="29"/>
        <v>3125970.6837821072</v>
      </c>
      <c r="T68" s="583">
        <f t="shared" si="29"/>
        <v>3040280.3896431536</v>
      </c>
      <c r="U68" s="583">
        <f t="shared" si="29"/>
        <v>2955264.6800557929</v>
      </c>
      <c r="V68" s="583">
        <f t="shared" si="29"/>
        <v>2870928.496367624</v>
      </c>
      <c r="W68" s="583">
        <f t="shared" si="29"/>
        <v>2787276.7056584852</v>
      </c>
      <c r="X68" s="583">
        <f t="shared" si="29"/>
        <v>2704314.1037415052</v>
      </c>
      <c r="Y68" s="583">
        <f t="shared" si="29"/>
        <v>2596210.111038452</v>
      </c>
      <c r="Z68" s="583">
        <f t="shared" si="29"/>
        <v>2487015.2396082887</v>
      </c>
      <c r="AA68" s="583">
        <f t="shared" si="29"/>
        <v>2378519.6447748863</v>
      </c>
      <c r="AB68" s="583">
        <f t="shared" si="29"/>
        <v>2270323.1032063891</v>
      </c>
      <c r="AC68" s="583">
        <f t="shared" si="29"/>
        <v>2162438.9916409482</v>
      </c>
      <c r="AD68" s="583">
        <f t="shared" si="29"/>
        <v>2053877.6345032884</v>
      </c>
      <c r="AE68" s="583">
        <f t="shared" si="29"/>
        <v>1945697.7713173111</v>
      </c>
      <c r="AF68" s="583">
        <f t="shared" si="29"/>
        <v>1838018.901507532</v>
      </c>
      <c r="AG68" s="583">
        <f t="shared" si="29"/>
        <v>1741217.1883962925</v>
      </c>
      <c r="AH68" s="583">
        <f t="shared" si="29"/>
        <v>1644760.7949205285</v>
      </c>
      <c r="AJ68" s="97" t="s">
        <v>527</v>
      </c>
    </row>
    <row r="69" spans="1:45">
      <c r="A69" s="1" t="s">
        <v>763</v>
      </c>
      <c r="C69" s="55" t="s">
        <v>1420</v>
      </c>
      <c r="D69" s="590">
        <f>'Propylene Recycling HC'!C201</f>
        <v>0</v>
      </c>
      <c r="E69" s="590">
        <f>'Propylene Recycling HC'!D201</f>
        <v>0</v>
      </c>
      <c r="F69" s="590">
        <f>'Propylene Recycling HC'!E201</f>
        <v>0</v>
      </c>
      <c r="G69" s="590">
        <f>'Propylene Recycling HC'!F201</f>
        <v>0</v>
      </c>
      <c r="H69" s="590">
        <f>'Propylene Recycling HC'!G201</f>
        <v>0</v>
      </c>
      <c r="I69" s="590">
        <f>'Propylene Recycling HC'!H201</f>
        <v>0</v>
      </c>
      <c r="J69" s="590">
        <f>'Propylene Recycling HC'!I201</f>
        <v>0</v>
      </c>
      <c r="K69" s="590">
        <f>'Propylene Recycling HC'!J201</f>
        <v>0</v>
      </c>
      <c r="L69" s="590">
        <f>'Propylene Recycling HC'!K201</f>
        <v>0</v>
      </c>
      <c r="M69" s="590">
        <f>'Propylene Recycling HC'!L201</f>
        <v>0</v>
      </c>
      <c r="N69" s="590">
        <f>'Propylene Recycling HC'!M201</f>
        <v>0</v>
      </c>
      <c r="O69" s="590">
        <f>'Propylene Recycling HC'!N201</f>
        <v>0</v>
      </c>
      <c r="P69" s="590">
        <f>'Propylene Recycling HC'!O201</f>
        <v>0</v>
      </c>
      <c r="Q69" s="590">
        <f>'Propylene Recycling HC'!P201</f>
        <v>0</v>
      </c>
      <c r="R69" s="590">
        <f>'Propylene Recycling HC'!Q201</f>
        <v>0</v>
      </c>
      <c r="S69" s="590">
        <f>'Propylene Recycling HC'!R201</f>
        <v>0</v>
      </c>
      <c r="T69" s="590">
        <f>'Propylene Recycling HC'!S201</f>
        <v>0</v>
      </c>
      <c r="U69" s="590">
        <f>'Propylene Recycling HC'!T201</f>
        <v>0</v>
      </c>
      <c r="V69" s="590">
        <f>'Propylene Recycling HC'!U201</f>
        <v>0</v>
      </c>
      <c r="W69" s="590">
        <f>'Propylene Recycling HC'!V201</f>
        <v>0</v>
      </c>
      <c r="X69" s="590">
        <f>'Propylene Recycling HC'!W201</f>
        <v>0</v>
      </c>
      <c r="Y69" s="590">
        <f>'Propylene Recycling HC'!X201</f>
        <v>0</v>
      </c>
      <c r="Z69" s="590">
        <f>'Propylene Recycling HC'!Y201</f>
        <v>0</v>
      </c>
      <c r="AA69" s="590">
        <f>'Propylene Recycling HC'!Z201</f>
        <v>0</v>
      </c>
      <c r="AB69" s="590">
        <f>'Propylene Recycling HC'!AA201</f>
        <v>0</v>
      </c>
      <c r="AC69" s="590">
        <f>'Propylene Recycling HC'!AB201</f>
        <v>0</v>
      </c>
      <c r="AD69" s="590">
        <f>'Propylene Recycling HC'!AC201</f>
        <v>0</v>
      </c>
      <c r="AE69" s="590">
        <f>'Propylene Recycling HC'!AD201</f>
        <v>0</v>
      </c>
      <c r="AF69" s="590">
        <f>'Propylene Recycling HC'!AE201</f>
        <v>0</v>
      </c>
      <c r="AG69" s="590">
        <f>'Propylene Recycling HC'!AF201</f>
        <v>0</v>
      </c>
      <c r="AH69" s="590">
        <f>'Propylene Recycling HC'!AG201</f>
        <v>0</v>
      </c>
    </row>
    <row r="70" spans="1:45">
      <c r="A70" s="1" t="s">
        <v>764</v>
      </c>
      <c r="C70" s="233" t="s">
        <v>1420</v>
      </c>
      <c r="D70" s="590">
        <f>'Propylene Recycling HC'!C203</f>
        <v>2.7044374069471244</v>
      </c>
      <c r="E70" s="590">
        <f>'Propylene Recycling HC'!D203</f>
        <v>5.7447265617192649</v>
      </c>
      <c r="F70" s="590">
        <f>'Propylene Recycling HC'!E203</f>
        <v>12.05742234412639</v>
      </c>
      <c r="G70" s="590">
        <f>'Propylene Recycling HC'!F203</f>
        <v>25.028415131308787</v>
      </c>
      <c r="H70" s="590">
        <f>'Propylene Recycling HC'!G203</f>
        <v>51.39476609589736</v>
      </c>
      <c r="I70" s="590">
        <f>'Propylene Recycling HC'!H203</f>
        <v>104.36127435250387</v>
      </c>
      <c r="J70" s="590">
        <f>'Propylene Recycling HC'!I203</f>
        <v>208.63584863937251</v>
      </c>
      <c r="K70" s="590">
        <f>'Propylene Recycling HC'!J203</f>
        <v>411.21620410063673</v>
      </c>
      <c r="L70" s="590">
        <f>'Propylene Recycling HC'!K203</f>
        <v>796.74965014626559</v>
      </c>
      <c r="M70" s="590">
        <f>'Propylene Recycling HC'!L203</f>
        <v>1511.4563995006413</v>
      </c>
      <c r="N70" s="590">
        <f>'Propylene Recycling HC'!M203</f>
        <v>2792.6393463594777</v>
      </c>
      <c r="O70" s="590">
        <f>'Propylene Recycling HC'!N203</f>
        <v>4914.4627389333073</v>
      </c>
      <c r="P70" s="590">
        <f>'Propylene Recycling HC'!O203</f>
        <v>8322.9339791681905</v>
      </c>
      <c r="Q70" s="590">
        <f>'Propylene Recycling HC'!P203</f>
        <v>13444.017622484991</v>
      </c>
      <c r="R70" s="590">
        <f>'Propylene Recycling HC'!Q203</f>
        <v>20589.540580653909</v>
      </c>
      <c r="S70" s="590">
        <f>'Propylene Recycling HC'!R203</f>
        <v>29757.322933044325</v>
      </c>
      <c r="T70" s="590">
        <f>'Propylene Recycling HC'!S203</f>
        <v>40518.314705898832</v>
      </c>
      <c r="U70" s="590">
        <f>'Propylene Recycling HC'!T203</f>
        <v>52069.517568453761</v>
      </c>
      <c r="V70" s="590">
        <f>'Propylene Recycling HC'!U203</f>
        <v>63455.815643897848</v>
      </c>
      <c r="W70" s="590">
        <f>'Propylene Recycling HC'!V203</f>
        <v>73838.994374770482</v>
      </c>
      <c r="X70" s="590">
        <f>'Propylene Recycling HC'!W203</f>
        <v>82674.496039533828</v>
      </c>
      <c r="Y70" s="590">
        <f>'Propylene Recycling HC'!X203</f>
        <v>91130.962274516438</v>
      </c>
      <c r="Z70" s="590">
        <f>'Propylene Recycling HC'!Y203</f>
        <v>97905.552564740734</v>
      </c>
      <c r="AA70" s="590">
        <f>'Propylene Recycling HC'!Z203</f>
        <v>103126.25393966853</v>
      </c>
      <c r="AB70" s="590">
        <f>'Propylene Recycling HC'!AA203</f>
        <v>107046.90124260754</v>
      </c>
      <c r="AC70" s="590">
        <f>'Propylene Recycling HC'!AB203</f>
        <v>109883.06514913573</v>
      </c>
      <c r="AD70" s="590">
        <f>'Propylene Recycling HC'!AC203</f>
        <v>111823.06403632276</v>
      </c>
      <c r="AE70" s="590">
        <f>'Propylene Recycling HC'!AD203</f>
        <v>113044.65041313405</v>
      </c>
      <c r="AF70" s="590">
        <f>'Propylene Recycling HC'!AE203</f>
        <v>113682.3074588474</v>
      </c>
      <c r="AG70" s="590">
        <f>'Propylene Recycling HC'!AF203</f>
        <v>113840.25350860288</v>
      </c>
      <c r="AH70" s="590">
        <f>'Propylene Recycling HC'!AG203</f>
        <v>113597.60843934903</v>
      </c>
    </row>
    <row r="71" spans="1:45" s="97" customFormat="1">
      <c r="A71" s="95" t="s">
        <v>1078</v>
      </c>
      <c r="B71" s="95"/>
      <c r="C71" s="96" t="s">
        <v>1420</v>
      </c>
      <c r="D71" s="583">
        <f>D68-D69-D70</f>
        <v>4343142.421320796</v>
      </c>
      <c r="E71" s="583">
        <f t="shared" ref="E71:AH71" si="30">E68-E69-E70</f>
        <v>4263106.7778702304</v>
      </c>
      <c r="F71" s="583">
        <f t="shared" si="30"/>
        <v>4183141.2599732378</v>
      </c>
      <c r="G71" s="583">
        <f t="shared" si="30"/>
        <v>4103265.2189029008</v>
      </c>
      <c r="H71" s="583">
        <f t="shared" si="30"/>
        <v>4023494.5275415061</v>
      </c>
      <c r="I71" s="583">
        <f t="shared" si="30"/>
        <v>3943838.4656942827</v>
      </c>
      <c r="J71" s="583">
        <f t="shared" si="30"/>
        <v>3863306.7358713485</v>
      </c>
      <c r="K71" s="583">
        <f t="shared" si="30"/>
        <v>3783077.936629294</v>
      </c>
      <c r="L71" s="583">
        <f t="shared" si="30"/>
        <v>3703087.7812158363</v>
      </c>
      <c r="M71" s="583">
        <f t="shared" si="30"/>
        <v>3623210.3036860474</v>
      </c>
      <c r="N71" s="583">
        <f t="shared" si="30"/>
        <v>3543228.3510278249</v>
      </c>
      <c r="O71" s="583">
        <f t="shared" si="30"/>
        <v>3455315.1867923359</v>
      </c>
      <c r="P71" s="583">
        <f t="shared" si="30"/>
        <v>3368240.0676095854</v>
      </c>
      <c r="Q71" s="583">
        <f t="shared" si="30"/>
        <v>3279026.5892581749</v>
      </c>
      <c r="R71" s="583">
        <f t="shared" si="30"/>
        <v>3188348.0360683105</v>
      </c>
      <c r="S71" s="583">
        <f t="shared" si="30"/>
        <v>3096213.3608490629</v>
      </c>
      <c r="T71" s="583">
        <f t="shared" si="30"/>
        <v>2999762.0749372547</v>
      </c>
      <c r="U71" s="583">
        <f t="shared" si="30"/>
        <v>2903195.1624873392</v>
      </c>
      <c r="V71" s="583">
        <f t="shared" si="30"/>
        <v>2807472.6807237263</v>
      </c>
      <c r="W71" s="583">
        <f t="shared" si="30"/>
        <v>2713437.7112837145</v>
      </c>
      <c r="X71" s="583">
        <f t="shared" si="30"/>
        <v>2621639.6077019712</v>
      </c>
      <c r="Y71" s="583">
        <f t="shared" si="30"/>
        <v>2505079.1487639355</v>
      </c>
      <c r="Z71" s="583">
        <f t="shared" si="30"/>
        <v>2389109.6870435481</v>
      </c>
      <c r="AA71" s="583">
        <f t="shared" si="30"/>
        <v>2275393.3908352177</v>
      </c>
      <c r="AB71" s="583">
        <f t="shared" si="30"/>
        <v>2163276.2019637814</v>
      </c>
      <c r="AC71" s="583">
        <f t="shared" si="30"/>
        <v>2052555.9264918126</v>
      </c>
      <c r="AD71" s="583">
        <f t="shared" si="30"/>
        <v>1942054.5704669657</v>
      </c>
      <c r="AE71" s="583">
        <f t="shared" si="30"/>
        <v>1832653.120904177</v>
      </c>
      <c r="AF71" s="583">
        <f t="shared" si="30"/>
        <v>1724336.5940486847</v>
      </c>
      <c r="AG71" s="583">
        <f t="shared" si="30"/>
        <v>1627376.9348876895</v>
      </c>
      <c r="AH71" s="583">
        <f t="shared" si="30"/>
        <v>1531163.1864811794</v>
      </c>
    </row>
    <row r="72" spans="1:45" s="371" customFormat="1">
      <c r="A72" s="370" t="s">
        <v>647</v>
      </c>
      <c r="C72" s="374" t="s">
        <v>1420</v>
      </c>
      <c r="D72" s="585">
        <f>'Propylene Recycling HC'!C210</f>
        <v>146694.93257530563</v>
      </c>
      <c r="E72" s="585">
        <f>'Propylene Recycling HC'!D210</f>
        <v>160915.3027034555</v>
      </c>
      <c r="F72" s="585">
        <f>'Propylene Recycling HC'!E210</f>
        <v>174708.56110186048</v>
      </c>
      <c r="G72" s="585">
        <f>'Propylene Recycling HC'!F210</f>
        <v>188047.43296493925</v>
      </c>
      <c r="H72" s="585">
        <f>'Propylene Recycling HC'!G210</f>
        <v>200903.22569238109</v>
      </c>
      <c r="I72" s="585">
        <f>'Propylene Recycling HC'!H210</f>
        <v>213242.63249388276</v>
      </c>
      <c r="J72" s="585">
        <f>'Propylene Recycling HC'!I210</f>
        <v>224285.29522437579</v>
      </c>
      <c r="K72" s="585">
        <f>'Propylene Recycling HC'!J210</f>
        <v>234643.17588558584</v>
      </c>
      <c r="L72" s="585">
        <f>'Propylene Recycling HC'!K210</f>
        <v>244223.74526234987</v>
      </c>
      <c r="M72" s="585">
        <f>'Propylene Recycling HC'!L210</f>
        <v>252874.21706671931</v>
      </c>
      <c r="N72" s="585">
        <f>'Propylene Recycling HC'!M210</f>
        <v>260351.98109139857</v>
      </c>
      <c r="O72" s="585">
        <f>'Propylene Recycling HC'!N210</f>
        <v>262090.23368593885</v>
      </c>
      <c r="P72" s="585">
        <f>'Propylene Recycling HC'!O210</f>
        <v>262216.17753733502</v>
      </c>
      <c r="Q72" s="585">
        <f>'Propylene Recycling HC'!P210</f>
        <v>259940.26810754451</v>
      </c>
      <c r="R72" s="585">
        <f>'Propylene Recycling HC'!Q210</f>
        <v>255161.94215467354</v>
      </c>
      <c r="S72" s="585">
        <f>'Propylene Recycling HC'!R210</f>
        <v>247888.31743040759</v>
      </c>
      <c r="T72" s="585">
        <f>'Propylene Recycling HC'!S210</f>
        <v>238553.99254691749</v>
      </c>
      <c r="U72" s="585">
        <f>'Propylene Recycling HC'!T210</f>
        <v>227968.09558291131</v>
      </c>
      <c r="V72" s="585">
        <f>'Propylene Recycling HC'!U210</f>
        <v>217092.4247590524</v>
      </c>
      <c r="W72" s="585">
        <f>'Propylene Recycling HC'!V210</f>
        <v>206772.40219448518</v>
      </c>
      <c r="X72" s="585">
        <f>'Propylene Recycling HC'!W210</f>
        <v>197560.29210123286</v>
      </c>
      <c r="Y72" s="585">
        <f>'Propylene Recycling HC'!X210</f>
        <v>192613.89478427314</v>
      </c>
      <c r="Z72" s="585">
        <f>'Propylene Recycling HC'!Y210</f>
        <v>188543.26964336928</v>
      </c>
      <c r="AA72" s="585">
        <f>'Propylene Recycling HC'!Z210</f>
        <v>185290.67575442063</v>
      </c>
      <c r="AB72" s="585">
        <f>'Propylene Recycling HC'!AA210</f>
        <v>182779.06870358888</v>
      </c>
      <c r="AC72" s="585">
        <f>'Propylene Recycling HC'!AB210</f>
        <v>180799.92221515923</v>
      </c>
      <c r="AD72" s="585">
        <f>'Propylene Recycling HC'!AC210</f>
        <v>179145.69061322184</v>
      </c>
      <c r="AE72" s="585">
        <f>'Propylene Recycling HC'!AD210</f>
        <v>177673.34018626317</v>
      </c>
      <c r="AF72" s="585">
        <f>'Propylene Recycling HC'!AE210</f>
        <v>176256.78083964024</v>
      </c>
      <c r="AG72" s="585">
        <f>'Propylene Recycling HC'!AF210</f>
        <v>174800.54445124386</v>
      </c>
      <c r="AH72" s="585">
        <f>'Propylene Recycling HC'!AG210</f>
        <v>173234.59906787629</v>
      </c>
      <c r="AI72" s="375"/>
    </row>
    <row r="73" spans="1:45" s="373" customFormat="1">
      <c r="A73" s="372" t="s">
        <v>648</v>
      </c>
      <c r="C73" s="376" t="s">
        <v>1420</v>
      </c>
      <c r="D73" s="586">
        <f>'Propylene Recycling HC'!C211</f>
        <v>2034373.0964197107</v>
      </c>
      <c r="E73" s="586">
        <f>'Propylene Recycling HC'!D211</f>
        <v>1993650.9822374368</v>
      </c>
      <c r="F73" s="586">
        <f>'Propylene Recycling HC'!E211</f>
        <v>1952467.5222898545</v>
      </c>
      <c r="G73" s="586">
        <f>'Propylene Recycling HC'!F211</f>
        <v>1910843.6750262976</v>
      </c>
      <c r="H73" s="586">
        <f>'Propylene Recycling HC'!G211</f>
        <v>1868796.8478556729</v>
      </c>
      <c r="I73" s="586">
        <f>'Propylene Recycling HC'!H211</f>
        <v>1826337.7816530757</v>
      </c>
      <c r="J73" s="586">
        <f>'Propylene Recycling HC'!I211</f>
        <v>1779814.362294517</v>
      </c>
      <c r="K73" s="586">
        <f>'Propylene Recycling HC'!J211</f>
        <v>1733034.5881205173</v>
      </c>
      <c r="L73" s="586">
        <f>'Propylene Recycling HC'!K211</f>
        <v>1685936.0268695515</v>
      </c>
      <c r="M73" s="586">
        <f>'Propylene Recycling HC'!L211</f>
        <v>1638394.4837868614</v>
      </c>
      <c r="N73" s="586">
        <f>'Propylene Recycling HC'!M211</f>
        <v>1590194.4928787649</v>
      </c>
      <c r="O73" s="586">
        <f>'Propylene Recycling HC'!N211</f>
        <v>1545581.5105323733</v>
      </c>
      <c r="P73" s="586">
        <f>'Propylene Recycling HC'!O211</f>
        <v>1501211.0375981349</v>
      </c>
      <c r="Q73" s="586">
        <f>'Propylene Recycling HC'!P211</f>
        <v>1454165.3774258113</v>
      </c>
      <c r="R73" s="586">
        <f>'Propylene Recycling HC'!Q211</f>
        <v>1405271.3140112709</v>
      </c>
      <c r="S73" s="586">
        <f>'Propylene Recycling HC'!R211</f>
        <v>1354547.0919599056</v>
      </c>
      <c r="T73" s="586">
        <f>'Propylene Recycling HC'!S211</f>
        <v>1302437.6782784068</v>
      </c>
      <c r="U73" s="586">
        <f>'Propylene Recycling HC'!T211</f>
        <v>1249761.8415533141</v>
      </c>
      <c r="V73" s="586">
        <f>'Propylene Recycling HC'!U211</f>
        <v>1197490.3220104254</v>
      </c>
      <c r="W73" s="586">
        <f>'Propylene Recycling HC'!V211</f>
        <v>1146476.8135154922</v>
      </c>
      <c r="X73" s="586">
        <f>'Propylene Recycling HC'!W211</f>
        <v>1097281.2089194749</v>
      </c>
      <c r="Y73" s="586">
        <f>'Propylene Recycling HC'!X211</f>
        <v>1044816.1651997223</v>
      </c>
      <c r="Z73" s="586">
        <f>'Propylene Recycling HC'!Y211</f>
        <v>992855.83527993283</v>
      </c>
      <c r="AA73" s="586">
        <f>'Propylene Recycling HC'!Z211</f>
        <v>942295.88615701138</v>
      </c>
      <c r="AB73" s="586">
        <f>'Propylene Recycling HC'!AA211</f>
        <v>893135.31437787705</v>
      </c>
      <c r="AC73" s="586">
        <f>'Propylene Recycling HC'!AB211</f>
        <v>845172.81556163053</v>
      </c>
      <c r="AD73" s="586">
        <f>'Propylene Recycling HC'!AC211</f>
        <v>798168.54044203705</v>
      </c>
      <c r="AE73" s="586">
        <f>'Propylene Recycling HC'!AD211</f>
        <v>752029.58606836968</v>
      </c>
      <c r="AF73" s="586">
        <f>'Propylene Recycling HC'!AE211</f>
        <v>706635.282293075</v>
      </c>
      <c r="AG73" s="586">
        <f>'Propylene Recycling HC'!AF211</f>
        <v>661895.08856251079</v>
      </c>
      <c r="AH73" s="586">
        <f>'Propylene Recycling HC'!AG211</f>
        <v>617743.42974683223</v>
      </c>
      <c r="AI73" s="377"/>
    </row>
    <row r="74" spans="1:45" hidden="1">
      <c r="A74" t="s">
        <v>523</v>
      </c>
      <c r="B74"/>
      <c r="C74" s="50"/>
      <c r="D74" s="40">
        <f t="shared" ref="D74:AH74" si="31">D4-D6-D14-D22-D26-D32</f>
        <v>0</v>
      </c>
      <c r="E74" s="40">
        <f t="shared" si="31"/>
        <v>0</v>
      </c>
      <c r="F74" s="40">
        <f t="shared" si="31"/>
        <v>0</v>
      </c>
      <c r="G74" s="40">
        <f t="shared" si="31"/>
        <v>0</v>
      </c>
      <c r="H74" s="40">
        <f t="shared" si="31"/>
        <v>0</v>
      </c>
      <c r="I74" s="40">
        <f t="shared" si="31"/>
        <v>0</v>
      </c>
      <c r="J74" s="40">
        <f t="shared" si="31"/>
        <v>0</v>
      </c>
      <c r="K74" s="40">
        <f t="shared" si="31"/>
        <v>0</v>
      </c>
      <c r="L74" s="40">
        <f t="shared" si="31"/>
        <v>0</v>
      </c>
      <c r="M74" s="40">
        <f t="shared" si="31"/>
        <v>0</v>
      </c>
      <c r="N74" s="40">
        <f t="shared" si="31"/>
        <v>0</v>
      </c>
      <c r="O74" s="40">
        <f t="shared" si="31"/>
        <v>0</v>
      </c>
      <c r="P74" s="40">
        <f t="shared" si="31"/>
        <v>0</v>
      </c>
      <c r="Q74" s="40">
        <f t="shared" si="31"/>
        <v>0</v>
      </c>
      <c r="R74" s="40">
        <f t="shared" si="31"/>
        <v>0</v>
      </c>
      <c r="S74" s="40">
        <f t="shared" si="31"/>
        <v>0</v>
      </c>
      <c r="T74" s="40">
        <f t="shared" si="31"/>
        <v>0</v>
      </c>
      <c r="U74" s="40">
        <f t="shared" si="31"/>
        <v>0</v>
      </c>
      <c r="V74" s="40">
        <f t="shared" si="31"/>
        <v>0</v>
      </c>
      <c r="W74" s="40">
        <f t="shared" si="31"/>
        <v>0</v>
      </c>
      <c r="X74" s="40">
        <f t="shared" si="31"/>
        <v>0</v>
      </c>
      <c r="Y74" s="40">
        <f t="shared" si="31"/>
        <v>0</v>
      </c>
      <c r="Z74" s="40">
        <f t="shared" si="31"/>
        <v>0</v>
      </c>
      <c r="AA74" s="40">
        <f t="shared" si="31"/>
        <v>0</v>
      </c>
      <c r="AB74" s="40">
        <f t="shared" si="31"/>
        <v>0</v>
      </c>
      <c r="AC74" s="40">
        <f t="shared" si="31"/>
        <v>0</v>
      </c>
      <c r="AD74" s="40">
        <f t="shared" si="31"/>
        <v>0</v>
      </c>
      <c r="AE74" s="40">
        <f t="shared" si="31"/>
        <v>0</v>
      </c>
      <c r="AF74" s="40">
        <f t="shared" si="31"/>
        <v>0</v>
      </c>
      <c r="AG74" s="40">
        <f t="shared" si="31"/>
        <v>0</v>
      </c>
      <c r="AH74" s="40">
        <f t="shared" si="31"/>
        <v>0</v>
      </c>
    </row>
    <row r="75" spans="1:45" hidden="1">
      <c r="A75" t="s">
        <v>524</v>
      </c>
      <c r="B75"/>
      <c r="C75" s="50"/>
      <c r="D75" s="40">
        <f t="shared" ref="D75:AH75" si="32">D42-D13-D21-D25-D31-D35-D38</f>
        <v>0</v>
      </c>
      <c r="E75" s="40">
        <f t="shared" si="32"/>
        <v>-2.3283064365386963E-10</v>
      </c>
      <c r="F75" s="40">
        <f t="shared" si="32"/>
        <v>6.9849193096160889E-10</v>
      </c>
      <c r="G75" s="40">
        <f t="shared" si="32"/>
        <v>4.6566128730773926E-10</v>
      </c>
      <c r="H75" s="40">
        <f t="shared" si="32"/>
        <v>0</v>
      </c>
      <c r="I75" s="40">
        <f t="shared" si="32"/>
        <v>0</v>
      </c>
      <c r="J75" s="40">
        <f t="shared" si="32"/>
        <v>4.6566128730773926E-10</v>
      </c>
      <c r="K75" s="40">
        <f t="shared" si="32"/>
        <v>0</v>
      </c>
      <c r="L75" s="40">
        <f t="shared" si="32"/>
        <v>0</v>
      </c>
      <c r="M75" s="40">
        <f t="shared" si="32"/>
        <v>-6.9849193096160889E-10</v>
      </c>
      <c r="N75" s="40">
        <f t="shared" si="32"/>
        <v>-2.3283064365386963E-10</v>
      </c>
      <c r="O75" s="40">
        <f t="shared" si="32"/>
        <v>2.3283064365386963E-10</v>
      </c>
      <c r="P75" s="40">
        <f t="shared" si="32"/>
        <v>2.3283064365386963E-10</v>
      </c>
      <c r="Q75" s="40">
        <f t="shared" si="32"/>
        <v>-4.6566128730773926E-10</v>
      </c>
      <c r="R75" s="40">
        <f t="shared" si="32"/>
        <v>-4.6566128730773926E-10</v>
      </c>
      <c r="S75" s="40">
        <f t="shared" si="32"/>
        <v>-2.3283064365386963E-10</v>
      </c>
      <c r="T75" s="40">
        <f t="shared" si="32"/>
        <v>1.1641532182693481E-10</v>
      </c>
      <c r="U75" s="40">
        <f t="shared" si="32"/>
        <v>3.4924596548080444E-10</v>
      </c>
      <c r="V75" s="40">
        <f t="shared" si="32"/>
        <v>8.149072527885437E-10</v>
      </c>
      <c r="W75" s="40">
        <f t="shared" si="32"/>
        <v>1.1641532182693481E-10</v>
      </c>
      <c r="X75" s="40">
        <f t="shared" si="32"/>
        <v>-1.1641532182693481E-10</v>
      </c>
      <c r="Y75" s="40">
        <f t="shared" si="32"/>
        <v>0</v>
      </c>
      <c r="Z75" s="40">
        <f t="shared" si="32"/>
        <v>4.6566128730773926E-10</v>
      </c>
      <c r="AA75" s="40">
        <f t="shared" si="32"/>
        <v>4.6566128730773926E-10</v>
      </c>
      <c r="AB75" s="40">
        <f t="shared" si="32"/>
        <v>2.3283064365386963E-10</v>
      </c>
      <c r="AC75" s="40">
        <f t="shared" si="32"/>
        <v>-3.4924596548080444E-10</v>
      </c>
      <c r="AD75" s="40">
        <f t="shared" si="32"/>
        <v>-3.4924596548080444E-10</v>
      </c>
      <c r="AE75" s="40">
        <f t="shared" si="32"/>
        <v>0</v>
      </c>
      <c r="AF75" s="40">
        <f t="shared" si="32"/>
        <v>1.1641532182693481E-10</v>
      </c>
      <c r="AG75" s="40">
        <f t="shared" si="32"/>
        <v>-1.1641532182693481E-10</v>
      </c>
      <c r="AH75" s="40">
        <f t="shared" si="32"/>
        <v>0</v>
      </c>
    </row>
    <row r="76" spans="1:45" hidden="1">
      <c r="A76" t="s">
        <v>525</v>
      </c>
      <c r="B76"/>
      <c r="C76" s="50"/>
      <c r="D76" s="216">
        <f t="shared" ref="D76:AH76" si="33">D42-D43-D47-D50-D54-D60</f>
        <v>0</v>
      </c>
      <c r="E76" s="216">
        <f t="shared" si="33"/>
        <v>0</v>
      </c>
      <c r="F76" s="216">
        <f t="shared" si="33"/>
        <v>0</v>
      </c>
      <c r="G76" s="216">
        <f t="shared" si="33"/>
        <v>0</v>
      </c>
      <c r="H76" s="216">
        <f t="shared" si="33"/>
        <v>0</v>
      </c>
      <c r="I76" s="216">
        <f t="shared" si="33"/>
        <v>0</v>
      </c>
      <c r="J76" s="216">
        <f t="shared" si="33"/>
        <v>0</v>
      </c>
      <c r="K76" s="216">
        <f t="shared" si="33"/>
        <v>0</v>
      </c>
      <c r="L76" s="216">
        <f t="shared" si="33"/>
        <v>0</v>
      </c>
      <c r="M76" s="216">
        <f t="shared" si="33"/>
        <v>0</v>
      </c>
      <c r="N76" s="216">
        <f t="shared" si="33"/>
        <v>0</v>
      </c>
      <c r="O76" s="216">
        <f t="shared" si="33"/>
        <v>0</v>
      </c>
      <c r="P76" s="216">
        <f t="shared" si="33"/>
        <v>0</v>
      </c>
      <c r="Q76" s="216">
        <f t="shared" si="33"/>
        <v>0</v>
      </c>
      <c r="R76" s="216">
        <f t="shared" si="33"/>
        <v>0</v>
      </c>
      <c r="S76" s="216">
        <f t="shared" si="33"/>
        <v>0</v>
      </c>
      <c r="T76" s="216">
        <f t="shared" si="33"/>
        <v>0</v>
      </c>
      <c r="U76" s="216">
        <f t="shared" si="33"/>
        <v>0</v>
      </c>
      <c r="V76" s="216">
        <f t="shared" si="33"/>
        <v>1.0477378964424133E-9</v>
      </c>
      <c r="W76" s="216">
        <f t="shared" si="33"/>
        <v>0</v>
      </c>
      <c r="X76" s="216">
        <f t="shared" si="33"/>
        <v>0</v>
      </c>
      <c r="Y76" s="216">
        <f t="shared" si="33"/>
        <v>0</v>
      </c>
      <c r="Z76" s="216">
        <f t="shared" si="33"/>
        <v>0</v>
      </c>
      <c r="AA76" s="216">
        <f t="shared" si="33"/>
        <v>0</v>
      </c>
      <c r="AB76" s="216">
        <f t="shared" si="33"/>
        <v>0</v>
      </c>
      <c r="AC76" s="216">
        <f t="shared" si="33"/>
        <v>0</v>
      </c>
      <c r="AD76" s="216">
        <f t="shared" si="33"/>
        <v>0</v>
      </c>
      <c r="AE76" s="216">
        <f t="shared" si="33"/>
        <v>0</v>
      </c>
      <c r="AF76" s="216">
        <f t="shared" si="33"/>
        <v>0</v>
      </c>
      <c r="AG76" s="216">
        <f t="shared" si="33"/>
        <v>0</v>
      </c>
      <c r="AH76" s="216">
        <f t="shared" si="33"/>
        <v>0</v>
      </c>
    </row>
    <row r="77" spans="1:45" hidden="1">
      <c r="A77" t="s">
        <v>526</v>
      </c>
      <c r="B77"/>
      <c r="C77" s="50"/>
      <c r="D77" s="216">
        <f t="shared" ref="D77:AH77" si="34">D46+D49+D53+D59+D65-D68</f>
        <v>0</v>
      </c>
      <c r="E77" s="216">
        <f t="shared" si="34"/>
        <v>0</v>
      </c>
      <c r="F77" s="216">
        <f t="shared" si="34"/>
        <v>0</v>
      </c>
      <c r="G77" s="216">
        <f t="shared" si="34"/>
        <v>0</v>
      </c>
      <c r="H77" s="216">
        <f t="shared" si="34"/>
        <v>0</v>
      </c>
      <c r="I77" s="216">
        <f t="shared" si="34"/>
        <v>0</v>
      </c>
      <c r="J77" s="216">
        <f t="shared" si="34"/>
        <v>0</v>
      </c>
      <c r="K77" s="216">
        <f t="shared" si="34"/>
        <v>0</v>
      </c>
      <c r="L77" s="216">
        <f t="shared" si="34"/>
        <v>0</v>
      </c>
      <c r="M77" s="216">
        <f t="shared" si="34"/>
        <v>0</v>
      </c>
      <c r="N77" s="216">
        <f t="shared" si="34"/>
        <v>0</v>
      </c>
      <c r="O77" s="216">
        <f t="shared" si="34"/>
        <v>0</v>
      </c>
      <c r="P77" s="216">
        <f t="shared" si="34"/>
        <v>0</v>
      </c>
      <c r="Q77" s="216">
        <f t="shared" si="34"/>
        <v>0</v>
      </c>
      <c r="R77" s="216">
        <f t="shared" si="34"/>
        <v>0</v>
      </c>
      <c r="S77" s="216">
        <f t="shared" si="34"/>
        <v>0</v>
      </c>
      <c r="T77" s="216">
        <f t="shared" si="34"/>
        <v>0</v>
      </c>
      <c r="U77" s="216">
        <f t="shared" si="34"/>
        <v>0</v>
      </c>
      <c r="V77" s="216">
        <f t="shared" si="34"/>
        <v>0</v>
      </c>
      <c r="W77" s="216">
        <f t="shared" si="34"/>
        <v>0</v>
      </c>
      <c r="X77" s="216">
        <f t="shared" si="34"/>
        <v>0</v>
      </c>
      <c r="Y77" s="216">
        <f t="shared" si="34"/>
        <v>0</v>
      </c>
      <c r="Z77" s="216">
        <f t="shared" si="34"/>
        <v>0</v>
      </c>
      <c r="AA77" s="216">
        <f t="shared" si="34"/>
        <v>0</v>
      </c>
      <c r="AB77" s="216">
        <f t="shared" si="34"/>
        <v>0</v>
      </c>
      <c r="AC77" s="216">
        <f t="shared" si="34"/>
        <v>0</v>
      </c>
      <c r="AD77" s="216">
        <f t="shared" si="34"/>
        <v>0</v>
      </c>
      <c r="AE77" s="216">
        <f t="shared" si="34"/>
        <v>0</v>
      </c>
      <c r="AF77" s="216">
        <f t="shared" si="34"/>
        <v>-104.92939949035645</v>
      </c>
      <c r="AG77" s="216">
        <f t="shared" si="34"/>
        <v>-10675.676594827324</v>
      </c>
      <c r="AH77" s="216">
        <f t="shared" si="34"/>
        <v>-21164.392648661742</v>
      </c>
    </row>
    <row r="78" spans="1:45">
      <c r="C78" s="60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</row>
    <row r="79" spans="1:45" s="733" customFormat="1" ht="54" customHeight="1">
      <c r="A79" s="732"/>
      <c r="C79" s="732"/>
      <c r="D79" s="732"/>
      <c r="E79" s="732"/>
      <c r="F79" s="732"/>
      <c r="G79" s="732"/>
      <c r="H79" s="732"/>
      <c r="I79" s="732"/>
      <c r="J79" s="732"/>
      <c r="K79" s="732"/>
      <c r="L79" s="732"/>
      <c r="M79" s="732"/>
      <c r="N79" s="732"/>
      <c r="O79" s="732"/>
      <c r="P79" s="732"/>
      <c r="Q79" s="732"/>
      <c r="R79" s="732"/>
      <c r="S79" s="732"/>
      <c r="T79" s="732"/>
      <c r="U79" s="732"/>
      <c r="V79" s="732"/>
      <c r="W79" s="732"/>
      <c r="X79" s="732"/>
      <c r="AJ79" s="734"/>
      <c r="AK79" s="735"/>
      <c r="AL79" s="735"/>
      <c r="AM79" s="735"/>
      <c r="AN79" s="735"/>
      <c r="AO79" s="735"/>
      <c r="AP79" s="735"/>
      <c r="AQ79" s="735"/>
      <c r="AR79" s="735"/>
      <c r="AS79" s="735"/>
    </row>
    <row r="80" spans="1:45" s="733" customFormat="1">
      <c r="B80" s="736"/>
      <c r="C80" s="712"/>
      <c r="D80" s="713"/>
      <c r="N80" s="712"/>
      <c r="X80" s="737"/>
      <c r="AJ80" s="738"/>
      <c r="AK80" s="739"/>
      <c r="AM80" s="739"/>
      <c r="AN80" s="739"/>
      <c r="AO80" s="739"/>
      <c r="AP80" s="739"/>
      <c r="AR80" s="739"/>
      <c r="AS80" s="740"/>
    </row>
    <row r="81" spans="1:45" s="733" customFormat="1">
      <c r="B81" s="736"/>
      <c r="C81" s="712"/>
      <c r="D81" s="713"/>
      <c r="N81" s="712"/>
      <c r="X81" s="737"/>
      <c r="AJ81" s="738"/>
      <c r="AN81" s="737"/>
      <c r="AO81" s="741"/>
      <c r="AP81" s="737"/>
      <c r="AQ81" s="741"/>
    </row>
    <row r="82" spans="1:45" s="733" customFormat="1">
      <c r="B82" s="736"/>
      <c r="C82" s="712"/>
      <c r="D82" s="713"/>
      <c r="N82" s="712"/>
      <c r="X82" s="737"/>
      <c r="AJ82" s="738"/>
      <c r="AN82" s="737"/>
      <c r="AO82" s="741"/>
      <c r="AQ82" s="741"/>
    </row>
    <row r="83" spans="1:45" s="733" customFormat="1">
      <c r="B83" s="736"/>
      <c r="C83" s="712"/>
      <c r="D83" s="713"/>
      <c r="N83" s="712"/>
      <c r="X83" s="737"/>
      <c r="AJ83" s="738"/>
      <c r="AL83" s="739"/>
      <c r="AS83" s="737"/>
    </row>
    <row r="84" spans="1:45" s="733" customFormat="1">
      <c r="B84" s="736"/>
      <c r="C84" s="712"/>
      <c r="D84" s="713"/>
      <c r="N84" s="712"/>
      <c r="X84" s="737"/>
    </row>
    <row r="85" spans="1:45" s="733" customFormat="1">
      <c r="B85" s="736"/>
      <c r="C85" s="712"/>
      <c r="D85" s="713"/>
      <c r="N85" s="712"/>
      <c r="X85" s="737"/>
      <c r="AJ85" s="742"/>
      <c r="AK85" s="743"/>
      <c r="AL85" s="743"/>
      <c r="AM85" s="743"/>
      <c r="AN85" s="743"/>
      <c r="AO85" s="743"/>
      <c r="AP85" s="743"/>
      <c r="AQ85" s="743"/>
      <c r="AR85" s="743"/>
      <c r="AS85" s="744"/>
    </row>
    <row r="86" spans="1:45" s="733" customFormat="1">
      <c r="A86" s="720"/>
      <c r="B86" s="736"/>
      <c r="C86" s="712"/>
      <c r="D86" s="713"/>
      <c r="N86" s="712"/>
      <c r="X86" s="737"/>
      <c r="AK86" s="745"/>
      <c r="AL86" s="745"/>
      <c r="AM86" s="745"/>
      <c r="AN86" s="745"/>
      <c r="AO86" s="745"/>
      <c r="AP86" s="745"/>
      <c r="AQ86" s="746"/>
      <c r="AR86" s="746"/>
      <c r="AS86" s="737"/>
    </row>
    <row r="87" spans="1:45" s="733" customFormat="1">
      <c r="B87" s="736"/>
      <c r="C87" s="712"/>
      <c r="D87" s="713"/>
      <c r="N87" s="712"/>
      <c r="X87" s="737"/>
      <c r="AN87" s="737"/>
      <c r="AO87" s="737"/>
      <c r="AP87" s="737"/>
      <c r="AQ87" s="737"/>
      <c r="AR87" s="737"/>
    </row>
    <row r="88" spans="1:45" s="733" customFormat="1">
      <c r="B88" s="747"/>
      <c r="C88" s="727"/>
      <c r="D88" s="746"/>
      <c r="N88" s="736"/>
      <c r="X88" s="737"/>
    </row>
    <row r="89" spans="1:45" s="733" customFormat="1">
      <c r="AJ89" s="742"/>
      <c r="AK89" s="743"/>
      <c r="AL89" s="743"/>
      <c r="AM89" s="743"/>
      <c r="AN89" s="743"/>
      <c r="AO89" s="743"/>
      <c r="AP89" s="744"/>
      <c r="AQ89" s="743"/>
      <c r="AR89" s="743"/>
    </row>
    <row r="90" spans="1:45" s="733" customFormat="1">
      <c r="A90" s="732"/>
      <c r="C90" s="732"/>
      <c r="D90" s="732"/>
      <c r="E90" s="732"/>
      <c r="F90" s="732"/>
      <c r="G90" s="732"/>
      <c r="H90" s="732"/>
      <c r="I90" s="732"/>
      <c r="J90" s="732"/>
      <c r="K90" s="732"/>
      <c r="L90" s="732"/>
      <c r="M90" s="732"/>
      <c r="O90" s="732"/>
      <c r="P90" s="732"/>
      <c r="Q90" s="732"/>
      <c r="R90" s="732"/>
      <c r="S90" s="732"/>
      <c r="T90" s="732"/>
      <c r="U90" s="732"/>
      <c r="V90" s="732"/>
      <c r="W90" s="732"/>
      <c r="X90" s="732"/>
      <c r="AK90" s="745"/>
      <c r="AL90" s="745"/>
      <c r="AM90" s="745"/>
      <c r="AN90" s="745"/>
      <c r="AO90" s="745"/>
      <c r="AP90" s="745"/>
      <c r="AQ90" s="745"/>
    </row>
    <row r="91" spans="1:45" s="733" customFormat="1">
      <c r="B91" s="736"/>
      <c r="C91" s="712"/>
      <c r="D91" s="712"/>
      <c r="X91" s="737"/>
      <c r="AN91" s="737"/>
      <c r="AO91" s="737"/>
    </row>
    <row r="92" spans="1:45" s="733" customFormat="1">
      <c r="B92" s="736"/>
      <c r="C92" s="712"/>
      <c r="D92" s="712"/>
      <c r="X92" s="737"/>
    </row>
    <row r="93" spans="1:45" s="733" customFormat="1">
      <c r="B93" s="736"/>
      <c r="C93" s="712"/>
      <c r="D93" s="712"/>
      <c r="X93" s="737"/>
      <c r="AJ93" s="742"/>
      <c r="AK93" s="743"/>
      <c r="AL93" s="743"/>
      <c r="AM93" s="743"/>
      <c r="AN93" s="743"/>
      <c r="AO93" s="743"/>
      <c r="AP93" s="743"/>
      <c r="AQ93" s="743"/>
      <c r="AR93" s="743"/>
      <c r="AS93" s="744"/>
    </row>
    <row r="94" spans="1:45" s="733" customFormat="1">
      <c r="B94" s="736"/>
      <c r="C94" s="712"/>
      <c r="D94" s="712"/>
      <c r="X94" s="737"/>
      <c r="AK94" s="745"/>
      <c r="AL94" s="745"/>
      <c r="AM94" s="745"/>
      <c r="AN94" s="745"/>
      <c r="AO94" s="745"/>
      <c r="AP94" s="745"/>
      <c r="AQ94" s="737"/>
      <c r="AS94" s="737"/>
    </row>
    <row r="95" spans="1:45" s="733" customFormat="1">
      <c r="B95" s="736"/>
      <c r="C95" s="736"/>
      <c r="D95" s="736"/>
      <c r="X95" s="737"/>
      <c r="AN95" s="737"/>
      <c r="AO95" s="737"/>
      <c r="AP95" s="737"/>
    </row>
    <row r="96" spans="1:45" s="733" customFormat="1">
      <c r="B96" s="736"/>
      <c r="C96" s="712"/>
      <c r="D96" s="712"/>
      <c r="X96" s="737"/>
      <c r="AJ96" s="748"/>
      <c r="AK96" s="743"/>
      <c r="AL96" s="743"/>
      <c r="AM96" s="743"/>
      <c r="AN96" s="743"/>
      <c r="AO96" s="743"/>
      <c r="AP96" s="743"/>
    </row>
    <row r="97" spans="1:46" s="733" customFormat="1">
      <c r="B97" s="747"/>
      <c r="C97" s="727"/>
      <c r="D97" s="747"/>
      <c r="X97" s="737"/>
      <c r="AJ97" s="742"/>
      <c r="AK97" s="743"/>
      <c r="AL97" s="743"/>
      <c r="AM97" s="743"/>
      <c r="AN97" s="743"/>
      <c r="AO97" s="743"/>
      <c r="AP97" s="743"/>
      <c r="AQ97" s="743"/>
      <c r="AR97" s="744"/>
    </row>
    <row r="98" spans="1:46" s="733" customFormat="1">
      <c r="X98" s="737"/>
      <c r="AK98" s="745"/>
      <c r="AL98" s="745"/>
      <c r="AM98" s="745"/>
      <c r="AN98" s="745"/>
      <c r="AO98" s="745"/>
      <c r="AP98" s="745"/>
      <c r="AQ98" s="741"/>
      <c r="AR98" s="737"/>
    </row>
    <row r="99" spans="1:46" s="733" customFormat="1">
      <c r="AN99" s="737"/>
      <c r="AO99" s="737"/>
      <c r="AP99" s="737"/>
      <c r="AQ99" s="741"/>
    </row>
    <row r="100" spans="1:46" s="733" customFormat="1">
      <c r="A100" s="732"/>
      <c r="B100" s="732"/>
      <c r="C100" s="732"/>
      <c r="D100" s="732"/>
      <c r="N100" s="732"/>
    </row>
    <row r="101" spans="1:46" s="733" customFormat="1">
      <c r="B101" s="736"/>
      <c r="C101" s="736"/>
      <c r="D101" s="712"/>
      <c r="N101" s="712"/>
      <c r="AJ101" s="742"/>
      <c r="AK101" s="743"/>
      <c r="AL101" s="743"/>
      <c r="AM101" s="743"/>
      <c r="AN101" s="743"/>
      <c r="AO101" s="743"/>
      <c r="AP101" s="744"/>
    </row>
    <row r="102" spans="1:46" s="733" customFormat="1">
      <c r="B102" s="736"/>
      <c r="C102" s="736"/>
      <c r="D102" s="712"/>
      <c r="N102" s="712"/>
      <c r="AK102" s="745"/>
      <c r="AL102" s="745"/>
      <c r="AM102" s="745"/>
      <c r="AN102" s="745"/>
      <c r="AO102" s="741"/>
      <c r="AP102" s="737"/>
    </row>
    <row r="103" spans="1:46" s="733" customFormat="1">
      <c r="B103" s="736"/>
      <c r="C103" s="736"/>
      <c r="D103" s="712"/>
      <c r="N103" s="712"/>
      <c r="AN103" s="737"/>
      <c r="AO103" s="741"/>
    </row>
    <row r="104" spans="1:46" s="733" customFormat="1">
      <c r="B104" s="736"/>
      <c r="C104" s="736"/>
      <c r="D104" s="712"/>
      <c r="N104" s="712"/>
    </row>
    <row r="105" spans="1:46" s="733" customFormat="1">
      <c r="B105" s="736"/>
      <c r="C105" s="736"/>
      <c r="D105" s="712"/>
      <c r="N105" s="712"/>
      <c r="AJ105" s="734"/>
      <c r="AK105" s="735"/>
      <c r="AL105" s="735"/>
      <c r="AM105" s="735"/>
      <c r="AN105" s="735"/>
      <c r="AO105" s="744"/>
      <c r="AP105" s="735"/>
      <c r="AQ105" s="735"/>
      <c r="AR105" s="735"/>
      <c r="AS105" s="735"/>
      <c r="AT105" s="735"/>
    </row>
    <row r="106" spans="1:46" s="733" customFormat="1">
      <c r="B106" s="736"/>
      <c r="C106" s="736"/>
      <c r="D106" s="712"/>
      <c r="N106" s="712"/>
      <c r="AK106" s="739"/>
      <c r="AL106" s="739"/>
      <c r="AM106" s="739"/>
      <c r="AN106" s="739"/>
      <c r="AO106" s="739"/>
      <c r="AP106" s="739"/>
      <c r="AQ106" s="739"/>
      <c r="AR106" s="739"/>
      <c r="AS106" s="737"/>
      <c r="AT106" s="740"/>
    </row>
    <row r="107" spans="1:46" s="733" customFormat="1">
      <c r="B107" s="747"/>
      <c r="C107" s="747"/>
      <c r="D107" s="727"/>
      <c r="N107" s="747"/>
      <c r="AJ107" s="740"/>
    </row>
    <row r="108" spans="1:46" s="733" customFormat="1"/>
    <row r="109" spans="1:46" s="733" customFormat="1" ht="78" customHeight="1">
      <c r="AJ109" s="748"/>
      <c r="AK109" s="735"/>
      <c r="AL109" s="735"/>
      <c r="AM109" s="735"/>
      <c r="AN109" s="735"/>
      <c r="AO109" s="744"/>
      <c r="AP109" s="735"/>
      <c r="AQ109" s="735"/>
      <c r="AR109" s="735"/>
      <c r="AS109" s="735"/>
    </row>
    <row r="110" spans="1:46" s="733" customFormat="1">
      <c r="A110" s="732"/>
      <c r="B110" s="732"/>
      <c r="C110" s="732"/>
      <c r="D110" s="732"/>
      <c r="N110" s="732"/>
      <c r="AK110" s="739"/>
      <c r="AL110" s="739"/>
      <c r="AM110" s="739"/>
      <c r="AN110" s="739"/>
      <c r="AO110" s="745"/>
      <c r="AP110" s="745"/>
      <c r="AQ110" s="745"/>
      <c r="AR110" s="745"/>
      <c r="AS110" s="745"/>
    </row>
    <row r="111" spans="1:46" s="733" customFormat="1">
      <c r="B111" s="749"/>
      <c r="C111" s="749"/>
      <c r="D111" s="712"/>
      <c r="N111" s="712"/>
    </row>
    <row r="112" spans="1:46" s="733" customFormat="1">
      <c r="B112" s="749"/>
      <c r="C112" s="749"/>
      <c r="D112" s="712"/>
      <c r="N112" s="712"/>
    </row>
    <row r="113" spans="1:46" s="733" customFormat="1" ht="71.5" customHeight="1">
      <c r="B113" s="749"/>
      <c r="C113" s="749"/>
      <c r="D113" s="712"/>
      <c r="N113" s="712"/>
      <c r="AJ113" s="748"/>
      <c r="AK113" s="735"/>
      <c r="AL113" s="735"/>
      <c r="AM113" s="735"/>
      <c r="AN113" s="735"/>
      <c r="AO113" s="744"/>
      <c r="AP113" s="735"/>
      <c r="AQ113" s="735"/>
      <c r="AR113" s="735"/>
      <c r="AS113" s="735"/>
      <c r="AT113" s="735"/>
    </row>
    <row r="114" spans="1:46" s="733" customFormat="1">
      <c r="A114" s="720"/>
      <c r="B114" s="749"/>
      <c r="C114" s="749"/>
      <c r="D114" s="712"/>
      <c r="N114" s="712"/>
      <c r="AK114" s="745"/>
      <c r="AL114" s="745"/>
      <c r="AM114" s="745"/>
      <c r="AN114" s="745"/>
      <c r="AO114" s="745"/>
      <c r="AP114" s="745"/>
      <c r="AQ114" s="745"/>
      <c r="AR114" s="737"/>
      <c r="AS114" s="745"/>
    </row>
    <row r="115" spans="1:46" s="733" customFormat="1">
      <c r="B115" s="749"/>
      <c r="C115" s="749"/>
      <c r="D115" s="712"/>
      <c r="N115" s="712"/>
    </row>
    <row r="116" spans="1:46" s="733" customFormat="1">
      <c r="B116" s="749"/>
      <c r="C116" s="749"/>
      <c r="D116" s="712"/>
      <c r="N116" s="712"/>
      <c r="AJ116" s="748"/>
      <c r="AK116" s="735"/>
      <c r="AL116" s="735"/>
      <c r="AM116" s="735"/>
      <c r="AN116" s="735"/>
      <c r="AO116" s="744"/>
      <c r="AP116" s="735"/>
      <c r="AQ116" s="735"/>
      <c r="AR116" s="735"/>
      <c r="AS116" s="735"/>
      <c r="AT116" s="735"/>
    </row>
    <row r="117" spans="1:46" s="733" customFormat="1">
      <c r="B117" s="749"/>
      <c r="C117" s="749"/>
      <c r="D117" s="712"/>
      <c r="N117" s="712"/>
      <c r="AK117" s="745"/>
      <c r="AL117" s="745"/>
      <c r="AM117" s="745"/>
      <c r="AN117" s="745"/>
      <c r="AO117" s="745"/>
      <c r="AP117" s="745"/>
      <c r="AR117" s="737"/>
      <c r="AS117" s="737"/>
      <c r="AT117" s="745"/>
    </row>
    <row r="118" spans="1:46" s="733" customFormat="1">
      <c r="B118" s="749"/>
      <c r="C118" s="749"/>
      <c r="D118" s="727"/>
      <c r="N118" s="747"/>
    </row>
    <row r="119" spans="1:46" s="733" customFormat="1" ht="51.65" customHeight="1">
      <c r="AJ119" s="748"/>
      <c r="AK119" s="735"/>
      <c r="AL119" s="735"/>
      <c r="AM119" s="735"/>
      <c r="AN119" s="735"/>
      <c r="AO119" s="744"/>
      <c r="AP119" s="735"/>
      <c r="AQ119" s="735"/>
      <c r="AR119" s="735"/>
      <c r="AS119" s="735"/>
    </row>
    <row r="120" spans="1:46" s="733" customFormat="1">
      <c r="AK120" s="745"/>
      <c r="AL120" s="745"/>
      <c r="AM120" s="745"/>
      <c r="AN120" s="745"/>
      <c r="AO120" s="745"/>
      <c r="AP120" s="745"/>
      <c r="AQ120" s="745"/>
      <c r="AR120" s="745"/>
    </row>
    <row r="121" spans="1:46" s="733" customFormat="1">
      <c r="D121" s="737"/>
      <c r="E121" s="737"/>
      <c r="F121" s="737"/>
      <c r="G121" s="737"/>
      <c r="H121" s="737"/>
      <c r="I121" s="737"/>
      <c r="J121" s="737"/>
      <c r="K121" s="737"/>
      <c r="L121" s="737"/>
      <c r="M121" s="737"/>
      <c r="N121" s="737"/>
      <c r="O121" s="737"/>
      <c r="P121" s="737"/>
      <c r="Q121" s="737"/>
      <c r="R121" s="737"/>
      <c r="S121" s="737"/>
      <c r="T121" s="737"/>
      <c r="U121" s="737"/>
      <c r="V121" s="737"/>
      <c r="W121" s="737"/>
      <c r="X121" s="737"/>
      <c r="Y121" s="737"/>
      <c r="Z121" s="737"/>
      <c r="AA121" s="737"/>
      <c r="AB121" s="737"/>
      <c r="AC121" s="737"/>
      <c r="AD121" s="737"/>
      <c r="AE121" s="737"/>
      <c r="AF121" s="737"/>
      <c r="AG121" s="737"/>
      <c r="AH121" s="737"/>
    </row>
    <row r="122" spans="1:46" s="733" customFormat="1" ht="46" customHeight="1">
      <c r="D122" s="737"/>
      <c r="E122" s="737"/>
      <c r="F122" s="737"/>
      <c r="G122" s="737"/>
      <c r="H122" s="737"/>
      <c r="I122" s="737"/>
      <c r="J122" s="737"/>
      <c r="K122" s="737"/>
      <c r="L122" s="737"/>
      <c r="M122" s="737"/>
      <c r="N122" s="737"/>
      <c r="O122" s="737"/>
      <c r="P122" s="737"/>
      <c r="Q122" s="737"/>
      <c r="R122" s="737"/>
      <c r="S122" s="737"/>
      <c r="T122" s="737"/>
      <c r="U122" s="737"/>
      <c r="V122" s="737"/>
      <c r="W122" s="737"/>
      <c r="X122" s="737"/>
      <c r="Y122" s="737"/>
      <c r="Z122" s="737"/>
      <c r="AA122" s="737"/>
      <c r="AB122" s="737"/>
      <c r="AC122" s="737"/>
      <c r="AD122" s="737"/>
      <c r="AE122" s="737"/>
      <c r="AF122" s="737"/>
      <c r="AG122" s="737"/>
      <c r="AH122" s="737"/>
      <c r="AJ122" s="748"/>
      <c r="AK122" s="735"/>
      <c r="AL122" s="735"/>
      <c r="AM122" s="735"/>
      <c r="AN122" s="735"/>
      <c r="AO122" s="744"/>
      <c r="AP122" s="735"/>
      <c r="AQ122" s="735"/>
      <c r="AR122" s="735"/>
      <c r="AS122" s="735"/>
      <c r="AT122" s="735"/>
    </row>
    <row r="123" spans="1:46" s="733" customFormat="1">
      <c r="D123" s="737"/>
      <c r="E123" s="737"/>
      <c r="F123" s="737"/>
      <c r="G123" s="737"/>
      <c r="H123" s="737"/>
      <c r="I123" s="737"/>
      <c r="J123" s="737"/>
      <c r="K123" s="737"/>
      <c r="L123" s="737"/>
      <c r="M123" s="737"/>
      <c r="N123" s="737"/>
      <c r="O123" s="737"/>
      <c r="P123" s="737"/>
      <c r="Q123" s="737"/>
      <c r="R123" s="737"/>
      <c r="S123" s="737"/>
      <c r="T123" s="737"/>
      <c r="U123" s="737"/>
      <c r="V123" s="737"/>
      <c r="W123" s="737"/>
      <c r="X123" s="737"/>
      <c r="Y123" s="737"/>
      <c r="Z123" s="737"/>
      <c r="AA123" s="737"/>
      <c r="AB123" s="737"/>
      <c r="AC123" s="737"/>
      <c r="AD123" s="737"/>
      <c r="AE123" s="737"/>
      <c r="AF123" s="737"/>
      <c r="AG123" s="737"/>
      <c r="AH123" s="737"/>
      <c r="AK123" s="745"/>
      <c r="AL123" s="745"/>
      <c r="AM123" s="745"/>
      <c r="AN123" s="745"/>
      <c r="AO123" s="745"/>
      <c r="AP123" s="745"/>
      <c r="AQ123" s="745"/>
      <c r="AR123" s="737"/>
      <c r="AS123" s="745"/>
    </row>
    <row r="124" spans="1:46" s="733" customFormat="1">
      <c r="D124" s="737"/>
      <c r="E124" s="737"/>
      <c r="F124" s="737"/>
      <c r="G124" s="737"/>
      <c r="H124" s="737"/>
      <c r="I124" s="737"/>
      <c r="J124" s="737"/>
      <c r="K124" s="737"/>
      <c r="L124" s="737"/>
      <c r="M124" s="737"/>
      <c r="N124" s="737"/>
      <c r="O124" s="737"/>
      <c r="P124" s="737"/>
      <c r="Q124" s="737"/>
      <c r="R124" s="737"/>
      <c r="S124" s="737"/>
      <c r="T124" s="737"/>
      <c r="U124" s="737"/>
      <c r="V124" s="737"/>
      <c r="W124" s="737"/>
      <c r="X124" s="737"/>
      <c r="Y124" s="737"/>
      <c r="Z124" s="737"/>
      <c r="AA124" s="737"/>
      <c r="AB124" s="737"/>
      <c r="AC124" s="737"/>
      <c r="AD124" s="737"/>
      <c r="AE124" s="737"/>
      <c r="AF124" s="737"/>
      <c r="AG124" s="737"/>
      <c r="AH124" s="737"/>
    </row>
    <row r="125" spans="1:46" s="733" customFormat="1">
      <c r="D125" s="737"/>
      <c r="E125" s="737"/>
      <c r="F125" s="737"/>
      <c r="G125" s="737"/>
      <c r="H125" s="737"/>
      <c r="I125" s="737"/>
      <c r="J125" s="737"/>
      <c r="K125" s="737"/>
      <c r="L125" s="737"/>
      <c r="M125" s="737"/>
      <c r="N125" s="737"/>
      <c r="O125" s="737"/>
      <c r="P125" s="737"/>
      <c r="Q125" s="737"/>
      <c r="R125" s="737"/>
      <c r="S125" s="737"/>
      <c r="T125" s="737"/>
      <c r="U125" s="737"/>
      <c r="V125" s="737"/>
      <c r="W125" s="737"/>
      <c r="X125" s="737"/>
      <c r="Y125" s="737"/>
      <c r="Z125" s="737"/>
      <c r="AA125" s="737"/>
      <c r="AB125" s="737"/>
      <c r="AC125" s="737"/>
      <c r="AD125" s="737"/>
      <c r="AE125" s="737"/>
      <c r="AF125" s="737"/>
      <c r="AG125" s="737"/>
      <c r="AH125" s="737"/>
      <c r="AJ125" s="748"/>
      <c r="AK125" s="735"/>
      <c r="AL125" s="735"/>
      <c r="AM125" s="735"/>
      <c r="AN125" s="735"/>
      <c r="AO125" s="735"/>
      <c r="AP125" s="744"/>
      <c r="AQ125" s="735"/>
      <c r="AR125" s="735"/>
    </row>
    <row r="126" spans="1:46" s="733" customFormat="1">
      <c r="C126" s="720"/>
      <c r="D126" s="737"/>
      <c r="E126" s="737"/>
      <c r="F126" s="737"/>
      <c r="G126" s="737"/>
      <c r="H126" s="737"/>
      <c r="I126" s="737"/>
      <c r="J126" s="737"/>
      <c r="K126" s="737"/>
      <c r="L126" s="737"/>
      <c r="M126" s="737"/>
      <c r="N126" s="737"/>
      <c r="O126" s="737"/>
      <c r="P126" s="737"/>
      <c r="Q126" s="737"/>
      <c r="R126" s="737"/>
      <c r="S126" s="737"/>
      <c r="T126" s="737"/>
      <c r="U126" s="737"/>
      <c r="V126" s="737"/>
      <c r="W126" s="737"/>
      <c r="X126" s="737"/>
      <c r="Y126" s="737"/>
      <c r="Z126" s="737"/>
      <c r="AA126" s="737"/>
      <c r="AB126" s="737"/>
      <c r="AC126" s="737"/>
      <c r="AD126" s="737"/>
      <c r="AE126" s="737"/>
      <c r="AF126" s="737"/>
      <c r="AG126" s="737"/>
      <c r="AH126" s="737"/>
      <c r="AK126" s="745"/>
      <c r="AL126" s="745"/>
      <c r="AM126" s="745"/>
      <c r="AN126" s="737"/>
      <c r="AO126" s="745"/>
      <c r="AP126" s="745"/>
      <c r="AQ126" s="745"/>
    </row>
    <row r="127" spans="1:46" s="733" customFormat="1">
      <c r="D127" s="737"/>
      <c r="E127" s="737"/>
      <c r="F127" s="737"/>
      <c r="G127" s="737"/>
      <c r="H127" s="737"/>
      <c r="I127" s="737"/>
      <c r="J127" s="737"/>
      <c r="K127" s="737"/>
      <c r="L127" s="737"/>
      <c r="M127" s="737"/>
      <c r="N127" s="737"/>
      <c r="O127" s="737"/>
      <c r="P127" s="737"/>
      <c r="Q127" s="737"/>
      <c r="R127" s="737"/>
      <c r="S127" s="737"/>
      <c r="T127" s="737"/>
      <c r="U127" s="737"/>
      <c r="V127" s="737"/>
      <c r="W127" s="737"/>
      <c r="X127" s="737"/>
      <c r="Y127" s="737"/>
      <c r="Z127" s="737"/>
      <c r="AA127" s="737"/>
      <c r="AB127" s="737"/>
      <c r="AC127" s="737"/>
      <c r="AD127" s="737"/>
      <c r="AE127" s="737"/>
      <c r="AF127" s="737"/>
      <c r="AG127" s="737"/>
      <c r="AH127" s="737"/>
    </row>
    <row r="128" spans="1:46" s="733" customFormat="1">
      <c r="D128" s="737"/>
      <c r="E128" s="737"/>
      <c r="F128" s="737"/>
      <c r="G128" s="737"/>
      <c r="H128" s="737"/>
      <c r="I128" s="737"/>
      <c r="J128" s="737"/>
      <c r="K128" s="737"/>
      <c r="L128" s="737"/>
      <c r="M128" s="737"/>
      <c r="N128" s="737"/>
      <c r="O128" s="737"/>
      <c r="P128" s="737"/>
      <c r="Q128" s="737"/>
      <c r="R128" s="737"/>
      <c r="S128" s="737"/>
      <c r="T128" s="737"/>
      <c r="U128" s="737"/>
      <c r="V128" s="737"/>
      <c r="W128" s="737"/>
      <c r="X128" s="737"/>
      <c r="Y128" s="737"/>
      <c r="Z128" s="737"/>
      <c r="AA128" s="737"/>
      <c r="AB128" s="737"/>
      <c r="AC128" s="737"/>
      <c r="AD128" s="737"/>
      <c r="AE128" s="737"/>
      <c r="AF128" s="737"/>
      <c r="AG128" s="737"/>
      <c r="AH128" s="737"/>
    </row>
    <row r="129" spans="3:36" s="733" customFormat="1">
      <c r="D129" s="737"/>
      <c r="E129" s="737"/>
      <c r="F129" s="737"/>
      <c r="G129" s="737"/>
      <c r="H129" s="737"/>
      <c r="I129" s="737"/>
      <c r="J129" s="737"/>
      <c r="K129" s="737"/>
      <c r="L129" s="737"/>
      <c r="M129" s="737"/>
      <c r="N129" s="737"/>
      <c r="O129" s="737"/>
      <c r="P129" s="737"/>
      <c r="Q129" s="737"/>
      <c r="R129" s="737"/>
      <c r="S129" s="737"/>
      <c r="T129" s="737"/>
      <c r="U129" s="737"/>
      <c r="V129" s="737"/>
      <c r="W129" s="737"/>
      <c r="X129" s="737"/>
      <c r="Y129" s="737"/>
      <c r="Z129" s="737"/>
      <c r="AA129" s="737"/>
      <c r="AB129" s="737"/>
      <c r="AC129" s="737"/>
      <c r="AD129" s="737"/>
      <c r="AE129" s="737"/>
      <c r="AF129" s="737"/>
      <c r="AG129" s="737"/>
      <c r="AH129" s="737"/>
    </row>
    <row r="130" spans="3:36" s="733" customFormat="1"/>
    <row r="131" spans="3:36" s="733" customFormat="1">
      <c r="D131" s="737"/>
      <c r="E131" s="737"/>
      <c r="F131" s="737"/>
      <c r="G131" s="737"/>
      <c r="H131" s="737"/>
      <c r="I131" s="737"/>
      <c r="J131" s="737"/>
      <c r="K131" s="737"/>
      <c r="L131" s="737"/>
      <c r="M131" s="737"/>
      <c r="N131" s="737"/>
      <c r="O131" s="737"/>
      <c r="P131" s="737"/>
      <c r="Q131" s="737"/>
      <c r="R131" s="737"/>
      <c r="S131" s="737"/>
      <c r="T131" s="737"/>
      <c r="U131" s="737"/>
      <c r="V131" s="737"/>
      <c r="W131" s="737"/>
      <c r="X131" s="737"/>
      <c r="Y131" s="737"/>
      <c r="Z131" s="737"/>
      <c r="AA131" s="737"/>
      <c r="AB131" s="737"/>
      <c r="AC131" s="737"/>
      <c r="AD131" s="737"/>
      <c r="AE131" s="737"/>
      <c r="AF131" s="737"/>
      <c r="AG131" s="737"/>
      <c r="AH131" s="737"/>
    </row>
    <row r="132" spans="3:36" s="733" customFormat="1">
      <c r="D132" s="737"/>
      <c r="E132" s="737"/>
      <c r="F132" s="737"/>
      <c r="G132" s="737"/>
      <c r="H132" s="737"/>
      <c r="I132" s="737"/>
      <c r="J132" s="737"/>
      <c r="K132" s="737"/>
      <c r="L132" s="737"/>
      <c r="M132" s="737"/>
      <c r="N132" s="737"/>
      <c r="O132" s="737"/>
      <c r="P132" s="737"/>
      <c r="Q132" s="737"/>
      <c r="R132" s="737"/>
      <c r="S132" s="737"/>
      <c r="T132" s="737"/>
      <c r="U132" s="737"/>
      <c r="V132" s="737"/>
      <c r="W132" s="737"/>
      <c r="X132" s="737"/>
      <c r="Y132" s="737"/>
      <c r="Z132" s="737"/>
      <c r="AA132" s="737"/>
      <c r="AB132" s="737"/>
      <c r="AC132" s="737"/>
      <c r="AD132" s="737"/>
      <c r="AE132" s="737"/>
      <c r="AF132" s="737"/>
      <c r="AG132" s="737"/>
      <c r="AH132" s="737"/>
    </row>
    <row r="133" spans="3:36" s="733" customFormat="1">
      <c r="D133" s="737"/>
      <c r="E133" s="737"/>
      <c r="F133" s="737"/>
      <c r="G133" s="737"/>
      <c r="H133" s="737"/>
      <c r="I133" s="737"/>
      <c r="J133" s="737"/>
      <c r="K133" s="737"/>
      <c r="L133" s="737"/>
      <c r="M133" s="737"/>
      <c r="N133" s="737"/>
      <c r="O133" s="737"/>
      <c r="P133" s="737"/>
      <c r="Q133" s="737"/>
      <c r="R133" s="737"/>
      <c r="S133" s="737"/>
      <c r="T133" s="737"/>
      <c r="U133" s="737"/>
      <c r="V133" s="737"/>
      <c r="W133" s="737"/>
      <c r="X133" s="737"/>
      <c r="Y133" s="737"/>
      <c r="Z133" s="737"/>
      <c r="AA133" s="737"/>
      <c r="AB133" s="737"/>
      <c r="AC133" s="737"/>
      <c r="AD133" s="737"/>
      <c r="AE133" s="737"/>
      <c r="AF133" s="737"/>
      <c r="AG133" s="737"/>
      <c r="AH133" s="737"/>
      <c r="AI133" s="737"/>
    </row>
    <row r="134" spans="3:36" s="733" customFormat="1">
      <c r="D134" s="737"/>
      <c r="E134" s="737"/>
      <c r="F134" s="737"/>
      <c r="G134" s="737"/>
      <c r="H134" s="737"/>
      <c r="I134" s="737"/>
      <c r="J134" s="737"/>
      <c r="K134" s="737"/>
      <c r="L134" s="737"/>
      <c r="M134" s="737"/>
      <c r="N134" s="737"/>
      <c r="O134" s="737"/>
      <c r="P134" s="737"/>
      <c r="Q134" s="737"/>
      <c r="R134" s="737"/>
      <c r="S134" s="737"/>
      <c r="T134" s="737"/>
      <c r="U134" s="737"/>
      <c r="V134" s="737"/>
      <c r="W134" s="737"/>
      <c r="X134" s="737"/>
      <c r="Y134" s="737"/>
      <c r="Z134" s="737"/>
      <c r="AA134" s="737"/>
      <c r="AB134" s="737"/>
      <c r="AC134" s="737"/>
      <c r="AD134" s="737"/>
      <c r="AE134" s="737"/>
      <c r="AF134" s="737"/>
      <c r="AG134" s="737"/>
      <c r="AH134" s="737"/>
    </row>
    <row r="135" spans="3:36" s="733" customFormat="1">
      <c r="D135" s="737"/>
      <c r="E135" s="737"/>
      <c r="F135" s="737"/>
      <c r="G135" s="737"/>
      <c r="H135" s="737"/>
      <c r="I135" s="737"/>
      <c r="J135" s="737"/>
      <c r="K135" s="737"/>
      <c r="L135" s="737"/>
      <c r="M135" s="737"/>
      <c r="N135" s="737"/>
      <c r="O135" s="737"/>
      <c r="P135" s="737"/>
      <c r="Q135" s="737"/>
      <c r="R135" s="737"/>
      <c r="S135" s="737"/>
      <c r="T135" s="737"/>
      <c r="U135" s="737"/>
      <c r="V135" s="737"/>
      <c r="W135" s="737"/>
      <c r="X135" s="737"/>
      <c r="Y135" s="737"/>
      <c r="Z135" s="737"/>
      <c r="AA135" s="737"/>
      <c r="AB135" s="737"/>
      <c r="AC135" s="737"/>
      <c r="AD135" s="737"/>
      <c r="AE135" s="737"/>
      <c r="AF135" s="737"/>
      <c r="AG135" s="737"/>
      <c r="AH135" s="737"/>
    </row>
    <row r="136" spans="3:36" s="733" customFormat="1">
      <c r="D136" s="737"/>
      <c r="E136" s="737"/>
      <c r="F136" s="737"/>
      <c r="G136" s="737"/>
      <c r="H136" s="737"/>
      <c r="I136" s="737"/>
      <c r="J136" s="737"/>
      <c r="K136" s="737"/>
      <c r="L136" s="737"/>
      <c r="M136" s="737"/>
      <c r="N136" s="737"/>
      <c r="O136" s="737"/>
      <c r="P136" s="737"/>
      <c r="Q136" s="737"/>
      <c r="R136" s="737"/>
      <c r="S136" s="737"/>
      <c r="T136" s="737"/>
      <c r="U136" s="737"/>
      <c r="V136" s="737"/>
      <c r="W136" s="737"/>
      <c r="X136" s="737"/>
      <c r="Y136" s="737"/>
      <c r="Z136" s="737"/>
      <c r="AA136" s="737"/>
      <c r="AB136" s="737"/>
      <c r="AC136" s="737"/>
      <c r="AD136" s="737"/>
      <c r="AE136" s="737"/>
      <c r="AF136" s="737"/>
      <c r="AG136" s="737"/>
      <c r="AH136" s="737"/>
    </row>
    <row r="137" spans="3:36" s="733" customFormat="1">
      <c r="C137" s="720"/>
      <c r="D137" s="737"/>
      <c r="E137" s="737"/>
      <c r="F137" s="737"/>
      <c r="G137" s="737"/>
      <c r="H137" s="737"/>
      <c r="I137" s="737"/>
      <c r="J137" s="737"/>
      <c r="K137" s="737"/>
      <c r="L137" s="737"/>
      <c r="M137" s="737"/>
      <c r="N137" s="737"/>
      <c r="O137" s="737"/>
      <c r="P137" s="737"/>
      <c r="Q137" s="737"/>
      <c r="R137" s="737"/>
      <c r="S137" s="737"/>
      <c r="T137" s="737"/>
      <c r="U137" s="737"/>
      <c r="V137" s="737"/>
      <c r="W137" s="737"/>
      <c r="X137" s="737"/>
      <c r="Y137" s="737"/>
      <c r="Z137" s="737"/>
      <c r="AA137" s="737"/>
      <c r="AB137" s="737"/>
      <c r="AC137" s="737"/>
      <c r="AD137" s="737"/>
      <c r="AE137" s="737"/>
      <c r="AF137" s="737"/>
      <c r="AG137" s="737"/>
      <c r="AH137" s="737"/>
    </row>
    <row r="138" spans="3:36" s="733" customFormat="1">
      <c r="D138" s="737"/>
      <c r="E138" s="737"/>
      <c r="F138" s="737"/>
      <c r="G138" s="737"/>
      <c r="H138" s="737"/>
      <c r="I138" s="737"/>
      <c r="J138" s="737"/>
      <c r="K138" s="737"/>
      <c r="L138" s="737"/>
      <c r="M138" s="737"/>
      <c r="N138" s="737"/>
      <c r="O138" s="737"/>
      <c r="P138" s="737"/>
      <c r="Q138" s="737"/>
      <c r="R138" s="737"/>
      <c r="S138" s="737"/>
      <c r="T138" s="737"/>
      <c r="U138" s="737"/>
      <c r="V138" s="737"/>
      <c r="W138" s="737"/>
      <c r="X138" s="737"/>
      <c r="Y138" s="737"/>
      <c r="Z138" s="737"/>
      <c r="AA138" s="737"/>
      <c r="AB138" s="737"/>
      <c r="AC138" s="737"/>
      <c r="AD138" s="737"/>
      <c r="AE138" s="737"/>
      <c r="AF138" s="737"/>
      <c r="AG138" s="737"/>
      <c r="AH138" s="737"/>
    </row>
    <row r="139" spans="3:36" s="733" customFormat="1">
      <c r="D139" s="737"/>
      <c r="E139" s="737"/>
      <c r="F139" s="737"/>
      <c r="G139" s="737"/>
      <c r="H139" s="737"/>
      <c r="I139" s="737"/>
      <c r="J139" s="737"/>
      <c r="K139" s="737"/>
      <c r="L139" s="737"/>
      <c r="M139" s="737"/>
      <c r="N139" s="737"/>
      <c r="O139" s="737"/>
      <c r="P139" s="737"/>
      <c r="Q139" s="737"/>
      <c r="R139" s="737"/>
      <c r="S139" s="737"/>
      <c r="T139" s="737"/>
      <c r="U139" s="737"/>
      <c r="V139" s="737"/>
      <c r="W139" s="737"/>
      <c r="X139" s="737"/>
      <c r="Y139" s="737"/>
      <c r="Z139" s="737"/>
      <c r="AA139" s="737"/>
      <c r="AB139" s="737"/>
      <c r="AC139" s="737"/>
      <c r="AD139" s="737"/>
      <c r="AE139" s="737"/>
      <c r="AF139" s="737"/>
      <c r="AG139" s="737"/>
      <c r="AH139" s="737"/>
    </row>
    <row r="140" spans="3:36" s="733" customFormat="1">
      <c r="D140" s="737"/>
      <c r="E140" s="737"/>
      <c r="F140" s="737"/>
      <c r="G140" s="737"/>
      <c r="H140" s="737"/>
      <c r="I140" s="737"/>
      <c r="J140" s="737"/>
      <c r="K140" s="737"/>
      <c r="L140" s="737"/>
      <c r="M140" s="737"/>
      <c r="N140" s="737"/>
      <c r="O140" s="737"/>
      <c r="P140" s="737"/>
      <c r="Q140" s="737"/>
      <c r="R140" s="737"/>
      <c r="S140" s="737"/>
      <c r="T140" s="737"/>
      <c r="U140" s="737"/>
      <c r="V140" s="737"/>
      <c r="W140" s="737"/>
      <c r="X140" s="737"/>
      <c r="Y140" s="737"/>
      <c r="Z140" s="737"/>
      <c r="AA140" s="737"/>
      <c r="AB140" s="737"/>
      <c r="AC140" s="737"/>
      <c r="AD140" s="737"/>
      <c r="AE140" s="737"/>
      <c r="AF140" s="737"/>
      <c r="AG140" s="737"/>
      <c r="AH140" s="737"/>
    </row>
    <row r="141" spans="3:36" s="733" customFormat="1">
      <c r="D141" s="737"/>
      <c r="E141" s="737"/>
      <c r="F141" s="737"/>
      <c r="G141" s="737"/>
      <c r="H141" s="737"/>
      <c r="I141" s="737"/>
      <c r="J141" s="737"/>
      <c r="K141" s="737"/>
      <c r="L141" s="737"/>
      <c r="M141" s="737"/>
      <c r="N141" s="737"/>
      <c r="O141" s="737"/>
      <c r="P141" s="737"/>
      <c r="Q141" s="737"/>
      <c r="R141" s="737"/>
      <c r="S141" s="737"/>
      <c r="T141" s="737"/>
      <c r="U141" s="737"/>
      <c r="V141" s="737"/>
      <c r="W141" s="737"/>
      <c r="X141" s="737"/>
      <c r="Y141" s="737"/>
      <c r="Z141" s="737"/>
      <c r="AA141" s="737"/>
      <c r="AB141" s="737"/>
      <c r="AC141" s="737"/>
      <c r="AD141" s="737"/>
      <c r="AE141" s="737"/>
      <c r="AF141" s="737"/>
      <c r="AG141" s="737"/>
      <c r="AH141" s="737"/>
    </row>
    <row r="142" spans="3:36" s="733" customFormat="1">
      <c r="D142" s="737"/>
      <c r="E142" s="737"/>
      <c r="F142" s="737"/>
      <c r="G142" s="737"/>
      <c r="H142" s="737"/>
      <c r="I142" s="737"/>
      <c r="J142" s="737"/>
      <c r="K142" s="737"/>
      <c r="L142" s="737"/>
      <c r="M142" s="737"/>
      <c r="N142" s="737"/>
      <c r="O142" s="737"/>
      <c r="P142" s="737"/>
      <c r="Q142" s="737"/>
      <c r="R142" s="737"/>
      <c r="S142" s="737"/>
      <c r="T142" s="737"/>
      <c r="U142" s="737"/>
      <c r="V142" s="737"/>
      <c r="W142" s="737"/>
      <c r="X142" s="737"/>
      <c r="Y142" s="737"/>
      <c r="Z142" s="737"/>
      <c r="AA142" s="737"/>
      <c r="AB142" s="737"/>
      <c r="AC142" s="737"/>
      <c r="AD142" s="737"/>
      <c r="AE142" s="737"/>
      <c r="AF142" s="737"/>
      <c r="AG142" s="737"/>
      <c r="AH142" s="737"/>
      <c r="AJ142" s="750"/>
    </row>
    <row r="143" spans="3:36" s="733" customFormat="1"/>
    <row r="144" spans="3:36" s="733" customFormat="1"/>
    <row r="145" s="733" customFormat="1"/>
    <row r="146" s="733" customFormat="1"/>
    <row r="147" s="733" customFormat="1"/>
    <row r="148" s="733" customFormat="1"/>
    <row r="149" s="733" customFormat="1"/>
    <row r="150" s="733" customFormat="1"/>
    <row r="151" s="733" customFormat="1"/>
    <row r="152" s="733" customFormat="1"/>
    <row r="153" s="733" customFormat="1"/>
    <row r="154" s="733" customFormat="1"/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F808-D4BB-4D0D-A060-7245A3CB5532}">
  <sheetPr>
    <tabColor theme="9"/>
  </sheetPr>
  <dimension ref="A2:AU156"/>
  <sheetViews>
    <sheetView zoomScale="40" zoomScaleNormal="40" workbookViewId="0">
      <pane xSplit="3" ySplit="3" topLeftCell="D4" activePane="bottomRight" state="frozen"/>
      <selection activeCell="C65" sqref="C65"/>
      <selection pane="topRight" activeCell="C65" sqref="C65"/>
      <selection pane="bottomLeft" activeCell="C65" sqref="C65"/>
      <selection pane="bottomRight" activeCell="AH127" sqref="AH127"/>
    </sheetView>
  </sheetViews>
  <sheetFormatPr defaultRowHeight="14.75" outlineLevelRow="1" outlineLevelCol="1"/>
  <cols>
    <col min="1" max="1" width="29.453125" style="1" customWidth="1"/>
    <col min="2" max="2" width="24.453125" style="1" customWidth="1"/>
    <col min="4" max="4" width="12.7265625" bestFit="1" customWidth="1"/>
    <col min="5" max="13" width="8.81640625" hidden="1" customWidth="1" outlineLevel="1"/>
    <col min="14" max="14" width="12.7265625" bestFit="1" customWidth="1" collapsed="1"/>
    <col min="15" max="23" width="8.81640625" hidden="1" customWidth="1" outlineLevel="1"/>
    <col min="24" max="24" width="12.7265625" bestFit="1" customWidth="1" collapsed="1"/>
    <col min="25" max="33" width="12.81640625" hidden="1" customWidth="1" outlineLevel="1"/>
    <col min="34" max="34" width="12.7265625" bestFit="1" customWidth="1" collapsed="1"/>
  </cols>
  <sheetData>
    <row r="2" spans="1:36" s="49" customFormat="1">
      <c r="A2" s="48" t="s">
        <v>257</v>
      </c>
      <c r="B2" s="48"/>
      <c r="C2" s="48"/>
    </row>
    <row r="3" spans="1:36" s="1" customFormat="1">
      <c r="D3" s="1">
        <v>2020</v>
      </c>
      <c r="E3" s="1">
        <f>D3+1</f>
        <v>2021</v>
      </c>
      <c r="F3" s="1">
        <f t="shared" ref="F3:AH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>Q3+1</f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>AB3+1</f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  <c r="AG3" s="1">
        <f>AF3+1</f>
        <v>2049</v>
      </c>
      <c r="AH3" s="1">
        <f t="shared" si="0"/>
        <v>2050</v>
      </c>
    </row>
    <row r="4" spans="1:36">
      <c r="A4" s="1" t="s">
        <v>251</v>
      </c>
      <c r="C4" s="50" t="s">
        <v>1420</v>
      </c>
      <c r="D4" s="99">
        <f>'Yearly Demand - Eth-Prop'!L4</f>
        <v>4343145.1257582027</v>
      </c>
      <c r="E4" s="99">
        <f>'Yearly Demand - Eth-Prop'!M4</f>
        <v>4321030.5153851286</v>
      </c>
      <c r="F4" s="99">
        <f>'Yearly Demand - Eth-Prop'!N4</f>
        <v>4299028.5091221621</v>
      </c>
      <c r="G4" s="99">
        <f>'Yearly Demand - Eth-Prop'!O4</f>
        <v>4277138.5336069241</v>
      </c>
      <c r="H4" s="99">
        <f>'Yearly Demand - Eth-Prop'!P4</f>
        <v>4255360.0183965061</v>
      </c>
      <c r="I4" s="99">
        <f>'Yearly Demand - Eth-Prop'!Q4</f>
        <v>4233692.3959526056</v>
      </c>
      <c r="J4" s="99">
        <f>'Yearly Demand - Eth-Prop'!R4</f>
        <v>4209862.9109479459</v>
      </c>
      <c r="K4" s="99">
        <f>'Yearly Demand - Eth-Prop'!S4</f>
        <v>4186167.5510290223</v>
      </c>
      <c r="L4" s="99">
        <f>'Yearly Demand - Eth-Prop'!T4</f>
        <v>4162605.5612681215</v>
      </c>
      <c r="M4" s="99">
        <f>'Yearly Demand - Eth-Prop'!U4</f>
        <v>4139176.1909866668</v>
      </c>
      <c r="N4" s="99">
        <f>'Yearly Demand - Eth-Prop'!V4</f>
        <v>4115878.6937313033</v>
      </c>
      <c r="O4" s="99">
        <f>'Yearly Demand - Eth-Prop'!W4</f>
        <v>4088499.1542268842</v>
      </c>
      <c r="P4" s="99">
        <f>'Yearly Demand - Eth-Prop'!X4</f>
        <v>4061301.7481717858</v>
      </c>
      <c r="Q4" s="99">
        <f>'Yearly Demand - Eth-Prop'!Y4</f>
        <v>4034285.2639826881</v>
      </c>
      <c r="R4" s="99">
        <f>'Yearly Demand - Eth-Prop'!Z4</f>
        <v>4007448.4981359346</v>
      </c>
      <c r="S4" s="99">
        <f>'Yearly Demand - Eth-Prop'!AA4</f>
        <v>3980790.2551139155</v>
      </c>
      <c r="T4" s="99">
        <f>'Yearly Demand - Eth-Prop'!AB4</f>
        <v>3950623.961744789</v>
      </c>
      <c r="U4" s="99">
        <f>'Yearly Demand - Eth-Prop'!AC4</f>
        <v>3920686.2675223933</v>
      </c>
      <c r="V4" s="99">
        <f>'Yearly Demand - Eth-Prop'!AD4</f>
        <v>3890975.4401301569</v>
      </c>
      <c r="W4" s="99">
        <f>'Yearly Demand - Eth-Prop'!AE4</f>
        <v>3861489.7603789456</v>
      </c>
      <c r="X4" s="99">
        <f>'Yearly Demand - Eth-Prop'!AF4</f>
        <v>3832227.5221075811</v>
      </c>
      <c r="Y4" s="99">
        <f>'Yearly Demand - Eth-Prop'!AG4</f>
        <v>3800615.7545467117</v>
      </c>
      <c r="Z4" s="99">
        <f>'Yearly Demand - Eth-Prop'!AH4</f>
        <v>3769264.75016928</v>
      </c>
      <c r="AA4" s="99">
        <f>'Yearly Demand - Eth-Prop'!AI4</f>
        <v>3738172.3579586525</v>
      </c>
      <c r="AB4" s="99">
        <f>'Yearly Demand - Eth-Prop'!AJ4</f>
        <v>3707336.4446417764</v>
      </c>
      <c r="AC4" s="99">
        <f>'Yearly Demand - Eth-Prop'!AK4</f>
        <v>3676754.8945428128</v>
      </c>
      <c r="AD4" s="99">
        <f>'Yearly Demand - Eth-Prop'!AL4</f>
        <v>3645120.6809580117</v>
      </c>
      <c r="AE4" s="99">
        <f>'Yearly Demand - Eth-Prop'!AM4</f>
        <v>3613758.643109106</v>
      </c>
      <c r="AF4" s="99">
        <f>'Yearly Demand - Eth-Prop'!AN4</f>
        <v>3582666.4392394084</v>
      </c>
      <c r="AG4" s="99">
        <f>'Yearly Demand - Eth-Prop'!AO4</f>
        <v>3551841.747740333</v>
      </c>
      <c r="AH4" s="99">
        <f>'Yearly Demand - Eth-Prop'!AP4</f>
        <v>3521282.2669780441</v>
      </c>
    </row>
    <row r="5" spans="1:36"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</row>
    <row r="6" spans="1:36">
      <c r="A6" s="54" t="s">
        <v>170</v>
      </c>
      <c r="B6" s="54" t="s">
        <v>179</v>
      </c>
      <c r="C6" s="55" t="s">
        <v>1420</v>
      </c>
      <c r="D6" s="571">
        <f>'R&amp;S - Transportation'!C4</f>
        <v>816476.05129449558</v>
      </c>
      <c r="E6" s="571">
        <f>D6*(1+'R&amp;S - Transportation'!$B$5)</f>
        <v>830356.14416650194</v>
      </c>
      <c r="F6" s="571">
        <f>E6*(1+'R&amp;S - Transportation'!$B$5)</f>
        <v>844472.19861733238</v>
      </c>
      <c r="G6" s="571">
        <f>F6*(1+'R&amp;S - Transportation'!$B$5)</f>
        <v>858828.22599382699</v>
      </c>
      <c r="H6" s="571">
        <f>G6*(1+'R&amp;S - Transportation'!$B$5)</f>
        <v>873428.30583572201</v>
      </c>
      <c r="I6" s="571">
        <f>H6*(1+'R&amp;S - Transportation'!$B$5)</f>
        <v>888276.58703492919</v>
      </c>
      <c r="J6" s="571">
        <f>I6*(1+'R&amp;S - Transportation'!$B$5)</f>
        <v>903377.28901452292</v>
      </c>
      <c r="K6" s="571">
        <f>J6*(1+'R&amp;S - Transportation'!$B$5)</f>
        <v>918734.70292776974</v>
      </c>
      <c r="L6" s="571">
        <f>K6*(1+'R&amp;S - Transportation'!$B$5)</f>
        <v>934353.19287754176</v>
      </c>
      <c r="M6" s="571">
        <f>L6*(1+'R&amp;S - Transportation'!$B$5)</f>
        <v>950237.19715645991</v>
      </c>
      <c r="N6" s="571">
        <f>M6*(1+'R&amp;S - Transportation'!$B$5)</f>
        <v>966391.22950811964</v>
      </c>
      <c r="O6" s="571">
        <f>N6*(1+'R&amp;S - Transportation'!$B$5)</f>
        <v>982819.88040975761</v>
      </c>
      <c r="P6" s="571">
        <f>O6*(1+'R&amp;S - Transportation'!$B$5)</f>
        <v>999527.81837672344</v>
      </c>
      <c r="Q6" s="571">
        <f>P6*(1+'R&amp;S - Transportation'!$B$5)</f>
        <v>1016519.7912891277</v>
      </c>
      <c r="R6" s="571">
        <f>Q6*(1+'R&amp;S - Transportation'!$B$5)</f>
        <v>1033800.6277410428</v>
      </c>
      <c r="S6" s="571">
        <f>R6*(1+'R&amp;S - Transportation'!$B$5)</f>
        <v>1051375.2384126403</v>
      </c>
      <c r="T6" s="571">
        <f>S6*(1+'R&amp;S - Transportation'!$B$5)</f>
        <v>1069248.6174656551</v>
      </c>
      <c r="U6" s="571">
        <f>T6*(1+'R&amp;S - Transportation'!$B$5)</f>
        <v>1087425.8439625711</v>
      </c>
      <c r="V6" s="571">
        <f>U6*(1+'R&amp;S - Transportation'!$B$5)</f>
        <v>1105912.0833099347</v>
      </c>
      <c r="W6" s="571">
        <f>V6*(1+'R&amp;S - Transportation'!$B$5)</f>
        <v>1124712.5887262034</v>
      </c>
      <c r="X6" s="571">
        <f>W6*(1+'R&amp;S - Transportation'!$B$5)</f>
        <v>1143832.7027345488</v>
      </c>
      <c r="Y6" s="571">
        <f>X6*(1+'R&amp;S - Transportation'!$B$5)</f>
        <v>1163277.8586810362</v>
      </c>
      <c r="Z6" s="571">
        <f>Y6*(1+'R&amp;S - Transportation'!$B$5)</f>
        <v>1183053.5822786137</v>
      </c>
      <c r="AA6" s="571">
        <f>Z6*(1+'R&amp;S - Transportation'!$B$5)</f>
        <v>1203165.4931773499</v>
      </c>
      <c r="AB6" s="571">
        <f>AA6*(1+'R&amp;S - Transportation'!$B$5)</f>
        <v>1223619.3065613648</v>
      </c>
      <c r="AC6" s="571">
        <f>AB6*(1+'R&amp;S - Transportation'!$B$5)</f>
        <v>1244420.8347729079</v>
      </c>
      <c r="AD6" s="571">
        <f>AC6*(1+'R&amp;S - Transportation'!$B$5)</f>
        <v>1265575.9889640473</v>
      </c>
      <c r="AE6" s="571">
        <f>AD6*(1+'R&amp;S - Transportation'!$B$5)</f>
        <v>1287090.780776436</v>
      </c>
      <c r="AF6" s="571">
        <f>AE6*(1+'R&amp;S - Transportation'!$B$5)</f>
        <v>1308971.3240496353</v>
      </c>
      <c r="AG6" s="571">
        <f>AF6*(1+'R&amp;S - Transportation'!$B$5)</f>
        <v>1331223.8365584789</v>
      </c>
      <c r="AH6" s="571">
        <f>AG6*(1+'R&amp;S - Transportation'!$B$5)</f>
        <v>1353854.6417799729</v>
      </c>
      <c r="AJ6" s="39"/>
    </row>
    <row r="7" spans="1:36" outlineLevel="1">
      <c r="B7" s="1" t="s">
        <v>180</v>
      </c>
      <c r="C7" s="50" t="s">
        <v>1420</v>
      </c>
      <c r="D7" s="183">
        <v>0</v>
      </c>
      <c r="E7" s="183">
        <f>E6*('R&amp;S - Transportation'!$B$8*'R&amp;S - Transportation'!$C$19*('Yearly LC Propylene'!E3-'Yearly LC Propylene'!$D$3)/10)</f>
        <v>830.35614416650219</v>
      </c>
      <c r="F7" s="183">
        <f>F6*('R&amp;S - Transportation'!$B$8*'R&amp;S - Transportation'!$C$19*('Yearly LC Propylene'!F3-'Yearly LC Propylene'!$D$3)/10)</f>
        <v>1688.9443972346651</v>
      </c>
      <c r="G7" s="183">
        <f>G6*('R&amp;S - Transportation'!$B$8*'R&amp;S - Transportation'!$C$19*('Yearly LC Propylene'!G3-'Yearly LC Propylene'!$D$3)/10)</f>
        <v>2576.4846779814816</v>
      </c>
      <c r="H7" s="183">
        <f>H6*('R&amp;S - Transportation'!$B$8*'R&amp;S - Transportation'!$C$19*('Yearly LC Propylene'!H3-'Yearly LC Propylene'!$D$3)/10)</f>
        <v>3493.7132233428888</v>
      </c>
      <c r="I7" s="183">
        <f>I6*('R&amp;S - Transportation'!$B$8*'R&amp;S - Transportation'!$C$19*('Yearly LC Propylene'!I3-'Yearly LC Propylene'!$D$3)/10)</f>
        <v>4441.3829351746472</v>
      </c>
      <c r="J7" s="183">
        <f>J6*('R&amp;S - Transportation'!$B$8*'R&amp;S - Transportation'!$C$19*('Yearly LC Propylene'!J3-'Yearly LC Propylene'!$D$3)/10)</f>
        <v>5420.2637340871388</v>
      </c>
      <c r="K7" s="183">
        <f>K6*('R&amp;S - Transportation'!$B$8*'R&amp;S - Transportation'!$C$19*('Yearly LC Propylene'!K3-'Yearly LC Propylene'!$D$3)/10)</f>
        <v>6431.1429204943888</v>
      </c>
      <c r="L7" s="183">
        <f>L6*('R&amp;S - Transportation'!$B$8*'R&amp;S - Transportation'!$C$19*('Yearly LC Propylene'!L3-'Yearly LC Propylene'!$D$3)/10)</f>
        <v>7474.8255430203362</v>
      </c>
      <c r="M7" s="183">
        <f>M6*('R&amp;S - Transportation'!$B$8*'R&amp;S - Transportation'!$C$19*('Yearly LC Propylene'!M3-'Yearly LC Propylene'!$D$3)/10)</f>
        <v>8552.1347744081413</v>
      </c>
      <c r="N7" s="183">
        <f>N6*('R&amp;S - Transportation'!$B$8*'R&amp;S - Transportation'!$C$19*('Yearly LC Propylene'!N3-'Yearly LC Propylene'!$D$3)/10)</f>
        <v>9663.912295081198</v>
      </c>
      <c r="O7" s="183">
        <f>O6*('R&amp;S - Transportation'!$B$8*('R&amp;S - Transportation'!$C$19+('R&amp;S - Transportation'!$C$20-'R&amp;S - Transportation'!$C$19)*('Yearly LC Propylene'!O3-'Yearly LC Propylene'!$N$3)/10))</f>
        <v>13759.478325736609</v>
      </c>
      <c r="P7" s="183">
        <f>P6*('R&amp;S - Transportation'!$B$8*('R&amp;S - Transportation'!$C$19+('R&amp;S - Transportation'!$C$20-'R&amp;S - Transportation'!$C$19)*('Yearly LC Propylene'!P3-'Yearly LC Propylene'!$N$3)/10))</f>
        <v>17991.500730781019</v>
      </c>
      <c r="Q7" s="183">
        <f>Q6*('R&amp;S - Transportation'!$B$8*('R&amp;S - Transportation'!$C$19+('R&amp;S - Transportation'!$C$20-'R&amp;S - Transportation'!$C$19)*('Yearly LC Propylene'!Q3-'Yearly LC Propylene'!$N$3)/10))</f>
        <v>22363.435408360816</v>
      </c>
      <c r="R7" s="183">
        <f>R6*('R&amp;S - Transportation'!$B$8*('R&amp;S - Transportation'!$C$19+('R&amp;S - Transportation'!$C$20-'R&amp;S - Transportation'!$C$19)*('Yearly LC Propylene'!R3-'Yearly LC Propylene'!$N$3)/10))</f>
        <v>26878.816321267113</v>
      </c>
      <c r="S7" s="183">
        <f>S6*('R&amp;S - Transportation'!$B$8*('R&amp;S - Transportation'!$C$19+('R&amp;S - Transportation'!$C$20-'R&amp;S - Transportation'!$C$19)*('Yearly LC Propylene'!S3-'Yearly LC Propylene'!$N$3)/10))</f>
        <v>31541.257152379214</v>
      </c>
      <c r="T7" s="183">
        <f>T6*('R&amp;S - Transportation'!$B$8*('R&amp;S - Transportation'!$C$19+('R&amp;S - Transportation'!$C$20-'R&amp;S - Transportation'!$C$19)*('Yearly LC Propylene'!T3-'Yearly LC Propylene'!$N$3)/10))</f>
        <v>36354.452993832281</v>
      </c>
      <c r="U7" s="183">
        <f>U6*('R&amp;S - Transportation'!$B$8*('R&amp;S - Transportation'!$C$19+('R&amp;S - Transportation'!$C$20-'R&amp;S - Transportation'!$C$19)*('Yearly LC Propylene'!U3-'Yearly LC Propylene'!$N$3)/10))</f>
        <v>41322.182070577706</v>
      </c>
      <c r="V7" s="183">
        <f>V6*('R&amp;S - Transportation'!$B$8*('R&amp;S - Transportation'!$C$19+('R&amp;S - Transportation'!$C$20-'R&amp;S - Transportation'!$C$19)*('Yearly LC Propylene'!V3-'Yearly LC Propylene'!$N$3)/10))</f>
        <v>46448.307499017268</v>
      </c>
      <c r="W7" s="183">
        <f>W6*('R&amp;S - Transportation'!$B$8*('R&amp;S - Transportation'!$C$19+('R&amp;S - Transportation'!$C$20-'R&amp;S - Transportation'!$C$19)*('Yearly LC Propylene'!W3-'Yearly LC Propylene'!$N$3)/10))</f>
        <v>51736.779081405359</v>
      </c>
      <c r="X7" s="183">
        <f>X6*('R&amp;S - Transportation'!$B$8*('R&amp;S - Transportation'!$C$19+('R&amp;S - Transportation'!$C$20-'R&amp;S - Transportation'!$C$19)*('Yearly LC Propylene'!X3-'Yearly LC Propylene'!$N$3)/10))</f>
        <v>57191.635136727447</v>
      </c>
      <c r="Y7" s="183">
        <f>Y6*('R&amp;S - Transportation'!$B$8*('R&amp;S - Transportation'!$C$20+('R&amp;S - Transportation'!$C$21-'R&amp;S - Transportation'!$C$20)*('Yearly LC Propylene'!Y3-'Yearly LC Propylene'!$X$3)/10))</f>
        <v>63980.282227456999</v>
      </c>
      <c r="Z7" s="183">
        <f>Z6*('R&amp;S - Transportation'!$B$8*('R&amp;S - Transportation'!$C$20+('R&amp;S - Transportation'!$C$21-'R&amp;S - Transportation'!$C$20)*('Yearly LC Propylene'!Z3-'Yearly LC Propylene'!$X$3)/10))</f>
        <v>70983.214936716817</v>
      </c>
      <c r="AA7" s="183">
        <f>AA6*('R&amp;S - Transportation'!$B$8*('R&amp;S - Transportation'!$C$20+('R&amp;S - Transportation'!$C$21-'R&amp;S - Transportation'!$C$20)*('Yearly LC Propylene'!AA3-'Yearly LC Propylene'!$X$3)/10))</f>
        <v>78205.757056527742</v>
      </c>
      <c r="AB7" s="183">
        <f>AB6*('R&amp;S - Transportation'!$B$8*('R&amp;S - Transportation'!$C$20+('R&amp;S - Transportation'!$C$21-'R&amp;S - Transportation'!$C$20)*('Yearly LC Propylene'!AB3-'Yearly LC Propylene'!$X$3)/10))</f>
        <v>85653.351459295533</v>
      </c>
      <c r="AC7" s="183">
        <f>AC6*('R&amp;S - Transportation'!$B$8*('R&amp;S - Transportation'!$C$20+('R&amp;S - Transportation'!$C$21-'R&amp;S - Transportation'!$C$20)*('Yearly LC Propylene'!AC3-'Yearly LC Propylene'!$X$3)/10))</f>
        <v>93331.56260796811</v>
      </c>
      <c r="AD7" s="183">
        <f>AD6*('R&amp;S - Transportation'!$B$8*('R&amp;S - Transportation'!$C$20+('R&amp;S - Transportation'!$C$21-'R&amp;S - Transportation'!$C$20)*('Yearly LC Propylene'!AD3-'Yearly LC Propylene'!$X$3)/10))</f>
        <v>101246.07911712381</v>
      </c>
      <c r="AE7" s="183">
        <f>AE6*('R&amp;S - Transportation'!$B$8*('R&amp;S - Transportation'!$C$20+('R&amp;S - Transportation'!$C$21-'R&amp;S - Transportation'!$C$20)*('Yearly LC Propylene'!AE3-'Yearly LC Propylene'!$X$3)/10))</f>
        <v>109402.71636599707</v>
      </c>
      <c r="AF7" s="183">
        <f>AF6*('R&amp;S - Transportation'!$B$8*('R&amp;S - Transportation'!$C$20+('R&amp;S - Transportation'!$C$21-'R&amp;S - Transportation'!$C$20)*('Yearly LC Propylene'!AF3-'Yearly LC Propylene'!$X$3)/10))</f>
        <v>117807.4191644672</v>
      </c>
      <c r="AG7" s="183">
        <f>AG6*('R&amp;S - Transportation'!$B$8*('R&amp;S - Transportation'!$C$20+('R&amp;S - Transportation'!$C$21-'R&amp;S - Transportation'!$C$20)*('Yearly LC Propylene'!AG3-'Yearly LC Propylene'!$X$3)/10))</f>
        <v>126466.26447305549</v>
      </c>
      <c r="AH7" s="183">
        <f>AH6*('R&amp;S - Transportation'!$B$8*('R&amp;S - Transportation'!$C$20+('R&amp;S - Transportation'!$C$21-'R&amp;S - Transportation'!$C$20)*('Yearly LC Propylene'!AH3-'Yearly LC Propylene'!$X$3)/10))</f>
        <v>135385.46417799729</v>
      </c>
      <c r="AJ7" s="39"/>
    </row>
    <row r="8" spans="1:36" outlineLevel="1">
      <c r="B8" s="1" t="s">
        <v>181</v>
      </c>
      <c r="C8" s="50" t="s">
        <v>1420</v>
      </c>
      <c r="D8" s="183">
        <f>SUM(D6:D7)</f>
        <v>816476.05129449558</v>
      </c>
      <c r="E8" s="183">
        <f t="shared" ref="E8:AH8" si="1">SUM(E6:E7)</f>
        <v>831186.50031066849</v>
      </c>
      <c r="F8" s="183">
        <f t="shared" si="1"/>
        <v>846161.14301456709</v>
      </c>
      <c r="G8" s="183">
        <f t="shared" si="1"/>
        <v>861404.71067180845</v>
      </c>
      <c r="H8" s="183">
        <f t="shared" si="1"/>
        <v>876922.01905906491</v>
      </c>
      <c r="I8" s="183">
        <f t="shared" si="1"/>
        <v>892717.96997010382</v>
      </c>
      <c r="J8" s="183">
        <f t="shared" si="1"/>
        <v>908797.55274861003</v>
      </c>
      <c r="K8" s="183">
        <f t="shared" si="1"/>
        <v>925165.84584826417</v>
      </c>
      <c r="L8" s="183">
        <f t="shared" si="1"/>
        <v>941828.01842056215</v>
      </c>
      <c r="M8" s="183">
        <f t="shared" si="1"/>
        <v>958789.33193086809</v>
      </c>
      <c r="N8" s="183">
        <f>SUM(N6:N7)</f>
        <v>976055.14180320082</v>
      </c>
      <c r="O8" s="183">
        <f t="shared" si="1"/>
        <v>996579.3587354942</v>
      </c>
      <c r="P8" s="183">
        <f t="shared" si="1"/>
        <v>1017519.3191075044</v>
      </c>
      <c r="Q8" s="183">
        <f t="shared" si="1"/>
        <v>1038883.2266974885</v>
      </c>
      <c r="R8" s="183">
        <f t="shared" si="1"/>
        <v>1060679.4440623098</v>
      </c>
      <c r="S8" s="183">
        <f t="shared" si="1"/>
        <v>1082916.4955650195</v>
      </c>
      <c r="T8" s="183">
        <f t="shared" si="1"/>
        <v>1105603.0704594874</v>
      </c>
      <c r="U8" s="183">
        <f t="shared" si="1"/>
        <v>1128748.0260331489</v>
      </c>
      <c r="V8" s="183">
        <f t="shared" si="1"/>
        <v>1152360.390808952</v>
      </c>
      <c r="W8" s="183">
        <f t="shared" si="1"/>
        <v>1176449.3678076088</v>
      </c>
      <c r="X8" s="183">
        <f t="shared" si="1"/>
        <v>1201024.3378712763</v>
      </c>
      <c r="Y8" s="183">
        <f t="shared" si="1"/>
        <v>1227258.1409084932</v>
      </c>
      <c r="Z8" s="183">
        <f t="shared" si="1"/>
        <v>1254036.7972153304</v>
      </c>
      <c r="AA8" s="183">
        <f t="shared" si="1"/>
        <v>1281371.2502338777</v>
      </c>
      <c r="AB8" s="183">
        <f t="shared" si="1"/>
        <v>1309272.6580206603</v>
      </c>
      <c r="AC8" s="183">
        <f t="shared" si="1"/>
        <v>1337752.3973808759</v>
      </c>
      <c r="AD8" s="183">
        <f t="shared" si="1"/>
        <v>1366822.068081171</v>
      </c>
      <c r="AE8" s="183">
        <f t="shared" si="1"/>
        <v>1396493.497142433</v>
      </c>
      <c r="AF8" s="183">
        <f t="shared" si="1"/>
        <v>1426778.7432141025</v>
      </c>
      <c r="AG8" s="183">
        <f t="shared" si="1"/>
        <v>1457690.1010315344</v>
      </c>
      <c r="AH8" s="183">
        <f t="shared" si="1"/>
        <v>1489240.1059579703</v>
      </c>
      <c r="AJ8" s="39"/>
    </row>
    <row r="9" spans="1:36" outlineLevel="1">
      <c r="B9" s="57" t="s">
        <v>134</v>
      </c>
      <c r="C9" s="50" t="s">
        <v>1420</v>
      </c>
      <c r="D9" s="183">
        <v>0</v>
      </c>
      <c r="E9" s="183">
        <f>E8*'R&amp;S - Transportation'!$B$16*('R&amp;S - Transportation'!$B$10*'R&amp;S - Transportation'!$B$19*('Yearly LC Propylene'!E$3-'Yearly LC Propylene'!$D$3)/10)</f>
        <v>1371.457725512603</v>
      </c>
      <c r="F9" s="183">
        <f>F8*'R&amp;S - Transportation'!$B$16*('R&amp;S - Transportation'!$B$10*'R&amp;S - Transportation'!$B$19*('Yearly LC Propylene'!F$3-'Yearly LC Propylene'!$D$3)/10)</f>
        <v>2792.3317719480715</v>
      </c>
      <c r="G9" s="183">
        <f>G8*'R&amp;S - Transportation'!$B$16*('R&amp;S - Transportation'!$B$10*'R&amp;S - Transportation'!$B$19*('Yearly LC Propylene'!G$3-'Yearly LC Propylene'!$D$3)/10)</f>
        <v>4263.9533178254524</v>
      </c>
      <c r="H9" s="183">
        <f>H8*'R&amp;S - Transportation'!$B$16*('R&amp;S - Transportation'!$B$10*'R&amp;S - Transportation'!$B$19*('Yearly LC Propylene'!H$3-'Yearly LC Propylene'!$D$3)/10)</f>
        <v>5787.6853257898283</v>
      </c>
      <c r="I9" s="183">
        <f>I8*'R&amp;S - Transportation'!$B$16*('R&amp;S - Transportation'!$B$10*'R&amp;S - Transportation'!$B$19*('Yearly LC Propylene'!I$3-'Yearly LC Propylene'!$D$3)/10)</f>
        <v>7364.9232522533566</v>
      </c>
      <c r="J9" s="183">
        <f>J8*'R&amp;S - Transportation'!$B$16*('R&amp;S - Transportation'!$B$10*'R&amp;S - Transportation'!$B$19*('Yearly LC Propylene'!J$3-'Yearly LC Propylene'!$D$3)/10)</f>
        <v>8997.0957722112398</v>
      </c>
      <c r="K9" s="183">
        <f>K8*'R&amp;S - Transportation'!$B$16*('R&amp;S - Transportation'!$B$10*'R&amp;S - Transportation'!$B$19*('Yearly LC Propylene'!K$3-'Yearly LC Propylene'!$D$3)/10)</f>
        <v>10685.665519547452</v>
      </c>
      <c r="L9" s="183">
        <f>L8*'R&amp;S - Transportation'!$B$16*('R&amp;S - Transportation'!$B$10*'R&amp;S - Transportation'!$B$19*('Yearly LC Propylene'!L$3-'Yearly LC Propylene'!$D$3)/10)</f>
        <v>12432.129843151421</v>
      </c>
      <c r="M9" s="183">
        <f>M8*'R&amp;S - Transportation'!$B$16*('R&amp;S - Transportation'!$B$10*'R&amp;S - Transportation'!$B$19*('Yearly LC Propylene'!M$3-'Yearly LC Propylene'!$D$3)/10)</f>
        <v>14238.021579173394</v>
      </c>
      <c r="N9" s="183">
        <f>N8*'R&amp;S - Transportation'!$B$16*('R&amp;S - Transportation'!$B$10*'R&amp;S - Transportation'!$B$19*('Yearly LC Propylene'!N$3-'Yearly LC Propylene'!$D$3)/10)</f>
        <v>16104.909839752814</v>
      </c>
      <c r="O9" s="183">
        <f>O8*'R&amp;S - Transportation'!$B$16*('R&amp;S - Transportation'!$B$10*('R&amp;S - Transportation'!$B$19+('R&amp;S - Transportation'!$B$20-'R&amp;S - Transportation'!$B$19)*('Yearly LC Propylene'!O3-'Yearly LC Propylene'!$N$3)/10))</f>
        <v>21376.627244876352</v>
      </c>
      <c r="P9" s="183">
        <f>P8*'R&amp;S - Transportation'!$B$16*('R&amp;S - Transportation'!$B$10*('R&amp;S - Transportation'!$B$19+('R&amp;S - Transportation'!$B$20-'R&amp;S - Transportation'!$B$19)*('Yearly LC Propylene'!P3-'Yearly LC Propylene'!$N$3)/10))</f>
        <v>26862.510024438125</v>
      </c>
      <c r="Q9" s="183">
        <f>Q8*'R&amp;S - Transportation'!$B$16*('R&amp;S - Transportation'!$B$10*('R&amp;S - Transportation'!$B$19+('R&amp;S - Transportation'!$B$20-'R&amp;S - Transportation'!$B$19)*('Yearly LC Propylene'!Q3-'Yearly LC Propylene'!$N$3)/10))</f>
        <v>32568.989156966265</v>
      </c>
      <c r="R9" s="183">
        <f>R8*'R&amp;S - Transportation'!$B$16*('R&amp;S - Transportation'!$B$10*('R&amp;S - Transportation'!$B$19+('R&amp;S - Transportation'!$B$20-'R&amp;S - Transportation'!$B$19)*('Yearly LC Propylene'!R3-'Yearly LC Propylene'!$N$3)/10))</f>
        <v>38502.66381946185</v>
      </c>
      <c r="S9" s="183">
        <f>S8*'R&amp;S - Transportation'!$B$16*('R&amp;S - Transportation'!$B$10*('R&amp;S - Transportation'!$B$19+('R&amp;S - Transportation'!$B$20-'R&amp;S - Transportation'!$B$19)*('Yearly LC Propylene'!S3-'Yearly LC Propylene'!$N$3)/10))</f>
        <v>44670.305442057055</v>
      </c>
      <c r="T9" s="183">
        <f>T8*'R&amp;S - Transportation'!$B$16*('R&amp;S - Transportation'!$B$10*('R&amp;S - Transportation'!$B$19+('R&amp;S - Transportation'!$B$20-'R&amp;S - Transportation'!$B$19)*('Yearly LC Propylene'!T3-'Yearly LC Propylene'!$N$3)/10))</f>
        <v>51078.861855228322</v>
      </c>
      <c r="U9" s="183">
        <f>U8*'R&amp;S - Transportation'!$B$16*('R&amp;S - Transportation'!$B$10*('R&amp;S - Transportation'!$B$19+('R&amp;S - Transportation'!$B$20-'R&amp;S - Transportation'!$B$19)*('Yearly LC Propylene'!U3-'Yearly LC Propylene'!$N$3)/10))</f>
        <v>57735.461531595574</v>
      </c>
      <c r="V9" s="183">
        <f>V8*'R&amp;S - Transportation'!$B$16*('R&amp;S - Transportation'!$B$10*('R&amp;S - Transportation'!$B$19+('R&amp;S - Transportation'!$B$20-'R&amp;S - Transportation'!$B$19)*('Yearly LC Propylene'!V3-'Yearly LC Propylene'!$N$3)/10))</f>
        <v>64647.417924382229</v>
      </c>
      <c r="W9" s="183">
        <f>W8*'R&amp;S - Transportation'!$B$16*('R&amp;S - Transportation'!$B$10*('R&amp;S - Transportation'!$B$19+('R&amp;S - Transportation'!$B$20-'R&amp;S - Transportation'!$B$19)*('Yearly LC Propylene'!W3-'Yearly LC Propylene'!$N$3)/10))</f>
        <v>71822.233904654524</v>
      </c>
      <c r="X9" s="183">
        <f>X8*'R&amp;S - Transportation'!$B$16*('R&amp;S - Transportation'!$B$10*('R&amp;S - Transportation'!$B$19+('R&amp;S - Transportation'!$B$20-'R&amp;S - Transportation'!$B$19)*('Yearly LC Propylene'!X3-'Yearly LC Propylene'!$N$3)/10))</f>
        <v>79267.606299504245</v>
      </c>
      <c r="Y9" s="183">
        <f>Y8*'R&amp;S - Transportation'!$B$16*('R&amp;S - Transportation'!$B$10*('R&amp;S - Transportation'!$B$20+('R&amp;S - Transportation'!$B$21-'R&amp;S - Transportation'!$B$20)*('Yearly LC Propylene'!Y3-'Yearly LC Propylene'!$X$3)/10))</f>
        <v>93148.892894954639</v>
      </c>
      <c r="Z9" s="183">
        <f>Z8*'R&amp;S - Transportation'!$B$16*('R&amp;S - Transportation'!$B$10*('R&amp;S - Transportation'!$B$20+('R&amp;S - Transportation'!$B$21-'R&amp;S - Transportation'!$B$20)*('Yearly LC Propylene'!Z3-'Yearly LC Propylene'!$X$3)/10))</f>
        <v>107596.35720107536</v>
      </c>
      <c r="AA9" s="183">
        <f>AA8*'R&amp;S - Transportation'!$B$16*('R&amp;S - Transportation'!$B$10*('R&amp;S - Transportation'!$B$20+('R&amp;S - Transportation'!$B$21-'R&amp;S - Transportation'!$B$20)*('Yearly LC Propylene'!AA3-'Yearly LC Propylene'!$X$3)/10))</f>
        <v>122627.22864738212</v>
      </c>
      <c r="AB9" s="183">
        <f>AB8*'R&amp;S - Transportation'!$B$16*('R&amp;S - Transportation'!$B$10*('R&amp;S - Transportation'!$B$20+('R&amp;S - Transportation'!$B$21-'R&amp;S - Transportation'!$B$20)*('Yearly LC Propylene'!AB3-'Yearly LC Propylene'!$X$3)/10))</f>
        <v>138259.19268698175</v>
      </c>
      <c r="AC9" s="183">
        <f>AC8*'R&amp;S - Transportation'!$B$16*('R&amp;S - Transportation'!$B$10*('R&amp;S - Transportation'!$B$20+('R&amp;S - Transportation'!$B$21-'R&amp;S - Transportation'!$B$20)*('Yearly LC Propylene'!AC3-'Yearly LC Propylene'!$X$3)/10))</f>
        <v>154510.40189749116</v>
      </c>
      <c r="AD9" s="183">
        <f>AD8*'R&amp;S - Transportation'!$B$16*('R&amp;S - Transportation'!$B$10*('R&amp;S - Transportation'!$B$20+('R&amp;S - Transportation'!$B$21-'R&amp;S - Transportation'!$B$20)*('Yearly LC Propylene'!AD3-'Yearly LC Propylene'!$X$3)/10))</f>
        <v>171399.48733737887</v>
      </c>
      <c r="AE9" s="183">
        <f>AE8*'R&amp;S - Transportation'!$B$16*('R&amp;S - Transportation'!$B$10*('R&amp;S - Transportation'!$B$20+('R&amp;S - Transportation'!$B$21-'R&amp;S - Transportation'!$B$20)*('Yearly LC Propylene'!AE3-'Yearly LC Propylene'!$X$3)/10))</f>
        <v>188945.57016337119</v>
      </c>
      <c r="AF9" s="183">
        <f>AF8*'R&amp;S - Transportation'!$B$16*('R&amp;S - Transportation'!$B$10*('R&amp;S - Transportation'!$B$20+('R&amp;S - Transportation'!$B$21-'R&amp;S - Transportation'!$B$20)*('Yearly LC Propylene'!AF3-'Yearly LC Propylene'!$X$3)/10))</f>
        <v>207168.27351468767</v>
      </c>
      <c r="AG9" s="183">
        <f>AG8*'R&amp;S - Transportation'!$B$16*('R&amp;S - Transportation'!$B$10*('R&amp;S - Transportation'!$B$20+('R&amp;S - Transportation'!$B$21-'R&amp;S - Transportation'!$B$20)*('Yearly LC Propylene'!AG3-'Yearly LC Propylene'!$X$3)/10))</f>
        <v>226087.73466999095</v>
      </c>
      <c r="AH9" s="183">
        <f>AH8*'R&amp;S - Transportation'!$B$16*('R&amp;S - Transportation'!$B$10*('R&amp;S - Transportation'!$B$20+('R&amp;S - Transportation'!$B$21-'R&amp;S - Transportation'!$B$20)*('Yearly LC Propylene'!AH3-'Yearly LC Propylene'!$X$3)/10))</f>
        <v>245724.61748306511</v>
      </c>
    </row>
    <row r="10" spans="1:36" outlineLevel="1">
      <c r="B10" s="57" t="s">
        <v>182</v>
      </c>
      <c r="C10" s="50" t="s">
        <v>1420</v>
      </c>
      <c r="D10" s="183">
        <v>0</v>
      </c>
      <c r="E10" s="183">
        <f>(E8-E9)*'R&amp;S - Transportation'!$B$16*('R&amp;S - Transportation'!$B$11*'R&amp;S - Transportation'!$B$19*('Yearly LC Propylene'!E$3-'Yearly LC Propylene'!$D$3)/10)</f>
        <v>871.30579471441388</v>
      </c>
      <c r="F10" s="183">
        <f>(F8-F9)*'R&amp;S - Transportation'!$B$16*('R&amp;S - Transportation'!$B$11*'R&amp;S - Transportation'!$B$19*('Yearly LC Propylene'!F$3-'Yearly LC Propylene'!$D$3)/10)</f>
        <v>1771.0745036095002</v>
      </c>
      <c r="G10" s="183">
        <f>(G8-G9)*'R&amp;S - Transportation'!$B$16*('R&amp;S - Transportation'!$B$11*'R&amp;S - Transportation'!$B$19*('Yearly LC Propylene'!G$3-'Yearly LC Propylene'!$D$3)/10)</f>
        <v>2699.9933856650464</v>
      </c>
      <c r="H10" s="183">
        <f>(H8-H9)*'R&amp;S - Transportation'!$B$16*('R&amp;S - Transportation'!$B$11*'R&amp;S - Transportation'!$B$19*('Yearly LC Propylene'!H$3-'Yearly LC Propylene'!$D$3)/10)</f>
        <v>3658.7642016797558</v>
      </c>
      <c r="I10" s="183">
        <f>(I8-I9)*'R&amp;S - Transportation'!$B$16*('R&amp;S - Transportation'!$B$11*'R&amp;S - Transportation'!$B$19*('Yearly LC Propylene'!I$3-'Yearly LC Propylene'!$D$3)/10)</f>
        <v>4648.1034952687151</v>
      </c>
      <c r="J10" s="183">
        <f>(J8-J9)*'R&amp;S - Transportation'!$B$16*('R&amp;S - Transportation'!$B$11*'R&amp;S - Transportation'!$B$19*('Yearly LC Propylene'!J$3-'Yearly LC Propylene'!$D$3)/10)</f>
        <v>5668.7428789513124</v>
      </c>
      <c r="K10" s="183">
        <f>(K8-K9)*'R&amp;S - Transportation'!$B$16*('R&amp;S - Transportation'!$B$11*'R&amp;S - Transportation'!$B$19*('Yearly LC Propylene'!K$3-'Yearly LC Propylene'!$D$3)/10)</f>
        <v>6721.4293254160684</v>
      </c>
      <c r="L10" s="183">
        <f>(L8-L9)*'R&amp;S - Transportation'!$B$16*('R&amp;S - Transportation'!$B$11*'R&amp;S - Transportation'!$B$19*('Yearly LC Propylene'!L$3-'Yearly LC Propylene'!$D$3)/10)</f>
        <v>7806.9254640502513</v>
      </c>
      <c r="M10" s="183">
        <f>(M8-M9)*'R&amp;S - Transportation'!$B$16*('R&amp;S - Transportation'!$B$11*'R&amp;S - Transportation'!$B$19*('Yearly LC Propylene'!M$3-'Yearly LC Propylene'!$D$3)/10)</f>
        <v>8926.009882823515</v>
      </c>
      <c r="N10" s="183">
        <f>(N8-N9)*'R&amp;S - Transportation'!$B$16*('R&amp;S - Transportation'!$B$11*'R&amp;S - Transportation'!$B$19*('Yearly LC Propylene'!N$3-'Yearly LC Propylene'!$D$3)/10)</f>
        <v>10079.477435616205</v>
      </c>
      <c r="O10" s="183">
        <f>(O8-O9)*'R&amp;S - Transportation'!$B$16*('R&amp;S - Transportation'!$B$11*('R&amp;S - Transportation'!$B$19+('R&amp;S - Transportation'!$B$20-'R&amp;S - Transportation'!$B$19)*('Yearly LC Propylene'!O$3-'Yearly LC Propylene'!$N$3)/10))</f>
        <v>13311.517284846934</v>
      </c>
      <c r="P10" s="183">
        <f>(P8-P9)*'R&amp;S - Transportation'!$B$16*('R&amp;S - Transportation'!$B$11*('R&amp;S - Transportation'!$B$19+('R&amp;S - Transportation'!$B$20-'R&amp;S - Transportation'!$B$19)*('Yearly LC Propylene'!P$3-'Yearly LC Propylene'!$N$3)/10))</f>
        <v>16643.034392595517</v>
      </c>
      <c r="Q10" s="183">
        <f>(Q8-Q9)*'R&amp;S - Transportation'!$B$16*('R&amp;S - Transportation'!$B$11*('R&amp;S - Transportation'!$B$19+('R&amp;S - Transportation'!$B$20-'R&amp;S - Transportation'!$B$19)*('Yearly LC Propylene'!Q$3-'Yearly LC Propylene'!$N$3)/10))</f>
        <v>20075.969038933417</v>
      </c>
      <c r="R10" s="183">
        <f>(R8-R9)*'R&amp;S - Transportation'!$B$16*('R&amp;S - Transportation'!$B$11*('R&amp;S - Transportation'!$B$19+('R&amp;S - Transportation'!$B$20-'R&amp;S - Transportation'!$B$19)*('Yearly LC Propylene'!R$3-'Yearly LC Propylene'!$N$3)/10))</f>
        <v>23612.28362360979</v>
      </c>
      <c r="S10" s="183">
        <f>(S8-S9)*'R&amp;S - Transportation'!$B$16*('R&amp;S - Transportation'!$B$11*('R&amp;S - Transportation'!$B$19+('R&amp;S - Transportation'!$B$20-'R&amp;S - Transportation'!$B$19)*('Yearly LC Propylene'!S$3-'Yearly LC Propylene'!$N$3)/10))</f>
        <v>27253.962490727765</v>
      </c>
      <c r="T10" s="183">
        <f>(T8-T9)*'R&amp;S - Transportation'!$B$16*('R&amp;S - Transportation'!$B$11*('R&amp;S - Transportation'!$B$19+('R&amp;S - Transportation'!$B$20-'R&amp;S - Transportation'!$B$19)*('Yearly LC Propylene'!T$3-'Yearly LC Propylene'!$N$3)/10))</f>
        <v>31003.011732965217</v>
      </c>
      <c r="U10" s="183">
        <f>(U8-U9)*'R&amp;S - Transportation'!$B$16*('R&amp;S - Transportation'!$B$11*('R&amp;S - Transportation'!$B$19+('R&amp;S - Transportation'!$B$20-'R&amp;S - Transportation'!$B$19)*('Yearly LC Propylene'!U$3-'Yearly LC Propylene'!$N$3)/10))</f>
        <v>34861.458974525565</v>
      </c>
      <c r="V10" s="183">
        <f>(V8-V9)*'R&amp;S - Transportation'!$B$16*('R&amp;S - Transportation'!$B$11*('R&amp;S - Transportation'!$B$19+('R&amp;S - Transportation'!$B$20-'R&amp;S - Transportation'!$B$19)*('Yearly LC Propylene'!V$3-'Yearly LC Propylene'!$N$3)/10))</f>
        <v>38831.353131979151</v>
      </c>
      <c r="W10" s="183">
        <f>(W8-W9)*'R&amp;S - Transportation'!$B$16*('R&amp;S - Transportation'!$B$11*('R&amp;S - Transportation'!$B$19+('R&amp;S - Transportation'!$B$20-'R&amp;S - Transportation'!$B$19)*('Yearly LC Propylene'!W$3-'Yearly LC Propylene'!$N$3)/10))</f>
        <v>42914.764152129763</v>
      </c>
      <c r="X10" s="183">
        <f>(X8-X9)*'R&amp;S - Transportation'!$B$16*('R&amp;S - Transportation'!$B$11*('R&amp;S - Transportation'!$B$19+('R&amp;S - Transportation'!$B$20-'R&amp;S - Transportation'!$B$19)*('Yearly LC Propylene'!X$3-'Yearly LC Propylene'!$N$3)/10))</f>
        <v>47113.782726014433</v>
      </c>
      <c r="Y10" s="183">
        <f>(Y8-Y9)*'R&amp;S - Transportation'!$B$16*('R&amp;S - Transportation'!$B$11*('R&amp;S - Transportation'!$B$20+('R&amp;S - Transportation'!$B$21-'R&amp;S - Transportation'!$B$20)*('Yearly LC Propylene'!Y$3-'Yearly LC Propylene'!$X$3)/10))</f>
        <v>54777.476679053914</v>
      </c>
      <c r="Z10" s="183">
        <f>(Z8-Z9)*'R&amp;S - Transportation'!$B$16*('R&amp;S - Transportation'!$B$11*('R&amp;S - Transportation'!$B$20+('R&amp;S - Transportation'!$B$21-'R&amp;S - Transportation'!$B$20)*('Yearly LC Propylene'!Z$3-'Yearly LC Propylene'!$X$3)/10))</f>
        <v>62595.648024778326</v>
      </c>
      <c r="AA10" s="183">
        <f>(AA8-AA9)*'R&amp;S - Transportation'!$B$16*('R&amp;S - Transportation'!$B$11*('R&amp;S - Transportation'!$B$20+('R&amp;S - Transportation'!$B$21-'R&amp;S - Transportation'!$B$20)*('Yearly LC Propylene'!AA$3-'Yearly LC Propylene'!$X$3)/10))</f>
        <v>70567.510914617582</v>
      </c>
      <c r="AB10" s="183">
        <f>(AB8-AB9)*'R&amp;S - Transportation'!$B$16*('R&amp;S - Transportation'!$B$11*('R&amp;S - Transportation'!$B$20+('R&amp;S - Transportation'!$B$21-'R&amp;S - Transportation'!$B$20)*('Yearly LC Propylene'!AB$3-'Yearly LC Propylene'!$X$3)/10))</f>
        <v>78692.104870423194</v>
      </c>
      <c r="AC10" s="183">
        <f>(AC8-AC9)*'R&amp;S - Transportation'!$B$16*('R&amp;S - Transportation'!$B$11*('R&amp;S - Transportation'!$B$20+('R&amp;S - Transportation'!$B$21-'R&amp;S - Transportation'!$B$20)*('Yearly LC Propylene'!AC$3-'Yearly LC Propylene'!$X$3)/10))</f>
        <v>86968.28666802877</v>
      </c>
      <c r="AD10" s="183">
        <f>(AD8-AD9)*'R&amp;S - Transportation'!$B$16*('R&amp;S - Transportation'!$B$11*('R&amp;S - Transportation'!$B$20+('R&amp;S - Transportation'!$B$21-'R&amp;S - Transportation'!$B$20)*('Yearly LC Propylene'!AD$3-'Yearly LC Propylene'!$X$3)/10))</f>
        <v>95394.721943354612</v>
      </c>
      <c r="AE10" s="183">
        <f>(AE8-AE9)*'R&amp;S - Transportation'!$B$16*('R&amp;S - Transportation'!$B$11*('R&amp;S - Transportation'!$B$20+('R&amp;S - Transportation'!$B$21-'R&amp;S - Transportation'!$B$20)*('Yearly LC Propylene'!AE$3-'Yearly LC Propylene'!$X$3)/10))</f>
        <v>103969.87651289722</v>
      </c>
      <c r="AF10" s="183">
        <f>(AF8-AF9)*'R&amp;S - Transportation'!$B$16*('R&amp;S - Transportation'!$B$11*('R&amp;S - Transportation'!$B$20+('R&amp;S - Transportation'!$B$21-'R&amp;S - Transportation'!$B$20)*('Yearly LC Propylene'!AF$3-'Yearly LC Propylene'!$X$3)/10))</f>
        <v>112692.00740022594</v>
      </c>
      <c r="AG10" s="183">
        <f>(AG8-AG9)*'R&amp;S - Transportation'!$B$16*('R&amp;S - Transportation'!$B$11*('R&amp;S - Transportation'!$B$20+('R&amp;S - Transportation'!$B$21-'R&amp;S - Transportation'!$B$20)*('Yearly LC Propylene'!AG$3-'Yearly LC Propylene'!$X$3)/10))</f>
        <v>121559.15355988435</v>
      </c>
      <c r="AH10" s="183">
        <f>(AH8-AH9)*'R&amp;S - Transportation'!$B$16*('R&amp;S - Transportation'!$B$11*('R&amp;S - Transportation'!$B$20+('R&amp;S - Transportation'!$B$21-'R&amp;S - Transportation'!$B$20)*('Yearly LC Propylene'!AH$3-'Yearly LC Propylene'!$X$3)/10))</f>
        <v>130569.12628986502</v>
      </c>
    </row>
    <row r="11" spans="1:36" outlineLevel="1">
      <c r="B11" s="1" t="s">
        <v>169</v>
      </c>
      <c r="C11" s="50" t="s">
        <v>1420</v>
      </c>
      <c r="D11" s="183">
        <f>SUM(D9:D10)</f>
        <v>0</v>
      </c>
      <c r="E11" s="183">
        <f t="shared" ref="E11:AH11" si="2">SUM(E9:E10)</f>
        <v>2242.7635202270167</v>
      </c>
      <c r="F11" s="183">
        <f t="shared" si="2"/>
        <v>4563.4062755575715</v>
      </c>
      <c r="G11" s="183">
        <f t="shared" si="2"/>
        <v>6963.9467034904992</v>
      </c>
      <c r="H11" s="183">
        <f t="shared" si="2"/>
        <v>9446.4495274695837</v>
      </c>
      <c r="I11" s="183">
        <f t="shared" si="2"/>
        <v>12013.026747522072</v>
      </c>
      <c r="J11" s="183">
        <f t="shared" si="2"/>
        <v>14665.838651162552</v>
      </c>
      <c r="K11" s="183">
        <f t="shared" si="2"/>
        <v>17407.094844963522</v>
      </c>
      <c r="L11" s="183">
        <f t="shared" si="2"/>
        <v>20239.05530720167</v>
      </c>
      <c r="M11" s="183">
        <f t="shared" si="2"/>
        <v>23164.031461996907</v>
      </c>
      <c r="N11" s="183">
        <f t="shared" si="2"/>
        <v>26184.387275369019</v>
      </c>
      <c r="O11" s="183">
        <f t="shared" si="2"/>
        <v>34688.144529723286</v>
      </c>
      <c r="P11" s="183">
        <f t="shared" si="2"/>
        <v>43505.544417033641</v>
      </c>
      <c r="Q11" s="183">
        <f t="shared" si="2"/>
        <v>52644.958195899686</v>
      </c>
      <c r="R11" s="183">
        <f t="shared" si="2"/>
        <v>62114.947443071636</v>
      </c>
      <c r="S11" s="183">
        <f t="shared" si="2"/>
        <v>71924.267932784816</v>
      </c>
      <c r="T11" s="183">
        <f t="shared" si="2"/>
        <v>82081.873588193543</v>
      </c>
      <c r="U11" s="183">
        <f t="shared" si="2"/>
        <v>92596.92050612114</v>
      </c>
      <c r="V11" s="183">
        <f t="shared" si="2"/>
        <v>103478.77105636138</v>
      </c>
      <c r="W11" s="183">
        <f t="shared" si="2"/>
        <v>114736.99805678429</v>
      </c>
      <c r="X11" s="183">
        <f t="shared" si="2"/>
        <v>126381.38902551867</v>
      </c>
      <c r="Y11" s="183">
        <f t="shared" si="2"/>
        <v>147926.36957400857</v>
      </c>
      <c r="Z11" s="183">
        <f t="shared" si="2"/>
        <v>170192.00522585367</v>
      </c>
      <c r="AA11" s="183">
        <f t="shared" si="2"/>
        <v>193194.73956199968</v>
      </c>
      <c r="AB11" s="183">
        <f t="shared" si="2"/>
        <v>216951.29755740496</v>
      </c>
      <c r="AC11" s="183">
        <f t="shared" si="2"/>
        <v>241478.68856551993</v>
      </c>
      <c r="AD11" s="183">
        <f t="shared" si="2"/>
        <v>266794.20928073348</v>
      </c>
      <c r="AE11" s="183">
        <f t="shared" si="2"/>
        <v>292915.44667626842</v>
      </c>
      <c r="AF11" s="183">
        <f t="shared" si="2"/>
        <v>319860.28091491363</v>
      </c>
      <c r="AG11" s="183">
        <f t="shared" si="2"/>
        <v>347646.8882298753</v>
      </c>
      <c r="AH11" s="183">
        <f t="shared" si="2"/>
        <v>376293.74377293012</v>
      </c>
      <c r="AI11" s="40"/>
    </row>
    <row r="12" spans="1:36" outlineLevel="1">
      <c r="B12" s="1" t="s">
        <v>172</v>
      </c>
      <c r="C12" s="50" t="s">
        <v>1420</v>
      </c>
      <c r="D12" s="183">
        <v>0</v>
      </c>
      <c r="E12" s="183">
        <v>0</v>
      </c>
      <c r="F12" s="183">
        <v>0</v>
      </c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Y12" s="183">
        <v>0</v>
      </c>
      <c r="Z12" s="183">
        <v>0</v>
      </c>
      <c r="AA12" s="183">
        <v>0</v>
      </c>
      <c r="AB12" s="183">
        <v>0</v>
      </c>
      <c r="AC12" s="183">
        <v>0</v>
      </c>
      <c r="AD12" s="183">
        <v>0</v>
      </c>
      <c r="AE12" s="183">
        <v>0</v>
      </c>
      <c r="AF12" s="183">
        <v>0</v>
      </c>
      <c r="AG12" s="183">
        <v>0</v>
      </c>
      <c r="AH12" s="183">
        <v>0</v>
      </c>
    </row>
    <row r="13" spans="1:36" s="1" customFormat="1">
      <c r="A13" s="58"/>
      <c r="B13" s="58" t="s">
        <v>200</v>
      </c>
      <c r="C13" s="59" t="s">
        <v>1420</v>
      </c>
      <c r="D13" s="577">
        <f>D8-D11-D12</f>
        <v>816476.05129449558</v>
      </c>
      <c r="E13" s="577">
        <f t="shared" ref="E13:AH13" si="3">E8-E11-E12</f>
        <v>828943.73679044144</v>
      </c>
      <c r="F13" s="577">
        <f t="shared" si="3"/>
        <v>841597.7367390095</v>
      </c>
      <c r="G13" s="577">
        <f t="shared" si="3"/>
        <v>854440.763968318</v>
      </c>
      <c r="H13" s="577">
        <f t="shared" si="3"/>
        <v>867475.56953159533</v>
      </c>
      <c r="I13" s="577">
        <f t="shared" si="3"/>
        <v>880704.94322258176</v>
      </c>
      <c r="J13" s="577">
        <f t="shared" si="3"/>
        <v>894131.71409744746</v>
      </c>
      <c r="K13" s="577">
        <f t="shared" si="3"/>
        <v>907758.75100330065</v>
      </c>
      <c r="L13" s="577">
        <f t="shared" si="3"/>
        <v>921588.96311336046</v>
      </c>
      <c r="M13" s="577">
        <f t="shared" si="3"/>
        <v>935625.30046887114</v>
      </c>
      <c r="N13" s="577">
        <f>N8-N11-N12</f>
        <v>949870.7545278318</v>
      </c>
      <c r="O13" s="577">
        <f t="shared" si="3"/>
        <v>961891.21420577087</v>
      </c>
      <c r="P13" s="577">
        <f t="shared" si="3"/>
        <v>974013.77469047077</v>
      </c>
      <c r="Q13" s="577">
        <f t="shared" si="3"/>
        <v>986238.26850158873</v>
      </c>
      <c r="R13" s="577">
        <f t="shared" si="3"/>
        <v>998564.49661923817</v>
      </c>
      <c r="S13" s="577">
        <f t="shared" si="3"/>
        <v>1010992.2276322347</v>
      </c>
      <c r="T13" s="577">
        <f t="shared" si="3"/>
        <v>1023521.1968712938</v>
      </c>
      <c r="U13" s="577">
        <f t="shared" si="3"/>
        <v>1036151.1055270277</v>
      </c>
      <c r="V13" s="577">
        <f t="shared" si="3"/>
        <v>1048881.6197525905</v>
      </c>
      <c r="W13" s="577">
        <f t="shared" si="3"/>
        <v>1061712.3697508245</v>
      </c>
      <c r="X13" s="577">
        <f t="shared" si="3"/>
        <v>1074642.9488457576</v>
      </c>
      <c r="Y13" s="577">
        <f t="shared" si="3"/>
        <v>1079331.7713344847</v>
      </c>
      <c r="Z13" s="577">
        <f t="shared" si="3"/>
        <v>1083844.7919894767</v>
      </c>
      <c r="AA13" s="577">
        <f t="shared" si="3"/>
        <v>1088176.510671878</v>
      </c>
      <c r="AB13" s="577">
        <f t="shared" si="3"/>
        <v>1092321.3604632553</v>
      </c>
      <c r="AC13" s="577">
        <f t="shared" si="3"/>
        <v>1096273.708815356</v>
      </c>
      <c r="AD13" s="577">
        <f t="shared" si="3"/>
        <v>1100027.8588004375</v>
      </c>
      <c r="AE13" s="577">
        <f t="shared" si="3"/>
        <v>1103578.0504661645</v>
      </c>
      <c r="AF13" s="577">
        <f t="shared" si="3"/>
        <v>1106918.4622991888</v>
      </c>
      <c r="AG13" s="577">
        <f t="shared" si="3"/>
        <v>1110043.212801659</v>
      </c>
      <c r="AH13" s="577">
        <f t="shared" si="3"/>
        <v>1112946.36218504</v>
      </c>
    </row>
    <row r="14" spans="1:36">
      <c r="A14" s="1" t="s">
        <v>385</v>
      </c>
      <c r="B14" s="1" t="s">
        <v>179</v>
      </c>
      <c r="C14" s="50" t="s">
        <v>1420</v>
      </c>
      <c r="D14" s="99">
        <f>'R&amp;S - Packaging and hh goods'!I4</f>
        <v>1598212.8065688689</v>
      </c>
      <c r="E14" s="99">
        <f>D14*(1+'R&amp;S - Packaging and hh goods'!$B$5)</f>
        <v>1587076.360856317</v>
      </c>
      <c r="F14" s="99">
        <f>E14*(1+'R&amp;S - Packaging and hh goods'!$B$5)</f>
        <v>1576017.5145864668</v>
      </c>
      <c r="G14" s="99">
        <f>F14*(1+'R&amp;S - Packaging and hh goods'!$B$5)</f>
        <v>1565035.727041601</v>
      </c>
      <c r="H14" s="99">
        <f>G14*(1+'R&amp;S - Packaging and hh goods'!$B$5)</f>
        <v>1554130.4612717563</v>
      </c>
      <c r="I14" s="99">
        <f>H14*(1+'R&amp;S - Packaging and hh goods'!$B$5)</f>
        <v>1543301.1840684703</v>
      </c>
      <c r="J14" s="99">
        <f>I14*(1+'R&amp;S - Packaging and hh goods'!$B$5)</f>
        <v>1532547.3659387098</v>
      </c>
      <c r="K14" s="99">
        <f>J14*(1+'R&amp;S - Packaging and hh goods'!$B$5)</f>
        <v>1521868.4810789824</v>
      </c>
      <c r="L14" s="99">
        <f>K14*(1+'R&amp;S - Packaging and hh goods'!$B$5)</f>
        <v>1511264.0073496264</v>
      </c>
      <c r="M14" s="99">
        <f>L14*(1+'R&amp;S - Packaging and hh goods'!$B$5)</f>
        <v>1500733.426249282</v>
      </c>
      <c r="N14" s="99">
        <f>M14*(1+'R&amp;S - Packaging and hh goods'!$B$5)</f>
        <v>1490276.2228895384</v>
      </c>
      <c r="O14" s="99">
        <f>N14*(1+'R&amp;S - Packaging and hh goods'!$B$5)</f>
        <v>1479891.8859697597</v>
      </c>
      <c r="P14" s="99">
        <f>O14*(1+'R&amp;S - Packaging and hh goods'!$B$5)</f>
        <v>1469579.9077520841</v>
      </c>
      <c r="Q14" s="99">
        <f>P14*(1+'R&amp;S - Packaging and hh goods'!$B$5)</f>
        <v>1459339.7840365989</v>
      </c>
      <c r="R14" s="99">
        <f>Q14*(1+'R&amp;S - Packaging and hh goods'!$B$5)</f>
        <v>1449171.0141366872</v>
      </c>
      <c r="S14" s="99">
        <f>R14*(1+'R&amp;S - Packaging and hh goods'!$B$5)</f>
        <v>1439073.1008545479</v>
      </c>
      <c r="T14" s="99">
        <f>S14*(1+'R&amp;S - Packaging and hh goods'!$B$5)</f>
        <v>1429045.5504568845</v>
      </c>
      <c r="U14" s="99">
        <f>T14*(1+'R&amp;S - Packaging and hh goods'!$B$5)</f>
        <v>1419087.8726507649</v>
      </c>
      <c r="V14" s="99">
        <f>U14*(1+'R&amp;S - Packaging and hh goods'!$B$5)</f>
        <v>1409199.5805596483</v>
      </c>
      <c r="W14" s="99">
        <f>V14*(1+'R&amp;S - Packaging and hh goods'!$B$5)</f>
        <v>1399380.1906995801</v>
      </c>
      <c r="X14" s="99">
        <f>W14*(1+'R&amp;S - Packaging and hh goods'!$B$5)</f>
        <v>1389629.2229555515</v>
      </c>
      <c r="Y14" s="99">
        <f>X14*(1+'R&amp;S - Packaging and hh goods'!$B$5)</f>
        <v>1379946.2005580249</v>
      </c>
      <c r="Z14" s="99">
        <f>Y14*(1+'R&amp;S - Packaging and hh goods'!$B$5)</f>
        <v>1370330.6500596222</v>
      </c>
      <c r="AA14" s="99">
        <f>Z14*(1+'R&amp;S - Packaging and hh goods'!$B$5)</f>
        <v>1360782.1013119763</v>
      </c>
      <c r="AB14" s="99">
        <f>AA14*(1+'R&amp;S - Packaging and hh goods'!$B$5)</f>
        <v>1351300.0874427424</v>
      </c>
      <c r="AC14" s="99">
        <f>AB14*(1+'R&amp;S - Packaging and hh goods'!$B$5)</f>
        <v>1341884.1448327717</v>
      </c>
      <c r="AD14" s="99">
        <f>AC14*(1+'R&amp;S - Packaging and hh goods'!$B$5)</f>
        <v>1332533.813093442</v>
      </c>
      <c r="AE14" s="99">
        <f>AD14*(1+'R&amp;S - Packaging and hh goods'!$B$5)</f>
        <v>1323248.6350441473</v>
      </c>
      <c r="AF14" s="99">
        <f>AE14*(1+'R&amp;S - Packaging and hh goods'!$B$5)</f>
        <v>1314028.1566899447</v>
      </c>
      <c r="AG14" s="99">
        <f>AF14*(1+'R&amp;S - Packaging and hh goods'!$B$5)</f>
        <v>1304871.927199356</v>
      </c>
      <c r="AH14" s="99">
        <f>AG14*(1+'R&amp;S - Packaging and hh goods'!$B$5)</f>
        <v>1295779.4988823249</v>
      </c>
    </row>
    <row r="15" spans="1:36" outlineLevel="1">
      <c r="B15" s="57" t="s">
        <v>146</v>
      </c>
      <c r="C15" s="50" t="s">
        <v>1420</v>
      </c>
      <c r="D15" s="183">
        <v>0</v>
      </c>
      <c r="E15" s="183">
        <f>E14*'R&amp;S - Packaging and hh goods'!$B$7*('R&amp;S - Packaging and hh goods'!$D$15*'R&amp;S - Packaging and hh goods'!$P$19*('Yearly LC Propylene'!E$3-'Yearly LC Propylene'!$D$3)/10)</f>
        <v>965.57725794498322</v>
      </c>
      <c r="F15" s="183">
        <f>F14*'R&amp;S - Packaging and hh goods'!$B$7*('R&amp;S - Packaging and hh goods'!$D$15*'R&amp;S - Packaging and hh goods'!$P$19*('Yearly LC Propylene'!F$3-'Yearly LC Propylene'!$D$3)/10)</f>
        <v>1917.6981117488128</v>
      </c>
      <c r="G15" s="183">
        <f>G14*'R&amp;S - Packaging and hh goods'!$B$7*('R&amp;S - Packaging and hh goods'!$D$15*'R&amp;S - Packaging and hh goods'!$P$19*('Yearly LC Propylene'!G$3-'Yearly LC Propylene'!$D$3)/10)</f>
        <v>2856.5032089963302</v>
      </c>
      <c r="H15" s="183">
        <f>H14*'R&amp;S - Packaging and hh goods'!$B$7*('R&amp;S - Packaging and hh goods'!$D$15*'R&amp;S - Packaging and hh goods'!$P$19*('Yearly LC Propylene'!H$3-'Yearly LC Propylene'!$D$3)/10)</f>
        <v>3782.1318905509456</v>
      </c>
      <c r="I15" s="183">
        <f>I14*'R&amp;S - Packaging and hh goods'!$B$7*('R&amp;S - Packaging and hh goods'!$D$15*'R&amp;S - Packaging and hh goods'!$P$19*('Yearly LC Propylene'!I$3-'Yearly LC Propylene'!$D$3)/10)</f>
        <v>4694.7222019362871</v>
      </c>
      <c r="J15" s="183">
        <f>J14*'R&amp;S - Packaging and hh goods'!$B$7*('R&amp;S - Packaging and hh goods'!$D$15*'R&amp;S - Packaging and hh goods'!$P$19*('Yearly LC Propylene'!J$3-'Yearly LC Propylene'!$D$3)/10)</f>
        <v>5594.4109046226667</v>
      </c>
      <c r="K15" s="183">
        <f>K14*'R&amp;S - Packaging and hh goods'!$B$7*('R&amp;S - Packaging and hh goods'!$D$15*'R&amp;S - Packaging and hh goods'!$P$19*('Yearly LC Propylene'!K$3-'Yearly LC Propylene'!$D$3)/10)</f>
        <v>6481.3334872191699</v>
      </c>
      <c r="L15" s="183">
        <f>L14*'R&amp;S - Packaging and hh goods'!$B$7*('R&amp;S - Packaging and hh goods'!$D$15*'R&amp;S - Packaging and hh goods'!$P$19*('Yearly LC Propylene'!L$3-'Yearly LC Propylene'!$D$3)/10)</f>
        <v>7355.6241765721015</v>
      </c>
      <c r="M15" s="183">
        <f>M14*'R&amp;S - Packaging and hh goods'!$B$7*('R&amp;S - Packaging and hh goods'!$D$15*'R&amp;S - Packaging and hh goods'!$P$19*('Yearly LC Propylene'!M$3-'Yearly LC Propylene'!$D$3)/10)</f>
        <v>8217.4159487705692</v>
      </c>
      <c r="N15" s="183">
        <f>N14*'R&amp;S - Packaging and hh goods'!$B$7*('R&amp;S - Packaging and hh goods'!$D$15*'R&amp;S - Packaging and hh goods'!$P$19*('Yearly LC Propylene'!N$3-'Yearly LC Propylene'!$D$3)/10)</f>
        <v>9066.8405400599513</v>
      </c>
      <c r="O15" s="183">
        <f>O14*'R&amp;S - Packaging and hh goods'!$B$7*('R&amp;S - Packaging and hh goods'!$D$15*('R&amp;S - Packaging and hh goods'!$P$19+('R&amp;S - Packaging and hh goods'!$P$20-'R&amp;S - Packaging and hh goods'!$P$19)*('Yearly LC Propylene'!O$3-'Yearly LC Propylene'!$N$3)/10))</f>
        <v>12328.091366882485</v>
      </c>
      <c r="P15" s="183">
        <f>P14*'R&amp;S - Packaging and hh goods'!$B$7*('R&amp;S - Packaging and hh goods'!$D$15*('R&amp;S - Packaging and hh goods'!$P$19+('R&amp;S - Packaging and hh goods'!$P$20-'R&amp;S - Packaging and hh goods'!$P$19)*('Yearly LC Propylene'!P$3-'Yearly LC Propylene'!$N$3)/10))</f>
        <v>15543.452768312245</v>
      </c>
      <c r="Q15" s="183">
        <f>Q14*'R&amp;S - Packaging and hh goods'!$B$7*('R&amp;S - Packaging and hh goods'!$D$15*('R&amp;S - Packaging and hh goods'!$P$19+('R&amp;S - Packaging and hh goods'!$P$20-'R&amp;S - Packaging and hh goods'!$P$19)*('Yearly LC Propylene'!Q$3-'Yearly LC Propylene'!$N$3)/10))</f>
        <v>18713.405918658114</v>
      </c>
      <c r="R15" s="183">
        <f>R14*'R&amp;S - Packaging and hh goods'!$B$7*('R&amp;S - Packaging and hh goods'!$D$15*('R&amp;S - Packaging and hh goods'!$P$19+('R&amp;S - Packaging and hh goods'!$P$20-'R&amp;S - Packaging and hh goods'!$P$19)*('Yearly LC Propylene'!R$3-'Yearly LC Propylene'!$N$3)/10))</f>
        <v>21838.427514634219</v>
      </c>
      <c r="S15" s="183">
        <f>S14*'R&amp;S - Packaging and hh goods'!$B$7*('R&amp;S - Packaging and hh goods'!$D$15*('R&amp;S - Packaging and hh goods'!$P$19+('R&amp;S - Packaging and hh goods'!$P$20-'R&amp;S - Packaging and hh goods'!$P$19)*('Yearly LC Propylene'!S$3-'Yearly LC Propylene'!$N$3)/10))</f>
        <v>24918.989814397351</v>
      </c>
      <c r="T15" s="183">
        <f>T14*'R&amp;S - Packaging and hh goods'!$B$7*('R&amp;S - Packaging and hh goods'!$D$15*('R&amp;S - Packaging and hh goods'!$P$19+('R&amp;S - Packaging and hh goods'!$P$20-'R&amp;S - Packaging and hh goods'!$P$19)*('Yearly LC Propylene'!T$3-'Yearly LC Propylene'!$N$3)/10))</f>
        <v>27955.560676257755</v>
      </c>
      <c r="U15" s="183">
        <f>U14*'R&amp;S - Packaging and hh goods'!$B$7*('R&amp;S - Packaging and hh goods'!$D$15*('R&amp;S - Packaging and hh goods'!$P$19+('R&amp;S - Packaging and hh goods'!$P$20-'R&amp;S - Packaging and hh goods'!$P$19)*('Yearly LC Propylene'!U$3-'Yearly LC Propylene'!$N$3)/10))</f>
        <v>30948.603597065998</v>
      </c>
      <c r="V15" s="183">
        <f>V14*'R&amp;S - Packaging and hh goods'!$B$7*('R&amp;S - Packaging and hh goods'!$D$15*('R&amp;S - Packaging and hh goods'!$P$19+('R&amp;S - Packaging and hh goods'!$P$20-'R&amp;S - Packaging and hh goods'!$P$19)*('Yearly LC Propylene'!V$3-'Yearly LC Propylene'!$N$3)/10))</f>
        <v>33898.577750278455</v>
      </c>
      <c r="W15" s="183">
        <f>W14*'R&amp;S - Packaging and hh goods'!$B$7*('R&amp;S - Packaging and hh goods'!$D$15*('R&amp;S - Packaging and hh goods'!$P$19+('R&amp;S - Packaging and hh goods'!$P$20-'R&amp;S - Packaging and hh goods'!$P$19)*('Yearly LC Propylene'!W$3-'Yearly LC Propylene'!$N$3)/10))</f>
        <v>36805.938023704082</v>
      </c>
      <c r="X15" s="183">
        <f>X14*'R&amp;S - Packaging and hh goods'!$B$7*('R&amp;S - Packaging and hh goods'!$D$15*('R&amp;S - Packaging and hh goods'!$P$19+('R&amp;S - Packaging and hh goods'!$P$20-'R&amp;S - Packaging and hh goods'!$P$19)*('Yearly LC Propylene'!X$3-'Yearly LC Propylene'!$N$3)/10))</f>
        <v>39671.135056935076</v>
      </c>
      <c r="Y15" s="183">
        <f>Y14*'R&amp;S - Packaging and hh goods'!$B$7*('R&amp;S - Packaging and hh goods'!$D$15*('R&amp;S - Packaging and hh goods'!$P$20+('R&amp;S - Packaging and hh goods'!$P$21-'R&amp;S - Packaging and hh goods'!$P$20)*('Yearly LC Propylene'!Y$3-'Yearly LC Propylene'!$X$3)/10))</f>
        <v>41913.381938789003</v>
      </c>
      <c r="Z15" s="183">
        <f>Z14*'R&amp;S - Packaging and hh goods'!$B$7*('R&amp;S - Packaging and hh goods'!$D$15*('R&amp;S - Packaging and hh goods'!$P$20+('R&amp;S - Packaging and hh goods'!$P$21-'R&amp;S - Packaging and hh goods'!$P$20)*('Yearly LC Propylene'!Z$3-'Yearly LC Propylene'!$X$3)/10))</f>
        <v>44122.454402879739</v>
      </c>
      <c r="AA15" s="183">
        <f>AA14*'R&amp;S - Packaging and hh goods'!$B$7*('R&amp;S - Packaging and hh goods'!$D$15*('R&amp;S - Packaging and hh goods'!$P$20+('R&amp;S - Packaging and hh goods'!$P$21-'R&amp;S - Packaging and hh goods'!$P$20)*('Yearly LC Propylene'!AA$3-'Yearly LC Propylene'!$X$3)/10))</f>
        <v>46298.705902198155</v>
      </c>
      <c r="AB15" s="183">
        <f>AB14*'R&amp;S - Packaging and hh goods'!$B$7*('R&amp;S - Packaging and hh goods'!$D$15*('R&amp;S - Packaging and hh goods'!$P$20+('R&amp;S - Packaging and hh goods'!$P$21-'R&amp;S - Packaging and hh goods'!$P$20)*('Yearly LC Propylene'!AB$3-'Yearly LC Propylene'!$X$3)/10))</f>
        <v>48442.486574717383</v>
      </c>
      <c r="AC15" s="183">
        <f>AC14*'R&amp;S - Packaging and hh goods'!$B$7*('R&amp;S - Packaging and hh goods'!$D$15*('R&amp;S - Packaging and hh goods'!$P$20+('R&amp;S - Packaging and hh goods'!$P$21-'R&amp;S - Packaging and hh goods'!$P$20)*('Yearly LC Propylene'!AC$3-'Yearly LC Propylene'!$X$3)/10))</f>
        <v>50554.143272429843</v>
      </c>
      <c r="AD15" s="183">
        <f>AD14*'R&amp;S - Packaging and hh goods'!$B$7*('R&amp;S - Packaging and hh goods'!$D$15*('R&amp;S - Packaging and hh goods'!$P$20+('R&amp;S - Packaging and hh goods'!$P$21-'R&amp;S - Packaging and hh goods'!$P$20)*('Yearly LC Propylene'!AD$3-'Yearly LC Propylene'!$X$3)/10))</f>
        <v>52634.01959014048</v>
      </c>
      <c r="AE15" s="183">
        <f>AE14*'R&amp;S - Packaging and hh goods'!$B$7*('R&amp;S - Packaging and hh goods'!$D$15*('R&amp;S - Packaging and hh goods'!$P$20+('R&amp;S - Packaging and hh goods'!$P$21-'R&amp;S - Packaging and hh goods'!$P$20)*('Yearly LC Propylene'!AE$3-'Yearly LC Propylene'!$X$3)/10))</f>
        <v>54682.455894018363</v>
      </c>
      <c r="AF15" s="183">
        <f>AF14*'R&amp;S - Packaging and hh goods'!$B$7*('R&amp;S - Packaging and hh goods'!$D$15*('R&amp;S - Packaging and hh goods'!$P$20+('R&amp;S - Packaging and hh goods'!$P$21-'R&amp;S - Packaging and hh goods'!$P$20)*('Yearly LC Propylene'!AF$3-'Yearly LC Propylene'!$X$3)/10))</f>
        <v>56699.789349908438</v>
      </c>
      <c r="AG15" s="183">
        <f>AG14*'R&amp;S - Packaging and hh goods'!$B$7*('R&amp;S - Packaging and hh goods'!$D$15*('R&amp;S - Packaging and hh goods'!$P$20+('R&amp;S - Packaging and hh goods'!$P$21-'R&amp;S - Packaging and hh goods'!$P$20)*('Yearly LC Propylene'!AG$3-'Yearly LC Propylene'!$X$3)/10))</f>
        <v>58686.35395140561</v>
      </c>
      <c r="AH15" s="183">
        <f>AH14*'R&amp;S - Packaging and hh goods'!$B$7*('R&amp;S - Packaging and hh goods'!$D$15*('R&amp;S - Packaging and hh goods'!$P$20+('R&amp;S - Packaging and hh goods'!$P$21-'R&amp;S - Packaging and hh goods'!$P$20)*('Yearly LC Propylene'!AH$3-'Yearly LC Propylene'!$X$3)/10))</f>
        <v>60642.480547692809</v>
      </c>
    </row>
    <row r="16" spans="1:36" outlineLevel="1">
      <c r="B16" s="57" t="s">
        <v>193</v>
      </c>
      <c r="C16" s="50" t="s">
        <v>1420</v>
      </c>
      <c r="D16" s="183">
        <v>0</v>
      </c>
      <c r="E16" s="183">
        <f>E14*'R&amp;S - Packaging and hh goods'!$B$8*('R&amp;S - Packaging and hh goods'!$D$15*'R&amp;S - Packaging and hh goods'!$Q$19*('Yearly LC Propylene'!E$3-'Yearly LC Propylene'!$D$3)/10)</f>
        <v>5035.8567760515289</v>
      </c>
      <c r="F16" s="183">
        <f>F14*'R&amp;S - Packaging and hh goods'!$B$8*('R&amp;S - Packaging and hh goods'!$D$15*'R&amp;S - Packaging and hh goods'!$Q$19*('Yearly LC Propylene'!F$3-'Yearly LC Propylene'!$D$3)/10)</f>
        <v>10001.533228966886</v>
      </c>
      <c r="G16" s="183">
        <f>G14*'R&amp;S - Packaging and hh goods'!$B$8*('R&amp;S - Packaging and hh goods'!$D$15*'R&amp;S - Packaging and hh goods'!$Q$19*('Yearly LC Propylene'!G$3-'Yearly LC Propylene'!$D$3)/10)</f>
        <v>14897.762889996246</v>
      </c>
      <c r="H16" s="183">
        <f>H14*'R&amp;S - Packaging and hh goods'!$B$8*('R&amp;S - Packaging and hh goods'!$D$15*'R&amp;S - Packaging and hh goods'!$Q$19*('Yearly LC Propylene'!H$3-'Yearly LC Propylene'!$D$3)/10)</f>
        <v>19725.272475334936</v>
      </c>
      <c r="I16" s="183">
        <f>I14*'R&amp;S - Packaging and hh goods'!$B$8*('R&amp;S - Packaging and hh goods'!$D$15*'R&amp;S - Packaging and hh goods'!$Q$19*('Yearly LC Propylene'!I$3-'Yearly LC Propylene'!$D$3)/10)</f>
        <v>24484.781945483093</v>
      </c>
      <c r="J16" s="183">
        <f>J14*'R&amp;S - Packaging and hh goods'!$B$8*('R&amp;S - Packaging and hh goods'!$D$15*'R&amp;S - Packaging and hh goods'!$Q$19*('Yearly LC Propylene'!J$3-'Yearly LC Propylene'!$D$3)/10)</f>
        <v>29177.004564108989</v>
      </c>
      <c r="K16" s="183">
        <f>K14*'R&amp;S - Packaging and hh goods'!$B$8*('R&amp;S - Packaging and hh goods'!$D$15*'R&amp;S - Packaging and hh goods'!$Q$19*('Yearly LC Propylene'!K$3-'Yearly LC Propylene'!$D$3)/10)</f>
        <v>33802.64695641998</v>
      </c>
      <c r="L16" s="183">
        <f>L14*'R&amp;S - Packaging and hh goods'!$B$8*('R&amp;S - Packaging and hh goods'!$D$15*'R&amp;S - Packaging and hh goods'!$Q$19*('Yearly LC Propylene'!L$3-'Yearly LC Propylene'!$D$3)/10)</f>
        <v>38362.409167045269</v>
      </c>
      <c r="M16" s="183">
        <f>M14*'R&amp;S - Packaging and hh goods'!$B$8*('R&amp;S - Packaging and hh goods'!$D$15*'R&amp;S - Packaging and hh goods'!$Q$19*('Yearly LC Propylene'!M$3-'Yearly LC Propylene'!$D$3)/10)</f>
        <v>42856.984717434199</v>
      </c>
      <c r="N16" s="183">
        <f>N14*'R&amp;S - Packaging and hh goods'!$B$8*('R&amp;S - Packaging and hh goods'!$D$15*'R&amp;S - Packaging and hh goods'!$Q$19*('Yearly LC Propylene'!N$3-'Yearly LC Propylene'!$D$3)/10)</f>
        <v>47287.060662774209</v>
      </c>
      <c r="O16" s="183">
        <f>O14*'R&amp;S - Packaging and hh goods'!$B$8*('R&amp;S - Packaging and hh goods'!$D$15*('R&amp;S - Packaging and hh goods'!$Q$19+('R&amp;S - Packaging and hh goods'!$Q$20-'R&amp;S - Packaging and hh goods'!$Q$19)*('Yearly LC Propylene'!O$3-'Yearly LC Propylene'!$N$3)/10))</f>
        <v>52175.068331749848</v>
      </c>
      <c r="P16" s="183">
        <f>P14*'R&amp;S - Packaging and hh goods'!$B$8*('R&amp;S - Packaging and hh goods'!$D$15*('R&amp;S - Packaging and hh goods'!$Q$19+('R&amp;S - Packaging and hh goods'!$Q$20-'R&amp;S - Packaging and hh goods'!$Q$19)*('Yearly LC Propylene'!P$3-'Yearly LC Propylene'!$N$3)/10))</f>
        <v>56992.66015047823</v>
      </c>
      <c r="Q16" s="183">
        <f>Q14*'R&amp;S - Packaging and hh goods'!$B$8*('R&amp;S - Packaging and hh goods'!$D$15*('R&amp;S - Packaging and hh goods'!$Q$19+('R&amp;S - Packaging and hh goods'!$Q$20-'R&amp;S - Packaging and hh goods'!$Q$19)*('Yearly LC Propylene'!Q$3-'Yearly LC Propylene'!$N$3)/10))</f>
        <v>61740.580111193194</v>
      </c>
      <c r="R16" s="183">
        <f>R14*'R&amp;S - Packaging and hh goods'!$B$8*('R&amp;S - Packaging and hh goods'!$D$15*('R&amp;S - Packaging and hh goods'!$Q$19+('R&amp;S - Packaging and hh goods'!$Q$20-'R&amp;S - Packaging and hh goods'!$Q$19)*('Yearly LC Propylene'!R$3-'Yearly LC Propylene'!$N$3)/10))</f>
        <v>66419.565256723959</v>
      </c>
      <c r="S16" s="183">
        <f>S14*'R&amp;S - Packaging and hh goods'!$B$8*('R&amp;S - Packaging and hh goods'!$D$15*('R&amp;S - Packaging and hh goods'!$Q$19+('R&amp;S - Packaging and hh goods'!$Q$20-'R&amp;S - Packaging and hh goods'!$Q$19)*('Yearly LC Propylene'!S$3-'Yearly LC Propylene'!$N$3)/10))</f>
        <v>71030.345741219135</v>
      </c>
      <c r="T16" s="183">
        <f>T14*'R&amp;S - Packaging and hh goods'!$B$8*('R&amp;S - Packaging and hh goods'!$D$15*('R&amp;S - Packaging and hh goods'!$Q$19+('R&amp;S - Packaging and hh goods'!$Q$20-'R&amp;S - Packaging and hh goods'!$Q$19)*('Yearly LC Propylene'!T$3-'Yearly LC Propylene'!$N$3)/10))</f>
        <v>75573.644890361902</v>
      </c>
      <c r="U16" s="183">
        <f>U14*'R&amp;S - Packaging and hh goods'!$B$8*('R&amp;S - Packaging and hh goods'!$D$15*('R&amp;S - Packaging and hh goods'!$Q$19+('R&amp;S - Packaging and hh goods'!$Q$20-'R&amp;S - Packaging and hh goods'!$Q$19)*('Yearly LC Propylene'!U$3-'Yearly LC Propylene'!$N$3)/10))</f>
        <v>80050.179261080586</v>
      </c>
      <c r="V16" s="183">
        <f>V14*'R&amp;S - Packaging and hh goods'!$B$8*('R&amp;S - Packaging and hh goods'!$D$15*('R&amp;S - Packaging and hh goods'!$Q$19+('R&amp;S - Packaging and hh goods'!$Q$20-'R&amp;S - Packaging and hh goods'!$Q$19)*('Yearly LC Propylene'!V$3-'Yearly LC Propylene'!$N$3)/10))</f>
        <v>84460.658700758635</v>
      </c>
      <c r="W16" s="183">
        <f>W14*'R&amp;S - Packaging and hh goods'!$B$8*('R&amp;S - Packaging and hh goods'!$D$15*('R&amp;S - Packaging and hh goods'!$Q$19+('R&amp;S - Packaging and hh goods'!$Q$20-'R&amp;S - Packaging and hh goods'!$Q$19)*('Yearly LC Propylene'!W$3-'Yearly LC Propylene'!$N$3)/10))</f>
        <v>88805.786405947918</v>
      </c>
      <c r="X16" s="183">
        <f>X14*'R&amp;S - Packaging and hh goods'!$B$8*('R&amp;S - Packaging and hh goods'!$D$15*('R&amp;S - Packaging and hh goods'!$Q$19+('R&amp;S - Packaging and hh goods'!$Q$20-'R&amp;S - Packaging and hh goods'!$Q$19)*('Yearly LC Propylene'!X$3-'Yearly LC Propylene'!$N$3)/10))</f>
        <v>93086.258980589744</v>
      </c>
      <c r="Y16" s="183">
        <f>Y14*'R&amp;S - Packaging and hh goods'!$B$8*('R&amp;S - Packaging and hh goods'!$D$15*('R&amp;S - Packaging and hh goods'!$Q$20+('R&amp;S - Packaging and hh goods'!$Q$21-'R&amp;S - Packaging and hh goods'!$Q$20)*('Yearly LC Propylene'!Y$3-'Yearly LC Propylene'!$X$3)/10))</f>
        <v>95356.711163872504</v>
      </c>
      <c r="Z16" s="183">
        <f>Z14*'R&amp;S - Packaging and hh goods'!$B$8*('R&amp;S - Packaging and hh goods'!$D$15*('R&amp;S - Packaging and hh goods'!$Q$20+('R&amp;S - Packaging and hh goods'!$Q$21-'R&amp;S - Packaging and hh goods'!$Q$20)*('Yearly LC Propylene'!Z$3-'Yearly LC Propylene'!$X$3)/10))</f>
        <v>97591.002344974127</v>
      </c>
      <c r="AA16" s="183">
        <f>AA14*'R&amp;S - Packaging and hh goods'!$B$8*('R&amp;S - Packaging and hh goods'!$D$15*('R&amp;S - Packaging and hh goods'!$Q$20+('R&amp;S - Packaging and hh goods'!$Q$21-'R&amp;S - Packaging and hh goods'!$Q$20)*('Yearly LC Propylene'!AA$3-'Yearly LC Propylene'!$X$3)/10))</f>
        <v>99789.526228818475</v>
      </c>
      <c r="AB16" s="183">
        <f>AB14*'R&amp;S - Packaging and hh goods'!$B$8*('R&amp;S - Packaging and hh goods'!$D$15*('R&amp;S - Packaging and hh goods'!$Q$20+('R&amp;S - Packaging and hh goods'!$Q$21-'R&amp;S - Packaging and hh goods'!$Q$20)*('Yearly LC Propylene'!AB$3-'Yearly LC Propylene'!$X$3)/10))</f>
        <v>101952.67278936604</v>
      </c>
      <c r="AC16" s="183">
        <f>AC14*'R&amp;S - Packaging and hh goods'!$B$8*('R&amp;S - Packaging and hh goods'!$D$15*('R&amp;S - Packaging and hh goods'!$Q$20+('R&amp;S - Packaging and hh goods'!$Q$21-'R&amp;S - Packaging and hh goods'!$Q$20)*('Yearly LC Propylene'!AC$3-'Yearly LC Propylene'!$X$3)/10))</f>
        <v>104080.82830249325</v>
      </c>
      <c r="AD16" s="183">
        <f>AD14*'R&amp;S - Packaging and hh goods'!$B$8*('R&amp;S - Packaging and hh goods'!$D$15*('R&amp;S - Packaging and hh goods'!$Q$20+('R&amp;S - Packaging and hh goods'!$Q$21-'R&amp;S - Packaging and hh goods'!$Q$20)*('Yearly LC Propylene'!AD$3-'Yearly LC Propylene'!$X$3)/10))</f>
        <v>106174.37537859462</v>
      </c>
      <c r="AE16" s="183">
        <f>AE14*'R&amp;S - Packaging and hh goods'!$B$8*('R&amp;S - Packaging and hh goods'!$D$15*('R&amp;S - Packaging and hh goods'!$Q$20+('R&amp;S - Packaging and hh goods'!$Q$21-'R&amp;S - Packaging and hh goods'!$Q$20)*('Yearly LC Propylene'!AE$3-'Yearly LC Propylene'!$X$3)/10))</f>
        <v>108233.69299491018</v>
      </c>
      <c r="AF16" s="183">
        <f>AF14*'R&amp;S - Packaging and hh goods'!$B$8*('R&amp;S - Packaging and hh goods'!$D$15*('R&amp;S - Packaging and hh goods'!$Q$20+('R&amp;S - Packaging and hh goods'!$Q$21-'R&amp;S - Packaging and hh goods'!$Q$20)*('Yearly LC Propylene'!AF$3-'Yearly LC Propylene'!$X$3)/10))</f>
        <v>110259.15652758043</v>
      </c>
      <c r="AG16" s="183">
        <f>AG14*'R&amp;S - Packaging and hh goods'!$B$8*('R&amp;S - Packaging and hh goods'!$D$15*('R&amp;S - Packaging and hh goods'!$Q$20+('R&amp;S - Packaging and hh goods'!$Q$21-'R&amp;S - Packaging and hh goods'!$Q$20)*('Yearly LC Propylene'!AG$3-'Yearly LC Propylene'!$X$3)/10))</f>
        <v>112251.13778343079</v>
      </c>
      <c r="AH16" s="183">
        <f>AH14*'R&amp;S - Packaging and hh goods'!$B$8*('R&amp;S - Packaging and hh goods'!$D$15*('R&amp;S - Packaging and hh goods'!$Q$20+('R&amp;S - Packaging and hh goods'!$Q$21-'R&amp;S - Packaging and hh goods'!$Q$20)*('Yearly LC Propylene'!AH$3-'Yearly LC Propylene'!$X$3)/10))</f>
        <v>114210.00503148812</v>
      </c>
    </row>
    <row r="17" spans="1:34" outlineLevel="1">
      <c r="B17" s="1" t="s">
        <v>169</v>
      </c>
      <c r="C17" s="50" t="s">
        <v>1420</v>
      </c>
      <c r="D17" s="99">
        <f>SUM(D15:D16)</f>
        <v>0</v>
      </c>
      <c r="E17" s="99">
        <f t="shared" ref="E17:AH17" si="4">SUM(E15:E16)</f>
        <v>6001.434033996512</v>
      </c>
      <c r="F17" s="99">
        <f t="shared" si="4"/>
        <v>11919.231340715698</v>
      </c>
      <c r="G17" s="99">
        <f t="shared" si="4"/>
        <v>17754.266098992575</v>
      </c>
      <c r="H17" s="99">
        <f t="shared" si="4"/>
        <v>23507.404365885883</v>
      </c>
      <c r="I17" s="99">
        <f t="shared" si="4"/>
        <v>29179.504147419379</v>
      </c>
      <c r="J17" s="99">
        <f t="shared" si="4"/>
        <v>34771.415468731655</v>
      </c>
      <c r="K17" s="99">
        <f t="shared" si="4"/>
        <v>40283.98044363915</v>
      </c>
      <c r="L17" s="99">
        <f t="shared" si="4"/>
        <v>45718.033343617368</v>
      </c>
      <c r="M17" s="99">
        <f t="shared" si="4"/>
        <v>51074.400666204769</v>
      </c>
      <c r="N17" s="99">
        <f t="shared" si="4"/>
        <v>56353.90120283416</v>
      </c>
      <c r="O17" s="99">
        <f t="shared" si="4"/>
        <v>64503.159698632335</v>
      </c>
      <c r="P17" s="99">
        <f t="shared" si="4"/>
        <v>72536.112918790473</v>
      </c>
      <c r="Q17" s="99">
        <f t="shared" si="4"/>
        <v>80453.986029851309</v>
      </c>
      <c r="R17" s="99">
        <f t="shared" si="4"/>
        <v>88257.992771358171</v>
      </c>
      <c r="S17" s="99">
        <f t="shared" si="4"/>
        <v>95949.33555561649</v>
      </c>
      <c r="T17" s="99">
        <f t="shared" si="4"/>
        <v>103529.20556661965</v>
      </c>
      <c r="U17" s="99">
        <f t="shared" si="4"/>
        <v>110998.78285814659</v>
      </c>
      <c r="V17" s="99">
        <f t="shared" si="4"/>
        <v>118359.23645103708</v>
      </c>
      <c r="W17" s="99">
        <f t="shared" si="4"/>
        <v>125611.72442965201</v>
      </c>
      <c r="X17" s="99">
        <f t="shared" si="4"/>
        <v>132757.39403752482</v>
      </c>
      <c r="Y17" s="99">
        <f t="shared" si="4"/>
        <v>137270.09310266151</v>
      </c>
      <c r="Z17" s="99">
        <f t="shared" si="4"/>
        <v>141713.45674785387</v>
      </c>
      <c r="AA17" s="99">
        <f t="shared" si="4"/>
        <v>146088.23213101662</v>
      </c>
      <c r="AB17" s="99">
        <f t="shared" si="4"/>
        <v>150395.15936408343</v>
      </c>
      <c r="AC17" s="99">
        <f t="shared" si="4"/>
        <v>154634.97157492308</v>
      </c>
      <c r="AD17" s="99">
        <f t="shared" si="4"/>
        <v>158808.39496873511</v>
      </c>
      <c r="AE17" s="99">
        <f t="shared" si="4"/>
        <v>162916.14888892852</v>
      </c>
      <c r="AF17" s="99">
        <f t="shared" si="4"/>
        <v>166958.94587748888</v>
      </c>
      <c r="AG17" s="99">
        <f t="shared" si="4"/>
        <v>170937.4917348364</v>
      </c>
      <c r="AH17" s="99">
        <f t="shared" si="4"/>
        <v>174852.48557918094</v>
      </c>
    </row>
    <row r="18" spans="1:34" outlineLevel="1">
      <c r="B18" s="57" t="s">
        <v>194</v>
      </c>
      <c r="C18" s="50" t="s">
        <v>1420</v>
      </c>
      <c r="D18" s="183">
        <v>0</v>
      </c>
      <c r="E18" s="183">
        <f>E14*'R&amp;S - Packaging and hh goods'!$B$9*('R&amp;S - Packaging and hh goods'!$E$15*'R&amp;S - Packaging and hh goods'!$R$19*('Yearly LC Propylene'!E$3-'Yearly LC Propylene'!$D$3)/10)</f>
        <v>3534.73647089919</v>
      </c>
      <c r="F18" s="183">
        <f>F14*'R&amp;S - Packaging and hh goods'!$B$9*('R&amp;S - Packaging and hh goods'!$E$15*'R&amp;S - Packaging and hh goods'!$R$19*('Yearly LC Propylene'!F$3-'Yearly LC Propylene'!$D$3)/10)</f>
        <v>7020.2124169739591</v>
      </c>
      <c r="G18" s="183">
        <f>G14*'R&amp;S - Packaging and hh goods'!$B$9*('R&amp;S - Packaging and hh goods'!$E$15*'R&amp;S - Packaging and hh goods'!$R$19*('Yearly LC Propylene'!G$3-'Yearly LC Propylene'!$D$3)/10)</f>
        <v>10456.942713801162</v>
      </c>
      <c r="H18" s="183">
        <f>H14*'R&amp;S - Packaging and hh goods'!$B$9*('R&amp;S - Packaging and hh goods'!$E$15*'R&amp;S - Packaging and hh goods'!$R$19*('Yearly LC Propylene'!H$3-'Yearly LC Propylene'!$D$3)/10)</f>
        <v>13845.437453377825</v>
      </c>
      <c r="I18" s="183">
        <f>I14*'R&amp;S - Packaging and hh goods'!$B$9*('R&amp;S - Packaging and hh goods'!$E$15*'R&amp;S - Packaging and hh goods'!$R$19*('Yearly LC Propylene'!I$3-'Yearly LC Propylene'!$D$3)/10)</f>
        <v>17186.201985786487</v>
      </c>
      <c r="J18" s="183">
        <f>J14*'R&amp;S - Packaging and hh goods'!$B$9*('R&amp;S - Packaging and hh goods'!$E$15*'R&amp;S - Packaging and hh goods'!$R$19*('Yearly LC Propylene'!J$3-'Yearly LC Propylene'!$D$3)/10)</f>
        <v>20479.736960512168</v>
      </c>
      <c r="K18" s="183">
        <f>K14*'R&amp;S - Packaging and hh goods'!$B$9*('R&amp;S - Packaging and hh goods'!$E$15*'R&amp;S - Packaging and hh goods'!$R$19*('Yearly LC Propylene'!K$3-'Yearly LC Propylene'!$D$3)/10)</f>
        <v>23726.53836741377</v>
      </c>
      <c r="L18" s="183">
        <f>L14*'R&amp;S - Packaging and hh goods'!$B$9*('R&amp;S - Packaging and hh goods'!$E$15*'R&amp;S - Packaging and hh goods'!$R$19*('Yearly LC Propylene'!L$3-'Yearly LC Propylene'!$D$3)/10)</f>
        <v>26927.097577352706</v>
      </c>
      <c r="M18" s="183">
        <f>M14*'R&amp;S - Packaging and hh goods'!$B$9*('R&amp;S - Packaging and hh goods'!$E$15*'R&amp;S - Packaging and hh goods'!$R$19*('Yearly LC Propylene'!M$3-'Yearly LC Propylene'!$D$3)/10)</f>
        <v>30081.901382481614</v>
      </c>
      <c r="N18" s="183">
        <f>N14*'R&amp;S - Packaging and hh goods'!$B$9*('R&amp;S - Packaging and hh goods'!$E$15*'R&amp;S - Packaging and hh goods'!$R$19*('Yearly LC Propylene'!N$3-'Yearly LC Propylene'!$D$3)/10)</f>
        <v>33191.432036195802</v>
      </c>
      <c r="O18" s="183">
        <f>O14*'R&amp;S - Packaging and hh goods'!$B$9*('R&amp;S - Packaging and hh goods'!$E$15*'R&amp;S - Packaging and hh goods'!$R$19*('Yearly LC Propylene'!O$3-'Yearly LC Propylene'!$D$3)/10)</f>
        <v>36256.167292750339</v>
      </c>
      <c r="P18" s="183">
        <f>P14*'R&amp;S - Packaging and hh goods'!$B$9*('R&amp;S - Packaging and hh goods'!$E$15*'R&amp;S - Packaging and hh goods'!$R$19*('Yearly LC Propylene'!P$3-'Yearly LC Propylene'!$D$3)/10)</f>
        <v>39276.580446545304</v>
      </c>
      <c r="Q18" s="183">
        <f>Q14*'R&amp;S - Packaging and hh goods'!$B$9*('R&amp;S - Packaging and hh goods'!$E$15*'R&amp;S - Packaging and hh goods'!$R$19*('Yearly LC Propylene'!Q$3-'Yearly LC Propylene'!$D$3)/10)</f>
        <v>42253.140371082074</v>
      </c>
      <c r="R18" s="183">
        <f>R14*'R&amp;S - Packaging and hh goods'!$B$9*('R&amp;S - Packaging and hh goods'!$E$15*'R&amp;S - Packaging and hh goods'!$R$19*('Yearly LC Propylene'!R$3-'Yearly LC Propylene'!$D$3)/10)</f>
        <v>45186.311557593224</v>
      </c>
      <c r="S18" s="183">
        <f>S14*'R&amp;S - Packaging and hh goods'!$B$9*('R&amp;S - Packaging and hh goods'!$E$15*'R&amp;S - Packaging and hh goods'!$R$19*('Yearly LC Propylene'!S$3-'Yearly LC Propylene'!$D$3)/10)</f>
        <v>48076.554153348734</v>
      </c>
      <c r="T18" s="183">
        <f>T14*'R&amp;S - Packaging and hh goods'!$B$9*('R&amp;S - Packaging and hh goods'!$E$15*'R&amp;S - Packaging and hh goods'!$R$19*('Yearly LC Propylene'!T$3-'Yearly LC Propylene'!$D$3)/10)</f>
        <v>50924.323999641179</v>
      </c>
      <c r="U18" s="183">
        <f>U14*'R&amp;S - Packaging and hh goods'!$B$9*('R&amp;S - Packaging and hh goods'!$E$15*'R&amp;S - Packaging and hh goods'!$R$19*('Yearly LC Propylene'!U$3-'Yearly LC Propylene'!$D$3)/10)</f>
        <v>53730.072669452325</v>
      </c>
      <c r="V18" s="183">
        <f>V14*'R&amp;S - Packaging and hh goods'!$B$9*('R&amp;S - Packaging and hh goods'!$E$15*'R&amp;S - Packaging and hh goods'!$R$19*('Yearly LC Propylene'!V$3-'Yearly LC Propylene'!$D$3)/10)</f>
        <v>56494.247504804087</v>
      </c>
      <c r="W18" s="183">
        <f>W14*'R&amp;S - Packaging and hh goods'!$B$9*('R&amp;S - Packaging and hh goods'!$E$15*'R&amp;S - Packaging and hh goods'!$R$19*('Yearly LC Propylene'!W$3-'Yearly LC Propylene'!$D$3)/10)</f>
        <v>59217.291653796005</v>
      </c>
      <c r="X18" s="183">
        <f>X14*'R&amp;S - Packaging and hh goods'!$B$9*('R&amp;S - Packaging and hh goods'!$E$15*'R&amp;S - Packaging and hh goods'!$R$19*('Yearly LC Propylene'!X$3-'Yearly LC Propylene'!$D$3)/10)</f>
        <v>61899.644107332097</v>
      </c>
      <c r="Y18" s="183">
        <f>Y14*'R&amp;S - Packaging and hh goods'!$B$9*('R&amp;S - Packaging and hh goods'!$E$15*('R&amp;S - Packaging and hh goods'!$R$20+('R&amp;S - Packaging and hh goods'!$R$21-'R&amp;S - Packaging and hh goods'!$R$20)*('Yearly LC Propylene'!Y$3-'Yearly LC Propylene'!$X$3)/10))</f>
        <v>60930.475726527169</v>
      </c>
      <c r="Z18" s="183">
        <f>Z14*'R&amp;S - Packaging and hh goods'!$B$9*('R&amp;S - Packaging and hh goods'!$E$15*('R&amp;S - Packaging and hh goods'!$R$20+('R&amp;S - Packaging and hh goods'!$R$21-'R&amp;S - Packaging and hh goods'!$R$20)*('Yearly LC Propylene'!Z$3-'Yearly LC Propylene'!$X$3)/10))</f>
        <v>62260.808645780933</v>
      </c>
      <c r="AA18" s="183">
        <f>AA14*'R&amp;S - Packaging and hh goods'!$B$9*('R&amp;S - Packaging and hh goods'!$E$15*('R&amp;S - Packaging and hh goods'!$R$20+('R&amp;S - Packaging and hh goods'!$R$21-'R&amp;S - Packaging and hh goods'!$R$20)*('Yearly LC Propylene'!AA$3-'Yearly LC Propylene'!$X$3)/10))</f>
        <v>63569.643469481649</v>
      </c>
      <c r="AB18" s="183">
        <f>AB14*'R&amp;S - Packaging and hh goods'!$B$9*('R&amp;S - Packaging and hh goods'!$E$15*('R&amp;S - Packaging and hh goods'!$R$20+('R&amp;S - Packaging and hh goods'!$R$21-'R&amp;S - Packaging and hh goods'!$R$20)*('Yearly LC Propylene'!AB$3-'Yearly LC Propylene'!$X$3)/10))</f>
        <v>64857.215204915854</v>
      </c>
      <c r="AC18" s="183">
        <f>AC14*'R&amp;S - Packaging and hh goods'!$B$9*('R&amp;S - Packaging and hh goods'!$E$15*('R&amp;S - Packaging and hh goods'!$R$20+('R&amp;S - Packaging and hh goods'!$R$21-'R&amp;S - Packaging and hh goods'!$R$20)*('Yearly LC Propylene'!AC$3-'Yearly LC Propylene'!$X$3)/10))</f>
        <v>66123.756628095522</v>
      </c>
      <c r="AD18" s="183">
        <f>AD14*'R&amp;S - Packaging and hh goods'!$B$9*('R&amp;S - Packaging and hh goods'!$E$15*('R&amp;S - Packaging and hh goods'!$R$20+('R&amp;S - Packaging and hh goods'!$R$21-'R&amp;S - Packaging and hh goods'!$R$20)*('Yearly LC Propylene'!AD$3-'Yearly LC Propylene'!$X$3)/10))</f>
        <v>67369.498303442902</v>
      </c>
      <c r="AE18" s="183">
        <f>AE14*'R&amp;S - Packaging and hh goods'!$B$9*('R&amp;S - Packaging and hh goods'!$E$15*('R&amp;S - Packaging and hh goods'!$R$20+('R&amp;S - Packaging and hh goods'!$R$21-'R&amp;S - Packaging and hh goods'!$R$20)*('Yearly LC Propylene'!AE$3-'Yearly LC Propylene'!$X$3)/10))</f>
        <v>68594.668603309314</v>
      </c>
      <c r="AF18" s="183">
        <f>AF14*'R&amp;S - Packaging and hh goods'!$B$9*('R&amp;S - Packaging and hh goods'!$E$15*('R&amp;S - Packaging and hh goods'!$R$20+('R&amp;S - Packaging and hh goods'!$R$21-'R&amp;S - Packaging and hh goods'!$R$20)*('Yearly LC Propylene'!AF$3-'Yearly LC Propylene'!$X$3)/10))</f>
        <v>69799.493727329304</v>
      </c>
      <c r="AG18" s="183">
        <f>AG14*'R&amp;S - Packaging and hh goods'!$B$9*('R&amp;S - Packaging and hh goods'!$E$15*('R&amp;S - Packaging and hh goods'!$R$20+('R&amp;S - Packaging and hh goods'!$R$21-'R&amp;S - Packaging and hh goods'!$R$20)*('Yearly LC Propylene'!AG$3-'Yearly LC Propylene'!$X$3)/10))</f>
        <v>70984.197721611563</v>
      </c>
      <c r="AH18" s="183">
        <f>AH14*'R&amp;S - Packaging and hh goods'!$B$9*('R&amp;S - Packaging and hh goods'!$E$15*('R&amp;S - Packaging and hh goods'!$R$20+('R&amp;S - Packaging and hh goods'!$R$21-'R&amp;S - Packaging and hh goods'!$R$20)*('Yearly LC Propylene'!AH$3-'Yearly LC Propylene'!$X$3)/10))</f>
        <v>72149.002497767855</v>
      </c>
    </row>
    <row r="19" spans="1:34" outlineLevel="1">
      <c r="B19" s="57" t="s">
        <v>185</v>
      </c>
      <c r="C19" s="50" t="s">
        <v>1420</v>
      </c>
      <c r="D19" s="183">
        <v>0</v>
      </c>
      <c r="E19" s="183">
        <f>E14*'R&amp;S - Packaging and hh goods'!$B$10*('R&amp;S - Packaging and hh goods'!$E$15*'R&amp;S - Packaging and hh goods'!$S$19*('Yearly LC Propylene'!E$3-'Yearly LC Propylene'!$D$3)/10)</f>
        <v>1267.5344063615059</v>
      </c>
      <c r="F19" s="183">
        <f>F14*'R&amp;S - Packaging and hh goods'!$B$10*('R&amp;S - Packaging and hh goods'!$E$15*'R&amp;S - Packaging and hh goods'!$S$19*('Yearly LC Propylene'!F$3-'Yearly LC Propylene'!$D$3)/10)</f>
        <v>2517.4042963992547</v>
      </c>
      <c r="G19" s="183">
        <f>G14*'R&amp;S - Packaging and hh goods'!$B$10*('R&amp;S - Packaging and hh goods'!$E$15*'R&amp;S - Packaging and hh goods'!$S$19*('Yearly LC Propylene'!G$3-'Yearly LC Propylene'!$D$3)/10)</f>
        <v>3749.7943012771352</v>
      </c>
      <c r="H19" s="183">
        <f>H14*'R&amp;S - Packaging and hh goods'!$B$10*('R&amp;S - Packaging and hh goods'!$E$15*'R&amp;S - Packaging and hh goods'!$S$19*('Yearly LC Propylene'!H$3-'Yearly LC Propylene'!$D$3)/10)</f>
        <v>4964.8873367972037</v>
      </c>
      <c r="I19" s="183">
        <f>I14*'R&amp;S - Packaging and hh goods'!$B$10*('R&amp;S - Packaging and hh goods'!$E$15*'R&amp;S - Packaging and hh goods'!$S$19*('Yearly LC Propylene'!I$3-'Yearly LC Propylene'!$D$3)/10)</f>
        <v>6162.8646183406208</v>
      </c>
      <c r="J19" s="183">
        <f>J14*'R&amp;S - Packaging and hh goods'!$B$10*('R&amp;S - Packaging and hh goods'!$E$15*'R&amp;S - Packaging and hh goods'!$S$19*('Yearly LC Propylene'!J$3-'Yearly LC Propylene'!$D$3)/10)</f>
        <v>7343.905675683659</v>
      </c>
      <c r="K19" s="183">
        <f>K14*'R&amp;S - Packaging and hh goods'!$B$10*('R&amp;S - Packaging and hh goods'!$E$15*'R&amp;S - Packaging and hh goods'!$S$19*('Yearly LC Propylene'!K$3-'Yearly LC Propylene'!$D$3)/10)</f>
        <v>8508.1883676897814</v>
      </c>
      <c r="L19" s="183">
        <f>L14*'R&amp;S - Packaging and hh goods'!$B$10*('R&amp;S - Packaging and hh goods'!$E$15*'R&amp;S - Packaging and hh goods'!$S$19*('Yearly LC Propylene'!L$3-'Yearly LC Propylene'!$D$3)/10)</f>
        <v>9655.8888968788197</v>
      </c>
      <c r="M19" s="183">
        <f>M14*'R&amp;S - Packaging and hh goods'!$B$10*('R&amp;S - Packaging and hh goods'!$E$15*'R&amp;S - Packaging and hh goods'!$S$19*('Yearly LC Propylene'!M$3-'Yearly LC Propylene'!$D$3)/10)</f>
        <v>10787.181823874262</v>
      </c>
      <c r="N19" s="183">
        <f>N14*'R&amp;S - Packaging and hh goods'!$B$10*('R&amp;S - Packaging and hh goods'!$E$15*'R&amp;S - Packaging and hh goods'!$S$19*('Yearly LC Propylene'!N$3-'Yearly LC Propylene'!$D$3)/10)</f>
        <v>11902.240081729584</v>
      </c>
      <c r="O19" s="183">
        <f>O14*'R&amp;S - Packaging and hh goods'!$B$10*('R&amp;S - Packaging and hh goods'!$E$15*'R&amp;S - Packaging and hh goods'!$S$19*('Yearly LC Propylene'!O$3-'Yearly LC Propylene'!$D$3)/10)</f>
        <v>13001.23499013469</v>
      </c>
      <c r="P19" s="183">
        <f>P14*'R&amp;S - Packaging and hh goods'!$B$10*('R&amp;S - Packaging and hh goods'!$E$15*('R&amp;S - Packaging and hh goods'!$S$19+('R&amp;S - Packaging and hh goods'!$S$20-'R&amp;S - Packaging and hh goods'!$S$19)*('Yearly LC Propylene'!P$3-'Yearly LC Propylene'!$O$3)/10))</f>
        <v>12450.369153270121</v>
      </c>
      <c r="Q19" s="183">
        <f>Q14*'R&amp;S - Packaging and hh goods'!$B$10*('R&amp;S - Packaging and hh goods'!$E$15*('R&amp;S - Packaging and hh goods'!$S$19+('R&amp;S - Packaging and hh goods'!$S$20-'R&amp;S - Packaging and hh goods'!$S$19)*('Yearly LC Propylene'!Q$3-'Yearly LC Propylene'!$O$3)/10))</f>
        <v>13072.065302303512</v>
      </c>
      <c r="R19" s="183">
        <f>R14*'R&amp;S - Packaging and hh goods'!$B$10*('R&amp;S - Packaging and hh goods'!$E$15*('R&amp;S - Packaging and hh goods'!$S$19+('R&amp;S - Packaging and hh goods'!$S$20-'R&amp;S - Packaging and hh goods'!$S$19)*('Yearly LC Propylene'!R$3-'Yearly LC Propylene'!$O$3)/10))</f>
        <v>13684.492903072454</v>
      </c>
      <c r="S19" s="183">
        <f>S14*'R&amp;S - Packaging and hh goods'!$B$10*('R&amp;S - Packaging and hh goods'!$E$15*('R&amp;S - Packaging and hh goods'!$S$19+('R&amp;S - Packaging and hh goods'!$S$20-'R&amp;S - Packaging and hh goods'!$S$19)*('Yearly LC Propylene'!S$3-'Yearly LC Propylene'!$O$3)/10))</f>
        <v>14287.750937448327</v>
      </c>
      <c r="T19" s="183">
        <f>T14*'R&amp;S - Packaging and hh goods'!$B$10*('R&amp;S - Packaging and hh goods'!$E$15*('R&amp;S - Packaging and hh goods'!$S$19+('R&amp;S - Packaging and hh goods'!$S$20-'R&amp;S - Packaging and hh goods'!$S$19)*('Yearly LC Propylene'!T$3-'Yearly LC Propylene'!$O$3)/10))</f>
        <v>14881.937457902948</v>
      </c>
      <c r="U19" s="183">
        <f>U14*'R&amp;S - Packaging and hh goods'!$B$10*('R&amp;S - Packaging and hh goods'!$E$15*('R&amp;S - Packaging and hh goods'!$S$19+('R&amp;S - Packaging and hh goods'!$S$20-'R&amp;S - Packaging and hh goods'!$S$19)*('Yearly LC Propylene'!U$3-'Yearly LC Propylene'!$O$3)/10))</f>
        <v>15467.149595654837</v>
      </c>
      <c r="V19" s="183">
        <f>V14*'R&amp;S - Packaging and hh goods'!$B$10*('R&amp;S - Packaging and hh goods'!$E$15*('R&amp;S - Packaging and hh goods'!$S$19+('R&amp;S - Packaging and hh goods'!$S$20-'R&amp;S - Packaging and hh goods'!$S$19)*('Yearly LC Propylene'!V$3-'Yearly LC Propylene'!$O$3)/10))</f>
        <v>16043.483568747095</v>
      </c>
      <c r="W19" s="183">
        <f>W14*'R&amp;S - Packaging and hh goods'!$B$10*('R&amp;S - Packaging and hh goods'!$E$15*('R&amp;S - Packaging and hh goods'!$S$19+('R&amp;S - Packaging and hh goods'!$S$20-'R&amp;S - Packaging and hh goods'!$S$19)*('Yearly LC Propylene'!W$3-'Yearly LC Propylene'!$O$3)/10))</f>
        <v>16611.034690057411</v>
      </c>
      <c r="X19" s="183">
        <f>X14*'R&amp;S - Packaging and hh goods'!$B$10*('R&amp;S - Packaging and hh goods'!$E$15*('R&amp;S - Packaging and hh goods'!$S$19+('R&amp;S - Packaging and hh goods'!$S$20-'R&amp;S - Packaging and hh goods'!$S$19)*('Yearly LC Propylene'!X$3-'Yearly LC Propylene'!$O$3)/10))</f>
        <v>17169.897375240824</v>
      </c>
      <c r="Y19" s="183">
        <f>Y14*'R&amp;S - Packaging and hh goods'!$B$10*('R&amp;S - Packaging and hh goods'!$E$15*('R&amp;S - Packaging and hh goods'!$S$20+('R&amp;S - Packaging and hh goods'!$S$21-'R&amp;S - Packaging and hh goods'!$S$20)*('Yearly LC Propylene'!Y$3-'Yearly LC Propylene'!$X$3)/10))</f>
        <v>18109.144385619002</v>
      </c>
      <c r="Z19" s="183">
        <f>Z14*'R&amp;S - Packaging and hh goods'!$B$10*('R&amp;S - Packaging and hh goods'!$E$15*('R&amp;S - Packaging and hh goods'!$S$20+('R&amp;S - Packaging and hh goods'!$S$21-'R&amp;S - Packaging and hh goods'!$S$20)*('Yearly LC Propylene'!Z$3-'Yearly LC Propylene'!$X$3)/10))</f>
        <v>18369.227550823231</v>
      </c>
      <c r="AA19" s="183">
        <f>AA14*'R&amp;S - Packaging and hh goods'!$B$10*('R&amp;S - Packaging and hh goods'!$E$15*('R&amp;S - Packaging and hh goods'!$S$20+('R&amp;S - Packaging and hh goods'!$S$21-'R&amp;S - Packaging and hh goods'!$S$20)*('Yearly LC Propylene'!AA$3-'Yearly LC Propylene'!$X$3)/10))</f>
        <v>18624.806895520807</v>
      </c>
      <c r="AB19" s="183">
        <f>AB14*'R&amp;S - Packaging and hh goods'!$B$10*('R&amp;S - Packaging and hh goods'!$E$15*('R&amp;S - Packaging and hh goods'!$S$20+('R&amp;S - Packaging and hh goods'!$S$21-'R&amp;S - Packaging and hh goods'!$S$20)*('Yearly LC Propylene'!AB$3-'Yearly LC Propylene'!$X$3)/10))</f>
        <v>18875.932557463184</v>
      </c>
      <c r="AC19" s="183">
        <f>AC14*'R&amp;S - Packaging and hh goods'!$B$10*('R&amp;S - Packaging and hh goods'!$E$15*('R&amp;S - Packaging and hh goods'!$S$20+('R&amp;S - Packaging and hh goods'!$S$21-'R&amp;S - Packaging and hh goods'!$S$20)*('Yearly LC Propylene'!AC$3-'Yearly LC Propylene'!$X$3)/10))</f>
        <v>19122.654194353894</v>
      </c>
      <c r="AD19" s="183">
        <f>AD14*'R&amp;S - Packaging and hh goods'!$B$10*('R&amp;S - Packaging and hh goods'!$E$15*('R&amp;S - Packaging and hh goods'!$S$20+('R&amp;S - Packaging and hh goods'!$S$21-'R&amp;S - Packaging and hh goods'!$S$20)*('Yearly LC Propylene'!AD$3-'Yearly LC Propylene'!$X$3)/10))</f>
        <v>19365.020988104181</v>
      </c>
      <c r="AE19" s="183">
        <f>AE14*'R&amp;S - Packaging and hh goods'!$B$10*('R&amp;S - Packaging and hh goods'!$E$15*('R&amp;S - Packaging and hh goods'!$S$20+('R&amp;S - Packaging and hh goods'!$S$21-'R&amp;S - Packaging and hh goods'!$S$20)*('Yearly LC Propylene'!AE$3-'Yearly LC Propylene'!$X$3)/10))</f>
        <v>19603.081649052612</v>
      </c>
      <c r="AF19" s="183">
        <f>AF14*'R&amp;S - Packaging and hh goods'!$B$10*('R&amp;S - Packaging and hh goods'!$E$15*('R&amp;S - Packaging and hh goods'!$S$20+('R&amp;S - Packaging and hh goods'!$S$21-'R&amp;S - Packaging and hh goods'!$S$20)*('Yearly LC Propylene'!AF$3-'Yearly LC Propylene'!$X$3)/10))</f>
        <v>19836.88442014901</v>
      </c>
      <c r="AG19" s="183">
        <f>AG14*'R&amp;S - Packaging and hh goods'!$B$10*('R&amp;S - Packaging and hh goods'!$E$15*('R&amp;S - Packaging and hh goods'!$S$20+('R&amp;S - Packaging and hh goods'!$S$21-'R&amp;S - Packaging and hh goods'!$S$20)*('Yearly LC Propylene'!AG$3-'Yearly LC Propylene'!$X$3)/10))</f>
        <v>20066.477081102959</v>
      </c>
      <c r="AH19" s="183">
        <f>AH14*'R&amp;S - Packaging and hh goods'!$B$10*('R&amp;S - Packaging and hh goods'!$E$15*('R&amp;S - Packaging and hh goods'!$S$20+('R&amp;S - Packaging and hh goods'!$S$21-'R&amp;S - Packaging and hh goods'!$S$20)*('Yearly LC Propylene'!AH$3-'Yearly LC Propylene'!$X$3)/10))</f>
        <v>20291.906952497204</v>
      </c>
    </row>
    <row r="20" spans="1:34" outlineLevel="1">
      <c r="B20" s="1" t="s">
        <v>172</v>
      </c>
      <c r="C20" s="50" t="s">
        <v>1420</v>
      </c>
      <c r="D20" s="99">
        <f>SUM(D18:D19)</f>
        <v>0</v>
      </c>
      <c r="E20" s="99">
        <f t="shared" ref="E20:AH20" si="5">SUM(E18:E19)</f>
        <v>4802.2708772606957</v>
      </c>
      <c r="F20" s="99">
        <f t="shared" si="5"/>
        <v>9537.6167133732142</v>
      </c>
      <c r="G20" s="99">
        <f t="shared" si="5"/>
        <v>14206.737015078297</v>
      </c>
      <c r="H20" s="99">
        <f t="shared" si="5"/>
        <v>18810.324790175029</v>
      </c>
      <c r="I20" s="99">
        <f t="shared" si="5"/>
        <v>23349.066604127107</v>
      </c>
      <c r="J20" s="99">
        <f t="shared" si="5"/>
        <v>27823.642636195826</v>
      </c>
      <c r="K20" s="99">
        <f t="shared" si="5"/>
        <v>32234.726735103552</v>
      </c>
      <c r="L20" s="99">
        <f t="shared" si="5"/>
        <v>36582.986474231526</v>
      </c>
      <c r="M20" s="99">
        <f t="shared" si="5"/>
        <v>40869.083206355877</v>
      </c>
      <c r="N20" s="99">
        <f t="shared" si="5"/>
        <v>45093.672117925387</v>
      </c>
      <c r="O20" s="99">
        <f t="shared" si="5"/>
        <v>49257.402282885028</v>
      </c>
      <c r="P20" s="99">
        <f t="shared" si="5"/>
        <v>51726.949599815423</v>
      </c>
      <c r="Q20" s="99">
        <f t="shared" si="5"/>
        <v>55325.205673385586</v>
      </c>
      <c r="R20" s="99">
        <f t="shared" si="5"/>
        <v>58870.804460665677</v>
      </c>
      <c r="S20" s="99">
        <f t="shared" si="5"/>
        <v>62364.305090797061</v>
      </c>
      <c r="T20" s="99">
        <f t="shared" si="5"/>
        <v>65806.261457544126</v>
      </c>
      <c r="U20" s="99">
        <f t="shared" si="5"/>
        <v>69197.222265107164</v>
      </c>
      <c r="V20" s="99">
        <f t="shared" si="5"/>
        <v>72537.731073551186</v>
      </c>
      <c r="W20" s="99">
        <f t="shared" si="5"/>
        <v>75828.32634385342</v>
      </c>
      <c r="X20" s="99">
        <f t="shared" si="5"/>
        <v>79069.541482572924</v>
      </c>
      <c r="Y20" s="99">
        <f t="shared" si="5"/>
        <v>79039.620112146164</v>
      </c>
      <c r="Z20" s="99">
        <f t="shared" si="5"/>
        <v>80630.036196604167</v>
      </c>
      <c r="AA20" s="99">
        <f t="shared" si="5"/>
        <v>82194.450365002456</v>
      </c>
      <c r="AB20" s="99">
        <f t="shared" si="5"/>
        <v>83733.147762379042</v>
      </c>
      <c r="AC20" s="99">
        <f t="shared" si="5"/>
        <v>85246.410822449412</v>
      </c>
      <c r="AD20" s="99">
        <f t="shared" si="5"/>
        <v>86734.519291547083</v>
      </c>
      <c r="AE20" s="99">
        <f t="shared" si="5"/>
        <v>88197.750252361933</v>
      </c>
      <c r="AF20" s="99">
        <f t="shared" si="5"/>
        <v>89636.378147478317</v>
      </c>
      <c r="AG20" s="99">
        <f t="shared" si="5"/>
        <v>91050.674802714522</v>
      </c>
      <c r="AH20" s="99">
        <f t="shared" si="5"/>
        <v>92440.909450265055</v>
      </c>
    </row>
    <row r="21" spans="1:34" s="1" customFormat="1">
      <c r="B21" s="1" t="s">
        <v>200</v>
      </c>
      <c r="C21" s="60" t="s">
        <v>1420</v>
      </c>
      <c r="D21" s="574">
        <f>D14-D17-D20</f>
        <v>1598212.8065688689</v>
      </c>
      <c r="E21" s="574">
        <f t="shared" ref="E21:AH21" si="6">E14-E17-E20</f>
        <v>1576272.6559450598</v>
      </c>
      <c r="F21" s="574">
        <f t="shared" si="6"/>
        <v>1554560.6665323779</v>
      </c>
      <c r="G21" s="574">
        <f t="shared" si="6"/>
        <v>1533074.72392753</v>
      </c>
      <c r="H21" s="574">
        <f t="shared" si="6"/>
        <v>1511812.7321156955</v>
      </c>
      <c r="I21" s="574">
        <f t="shared" si="6"/>
        <v>1490772.6133169236</v>
      </c>
      <c r="J21" s="574">
        <f t="shared" si="6"/>
        <v>1469952.3078337824</v>
      </c>
      <c r="K21" s="574">
        <f t="shared" si="6"/>
        <v>1449349.7739002395</v>
      </c>
      <c r="L21" s="574">
        <f t="shared" si="6"/>
        <v>1428962.9875317775</v>
      </c>
      <c r="M21" s="574">
        <f t="shared" si="6"/>
        <v>1408789.9423767214</v>
      </c>
      <c r="N21" s="574">
        <f t="shared" si="6"/>
        <v>1388828.6495687787</v>
      </c>
      <c r="O21" s="574">
        <f t="shared" si="6"/>
        <v>1366131.3239882423</v>
      </c>
      <c r="P21" s="574">
        <f t="shared" si="6"/>
        <v>1345316.8452334781</v>
      </c>
      <c r="Q21" s="574">
        <f t="shared" si="6"/>
        <v>1323560.592333362</v>
      </c>
      <c r="R21" s="574">
        <f t="shared" si="6"/>
        <v>1302042.2169046632</v>
      </c>
      <c r="S21" s="574">
        <f t="shared" si="6"/>
        <v>1280759.4602081343</v>
      </c>
      <c r="T21" s="574">
        <f t="shared" si="6"/>
        <v>1259710.0834327207</v>
      </c>
      <c r="U21" s="574">
        <f t="shared" si="6"/>
        <v>1238891.8675275112</v>
      </c>
      <c r="V21" s="574">
        <f t="shared" si="6"/>
        <v>1218302.6130350602</v>
      </c>
      <c r="W21" s="574">
        <f t="shared" si="6"/>
        <v>1197940.1399260745</v>
      </c>
      <c r="X21" s="574">
        <f t="shared" si="6"/>
        <v>1177802.2874354539</v>
      </c>
      <c r="Y21" s="574">
        <f t="shared" si="6"/>
        <v>1163636.4873432172</v>
      </c>
      <c r="Z21" s="574">
        <f t="shared" si="6"/>
        <v>1147987.1571151642</v>
      </c>
      <c r="AA21" s="574">
        <f t="shared" si="6"/>
        <v>1132499.4188159571</v>
      </c>
      <c r="AB21" s="574">
        <f t="shared" si="6"/>
        <v>1117171.7803162797</v>
      </c>
      <c r="AC21" s="574">
        <f t="shared" si="6"/>
        <v>1102002.7624353992</v>
      </c>
      <c r="AD21" s="574">
        <f t="shared" si="6"/>
        <v>1086990.8988331598</v>
      </c>
      <c r="AE21" s="574">
        <f t="shared" si="6"/>
        <v>1072134.7359028568</v>
      </c>
      <c r="AF21" s="574">
        <f t="shared" si="6"/>
        <v>1057432.8326649775</v>
      </c>
      <c r="AG21" s="574">
        <f t="shared" si="6"/>
        <v>1042883.760661805</v>
      </c>
      <c r="AH21" s="574">
        <f t="shared" si="6"/>
        <v>1028486.1038528788</v>
      </c>
    </row>
    <row r="22" spans="1:34" s="61" customFormat="1">
      <c r="A22" s="54" t="s">
        <v>195</v>
      </c>
      <c r="B22" s="54" t="s">
        <v>179</v>
      </c>
      <c r="C22" s="55" t="s">
        <v>1420</v>
      </c>
      <c r="D22" s="571">
        <f>'R&amp;S - Buildings'!I4</f>
        <v>350789.70130119962</v>
      </c>
      <c r="E22" s="571">
        <f>D22*(1+'R&amp;S - Buildings'!$B$5)</f>
        <v>348345.37696028163</v>
      </c>
      <c r="F22" s="571">
        <f>E22*(1+'R&amp;S - Buildings'!$B$5)</f>
        <v>345918.08482259378</v>
      </c>
      <c r="G22" s="571">
        <f>F22*(1+'R&amp;S - Buildings'!$B$5)</f>
        <v>343507.70620669023</v>
      </c>
      <c r="H22" s="571">
        <f>G22*(1+'R&amp;S - Buildings'!$B$5)</f>
        <v>341114.12325810484</v>
      </c>
      <c r="I22" s="571">
        <f>H22*(1+'R&amp;S - Buildings'!$B$5)</f>
        <v>338737.21894358861</v>
      </c>
      <c r="J22" s="571">
        <f>I22*(1+'R&amp;S - Buildings'!$B$5)</f>
        <v>336376.87704538746</v>
      </c>
      <c r="K22" s="571">
        <f>J22*(1+'R&amp;S - Buildings'!$B$5)</f>
        <v>334032.98215555988</v>
      </c>
      <c r="L22" s="571">
        <f>K22*(1+'R&amp;S - Buildings'!$B$5)</f>
        <v>331705.41967033397</v>
      </c>
      <c r="M22" s="571">
        <f>L22*(1+'R&amp;S - Buildings'!$B$5)</f>
        <v>329394.07578450406</v>
      </c>
      <c r="N22" s="571">
        <f>M22*(1+'R&amp;S - Buildings'!$B$5)</f>
        <v>327098.83748586621</v>
      </c>
      <c r="O22" s="571">
        <f>N22*(1+'R&amp;S - Buildings'!$B$5)</f>
        <v>324819.59254969237</v>
      </c>
      <c r="P22" s="571">
        <f>O22*(1+'R&amp;S - Buildings'!$B$5)</f>
        <v>322556.22953324352</v>
      </c>
      <c r="Q22" s="571">
        <f>P22*(1+'R&amp;S - Buildings'!$B$5)</f>
        <v>320308.63777032041</v>
      </c>
      <c r="R22" s="571">
        <f>Q22*(1+'R&amp;S - Buildings'!$B$5)</f>
        <v>318076.70736585272</v>
      </c>
      <c r="S22" s="571">
        <f>R22*(1+'R&amp;S - Buildings'!$B$5)</f>
        <v>315860.32919052587</v>
      </c>
      <c r="T22" s="571">
        <f>S22*(1+'R&amp;S - Buildings'!$B$5)</f>
        <v>313659.394875445</v>
      </c>
      <c r="U22" s="571">
        <f>T22*(1+'R&amp;S - Buildings'!$B$5)</f>
        <v>311473.7968068365</v>
      </c>
      <c r="V22" s="571">
        <f>U22*(1+'R&amp;S - Buildings'!$B$5)</f>
        <v>309303.42812078609</v>
      </c>
      <c r="W22" s="571">
        <f>V22*(1+'R&amp;S - Buildings'!$B$5)</f>
        <v>307148.18269801396</v>
      </c>
      <c r="X22" s="571">
        <f>W22*(1+'R&amp;S - Buildings'!$B$5)</f>
        <v>305007.95515868592</v>
      </c>
      <c r="Y22" s="571">
        <f>X22*(1+'R&amp;S - Buildings'!$B$5)</f>
        <v>302882.64085726102</v>
      </c>
      <c r="Z22" s="571">
        <f>Y22*(1+'R&amp;S - Buildings'!$B$5)</f>
        <v>300772.13587737497</v>
      </c>
      <c r="AA22" s="571">
        <f>Z22*(1+'R&amp;S - Buildings'!$B$5)</f>
        <v>298676.33702675905</v>
      </c>
      <c r="AB22" s="571">
        <f>AA22*(1+'R&amp;S - Buildings'!$B$5)</f>
        <v>296595.14183219464</v>
      </c>
      <c r="AC22" s="571">
        <f>AB22*(1+'R&amp;S - Buildings'!$B$5)</f>
        <v>294528.44853450294</v>
      </c>
      <c r="AD22" s="571">
        <f>AC22*(1+'R&amp;S - Buildings'!$B$5)</f>
        <v>292476.15608356934</v>
      </c>
      <c r="AE22" s="571">
        <f>AD22*(1+'R&amp;S - Buildings'!$B$5)</f>
        <v>290438.16413340269</v>
      </c>
      <c r="AF22" s="571">
        <f>AE22*(1+'R&amp;S - Buildings'!$B$5)</f>
        <v>288414.37303722894</v>
      </c>
      <c r="AG22" s="571">
        <f>AF22*(1+'R&amp;S - Buildings'!$B$5)</f>
        <v>286404.68384261889</v>
      </c>
      <c r="AH22" s="571">
        <f>AG22*(1+'R&amp;S - Buildings'!$B$5)</f>
        <v>284408.99828664999</v>
      </c>
    </row>
    <row r="23" spans="1:34" outlineLevel="1">
      <c r="B23" s="1" t="s">
        <v>169</v>
      </c>
      <c r="C23" s="50" t="s">
        <v>1420</v>
      </c>
      <c r="D23" s="183">
        <v>0</v>
      </c>
      <c r="E23" s="183">
        <f>E22*'R&amp;S - Buildings'!$B$7*'R&amp;S - Buildings'!$B$12*'R&amp;S - Buildings'!$B$15*('Yearly LC Propylene'!E$3-'Yearly LC Propylene'!$D$3)/10</f>
        <v>2528.9874367316447</v>
      </c>
      <c r="F23" s="183">
        <f>F22*'R&amp;S - Buildings'!$B$7*'R&amp;S - Buildings'!$B$12*'R&amp;S - Buildings'!$B$15*('Yearly LC Propylene'!F$3-'Yearly LC Propylene'!$D$3)/10</f>
        <v>5022.7305916240621</v>
      </c>
      <c r="G23" s="183">
        <f>G22*'R&amp;S - Buildings'!$B$7*'R&amp;S - Buildings'!$B$12*'R&amp;S - Buildings'!$B$15*('Yearly LC Propylene'!G$3-'Yearly LC Propylene'!$D$3)/10</f>
        <v>7481.5978411817141</v>
      </c>
      <c r="H23" s="183">
        <f>H22*'R&amp;S - Buildings'!$B$7*'R&amp;S - Buildings'!$B$12*'R&amp;S - Buildings'!$B$15*('Yearly LC Propylene'!H$3-'Yearly LC Propylene'!$D$3)/10</f>
        <v>9905.9541394153657</v>
      </c>
      <c r="I23" s="183">
        <f>I22*'R&amp;S - Buildings'!$B$7*'R&amp;S - Buildings'!$B$12*'R&amp;S - Buildings'!$B$15*('Yearly LC Propylene'!I$3-'Yearly LC Propylene'!$D$3)/10</f>
        <v>12296.161047652266</v>
      </c>
      <c r="J23" s="183">
        <f>J22*'R&amp;S - Buildings'!$B$7*'R&amp;S - Buildings'!$B$12*'R&amp;S - Buildings'!$B$15*('Yearly LC Propylene'!J$3-'Yearly LC Propylene'!$D$3)/10</f>
        <v>14652.576764097077</v>
      </c>
      <c r="K23" s="183">
        <f>K22*'R&amp;S - Buildings'!$B$7*'R&amp;S - Buildings'!$B$12*'R&amp;S - Buildings'!$B$15*('Yearly LC Propylene'!K$3-'Yearly LC Propylene'!$D$3)/10</f>
        <v>16975.556153145553</v>
      </c>
      <c r="L23" s="183">
        <f>L22*'R&amp;S - Buildings'!$B$7*'R&amp;S - Buildings'!$B$12*'R&amp;S - Buildings'!$B$15*('Yearly LC Propylene'!L$3-'Yearly LC Propylene'!$D$3)/10</f>
        <v>19265.450774452998</v>
      </c>
      <c r="M23" s="183">
        <f>M22*'R&amp;S - Buildings'!$B$7*'R&amp;S - Buildings'!$B$12*'R&amp;S - Buildings'!$B$15*('Yearly LC Propylene'!M$3-'Yearly LC Propylene'!$D$3)/10</f>
        <v>21522.6089117595</v>
      </c>
      <c r="N23" s="183">
        <f>N22*'R&amp;S - Buildings'!$B$7*'R&amp;S - Buildings'!$B$12*'R&amp;S - Buildings'!$B$15*('Yearly LC Propylene'!N$3-'Yearly LC Propylene'!$D$3)/10</f>
        <v>23747.375601473886</v>
      </c>
      <c r="O23" s="183">
        <f>O22*'R&amp;S - Buildings'!$B$7*'R&amp;S - Buildings'!$B$12*('R&amp;S - Buildings'!$B$15+('R&amp;S - Buildings'!$B$16-'R&amp;S - Buildings'!$B$15)*('Yearly LC Propylene'!O$3-'Yearly LC Propylene'!$N$3)/10)</f>
        <v>25940.092661018429</v>
      </c>
      <c r="P23" s="183">
        <f>P22*'R&amp;S - Buildings'!$B$7*'R&amp;S - Buildings'!$B$12*('R&amp;S - Buildings'!$B$15+('R&amp;S - Buildings'!$B$16-'R&amp;S - Buildings'!$B$15)*('Yearly LC Propylene'!P$3-'Yearly LC Propylene'!$N$3)/10)</f>
        <v>28101.098716936176</v>
      </c>
      <c r="Q23" s="183">
        <f>Q22*'R&amp;S - Buildings'!$B$7*'R&amp;S - Buildings'!$B$12*('R&amp;S - Buildings'!$B$15+('R&amp;S - Buildings'!$B$16-'R&amp;S - Buildings'!$B$15)*('Yearly LC Propylene'!Q$3-'Yearly LC Propylene'!$N$3)/10)</f>
        <v>30230.729232762842</v>
      </c>
      <c r="R23" s="183">
        <f>R22*'R&amp;S - Buildings'!$B$7*'R&amp;S - Buildings'!$B$12*('R&amp;S - Buildings'!$B$15+('R&amp;S - Buildings'!$B$16-'R&amp;S - Buildings'!$B$15)*('Yearly LC Propylene'!R$3-'Yearly LC Propylene'!$N$3)/10)</f>
        <v>32329.316536665272</v>
      </c>
      <c r="S23" s="183">
        <f>S22*'R&amp;S - Buildings'!$B$7*'R&amp;S - Buildings'!$B$12*('R&amp;S - Buildings'!$B$15+('R&amp;S - Buildings'!$B$16-'R&amp;S - Buildings'!$B$15)*('Yearly LC Propylene'!S$3-'Yearly LC Propylene'!$N$3)/10)</f>
        <v>34397.189848848269</v>
      </c>
      <c r="T23" s="183">
        <f>T22*'R&amp;S - Buildings'!$B$7*'R&amp;S - Buildings'!$B$12*('R&amp;S - Buildings'!$B$15+('R&amp;S - Buildings'!$B$16-'R&amp;S - Buildings'!$B$15)*('Yearly LC Propylene'!T$3-'Yearly LC Propylene'!$N$3)/10)</f>
        <v>36434.675308731697</v>
      </c>
      <c r="U23" s="183">
        <f>U22*'R&amp;S - Buildings'!$B$7*'R&amp;S - Buildings'!$B$12*('R&amp;S - Buildings'!$B$15+('R&amp;S - Buildings'!$B$16-'R&amp;S - Buildings'!$B$15)*('Yearly LC Propylene'!U$3-'Yearly LC Propylene'!$N$3)/10)</f>
        <v>38442.096001899765</v>
      </c>
      <c r="V23" s="183">
        <f>V22*'R&amp;S - Buildings'!$B$7*'R&amp;S - Buildings'!$B$12*('R&amp;S - Buildings'!$B$15+('R&amp;S - Buildings'!$B$16-'R&amp;S - Buildings'!$B$15)*('Yearly LC Propylene'!V$3-'Yearly LC Propylene'!$N$3)/10)</f>
        <v>40419.771986824337</v>
      </c>
      <c r="W23" s="183">
        <f>W22*'R&amp;S - Buildings'!$B$7*'R&amp;S - Buildings'!$B$12*('R&amp;S - Buildings'!$B$15+('R&amp;S - Buildings'!$B$16-'R&amp;S - Buildings'!$B$15)*('Yearly LC Propylene'!W$3-'Yearly LC Propylene'!$N$3)/10)</f>
        <v>42368.020321364049</v>
      </c>
      <c r="X23" s="183">
        <f>X22*'R&amp;S - Buildings'!$B$7*'R&amp;S - Buildings'!$B$12*('R&amp;S - Buildings'!$B$15+('R&amp;S - Buildings'!$B$16-'R&amp;S - Buildings'!$B$15)*('Yearly LC Propylene'!X$3-'Yearly LC Propylene'!$N$3)/10)</f>
        <v>44287.155089041204</v>
      </c>
      <c r="Y23" s="183">
        <f>Y22*'R&amp;S - Buildings'!$B$7*'R&amp;S - Buildings'!$B$12*('R&amp;S - Buildings'!$B$16+('R&amp;S - Buildings'!$B$17-'R&amp;S - Buildings'!$B$16)*('Yearly LC Propylene'!Y$3-'Yearly LC Propylene'!$X$3)/10)</f>
        <v>46244.121606086614</v>
      </c>
      <c r="Z23" s="183">
        <f>Z22*'R&amp;S - Buildings'!$B$7*'R&amp;S - Buildings'!$B$12*('R&amp;S - Buildings'!$B$16+('R&amp;S - Buildings'!$B$17-'R&amp;S - Buildings'!$B$16)*('Yearly LC Propylene'!Z$3-'Yearly LC Propylene'!$X$3)/10)</f>
        <v>48171.665282120375</v>
      </c>
      <c r="AA23" s="183">
        <f>AA22*'R&amp;S - Buildings'!$B$7*'R&amp;S - Buildings'!$B$12*('R&amp;S - Buildings'!$B$16+('R&amp;S - Buildings'!$B$17-'R&amp;S - Buildings'!$B$16)*('Yearly LC Propylene'!AA$3-'Yearly LC Propylene'!$X$3)/10)</f>
        <v>50070.10113916589</v>
      </c>
      <c r="AB23" s="183">
        <f>AB22*'R&amp;S - Buildings'!$B$7*'R&amp;S - Buildings'!$B$12*('R&amp;S - Buildings'!$B$16+('R&amp;S - Buildings'!$B$17-'R&amp;S - Buildings'!$B$16)*('Yearly LC Propylene'!AB$3-'Yearly LC Propylene'!$X$3)/10)</f>
        <v>51939.741237653921</v>
      </c>
      <c r="AC23" s="183">
        <f>AC22*'R&amp;S - Buildings'!$B$7*'R&amp;S - Buildings'!$B$12*('R&amp;S - Buildings'!$B$16+('R&amp;S - Buildings'!$B$17-'R&amp;S - Buildings'!$B$16)*('Yearly LC Propylene'!AC$3-'Yearly LC Propylene'!$X$3)/10)</f>
        <v>53780.894702400241</v>
      </c>
      <c r="AD23" s="183">
        <f>AD22*'R&amp;S - Buildings'!$B$7*'R&amp;S - Buildings'!$B$12*('R&amp;S - Buildings'!$B$16+('R&amp;S - Buildings'!$B$17-'R&amp;S - Buildings'!$B$16)*('Yearly LC Propylene'!AD$3-'Yearly LC Propylene'!$X$3)/10)</f>
        <v>55593.867748364864</v>
      </c>
      <c r="AE23" s="183">
        <f>AE22*'R&amp;S - Buildings'!$B$7*'R&amp;S - Buildings'!$B$12*('R&amp;S - Buildings'!$B$16+('R&amp;S - Buildings'!$B$17-'R&amp;S - Buildings'!$B$16)*('Yearly LC Propylene'!AE$3-'Yearly LC Propylene'!$X$3)/10)</f>
        <v>57378.963706195027</v>
      </c>
      <c r="AF23" s="183">
        <f>AF22*'R&amp;S - Buildings'!$B$7*'R&amp;S - Buildings'!$B$12*('R&amp;S - Buildings'!$B$16+('R&amp;S - Buildings'!$B$17-'R&amp;S - Buildings'!$B$16)*('Yearly LC Propylene'!AF$3-'Yearly LC Propylene'!$X$3)/10)</f>
        <v>59136.483047553411</v>
      </c>
      <c r="AG23" s="183">
        <f>AG22*'R&amp;S - Buildings'!$B$7*'R&amp;S - Buildings'!$B$12*('R&amp;S - Buildings'!$B$16+('R&amp;S - Buildings'!$B$17-'R&amp;S - Buildings'!$B$16)*('Yearly LC Propylene'!AG$3-'Yearly LC Propylene'!$X$3)/10)</f>
        <v>60866.723410233375</v>
      </c>
      <c r="AH23" s="183">
        <f>AH22*'R&amp;S - Buildings'!$B$7*'R&amp;S - Buildings'!$B$12*('R&amp;S - Buildings'!$B$16+('R&amp;S - Buildings'!$B$17-'R&amp;S - Buildings'!$B$16)*('Yearly LC Propylene'!AH$3-'Yearly LC Propylene'!$X$3)/10)</f>
        <v>62569.979623062995</v>
      </c>
    </row>
    <row r="24" spans="1:34" outlineLevel="1">
      <c r="B24" s="1" t="s">
        <v>172</v>
      </c>
      <c r="C24" s="50" t="s">
        <v>1420</v>
      </c>
      <c r="D24" s="183">
        <v>0</v>
      </c>
      <c r="E24" s="183">
        <f>E22*'R&amp;S - Buildings'!$B$8*'R&amp;S - Buildings'!$C$12*'R&amp;S - Buildings'!$B$15*('Yearly LC Propylene'!E$3-'Yearly LC Propylene'!$D$3)/10</f>
        <v>0</v>
      </c>
      <c r="F24" s="183">
        <f>F22*'R&amp;S - Buildings'!$B$8*'R&amp;S - Buildings'!$C$12*'R&amp;S - Buildings'!$B$15*('Yearly LC Propylene'!F$3-'Yearly LC Propylene'!$D$3)/10</f>
        <v>0</v>
      </c>
      <c r="G24" s="183">
        <f>G22*'R&amp;S - Buildings'!$B$8*'R&amp;S - Buildings'!$C$12*'R&amp;S - Buildings'!$B$15*('Yearly LC Propylene'!G$3-'Yearly LC Propylene'!$D$3)/10</f>
        <v>0</v>
      </c>
      <c r="H24" s="183">
        <f>H22*'R&amp;S - Buildings'!$B$8*'R&amp;S - Buildings'!$C$12*'R&amp;S - Buildings'!$B$15*('Yearly LC Propylene'!H$3-'Yearly LC Propylene'!$D$3)/10</f>
        <v>0</v>
      </c>
      <c r="I24" s="183">
        <f>I22*'R&amp;S - Buildings'!$B$8*'R&amp;S - Buildings'!$C$12*'R&amp;S - Buildings'!$B$15*('Yearly LC Propylene'!I$3-'Yearly LC Propylene'!$D$3)/10</f>
        <v>0</v>
      </c>
      <c r="J24" s="183">
        <f>J22*'R&amp;S - Buildings'!$B$8*'R&amp;S - Buildings'!$C$12*'R&amp;S - Buildings'!$B$15*('Yearly LC Propylene'!J$3-'Yearly LC Propylene'!$D$3)/10</f>
        <v>0</v>
      </c>
      <c r="K24" s="183">
        <f>K22*'R&amp;S - Buildings'!$B$8*'R&amp;S - Buildings'!$C$12*'R&amp;S - Buildings'!$B$15*('Yearly LC Propylene'!K$3-'Yearly LC Propylene'!$D$3)/10</f>
        <v>0</v>
      </c>
      <c r="L24" s="183">
        <f>L22*'R&amp;S - Buildings'!$B$8*'R&amp;S - Buildings'!$C$12*'R&amp;S - Buildings'!$B$15*('Yearly LC Propylene'!L$3-'Yearly LC Propylene'!$D$3)/10</f>
        <v>0</v>
      </c>
      <c r="M24" s="183">
        <f>M22*'R&amp;S - Buildings'!$B$8*'R&amp;S - Buildings'!$C$12*'R&amp;S - Buildings'!$B$15*('Yearly LC Propylene'!M$3-'Yearly LC Propylene'!$D$3)/10</f>
        <v>0</v>
      </c>
      <c r="N24" s="183">
        <f>N22*'R&amp;S - Buildings'!$B$8*'R&amp;S - Buildings'!$C$12*'R&amp;S - Buildings'!$B$15*('Yearly LC Propylene'!N$3-'Yearly LC Propylene'!$D$3)/10</f>
        <v>0</v>
      </c>
      <c r="O24" s="183">
        <f>O22*'R&amp;S - Buildings'!$B$8*'R&amp;S - Buildings'!$C$12*('R&amp;S - Buildings'!$B$15+('R&amp;S - Buildings'!$B$16-'R&amp;S - Buildings'!$B$15)*('Yearly LC Propylene'!O$3-'Yearly LC Propylene'!$N$3)/10)</f>
        <v>0</v>
      </c>
      <c r="P24" s="183">
        <f>P22*'R&amp;S - Buildings'!$B$8*'R&amp;S - Buildings'!$C$12*('R&amp;S - Buildings'!$B$15+('R&amp;S - Buildings'!$B$16-'R&amp;S - Buildings'!$B$15)*('Yearly LC Propylene'!P$3-'Yearly LC Propylene'!$N$3)/10)</f>
        <v>0</v>
      </c>
      <c r="Q24" s="183">
        <f>Q22*'R&amp;S - Buildings'!$B$8*'R&amp;S - Buildings'!$C$12*('R&amp;S - Buildings'!$B$15+('R&amp;S - Buildings'!$B$16-'R&amp;S - Buildings'!$B$15)*('Yearly LC Propylene'!Q$3-'Yearly LC Propylene'!$N$3)/10)</f>
        <v>0</v>
      </c>
      <c r="R24" s="183">
        <f>R22*'R&amp;S - Buildings'!$B$8*'R&amp;S - Buildings'!$C$12*('R&amp;S - Buildings'!$B$15+('R&amp;S - Buildings'!$B$16-'R&amp;S - Buildings'!$B$15)*('Yearly LC Propylene'!R$3-'Yearly LC Propylene'!$N$3)/10)</f>
        <v>0</v>
      </c>
      <c r="S24" s="183">
        <f>S22*'R&amp;S - Buildings'!$B$8*'R&amp;S - Buildings'!$C$12*('R&amp;S - Buildings'!$B$15+('R&amp;S - Buildings'!$B$16-'R&amp;S - Buildings'!$B$15)*('Yearly LC Propylene'!S$3-'Yearly LC Propylene'!$N$3)/10)</f>
        <v>0</v>
      </c>
      <c r="T24" s="183">
        <f>T22*'R&amp;S - Buildings'!$B$8*'R&amp;S - Buildings'!$C$12*('R&amp;S - Buildings'!$B$15+('R&amp;S - Buildings'!$B$16-'R&amp;S - Buildings'!$B$15)*('Yearly LC Propylene'!T$3-'Yearly LC Propylene'!$N$3)/10)</f>
        <v>0</v>
      </c>
      <c r="U24" s="183">
        <f>U22*'R&amp;S - Buildings'!$B$8*'R&amp;S - Buildings'!$C$12*('R&amp;S - Buildings'!$B$15+('R&amp;S - Buildings'!$B$16-'R&amp;S - Buildings'!$B$15)*('Yearly LC Propylene'!U$3-'Yearly LC Propylene'!$N$3)/10)</f>
        <v>0</v>
      </c>
      <c r="V24" s="183">
        <f>V22*'R&amp;S - Buildings'!$B$8*'R&amp;S - Buildings'!$C$12*('R&amp;S - Buildings'!$B$15+('R&amp;S - Buildings'!$B$16-'R&amp;S - Buildings'!$B$15)*('Yearly LC Propylene'!V$3-'Yearly LC Propylene'!$N$3)/10)</f>
        <v>0</v>
      </c>
      <c r="W24" s="183">
        <f>W22*'R&amp;S - Buildings'!$B$8*'R&amp;S - Buildings'!$C$12*('R&amp;S - Buildings'!$B$15+('R&amp;S - Buildings'!$B$16-'R&amp;S - Buildings'!$B$15)*('Yearly LC Propylene'!W$3-'Yearly LC Propylene'!$N$3)/10)</f>
        <v>0</v>
      </c>
      <c r="X24" s="183">
        <f>X22*'R&amp;S - Buildings'!$B$8*'R&amp;S - Buildings'!$C$12*('R&amp;S - Buildings'!$B$15+('R&amp;S - Buildings'!$B$16-'R&amp;S - Buildings'!$B$15)*('Yearly LC Propylene'!X$3-'Yearly LC Propylene'!$N$3)/10)</f>
        <v>0</v>
      </c>
      <c r="Y24" s="183">
        <f>Y22*'R&amp;S - Buildings'!$B$8*'R&amp;S - Buildings'!$C$12*('R&amp;S - Buildings'!$B$16+('R&amp;S - Buildings'!$B$17-'R&amp;S - Buildings'!$B$16)*('Yearly LC Propylene'!Y$3-'Yearly LC Propylene'!$X$3)/10)</f>
        <v>0</v>
      </c>
      <c r="Z24" s="183">
        <f>Z22*'R&amp;S - Buildings'!$B$8*'R&amp;S - Buildings'!$C$12*('R&amp;S - Buildings'!$B$16+('R&amp;S - Buildings'!$B$17-'R&amp;S - Buildings'!$B$16)*('Yearly LC Propylene'!Z$3-'Yearly LC Propylene'!$X$3)/10)</f>
        <v>0</v>
      </c>
      <c r="AA24" s="183">
        <f>AA22*'R&amp;S - Buildings'!$B$8*'R&amp;S - Buildings'!$C$12*('R&amp;S - Buildings'!$B$16+('R&amp;S - Buildings'!$B$17-'R&amp;S - Buildings'!$B$16)*('Yearly LC Propylene'!AA$3-'Yearly LC Propylene'!$X$3)/10)</f>
        <v>0</v>
      </c>
      <c r="AB24" s="183">
        <f>AB22*'R&amp;S - Buildings'!$B$8*'R&amp;S - Buildings'!$C$12*('R&amp;S - Buildings'!$B$16+('R&amp;S - Buildings'!$B$17-'R&amp;S - Buildings'!$B$16)*('Yearly LC Propylene'!AB$3-'Yearly LC Propylene'!$X$3)/10)</f>
        <v>0</v>
      </c>
      <c r="AC24" s="183">
        <f>AC22*'R&amp;S - Buildings'!$B$8*'R&amp;S - Buildings'!$C$12*('R&amp;S - Buildings'!$B$16+('R&amp;S - Buildings'!$B$17-'R&amp;S - Buildings'!$B$16)*('Yearly LC Propylene'!AC$3-'Yearly LC Propylene'!$X$3)/10)</f>
        <v>0</v>
      </c>
      <c r="AD24" s="183">
        <f>AD22*'R&amp;S - Buildings'!$B$8*'R&amp;S - Buildings'!$C$12*('R&amp;S - Buildings'!$B$16+('R&amp;S - Buildings'!$B$17-'R&amp;S - Buildings'!$B$16)*('Yearly LC Propylene'!AD$3-'Yearly LC Propylene'!$X$3)/10)</f>
        <v>0</v>
      </c>
      <c r="AE24" s="183">
        <f>AE22*'R&amp;S - Buildings'!$B$8*'R&amp;S - Buildings'!$C$12*('R&amp;S - Buildings'!$B$16+('R&amp;S - Buildings'!$B$17-'R&amp;S - Buildings'!$B$16)*('Yearly LC Propylene'!AE$3-'Yearly LC Propylene'!$X$3)/10)</f>
        <v>0</v>
      </c>
      <c r="AF24" s="183">
        <f>AF22*'R&amp;S - Buildings'!$B$8*'R&amp;S - Buildings'!$C$12*('R&amp;S - Buildings'!$B$16+('R&amp;S - Buildings'!$B$17-'R&amp;S - Buildings'!$B$16)*('Yearly LC Propylene'!AF$3-'Yearly LC Propylene'!$X$3)/10)</f>
        <v>0</v>
      </c>
      <c r="AG24" s="183">
        <f>AG22*'R&amp;S - Buildings'!$B$8*'R&amp;S - Buildings'!$C$12*('R&amp;S - Buildings'!$B$16+('R&amp;S - Buildings'!$B$17-'R&amp;S - Buildings'!$B$16)*('Yearly LC Propylene'!AG$3-'Yearly LC Propylene'!$X$3)/10)</f>
        <v>0</v>
      </c>
      <c r="AH24" s="183">
        <f>AH22*'R&amp;S - Buildings'!$B$8*'R&amp;S - Buildings'!$C$12*('R&amp;S - Buildings'!$B$16+('R&amp;S - Buildings'!$B$17-'R&amp;S - Buildings'!$B$16)*('Yearly LC Propylene'!AH$3-'Yearly LC Propylene'!$X$3)/10)</f>
        <v>0</v>
      </c>
    </row>
    <row r="25" spans="1:34" s="62" customFormat="1">
      <c r="A25" s="58"/>
      <c r="B25" s="58" t="s">
        <v>200</v>
      </c>
      <c r="C25" s="59" t="s">
        <v>1420</v>
      </c>
      <c r="D25" s="577">
        <f>D22-D23-D24</f>
        <v>350789.70130119962</v>
      </c>
      <c r="E25" s="577">
        <f t="shared" ref="E25:AH25" si="7">E22-E23-E24</f>
        <v>345816.38952354999</v>
      </c>
      <c r="F25" s="577">
        <f t="shared" si="7"/>
        <v>340895.35423096974</v>
      </c>
      <c r="G25" s="577">
        <f t="shared" si="7"/>
        <v>336026.10836550849</v>
      </c>
      <c r="H25" s="577">
        <f t="shared" si="7"/>
        <v>331208.16911868949</v>
      </c>
      <c r="I25" s="577">
        <f t="shared" si="7"/>
        <v>326441.05789593636</v>
      </c>
      <c r="J25" s="577">
        <f t="shared" si="7"/>
        <v>321724.30028129037</v>
      </c>
      <c r="K25" s="577">
        <f t="shared" si="7"/>
        <v>317057.42600241432</v>
      </c>
      <c r="L25" s="577">
        <f t="shared" si="7"/>
        <v>312439.96889588097</v>
      </c>
      <c r="M25" s="577">
        <f t="shared" si="7"/>
        <v>307871.46687274455</v>
      </c>
      <c r="N25" s="577">
        <f t="shared" si="7"/>
        <v>303351.46188439231</v>
      </c>
      <c r="O25" s="577">
        <f t="shared" si="7"/>
        <v>298879.49988867395</v>
      </c>
      <c r="P25" s="577">
        <f t="shared" si="7"/>
        <v>294455.13081630733</v>
      </c>
      <c r="Q25" s="577">
        <f t="shared" si="7"/>
        <v>290077.90853755758</v>
      </c>
      <c r="R25" s="577">
        <f t="shared" si="7"/>
        <v>285747.39082918747</v>
      </c>
      <c r="S25" s="577">
        <f t="shared" si="7"/>
        <v>281463.1393416776</v>
      </c>
      <c r="T25" s="577">
        <f t="shared" si="7"/>
        <v>277224.71956671332</v>
      </c>
      <c r="U25" s="577">
        <f t="shared" si="7"/>
        <v>273031.70080493676</v>
      </c>
      <c r="V25" s="577">
        <f t="shared" si="7"/>
        <v>268883.65613396175</v>
      </c>
      <c r="W25" s="577">
        <f t="shared" si="7"/>
        <v>264780.16237664991</v>
      </c>
      <c r="X25" s="577">
        <f t="shared" si="7"/>
        <v>260720.8000696447</v>
      </c>
      <c r="Y25" s="577">
        <f t="shared" si="7"/>
        <v>256638.51925117441</v>
      </c>
      <c r="Z25" s="577">
        <f t="shared" si="7"/>
        <v>252600.47059525459</v>
      </c>
      <c r="AA25" s="577">
        <f t="shared" si="7"/>
        <v>248606.23588759315</v>
      </c>
      <c r="AB25" s="577">
        <f t="shared" si="7"/>
        <v>244655.40059454073</v>
      </c>
      <c r="AC25" s="577">
        <f t="shared" si="7"/>
        <v>240747.55383210268</v>
      </c>
      <c r="AD25" s="577">
        <f t="shared" si="7"/>
        <v>236882.28833520447</v>
      </c>
      <c r="AE25" s="577">
        <f t="shared" si="7"/>
        <v>233059.20042720766</v>
      </c>
      <c r="AF25" s="577">
        <f t="shared" si="7"/>
        <v>229277.88998967555</v>
      </c>
      <c r="AG25" s="577">
        <f t="shared" si="7"/>
        <v>225537.9604323855</v>
      </c>
      <c r="AH25" s="577">
        <f t="shared" si="7"/>
        <v>221839.01866358699</v>
      </c>
    </row>
    <row r="26" spans="1:34">
      <c r="A26" s="1" t="s">
        <v>196</v>
      </c>
      <c r="B26" s="54" t="s">
        <v>179</v>
      </c>
      <c r="C26" s="55" t="s">
        <v>1420</v>
      </c>
      <c r="D26" s="571">
        <v>0</v>
      </c>
      <c r="E26" s="571">
        <v>0</v>
      </c>
      <c r="F26" s="571">
        <v>0</v>
      </c>
      <c r="G26" s="571">
        <v>0</v>
      </c>
      <c r="H26" s="571">
        <v>0</v>
      </c>
      <c r="I26" s="571">
        <v>0</v>
      </c>
      <c r="J26" s="571">
        <v>0</v>
      </c>
      <c r="K26" s="571">
        <v>0</v>
      </c>
      <c r="L26" s="571">
        <v>0</v>
      </c>
      <c r="M26" s="571">
        <v>0</v>
      </c>
      <c r="N26" s="571">
        <v>0</v>
      </c>
      <c r="O26" s="571">
        <v>0</v>
      </c>
      <c r="P26" s="571">
        <v>0</v>
      </c>
      <c r="Q26" s="571">
        <v>0</v>
      </c>
      <c r="R26" s="571">
        <v>0</v>
      </c>
      <c r="S26" s="571">
        <v>0</v>
      </c>
      <c r="T26" s="571">
        <v>0</v>
      </c>
      <c r="U26" s="571">
        <v>0</v>
      </c>
      <c r="V26" s="571">
        <v>0</v>
      </c>
      <c r="W26" s="571">
        <v>0</v>
      </c>
      <c r="X26" s="571">
        <v>0</v>
      </c>
      <c r="Y26" s="571">
        <v>0</v>
      </c>
      <c r="Z26" s="571">
        <v>0</v>
      </c>
      <c r="AA26" s="571">
        <v>0</v>
      </c>
      <c r="AB26" s="571">
        <v>0</v>
      </c>
      <c r="AC26" s="571">
        <v>0</v>
      </c>
      <c r="AD26" s="571">
        <v>0</v>
      </c>
      <c r="AE26" s="571">
        <v>0</v>
      </c>
      <c r="AF26" s="571">
        <v>0</v>
      </c>
      <c r="AG26" s="571">
        <v>0</v>
      </c>
      <c r="AH26" s="571">
        <v>0</v>
      </c>
    </row>
    <row r="27" spans="1:34" outlineLevel="1">
      <c r="B27" s="57" t="s">
        <v>201</v>
      </c>
      <c r="C27" s="50" t="s">
        <v>1420</v>
      </c>
      <c r="D27" s="183">
        <v>0</v>
      </c>
      <c r="E27" s="183">
        <v>0</v>
      </c>
      <c r="F27" s="183">
        <v>0</v>
      </c>
      <c r="G27" s="183">
        <v>0</v>
      </c>
      <c r="H27" s="183">
        <v>0</v>
      </c>
      <c r="I27" s="183">
        <v>0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83">
        <v>0</v>
      </c>
      <c r="AE27" s="183">
        <v>0</v>
      </c>
      <c r="AF27" s="183">
        <v>0</v>
      </c>
      <c r="AG27" s="183">
        <v>0</v>
      </c>
      <c r="AH27" s="183">
        <v>0</v>
      </c>
    </row>
    <row r="28" spans="1:34" outlineLevel="1">
      <c r="B28" s="57" t="s">
        <v>205</v>
      </c>
      <c r="C28" s="50" t="s">
        <v>1420</v>
      </c>
      <c r="D28" s="183">
        <v>0</v>
      </c>
      <c r="E28" s="183">
        <v>0</v>
      </c>
      <c r="F28" s="183">
        <v>0</v>
      </c>
      <c r="G28" s="183">
        <v>0</v>
      </c>
      <c r="H28" s="183">
        <v>0</v>
      </c>
      <c r="I28" s="183">
        <v>0</v>
      </c>
      <c r="J28" s="183">
        <v>0</v>
      </c>
      <c r="K28" s="183">
        <v>0</v>
      </c>
      <c r="L28" s="183">
        <v>0</v>
      </c>
      <c r="M28" s="183">
        <v>0</v>
      </c>
      <c r="N28" s="183">
        <v>0</v>
      </c>
      <c r="O28" s="183">
        <v>0</v>
      </c>
      <c r="P28" s="183">
        <v>0</v>
      </c>
      <c r="Q28" s="183">
        <v>0</v>
      </c>
      <c r="R28" s="183">
        <v>0</v>
      </c>
      <c r="S28" s="183">
        <v>0</v>
      </c>
      <c r="T28" s="183">
        <v>0</v>
      </c>
      <c r="U28" s="183">
        <v>0</v>
      </c>
      <c r="V28" s="183">
        <v>0</v>
      </c>
      <c r="W28" s="183">
        <v>0</v>
      </c>
      <c r="X28" s="183">
        <v>0</v>
      </c>
      <c r="Y28" s="183">
        <v>0</v>
      </c>
      <c r="Z28" s="183">
        <v>0</v>
      </c>
      <c r="AA28" s="183">
        <v>0</v>
      </c>
      <c r="AB28" s="183">
        <v>0</v>
      </c>
      <c r="AC28" s="183">
        <v>0</v>
      </c>
      <c r="AD28" s="183">
        <v>0</v>
      </c>
      <c r="AE28" s="183">
        <v>0</v>
      </c>
      <c r="AF28" s="183">
        <v>0</v>
      </c>
      <c r="AG28" s="183">
        <v>0</v>
      </c>
      <c r="AH28" s="183">
        <v>0</v>
      </c>
    </row>
    <row r="29" spans="1:34" outlineLevel="1">
      <c r="B29" s="1" t="s">
        <v>169</v>
      </c>
      <c r="C29" s="50" t="s">
        <v>1420</v>
      </c>
      <c r="D29" s="183">
        <v>0</v>
      </c>
      <c r="E29" s="183">
        <v>0</v>
      </c>
      <c r="F29" s="183">
        <v>0</v>
      </c>
      <c r="G29" s="183">
        <v>0</v>
      </c>
      <c r="H29" s="183">
        <v>0</v>
      </c>
      <c r="I29" s="183">
        <v>0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3">
        <v>0</v>
      </c>
      <c r="AC29" s="183">
        <v>0</v>
      </c>
      <c r="AD29" s="183">
        <v>0</v>
      </c>
      <c r="AE29" s="183">
        <v>0</v>
      </c>
      <c r="AF29" s="183">
        <v>0</v>
      </c>
      <c r="AG29" s="183">
        <v>0</v>
      </c>
      <c r="AH29" s="183">
        <v>0</v>
      </c>
    </row>
    <row r="30" spans="1:34" outlineLevel="1">
      <c r="B30" s="1" t="s">
        <v>172</v>
      </c>
      <c r="C30" s="50" t="s">
        <v>1420</v>
      </c>
      <c r="D30" s="183">
        <v>0</v>
      </c>
      <c r="E30" s="183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3">
        <v>0</v>
      </c>
      <c r="AG30" s="183">
        <v>0</v>
      </c>
      <c r="AH30" s="183">
        <v>0</v>
      </c>
    </row>
    <row r="31" spans="1:34">
      <c r="B31" s="1" t="s">
        <v>200</v>
      </c>
      <c r="C31" s="60" t="s">
        <v>1420</v>
      </c>
      <c r="D31" s="574">
        <f>D26-D29-D30</f>
        <v>0</v>
      </c>
      <c r="E31" s="574">
        <f t="shared" ref="E31:AH31" si="8">E26-E29-E30</f>
        <v>0</v>
      </c>
      <c r="F31" s="574">
        <f t="shared" si="8"/>
        <v>0</v>
      </c>
      <c r="G31" s="574">
        <f t="shared" si="8"/>
        <v>0</v>
      </c>
      <c r="H31" s="574">
        <f t="shared" si="8"/>
        <v>0</v>
      </c>
      <c r="I31" s="574">
        <f t="shared" si="8"/>
        <v>0</v>
      </c>
      <c r="J31" s="574">
        <f t="shared" si="8"/>
        <v>0</v>
      </c>
      <c r="K31" s="574">
        <f t="shared" si="8"/>
        <v>0</v>
      </c>
      <c r="L31" s="574">
        <f t="shared" si="8"/>
        <v>0</v>
      </c>
      <c r="M31" s="574">
        <f t="shared" si="8"/>
        <v>0</v>
      </c>
      <c r="N31" s="574">
        <f t="shared" si="8"/>
        <v>0</v>
      </c>
      <c r="O31" s="574">
        <f t="shared" si="8"/>
        <v>0</v>
      </c>
      <c r="P31" s="574">
        <f t="shared" si="8"/>
        <v>0</v>
      </c>
      <c r="Q31" s="574">
        <f t="shared" si="8"/>
        <v>0</v>
      </c>
      <c r="R31" s="574">
        <f t="shared" si="8"/>
        <v>0</v>
      </c>
      <c r="S31" s="574">
        <f t="shared" si="8"/>
        <v>0</v>
      </c>
      <c r="T31" s="574">
        <f t="shared" si="8"/>
        <v>0</v>
      </c>
      <c r="U31" s="574">
        <f t="shared" si="8"/>
        <v>0</v>
      </c>
      <c r="V31" s="574">
        <f t="shared" si="8"/>
        <v>0</v>
      </c>
      <c r="W31" s="574">
        <f t="shared" si="8"/>
        <v>0</v>
      </c>
      <c r="X31" s="574">
        <f t="shared" si="8"/>
        <v>0</v>
      </c>
      <c r="Y31" s="574">
        <f t="shared" si="8"/>
        <v>0</v>
      </c>
      <c r="Z31" s="574">
        <f t="shared" si="8"/>
        <v>0</v>
      </c>
      <c r="AA31" s="574">
        <f t="shared" si="8"/>
        <v>0</v>
      </c>
      <c r="AB31" s="574">
        <f t="shared" si="8"/>
        <v>0</v>
      </c>
      <c r="AC31" s="574">
        <f t="shared" si="8"/>
        <v>0</v>
      </c>
      <c r="AD31" s="574">
        <f t="shared" si="8"/>
        <v>0</v>
      </c>
      <c r="AE31" s="574">
        <f t="shared" si="8"/>
        <v>0</v>
      </c>
      <c r="AF31" s="574">
        <f t="shared" si="8"/>
        <v>0</v>
      </c>
      <c r="AG31" s="574">
        <f t="shared" si="8"/>
        <v>0</v>
      </c>
      <c r="AH31" s="574">
        <f t="shared" si="8"/>
        <v>0</v>
      </c>
    </row>
    <row r="32" spans="1:34" s="61" customFormat="1">
      <c r="A32" s="54" t="s">
        <v>307</v>
      </c>
      <c r="B32" s="54" t="s">
        <v>179</v>
      </c>
      <c r="C32" s="55" t="s">
        <v>1420</v>
      </c>
      <c r="D32" s="571">
        <f>D4-D6-D14-D22-D26</f>
        <v>1577666.5665936389</v>
      </c>
      <c r="E32" s="571">
        <f t="shared" ref="E32:AH32" si="9">E4-E6-E14-E22-E26</f>
        <v>1555252.6334020277</v>
      </c>
      <c r="F32" s="571">
        <f t="shared" si="9"/>
        <v>1532620.711095769</v>
      </c>
      <c r="G32" s="571">
        <f t="shared" si="9"/>
        <v>1509766.8743648059</v>
      </c>
      <c r="H32" s="571">
        <f t="shared" si="9"/>
        <v>1486687.128030923</v>
      </c>
      <c r="I32" s="571">
        <f t="shared" si="9"/>
        <v>1463377.4059056176</v>
      </c>
      <c r="J32" s="571">
        <f t="shared" si="9"/>
        <v>1437561.3789493258</v>
      </c>
      <c r="K32" s="571">
        <f t="shared" si="9"/>
        <v>1411531.3848667105</v>
      </c>
      <c r="L32" s="571">
        <f t="shared" si="9"/>
        <v>1385282.9413706195</v>
      </c>
      <c r="M32" s="571">
        <f t="shared" si="9"/>
        <v>1358811.4917964209</v>
      </c>
      <c r="N32" s="571">
        <f>N4-N6-N14-N22-N26</f>
        <v>1332112.4038477791</v>
      </c>
      <c r="O32" s="571">
        <f t="shared" si="9"/>
        <v>1300967.7952976746</v>
      </c>
      <c r="P32" s="571">
        <f t="shared" si="9"/>
        <v>1269637.7925097346</v>
      </c>
      <c r="Q32" s="571">
        <f t="shared" si="9"/>
        <v>1238117.0508866413</v>
      </c>
      <c r="R32" s="571">
        <f t="shared" si="9"/>
        <v>1206400.1488923521</v>
      </c>
      <c r="S32" s="571">
        <f t="shared" si="9"/>
        <v>1174481.5866562016</v>
      </c>
      <c r="T32" s="571">
        <f t="shared" si="9"/>
        <v>1138670.3989468042</v>
      </c>
      <c r="U32" s="571">
        <f t="shared" si="9"/>
        <v>1102698.7541022208</v>
      </c>
      <c r="V32" s="571">
        <f t="shared" si="9"/>
        <v>1066560.3481397876</v>
      </c>
      <c r="W32" s="571">
        <f t="shared" si="9"/>
        <v>1030248.7982551481</v>
      </c>
      <c r="X32" s="571">
        <f t="shared" si="9"/>
        <v>993757.6412587947</v>
      </c>
      <c r="Y32" s="571">
        <f t="shared" si="9"/>
        <v>954509.05445038958</v>
      </c>
      <c r="Z32" s="571">
        <f t="shared" si="9"/>
        <v>915108.38195366878</v>
      </c>
      <c r="AA32" s="571">
        <f t="shared" si="9"/>
        <v>875548.42644256703</v>
      </c>
      <c r="AB32" s="571">
        <f t="shared" si="9"/>
        <v>835821.90880547452</v>
      </c>
      <c r="AC32" s="571">
        <f t="shared" si="9"/>
        <v>795921.46640263055</v>
      </c>
      <c r="AD32" s="571">
        <f t="shared" si="9"/>
        <v>754534.72281695297</v>
      </c>
      <c r="AE32" s="571">
        <f t="shared" si="9"/>
        <v>712981.06315512001</v>
      </c>
      <c r="AF32" s="571">
        <f t="shared" si="9"/>
        <v>671252.58546259941</v>
      </c>
      <c r="AG32" s="571">
        <f t="shared" si="9"/>
        <v>629341.30013987911</v>
      </c>
      <c r="AH32" s="571">
        <f t="shared" si="9"/>
        <v>587239.12802909594</v>
      </c>
    </row>
    <row r="33" spans="1:34" outlineLevel="1">
      <c r="B33" s="1" t="s">
        <v>169</v>
      </c>
      <c r="C33" s="50" t="s">
        <v>1420</v>
      </c>
      <c r="D33" s="183">
        <v>0</v>
      </c>
      <c r="E33" s="183">
        <f>E32*'R&amp;S - Others'!$B$7*'R&amp;S - Others'!$B$12*'R&amp;S - Others'!$B$15*('Yearly HC Propylene'!E$3-'Yearly HC Propylene'!$D$3)/10</f>
        <v>3849.2502676700183</v>
      </c>
      <c r="F33" s="183">
        <f>F32*'R&amp;S - Others'!$B$7*'R&amp;S - Others'!$B$12*'R&amp;S - Others'!$B$15*('Yearly HC Propylene'!F$3-'Yearly HC Propylene'!$D$3)/10</f>
        <v>7586.4725199240565</v>
      </c>
      <c r="G33" s="183">
        <f>G32*'R&amp;S - Others'!$B$7*'R&amp;S - Others'!$B$12*'R&amp;S - Others'!$B$15*('Yearly HC Propylene'!G$3-'Yearly HC Propylene'!$D$3)/10</f>
        <v>11210.019042158685</v>
      </c>
      <c r="H33" s="183">
        <f>H32*'R&amp;S - Others'!$B$7*'R&amp;S - Others'!$B$12*'R&amp;S - Others'!$B$15*('Yearly HC Propylene'!H$3-'Yearly HC Propylene'!$D$3)/10</f>
        <v>14718.20256750614</v>
      </c>
      <c r="I33" s="183">
        <f>I32*'R&amp;S - Others'!$B$7*'R&amp;S - Others'!$B$12*'R&amp;S - Others'!$B$15*('Yearly HC Propylene'!I$3-'Yearly HC Propylene'!$D$3)/10</f>
        <v>18109.29539808202</v>
      </c>
      <c r="J33" s="183">
        <f>J32*'R&amp;S - Others'!$B$7*'R&amp;S - Others'!$B$12*'R&amp;S - Others'!$B$15*('Yearly HC Propylene'!J$3-'Yearly HC Propylene'!$D$3)/10</f>
        <v>21347.786477397487</v>
      </c>
      <c r="K33" s="183">
        <f>K32*'R&amp;S - Others'!$B$7*'R&amp;S - Others'!$B$12*'R&amp;S - Others'!$B$15*('Yearly HC Propylene'!K$3-'Yearly HC Propylene'!$D$3)/10</f>
        <v>24454.781242815759</v>
      </c>
      <c r="L33" s="183">
        <f>L32*'R&amp;S - Others'!$B$7*'R&amp;S - Others'!$B$12*'R&amp;S - Others'!$B$15*('Yearly HC Propylene'!L$3-'Yearly HC Propylene'!$D$3)/10</f>
        <v>27428.602239138265</v>
      </c>
      <c r="M33" s="183">
        <f>M32*'R&amp;S - Others'!$B$7*'R&amp;S - Others'!$B$12*'R&amp;S - Others'!$B$15*('Yearly HC Propylene'!M$3-'Yearly HC Propylene'!$D$3)/10</f>
        <v>30267.525979765272</v>
      </c>
      <c r="N33" s="183">
        <f>N32*'R&amp;S - Others'!$B$7*'R&amp;S - Others'!$B$12*'R&amp;S - Others'!$B$15*('Yearly HC Propylene'!N$3-'Yearly HC Propylene'!$D$3)/10</f>
        <v>32969.781995232537</v>
      </c>
      <c r="O33" s="183">
        <f>O32*'R&amp;S - Others'!$B$7*'R&amp;S - Others'!$B$12*('R&amp;S - Others'!$B$15+('R&amp;S - Others'!$B$16-'R&amp;S - Others'!$B$15)*('Yearly HC Propylene'!O$3-'Yearly HC Propylene'!$N$3)/10)</f>
        <v>35418.848226979193</v>
      </c>
      <c r="P33" s="183">
        <f>P32*'R&amp;S - Others'!$B$7*'R&amp;S - Others'!$B$12*('R&amp;S - Others'!$B$15+('R&amp;S - Others'!$B$16-'R&amp;S - Others'!$B$15)*('Yearly HC Propylene'!P$3-'Yearly HC Propylene'!$N$3)/10)</f>
        <v>37708.24243753912</v>
      </c>
      <c r="Q33" s="183">
        <f>Q32*'R&amp;S - Others'!$B$7*'R&amp;S - Others'!$B$12*('R&amp;S - Others'!$B$15+('R&amp;S - Others'!$B$16-'R&amp;S - Others'!$B$15)*('Yearly HC Propylene'!Q$3-'Yearly HC Propylene'!$N$3)/10)</f>
        <v>39836.416112277686</v>
      </c>
      <c r="R33" s="183">
        <f>R32*'R&amp;S - Others'!$B$7*'R&amp;S - Others'!$B$12*('R&amp;S - Others'!$B$15+('R&amp;S - Others'!$B$16-'R&amp;S - Others'!$B$15)*('Yearly HC Propylene'!R$3-'Yearly HC Propylene'!$N$3)/10)</f>
        <v>41801.765159119997</v>
      </c>
      <c r="S33" s="183">
        <f>S32*'R&amp;S - Others'!$B$7*'R&amp;S - Others'!$B$12*('R&amp;S - Others'!$B$15+('R&amp;S - Others'!$B$16-'R&amp;S - Others'!$B$15)*('Yearly HC Propylene'!S$3-'Yearly HC Propylene'!$N$3)/10)</f>
        <v>43602.628904611483</v>
      </c>
      <c r="T33" s="183">
        <f>T32*'R&amp;S - Others'!$B$7*'R&amp;S - Others'!$B$12*('R&amp;S - Others'!$B$15+('R&amp;S - Others'!$B$16-'R&amp;S - Others'!$B$15)*('Yearly HC Propylene'!T$3-'Yearly HC Propylene'!$N$3)/10)</f>
        <v>45091.347798293449</v>
      </c>
      <c r="U33" s="183">
        <f>U32*'R&amp;S - Others'!$B$7*'R&amp;S - Others'!$B$12*('R&amp;S - Others'!$B$15+('R&amp;S - Others'!$B$16-'R&amp;S - Others'!$B$15)*('Yearly HC Propylene'!U$3-'Yearly HC Propylene'!$N$3)/10)</f>
        <v>46396.050078850945</v>
      </c>
      <c r="V33" s="183">
        <f>V32*'R&amp;S - Others'!$B$7*'R&amp;S - Others'!$B$12*('R&amp;S - Others'!$B$15+('R&amp;S - Others'!$B$16-'R&amp;S - Others'!$B$15)*('Yearly HC Propylene'!V$3-'Yearly HC Propylene'!$N$3)/10)</f>
        <v>47515.263509627541</v>
      </c>
      <c r="W33" s="183">
        <f>W32*'R&amp;S - Others'!$B$7*'R&amp;S - Others'!$B$12*('R&amp;S - Others'!$B$15+('R&amp;S - Others'!$B$16-'R&amp;S - Others'!$B$15)*('Yearly HC Propylene'!W$3-'Yearly HC Propylene'!$N$3)/10)</f>
        <v>48447.449737948336</v>
      </c>
      <c r="X33" s="183">
        <f>X32*'R&amp;S - Others'!$B$7*'R&amp;S - Others'!$B$12*('R&amp;S - Others'!$B$15+('R&amp;S - Others'!$B$16-'R&amp;S - Others'!$B$15)*('Yearly HC Propylene'!X$3-'Yearly HC Propylene'!$N$3)/10)</f>
        <v>49191.00324231034</v>
      </c>
      <c r="Y33" s="183">
        <f>Y32*'R&amp;S - Others'!$B$7*'R&amp;S - Others'!$B$12*('R&amp;S - Others'!$B$16+('R&amp;S - Others'!$B$17-'R&amp;S - Others'!$B$16)*('Yearly HC Propylene'!Y$3-'Yearly HC Propylene'!$X$3)/10)</f>
        <v>49682.196284142781</v>
      </c>
      <c r="Z33" s="183">
        <f>Z32*'R&amp;S - Others'!$B$7*'R&amp;S - Others'!$B$12*('R&amp;S - Others'!$B$16+('R&amp;S - Others'!$B$17-'R&amp;S - Others'!$B$16)*('Yearly HC Propylene'!Z$3-'Yearly HC Propylene'!$X$3)/10)</f>
        <v>49964.917654670317</v>
      </c>
      <c r="AA33" s="183">
        <f>AA32*'R&amp;S - Others'!$B$7*'R&amp;S - Others'!$B$12*('R&amp;S - Others'!$B$16+('R&amp;S - Others'!$B$17-'R&amp;S - Others'!$B$16)*('Yearly HC Propylene'!AA$3-'Yearly HC Propylene'!$X$3)/10)</f>
        <v>50037.592571192705</v>
      </c>
      <c r="AB33" s="183">
        <f>AB32*'R&amp;S - Others'!$B$7*'R&amp;S - Others'!$B$12*('R&amp;S - Others'!$B$16+('R&amp;S - Others'!$B$17-'R&amp;S - Others'!$B$16)*('Yearly HC Propylene'!AB$3-'Yearly HC Propylene'!$X$3)/10)</f>
        <v>49898.567955686834</v>
      </c>
      <c r="AC33" s="183">
        <f>AC32*'R&amp;S - Others'!$B$7*'R&amp;S - Others'!$B$12*('R&amp;S - Others'!$B$16+('R&amp;S - Others'!$B$17-'R&amp;S - Others'!$B$16)*('Yearly HC Propylene'!AC$3-'Yearly HC Propylene'!$X$3)/10)</f>
        <v>49546.111283563754</v>
      </c>
      <c r="AD33" s="183">
        <f>AD32*'R&amp;S - Others'!$B$7*'R&amp;S - Others'!$B$12*('R&amp;S - Others'!$B$16+('R&amp;S - Others'!$B$17-'R&amp;S - Others'!$B$16)*('Yearly HC Propylene'!AD$3-'Yearly HC Propylene'!$X$3)/10)</f>
        <v>48893.850038538556</v>
      </c>
      <c r="AE33" s="183">
        <f>AE32*'R&amp;S - Others'!$B$7*'R&amp;S - Others'!$B$12*('R&amp;S - Others'!$B$16+('R&amp;S - Others'!$B$17-'R&amp;S - Others'!$B$16)*('Yearly HC Propylene'!AE$3-'Yearly HC Propylene'!$X$3)/10)</f>
        <v>48019.274603497332</v>
      </c>
      <c r="AF33" s="183">
        <f>AF32*'R&amp;S - Others'!$B$7*'R&amp;S - Others'!$B$12*('R&amp;S - Others'!$B$16+('R&amp;S - Others'!$B$17-'R&amp;S - Others'!$B$16)*('Yearly HC Propylene'!AF$3-'Yearly HC Propylene'!$X$3)/10)</f>
        <v>46920.5557238357</v>
      </c>
      <c r="AG33" s="183">
        <f>AG32*'R&amp;S - Others'!$B$7*'R&amp;S - Others'!$B$12*('R&amp;S - Others'!$B$16+('R&amp;S - Others'!$B$17-'R&amp;S - Others'!$B$16)*('Yearly HC Propylene'!AG$3-'Yearly HC Propylene'!$X$3)/10)</f>
        <v>45595.777195134237</v>
      </c>
      <c r="AH33" s="183">
        <f>AH32*'R&amp;S - Others'!$B$7*'R&amp;S - Others'!$B$12*('R&amp;S - Others'!$B$16+('R&amp;S - Others'!$B$17-'R&amp;S - Others'!$B$16)*('Yearly HC Propylene'!AH$3-'Yearly HC Propylene'!$X$3)/10)</f>
        <v>44042.934602182191</v>
      </c>
    </row>
    <row r="34" spans="1:34" outlineLevel="1">
      <c r="B34" s="1" t="s">
        <v>172</v>
      </c>
      <c r="C34" s="50" t="s">
        <v>1420</v>
      </c>
      <c r="D34" s="183">
        <v>0</v>
      </c>
      <c r="E34" s="183">
        <f>E32*'R&amp;S - Others'!$B$8*'R&amp;S - Others'!$B$12*'R&amp;S - Others'!$C$15*('Yearly HC Propylene'!E$3-'Yearly HC Propylene'!$D$3)/10</f>
        <v>1283.0834225566728</v>
      </c>
      <c r="F34" s="183">
        <f>F32*'R&amp;S - Others'!$B$8*'R&amp;S - Others'!$B$12*'R&amp;S - Others'!$C$15*('Yearly HC Propylene'!F$3-'Yearly HC Propylene'!$D$3)/10</f>
        <v>2528.824173308019</v>
      </c>
      <c r="G34" s="183">
        <f>G32*'R&amp;S - Others'!$B$8*'R&amp;S - Others'!$B$12*'R&amp;S - Others'!$C$15*('Yearly HC Propylene'!G$3-'Yearly HC Propylene'!$D$3)/10</f>
        <v>3736.6730140528948</v>
      </c>
      <c r="H34" s="183">
        <f>H32*'R&amp;S - Others'!$B$8*'R&amp;S - Others'!$B$12*'R&amp;S - Others'!$C$15*('Yearly HC Propylene'!H$3-'Yearly HC Propylene'!$D$3)/10</f>
        <v>4906.0675225020459</v>
      </c>
      <c r="I34" s="183">
        <f>I32*'R&amp;S - Others'!$B$8*'R&amp;S - Others'!$B$12*'R&amp;S - Others'!$C$15*('Yearly HC Propylene'!I$3-'Yearly HC Propylene'!$D$3)/10</f>
        <v>6036.4317993606728</v>
      </c>
      <c r="J34" s="183">
        <f>J32*'R&amp;S - Others'!$B$8*'R&amp;S - Others'!$B$12*'R&amp;S - Others'!$C$15*('Yearly HC Propylene'!J$3-'Yearly HC Propylene'!$D$3)/10</f>
        <v>7115.928825799163</v>
      </c>
      <c r="K34" s="183">
        <f>K32*'R&amp;S - Others'!$B$8*'R&amp;S - Others'!$B$12*'R&amp;S - Others'!$C$15*('Yearly HC Propylene'!K$3-'Yearly HC Propylene'!$D$3)/10</f>
        <v>8151.5937476052541</v>
      </c>
      <c r="L34" s="183">
        <f>L32*'R&amp;S - Others'!$B$8*'R&amp;S - Others'!$B$12*'R&amp;S - Others'!$C$15*('Yearly HC Propylene'!L$3-'Yearly HC Propylene'!$D$3)/10</f>
        <v>9142.8674130460895</v>
      </c>
      <c r="M34" s="183">
        <f>M32*'R&amp;S - Others'!$B$8*'R&amp;S - Others'!$B$12*'R&amp;S - Others'!$C$15*('Yearly HC Propylene'!M$3-'Yearly HC Propylene'!$D$3)/10</f>
        <v>10089.175326588425</v>
      </c>
      <c r="N34" s="183">
        <f>N32*'R&amp;S - Others'!$B$8*'R&amp;S - Others'!$B$12*'R&amp;S - Others'!$C$15*('Yearly HC Propylene'!N$3-'Yearly HC Propylene'!$D$3)/10</f>
        <v>10989.927331744178</v>
      </c>
      <c r="O34" s="183">
        <f>O32*'R&amp;S - Others'!$B$8*'R&amp;S - Others'!$B$12*('R&amp;S - Others'!$C$15+('R&amp;S - Others'!$C$16-'R&amp;S - Others'!$C$15)*('Yearly HC Propylene'!O$3-'Yearly HC Propylene'!$N$3)/10)</f>
        <v>11806.282742326397</v>
      </c>
      <c r="P34" s="183">
        <f>P32*'R&amp;S - Others'!$B$8*'R&amp;S - Others'!$B$12*('R&amp;S - Others'!$C$15+('R&amp;S - Others'!$C$16-'R&amp;S - Others'!$C$15)*('Yearly HC Propylene'!P$3-'Yearly HC Propylene'!$N$3)/10)</f>
        <v>12569.414145846375</v>
      </c>
      <c r="Q34" s="183">
        <f>Q32*'R&amp;S - Others'!$B$8*'R&amp;S - Others'!$B$12*('R&amp;S - Others'!$C$15+('R&amp;S - Others'!$C$16-'R&amp;S - Others'!$C$15)*('Yearly HC Propylene'!Q$3-'Yearly HC Propylene'!$N$3)/10)</f>
        <v>13278.80537075923</v>
      </c>
      <c r="R34" s="183">
        <f>R32*'R&amp;S - Others'!$B$8*'R&amp;S - Others'!$B$12*('R&amp;S - Others'!$C$15+('R&amp;S - Others'!$C$16-'R&amp;S - Others'!$C$15)*('Yearly HC Propylene'!R$3-'Yearly HC Propylene'!$N$3)/10)</f>
        <v>13933.921719706668</v>
      </c>
      <c r="S34" s="183">
        <f>S32*'R&amp;S - Others'!$B$8*'R&amp;S - Others'!$B$12*('R&amp;S - Others'!$C$15+('R&amp;S - Others'!$C$16-'R&amp;S - Others'!$C$15)*('Yearly HC Propylene'!S$3-'Yearly HC Propylene'!$N$3)/10)</f>
        <v>14534.209634870496</v>
      </c>
      <c r="T34" s="183">
        <f>T32*'R&amp;S - Others'!$B$8*'R&amp;S - Others'!$B$12*('R&amp;S - Others'!$C$15+('R&amp;S - Others'!$C$16-'R&amp;S - Others'!$C$15)*('Yearly HC Propylene'!T$3-'Yearly HC Propylene'!$N$3)/10)</f>
        <v>15030.449266097818</v>
      </c>
      <c r="U34" s="183">
        <f>U32*'R&amp;S - Others'!$B$8*'R&amp;S - Others'!$B$12*('R&amp;S - Others'!$C$15+('R&amp;S - Others'!$C$16-'R&amp;S - Others'!$C$15)*('Yearly HC Propylene'!U$3-'Yearly HC Propylene'!$N$3)/10)</f>
        <v>15465.35002628365</v>
      </c>
      <c r="V34" s="183">
        <f>V32*'R&amp;S - Others'!$B$8*'R&amp;S - Others'!$B$12*('R&amp;S - Others'!$C$15+('R&amp;S - Others'!$C$16-'R&amp;S - Others'!$C$15)*('Yearly HC Propylene'!V$3-'Yearly HC Propylene'!$N$3)/10)</f>
        <v>15838.42116987585</v>
      </c>
      <c r="W34" s="183">
        <f>W32*'R&amp;S - Others'!$B$8*'R&amp;S - Others'!$B$12*('R&amp;S - Others'!$C$15+('R&amp;S - Others'!$C$16-'R&amp;S - Others'!$C$15)*('Yearly HC Propylene'!W$3-'Yearly HC Propylene'!$N$3)/10)</f>
        <v>16149.149912649447</v>
      </c>
      <c r="X34" s="183">
        <f>X32*'R&amp;S - Others'!$B$8*'R&amp;S - Others'!$B$12*('R&amp;S - Others'!$C$15+('R&amp;S - Others'!$C$16-'R&amp;S - Others'!$C$15)*('Yearly HC Propylene'!X$3-'Yearly HC Propylene'!$N$3)/10)</f>
        <v>16397.001080770115</v>
      </c>
      <c r="Y34" s="183">
        <f>Y32*'R&amp;S - Others'!$B$8*'R&amp;S - Others'!$B$12*('R&amp;S - Others'!$C$16+('R&amp;S - Others'!$C$17-'R&amp;S - Others'!$C$16)*('Yearly HC Propylene'!Y$3-'Yearly HC Propylene'!$X$3)/10)</f>
        <v>16560.732094714262</v>
      </c>
      <c r="Z34" s="183">
        <f>Z32*'R&amp;S - Others'!$B$8*'R&amp;S - Others'!$B$12*('R&amp;S - Others'!$C$16+('R&amp;S - Others'!$C$17-'R&amp;S - Others'!$C$16)*('Yearly HC Propylene'!Z$3-'Yearly HC Propylene'!$X$3)/10)</f>
        <v>16654.972551556773</v>
      </c>
      <c r="AA34" s="183">
        <f>AA32*'R&amp;S - Others'!$B$8*'R&amp;S - Others'!$B$12*('R&amp;S - Others'!$C$16+('R&amp;S - Others'!$C$17-'R&amp;S - Others'!$C$16)*('Yearly HC Propylene'!AA$3-'Yearly HC Propylene'!$X$3)/10)</f>
        <v>16679.197523730905</v>
      </c>
      <c r="AB34" s="183">
        <f>AB32*'R&amp;S - Others'!$B$8*'R&amp;S - Others'!$B$12*('R&amp;S - Others'!$C$16+('R&amp;S - Others'!$C$17-'R&amp;S - Others'!$C$16)*('Yearly HC Propylene'!AB$3-'Yearly HC Propylene'!$X$3)/10)</f>
        <v>16632.855985228944</v>
      </c>
      <c r="AC34" s="183">
        <f>AC32*'R&amp;S - Others'!$B$8*'R&amp;S - Others'!$B$12*('R&amp;S - Others'!$C$16+('R&amp;S - Others'!$C$17-'R&amp;S - Others'!$C$16)*('Yearly HC Propylene'!AC$3-'Yearly HC Propylene'!$X$3)/10)</f>
        <v>16515.370427854588</v>
      </c>
      <c r="AD34" s="183">
        <f>AD32*'R&amp;S - Others'!$B$8*'R&amp;S - Others'!$B$12*('R&amp;S - Others'!$C$16+('R&amp;S - Others'!$C$17-'R&amp;S - Others'!$C$16)*('Yearly HC Propylene'!AD$3-'Yearly HC Propylene'!$X$3)/10)</f>
        <v>16297.950012846186</v>
      </c>
      <c r="AE34" s="183">
        <f>AE32*'R&amp;S - Others'!$B$8*'R&amp;S - Others'!$B$12*('R&amp;S - Others'!$C$16+('R&amp;S - Others'!$C$17-'R&amp;S - Others'!$C$16)*('Yearly HC Propylene'!AE$3-'Yearly HC Propylene'!$X$3)/10)</f>
        <v>16006.424867832446</v>
      </c>
      <c r="AF34" s="183">
        <f>AF32*'R&amp;S - Others'!$B$8*'R&amp;S - Others'!$B$12*('R&amp;S - Others'!$C$16+('R&amp;S - Others'!$C$17-'R&amp;S - Others'!$C$16)*('Yearly HC Propylene'!AF$3-'Yearly HC Propylene'!$X$3)/10)</f>
        <v>15640.185241278565</v>
      </c>
      <c r="AG34" s="183">
        <f>AG32*'R&amp;S - Others'!$B$8*'R&amp;S - Others'!$B$12*('R&amp;S - Others'!$C$16+('R&amp;S - Others'!$C$17-'R&amp;S - Others'!$C$16)*('Yearly HC Propylene'!AG$3-'Yearly HC Propylene'!$X$3)/10)</f>
        <v>15198.592398378081</v>
      </c>
      <c r="AH34" s="183">
        <f>AH32*'R&amp;S - Others'!$B$8*'R&amp;S - Others'!$B$12*('R&amp;S - Others'!$C$16+('R&amp;S - Others'!$C$17-'R&amp;S - Others'!$C$16)*('Yearly HC Propylene'!AH$3-'Yearly HC Propylene'!$X$3)/10)</f>
        <v>14680.978200727399</v>
      </c>
    </row>
    <row r="35" spans="1:34" s="160" customFormat="1">
      <c r="A35" s="158"/>
      <c r="B35" s="158" t="s">
        <v>200</v>
      </c>
      <c r="C35" s="159" t="s">
        <v>1420</v>
      </c>
      <c r="D35" s="568">
        <f>D32-D33-D34</f>
        <v>1577666.5665936389</v>
      </c>
      <c r="E35" s="568">
        <f t="shared" ref="E35:AH35" si="10">E32-E33-E34</f>
        <v>1550120.2997118009</v>
      </c>
      <c r="F35" s="568">
        <f t="shared" si="10"/>
        <v>1522505.4144025368</v>
      </c>
      <c r="G35" s="568">
        <f t="shared" si="10"/>
        <v>1494820.1823085942</v>
      </c>
      <c r="H35" s="568">
        <f t="shared" si="10"/>
        <v>1467062.8579409148</v>
      </c>
      <c r="I35" s="568">
        <f t="shared" si="10"/>
        <v>1439231.6787081747</v>
      </c>
      <c r="J35" s="568">
        <f t="shared" si="10"/>
        <v>1409097.6636461292</v>
      </c>
      <c r="K35" s="568">
        <f t="shared" si="10"/>
        <v>1378925.0098762894</v>
      </c>
      <c r="L35" s="568">
        <f t="shared" si="10"/>
        <v>1348711.4717184352</v>
      </c>
      <c r="M35" s="568">
        <f t="shared" si="10"/>
        <v>1318454.7904900673</v>
      </c>
      <c r="N35" s="568">
        <f t="shared" si="10"/>
        <v>1288152.6945208025</v>
      </c>
      <c r="O35" s="568">
        <f t="shared" si="10"/>
        <v>1253742.6643283691</v>
      </c>
      <c r="P35" s="568">
        <f t="shared" si="10"/>
        <v>1219360.1359263491</v>
      </c>
      <c r="Q35" s="568">
        <f t="shared" si="10"/>
        <v>1185001.8294036044</v>
      </c>
      <c r="R35" s="568">
        <f t="shared" si="10"/>
        <v>1150664.4620135254</v>
      </c>
      <c r="S35" s="568">
        <f t="shared" si="10"/>
        <v>1116344.7481167195</v>
      </c>
      <c r="T35" s="568">
        <f t="shared" si="10"/>
        <v>1078548.601882413</v>
      </c>
      <c r="U35" s="568">
        <f t="shared" si="10"/>
        <v>1040837.3539970862</v>
      </c>
      <c r="V35" s="568">
        <f t="shared" si="10"/>
        <v>1003206.6634602841</v>
      </c>
      <c r="W35" s="568">
        <f t="shared" si="10"/>
        <v>965652.19860455033</v>
      </c>
      <c r="X35" s="568">
        <f t="shared" si="10"/>
        <v>928169.63693571417</v>
      </c>
      <c r="Y35" s="568">
        <f t="shared" si="10"/>
        <v>888266.12607153249</v>
      </c>
      <c r="Z35" s="568">
        <f t="shared" si="10"/>
        <v>848488.4917474417</v>
      </c>
      <c r="AA35" s="568">
        <f t="shared" si="10"/>
        <v>808831.63634764345</v>
      </c>
      <c r="AB35" s="568">
        <f t="shared" si="10"/>
        <v>769290.48486455879</v>
      </c>
      <c r="AC35" s="568">
        <f t="shared" si="10"/>
        <v>729859.98469121219</v>
      </c>
      <c r="AD35" s="568">
        <f t="shared" si="10"/>
        <v>689342.92276556825</v>
      </c>
      <c r="AE35" s="568">
        <f t="shared" si="10"/>
        <v>648955.3636837902</v>
      </c>
      <c r="AF35" s="568">
        <f t="shared" si="10"/>
        <v>608691.84449748509</v>
      </c>
      <c r="AG35" s="568">
        <f t="shared" si="10"/>
        <v>568546.93054636684</v>
      </c>
      <c r="AH35" s="568">
        <f t="shared" si="10"/>
        <v>528515.21522618632</v>
      </c>
    </row>
    <row r="36" spans="1:34" s="61" customFormat="1" outlineLevel="1">
      <c r="B36" s="54" t="s">
        <v>198</v>
      </c>
      <c r="C36" s="55" t="s">
        <v>1420</v>
      </c>
      <c r="D36" s="571">
        <v>0</v>
      </c>
      <c r="E36" s="571">
        <v>0</v>
      </c>
      <c r="F36" s="571">
        <v>0</v>
      </c>
      <c r="G36" s="571">
        <v>0</v>
      </c>
      <c r="H36" s="571">
        <v>0</v>
      </c>
      <c r="I36" s="571">
        <v>0</v>
      </c>
      <c r="J36" s="571">
        <v>0</v>
      </c>
      <c r="K36" s="571">
        <v>0</v>
      </c>
      <c r="L36" s="571">
        <v>0</v>
      </c>
      <c r="M36" s="571">
        <v>0</v>
      </c>
      <c r="N36" s="571">
        <v>0</v>
      </c>
      <c r="O36" s="571">
        <v>0</v>
      </c>
      <c r="P36" s="571">
        <v>0</v>
      </c>
      <c r="Q36" s="571">
        <v>0</v>
      </c>
      <c r="R36" s="571">
        <v>0</v>
      </c>
      <c r="S36" s="571">
        <v>0</v>
      </c>
      <c r="T36" s="571">
        <v>0</v>
      </c>
      <c r="U36" s="571">
        <v>0</v>
      </c>
      <c r="V36" s="571">
        <v>0</v>
      </c>
      <c r="W36" s="571">
        <v>0</v>
      </c>
      <c r="X36" s="571">
        <v>0</v>
      </c>
      <c r="Y36" s="571">
        <v>0</v>
      </c>
      <c r="Z36" s="571">
        <v>0</v>
      </c>
      <c r="AA36" s="571">
        <v>0</v>
      </c>
      <c r="AB36" s="571">
        <v>0</v>
      </c>
      <c r="AC36" s="571">
        <v>0</v>
      </c>
      <c r="AD36" s="571">
        <v>0</v>
      </c>
      <c r="AE36" s="571">
        <v>0</v>
      </c>
      <c r="AF36" s="571">
        <v>0</v>
      </c>
      <c r="AG36" s="571">
        <v>0</v>
      </c>
      <c r="AH36" s="571">
        <v>0</v>
      </c>
    </row>
    <row r="37" spans="1:34" outlineLevel="1">
      <c r="B37" s="1" t="s">
        <v>199</v>
      </c>
      <c r="C37" s="50" t="s">
        <v>1420</v>
      </c>
      <c r="D37" s="183">
        <v>0</v>
      </c>
      <c r="E37" s="183">
        <v>0</v>
      </c>
      <c r="F37" s="183">
        <v>0</v>
      </c>
      <c r="G37" s="183">
        <v>0</v>
      </c>
      <c r="H37" s="183">
        <v>0</v>
      </c>
      <c r="I37" s="183">
        <v>0</v>
      </c>
      <c r="J37" s="183">
        <v>0</v>
      </c>
      <c r="K37" s="183">
        <v>0</v>
      </c>
      <c r="L37" s="183">
        <v>0</v>
      </c>
      <c r="M37" s="183">
        <v>0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0</v>
      </c>
      <c r="V37" s="183">
        <v>0</v>
      </c>
      <c r="W37" s="183">
        <v>0</v>
      </c>
      <c r="X37" s="183">
        <v>0</v>
      </c>
      <c r="Y37" s="183">
        <v>0</v>
      </c>
      <c r="Z37" s="183">
        <v>0</v>
      </c>
      <c r="AA37" s="183">
        <v>0</v>
      </c>
      <c r="AB37" s="183">
        <v>0</v>
      </c>
      <c r="AC37" s="183">
        <v>0</v>
      </c>
      <c r="AD37" s="183">
        <v>0</v>
      </c>
      <c r="AE37" s="183">
        <v>0</v>
      </c>
      <c r="AF37" s="183">
        <v>0</v>
      </c>
      <c r="AG37" s="183">
        <v>0</v>
      </c>
      <c r="AH37" s="183">
        <v>0</v>
      </c>
    </row>
    <row r="38" spans="1:34" s="62" customFormat="1">
      <c r="A38" s="58" t="s">
        <v>197</v>
      </c>
      <c r="B38" s="58" t="s">
        <v>230</v>
      </c>
      <c r="C38" s="59" t="s">
        <v>1420</v>
      </c>
      <c r="D38" s="577">
        <f>D36+D37</f>
        <v>0</v>
      </c>
      <c r="E38" s="577">
        <f t="shared" ref="E38:AH38" si="11">E36+E37</f>
        <v>0</v>
      </c>
      <c r="F38" s="577">
        <f t="shared" si="11"/>
        <v>0</v>
      </c>
      <c r="G38" s="577">
        <f t="shared" si="11"/>
        <v>0</v>
      </c>
      <c r="H38" s="577">
        <f t="shared" si="11"/>
        <v>0</v>
      </c>
      <c r="I38" s="577">
        <f t="shared" si="11"/>
        <v>0</v>
      </c>
      <c r="J38" s="577">
        <f t="shared" si="11"/>
        <v>0</v>
      </c>
      <c r="K38" s="577">
        <f t="shared" si="11"/>
        <v>0</v>
      </c>
      <c r="L38" s="577">
        <f t="shared" si="11"/>
        <v>0</v>
      </c>
      <c r="M38" s="577">
        <f t="shared" si="11"/>
        <v>0</v>
      </c>
      <c r="N38" s="577">
        <f t="shared" si="11"/>
        <v>0</v>
      </c>
      <c r="O38" s="577">
        <f t="shared" si="11"/>
        <v>0</v>
      </c>
      <c r="P38" s="577">
        <f t="shared" si="11"/>
        <v>0</v>
      </c>
      <c r="Q38" s="577">
        <f t="shared" si="11"/>
        <v>0</v>
      </c>
      <c r="R38" s="577">
        <f t="shared" si="11"/>
        <v>0</v>
      </c>
      <c r="S38" s="577">
        <f t="shared" si="11"/>
        <v>0</v>
      </c>
      <c r="T38" s="577">
        <f t="shared" si="11"/>
        <v>0</v>
      </c>
      <c r="U38" s="577">
        <f t="shared" si="11"/>
        <v>0</v>
      </c>
      <c r="V38" s="577">
        <f t="shared" si="11"/>
        <v>0</v>
      </c>
      <c r="W38" s="577">
        <f t="shared" si="11"/>
        <v>0</v>
      </c>
      <c r="X38" s="577">
        <f t="shared" si="11"/>
        <v>0</v>
      </c>
      <c r="Y38" s="577">
        <f t="shared" si="11"/>
        <v>0</v>
      </c>
      <c r="Z38" s="577">
        <f t="shared" si="11"/>
        <v>0</v>
      </c>
      <c r="AA38" s="577">
        <f t="shared" si="11"/>
        <v>0</v>
      </c>
      <c r="AB38" s="577">
        <f t="shared" si="11"/>
        <v>0</v>
      </c>
      <c r="AC38" s="577">
        <f t="shared" si="11"/>
        <v>0</v>
      </c>
      <c r="AD38" s="577">
        <f t="shared" si="11"/>
        <v>0</v>
      </c>
      <c r="AE38" s="577">
        <f t="shared" si="11"/>
        <v>0</v>
      </c>
      <c r="AF38" s="577">
        <f t="shared" si="11"/>
        <v>0</v>
      </c>
      <c r="AG38" s="577">
        <f t="shared" si="11"/>
        <v>0</v>
      </c>
      <c r="AH38" s="577">
        <f t="shared" si="11"/>
        <v>0</v>
      </c>
    </row>
    <row r="39" spans="1:34">
      <c r="A39" s="1" t="s">
        <v>78</v>
      </c>
      <c r="B39" s="1" t="s">
        <v>169</v>
      </c>
      <c r="C39" s="50" t="s">
        <v>1420</v>
      </c>
      <c r="D39" s="574">
        <f>D11+D17+D23+D29+D33</f>
        <v>0</v>
      </c>
      <c r="E39" s="574">
        <f t="shared" ref="E39:AH39" si="12">E11+E17+E23+E29+E33</f>
        <v>14622.435258625192</v>
      </c>
      <c r="F39" s="574">
        <f t="shared" si="12"/>
        <v>29091.840727821389</v>
      </c>
      <c r="G39" s="574">
        <f t="shared" si="12"/>
        <v>43409.829685823468</v>
      </c>
      <c r="H39" s="574">
        <f t="shared" si="12"/>
        <v>57578.010600276968</v>
      </c>
      <c r="I39" s="574">
        <f t="shared" si="12"/>
        <v>71597.987340675725</v>
      </c>
      <c r="J39" s="574">
        <f t="shared" si="12"/>
        <v>85437.617361388766</v>
      </c>
      <c r="K39" s="574">
        <f t="shared" si="12"/>
        <v>99121.412684563998</v>
      </c>
      <c r="L39" s="574">
        <f t="shared" si="12"/>
        <v>112651.1416644103</v>
      </c>
      <c r="M39" s="574">
        <f t="shared" si="12"/>
        <v>126028.56701972644</v>
      </c>
      <c r="N39" s="574">
        <f t="shared" si="12"/>
        <v>139255.44607490959</v>
      </c>
      <c r="O39" s="574">
        <f t="shared" si="12"/>
        <v>160550.24511635324</v>
      </c>
      <c r="P39" s="574">
        <f t="shared" si="12"/>
        <v>181850.99849029942</v>
      </c>
      <c r="Q39" s="574">
        <f t="shared" si="12"/>
        <v>203166.08957079152</v>
      </c>
      <c r="R39" s="574">
        <f t="shared" si="12"/>
        <v>224504.02191021509</v>
      </c>
      <c r="S39" s="574">
        <f t="shared" si="12"/>
        <v>245873.42224186106</v>
      </c>
      <c r="T39" s="574">
        <f t="shared" si="12"/>
        <v>267137.10226183833</v>
      </c>
      <c r="U39" s="574">
        <f t="shared" si="12"/>
        <v>288433.84944501845</v>
      </c>
      <c r="V39" s="574">
        <f t="shared" si="12"/>
        <v>309773.04300385033</v>
      </c>
      <c r="W39" s="574">
        <f t="shared" si="12"/>
        <v>331164.19254574866</v>
      </c>
      <c r="X39" s="574">
        <f t="shared" si="12"/>
        <v>352616.94139439508</v>
      </c>
      <c r="Y39" s="574">
        <f t="shared" si="12"/>
        <v>381122.78056689946</v>
      </c>
      <c r="Z39" s="574">
        <f t="shared" si="12"/>
        <v>410042.0449104982</v>
      </c>
      <c r="AA39" s="574">
        <f t="shared" si="12"/>
        <v>439390.66540337488</v>
      </c>
      <c r="AB39" s="574">
        <f t="shared" si="12"/>
        <v>469184.76611482917</v>
      </c>
      <c r="AC39" s="574">
        <f t="shared" si="12"/>
        <v>499440.66612640704</v>
      </c>
      <c r="AD39" s="574">
        <f t="shared" si="12"/>
        <v>530090.32203637203</v>
      </c>
      <c r="AE39" s="574">
        <f t="shared" si="12"/>
        <v>561229.8338748893</v>
      </c>
      <c r="AF39" s="574">
        <f t="shared" si="12"/>
        <v>592876.26556379162</v>
      </c>
      <c r="AG39" s="574">
        <f t="shared" si="12"/>
        <v>625046.88057007932</v>
      </c>
      <c r="AH39" s="574">
        <f t="shared" si="12"/>
        <v>657759.14357735624</v>
      </c>
    </row>
    <row r="40" spans="1:34">
      <c r="B40" s="1" t="s">
        <v>172</v>
      </c>
      <c r="C40" s="50" t="s">
        <v>1420</v>
      </c>
      <c r="D40" s="574">
        <f>D12+D24+D30+D20+D34</f>
        <v>0</v>
      </c>
      <c r="E40" s="574">
        <f t="shared" ref="E40:AH40" si="13">E12+E24+E30+E20+E34</f>
        <v>6085.3542998173689</v>
      </c>
      <c r="F40" s="574">
        <f t="shared" si="13"/>
        <v>12066.440886681234</v>
      </c>
      <c r="G40" s="574">
        <f t="shared" si="13"/>
        <v>17943.410029131192</v>
      </c>
      <c r="H40" s="574">
        <f t="shared" si="13"/>
        <v>23716.392312677075</v>
      </c>
      <c r="I40" s="574">
        <f t="shared" si="13"/>
        <v>29385.498403487778</v>
      </c>
      <c r="J40" s="574">
        <f t="shared" si="13"/>
        <v>34939.571461994987</v>
      </c>
      <c r="K40" s="574">
        <f t="shared" si="13"/>
        <v>40386.320482708805</v>
      </c>
      <c r="L40" s="574">
        <f t="shared" si="13"/>
        <v>45725.853887277612</v>
      </c>
      <c r="M40" s="574">
        <f t="shared" si="13"/>
        <v>50958.258532944303</v>
      </c>
      <c r="N40" s="574">
        <f t="shared" si="13"/>
        <v>56083.599449669564</v>
      </c>
      <c r="O40" s="574">
        <f t="shared" si="13"/>
        <v>61063.685025211424</v>
      </c>
      <c r="P40" s="574">
        <f t="shared" si="13"/>
        <v>64296.363745661802</v>
      </c>
      <c r="Q40" s="574">
        <f t="shared" si="13"/>
        <v>68604.01104414482</v>
      </c>
      <c r="R40" s="574">
        <f t="shared" si="13"/>
        <v>72804.726180372352</v>
      </c>
      <c r="S40" s="574">
        <f t="shared" si="13"/>
        <v>76898.514725667555</v>
      </c>
      <c r="T40" s="574">
        <f t="shared" si="13"/>
        <v>80836.71072364194</v>
      </c>
      <c r="U40" s="574">
        <f t="shared" si="13"/>
        <v>84662.57229139081</v>
      </c>
      <c r="V40" s="574">
        <f t="shared" si="13"/>
        <v>88376.15224342703</v>
      </c>
      <c r="W40" s="574">
        <f t="shared" si="13"/>
        <v>91977.476256502865</v>
      </c>
      <c r="X40" s="574">
        <f t="shared" si="13"/>
        <v>95466.542563343042</v>
      </c>
      <c r="Y40" s="574">
        <f t="shared" si="13"/>
        <v>95600.352206860422</v>
      </c>
      <c r="Z40" s="574">
        <f t="shared" si="13"/>
        <v>97285.008748160937</v>
      </c>
      <c r="AA40" s="574">
        <f t="shared" si="13"/>
        <v>98873.647888733365</v>
      </c>
      <c r="AB40" s="574">
        <f t="shared" si="13"/>
        <v>100366.00374760799</v>
      </c>
      <c r="AC40" s="574">
        <f t="shared" si="13"/>
        <v>101761.781250304</v>
      </c>
      <c r="AD40" s="574">
        <f t="shared" si="13"/>
        <v>103032.46930439326</v>
      </c>
      <c r="AE40" s="574">
        <f t="shared" si="13"/>
        <v>104204.17512019438</v>
      </c>
      <c r="AF40" s="574">
        <f t="shared" si="13"/>
        <v>105276.56338875688</v>
      </c>
      <c r="AG40" s="574">
        <f t="shared" si="13"/>
        <v>106249.2672010926</v>
      </c>
      <c r="AH40" s="574">
        <f t="shared" si="13"/>
        <v>107121.88765099246</v>
      </c>
    </row>
    <row r="41" spans="1:34">
      <c r="B41" s="1" t="s">
        <v>249</v>
      </c>
      <c r="C41" s="50" t="s">
        <v>1420</v>
      </c>
      <c r="D41" s="574">
        <f>D38+D7</f>
        <v>0</v>
      </c>
      <c r="E41" s="574">
        <f t="shared" ref="E41:AH41" si="14">E38+E7</f>
        <v>830.35614416650219</v>
      </c>
      <c r="F41" s="574">
        <f t="shared" si="14"/>
        <v>1688.9443972346651</v>
      </c>
      <c r="G41" s="574">
        <f t="shared" si="14"/>
        <v>2576.4846779814816</v>
      </c>
      <c r="H41" s="574">
        <f t="shared" si="14"/>
        <v>3493.7132233428888</v>
      </c>
      <c r="I41" s="574">
        <f t="shared" si="14"/>
        <v>4441.3829351746472</v>
      </c>
      <c r="J41" s="574">
        <f t="shared" si="14"/>
        <v>5420.2637340871388</v>
      </c>
      <c r="K41" s="574">
        <f t="shared" si="14"/>
        <v>6431.1429204943888</v>
      </c>
      <c r="L41" s="574">
        <f t="shared" si="14"/>
        <v>7474.8255430203362</v>
      </c>
      <c r="M41" s="574">
        <f t="shared" si="14"/>
        <v>8552.1347744081413</v>
      </c>
      <c r="N41" s="574">
        <f t="shared" si="14"/>
        <v>9663.912295081198</v>
      </c>
      <c r="O41" s="574">
        <f t="shared" si="14"/>
        <v>13759.478325736609</v>
      </c>
      <c r="P41" s="574">
        <f t="shared" si="14"/>
        <v>17991.500730781019</v>
      </c>
      <c r="Q41" s="574">
        <f t="shared" si="14"/>
        <v>22363.435408360816</v>
      </c>
      <c r="R41" s="574">
        <f t="shared" si="14"/>
        <v>26878.816321267113</v>
      </c>
      <c r="S41" s="574">
        <f t="shared" si="14"/>
        <v>31541.257152379214</v>
      </c>
      <c r="T41" s="574">
        <f t="shared" si="14"/>
        <v>36354.452993832281</v>
      </c>
      <c r="U41" s="574">
        <f t="shared" si="14"/>
        <v>41322.182070577706</v>
      </c>
      <c r="V41" s="574">
        <f t="shared" si="14"/>
        <v>46448.307499017268</v>
      </c>
      <c r="W41" s="574">
        <f t="shared" si="14"/>
        <v>51736.779081405359</v>
      </c>
      <c r="X41" s="574">
        <f t="shared" si="14"/>
        <v>57191.635136727447</v>
      </c>
      <c r="Y41" s="574">
        <f t="shared" si="14"/>
        <v>63980.282227456999</v>
      </c>
      <c r="Z41" s="574">
        <f t="shared" si="14"/>
        <v>70983.214936716817</v>
      </c>
      <c r="AA41" s="574">
        <f t="shared" si="14"/>
        <v>78205.757056527742</v>
      </c>
      <c r="AB41" s="574">
        <f t="shared" si="14"/>
        <v>85653.351459295533</v>
      </c>
      <c r="AC41" s="574">
        <f t="shared" si="14"/>
        <v>93331.56260796811</v>
      </c>
      <c r="AD41" s="574">
        <f t="shared" si="14"/>
        <v>101246.07911712381</v>
      </c>
      <c r="AE41" s="574">
        <f t="shared" si="14"/>
        <v>109402.71636599707</v>
      </c>
      <c r="AF41" s="574">
        <f t="shared" si="14"/>
        <v>117807.4191644672</v>
      </c>
      <c r="AG41" s="574">
        <f t="shared" si="14"/>
        <v>126466.26447305549</v>
      </c>
      <c r="AH41" s="574">
        <f t="shared" si="14"/>
        <v>135385.46417799729</v>
      </c>
    </row>
    <row r="42" spans="1:34" s="63" customFormat="1">
      <c r="A42" s="63" t="s">
        <v>252</v>
      </c>
      <c r="C42" s="64" t="s">
        <v>1420</v>
      </c>
      <c r="D42" s="589">
        <f>D4+D41-D39-D40</f>
        <v>4343145.1257582027</v>
      </c>
      <c r="E42" s="589">
        <f t="shared" ref="E42:AG42" si="15">E4+E41-E39-E40</f>
        <v>4301153.0819708528</v>
      </c>
      <c r="F42" s="589">
        <f t="shared" si="15"/>
        <v>4259559.1719048945</v>
      </c>
      <c r="G42" s="589">
        <f t="shared" si="15"/>
        <v>4218361.7785699517</v>
      </c>
      <c r="H42" s="589">
        <f t="shared" si="15"/>
        <v>4177559.3287068945</v>
      </c>
      <c r="I42" s="589">
        <f t="shared" si="15"/>
        <v>4137150.293143617</v>
      </c>
      <c r="J42" s="589">
        <f t="shared" si="15"/>
        <v>4094905.9858586495</v>
      </c>
      <c r="K42" s="589">
        <f t="shared" si="15"/>
        <v>4053090.9607822439</v>
      </c>
      <c r="L42" s="589">
        <f t="shared" si="15"/>
        <v>4011703.3912594537</v>
      </c>
      <c r="M42" s="589">
        <f t="shared" si="15"/>
        <v>3970741.5002084044</v>
      </c>
      <c r="N42" s="589">
        <f t="shared" si="15"/>
        <v>3930203.5605018055</v>
      </c>
      <c r="O42" s="589">
        <f t="shared" si="15"/>
        <v>3880644.7024110565</v>
      </c>
      <c r="P42" s="589">
        <f t="shared" si="15"/>
        <v>3833145.8866666052</v>
      </c>
      <c r="Q42" s="589">
        <f t="shared" si="15"/>
        <v>3784878.5987761128</v>
      </c>
      <c r="R42" s="589">
        <f t="shared" si="15"/>
        <v>3737018.5663666143</v>
      </c>
      <c r="S42" s="589">
        <f t="shared" si="15"/>
        <v>3689559.5752987661</v>
      </c>
      <c r="T42" s="589">
        <f t="shared" si="15"/>
        <v>3639004.6017531408</v>
      </c>
      <c r="U42" s="589">
        <f t="shared" si="15"/>
        <v>3588912.0278565614</v>
      </c>
      <c r="V42" s="589">
        <f t="shared" si="15"/>
        <v>3539274.5523818969</v>
      </c>
      <c r="W42" s="589">
        <f t="shared" si="15"/>
        <v>3490084.8706580992</v>
      </c>
      <c r="X42" s="589">
        <f t="shared" si="15"/>
        <v>3441335.6732865702</v>
      </c>
      <c r="Y42" s="589">
        <f t="shared" si="15"/>
        <v>3387872.9040004089</v>
      </c>
      <c r="Z42" s="589">
        <f t="shared" si="15"/>
        <v>3332920.9114473374</v>
      </c>
      <c r="AA42" s="589">
        <f t="shared" si="15"/>
        <v>3278113.8017230718</v>
      </c>
      <c r="AB42" s="589">
        <f t="shared" si="15"/>
        <v>3223439.0262386347</v>
      </c>
      <c r="AC42" s="589">
        <f t="shared" si="15"/>
        <v>3168884.0097740698</v>
      </c>
      <c r="AD42" s="589">
        <f t="shared" si="15"/>
        <v>3113243.9687343705</v>
      </c>
      <c r="AE42" s="589">
        <f t="shared" si="15"/>
        <v>3057727.3504800196</v>
      </c>
      <c r="AF42" s="589">
        <f t="shared" si="15"/>
        <v>3002321.0294513269</v>
      </c>
      <c r="AG42" s="589">
        <f t="shared" si="15"/>
        <v>2947011.8644422167</v>
      </c>
      <c r="AH42" s="589">
        <f>AH4+AH41-AH39-AH40</f>
        <v>2891786.6999276928</v>
      </c>
    </row>
    <row r="43" spans="1:34" s="61" customFormat="1">
      <c r="A43" s="54" t="s">
        <v>386</v>
      </c>
      <c r="B43" s="54" t="s">
        <v>200</v>
      </c>
      <c r="C43" s="93" t="s">
        <v>1420</v>
      </c>
      <c r="D43" s="572">
        <f t="shared" ref="D43" si="16">D21</f>
        <v>1598212.8065688689</v>
      </c>
      <c r="E43" s="572">
        <f t="shared" ref="E43:AH43" si="17">E21</f>
        <v>1576272.6559450598</v>
      </c>
      <c r="F43" s="572">
        <f t="shared" si="17"/>
        <v>1554560.6665323779</v>
      </c>
      <c r="G43" s="572">
        <f t="shared" si="17"/>
        <v>1533074.72392753</v>
      </c>
      <c r="H43" s="572">
        <f t="shared" si="17"/>
        <v>1511812.7321156955</v>
      </c>
      <c r="I43" s="572">
        <f t="shared" si="17"/>
        <v>1490772.6133169236</v>
      </c>
      <c r="J43" s="572">
        <f t="shared" si="17"/>
        <v>1469952.3078337824</v>
      </c>
      <c r="K43" s="572">
        <f t="shared" si="17"/>
        <v>1449349.7739002395</v>
      </c>
      <c r="L43" s="572">
        <f t="shared" si="17"/>
        <v>1428962.9875317775</v>
      </c>
      <c r="M43" s="572">
        <f t="shared" si="17"/>
        <v>1408789.9423767214</v>
      </c>
      <c r="N43" s="572">
        <f t="shared" si="17"/>
        <v>1388828.6495687787</v>
      </c>
      <c r="O43" s="572">
        <f t="shared" si="17"/>
        <v>1366131.3239882423</v>
      </c>
      <c r="P43" s="572">
        <f t="shared" si="17"/>
        <v>1345316.8452334781</v>
      </c>
      <c r="Q43" s="572">
        <f t="shared" si="17"/>
        <v>1323560.592333362</v>
      </c>
      <c r="R43" s="572">
        <f t="shared" si="17"/>
        <v>1302042.2169046632</v>
      </c>
      <c r="S43" s="572">
        <f t="shared" si="17"/>
        <v>1280759.4602081343</v>
      </c>
      <c r="T43" s="572">
        <f t="shared" si="17"/>
        <v>1259710.0834327207</v>
      </c>
      <c r="U43" s="572">
        <f t="shared" si="17"/>
        <v>1238891.8675275112</v>
      </c>
      <c r="V43" s="572">
        <f t="shared" si="17"/>
        <v>1218302.6130350602</v>
      </c>
      <c r="W43" s="572">
        <f t="shared" si="17"/>
        <v>1197940.1399260745</v>
      </c>
      <c r="X43" s="572">
        <f t="shared" si="17"/>
        <v>1177802.2874354539</v>
      </c>
      <c r="Y43" s="572">
        <f t="shared" si="17"/>
        <v>1163636.4873432172</v>
      </c>
      <c r="Z43" s="572">
        <f t="shared" si="17"/>
        <v>1147987.1571151642</v>
      </c>
      <c r="AA43" s="572">
        <f t="shared" si="17"/>
        <v>1132499.4188159571</v>
      </c>
      <c r="AB43" s="572">
        <f t="shared" si="17"/>
        <v>1117171.7803162797</v>
      </c>
      <c r="AC43" s="572">
        <f t="shared" si="17"/>
        <v>1102002.7624353992</v>
      </c>
      <c r="AD43" s="572">
        <f t="shared" si="17"/>
        <v>1086990.8988331598</v>
      </c>
      <c r="AE43" s="572">
        <f t="shared" si="17"/>
        <v>1072134.7359028568</v>
      </c>
      <c r="AF43" s="572">
        <f t="shared" si="17"/>
        <v>1057432.8326649775</v>
      </c>
      <c r="AG43" s="572">
        <f t="shared" si="17"/>
        <v>1042883.760661805</v>
      </c>
      <c r="AH43" s="572">
        <f t="shared" si="17"/>
        <v>1028486.1038528788</v>
      </c>
    </row>
    <row r="44" spans="1:34" outlineLevel="1">
      <c r="A44"/>
      <c r="B44" t="s">
        <v>266</v>
      </c>
      <c r="C44" s="50" t="s">
        <v>1420</v>
      </c>
      <c r="D44" s="183">
        <f>0</f>
        <v>0</v>
      </c>
      <c r="E44" s="183">
        <f>'Propylene Recycling LC'!D56*'Propylene Recycling LC'!D42-'Propylene Recycling LC'!$C$56*'Propylene Recycling LC'!$C$42</f>
        <v>3986.7861659109622</v>
      </c>
      <c r="F44" s="183">
        <f>'Propylene Recycling LC'!E56*'Propylene Recycling LC'!E42-'Propylene Recycling LC'!$C$56*'Propylene Recycling LC'!$C$42</f>
        <v>8246.670191287154</v>
      </c>
      <c r="G44" s="183">
        <f>'Propylene Recycling LC'!F56*'Propylene Recycling LC'!F42-'Propylene Recycling LC'!$C$56*'Propylene Recycling LC'!$C$42</f>
        <v>12768.622510499725</v>
      </c>
      <c r="H44" s="183">
        <f>'Propylene Recycling LC'!G56*'Propylene Recycling LC'!G42-'Propylene Recycling LC'!$C$56*'Propylene Recycling LC'!$C$42</f>
        <v>17541.702794725014</v>
      </c>
      <c r="I44" s="183">
        <f>'Propylene Recycling LC'!H56*'Propylene Recycling LC'!H42-'Propylene Recycling LC'!$C$56*'Propylene Recycling LC'!$C$42</f>
        <v>22555.059474617901</v>
      </c>
      <c r="J44" s="183">
        <f>'Propylene Recycling LC'!I56*'Propylene Recycling LC'!I42-'Propylene Recycling LC'!$C$56*'Propylene Recycling LC'!$C$42</f>
        <v>27797.929265058785</v>
      </c>
      <c r="K44" s="183">
        <f>'Propylene Recycling LC'!J56*'Propylene Recycling LC'!J42-'Propylene Recycling LC'!$C$56*'Propylene Recycling LC'!$C$42</f>
        <v>33259.636691966589</v>
      </c>
      <c r="L44" s="183">
        <f>'Propylene Recycling LC'!K56*'Propylene Recycling LC'!K42-'Propylene Recycling LC'!$C$56*'Propylene Recycling LC'!$C$42</f>
        <v>38929.593621169595</v>
      </c>
      <c r="M44" s="183">
        <f>'Propylene Recycling LC'!L56*'Propylene Recycling LC'!L42-'Propylene Recycling LC'!$C$56*'Propylene Recycling LC'!$C$42</f>
        <v>44797.298789326334</v>
      </c>
      <c r="N44" s="183">
        <f>'Propylene Recycling LC'!M56*'Propylene Recycling LC'!M42-'Propylene Recycling LC'!$C$56*'Propylene Recycling LC'!$C$42</f>
        <v>50852.337336888813</v>
      </c>
      <c r="O44" s="183">
        <f>'Propylene Recycling LC'!N56*'Propylene Recycling LC'!N42-'Propylene Recycling LC'!$C$56*'Propylene Recycling LC'!$C$42</f>
        <v>58038.567114513586</v>
      </c>
      <c r="P44" s="183">
        <f>'Propylene Recycling LC'!O56*'Propylene Recycling LC'!O42-'Propylene Recycling LC'!$C$56*'Propylene Recycling LC'!$C$42</f>
        <v>65555.462157520582</v>
      </c>
      <c r="Q44" s="183">
        <f>'Propylene Recycling LC'!P56*'Propylene Recycling LC'!P42-'Propylene Recycling LC'!$C$56*'Propylene Recycling LC'!$C$42</f>
        <v>73186.868332734608</v>
      </c>
      <c r="R44" s="183">
        <f>'Propylene Recycling LC'!Q56*'Propylene Recycling LC'!Q42-'Propylene Recycling LC'!$C$56*'Propylene Recycling LC'!$C$42</f>
        <v>80997.392811340091</v>
      </c>
      <c r="S44" s="183">
        <f>'Propylene Recycling LC'!R56*'Propylene Recycling LC'!R42-'Propylene Recycling LC'!$C$56*'Propylene Recycling LC'!$C$42</f>
        <v>88970.520085550161</v>
      </c>
      <c r="T44" s="183">
        <f>'Propylene Recycling LC'!S56*'Propylene Recycling LC'!S42-'Propylene Recycling LC'!$C$56*'Propylene Recycling LC'!$C$42</f>
        <v>97089.874916488538</v>
      </c>
      <c r="U44" s="183">
        <f>'Propylene Recycling LC'!T56*'Propylene Recycling LC'!T42-'Propylene Recycling LC'!$C$56*'Propylene Recycling LC'!$C$42</f>
        <v>105339.22157060289</v>
      </c>
      <c r="V44" s="183">
        <f>'Propylene Recycling LC'!U56*'Propylene Recycling LC'!U42-'Propylene Recycling LC'!$C$56*'Propylene Recycling LC'!$C$42</f>
        <v>113702.46305942502</v>
      </c>
      <c r="W44" s="183">
        <f>'Propylene Recycling LC'!V56*'Propylene Recycling LC'!V42-'Propylene Recycling LC'!$C$56*'Propylene Recycling LC'!$C$42</f>
        <v>122163.64038266674</v>
      </c>
      <c r="X44" s="183">
        <f>'Propylene Recycling LC'!W56*'Propylene Recycling LC'!W42-'Propylene Recycling LC'!$C$56*'Propylene Recycling LC'!$C$42</f>
        <v>130706.93177463666</v>
      </c>
      <c r="Y44" s="183">
        <f>'Propylene Recycling LC'!X56*'Propylene Recycling LC'!X42-'Propylene Recycling LC'!$C$56*'Propylene Recycling LC'!$C$42</f>
        <v>143853.93664016909</v>
      </c>
      <c r="Z44" s="183">
        <f>'Propylene Recycling LC'!Y56*'Propylene Recycling LC'!Y42-'Propylene Recycling LC'!$C$56*'Propylene Recycling LC'!$C$42</f>
        <v>157048.65187129265</v>
      </c>
      <c r="AA44" s="183">
        <f>'Propylene Recycling LC'!Z56*'Propylene Recycling LC'!Z42-'Propylene Recycling LC'!$C$56*'Propylene Recycling LC'!$C$42</f>
        <v>170529.65671670449</v>
      </c>
      <c r="AB44" s="183">
        <f>'Propylene Recycling LC'!AA56*'Propylene Recycling LC'!AA42-'Propylene Recycling LC'!$C$56*'Propylene Recycling LC'!$C$42</f>
        <v>184279.32107209653</v>
      </c>
      <c r="AC44" s="183">
        <f>'Propylene Recycling LC'!AB56*'Propylene Recycling LC'!AB42-'Propylene Recycling LC'!$C$56*'Propylene Recycling LC'!$C$42</f>
        <v>198280.16156930121</v>
      </c>
      <c r="AD44" s="183">
        <f>'Propylene Recycling LC'!AC56*'Propylene Recycling LC'!AC42-'Propylene Recycling LC'!$C$56*'Propylene Recycling LC'!$C$42</f>
        <v>212514.84078344356</v>
      </c>
      <c r="AE44" s="183">
        <f>'Propylene Recycling LC'!AD56*'Propylene Recycling LC'!AD42-'Propylene Recycling LC'!$C$56*'Propylene Recycling LC'!$C$42</f>
        <v>226966.16644355611</v>
      </c>
      <c r="AF44" s="183">
        <f>'Propylene Recycling LC'!AE56*'Propylene Recycling LC'!AE42-'Propylene Recycling LC'!$C$56*'Propylene Recycling LC'!$C$42</f>
        <v>241617.09064664252</v>
      </c>
      <c r="AG44" s="183">
        <f>'Propylene Recycling LC'!AF56*'Propylene Recycling LC'!AF42-'Propylene Recycling LC'!$C$56*'Propylene Recycling LC'!$C$42</f>
        <v>256450.70907517799</v>
      </c>
      <c r="AH44" s="183">
        <f>'Propylene Recycling LC'!AG56*'Propylene Recycling LC'!AG42-'Propylene Recycling LC'!$C$56*'Propylene Recycling LC'!$C$42</f>
        <v>271450.26021803048</v>
      </c>
    </row>
    <row r="45" spans="1:34" outlineLevel="1">
      <c r="A45"/>
      <c r="B45" s="160" t="s">
        <v>269</v>
      </c>
      <c r="C45" s="50" t="s">
        <v>1420</v>
      </c>
      <c r="D45" s="183">
        <f>0</f>
        <v>0</v>
      </c>
      <c r="E45" s="183">
        <f>'Propylene Recycling LC'!D74*'Propylene Recycling LC'!D43-'Propylene Recycling LC'!$C$74*'Propylene Recycling LC'!$C$43</f>
        <v>122.86327572234222</v>
      </c>
      <c r="F45" s="183">
        <f>'Propylene Recycling LC'!E74*'Propylene Recycling LC'!E43-'Propylene Recycling LC'!$C$74*'Propylene Recycling LC'!$C$43</f>
        <v>225.00708867500043</v>
      </c>
      <c r="G45" s="183">
        <f>'Propylene Recycling LC'!F74*'Propylene Recycling LC'!F43-'Propylene Recycling LC'!$C$74*'Propylene Recycling LC'!$C$43</f>
        <v>307.23419156276532</v>
      </c>
      <c r="H45" s="183">
        <f>'Propylene Recycling LC'!G74*'Propylene Recycling LC'!G43-'Propylene Recycling LC'!$C$74*'Propylene Recycling LC'!$C$43</f>
        <v>370.34084901388314</v>
      </c>
      <c r="I45" s="183">
        <f>'Propylene Recycling LC'!H74*'Propylene Recycling LC'!H43-'Propylene Recycling LC'!$C$74*'Propylene Recycling LC'!$C$43</f>
        <v>415.11687228768778</v>
      </c>
      <c r="J45" s="183">
        <f>'Propylene Recycling LC'!I74*'Propylene Recycling LC'!I43-'Propylene Recycling LC'!$C$74*'Propylene Recycling LC'!$C$43</f>
        <v>442.34565383140352</v>
      </c>
      <c r="K45" s="183">
        <f>'Propylene Recycling LC'!J74*'Propylene Recycling LC'!J43-'Propylene Recycling LC'!$C$74*'Propylene Recycling LC'!$C$43</f>
        <v>452.80420168670844</v>
      </c>
      <c r="L45" s="183">
        <f>'Propylene Recycling LC'!K74*'Propylene Recycling LC'!K43-'Propylene Recycling LC'!$C$74*'Propylene Recycling LC'!$C$43</f>
        <v>447.26317374663313</v>
      </c>
      <c r="M45" s="183">
        <f>'Propylene Recycling LC'!L74*'Propylene Recycling LC'!L43-'Propylene Recycling LC'!$C$74*'Propylene Recycling LC'!$C$43</f>
        <v>426.48691186336782</v>
      </c>
      <c r="N45" s="183">
        <f>'Propylene Recycling LC'!M74*'Propylene Recycling LC'!M43-'Propylene Recycling LC'!$C$74*'Propylene Recycling LC'!$C$43</f>
        <v>391.23347580754125</v>
      </c>
      <c r="O45" s="183">
        <f>'Propylene Recycling LC'!N74*'Propylene Recycling LC'!N43-'Propylene Recycling LC'!$C$74*'Propylene Recycling LC'!$C$43</f>
        <v>286.75074271615767</v>
      </c>
      <c r="P45" s="183">
        <f>'Propylene Recycling LC'!O74*'Propylene Recycling LC'!O43-'Propylene Recycling LC'!$C$74*'Propylene Recycling LC'!$C$43</f>
        <v>175.47018105256893</v>
      </c>
      <c r="Q45" s="183">
        <f>'Propylene Recycling LC'!P74*'Propylene Recycling LC'!P43-'Propylene Recycling LC'!$C$74*'Propylene Recycling LC'!$C$43</f>
        <v>45.295826341663087</v>
      </c>
      <c r="R45" s="183">
        <f>'Propylene Recycling LC'!Q74*'Propylene Recycling LC'!Q43-'Propylene Recycling LC'!$C$74*'Propylene Recycling LC'!$C$43</f>
        <v>-89.897428060115544</v>
      </c>
      <c r="S45" s="183">
        <f>'Propylene Recycling LC'!R74*'Propylene Recycling LC'!R43-'Propylene Recycling LC'!$C$74*'Propylene Recycling LC'!$C$43</f>
        <v>-229.57473316900041</v>
      </c>
      <c r="T45" s="183">
        <f>'Propylene Recycling LC'!S74*'Propylene Recycling LC'!S43-'Propylene Recycling LC'!$C$74*'Propylene Recycling LC'!$C$43</f>
        <v>-373.21153461541826</v>
      </c>
      <c r="U45" s="183">
        <f>'Propylene Recycling LC'!T74*'Propylene Recycling LC'!T43-'Propylene Recycling LC'!$C$74*'Propylene Recycling LC'!$C$43</f>
        <v>-520.29352195415368</v>
      </c>
      <c r="V45" s="183">
        <f>'Propylene Recycling LC'!U74*'Propylene Recycling LC'!U43-'Propylene Recycling LC'!$C$74*'Propylene Recycling LC'!$C$43</f>
        <v>-670.31657728523851</v>
      </c>
      <c r="W45" s="183">
        <f>'Propylene Recycling LC'!V74*'Propylene Recycling LC'!V43-'Propylene Recycling LC'!$C$74*'Propylene Recycling LC'!$C$43</f>
        <v>-822.7867231979767</v>
      </c>
      <c r="X45" s="183">
        <f>'Propylene Recycling LC'!W74*'Propylene Recycling LC'!W43-'Propylene Recycling LC'!$C$74*'Propylene Recycling LC'!$C$43</f>
        <v>-977.22007005038677</v>
      </c>
      <c r="Y45" s="183">
        <f>'Propylene Recycling LC'!X74*'Propylene Recycling LC'!X43-'Propylene Recycling LC'!$C$74*'Propylene Recycling LC'!$C$43</f>
        <v>-1102.8996935030304</v>
      </c>
      <c r="Z45" s="183">
        <f>'Propylene Recycling LC'!Y74*'Propylene Recycling LC'!Y43-'Propylene Recycling LC'!$C$74*'Propylene Recycling LC'!$C$43</f>
        <v>-1234.6392521467847</v>
      </c>
      <c r="AA45" s="183">
        <f>'Propylene Recycling LC'!Z74*'Propylene Recycling LC'!Z43-'Propylene Recycling LC'!$C$74*'Propylene Recycling LC'!$C$43</f>
        <v>-1390.3013978414283</v>
      </c>
      <c r="AB45" s="183">
        <f>'Propylene Recycling LC'!AA74*'Propylene Recycling LC'!AA43-'Propylene Recycling LC'!$C$74*'Propylene Recycling LC'!$C$43</f>
        <v>-1548.3703802967034</v>
      </c>
      <c r="AC45" s="183">
        <f>'Propylene Recycling LC'!AB74*'Propylene Recycling LC'!AB43-'Propylene Recycling LC'!$C$74*'Propylene Recycling LC'!$C$43</f>
        <v>-1707.9863081591216</v>
      </c>
      <c r="AD45" s="183">
        <f>'Propylene Recycling LC'!AC74*'Propylene Recycling LC'!AC43-'Propylene Recycling LC'!$C$74*'Propylene Recycling LC'!$C$43</f>
        <v>-1868.3268630381663</v>
      </c>
      <c r="AE45" s="183">
        <f>'Propylene Recycling LC'!AD74*'Propylene Recycling LC'!AD43-'Propylene Recycling LC'!$C$74*'Propylene Recycling LC'!$C$43</f>
        <v>-2028.6071943922327</v>
      </c>
      <c r="AF45" s="183">
        <f>'Propylene Recycling LC'!AE74*'Propylene Recycling LC'!AE43-'Propylene Recycling LC'!$C$74*'Propylene Recycling LC'!$C$43</f>
        <v>-2188.0797888301977</v>
      </c>
      <c r="AG45" s="183">
        <f>'Propylene Recycling LC'!AF74*'Propylene Recycling LC'!AF43-'Propylene Recycling LC'!$C$74*'Propylene Recycling LC'!$C$43</f>
        <v>-2346.0343142213155</v>
      </c>
      <c r="AH45" s="183">
        <f>'Propylene Recycling LC'!AG74*'Propylene Recycling LC'!AG43-'Propylene Recycling LC'!$C$74*'Propylene Recycling LC'!$C$43</f>
        <v>-2501.7974390026448</v>
      </c>
    </row>
    <row r="46" spans="1:34" s="62" customFormat="1">
      <c r="A46" s="58"/>
      <c r="B46" s="58" t="s">
        <v>267</v>
      </c>
      <c r="C46" s="59" t="s">
        <v>1420</v>
      </c>
      <c r="D46" s="577">
        <f>D43-D44-D45</f>
        <v>1598212.8065688689</v>
      </c>
      <c r="E46" s="577">
        <f t="shared" ref="E46:AH46" si="18">E43-E44-E45</f>
        <v>1572163.0065034265</v>
      </c>
      <c r="F46" s="577">
        <f t="shared" si="18"/>
        <v>1546088.989252416</v>
      </c>
      <c r="G46" s="577">
        <f t="shared" si="18"/>
        <v>1519998.8672254675</v>
      </c>
      <c r="H46" s="577">
        <f t="shared" si="18"/>
        <v>1493900.6884719564</v>
      </c>
      <c r="I46" s="577">
        <f t="shared" si="18"/>
        <v>1467802.4369700181</v>
      </c>
      <c r="J46" s="577">
        <f t="shared" si="18"/>
        <v>1441712.0329148921</v>
      </c>
      <c r="K46" s="577">
        <f t="shared" si="18"/>
        <v>1415637.3330065862</v>
      </c>
      <c r="L46" s="577">
        <f t="shared" si="18"/>
        <v>1389586.1307368611</v>
      </c>
      <c r="M46" s="577">
        <f t="shared" si="18"/>
        <v>1363566.1566755318</v>
      </c>
      <c r="N46" s="577">
        <f t="shared" si="18"/>
        <v>1337585.0787560823</v>
      </c>
      <c r="O46" s="577">
        <f t="shared" si="18"/>
        <v>1307806.0061310125</v>
      </c>
      <c r="P46" s="577">
        <f t="shared" si="18"/>
        <v>1279585.9128949051</v>
      </c>
      <c r="Q46" s="577">
        <f t="shared" si="18"/>
        <v>1250328.4281742857</v>
      </c>
      <c r="R46" s="577">
        <f t="shared" si="18"/>
        <v>1221134.7215213834</v>
      </c>
      <c r="S46" s="577">
        <f t="shared" si="18"/>
        <v>1192018.5148557532</v>
      </c>
      <c r="T46" s="577">
        <f t="shared" si="18"/>
        <v>1162993.4200508476</v>
      </c>
      <c r="U46" s="577">
        <f t="shared" si="18"/>
        <v>1134072.9394788626</v>
      </c>
      <c r="V46" s="577">
        <f t="shared" si="18"/>
        <v>1105270.4665529204</v>
      </c>
      <c r="W46" s="577">
        <f t="shared" si="18"/>
        <v>1076599.2862666056</v>
      </c>
      <c r="X46" s="577">
        <f t="shared" si="18"/>
        <v>1048072.5757308676</v>
      </c>
      <c r="Y46" s="577">
        <f t="shared" si="18"/>
        <v>1020885.4503965512</v>
      </c>
      <c r="Z46" s="577">
        <f t="shared" si="18"/>
        <v>992173.14449601842</v>
      </c>
      <c r="AA46" s="577">
        <f t="shared" si="18"/>
        <v>963360.06349709409</v>
      </c>
      <c r="AB46" s="577">
        <f t="shared" si="18"/>
        <v>934440.82962447999</v>
      </c>
      <c r="AC46" s="577">
        <f t="shared" si="18"/>
        <v>905430.58717425703</v>
      </c>
      <c r="AD46" s="577">
        <f t="shared" si="18"/>
        <v>876344.38491275441</v>
      </c>
      <c r="AE46" s="577">
        <f t="shared" si="18"/>
        <v>847197.17665369296</v>
      </c>
      <c r="AF46" s="577">
        <f t="shared" si="18"/>
        <v>818003.82180716528</v>
      </c>
      <c r="AG46" s="577">
        <f t="shared" si="18"/>
        <v>788779.08590084838</v>
      </c>
      <c r="AH46" s="577">
        <f t="shared" si="18"/>
        <v>759537.64107385091</v>
      </c>
    </row>
    <row r="47" spans="1:34" s="61" customFormat="1">
      <c r="A47" s="54" t="s">
        <v>262</v>
      </c>
      <c r="B47" s="54" t="s">
        <v>200</v>
      </c>
      <c r="C47" s="93" t="s">
        <v>1420</v>
      </c>
      <c r="D47" s="572">
        <f>D13</f>
        <v>816476.05129449558</v>
      </c>
      <c r="E47" s="572">
        <f t="shared" ref="E47:AH47" si="19">E13</f>
        <v>828943.73679044144</v>
      </c>
      <c r="F47" s="572">
        <f t="shared" si="19"/>
        <v>841597.7367390095</v>
      </c>
      <c r="G47" s="572">
        <f t="shared" si="19"/>
        <v>854440.763968318</v>
      </c>
      <c r="H47" s="572">
        <f t="shared" si="19"/>
        <v>867475.56953159533</v>
      </c>
      <c r="I47" s="572">
        <f t="shared" si="19"/>
        <v>880704.94322258176</v>
      </c>
      <c r="J47" s="572">
        <f t="shared" si="19"/>
        <v>894131.71409744746</v>
      </c>
      <c r="K47" s="572">
        <f t="shared" si="19"/>
        <v>907758.75100330065</v>
      </c>
      <c r="L47" s="572">
        <f t="shared" si="19"/>
        <v>921588.96311336046</v>
      </c>
      <c r="M47" s="572">
        <f t="shared" si="19"/>
        <v>935625.30046887114</v>
      </c>
      <c r="N47" s="572">
        <f t="shared" si="19"/>
        <v>949870.7545278318</v>
      </c>
      <c r="O47" s="572">
        <f t="shared" si="19"/>
        <v>961891.21420577087</v>
      </c>
      <c r="P47" s="572">
        <f t="shared" si="19"/>
        <v>974013.77469047077</v>
      </c>
      <c r="Q47" s="572">
        <f t="shared" si="19"/>
        <v>986238.26850158873</v>
      </c>
      <c r="R47" s="572">
        <f t="shared" si="19"/>
        <v>998564.49661923817</v>
      </c>
      <c r="S47" s="572">
        <f t="shared" si="19"/>
        <v>1010992.2276322347</v>
      </c>
      <c r="T47" s="572">
        <f t="shared" si="19"/>
        <v>1023521.1968712938</v>
      </c>
      <c r="U47" s="572">
        <f t="shared" si="19"/>
        <v>1036151.1055270277</v>
      </c>
      <c r="V47" s="572">
        <f t="shared" si="19"/>
        <v>1048881.6197525905</v>
      </c>
      <c r="W47" s="572">
        <f t="shared" si="19"/>
        <v>1061712.3697508245</v>
      </c>
      <c r="X47" s="572">
        <f t="shared" si="19"/>
        <v>1074642.9488457576</v>
      </c>
      <c r="Y47" s="572">
        <f t="shared" si="19"/>
        <v>1079331.7713344847</v>
      </c>
      <c r="Z47" s="572">
        <f t="shared" si="19"/>
        <v>1083844.7919894767</v>
      </c>
      <c r="AA47" s="572">
        <f t="shared" si="19"/>
        <v>1088176.510671878</v>
      </c>
      <c r="AB47" s="572">
        <f t="shared" si="19"/>
        <v>1092321.3604632553</v>
      </c>
      <c r="AC47" s="572">
        <f t="shared" si="19"/>
        <v>1096273.708815356</v>
      </c>
      <c r="AD47" s="572">
        <f t="shared" si="19"/>
        <v>1100027.8588004375</v>
      </c>
      <c r="AE47" s="572">
        <f t="shared" si="19"/>
        <v>1103578.0504661645</v>
      </c>
      <c r="AF47" s="572">
        <f t="shared" si="19"/>
        <v>1106918.4622991888</v>
      </c>
      <c r="AG47" s="572">
        <f t="shared" si="19"/>
        <v>1110043.212801659</v>
      </c>
      <c r="AH47" s="572">
        <f t="shared" si="19"/>
        <v>1112946.36218504</v>
      </c>
    </row>
    <row r="48" spans="1:34" outlineLevel="1">
      <c r="A48"/>
      <c r="B48" t="s">
        <v>266</v>
      </c>
      <c r="C48" s="50" t="s">
        <v>1420</v>
      </c>
      <c r="D48" s="183">
        <f>0</f>
        <v>0</v>
      </c>
      <c r="E48" s="183">
        <f>'Propylene Recycling LC'!D71*'Propylene Recycling LC'!D43-'Propylene Recycling LC'!$C$71*'Propylene Recycling LC'!$C$43</f>
        <v>1001.5643610398356</v>
      </c>
      <c r="F48" s="183">
        <f>'Propylene Recycling LC'!E71*'Propylene Recycling LC'!E43-'Propylene Recycling LC'!$C$71*'Propylene Recycling LC'!$C$43</f>
        <v>2089.2750974594719</v>
      </c>
      <c r="G48" s="183">
        <f>'Propylene Recycling LC'!F71*'Propylene Recycling LC'!F43-'Propylene Recycling LC'!$C$71*'Propylene Recycling LC'!$C$43</f>
        <v>3256.9856072049806</v>
      </c>
      <c r="H48" s="183">
        <f>'Propylene Recycling LC'!G71*'Propylene Recycling LC'!G43-'Propylene Recycling LC'!$C$71*'Propylene Recycling LC'!$C$43</f>
        <v>4498.6010024470206</v>
      </c>
      <c r="I48" s="183">
        <f>'Propylene Recycling LC'!H71*'Propylene Recycling LC'!H43-'Propylene Recycling LC'!$C$71*'Propylene Recycling LC'!$C$43</f>
        <v>5808.0778289264053</v>
      </c>
      <c r="J48" s="183">
        <f>'Propylene Recycling LC'!I71*'Propylene Recycling LC'!I43-'Propylene Recycling LC'!$C$71*'Propylene Recycling LC'!$C$43</f>
        <v>7179.4237865282557</v>
      </c>
      <c r="K48" s="183">
        <f>'Propylene Recycling LC'!J71*'Propylene Recycling LC'!J43-'Propylene Recycling LC'!$C$71*'Propylene Recycling LC'!$C$43</f>
        <v>8606.6974510800101</v>
      </c>
      <c r="L48" s="183">
        <f>'Propylene Recycling LC'!K71*'Propylene Recycling LC'!K43-'Propylene Recycling LC'!$C$71*'Propylene Recycling LC'!$C$43</f>
        <v>10084.007997368592</v>
      </c>
      <c r="M48" s="183">
        <f>'Propylene Recycling LC'!L71*'Propylene Recycling LC'!L43-'Propylene Recycling LC'!$C$71*'Propylene Recycling LC'!$C$43</f>
        <v>11605.514923372068</v>
      </c>
      <c r="N48" s="183">
        <f>'Propylene Recycling LC'!M71*'Propylene Recycling LC'!M43-'Propylene Recycling LC'!$C$71*'Propylene Recycling LC'!$C$43</f>
        <v>13165.42777570108</v>
      </c>
      <c r="O48" s="183">
        <f>'Propylene Recycling LC'!N71*'Propylene Recycling LC'!N43-'Propylene Recycling LC'!$C$71*'Propylene Recycling LC'!$C$43</f>
        <v>14515.45819559239</v>
      </c>
      <c r="P48" s="183">
        <f>'Propylene Recycling LC'!O71*'Propylene Recycling LC'!O43-'Propylene Recycling LC'!$C$71*'Propylene Recycling LC'!$C$43</f>
        <v>15868.909015214918</v>
      </c>
      <c r="Q48" s="183">
        <f>'Propylene Recycling LC'!P71*'Propylene Recycling LC'!P43-'Propylene Recycling LC'!$C$71*'Propylene Recycling LC'!$C$43</f>
        <v>17154.487615630012</v>
      </c>
      <c r="R48" s="183">
        <f>'Propylene Recycling LC'!Q71*'Propylene Recycling LC'!Q43-'Propylene Recycling LC'!$C$71*'Propylene Recycling LC'!$C$43</f>
        <v>18426.777138431866</v>
      </c>
      <c r="S48" s="183">
        <f>'Propylene Recycling LC'!R71*'Propylene Recycling LC'!R43-'Propylene Recycling LC'!$C$71*'Propylene Recycling LC'!$C$43</f>
        <v>19682.193582795131</v>
      </c>
      <c r="T48" s="183">
        <f>'Propylene Recycling LC'!S71*'Propylene Recycling LC'!S43-'Propylene Recycling LC'!$C$71*'Propylene Recycling LC'!$C$43</f>
        <v>20917.235054734429</v>
      </c>
      <c r="U48" s="183">
        <f>'Propylene Recycling LC'!T71*'Propylene Recycling LC'!T43-'Propylene Recycling LC'!$C$71*'Propylene Recycling LC'!$C$43</f>
        <v>22128.48130684123</v>
      </c>
      <c r="V48" s="183">
        <f>'Propylene Recycling LC'!U71*'Propylene Recycling LC'!U43-'Propylene Recycling LC'!$C$71*'Propylene Recycling LC'!$C$43</f>
        <v>23312.593272878919</v>
      </c>
      <c r="W48" s="183">
        <f>'Propylene Recycling LC'!V71*'Propylene Recycling LC'!V43-'Propylene Recycling LC'!$C$71*'Propylene Recycling LC'!$C$43</f>
        <v>24466.312597334683</v>
      </c>
      <c r="X48" s="183">
        <f>'Propylene Recycling LC'!W71*'Propylene Recycling LC'!W43-'Propylene Recycling LC'!$C$71*'Propylene Recycling LC'!$C$43</f>
        <v>25586.461160026025</v>
      </c>
      <c r="Y48" s="183">
        <f>'Propylene Recycling LC'!X71*'Propylene Recycling LC'!X43-'Propylene Recycling LC'!$C$71*'Propylene Recycling LC'!$C$43</f>
        <v>27023.745731083742</v>
      </c>
      <c r="Z48" s="183">
        <f>'Propylene Recycling LC'!Y71*'Propylene Recycling LC'!Y43-'Propylene Recycling LC'!$C$71*'Propylene Recycling LC'!$C$43</f>
        <v>28430.454124577056</v>
      </c>
      <c r="AA48" s="183">
        <f>'Propylene Recycling LC'!Z71*'Propylene Recycling LC'!Z43-'Propylene Recycling LC'!$C$71*'Propylene Recycling LC'!$C$43</f>
        <v>29535.080690974784</v>
      </c>
      <c r="AB48" s="183">
        <f>'Propylene Recycling LC'!AA71*'Propylene Recycling LC'!AA43-'Propylene Recycling LC'!$C$71*'Propylene Recycling LC'!$C$43</f>
        <v>30574.590520796304</v>
      </c>
      <c r="AC48" s="183">
        <f>'Propylene Recycling LC'!AB71*'Propylene Recycling LC'!AB43-'Propylene Recycling LC'!$C$71*'Propylene Recycling LC'!$C$43</f>
        <v>31545.046772103804</v>
      </c>
      <c r="AD48" s="183">
        <f>'Propylene Recycling LC'!AC71*'Propylene Recycling LC'!AC43-'Propylene Recycling LC'!$C$71*'Propylene Recycling LC'!$C$43</f>
        <v>32442.815130686908</v>
      </c>
      <c r="AE48" s="183">
        <f>'Propylene Recycling LC'!AD71*'Propylene Recycling LC'!AD43-'Propylene Recycling LC'!$C$71*'Propylene Recycling LC'!$C$43</f>
        <v>33264.561486740276</v>
      </c>
      <c r="AF48" s="183">
        <f>'Propylene Recycling LC'!AE71*'Propylene Recycling LC'!AE43-'Propylene Recycling LC'!$C$71*'Propylene Recycling LC'!$C$43</f>
        <v>34007.249417618237</v>
      </c>
      <c r="AG48" s="183">
        <f>'Propylene Recycling LC'!AF71*'Propylene Recycling LC'!AF43-'Propylene Recycling LC'!$C$71*'Propylene Recycling LC'!$C$43</f>
        <v>34668.137479790399</v>
      </c>
      <c r="AH48" s="183">
        <f>'Propylene Recycling LC'!AG71*'Propylene Recycling LC'!AG43-'Propylene Recycling LC'!$C$71*'Propylene Recycling LC'!$C$43</f>
        <v>35244.776313094524</v>
      </c>
    </row>
    <row r="49" spans="1:34" s="62" customFormat="1">
      <c r="A49" s="58"/>
      <c r="B49" s="58" t="s">
        <v>267</v>
      </c>
      <c r="C49" s="59" t="s">
        <v>1420</v>
      </c>
      <c r="D49" s="577">
        <f>D47-D48</f>
        <v>816476.05129449558</v>
      </c>
      <c r="E49" s="577">
        <f t="shared" ref="E49:AH49" si="20">E47-E48</f>
        <v>827942.17242940166</v>
      </c>
      <c r="F49" s="577">
        <f t="shared" si="20"/>
        <v>839508.46164155006</v>
      </c>
      <c r="G49" s="577">
        <f t="shared" si="20"/>
        <v>851183.77836111304</v>
      </c>
      <c r="H49" s="577">
        <f t="shared" si="20"/>
        <v>862976.96852914826</v>
      </c>
      <c r="I49" s="577">
        <f t="shared" si="20"/>
        <v>874896.86539365537</v>
      </c>
      <c r="J49" s="577">
        <f t="shared" si="20"/>
        <v>886952.29031091917</v>
      </c>
      <c r="K49" s="577">
        <f t="shared" si="20"/>
        <v>899152.05355222069</v>
      </c>
      <c r="L49" s="577">
        <f t="shared" si="20"/>
        <v>911504.95511599188</v>
      </c>
      <c r="M49" s="577">
        <f t="shared" si="20"/>
        <v>924019.78554549906</v>
      </c>
      <c r="N49" s="577">
        <f t="shared" si="20"/>
        <v>936705.32675213076</v>
      </c>
      <c r="O49" s="577">
        <f t="shared" si="20"/>
        <v>947375.75601017848</v>
      </c>
      <c r="P49" s="577">
        <f t="shared" si="20"/>
        <v>958144.86567525589</v>
      </c>
      <c r="Q49" s="577">
        <f t="shared" si="20"/>
        <v>969083.78088595869</v>
      </c>
      <c r="R49" s="577">
        <f t="shared" si="20"/>
        <v>980137.71948080626</v>
      </c>
      <c r="S49" s="577">
        <f t="shared" si="20"/>
        <v>991310.03404943959</v>
      </c>
      <c r="T49" s="577">
        <f t="shared" si="20"/>
        <v>1002603.9618165594</v>
      </c>
      <c r="U49" s="577">
        <f t="shared" si="20"/>
        <v>1014022.6242201865</v>
      </c>
      <c r="V49" s="577">
        <f t="shared" si="20"/>
        <v>1025569.0264797116</v>
      </c>
      <c r="W49" s="577">
        <f t="shared" si="20"/>
        <v>1037246.0571534898</v>
      </c>
      <c r="X49" s="577">
        <f t="shared" si="20"/>
        <v>1049056.4876857316</v>
      </c>
      <c r="Y49" s="577">
        <f t="shared" si="20"/>
        <v>1052308.025603401</v>
      </c>
      <c r="Z49" s="577">
        <f t="shared" si="20"/>
        <v>1055414.3378648995</v>
      </c>
      <c r="AA49" s="577">
        <f t="shared" si="20"/>
        <v>1058641.4299809032</v>
      </c>
      <c r="AB49" s="577">
        <f t="shared" si="20"/>
        <v>1061746.769942459</v>
      </c>
      <c r="AC49" s="577">
        <f t="shared" si="20"/>
        <v>1064728.6620432523</v>
      </c>
      <c r="AD49" s="577">
        <f t="shared" si="20"/>
        <v>1067585.0436697507</v>
      </c>
      <c r="AE49" s="577">
        <f t="shared" si="20"/>
        <v>1070313.4889794241</v>
      </c>
      <c r="AF49" s="577">
        <f t="shared" si="20"/>
        <v>1072911.2128815707</v>
      </c>
      <c r="AG49" s="577">
        <f t="shared" si="20"/>
        <v>1075375.0753218685</v>
      </c>
      <c r="AH49" s="577">
        <f t="shared" si="20"/>
        <v>1077701.5858719456</v>
      </c>
    </row>
    <row r="50" spans="1:34" s="61" customFormat="1">
      <c r="A50" s="54" t="s">
        <v>519</v>
      </c>
      <c r="B50" s="54" t="s">
        <v>200</v>
      </c>
      <c r="C50" s="93" t="s">
        <v>1420</v>
      </c>
      <c r="D50" s="572">
        <f>D31</f>
        <v>0</v>
      </c>
      <c r="E50" s="572">
        <f t="shared" ref="E50:AH50" si="21">E31</f>
        <v>0</v>
      </c>
      <c r="F50" s="572">
        <f t="shared" si="21"/>
        <v>0</v>
      </c>
      <c r="G50" s="572">
        <f t="shared" si="21"/>
        <v>0</v>
      </c>
      <c r="H50" s="572">
        <f t="shared" si="21"/>
        <v>0</v>
      </c>
      <c r="I50" s="572">
        <f t="shared" si="21"/>
        <v>0</v>
      </c>
      <c r="J50" s="572">
        <f t="shared" si="21"/>
        <v>0</v>
      </c>
      <c r="K50" s="572">
        <f t="shared" si="21"/>
        <v>0</v>
      </c>
      <c r="L50" s="572">
        <f t="shared" si="21"/>
        <v>0</v>
      </c>
      <c r="M50" s="572">
        <f t="shared" si="21"/>
        <v>0</v>
      </c>
      <c r="N50" s="572">
        <f t="shared" si="21"/>
        <v>0</v>
      </c>
      <c r="O50" s="572">
        <f t="shared" si="21"/>
        <v>0</v>
      </c>
      <c r="P50" s="572">
        <f t="shared" si="21"/>
        <v>0</v>
      </c>
      <c r="Q50" s="572">
        <f t="shared" si="21"/>
        <v>0</v>
      </c>
      <c r="R50" s="572">
        <f t="shared" si="21"/>
        <v>0</v>
      </c>
      <c r="S50" s="572">
        <f t="shared" si="21"/>
        <v>0</v>
      </c>
      <c r="T50" s="572">
        <f t="shared" si="21"/>
        <v>0</v>
      </c>
      <c r="U50" s="572">
        <f t="shared" si="21"/>
        <v>0</v>
      </c>
      <c r="V50" s="572">
        <f t="shared" si="21"/>
        <v>0</v>
      </c>
      <c r="W50" s="572">
        <f t="shared" si="21"/>
        <v>0</v>
      </c>
      <c r="X50" s="572">
        <f t="shared" si="21"/>
        <v>0</v>
      </c>
      <c r="Y50" s="572">
        <f t="shared" si="21"/>
        <v>0</v>
      </c>
      <c r="Z50" s="572">
        <f t="shared" si="21"/>
        <v>0</v>
      </c>
      <c r="AA50" s="572">
        <f t="shared" si="21"/>
        <v>0</v>
      </c>
      <c r="AB50" s="572">
        <f t="shared" si="21"/>
        <v>0</v>
      </c>
      <c r="AC50" s="572">
        <f t="shared" si="21"/>
        <v>0</v>
      </c>
      <c r="AD50" s="572">
        <f t="shared" si="21"/>
        <v>0</v>
      </c>
      <c r="AE50" s="572">
        <f t="shared" si="21"/>
        <v>0</v>
      </c>
      <c r="AF50" s="572">
        <f t="shared" si="21"/>
        <v>0</v>
      </c>
      <c r="AG50" s="572">
        <f t="shared" si="21"/>
        <v>0</v>
      </c>
      <c r="AH50" s="572">
        <f t="shared" si="21"/>
        <v>0</v>
      </c>
    </row>
    <row r="51" spans="1:34" outlineLevel="1">
      <c r="A51"/>
      <c r="B51" t="s">
        <v>266</v>
      </c>
      <c r="C51" s="50" t="s">
        <v>1420</v>
      </c>
      <c r="D51" s="183">
        <f>0</f>
        <v>0</v>
      </c>
      <c r="E51" s="183">
        <f>0</f>
        <v>0</v>
      </c>
      <c r="F51" s="183">
        <f>0</f>
        <v>0</v>
      </c>
      <c r="G51" s="183">
        <f>0</f>
        <v>0</v>
      </c>
      <c r="H51" s="183">
        <f>0</f>
        <v>0</v>
      </c>
      <c r="I51" s="183">
        <f>0</f>
        <v>0</v>
      </c>
      <c r="J51" s="183">
        <f>0</f>
        <v>0</v>
      </c>
      <c r="K51" s="183">
        <f>0</f>
        <v>0</v>
      </c>
      <c r="L51" s="183">
        <f>0</f>
        <v>0</v>
      </c>
      <c r="M51" s="183">
        <f>0</f>
        <v>0</v>
      </c>
      <c r="N51" s="183">
        <f>0</f>
        <v>0</v>
      </c>
      <c r="O51" s="183">
        <f>0</f>
        <v>0</v>
      </c>
      <c r="P51" s="183">
        <f>0</f>
        <v>0</v>
      </c>
      <c r="Q51" s="183">
        <f>0</f>
        <v>0</v>
      </c>
      <c r="R51" s="183">
        <f>0</f>
        <v>0</v>
      </c>
      <c r="S51" s="183">
        <f>0</f>
        <v>0</v>
      </c>
      <c r="T51" s="183">
        <f>0</f>
        <v>0</v>
      </c>
      <c r="U51" s="183">
        <f>0</f>
        <v>0</v>
      </c>
      <c r="V51" s="183">
        <f>0</f>
        <v>0</v>
      </c>
      <c r="W51" s="183">
        <f>0</f>
        <v>0</v>
      </c>
      <c r="X51" s="183">
        <f>0</f>
        <v>0</v>
      </c>
      <c r="Y51" s="183">
        <f>0</f>
        <v>0</v>
      </c>
      <c r="Z51" s="183">
        <f>0</f>
        <v>0</v>
      </c>
      <c r="AA51" s="183">
        <f>0</f>
        <v>0</v>
      </c>
      <c r="AB51" s="183">
        <f>0</f>
        <v>0</v>
      </c>
      <c r="AC51" s="183">
        <f>0</f>
        <v>0</v>
      </c>
      <c r="AD51" s="183">
        <f>0</f>
        <v>0</v>
      </c>
      <c r="AE51" s="183">
        <f>0</f>
        <v>0</v>
      </c>
      <c r="AF51" s="183">
        <f>0</f>
        <v>0</v>
      </c>
      <c r="AG51" s="183">
        <f>0</f>
        <v>0</v>
      </c>
      <c r="AH51" s="183">
        <f>0</f>
        <v>0</v>
      </c>
    </row>
    <row r="52" spans="1:34" outlineLevel="1">
      <c r="A52"/>
      <c r="B52" t="s">
        <v>268</v>
      </c>
      <c r="C52" s="50" t="s">
        <v>1420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</row>
    <row r="53" spans="1:34" s="62" customFormat="1">
      <c r="A53" s="58"/>
      <c r="B53" s="58" t="s">
        <v>267</v>
      </c>
      <c r="C53" s="59" t="s">
        <v>1420</v>
      </c>
      <c r="D53" s="577">
        <f>D50-D51-D52</f>
        <v>0</v>
      </c>
      <c r="E53" s="577">
        <f t="shared" ref="E53:AH53" si="22">E50-E51-E52</f>
        <v>0</v>
      </c>
      <c r="F53" s="577">
        <f t="shared" si="22"/>
        <v>0</v>
      </c>
      <c r="G53" s="577">
        <f t="shared" si="22"/>
        <v>0</v>
      </c>
      <c r="H53" s="577">
        <f t="shared" si="22"/>
        <v>0</v>
      </c>
      <c r="I53" s="577">
        <f t="shared" si="22"/>
        <v>0</v>
      </c>
      <c r="J53" s="577">
        <f t="shared" si="22"/>
        <v>0</v>
      </c>
      <c r="K53" s="577">
        <f t="shared" si="22"/>
        <v>0</v>
      </c>
      <c r="L53" s="577">
        <f t="shared" si="22"/>
        <v>0</v>
      </c>
      <c r="M53" s="577">
        <f t="shared" si="22"/>
        <v>0</v>
      </c>
      <c r="N53" s="577">
        <f t="shared" si="22"/>
        <v>0</v>
      </c>
      <c r="O53" s="577">
        <f t="shared" si="22"/>
        <v>0</v>
      </c>
      <c r="P53" s="577">
        <f t="shared" si="22"/>
        <v>0</v>
      </c>
      <c r="Q53" s="577">
        <f t="shared" si="22"/>
        <v>0</v>
      </c>
      <c r="R53" s="577">
        <f t="shared" si="22"/>
        <v>0</v>
      </c>
      <c r="S53" s="577">
        <f t="shared" si="22"/>
        <v>0</v>
      </c>
      <c r="T53" s="577">
        <f t="shared" si="22"/>
        <v>0</v>
      </c>
      <c r="U53" s="577">
        <f t="shared" si="22"/>
        <v>0</v>
      </c>
      <c r="V53" s="577">
        <f t="shared" si="22"/>
        <v>0</v>
      </c>
      <c r="W53" s="577">
        <f t="shared" si="22"/>
        <v>0</v>
      </c>
      <c r="X53" s="577">
        <f t="shared" si="22"/>
        <v>0</v>
      </c>
      <c r="Y53" s="577">
        <f t="shared" si="22"/>
        <v>0</v>
      </c>
      <c r="Z53" s="577">
        <f t="shared" si="22"/>
        <v>0</v>
      </c>
      <c r="AA53" s="577">
        <f t="shared" si="22"/>
        <v>0</v>
      </c>
      <c r="AB53" s="577">
        <f t="shared" si="22"/>
        <v>0</v>
      </c>
      <c r="AC53" s="577">
        <f t="shared" si="22"/>
        <v>0</v>
      </c>
      <c r="AD53" s="577">
        <f t="shared" si="22"/>
        <v>0</v>
      </c>
      <c r="AE53" s="577">
        <f t="shared" si="22"/>
        <v>0</v>
      </c>
      <c r="AF53" s="577">
        <f t="shared" si="22"/>
        <v>0</v>
      </c>
      <c r="AG53" s="577">
        <f t="shared" si="22"/>
        <v>0</v>
      </c>
      <c r="AH53" s="577">
        <f t="shared" si="22"/>
        <v>0</v>
      </c>
    </row>
    <row r="54" spans="1:34" s="61" customFormat="1">
      <c r="A54" s="54" t="s">
        <v>263</v>
      </c>
      <c r="B54" s="54" t="s">
        <v>200</v>
      </c>
      <c r="C54" s="93" t="s">
        <v>1420</v>
      </c>
      <c r="D54" s="572">
        <f>D25</f>
        <v>350789.70130119962</v>
      </c>
      <c r="E54" s="572">
        <f t="shared" ref="E54:AH54" si="23">E25</f>
        <v>345816.38952354999</v>
      </c>
      <c r="F54" s="572">
        <f t="shared" si="23"/>
        <v>340895.35423096974</v>
      </c>
      <c r="G54" s="572">
        <f t="shared" si="23"/>
        <v>336026.10836550849</v>
      </c>
      <c r="H54" s="572">
        <f t="shared" si="23"/>
        <v>331208.16911868949</v>
      </c>
      <c r="I54" s="572">
        <f t="shared" si="23"/>
        <v>326441.05789593636</v>
      </c>
      <c r="J54" s="572">
        <f t="shared" si="23"/>
        <v>321724.30028129037</v>
      </c>
      <c r="K54" s="572">
        <f t="shared" si="23"/>
        <v>317057.42600241432</v>
      </c>
      <c r="L54" s="572">
        <f t="shared" si="23"/>
        <v>312439.96889588097</v>
      </c>
      <c r="M54" s="572">
        <f t="shared" si="23"/>
        <v>307871.46687274455</v>
      </c>
      <c r="N54" s="572">
        <f t="shared" si="23"/>
        <v>303351.46188439231</v>
      </c>
      <c r="O54" s="572">
        <f t="shared" si="23"/>
        <v>298879.49988867395</v>
      </c>
      <c r="P54" s="572">
        <f t="shared" si="23"/>
        <v>294455.13081630733</v>
      </c>
      <c r="Q54" s="572">
        <f t="shared" si="23"/>
        <v>290077.90853755758</v>
      </c>
      <c r="R54" s="572">
        <f t="shared" si="23"/>
        <v>285747.39082918747</v>
      </c>
      <c r="S54" s="572">
        <f t="shared" si="23"/>
        <v>281463.1393416776</v>
      </c>
      <c r="T54" s="572">
        <f t="shared" si="23"/>
        <v>277224.71956671332</v>
      </c>
      <c r="U54" s="572">
        <f t="shared" si="23"/>
        <v>273031.70080493676</v>
      </c>
      <c r="V54" s="572">
        <f t="shared" si="23"/>
        <v>268883.65613396175</v>
      </c>
      <c r="W54" s="572">
        <f t="shared" si="23"/>
        <v>264780.16237664991</v>
      </c>
      <c r="X54" s="572">
        <f t="shared" si="23"/>
        <v>260720.8000696447</v>
      </c>
      <c r="Y54" s="572">
        <f t="shared" si="23"/>
        <v>256638.51925117441</v>
      </c>
      <c r="Z54" s="572">
        <f t="shared" si="23"/>
        <v>252600.47059525459</v>
      </c>
      <c r="AA54" s="572">
        <f t="shared" si="23"/>
        <v>248606.23588759315</v>
      </c>
      <c r="AB54" s="572">
        <f t="shared" si="23"/>
        <v>244655.40059454073</v>
      </c>
      <c r="AC54" s="572">
        <f t="shared" si="23"/>
        <v>240747.55383210268</v>
      </c>
      <c r="AD54" s="572">
        <f t="shared" si="23"/>
        <v>236882.28833520447</v>
      </c>
      <c r="AE54" s="572">
        <f t="shared" si="23"/>
        <v>233059.20042720766</v>
      </c>
      <c r="AF54" s="572">
        <f t="shared" si="23"/>
        <v>229277.88998967555</v>
      </c>
      <c r="AG54" s="572">
        <f t="shared" si="23"/>
        <v>225537.9604323855</v>
      </c>
      <c r="AH54" s="572">
        <f t="shared" si="23"/>
        <v>221839.01866358699</v>
      </c>
    </row>
    <row r="55" spans="1:34" outlineLevel="1">
      <c r="A55"/>
      <c r="B55" t="s">
        <v>266</v>
      </c>
      <c r="C55" s="50" t="s">
        <v>1420</v>
      </c>
      <c r="D55" s="183">
        <f>0</f>
        <v>0</v>
      </c>
      <c r="E55" s="183">
        <f>'Propylene Recycling LC'!D82*'Propylene Recycling LC'!D44-'Propylene Recycling LC'!$C$82*'Propylene Recycling LC'!$C$44</f>
        <v>66.380688359245127</v>
      </c>
      <c r="F55" s="183">
        <f>'Propylene Recycling LC'!E82*'Propylene Recycling LC'!E44-'Propylene Recycling LC'!$C$82*'Propylene Recycling LC'!$C$44</f>
        <v>201.00760748039701</v>
      </c>
      <c r="G55" s="183">
        <f>'Propylene Recycling LC'!F82*'Propylene Recycling LC'!F44-'Propylene Recycling LC'!$C$82*'Propylene Recycling LC'!$C$44</f>
        <v>403.42781088693408</v>
      </c>
      <c r="H55" s="183">
        <f>'Propylene Recycling LC'!G82*'Propylene Recycling LC'!G44-'Propylene Recycling LC'!$C$82*'Propylene Recycling LC'!$C$44</f>
        <v>673.19035335709623</v>
      </c>
      <c r="I55" s="183">
        <f>'Propylene Recycling LC'!H82*'Propylene Recycling LC'!H44-'Propylene Recycling LC'!$C$82*'Propylene Recycling LC'!$C$44</f>
        <v>1009.8462835580576</v>
      </c>
      <c r="J55" s="183">
        <f>'Propylene Recycling LC'!I82*'Propylene Recycling LC'!I44-'Propylene Recycling LC'!$C$82*'Propylene Recycling LC'!$C$44</f>
        <v>1412.9486367044967</v>
      </c>
      <c r="K55" s="183">
        <f>'Propylene Recycling LC'!J82*'Propylene Recycling LC'!J44-'Propylene Recycling LC'!$C$82*'Propylene Recycling LC'!$C$44</f>
        <v>1882.0524272414862</v>
      </c>
      <c r="L55" s="183">
        <f>'Propylene Recycling LC'!K82*'Propylene Recycling LC'!K44-'Propylene Recycling LC'!$C$82*'Propylene Recycling LC'!$C$44</f>
        <v>2416.7146415516263</v>
      </c>
      <c r="M55" s="183">
        <f>'Propylene Recycling LC'!L82*'Propylene Recycling LC'!L44-'Propylene Recycling LC'!$C$82*'Propylene Recycling LC'!$C$44</f>
        <v>3016.4942306863545</v>
      </c>
      <c r="N55" s="183">
        <f>'Propylene Recycling LC'!M82*'Propylene Recycling LC'!M44-'Propylene Recycling LC'!$C$82*'Propylene Recycling LC'!$C$44</f>
        <v>3680.952103121344</v>
      </c>
      <c r="O55" s="183">
        <f>'Propylene Recycling LC'!N82*'Propylene Recycling LC'!N44-'Propylene Recycling LC'!$C$82*'Propylene Recycling LC'!$C$44</f>
        <v>4288.3773832398947</v>
      </c>
      <c r="P55" s="183">
        <f>'Propylene Recycling LC'!O82*'Propylene Recycling LC'!O44-'Propylene Recycling LC'!$C$82*'Propylene Recycling LC'!$C$44</f>
        <v>4938.1429553515236</v>
      </c>
      <c r="Q55" s="183">
        <f>'Propylene Recycling LC'!P82*'Propylene Recycling LC'!P44-'Propylene Recycling LC'!$C$82*'Propylene Recycling LC'!$C$44</f>
        <v>5629.9594911141367</v>
      </c>
      <c r="R55" s="183">
        <f>'Propylene Recycling LC'!Q82*'Propylene Recycling LC'!Q44-'Propylene Recycling LC'!$C$82*'Propylene Recycling LC'!$C$44</f>
        <v>6363.5389527707894</v>
      </c>
      <c r="S55" s="183">
        <f>'Propylene Recycling LC'!R82*'Propylene Recycling LC'!R44-'Propylene Recycling LC'!$C$82*'Propylene Recycling LC'!$C$44</f>
        <v>7138.5945883770137</v>
      </c>
      <c r="T55" s="183">
        <f>'Propylene Recycling LC'!S82*'Propylene Recycling LC'!S44-'Propylene Recycling LC'!$C$82*'Propylene Recycling LC'!$C$44</f>
        <v>7954.8409270439888</v>
      </c>
      <c r="U55" s="183">
        <f>'Propylene Recycling LC'!T82*'Propylene Recycling LC'!T44-'Propylene Recycling LC'!$C$82*'Propylene Recycling LC'!$C$44</f>
        <v>8811.9937741975245</v>
      </c>
      <c r="V55" s="183">
        <f>'Propylene Recycling LC'!U82*'Propylene Recycling LC'!U44-'Propylene Recycling LC'!$C$82*'Propylene Recycling LC'!$C$44</f>
        <v>9709.7702068528033</v>
      </c>
      <c r="W55" s="183">
        <f>'Propylene Recycling LC'!V82*'Propylene Recycling LC'!V44-'Propylene Recycling LC'!$C$82*'Propylene Recycling LC'!$C$44</f>
        <v>10647.888568904798</v>
      </c>
      <c r="X55" s="183">
        <f>'Propylene Recycling LC'!W82*'Propylene Recycling LC'!W44-'Propylene Recycling LC'!$C$82*'Propylene Recycling LC'!$C$44</f>
        <v>11626.06846643439</v>
      </c>
      <c r="Y55" s="183">
        <f>'Propylene Recycling LC'!X82*'Propylene Recycling LC'!X44-'Propylene Recycling LC'!$C$82*'Propylene Recycling LC'!$C$44</f>
        <v>12893.336138926961</v>
      </c>
      <c r="Z55" s="183">
        <f>'Propylene Recycling LC'!Y82*'Propylene Recycling LC'!Y44-'Propylene Recycling LC'!$C$82*'Propylene Recycling LC'!$C$44</f>
        <v>14222.698560251381</v>
      </c>
      <c r="AA55" s="183">
        <f>'Propylene Recycling LC'!Z82*'Propylene Recycling LC'!Z44-'Propylene Recycling LC'!$C$82*'Propylene Recycling LC'!$C$44</f>
        <v>15613.725841263898</v>
      </c>
      <c r="AB55" s="183">
        <f>'Propylene Recycling LC'!AA82*'Propylene Recycling LC'!AA44-'Propylene Recycling LC'!$C$82*'Propylene Recycling LC'!$C$44</f>
        <v>17065.990018389231</v>
      </c>
      <c r="AC55" s="183">
        <f>'Propylene Recycling LC'!AB82*'Propylene Recycling LC'!AB44-'Propylene Recycling LC'!$C$82*'Propylene Recycling LC'!$C$44</f>
        <v>18579.06504648507</v>
      </c>
      <c r="AD55" s="183">
        <f>'Propylene Recycling LC'!AC82*'Propylene Recycling LC'!AC44-'Propylene Recycling LC'!$C$82*'Propylene Recycling LC'!$C$44</f>
        <v>20152.526791730295</v>
      </c>
      <c r="AE55" s="183">
        <f>'Propylene Recycling LC'!AD82*'Propylene Recycling LC'!AD44-'Propylene Recycling LC'!$C$82*'Propylene Recycling LC'!$C$44</f>
        <v>21785.95302453687</v>
      </c>
      <c r="AF55" s="183">
        <f>'Propylene Recycling LC'!AE82*'Propylene Recycling LC'!AE44-'Propylene Recycling LC'!$C$82*'Propylene Recycling LC'!$C$44</f>
        <v>23478.923412485321</v>
      </c>
      <c r="AG55" s="183">
        <f>'Propylene Recycling LC'!AF82*'Propylene Recycling LC'!AF44-'Propylene Recycling LC'!$C$82*'Propylene Recycling LC'!$C$44</f>
        <v>25231.019513283682</v>
      </c>
      <c r="AH55" s="183">
        <f>'Propylene Recycling LC'!AG82*'Propylene Recycling LC'!AG44-'Propylene Recycling LC'!$C$82*'Propylene Recycling LC'!$C$44</f>
        <v>27041.824767749971</v>
      </c>
    </row>
    <row r="56" spans="1:34" outlineLevel="1">
      <c r="A56"/>
      <c r="B56" t="s">
        <v>268</v>
      </c>
      <c r="C56" s="50" t="s">
        <v>1420</v>
      </c>
      <c r="D56" s="183">
        <f>0</f>
        <v>0</v>
      </c>
      <c r="E56" s="183">
        <f>'Propylene Recycling LC'!D60*'Propylene Recycling LC'!D42-'Propylene Recycling LC'!$C$60*'Propylene Recycling LC'!$C$42</f>
        <v>5272.6956140983384</v>
      </c>
      <c r="F56" s="183">
        <f>'Propylene Recycling LC'!E60*'Propylene Recycling LC'!E42-'Propylene Recycling LC'!$C$60*'Propylene Recycling LC'!$C$42</f>
        <v>10792.637833005851</v>
      </c>
      <c r="G56" s="183">
        <f>'Propylene Recycling LC'!F60*'Propylene Recycling LC'!F42-'Propylene Recycling LC'!$C$60*'Propylene Recycling LC'!$C$42</f>
        <v>16548.851877376204</v>
      </c>
      <c r="H56" s="183">
        <f>'Propylene Recycling LC'!G60*'Propylene Recycling LC'!G42-'Propylene Recycling LC'!$C$60*'Propylene Recycling LC'!$C$42</f>
        <v>22530.452421126152</v>
      </c>
      <c r="I56" s="183">
        <f>'Propylene Recycling LC'!H60*'Propylene Recycling LC'!H42-'Propylene Recycling LC'!$C$60*'Propylene Recycling LC'!$C$42</f>
        <v>28726.643111677557</v>
      </c>
      <c r="J56" s="183">
        <f>'Propylene Recycling LC'!I60*'Propylene Recycling LC'!I42-'Propylene Recycling LC'!$C$60*'Propylene Recycling LC'!$C$42</f>
        <v>35126.71609228618</v>
      </c>
      <c r="K56" s="183">
        <f>'Propylene Recycling LC'!J60*'Propylene Recycling LC'!J42-'Propylene Recycling LC'!$C$60*'Propylene Recycling LC'!$C$42</f>
        <v>41720.051526450174</v>
      </c>
      <c r="L56" s="183">
        <f>'Propylene Recycling LC'!K60*'Propylene Recycling LC'!K42-'Propylene Recycling LC'!$C$60*'Propylene Recycling LC'!$C$42</f>
        <v>48496.11712438942</v>
      </c>
      <c r="M56" s="183">
        <f>'Propylene Recycling LC'!L60*'Propylene Recycling LC'!L42-'Propylene Recycling LC'!$C$60*'Propylene Recycling LC'!$C$42</f>
        <v>55444.467671588194</v>
      </c>
      <c r="N56" s="183">
        <f>'Propylene Recycling LC'!M60*'Propylene Recycling LC'!M42-'Propylene Recycling LC'!$C$60*'Propylene Recycling LC'!$C$42</f>
        <v>62554.744559393497</v>
      </c>
      <c r="O56" s="183">
        <f>'Propylene Recycling LC'!N60*'Propylene Recycling LC'!N42-'Propylene Recycling LC'!$C$60*'Propylene Recycling LC'!$C$42</f>
        <v>66580.646263202478</v>
      </c>
      <c r="P56" s="183">
        <f>'Propylene Recycling LC'!O60*'Propylene Recycling LC'!O42-'Propylene Recycling LC'!$C$60*'Propylene Recycling LC'!$C$42</f>
        <v>70654.433188121606</v>
      </c>
      <c r="Q56" s="183">
        <f>'Propylene Recycling LC'!P60*'Propylene Recycling LC'!P42-'Propylene Recycling LC'!$C$60*'Propylene Recycling LC'!$C$42</f>
        <v>74523.725894549061</v>
      </c>
      <c r="R56" s="183">
        <f>'Propylene Recycling LC'!Q60*'Propylene Recycling LC'!Q42-'Propylene Recycling LC'!$C$60*'Propylene Recycling LC'!$C$42</f>
        <v>78291.361853143317</v>
      </c>
      <c r="S56" s="183">
        <f>'Propylene Recycling LC'!R60*'Propylene Recycling LC'!R42-'Propylene Recycling LC'!$C$60*'Propylene Recycling LC'!$C$42</f>
        <v>81956.4187312961</v>
      </c>
      <c r="T56" s="183">
        <f>'Propylene Recycling LC'!S60*'Propylene Recycling LC'!S42-'Propylene Recycling LC'!$C$60*'Propylene Recycling LC'!$C$42</f>
        <v>85517.985144309947</v>
      </c>
      <c r="U56" s="183">
        <f>'Propylene Recycling LC'!T60*'Propylene Recycling LC'!T42-'Propylene Recycling LC'!$C$60*'Propylene Recycling LC'!$C$42</f>
        <v>88975.160589977095</v>
      </c>
      <c r="V56" s="183">
        <f>'Propylene Recycling LC'!U60*'Propylene Recycling LC'!U42-'Propylene Recycling LC'!$C$60*'Propylene Recycling LC'!$C$42</f>
        <v>92327.055383457759</v>
      </c>
      <c r="W56" s="183">
        <f>'Propylene Recycling LC'!V60*'Propylene Recycling LC'!V42-'Propylene Recycling LC'!$C$60*'Propylene Recycling LC'!$C$42</f>
        <v>95572.790592457342</v>
      </c>
      <c r="X56" s="183">
        <f>'Propylene Recycling LC'!W60*'Propylene Recycling LC'!W42-'Propylene Recycling LC'!$C$60*'Propylene Recycling LC'!$C$42</f>
        <v>98711.497972700075</v>
      </c>
      <c r="Y56" s="183">
        <f>'Propylene Recycling LC'!X60*'Propylene Recycling LC'!X42-'Propylene Recycling LC'!$C$60*'Propylene Recycling LC'!$C$42</f>
        <v>102632.55658869562</v>
      </c>
      <c r="Z56" s="183">
        <f>'Propylene Recycling LC'!Y60*'Propylene Recycling LC'!Y42-'Propylene Recycling LC'!$C$60*'Propylene Recycling LC'!$C$42</f>
        <v>106264.30847746431</v>
      </c>
      <c r="AA56" s="183">
        <f>'Propylene Recycling LC'!Z60*'Propylene Recycling LC'!Z42-'Propylene Recycling LC'!$C$60*'Propylene Recycling LC'!$C$42</f>
        <v>109831.71102288426</v>
      </c>
      <c r="AB56" s="183">
        <f>'Propylene Recycling LC'!AA60*'Propylene Recycling LC'!AA42-'Propylene Recycling LC'!$C$60*'Propylene Recycling LC'!$C$42</f>
        <v>113334.11009308475</v>
      </c>
      <c r="AC56" s="183">
        <f>'Propylene Recycling LC'!AB60*'Propylene Recycling LC'!AB42-'Propylene Recycling LC'!$C$60*'Propylene Recycling LC'!$C$42</f>
        <v>116770.85905439552</v>
      </c>
      <c r="AD56" s="183">
        <f>'Propylene Recycling LC'!AC60*'Propylene Recycling LC'!AC42-'Propylene Recycling LC'!$C$60*'Propylene Recycling LC'!$C$42</f>
        <v>120141.31872694541</v>
      </c>
      <c r="AE56" s="183">
        <f>'Propylene Recycling LC'!AD60*'Propylene Recycling LC'!AD42-'Propylene Recycling LC'!$C$60*'Propylene Recycling LC'!$C$42</f>
        <v>123444.85734046341</v>
      </c>
      <c r="AF56" s="183">
        <f>'Propylene Recycling LC'!AE60*'Propylene Recycling LC'!AE42-'Propylene Recycling LC'!$C$60*'Propylene Recycling LC'!$C$42</f>
        <v>126680.85049028136</v>
      </c>
      <c r="AG56" s="183">
        <f>'Propylene Recycling LC'!AF60*'Propylene Recycling LC'!AF42-'Propylene Recycling LC'!$C$60*'Propylene Recycling LC'!$C$42</f>
        <v>129848.68109353801</v>
      </c>
      <c r="AH56" s="183">
        <f>'Propylene Recycling LC'!AG60*'Propylene Recycling LC'!AG42-'Propylene Recycling LC'!$C$60*'Propylene Recycling LC'!$C$42</f>
        <v>132947.73934558232</v>
      </c>
    </row>
    <row r="57" spans="1:34" outlineLevel="1">
      <c r="A57"/>
      <c r="B57" t="s">
        <v>270</v>
      </c>
      <c r="C57" s="50" t="s">
        <v>1420</v>
      </c>
      <c r="D57" s="183">
        <v>0</v>
      </c>
      <c r="E57" s="183">
        <v>0</v>
      </c>
      <c r="F57" s="183">
        <v>0</v>
      </c>
      <c r="G57" s="183">
        <v>0</v>
      </c>
      <c r="H57" s="183">
        <v>0</v>
      </c>
      <c r="I57" s="183">
        <v>0</v>
      </c>
      <c r="J57" s="183">
        <v>0</v>
      </c>
      <c r="K57" s="183">
        <v>0</v>
      </c>
      <c r="L57" s="183">
        <v>0</v>
      </c>
      <c r="M57" s="183">
        <v>0</v>
      </c>
      <c r="N57" s="183">
        <v>0</v>
      </c>
      <c r="O57" s="183">
        <v>0</v>
      </c>
      <c r="P57" s="183">
        <v>0</v>
      </c>
      <c r="Q57" s="183">
        <v>0</v>
      </c>
      <c r="R57" s="183">
        <v>0</v>
      </c>
      <c r="S57" s="183">
        <v>0</v>
      </c>
      <c r="T57" s="183">
        <v>0</v>
      </c>
      <c r="U57" s="183">
        <v>0</v>
      </c>
      <c r="V57" s="183">
        <v>0</v>
      </c>
      <c r="W57" s="183">
        <v>0</v>
      </c>
      <c r="X57" s="183">
        <v>0</v>
      </c>
      <c r="Y57" s="183">
        <v>0</v>
      </c>
      <c r="Z57" s="183">
        <v>0</v>
      </c>
      <c r="AA57" s="183">
        <v>0</v>
      </c>
      <c r="AB57" s="183">
        <v>0</v>
      </c>
      <c r="AC57" s="183">
        <v>0</v>
      </c>
      <c r="AD57" s="183">
        <v>0</v>
      </c>
      <c r="AE57" s="183">
        <v>0</v>
      </c>
      <c r="AF57" s="183">
        <v>0</v>
      </c>
      <c r="AG57" s="183">
        <v>0</v>
      </c>
      <c r="AH57" s="183">
        <v>0</v>
      </c>
    </row>
    <row r="58" spans="1:34" outlineLevel="1">
      <c r="A58" s="160"/>
      <c r="B58" s="160" t="s">
        <v>269</v>
      </c>
      <c r="C58" s="156" t="s">
        <v>1420</v>
      </c>
      <c r="D58" s="547">
        <f>0</f>
        <v>0</v>
      </c>
      <c r="E58" s="547">
        <f>'Propylene Recycling LC'!D73*'Propylene Recycling LC'!D43-'Propylene Recycling LC'!$C$73*'Propylene Recycling LC'!$C$43</f>
        <v>532.40752813015024</v>
      </c>
      <c r="F58" s="547">
        <f>'Propylene Recycling LC'!E73*'Propylene Recycling LC'!E43-'Propylene Recycling LC'!$C$73*'Propylene Recycling LC'!$C$43</f>
        <v>975.03071759167324</v>
      </c>
      <c r="G58" s="547">
        <f>'Propylene Recycling LC'!F73*'Propylene Recycling LC'!F43-'Propylene Recycling LC'!$C$73*'Propylene Recycling LC'!$C$43</f>
        <v>1331.3481634386499</v>
      </c>
      <c r="H58" s="547">
        <f>'Propylene Recycling LC'!G73*'Propylene Recycling LC'!G43-'Propylene Recycling LC'!$C$73*'Propylene Recycling LC'!$C$43</f>
        <v>1604.8103457268317</v>
      </c>
      <c r="I58" s="547">
        <f>'Propylene Recycling LC'!H73*'Propylene Recycling LC'!H43-'Propylene Recycling LC'!$C$73*'Propylene Recycling LC'!$C$43</f>
        <v>1798.8397799133145</v>
      </c>
      <c r="J58" s="547">
        <f>'Propylene Recycling LC'!I73*'Propylene Recycling LC'!I43-'Propylene Recycling LC'!$C$73*'Propylene Recycling LC'!$C$43</f>
        <v>1916.831166602753</v>
      </c>
      <c r="K58" s="547">
        <f>'Propylene Recycling LC'!J73*'Propylene Recycling LC'!J43-'Propylene Recycling LC'!$C$73*'Propylene Recycling LC'!$C$43</f>
        <v>1962.151540642406</v>
      </c>
      <c r="L58" s="547">
        <f>'Propylene Recycling LC'!K73*'Propylene Recycling LC'!K43-'Propylene Recycling LC'!$C$73*'Propylene Recycling LC'!$C$43</f>
        <v>1938.1404195687483</v>
      </c>
      <c r="M58" s="547">
        <f>'Propylene Recycling LC'!L73*'Propylene Recycling LC'!L43-'Propylene Recycling LC'!$C$73*'Propylene Recycling LC'!$C$43</f>
        <v>1848.1099514079306</v>
      </c>
      <c r="N58" s="547">
        <f>'Propylene Recycling LC'!M73*'Propylene Recycling LC'!M43-'Propylene Recycling LC'!$C$73*'Propylene Recycling LC'!$C$43</f>
        <v>1695.3450618326806</v>
      </c>
      <c r="O58" s="547">
        <f>'Propylene Recycling LC'!N73*'Propylene Recycling LC'!N43-'Propylene Recycling LC'!$C$73*'Propylene Recycling LC'!$C$43</f>
        <v>1242.5865517700204</v>
      </c>
      <c r="P58" s="547">
        <f>'Propylene Recycling LC'!O73*'Propylene Recycling LC'!O43-'Propylene Recycling LC'!$C$73*'Propylene Recycling LC'!$C$43</f>
        <v>760.37078456113704</v>
      </c>
      <c r="Q58" s="547">
        <f>'Propylene Recycling LC'!P73*'Propylene Recycling LC'!P43-'Propylene Recycling LC'!$C$73*'Propylene Recycling LC'!$C$43</f>
        <v>196.28191414720823</v>
      </c>
      <c r="R58" s="547">
        <f>'Propylene Recycling LC'!Q73*'Propylene Recycling LC'!Q43-'Propylene Recycling LC'!$C$73*'Propylene Recycling LC'!$C$43</f>
        <v>-389.55552159383114</v>
      </c>
      <c r="S58" s="547">
        <f>'Propylene Recycling LC'!R73*'Propylene Recycling LC'!R43-'Propylene Recycling LC'!$C$73*'Propylene Recycling LC'!$C$43</f>
        <v>-994.82384373233072</v>
      </c>
      <c r="T58" s="547">
        <f>'Propylene Recycling LC'!S73*'Propylene Recycling LC'!S43-'Propylene Recycling LC'!$C$73*'Propylene Recycling LC'!$C$43</f>
        <v>-1617.249983333475</v>
      </c>
      <c r="U58" s="547">
        <f>'Propylene Recycling LC'!T73*'Propylene Recycling LC'!T43-'Propylene Recycling LC'!$C$73*'Propylene Recycling LC'!$C$43</f>
        <v>-2254.6052618013309</v>
      </c>
      <c r="V58" s="547">
        <f>'Propylene Recycling LC'!U73*'Propylene Recycling LC'!U43-'Propylene Recycling LC'!$C$73*'Propylene Recycling LC'!$C$43</f>
        <v>-2904.7051682360288</v>
      </c>
      <c r="W58" s="547">
        <f>'Propylene Recycling LC'!V73*'Propylene Recycling LC'!V43-'Propylene Recycling LC'!$C$73*'Propylene Recycling LC'!$C$43</f>
        <v>-3565.4091338578983</v>
      </c>
      <c r="X58" s="547">
        <f>'Propylene Recycling LC'!W73*'Propylene Recycling LC'!W43-'Propylene Recycling LC'!$C$73*'Propylene Recycling LC'!$C$43</f>
        <v>-4234.6203035516755</v>
      </c>
      <c r="Y58" s="547">
        <f>'Propylene Recycling LC'!X73*'Propylene Recycling LC'!X43-'Propylene Recycling LC'!$C$73*'Propylene Recycling LC'!$C$43</f>
        <v>-4779.232005179796</v>
      </c>
      <c r="Z58" s="547">
        <f>'Propylene Recycling LC'!Y73*'Propylene Recycling LC'!Y43-'Propylene Recycling LC'!$C$73*'Propylene Recycling LC'!$C$43</f>
        <v>-5350.103425969397</v>
      </c>
      <c r="AA58" s="547">
        <f>'Propylene Recycling LC'!Z73*'Propylene Recycling LC'!Z43-'Propylene Recycling LC'!$C$73*'Propylene Recycling LC'!$C$43</f>
        <v>-6024.6393906461872</v>
      </c>
      <c r="AB58" s="547">
        <f>'Propylene Recycling LC'!AA73*'Propylene Recycling LC'!AA43-'Propylene Recycling LC'!$C$73*'Propylene Recycling LC'!$C$43</f>
        <v>-6709.6049812857127</v>
      </c>
      <c r="AC58" s="547">
        <f>'Propylene Recycling LC'!AB73*'Propylene Recycling LC'!AB43-'Propylene Recycling LC'!$C$73*'Propylene Recycling LC'!$C$43</f>
        <v>-7401.2740020228575</v>
      </c>
      <c r="AD58" s="547">
        <f>'Propylene Recycling LC'!AC73*'Propylene Recycling LC'!AC43-'Propylene Recycling LC'!$C$73*'Propylene Recycling LC'!$C$43</f>
        <v>-8096.0830731653859</v>
      </c>
      <c r="AE58" s="547">
        <f>'Propylene Recycling LC'!AD73*'Propylene Recycling LC'!AD43-'Propylene Recycling LC'!$C$73*'Propylene Recycling LC'!$C$43</f>
        <v>-8790.6311756996711</v>
      </c>
      <c r="AF58" s="547">
        <f>'Propylene Recycling LC'!AE73*'Propylene Recycling LC'!AE43-'Propylene Recycling LC'!$C$73*'Propylene Recycling LC'!$C$43</f>
        <v>-9481.6790849308527</v>
      </c>
      <c r="AG58" s="547">
        <f>'Propylene Recycling LC'!AF73*'Propylene Recycling LC'!AF43-'Propylene Recycling LC'!$C$73*'Propylene Recycling LC'!$C$43</f>
        <v>-10166.148694959033</v>
      </c>
      <c r="AH58" s="547">
        <f>'Propylene Recycling LC'!AG73*'Propylene Recycling LC'!AG43-'Propylene Recycling LC'!$C$73*'Propylene Recycling LC'!$C$43</f>
        <v>-10841.122235678125</v>
      </c>
    </row>
    <row r="59" spans="1:34" s="62" customFormat="1">
      <c r="A59" s="211"/>
      <c r="B59" s="211" t="s">
        <v>267</v>
      </c>
      <c r="C59" s="212" t="s">
        <v>1420</v>
      </c>
      <c r="D59" s="554">
        <f>D54-D55-D56-D57-D58</f>
        <v>350789.70130119962</v>
      </c>
      <c r="E59" s="554">
        <f t="shared" ref="E59:AH59" si="24">E54-E55-E56-E57-E58</f>
        <v>339944.90569296223</v>
      </c>
      <c r="F59" s="554">
        <f t="shared" si="24"/>
        <v>328926.67807289178</v>
      </c>
      <c r="G59" s="554">
        <f t="shared" si="24"/>
        <v>317742.48051380669</v>
      </c>
      <c r="H59" s="554">
        <f t="shared" si="24"/>
        <v>306399.7159984794</v>
      </c>
      <c r="I59" s="554">
        <f t="shared" si="24"/>
        <v>294905.72872078745</v>
      </c>
      <c r="J59" s="554">
        <f t="shared" si="24"/>
        <v>283267.804385697</v>
      </c>
      <c r="K59" s="554">
        <f t="shared" si="24"/>
        <v>271493.17050808022</v>
      </c>
      <c r="L59" s="554">
        <f t="shared" si="24"/>
        <v>259588.9967103712</v>
      </c>
      <c r="M59" s="554">
        <f t="shared" si="24"/>
        <v>247562.3950190621</v>
      </c>
      <c r="N59" s="554">
        <f t="shared" si="24"/>
        <v>235420.4201600448</v>
      </c>
      <c r="O59" s="554">
        <f t="shared" si="24"/>
        <v>226767.88969046154</v>
      </c>
      <c r="P59" s="554">
        <f t="shared" si="24"/>
        <v>218102.18388827308</v>
      </c>
      <c r="Q59" s="554">
        <f t="shared" si="24"/>
        <v>209727.9412377472</v>
      </c>
      <c r="R59" s="554">
        <f t="shared" si="24"/>
        <v>201482.04554486717</v>
      </c>
      <c r="S59" s="554">
        <f t="shared" si="24"/>
        <v>193362.94986573685</v>
      </c>
      <c r="T59" s="554">
        <f t="shared" si="24"/>
        <v>185369.14347869289</v>
      </c>
      <c r="U59" s="554">
        <f t="shared" si="24"/>
        <v>177499.15170256345</v>
      </c>
      <c r="V59" s="554">
        <f t="shared" si="24"/>
        <v>169751.53571188721</v>
      </c>
      <c r="W59" s="554">
        <f t="shared" si="24"/>
        <v>162124.89234914567</v>
      </c>
      <c r="X59" s="554">
        <f t="shared" si="24"/>
        <v>154617.85393406189</v>
      </c>
      <c r="Y59" s="554">
        <f t="shared" si="24"/>
        <v>145891.85852873162</v>
      </c>
      <c r="Z59" s="554">
        <f t="shared" si="24"/>
        <v>137463.5669835083</v>
      </c>
      <c r="AA59" s="554">
        <f t="shared" si="24"/>
        <v>129185.43841409119</v>
      </c>
      <c r="AB59" s="554">
        <f t="shared" si="24"/>
        <v>120964.90546435247</v>
      </c>
      <c r="AC59" s="554">
        <f t="shared" si="24"/>
        <v>112798.90373324494</v>
      </c>
      <c r="AD59" s="554">
        <f t="shared" si="24"/>
        <v>104684.52588969417</v>
      </c>
      <c r="AE59" s="554">
        <f t="shared" si="24"/>
        <v>96619.021237907058</v>
      </c>
      <c r="AF59" s="554">
        <f t="shared" si="24"/>
        <v>88599.795171839738</v>
      </c>
      <c r="AG59" s="554">
        <f t="shared" si="24"/>
        <v>80624.408520522848</v>
      </c>
      <c r="AH59" s="554">
        <f t="shared" si="24"/>
        <v>72690.576785932833</v>
      </c>
    </row>
    <row r="60" spans="1:34">
      <c r="A60" s="158" t="s">
        <v>308</v>
      </c>
      <c r="B60" s="213" t="s">
        <v>200</v>
      </c>
      <c r="C60" s="214" t="s">
        <v>1420</v>
      </c>
      <c r="D60" s="568">
        <f>D35+D38</f>
        <v>1577666.5665936389</v>
      </c>
      <c r="E60" s="568">
        <f t="shared" ref="E60:AH60" si="25">E35+E38</f>
        <v>1550120.2997118009</v>
      </c>
      <c r="F60" s="568">
        <f t="shared" si="25"/>
        <v>1522505.4144025368</v>
      </c>
      <c r="G60" s="568">
        <f t="shared" si="25"/>
        <v>1494820.1823085942</v>
      </c>
      <c r="H60" s="568">
        <f t="shared" si="25"/>
        <v>1467062.8579409148</v>
      </c>
      <c r="I60" s="568">
        <f t="shared" si="25"/>
        <v>1439231.6787081747</v>
      </c>
      <c r="J60" s="568">
        <f t="shared" si="25"/>
        <v>1409097.6636461292</v>
      </c>
      <c r="K60" s="568">
        <f t="shared" si="25"/>
        <v>1378925.0098762894</v>
      </c>
      <c r="L60" s="568">
        <f t="shared" si="25"/>
        <v>1348711.4717184352</v>
      </c>
      <c r="M60" s="568">
        <f t="shared" si="25"/>
        <v>1318454.7904900673</v>
      </c>
      <c r="N60" s="568">
        <f t="shared" si="25"/>
        <v>1288152.6945208025</v>
      </c>
      <c r="O60" s="568">
        <f t="shared" si="25"/>
        <v>1253742.6643283691</v>
      </c>
      <c r="P60" s="568">
        <f t="shared" si="25"/>
        <v>1219360.1359263491</v>
      </c>
      <c r="Q60" s="568">
        <f t="shared" si="25"/>
        <v>1185001.8294036044</v>
      </c>
      <c r="R60" s="568">
        <f t="shared" si="25"/>
        <v>1150664.4620135254</v>
      </c>
      <c r="S60" s="568">
        <f t="shared" si="25"/>
        <v>1116344.7481167195</v>
      </c>
      <c r="T60" s="568">
        <f t="shared" si="25"/>
        <v>1078548.601882413</v>
      </c>
      <c r="U60" s="568">
        <f t="shared" si="25"/>
        <v>1040837.3539970862</v>
      </c>
      <c r="V60" s="568">
        <f t="shared" si="25"/>
        <v>1003206.6634602841</v>
      </c>
      <c r="W60" s="568">
        <f t="shared" si="25"/>
        <v>965652.19860455033</v>
      </c>
      <c r="X60" s="568">
        <f t="shared" si="25"/>
        <v>928169.63693571417</v>
      </c>
      <c r="Y60" s="568">
        <f t="shared" si="25"/>
        <v>888266.12607153249</v>
      </c>
      <c r="Z60" s="568">
        <f t="shared" si="25"/>
        <v>848488.4917474417</v>
      </c>
      <c r="AA60" s="568">
        <f t="shared" si="25"/>
        <v>808831.63634764345</v>
      </c>
      <c r="AB60" s="568">
        <f t="shared" si="25"/>
        <v>769290.48486455879</v>
      </c>
      <c r="AC60" s="568">
        <f t="shared" si="25"/>
        <v>729859.98469121219</v>
      </c>
      <c r="AD60" s="568">
        <f t="shared" si="25"/>
        <v>689342.92276556825</v>
      </c>
      <c r="AE60" s="568">
        <f t="shared" si="25"/>
        <v>648955.3636837902</v>
      </c>
      <c r="AF60" s="568">
        <f t="shared" si="25"/>
        <v>608691.84449748509</v>
      </c>
      <c r="AG60" s="568">
        <f t="shared" si="25"/>
        <v>568546.93054636684</v>
      </c>
      <c r="AH60" s="568">
        <f t="shared" si="25"/>
        <v>528515.21522618632</v>
      </c>
    </row>
    <row r="61" spans="1:34">
      <c r="A61" s="158"/>
      <c r="B61" s="160" t="s">
        <v>266</v>
      </c>
      <c r="C61" s="156" t="s">
        <v>1420</v>
      </c>
      <c r="D61" s="547">
        <f>0</f>
        <v>0</v>
      </c>
      <c r="E61" s="547">
        <f>'Propylene Recycling LC'!D85*'Propylene Recycling LC'!D46-'Propylene Recycling LC'!$C$85*'Propylene Recycling LC'!$C$46</f>
        <v>12620.984811903065</v>
      </c>
      <c r="F61" s="547">
        <f>'Propylene Recycling LC'!E85*'Propylene Recycling LC'!E46-'Propylene Recycling LC'!$C$85*'Propylene Recycling LC'!$C$46</f>
        <v>25185.729203230978</v>
      </c>
      <c r="G61" s="547">
        <f>'Propylene Recycling LC'!F85*'Propylene Recycling LC'!F46-'Propylene Recycling LC'!$C$85*'Propylene Recycling LC'!$C$46</f>
        <v>37694.419976917954</v>
      </c>
      <c r="H61" s="547">
        <f>'Propylene Recycling LC'!G85*'Propylene Recycling LC'!G46-'Propylene Recycling LC'!$C$85*'Propylene Recycling LC'!$C$46</f>
        <v>50147.243385216527</v>
      </c>
      <c r="I61" s="547">
        <f>'Propylene Recycling LC'!H85*'Propylene Recycling LC'!H46-'Propylene Recycling LC'!$C$85*'Propylene Recycling LC'!$C$46</f>
        <v>62544.385131218602</v>
      </c>
      <c r="J61" s="547">
        <f>'Propylene Recycling LC'!I85*'Propylene Recycling LC'!I46-'Propylene Recycling LC'!$C$85*'Propylene Recycling LC'!$C$46</f>
        <v>73691.769187900776</v>
      </c>
      <c r="K61" s="547">
        <f>'Propylene Recycling LC'!J85*'Propylene Recycling LC'!J46-'Propylene Recycling LC'!$C$85*'Propylene Recycling LC'!$C$46</f>
        <v>84621.661746942831</v>
      </c>
      <c r="L61" s="547">
        <f>'Propylene Recycling LC'!K85*'Propylene Recycling LC'!K46-'Propylene Recycling LC'!$C$85*'Propylene Recycling LC'!$C$46</f>
        <v>95335.338404130496</v>
      </c>
      <c r="M61" s="547">
        <f>'Propylene Recycling LC'!L85*'Propylene Recycling LC'!L46-'Propylene Recycling LC'!$C$85*'Propylene Recycling LC'!$C$46</f>
        <v>105834.06936716336</v>
      </c>
      <c r="N61" s="547">
        <f>'Propylene Recycling LC'!M85*'Propylene Recycling LC'!M46-'Propylene Recycling LC'!$C$85*'Propylene Recycling LC'!$C$46</f>
        <v>116119.119475028</v>
      </c>
      <c r="O61" s="547">
        <f>'Propylene Recycling LC'!N85*'Propylene Recycling LC'!N46-'Propylene Recycling LC'!$C$85*'Propylene Recycling LC'!$C$46</f>
        <v>122228.66660173498</v>
      </c>
      <c r="P61" s="547">
        <f>'Propylene Recycling LC'!O85*'Propylene Recycling LC'!O46-'Propylene Recycling LC'!$C$85*'Propylene Recycling LC'!$C$46</f>
        <v>128198.89355123114</v>
      </c>
      <c r="Q61" s="547">
        <f>'Propylene Recycling LC'!P85*'Propylene Recycling LC'!P46-'Propylene Recycling LC'!$C$85*'Propylene Recycling LC'!$C$46</f>
        <v>134030.63128979167</v>
      </c>
      <c r="R61" s="547">
        <f>'Propylene Recycling LC'!Q85*'Propylene Recycling LC'!Q46-'Propylene Recycling LC'!$C$85*'Propylene Recycling LC'!$C$46</f>
        <v>139724.70725158579</v>
      </c>
      <c r="S61" s="547">
        <f>'Propylene Recycling LC'!R85*'Propylene Recycling LC'!R46-'Propylene Recycling LC'!$C$85*'Propylene Recycling LC'!$C$46</f>
        <v>145281.94535141881</v>
      </c>
      <c r="T61" s="547">
        <f>'Propylene Recycling LC'!S85*'Propylene Recycling LC'!S46-'Propylene Recycling LC'!$C$85*'Propylene Recycling LC'!$C$46</f>
        <v>150703.16599743237</v>
      </c>
      <c r="U61" s="547">
        <f>'Propylene Recycling LC'!T85*'Propylene Recycling LC'!T46-'Propylene Recycling LC'!$C$85*'Propylene Recycling LC'!$C$46</f>
        <v>155989.18610376347</v>
      </c>
      <c r="V61" s="547">
        <f>'Propylene Recycling LC'!U85*'Propylene Recycling LC'!U46-'Propylene Recycling LC'!$C$85*'Propylene Recycling LC'!$C$46</f>
        <v>161140.81910316221</v>
      </c>
      <c r="W61" s="547">
        <f>'Propylene Recycling LC'!V85*'Propylene Recycling LC'!V46-'Propylene Recycling LC'!$C$85*'Propylene Recycling LC'!$C$46</f>
        <v>166158.87495956739</v>
      </c>
      <c r="X61" s="547">
        <f>'Propylene Recycling LC'!W85*'Propylene Recycling LC'!W46-'Propylene Recycling LC'!$C$85*'Propylene Recycling LC'!$C$46</f>
        <v>171044.16018064221</v>
      </c>
      <c r="Y61" s="547">
        <f>'Propylene Recycling LC'!X85*'Propylene Recycling LC'!X46-'Propylene Recycling LC'!$C$85*'Propylene Recycling LC'!$C$46</f>
        <v>179771.68899125891</v>
      </c>
      <c r="Z61" s="547">
        <f>'Propylene Recycling LC'!Y85*'Propylene Recycling LC'!Y46-'Propylene Recycling LC'!$C$85*'Propylene Recycling LC'!$C$46</f>
        <v>188291.97922303982</v>
      </c>
      <c r="AA61" s="547">
        <f>'Propylene Recycling LC'!Z85*'Propylene Recycling LC'!Z46-'Propylene Recycling LC'!$C$85*'Propylene Recycling LC'!$C$46</f>
        <v>196606.27278090472</v>
      </c>
      <c r="AB61" s="547">
        <f>'Propylene Recycling LC'!AA85*'Propylene Recycling LC'!AA46-'Propylene Recycling LC'!$C$85*'Propylene Recycling LC'!$C$46</f>
        <v>204715.8062809463</v>
      </c>
      <c r="AC61" s="547">
        <f>'Propylene Recycling LC'!AB85*'Propylene Recycling LC'!AB46-'Propylene Recycling LC'!$C$85*'Propylene Recycling LC'!$C$46</f>
        <v>212621.81106953003</v>
      </c>
      <c r="AD61" s="547">
        <f>'Propylene Recycling LC'!AC85*'Propylene Recycling LC'!AC46-'Propylene Recycling LC'!$C$85*'Propylene Recycling LC'!$C$46</f>
        <v>220249.73238630826</v>
      </c>
      <c r="AE61" s="547">
        <f>'Propylene Recycling LC'!AD85*'Propylene Recycling LC'!AD46-'Propylene Recycling LC'!$C$85*'Propylene Recycling LC'!$C$46</f>
        <v>227671.8909083631</v>
      </c>
      <c r="AF61" s="547">
        <f>'Propylene Recycling LC'!AE85*'Propylene Recycling LC'!AE46-'Propylene Recycling LC'!$C$85*'Propylene Recycling LC'!$C$46</f>
        <v>234889.53439603222</v>
      </c>
      <c r="AG61" s="547">
        <f>'Propylene Recycling LC'!AF85*'Propylene Recycling LC'!AF46-'Propylene Recycling LC'!$C$85*'Propylene Recycling LC'!$C$46</f>
        <v>241903.90527230152</v>
      </c>
      <c r="AH61" s="547">
        <f>'Propylene Recycling LC'!AG85*'Propylene Recycling LC'!AG46-'Propylene Recycling LC'!$C$85*'Propylene Recycling LC'!$C$46</f>
        <v>248716.24064212386</v>
      </c>
    </row>
    <row r="62" spans="1:34" outlineLevel="1">
      <c r="A62"/>
      <c r="B62" t="s">
        <v>268</v>
      </c>
      <c r="C62" s="50" t="s">
        <v>1420</v>
      </c>
      <c r="D62" s="183">
        <f>0</f>
        <v>0</v>
      </c>
      <c r="E62" s="183">
        <f>'Propylene Recycling LC'!D59*'Propylene Recycling LC'!D42-'Propylene Recycling LC'!$C$59*'Propylene Recycling LC'!$C$42</f>
        <v>1318.1739035245846</v>
      </c>
      <c r="F62" s="183">
        <f>'Propylene Recycling LC'!E59*'Propylene Recycling LC'!E42-'Propylene Recycling LC'!$C$59*'Propylene Recycling LC'!$C$42</f>
        <v>2698.1594582514626</v>
      </c>
      <c r="G62" s="183">
        <f>'Propylene Recycling LC'!F59*'Propylene Recycling LC'!F42-'Propylene Recycling LC'!$C$59*'Propylene Recycling LC'!$C$42</f>
        <v>4137.2129693440511</v>
      </c>
      <c r="H62" s="183">
        <f>'Propylene Recycling LC'!G59*'Propylene Recycling LC'!G42-'Propylene Recycling LC'!$C$59*'Propylene Recycling LC'!$C$42</f>
        <v>5632.6131052815381</v>
      </c>
      <c r="I62" s="183">
        <f>'Propylene Recycling LC'!H59*'Propylene Recycling LC'!H42-'Propylene Recycling LC'!$C$59*'Propylene Recycling LC'!$C$42</f>
        <v>7181.6607779193891</v>
      </c>
      <c r="J62" s="183">
        <f>'Propylene Recycling LC'!I59*'Propylene Recycling LC'!I42-'Propylene Recycling LC'!$C$59*'Propylene Recycling LC'!$C$42</f>
        <v>8781.6790230715451</v>
      </c>
      <c r="K62" s="183">
        <f>'Propylene Recycling LC'!J59*'Propylene Recycling LC'!J42-'Propylene Recycling LC'!$C$59*'Propylene Recycling LC'!$C$42</f>
        <v>10430.012881612543</v>
      </c>
      <c r="L62" s="183">
        <f>'Propylene Recycling LC'!K59*'Propylene Recycling LC'!K42-'Propylene Recycling LC'!$C$59*'Propylene Recycling LC'!$C$42</f>
        <v>12124.029281097355</v>
      </c>
      <c r="M62" s="183">
        <f>'Propylene Recycling LC'!L59*'Propylene Recycling LC'!L42-'Propylene Recycling LC'!$C$59*'Propylene Recycling LC'!$C$42</f>
        <v>13861.116917897049</v>
      </c>
      <c r="N62" s="183">
        <f>'Propylene Recycling LC'!M59*'Propylene Recycling LC'!M42-'Propylene Recycling LC'!$C$59*'Propylene Recycling LC'!$C$42</f>
        <v>15638.686139848374</v>
      </c>
      <c r="O62" s="183">
        <f>'Propylene Recycling LC'!N59*'Propylene Recycling LC'!N42-'Propylene Recycling LC'!$C$59*'Propylene Recycling LC'!$C$42</f>
        <v>16645.161565800619</v>
      </c>
      <c r="P62" s="183">
        <f>'Propylene Recycling LC'!O59*'Propylene Recycling LC'!O42-'Propylene Recycling LC'!$C$59*'Propylene Recycling LC'!$C$42</f>
        <v>17663.608297030401</v>
      </c>
      <c r="Q62" s="183">
        <f>'Propylene Recycling LC'!P59*'Propylene Recycling LC'!P42-'Propylene Recycling LC'!$C$59*'Propylene Recycling LC'!$C$42</f>
        <v>18630.931473637265</v>
      </c>
      <c r="R62" s="183">
        <f>'Propylene Recycling LC'!Q59*'Propylene Recycling LC'!Q42-'Propylene Recycling LC'!$C$59*'Propylene Recycling LC'!$C$42</f>
        <v>19572.840463285829</v>
      </c>
      <c r="S62" s="183">
        <f>'Propylene Recycling LC'!R59*'Propylene Recycling LC'!R42-'Propylene Recycling LC'!$C$59*'Propylene Recycling LC'!$C$42</f>
        <v>20489.104682824025</v>
      </c>
      <c r="T62" s="183">
        <f>'Propylene Recycling LC'!S59*'Propylene Recycling LC'!S42-'Propylene Recycling LC'!$C$59*'Propylene Recycling LC'!$C$42</f>
        <v>21379.496286077487</v>
      </c>
      <c r="U62" s="183">
        <f>'Propylene Recycling LC'!T59*'Propylene Recycling LC'!T42-'Propylene Recycling LC'!$C$59*'Propylene Recycling LC'!$C$42</f>
        <v>22243.790147494274</v>
      </c>
      <c r="V62" s="183">
        <f>'Propylene Recycling LC'!U59*'Propylene Recycling LC'!U42-'Propylene Recycling LC'!$C$59*'Propylene Recycling LC'!$C$42</f>
        <v>23081.76384586444</v>
      </c>
      <c r="W62" s="183">
        <f>'Propylene Recycling LC'!V59*'Propylene Recycling LC'!V42-'Propylene Recycling LC'!$C$59*'Propylene Recycling LC'!$C$42</f>
        <v>23893.197648114336</v>
      </c>
      <c r="X62" s="183">
        <f>'Propylene Recycling LC'!W59*'Propylene Recycling LC'!W42-'Propylene Recycling LC'!$C$59*'Propylene Recycling LC'!$C$42</f>
        <v>24677.874493175019</v>
      </c>
      <c r="Y62" s="183">
        <f>'Propylene Recycling LC'!X59*'Propylene Recycling LC'!X42-'Propylene Recycling LC'!$C$59*'Propylene Recycling LC'!$C$42</f>
        <v>25658.139147173904</v>
      </c>
      <c r="Z62" s="183">
        <f>'Propylene Recycling LC'!Y59*'Propylene Recycling LC'!Y42-'Propylene Recycling LC'!$C$59*'Propylene Recycling LC'!$C$42</f>
        <v>26566.077119366077</v>
      </c>
      <c r="AA62" s="183">
        <f>'Propylene Recycling LC'!Z59*'Propylene Recycling LC'!Z42-'Propylene Recycling LC'!$C$59*'Propylene Recycling LC'!$C$42</f>
        <v>27457.927755721066</v>
      </c>
      <c r="AB62" s="183">
        <f>'Propylene Recycling LC'!AA59*'Propylene Recycling LC'!AA42-'Propylene Recycling LC'!$C$59*'Propylene Recycling LC'!$C$42</f>
        <v>28333.527523271187</v>
      </c>
      <c r="AC62" s="183">
        <f>'Propylene Recycling LC'!AB59*'Propylene Recycling LC'!AB42-'Propylene Recycling LC'!$C$59*'Propylene Recycling LC'!$C$42</f>
        <v>29192.71476359888</v>
      </c>
      <c r="AD62" s="183">
        <f>'Propylene Recycling LC'!AC59*'Propylene Recycling LC'!AC42-'Propylene Recycling LC'!$C$59*'Propylene Recycling LC'!$C$42</f>
        <v>30035.329681736352</v>
      </c>
      <c r="AE62" s="183">
        <f>'Propylene Recycling LC'!AD59*'Propylene Recycling LC'!AD42-'Propylene Recycling LC'!$C$59*'Propylene Recycling LC'!$C$42</f>
        <v>30861.214335115852</v>
      </c>
      <c r="AF62" s="183">
        <f>'Propylene Recycling LC'!AE59*'Propylene Recycling LC'!AE42-'Propylene Recycling LC'!$C$59*'Propylene Recycling LC'!$C$42</f>
        <v>31670.21262257034</v>
      </c>
      <c r="AG62" s="183">
        <f>'Propylene Recycling LC'!AF59*'Propylene Recycling LC'!AF42-'Propylene Recycling LC'!$C$59*'Propylene Recycling LC'!$C$42</f>
        <v>32462.170273384501</v>
      </c>
      <c r="AH62" s="183">
        <f>'Propylene Recycling LC'!AG59*'Propylene Recycling LC'!AG42-'Propylene Recycling LC'!$C$59*'Propylene Recycling LC'!$C$42</f>
        <v>33236.93483639558</v>
      </c>
    </row>
    <row r="63" spans="1:34" outlineLevel="1">
      <c r="A63"/>
      <c r="B63" t="s">
        <v>270</v>
      </c>
      <c r="C63" s="50" t="s">
        <v>1420</v>
      </c>
      <c r="D63" s="183">
        <v>0</v>
      </c>
      <c r="E63" s="183">
        <v>0</v>
      </c>
      <c r="F63" s="183">
        <v>0</v>
      </c>
      <c r="G63" s="183">
        <v>0</v>
      </c>
      <c r="H63" s="183">
        <v>0</v>
      </c>
      <c r="I63" s="183">
        <v>0</v>
      </c>
      <c r="J63" s="183">
        <v>0</v>
      </c>
      <c r="K63" s="183">
        <v>0</v>
      </c>
      <c r="L63" s="183">
        <v>0</v>
      </c>
      <c r="M63" s="183">
        <v>0</v>
      </c>
      <c r="N63" s="183">
        <v>0</v>
      </c>
      <c r="O63" s="183">
        <v>0</v>
      </c>
      <c r="P63" s="183">
        <v>0</v>
      </c>
      <c r="Q63" s="183">
        <v>0</v>
      </c>
      <c r="R63" s="183">
        <v>0</v>
      </c>
      <c r="S63" s="183">
        <v>0</v>
      </c>
      <c r="T63" s="183">
        <v>0</v>
      </c>
      <c r="U63" s="183">
        <v>0</v>
      </c>
      <c r="V63" s="183">
        <v>0</v>
      </c>
      <c r="W63" s="183">
        <v>0</v>
      </c>
      <c r="X63" s="183">
        <v>0</v>
      </c>
      <c r="Y63" s="183">
        <v>0</v>
      </c>
      <c r="Z63" s="183">
        <v>0</v>
      </c>
      <c r="AA63" s="183">
        <v>0</v>
      </c>
      <c r="AB63" s="183">
        <v>0</v>
      </c>
      <c r="AC63" s="183">
        <v>0</v>
      </c>
      <c r="AD63" s="183">
        <v>0</v>
      </c>
      <c r="AE63" s="183">
        <v>0</v>
      </c>
      <c r="AF63" s="183">
        <v>0</v>
      </c>
      <c r="AG63" s="183">
        <v>0</v>
      </c>
      <c r="AH63" s="183">
        <v>0</v>
      </c>
    </row>
    <row r="64" spans="1:34" outlineLevel="1">
      <c r="A64" s="160"/>
      <c r="B64" s="160" t="s">
        <v>269</v>
      </c>
      <c r="C64" s="156" t="s">
        <v>1420</v>
      </c>
      <c r="D64" s="547">
        <f>0</f>
        <v>0</v>
      </c>
      <c r="E64" s="547">
        <f>'Propylene Recycling LC'!D75*'Propylene Recycling LC'!D43-'Propylene Recycling LC'!$C$75*'Propylene Recycling LC'!$C$43</f>
        <v>368.58982716702849</v>
      </c>
      <c r="F64" s="547">
        <f>'Propylene Recycling LC'!E75*'Propylene Recycling LC'!E43-'Propylene Recycling LC'!$C$75*'Propylene Recycling LC'!$C$43</f>
        <v>675.02126602500175</v>
      </c>
      <c r="G64" s="547">
        <f>'Propylene Recycling LC'!F75*'Propylene Recycling LC'!F43-'Propylene Recycling LC'!$C$75*'Propylene Recycling LC'!$C$43</f>
        <v>921.70257468829914</v>
      </c>
      <c r="H64" s="547">
        <f>'Propylene Recycling LC'!G75*'Propylene Recycling LC'!G43-'Propylene Recycling LC'!$C$75*'Propylene Recycling LC'!$C$43</f>
        <v>1111.0225470416535</v>
      </c>
      <c r="I64" s="547">
        <f>'Propylene Recycling LC'!H75*'Propylene Recycling LC'!H43-'Propylene Recycling LC'!$C$75*'Propylene Recycling LC'!$C$43</f>
        <v>1245.3506168630629</v>
      </c>
      <c r="J64" s="547">
        <f>'Propylene Recycling LC'!I75*'Propylene Recycling LC'!I43-'Propylene Recycling LC'!$C$75*'Propylene Recycling LC'!$C$43</f>
        <v>1327.0369614942119</v>
      </c>
      <c r="K64" s="547">
        <f>'Propylene Recycling LC'!J75*'Propylene Recycling LC'!J43-'Propylene Recycling LC'!$C$75*'Propylene Recycling LC'!$C$43</f>
        <v>1358.412605060128</v>
      </c>
      <c r="L64" s="547">
        <f>'Propylene Recycling LC'!K75*'Propylene Recycling LC'!K43-'Propylene Recycling LC'!$C$75*'Propylene Recycling LC'!$C$43</f>
        <v>1341.7895212399035</v>
      </c>
      <c r="M64" s="547">
        <f>'Propylene Recycling LC'!L75*'Propylene Recycling LC'!L43-'Propylene Recycling LC'!$C$75*'Propylene Recycling LC'!$C$43</f>
        <v>1279.4607355901044</v>
      </c>
      <c r="N64" s="547">
        <f>'Propylene Recycling LC'!M75*'Propylene Recycling LC'!M43-'Propylene Recycling LC'!$C$75*'Propylene Recycling LC'!$C$43</f>
        <v>1173.7004274226256</v>
      </c>
      <c r="O64" s="547">
        <f>'Propylene Recycling LC'!N75*'Propylene Recycling LC'!N43-'Propylene Recycling LC'!$C$75*'Propylene Recycling LC'!$C$43</f>
        <v>860.25222814847621</v>
      </c>
      <c r="P64" s="547">
        <f>'Propylene Recycling LC'!O75*'Propylene Recycling LC'!O43-'Propylene Recycling LC'!$C$75*'Propylene Recycling LC'!$C$43</f>
        <v>526.41054315770998</v>
      </c>
      <c r="Q64" s="547">
        <f>'Propylene Recycling LC'!P75*'Propylene Recycling LC'!P43-'Propylene Recycling LC'!$C$75*'Propylene Recycling LC'!$C$43</f>
        <v>135.88747902499017</v>
      </c>
      <c r="R64" s="547">
        <f>'Propylene Recycling LC'!Q75*'Propylene Recycling LC'!Q43-'Propylene Recycling LC'!$C$75*'Propylene Recycling LC'!$C$43</f>
        <v>-269.69228418034618</v>
      </c>
      <c r="S64" s="547">
        <f>'Propylene Recycling LC'!R75*'Propylene Recycling LC'!R43-'Propylene Recycling LC'!$C$75*'Propylene Recycling LC'!$C$43</f>
        <v>-688.72419950699805</v>
      </c>
      <c r="T64" s="547">
        <f>'Propylene Recycling LC'!S75*'Propylene Recycling LC'!S43-'Propylene Recycling LC'!$C$75*'Propylene Recycling LC'!$C$43</f>
        <v>-1119.6346038462543</v>
      </c>
      <c r="U64" s="547">
        <f>'Propylene Recycling LC'!T75*'Propylene Recycling LC'!T43-'Propylene Recycling LC'!$C$75*'Propylene Recycling LC'!$C$43</f>
        <v>-1560.8805658624588</v>
      </c>
      <c r="V64" s="547">
        <f>'Propylene Recycling LC'!U75*'Propylene Recycling LC'!U43-'Propylene Recycling LC'!$C$75*'Propylene Recycling LC'!$C$43</f>
        <v>-2010.9497318557114</v>
      </c>
      <c r="W64" s="547">
        <f>'Propylene Recycling LC'!V75*'Propylene Recycling LC'!V43-'Propylene Recycling LC'!$C$75*'Propylene Recycling LC'!$C$43</f>
        <v>-2468.3601695939287</v>
      </c>
      <c r="X64" s="547">
        <f>'Propylene Recycling LC'!W75*'Propylene Recycling LC'!W43-'Propylene Recycling LC'!$C$75*'Propylene Recycling LC'!$C$43</f>
        <v>-2931.6602101511589</v>
      </c>
      <c r="Y64" s="547">
        <f>'Propylene Recycling LC'!X75*'Propylene Recycling LC'!X43-'Propylene Recycling LC'!$C$75*'Propylene Recycling LC'!$C$43</f>
        <v>-3308.6990805090891</v>
      </c>
      <c r="Z64" s="547">
        <f>'Propylene Recycling LC'!Y75*'Propylene Recycling LC'!Y43-'Propylene Recycling LC'!$C$75*'Propylene Recycling LC'!$C$43</f>
        <v>-3703.9177564403508</v>
      </c>
      <c r="AA64" s="547">
        <f>'Propylene Recycling LC'!Z75*'Propylene Recycling LC'!Z43-'Propylene Recycling LC'!$C$75*'Propylene Recycling LC'!$C$43</f>
        <v>-4170.9041935242813</v>
      </c>
      <c r="AB64" s="547">
        <f>'Propylene Recycling LC'!AA75*'Propylene Recycling LC'!AA43-'Propylene Recycling LC'!$C$75*'Propylene Recycling LC'!$C$43</f>
        <v>-4645.1111408901079</v>
      </c>
      <c r="AC64" s="547">
        <f>'Propylene Recycling LC'!AB75*'Propylene Recycling LC'!AB43-'Propylene Recycling LC'!$C$75*'Propylene Recycling LC'!$C$43</f>
        <v>-5123.9589244773615</v>
      </c>
      <c r="AD64" s="547">
        <f>'Propylene Recycling LC'!AC75*'Propylene Recycling LC'!AC43-'Propylene Recycling LC'!$C$75*'Propylene Recycling LC'!$C$43</f>
        <v>-5604.9805891144979</v>
      </c>
      <c r="AE64" s="547">
        <f>'Propylene Recycling LC'!AD75*'Propylene Recycling LC'!AD43-'Propylene Recycling LC'!$C$75*'Propylene Recycling LC'!$C$43</f>
        <v>-6085.8215831766956</v>
      </c>
      <c r="AF64" s="547">
        <f>'Propylene Recycling LC'!AE75*'Propylene Recycling LC'!AE43-'Propylene Recycling LC'!$C$75*'Propylene Recycling LC'!$C$43</f>
        <v>-6564.2393664905903</v>
      </c>
      <c r="AG64" s="547">
        <f>'Propylene Recycling LC'!AF75*'Propylene Recycling LC'!AF43-'Propylene Recycling LC'!$C$75*'Propylene Recycling LC'!$C$43</f>
        <v>-7038.1029426639452</v>
      </c>
      <c r="AH64" s="547">
        <f>'Propylene Recycling LC'!AG75*'Propylene Recycling LC'!AG43-'Propylene Recycling LC'!$C$75*'Propylene Recycling LC'!$C$43</f>
        <v>-7505.3923170079324</v>
      </c>
    </row>
    <row r="65" spans="1:46">
      <c r="A65" s="158"/>
      <c r="B65" s="211" t="s">
        <v>267</v>
      </c>
      <c r="C65" s="159" t="s">
        <v>1420</v>
      </c>
      <c r="D65" s="554">
        <f>D60-D61-D62-D63-D64</f>
        <v>1577666.5665936389</v>
      </c>
      <c r="E65" s="554">
        <f t="shared" ref="E65:AH65" si="26">E60-E61-E62-E63-E64</f>
        <v>1535812.5511692062</v>
      </c>
      <c r="F65" s="554">
        <f t="shared" si="26"/>
        <v>1493946.5044750294</v>
      </c>
      <c r="G65" s="554">
        <f t="shared" si="26"/>
        <v>1452066.8467876439</v>
      </c>
      <c r="H65" s="554">
        <f t="shared" si="26"/>
        <v>1410171.9789033751</v>
      </c>
      <c r="I65" s="554">
        <f t="shared" si="26"/>
        <v>1368260.2821821736</v>
      </c>
      <c r="J65" s="554">
        <f t="shared" si="26"/>
        <v>1325297.1784736626</v>
      </c>
      <c r="K65" s="554">
        <f t="shared" si="26"/>
        <v>1282514.9226426738</v>
      </c>
      <c r="L65" s="554">
        <f t="shared" si="26"/>
        <v>1239910.3145119674</v>
      </c>
      <c r="M65" s="554">
        <f t="shared" si="26"/>
        <v>1197480.1434694168</v>
      </c>
      <c r="N65" s="554">
        <f t="shared" si="26"/>
        <v>1155221.1884785036</v>
      </c>
      <c r="O65" s="554">
        <f t="shared" si="26"/>
        <v>1114008.583932685</v>
      </c>
      <c r="P65" s="554">
        <f t="shared" si="26"/>
        <v>1072971.2235349298</v>
      </c>
      <c r="Q65" s="554">
        <f t="shared" si="26"/>
        <v>1032204.3791611504</v>
      </c>
      <c r="R65" s="554">
        <f t="shared" si="26"/>
        <v>991636.60658283415</v>
      </c>
      <c r="S65" s="554">
        <f t="shared" si="26"/>
        <v>951262.42228198377</v>
      </c>
      <c r="T65" s="554">
        <f t="shared" si="26"/>
        <v>907585.57420274941</v>
      </c>
      <c r="U65" s="554">
        <f t="shared" si="26"/>
        <v>864165.25831169076</v>
      </c>
      <c r="V65" s="554">
        <f t="shared" si="26"/>
        <v>820995.03024311317</v>
      </c>
      <c r="W65" s="554">
        <f t="shared" si="26"/>
        <v>778068.48616646254</v>
      </c>
      <c r="X65" s="554">
        <f t="shared" si="26"/>
        <v>735379.26247204794</v>
      </c>
      <c r="Y65" s="554">
        <f t="shared" si="26"/>
        <v>686144.99701360893</v>
      </c>
      <c r="Z65" s="554">
        <f t="shared" si="26"/>
        <v>637334.3531614762</v>
      </c>
      <c r="AA65" s="554">
        <f t="shared" si="26"/>
        <v>588938.34000454203</v>
      </c>
      <c r="AB65" s="554">
        <f t="shared" si="26"/>
        <v>540886.26220123144</v>
      </c>
      <c r="AC65" s="554">
        <f t="shared" si="26"/>
        <v>493169.41778256063</v>
      </c>
      <c r="AD65" s="554">
        <f t="shared" si="26"/>
        <v>444662.84128663811</v>
      </c>
      <c r="AE65" s="554">
        <f t="shared" si="26"/>
        <v>396508.08002348791</v>
      </c>
      <c r="AF65" s="554">
        <f t="shared" si="26"/>
        <v>348696.33684537309</v>
      </c>
      <c r="AG65" s="554">
        <f t="shared" si="26"/>
        <v>301218.95794334478</v>
      </c>
      <c r="AH65" s="554">
        <f t="shared" si="26"/>
        <v>254067.43206467482</v>
      </c>
    </row>
    <row r="66" spans="1:46" s="61" customFormat="1">
      <c r="A66" s="54" t="s">
        <v>78</v>
      </c>
      <c r="B66" s="54" t="s">
        <v>264</v>
      </c>
      <c r="C66" s="93" t="s">
        <v>1420</v>
      </c>
      <c r="D66" s="572">
        <f>D45+D52+D56+D57+D58+D62+D63+D64</f>
        <v>0</v>
      </c>
      <c r="E66" s="572">
        <f t="shared" ref="E66:AH66" si="27">E45+E52+E56+E57+E58+E62+E63+E64</f>
        <v>7614.730148642444</v>
      </c>
      <c r="F66" s="572">
        <f t="shared" si="27"/>
        <v>15365.856363548988</v>
      </c>
      <c r="G66" s="572">
        <f t="shared" si="27"/>
        <v>23246.349776409974</v>
      </c>
      <c r="H66" s="572">
        <f t="shared" si="27"/>
        <v>31249.23926819006</v>
      </c>
      <c r="I66" s="572">
        <f t="shared" si="27"/>
        <v>39367.611158661006</v>
      </c>
      <c r="J66" s="572">
        <f t="shared" si="27"/>
        <v>47594.608897286096</v>
      </c>
      <c r="K66" s="572">
        <f t="shared" si="27"/>
        <v>55923.432755451962</v>
      </c>
      <c r="L66" s="572">
        <f t="shared" si="27"/>
        <v>64347.339520042064</v>
      </c>
      <c r="M66" s="572">
        <f t="shared" si="27"/>
        <v>72859.642188346654</v>
      </c>
      <c r="N66" s="572">
        <f t="shared" si="27"/>
        <v>81453.709664304712</v>
      </c>
      <c r="O66" s="572">
        <f t="shared" si="27"/>
        <v>85615.397351637745</v>
      </c>
      <c r="P66" s="572">
        <f t="shared" si="27"/>
        <v>89780.292993923416</v>
      </c>
      <c r="Q66" s="572">
        <f t="shared" si="27"/>
        <v>93532.1225877002</v>
      </c>
      <c r="R66" s="572">
        <f t="shared" si="27"/>
        <v>97115.057082594853</v>
      </c>
      <c r="S66" s="572">
        <f t="shared" si="27"/>
        <v>100532.40063771179</v>
      </c>
      <c r="T66" s="572">
        <f t="shared" si="27"/>
        <v>103787.38530859229</v>
      </c>
      <c r="U66" s="572">
        <f t="shared" si="27"/>
        <v>106883.17138785342</v>
      </c>
      <c r="V66" s="572">
        <f t="shared" si="27"/>
        <v>109822.84775194521</v>
      </c>
      <c r="W66" s="572">
        <f t="shared" si="27"/>
        <v>112609.43221392187</v>
      </c>
      <c r="X66" s="572">
        <f t="shared" si="27"/>
        <v>115245.87188212188</v>
      </c>
      <c r="Y66" s="572">
        <f t="shared" si="27"/>
        <v>119099.8649566776</v>
      </c>
      <c r="Z66" s="572">
        <f t="shared" si="27"/>
        <v>122541.72516227385</v>
      </c>
      <c r="AA66" s="572">
        <f t="shared" si="27"/>
        <v>125703.79379659343</v>
      </c>
      <c r="AB66" s="572">
        <f t="shared" si="27"/>
        <v>128764.55111388341</v>
      </c>
      <c r="AC66" s="572">
        <f t="shared" si="27"/>
        <v>131730.35458333508</v>
      </c>
      <c r="AD66" s="572">
        <f t="shared" si="27"/>
        <v>134607.25788336369</v>
      </c>
      <c r="AE66" s="572">
        <f t="shared" si="27"/>
        <v>137401.01172231065</v>
      </c>
      <c r="AF66" s="572">
        <f t="shared" si="27"/>
        <v>140117.06487260005</v>
      </c>
      <c r="AG66" s="572">
        <f t="shared" si="27"/>
        <v>142760.56541507822</v>
      </c>
      <c r="AH66" s="572">
        <f t="shared" si="27"/>
        <v>145336.36219028919</v>
      </c>
    </row>
    <row r="67" spans="1:46" s="62" customFormat="1">
      <c r="B67" s="58" t="s">
        <v>265</v>
      </c>
      <c r="C67" s="59" t="s">
        <v>1420</v>
      </c>
      <c r="D67" s="587">
        <f>D44+D48+D51+D55+D61</f>
        <v>0</v>
      </c>
      <c r="E67" s="587">
        <f t="shared" ref="E67:AH67" si="28">E44+E48+E51+E55+E61</f>
        <v>17675.716027213108</v>
      </c>
      <c r="F67" s="587">
        <f t="shared" si="28"/>
        <v>35722.682099457998</v>
      </c>
      <c r="G67" s="587">
        <f t="shared" si="28"/>
        <v>54123.455905509589</v>
      </c>
      <c r="H67" s="587">
        <f t="shared" si="28"/>
        <v>72860.737535745662</v>
      </c>
      <c r="I67" s="587">
        <f t="shared" si="28"/>
        <v>91917.368718320969</v>
      </c>
      <c r="J67" s="587">
        <f t="shared" si="28"/>
        <v>110082.0708761923</v>
      </c>
      <c r="K67" s="587">
        <f t="shared" si="28"/>
        <v>128370.04831723092</v>
      </c>
      <c r="L67" s="587">
        <f t="shared" si="28"/>
        <v>146765.65466422032</v>
      </c>
      <c r="M67" s="587">
        <f t="shared" si="28"/>
        <v>165253.37731054812</v>
      </c>
      <c r="N67" s="587">
        <f t="shared" si="28"/>
        <v>183817.83669073923</v>
      </c>
      <c r="O67" s="587">
        <f t="shared" si="28"/>
        <v>199071.06929508084</v>
      </c>
      <c r="P67" s="587">
        <f t="shared" si="28"/>
        <v>214561.40767931816</v>
      </c>
      <c r="Q67" s="587">
        <f t="shared" si="28"/>
        <v>230001.94672927042</v>
      </c>
      <c r="R67" s="587">
        <f t="shared" si="28"/>
        <v>245512.41615412853</v>
      </c>
      <c r="S67" s="587">
        <f t="shared" si="28"/>
        <v>261073.25360814112</v>
      </c>
      <c r="T67" s="587">
        <f t="shared" si="28"/>
        <v>276665.11689569929</v>
      </c>
      <c r="U67" s="587">
        <f t="shared" si="28"/>
        <v>292268.88275540515</v>
      </c>
      <c r="V67" s="587">
        <f t="shared" si="28"/>
        <v>307865.645642319</v>
      </c>
      <c r="W67" s="587">
        <f t="shared" si="28"/>
        <v>323436.71650847362</v>
      </c>
      <c r="X67" s="587">
        <f t="shared" si="28"/>
        <v>338963.62158173928</v>
      </c>
      <c r="Y67" s="587">
        <f t="shared" si="28"/>
        <v>363542.70750143868</v>
      </c>
      <c r="Z67" s="587">
        <f t="shared" si="28"/>
        <v>387993.78377916093</v>
      </c>
      <c r="AA67" s="587">
        <f t="shared" si="28"/>
        <v>412284.73602984787</v>
      </c>
      <c r="AB67" s="587">
        <f t="shared" si="28"/>
        <v>436635.70789222838</v>
      </c>
      <c r="AC67" s="587">
        <f t="shared" si="28"/>
        <v>461026.08445742016</v>
      </c>
      <c r="AD67" s="587">
        <f t="shared" si="28"/>
        <v>485359.91509216902</v>
      </c>
      <c r="AE67" s="587">
        <f t="shared" si="28"/>
        <v>509688.57186319638</v>
      </c>
      <c r="AF67" s="587">
        <f t="shared" si="28"/>
        <v>533992.79787277826</v>
      </c>
      <c r="AG67" s="587">
        <f t="shared" si="28"/>
        <v>558253.77134055365</v>
      </c>
      <c r="AH67" s="587">
        <f t="shared" si="28"/>
        <v>582453.10194099881</v>
      </c>
    </row>
    <row r="68" spans="1:46" s="97" customFormat="1">
      <c r="A68" s="95" t="s">
        <v>564</v>
      </c>
      <c r="B68" s="95"/>
      <c r="C68" s="96" t="s">
        <v>1420</v>
      </c>
      <c r="D68" s="583">
        <f t="shared" ref="D68:AH68" si="29">D46+D49+D53+IF(D59&lt;0,0,D59)+D65</f>
        <v>4343145.1257582027</v>
      </c>
      <c r="E68" s="583">
        <f t="shared" si="29"/>
        <v>4275862.6357949963</v>
      </c>
      <c r="F68" s="583">
        <f t="shared" si="29"/>
        <v>4208470.6334418869</v>
      </c>
      <c r="G68" s="583">
        <f t="shared" si="29"/>
        <v>4140991.972888031</v>
      </c>
      <c r="H68" s="583">
        <f t="shared" si="29"/>
        <v>4073449.3519029594</v>
      </c>
      <c r="I68" s="583">
        <f t="shared" si="29"/>
        <v>4005865.313266634</v>
      </c>
      <c r="J68" s="583">
        <f t="shared" si="29"/>
        <v>3937229.3060851707</v>
      </c>
      <c r="K68" s="583">
        <f t="shared" si="29"/>
        <v>3868797.479709561</v>
      </c>
      <c r="L68" s="583">
        <f t="shared" si="29"/>
        <v>3800590.3970751916</v>
      </c>
      <c r="M68" s="583">
        <f t="shared" si="29"/>
        <v>3732628.480709509</v>
      </c>
      <c r="N68" s="583">
        <f t="shared" si="29"/>
        <v>3664932.014146762</v>
      </c>
      <c r="O68" s="583">
        <f t="shared" si="29"/>
        <v>3595958.2357643377</v>
      </c>
      <c r="P68" s="583">
        <f t="shared" si="29"/>
        <v>3528804.1859933641</v>
      </c>
      <c r="Q68" s="583">
        <f t="shared" si="29"/>
        <v>3461344.5294591421</v>
      </c>
      <c r="R68" s="583">
        <f t="shared" si="29"/>
        <v>3394391.093129891</v>
      </c>
      <c r="S68" s="583">
        <f t="shared" si="29"/>
        <v>3327953.9210529136</v>
      </c>
      <c r="T68" s="583">
        <f t="shared" si="29"/>
        <v>3258552.0995488493</v>
      </c>
      <c r="U68" s="583">
        <f t="shared" si="29"/>
        <v>3189759.973713303</v>
      </c>
      <c r="V68" s="583">
        <f t="shared" si="29"/>
        <v>3121586.0589876324</v>
      </c>
      <c r="W68" s="583">
        <f t="shared" si="29"/>
        <v>3054038.7219357034</v>
      </c>
      <c r="X68" s="583">
        <f t="shared" si="29"/>
        <v>2987126.1798227089</v>
      </c>
      <c r="Y68" s="583">
        <f t="shared" si="29"/>
        <v>2905230.3315422926</v>
      </c>
      <c r="Z68" s="583">
        <f t="shared" si="29"/>
        <v>2822385.4025059026</v>
      </c>
      <c r="AA68" s="583">
        <f t="shared" si="29"/>
        <v>2740125.2718966305</v>
      </c>
      <c r="AB68" s="583">
        <f t="shared" si="29"/>
        <v>2658038.7672325228</v>
      </c>
      <c r="AC68" s="583">
        <f t="shared" si="29"/>
        <v>2576127.5707333148</v>
      </c>
      <c r="AD68" s="583">
        <f t="shared" si="29"/>
        <v>2493276.7957588374</v>
      </c>
      <c r="AE68" s="583">
        <f t="shared" si="29"/>
        <v>2410637.7668945119</v>
      </c>
      <c r="AF68" s="583">
        <f t="shared" si="29"/>
        <v>2328211.1667059488</v>
      </c>
      <c r="AG68" s="583">
        <f t="shared" si="29"/>
        <v>2245997.5276865843</v>
      </c>
      <c r="AH68" s="583">
        <f t="shared" si="29"/>
        <v>2163997.2357964041</v>
      </c>
      <c r="AJ68" s="97" t="s">
        <v>527</v>
      </c>
    </row>
    <row r="69" spans="1:46">
      <c r="A69" s="1" t="s">
        <v>763</v>
      </c>
      <c r="C69" s="55" t="s">
        <v>1420</v>
      </c>
      <c r="D69" s="590">
        <f>'Propylene Recycling LC'!C187</f>
        <v>0</v>
      </c>
      <c r="E69" s="590">
        <f>'Propylene Recycling LC'!D187</f>
        <v>0</v>
      </c>
      <c r="F69" s="590">
        <f>'Propylene Recycling LC'!E187</f>
        <v>0</v>
      </c>
      <c r="G69" s="590">
        <f>'Propylene Recycling LC'!F187</f>
        <v>0</v>
      </c>
      <c r="H69" s="590">
        <f>'Propylene Recycling LC'!G187</f>
        <v>0</v>
      </c>
      <c r="I69" s="590">
        <f>'Propylene Recycling LC'!H187</f>
        <v>0</v>
      </c>
      <c r="J69" s="590">
        <f>'Propylene Recycling LC'!I187</f>
        <v>0</v>
      </c>
      <c r="K69" s="590">
        <f>'Propylene Recycling LC'!J187</f>
        <v>0</v>
      </c>
      <c r="L69" s="590">
        <f>'Propylene Recycling LC'!K187</f>
        <v>0</v>
      </c>
      <c r="M69" s="590">
        <f>'Propylene Recycling LC'!L187</f>
        <v>0</v>
      </c>
      <c r="N69" s="590">
        <f>'Propylene Recycling LC'!M187</f>
        <v>0</v>
      </c>
      <c r="O69" s="590">
        <f>'Propylene Recycling LC'!N187</f>
        <v>0</v>
      </c>
      <c r="P69" s="590">
        <f>'Propylene Recycling LC'!O187</f>
        <v>0</v>
      </c>
      <c r="Q69" s="590">
        <f>'Propylene Recycling LC'!P187</f>
        <v>0</v>
      </c>
      <c r="R69" s="590">
        <f>'Propylene Recycling LC'!Q187</f>
        <v>0</v>
      </c>
      <c r="S69" s="590">
        <f>'Propylene Recycling LC'!R187</f>
        <v>0</v>
      </c>
      <c r="T69" s="590">
        <f>'Propylene Recycling LC'!S187</f>
        <v>0</v>
      </c>
      <c r="U69" s="590">
        <f>'Propylene Recycling LC'!T187</f>
        <v>0</v>
      </c>
      <c r="V69" s="590">
        <f>'Propylene Recycling LC'!U187</f>
        <v>0</v>
      </c>
      <c r="W69" s="590">
        <f>'Propylene Recycling LC'!V187</f>
        <v>0</v>
      </c>
      <c r="X69" s="590">
        <f>'Propylene Recycling LC'!W187</f>
        <v>0</v>
      </c>
      <c r="Y69" s="590">
        <f>'Propylene Recycling LC'!X187</f>
        <v>0</v>
      </c>
      <c r="Z69" s="590">
        <f>'Propylene Recycling LC'!Y187</f>
        <v>0</v>
      </c>
      <c r="AA69" s="590">
        <f>'Propylene Recycling LC'!Z187</f>
        <v>0</v>
      </c>
      <c r="AB69" s="590">
        <f>'Propylene Recycling LC'!AA187</f>
        <v>0</v>
      </c>
      <c r="AC69" s="590">
        <f>'Propylene Recycling LC'!AB187</f>
        <v>0</v>
      </c>
      <c r="AD69" s="590">
        <f>'Propylene Recycling LC'!AC187</f>
        <v>0</v>
      </c>
      <c r="AE69" s="590">
        <f>'Propylene Recycling LC'!AD187</f>
        <v>0</v>
      </c>
      <c r="AF69" s="590">
        <f>'Propylene Recycling LC'!AE187</f>
        <v>0</v>
      </c>
      <c r="AG69" s="590">
        <f>'Propylene Recycling LC'!AF187</f>
        <v>0</v>
      </c>
      <c r="AH69" s="590">
        <f>'Propylene Recycling LC'!AG187</f>
        <v>0</v>
      </c>
    </row>
    <row r="70" spans="1:46">
      <c r="A70" s="1" t="s">
        <v>764</v>
      </c>
      <c r="C70" s="233" t="s">
        <v>1420</v>
      </c>
      <c r="D70" s="590">
        <f>'Propylene Recycling LC'!C189</f>
        <v>1.3522187034735622</v>
      </c>
      <c r="E70" s="590">
        <f>'Propylene Recycling LC'!D189</f>
        <v>2.8723632808596324</v>
      </c>
      <c r="F70" s="590">
        <f>'Propylene Recycling LC'!E189</f>
        <v>6.0287111720631934</v>
      </c>
      <c r="G70" s="590">
        <f>'Propylene Recycling LC'!F189</f>
        <v>12.514207565654393</v>
      </c>
      <c r="H70" s="590">
        <f>'Propylene Recycling LC'!G189</f>
        <v>25.69738304794868</v>
      </c>
      <c r="I70" s="590">
        <f>'Propylene Recycling LC'!H189</f>
        <v>52.180637176251935</v>
      </c>
      <c r="J70" s="590">
        <f>'Propylene Recycling LC'!I189</f>
        <v>104.31792431968626</v>
      </c>
      <c r="K70" s="590">
        <f>'Propylene Recycling LC'!J189</f>
        <v>205.60810205031837</v>
      </c>
      <c r="L70" s="590">
        <f>'Propylene Recycling LC'!K189</f>
        <v>398.37482507313268</v>
      </c>
      <c r="M70" s="590">
        <f>'Propylene Recycling LC'!L189</f>
        <v>755.72819975032064</v>
      </c>
      <c r="N70" s="590">
        <f>'Propylene Recycling LC'!M189</f>
        <v>1396.3196731797389</v>
      </c>
      <c r="O70" s="590">
        <f>'Propylene Recycling LC'!N189</f>
        <v>2457.2313694666536</v>
      </c>
      <c r="P70" s="590">
        <f>'Propylene Recycling LC'!O189</f>
        <v>4161.4669895840952</v>
      </c>
      <c r="Q70" s="590">
        <f>'Propylene Recycling LC'!P189</f>
        <v>6722.0088112424955</v>
      </c>
      <c r="R70" s="590">
        <f>'Propylene Recycling LC'!Q189</f>
        <v>10294.770290326955</v>
      </c>
      <c r="S70" s="590">
        <f>'Propylene Recycling LC'!R189</f>
        <v>14878.661466522162</v>
      </c>
      <c r="T70" s="590">
        <f>'Propylene Recycling LC'!S189</f>
        <v>20259.157352949416</v>
      </c>
      <c r="U70" s="590">
        <f>'Propylene Recycling LC'!T189</f>
        <v>26034.75878422688</v>
      </c>
      <c r="V70" s="590">
        <f>'Propylene Recycling LC'!U189</f>
        <v>31727.907821948924</v>
      </c>
      <c r="W70" s="590">
        <f>'Propylene Recycling LC'!V189</f>
        <v>36919.497187385241</v>
      </c>
      <c r="X70" s="590">
        <f>'Propylene Recycling LC'!W189</f>
        <v>41337.248019766914</v>
      </c>
      <c r="Y70" s="590">
        <f>'Propylene Recycling LC'!X189</f>
        <v>45565.481137258219</v>
      </c>
      <c r="Z70" s="590">
        <f>'Propylene Recycling LC'!Y189</f>
        <v>48952.776282370367</v>
      </c>
      <c r="AA70" s="590">
        <f>'Propylene Recycling LC'!Z189</f>
        <v>51563.126969834266</v>
      </c>
      <c r="AB70" s="590">
        <f>'Propylene Recycling LC'!AA189</f>
        <v>53523.450621303768</v>
      </c>
      <c r="AC70" s="590">
        <f>'Propylene Recycling LC'!AB189</f>
        <v>54941.532574567864</v>
      </c>
      <c r="AD70" s="590">
        <f>'Propylene Recycling LC'!AC189</f>
        <v>55911.532018161379</v>
      </c>
      <c r="AE70" s="590">
        <f>'Propylene Recycling LC'!AD189</f>
        <v>56522.325206567024</v>
      </c>
      <c r="AF70" s="590">
        <f>'Propylene Recycling LC'!AE189</f>
        <v>56841.153729423699</v>
      </c>
      <c r="AG70" s="590">
        <f>'Propylene Recycling LC'!AF189</f>
        <v>56920.12675430144</v>
      </c>
      <c r="AH70" s="590">
        <f>'Propylene Recycling LC'!AG189</f>
        <v>56798.804219674515</v>
      </c>
    </row>
    <row r="71" spans="1:46" s="97" customFormat="1">
      <c r="A71" s="95" t="s">
        <v>1078</v>
      </c>
      <c r="B71" s="95"/>
      <c r="C71" s="96" t="s">
        <v>1420</v>
      </c>
      <c r="D71" s="583">
        <f>D68-D69-D70</f>
        <v>4343143.7735394994</v>
      </c>
      <c r="E71" s="583">
        <f t="shared" ref="E71:AH71" si="30">E68-E69-E70</f>
        <v>4275859.7634317158</v>
      </c>
      <c r="F71" s="583">
        <f t="shared" si="30"/>
        <v>4208464.604730715</v>
      </c>
      <c r="G71" s="583">
        <f t="shared" si="30"/>
        <v>4140979.4586804654</v>
      </c>
      <c r="H71" s="583">
        <f t="shared" si="30"/>
        <v>4073423.6545199114</v>
      </c>
      <c r="I71" s="583">
        <f t="shared" si="30"/>
        <v>4005813.1326294579</v>
      </c>
      <c r="J71" s="583">
        <f t="shared" si="30"/>
        <v>3937124.9881608509</v>
      </c>
      <c r="K71" s="583">
        <f t="shared" si="30"/>
        <v>3868591.8716075108</v>
      </c>
      <c r="L71" s="583">
        <f t="shared" si="30"/>
        <v>3800192.0222501187</v>
      </c>
      <c r="M71" s="583">
        <f t="shared" si="30"/>
        <v>3731872.7525097588</v>
      </c>
      <c r="N71" s="583">
        <f t="shared" si="30"/>
        <v>3663535.6944735823</v>
      </c>
      <c r="O71" s="583">
        <f t="shared" si="30"/>
        <v>3593501.0043948712</v>
      </c>
      <c r="P71" s="583">
        <f t="shared" si="30"/>
        <v>3524642.7190037798</v>
      </c>
      <c r="Q71" s="583">
        <f t="shared" si="30"/>
        <v>3454622.5206478997</v>
      </c>
      <c r="R71" s="583">
        <f t="shared" si="30"/>
        <v>3384096.3228395642</v>
      </c>
      <c r="S71" s="583">
        <f t="shared" si="30"/>
        <v>3313075.2595863915</v>
      </c>
      <c r="T71" s="583">
        <f t="shared" si="30"/>
        <v>3238292.9421958998</v>
      </c>
      <c r="U71" s="583">
        <f t="shared" si="30"/>
        <v>3163725.2149290759</v>
      </c>
      <c r="V71" s="583">
        <f t="shared" si="30"/>
        <v>3089858.1511656833</v>
      </c>
      <c r="W71" s="583">
        <f t="shared" si="30"/>
        <v>3017119.2247483181</v>
      </c>
      <c r="X71" s="583">
        <f t="shared" si="30"/>
        <v>2945788.931802942</v>
      </c>
      <c r="Y71" s="583">
        <f t="shared" si="30"/>
        <v>2859664.8504050346</v>
      </c>
      <c r="Z71" s="583">
        <f t="shared" si="30"/>
        <v>2773432.626223532</v>
      </c>
      <c r="AA71" s="583">
        <f t="shared" si="30"/>
        <v>2688562.1449267962</v>
      </c>
      <c r="AB71" s="583">
        <f t="shared" si="30"/>
        <v>2604515.3166112192</v>
      </c>
      <c r="AC71" s="583">
        <f t="shared" si="30"/>
        <v>2521186.0381587469</v>
      </c>
      <c r="AD71" s="583">
        <f t="shared" si="30"/>
        <v>2437365.263740676</v>
      </c>
      <c r="AE71" s="583">
        <f t="shared" si="30"/>
        <v>2354115.4416879448</v>
      </c>
      <c r="AF71" s="583">
        <f t="shared" si="30"/>
        <v>2271370.0129765249</v>
      </c>
      <c r="AG71" s="583">
        <f t="shared" si="30"/>
        <v>2189077.4009322827</v>
      </c>
      <c r="AH71" s="583">
        <f t="shared" si="30"/>
        <v>2107198.4315767298</v>
      </c>
    </row>
    <row r="72" spans="1:46" s="371" customFormat="1">
      <c r="A72" s="370" t="s">
        <v>647</v>
      </c>
      <c r="C72" s="374" t="s">
        <v>1420</v>
      </c>
      <c r="D72" s="585">
        <f>'Propylene Recycling LC'!C196</f>
        <v>146696.28479400909</v>
      </c>
      <c r="E72" s="585">
        <f>'Propylene Recycling LC'!D196</f>
        <v>160918.17506673635</v>
      </c>
      <c r="F72" s="585">
        <f>'Propylene Recycling LC'!E196</f>
        <v>174714.58981303254</v>
      </c>
      <c r="G72" s="585">
        <f>'Propylene Recycling LC'!F196</f>
        <v>188059.94717250488</v>
      </c>
      <c r="H72" s="585">
        <f>'Propylene Recycling LC'!G196</f>
        <v>200928.92307542905</v>
      </c>
      <c r="I72" s="585">
        <f>'Propylene Recycling LC'!H196</f>
        <v>213294.813131059</v>
      </c>
      <c r="J72" s="585">
        <f>'Propylene Recycling LC'!I196</f>
        <v>224389.61314869547</v>
      </c>
      <c r="K72" s="585">
        <f>'Propylene Recycling LC'!J196</f>
        <v>234848.78398763615</v>
      </c>
      <c r="L72" s="585">
        <f>'Propylene Recycling LC'!K196</f>
        <v>244622.12008742293</v>
      </c>
      <c r="M72" s="585">
        <f>'Propylene Recycling LC'!L196</f>
        <v>253629.94526646961</v>
      </c>
      <c r="N72" s="585">
        <f>'Propylene Recycling LC'!M196</f>
        <v>261748.30076457831</v>
      </c>
      <c r="O72" s="585">
        <f>'Propylene Recycling LC'!N196</f>
        <v>264547.46505540551</v>
      </c>
      <c r="P72" s="585">
        <f>'Propylene Recycling LC'!O196</f>
        <v>266377.64452691912</v>
      </c>
      <c r="Q72" s="585">
        <f>'Propylene Recycling LC'!P196</f>
        <v>266662.27691878704</v>
      </c>
      <c r="R72" s="585">
        <f>'Propylene Recycling LC'!Q196</f>
        <v>265456.71244500048</v>
      </c>
      <c r="S72" s="585">
        <f>'Propylene Recycling LC'!R196</f>
        <v>262766.97889692977</v>
      </c>
      <c r="T72" s="585">
        <f>'Propylene Recycling LC'!S196</f>
        <v>258813.14989986693</v>
      </c>
      <c r="U72" s="585">
        <f>'Propylene Recycling LC'!T196</f>
        <v>254002.85436713821</v>
      </c>
      <c r="V72" s="585">
        <f>'Propylene Recycling LC'!U196</f>
        <v>248820.33258100133</v>
      </c>
      <c r="W72" s="585">
        <f>'Propylene Recycling LC'!V196</f>
        <v>243691.89938187043</v>
      </c>
      <c r="X72" s="585">
        <f>'Propylene Recycling LC'!W196</f>
        <v>238897.54012099977</v>
      </c>
      <c r="Y72" s="585">
        <f>'Propylene Recycling LC'!X196</f>
        <v>238179.37592153135</v>
      </c>
      <c r="Z72" s="585">
        <f>'Propylene Recycling LC'!Y196</f>
        <v>237496.04592573963</v>
      </c>
      <c r="AA72" s="585">
        <f>'Propylene Recycling LC'!Z196</f>
        <v>236853.8027242549</v>
      </c>
      <c r="AB72" s="585">
        <f>'Propylene Recycling LC'!AA196</f>
        <v>236302.51932489267</v>
      </c>
      <c r="AC72" s="585">
        <f>'Propylene Recycling LC'!AB196</f>
        <v>235741.45478972708</v>
      </c>
      <c r="AD72" s="585">
        <f>'Propylene Recycling LC'!AC196</f>
        <v>235057.22263138322</v>
      </c>
      <c r="AE72" s="585">
        <f>'Propylene Recycling LC'!AD196</f>
        <v>234195.66539283021</v>
      </c>
      <c r="AF72" s="585">
        <f>'Propylene Recycling LC'!AE196</f>
        <v>233097.93456906395</v>
      </c>
      <c r="AG72" s="585">
        <f>'Propylene Recycling LC'!AF196</f>
        <v>231720.67120554531</v>
      </c>
      <c r="AH72" s="585">
        <f>'Propylene Recycling LC'!AG196</f>
        <v>230033.40328755081</v>
      </c>
      <c r="AI72" s="375"/>
    </row>
    <row r="73" spans="1:46" s="373" customFormat="1">
      <c r="A73" s="372" t="s">
        <v>648</v>
      </c>
      <c r="C73" s="376" t="s">
        <v>1420</v>
      </c>
      <c r="D73" s="586">
        <f>'Propylene Recycling LC'!C197</f>
        <v>2034374.448638414</v>
      </c>
      <c r="E73" s="586">
        <f>'Propylene Recycling LC'!D197</f>
        <v>1995704.681699978</v>
      </c>
      <c r="F73" s="586">
        <f>'Propylene Recycling LC'!E197</f>
        <v>1956567.5420583691</v>
      </c>
      <c r="G73" s="586">
        <f>'Propylene Recycling LC'!F197</f>
        <v>1916985.7018755618</v>
      </c>
      <c r="H73" s="586">
        <f>'Propylene Recycling LC'!G197</f>
        <v>1876979.9578109393</v>
      </c>
      <c r="I73" s="586">
        <f>'Propylene Recycling LC'!H197</f>
        <v>1836567.6738115717</v>
      </c>
      <c r="J73" s="586">
        <f>'Propylene Recycling LC'!I197</f>
        <v>1794531.8180054454</v>
      </c>
      <c r="K73" s="586">
        <f>'Propylene Recycling LC'!J197</f>
        <v>1752272.144991914</v>
      </c>
      <c r="L73" s="586">
        <f>'Propylene Recycling LC'!K197</f>
        <v>1709768.5912464617</v>
      </c>
      <c r="M73" s="586">
        <f>'Propylene Recycling LC'!L197</f>
        <v>1666970.1170996246</v>
      </c>
      <c r="N73" s="586">
        <f>'Propylene Recycling LC'!M197</f>
        <v>1623779.9528805916</v>
      </c>
      <c r="O73" s="586">
        <f>'Propylene Recycling LC'!N197</f>
        <v>1585324.7909752191</v>
      </c>
      <c r="P73" s="586">
        <f>'Propylene Recycling LC'!O197</f>
        <v>1547516.5059816446</v>
      </c>
      <c r="Q73" s="586">
        <f>'Propylene Recycling LC'!P197</f>
        <v>1508171.5027679321</v>
      </c>
      <c r="R73" s="586">
        <f>'Propylene Recycling LC'!Q197</f>
        <v>1467971.4231278049</v>
      </c>
      <c r="S73" s="586">
        <f>'Propylene Recycling LC'!R197</f>
        <v>1426933.4656295045</v>
      </c>
      <c r="T73" s="586">
        <f>'Propylene Recycling LC'!S197</f>
        <v>1385288.1161501755</v>
      </c>
      <c r="U73" s="586">
        <f>'Propylene Recycling LC'!T197</f>
        <v>1343452.6879024769</v>
      </c>
      <c r="V73" s="586">
        <f>'Propylene Recycling LC'!U197</f>
        <v>1301920.4068994778</v>
      </c>
      <c r="W73" s="586">
        <f>'Propylene Recycling LC'!V197</f>
        <v>1261125.9033880637</v>
      </c>
      <c r="X73" s="586">
        <f>'Propylene Recycling LC'!W197</f>
        <v>1221356.8349524809</v>
      </c>
      <c r="Y73" s="586">
        <f>'Propylene Recycling LC'!X197</f>
        <v>1176984.4221847702</v>
      </c>
      <c r="Z73" s="586">
        <f>'Propylene Recycling LC'!Y197</f>
        <v>1132491.3394001054</v>
      </c>
      <c r="AA73" s="586">
        <f>'Propylene Recycling LC'!Z197</f>
        <v>1089053.2859669668</v>
      </c>
      <c r="AB73" s="586">
        <f>'Propylene Recycling LC'!AA197</f>
        <v>1046347.0982663571</v>
      </c>
      <c r="AC73" s="586">
        <f>'Propylene Recycling LC'!AB197</f>
        <v>1004279.1830278236</v>
      </c>
      <c r="AD73" s="586">
        <f>'Propylene Recycling LC'!AC197</f>
        <v>962774.49468009744</v>
      </c>
      <c r="AE73" s="586">
        <f>'Propylene Recycling LC'!AD197</f>
        <v>921757.95132738142</v>
      </c>
      <c r="AF73" s="586">
        <f>'Propylene Recycling LC'!AE197</f>
        <v>881176.05330671626</v>
      </c>
      <c r="AG73" s="586">
        <f>'Propylene Recycling LC'!AF197</f>
        <v>840990.29891867784</v>
      </c>
      <c r="AH73" s="586">
        <f>'Propylene Recycling LC'!AG197</f>
        <v>801174.603446358</v>
      </c>
      <c r="AI73" s="377"/>
    </row>
    <row r="74" spans="1:46" hidden="1">
      <c r="A74" t="s">
        <v>523</v>
      </c>
      <c r="B74"/>
      <c r="C74" s="50"/>
      <c r="D74" s="40">
        <f t="shared" ref="D74:AH74" si="31">D4-D6-D14-D22-D26-D32</f>
        <v>0</v>
      </c>
      <c r="E74" s="40">
        <f t="shared" si="31"/>
        <v>0</v>
      </c>
      <c r="F74" s="40">
        <f t="shared" si="31"/>
        <v>0</v>
      </c>
      <c r="G74" s="40">
        <f t="shared" si="31"/>
        <v>0</v>
      </c>
      <c r="H74" s="40">
        <f t="shared" si="31"/>
        <v>0</v>
      </c>
      <c r="I74" s="40">
        <f t="shared" si="31"/>
        <v>0</v>
      </c>
      <c r="J74" s="40">
        <f t="shared" si="31"/>
        <v>0</v>
      </c>
      <c r="K74" s="40">
        <f t="shared" si="31"/>
        <v>0</v>
      </c>
      <c r="L74" s="40">
        <f t="shared" si="31"/>
        <v>0</v>
      </c>
      <c r="M74" s="40">
        <f t="shared" si="31"/>
        <v>0</v>
      </c>
      <c r="N74" s="40">
        <f t="shared" si="31"/>
        <v>0</v>
      </c>
      <c r="O74" s="40">
        <f t="shared" si="31"/>
        <v>0</v>
      </c>
      <c r="P74" s="40">
        <f t="shared" si="31"/>
        <v>0</v>
      </c>
      <c r="Q74" s="40">
        <f t="shared" si="31"/>
        <v>0</v>
      </c>
      <c r="R74" s="40">
        <f t="shared" si="31"/>
        <v>0</v>
      </c>
      <c r="S74" s="40">
        <f t="shared" si="31"/>
        <v>0</v>
      </c>
      <c r="T74" s="40">
        <f t="shared" si="31"/>
        <v>0</v>
      </c>
      <c r="U74" s="40">
        <f t="shared" si="31"/>
        <v>0</v>
      </c>
      <c r="V74" s="40">
        <f t="shared" si="31"/>
        <v>0</v>
      </c>
      <c r="W74" s="40">
        <f t="shared" si="31"/>
        <v>0</v>
      </c>
      <c r="X74" s="40">
        <f t="shared" si="31"/>
        <v>0</v>
      </c>
      <c r="Y74" s="40">
        <f t="shared" si="31"/>
        <v>0</v>
      </c>
      <c r="Z74" s="40">
        <f t="shared" si="31"/>
        <v>0</v>
      </c>
      <c r="AA74" s="40">
        <f t="shared" si="31"/>
        <v>0</v>
      </c>
      <c r="AB74" s="40">
        <f t="shared" si="31"/>
        <v>0</v>
      </c>
      <c r="AC74" s="40">
        <f t="shared" si="31"/>
        <v>0</v>
      </c>
      <c r="AD74" s="40">
        <f t="shared" si="31"/>
        <v>0</v>
      </c>
      <c r="AE74" s="40">
        <f t="shared" si="31"/>
        <v>0</v>
      </c>
      <c r="AF74" s="40">
        <f t="shared" si="31"/>
        <v>0</v>
      </c>
      <c r="AG74" s="40">
        <f t="shared" si="31"/>
        <v>0</v>
      </c>
      <c r="AH74" s="40">
        <f t="shared" si="31"/>
        <v>0</v>
      </c>
    </row>
    <row r="75" spans="1:46" hidden="1">
      <c r="A75" t="s">
        <v>524</v>
      </c>
      <c r="B75"/>
      <c r="C75" s="50"/>
      <c r="D75" s="40">
        <f t="shared" ref="D75:AH75" si="32">D42-D13-D21-D25-D31-D35-D38</f>
        <v>0</v>
      </c>
      <c r="E75" s="40">
        <f t="shared" si="32"/>
        <v>6.9849193096160889E-10</v>
      </c>
      <c r="F75" s="40">
        <f t="shared" si="32"/>
        <v>4.6566128730773926E-10</v>
      </c>
      <c r="G75" s="40">
        <f t="shared" si="32"/>
        <v>1.1641532182693481E-9</v>
      </c>
      <c r="H75" s="40">
        <f t="shared" si="32"/>
        <v>-6.9849193096160889E-10</v>
      </c>
      <c r="I75" s="40">
        <f t="shared" si="32"/>
        <v>4.6566128730773926E-10</v>
      </c>
      <c r="J75" s="40">
        <f t="shared" si="32"/>
        <v>2.3283064365386963E-10</v>
      </c>
      <c r="K75" s="40">
        <f t="shared" si="32"/>
        <v>0</v>
      </c>
      <c r="L75" s="40">
        <f t="shared" si="32"/>
        <v>-4.6566128730773926E-10</v>
      </c>
      <c r="M75" s="40">
        <f t="shared" si="32"/>
        <v>2.3283064365386963E-10</v>
      </c>
      <c r="N75" s="40">
        <f t="shared" si="32"/>
        <v>2.3283064365386963E-10</v>
      </c>
      <c r="O75" s="40">
        <f t="shared" si="32"/>
        <v>4.6566128730773926E-10</v>
      </c>
      <c r="P75" s="40">
        <f t="shared" si="32"/>
        <v>0</v>
      </c>
      <c r="Q75" s="40">
        <f t="shared" si="32"/>
        <v>2.3283064365386963E-10</v>
      </c>
      <c r="R75" s="40">
        <f t="shared" si="32"/>
        <v>0</v>
      </c>
      <c r="S75" s="40">
        <f t="shared" si="32"/>
        <v>0</v>
      </c>
      <c r="T75" s="40">
        <f t="shared" si="32"/>
        <v>0</v>
      </c>
      <c r="U75" s="40">
        <f t="shared" si="32"/>
        <v>-2.3283064365386963E-10</v>
      </c>
      <c r="V75" s="40">
        <f t="shared" si="32"/>
        <v>2.3283064365386963E-10</v>
      </c>
      <c r="W75" s="40">
        <f t="shared" si="32"/>
        <v>1.1641532182693481E-10</v>
      </c>
      <c r="X75" s="40">
        <f t="shared" si="32"/>
        <v>-1.1641532182693481E-10</v>
      </c>
      <c r="Y75" s="40">
        <f t="shared" si="32"/>
        <v>1.1641532182693481E-10</v>
      </c>
      <c r="Z75" s="40">
        <f t="shared" si="32"/>
        <v>0</v>
      </c>
      <c r="AA75" s="40">
        <f t="shared" si="32"/>
        <v>3.4924596548080444E-10</v>
      </c>
      <c r="AB75" s="40">
        <f t="shared" si="32"/>
        <v>-1.1641532182693481E-10</v>
      </c>
      <c r="AC75" s="40">
        <f t="shared" si="32"/>
        <v>-3.4924596548080444E-10</v>
      </c>
      <c r="AD75" s="40">
        <f t="shared" si="32"/>
        <v>4.6566128730773926E-10</v>
      </c>
      <c r="AE75" s="40">
        <f t="shared" si="32"/>
        <v>4.6566128730773926E-10</v>
      </c>
      <c r="AF75" s="40">
        <f t="shared" si="32"/>
        <v>0</v>
      </c>
      <c r="AG75" s="40">
        <f t="shared" si="32"/>
        <v>2.3283064365386963E-10</v>
      </c>
      <c r="AH75" s="40">
        <f t="shared" si="32"/>
        <v>5.8207660913467407E-10</v>
      </c>
    </row>
    <row r="76" spans="1:46" hidden="1">
      <c r="A76" t="s">
        <v>525</v>
      </c>
      <c r="B76"/>
      <c r="C76" s="50"/>
      <c r="D76" s="216">
        <f t="shared" ref="D76:AH76" si="33">D42-D43-D47-D50-D54-D60</f>
        <v>0</v>
      </c>
      <c r="E76" s="216">
        <f t="shared" si="33"/>
        <v>0</v>
      </c>
      <c r="F76" s="216">
        <f t="shared" si="33"/>
        <v>0</v>
      </c>
      <c r="G76" s="216">
        <f t="shared" si="33"/>
        <v>0</v>
      </c>
      <c r="H76" s="216">
        <f t="shared" si="33"/>
        <v>0</v>
      </c>
      <c r="I76" s="216">
        <f t="shared" si="33"/>
        <v>0</v>
      </c>
      <c r="J76" s="216">
        <f t="shared" si="33"/>
        <v>0</v>
      </c>
      <c r="K76" s="216">
        <f t="shared" si="33"/>
        <v>0</v>
      </c>
      <c r="L76" s="216">
        <f t="shared" si="33"/>
        <v>0</v>
      </c>
      <c r="M76" s="216">
        <f t="shared" si="33"/>
        <v>0</v>
      </c>
      <c r="N76" s="216">
        <f t="shared" si="33"/>
        <v>0</v>
      </c>
      <c r="O76" s="216">
        <f t="shared" si="33"/>
        <v>0</v>
      </c>
      <c r="P76" s="216">
        <f t="shared" si="33"/>
        <v>0</v>
      </c>
      <c r="Q76" s="216">
        <f t="shared" si="33"/>
        <v>0</v>
      </c>
      <c r="R76" s="216">
        <f t="shared" si="33"/>
        <v>0</v>
      </c>
      <c r="S76" s="216">
        <f t="shared" si="33"/>
        <v>0</v>
      </c>
      <c r="T76" s="216">
        <f t="shared" si="33"/>
        <v>0</v>
      </c>
      <c r="U76" s="216">
        <f t="shared" si="33"/>
        <v>0</v>
      </c>
      <c r="V76" s="216">
        <f t="shared" si="33"/>
        <v>0</v>
      </c>
      <c r="W76" s="216">
        <f t="shared" si="33"/>
        <v>0</v>
      </c>
      <c r="X76" s="216">
        <f t="shared" si="33"/>
        <v>0</v>
      </c>
      <c r="Y76" s="216">
        <f t="shared" si="33"/>
        <v>0</v>
      </c>
      <c r="Z76" s="216">
        <f t="shared" si="33"/>
        <v>0</v>
      </c>
      <c r="AA76" s="216">
        <f t="shared" si="33"/>
        <v>0</v>
      </c>
      <c r="AB76" s="216">
        <f t="shared" si="33"/>
        <v>0</v>
      </c>
      <c r="AC76" s="216">
        <f t="shared" si="33"/>
        <v>0</v>
      </c>
      <c r="AD76" s="216">
        <f t="shared" si="33"/>
        <v>0</v>
      </c>
      <c r="AE76" s="216">
        <f t="shared" si="33"/>
        <v>0</v>
      </c>
      <c r="AF76" s="216">
        <f t="shared" si="33"/>
        <v>0</v>
      </c>
      <c r="AG76" s="216">
        <f t="shared" si="33"/>
        <v>0</v>
      </c>
      <c r="AH76" s="216">
        <f t="shared" si="33"/>
        <v>0</v>
      </c>
    </row>
    <row r="77" spans="1:46" hidden="1">
      <c r="A77" t="s">
        <v>526</v>
      </c>
      <c r="B77"/>
      <c r="C77" s="50"/>
      <c r="D77" s="216" t="e">
        <f>D46+D49+D53+D59+D65-#REF!</f>
        <v>#REF!</v>
      </c>
      <c r="E77" s="216" t="e">
        <f>E46+E49+E53+E59+E65-#REF!</f>
        <v>#REF!</v>
      </c>
      <c r="F77" s="216" t="e">
        <f>F46+F49+F53+F59+F65-#REF!</f>
        <v>#REF!</v>
      </c>
      <c r="G77" s="216" t="e">
        <f>G46+G49+G53+G59+G65-#REF!</f>
        <v>#REF!</v>
      </c>
      <c r="H77" s="216" t="e">
        <f>H46+H49+H53+H59+H65-#REF!</f>
        <v>#REF!</v>
      </c>
      <c r="I77" s="216" t="e">
        <f>I46+I49+I53+I59+I65-#REF!</f>
        <v>#REF!</v>
      </c>
      <c r="J77" s="216" t="e">
        <f>J46+J49+J53+J59+J65-#REF!</f>
        <v>#REF!</v>
      </c>
      <c r="K77" s="216" t="e">
        <f>K46+K49+K53+K59+K65-#REF!</f>
        <v>#REF!</v>
      </c>
      <c r="L77" s="216" t="e">
        <f>L46+L49+L53+L59+L65-#REF!</f>
        <v>#REF!</v>
      </c>
      <c r="M77" s="216" t="e">
        <f>M46+M49+M53+M59+M65-#REF!</f>
        <v>#REF!</v>
      </c>
      <c r="N77" s="216" t="e">
        <f>N46+N49+N53+N59+N65-#REF!</f>
        <v>#REF!</v>
      </c>
      <c r="O77" s="216" t="e">
        <f>O46+O49+O53+O59+O65-#REF!</f>
        <v>#REF!</v>
      </c>
      <c r="P77" s="216" t="e">
        <f>P46+P49+P53+P59+P65-#REF!</f>
        <v>#REF!</v>
      </c>
      <c r="Q77" s="216" t="e">
        <f>Q46+Q49+Q53+Q59+Q65-#REF!</f>
        <v>#REF!</v>
      </c>
      <c r="R77" s="216" t="e">
        <f>R46+R49+R53+R59+R65-#REF!</f>
        <v>#REF!</v>
      </c>
      <c r="S77" s="216" t="e">
        <f>S46+S49+S53+S59+S65-#REF!</f>
        <v>#REF!</v>
      </c>
      <c r="T77" s="216" t="e">
        <f>T46+T49+T53+T59+T65-#REF!</f>
        <v>#REF!</v>
      </c>
      <c r="U77" s="216" t="e">
        <f>U46+U49+U53+U59+U65-#REF!</f>
        <v>#REF!</v>
      </c>
      <c r="V77" s="216" t="e">
        <f>V46+V49+V53+V59+V65-#REF!</f>
        <v>#REF!</v>
      </c>
      <c r="W77" s="216" t="e">
        <f>W46+W49+W53+W59+W65-#REF!</f>
        <v>#REF!</v>
      </c>
      <c r="X77" s="216" t="e">
        <f>X46+X49+X53+X59+X65-#REF!</f>
        <v>#REF!</v>
      </c>
      <c r="Y77" s="216" t="e">
        <f>Y46+Y49+Y53+Y59+Y65-#REF!</f>
        <v>#REF!</v>
      </c>
      <c r="Z77" s="216" t="e">
        <f>Z46+Z49+Z53+Z59+Z65-#REF!</f>
        <v>#REF!</v>
      </c>
      <c r="AA77" s="216" t="e">
        <f>AA46+AA49+AA53+AA59+AA65-#REF!</f>
        <v>#REF!</v>
      </c>
      <c r="AB77" s="216" t="e">
        <f>AB46+AB49+AB53+AB59+AB65-#REF!</f>
        <v>#REF!</v>
      </c>
      <c r="AC77" s="216" t="e">
        <f>AC46+AC49+AC53+AC59+AC65-#REF!</f>
        <v>#REF!</v>
      </c>
      <c r="AD77" s="216" t="e">
        <f>AD46+AD49+AD53+AD59+AD65-#REF!</f>
        <v>#REF!</v>
      </c>
      <c r="AE77" s="216" t="e">
        <f>AE46+AE49+AE53+AE59+AE65-#REF!</f>
        <v>#REF!</v>
      </c>
      <c r="AF77" s="216" t="e">
        <f>AF46+AF49+AF53+AF59+AF65-#REF!</f>
        <v>#REF!</v>
      </c>
      <c r="AG77" s="216" t="e">
        <f>AG46+AG49+AG53+AG59+AG65-#REF!</f>
        <v>#REF!</v>
      </c>
      <c r="AH77" s="216" t="e">
        <f>AH46+AH49+AH53+AH59+AH65-#REF!</f>
        <v>#REF!</v>
      </c>
    </row>
    <row r="78" spans="1:46">
      <c r="C78" s="60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</row>
    <row r="79" spans="1:46" s="708" customFormat="1" ht="54" customHeight="1">
      <c r="A79" s="706"/>
      <c r="B79" s="707"/>
      <c r="C79" s="706"/>
      <c r="D79" s="706"/>
      <c r="E79" s="706"/>
      <c r="F79" s="706"/>
      <c r="G79" s="706"/>
      <c r="H79" s="706"/>
      <c r="I79" s="706"/>
      <c r="J79" s="706"/>
      <c r="K79" s="706"/>
      <c r="L79" s="706"/>
      <c r="M79" s="706"/>
      <c r="N79" s="706"/>
      <c r="O79" s="706"/>
      <c r="P79" s="706"/>
      <c r="Q79" s="706"/>
      <c r="R79" s="706"/>
      <c r="S79" s="706"/>
      <c r="T79" s="706"/>
      <c r="U79" s="706"/>
      <c r="V79" s="706"/>
      <c r="W79" s="706"/>
      <c r="X79" s="706"/>
      <c r="AJ79" s="709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</row>
    <row r="80" spans="1:46" s="708" customFormat="1">
      <c r="B80" s="711"/>
      <c r="C80" s="712"/>
      <c r="D80" s="713"/>
      <c r="N80" s="432"/>
      <c r="X80" s="714"/>
      <c r="AJ80" s="715"/>
      <c r="AK80" s="716"/>
      <c r="AM80" s="716"/>
      <c r="AN80" s="716"/>
      <c r="AO80" s="716"/>
      <c r="AP80" s="716"/>
      <c r="AR80" s="716"/>
      <c r="AS80" s="717"/>
      <c r="AT80" s="716"/>
    </row>
    <row r="81" spans="1:45" s="708" customFormat="1">
      <c r="B81" s="711"/>
      <c r="C81" s="712"/>
      <c r="D81" s="713"/>
      <c r="N81" s="432"/>
      <c r="X81" s="714"/>
      <c r="AJ81" s="715"/>
      <c r="AN81" s="714"/>
      <c r="AO81" s="718"/>
      <c r="AP81" s="714"/>
      <c r="AQ81" s="718"/>
    </row>
    <row r="82" spans="1:45" s="708" customFormat="1">
      <c r="B82" s="711"/>
      <c r="C82" s="712"/>
      <c r="D82" s="713"/>
      <c r="N82" s="432"/>
      <c r="X82" s="714"/>
      <c r="AJ82" s="715"/>
      <c r="AN82" s="714"/>
      <c r="AO82" s="718"/>
      <c r="AQ82" s="718"/>
    </row>
    <row r="83" spans="1:45" s="708" customFormat="1">
      <c r="B83" s="711"/>
      <c r="C83" s="712"/>
      <c r="D83" s="713"/>
      <c r="N83" s="432"/>
      <c r="X83" s="714"/>
      <c r="AJ83" s="715"/>
      <c r="AL83" s="716"/>
      <c r="AS83" s="714"/>
    </row>
    <row r="84" spans="1:45" s="708" customFormat="1">
      <c r="B84" s="711"/>
      <c r="C84" s="712"/>
      <c r="D84" s="713"/>
      <c r="N84" s="432"/>
      <c r="X84" s="714"/>
    </row>
    <row r="85" spans="1:45" s="708" customFormat="1">
      <c r="B85" s="711"/>
      <c r="C85" s="712"/>
      <c r="D85" s="713"/>
      <c r="N85" s="432"/>
      <c r="X85" s="714"/>
      <c r="AJ85" s="719"/>
      <c r="AK85" s="710"/>
      <c r="AL85" s="710"/>
      <c r="AM85" s="710"/>
      <c r="AN85" s="710"/>
      <c r="AO85" s="710"/>
      <c r="AP85" s="710"/>
    </row>
    <row r="86" spans="1:45" s="708" customFormat="1">
      <c r="A86" s="720"/>
      <c r="B86" s="711"/>
      <c r="C86" s="712"/>
      <c r="D86" s="713"/>
      <c r="N86" s="432"/>
      <c r="X86" s="714"/>
      <c r="AK86" s="721"/>
      <c r="AL86" s="722"/>
      <c r="AM86" s="721"/>
      <c r="AN86" s="722"/>
      <c r="AO86" s="722"/>
      <c r="AP86" s="721"/>
    </row>
    <row r="87" spans="1:45" s="708" customFormat="1">
      <c r="B87" s="711"/>
      <c r="C87" s="712"/>
      <c r="D87" s="713"/>
      <c r="N87" s="432"/>
      <c r="X87" s="714"/>
    </row>
    <row r="88" spans="1:45" s="708" customFormat="1">
      <c r="A88" s="707"/>
      <c r="B88" s="723"/>
      <c r="C88" s="323"/>
      <c r="D88" s="724"/>
      <c r="N88" s="711"/>
      <c r="X88" s="714"/>
    </row>
    <row r="89" spans="1:45" s="708" customFormat="1">
      <c r="A89" s="707"/>
      <c r="B89" s="707"/>
      <c r="AJ89" s="719"/>
      <c r="AK89" s="725"/>
      <c r="AL89" s="725"/>
      <c r="AM89" s="725"/>
      <c r="AN89" s="725"/>
      <c r="AO89" s="725"/>
      <c r="AP89" s="725"/>
      <c r="AQ89" s="725"/>
    </row>
    <row r="90" spans="1:45" s="708" customFormat="1">
      <c r="A90" s="706"/>
      <c r="B90" s="707"/>
      <c r="C90" s="706"/>
      <c r="D90" s="706"/>
      <c r="E90" s="706"/>
      <c r="F90" s="706"/>
      <c r="G90" s="706"/>
      <c r="H90" s="706"/>
      <c r="I90" s="706"/>
      <c r="J90" s="706"/>
      <c r="K90" s="706"/>
      <c r="L90" s="706"/>
      <c r="M90" s="706"/>
      <c r="O90" s="706"/>
      <c r="P90" s="706"/>
      <c r="Q90" s="706"/>
      <c r="R90" s="706"/>
      <c r="S90" s="706"/>
      <c r="T90" s="706"/>
      <c r="U90" s="706"/>
      <c r="V90" s="706"/>
      <c r="W90" s="706"/>
      <c r="X90" s="706"/>
      <c r="AK90" s="721"/>
      <c r="AL90" s="722"/>
      <c r="AM90" s="722"/>
      <c r="AN90" s="722"/>
      <c r="AO90" s="722"/>
      <c r="AP90" s="721"/>
      <c r="AQ90" s="722"/>
    </row>
    <row r="91" spans="1:45" s="708" customFormat="1">
      <c r="B91" s="711"/>
      <c r="C91" s="712"/>
      <c r="D91" s="432"/>
      <c r="X91" s="714"/>
    </row>
    <row r="92" spans="1:45" s="708" customFormat="1">
      <c r="B92" s="711"/>
      <c r="C92" s="712"/>
      <c r="D92" s="432"/>
      <c r="X92" s="714"/>
      <c r="AJ92" s="719"/>
      <c r="AK92" s="725"/>
      <c r="AL92" s="725"/>
      <c r="AM92" s="725"/>
      <c r="AN92" s="725"/>
      <c r="AO92" s="725"/>
      <c r="AP92" s="710"/>
    </row>
    <row r="93" spans="1:45" s="708" customFormat="1">
      <c r="B93" s="711"/>
      <c r="C93" s="712"/>
      <c r="D93" s="432"/>
      <c r="X93" s="714"/>
      <c r="AK93" s="721"/>
      <c r="AL93" s="722"/>
      <c r="AM93" s="721"/>
      <c r="AN93" s="722"/>
      <c r="AO93" s="722"/>
      <c r="AP93" s="721"/>
    </row>
    <row r="94" spans="1:45" s="708" customFormat="1">
      <c r="B94" s="711"/>
      <c r="C94" s="712"/>
      <c r="D94" s="432"/>
      <c r="X94" s="714"/>
    </row>
    <row r="95" spans="1:45" s="708" customFormat="1">
      <c r="B95" s="711"/>
      <c r="C95" s="711"/>
      <c r="D95" s="711"/>
      <c r="X95" s="714"/>
      <c r="AJ95" s="719"/>
      <c r="AK95" s="725"/>
      <c r="AL95" s="725"/>
      <c r="AM95" s="725"/>
      <c r="AN95" s="725"/>
      <c r="AO95" s="725"/>
      <c r="AP95" s="725"/>
    </row>
    <row r="96" spans="1:45" s="708" customFormat="1">
      <c r="B96" s="711"/>
      <c r="C96" s="712"/>
      <c r="D96" s="432"/>
      <c r="X96" s="714"/>
      <c r="AK96" s="721"/>
      <c r="AL96" s="722"/>
      <c r="AM96" s="722"/>
      <c r="AN96" s="722"/>
      <c r="AO96" s="722"/>
      <c r="AP96" s="721"/>
    </row>
    <row r="97" spans="1:47" s="708" customFormat="1">
      <c r="A97" s="707"/>
      <c r="B97" s="726"/>
      <c r="C97" s="727"/>
      <c r="D97" s="726"/>
      <c r="X97" s="714"/>
    </row>
    <row r="98" spans="1:47" s="708" customFormat="1">
      <c r="A98" s="707"/>
      <c r="B98" s="707"/>
      <c r="X98" s="714"/>
    </row>
    <row r="99" spans="1:47" s="708" customFormat="1">
      <c r="A99" s="707"/>
      <c r="B99" s="707"/>
    </row>
    <row r="100" spans="1:47" s="708" customFormat="1">
      <c r="A100" s="706"/>
      <c r="B100" s="706"/>
      <c r="C100" s="706"/>
      <c r="D100" s="706"/>
      <c r="N100" s="706"/>
    </row>
    <row r="101" spans="1:47" s="708" customFormat="1">
      <c r="B101" s="711"/>
      <c r="C101" s="711"/>
      <c r="D101" s="712"/>
      <c r="N101" s="432"/>
    </row>
    <row r="102" spans="1:47" s="708" customFormat="1">
      <c r="B102" s="711"/>
      <c r="C102" s="711"/>
      <c r="D102" s="712"/>
      <c r="N102" s="432"/>
      <c r="AJ102" s="709"/>
      <c r="AK102" s="710"/>
      <c r="AL102" s="710"/>
      <c r="AM102" s="710"/>
      <c r="AN102" s="710"/>
      <c r="AO102" s="710"/>
      <c r="AP102" s="710"/>
      <c r="AQ102" s="710"/>
      <c r="AR102" s="710"/>
      <c r="AS102" s="710"/>
      <c r="AT102" s="710"/>
      <c r="AU102" s="710"/>
    </row>
    <row r="103" spans="1:47" s="708" customFormat="1">
      <c r="B103" s="711"/>
      <c r="C103" s="711"/>
      <c r="D103" s="712"/>
      <c r="N103" s="432"/>
      <c r="AK103" s="716"/>
      <c r="AL103" s="716"/>
      <c r="AM103" s="716"/>
      <c r="AN103" s="716"/>
      <c r="AO103" s="716"/>
      <c r="AP103" s="716"/>
      <c r="AQ103" s="716"/>
      <c r="AR103" s="716"/>
      <c r="AS103" s="716"/>
      <c r="AT103" s="717"/>
      <c r="AU103" s="717"/>
    </row>
    <row r="104" spans="1:47" s="708" customFormat="1">
      <c r="B104" s="711"/>
      <c r="C104" s="711"/>
      <c r="D104" s="712"/>
      <c r="N104" s="432"/>
      <c r="AJ104" s="717"/>
    </row>
    <row r="105" spans="1:47" s="708" customFormat="1">
      <c r="B105" s="711"/>
      <c r="C105" s="711"/>
      <c r="D105" s="712"/>
      <c r="N105" s="432"/>
      <c r="AJ105" s="709"/>
      <c r="AK105" s="710"/>
      <c r="AL105" s="710"/>
      <c r="AM105" s="710"/>
      <c r="AN105" s="710"/>
      <c r="AO105" s="728"/>
      <c r="AP105" s="710"/>
      <c r="AQ105" s="710"/>
      <c r="AR105" s="710"/>
      <c r="AS105" s="710"/>
      <c r="AT105" s="710"/>
    </row>
    <row r="106" spans="1:47" s="708" customFormat="1">
      <c r="B106" s="711"/>
      <c r="C106" s="711"/>
      <c r="D106" s="712"/>
      <c r="N106" s="432"/>
      <c r="AK106" s="716"/>
      <c r="AL106" s="716"/>
      <c r="AM106" s="716"/>
      <c r="AN106" s="716"/>
      <c r="AO106" s="716"/>
      <c r="AP106" s="716"/>
      <c r="AQ106" s="716"/>
      <c r="AR106" s="716"/>
      <c r="AS106" s="714"/>
      <c r="AT106" s="717"/>
    </row>
    <row r="107" spans="1:47" s="708" customFormat="1">
      <c r="A107" s="707"/>
      <c r="B107" s="726"/>
      <c r="C107" s="726"/>
      <c r="D107" s="727"/>
      <c r="N107" s="726"/>
      <c r="AK107" s="721"/>
      <c r="AL107" s="722"/>
      <c r="AM107" s="721"/>
      <c r="AN107" s="722"/>
      <c r="AO107" s="722"/>
      <c r="AP107" s="721"/>
    </row>
    <row r="108" spans="1:47" s="708" customFormat="1">
      <c r="A108" s="707"/>
      <c r="B108" s="707"/>
    </row>
    <row r="109" spans="1:47" s="708" customFormat="1">
      <c r="A109" s="707"/>
      <c r="B109" s="707"/>
    </row>
    <row r="110" spans="1:47" s="708" customFormat="1">
      <c r="A110" s="706"/>
      <c r="B110" s="706"/>
      <c r="C110" s="706"/>
      <c r="D110" s="706"/>
      <c r="N110" s="706"/>
      <c r="AJ110" s="719"/>
      <c r="AK110" s="725"/>
      <c r="AL110" s="725"/>
      <c r="AM110" s="725"/>
      <c r="AN110" s="725"/>
      <c r="AO110" s="725"/>
      <c r="AP110" s="725"/>
      <c r="AQ110" s="725"/>
    </row>
    <row r="111" spans="1:47" s="708" customFormat="1">
      <c r="B111" s="751"/>
      <c r="C111" s="751"/>
      <c r="D111" s="712"/>
      <c r="N111" s="432"/>
      <c r="AK111" s="721"/>
      <c r="AL111" s="722"/>
      <c r="AM111" s="722"/>
      <c r="AN111" s="722"/>
      <c r="AO111" s="722"/>
      <c r="AP111" s="721"/>
      <c r="AQ111" s="722"/>
    </row>
    <row r="112" spans="1:47" s="708" customFormat="1">
      <c r="B112" s="751"/>
      <c r="C112" s="751"/>
      <c r="D112" s="712"/>
      <c r="N112" s="432"/>
    </row>
    <row r="113" spans="1:42" s="708" customFormat="1">
      <c r="B113" s="751"/>
      <c r="C113" s="751"/>
      <c r="D113" s="712"/>
      <c r="N113" s="432"/>
      <c r="AJ113" s="719"/>
      <c r="AK113" s="725"/>
      <c r="AL113" s="725"/>
      <c r="AM113" s="725"/>
      <c r="AN113" s="725"/>
      <c r="AO113" s="725"/>
      <c r="AP113" s="710"/>
    </row>
    <row r="114" spans="1:42" s="708" customFormat="1">
      <c r="A114" s="720"/>
      <c r="B114" s="751"/>
      <c r="C114" s="751"/>
      <c r="D114" s="712"/>
      <c r="N114" s="432"/>
      <c r="AK114" s="721"/>
      <c r="AL114" s="722"/>
      <c r="AM114" s="721"/>
      <c r="AN114" s="722"/>
      <c r="AO114" s="722"/>
      <c r="AP114" s="721"/>
    </row>
    <row r="115" spans="1:42" s="708" customFormat="1">
      <c r="B115" s="751"/>
      <c r="C115" s="751"/>
      <c r="D115" s="712"/>
      <c r="N115" s="432"/>
    </row>
    <row r="116" spans="1:42" s="708" customFormat="1">
      <c r="B116" s="751"/>
      <c r="C116" s="751"/>
      <c r="D116" s="712"/>
      <c r="N116" s="432"/>
      <c r="AJ116" s="719"/>
      <c r="AK116" s="725"/>
      <c r="AL116" s="725"/>
      <c r="AM116" s="725"/>
      <c r="AN116" s="725"/>
      <c r="AO116" s="725"/>
      <c r="AP116" s="725"/>
    </row>
    <row r="117" spans="1:42" s="708" customFormat="1">
      <c r="B117" s="751"/>
      <c r="C117" s="751"/>
      <c r="D117" s="712"/>
      <c r="N117" s="432"/>
      <c r="AK117" s="721"/>
      <c r="AL117" s="722"/>
      <c r="AM117" s="722"/>
      <c r="AN117" s="722"/>
      <c r="AO117" s="722"/>
      <c r="AP117" s="721"/>
    </row>
    <row r="118" spans="1:42" s="708" customFormat="1">
      <c r="A118" s="707"/>
      <c r="B118" s="751"/>
      <c r="C118" s="751"/>
      <c r="D118" s="727"/>
      <c r="N118" s="726"/>
    </row>
    <row r="119" spans="1:42" s="708" customFormat="1">
      <c r="A119" s="707"/>
      <c r="B119" s="707"/>
    </row>
    <row r="120" spans="1:42" s="708" customFormat="1">
      <c r="A120" s="707"/>
      <c r="B120" s="707"/>
      <c r="D120" s="707"/>
      <c r="E120" s="707"/>
      <c r="F120" s="707"/>
      <c r="G120" s="707"/>
      <c r="H120" s="707"/>
      <c r="I120" s="707"/>
      <c r="J120" s="707"/>
      <c r="K120" s="707"/>
      <c r="L120" s="707"/>
      <c r="M120" s="707"/>
      <c r="N120" s="707"/>
      <c r="O120" s="707"/>
      <c r="P120" s="707"/>
      <c r="Q120" s="707"/>
      <c r="R120" s="707"/>
      <c r="S120" s="707"/>
      <c r="T120" s="707"/>
      <c r="U120" s="707"/>
      <c r="V120" s="707"/>
      <c r="W120" s="707"/>
      <c r="X120" s="707"/>
      <c r="Y120" s="707"/>
      <c r="Z120" s="707"/>
      <c r="AA120" s="707"/>
      <c r="AB120" s="707"/>
      <c r="AC120" s="707"/>
      <c r="AD120" s="707"/>
      <c r="AE120" s="707"/>
      <c r="AF120" s="707"/>
      <c r="AG120" s="707"/>
      <c r="AH120" s="707"/>
      <c r="AK120" s="721"/>
      <c r="AL120" s="722"/>
      <c r="AM120" s="722"/>
      <c r="AN120" s="722"/>
      <c r="AO120" s="722"/>
      <c r="AP120" s="721"/>
    </row>
    <row r="121" spans="1:42" s="708" customFormat="1">
      <c r="A121" s="707"/>
      <c r="B121" s="707"/>
      <c r="D121" s="714"/>
      <c r="E121" s="714"/>
      <c r="F121" s="714"/>
      <c r="G121" s="714"/>
      <c r="H121" s="714"/>
      <c r="I121" s="714"/>
      <c r="J121" s="714"/>
      <c r="K121" s="714"/>
      <c r="L121" s="714"/>
      <c r="M121" s="714"/>
      <c r="N121" s="714"/>
      <c r="O121" s="714"/>
      <c r="P121" s="714"/>
      <c r="Q121" s="714"/>
      <c r="R121" s="714"/>
      <c r="S121" s="714"/>
      <c r="T121" s="714"/>
      <c r="U121" s="714"/>
      <c r="V121" s="714"/>
      <c r="W121" s="714"/>
      <c r="X121" s="714"/>
      <c r="Y121" s="714"/>
      <c r="Z121" s="714"/>
      <c r="AA121" s="714"/>
      <c r="AB121" s="714"/>
      <c r="AC121" s="714"/>
      <c r="AD121" s="714"/>
      <c r="AE121" s="714"/>
      <c r="AF121" s="714"/>
      <c r="AG121" s="714"/>
      <c r="AH121" s="714"/>
    </row>
    <row r="122" spans="1:42" s="708" customFormat="1">
      <c r="A122" s="707"/>
      <c r="B122" s="707"/>
      <c r="D122" s="714"/>
      <c r="E122" s="714"/>
      <c r="F122" s="714"/>
      <c r="G122" s="714"/>
      <c r="H122" s="714"/>
      <c r="I122" s="714"/>
      <c r="J122" s="714"/>
      <c r="K122" s="714"/>
      <c r="L122" s="714"/>
      <c r="M122" s="714"/>
      <c r="N122" s="714"/>
      <c r="O122" s="714"/>
      <c r="P122" s="714"/>
      <c r="Q122" s="714"/>
      <c r="R122" s="714"/>
      <c r="S122" s="714"/>
      <c r="T122" s="714"/>
      <c r="U122" s="714"/>
      <c r="V122" s="714"/>
      <c r="W122" s="714"/>
      <c r="X122" s="714"/>
      <c r="Y122" s="714"/>
      <c r="Z122" s="714"/>
      <c r="AA122" s="714"/>
      <c r="AB122" s="714"/>
      <c r="AC122" s="714"/>
      <c r="AD122" s="714"/>
      <c r="AE122" s="714"/>
      <c r="AF122" s="714"/>
      <c r="AG122" s="714"/>
      <c r="AH122" s="714"/>
    </row>
    <row r="123" spans="1:42" s="708" customFormat="1">
      <c r="A123" s="707"/>
      <c r="B123" s="707"/>
      <c r="D123" s="714"/>
      <c r="E123" s="714"/>
      <c r="F123" s="714"/>
      <c r="G123" s="714"/>
      <c r="H123" s="714"/>
      <c r="I123" s="714"/>
      <c r="J123" s="714"/>
      <c r="K123" s="714"/>
      <c r="L123" s="714"/>
      <c r="M123" s="714"/>
      <c r="N123" s="714"/>
      <c r="O123" s="714"/>
      <c r="P123" s="714"/>
      <c r="Q123" s="714"/>
      <c r="R123" s="714"/>
      <c r="S123" s="714"/>
      <c r="T123" s="714"/>
      <c r="U123" s="714"/>
      <c r="V123" s="714"/>
      <c r="W123" s="714"/>
      <c r="X123" s="714"/>
      <c r="Y123" s="714"/>
      <c r="Z123" s="714"/>
      <c r="AA123" s="714"/>
      <c r="AB123" s="714"/>
      <c r="AC123" s="714"/>
      <c r="AD123" s="714"/>
      <c r="AE123" s="714"/>
      <c r="AF123" s="714"/>
      <c r="AG123" s="714"/>
      <c r="AH123" s="714"/>
    </row>
    <row r="124" spans="1:42" s="708" customFormat="1">
      <c r="A124" s="707"/>
      <c r="B124" s="707"/>
      <c r="D124" s="714"/>
      <c r="E124" s="714"/>
      <c r="F124" s="714"/>
      <c r="G124" s="714"/>
      <c r="H124" s="714"/>
      <c r="I124" s="714"/>
      <c r="J124" s="714"/>
      <c r="K124" s="714"/>
      <c r="L124" s="714"/>
      <c r="M124" s="714"/>
      <c r="N124" s="714"/>
      <c r="O124" s="714"/>
      <c r="P124" s="714"/>
      <c r="Q124" s="714"/>
      <c r="R124" s="714"/>
      <c r="S124" s="714"/>
      <c r="T124" s="714"/>
      <c r="U124" s="714"/>
      <c r="V124" s="714"/>
      <c r="W124" s="714"/>
      <c r="X124" s="714"/>
      <c r="Y124" s="714"/>
      <c r="Z124" s="714"/>
      <c r="AA124" s="714"/>
      <c r="AB124" s="714"/>
      <c r="AC124" s="714"/>
      <c r="AD124" s="714"/>
      <c r="AE124" s="714"/>
      <c r="AF124" s="714"/>
      <c r="AG124" s="714"/>
      <c r="AH124" s="714"/>
    </row>
    <row r="125" spans="1:42" s="708" customFormat="1">
      <c r="A125" s="707"/>
      <c r="B125" s="707"/>
      <c r="D125" s="714"/>
      <c r="E125" s="714"/>
      <c r="F125" s="714"/>
      <c r="G125" s="714"/>
      <c r="H125" s="714"/>
      <c r="I125" s="714"/>
      <c r="J125" s="714"/>
      <c r="K125" s="714"/>
      <c r="L125" s="714"/>
      <c r="M125" s="714"/>
      <c r="N125" s="714"/>
      <c r="O125" s="714"/>
      <c r="P125" s="714"/>
      <c r="Q125" s="714"/>
      <c r="R125" s="714"/>
      <c r="S125" s="714"/>
      <c r="T125" s="714"/>
      <c r="U125" s="714"/>
      <c r="V125" s="714"/>
      <c r="W125" s="714"/>
      <c r="X125" s="714"/>
      <c r="Y125" s="714"/>
      <c r="Z125" s="714"/>
      <c r="AA125" s="714"/>
      <c r="AB125" s="714"/>
      <c r="AC125" s="714"/>
      <c r="AD125" s="714"/>
      <c r="AE125" s="714"/>
      <c r="AF125" s="714"/>
      <c r="AG125" s="714"/>
      <c r="AH125" s="714"/>
    </row>
    <row r="126" spans="1:42" s="708" customFormat="1">
      <c r="A126" s="707"/>
      <c r="B126" s="707"/>
      <c r="C126" s="720"/>
      <c r="D126" s="714"/>
      <c r="E126" s="714"/>
      <c r="F126" s="714"/>
      <c r="G126" s="714"/>
      <c r="H126" s="714"/>
      <c r="I126" s="714"/>
      <c r="J126" s="714"/>
      <c r="K126" s="714"/>
      <c r="L126" s="714"/>
      <c r="M126" s="714"/>
      <c r="N126" s="714"/>
      <c r="O126" s="714"/>
      <c r="P126" s="714"/>
      <c r="Q126" s="714"/>
      <c r="R126" s="714"/>
      <c r="S126" s="714"/>
      <c r="T126" s="714"/>
      <c r="U126" s="714"/>
      <c r="V126" s="714"/>
      <c r="W126" s="714"/>
      <c r="X126" s="714"/>
      <c r="Y126" s="714"/>
      <c r="Z126" s="714"/>
      <c r="AA126" s="714"/>
      <c r="AB126" s="714"/>
      <c r="AC126" s="714"/>
      <c r="AD126" s="714"/>
      <c r="AE126" s="714"/>
      <c r="AF126" s="714"/>
      <c r="AG126" s="714"/>
      <c r="AH126" s="714"/>
    </row>
    <row r="127" spans="1:42" s="708" customFormat="1">
      <c r="A127" s="707"/>
      <c r="B127" s="707"/>
      <c r="D127" s="714"/>
      <c r="E127" s="714"/>
      <c r="F127" s="714"/>
      <c r="G127" s="714"/>
      <c r="H127" s="714"/>
      <c r="I127" s="714"/>
      <c r="J127" s="714"/>
      <c r="K127" s="714"/>
      <c r="L127" s="714"/>
      <c r="M127" s="714"/>
      <c r="N127" s="714"/>
      <c r="O127" s="714"/>
      <c r="P127" s="714"/>
      <c r="Q127" s="714"/>
      <c r="R127" s="714"/>
      <c r="S127" s="714"/>
      <c r="T127" s="714"/>
      <c r="U127" s="714"/>
      <c r="V127" s="714"/>
      <c r="W127" s="714"/>
      <c r="X127" s="714"/>
      <c r="Y127" s="714"/>
      <c r="Z127" s="714"/>
      <c r="AA127" s="714"/>
      <c r="AB127" s="714"/>
      <c r="AC127" s="714"/>
      <c r="AD127" s="714"/>
      <c r="AE127" s="714"/>
      <c r="AF127" s="714"/>
      <c r="AG127" s="714"/>
      <c r="AH127" s="714"/>
    </row>
    <row r="128" spans="1:42" s="708" customFormat="1">
      <c r="A128" s="707"/>
      <c r="B128" s="707"/>
      <c r="D128" s="714"/>
      <c r="E128" s="714"/>
      <c r="F128" s="714"/>
      <c r="G128" s="714"/>
      <c r="H128" s="714"/>
      <c r="I128" s="714"/>
      <c r="J128" s="714"/>
      <c r="K128" s="714"/>
      <c r="L128" s="714"/>
      <c r="M128" s="714"/>
      <c r="N128" s="714"/>
      <c r="O128" s="714"/>
      <c r="P128" s="714"/>
      <c r="Q128" s="714"/>
      <c r="R128" s="714"/>
      <c r="S128" s="714"/>
      <c r="T128" s="714"/>
      <c r="U128" s="714"/>
      <c r="V128" s="714"/>
      <c r="W128" s="714"/>
      <c r="X128" s="714"/>
      <c r="Y128" s="714"/>
      <c r="Z128" s="714"/>
      <c r="AA128" s="714"/>
      <c r="AB128" s="714"/>
      <c r="AC128" s="714"/>
      <c r="AD128" s="714"/>
      <c r="AE128" s="714"/>
      <c r="AF128" s="714"/>
      <c r="AG128" s="714"/>
      <c r="AH128" s="714"/>
    </row>
    <row r="129" spans="1:36" s="708" customFormat="1">
      <c r="A129" s="707"/>
      <c r="B129" s="707"/>
      <c r="D129" s="714"/>
      <c r="E129" s="714"/>
      <c r="F129" s="714"/>
      <c r="G129" s="714"/>
      <c r="H129" s="714"/>
      <c r="I129" s="714"/>
      <c r="J129" s="714"/>
      <c r="K129" s="714"/>
      <c r="L129" s="714"/>
      <c r="M129" s="714"/>
      <c r="N129" s="714"/>
      <c r="O129" s="714"/>
      <c r="P129" s="714"/>
      <c r="Q129" s="714"/>
      <c r="R129" s="714"/>
      <c r="S129" s="714"/>
      <c r="T129" s="714"/>
      <c r="U129" s="714"/>
      <c r="V129" s="714"/>
      <c r="W129" s="714"/>
      <c r="X129" s="714"/>
      <c r="Y129" s="714"/>
      <c r="Z129" s="714"/>
      <c r="AA129" s="714"/>
      <c r="AB129" s="714"/>
      <c r="AC129" s="714"/>
      <c r="AD129" s="714"/>
      <c r="AE129" s="714"/>
      <c r="AF129" s="714"/>
      <c r="AG129" s="714"/>
      <c r="AH129" s="714"/>
    </row>
    <row r="130" spans="1:36" s="708" customFormat="1">
      <c r="A130" s="707"/>
      <c r="B130" s="707"/>
    </row>
    <row r="131" spans="1:36" s="708" customFormat="1">
      <c r="A131" s="707"/>
      <c r="B131" s="707"/>
      <c r="D131" s="714"/>
      <c r="E131" s="714"/>
      <c r="F131" s="714"/>
      <c r="G131" s="714"/>
      <c r="H131" s="714"/>
      <c r="I131" s="714"/>
      <c r="J131" s="714"/>
      <c r="K131" s="714"/>
      <c r="L131" s="714"/>
      <c r="M131" s="714"/>
      <c r="N131" s="714"/>
      <c r="O131" s="714"/>
      <c r="P131" s="714"/>
      <c r="Q131" s="714"/>
      <c r="R131" s="714"/>
      <c r="S131" s="714"/>
      <c r="T131" s="714"/>
      <c r="U131" s="714"/>
      <c r="V131" s="714"/>
      <c r="W131" s="714"/>
      <c r="X131" s="714"/>
      <c r="Y131" s="714"/>
      <c r="Z131" s="714"/>
      <c r="AA131" s="714"/>
      <c r="AB131" s="714"/>
      <c r="AC131" s="714"/>
      <c r="AD131" s="714"/>
      <c r="AE131" s="714"/>
      <c r="AF131" s="714"/>
      <c r="AG131" s="714"/>
      <c r="AH131" s="714"/>
    </row>
    <row r="132" spans="1:36" s="708" customFormat="1">
      <c r="A132" s="707"/>
      <c r="B132" s="707"/>
      <c r="D132" s="714"/>
      <c r="E132" s="714"/>
      <c r="F132" s="714"/>
      <c r="G132" s="714"/>
      <c r="H132" s="714"/>
      <c r="I132" s="714"/>
      <c r="J132" s="714"/>
      <c r="K132" s="714"/>
      <c r="L132" s="714"/>
      <c r="M132" s="714"/>
      <c r="N132" s="714"/>
      <c r="O132" s="714"/>
      <c r="P132" s="714"/>
      <c r="Q132" s="714"/>
      <c r="R132" s="714"/>
      <c r="S132" s="714"/>
      <c r="T132" s="714"/>
      <c r="U132" s="714"/>
      <c r="V132" s="714"/>
      <c r="W132" s="714"/>
      <c r="X132" s="714"/>
      <c r="Y132" s="714"/>
      <c r="Z132" s="714"/>
      <c r="AA132" s="714"/>
      <c r="AB132" s="714"/>
      <c r="AC132" s="714"/>
      <c r="AD132" s="714"/>
      <c r="AE132" s="714"/>
      <c r="AF132" s="714"/>
      <c r="AG132" s="714"/>
      <c r="AH132" s="714"/>
    </row>
    <row r="133" spans="1:36" s="708" customFormat="1">
      <c r="A133" s="707"/>
      <c r="B133" s="707"/>
      <c r="D133" s="714"/>
      <c r="E133" s="714"/>
      <c r="F133" s="714"/>
      <c r="G133" s="714"/>
      <c r="H133" s="714"/>
      <c r="I133" s="714"/>
      <c r="J133" s="714"/>
      <c r="K133" s="714"/>
      <c r="L133" s="714"/>
      <c r="M133" s="714"/>
      <c r="N133" s="714"/>
      <c r="O133" s="714"/>
      <c r="P133" s="714"/>
      <c r="Q133" s="714"/>
      <c r="R133" s="714"/>
      <c r="S133" s="714"/>
      <c r="T133" s="714"/>
      <c r="U133" s="714"/>
      <c r="V133" s="714"/>
      <c r="W133" s="714"/>
      <c r="X133" s="714"/>
      <c r="Y133" s="714"/>
      <c r="Z133" s="714"/>
      <c r="AA133" s="714"/>
      <c r="AB133" s="714"/>
      <c r="AC133" s="714"/>
      <c r="AD133" s="714"/>
      <c r="AE133" s="714"/>
      <c r="AF133" s="714"/>
      <c r="AG133" s="714"/>
      <c r="AH133" s="714"/>
      <c r="AI133" s="714"/>
    </row>
    <row r="134" spans="1:36" s="708" customFormat="1">
      <c r="A134" s="707"/>
      <c r="B134" s="707"/>
      <c r="D134" s="714"/>
      <c r="E134" s="714"/>
      <c r="F134" s="714"/>
      <c r="G134" s="714"/>
      <c r="H134" s="714"/>
      <c r="I134" s="714"/>
      <c r="J134" s="714"/>
      <c r="K134" s="714"/>
      <c r="L134" s="714"/>
      <c r="M134" s="714"/>
      <c r="N134" s="714"/>
      <c r="O134" s="714"/>
      <c r="P134" s="714"/>
      <c r="Q134" s="714"/>
      <c r="R134" s="714"/>
      <c r="S134" s="714"/>
      <c r="T134" s="714"/>
      <c r="U134" s="714"/>
      <c r="V134" s="714"/>
      <c r="W134" s="714"/>
      <c r="X134" s="714"/>
      <c r="Y134" s="714"/>
      <c r="Z134" s="714"/>
      <c r="AA134" s="714"/>
      <c r="AB134" s="714"/>
      <c r="AC134" s="714"/>
      <c r="AD134" s="714"/>
      <c r="AE134" s="714"/>
      <c r="AF134" s="714"/>
      <c r="AG134" s="714"/>
      <c r="AH134" s="714"/>
    </row>
    <row r="135" spans="1:36" s="708" customFormat="1">
      <c r="A135" s="707"/>
      <c r="B135" s="707"/>
      <c r="D135" s="714"/>
      <c r="E135" s="714"/>
      <c r="F135" s="714"/>
      <c r="G135" s="714"/>
      <c r="H135" s="714"/>
      <c r="I135" s="714"/>
      <c r="J135" s="714"/>
      <c r="K135" s="714"/>
      <c r="L135" s="714"/>
      <c r="M135" s="714"/>
      <c r="N135" s="714"/>
      <c r="O135" s="714"/>
      <c r="P135" s="714"/>
      <c r="Q135" s="714"/>
      <c r="R135" s="714"/>
      <c r="S135" s="714"/>
      <c r="T135" s="714"/>
      <c r="U135" s="714"/>
      <c r="V135" s="714"/>
      <c r="W135" s="714"/>
      <c r="X135" s="714"/>
      <c r="Y135" s="714"/>
      <c r="Z135" s="714"/>
      <c r="AA135" s="714"/>
      <c r="AB135" s="714"/>
      <c r="AC135" s="714"/>
      <c r="AD135" s="714"/>
      <c r="AE135" s="714"/>
      <c r="AF135" s="714"/>
      <c r="AG135" s="714"/>
      <c r="AH135" s="714"/>
    </row>
    <row r="136" spans="1:36" s="708" customFormat="1">
      <c r="A136" s="707"/>
      <c r="B136" s="707"/>
      <c r="D136" s="714"/>
      <c r="E136" s="714"/>
      <c r="F136" s="714"/>
      <c r="G136" s="714"/>
      <c r="H136" s="714"/>
      <c r="I136" s="714"/>
      <c r="J136" s="714"/>
      <c r="K136" s="714"/>
      <c r="L136" s="714"/>
      <c r="M136" s="714"/>
      <c r="N136" s="714"/>
      <c r="O136" s="714"/>
      <c r="P136" s="714"/>
      <c r="Q136" s="714"/>
      <c r="R136" s="714"/>
      <c r="S136" s="714"/>
      <c r="T136" s="714"/>
      <c r="U136" s="714"/>
      <c r="V136" s="714"/>
      <c r="W136" s="714"/>
      <c r="X136" s="714"/>
      <c r="Y136" s="714"/>
      <c r="Z136" s="714"/>
      <c r="AA136" s="714"/>
      <c r="AB136" s="714"/>
      <c r="AC136" s="714"/>
      <c r="AD136" s="714"/>
      <c r="AE136" s="714"/>
      <c r="AF136" s="714"/>
      <c r="AG136" s="714"/>
      <c r="AH136" s="714"/>
    </row>
    <row r="137" spans="1:36" s="708" customFormat="1">
      <c r="A137" s="707"/>
      <c r="B137" s="707"/>
      <c r="C137" s="720"/>
      <c r="D137" s="714"/>
      <c r="E137" s="714"/>
      <c r="F137" s="714"/>
      <c r="G137" s="714"/>
      <c r="H137" s="714"/>
      <c r="I137" s="714"/>
      <c r="J137" s="714"/>
      <c r="K137" s="714"/>
      <c r="L137" s="714"/>
      <c r="M137" s="714"/>
      <c r="N137" s="714"/>
      <c r="O137" s="714"/>
      <c r="P137" s="714"/>
      <c r="Q137" s="714"/>
      <c r="R137" s="714"/>
      <c r="S137" s="714"/>
      <c r="T137" s="714"/>
      <c r="U137" s="714"/>
      <c r="V137" s="714"/>
      <c r="W137" s="714"/>
      <c r="X137" s="714"/>
      <c r="Y137" s="714"/>
      <c r="Z137" s="714"/>
      <c r="AA137" s="714"/>
      <c r="AB137" s="714"/>
      <c r="AC137" s="714"/>
      <c r="AD137" s="714"/>
      <c r="AE137" s="714"/>
      <c r="AF137" s="714"/>
      <c r="AG137" s="714"/>
      <c r="AH137" s="714"/>
    </row>
    <row r="138" spans="1:36" s="708" customFormat="1">
      <c r="A138" s="707"/>
      <c r="B138" s="707"/>
      <c r="D138" s="714"/>
      <c r="E138" s="714"/>
      <c r="F138" s="714"/>
      <c r="G138" s="714"/>
      <c r="H138" s="714"/>
      <c r="I138" s="714"/>
      <c r="J138" s="714"/>
      <c r="K138" s="714"/>
      <c r="L138" s="714"/>
      <c r="M138" s="714"/>
      <c r="N138" s="714"/>
      <c r="O138" s="714"/>
      <c r="P138" s="714"/>
      <c r="Q138" s="714"/>
      <c r="R138" s="714"/>
      <c r="S138" s="714"/>
      <c r="T138" s="714"/>
      <c r="U138" s="714"/>
      <c r="V138" s="714"/>
      <c r="W138" s="714"/>
      <c r="X138" s="714"/>
      <c r="Y138" s="714"/>
      <c r="Z138" s="714"/>
      <c r="AA138" s="714"/>
      <c r="AB138" s="714"/>
      <c r="AC138" s="714"/>
      <c r="AD138" s="714"/>
      <c r="AE138" s="714"/>
      <c r="AF138" s="714"/>
      <c r="AG138" s="714"/>
      <c r="AH138" s="714"/>
    </row>
    <row r="139" spans="1:36" s="708" customFormat="1">
      <c r="A139" s="707"/>
      <c r="B139" s="707"/>
      <c r="D139" s="714"/>
      <c r="E139" s="714"/>
      <c r="F139" s="714"/>
      <c r="G139" s="714"/>
      <c r="H139" s="714"/>
      <c r="I139" s="714"/>
      <c r="J139" s="714"/>
      <c r="K139" s="714"/>
      <c r="L139" s="714"/>
      <c r="M139" s="714"/>
      <c r="N139" s="714"/>
      <c r="O139" s="714"/>
      <c r="P139" s="714"/>
      <c r="Q139" s="714"/>
      <c r="R139" s="714"/>
      <c r="S139" s="714"/>
      <c r="T139" s="714"/>
      <c r="U139" s="714"/>
      <c r="V139" s="714"/>
      <c r="W139" s="714"/>
      <c r="X139" s="714"/>
      <c r="Y139" s="714"/>
      <c r="Z139" s="714"/>
      <c r="AA139" s="714"/>
      <c r="AB139" s="714"/>
      <c r="AC139" s="714"/>
      <c r="AD139" s="714"/>
      <c r="AE139" s="714"/>
      <c r="AF139" s="714"/>
      <c r="AG139" s="714"/>
      <c r="AH139" s="714"/>
    </row>
    <row r="140" spans="1:36" s="708" customFormat="1">
      <c r="A140" s="707"/>
      <c r="B140" s="707"/>
      <c r="D140" s="714"/>
      <c r="E140" s="714"/>
      <c r="F140" s="714"/>
      <c r="G140" s="714"/>
      <c r="H140" s="714"/>
      <c r="I140" s="714"/>
      <c r="J140" s="714"/>
      <c r="K140" s="714"/>
      <c r="L140" s="714"/>
      <c r="M140" s="714"/>
      <c r="N140" s="714"/>
      <c r="O140" s="714"/>
      <c r="P140" s="714"/>
      <c r="Q140" s="714"/>
      <c r="R140" s="714"/>
      <c r="S140" s="714"/>
      <c r="T140" s="714"/>
      <c r="U140" s="714"/>
      <c r="V140" s="714"/>
      <c r="W140" s="714"/>
      <c r="X140" s="714"/>
      <c r="Y140" s="714"/>
      <c r="Z140" s="714"/>
      <c r="AA140" s="714"/>
      <c r="AB140" s="714"/>
      <c r="AC140" s="714"/>
      <c r="AD140" s="714"/>
      <c r="AE140" s="714"/>
      <c r="AF140" s="714"/>
      <c r="AG140" s="714"/>
      <c r="AH140" s="714"/>
    </row>
    <row r="141" spans="1:36" s="708" customFormat="1">
      <c r="A141" s="707"/>
      <c r="B141" s="707"/>
      <c r="D141" s="714"/>
      <c r="E141" s="714"/>
      <c r="F141" s="714"/>
      <c r="G141" s="714"/>
      <c r="H141" s="714"/>
      <c r="I141" s="714"/>
      <c r="J141" s="714"/>
      <c r="K141" s="714"/>
      <c r="L141" s="714"/>
      <c r="M141" s="714"/>
      <c r="N141" s="714"/>
      <c r="O141" s="714"/>
      <c r="P141" s="714"/>
      <c r="Q141" s="714"/>
      <c r="R141" s="714"/>
      <c r="S141" s="714"/>
      <c r="T141" s="714"/>
      <c r="U141" s="714"/>
      <c r="V141" s="714"/>
      <c r="W141" s="714"/>
      <c r="X141" s="714"/>
      <c r="Y141" s="714"/>
      <c r="Z141" s="714"/>
      <c r="AA141" s="714"/>
      <c r="AB141" s="714"/>
      <c r="AC141" s="714"/>
      <c r="AD141" s="714"/>
      <c r="AE141" s="714"/>
      <c r="AF141" s="714"/>
      <c r="AG141" s="714"/>
      <c r="AH141" s="714"/>
    </row>
    <row r="142" spans="1:36" s="708" customFormat="1">
      <c r="A142" s="707"/>
      <c r="B142" s="707"/>
      <c r="D142" s="714"/>
      <c r="E142" s="714"/>
      <c r="F142" s="714"/>
      <c r="G142" s="714"/>
      <c r="H142" s="714"/>
      <c r="I142" s="714"/>
      <c r="J142" s="714"/>
      <c r="K142" s="714"/>
      <c r="L142" s="714"/>
      <c r="M142" s="714"/>
      <c r="N142" s="714"/>
      <c r="O142" s="714"/>
      <c r="P142" s="714"/>
      <c r="Q142" s="714"/>
      <c r="R142" s="714"/>
      <c r="S142" s="714"/>
      <c r="T142" s="714"/>
      <c r="U142" s="714"/>
      <c r="V142" s="714"/>
      <c r="W142" s="714"/>
      <c r="X142" s="714"/>
      <c r="Y142" s="714"/>
      <c r="Z142" s="714"/>
      <c r="AA142" s="714"/>
      <c r="AB142" s="714"/>
      <c r="AC142" s="714"/>
      <c r="AD142" s="714"/>
      <c r="AE142" s="714"/>
      <c r="AF142" s="714"/>
      <c r="AG142" s="714"/>
      <c r="AH142" s="714"/>
      <c r="AJ142" s="729"/>
    </row>
    <row r="143" spans="1:36" s="708" customFormat="1">
      <c r="A143" s="707"/>
      <c r="B143" s="707"/>
    </row>
    <row r="144" spans="1:36" s="708" customFormat="1">
      <c r="A144" s="707"/>
      <c r="B144" s="707"/>
    </row>
    <row r="145" spans="1:2" s="708" customFormat="1">
      <c r="A145" s="707"/>
      <c r="B145" s="707"/>
    </row>
    <row r="146" spans="1:2" s="708" customFormat="1">
      <c r="A146" s="707"/>
      <c r="B146" s="707"/>
    </row>
    <row r="147" spans="1:2" s="708" customFormat="1">
      <c r="A147" s="707"/>
      <c r="B147" s="707"/>
    </row>
    <row r="148" spans="1:2" s="708" customFormat="1">
      <c r="A148" s="707"/>
      <c r="B148" s="707"/>
    </row>
    <row r="149" spans="1:2" s="708" customFormat="1">
      <c r="A149" s="707"/>
      <c r="B149" s="707"/>
    </row>
    <row r="150" spans="1:2" s="708" customFormat="1">
      <c r="A150" s="707"/>
      <c r="B150" s="707"/>
    </row>
    <row r="151" spans="1:2" s="708" customFormat="1">
      <c r="A151" s="707"/>
      <c r="B151" s="707"/>
    </row>
    <row r="152" spans="1:2" s="708" customFormat="1">
      <c r="A152" s="707"/>
      <c r="B152" s="707"/>
    </row>
    <row r="153" spans="1:2" s="708" customFormat="1">
      <c r="A153" s="707"/>
      <c r="B153" s="707"/>
    </row>
    <row r="154" spans="1:2" s="708" customFormat="1">
      <c r="A154" s="707"/>
      <c r="B154" s="707"/>
    </row>
    <row r="155" spans="1:2" s="708" customFormat="1">
      <c r="A155" s="707"/>
      <c r="B155" s="707"/>
    </row>
    <row r="156" spans="1:2" s="708" customFormat="1">
      <c r="A156" s="707"/>
      <c r="B156" s="7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83FA-49FC-45A3-B017-5CB67B8CC7CD}">
  <sheetPr>
    <tabColor theme="7"/>
  </sheetPr>
  <dimension ref="A1:R47"/>
  <sheetViews>
    <sheetView topLeftCell="A21" zoomScale="70" zoomScaleNormal="70" workbookViewId="0">
      <selection activeCell="G43" sqref="G43"/>
    </sheetView>
  </sheetViews>
  <sheetFormatPr defaultRowHeight="14.75"/>
  <cols>
    <col min="1" max="1" width="24.7265625" customWidth="1"/>
    <col min="2" max="9" width="14.81640625" customWidth="1"/>
    <col min="10" max="10" width="12.7265625" customWidth="1"/>
    <col min="11" max="11" width="12.1796875" customWidth="1"/>
    <col min="14" max="14" width="11.1796875" customWidth="1"/>
    <col min="16" max="16" width="19.453125" bestFit="1" customWidth="1"/>
  </cols>
  <sheetData>
    <row r="1" spans="1:18">
      <c r="A1" s="500"/>
      <c r="B1" s="611" t="s">
        <v>1417</v>
      </c>
      <c r="C1" s="611"/>
      <c r="D1" s="601"/>
      <c r="E1" s="601"/>
      <c r="F1" s="601"/>
      <c r="I1" s="293"/>
      <c r="J1" s="168"/>
      <c r="K1" s="501"/>
      <c r="L1" s="502"/>
    </row>
    <row r="2" spans="1:18">
      <c r="A2" s="503"/>
      <c r="B2" s="504" t="s">
        <v>1398</v>
      </c>
      <c r="C2" s="504" t="s">
        <v>1399</v>
      </c>
      <c r="D2" s="597" t="s">
        <v>88</v>
      </c>
      <c r="E2" s="597" t="s">
        <v>717</v>
      </c>
      <c r="F2" s="597" t="s">
        <v>1170</v>
      </c>
      <c r="G2" s="597" t="s">
        <v>719</v>
      </c>
      <c r="H2" s="505" t="s">
        <v>1400</v>
      </c>
      <c r="I2" s="62" t="s">
        <v>1401</v>
      </c>
    </row>
    <row r="3" spans="1:18">
      <c r="A3" s="506" t="s">
        <v>1402</v>
      </c>
      <c r="B3" s="507">
        <f>B26</f>
        <v>6489214.5290000001</v>
      </c>
      <c r="C3" s="507">
        <f>D26</f>
        <v>5550917</v>
      </c>
      <c r="D3" s="508">
        <f>F26</f>
        <v>4056139.0488347197</v>
      </c>
      <c r="E3" s="79">
        <f>H26</f>
        <v>1246789.0998929425</v>
      </c>
      <c r="F3" s="79">
        <f>J26</f>
        <v>7066156.8512723381</v>
      </c>
      <c r="G3" s="508">
        <f>L26</f>
        <v>942532</v>
      </c>
      <c r="H3" s="509">
        <f t="shared" ref="H3:H10" si="0">SUM(B3:G3)</f>
        <v>25351748.528999999</v>
      </c>
      <c r="I3" s="510">
        <v>128033</v>
      </c>
      <c r="J3" s="598"/>
      <c r="K3" s="2"/>
    </row>
    <row r="4" spans="1:18">
      <c r="A4">
        <v>2020</v>
      </c>
      <c r="B4" s="508">
        <f>B16+C16</f>
        <v>6390430.3137464328</v>
      </c>
      <c r="C4" s="508">
        <f>D16+E16</f>
        <v>5470589.4757582033</v>
      </c>
      <c r="D4" s="508">
        <f>F16+G16</f>
        <v>4010715.1224009967</v>
      </c>
      <c r="E4" s="79">
        <f>H16+I16</f>
        <v>1267882.4633371138</v>
      </c>
      <c r="F4" s="79">
        <f>J16+K16</f>
        <v>6987024.3104208233</v>
      </c>
      <c r="G4" s="508">
        <f>L16+M16</f>
        <v>926875.6710359829</v>
      </c>
      <c r="H4" s="509">
        <f t="shared" si="0"/>
        <v>25053517.356699552</v>
      </c>
      <c r="I4" s="510">
        <v>125708</v>
      </c>
    </row>
    <row r="5" spans="1:18">
      <c r="A5">
        <v>2025</v>
      </c>
      <c r="B5" s="508">
        <f>B17+C17</f>
        <v>6255828.8539944747</v>
      </c>
      <c r="C5" s="508">
        <f t="shared" ref="C5:C10" si="1">D17+E17</f>
        <v>5361136.7459526062</v>
      </c>
      <c r="D5" s="508">
        <f t="shared" ref="D5:D10" si="2">F17+G17</f>
        <v>3948821.3594151763</v>
      </c>
      <c r="E5" s="79">
        <f t="shared" ref="E5:E10" si="3">H17+I17</f>
        <v>1246789.0998929425</v>
      </c>
      <c r="F5" s="79">
        <f t="shared" ref="F5:F10" si="4">J17+K17</f>
        <v>6879199.8418541122</v>
      </c>
      <c r="G5" s="508">
        <f t="shared" ref="G5:G10" si="5">L17+M17</f>
        <v>905542.66021533508</v>
      </c>
      <c r="H5" s="509">
        <f t="shared" si="0"/>
        <v>24597318.561324652</v>
      </c>
      <c r="I5" s="510">
        <v>122540</v>
      </c>
    </row>
    <row r="6" spans="1:18">
      <c r="A6">
        <v>2030</v>
      </c>
      <c r="B6" s="508">
        <f t="shared" ref="B6:B10" si="6">B18+C18</f>
        <v>6110945.3382892432</v>
      </c>
      <c r="C6" s="508">
        <f t="shared" si="1"/>
        <v>5243323.0437313039</v>
      </c>
      <c r="D6" s="508">
        <f t="shared" si="2"/>
        <v>3882199.6006457163</v>
      </c>
      <c r="E6" s="79">
        <f t="shared" si="3"/>
        <v>1218047.6911225615</v>
      </c>
      <c r="F6" s="79">
        <f t="shared" si="4"/>
        <v>6763138.7819385566</v>
      </c>
      <c r="G6" s="508">
        <f t="shared" si="5"/>
        <v>882580.04440144333</v>
      </c>
      <c r="H6" s="509">
        <f t="shared" si="0"/>
        <v>24100234.500128828</v>
      </c>
      <c r="I6" s="510">
        <v>119130</v>
      </c>
    </row>
    <row r="7" spans="1:18">
      <c r="A7">
        <v>2035</v>
      </c>
      <c r="B7" s="508">
        <f t="shared" si="6"/>
        <v>5944817.9053251781</v>
      </c>
      <c r="C7" s="508">
        <f t="shared" si="1"/>
        <v>5108234.6051139161</v>
      </c>
      <c r="D7" s="508">
        <f t="shared" si="2"/>
        <v>3805809.2555464236</v>
      </c>
      <c r="E7" s="79">
        <f t="shared" si="3"/>
        <v>1187110.7580711099</v>
      </c>
      <c r="F7" s="79">
        <f t="shared" si="4"/>
        <v>6630059.9713022448</v>
      </c>
      <c r="G7" s="508">
        <f t="shared" si="5"/>
        <v>856250.47612217162</v>
      </c>
      <c r="H7" s="509">
        <f t="shared" si="0"/>
        <v>23532282.971481044</v>
      </c>
      <c r="I7" s="510">
        <v>115220</v>
      </c>
    </row>
    <row r="8" spans="1:18">
      <c r="A8">
        <v>2040</v>
      </c>
      <c r="B8" s="508">
        <f t="shared" si="6"/>
        <v>5762120.2168992255</v>
      </c>
      <c r="C8" s="508">
        <f t="shared" si="1"/>
        <v>4959671.8721075822</v>
      </c>
      <c r="D8" s="508">
        <f t="shared" si="2"/>
        <v>3721799.4131098608</v>
      </c>
      <c r="E8" s="79">
        <f t="shared" si="3"/>
        <v>1151637.6178273633</v>
      </c>
      <c r="F8" s="79">
        <f t="shared" si="4"/>
        <v>6483707.3151037432</v>
      </c>
      <c r="G8" s="508">
        <f t="shared" si="5"/>
        <v>827294.6849199034</v>
      </c>
      <c r="H8" s="509">
        <f t="shared" si="0"/>
        <v>22906231.11996768</v>
      </c>
      <c r="I8" s="510">
        <v>110920</v>
      </c>
    </row>
    <row r="9" spans="1:18">
      <c r="A9">
        <v>2045</v>
      </c>
      <c r="B9" s="508">
        <f t="shared" si="6"/>
        <v>5570924.9615697404</v>
      </c>
      <c r="C9" s="508">
        <f t="shared" si="1"/>
        <v>4804199.2445428129</v>
      </c>
      <c r="D9" s="508">
        <f t="shared" si="2"/>
        <v>3633882.1361413654</v>
      </c>
      <c r="E9" s="79">
        <f t="shared" si="3"/>
        <v>1112626.2359736266</v>
      </c>
      <c r="F9" s="79">
        <f t="shared" si="4"/>
        <v>6330547.5586169399</v>
      </c>
      <c r="G9" s="508">
        <f t="shared" si="5"/>
        <v>796992.11273148342</v>
      </c>
      <c r="H9" s="509">
        <f t="shared" si="0"/>
        <v>22249172.249575969</v>
      </c>
      <c r="I9" s="510">
        <v>106420</v>
      </c>
    </row>
    <row r="10" spans="1:18">
      <c r="A10">
        <v>2050</v>
      </c>
      <c r="B10" s="508">
        <f t="shared" si="6"/>
        <v>5379729.7062402554</v>
      </c>
      <c r="C10" s="508">
        <f t="shared" si="1"/>
        <v>4648726.6169780446</v>
      </c>
      <c r="D10" s="508">
        <f t="shared" si="2"/>
        <v>3545964.8591728699</v>
      </c>
      <c r="E10" s="79">
        <f t="shared" si="3"/>
        <v>1071800.3712429719</v>
      </c>
      <c r="F10" s="79">
        <f t="shared" si="4"/>
        <v>6177387.8021301348</v>
      </c>
      <c r="G10" s="508">
        <f t="shared" si="5"/>
        <v>766689.54054306319</v>
      </c>
      <c r="H10" s="509">
        <f t="shared" si="0"/>
        <v>21590298.896307342</v>
      </c>
      <c r="I10" s="510">
        <v>101920</v>
      </c>
    </row>
    <row r="12" spans="1:18">
      <c r="B12" s="611" t="s">
        <v>3</v>
      </c>
      <c r="C12" s="611"/>
      <c r="D12" s="611" t="s">
        <v>4</v>
      </c>
      <c r="E12" s="611"/>
      <c r="F12" s="611" t="s">
        <v>88</v>
      </c>
      <c r="G12" s="611"/>
      <c r="H12" s="611" t="s">
        <v>717</v>
      </c>
      <c r="I12" s="611"/>
      <c r="J12" s="611" t="s">
        <v>1170</v>
      </c>
      <c r="K12" s="611"/>
      <c r="L12" s="611" t="s">
        <v>719</v>
      </c>
      <c r="M12" s="611"/>
      <c r="N12" s="58" t="s">
        <v>716</v>
      </c>
    </row>
    <row r="13" spans="1:18" ht="41.15" customHeight="1">
      <c r="B13" s="25" t="s">
        <v>1403</v>
      </c>
      <c r="C13" s="25" t="s">
        <v>1404</v>
      </c>
      <c r="D13" s="25" t="s">
        <v>1403</v>
      </c>
      <c r="E13" s="25" t="s">
        <v>1404</v>
      </c>
      <c r="F13" s="25" t="s">
        <v>1403</v>
      </c>
      <c r="G13" s="25" t="s">
        <v>1404</v>
      </c>
      <c r="H13" s="25" t="s">
        <v>1403</v>
      </c>
      <c r="I13" s="25" t="s">
        <v>1404</v>
      </c>
      <c r="J13" s="25" t="s">
        <v>1403</v>
      </c>
      <c r="K13" s="25" t="s">
        <v>1404</v>
      </c>
      <c r="L13" s="25" t="s">
        <v>1403</v>
      </c>
      <c r="M13" s="25" t="s">
        <v>1404</v>
      </c>
      <c r="N13" s="25" t="s">
        <v>1418</v>
      </c>
    </row>
    <row r="14" spans="1:18">
      <c r="B14" s="2">
        <f>1-C14</f>
        <v>0.83829019559911044</v>
      </c>
      <c r="C14" s="2">
        <f>B32/B26</f>
        <v>0.1617098044008895</v>
      </c>
      <c r="D14" s="2">
        <f>1-E14</f>
        <v>0.79689043269787663</v>
      </c>
      <c r="E14" s="2">
        <f>D32/D26</f>
        <v>0.20310956730212334</v>
      </c>
      <c r="F14" s="2">
        <f>1-G14</f>
        <v>0.61669553164199287</v>
      </c>
      <c r="G14" s="2">
        <f>F32/F26</f>
        <v>0.38330446835800713</v>
      </c>
      <c r="H14" s="2">
        <f t="shared" ref="H14" si="7">1-I14</f>
        <v>0.91472973861895401</v>
      </c>
      <c r="I14" s="2">
        <f>L32/L26</f>
        <v>8.5270261381046028E-2</v>
      </c>
      <c r="J14" s="2">
        <f t="shared" ref="J14" si="8">1-K14</f>
        <v>0.61669553164199298</v>
      </c>
      <c r="K14" s="2">
        <f t="shared" ref="K14" si="9">J32/J26</f>
        <v>0.38330446835800702</v>
      </c>
      <c r="L14" s="2">
        <f>1-M14</f>
        <v>0.91472973861895401</v>
      </c>
      <c r="M14" s="2">
        <f>L32/L26</f>
        <v>8.5270261381046028E-2</v>
      </c>
      <c r="N14" s="6">
        <v>1</v>
      </c>
    </row>
    <row r="15" spans="1:18">
      <c r="A15">
        <v>2019</v>
      </c>
      <c r="B15" s="99">
        <f>B3*B$14</f>
        <v>5439844.9167999998</v>
      </c>
      <c r="C15" s="99">
        <f>B3*C$14</f>
        <v>1049369.6122000003</v>
      </c>
      <c r="D15" s="99">
        <f>C3*D$14</f>
        <v>4423472.6499999994</v>
      </c>
      <c r="E15" s="99">
        <f t="shared" ref="E15" si="10">C3*E$14</f>
        <v>1127444.3500000006</v>
      </c>
      <c r="F15" s="99">
        <f>D3*F$14</f>
        <v>2501402.8271349748</v>
      </c>
      <c r="G15" s="99">
        <f>D3*G$14</f>
        <v>1554736.2216997449</v>
      </c>
      <c r="H15" s="99">
        <f>E3*H$14</f>
        <v>1140475.0674580322</v>
      </c>
      <c r="I15" s="99">
        <f>E3*I$14</f>
        <v>106314.03243491032</v>
      </c>
      <c r="J15" s="99">
        <f>F3*J$14</f>
        <v>4357667.3560611056</v>
      </c>
      <c r="K15" s="99">
        <f>F3*K$14</f>
        <v>2708489.4952112325</v>
      </c>
      <c r="L15" s="99">
        <f>G3*L$14</f>
        <v>862162.04999999993</v>
      </c>
      <c r="M15" s="99">
        <f>G3*M$14</f>
        <v>80369.95000000007</v>
      </c>
      <c r="N15" s="178">
        <v>1500000</v>
      </c>
    </row>
    <row r="16" spans="1:18">
      <c r="A16">
        <v>2020</v>
      </c>
      <c r="B16" s="99">
        <f t="shared" ref="B16:B22" si="11">I4*B$15/$I$3</f>
        <v>5341060.7015464325</v>
      </c>
      <c r="C16" s="99">
        <f>C15</f>
        <v>1049369.6122000003</v>
      </c>
      <c r="D16" s="99">
        <f t="shared" ref="D16:D22" si="12">I4*D$15/$I$3</f>
        <v>4343145.1257582027</v>
      </c>
      <c r="E16" s="99">
        <f>E15</f>
        <v>1127444.3500000006</v>
      </c>
      <c r="F16" s="99">
        <f t="shared" ref="F16:F22" si="13">I4*F$15/$I$3</f>
        <v>2455978.9007012518</v>
      </c>
      <c r="G16" s="99">
        <f>G15</f>
        <v>1554736.2216997449</v>
      </c>
      <c r="H16" s="99">
        <f>I3*H$15/$I$4</f>
        <v>1161568.4309022035</v>
      </c>
      <c r="I16" s="99">
        <f t="shared" ref="I16" si="14">I15</f>
        <v>106314.03243491032</v>
      </c>
      <c r="J16" s="99">
        <f>I4*J$15/$I$3</f>
        <v>4278534.8152095908</v>
      </c>
      <c r="K16" s="99">
        <f>K15</f>
        <v>2708489.4952112325</v>
      </c>
      <c r="L16" s="99">
        <f t="shared" ref="L16:L22" si="15">I4*L$15/$I$3</f>
        <v>846505.72103598283</v>
      </c>
      <c r="M16" s="99">
        <f>M15</f>
        <v>80369.95000000007</v>
      </c>
      <c r="N16" s="99">
        <f t="shared" ref="N16:N22" si="16">I4*N$15/$I$3</f>
        <v>1472760.9288230378</v>
      </c>
      <c r="P16" s="2"/>
      <c r="Q16" s="2"/>
      <c r="R16" s="2"/>
    </row>
    <row r="17" spans="1:17">
      <c r="A17">
        <v>2025</v>
      </c>
      <c r="B17" s="99">
        <f t="shared" si="11"/>
        <v>5206459.2417944744</v>
      </c>
      <c r="C17" s="99">
        <f t="shared" ref="C17:C22" si="17">C16</f>
        <v>1049369.6122000003</v>
      </c>
      <c r="D17" s="99">
        <f t="shared" si="12"/>
        <v>4233692.3959526056</v>
      </c>
      <c r="E17" s="99">
        <f t="shared" ref="E17:E22" si="18">E16</f>
        <v>1127444.3500000006</v>
      </c>
      <c r="F17" s="99">
        <f t="shared" si="13"/>
        <v>2394085.1377154314</v>
      </c>
      <c r="G17" s="99">
        <f t="shared" ref="G17:K22" si="19">G16</f>
        <v>1554736.2216997449</v>
      </c>
      <c r="H17" s="99">
        <f t="shared" ref="H17:H22" si="20">I4*H$15/$I$4</f>
        <v>1140475.0674580322</v>
      </c>
      <c r="I17" s="99">
        <f t="shared" si="19"/>
        <v>106314.03243491032</v>
      </c>
      <c r="J17" s="99">
        <f t="shared" ref="J17:J22" si="21">I5*J$15/$I$3</f>
        <v>4170710.3466428802</v>
      </c>
      <c r="K17" s="99">
        <f t="shared" si="19"/>
        <v>2708489.4952112325</v>
      </c>
      <c r="L17" s="99">
        <f t="shared" si="15"/>
        <v>825172.71021533501</v>
      </c>
      <c r="M17" s="99">
        <f t="shared" ref="M17:M22" si="22">M16</f>
        <v>80369.95000000007</v>
      </c>
      <c r="N17" s="99">
        <f t="shared" si="16"/>
        <v>1435645.4976451383</v>
      </c>
      <c r="P17" s="37"/>
    </row>
    <row r="18" spans="1:17">
      <c r="A18">
        <v>2030</v>
      </c>
      <c r="B18" s="99">
        <f t="shared" si="11"/>
        <v>5061575.7260892428</v>
      </c>
      <c r="C18" s="99">
        <f t="shared" si="17"/>
        <v>1049369.6122000003</v>
      </c>
      <c r="D18" s="99">
        <f t="shared" si="12"/>
        <v>4115878.6937313033</v>
      </c>
      <c r="E18" s="99">
        <f t="shared" si="18"/>
        <v>1127444.3500000006</v>
      </c>
      <c r="F18" s="99">
        <f t="shared" si="13"/>
        <v>2327463.3789459714</v>
      </c>
      <c r="G18" s="99">
        <f t="shared" si="19"/>
        <v>1554736.2216997449</v>
      </c>
      <c r="H18" s="99">
        <f t="shared" si="20"/>
        <v>1111733.6586876512</v>
      </c>
      <c r="I18" s="99">
        <f t="shared" si="19"/>
        <v>106314.03243491032</v>
      </c>
      <c r="J18" s="99">
        <f t="shared" si="21"/>
        <v>4054649.2867273241</v>
      </c>
      <c r="K18" s="99">
        <f t="shared" si="19"/>
        <v>2708489.4952112325</v>
      </c>
      <c r="L18" s="99">
        <f t="shared" si="15"/>
        <v>802210.09440144326</v>
      </c>
      <c r="M18" s="99">
        <f t="shared" si="22"/>
        <v>80369.95000000007</v>
      </c>
      <c r="N18" s="99">
        <f t="shared" si="16"/>
        <v>1395694.8599189271</v>
      </c>
    </row>
    <row r="19" spans="1:17">
      <c r="A19">
        <v>2035</v>
      </c>
      <c r="B19" s="99">
        <f t="shared" si="11"/>
        <v>4895448.2931251777</v>
      </c>
      <c r="C19" s="99">
        <f t="shared" si="17"/>
        <v>1049369.6122000003</v>
      </c>
      <c r="D19" s="99">
        <f t="shared" si="12"/>
        <v>3980790.2551139155</v>
      </c>
      <c r="E19" s="99">
        <f t="shared" si="18"/>
        <v>1127444.3500000006</v>
      </c>
      <c r="F19" s="99">
        <f t="shared" si="13"/>
        <v>2251073.0338466787</v>
      </c>
      <c r="G19" s="99">
        <f t="shared" si="19"/>
        <v>1554736.2216997449</v>
      </c>
      <c r="H19" s="99">
        <f t="shared" si="20"/>
        <v>1080796.7256361996</v>
      </c>
      <c r="I19" s="99">
        <f t="shared" si="19"/>
        <v>106314.03243491032</v>
      </c>
      <c r="J19" s="99">
        <f t="shared" si="21"/>
        <v>3921570.4760910124</v>
      </c>
      <c r="K19" s="99">
        <f t="shared" si="19"/>
        <v>2708489.4952112325</v>
      </c>
      <c r="L19" s="99">
        <f t="shared" si="15"/>
        <v>775880.52612217155</v>
      </c>
      <c r="M19" s="99">
        <f t="shared" si="22"/>
        <v>80369.95000000007</v>
      </c>
      <c r="N19" s="99">
        <f t="shared" si="16"/>
        <v>1349886.3574234769</v>
      </c>
    </row>
    <row r="20" spans="1:17">
      <c r="A20">
        <v>2040</v>
      </c>
      <c r="B20" s="99">
        <f t="shared" si="11"/>
        <v>4712750.6046992252</v>
      </c>
      <c r="C20" s="99">
        <f t="shared" si="17"/>
        <v>1049369.6122000003</v>
      </c>
      <c r="D20" s="99">
        <f t="shared" si="12"/>
        <v>3832227.5221075811</v>
      </c>
      <c r="E20" s="99">
        <f t="shared" si="18"/>
        <v>1127444.3500000006</v>
      </c>
      <c r="F20" s="99">
        <f t="shared" si="13"/>
        <v>2167063.1914101159</v>
      </c>
      <c r="G20" s="99">
        <f t="shared" si="19"/>
        <v>1554736.2216997449</v>
      </c>
      <c r="H20" s="99">
        <f t="shared" si="20"/>
        <v>1045323.5853924529</v>
      </c>
      <c r="I20" s="99">
        <f t="shared" si="19"/>
        <v>106314.03243491032</v>
      </c>
      <c r="J20" s="99">
        <f t="shared" si="21"/>
        <v>3775217.8198925108</v>
      </c>
      <c r="K20" s="99">
        <f t="shared" si="19"/>
        <v>2708489.4952112325</v>
      </c>
      <c r="L20" s="99">
        <f t="shared" si="15"/>
        <v>746924.73491990333</v>
      </c>
      <c r="M20" s="99">
        <f t="shared" si="22"/>
        <v>80369.95000000007</v>
      </c>
      <c r="N20" s="99">
        <f t="shared" si="16"/>
        <v>1299508.7204080198</v>
      </c>
    </row>
    <row r="21" spans="1:17">
      <c r="A21">
        <v>2045</v>
      </c>
      <c r="B21" s="99">
        <f t="shared" si="11"/>
        <v>4521555.3493697401</v>
      </c>
      <c r="C21" s="99">
        <f t="shared" si="17"/>
        <v>1049369.6122000003</v>
      </c>
      <c r="D21" s="99">
        <f t="shared" si="12"/>
        <v>3676754.8945428128</v>
      </c>
      <c r="E21" s="99">
        <f t="shared" si="18"/>
        <v>1127444.3500000006</v>
      </c>
      <c r="F21" s="99">
        <f t="shared" si="13"/>
        <v>2079145.9144416207</v>
      </c>
      <c r="G21" s="99">
        <f t="shared" si="19"/>
        <v>1554736.2216997449</v>
      </c>
      <c r="H21" s="99">
        <f t="shared" si="20"/>
        <v>1006312.2035387162</v>
      </c>
      <c r="I21" s="99">
        <f t="shared" si="19"/>
        <v>106314.03243491032</v>
      </c>
      <c r="J21" s="99">
        <f t="shared" si="21"/>
        <v>3622058.063405707</v>
      </c>
      <c r="K21" s="99">
        <f t="shared" si="19"/>
        <v>2708489.4952112325</v>
      </c>
      <c r="L21" s="99">
        <f t="shared" si="15"/>
        <v>716622.16273148335</v>
      </c>
      <c r="M21" s="99">
        <f t="shared" si="22"/>
        <v>80369.95000000007</v>
      </c>
      <c r="N21" s="99">
        <f t="shared" si="16"/>
        <v>1246787.9374848672</v>
      </c>
    </row>
    <row r="22" spans="1:17">
      <c r="A22">
        <v>2050</v>
      </c>
      <c r="B22" s="99">
        <f t="shared" si="11"/>
        <v>4330360.0940402551</v>
      </c>
      <c r="C22" s="99">
        <f t="shared" si="17"/>
        <v>1049369.6122000003</v>
      </c>
      <c r="D22" s="99">
        <f t="shared" si="12"/>
        <v>3521282.2669780441</v>
      </c>
      <c r="E22" s="99">
        <f t="shared" si="18"/>
        <v>1127444.3500000006</v>
      </c>
      <c r="F22" s="99">
        <f t="shared" si="13"/>
        <v>1991228.637473125</v>
      </c>
      <c r="G22" s="99">
        <f t="shared" si="19"/>
        <v>1554736.2216997449</v>
      </c>
      <c r="H22" s="99">
        <f t="shared" si="20"/>
        <v>965486.33880806144</v>
      </c>
      <c r="I22" s="99">
        <f t="shared" si="19"/>
        <v>106314.03243491032</v>
      </c>
      <c r="J22" s="99">
        <f t="shared" si="21"/>
        <v>3468898.3069189028</v>
      </c>
      <c r="K22" s="99">
        <f t="shared" si="19"/>
        <v>2708489.4952112325</v>
      </c>
      <c r="L22" s="99">
        <f t="shared" si="15"/>
        <v>686319.59054306312</v>
      </c>
      <c r="M22" s="99">
        <f t="shared" si="22"/>
        <v>80369.95000000007</v>
      </c>
      <c r="N22" s="99">
        <f t="shared" si="16"/>
        <v>1194067.1545617145</v>
      </c>
      <c r="Q22" s="2"/>
    </row>
    <row r="23" spans="1:17">
      <c r="B23" s="6"/>
      <c r="C23" s="2">
        <f>C22/SUM(B22:C22)</f>
        <v>0.195059913694693</v>
      </c>
      <c r="E23" s="2">
        <f>E22/SUM(D22:E22)</f>
        <v>0.2425275656955943</v>
      </c>
      <c r="G23" s="2">
        <f>G22/SUM(F22:G22)</f>
        <v>0.43845223611787343</v>
      </c>
      <c r="I23" s="2">
        <f t="shared" ref="I23" si="23">I22/SUM(H22:I22)</f>
        <v>9.9192009339964526E-2</v>
      </c>
      <c r="K23" s="2">
        <f t="shared" ref="K23" si="24">K22/SUM(J22:K22)</f>
        <v>0.43845223611787332</v>
      </c>
      <c r="M23" s="2">
        <f>M22/SUM(L22:M22)</f>
        <v>0.10482724199298747</v>
      </c>
      <c r="Q23" s="6"/>
    </row>
    <row r="24" spans="1:17">
      <c r="A24" t="s">
        <v>1405</v>
      </c>
      <c r="B24" s="511">
        <v>6417851</v>
      </c>
      <c r="C24" s="37"/>
      <c r="D24" s="511">
        <v>5503736</v>
      </c>
      <c r="E24" s="37"/>
      <c r="F24" s="511">
        <v>3982000</v>
      </c>
      <c r="G24" s="37"/>
      <c r="H24" s="511">
        <v>1224000</v>
      </c>
      <c r="J24" s="511">
        <v>6937000</v>
      </c>
      <c r="L24" s="511">
        <v>887621</v>
      </c>
      <c r="Q24" s="2"/>
    </row>
    <row r="25" spans="1:17">
      <c r="A25" t="s">
        <v>1406</v>
      </c>
      <c r="B25" s="512">
        <v>71363.528999999995</v>
      </c>
      <c r="D25" s="512">
        <v>47181</v>
      </c>
      <c r="F25" s="512">
        <f>226085*(F24/SUM($F$24:$J$24))</f>
        <v>74139.048834719593</v>
      </c>
      <c r="H25" s="512">
        <f>226085*(H24/SUM($F$24:$J$24))</f>
        <v>22789.099892942435</v>
      </c>
      <c r="J25" s="512">
        <f>226085*(J24/SUM($F$24:$J$24))</f>
        <v>129156.85127233798</v>
      </c>
      <c r="L25" s="512">
        <v>54911</v>
      </c>
    </row>
    <row r="26" spans="1:17">
      <c r="A26" t="s">
        <v>1407</v>
      </c>
      <c r="B26" s="513">
        <f>SUM(B24:B25)</f>
        <v>6489214.5290000001</v>
      </c>
      <c r="D26" s="513">
        <f>SUM(D24:D25)</f>
        <v>5550917</v>
      </c>
      <c r="F26" s="513">
        <f>SUM(F24:F25)</f>
        <v>4056139.0488347197</v>
      </c>
      <c r="H26" s="513">
        <f>SUM(H24:H25)</f>
        <v>1246789.0998929425</v>
      </c>
      <c r="J26" s="513">
        <f>SUM(J24:J25)</f>
        <v>7066156.8512723381</v>
      </c>
      <c r="L26" s="513">
        <f>SUM(L24:L25)</f>
        <v>942532</v>
      </c>
    </row>
    <row r="27" spans="1:17">
      <c r="A27" t="s">
        <v>713</v>
      </c>
      <c r="B27" s="514">
        <v>763061.98499999999</v>
      </c>
      <c r="D27" s="514">
        <v>894630</v>
      </c>
      <c r="F27" s="514">
        <f>4339654*F24/SUM($F$24:$J$24)</f>
        <v>1423083.4413242198</v>
      </c>
      <c r="H27" s="514">
        <f>4339654*H24/SUM($F$24:$J$24)</f>
        <v>437431.97694144776</v>
      </c>
      <c r="J27" s="514">
        <f>4339654*J24/SUM($F$24:$J$24)</f>
        <v>2479138.5817343327</v>
      </c>
      <c r="L27" s="514">
        <v>34993</v>
      </c>
    </row>
    <row r="28" spans="1:17" ht="15.5" thickBot="1">
      <c r="A28" s="226" t="s">
        <v>1408</v>
      </c>
      <c r="B28" s="515">
        <f>B24+B25-B27</f>
        <v>5726152.5439999998</v>
      </c>
      <c r="D28" s="515">
        <f>D24+D25-D27</f>
        <v>4656287</v>
      </c>
      <c r="F28" s="515">
        <f>F24+F25-F27</f>
        <v>2633055.6075104997</v>
      </c>
      <c r="H28" s="515">
        <f>H24+H25-H27</f>
        <v>809357.12295149476</v>
      </c>
      <c r="J28" s="515">
        <f>J24+J25-J27</f>
        <v>4587018.2695380058</v>
      </c>
      <c r="L28" s="515">
        <f>L24+L25-L27</f>
        <v>907539</v>
      </c>
    </row>
    <row r="29" spans="1:17">
      <c r="A29" t="s">
        <v>1409</v>
      </c>
      <c r="B29" s="516">
        <v>0.05</v>
      </c>
      <c r="D29" s="516">
        <v>0.05</v>
      </c>
      <c r="F29" s="516">
        <v>0.05</v>
      </c>
      <c r="H29" s="516">
        <v>0.05</v>
      </c>
      <c r="J29" s="516">
        <v>0.05</v>
      </c>
      <c r="L29" s="516">
        <v>0.05</v>
      </c>
    </row>
    <row r="30" spans="1:17">
      <c r="A30" t="s">
        <v>1410</v>
      </c>
      <c r="B30" s="109">
        <f>B28*B29</f>
        <v>286307.62719999999</v>
      </c>
      <c r="D30" s="109">
        <f>D28*D29</f>
        <v>232814.35</v>
      </c>
      <c r="F30" s="109">
        <f>F28*F29</f>
        <v>131652.78037552498</v>
      </c>
      <c r="H30" s="109">
        <f>H28*H29</f>
        <v>40467.856147574741</v>
      </c>
      <c r="J30" s="109">
        <f>J28*J29</f>
        <v>229350.91347690031</v>
      </c>
      <c r="L30" s="109">
        <f>L28*L29</f>
        <v>45376.950000000004</v>
      </c>
    </row>
    <row r="31" spans="1:17">
      <c r="A31" t="s">
        <v>1411</v>
      </c>
      <c r="B31" s="99">
        <f>B28*(1-B29)</f>
        <v>5439844.9167999998</v>
      </c>
      <c r="D31" s="99">
        <f>D28*(1-D29)</f>
        <v>4423472.6499999994</v>
      </c>
      <c r="F31" s="99">
        <f>F28*(1-F29)</f>
        <v>2501402.8271349748</v>
      </c>
      <c r="H31" s="99">
        <f>H28*(1-H29)</f>
        <v>768889.26680392004</v>
      </c>
      <c r="J31" s="99">
        <f>J28*(1-J29)</f>
        <v>4357667.3560611056</v>
      </c>
      <c r="L31" s="99">
        <f>L28*(1-L29)</f>
        <v>862162.04999999993</v>
      </c>
    </row>
    <row r="32" spans="1:17" ht="15.5" thickBot="1">
      <c r="A32" s="226" t="s">
        <v>1412</v>
      </c>
      <c r="B32" s="517">
        <f>B26-B31</f>
        <v>1049369.6122000003</v>
      </c>
      <c r="D32" s="517">
        <f>D26-D31</f>
        <v>1127444.3500000006</v>
      </c>
      <c r="F32" s="517">
        <f>F26-F31</f>
        <v>1554736.2216997449</v>
      </c>
      <c r="H32" s="517">
        <f>H26-H31</f>
        <v>477899.83308902243</v>
      </c>
      <c r="J32" s="517">
        <f>J26-J31</f>
        <v>2708489.4952112325</v>
      </c>
      <c r="L32" s="517">
        <f>L26-L31</f>
        <v>80369.95000000007</v>
      </c>
    </row>
    <row r="34" spans="1:8">
      <c r="A34" s="70">
        <v>1.4999999999999999E-2</v>
      </c>
      <c r="B34" t="s">
        <v>1413</v>
      </c>
    </row>
    <row r="35" spans="1:8">
      <c r="H35" s="182" t="s">
        <v>1453</v>
      </c>
    </row>
    <row r="36" spans="1:8">
      <c r="B36" s="2"/>
      <c r="C36" s="2"/>
      <c r="D36" s="2"/>
      <c r="E36" s="2"/>
      <c r="F36" s="2"/>
      <c r="G36" s="2"/>
      <c r="H36" s="2" t="s">
        <v>1421</v>
      </c>
    </row>
    <row r="38" spans="1:8">
      <c r="A38" s="500" t="s">
        <v>1455</v>
      </c>
      <c r="B38" s="500" t="s">
        <v>1456</v>
      </c>
      <c r="C38" s="752" t="s">
        <v>1457</v>
      </c>
      <c r="D38" s="500"/>
      <c r="E38" s="500"/>
      <c r="F38" s="500"/>
    </row>
    <row r="39" spans="1:8">
      <c r="A39" s="500"/>
      <c r="B39" s="500"/>
      <c r="C39" s="753" t="s">
        <v>1458</v>
      </c>
      <c r="D39" s="500"/>
      <c r="E39" s="500"/>
      <c r="F39" s="500"/>
    </row>
    <row r="40" spans="1:8">
      <c r="A40" s="500"/>
      <c r="B40" s="500"/>
      <c r="C40" s="754" t="s">
        <v>1459</v>
      </c>
      <c r="D40" s="500"/>
      <c r="E40" s="500"/>
      <c r="F40" s="500"/>
    </row>
    <row r="41" spans="1:8">
      <c r="A41" s="500"/>
      <c r="B41" s="500"/>
      <c r="C41" s="754" t="s">
        <v>1460</v>
      </c>
      <c r="D41" s="500"/>
      <c r="E41" s="500"/>
      <c r="F41" s="500"/>
    </row>
    <row r="42" spans="1:8">
      <c r="A42" s="500"/>
      <c r="B42" s="500"/>
      <c r="C42" s="755"/>
      <c r="D42" s="500"/>
      <c r="E42" s="500"/>
      <c r="F42" s="500"/>
    </row>
    <row r="43" spans="1:8">
      <c r="A43" s="500"/>
      <c r="B43" s="500" t="s">
        <v>1461</v>
      </c>
      <c r="C43" s="753" t="s">
        <v>1462</v>
      </c>
      <c r="D43" s="500"/>
      <c r="E43" s="500"/>
      <c r="F43" s="500"/>
    </row>
    <row r="44" spans="1:8">
      <c r="A44" s="500"/>
      <c r="B44" s="500"/>
      <c r="C44" s="753" t="s">
        <v>1463</v>
      </c>
      <c r="D44" s="500"/>
      <c r="E44" s="500"/>
      <c r="F44" s="500"/>
    </row>
    <row r="45" spans="1:8">
      <c r="A45" s="500"/>
      <c r="B45" s="500"/>
      <c r="C45" s="753" t="s">
        <v>1464</v>
      </c>
      <c r="D45" s="500"/>
      <c r="E45" s="500"/>
      <c r="F45" s="500"/>
    </row>
    <row r="46" spans="1:8">
      <c r="A46" s="500"/>
      <c r="B46" s="500"/>
      <c r="C46" s="753" t="s">
        <v>1465</v>
      </c>
      <c r="D46" s="500"/>
      <c r="E46" s="500"/>
      <c r="F46" s="500"/>
    </row>
    <row r="47" spans="1:8">
      <c r="A47" s="500"/>
      <c r="B47" s="500"/>
      <c r="C47" s="753" t="s">
        <v>1466</v>
      </c>
      <c r="D47" s="500"/>
      <c r="E47" s="500"/>
      <c r="F47" s="500"/>
    </row>
  </sheetData>
  <mergeCells count="7">
    <mergeCell ref="L12:M12"/>
    <mergeCell ref="B12:C12"/>
    <mergeCell ref="D12:E12"/>
    <mergeCell ref="F12:G12"/>
    <mergeCell ref="B1:F1"/>
    <mergeCell ref="H12:I12"/>
    <mergeCell ref="J12:K12"/>
  </mergeCells>
  <hyperlinks>
    <hyperlink ref="C38" r:id="rId1" xr:uid="{D1ECFF7A-5EE8-4911-A034-412D1A646FC0}"/>
    <hyperlink ref="C39" r:id="rId2" xr:uid="{6C635133-B710-44D7-BE14-611D0F82AF24}"/>
    <hyperlink ref="C43" r:id="rId3" xr:uid="{9D76712D-55CA-4E30-837D-A9A6653044AA}"/>
    <hyperlink ref="C44" r:id="rId4" xr:uid="{09DCC834-D877-40B8-8307-9E4D0969C506}"/>
    <hyperlink ref="C45" r:id="rId5" xr:uid="{BE824780-F422-4D8F-BE60-02696540FD21}"/>
    <hyperlink ref="C46" r:id="rId6" xr:uid="{B6C73CEB-3FC3-41C3-8A22-2F03B4AF4B81}"/>
    <hyperlink ref="C47" r:id="rId7" xr:uid="{8E243218-A055-4CFB-80A4-76A6F7D11D7E}"/>
  </hyperlinks>
  <pageMargins left="0.7" right="0.7" top="0.75" bottom="0.75" header="0.3" footer="0.3"/>
  <pageSetup orientation="portrait"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80DA-3A0D-498F-8FDD-E2257FC1F5C2}">
  <sheetPr>
    <tabColor theme="7"/>
  </sheetPr>
  <dimension ref="A1:AU22"/>
  <sheetViews>
    <sheetView workbookViewId="0">
      <selection activeCell="N9" sqref="N9"/>
    </sheetView>
  </sheetViews>
  <sheetFormatPr defaultRowHeight="14.75"/>
  <cols>
    <col min="1" max="1" width="15" customWidth="1"/>
    <col min="3" max="3" width="18.7265625" customWidth="1"/>
    <col min="4" max="4" width="10.90625" bestFit="1" customWidth="1"/>
    <col min="5" max="5" width="17.1796875" customWidth="1"/>
    <col min="6" max="6" width="15.81640625" customWidth="1"/>
    <col min="7" max="7" width="17.1796875" customWidth="1"/>
    <col min="8" max="8" width="17.453125" customWidth="1"/>
    <col min="9" max="9" width="10.90625" bestFit="1" customWidth="1"/>
    <col min="14" max="14" width="12" customWidth="1"/>
    <col min="15" max="18" width="10.81640625" bestFit="1" customWidth="1"/>
    <col min="19" max="19" width="15.54296875" customWidth="1"/>
    <col min="20" max="45" width="10.81640625" bestFit="1" customWidth="1"/>
  </cols>
  <sheetData>
    <row r="1" spans="1:47" s="75" customFormat="1" ht="15.5" thickBot="1">
      <c r="C1" s="75">
        <v>2020</v>
      </c>
      <c r="D1" s="75">
        <v>2025</v>
      </c>
      <c r="E1" s="75">
        <v>2030</v>
      </c>
      <c r="F1" s="75">
        <v>2035</v>
      </c>
      <c r="G1" s="75">
        <v>2040</v>
      </c>
      <c r="H1" s="75">
        <v>2045</v>
      </c>
      <c r="I1" s="75">
        <v>2050</v>
      </c>
      <c r="M1" s="62"/>
      <c r="N1" s="58" t="s">
        <v>326</v>
      </c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</row>
    <row r="2" spans="1:47">
      <c r="A2" t="s">
        <v>1301</v>
      </c>
      <c r="C2" s="22">
        <f>'Demand - Ethylene'!D3</f>
        <v>-1.815938078464141E-2</v>
      </c>
      <c r="D2" s="22">
        <f>'Demand - Ethylene'!E3</f>
        <v>-7.2817810703688091E-3</v>
      </c>
      <c r="E2" s="22">
        <f>'Demand - Ethylene'!F3</f>
        <v>-5.0918423706168836E-3</v>
      </c>
      <c r="F2" s="22">
        <f>'Demand - Ethylene'!G3</f>
        <v>-5.6285348050889583E-3</v>
      </c>
      <c r="G2" s="22">
        <f>'Demand - Ethylene'!H3</f>
        <v>-6.6521735798773518E-3</v>
      </c>
      <c r="H2" s="22">
        <f>'Demand - Ethylene'!I3</f>
        <v>-7.5779660408817895E-3</v>
      </c>
      <c r="I2" s="22">
        <f>'Demand - Ethylene'!J3</f>
        <v>-8.2489276480860463E-3</v>
      </c>
      <c r="O2">
        <v>2020</v>
      </c>
      <c r="P2">
        <f t="shared" ref="P2:AS2" si="0">O2+1</f>
        <v>2021</v>
      </c>
      <c r="Q2">
        <f t="shared" si="0"/>
        <v>2022</v>
      </c>
      <c r="R2">
        <f t="shared" si="0"/>
        <v>2023</v>
      </c>
      <c r="S2">
        <f t="shared" si="0"/>
        <v>2024</v>
      </c>
      <c r="T2">
        <f t="shared" si="0"/>
        <v>2025</v>
      </c>
      <c r="U2">
        <f t="shared" si="0"/>
        <v>2026</v>
      </c>
      <c r="V2">
        <f t="shared" si="0"/>
        <v>2027</v>
      </c>
      <c r="W2">
        <f t="shared" si="0"/>
        <v>2028</v>
      </c>
      <c r="X2">
        <f t="shared" si="0"/>
        <v>2029</v>
      </c>
      <c r="Y2">
        <f t="shared" si="0"/>
        <v>2030</v>
      </c>
      <c r="Z2">
        <f t="shared" si="0"/>
        <v>2031</v>
      </c>
      <c r="AA2">
        <f t="shared" si="0"/>
        <v>2032</v>
      </c>
      <c r="AB2">
        <f t="shared" si="0"/>
        <v>2033</v>
      </c>
      <c r="AC2">
        <f t="shared" si="0"/>
        <v>2034</v>
      </c>
      <c r="AD2">
        <f t="shared" si="0"/>
        <v>2035</v>
      </c>
      <c r="AE2">
        <f t="shared" si="0"/>
        <v>2036</v>
      </c>
      <c r="AF2">
        <f t="shared" si="0"/>
        <v>2037</v>
      </c>
      <c r="AG2">
        <f t="shared" si="0"/>
        <v>2038</v>
      </c>
      <c r="AH2">
        <f t="shared" si="0"/>
        <v>2039</v>
      </c>
      <c r="AI2">
        <f t="shared" si="0"/>
        <v>2040</v>
      </c>
      <c r="AJ2">
        <f t="shared" si="0"/>
        <v>2041</v>
      </c>
      <c r="AK2">
        <f t="shared" si="0"/>
        <v>2042</v>
      </c>
      <c r="AL2">
        <f t="shared" si="0"/>
        <v>2043</v>
      </c>
      <c r="AM2">
        <f t="shared" si="0"/>
        <v>2044</v>
      </c>
      <c r="AN2">
        <f t="shared" si="0"/>
        <v>2045</v>
      </c>
      <c r="AO2">
        <f t="shared" si="0"/>
        <v>2046</v>
      </c>
      <c r="AP2">
        <f t="shared" si="0"/>
        <v>2047</v>
      </c>
      <c r="AQ2">
        <f t="shared" si="0"/>
        <v>2048</v>
      </c>
      <c r="AR2">
        <f t="shared" si="0"/>
        <v>2049</v>
      </c>
      <c r="AS2">
        <f t="shared" si="0"/>
        <v>2050</v>
      </c>
      <c r="AU2" t="s">
        <v>67</v>
      </c>
    </row>
    <row r="3" spans="1:47">
      <c r="A3" t="s">
        <v>1302</v>
      </c>
      <c r="C3" s="22">
        <f>'Yearly Demand - BTX'!D4</f>
        <v>-1.2933623174718134E-2</v>
      </c>
      <c r="D3" s="22">
        <f>'Yearly Demand - BTX'!E4</f>
        <v>-6.2272157610026024E-3</v>
      </c>
      <c r="E3" s="22">
        <f>'Yearly Demand - BTX'!F4</f>
        <v>-5.5490246267956289E-3</v>
      </c>
      <c r="F3" s="22">
        <f>'Yearly Demand - BTX'!G4</f>
        <v>-6.5000471213289002E-3</v>
      </c>
      <c r="G3" s="22">
        <f>'Yearly Demand - BTX'!H4</f>
        <v>-7.4397994728910843E-3</v>
      </c>
      <c r="H3" s="22">
        <f>'Yearly Demand - BTX'!I4</f>
        <v>-8.148438370255584E-3</v>
      </c>
      <c r="I3" s="22">
        <f>'Yearly Demand - BTX'!J4</f>
        <v>-8.5505615959391434E-3</v>
      </c>
      <c r="N3" s="48" t="s">
        <v>1300</v>
      </c>
      <c r="O3" s="518">
        <f>C4</f>
        <v>846505.72103598283</v>
      </c>
      <c r="P3" s="518">
        <f>O3*($D$4/$C$4)^(1/5)</f>
        <v>842195.4473386422</v>
      </c>
      <c r="Q3" s="518">
        <f>P3*($D$4/$C$4)^(1/5)</f>
        <v>837907.12087554263</v>
      </c>
      <c r="R3" s="518">
        <f>Q3*($D$4/$C$4)^(1/5)</f>
        <v>833640.62989482691</v>
      </c>
      <c r="S3" s="518">
        <f>R3*($D$4/$C$4)^(1/5)</f>
        <v>829395.86321366066</v>
      </c>
      <c r="T3" s="518">
        <f>S3*($D$4/$C$4)^(1/5)</f>
        <v>825172.71021533501</v>
      </c>
      <c r="U3" s="518">
        <f>T3*($E$4/$D$4)^(1/5)</f>
        <v>820528.19689567841</v>
      </c>
      <c r="V3" s="518">
        <f>U3*($E$4/$D$4)^(1/5)</f>
        <v>815909.82538089424</v>
      </c>
      <c r="W3" s="518">
        <f>V3*($E$4/$D$4)^(1/5)</f>
        <v>811317.44853092381</v>
      </c>
      <c r="X3" s="518">
        <f>W3*($E$4/$D$4)^(1/5)</f>
        <v>806750.92003389157</v>
      </c>
      <c r="Y3" s="518">
        <f>X3*($E$4/$D$4)^(1/5)</f>
        <v>802210.09440144326</v>
      </c>
      <c r="Z3" s="518">
        <f>Y3*($F$4/$E$4)^(1/5)</f>
        <v>796873.65360595519</v>
      </c>
      <c r="AA3" s="518">
        <f>Z3*($F$4/$E$4)^(1/5)</f>
        <v>791572.71174093743</v>
      </c>
      <c r="AB3" s="518">
        <f>AA3*($F$4/$E$4)^(1/5)</f>
        <v>786307.03266134264</v>
      </c>
      <c r="AC3" s="518">
        <f>AB3*($F$4/$E$4)^(1/5)</f>
        <v>781076.3817930012</v>
      </c>
      <c r="AD3" s="518">
        <f>AC3*($F$4/$E$4)^(1/5)</f>
        <v>775880.52612217166</v>
      </c>
      <c r="AE3" s="518">
        <f>AD3*($G$4/$F$4)^(1/5)</f>
        <v>770000.92984343634</v>
      </c>
      <c r="AF3" s="518">
        <f>AE3*($G$4/$F$4)^(1/5)</f>
        <v>764165.88894563541</v>
      </c>
      <c r="AG3" s="518">
        <f>AF3*($G$4/$F$4)^(1/5)</f>
        <v>758375.06578960514</v>
      </c>
      <c r="AH3" s="518">
        <f>AG3*($G$4/$F$4)^(1/5)</f>
        <v>752628.12529480003</v>
      </c>
      <c r="AI3" s="518">
        <f>AH3*($G$4/$F$4)^(1/5)</f>
        <v>746924.73491990357</v>
      </c>
      <c r="AJ3" s="518">
        <f>AI3*($H$4/$G$4)^(1/5)</f>
        <v>740763.40682298341</v>
      </c>
      <c r="AK3" s="518">
        <f>AJ3*($H$4/$G$4)^(1/5)</f>
        <v>734652.90307575092</v>
      </c>
      <c r="AL3" s="518">
        <f>AK3*($H$4/$G$4)^(1/5)</f>
        <v>728592.80443182273</v>
      </c>
      <c r="AM3" s="518">
        <f>AL3*($H$4/$G$4)^(1/5)</f>
        <v>722582.69510314846</v>
      </c>
      <c r="AN3" s="518">
        <f>AM3*($H$4/$G$4)^(1/5)</f>
        <v>716622.16273148358</v>
      </c>
      <c r="AO3" s="518">
        <f>AN3*($I$4/$H$4)^(1/5)</f>
        <v>710456.45976632333</v>
      </c>
      <c r="AP3" s="518">
        <f>AO3*($I$4/$H$4)^(1/5)</f>
        <v>704343.80552757939</v>
      </c>
      <c r="AQ3" s="518">
        <f>AP3*($I$4/$H$4)^(1/5)</f>
        <v>698283.74359245773</v>
      </c>
      <c r="AR3" s="518">
        <f>AQ3*($I$4/$H$4)^(1/5)</f>
        <v>692275.82146515336</v>
      </c>
      <c r="AS3" s="518">
        <f>AR3*($I$4/$H$4)^(1/5)</f>
        <v>686319.59054306312</v>
      </c>
      <c r="AU3" s="22">
        <f>(AS3/O3)^(1/30)-1</f>
        <v>-6.9680618668425121E-3</v>
      </c>
    </row>
    <row r="4" spans="1:47" s="54" customFormat="1">
      <c r="A4" s="54" t="s">
        <v>1300</v>
      </c>
      <c r="B4" s="94"/>
      <c r="C4" s="572">
        <f t="shared" ref="C4:I4" si="1">SUM(C5:C8)</f>
        <v>846505.72103598283</v>
      </c>
      <c r="D4" s="572">
        <f t="shared" si="1"/>
        <v>825172.71021533501</v>
      </c>
      <c r="E4" s="572">
        <f t="shared" si="1"/>
        <v>802210.09440144326</v>
      </c>
      <c r="F4" s="572">
        <f t="shared" si="1"/>
        <v>775880.52612217155</v>
      </c>
      <c r="G4" s="572">
        <f t="shared" si="1"/>
        <v>746924.73491990333</v>
      </c>
      <c r="H4" s="572">
        <f t="shared" si="1"/>
        <v>716622.16273148335</v>
      </c>
      <c r="I4" s="572">
        <f t="shared" si="1"/>
        <v>686319.59054306312</v>
      </c>
      <c r="M4"/>
      <c r="N4" s="1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/>
      <c r="AU4" s="179"/>
    </row>
    <row r="5" spans="1:47">
      <c r="A5" t="s">
        <v>719</v>
      </c>
      <c r="B5" s="480"/>
      <c r="C5" s="183">
        <f>'Yearly Demand Japan'!L16</f>
        <v>846505.72103598283</v>
      </c>
      <c r="D5" s="183">
        <f>'Yearly Demand Japan'!L17</f>
        <v>825172.71021533501</v>
      </c>
      <c r="E5" s="183">
        <f>'Yearly Demand Japan'!L18</f>
        <v>802210.09440144326</v>
      </c>
      <c r="F5" s="183">
        <f>'Yearly Demand Japan'!L19</f>
        <v>775880.52612217155</v>
      </c>
      <c r="G5" s="183">
        <f>'Yearly Demand Japan'!L20</f>
        <v>746924.73491990333</v>
      </c>
      <c r="H5" s="183">
        <f>'Yearly Demand Japan'!L21</f>
        <v>716622.16273148335</v>
      </c>
      <c r="I5" s="183">
        <f>'Yearly Demand Japan'!L22</f>
        <v>686319.59054306312</v>
      </c>
      <c r="J5" s="1"/>
      <c r="K5" s="482"/>
      <c r="M5" s="1" t="s">
        <v>93</v>
      </c>
      <c r="N5" s="487" t="s">
        <v>719</v>
      </c>
      <c r="O5" s="525">
        <f>$C5/$C$4*O$3</f>
        <v>846505.72103598283</v>
      </c>
      <c r="P5" s="526">
        <f>O5*($D5/$C5)^(1/5)</f>
        <v>842195.4473386422</v>
      </c>
      <c r="Q5" s="526">
        <f t="shared" ref="Q5:T5" si="2">P5*($D5/$C5)^(1/5)</f>
        <v>837907.12087554263</v>
      </c>
      <c r="R5" s="526">
        <f t="shared" si="2"/>
        <v>833640.62989482691</v>
      </c>
      <c r="S5" s="526">
        <f t="shared" si="2"/>
        <v>829395.86321366066</v>
      </c>
      <c r="T5" s="526">
        <f t="shared" si="2"/>
        <v>825172.71021533501</v>
      </c>
      <c r="U5" s="526">
        <f>T5*($E5/$D5)^(1/5)</f>
        <v>820528.19689567841</v>
      </c>
      <c r="V5" s="526">
        <f t="shared" ref="V5:Y5" si="3">U5*($E5/$D5)^(1/5)</f>
        <v>815909.82538089424</v>
      </c>
      <c r="W5" s="526">
        <f t="shared" si="3"/>
        <v>811317.44853092381</v>
      </c>
      <c r="X5" s="526">
        <f t="shared" si="3"/>
        <v>806750.92003389157</v>
      </c>
      <c r="Y5" s="526">
        <f t="shared" si="3"/>
        <v>802210.09440144326</v>
      </c>
      <c r="Z5" s="526">
        <f>Y5*($F5/$E5)^(1/5)</f>
        <v>796873.65360595519</v>
      </c>
      <c r="AA5" s="526">
        <f t="shared" ref="AA5:AD5" si="4">Z5*($F5/$E5)^(1/5)</f>
        <v>791572.71174093743</v>
      </c>
      <c r="AB5" s="526">
        <f t="shared" si="4"/>
        <v>786307.03266134264</v>
      </c>
      <c r="AC5" s="526">
        <f t="shared" si="4"/>
        <v>781076.3817930012</v>
      </c>
      <c r="AD5" s="526">
        <f t="shared" si="4"/>
        <v>775880.52612217166</v>
      </c>
      <c r="AE5" s="526">
        <f>AD5*($G5/$F5)^(1/5)</f>
        <v>770000.92984343634</v>
      </c>
      <c r="AF5" s="526">
        <f t="shared" ref="AF5:AI5" si="5">AE5*($G5/$F5)^(1/5)</f>
        <v>764165.88894563541</v>
      </c>
      <c r="AG5" s="526">
        <f t="shared" si="5"/>
        <v>758375.06578960514</v>
      </c>
      <c r="AH5" s="526">
        <f t="shared" si="5"/>
        <v>752628.12529480003</v>
      </c>
      <c r="AI5" s="526">
        <f t="shared" si="5"/>
        <v>746924.73491990357</v>
      </c>
      <c r="AJ5" s="526">
        <f>AI5*($H5/$G5)^(1/5)</f>
        <v>740763.40682298341</v>
      </c>
      <c r="AK5" s="526">
        <f t="shared" ref="AK5:AN5" si="6">AJ5*($H5/$G5)^(1/5)</f>
        <v>734652.90307575092</v>
      </c>
      <c r="AL5" s="526">
        <f t="shared" si="6"/>
        <v>728592.80443182273</v>
      </c>
      <c r="AM5" s="526">
        <f t="shared" si="6"/>
        <v>722582.69510314846</v>
      </c>
      <c r="AN5" s="526">
        <f t="shared" si="6"/>
        <v>716622.16273148358</v>
      </c>
      <c r="AO5" s="526">
        <f>AN5*($I5/$H5)^(1/5)</f>
        <v>710456.45976632333</v>
      </c>
      <c r="AP5" s="526">
        <f t="shared" ref="AP5:AS5" si="7">AO5*($I5/$H5)^(1/5)</f>
        <v>704343.80552757939</v>
      </c>
      <c r="AQ5" s="526">
        <f t="shared" si="7"/>
        <v>698283.74359245773</v>
      </c>
      <c r="AR5" s="526">
        <f t="shared" si="7"/>
        <v>692275.82146515336</v>
      </c>
      <c r="AS5" s="526">
        <f t="shared" si="7"/>
        <v>686319.59054306312</v>
      </c>
    </row>
    <row r="6" spans="1:47">
      <c r="B6" s="480"/>
      <c r="C6" s="40"/>
      <c r="D6" s="40"/>
      <c r="E6" s="40"/>
      <c r="F6" s="40"/>
      <c r="G6" s="40"/>
      <c r="H6" s="40"/>
      <c r="I6" s="40"/>
      <c r="J6" s="40"/>
      <c r="K6" s="482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</row>
    <row r="7" spans="1:47">
      <c r="B7" s="480"/>
      <c r="C7" s="40"/>
      <c r="D7" s="40"/>
      <c r="E7" s="40"/>
      <c r="F7" s="40"/>
      <c r="G7" s="40"/>
      <c r="H7" s="40"/>
      <c r="I7" s="40"/>
      <c r="J7" s="40"/>
      <c r="K7" s="5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</row>
    <row r="8" spans="1:47" s="62" customFormat="1">
      <c r="B8" s="481"/>
      <c r="C8" s="40"/>
      <c r="D8" s="40"/>
      <c r="E8" s="40"/>
      <c r="F8" s="40"/>
      <c r="G8" s="40"/>
      <c r="H8" s="40"/>
      <c r="I8" s="40"/>
      <c r="J8" s="234"/>
      <c r="K8" s="483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</row>
    <row r="9" spans="1:47">
      <c r="D9" s="70"/>
      <c r="E9" s="40"/>
      <c r="I9" s="70"/>
      <c r="J9" s="40"/>
      <c r="M9" s="50"/>
      <c r="T9" s="188"/>
    </row>
    <row r="10" spans="1:47">
      <c r="D10" s="70"/>
      <c r="E10" s="40"/>
      <c r="I10" s="70"/>
      <c r="J10" s="40"/>
      <c r="T10" s="148"/>
    </row>
    <row r="11" spans="1:47">
      <c r="B11" s="51"/>
      <c r="C11" s="6"/>
      <c r="D11" s="70"/>
      <c r="I11" s="478"/>
      <c r="J11" s="40"/>
      <c r="T11" s="331"/>
    </row>
    <row r="12" spans="1:47">
      <c r="B12" s="51"/>
      <c r="C12" s="6"/>
      <c r="D12" s="70"/>
      <c r="I12" s="331"/>
      <c r="J12" s="40"/>
    </row>
    <row r="13" spans="1:47">
      <c r="B13" s="51"/>
      <c r="C13" s="6"/>
      <c r="D13" s="70"/>
      <c r="I13" s="70"/>
      <c r="J13" s="40"/>
    </row>
    <row r="14" spans="1:47">
      <c r="B14" s="51"/>
      <c r="C14" s="6"/>
      <c r="D14" s="70"/>
      <c r="I14" s="70"/>
      <c r="J14" s="40"/>
    </row>
    <row r="15" spans="1:47">
      <c r="D15" s="478"/>
      <c r="E15" s="40"/>
      <c r="I15" s="70"/>
      <c r="J15" s="40"/>
      <c r="M15" s="6"/>
      <c r="N15" s="148"/>
    </row>
    <row r="16" spans="1:47">
      <c r="D16" s="331"/>
      <c r="E16" s="39"/>
      <c r="I16" s="331"/>
      <c r="J16" s="39"/>
      <c r="M16" s="331"/>
      <c r="N16" s="22"/>
    </row>
    <row r="17" spans="2:14">
      <c r="B17" s="2"/>
      <c r="M17" s="479"/>
      <c r="N17" s="22"/>
    </row>
    <row r="18" spans="2:14">
      <c r="B18" s="2"/>
      <c r="M18" s="6"/>
    </row>
    <row r="19" spans="2:14">
      <c r="B19" s="1"/>
      <c r="D19" s="1"/>
      <c r="E19" s="1"/>
      <c r="G19" s="1"/>
      <c r="I19" s="1"/>
      <c r="J19" s="1"/>
    </row>
    <row r="20" spans="2:14">
      <c r="C20" s="6"/>
      <c r="D20" s="40"/>
      <c r="E20" s="2"/>
      <c r="H20" s="6"/>
      <c r="I20" s="40"/>
      <c r="J20" s="2"/>
    </row>
    <row r="21" spans="2:14">
      <c r="C21" s="6"/>
      <c r="D21" s="40"/>
      <c r="E21" s="2"/>
      <c r="H21" s="6"/>
      <c r="I21" s="40"/>
      <c r="J21" s="2"/>
    </row>
    <row r="22" spans="2:14">
      <c r="C22" s="6"/>
      <c r="D22" s="40"/>
      <c r="H22" s="6"/>
      <c r="I22" s="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67D9-A440-424C-963C-DD26768A7BCB}">
  <sheetPr>
    <tabColor theme="7"/>
  </sheetPr>
  <dimension ref="A1:AT28"/>
  <sheetViews>
    <sheetView topLeftCell="A8" workbookViewId="0">
      <selection activeCell="N7" sqref="N7:N9"/>
    </sheetView>
  </sheetViews>
  <sheetFormatPr defaultRowHeight="14.75"/>
  <cols>
    <col min="1" max="1" width="15.453125" customWidth="1"/>
    <col min="3" max="9" width="12.453125" bestFit="1" customWidth="1"/>
    <col min="10" max="10" width="19.7265625" bestFit="1" customWidth="1"/>
    <col min="12" max="12" width="12.1796875" customWidth="1"/>
    <col min="14" max="44" width="13.453125" style="99" bestFit="1" customWidth="1"/>
  </cols>
  <sheetData>
    <row r="1" spans="1:46" s="62" customFormat="1">
      <c r="A1" s="58"/>
      <c r="M1" s="58" t="s">
        <v>326</v>
      </c>
      <c r="N1" s="528"/>
      <c r="O1" s="528"/>
      <c r="P1" s="528"/>
      <c r="Q1" s="528"/>
      <c r="R1" s="528"/>
      <c r="S1" s="528"/>
      <c r="T1" s="528"/>
      <c r="U1" s="528"/>
      <c r="V1" s="528"/>
      <c r="W1" s="528"/>
      <c r="X1" s="528"/>
      <c r="Y1" s="528"/>
      <c r="Z1" s="528"/>
      <c r="AA1" s="528"/>
      <c r="AB1" s="528"/>
      <c r="AC1" s="528"/>
      <c r="AD1" s="528"/>
      <c r="AE1" s="528"/>
      <c r="AF1" s="528"/>
      <c r="AG1" s="528"/>
      <c r="AH1" s="528"/>
      <c r="AI1" s="528"/>
      <c r="AJ1" s="528"/>
      <c r="AK1" s="528"/>
      <c r="AL1" s="528"/>
      <c r="AM1" s="528"/>
      <c r="AN1" s="528"/>
      <c r="AO1" s="528"/>
      <c r="AP1" s="528"/>
      <c r="AQ1" s="528"/>
      <c r="AR1" s="528"/>
    </row>
    <row r="2" spans="1:46">
      <c r="B2" s="1"/>
      <c r="C2" s="1">
        <v>2019</v>
      </c>
      <c r="D2" s="1">
        <v>2020</v>
      </c>
      <c r="E2" s="1">
        <v>2025</v>
      </c>
      <c r="F2" s="1">
        <v>2030</v>
      </c>
      <c r="G2" s="1">
        <v>2035</v>
      </c>
      <c r="H2" s="1">
        <v>2040</v>
      </c>
      <c r="I2" s="1">
        <v>2045</v>
      </c>
      <c r="J2" s="1">
        <v>2050</v>
      </c>
      <c r="N2" s="99">
        <v>2020</v>
      </c>
      <c r="O2" s="99">
        <f>N2+1</f>
        <v>2021</v>
      </c>
      <c r="P2" s="99">
        <f t="shared" ref="P2:AR2" si="0">O2+1</f>
        <v>2022</v>
      </c>
      <c r="Q2" s="99">
        <f t="shared" si="0"/>
        <v>2023</v>
      </c>
      <c r="R2" s="99">
        <f t="shared" si="0"/>
        <v>2024</v>
      </c>
      <c r="S2" s="99">
        <f t="shared" si="0"/>
        <v>2025</v>
      </c>
      <c r="T2" s="99">
        <f t="shared" si="0"/>
        <v>2026</v>
      </c>
      <c r="U2" s="99">
        <f t="shared" si="0"/>
        <v>2027</v>
      </c>
      <c r="V2" s="99">
        <f t="shared" si="0"/>
        <v>2028</v>
      </c>
      <c r="W2" s="99">
        <f t="shared" si="0"/>
        <v>2029</v>
      </c>
      <c r="X2" s="99">
        <f t="shared" si="0"/>
        <v>2030</v>
      </c>
      <c r="Y2" s="99">
        <f t="shared" si="0"/>
        <v>2031</v>
      </c>
      <c r="Z2" s="99">
        <f t="shared" si="0"/>
        <v>2032</v>
      </c>
      <c r="AA2" s="99">
        <f t="shared" si="0"/>
        <v>2033</v>
      </c>
      <c r="AB2" s="99">
        <f>AA2+1</f>
        <v>2034</v>
      </c>
      <c r="AC2" s="99">
        <f t="shared" si="0"/>
        <v>2035</v>
      </c>
      <c r="AD2" s="99">
        <f t="shared" si="0"/>
        <v>2036</v>
      </c>
      <c r="AE2" s="99">
        <f t="shared" si="0"/>
        <v>2037</v>
      </c>
      <c r="AF2" s="99">
        <f t="shared" si="0"/>
        <v>2038</v>
      </c>
      <c r="AG2" s="99">
        <f t="shared" si="0"/>
        <v>2039</v>
      </c>
      <c r="AH2" s="99">
        <f t="shared" si="0"/>
        <v>2040</v>
      </c>
      <c r="AI2" s="99">
        <f t="shared" si="0"/>
        <v>2041</v>
      </c>
      <c r="AJ2" s="99">
        <f t="shared" si="0"/>
        <v>2042</v>
      </c>
      <c r="AK2" s="99">
        <f t="shared" si="0"/>
        <v>2043</v>
      </c>
      <c r="AL2" s="99">
        <f t="shared" si="0"/>
        <v>2044</v>
      </c>
      <c r="AM2" s="99">
        <f>AL2+1</f>
        <v>2045</v>
      </c>
      <c r="AN2" s="99">
        <f t="shared" si="0"/>
        <v>2046</v>
      </c>
      <c r="AO2" s="99">
        <f t="shared" si="0"/>
        <v>2047</v>
      </c>
      <c r="AP2" s="99">
        <f t="shared" si="0"/>
        <v>2048</v>
      </c>
      <c r="AQ2" s="99">
        <f>AP2+1</f>
        <v>2049</v>
      </c>
      <c r="AR2" s="99">
        <f t="shared" si="0"/>
        <v>2050</v>
      </c>
      <c r="AT2" t="s">
        <v>67</v>
      </c>
    </row>
    <row r="3" spans="1:46">
      <c r="A3" s="1" t="s">
        <v>1168</v>
      </c>
      <c r="B3" s="47"/>
      <c r="C3" s="527">
        <f>'Yearly Demand Japan'!F15+'Yearly Demand Japan'!H15+'Yearly Demand Japan'!J15</f>
        <v>7999545.2506541125</v>
      </c>
      <c r="D3" s="527">
        <f>'Yearly Demand Japan'!F16+'Yearly Demand Japan'!H16+'Yearly Demand Japan'!J16</f>
        <v>7896082.1468130462</v>
      </c>
      <c r="E3" s="527">
        <f>'Yearly Demand Japan'!F17+'Yearly Demand Japan'!H17+'Yearly Demand Japan'!J17</f>
        <v>7705270.5518163443</v>
      </c>
      <c r="F3" s="527">
        <f>'Yearly Demand Japan'!F18+'Yearly Demand Japan'!H18+'Yearly Demand Japan'!J18</f>
        <v>7493846.3243609462</v>
      </c>
      <c r="G3" s="527">
        <f>'Yearly Demand Japan'!F19+'Yearly Demand Japan'!H19+'Yearly Demand Japan'!J19</f>
        <v>7253440.2355738906</v>
      </c>
      <c r="H3" s="527">
        <f>'Yearly Demand Japan'!F20+'Yearly Demand Japan'!H20+'Yearly Demand Japan'!J20</f>
        <v>6987604.5966950795</v>
      </c>
      <c r="I3" s="527">
        <f>'Yearly Demand Japan'!F21+'Yearly Demand Japan'!H21+'Yearly Demand Japan'!J21</f>
        <v>6707516.1813860442</v>
      </c>
      <c r="J3" s="527">
        <f>'Yearly Demand Japan'!F22+'Yearly Demand Japan'!H22+'Yearly Demand Japan'!J22</f>
        <v>6425613.2832000889</v>
      </c>
      <c r="L3" t="s">
        <v>168</v>
      </c>
      <c r="M3" s="48" t="s">
        <v>1168</v>
      </c>
      <c r="N3" s="518">
        <f>D3</f>
        <v>7896082.1468130462</v>
      </c>
      <c r="O3" s="518">
        <f>N3*($E3/$C3)^(1/8)</f>
        <v>7859175.4107994894</v>
      </c>
      <c r="P3" s="518">
        <f>O3*($E3/$C3)^(1/8)</f>
        <v>7822441.1789643141</v>
      </c>
      <c r="Q3" s="518">
        <f t="shared" ref="Q3:R3" si="1">P3*($E3/$C3)^(1/8)</f>
        <v>7785878.6450132029</v>
      </c>
      <c r="R3" s="518">
        <f t="shared" si="1"/>
        <v>7749487.0064205024</v>
      </c>
      <c r="S3" s="518">
        <f>E3</f>
        <v>7705270.5518163443</v>
      </c>
      <c r="T3" s="518">
        <f>S3*($X3/$S3)^(1/5)</f>
        <v>7662513.8157681925</v>
      </c>
      <c r="U3" s="518">
        <f t="shared" ref="U3:V3" si="2">T3*($X3/$S3)^(1/5)</f>
        <v>7619994.3379013333</v>
      </c>
      <c r="V3" s="518">
        <f t="shared" si="2"/>
        <v>7577710.801664276</v>
      </c>
      <c r="W3" s="518">
        <f>V3*($X3/$S3)^(1/5)</f>
        <v>7535661.8978111055</v>
      </c>
      <c r="X3" s="518">
        <f>F3</f>
        <v>7493846.3243609462</v>
      </c>
      <c r="Y3" s="518">
        <f>X3*($AC3/$X3)^(1/5)</f>
        <v>7445135.9701326024</v>
      </c>
      <c r="Z3" s="518">
        <f t="shared" ref="Z3:AB3" si="3">Y3*($AC3/$X3)^(1/5)</f>
        <v>7396742.23550204</v>
      </c>
      <c r="AA3" s="518">
        <f t="shared" si="3"/>
        <v>7348663.0624269526</v>
      </c>
      <c r="AB3" s="518">
        <f t="shared" si="3"/>
        <v>7300896.4062424079</v>
      </c>
      <c r="AC3" s="518">
        <f>G3</f>
        <v>7253440.2355738906</v>
      </c>
      <c r="AD3" s="518">
        <f>AC3*($AH3/$AC3)^(1/5)</f>
        <v>7199476.0947326208</v>
      </c>
      <c r="AE3" s="518">
        <f t="shared" ref="AE3:AG3" si="4">AD3*($AH3/$AC3)^(1/5)</f>
        <v>7145913.4362779371</v>
      </c>
      <c r="AF3" s="518">
        <f t="shared" si="4"/>
        <v>7092749.2732613916</v>
      </c>
      <c r="AG3" s="518">
        <f t="shared" si="4"/>
        <v>7039980.640956833</v>
      </c>
      <c r="AH3" s="518">
        <f>H3</f>
        <v>6987604.5966950795</v>
      </c>
      <c r="AI3" s="518">
        <f>AH3*($AM3/$AH3)^(1/5)</f>
        <v>6930666.5312831951</v>
      </c>
      <c r="AJ3" s="518">
        <f t="shared" ref="AJ3:AL3" si="5">AI3*($AM3/$AH3)^(1/5)</f>
        <v>6874192.422188241</v>
      </c>
      <c r="AK3" s="518">
        <f t="shared" si="5"/>
        <v>6818178.4888907624</v>
      </c>
      <c r="AL3" s="518">
        <f t="shared" si="5"/>
        <v>6762620.9816766335</v>
      </c>
      <c r="AM3" s="518">
        <f>I3</f>
        <v>6707516.1813860442</v>
      </c>
      <c r="AN3" s="518">
        <f>AM3*($AR3/$AM3)^(1/5)</f>
        <v>6650163.1511213444</v>
      </c>
      <c r="AO3" s="518">
        <f t="shared" ref="AO3:AQ3" si="6">AN3*($AR3/$AM3)^(1/5)</f>
        <v>6593300.5214746362</v>
      </c>
      <c r="AP3" s="518">
        <f t="shared" si="6"/>
        <v>6536924.0992452297</v>
      </c>
      <c r="AQ3" s="518">
        <f t="shared" si="6"/>
        <v>6481029.7270866539</v>
      </c>
      <c r="AR3" s="518">
        <f>J3</f>
        <v>6425613.2832000889</v>
      </c>
      <c r="AT3" s="22">
        <f>(AR3/N3)^(1/30)-1</f>
        <v>-6.8456155150002918E-3</v>
      </c>
    </row>
    <row r="4" spans="1:46">
      <c r="A4" s="1"/>
      <c r="B4" s="47"/>
      <c r="C4" s="47"/>
      <c r="D4" s="102">
        <f>(D3/C3)-1</f>
        <v>-1.2933623174718134E-2</v>
      </c>
      <c r="E4" s="102">
        <f>(E3/C3)^(1/6)-1</f>
        <v>-6.2272157610026024E-3</v>
      </c>
      <c r="F4" s="102">
        <f>(F3/E3)^(1/5)-1</f>
        <v>-5.5490246267956289E-3</v>
      </c>
      <c r="G4" s="102">
        <f>(G3/F3)^(1/5)-1</f>
        <v>-6.5000471213289002E-3</v>
      </c>
      <c r="H4" s="102">
        <f>(H3/G3)^(1/5)-1</f>
        <v>-7.4397994728910843E-3</v>
      </c>
      <c r="I4" s="102">
        <f>(I3/H3)^(1/5)-1</f>
        <v>-8.148438370255584E-3</v>
      </c>
      <c r="J4" s="102">
        <f>(J3/I3)^(1/5)-1</f>
        <v>-8.5505615959391434E-3</v>
      </c>
      <c r="M4" s="48"/>
      <c r="N4" s="518"/>
      <c r="O4" s="518"/>
      <c r="P4" s="518"/>
      <c r="Q4" s="518"/>
      <c r="R4" s="518"/>
      <c r="S4" s="518"/>
      <c r="T4" s="518"/>
      <c r="U4" s="518"/>
      <c r="V4" s="518"/>
      <c r="W4" s="518"/>
      <c r="X4" s="518"/>
      <c r="Y4" s="518"/>
      <c r="Z4" s="518"/>
      <c r="AA4" s="518"/>
      <c r="AB4" s="518"/>
      <c r="AC4" s="518"/>
      <c r="AD4" s="518"/>
      <c r="AE4" s="518"/>
      <c r="AF4" s="518"/>
      <c r="AG4" s="518"/>
      <c r="AH4" s="518"/>
      <c r="AI4" s="518"/>
      <c r="AJ4" s="518"/>
      <c r="AK4" s="518"/>
      <c r="AL4" s="518"/>
      <c r="AM4" s="518"/>
      <c r="AN4" s="518"/>
      <c r="AO4" s="518"/>
      <c r="AP4" s="518"/>
      <c r="AQ4" s="518"/>
      <c r="AR4" s="518"/>
      <c r="AT4" s="22"/>
    </row>
    <row r="5" spans="1:46">
      <c r="A5" s="138"/>
    </row>
    <row r="6" spans="1:46">
      <c r="B6" s="1"/>
      <c r="C6" s="1">
        <v>2019</v>
      </c>
      <c r="D6" s="1">
        <v>2020</v>
      </c>
      <c r="E6" s="1">
        <v>2025</v>
      </c>
      <c r="F6" s="1">
        <v>2030</v>
      </c>
      <c r="G6" s="1">
        <v>2035</v>
      </c>
      <c r="H6" s="1">
        <v>2040</v>
      </c>
      <c r="I6" s="1">
        <v>2045</v>
      </c>
      <c r="J6" s="1">
        <v>2050</v>
      </c>
      <c r="M6" s="1" t="s">
        <v>1174</v>
      </c>
    </row>
    <row r="7" spans="1:46">
      <c r="A7" s="1" t="s">
        <v>88</v>
      </c>
      <c r="B7" s="39"/>
      <c r="C7" s="99">
        <f>'Yearly Demand Japan'!F15</f>
        <v>2501402.8271349748</v>
      </c>
      <c r="D7" s="99">
        <f>'Yearly Demand Japan'!F16</f>
        <v>2455978.9007012518</v>
      </c>
      <c r="E7" s="99">
        <f>'Yearly Demand Japan'!F17</f>
        <v>2394085.1377154314</v>
      </c>
      <c r="F7" s="99">
        <f>'Yearly Demand Japan'!F18</f>
        <v>2327463.3789459714</v>
      </c>
      <c r="G7" s="99">
        <f>'Yearly Demand Japan'!F19</f>
        <v>2251073.0338466787</v>
      </c>
      <c r="H7" s="99">
        <f>'Yearly Demand Japan'!F20</f>
        <v>2167063.1914101159</v>
      </c>
      <c r="I7" s="99">
        <f>'Yearly Demand Japan'!F21</f>
        <v>2079145.9144416207</v>
      </c>
      <c r="J7" s="99">
        <f>'Yearly Demand Japan'!F22</f>
        <v>1991228.637473125</v>
      </c>
      <c r="M7" s="1" t="s">
        <v>88</v>
      </c>
      <c r="N7" s="99">
        <f>N$3*$I16</f>
        <v>2469050.6255606362</v>
      </c>
      <c r="O7" s="99">
        <f t="shared" ref="O7:AR7" si="7">O$3*$I16</f>
        <v>2457510.1428316855</v>
      </c>
      <c r="P7" s="99">
        <f t="shared" si="7"/>
        <v>2446023.6009738683</v>
      </c>
      <c r="Q7" s="99">
        <f t="shared" si="7"/>
        <v>2434590.7478644932</v>
      </c>
      <c r="R7" s="99">
        <f t="shared" si="7"/>
        <v>2423211.3325593029</v>
      </c>
      <c r="S7" s="99">
        <f t="shared" si="7"/>
        <v>2409385.1510593384</v>
      </c>
      <c r="T7" s="99">
        <f t="shared" si="7"/>
        <v>2396015.4135206742</v>
      </c>
      <c r="U7" s="99">
        <f t="shared" si="7"/>
        <v>2382719.8649848662</v>
      </c>
      <c r="V7" s="99">
        <f t="shared" si="7"/>
        <v>2369498.0937753101</v>
      </c>
      <c r="W7" s="99">
        <f t="shared" si="7"/>
        <v>2356349.6904998054</v>
      </c>
      <c r="X7" s="99">
        <f t="shared" si="7"/>
        <v>2343274.2480378798</v>
      </c>
      <c r="Y7" s="99">
        <f t="shared" si="7"/>
        <v>2328042.8550074371</v>
      </c>
      <c r="Z7" s="99">
        <f t="shared" si="7"/>
        <v>2312910.4667494157</v>
      </c>
      <c r="AA7" s="99">
        <f t="shared" si="7"/>
        <v>2297876.4397281297</v>
      </c>
      <c r="AB7" s="99">
        <f t="shared" si="7"/>
        <v>2282940.1345909052</v>
      </c>
      <c r="AC7" s="99">
        <f t="shared" si="7"/>
        <v>2268100.9161408911</v>
      </c>
      <c r="AD7" s="99">
        <f t="shared" si="7"/>
        <v>2251226.7001405223</v>
      </c>
      <c r="AE7" s="99">
        <f t="shared" si="7"/>
        <v>2234478.0249234582</v>
      </c>
      <c r="AF7" s="99">
        <f t="shared" si="7"/>
        <v>2217853.9564914461</v>
      </c>
      <c r="AG7" s="99">
        <f t="shared" si="7"/>
        <v>2201353.5677949917</v>
      </c>
      <c r="AH7" s="99">
        <f t="shared" si="7"/>
        <v>2184975.9386816639</v>
      </c>
      <c r="AI7" s="99">
        <f t="shared" si="7"/>
        <v>2167171.7969048251</v>
      </c>
      <c r="AJ7" s="99">
        <f t="shared" si="7"/>
        <v>2149512.73107999</v>
      </c>
      <c r="AK7" s="99">
        <f t="shared" si="7"/>
        <v>2131997.5590647049</v>
      </c>
      <c r="AL7" s="99">
        <f t="shared" si="7"/>
        <v>2114625.108349131</v>
      </c>
      <c r="AM7" s="99">
        <f t="shared" si="7"/>
        <v>2097394.2159775533</v>
      </c>
      <c r="AN7" s="99">
        <f t="shared" si="7"/>
        <v>2079460.3175428705</v>
      </c>
      <c r="AO7" s="99">
        <f t="shared" si="7"/>
        <v>2061679.7640114089</v>
      </c>
      <c r="AP7" s="99">
        <f t="shared" si="7"/>
        <v>2044051.2441981281</v>
      </c>
      <c r="AQ7" s="99">
        <f t="shared" si="7"/>
        <v>2026573.4581293559</v>
      </c>
      <c r="AR7" s="99">
        <f t="shared" si="7"/>
        <v>2009245.1169469261</v>
      </c>
    </row>
    <row r="8" spans="1:46">
      <c r="A8" s="1" t="s">
        <v>717</v>
      </c>
      <c r="B8" s="39"/>
      <c r="C8" s="99">
        <f>'Yearly Demand Japan'!H15</f>
        <v>1140475.0674580322</v>
      </c>
      <c r="D8" s="99">
        <f>'Yearly Demand Japan'!H16</f>
        <v>1161568.4309022035</v>
      </c>
      <c r="E8" s="99">
        <f>'Yearly Demand Japan'!H17</f>
        <v>1140475.0674580322</v>
      </c>
      <c r="F8" s="99">
        <f>'Yearly Demand Japan'!H18</f>
        <v>1111733.6586876512</v>
      </c>
      <c r="G8" s="99">
        <f>'Yearly Demand Japan'!H19</f>
        <v>1080796.7256361996</v>
      </c>
      <c r="H8" s="99">
        <f>'Yearly Demand Japan'!H20</f>
        <v>1045323.5853924529</v>
      </c>
      <c r="I8" s="99">
        <f>'Yearly Demand Japan'!H21</f>
        <v>1006312.2035387162</v>
      </c>
      <c r="J8" s="99">
        <f>'Yearly Demand Japan'!H22</f>
        <v>965486.33880806144</v>
      </c>
      <c r="M8" s="1" t="s">
        <v>717</v>
      </c>
      <c r="N8" s="99">
        <f>N$3*$I17</f>
        <v>1125724.5926953687</v>
      </c>
      <c r="O8" s="99">
        <f t="shared" ref="O8:AR8" si="8">O$3*$I17</f>
        <v>1120462.8920704145</v>
      </c>
      <c r="P8" s="99">
        <f t="shared" si="8"/>
        <v>1115225.7849327538</v>
      </c>
      <c r="Q8" s="99">
        <f t="shared" si="8"/>
        <v>1110013.1563310316</v>
      </c>
      <c r="R8" s="99">
        <f t="shared" si="8"/>
        <v>1104824.8918511819</v>
      </c>
      <c r="S8" s="99">
        <f t="shared" si="8"/>
        <v>1098521.0630124977</v>
      </c>
      <c r="T8" s="99">
        <f t="shared" si="8"/>
        <v>1092425.3425807878</v>
      </c>
      <c r="U8" s="99">
        <f t="shared" si="8"/>
        <v>1086363.4474518714</v>
      </c>
      <c r="V8" s="99">
        <f t="shared" si="8"/>
        <v>1080335.1899283105</v>
      </c>
      <c r="W8" s="99">
        <f t="shared" si="8"/>
        <v>1074340.3833542042</v>
      </c>
      <c r="X8" s="99">
        <f t="shared" si="8"/>
        <v>1068378.8421094108</v>
      </c>
      <c r="Y8" s="99">
        <f t="shared" si="8"/>
        <v>1061434.3292922687</v>
      </c>
      <c r="Z8" s="99">
        <f t="shared" si="8"/>
        <v>1054534.9561356727</v>
      </c>
      <c r="AA8" s="99">
        <f t="shared" si="8"/>
        <v>1047680.4292297025</v>
      </c>
      <c r="AB8" s="99">
        <f t="shared" si="8"/>
        <v>1040870.4570716152</v>
      </c>
      <c r="AC8" s="99">
        <f t="shared" si="8"/>
        <v>1034104.7500534505</v>
      </c>
      <c r="AD8" s="99">
        <f t="shared" si="8"/>
        <v>1026411.2180790886</v>
      </c>
      <c r="AE8" s="99">
        <f t="shared" si="8"/>
        <v>1018774.9244398543</v>
      </c>
      <c r="AF8" s="99">
        <f t="shared" si="8"/>
        <v>1011195.4432940121</v>
      </c>
      <c r="AG8" s="99">
        <f t="shared" si="8"/>
        <v>1003672.3519680034</v>
      </c>
      <c r="AH8" s="99">
        <f t="shared" si="8"/>
        <v>996205.23093287658</v>
      </c>
      <c r="AI8" s="99">
        <f t="shared" si="8"/>
        <v>988087.71400449378</v>
      </c>
      <c r="AJ8" s="99">
        <f t="shared" si="8"/>
        <v>980036.34216252156</v>
      </c>
      <c r="AK8" s="99">
        <f t="shared" si="8"/>
        <v>972050.57642779953</v>
      </c>
      <c r="AL8" s="99">
        <f t="shared" si="8"/>
        <v>964129.88221300615</v>
      </c>
      <c r="AM8" s="99">
        <f t="shared" si="8"/>
        <v>956273.72928687173</v>
      </c>
      <c r="AN8" s="99">
        <f t="shared" si="8"/>
        <v>948097.05186202587</v>
      </c>
      <c r="AO8" s="99">
        <f t="shared" si="8"/>
        <v>939990.28962115129</v>
      </c>
      <c r="AP8" s="99">
        <f t="shared" si="8"/>
        <v>931952.84475016093</v>
      </c>
      <c r="AQ8" s="99">
        <f t="shared" si="8"/>
        <v>923984.12454661389</v>
      </c>
      <c r="AR8" s="99">
        <f t="shared" si="8"/>
        <v>916083.54137600854</v>
      </c>
    </row>
    <row r="9" spans="1:46">
      <c r="A9" s="1" t="s">
        <v>718</v>
      </c>
      <c r="B9" s="39"/>
      <c r="C9" s="99">
        <f>'Yearly Demand Japan'!J15</f>
        <v>4357667.3560611056</v>
      </c>
      <c r="D9" s="99">
        <f>'Yearly Demand Japan'!J16</f>
        <v>4278534.8152095908</v>
      </c>
      <c r="E9" s="99">
        <f>'Yearly Demand Japan'!J17</f>
        <v>4170710.3466428802</v>
      </c>
      <c r="F9" s="99">
        <f>'Yearly Demand Japan'!J18</f>
        <v>4054649.2867273241</v>
      </c>
      <c r="G9" s="99">
        <f>'Yearly Demand Japan'!J19</f>
        <v>3921570.4760910124</v>
      </c>
      <c r="H9" s="99">
        <f>'Yearly Demand Japan'!J20</f>
        <v>3775217.8198925108</v>
      </c>
      <c r="I9" s="99">
        <f>'Yearly Demand Japan'!J21</f>
        <v>3622058.063405707</v>
      </c>
      <c r="J9" s="99">
        <f>'Yearly Demand Japan'!J22</f>
        <v>3468898.3069189028</v>
      </c>
      <c r="M9" s="1" t="s">
        <v>718</v>
      </c>
      <c r="N9" s="99">
        <f>SUM(N10:N12)</f>
        <v>4301306.9285570411</v>
      </c>
      <c r="O9" s="99">
        <f t="shared" ref="O9:AR9" si="9">SUM(O10:O12)</f>
        <v>4281202.3758973898</v>
      </c>
      <c r="P9" s="99">
        <f t="shared" si="9"/>
        <v>4261191.7930576922</v>
      </c>
      <c r="Q9" s="99">
        <f t="shared" si="9"/>
        <v>4241274.7408176782</v>
      </c>
      <c r="R9" s="99">
        <f t="shared" si="9"/>
        <v>4221450.7820100179</v>
      </c>
      <c r="S9" s="99">
        <f t="shared" si="9"/>
        <v>4197364.3377445089</v>
      </c>
      <c r="T9" s="99">
        <f t="shared" si="9"/>
        <v>4174073.0596667309</v>
      </c>
      <c r="U9" s="99">
        <f t="shared" si="9"/>
        <v>4150911.0254645958</v>
      </c>
      <c r="V9" s="99">
        <f t="shared" si="9"/>
        <v>4127877.5179606555</v>
      </c>
      <c r="W9" s="99">
        <f t="shared" si="9"/>
        <v>4104971.8239570959</v>
      </c>
      <c r="X9" s="99">
        <f t="shared" si="9"/>
        <v>4082193.2342136553</v>
      </c>
      <c r="Y9" s="99">
        <f t="shared" si="9"/>
        <v>4055658.7858328968</v>
      </c>
      <c r="Z9" s="99">
        <f t="shared" si="9"/>
        <v>4029296.8126169518</v>
      </c>
      <c r="AA9" s="99">
        <f t="shared" si="9"/>
        <v>4003106.1934691207</v>
      </c>
      <c r="AB9" s="99">
        <f t="shared" si="9"/>
        <v>3977085.8145798882</v>
      </c>
      <c r="AC9" s="99">
        <f t="shared" si="9"/>
        <v>3951234.5693795495</v>
      </c>
      <c r="AD9" s="99">
        <f t="shared" si="9"/>
        <v>3921838.1765130102</v>
      </c>
      <c r="AE9" s="99">
        <f t="shared" si="9"/>
        <v>3892660.4869146249</v>
      </c>
      <c r="AF9" s="99">
        <f t="shared" si="9"/>
        <v>3863699.8734759334</v>
      </c>
      <c r="AG9" s="99">
        <f t="shared" si="9"/>
        <v>3834954.7211938379</v>
      </c>
      <c r="AH9" s="99">
        <f t="shared" si="9"/>
        <v>3806423.4270805391</v>
      </c>
      <c r="AI9" s="99">
        <f t="shared" si="9"/>
        <v>3775407.0203738767</v>
      </c>
      <c r="AJ9" s="99">
        <f t="shared" si="9"/>
        <v>3744643.3489457294</v>
      </c>
      <c r="AK9" s="99">
        <f t="shared" si="9"/>
        <v>3714130.3533982579</v>
      </c>
      <c r="AL9" s="99">
        <f t="shared" si="9"/>
        <v>3683865.9911144967</v>
      </c>
      <c r="AM9" s="99">
        <f t="shared" si="9"/>
        <v>3653848.2361216196</v>
      </c>
      <c r="AN9" s="99">
        <f t="shared" si="9"/>
        <v>3622605.7817164483</v>
      </c>
      <c r="AO9" s="99">
        <f t="shared" si="9"/>
        <v>3591630.4678420764</v>
      </c>
      <c r="AP9" s="99">
        <f t="shared" si="9"/>
        <v>3560920.0102969413</v>
      </c>
      <c r="AQ9" s="99">
        <f t="shared" si="9"/>
        <v>3530472.1444106842</v>
      </c>
      <c r="AR9" s="99">
        <f t="shared" si="9"/>
        <v>3500284.6248771548</v>
      </c>
    </row>
    <row r="10" spans="1:46">
      <c r="A10" s="1" t="s">
        <v>1079</v>
      </c>
      <c r="B10" s="39"/>
      <c r="C10" s="99">
        <f>C$9*($C18/SUM($C$18:$C$20))</f>
        <v>3917710.5556895514</v>
      </c>
      <c r="D10" s="99">
        <f t="shared" ref="D10:J10" si="10">D$9*($C18/SUM($C$18:$C$20))</f>
        <v>3846567.357904776</v>
      </c>
      <c r="E10" s="99">
        <f t="shared" si="10"/>
        <v>3749629.0135683585</v>
      </c>
      <c r="F10" s="99">
        <f t="shared" si="10"/>
        <v>3645285.6568173533</v>
      </c>
      <c r="G10" s="99">
        <f t="shared" si="10"/>
        <v>3525642.6876395154</v>
      </c>
      <c r="H10" s="99">
        <f t="shared" si="10"/>
        <v>3394066.0207687472</v>
      </c>
      <c r="I10" s="99">
        <f t="shared" si="10"/>
        <v>3256369.5089272461</v>
      </c>
      <c r="J10" s="99">
        <f t="shared" si="10"/>
        <v>3118672.997085744</v>
      </c>
      <c r="M10" s="1" t="s">
        <v>1079</v>
      </c>
      <c r="N10" s="99">
        <f>N$3*$I19</f>
        <v>3867040.363654648</v>
      </c>
      <c r="O10" s="99">
        <f t="shared" ref="O10:AR10" si="11">O$3*$I19</f>
        <v>3848965.597561596</v>
      </c>
      <c r="P10" s="99">
        <f t="shared" si="11"/>
        <v>3830975.313950906</v>
      </c>
      <c r="Q10" s="99">
        <f t="shared" si="11"/>
        <v>3813069.1179466629</v>
      </c>
      <c r="R10" s="99">
        <f t="shared" si="11"/>
        <v>3795246.6165186218</v>
      </c>
      <c r="S10" s="99">
        <f t="shared" si="11"/>
        <v>3773591.9767222265</v>
      </c>
      <c r="T10" s="99">
        <f t="shared" si="11"/>
        <v>3752652.2219119165</v>
      </c>
      <c r="U10" s="99">
        <f t="shared" si="11"/>
        <v>3731828.6623167284</v>
      </c>
      <c r="V10" s="99">
        <f t="shared" si="11"/>
        <v>3711120.6531665511</v>
      </c>
      <c r="W10" s="99">
        <f t="shared" si="11"/>
        <v>3690527.5532691199</v>
      </c>
      <c r="X10" s="99">
        <f t="shared" si="11"/>
        <v>3670048.7249901616</v>
      </c>
      <c r="Y10" s="99">
        <f t="shared" si="11"/>
        <v>3646193.2353401524</v>
      </c>
      <c r="Z10" s="99">
        <f t="shared" si="11"/>
        <v>3622492.807496971</v>
      </c>
      <c r="AA10" s="99">
        <f t="shared" si="11"/>
        <v>3598946.4335515653</v>
      </c>
      <c r="AB10" s="99">
        <f t="shared" si="11"/>
        <v>3575553.1121463417</v>
      </c>
      <c r="AC10" s="99">
        <f t="shared" si="11"/>
        <v>3552311.8484325758</v>
      </c>
      <c r="AD10" s="99">
        <f t="shared" si="11"/>
        <v>3525883.3606150621</v>
      </c>
      <c r="AE10" s="99">
        <f t="shared" si="11"/>
        <v>3499651.4954472827</v>
      </c>
      <c r="AF10" s="99">
        <f t="shared" si="11"/>
        <v>3473614.7900961516</v>
      </c>
      <c r="AG10" s="99">
        <f t="shared" si="11"/>
        <v>3447771.792611768</v>
      </c>
      <c r="AH10" s="99">
        <f t="shared" si="11"/>
        <v>3422121.0618464462</v>
      </c>
      <c r="AI10" s="99">
        <f t="shared" si="11"/>
        <v>3394236.119278437</v>
      </c>
      <c r="AJ10" s="99">
        <f t="shared" si="11"/>
        <v>3366578.3954464011</v>
      </c>
      <c r="AK10" s="99">
        <f t="shared" si="11"/>
        <v>3339146.0388724725</v>
      </c>
      <c r="AL10" s="99">
        <f t="shared" si="11"/>
        <v>3311937.2131654369</v>
      </c>
      <c r="AM10" s="99">
        <f t="shared" si="11"/>
        <v>3284950.0968978023</v>
      </c>
      <c r="AN10" s="99">
        <f t="shared" si="11"/>
        <v>3256861.9287546915</v>
      </c>
      <c r="AO10" s="99">
        <f t="shared" si="11"/>
        <v>3229013.9302234054</v>
      </c>
      <c r="AP10" s="99">
        <f t="shared" si="11"/>
        <v>3201404.0477188844</v>
      </c>
      <c r="AQ10" s="99">
        <f t="shared" si="11"/>
        <v>3174030.245215375</v>
      </c>
      <c r="AR10" s="99">
        <f t="shared" si="11"/>
        <v>3146890.5040962882</v>
      </c>
    </row>
    <row r="11" spans="1:46">
      <c r="A11" s="1" t="s">
        <v>1080</v>
      </c>
      <c r="B11" s="39"/>
      <c r="C11" s="99">
        <f>C$9*($C19/SUM($C$18:$C$20))</f>
        <v>377105.82888990338</v>
      </c>
      <c r="D11" s="99">
        <f t="shared" ref="D11:J11" si="12">D$9*($C19/SUM($C$18:$C$20))</f>
        <v>370257.8205469838</v>
      </c>
      <c r="E11" s="99">
        <f t="shared" si="12"/>
        <v>360926.85692101845</v>
      </c>
      <c r="F11" s="99">
        <f t="shared" si="12"/>
        <v>350883.11135140306</v>
      </c>
      <c r="G11" s="99">
        <f t="shared" si="12"/>
        <v>339366.67581556836</v>
      </c>
      <c r="H11" s="99">
        <f t="shared" si="12"/>
        <v>326701.54210608266</v>
      </c>
      <c r="I11" s="99">
        <f t="shared" si="12"/>
        <v>313447.33241010923</v>
      </c>
      <c r="J11" s="99">
        <f t="shared" si="12"/>
        <v>300193.1227141358</v>
      </c>
      <c r="M11" s="1" t="s">
        <v>1080</v>
      </c>
      <c r="N11" s="99">
        <f>N$3*$I20</f>
        <v>372228.48420205165</v>
      </c>
      <c r="O11" s="99">
        <f t="shared" ref="O11:AR11" si="13">O$3*$I20</f>
        <v>370488.66714496637</v>
      </c>
      <c r="P11" s="99">
        <f t="shared" si="13"/>
        <v>368756.98209153104</v>
      </c>
      <c r="Q11" s="99">
        <f t="shared" si="13"/>
        <v>367033.39103229903</v>
      </c>
      <c r="R11" s="99">
        <f t="shared" si="13"/>
        <v>365317.85613548226</v>
      </c>
      <c r="S11" s="99">
        <f t="shared" si="13"/>
        <v>363233.4523048132</v>
      </c>
      <c r="T11" s="99">
        <f t="shared" si="13"/>
        <v>361217.86093269783</v>
      </c>
      <c r="U11" s="99">
        <f t="shared" si="13"/>
        <v>359213.45412674383</v>
      </c>
      <c r="V11" s="99">
        <f t="shared" si="13"/>
        <v>357220.16982351826</v>
      </c>
      <c r="W11" s="99">
        <f t="shared" si="13"/>
        <v>355237.94630397944</v>
      </c>
      <c r="X11" s="99">
        <f t="shared" si="13"/>
        <v>353266.72219156637</v>
      </c>
      <c r="Y11" s="99">
        <f t="shared" si="13"/>
        <v>350970.47185092373</v>
      </c>
      <c r="Z11" s="99">
        <f t="shared" si="13"/>
        <v>348689.14724569774</v>
      </c>
      <c r="AA11" s="99">
        <f t="shared" si="13"/>
        <v>346422.65135790466</v>
      </c>
      <c r="AB11" s="99">
        <f t="shared" si="13"/>
        <v>344170.88780018257</v>
      </c>
      <c r="AC11" s="99">
        <f t="shared" si="13"/>
        <v>341933.76081169175</v>
      </c>
      <c r="AD11" s="99">
        <f t="shared" si="13"/>
        <v>339389.84219824127</v>
      </c>
      <c r="AE11" s="99">
        <f t="shared" si="13"/>
        <v>336864.84982915019</v>
      </c>
      <c r="AF11" s="99">
        <f t="shared" si="13"/>
        <v>334358.64289695577</v>
      </c>
      <c r="AG11" s="99">
        <f t="shared" si="13"/>
        <v>331871.08164177439</v>
      </c>
      <c r="AH11" s="99">
        <f t="shared" si="13"/>
        <v>329402.02734350815</v>
      </c>
      <c r="AI11" s="99">
        <f t="shared" si="13"/>
        <v>326717.91522466234</v>
      </c>
      <c r="AJ11" s="99">
        <f t="shared" si="13"/>
        <v>324055.67442799581</v>
      </c>
      <c r="AK11" s="99">
        <f t="shared" si="13"/>
        <v>321415.12673638767</v>
      </c>
      <c r="AL11" s="99">
        <f t="shared" si="13"/>
        <v>318796.09538490832</v>
      </c>
      <c r="AM11" s="99">
        <f t="shared" si="13"/>
        <v>316198.40504898631</v>
      </c>
      <c r="AN11" s="99">
        <f t="shared" si="13"/>
        <v>313494.73111007723</v>
      </c>
      <c r="AO11" s="99">
        <f t="shared" si="13"/>
        <v>310814.17510171811</v>
      </c>
      <c r="AP11" s="99">
        <f t="shared" si="13"/>
        <v>308156.53935261985</v>
      </c>
      <c r="AQ11" s="99">
        <f t="shared" si="13"/>
        <v>305521.62788169383</v>
      </c>
      <c r="AR11" s="99">
        <f t="shared" si="13"/>
        <v>302909.24638359988</v>
      </c>
    </row>
    <row r="12" spans="1:46">
      <c r="A12" s="1" t="s">
        <v>1081</v>
      </c>
      <c r="B12" s="39"/>
      <c r="C12" s="99">
        <f>C$9*($C20/SUM($C$18:$C$20))</f>
        <v>62850.971481650551</v>
      </c>
      <c r="D12" s="99">
        <f t="shared" ref="D12:J12" si="14">D$9*($C20/SUM($C$18:$C$20))</f>
        <v>61709.636757830624</v>
      </c>
      <c r="E12" s="99">
        <f t="shared" si="14"/>
        <v>60154.47615350307</v>
      </c>
      <c r="F12" s="99">
        <f t="shared" si="14"/>
        <v>58480.518558567164</v>
      </c>
      <c r="G12" s="99">
        <f t="shared" si="14"/>
        <v>56561.112635928053</v>
      </c>
      <c r="H12" s="99">
        <f t="shared" si="14"/>
        <v>54450.257017680437</v>
      </c>
      <c r="I12" s="99">
        <f t="shared" si="14"/>
        <v>52241.222068351533</v>
      </c>
      <c r="J12" s="99">
        <f t="shared" si="14"/>
        <v>50032.18711902263</v>
      </c>
      <c r="M12" s="1" t="s">
        <v>1081</v>
      </c>
      <c r="N12" s="99">
        <f>N$3*$I21</f>
        <v>62038.080700341925</v>
      </c>
      <c r="O12" s="99">
        <f t="shared" ref="O12:AR12" si="15">O$3*$I21</f>
        <v>61748.111190827716</v>
      </c>
      <c r="P12" s="99">
        <f t="shared" si="15"/>
        <v>61459.497015255154</v>
      </c>
      <c r="Q12" s="99">
        <f t="shared" si="15"/>
        <v>61172.231838716492</v>
      </c>
      <c r="R12" s="99">
        <f t="shared" si="15"/>
        <v>60886.309355913698</v>
      </c>
      <c r="S12" s="99">
        <f t="shared" si="15"/>
        <v>60538.908717468854</v>
      </c>
      <c r="T12" s="99">
        <f t="shared" si="15"/>
        <v>60202.976822116289</v>
      </c>
      <c r="U12" s="99">
        <f t="shared" si="15"/>
        <v>59868.90902112396</v>
      </c>
      <c r="V12" s="99">
        <f t="shared" si="15"/>
        <v>59536.694970586366</v>
      </c>
      <c r="W12" s="99">
        <f t="shared" si="15"/>
        <v>59206.324383996558</v>
      </c>
      <c r="X12" s="99">
        <f t="shared" si="15"/>
        <v>58877.787031927714</v>
      </c>
      <c r="Y12" s="99">
        <f t="shared" si="15"/>
        <v>58495.078641820612</v>
      </c>
      <c r="Z12" s="99">
        <f t="shared" si="15"/>
        <v>58114.857874282941</v>
      </c>
      <c r="AA12" s="99">
        <f t="shared" si="15"/>
        <v>57737.108559650762</v>
      </c>
      <c r="AB12" s="99">
        <f t="shared" si="15"/>
        <v>57361.814633363749</v>
      </c>
      <c r="AC12" s="99">
        <f t="shared" si="15"/>
        <v>56988.960135281945</v>
      </c>
      <c r="AD12" s="99">
        <f t="shared" si="15"/>
        <v>56564.973699706861</v>
      </c>
      <c r="AE12" s="99">
        <f t="shared" si="15"/>
        <v>56144.141638191686</v>
      </c>
      <c r="AF12" s="99">
        <f t="shared" si="15"/>
        <v>55726.44048282595</v>
      </c>
      <c r="AG12" s="99">
        <f t="shared" si="15"/>
        <v>55311.84694029572</v>
      </c>
      <c r="AH12" s="99">
        <f t="shared" si="15"/>
        <v>54900.337890584684</v>
      </c>
      <c r="AI12" s="99">
        <f t="shared" si="15"/>
        <v>54452.985870777047</v>
      </c>
      <c r="AJ12" s="99">
        <f t="shared" si="15"/>
        <v>54009.279071332625</v>
      </c>
      <c r="AK12" s="99">
        <f t="shared" si="15"/>
        <v>53569.18778939794</v>
      </c>
      <c r="AL12" s="99">
        <f t="shared" si="15"/>
        <v>53132.682564151379</v>
      </c>
      <c r="AM12" s="99">
        <f t="shared" si="15"/>
        <v>52699.734174831035</v>
      </c>
      <c r="AN12" s="99">
        <f t="shared" si="15"/>
        <v>52249.121851679527</v>
      </c>
      <c r="AO12" s="99">
        <f t="shared" si="15"/>
        <v>51802.362516953006</v>
      </c>
      <c r="AP12" s="99">
        <f t="shared" si="15"/>
        <v>51359.423225436629</v>
      </c>
      <c r="AQ12" s="99">
        <f t="shared" si="15"/>
        <v>50920.271313615624</v>
      </c>
      <c r="AR12" s="99">
        <f t="shared" si="15"/>
        <v>50484.874397266634</v>
      </c>
    </row>
    <row r="13" spans="1:46">
      <c r="M13" s="1" t="s">
        <v>78</v>
      </c>
      <c r="N13" s="99">
        <f>SUM(N7:N9)</f>
        <v>7896082.1468130462</v>
      </c>
      <c r="O13" s="99">
        <f t="shared" ref="O13:AR13" si="16">SUM(O7:O9)</f>
        <v>7859175.4107994903</v>
      </c>
      <c r="P13" s="99">
        <f t="shared" si="16"/>
        <v>7822441.1789643141</v>
      </c>
      <c r="Q13" s="99">
        <f t="shared" si="16"/>
        <v>7785878.6450132029</v>
      </c>
      <c r="R13" s="99">
        <f t="shared" si="16"/>
        <v>7749487.0064205024</v>
      </c>
      <c r="S13" s="99">
        <f t="shared" si="16"/>
        <v>7705270.5518163452</v>
      </c>
      <c r="T13" s="99">
        <f t="shared" si="16"/>
        <v>7662513.8157681935</v>
      </c>
      <c r="U13" s="99">
        <f t="shared" si="16"/>
        <v>7619994.3379013333</v>
      </c>
      <c r="V13" s="99">
        <f t="shared" si="16"/>
        <v>7577710.801664276</v>
      </c>
      <c r="W13" s="99">
        <f t="shared" si="16"/>
        <v>7535661.8978111055</v>
      </c>
      <c r="X13" s="99">
        <f t="shared" si="16"/>
        <v>7493846.3243609462</v>
      </c>
      <c r="Y13" s="99">
        <f t="shared" si="16"/>
        <v>7445135.9701326024</v>
      </c>
      <c r="Z13" s="99">
        <f t="shared" si="16"/>
        <v>7396742.23550204</v>
      </c>
      <c r="AA13" s="99">
        <f t="shared" si="16"/>
        <v>7348663.0624269526</v>
      </c>
      <c r="AB13" s="99">
        <f t="shared" si="16"/>
        <v>7300896.4062424088</v>
      </c>
      <c r="AC13" s="99">
        <f t="shared" si="16"/>
        <v>7253440.2355738916</v>
      </c>
      <c r="AD13" s="99">
        <f t="shared" si="16"/>
        <v>7199476.0947326217</v>
      </c>
      <c r="AE13" s="99">
        <f t="shared" si="16"/>
        <v>7145913.4362779371</v>
      </c>
      <c r="AF13" s="99">
        <f t="shared" si="16"/>
        <v>7092749.2732613916</v>
      </c>
      <c r="AG13" s="99">
        <f t="shared" si="16"/>
        <v>7039980.640956833</v>
      </c>
      <c r="AH13" s="99">
        <f t="shared" si="16"/>
        <v>6987604.5966950795</v>
      </c>
      <c r="AI13" s="99">
        <f t="shared" si="16"/>
        <v>6930666.5312831961</v>
      </c>
      <c r="AJ13" s="99">
        <f t="shared" si="16"/>
        <v>6874192.422188241</v>
      </c>
      <c r="AK13" s="99">
        <f t="shared" si="16"/>
        <v>6818178.4888907624</v>
      </c>
      <c r="AL13" s="99">
        <f t="shared" si="16"/>
        <v>6762620.9816766344</v>
      </c>
      <c r="AM13" s="99">
        <f t="shared" si="16"/>
        <v>6707516.1813860442</v>
      </c>
      <c r="AN13" s="99">
        <f t="shared" si="16"/>
        <v>6650163.1511213444</v>
      </c>
      <c r="AO13" s="99">
        <f t="shared" si="16"/>
        <v>6593300.5214746371</v>
      </c>
      <c r="AP13" s="99">
        <f t="shared" si="16"/>
        <v>6536924.0992452297</v>
      </c>
      <c r="AQ13" s="99">
        <f t="shared" si="16"/>
        <v>6481029.7270866539</v>
      </c>
      <c r="AR13" s="99">
        <f t="shared" si="16"/>
        <v>6425613.2832000889</v>
      </c>
    </row>
    <row r="14" spans="1:46">
      <c r="A14" t="s">
        <v>1082</v>
      </c>
    </row>
    <row r="15" spans="1:46">
      <c r="A15" s="1" t="s">
        <v>1171</v>
      </c>
      <c r="E15" s="1" t="s">
        <v>1172</v>
      </c>
      <c r="I15" s="605" t="s">
        <v>1423</v>
      </c>
      <c r="J15" s="605"/>
      <c r="M15" s="1" t="s">
        <v>1173</v>
      </c>
    </row>
    <row r="16" spans="1:46">
      <c r="A16" t="s">
        <v>88</v>
      </c>
      <c r="B16" s="47">
        <v>42.9</v>
      </c>
      <c r="C16" s="2">
        <f>B16/$B$21</f>
        <v>0.44640998959417277</v>
      </c>
      <c r="E16" t="s">
        <v>88</v>
      </c>
      <c r="F16" s="47">
        <f>B16-7.1</f>
        <v>35.799999999999997</v>
      </c>
      <c r="G16" s="2">
        <f>F16/$F$21</f>
        <v>0.36125126135216951</v>
      </c>
      <c r="H16" s="612" t="s">
        <v>1422</v>
      </c>
      <c r="I16" s="2">
        <f>C7/SUM(C7:C9)</f>
        <v>0.31269312801630045</v>
      </c>
      <c r="J16" s="2">
        <f>I16-(J17-I17)/2</f>
        <v>0.27920918985930743</v>
      </c>
      <c r="M16" s="1" t="s">
        <v>88</v>
      </c>
      <c r="N16" s="99">
        <f>N$3*$J16</f>
        <v>2204658.6992742117</v>
      </c>
      <c r="O16" s="99">
        <f>O$3*$J16</f>
        <v>2194353.999411515</v>
      </c>
      <c r="P16" s="99">
        <f t="shared" ref="P16:AR17" si="17">P$3*$J16</f>
        <v>2184097.4643007116</v>
      </c>
      <c r="Q16" s="99">
        <f t="shared" si="17"/>
        <v>2173888.8688170188</v>
      </c>
      <c r="R16" s="99">
        <f t="shared" si="17"/>
        <v>2163727.9888878982</v>
      </c>
      <c r="S16" s="99">
        <f t="shared" si="17"/>
        <v>2151382.34841942</v>
      </c>
      <c r="T16" s="99">
        <f t="shared" si="17"/>
        <v>2139444.2747863876</v>
      </c>
      <c r="U16" s="99">
        <f t="shared" si="17"/>
        <v>2127572.4458179409</v>
      </c>
      <c r="V16" s="99">
        <f t="shared" si="17"/>
        <v>2115766.4939208054</v>
      </c>
      <c r="W16" s="99">
        <f t="shared" si="17"/>
        <v>2104026.0535414899</v>
      </c>
      <c r="X16" s="99">
        <f t="shared" si="17"/>
        <v>2092350.7611549685</v>
      </c>
      <c r="Y16" s="99">
        <f t="shared" si="17"/>
        <v>2078750.3826131127</v>
      </c>
      <c r="Z16" s="99">
        <f t="shared" si="17"/>
        <v>2065238.4071726471</v>
      </c>
      <c r="AA16" s="99">
        <f t="shared" si="17"/>
        <v>2051814.2602092465</v>
      </c>
      <c r="AB16" s="99">
        <f t="shared" si="17"/>
        <v>2038477.3708336717</v>
      </c>
      <c r="AC16" s="99">
        <f t="shared" si="17"/>
        <v>2025227.17186749</v>
      </c>
      <c r="AD16" s="99">
        <f t="shared" si="17"/>
        <v>2010159.8878217456</v>
      </c>
      <c r="AE16" s="99">
        <f t="shared" si="17"/>
        <v>1995204.7013479024</v>
      </c>
      <c r="AF16" s="99">
        <f t="shared" si="17"/>
        <v>1980360.7784625047</v>
      </c>
      <c r="AG16" s="99">
        <f t="shared" si="17"/>
        <v>1965627.2913867652</v>
      </c>
      <c r="AH16" s="99">
        <f t="shared" si="17"/>
        <v>1951003.4185004057</v>
      </c>
      <c r="AI16" s="99">
        <f t="shared" si="17"/>
        <v>1935105.7873845974</v>
      </c>
      <c r="AJ16" s="99">
        <f t="shared" si="17"/>
        <v>1919337.6971361691</v>
      </c>
      <c r="AK16" s="99">
        <f t="shared" si="17"/>
        <v>1903698.0921993467</v>
      </c>
      <c r="AL16" s="99">
        <f t="shared" si="17"/>
        <v>1888185.9256194872</v>
      </c>
      <c r="AM16" s="99">
        <f t="shared" si="17"/>
        <v>1872800.1589729928</v>
      </c>
      <c r="AN16" s="99">
        <f t="shared" si="17"/>
        <v>1856786.6658568096</v>
      </c>
      <c r="AO16" s="99">
        <f t="shared" si="17"/>
        <v>1840910.0970998823</v>
      </c>
      <c r="AP16" s="99">
        <f t="shared" si="17"/>
        <v>1825169.2819220435</v>
      </c>
      <c r="AQ16" s="99">
        <f t="shared" si="17"/>
        <v>1809563.0595539529</v>
      </c>
      <c r="AR16" s="99">
        <f t="shared" si="17"/>
        <v>1794090.2791515014</v>
      </c>
    </row>
    <row r="17" spans="1:44">
      <c r="A17" t="s">
        <v>717</v>
      </c>
      <c r="B17" s="47">
        <v>11.6</v>
      </c>
      <c r="C17" s="2">
        <f>B17/$B$21</f>
        <v>0.12070759625390219</v>
      </c>
      <c r="E17" t="s">
        <v>717</v>
      </c>
      <c r="F17" s="47">
        <f>B17+11.6</f>
        <v>23.2</v>
      </c>
      <c r="G17" s="2">
        <f t="shared" ref="G17:G20" si="18">F17/$F$21</f>
        <v>0.23410696266397579</v>
      </c>
      <c r="H17" s="612"/>
      <c r="I17" s="2">
        <f>C8/SUM(C7:C9)</f>
        <v>0.1425674874912142</v>
      </c>
      <c r="J17" s="2">
        <f>I17*(1+(G17/C17-1)/2)</f>
        <v>0.20953536380520027</v>
      </c>
      <c r="M17" s="1" t="s">
        <v>717</v>
      </c>
      <c r="N17" s="99">
        <f>N$3*$J17</f>
        <v>1654508.4452682184</v>
      </c>
      <c r="O17" s="99">
        <f>O$3*$J17</f>
        <v>1646775.1789107553</v>
      </c>
      <c r="P17" s="99">
        <f t="shared" si="17"/>
        <v>1639078.0582790673</v>
      </c>
      <c r="Q17" s="99">
        <f t="shared" si="17"/>
        <v>1631416.9144259812</v>
      </c>
      <c r="R17" s="99">
        <f t="shared" si="17"/>
        <v>1623791.5791939923</v>
      </c>
      <c r="S17" s="99">
        <f t="shared" si="17"/>
        <v>1614526.6682923338</v>
      </c>
      <c r="T17" s="99">
        <f t="shared" si="17"/>
        <v>1605567.6200493616</v>
      </c>
      <c r="U17" s="99">
        <f t="shared" si="17"/>
        <v>1596658.2857857221</v>
      </c>
      <c r="V17" s="99">
        <f t="shared" si="17"/>
        <v>1587798.3896373198</v>
      </c>
      <c r="W17" s="99">
        <f t="shared" si="17"/>
        <v>1578987.6572708359</v>
      </c>
      <c r="X17" s="99">
        <f t="shared" si="17"/>
        <v>1570225.8158752336</v>
      </c>
      <c r="Y17" s="99">
        <f t="shared" si="17"/>
        <v>1560019.2740809175</v>
      </c>
      <c r="Z17" s="99">
        <f t="shared" si="17"/>
        <v>1549879.0752892103</v>
      </c>
      <c r="AA17" s="99">
        <f t="shared" si="17"/>
        <v>1539804.7882674686</v>
      </c>
      <c r="AB17" s="99">
        <f t="shared" si="17"/>
        <v>1529795.9845860822</v>
      </c>
      <c r="AC17" s="99">
        <f t="shared" si="17"/>
        <v>1519852.2386002527</v>
      </c>
      <c r="AD17" s="99">
        <f t="shared" si="17"/>
        <v>1508544.8427166422</v>
      </c>
      <c r="AE17" s="99">
        <f t="shared" si="17"/>
        <v>1497321.5715909663</v>
      </c>
      <c r="AF17" s="99">
        <f t="shared" si="17"/>
        <v>1486181.7993518955</v>
      </c>
      <c r="AG17" s="99">
        <f t="shared" si="17"/>
        <v>1475124.9047844571</v>
      </c>
      <c r="AH17" s="99">
        <f t="shared" si="17"/>
        <v>1464150.2712953931</v>
      </c>
      <c r="AI17" s="99">
        <f t="shared" si="17"/>
        <v>1452219.7330449496</v>
      </c>
      <c r="AJ17" s="99">
        <f t="shared" si="17"/>
        <v>1440386.410050164</v>
      </c>
      <c r="AK17" s="99">
        <f t="shared" si="17"/>
        <v>1428649.5101585165</v>
      </c>
      <c r="AL17" s="99">
        <f t="shared" si="17"/>
        <v>1417008.247672294</v>
      </c>
      <c r="AM17" s="99">
        <f t="shared" si="17"/>
        <v>1405461.8432959924</v>
      </c>
      <c r="AN17" s="99">
        <f t="shared" si="17"/>
        <v>1393444.355234148</v>
      </c>
      <c r="AO17" s="99">
        <f t="shared" si="17"/>
        <v>1381529.6234442045</v>
      </c>
      <c r="AP17" s="99">
        <f t="shared" si="17"/>
        <v>1369716.7693023302</v>
      </c>
      <c r="AQ17" s="99">
        <f t="shared" si="17"/>
        <v>1358004.9216974198</v>
      </c>
      <c r="AR17" s="99">
        <f t="shared" si="17"/>
        <v>1346393.2169668579</v>
      </c>
    </row>
    <row r="18" spans="1:44">
      <c r="A18" t="s">
        <v>1079</v>
      </c>
      <c r="B18" s="47">
        <v>37.4</v>
      </c>
      <c r="C18" s="2">
        <f>B18/$B$21</f>
        <v>0.3891779396462019</v>
      </c>
      <c r="E18" t="s">
        <v>1079</v>
      </c>
      <c r="F18" s="47">
        <f>B18-0.9</f>
        <v>36.5</v>
      </c>
      <c r="G18" s="2">
        <f t="shared" si="18"/>
        <v>0.36831483350151362</v>
      </c>
      <c r="H18" s="612"/>
      <c r="I18" s="2">
        <f>C9/SUM(C7:C9)</f>
        <v>0.54473938449248538</v>
      </c>
      <c r="J18" s="2">
        <f>I18-(J17-I17)/2</f>
        <v>0.51125544633549236</v>
      </c>
      <c r="M18" s="1" t="s">
        <v>718</v>
      </c>
      <c r="N18" s="99">
        <f>SUM(N19:N21)</f>
        <v>4036915.0022706161</v>
      </c>
      <c r="O18" s="99">
        <f>SUM(O19:O21)</f>
        <v>4018046.2324772188</v>
      </c>
      <c r="P18" s="99">
        <f t="shared" ref="P18:AR18" si="19">SUM(P19:P21)</f>
        <v>3999265.6563845351</v>
      </c>
      <c r="Q18" s="99">
        <f t="shared" si="19"/>
        <v>3980572.8617702033</v>
      </c>
      <c r="R18" s="99">
        <f t="shared" si="19"/>
        <v>3961967.4383386122</v>
      </c>
      <c r="S18" s="99">
        <f t="shared" si="19"/>
        <v>3939361.53510459</v>
      </c>
      <c r="T18" s="99">
        <f t="shared" si="19"/>
        <v>3917501.9209324433</v>
      </c>
      <c r="U18" s="99">
        <f t="shared" si="19"/>
        <v>3895763.6062976699</v>
      </c>
      <c r="V18" s="99">
        <f t="shared" si="19"/>
        <v>3874145.9181061508</v>
      </c>
      <c r="W18" s="99">
        <f t="shared" si="19"/>
        <v>3852648.1869987794</v>
      </c>
      <c r="X18" s="99">
        <f t="shared" si="19"/>
        <v>3831269.7473307443</v>
      </c>
      <c r="Y18" s="99">
        <f t="shared" si="19"/>
        <v>3806366.313438572</v>
      </c>
      <c r="Z18" s="99">
        <f t="shared" si="19"/>
        <v>3781624.7530401829</v>
      </c>
      <c r="AA18" s="99">
        <f t="shared" si="19"/>
        <v>3757044.0139502375</v>
      </c>
      <c r="AB18" s="99">
        <f t="shared" si="19"/>
        <v>3732623.0508226538</v>
      </c>
      <c r="AC18" s="99">
        <f t="shared" si="19"/>
        <v>3708360.8251061477</v>
      </c>
      <c r="AD18" s="99">
        <f t="shared" si="19"/>
        <v>3680771.364194233</v>
      </c>
      <c r="AE18" s="99">
        <f t="shared" si="19"/>
        <v>3653387.1633390682</v>
      </c>
      <c r="AF18" s="99">
        <f t="shared" si="19"/>
        <v>3626206.6954469918</v>
      </c>
      <c r="AG18" s="99">
        <f t="shared" si="19"/>
        <v>3599228.4447856108</v>
      </c>
      <c r="AH18" s="99">
        <f t="shared" si="19"/>
        <v>3572450.9068992804</v>
      </c>
      <c r="AI18" s="99">
        <f t="shared" si="19"/>
        <v>3543341.0108536477</v>
      </c>
      <c r="AJ18" s="99">
        <f t="shared" si="19"/>
        <v>3514468.3150019082</v>
      </c>
      <c r="AK18" s="99">
        <f t="shared" si="19"/>
        <v>3485830.886532899</v>
      </c>
      <c r="AL18" s="99">
        <f t="shared" si="19"/>
        <v>3457426.8083848525</v>
      </c>
      <c r="AM18" s="99">
        <f t="shared" si="19"/>
        <v>3429254.1791170589</v>
      </c>
      <c r="AN18" s="99">
        <f t="shared" si="19"/>
        <v>3399932.1300303871</v>
      </c>
      <c r="AO18" s="99">
        <f t="shared" si="19"/>
        <v>3370860.8009305494</v>
      </c>
      <c r="AP18" s="99">
        <f t="shared" si="19"/>
        <v>3342038.0480208555</v>
      </c>
      <c r="AQ18" s="99">
        <f t="shared" si="19"/>
        <v>3313461.7458352814</v>
      </c>
      <c r="AR18" s="99">
        <f t="shared" si="19"/>
        <v>3285129.7870817296</v>
      </c>
    </row>
    <row r="19" spans="1:44">
      <c r="A19" t="s">
        <v>1080</v>
      </c>
      <c r="B19" s="47">
        <v>3.6</v>
      </c>
      <c r="C19" s="2">
        <f>B19/$B$21</f>
        <v>3.7460978147762752E-2</v>
      </c>
      <c r="E19" t="s">
        <v>1080</v>
      </c>
      <c r="F19" s="47">
        <f>B19-0.8</f>
        <v>2.8</v>
      </c>
      <c r="G19" s="2">
        <f t="shared" si="18"/>
        <v>2.8254288597376387E-2</v>
      </c>
      <c r="H19" s="612"/>
      <c r="I19" s="6">
        <f>$I$18*C18/SUM($C$18:$C$20)</f>
        <v>0.48974165817353255</v>
      </c>
      <c r="J19" s="6">
        <f>$J$18*G18/SUM($G$18:$G$20)</f>
        <v>0.46535720177669498</v>
      </c>
      <c r="M19" s="1" t="s">
        <v>1079</v>
      </c>
      <c r="N19" s="99">
        <f>N$3*$J19</f>
        <v>3674498.6928398376</v>
      </c>
      <c r="O19" s="99">
        <f t="shared" ref="O19:AR21" si="20">O$3*$J19</f>
        <v>3657323.8774418575</v>
      </c>
      <c r="P19" s="99">
        <f t="shared" si="20"/>
        <v>3640229.3381056241</v>
      </c>
      <c r="Q19" s="99">
        <f t="shared" si="20"/>
        <v>3623214.6996162697</v>
      </c>
      <c r="R19" s="99">
        <f t="shared" si="20"/>
        <v>3606279.5885127019</v>
      </c>
      <c r="S19" s="99">
        <f t="shared" si="20"/>
        <v>3585703.1429256243</v>
      </c>
      <c r="T19" s="99">
        <f t="shared" si="20"/>
        <v>3565805.987881152</v>
      </c>
      <c r="U19" s="99">
        <f t="shared" si="20"/>
        <v>3546019.2426400241</v>
      </c>
      <c r="V19" s="99">
        <f t="shared" si="20"/>
        <v>3526342.2945355237</v>
      </c>
      <c r="W19" s="99">
        <f t="shared" si="20"/>
        <v>3506774.5343006346</v>
      </c>
      <c r="X19" s="99">
        <f t="shared" si="20"/>
        <v>3487315.356049181</v>
      </c>
      <c r="Y19" s="99">
        <f t="shared" si="20"/>
        <v>3464647.6419079271</v>
      </c>
      <c r="Z19" s="99">
        <f t="shared" si="20"/>
        <v>3442127.2689767247</v>
      </c>
      <c r="AA19" s="99">
        <f t="shared" si="20"/>
        <v>3419753.2795307646</v>
      </c>
      <c r="AB19" s="99">
        <f t="shared" si="20"/>
        <v>3397524.7220704956</v>
      </c>
      <c r="AC19" s="99">
        <f t="shared" si="20"/>
        <v>3375440.651281157</v>
      </c>
      <c r="AD19" s="99">
        <f t="shared" si="20"/>
        <v>3350328.0497029801</v>
      </c>
      <c r="AE19" s="99">
        <f t="shared" si="20"/>
        <v>3325402.2808447876</v>
      </c>
      <c r="AF19" s="99">
        <f t="shared" si="20"/>
        <v>3300661.9547086083</v>
      </c>
      <c r="AG19" s="99">
        <f t="shared" si="20"/>
        <v>3276105.6916377754</v>
      </c>
      <c r="AH19" s="99">
        <f t="shared" si="20"/>
        <v>3251732.1222399934</v>
      </c>
      <c r="AI19" s="99">
        <f t="shared" si="20"/>
        <v>3225235.5834453404</v>
      </c>
      <c r="AJ19" s="99">
        <f t="shared" si="20"/>
        <v>3198954.9500640808</v>
      </c>
      <c r="AK19" s="99">
        <f t="shared" si="20"/>
        <v>3172888.4628042597</v>
      </c>
      <c r="AL19" s="99">
        <f t="shared" si="20"/>
        <v>3147034.3767094044</v>
      </c>
      <c r="AM19" s="99">
        <f t="shared" si="20"/>
        <v>3121390.9610417122</v>
      </c>
      <c r="AN19" s="99">
        <f t="shared" si="20"/>
        <v>3094701.315364317</v>
      </c>
      <c r="AO19" s="99">
        <f t="shared" si="20"/>
        <v>3068239.8811462605</v>
      </c>
      <c r="AP19" s="99">
        <f t="shared" si="20"/>
        <v>3042004.7070514024</v>
      </c>
      <c r="AQ19" s="99">
        <f t="shared" si="20"/>
        <v>3015993.8584286226</v>
      </c>
      <c r="AR19" s="99">
        <f t="shared" si="20"/>
        <v>2990205.4171691551</v>
      </c>
    </row>
    <row r="20" spans="1:44">
      <c r="A20" t="s">
        <v>1081</v>
      </c>
      <c r="B20" s="47">
        <v>0.6</v>
      </c>
      <c r="C20" s="22">
        <f>B20/$B$21</f>
        <v>6.2434963579604576E-3</v>
      </c>
      <c r="E20" t="s">
        <v>1081</v>
      </c>
      <c r="F20" s="47">
        <v>0.8</v>
      </c>
      <c r="G20" s="2">
        <f t="shared" si="18"/>
        <v>8.0726538849646822E-3</v>
      </c>
      <c r="H20" s="612"/>
      <c r="I20" s="6">
        <f t="shared" ref="I20:I21" si="21">$I$18*C19/SUM($C$18:$C$20)</f>
        <v>4.7140908273388155E-2</v>
      </c>
      <c r="J20" s="6">
        <f t="shared" ref="J20:J21" si="22">$J$18*G19/SUM($G$18:$G$20)</f>
        <v>3.5698634656842358E-2</v>
      </c>
      <c r="M20" s="1" t="s">
        <v>1080</v>
      </c>
      <c r="N20" s="99">
        <f>N$3*$J20</f>
        <v>281879.35177949443</v>
      </c>
      <c r="O20" s="99">
        <f t="shared" si="20"/>
        <v>280561.8316941699</v>
      </c>
      <c r="P20" s="99">
        <f t="shared" si="20"/>
        <v>279250.46977248625</v>
      </c>
      <c r="Q20" s="99">
        <f t="shared" si="20"/>
        <v>277945.23723083717</v>
      </c>
      <c r="R20" s="99">
        <f t="shared" si="20"/>
        <v>276646.10542015248</v>
      </c>
      <c r="S20" s="99">
        <f t="shared" si="20"/>
        <v>275067.6383614178</v>
      </c>
      <c r="T20" s="99">
        <f t="shared" si="20"/>
        <v>273541.28126211575</v>
      </c>
      <c r="U20" s="99">
        <f t="shared" si="20"/>
        <v>272023.39395594707</v>
      </c>
      <c r="V20" s="99">
        <f t="shared" si="20"/>
        <v>270513.92944382102</v>
      </c>
      <c r="W20" s="99">
        <f t="shared" si="20"/>
        <v>269012.84098744596</v>
      </c>
      <c r="X20" s="99">
        <f t="shared" si="20"/>
        <v>267520.08210788236</v>
      </c>
      <c r="Y20" s="99">
        <f t="shared" si="20"/>
        <v>265781.1889682794</v>
      </c>
      <c r="Z20" s="99">
        <f t="shared" si="20"/>
        <v>264053.59871602274</v>
      </c>
      <c r="AA20" s="99">
        <f t="shared" si="20"/>
        <v>262337.23788181209</v>
      </c>
      <c r="AB20" s="99">
        <f t="shared" si="20"/>
        <v>260632.03347390104</v>
      </c>
      <c r="AC20" s="99">
        <f t="shared" si="20"/>
        <v>258937.91297499288</v>
      </c>
      <c r="AD20" s="99">
        <f t="shared" si="20"/>
        <v>257011.46682653</v>
      </c>
      <c r="AE20" s="99">
        <f t="shared" si="20"/>
        <v>255099.35305110703</v>
      </c>
      <c r="AF20" s="99">
        <f t="shared" si="20"/>
        <v>253201.46501874257</v>
      </c>
      <c r="AG20" s="99">
        <f t="shared" si="20"/>
        <v>251317.69689276087</v>
      </c>
      <c r="AH20" s="99">
        <f t="shared" si="20"/>
        <v>249447.94362388994</v>
      </c>
      <c r="AI20" s="99">
        <f t="shared" si="20"/>
        <v>247415.33242868367</v>
      </c>
      <c r="AJ20" s="99">
        <f t="shared" si="20"/>
        <v>245399.28384053227</v>
      </c>
      <c r="AK20" s="99">
        <f t="shared" si="20"/>
        <v>243399.66290005282</v>
      </c>
      <c r="AL20" s="99">
        <f t="shared" si="20"/>
        <v>241416.33574757076</v>
      </c>
      <c r="AM20" s="99">
        <f t="shared" si="20"/>
        <v>239449.16961415875</v>
      </c>
      <c r="AN20" s="99">
        <f t="shared" si="20"/>
        <v>237401.74474027642</v>
      </c>
      <c r="AO20" s="99">
        <f t="shared" si="20"/>
        <v>235371.82649889123</v>
      </c>
      <c r="AP20" s="99">
        <f t="shared" si="20"/>
        <v>233359.26519846378</v>
      </c>
      <c r="AQ20" s="99">
        <f t="shared" si="20"/>
        <v>231363.9124274012</v>
      </c>
      <c r="AR20" s="99">
        <f t="shared" si="20"/>
        <v>229385.62104311329</v>
      </c>
    </row>
    <row r="21" spans="1:44">
      <c r="B21">
        <f>SUM(B16:B20)</f>
        <v>96.1</v>
      </c>
      <c r="C21" s="6">
        <f>SUM(C16:C20)</f>
        <v>1</v>
      </c>
      <c r="F21">
        <f>SUM(F16:F20)</f>
        <v>99.1</v>
      </c>
      <c r="G21" s="6">
        <f>SUM(G16:G20)</f>
        <v>1</v>
      </c>
      <c r="H21" s="612"/>
      <c r="I21" s="6">
        <f t="shared" si="21"/>
        <v>7.8568180455646907E-3</v>
      </c>
      <c r="J21" s="6">
        <f t="shared" si="22"/>
        <v>1.0199609901954959E-2</v>
      </c>
      <c r="M21" s="1" t="s">
        <v>1081</v>
      </c>
      <c r="N21" s="99">
        <f>N$3*$J21</f>
        <v>80536.957651284116</v>
      </c>
      <c r="O21" s="99">
        <f t="shared" si="20"/>
        <v>80160.523341191409</v>
      </c>
      <c r="P21" s="99">
        <f t="shared" si="20"/>
        <v>79785.848506424634</v>
      </c>
      <c r="Q21" s="99">
        <f t="shared" si="20"/>
        <v>79412.924923096318</v>
      </c>
      <c r="R21" s="99">
        <f t="shared" si="20"/>
        <v>79041.744405757854</v>
      </c>
      <c r="S21" s="99">
        <f t="shared" si="20"/>
        <v>78590.753817547928</v>
      </c>
      <c r="T21" s="99">
        <f t="shared" si="20"/>
        <v>78154.651789175929</v>
      </c>
      <c r="U21" s="99">
        <f t="shared" si="20"/>
        <v>77720.969701699156</v>
      </c>
      <c r="V21" s="99">
        <f t="shared" si="20"/>
        <v>77289.694126806004</v>
      </c>
      <c r="W21" s="99">
        <f t="shared" si="20"/>
        <v>76860.81171069885</v>
      </c>
      <c r="X21" s="99">
        <f t="shared" si="20"/>
        <v>76434.309173680682</v>
      </c>
      <c r="Y21" s="99">
        <f t="shared" si="20"/>
        <v>75937.482562365534</v>
      </c>
      <c r="Z21" s="99">
        <f t="shared" si="20"/>
        <v>75443.885347435062</v>
      </c>
      <c r="AA21" s="99">
        <f t="shared" si="20"/>
        <v>74953.496537660598</v>
      </c>
      <c r="AB21" s="99">
        <f t="shared" si="20"/>
        <v>74466.295278257443</v>
      </c>
      <c r="AC21" s="99">
        <f t="shared" si="20"/>
        <v>73982.260849997969</v>
      </c>
      <c r="AD21" s="99">
        <f t="shared" si="20"/>
        <v>73431.847664722853</v>
      </c>
      <c r="AE21" s="99">
        <f t="shared" si="20"/>
        <v>72885.529443173436</v>
      </c>
      <c r="AF21" s="99">
        <f t="shared" si="20"/>
        <v>72343.275719640733</v>
      </c>
      <c r="AG21" s="99">
        <f t="shared" si="20"/>
        <v>71805.056255074538</v>
      </c>
      <c r="AH21" s="99">
        <f t="shared" si="20"/>
        <v>71270.841035397112</v>
      </c>
      <c r="AI21" s="99">
        <f t="shared" si="20"/>
        <v>70690.0949796239</v>
      </c>
      <c r="AJ21" s="99">
        <f t="shared" si="20"/>
        <v>70114.081097294926</v>
      </c>
      <c r="AK21" s="99">
        <f t="shared" si="20"/>
        <v>69542.760828586514</v>
      </c>
      <c r="AL21" s="99">
        <f t="shared" si="20"/>
        <v>68976.095927877352</v>
      </c>
      <c r="AM21" s="99">
        <f t="shared" si="20"/>
        <v>68414.048461188213</v>
      </c>
      <c r="AN21" s="99">
        <f t="shared" si="20"/>
        <v>67829.069925793257</v>
      </c>
      <c r="AO21" s="99">
        <f t="shared" si="20"/>
        <v>67249.093285397495</v>
      </c>
      <c r="AP21" s="99">
        <f t="shared" si="20"/>
        <v>66674.075770989642</v>
      </c>
      <c r="AQ21" s="99">
        <f t="shared" si="20"/>
        <v>66103.974979257473</v>
      </c>
      <c r="AR21" s="99">
        <f t="shared" si="20"/>
        <v>65538.748869460935</v>
      </c>
    </row>
    <row r="22" spans="1:44">
      <c r="A22" t="s">
        <v>1176</v>
      </c>
      <c r="B22" t="s">
        <v>1175</v>
      </c>
      <c r="I22" t="s">
        <v>1424</v>
      </c>
      <c r="J22" t="s">
        <v>1425</v>
      </c>
      <c r="M22" s="1" t="s">
        <v>78</v>
      </c>
      <c r="N22" s="99">
        <f>SUM(N16:N18)</f>
        <v>7896082.1468130462</v>
      </c>
      <c r="O22" s="99">
        <f t="shared" ref="O22:AR22" si="23">SUM(O16:O18)</f>
        <v>7859175.4107994894</v>
      </c>
      <c r="P22" s="99">
        <f t="shared" si="23"/>
        <v>7822441.1789643141</v>
      </c>
      <c r="Q22" s="99">
        <f t="shared" si="23"/>
        <v>7785878.6450132038</v>
      </c>
      <c r="R22" s="99">
        <f t="shared" si="23"/>
        <v>7749487.0064205024</v>
      </c>
      <c r="S22" s="99">
        <f t="shared" si="23"/>
        <v>7705270.5518163443</v>
      </c>
      <c r="T22" s="99">
        <f t="shared" si="23"/>
        <v>7662513.8157681925</v>
      </c>
      <c r="U22" s="99">
        <f t="shared" si="23"/>
        <v>7619994.3379013333</v>
      </c>
      <c r="V22" s="99">
        <f t="shared" si="23"/>
        <v>7577710.801664276</v>
      </c>
      <c r="W22" s="99">
        <f t="shared" si="23"/>
        <v>7535661.8978111055</v>
      </c>
      <c r="X22" s="99">
        <f t="shared" si="23"/>
        <v>7493846.3243609462</v>
      </c>
      <c r="Y22" s="99">
        <f t="shared" si="23"/>
        <v>7445135.9701326024</v>
      </c>
      <c r="Z22" s="99">
        <f t="shared" si="23"/>
        <v>7396742.23550204</v>
      </c>
      <c r="AA22" s="99">
        <f t="shared" si="23"/>
        <v>7348663.0624269526</v>
      </c>
      <c r="AB22" s="99">
        <f t="shared" si="23"/>
        <v>7300896.4062424079</v>
      </c>
      <c r="AC22" s="99">
        <f t="shared" si="23"/>
        <v>7253440.2355738906</v>
      </c>
      <c r="AD22" s="99">
        <f t="shared" si="23"/>
        <v>7199476.0947326208</v>
      </c>
      <c r="AE22" s="99">
        <f t="shared" si="23"/>
        <v>7145913.4362779371</v>
      </c>
      <c r="AF22" s="99">
        <f t="shared" si="23"/>
        <v>7092749.2732613925</v>
      </c>
      <c r="AG22" s="99">
        <f t="shared" si="23"/>
        <v>7039980.640956833</v>
      </c>
      <c r="AH22" s="99">
        <f t="shared" si="23"/>
        <v>6987604.5966950785</v>
      </c>
      <c r="AI22" s="99">
        <f t="shared" si="23"/>
        <v>6930666.5312831942</v>
      </c>
      <c r="AJ22" s="99">
        <f t="shared" si="23"/>
        <v>6874192.422188241</v>
      </c>
      <c r="AK22" s="99">
        <f t="shared" si="23"/>
        <v>6818178.4888907624</v>
      </c>
      <c r="AL22" s="99">
        <f t="shared" si="23"/>
        <v>6762620.9816766335</v>
      </c>
      <c r="AM22" s="99">
        <f t="shared" si="23"/>
        <v>6707516.1813860442</v>
      </c>
      <c r="AN22" s="99">
        <f t="shared" si="23"/>
        <v>6650163.1511213444</v>
      </c>
      <c r="AO22" s="99">
        <f t="shared" si="23"/>
        <v>6593300.5214746362</v>
      </c>
      <c r="AP22" s="99">
        <f t="shared" si="23"/>
        <v>6536924.0992452297</v>
      </c>
      <c r="AQ22" s="99">
        <f t="shared" si="23"/>
        <v>6481029.7270866539</v>
      </c>
      <c r="AR22" s="99">
        <f t="shared" si="23"/>
        <v>6425613.2832000889</v>
      </c>
    </row>
    <row r="23" spans="1:44">
      <c r="B23" s="47" t="s">
        <v>1177</v>
      </c>
    </row>
    <row r="24" spans="1:44">
      <c r="B24" s="47"/>
    </row>
    <row r="25" spans="1:44">
      <c r="A25" t="s">
        <v>1190</v>
      </c>
      <c r="B25" s="47"/>
    </row>
    <row r="26" spans="1:44">
      <c r="A26" t="s">
        <v>717</v>
      </c>
      <c r="B26" s="47">
        <f>F17-B17</f>
        <v>11.6</v>
      </c>
      <c r="C26" t="s">
        <v>154</v>
      </c>
      <c r="D26" t="s">
        <v>1191</v>
      </c>
    </row>
    <row r="27" spans="1:44">
      <c r="A27" t="s">
        <v>88</v>
      </c>
      <c r="B27" s="47">
        <f>B16-F16</f>
        <v>7.1000000000000014</v>
      </c>
      <c r="D27" t="s">
        <v>1192</v>
      </c>
    </row>
    <row r="28" spans="1:44">
      <c r="A28" t="s">
        <v>718</v>
      </c>
      <c r="B28">
        <f>B26-B27</f>
        <v>4.4999999999999982</v>
      </c>
    </row>
  </sheetData>
  <mergeCells count="2">
    <mergeCell ref="H16:H21"/>
    <mergeCell ref="I15:J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284EF-2F60-4F94-B5D4-569AAF4CF4F0}">
  <sheetPr>
    <tabColor theme="7"/>
  </sheetPr>
  <dimension ref="A1:X17"/>
  <sheetViews>
    <sheetView zoomScale="85" zoomScaleNormal="85" workbookViewId="0">
      <selection activeCell="N3" sqref="N3"/>
    </sheetView>
  </sheetViews>
  <sheetFormatPr defaultRowHeight="14.75"/>
  <cols>
    <col min="1" max="1" width="71.7265625" bestFit="1" customWidth="1"/>
    <col min="3" max="7" width="9.453125" bestFit="1" customWidth="1"/>
    <col min="21" max="21" width="51" customWidth="1"/>
  </cols>
  <sheetData>
    <row r="1" spans="1:24" ht="15.5" thickBot="1">
      <c r="A1" s="1" t="s">
        <v>1419</v>
      </c>
      <c r="B1" s="1"/>
      <c r="C1" s="50"/>
      <c r="D1" s="50"/>
      <c r="E1" s="50"/>
      <c r="F1" s="50">
        <v>2019</v>
      </c>
      <c r="G1" s="50">
        <v>2020</v>
      </c>
      <c r="H1" s="1">
        <v>2025</v>
      </c>
      <c r="I1" s="1">
        <v>2030</v>
      </c>
      <c r="J1" s="1">
        <v>2035</v>
      </c>
      <c r="K1" s="1">
        <v>2040</v>
      </c>
      <c r="L1" s="1">
        <v>2045</v>
      </c>
      <c r="M1" s="1">
        <v>2050</v>
      </c>
      <c r="N1" t="s">
        <v>67</v>
      </c>
      <c r="O1" t="s">
        <v>1005</v>
      </c>
      <c r="V1" t="s">
        <v>1006</v>
      </c>
      <c r="W1" t="s">
        <v>1007</v>
      </c>
      <c r="X1" t="s">
        <v>1008</v>
      </c>
    </row>
    <row r="2" spans="1:24" s="426" customFormat="1" ht="15.5" thickBot="1">
      <c r="A2" s="163" t="s">
        <v>1418</v>
      </c>
      <c r="B2" s="423"/>
      <c r="C2" s="424"/>
      <c r="D2" s="424"/>
      <c r="E2" s="424"/>
      <c r="F2" s="424">
        <f>'Yearly Demand Japan'!N15</f>
        <v>1500000</v>
      </c>
      <c r="G2" s="424">
        <f>'Yearly Demand Japan'!N16</f>
        <v>1472760.9288230378</v>
      </c>
      <c r="H2" s="424">
        <f>'Yearly Demand Japan'!N17</f>
        <v>1435645.4976451383</v>
      </c>
      <c r="I2" s="424">
        <f>'Yearly Demand Japan'!N18</f>
        <v>1395694.8599189271</v>
      </c>
      <c r="J2" s="424">
        <f>'Yearly Demand Japan'!N19</f>
        <v>1349886.3574234769</v>
      </c>
      <c r="K2" s="424">
        <f>'Yearly Demand Japan'!N20</f>
        <v>1299508.7204080198</v>
      </c>
      <c r="L2" s="424">
        <f>'Yearly Demand Japan'!N21</f>
        <v>1246787.9374848672</v>
      </c>
      <c r="M2" s="424">
        <f>'Yearly Demand Japan'!N22</f>
        <v>1194067.1545617145</v>
      </c>
      <c r="N2" s="425">
        <f>(M2/G2)^(1/30)-1</f>
        <v>-6.9680618668425121E-3</v>
      </c>
      <c r="Q2" s="427"/>
      <c r="V2" s="426" t="s">
        <v>1009</v>
      </c>
      <c r="W2" s="428">
        <v>2029.8974358974299</v>
      </c>
      <c r="X2" s="426">
        <v>149</v>
      </c>
    </row>
    <row r="3" spans="1:24">
      <c r="A3" t="s">
        <v>67</v>
      </c>
      <c r="C3" s="113"/>
      <c r="D3" s="113"/>
      <c r="E3" s="113"/>
      <c r="F3" s="113"/>
      <c r="G3" s="113">
        <f t="shared" ref="G3" si="0">(G2/F2)^(1/1)-1</f>
        <v>-1.8159380784641521E-2</v>
      </c>
      <c r="H3" s="113">
        <f t="shared" ref="H3:M3" si="1">(H2/G2)^(1/5)-1</f>
        <v>-5.0918423706168836E-3</v>
      </c>
      <c r="I3" s="113">
        <f t="shared" si="1"/>
        <v>-5.6285348050889583E-3</v>
      </c>
      <c r="J3" s="113">
        <f t="shared" si="1"/>
        <v>-6.6521735798772408E-3</v>
      </c>
      <c r="K3" s="113">
        <f t="shared" si="1"/>
        <v>-7.5779660408817895E-3</v>
      </c>
      <c r="L3" s="113">
        <f t="shared" si="1"/>
        <v>-8.2489276480861573E-3</v>
      </c>
      <c r="M3" s="113">
        <f t="shared" si="1"/>
        <v>-8.6038407487412094E-3</v>
      </c>
      <c r="V3" t="s">
        <v>1010</v>
      </c>
      <c r="W3" s="24">
        <v>2029.8974358974299</v>
      </c>
      <c r="X3">
        <v>164.65898737472301</v>
      </c>
    </row>
    <row r="4" spans="1:24">
      <c r="B4" s="430"/>
      <c r="C4" s="430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spans="1:24">
      <c r="A5" s="431"/>
      <c r="B5" s="431"/>
      <c r="C5" s="431"/>
      <c r="D5" s="431"/>
      <c r="E5" s="431"/>
      <c r="F5" s="431"/>
    </row>
    <row r="7" spans="1:24" ht="13.5" customHeight="1">
      <c r="C7" s="40"/>
      <c r="D7" s="40"/>
      <c r="E7" s="40"/>
      <c r="F7" s="40"/>
      <c r="G7" s="40"/>
    </row>
    <row r="8" spans="1:24">
      <c r="D8" s="2"/>
      <c r="E8" s="2"/>
      <c r="F8" s="2"/>
      <c r="G8" s="2"/>
    </row>
    <row r="9" spans="1:24">
      <c r="B9" s="22"/>
    </row>
    <row r="13" spans="1:24">
      <c r="B13" s="322"/>
    </row>
    <row r="17" spans="3:13">
      <c r="C17" s="40"/>
      <c r="D17" s="40"/>
      <c r="E17" s="40"/>
      <c r="F17" s="40"/>
      <c r="G17" s="24"/>
      <c r="H17" s="24"/>
      <c r="I17" s="24"/>
      <c r="J17" s="24"/>
      <c r="K17" s="24"/>
      <c r="L17" s="24"/>
      <c r="M17" s="24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AP47"/>
  <sheetViews>
    <sheetView workbookViewId="0">
      <selection activeCell="I5" sqref="I5"/>
    </sheetView>
  </sheetViews>
  <sheetFormatPr defaultRowHeight="14.75" outlineLevelCol="1"/>
  <cols>
    <col min="1" max="1" width="19.1796875" bestFit="1" customWidth="1"/>
    <col min="2" max="9" width="11.1796875" customWidth="1"/>
    <col min="10" max="10" width="5" customWidth="1"/>
    <col min="11" max="11" width="17.54296875" customWidth="1"/>
    <col min="12" max="12" width="13.453125" bestFit="1" customWidth="1"/>
    <col min="13" max="21" width="8.81640625" hidden="1" customWidth="1" outlineLevel="1"/>
    <col min="22" max="22" width="13.453125" bestFit="1" customWidth="1" collapsed="1"/>
    <col min="23" max="31" width="8.81640625" hidden="1" customWidth="1" outlineLevel="1"/>
    <col min="32" max="32" width="13.453125" bestFit="1" customWidth="1" collapsed="1"/>
    <col min="33" max="41" width="8.81640625" hidden="1" customWidth="1" outlineLevel="1"/>
    <col min="42" max="42" width="13.453125" bestFit="1" customWidth="1" collapsed="1"/>
  </cols>
  <sheetData>
    <row r="1" spans="1:42" s="62" customFormat="1">
      <c r="A1" s="58"/>
      <c r="K1" s="58" t="s">
        <v>326</v>
      </c>
    </row>
    <row r="2" spans="1:42">
      <c r="B2" s="1">
        <v>2019</v>
      </c>
      <c r="C2" s="1">
        <v>2020</v>
      </c>
      <c r="D2" s="1">
        <v>2025</v>
      </c>
      <c r="E2" s="1">
        <v>2030</v>
      </c>
      <c r="F2" s="1">
        <v>2035</v>
      </c>
      <c r="G2" s="1">
        <v>2040</v>
      </c>
      <c r="H2" s="1">
        <v>2045</v>
      </c>
      <c r="I2" s="1">
        <v>2050</v>
      </c>
      <c r="L2">
        <v>2020</v>
      </c>
      <c r="M2">
        <f>L2+1</f>
        <v>2021</v>
      </c>
      <c r="N2">
        <f t="shared" ref="N2:AP2" si="0">M2+1</f>
        <v>2022</v>
      </c>
      <c r="O2">
        <f t="shared" si="0"/>
        <v>2023</v>
      </c>
      <c r="P2">
        <f t="shared" si="0"/>
        <v>2024</v>
      </c>
      <c r="Q2">
        <f t="shared" si="0"/>
        <v>2025</v>
      </c>
      <c r="R2">
        <f t="shared" si="0"/>
        <v>2026</v>
      </c>
      <c r="S2">
        <f t="shared" si="0"/>
        <v>2027</v>
      </c>
      <c r="T2">
        <f t="shared" si="0"/>
        <v>2028</v>
      </c>
      <c r="U2">
        <f t="shared" si="0"/>
        <v>2029</v>
      </c>
      <c r="V2">
        <f t="shared" si="0"/>
        <v>2030</v>
      </c>
      <c r="W2">
        <f t="shared" si="0"/>
        <v>2031</v>
      </c>
      <c r="X2">
        <f t="shared" si="0"/>
        <v>2032</v>
      </c>
      <c r="Y2">
        <f t="shared" si="0"/>
        <v>2033</v>
      </c>
      <c r="Z2">
        <f>Y2+1</f>
        <v>2034</v>
      </c>
      <c r="AA2">
        <f t="shared" si="0"/>
        <v>2035</v>
      </c>
      <c r="AB2">
        <f t="shared" si="0"/>
        <v>2036</v>
      </c>
      <c r="AC2">
        <f t="shared" si="0"/>
        <v>2037</v>
      </c>
      <c r="AD2">
        <f t="shared" si="0"/>
        <v>2038</v>
      </c>
      <c r="AE2">
        <f t="shared" si="0"/>
        <v>2039</v>
      </c>
      <c r="AF2">
        <f t="shared" si="0"/>
        <v>2040</v>
      </c>
      <c r="AG2">
        <f t="shared" si="0"/>
        <v>2041</v>
      </c>
      <c r="AH2">
        <f t="shared" si="0"/>
        <v>2042</v>
      </c>
      <c r="AI2">
        <f t="shared" si="0"/>
        <v>2043</v>
      </c>
      <c r="AJ2">
        <f t="shared" si="0"/>
        <v>2044</v>
      </c>
      <c r="AK2">
        <f>AJ2+1</f>
        <v>2045</v>
      </c>
      <c r="AL2">
        <f t="shared" si="0"/>
        <v>2046</v>
      </c>
      <c r="AM2">
        <f t="shared" si="0"/>
        <v>2047</v>
      </c>
      <c r="AN2">
        <f t="shared" si="0"/>
        <v>2048</v>
      </c>
      <c r="AO2">
        <f>AN2+1</f>
        <v>2049</v>
      </c>
      <c r="AP2">
        <f t="shared" si="0"/>
        <v>2050</v>
      </c>
    </row>
    <row r="3" spans="1:42">
      <c r="A3" s="1" t="s">
        <v>3</v>
      </c>
      <c r="B3" s="120">
        <f>'Yearly Demand Japan'!B15</f>
        <v>5439844.9167999998</v>
      </c>
      <c r="C3" s="120">
        <f>'Yearly Demand Japan'!B16</f>
        <v>5341060.7015464325</v>
      </c>
      <c r="D3" s="120">
        <f>'Yearly Demand Japan'!B17</f>
        <v>5206459.2417944744</v>
      </c>
      <c r="E3" s="120">
        <f>'Yearly Demand Japan'!B18</f>
        <v>5061575.7260892428</v>
      </c>
      <c r="F3" s="120">
        <f>'Yearly Demand Japan'!B19</f>
        <v>4895448.2931251777</v>
      </c>
      <c r="G3" s="120">
        <f>'Yearly Demand Japan'!B20</f>
        <v>4712750.6046992252</v>
      </c>
      <c r="H3" s="120">
        <f>'Yearly Demand Japan'!B21</f>
        <v>4521555.3493697401</v>
      </c>
      <c r="I3" s="120">
        <f>'Yearly Demand Japan'!B22</f>
        <v>4330360.0940402551</v>
      </c>
      <c r="K3" s="48" t="s">
        <v>3</v>
      </c>
      <c r="L3" s="518">
        <f>C3</f>
        <v>5341060.7015464325</v>
      </c>
      <c r="M3" s="518">
        <f>L3*($Q3/$L3)^(1/5)</f>
        <v>5313864.8623622619</v>
      </c>
      <c r="N3" s="518">
        <f t="shared" ref="N3:P3" si="1">M3*($Q3/$L3)^(1/5)</f>
        <v>5286807.5001043538</v>
      </c>
      <c r="O3" s="518">
        <f t="shared" si="1"/>
        <v>5259887.909670027</v>
      </c>
      <c r="P3" s="518">
        <f t="shared" si="1"/>
        <v>5233105.389546874</v>
      </c>
      <c r="Q3" s="518">
        <f>D3</f>
        <v>5206459.2417944744</v>
      </c>
      <c r="R3" s="518">
        <f>Q3*($V3/$Q3)^(1/5)</f>
        <v>5177154.5047407569</v>
      </c>
      <c r="S3" s="518">
        <f t="shared" ref="S3:T3" si="2">R3*($V3/$Q3)^(1/5)</f>
        <v>5148014.7104195002</v>
      </c>
      <c r="T3" s="518">
        <f t="shared" si="2"/>
        <v>5119038.9304447938</v>
      </c>
      <c r="U3" s="518">
        <f>T3*($V3/$Q3)^(1/5)</f>
        <v>5090226.2416561795</v>
      </c>
      <c r="V3" s="518">
        <f>E3</f>
        <v>5061575.7260892428</v>
      </c>
      <c r="W3" s="518">
        <f>V3*($AA3/$V3)^(1/5)</f>
        <v>5027905.2457716037</v>
      </c>
      <c r="X3" s="518">
        <f t="shared" ref="X3:Z3" si="3">W3*($AA3/$V3)^(1/5)</f>
        <v>4994458.7473335555</v>
      </c>
      <c r="Y3" s="518">
        <f t="shared" si="3"/>
        <v>4961234.7408087561</v>
      </c>
      <c r="Z3" s="518">
        <f t="shared" si="3"/>
        <v>4928231.7461423781</v>
      </c>
      <c r="AA3" s="518">
        <f>F3</f>
        <v>4895448.2931251777</v>
      </c>
      <c r="AB3" s="518">
        <f>AA3*($AF3/$AA3)^(1/5)</f>
        <v>4858350.7522049826</v>
      </c>
      <c r="AC3" s="518">
        <f t="shared" ref="AC3:AE3" si="4">AB3*($AF3/$AA3)^(1/5)</f>
        <v>4821534.335190081</v>
      </c>
      <c r="AD3" s="518">
        <f t="shared" si="4"/>
        <v>4784996.9117330648</v>
      </c>
      <c r="AE3" s="518">
        <f t="shared" si="4"/>
        <v>4748736.3676302275</v>
      </c>
      <c r="AF3" s="518">
        <f>G3</f>
        <v>4712750.6046992252</v>
      </c>
      <c r="AG3" s="518">
        <f>AF3*($AK3/$AF3)^(1/5)</f>
        <v>4673875.4659375874</v>
      </c>
      <c r="AH3" s="518">
        <f t="shared" ref="AH3:AJ3" si="5">AG3*($AK3/$AF3)^(1/5)</f>
        <v>4635321.0053829039</v>
      </c>
      <c r="AI3" s="518">
        <f t="shared" si="5"/>
        <v>4597084.5777838472</v>
      </c>
      <c r="AJ3" s="518">
        <f t="shared" si="5"/>
        <v>4559163.559709576</v>
      </c>
      <c r="AK3" s="518">
        <f>H3</f>
        <v>4521555.3493697401</v>
      </c>
      <c r="AL3" s="518">
        <f>AK3*($AP3/$AK3)^(1/5)</f>
        <v>4482652.6072071437</v>
      </c>
      <c r="AM3" s="518">
        <f t="shared" ref="AM3:AO3" si="6">AL3*($AP3/$AK3)^(1/5)</f>
        <v>4444084.5780428043</v>
      </c>
      <c r="AN3" s="518">
        <f t="shared" si="6"/>
        <v>4405848.3820593869</v>
      </c>
      <c r="AO3" s="518">
        <f t="shared" si="6"/>
        <v>4367941.1642170493</v>
      </c>
      <c r="AP3" s="518">
        <f>I3</f>
        <v>4330360.0940402551</v>
      </c>
    </row>
    <row r="4" spans="1:42">
      <c r="A4" s="1" t="s">
        <v>4</v>
      </c>
      <c r="B4" s="120">
        <f>'Yearly Demand Japan'!D15</f>
        <v>4423472.6499999994</v>
      </c>
      <c r="C4" s="120">
        <f>'Yearly Demand Japan'!D16</f>
        <v>4343145.1257582027</v>
      </c>
      <c r="D4" s="120">
        <f>'Yearly Demand Japan'!D17</f>
        <v>4233692.3959526056</v>
      </c>
      <c r="E4" s="120">
        <f>'Yearly Demand Japan'!D18</f>
        <v>4115878.6937313033</v>
      </c>
      <c r="F4" s="120">
        <f>'Yearly Demand Japan'!D19</f>
        <v>3980790.2551139155</v>
      </c>
      <c r="G4" s="120">
        <f>'Yearly Demand Japan'!D20</f>
        <v>3832227.5221075811</v>
      </c>
      <c r="H4" s="120">
        <f>'Yearly Demand Japan'!D21</f>
        <v>3676754.8945428128</v>
      </c>
      <c r="I4" s="120">
        <f>'Yearly Demand Japan'!D22</f>
        <v>3521282.2669780441</v>
      </c>
      <c r="K4" s="48" t="s">
        <v>4</v>
      </c>
      <c r="L4" s="518">
        <f>C4</f>
        <v>4343145.1257582027</v>
      </c>
      <c r="M4" s="518">
        <f t="shared" ref="M4:P4" si="7">L4*($Q4/$L4)^(1/5)</f>
        <v>4321030.5153851286</v>
      </c>
      <c r="N4" s="518">
        <f t="shared" si="7"/>
        <v>4299028.5091221621</v>
      </c>
      <c r="O4" s="518">
        <f t="shared" si="7"/>
        <v>4277138.5336069241</v>
      </c>
      <c r="P4" s="518">
        <f t="shared" si="7"/>
        <v>4255360.0183965061</v>
      </c>
      <c r="Q4" s="518">
        <f>D4</f>
        <v>4233692.3959526056</v>
      </c>
      <c r="R4" s="518">
        <f t="shared" ref="R4:U4" si="8">Q4*($V4/$Q4)^(1/5)</f>
        <v>4209862.9109479459</v>
      </c>
      <c r="S4" s="518">
        <f t="shared" si="8"/>
        <v>4186167.5510290223</v>
      </c>
      <c r="T4" s="518">
        <f t="shared" si="8"/>
        <v>4162605.5612681215</v>
      </c>
      <c r="U4" s="518">
        <f t="shared" si="8"/>
        <v>4139176.1909866668</v>
      </c>
      <c r="V4" s="518">
        <f>E4</f>
        <v>4115878.6937313033</v>
      </c>
      <c r="W4" s="518">
        <f t="shared" ref="W4:Z4" si="9">V4*($AA4/$V4)^(1/5)</f>
        <v>4088499.1542268842</v>
      </c>
      <c r="X4" s="518">
        <f t="shared" si="9"/>
        <v>4061301.7481717858</v>
      </c>
      <c r="Y4" s="518">
        <f t="shared" si="9"/>
        <v>4034285.2639826881</v>
      </c>
      <c r="Z4" s="518">
        <f t="shared" si="9"/>
        <v>4007448.4981359346</v>
      </c>
      <c r="AA4" s="518">
        <f>F4</f>
        <v>3980790.2551139155</v>
      </c>
      <c r="AB4" s="518">
        <f t="shared" ref="AB4:AE4" si="10">AA4*($AF4/$AA4)^(1/5)</f>
        <v>3950623.961744789</v>
      </c>
      <c r="AC4" s="518">
        <f t="shared" si="10"/>
        <v>3920686.2675223933</v>
      </c>
      <c r="AD4" s="518">
        <f t="shared" si="10"/>
        <v>3890975.4401301569</v>
      </c>
      <c r="AE4" s="518">
        <f t="shared" si="10"/>
        <v>3861489.7603789456</v>
      </c>
      <c r="AF4" s="518">
        <f>G4</f>
        <v>3832227.5221075811</v>
      </c>
      <c r="AG4" s="518">
        <f t="shared" ref="AG4:AJ4" si="11">AF4*($AK4/$AF4)^(1/5)</f>
        <v>3800615.7545467117</v>
      </c>
      <c r="AH4" s="518">
        <f t="shared" si="11"/>
        <v>3769264.75016928</v>
      </c>
      <c r="AI4" s="518">
        <f t="shared" si="11"/>
        <v>3738172.3579586525</v>
      </c>
      <c r="AJ4" s="518">
        <f t="shared" si="11"/>
        <v>3707336.4446417764</v>
      </c>
      <c r="AK4" s="518">
        <f>H4</f>
        <v>3676754.8945428128</v>
      </c>
      <c r="AL4" s="518">
        <f t="shared" ref="AL4:AO4" si="12">AK4*($AP4/$AK4)^(1/5)</f>
        <v>3645120.6809580117</v>
      </c>
      <c r="AM4" s="518">
        <f t="shared" si="12"/>
        <v>3613758.643109106</v>
      </c>
      <c r="AN4" s="518">
        <f t="shared" si="12"/>
        <v>3582666.4392394084</v>
      </c>
      <c r="AO4" s="518">
        <f t="shared" si="12"/>
        <v>3551841.747740333</v>
      </c>
      <c r="AP4" s="518">
        <f>I4</f>
        <v>3521282.2669780441</v>
      </c>
    </row>
    <row r="5" spans="1:42">
      <c r="A5" s="138"/>
    </row>
    <row r="12" spans="1:42">
      <c r="J12" s="26"/>
    </row>
    <row r="13" spans="1:42">
      <c r="J13" s="26"/>
    </row>
    <row r="38" spans="1:8">
      <c r="C38" s="24"/>
      <c r="D38" s="24"/>
      <c r="E38" s="24"/>
      <c r="F38" s="24"/>
      <c r="G38" s="24"/>
      <c r="H38" s="24"/>
    </row>
    <row r="39" spans="1:8">
      <c r="C39" s="24"/>
      <c r="D39" s="24"/>
      <c r="E39" s="24"/>
      <c r="F39" s="24"/>
      <c r="G39" s="24"/>
      <c r="H39" s="24"/>
    </row>
    <row r="40" spans="1:8">
      <c r="C40" s="24"/>
      <c r="D40" s="24"/>
      <c r="E40" s="24"/>
      <c r="F40" s="24"/>
      <c r="G40" s="24"/>
      <c r="H40" s="24"/>
    </row>
    <row r="41" spans="1:8">
      <c r="H41" s="24"/>
    </row>
    <row r="44" spans="1:8">
      <c r="A44" s="1"/>
    </row>
    <row r="45" spans="1:8">
      <c r="C45" s="6"/>
      <c r="D45" s="6"/>
      <c r="E45" s="6"/>
      <c r="F45" s="6"/>
      <c r="G45" s="6"/>
      <c r="H45" s="6"/>
    </row>
    <row r="46" spans="1:8">
      <c r="C46" s="6"/>
      <c r="D46" s="6"/>
      <c r="E46" s="6"/>
      <c r="F46" s="6"/>
      <c r="G46" s="6"/>
      <c r="H46" s="6"/>
    </row>
    <row r="47" spans="1:8">
      <c r="C47" s="6"/>
      <c r="D47" s="6"/>
      <c r="E47" s="6"/>
      <c r="F47" s="6"/>
      <c r="G47" s="6"/>
      <c r="H47" s="6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3:W63"/>
  <sheetViews>
    <sheetView topLeftCell="A22" workbookViewId="0">
      <selection activeCell="B51" sqref="B51"/>
    </sheetView>
  </sheetViews>
  <sheetFormatPr defaultRowHeight="14.75"/>
  <cols>
    <col min="1" max="1" width="23.453125" bestFit="1" customWidth="1"/>
    <col min="2" max="2" width="25.81640625" bestFit="1" customWidth="1"/>
    <col min="3" max="3" width="44.1796875" bestFit="1" customWidth="1"/>
    <col min="4" max="4" width="24.1796875" customWidth="1"/>
    <col min="5" max="5" width="13.81640625" bestFit="1" customWidth="1"/>
    <col min="9" max="9" width="11.453125" customWidth="1"/>
    <col min="10" max="10" width="20.81640625" customWidth="1"/>
    <col min="14" max="14" width="23.453125" bestFit="1" customWidth="1"/>
    <col min="15" max="21" width="24.453125" customWidth="1"/>
    <col min="22" max="22" width="22" customWidth="1"/>
    <col min="23" max="23" width="10.1796875" bestFit="1" customWidth="1"/>
  </cols>
  <sheetData>
    <row r="3" spans="1:23">
      <c r="B3" s="1" t="s">
        <v>81</v>
      </c>
      <c r="C3" t="s">
        <v>82</v>
      </c>
      <c r="D3" s="1" t="s">
        <v>6</v>
      </c>
      <c r="O3" s="10" t="s">
        <v>3</v>
      </c>
      <c r="P3" s="10" t="s">
        <v>3</v>
      </c>
      <c r="Q3" s="9" t="s">
        <v>4</v>
      </c>
      <c r="R3" s="10" t="s">
        <v>3</v>
      </c>
      <c r="S3" s="10" t="s">
        <v>3</v>
      </c>
      <c r="T3" s="10" t="s">
        <v>3</v>
      </c>
      <c r="U3" s="10" t="s">
        <v>3</v>
      </c>
      <c r="V3" s="9" t="s">
        <v>4</v>
      </c>
      <c r="W3" s="9" t="s">
        <v>4</v>
      </c>
    </row>
    <row r="4" spans="1:23">
      <c r="A4" t="s">
        <v>10</v>
      </c>
      <c r="B4" s="2">
        <v>0.67</v>
      </c>
      <c r="D4" t="s">
        <v>83</v>
      </c>
      <c r="O4" t="s">
        <v>8</v>
      </c>
      <c r="P4" t="s">
        <v>9</v>
      </c>
      <c r="Q4" t="s">
        <v>10</v>
      </c>
      <c r="R4" t="s">
        <v>11</v>
      </c>
      <c r="S4" t="s">
        <v>12</v>
      </c>
      <c r="T4" t="s">
        <v>13</v>
      </c>
      <c r="U4" t="s">
        <v>14</v>
      </c>
      <c r="V4" t="s">
        <v>15</v>
      </c>
      <c r="W4" t="s">
        <v>84</v>
      </c>
    </row>
    <row r="5" spans="1:23">
      <c r="A5" t="s">
        <v>85</v>
      </c>
      <c r="B5" s="2">
        <v>0.05</v>
      </c>
      <c r="D5" t="s">
        <v>86</v>
      </c>
      <c r="N5" t="s">
        <v>17</v>
      </c>
      <c r="O5">
        <v>8</v>
      </c>
      <c r="P5">
        <v>6</v>
      </c>
      <c r="Q5">
        <v>7</v>
      </c>
      <c r="R5">
        <v>3.5</v>
      </c>
      <c r="S5">
        <v>2</v>
      </c>
      <c r="T5">
        <v>3</v>
      </c>
      <c r="U5">
        <v>6.5</v>
      </c>
      <c r="V5">
        <v>0.1</v>
      </c>
      <c r="W5" s="2">
        <f>V5/SUM($V$5:$V$11)</f>
        <v>2.9411764705882353E-2</v>
      </c>
    </row>
    <row r="6" spans="1:23">
      <c r="A6" t="s">
        <v>87</v>
      </c>
      <c r="B6" s="2">
        <v>0.06</v>
      </c>
      <c r="N6" t="s">
        <v>19</v>
      </c>
      <c r="O6">
        <v>1.5</v>
      </c>
      <c r="P6">
        <v>3.5</v>
      </c>
      <c r="Q6">
        <v>2.5</v>
      </c>
      <c r="R6">
        <v>1</v>
      </c>
      <c r="S6">
        <v>3.5</v>
      </c>
      <c r="T6">
        <v>6.5</v>
      </c>
      <c r="U6">
        <v>0</v>
      </c>
      <c r="V6">
        <v>0.1</v>
      </c>
      <c r="W6" s="2">
        <f t="shared" ref="W6:W11" si="0">V6/SUM($V$5:$V$11)</f>
        <v>2.9411764705882353E-2</v>
      </c>
    </row>
    <row r="7" spans="1:23">
      <c r="A7" t="s">
        <v>351</v>
      </c>
      <c r="B7" s="2">
        <v>0.04</v>
      </c>
      <c r="C7" t="s">
        <v>89</v>
      </c>
      <c r="N7" t="s">
        <v>21</v>
      </c>
      <c r="O7">
        <v>0.75</v>
      </c>
      <c r="P7">
        <v>1</v>
      </c>
      <c r="Q7">
        <v>3.5</v>
      </c>
      <c r="R7">
        <v>0.5</v>
      </c>
      <c r="S7">
        <v>0</v>
      </c>
      <c r="T7">
        <v>0.75</v>
      </c>
      <c r="U7">
        <v>0</v>
      </c>
      <c r="V7">
        <v>1</v>
      </c>
      <c r="W7" s="2">
        <f t="shared" si="0"/>
        <v>0.29411764705882348</v>
      </c>
    </row>
    <row r="8" spans="1:23">
      <c r="A8" t="s">
        <v>90</v>
      </c>
      <c r="B8" s="2">
        <v>7.0000000000000007E-2</v>
      </c>
      <c r="C8" t="s">
        <v>91</v>
      </c>
      <c r="D8" s="3" t="s">
        <v>92</v>
      </c>
      <c r="E8" t="s">
        <v>93</v>
      </c>
      <c r="N8" t="s">
        <v>41</v>
      </c>
      <c r="O8">
        <v>1</v>
      </c>
      <c r="P8">
        <v>0.5</v>
      </c>
      <c r="Q8">
        <v>1.5</v>
      </c>
      <c r="R8">
        <v>0.5</v>
      </c>
      <c r="S8">
        <v>0</v>
      </c>
      <c r="T8">
        <v>0.25</v>
      </c>
      <c r="U8">
        <v>0</v>
      </c>
      <c r="V8">
        <v>1</v>
      </c>
      <c r="W8" s="2">
        <f t="shared" si="0"/>
        <v>0.29411764705882348</v>
      </c>
    </row>
    <row r="9" spans="1:23">
      <c r="A9" t="s">
        <v>94</v>
      </c>
      <c r="B9" s="2">
        <v>0.03</v>
      </c>
      <c r="C9" t="s">
        <v>95</v>
      </c>
      <c r="N9" t="s">
        <v>1</v>
      </c>
      <c r="O9">
        <v>1.5</v>
      </c>
      <c r="P9">
        <v>0</v>
      </c>
      <c r="Q9">
        <v>1.75</v>
      </c>
      <c r="R9">
        <v>0</v>
      </c>
      <c r="S9">
        <v>0</v>
      </c>
      <c r="T9">
        <v>0.5</v>
      </c>
      <c r="U9">
        <v>0</v>
      </c>
      <c r="V9">
        <v>0</v>
      </c>
      <c r="W9" s="2">
        <f t="shared" si="0"/>
        <v>0</v>
      </c>
    </row>
    <row r="10" spans="1:23">
      <c r="A10" t="s">
        <v>24</v>
      </c>
      <c r="B10" s="2">
        <v>0.08</v>
      </c>
      <c r="N10" t="s">
        <v>26</v>
      </c>
      <c r="O10">
        <v>0.25</v>
      </c>
      <c r="P10">
        <v>1</v>
      </c>
      <c r="Q10">
        <v>2</v>
      </c>
      <c r="R10">
        <v>1</v>
      </c>
      <c r="S10">
        <v>0</v>
      </c>
      <c r="T10">
        <v>1</v>
      </c>
      <c r="U10">
        <v>0</v>
      </c>
      <c r="V10">
        <v>0.2</v>
      </c>
      <c r="W10" s="2">
        <f t="shared" si="0"/>
        <v>5.8823529411764705E-2</v>
      </c>
    </row>
    <row r="11" spans="1:23">
      <c r="N11" t="s">
        <v>27</v>
      </c>
      <c r="O11">
        <v>3.5</v>
      </c>
      <c r="P11">
        <v>2</v>
      </c>
      <c r="Q11">
        <v>3.5</v>
      </c>
      <c r="R11">
        <v>1.5</v>
      </c>
      <c r="S11">
        <v>0</v>
      </c>
      <c r="T11">
        <v>1.5</v>
      </c>
      <c r="U11">
        <v>0</v>
      </c>
      <c r="V11">
        <v>1</v>
      </c>
      <c r="W11" s="2">
        <f t="shared" si="0"/>
        <v>0.29411764705882348</v>
      </c>
    </row>
    <row r="13" spans="1:23">
      <c r="N13" s="1" t="s">
        <v>48</v>
      </c>
      <c r="O13" t="s">
        <v>10</v>
      </c>
      <c r="P13" t="s">
        <v>85</v>
      </c>
      <c r="Q13" t="s">
        <v>87</v>
      </c>
      <c r="R13" t="s">
        <v>88</v>
      </c>
      <c r="S13" t="s">
        <v>90</v>
      </c>
      <c r="T13" t="s">
        <v>94</v>
      </c>
      <c r="U13" t="s">
        <v>24</v>
      </c>
    </row>
    <row r="14" spans="1:23">
      <c r="N14" s="4" t="s">
        <v>17</v>
      </c>
      <c r="O14" s="2">
        <f>Q5/SUM($Q$5:$Q$11)</f>
        <v>0.32183908045977011</v>
      </c>
      <c r="P14" s="6">
        <v>0</v>
      </c>
      <c r="Q14" s="2">
        <f>$B$35*W5</f>
        <v>1.0294117647058823E-2</v>
      </c>
      <c r="R14" s="2">
        <v>0.5</v>
      </c>
      <c r="S14" s="2">
        <v>0</v>
      </c>
      <c r="T14" s="2">
        <v>0</v>
      </c>
      <c r="U14" s="2">
        <v>0</v>
      </c>
    </row>
    <row r="15" spans="1:23">
      <c r="N15" s="4" t="s">
        <v>19</v>
      </c>
      <c r="O15" s="2">
        <f t="shared" ref="O15:O19" si="1">Q6/SUM($Q$5:$Q$11)</f>
        <v>0.11494252873563218</v>
      </c>
      <c r="P15" s="6">
        <v>0</v>
      </c>
      <c r="Q15" s="2">
        <f t="shared" ref="Q15:Q19" si="2">$B$35*W6</f>
        <v>1.0294117647058823E-2</v>
      </c>
      <c r="R15" s="2">
        <v>0</v>
      </c>
      <c r="S15" s="2">
        <v>0</v>
      </c>
      <c r="T15" s="2">
        <v>0</v>
      </c>
      <c r="U15" s="2">
        <v>0</v>
      </c>
    </row>
    <row r="16" spans="1:23">
      <c r="B16" s="1" t="s">
        <v>96</v>
      </c>
      <c r="N16" s="4" t="s">
        <v>21</v>
      </c>
      <c r="O16" s="2">
        <f t="shared" si="1"/>
        <v>0.16091954022988506</v>
      </c>
      <c r="P16" s="6">
        <v>0</v>
      </c>
      <c r="Q16" s="2">
        <f t="shared" si="2"/>
        <v>0.10294117647058822</v>
      </c>
      <c r="R16" s="2">
        <v>0</v>
      </c>
      <c r="S16" s="2">
        <v>0</v>
      </c>
      <c r="T16" s="2">
        <v>0</v>
      </c>
      <c r="U16" s="2">
        <v>0</v>
      </c>
    </row>
    <row r="17" spans="1:22">
      <c r="A17" t="str">
        <f>N5</f>
        <v>Packaging</v>
      </c>
      <c r="B17" s="2">
        <f>Q5/SUM($Q$5:$Q$11)</f>
        <v>0.32183908045977011</v>
      </c>
      <c r="D17" t="s">
        <v>97</v>
      </c>
      <c r="N17" s="4" t="s">
        <v>41</v>
      </c>
      <c r="O17" s="2">
        <f t="shared" si="1"/>
        <v>6.8965517241379309E-2</v>
      </c>
      <c r="P17" s="6">
        <v>0</v>
      </c>
      <c r="Q17" s="2">
        <f t="shared" si="2"/>
        <v>0.10294117647058822</v>
      </c>
      <c r="R17" s="2">
        <v>0</v>
      </c>
      <c r="S17" s="2">
        <v>0</v>
      </c>
      <c r="T17" s="2">
        <v>0</v>
      </c>
      <c r="U17" s="2">
        <v>0</v>
      </c>
    </row>
    <row r="18" spans="1:22">
      <c r="A18" t="str">
        <f t="shared" ref="A18:A23" si="3">N6</f>
        <v>Building &amp; Construction</v>
      </c>
      <c r="B18" s="2">
        <f t="shared" ref="B18:B23" si="4">Q6/SUM($Q$5:$Q$11)</f>
        <v>0.11494252873563218</v>
      </c>
      <c r="N18" s="4" t="s">
        <v>1</v>
      </c>
      <c r="O18" s="2">
        <f>Q9/SUM($Q$5:$Q$11)</f>
        <v>8.0459770114942528E-2</v>
      </c>
      <c r="P18" s="6">
        <v>1</v>
      </c>
      <c r="Q18" s="2">
        <f t="shared" si="2"/>
        <v>0</v>
      </c>
      <c r="R18" s="2">
        <v>0</v>
      </c>
      <c r="S18" s="2">
        <v>0</v>
      </c>
      <c r="T18" s="2">
        <v>0</v>
      </c>
      <c r="U18" s="2">
        <v>0</v>
      </c>
    </row>
    <row r="19" spans="1:22">
      <c r="A19" t="str">
        <f t="shared" si="3"/>
        <v>Automotive</v>
      </c>
      <c r="B19" s="2">
        <f t="shared" si="4"/>
        <v>0.16091954022988506</v>
      </c>
      <c r="N19" s="4" t="s">
        <v>26</v>
      </c>
      <c r="O19" s="2">
        <f t="shared" si="1"/>
        <v>9.1954022988505746E-2</v>
      </c>
      <c r="P19" s="6">
        <v>0</v>
      </c>
      <c r="Q19" s="2">
        <f t="shared" si="2"/>
        <v>2.0588235294117647E-2</v>
      </c>
      <c r="R19" s="2">
        <v>0</v>
      </c>
      <c r="S19" s="2">
        <v>1</v>
      </c>
      <c r="T19" s="2">
        <v>1</v>
      </c>
      <c r="U19" s="2">
        <v>0</v>
      </c>
    </row>
    <row r="20" spans="1:22">
      <c r="A20" t="str">
        <f t="shared" si="3"/>
        <v>Electricl &amp; Electronics</v>
      </c>
      <c r="B20" s="2">
        <f t="shared" si="4"/>
        <v>6.8965517241379309E-2</v>
      </c>
      <c r="N20" s="4" t="s">
        <v>53</v>
      </c>
      <c r="O20" s="6">
        <v>0</v>
      </c>
      <c r="P20" s="6">
        <v>0</v>
      </c>
      <c r="Q20" s="6">
        <f>B34</f>
        <v>0.3</v>
      </c>
      <c r="R20" s="2">
        <v>0</v>
      </c>
      <c r="S20" s="2">
        <v>0</v>
      </c>
      <c r="T20" s="2">
        <v>0</v>
      </c>
      <c r="U20" s="2">
        <v>0</v>
      </c>
    </row>
    <row r="21" spans="1:22">
      <c r="A21" t="str">
        <f t="shared" si="3"/>
        <v>Agriculture</v>
      </c>
      <c r="B21" s="2">
        <f t="shared" si="4"/>
        <v>8.0459770114942528E-2</v>
      </c>
      <c r="N21" s="4" t="s">
        <v>27</v>
      </c>
      <c r="O21" s="2">
        <f>Q11/SUM($Q$5:$Q$11)</f>
        <v>0.16091954022988506</v>
      </c>
      <c r="P21" s="6">
        <v>0</v>
      </c>
      <c r="Q21" s="2">
        <f>($B$35*W11)+B36+B37</f>
        <v>0.45294117647058824</v>
      </c>
      <c r="R21" s="2">
        <v>0.5</v>
      </c>
      <c r="S21" s="2">
        <v>0</v>
      </c>
      <c r="T21" s="2">
        <v>0</v>
      </c>
      <c r="U21" s="2">
        <v>1</v>
      </c>
    </row>
    <row r="22" spans="1:22">
      <c r="A22" t="str">
        <f t="shared" si="3"/>
        <v>Household, leisure &amp; sports</v>
      </c>
      <c r="B22" s="2">
        <f t="shared" si="4"/>
        <v>9.1954022988505746E-2</v>
      </c>
    </row>
    <row r="23" spans="1:22">
      <c r="A23" t="str">
        <f t="shared" si="3"/>
        <v>Others</v>
      </c>
      <c r="B23" s="2">
        <f t="shared" si="4"/>
        <v>0.16091954022988506</v>
      </c>
    </row>
    <row r="24" spans="1:22">
      <c r="B24" s="2"/>
      <c r="N24" s="4" t="s">
        <v>98</v>
      </c>
      <c r="O24" t="str">
        <f>O13</f>
        <v>Polypropylene</v>
      </c>
      <c r="P24" t="str">
        <f t="shared" ref="P24:U24" si="5">P13</f>
        <v>Propenic Acid</v>
      </c>
      <c r="Q24" t="str">
        <f t="shared" si="5"/>
        <v>Propenonitrile</v>
      </c>
      <c r="R24" t="str">
        <f t="shared" si="5"/>
        <v>Benzene</v>
      </c>
      <c r="S24" t="str">
        <f t="shared" si="5"/>
        <v>Epoxypropane</v>
      </c>
      <c r="T24" t="str">
        <f t="shared" si="5"/>
        <v>Butanol</v>
      </c>
      <c r="U24" t="str">
        <f t="shared" si="5"/>
        <v>Other</v>
      </c>
      <c r="V24" s="1" t="s">
        <v>43</v>
      </c>
    </row>
    <row r="25" spans="1:22">
      <c r="N25" t="str">
        <f>N14</f>
        <v>Packaging</v>
      </c>
      <c r="O25" s="2">
        <f>O14*$B$4</f>
        <v>0.21563218390804598</v>
      </c>
      <c r="P25" s="6">
        <f>P14*$B$5</f>
        <v>0</v>
      </c>
      <c r="Q25" s="6">
        <f>Q14*$B$6</f>
        <v>6.1764705882352941E-4</v>
      </c>
      <c r="R25" s="6">
        <f>$B$7*R14</f>
        <v>0.02</v>
      </c>
      <c r="S25" s="6">
        <f>S14*$B$8</f>
        <v>0</v>
      </c>
      <c r="T25" s="6">
        <f>T14*$B$9</f>
        <v>0</v>
      </c>
      <c r="U25" s="6">
        <f>U14*$B$10</f>
        <v>0</v>
      </c>
      <c r="V25" s="6">
        <f>SUM(O25:U25)</f>
        <v>0.2362498309668695</v>
      </c>
    </row>
    <row r="26" spans="1:22">
      <c r="B26" s="1" t="s">
        <v>99</v>
      </c>
      <c r="N26" t="str">
        <f t="shared" ref="N26:N31" si="6">N15</f>
        <v>Building &amp; Construction</v>
      </c>
      <c r="O26" s="2">
        <f t="shared" ref="O26:O32" si="7">O15*$B$4</f>
        <v>7.7011494252873569E-2</v>
      </c>
      <c r="P26" s="6">
        <f t="shared" ref="P26:P32" si="8">P15*$B$5</f>
        <v>0</v>
      </c>
      <c r="Q26" s="6">
        <f t="shared" ref="Q26:Q32" si="9">Q15*$B$6</f>
        <v>6.1764705882352941E-4</v>
      </c>
      <c r="R26" s="6">
        <f t="shared" ref="R26:R32" si="10">$B$7*R15</f>
        <v>0</v>
      </c>
      <c r="S26" s="6">
        <f t="shared" ref="S26:S32" si="11">S15*$B$8</f>
        <v>0</v>
      </c>
      <c r="T26" s="6">
        <f t="shared" ref="T26:T32" si="12">T15*$B$9</f>
        <v>0</v>
      </c>
      <c r="U26" s="6">
        <f t="shared" ref="U26:U32" si="13">U15*$B$10</f>
        <v>0</v>
      </c>
      <c r="V26" s="6">
        <f t="shared" ref="V26:V32" si="14">SUM(O26:U26)</f>
        <v>7.7629141311697097E-2</v>
      </c>
    </row>
    <row r="27" spans="1:22">
      <c r="A27" t="s">
        <v>100</v>
      </c>
      <c r="B27" s="6">
        <v>0.5</v>
      </c>
      <c r="D27" t="s">
        <v>101</v>
      </c>
      <c r="N27" t="str">
        <f t="shared" si="6"/>
        <v>Automotive</v>
      </c>
      <c r="O27" s="2">
        <f t="shared" si="7"/>
        <v>0.10781609195402299</v>
      </c>
      <c r="P27" s="6">
        <f t="shared" si="8"/>
        <v>0</v>
      </c>
      <c r="Q27" s="6">
        <f t="shared" si="9"/>
        <v>6.1764705882352928E-3</v>
      </c>
      <c r="R27" s="6">
        <f t="shared" si="10"/>
        <v>0</v>
      </c>
      <c r="S27" s="6">
        <f t="shared" si="11"/>
        <v>0</v>
      </c>
      <c r="T27" s="6">
        <f t="shared" si="12"/>
        <v>0</v>
      </c>
      <c r="U27" s="6">
        <f t="shared" si="13"/>
        <v>0</v>
      </c>
      <c r="V27" s="6">
        <f t="shared" si="14"/>
        <v>0.11399256254225829</v>
      </c>
    </row>
    <row r="28" spans="1:22">
      <c r="A28" t="s">
        <v>102</v>
      </c>
      <c r="B28" s="6">
        <v>0.35</v>
      </c>
      <c r="N28" t="str">
        <f t="shared" si="6"/>
        <v>Electricl &amp; Electronics</v>
      </c>
      <c r="O28" s="2">
        <f t="shared" si="7"/>
        <v>4.6206896551724143E-2</v>
      </c>
      <c r="P28" s="6">
        <f t="shared" si="8"/>
        <v>0</v>
      </c>
      <c r="Q28" s="6">
        <f t="shared" si="9"/>
        <v>6.1764705882352928E-3</v>
      </c>
      <c r="R28" s="6">
        <f t="shared" si="10"/>
        <v>0</v>
      </c>
      <c r="S28" s="6">
        <f t="shared" si="11"/>
        <v>0</v>
      </c>
      <c r="T28" s="6">
        <f t="shared" si="12"/>
        <v>0</v>
      </c>
      <c r="U28" s="6">
        <f t="shared" si="13"/>
        <v>0</v>
      </c>
      <c r="V28" s="6">
        <f t="shared" si="14"/>
        <v>5.2383367139959433E-2</v>
      </c>
    </row>
    <row r="29" spans="1:22">
      <c r="A29" t="s">
        <v>103</v>
      </c>
      <c r="B29" s="6">
        <v>0.1</v>
      </c>
      <c r="N29" t="str">
        <f t="shared" si="6"/>
        <v>Agriculture</v>
      </c>
      <c r="O29" s="2">
        <f t="shared" si="7"/>
        <v>5.3908045977011494E-2</v>
      </c>
      <c r="P29" s="6">
        <f t="shared" si="8"/>
        <v>0.05</v>
      </c>
      <c r="Q29" s="6">
        <f t="shared" si="9"/>
        <v>0</v>
      </c>
      <c r="R29" s="6">
        <f t="shared" si="10"/>
        <v>0</v>
      </c>
      <c r="S29" s="6">
        <f t="shared" si="11"/>
        <v>0</v>
      </c>
      <c r="T29" s="6">
        <f t="shared" si="12"/>
        <v>0</v>
      </c>
      <c r="U29" s="6">
        <f t="shared" si="13"/>
        <v>0</v>
      </c>
      <c r="V29" s="6">
        <f t="shared" si="14"/>
        <v>0.1039080459770115</v>
      </c>
    </row>
    <row r="30" spans="1:22">
      <c r="A30" t="s">
        <v>24</v>
      </c>
      <c r="B30" s="6">
        <v>0.05</v>
      </c>
      <c r="N30" t="str">
        <f t="shared" si="6"/>
        <v>Household, leisure &amp; sports</v>
      </c>
      <c r="O30" s="2">
        <f t="shared" si="7"/>
        <v>6.1609195402298852E-2</v>
      </c>
      <c r="P30" s="6">
        <f t="shared" si="8"/>
        <v>0</v>
      </c>
      <c r="Q30" s="6">
        <f t="shared" si="9"/>
        <v>1.2352941176470588E-3</v>
      </c>
      <c r="R30" s="6">
        <f t="shared" si="10"/>
        <v>0</v>
      </c>
      <c r="S30" s="6">
        <f t="shared" si="11"/>
        <v>7.0000000000000007E-2</v>
      </c>
      <c r="T30" s="6">
        <f t="shared" si="12"/>
        <v>0.03</v>
      </c>
      <c r="U30" s="6">
        <f t="shared" si="13"/>
        <v>0</v>
      </c>
      <c r="V30" s="6">
        <f t="shared" si="14"/>
        <v>0.16284448951994593</v>
      </c>
    </row>
    <row r="31" spans="1:22">
      <c r="N31" t="str">
        <f t="shared" si="6"/>
        <v>Textiles</v>
      </c>
      <c r="O31" s="2">
        <f t="shared" si="7"/>
        <v>0</v>
      </c>
      <c r="P31" s="6">
        <f t="shared" si="8"/>
        <v>0</v>
      </c>
      <c r="Q31" s="6">
        <f t="shared" si="9"/>
        <v>1.7999999999999999E-2</v>
      </c>
      <c r="R31" s="6">
        <f t="shared" si="10"/>
        <v>0</v>
      </c>
      <c r="S31" s="6">
        <f t="shared" si="11"/>
        <v>0</v>
      </c>
      <c r="T31" s="6">
        <f t="shared" si="12"/>
        <v>0</v>
      </c>
      <c r="U31" s="6">
        <f t="shared" si="13"/>
        <v>0</v>
      </c>
      <c r="V31" s="6">
        <f t="shared" si="14"/>
        <v>1.7999999999999999E-2</v>
      </c>
    </row>
    <row r="32" spans="1:22">
      <c r="N32" t="str">
        <f>N21</f>
        <v>Others</v>
      </c>
      <c r="O32" s="2">
        <f t="shared" si="7"/>
        <v>0.10781609195402299</v>
      </c>
      <c r="P32" s="6">
        <f t="shared" si="8"/>
        <v>0</v>
      </c>
      <c r="Q32" s="6">
        <f t="shared" si="9"/>
        <v>2.7176470588235292E-2</v>
      </c>
      <c r="R32" s="6">
        <f t="shared" si="10"/>
        <v>0.02</v>
      </c>
      <c r="S32" s="6">
        <f t="shared" si="11"/>
        <v>0</v>
      </c>
      <c r="T32" s="6">
        <f t="shared" si="12"/>
        <v>0</v>
      </c>
      <c r="U32" s="6">
        <f t="shared" si="13"/>
        <v>0.08</v>
      </c>
      <c r="V32" s="6">
        <f t="shared" si="14"/>
        <v>0.23499256254225825</v>
      </c>
    </row>
    <row r="33" spans="1:12">
      <c r="B33" s="1" t="s">
        <v>104</v>
      </c>
      <c r="C33" t="s">
        <v>82</v>
      </c>
      <c r="D33" t="s">
        <v>105</v>
      </c>
    </row>
    <row r="34" spans="1:12">
      <c r="A34" t="s">
        <v>106</v>
      </c>
      <c r="B34" s="6">
        <v>0.3</v>
      </c>
      <c r="C34" t="s">
        <v>107</v>
      </c>
    </row>
    <row r="35" spans="1:12">
      <c r="A35" t="s">
        <v>108</v>
      </c>
      <c r="B35" s="6">
        <v>0.35</v>
      </c>
      <c r="C35" t="s">
        <v>109</v>
      </c>
    </row>
    <row r="36" spans="1:12">
      <c r="A36" t="s">
        <v>110</v>
      </c>
      <c r="B36" s="6">
        <v>0.15</v>
      </c>
      <c r="C36" t="s">
        <v>111</v>
      </c>
    </row>
    <row r="37" spans="1:12">
      <c r="A37" t="s">
        <v>24</v>
      </c>
      <c r="B37" s="6">
        <v>0.2</v>
      </c>
    </row>
    <row r="41" spans="1:12">
      <c r="L41" s="4"/>
    </row>
    <row r="43" spans="1:12">
      <c r="A43" s="11"/>
      <c r="B43" s="12" t="s">
        <v>112</v>
      </c>
      <c r="C43" s="33" t="s">
        <v>79</v>
      </c>
      <c r="D43" s="33" t="s">
        <v>67</v>
      </c>
      <c r="E43" s="33" t="s">
        <v>80</v>
      </c>
      <c r="H43" s="33" t="s">
        <v>79</v>
      </c>
      <c r="I43" s="33" t="s">
        <v>67</v>
      </c>
      <c r="J43" s="33" t="s">
        <v>80</v>
      </c>
    </row>
    <row r="44" spans="1:12">
      <c r="A44" s="15" t="str">
        <f>N25</f>
        <v>Packaging</v>
      </c>
      <c r="B44" s="14">
        <f>V25</f>
        <v>0.2362498309668695</v>
      </c>
      <c r="C44" s="34">
        <f>B44*$C$52</f>
        <v>1026067.3018249585</v>
      </c>
      <c r="D44" s="36">
        <f>'Demand - Ethylene'!L63</f>
        <v>-6.9680618668425121E-3</v>
      </c>
      <c r="E44" s="34">
        <f>C44*(1+D44)^30</f>
        <v>831902.34036019992</v>
      </c>
      <c r="F44" s="2">
        <f>E44/$E$52</f>
        <v>0.23624983096687005</v>
      </c>
      <c r="H44" s="34">
        <f>C44</f>
        <v>1026067.3018249585</v>
      </c>
      <c r="I44" s="36">
        <v>2.6700000000000002E-2</v>
      </c>
      <c r="J44" s="34">
        <f>H44*(1+I44)^30</f>
        <v>2261948.4788032603</v>
      </c>
    </row>
    <row r="45" spans="1:12">
      <c r="A45" s="15" t="str">
        <f t="shared" ref="A45:A51" si="15">N26</f>
        <v>Building &amp; Construction</v>
      </c>
      <c r="B45" s="14">
        <f t="shared" ref="B45:B51" si="16">V26</f>
        <v>7.7629141311697097E-2</v>
      </c>
      <c r="C45" s="34">
        <f t="shared" ref="C45:C51" si="17">B45*$C$52</f>
        <v>337154.62670469197</v>
      </c>
      <c r="D45" s="36">
        <f>'Demand - Ethylene'!L64</f>
        <v>-6.9680618668425121E-3</v>
      </c>
      <c r="E45" s="34">
        <f t="shared" ref="E45:E46" si="18">C45*(1+D45)^30</f>
        <v>273354.11870161234</v>
      </c>
      <c r="F45" s="2">
        <f t="shared" ref="F45:F51" si="19">E45/$E$52</f>
        <v>7.7629141311697278E-2</v>
      </c>
      <c r="H45" s="34">
        <f t="shared" ref="H45:H51" si="20">C45</f>
        <v>337154.62670469197</v>
      </c>
      <c r="I45" s="36">
        <f>D45</f>
        <v>-6.9680618668425121E-3</v>
      </c>
      <c r="J45" s="34">
        <f t="shared" ref="J45:J51" si="21">H45*(1+I45)^30</f>
        <v>273354.11870161234</v>
      </c>
    </row>
    <row r="46" spans="1:12">
      <c r="A46" s="15" t="str">
        <f t="shared" si="15"/>
        <v>Automotive</v>
      </c>
      <c r="B46" s="14">
        <f>V27</f>
        <v>0.11399256254225829</v>
      </c>
      <c r="C46" s="34">
        <f t="shared" si="17"/>
        <v>495086.24237809615</v>
      </c>
      <c r="D46" s="36">
        <f>'Demand - Ethylene'!L65</f>
        <v>-6.9680618668425121E-3</v>
      </c>
      <c r="E46" s="34">
        <f t="shared" si="18"/>
        <v>401399.9890474407</v>
      </c>
      <c r="F46" s="2">
        <f t="shared" si="19"/>
        <v>0.11399256254225856</v>
      </c>
      <c r="H46" s="34">
        <f t="shared" si="20"/>
        <v>495086.24237809615</v>
      </c>
      <c r="I46" s="36">
        <v>3.5000000000000003E-2</v>
      </c>
      <c r="J46" s="34">
        <f t="shared" si="21"/>
        <v>1389604.9483917193</v>
      </c>
    </row>
    <row r="47" spans="1:12">
      <c r="A47" s="15" t="str">
        <f t="shared" si="15"/>
        <v>Electricl &amp; Electronics</v>
      </c>
      <c r="B47" s="14">
        <f t="shared" si="16"/>
        <v>5.2383367139959433E-2</v>
      </c>
      <c r="C47" s="34">
        <f t="shared" si="17"/>
        <v>227508.56566471723</v>
      </c>
      <c r="D47" s="36">
        <f>(E47/C47)^(1/30)-1</f>
        <v>-6.9680618668427341E-3</v>
      </c>
      <c r="E47" s="34">
        <f>($E$52-$E$44-$E$45-$E$46-$E$49)*(C47/SUM($C$47:$C$48,$C$50:$C$51))</f>
        <v>184456.62179453889</v>
      </c>
      <c r="F47" s="2">
        <f t="shared" si="19"/>
        <v>5.2383367139959253E-2</v>
      </c>
      <c r="H47" s="34">
        <f t="shared" si="20"/>
        <v>227508.56566471723</v>
      </c>
      <c r="I47" s="36">
        <f>$D$52</f>
        <v>-6.9680618668426231E-3</v>
      </c>
      <c r="J47" s="34">
        <f t="shared" si="21"/>
        <v>184456.62179453933</v>
      </c>
    </row>
    <row r="48" spans="1:12">
      <c r="A48" s="15" t="str">
        <f t="shared" si="15"/>
        <v>Agriculture</v>
      </c>
      <c r="B48" s="14">
        <f t="shared" si="16"/>
        <v>0.1039080459770115</v>
      </c>
      <c r="C48" s="34">
        <f t="shared" si="17"/>
        <v>451287.72341211676</v>
      </c>
      <c r="D48" s="36">
        <f>(E48/C48)^(1/30)-1</f>
        <v>-6.9680618668427341E-3</v>
      </c>
      <c r="E48" s="34">
        <f>($E$52-$E$44-$E$45-$E$46-$E$49)*(C48/SUM($C$47:$C$48,$C$50:$C$51))</f>
        <v>365889.55969518854</v>
      </c>
      <c r="F48" s="2">
        <f t="shared" si="19"/>
        <v>0.10390804597701112</v>
      </c>
      <c r="H48" s="34">
        <f t="shared" si="20"/>
        <v>451287.72341211676</v>
      </c>
      <c r="I48" s="36">
        <f t="shared" ref="I48:I51" si="22">$D$52</f>
        <v>-6.9680618668426231E-3</v>
      </c>
      <c r="J48" s="34">
        <f t="shared" si="21"/>
        <v>365889.55969518947</v>
      </c>
    </row>
    <row r="49" spans="1:16">
      <c r="A49" s="15" t="str">
        <f t="shared" si="15"/>
        <v>Household, leisure &amp; sports</v>
      </c>
      <c r="B49" s="14">
        <f t="shared" si="16"/>
        <v>0.16284448951994593</v>
      </c>
      <c r="C49" s="34">
        <f t="shared" si="17"/>
        <v>707257.25091513584</v>
      </c>
      <c r="D49" s="36">
        <f>D44</f>
        <v>-6.9680618668425121E-3</v>
      </c>
      <c r="E49" s="34">
        <f t="shared" ref="E49" si="23">C49*(1+D49)^30</f>
        <v>573421.41322167893</v>
      </c>
      <c r="F49" s="2">
        <f t="shared" si="19"/>
        <v>0.16284448951994632</v>
      </c>
      <c r="H49" s="34">
        <f t="shared" si="20"/>
        <v>707257.25091513584</v>
      </c>
      <c r="I49" s="36">
        <f t="shared" si="22"/>
        <v>-6.9680618668426231E-3</v>
      </c>
      <c r="J49" s="34">
        <f t="shared" si="21"/>
        <v>573421.41322167683</v>
      </c>
    </row>
    <row r="50" spans="1:16">
      <c r="A50" s="15" t="str">
        <f t="shared" si="15"/>
        <v>Textiles</v>
      </c>
      <c r="B50" s="14">
        <f>V31</f>
        <v>1.7999999999999999E-2</v>
      </c>
      <c r="C50" s="34">
        <f t="shared" si="17"/>
        <v>78176.61226364765</v>
      </c>
      <c r="D50" s="36">
        <f t="shared" ref="D50:D51" si="24">(E50/C50)^(1/30)-1</f>
        <v>-6.9680618668427341E-3</v>
      </c>
      <c r="E50" s="34">
        <f>($E$52-$E$44-$E$45-$E$46-$E$49)*(C50/SUM($C$47:$C$48,$C$50:$C$51))</f>
        <v>63383.080805604564</v>
      </c>
      <c r="F50" s="2">
        <f t="shared" si="19"/>
        <v>1.7999999999999936E-2</v>
      </c>
      <c r="H50" s="34">
        <f t="shared" si="20"/>
        <v>78176.61226364765</v>
      </c>
      <c r="I50" s="36">
        <f t="shared" si="22"/>
        <v>-6.9680618668426231E-3</v>
      </c>
      <c r="J50" s="34">
        <f t="shared" si="21"/>
        <v>63383.080805604724</v>
      </c>
    </row>
    <row r="51" spans="1:16">
      <c r="A51" s="18" t="str">
        <f t="shared" si="15"/>
        <v>Others</v>
      </c>
      <c r="B51" s="17">
        <f t="shared" si="16"/>
        <v>0.23499256254225825</v>
      </c>
      <c r="C51" s="34">
        <f t="shared" si="17"/>
        <v>1020606.8025948385</v>
      </c>
      <c r="D51" s="36">
        <f t="shared" si="24"/>
        <v>-6.9680618668427341E-3</v>
      </c>
      <c r="E51" s="34">
        <f>($E$52-$E$44-$E$45-$E$46-$E$49)*(C51/SUM($C$47:$C$48,$C$50:$C$51))</f>
        <v>827475.1433517799</v>
      </c>
      <c r="F51" s="2">
        <f t="shared" si="19"/>
        <v>0.23499256254225739</v>
      </c>
      <c r="H51" s="34">
        <f t="shared" si="20"/>
        <v>1020606.8025948385</v>
      </c>
      <c r="I51" s="36">
        <f t="shared" si="22"/>
        <v>-6.9680618668426231E-3</v>
      </c>
      <c r="J51" s="34">
        <f t="shared" si="21"/>
        <v>827475.143351782</v>
      </c>
    </row>
    <row r="52" spans="1:16">
      <c r="C52" s="35">
        <f>'Yearly Demand - Eth-Prop'!C4</f>
        <v>4343145.1257582027</v>
      </c>
      <c r="D52" s="38">
        <f>(E52/C52)^(1/30)-1</f>
        <v>-6.9680618668426231E-3</v>
      </c>
      <c r="E52" s="35">
        <f>'Yearly Demand - Eth-Prop'!I4</f>
        <v>3521282.2669780441</v>
      </c>
      <c r="H52" s="35">
        <f>SUM(H44:H51)</f>
        <v>4343145.1257582027</v>
      </c>
      <c r="I52" s="38">
        <f>(J52/H52)^(1/30)-1</f>
        <v>1.0489021560252665E-2</v>
      </c>
      <c r="J52" s="35">
        <f>SUM(J44:J51)</f>
        <v>5939533.3647653842</v>
      </c>
    </row>
    <row r="54" spans="1:16" s="19" customFormat="1" ht="33.65" customHeight="1">
      <c r="A54" s="19" t="s">
        <v>57</v>
      </c>
    </row>
    <row r="57" spans="1:16">
      <c r="B57" s="1" t="s">
        <v>113</v>
      </c>
      <c r="C57" s="1" t="s">
        <v>58</v>
      </c>
      <c r="D57" s="1" t="s">
        <v>59</v>
      </c>
      <c r="E57" s="1" t="s">
        <v>60</v>
      </c>
      <c r="F57" s="1" t="s">
        <v>2</v>
      </c>
      <c r="G57" s="1"/>
      <c r="H57" s="1"/>
    </row>
    <row r="58" spans="1:16">
      <c r="A58" t="s">
        <v>61</v>
      </c>
      <c r="B58" s="6">
        <f>D58*C58</f>
        <v>-7.0874949290060843E-2</v>
      </c>
      <c r="C58" s="6">
        <f>B44</f>
        <v>0.2362498309668695</v>
      </c>
      <c r="D58" s="6">
        <v>-0.3</v>
      </c>
      <c r="E58" t="s">
        <v>62</v>
      </c>
    </row>
    <row r="59" spans="1:16">
      <c r="A59" t="s">
        <v>63</v>
      </c>
      <c r="B59" s="6">
        <f t="shared" ref="B59:B63" si="25">D59*C59</f>
        <v>-4.0162471264367818E-2</v>
      </c>
      <c r="C59" s="6">
        <f>B44</f>
        <v>0.2362498309668695</v>
      </c>
      <c r="D59" s="6">
        <v>-0.17</v>
      </c>
      <c r="E59" t="s">
        <v>62</v>
      </c>
    </row>
    <row r="60" spans="1:16">
      <c r="A60" t="s">
        <v>114</v>
      </c>
      <c r="B60" s="6">
        <f t="shared" si="25"/>
        <v>0</v>
      </c>
      <c r="C60" s="6">
        <f>B46</f>
        <v>0.11399256254225829</v>
      </c>
      <c r="D60" s="6">
        <v>0</v>
      </c>
      <c r="E60" t="s">
        <v>115</v>
      </c>
      <c r="F60" t="s">
        <v>116</v>
      </c>
      <c r="P60" s="1" t="s">
        <v>117</v>
      </c>
    </row>
    <row r="61" spans="1:16">
      <c r="A61" t="s">
        <v>118</v>
      </c>
      <c r="B61" s="6">
        <f t="shared" si="25"/>
        <v>-6.1456859805391423E-2</v>
      </c>
      <c r="C61" s="6">
        <f>B46</f>
        <v>0.11399256254225829</v>
      </c>
      <c r="D61" s="6">
        <f>-P63</f>
        <v>-0.53913043478260869</v>
      </c>
      <c r="E61" t="s">
        <v>119</v>
      </c>
      <c r="O61" t="s">
        <v>120</v>
      </c>
      <c r="P61" s="20">
        <v>0.33333333333333326</v>
      </c>
    </row>
    <row r="62" spans="1:16">
      <c r="A62" t="s">
        <v>53</v>
      </c>
      <c r="B62" s="6">
        <f t="shared" si="25"/>
        <v>-1.6199999999999999E-2</v>
      </c>
      <c r="C62" s="6">
        <f>B50</f>
        <v>1.7999999999999999E-2</v>
      </c>
      <c r="D62" s="6">
        <v>-0.9</v>
      </c>
      <c r="E62" t="s">
        <v>65</v>
      </c>
      <c r="F62" t="s">
        <v>66</v>
      </c>
      <c r="O62" t="s">
        <v>121</v>
      </c>
      <c r="P62" s="21">
        <f>P63-P61</f>
        <v>0.20579710144927543</v>
      </c>
    </row>
    <row r="63" spans="1:16">
      <c r="A63" t="s">
        <v>122</v>
      </c>
      <c r="B63" s="6" t="e">
        <f t="shared" si="25"/>
        <v>#VALUE!</v>
      </c>
      <c r="C63" s="6">
        <f>B45</f>
        <v>7.7629141311697097E-2</v>
      </c>
      <c r="D63" t="s">
        <v>64</v>
      </c>
      <c r="O63" t="s">
        <v>123</v>
      </c>
      <c r="P63" s="20">
        <v>0.53913043478260869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6"/>
  <sheetViews>
    <sheetView workbookViewId="0">
      <selection activeCell="E8" sqref="E8"/>
    </sheetView>
  </sheetViews>
  <sheetFormatPr defaultRowHeight="14.75"/>
  <cols>
    <col min="1" max="1" width="23.453125" bestFit="1" customWidth="1"/>
    <col min="2" max="2" width="24.1796875" bestFit="1" customWidth="1"/>
    <col min="3" max="3" width="29.81640625" customWidth="1"/>
    <col min="4" max="4" width="20.1796875" bestFit="1" customWidth="1"/>
    <col min="5" max="5" width="41.1796875" bestFit="1" customWidth="1"/>
    <col min="14" max="14" width="26.453125" bestFit="1" customWidth="1"/>
    <col min="15" max="20" width="18" customWidth="1"/>
    <col min="21" max="21" width="23.81640625" bestFit="1" customWidth="1"/>
    <col min="22" max="22" width="20.81640625" customWidth="1"/>
  </cols>
  <sheetData>
    <row r="1" spans="1:22">
      <c r="O1" s="10" t="s">
        <v>3</v>
      </c>
      <c r="P1" s="10" t="s">
        <v>3</v>
      </c>
      <c r="Q1" s="9" t="s">
        <v>4</v>
      </c>
      <c r="R1" s="10" t="s">
        <v>3</v>
      </c>
      <c r="S1" s="10" t="s">
        <v>3</v>
      </c>
      <c r="T1" s="10" t="s">
        <v>3</v>
      </c>
      <c r="U1" s="10" t="s">
        <v>3</v>
      </c>
      <c r="V1" s="9" t="s">
        <v>4</v>
      </c>
    </row>
    <row r="2" spans="1:22">
      <c r="B2" s="1" t="s">
        <v>5</v>
      </c>
      <c r="E2" s="1" t="s">
        <v>6</v>
      </c>
      <c r="N2" s="1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</row>
    <row r="3" spans="1:22">
      <c r="A3" t="s">
        <v>16</v>
      </c>
      <c r="B3" s="2">
        <v>0.6</v>
      </c>
      <c r="N3" t="s">
        <v>17</v>
      </c>
      <c r="O3">
        <v>8</v>
      </c>
      <c r="P3">
        <v>6</v>
      </c>
      <c r="Q3">
        <v>7</v>
      </c>
      <c r="R3">
        <v>3.5</v>
      </c>
      <c r="S3">
        <v>2</v>
      </c>
      <c r="T3">
        <v>3</v>
      </c>
      <c r="U3">
        <v>6.5</v>
      </c>
      <c r="V3">
        <v>0.1</v>
      </c>
    </row>
    <row r="4" spans="1:22">
      <c r="A4" t="s">
        <v>18</v>
      </c>
      <c r="B4" s="2">
        <v>0.17499999999999999</v>
      </c>
      <c r="N4" t="s">
        <v>19</v>
      </c>
      <c r="O4">
        <v>1.5</v>
      </c>
      <c r="P4">
        <v>3.5</v>
      </c>
      <c r="Q4">
        <v>2.5</v>
      </c>
      <c r="R4">
        <v>1</v>
      </c>
      <c r="S4">
        <v>3.5</v>
      </c>
      <c r="T4">
        <v>6.5</v>
      </c>
      <c r="U4">
        <v>0</v>
      </c>
      <c r="V4">
        <v>0.1</v>
      </c>
    </row>
    <row r="5" spans="1:22">
      <c r="A5" t="s">
        <v>20</v>
      </c>
      <c r="B5" s="2">
        <v>0.125</v>
      </c>
      <c r="N5" t="s">
        <v>21</v>
      </c>
      <c r="O5">
        <v>0.75</v>
      </c>
      <c r="P5">
        <v>1</v>
      </c>
      <c r="Q5">
        <v>3.5</v>
      </c>
      <c r="R5">
        <v>0.5</v>
      </c>
      <c r="S5">
        <v>0</v>
      </c>
      <c r="T5">
        <v>0.75</v>
      </c>
      <c r="U5">
        <v>0</v>
      </c>
      <c r="V5">
        <v>1</v>
      </c>
    </row>
    <row r="6" spans="1:22">
      <c r="A6" t="s">
        <v>22</v>
      </c>
      <c r="B6" s="2">
        <v>7.0000000000000007E-2</v>
      </c>
      <c r="N6" t="s">
        <v>23</v>
      </c>
      <c r="O6">
        <v>1</v>
      </c>
      <c r="P6">
        <v>0.5</v>
      </c>
      <c r="Q6">
        <v>1.5</v>
      </c>
      <c r="R6">
        <v>0.5</v>
      </c>
      <c r="S6">
        <v>0</v>
      </c>
      <c r="T6">
        <v>0.25</v>
      </c>
      <c r="U6">
        <v>0</v>
      </c>
      <c r="V6">
        <v>1</v>
      </c>
    </row>
    <row r="7" spans="1:22">
      <c r="A7" t="s">
        <v>24</v>
      </c>
      <c r="B7" s="2">
        <v>0.03</v>
      </c>
      <c r="N7" t="s">
        <v>1</v>
      </c>
      <c r="O7">
        <v>1.5</v>
      </c>
      <c r="P7">
        <v>0</v>
      </c>
      <c r="Q7">
        <v>1.75</v>
      </c>
      <c r="R7">
        <v>0</v>
      </c>
      <c r="S7">
        <v>0</v>
      </c>
      <c r="T7">
        <v>0.5</v>
      </c>
      <c r="U7">
        <v>0</v>
      </c>
      <c r="V7">
        <v>0</v>
      </c>
    </row>
    <row r="8" spans="1:22">
      <c r="A8" s="3"/>
      <c r="B8" s="2"/>
      <c r="E8" t="s">
        <v>25</v>
      </c>
      <c r="N8" t="s">
        <v>26</v>
      </c>
      <c r="O8">
        <v>0.25</v>
      </c>
      <c r="P8">
        <v>1</v>
      </c>
      <c r="Q8">
        <v>2</v>
      </c>
      <c r="R8">
        <v>1</v>
      </c>
      <c r="S8">
        <v>0</v>
      </c>
      <c r="T8">
        <v>1</v>
      </c>
      <c r="U8">
        <v>0</v>
      </c>
      <c r="V8">
        <v>0.2</v>
      </c>
    </row>
    <row r="9" spans="1:22">
      <c r="B9" s="2"/>
      <c r="N9" t="s">
        <v>27</v>
      </c>
      <c r="O9">
        <v>3.5</v>
      </c>
      <c r="P9">
        <v>2</v>
      </c>
      <c r="Q9">
        <v>3.5</v>
      </c>
      <c r="R9">
        <v>1.5</v>
      </c>
      <c r="S9">
        <v>0</v>
      </c>
      <c r="T9">
        <v>1.5</v>
      </c>
      <c r="U9">
        <v>0</v>
      </c>
      <c r="V9">
        <v>1</v>
      </c>
    </row>
    <row r="10" spans="1:22">
      <c r="A10" s="1" t="s">
        <v>28</v>
      </c>
    </row>
    <row r="11" spans="1:22">
      <c r="B11" t="s">
        <v>29</v>
      </c>
      <c r="C11" t="s">
        <v>30</v>
      </c>
      <c r="D11" t="s">
        <v>9</v>
      </c>
    </row>
    <row r="12" spans="1:22">
      <c r="A12" t="s">
        <v>0</v>
      </c>
      <c r="B12">
        <v>18.7</v>
      </c>
      <c r="C12">
        <v>24.1</v>
      </c>
      <c r="D12">
        <v>37.5</v>
      </c>
      <c r="E12" t="s">
        <v>31</v>
      </c>
      <c r="N12" s="1" t="s">
        <v>32</v>
      </c>
      <c r="O12" t="s">
        <v>8</v>
      </c>
      <c r="P12" t="s">
        <v>9</v>
      </c>
      <c r="Q12" t="s">
        <v>33</v>
      </c>
      <c r="R12" t="s">
        <v>34</v>
      </c>
      <c r="S12" t="s">
        <v>35</v>
      </c>
    </row>
    <row r="13" spans="1:22">
      <c r="A13" t="s">
        <v>36</v>
      </c>
      <c r="B13">
        <v>3.2</v>
      </c>
      <c r="C13">
        <v>6.3</v>
      </c>
      <c r="D13">
        <v>7.9</v>
      </c>
      <c r="E13" t="s">
        <v>37</v>
      </c>
      <c r="N13" t="s">
        <v>17</v>
      </c>
      <c r="O13">
        <f>O3</f>
        <v>8</v>
      </c>
      <c r="P13">
        <f>P3</f>
        <v>6</v>
      </c>
      <c r="Q13">
        <f>SUM(R3:S3)</f>
        <v>5.5</v>
      </c>
      <c r="R13">
        <f>T3</f>
        <v>3</v>
      </c>
      <c r="S13">
        <f>U3</f>
        <v>6.5</v>
      </c>
    </row>
    <row r="14" spans="1:22">
      <c r="A14" t="s">
        <v>38</v>
      </c>
      <c r="B14">
        <v>8.27</v>
      </c>
      <c r="D14">
        <v>5.8</v>
      </c>
      <c r="E14" t="s">
        <v>39</v>
      </c>
      <c r="N14" t="s">
        <v>19</v>
      </c>
      <c r="O14">
        <f t="shared" ref="O14:P14" si="0">O4</f>
        <v>1.5</v>
      </c>
      <c r="P14">
        <f t="shared" si="0"/>
        <v>3.5</v>
      </c>
      <c r="Q14">
        <f t="shared" ref="Q14:Q19" si="1">SUM(R4:S4)</f>
        <v>4.5</v>
      </c>
      <c r="R14">
        <f t="shared" ref="R14:S14" si="2">T4</f>
        <v>6.5</v>
      </c>
      <c r="S14">
        <f t="shared" si="2"/>
        <v>0</v>
      </c>
    </row>
    <row r="15" spans="1:22">
      <c r="N15" t="s">
        <v>21</v>
      </c>
      <c r="O15">
        <f t="shared" ref="O15:P15" si="3">O5</f>
        <v>0.75</v>
      </c>
      <c r="P15">
        <f t="shared" si="3"/>
        <v>1</v>
      </c>
      <c r="Q15">
        <f t="shared" si="1"/>
        <v>0.5</v>
      </c>
      <c r="R15">
        <f t="shared" ref="R15:S15" si="4">T5</f>
        <v>0.75</v>
      </c>
      <c r="S15">
        <f t="shared" si="4"/>
        <v>0</v>
      </c>
    </row>
    <row r="16" spans="1:22">
      <c r="B16" s="1" t="s">
        <v>32</v>
      </c>
      <c r="C16" s="1" t="s">
        <v>40</v>
      </c>
      <c r="N16" t="s">
        <v>41</v>
      </c>
      <c r="O16">
        <f t="shared" ref="O16:P16" si="5">O6</f>
        <v>1</v>
      </c>
      <c r="P16">
        <f t="shared" si="5"/>
        <v>0.5</v>
      </c>
      <c r="Q16">
        <f t="shared" si="1"/>
        <v>0.5</v>
      </c>
      <c r="R16">
        <f t="shared" ref="R16:S16" si="6">T6</f>
        <v>0.25</v>
      </c>
      <c r="S16">
        <f t="shared" si="6"/>
        <v>0</v>
      </c>
    </row>
    <row r="17" spans="1:21">
      <c r="A17" t="s">
        <v>42</v>
      </c>
      <c r="B17">
        <f>SUM(B12:C12)</f>
        <v>42.8</v>
      </c>
      <c r="C17" s="2">
        <f>B17/SUM(B17:B18)</f>
        <v>0.53300124533001247</v>
      </c>
      <c r="N17" t="s">
        <v>1</v>
      </c>
      <c r="O17">
        <f t="shared" ref="O17:P17" si="7">O7</f>
        <v>1.5</v>
      </c>
      <c r="P17">
        <f t="shared" si="7"/>
        <v>0</v>
      </c>
      <c r="Q17">
        <f t="shared" si="1"/>
        <v>0</v>
      </c>
      <c r="R17">
        <f t="shared" ref="R17:S17" si="8">T7</f>
        <v>0.5</v>
      </c>
      <c r="S17">
        <f t="shared" si="8"/>
        <v>0</v>
      </c>
    </row>
    <row r="18" spans="1:21">
      <c r="A18" t="s">
        <v>9</v>
      </c>
      <c r="B18">
        <f>D12</f>
        <v>37.5</v>
      </c>
      <c r="C18" s="2">
        <f>1-C17</f>
        <v>0.46699875466998753</v>
      </c>
      <c r="N18" t="s">
        <v>26</v>
      </c>
      <c r="O18">
        <f t="shared" ref="O18:P18" si="9">O8</f>
        <v>0.25</v>
      </c>
      <c r="P18">
        <f t="shared" si="9"/>
        <v>1</v>
      </c>
      <c r="Q18">
        <f t="shared" si="1"/>
        <v>1</v>
      </c>
      <c r="R18">
        <f t="shared" ref="R18:S18" si="10">T8</f>
        <v>1</v>
      </c>
      <c r="S18">
        <f t="shared" si="10"/>
        <v>0</v>
      </c>
    </row>
    <row r="19" spans="1:21">
      <c r="N19" t="s">
        <v>27</v>
      </c>
      <c r="O19">
        <f t="shared" ref="O19:P19" si="11">O9</f>
        <v>3.5</v>
      </c>
      <c r="P19">
        <f t="shared" si="11"/>
        <v>2</v>
      </c>
      <c r="Q19">
        <f t="shared" si="1"/>
        <v>1.5</v>
      </c>
      <c r="R19">
        <f t="shared" ref="R19:S19" si="12">T9</f>
        <v>1.5</v>
      </c>
      <c r="S19">
        <f t="shared" si="12"/>
        <v>0</v>
      </c>
    </row>
    <row r="20" spans="1:21">
      <c r="N20" t="s">
        <v>43</v>
      </c>
      <c r="O20" s="1">
        <f>SUM(O13:O19)</f>
        <v>16.5</v>
      </c>
      <c r="P20" s="1">
        <f t="shared" ref="P20:S20" si="13">SUM(P13:P19)</f>
        <v>14</v>
      </c>
      <c r="Q20" s="1">
        <f t="shared" si="13"/>
        <v>13.5</v>
      </c>
      <c r="R20" s="1">
        <f t="shared" si="13"/>
        <v>13.5</v>
      </c>
      <c r="S20" s="1">
        <f t="shared" si="13"/>
        <v>6.5</v>
      </c>
    </row>
    <row r="22" spans="1:21">
      <c r="B22" s="1" t="s">
        <v>44</v>
      </c>
    </row>
    <row r="23" spans="1:21">
      <c r="A23" t="s">
        <v>45</v>
      </c>
      <c r="B23" s="2">
        <v>0.86</v>
      </c>
      <c r="C23" t="s">
        <v>46</v>
      </c>
      <c r="E23" t="s">
        <v>47</v>
      </c>
      <c r="N23" s="1" t="s">
        <v>48</v>
      </c>
      <c r="O23" t="s">
        <v>8</v>
      </c>
      <c r="P23" t="s">
        <v>9</v>
      </c>
      <c r="Q23" t="s">
        <v>33</v>
      </c>
      <c r="R23" t="s">
        <v>34</v>
      </c>
      <c r="S23" t="s">
        <v>45</v>
      </c>
      <c r="T23" t="s">
        <v>35</v>
      </c>
      <c r="U23" t="s">
        <v>24</v>
      </c>
    </row>
    <row r="24" spans="1:21">
      <c r="A24" t="s">
        <v>49</v>
      </c>
      <c r="B24" s="2">
        <v>0.08</v>
      </c>
      <c r="N24" t="s">
        <v>17</v>
      </c>
      <c r="O24" s="2">
        <f>O13/O$20</f>
        <v>0.48484848484848486</v>
      </c>
      <c r="P24" s="2">
        <f t="shared" ref="P24:R24" si="14">P13/P$20</f>
        <v>0.42857142857142855</v>
      </c>
      <c r="Q24" s="2">
        <f>Q13/Q$20</f>
        <v>0.40740740740740738</v>
      </c>
      <c r="R24" s="2">
        <f t="shared" si="14"/>
        <v>0.22222222222222221</v>
      </c>
      <c r="S24" s="6">
        <v>0</v>
      </c>
      <c r="T24" s="2">
        <f t="shared" ref="T24:T29" si="15">S13/S$20</f>
        <v>1</v>
      </c>
      <c r="U24" s="2">
        <v>0</v>
      </c>
    </row>
    <row r="25" spans="1:21">
      <c r="A25" t="s">
        <v>27</v>
      </c>
      <c r="B25" s="2">
        <v>0.06</v>
      </c>
      <c r="E25" t="s">
        <v>50</v>
      </c>
      <c r="N25" t="s">
        <v>19</v>
      </c>
      <c r="O25" s="2">
        <f t="shared" ref="O25:R29" si="16">O14/O$20</f>
        <v>9.0909090909090912E-2</v>
      </c>
      <c r="P25" s="2">
        <f t="shared" si="16"/>
        <v>0.25</v>
      </c>
      <c r="Q25" s="2">
        <f t="shared" si="16"/>
        <v>0.33333333333333331</v>
      </c>
      <c r="R25" s="2">
        <f t="shared" si="16"/>
        <v>0.48148148148148145</v>
      </c>
      <c r="S25" s="6">
        <v>0</v>
      </c>
      <c r="T25" s="2">
        <f t="shared" si="15"/>
        <v>0</v>
      </c>
      <c r="U25" s="2">
        <v>0</v>
      </c>
    </row>
    <row r="26" spans="1:21">
      <c r="A26" s="4"/>
      <c r="N26" t="s">
        <v>21</v>
      </c>
      <c r="O26" s="2">
        <f t="shared" si="16"/>
        <v>4.5454545454545456E-2</v>
      </c>
      <c r="P26" s="2">
        <f t="shared" si="16"/>
        <v>7.1428571428571425E-2</v>
      </c>
      <c r="Q26" s="2">
        <f t="shared" si="16"/>
        <v>3.7037037037037035E-2</v>
      </c>
      <c r="R26" s="2">
        <f t="shared" si="16"/>
        <v>5.5555555555555552E-2</v>
      </c>
      <c r="S26" s="6">
        <v>0</v>
      </c>
      <c r="T26" s="2">
        <f t="shared" si="15"/>
        <v>0</v>
      </c>
      <c r="U26" s="2">
        <v>0</v>
      </c>
    </row>
    <row r="27" spans="1:21">
      <c r="B27" s="1" t="s">
        <v>51</v>
      </c>
      <c r="N27" t="s">
        <v>23</v>
      </c>
      <c r="O27" s="2">
        <f t="shared" si="16"/>
        <v>6.0606060606060608E-2</v>
      </c>
      <c r="P27" s="2">
        <f t="shared" si="16"/>
        <v>3.5714285714285712E-2</v>
      </c>
      <c r="Q27" s="2">
        <f t="shared" si="16"/>
        <v>3.7037037037037035E-2</v>
      </c>
      <c r="R27" s="2">
        <f t="shared" si="16"/>
        <v>1.8518518518518517E-2</v>
      </c>
      <c r="S27" s="6">
        <v>0</v>
      </c>
      <c r="T27" s="2">
        <f t="shared" si="15"/>
        <v>0</v>
      </c>
      <c r="U27" s="2">
        <v>0</v>
      </c>
    </row>
    <row r="28" spans="1:21">
      <c r="A28" t="s">
        <v>34</v>
      </c>
      <c r="B28" s="2">
        <v>0.96</v>
      </c>
      <c r="N28" t="s">
        <v>1</v>
      </c>
      <c r="O28" s="2">
        <f t="shared" si="16"/>
        <v>9.0909090909090912E-2</v>
      </c>
      <c r="P28" s="2">
        <f t="shared" si="16"/>
        <v>0</v>
      </c>
      <c r="Q28" s="2">
        <f t="shared" si="16"/>
        <v>0</v>
      </c>
      <c r="R28" s="2">
        <f t="shared" si="16"/>
        <v>3.7037037037037035E-2</v>
      </c>
      <c r="S28" s="6">
        <v>0</v>
      </c>
      <c r="T28" s="2">
        <f t="shared" si="15"/>
        <v>0</v>
      </c>
      <c r="U28" s="2">
        <v>0</v>
      </c>
    </row>
    <row r="29" spans="1:21">
      <c r="A29" t="s">
        <v>27</v>
      </c>
      <c r="B29" s="2">
        <v>0.04</v>
      </c>
      <c r="E29" s="5" t="s">
        <v>52</v>
      </c>
      <c r="N29" t="s">
        <v>26</v>
      </c>
      <c r="O29" s="2">
        <f t="shared" si="16"/>
        <v>1.5151515151515152E-2</v>
      </c>
      <c r="P29" s="2">
        <f t="shared" si="16"/>
        <v>7.1428571428571425E-2</v>
      </c>
      <c r="Q29" s="2">
        <f t="shared" si="16"/>
        <v>7.407407407407407E-2</v>
      </c>
      <c r="R29" s="2">
        <f t="shared" si="16"/>
        <v>7.407407407407407E-2</v>
      </c>
      <c r="S29" s="6">
        <v>0</v>
      </c>
      <c r="T29" s="2">
        <f t="shared" si="15"/>
        <v>0</v>
      </c>
      <c r="U29" s="2">
        <v>0</v>
      </c>
    </row>
    <row r="30" spans="1:21">
      <c r="N30" t="s">
        <v>53</v>
      </c>
      <c r="O30" s="2">
        <v>0</v>
      </c>
      <c r="P30" s="2">
        <v>0</v>
      </c>
      <c r="Q30" s="2">
        <v>0</v>
      </c>
      <c r="R30" s="2">
        <v>0</v>
      </c>
      <c r="S30" s="6">
        <v>1</v>
      </c>
      <c r="T30" s="6">
        <v>0</v>
      </c>
      <c r="U30" s="2">
        <v>0</v>
      </c>
    </row>
    <row r="31" spans="1:21">
      <c r="N31" t="s">
        <v>27</v>
      </c>
      <c r="O31" s="2">
        <f>O19/O$20</f>
        <v>0.21212121212121213</v>
      </c>
      <c r="P31" s="2">
        <f>P19/P$20</f>
        <v>0.14285714285714285</v>
      </c>
      <c r="Q31" s="2">
        <f>Q19/Q$20</f>
        <v>0.1111111111111111</v>
      </c>
      <c r="R31" s="2">
        <f>R19/R$20</f>
        <v>0.1111111111111111</v>
      </c>
      <c r="S31" s="6">
        <v>0</v>
      </c>
      <c r="T31" s="2">
        <f>S19/S$20</f>
        <v>0</v>
      </c>
      <c r="U31" s="6">
        <v>1</v>
      </c>
    </row>
    <row r="33" spans="1:22">
      <c r="N33" s="1" t="s">
        <v>54</v>
      </c>
      <c r="O33" t="s">
        <v>8</v>
      </c>
      <c r="P33" t="s">
        <v>9</v>
      </c>
      <c r="Q33" t="s">
        <v>33</v>
      </c>
      <c r="R33" t="s">
        <v>34</v>
      </c>
      <c r="S33" t="s">
        <v>45</v>
      </c>
      <c r="T33" t="s">
        <v>35</v>
      </c>
      <c r="U33" t="s">
        <v>24</v>
      </c>
      <c r="V33" s="1" t="s">
        <v>43</v>
      </c>
    </row>
    <row r="34" spans="1:22">
      <c r="B34" s="1" t="s">
        <v>55</v>
      </c>
      <c r="N34" t="s">
        <v>17</v>
      </c>
      <c r="O34" s="2">
        <f>O24*$B$35</f>
        <v>0.15505490773236727</v>
      </c>
      <c r="P34" s="2">
        <f>$B$36*P24</f>
        <v>0.12008539405799677</v>
      </c>
      <c r="Q34" s="2">
        <f>$B$37*Q24</f>
        <v>2.8518518518518519E-2</v>
      </c>
      <c r="R34" s="2">
        <f>$B$38*R24</f>
        <v>2.6666666666666665E-2</v>
      </c>
      <c r="S34" s="6">
        <f>S24*$B$39</f>
        <v>0</v>
      </c>
      <c r="T34" s="2">
        <f>$B$40*T24</f>
        <v>5.117E-2</v>
      </c>
      <c r="U34" s="6">
        <v>0</v>
      </c>
      <c r="V34" s="8">
        <f>SUM(O34:U34)</f>
        <v>0.38149548697554919</v>
      </c>
    </row>
    <row r="35" spans="1:22">
      <c r="A35" t="s">
        <v>8</v>
      </c>
      <c r="B35" s="2">
        <f>C17*$B$3</f>
        <v>0.3198007471980075</v>
      </c>
      <c r="N35" t="s">
        <v>19</v>
      </c>
      <c r="O35" s="2">
        <f t="shared" ref="O35:O41" si="17">O25*$B$35</f>
        <v>2.9072795199818865E-2</v>
      </c>
      <c r="P35" s="2">
        <f t="shared" ref="P35:P41" si="18">$B$36*P25</f>
        <v>7.0049813200498121E-2</v>
      </c>
      <c r="Q35" s="2">
        <f t="shared" ref="Q35:Q41" si="19">$B$37*Q25</f>
        <v>2.3333333333333334E-2</v>
      </c>
      <c r="R35" s="2">
        <f t="shared" ref="R35:R41" si="20">$B$38*R25</f>
        <v>5.7777777777777775E-2</v>
      </c>
      <c r="S35" s="6">
        <f t="shared" ref="S35:S41" si="21">S25*$B$39</f>
        <v>0</v>
      </c>
      <c r="T35" s="2">
        <f t="shared" ref="T35:T41" si="22">$B$40*T25</f>
        <v>0</v>
      </c>
      <c r="U35" s="6">
        <v>0</v>
      </c>
      <c r="V35" s="8">
        <f t="shared" ref="V35:V41" si="23">SUM(O35:U35)</f>
        <v>0.18023371951142808</v>
      </c>
    </row>
    <row r="36" spans="1:22">
      <c r="A36" t="s">
        <v>9</v>
      </c>
      <c r="B36" s="2">
        <f>C18*$B$3</f>
        <v>0.28019925280199248</v>
      </c>
      <c r="N36" t="s">
        <v>21</v>
      </c>
      <c r="O36" s="2">
        <f t="shared" si="17"/>
        <v>1.4536397599909432E-2</v>
      </c>
      <c r="P36" s="2">
        <f t="shared" si="18"/>
        <v>2.0014232342999462E-2</v>
      </c>
      <c r="Q36" s="2">
        <f t="shared" si="19"/>
        <v>2.5925925925925925E-3</v>
      </c>
      <c r="R36" s="2">
        <f t="shared" si="20"/>
        <v>6.6666666666666662E-3</v>
      </c>
      <c r="S36" s="6">
        <f t="shared" si="21"/>
        <v>0</v>
      </c>
      <c r="T36" s="2">
        <f t="shared" si="22"/>
        <v>0</v>
      </c>
      <c r="U36" s="6">
        <v>0</v>
      </c>
      <c r="V36" s="8">
        <f t="shared" si="23"/>
        <v>4.3809889202168155E-2</v>
      </c>
    </row>
    <row r="37" spans="1:22">
      <c r="A37" t="s">
        <v>33</v>
      </c>
      <c r="B37" s="6">
        <f>B6</f>
        <v>7.0000000000000007E-2</v>
      </c>
      <c r="N37" t="s">
        <v>23</v>
      </c>
      <c r="O37" s="2">
        <f t="shared" si="17"/>
        <v>1.9381863466545909E-2</v>
      </c>
      <c r="P37" s="2">
        <f t="shared" si="18"/>
        <v>1.0007116171499731E-2</v>
      </c>
      <c r="Q37" s="2">
        <f t="shared" si="19"/>
        <v>2.5925925925925925E-3</v>
      </c>
      <c r="R37" s="2">
        <f t="shared" si="20"/>
        <v>2.2222222222222222E-3</v>
      </c>
      <c r="S37" s="6">
        <f t="shared" si="21"/>
        <v>0</v>
      </c>
      <c r="T37" s="2">
        <f t="shared" si="22"/>
        <v>0</v>
      </c>
      <c r="U37" s="6">
        <v>0</v>
      </c>
      <c r="V37" s="8">
        <f t="shared" si="23"/>
        <v>3.4203794452860453E-2</v>
      </c>
    </row>
    <row r="38" spans="1:22">
      <c r="A38" t="s">
        <v>13</v>
      </c>
      <c r="B38" s="6">
        <f>B28*B5</f>
        <v>0.12</v>
      </c>
      <c r="N38" t="s">
        <v>1</v>
      </c>
      <c r="O38" s="2">
        <f t="shared" si="17"/>
        <v>2.9072795199818865E-2</v>
      </c>
      <c r="P38" s="2">
        <f t="shared" si="18"/>
        <v>0</v>
      </c>
      <c r="Q38" s="2">
        <f t="shared" si="19"/>
        <v>0</v>
      </c>
      <c r="R38" s="2">
        <f t="shared" si="20"/>
        <v>4.4444444444444444E-3</v>
      </c>
      <c r="S38" s="6">
        <f t="shared" si="21"/>
        <v>0</v>
      </c>
      <c r="T38" s="2">
        <f t="shared" si="22"/>
        <v>0</v>
      </c>
      <c r="U38" s="6">
        <v>0</v>
      </c>
      <c r="V38" s="8">
        <f t="shared" si="23"/>
        <v>3.3517239644263307E-2</v>
      </c>
    </row>
    <row r="39" spans="1:22">
      <c r="A39" t="s">
        <v>45</v>
      </c>
      <c r="B39" s="6">
        <f>($B$23*$B$4)*0.66</f>
        <v>9.9330000000000002E-2</v>
      </c>
      <c r="N39" t="s">
        <v>26</v>
      </c>
      <c r="O39" s="2">
        <f t="shared" si="17"/>
        <v>4.8454658666364772E-3</v>
      </c>
      <c r="P39" s="2">
        <f t="shared" si="18"/>
        <v>2.0014232342999462E-2</v>
      </c>
      <c r="Q39" s="2">
        <f t="shared" si="19"/>
        <v>5.185185185185185E-3</v>
      </c>
      <c r="R39" s="2">
        <f t="shared" si="20"/>
        <v>8.8888888888888889E-3</v>
      </c>
      <c r="S39" s="6">
        <f t="shared" si="21"/>
        <v>0</v>
      </c>
      <c r="T39" s="2">
        <f t="shared" si="22"/>
        <v>0</v>
      </c>
      <c r="U39" s="6">
        <v>0</v>
      </c>
      <c r="V39" s="8">
        <f t="shared" si="23"/>
        <v>3.8933772283710012E-2</v>
      </c>
    </row>
    <row r="40" spans="1:22">
      <c r="A40" t="s">
        <v>35</v>
      </c>
      <c r="B40" s="6">
        <f>($B$23*$B$4)*0.34</f>
        <v>5.117E-2</v>
      </c>
      <c r="N40" t="s">
        <v>53</v>
      </c>
      <c r="O40" s="2">
        <f t="shared" si="17"/>
        <v>0</v>
      </c>
      <c r="P40" s="2">
        <f t="shared" si="18"/>
        <v>0</v>
      </c>
      <c r="Q40" s="2">
        <f t="shared" si="19"/>
        <v>0</v>
      </c>
      <c r="R40" s="2">
        <f t="shared" si="20"/>
        <v>0</v>
      </c>
      <c r="S40" s="6">
        <f t="shared" si="21"/>
        <v>9.9330000000000002E-2</v>
      </c>
      <c r="T40" s="2">
        <f t="shared" si="22"/>
        <v>0</v>
      </c>
      <c r="U40" s="6">
        <v>0</v>
      </c>
      <c r="V40" s="8">
        <f t="shared" si="23"/>
        <v>9.9330000000000002E-2</v>
      </c>
    </row>
    <row r="41" spans="1:22">
      <c r="A41" t="s">
        <v>24</v>
      </c>
      <c r="B41" s="6">
        <v>0.06</v>
      </c>
      <c r="N41" t="s">
        <v>27</v>
      </c>
      <c r="O41" s="2">
        <f t="shared" si="17"/>
        <v>6.7836522132910679E-2</v>
      </c>
      <c r="P41" s="2">
        <f t="shared" si="18"/>
        <v>4.0028464685998924E-2</v>
      </c>
      <c r="Q41" s="2">
        <f t="shared" si="19"/>
        <v>7.7777777777777784E-3</v>
      </c>
      <c r="R41" s="2">
        <f t="shared" si="20"/>
        <v>1.3333333333333332E-2</v>
      </c>
      <c r="S41" s="6">
        <f t="shared" si="21"/>
        <v>0</v>
      </c>
      <c r="T41" s="2">
        <f t="shared" si="22"/>
        <v>0</v>
      </c>
      <c r="U41" s="6">
        <v>0.06</v>
      </c>
      <c r="V41" s="8">
        <f t="shared" si="23"/>
        <v>0.18897609793002071</v>
      </c>
    </row>
    <row r="42" spans="1:22">
      <c r="O42" s="6"/>
      <c r="P42" s="6"/>
      <c r="Q42" s="6"/>
      <c r="R42" s="6"/>
      <c r="S42" s="6"/>
      <c r="T42" s="6"/>
      <c r="U42" s="6"/>
      <c r="V42" s="6">
        <f>SUM(V34:V41)</f>
        <v>1.0004999999999999</v>
      </c>
    </row>
    <row r="43" spans="1:22" ht="15.5" thickBot="1"/>
    <row r="44" spans="1:22">
      <c r="A44" s="11"/>
      <c r="B44" s="12" t="s">
        <v>56</v>
      </c>
    </row>
    <row r="45" spans="1:22">
      <c r="A45" s="13" t="str">
        <f>N34</f>
        <v>Packaging</v>
      </c>
      <c r="B45" s="14">
        <f>V34</f>
        <v>0.38149548697554919</v>
      </c>
    </row>
    <row r="46" spans="1:22">
      <c r="A46" s="13" t="str">
        <f t="shared" ref="A46:A51" si="24">N35</f>
        <v>Building &amp; Construction</v>
      </c>
      <c r="B46" s="14">
        <f t="shared" ref="B46:B51" si="25">V35</f>
        <v>0.18023371951142808</v>
      </c>
    </row>
    <row r="47" spans="1:22">
      <c r="A47" s="13" t="str">
        <f t="shared" si="24"/>
        <v>Automotive</v>
      </c>
      <c r="B47" s="14">
        <f t="shared" si="25"/>
        <v>4.3809889202168155E-2</v>
      </c>
    </row>
    <row r="48" spans="1:22">
      <c r="A48" s="13" t="str">
        <f t="shared" si="24"/>
        <v>Electrical &amp; Electronics</v>
      </c>
      <c r="B48" s="14">
        <f t="shared" si="25"/>
        <v>3.4203794452860453E-2</v>
      </c>
    </row>
    <row r="49" spans="1:6">
      <c r="A49" s="13" t="str">
        <f t="shared" si="24"/>
        <v>Agriculture</v>
      </c>
      <c r="B49" s="14">
        <f t="shared" si="25"/>
        <v>3.3517239644263307E-2</v>
      </c>
    </row>
    <row r="50" spans="1:6">
      <c r="A50" s="13" t="str">
        <f t="shared" si="24"/>
        <v>Household, leisure &amp; sports</v>
      </c>
      <c r="B50" s="14">
        <f t="shared" si="25"/>
        <v>3.8933772283710012E-2</v>
      </c>
    </row>
    <row r="51" spans="1:6">
      <c r="A51" s="13" t="str">
        <f t="shared" si="24"/>
        <v>Textiles</v>
      </c>
      <c r="B51" s="14">
        <f t="shared" si="25"/>
        <v>9.9330000000000002E-2</v>
      </c>
    </row>
    <row r="52" spans="1:6">
      <c r="A52" s="15" t="s">
        <v>1</v>
      </c>
      <c r="B52" s="14">
        <v>0</v>
      </c>
    </row>
    <row r="53" spans="1:6" ht="15.5" thickBot="1">
      <c r="A53" s="16" t="str">
        <f>N41</f>
        <v>Others</v>
      </c>
      <c r="B53" s="17">
        <f>V41</f>
        <v>0.18897609793002071</v>
      </c>
    </row>
    <row r="54" spans="1:6">
      <c r="B54" s="6"/>
    </row>
    <row r="56" spans="1:6" s="19" customFormat="1" ht="33.65" customHeight="1">
      <c r="A56" s="19" t="s">
        <v>57</v>
      </c>
    </row>
    <row r="62" spans="1:6">
      <c r="C62" s="1" t="s">
        <v>58</v>
      </c>
      <c r="D62" s="1" t="s">
        <v>59</v>
      </c>
      <c r="E62" s="1" t="s">
        <v>60</v>
      </c>
      <c r="F62" s="1" t="s">
        <v>2</v>
      </c>
    </row>
    <row r="63" spans="1:6">
      <c r="A63" t="s">
        <v>61</v>
      </c>
      <c r="C63" s="6">
        <f>B45</f>
        <v>0.38149548697554919</v>
      </c>
      <c r="D63" s="6">
        <v>-0.3</v>
      </c>
      <c r="E63" t="s">
        <v>62</v>
      </c>
    </row>
    <row r="64" spans="1:6">
      <c r="A64" t="s">
        <v>63</v>
      </c>
      <c r="C64" s="6">
        <f>B45</f>
        <v>0.38149548697554919</v>
      </c>
      <c r="D64" s="6">
        <v>-0.17</v>
      </c>
      <c r="E64" t="s">
        <v>62</v>
      </c>
    </row>
    <row r="65" spans="1:6">
      <c r="A65" t="str">
        <f>A46</f>
        <v>Building &amp; Construction</v>
      </c>
      <c r="C65" s="6">
        <f>B46</f>
        <v>0.18023371951142808</v>
      </c>
      <c r="D65" t="s">
        <v>64</v>
      </c>
      <c r="E65" t="s">
        <v>64</v>
      </c>
    </row>
    <row r="66" spans="1:6">
      <c r="A66" t="s">
        <v>53</v>
      </c>
      <c r="C66" s="6">
        <f>B51</f>
        <v>9.9330000000000002E-2</v>
      </c>
      <c r="D66" s="6">
        <v>-0.9</v>
      </c>
      <c r="E66" t="s">
        <v>65</v>
      </c>
      <c r="F66" t="s">
        <v>66</v>
      </c>
    </row>
  </sheetData>
  <hyperlinks>
    <hyperlink ref="E29" r:id="rId1" xr:uid="{00000000-0004-0000-01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7477-C9C1-45A5-AAEF-E4D962423FDD}">
  <sheetPr>
    <tabColor theme="7"/>
  </sheetPr>
  <dimension ref="A1:Y94"/>
  <sheetViews>
    <sheetView zoomScale="70" zoomScaleNormal="70" workbookViewId="0">
      <selection activeCell="A28" sqref="A28:XFD31"/>
    </sheetView>
  </sheetViews>
  <sheetFormatPr defaultRowHeight="14.75"/>
  <cols>
    <col min="2" max="2" width="30.1796875" customWidth="1"/>
    <col min="3" max="3" width="10.26953125" customWidth="1"/>
    <col min="4" max="4" width="12.453125" bestFit="1" customWidth="1"/>
    <col min="5" max="5" width="11.54296875" customWidth="1"/>
    <col min="6" max="6" width="12.453125" bestFit="1" customWidth="1"/>
    <col min="7" max="7" width="14.453125" customWidth="1"/>
    <col min="8" max="9" width="12.453125" bestFit="1" customWidth="1"/>
    <col min="10" max="10" width="21.1796875" customWidth="1"/>
    <col min="11" max="11" width="17.54296875" bestFit="1" customWidth="1"/>
    <col min="12" max="12" width="15.1796875" customWidth="1"/>
    <col min="13" max="13" width="16.81640625" customWidth="1"/>
    <col min="14" max="14" width="12.453125" bestFit="1" customWidth="1"/>
    <col min="19" max="19" width="10.81640625" bestFit="1" customWidth="1"/>
    <col min="24" max="24" width="10.81640625" bestFit="1" customWidth="1"/>
  </cols>
  <sheetData>
    <row r="1" spans="2:25">
      <c r="C1" s="1"/>
      <c r="D1" s="1">
        <v>2019</v>
      </c>
      <c r="E1" s="1">
        <v>2020</v>
      </c>
      <c r="F1" s="1">
        <v>2025</v>
      </c>
      <c r="G1" s="1">
        <v>2030</v>
      </c>
      <c r="H1" s="1">
        <v>2035</v>
      </c>
      <c r="I1" s="1">
        <v>2040</v>
      </c>
      <c r="J1" s="1">
        <v>2045</v>
      </c>
      <c r="K1" s="1">
        <v>2050</v>
      </c>
      <c r="L1" t="s">
        <v>67</v>
      </c>
    </row>
    <row r="2" spans="2:25">
      <c r="B2" t="s">
        <v>3</v>
      </c>
      <c r="C2" s="92"/>
      <c r="D2" s="120">
        <f>'Yearly Demand - Eth-Prop'!B3</f>
        <v>5439844.9167999998</v>
      </c>
      <c r="E2" s="120">
        <f>'Yearly Demand - Eth-Prop'!C3</f>
        <v>5341060.7015464325</v>
      </c>
      <c r="F2" s="120">
        <f>'Yearly Demand - Eth-Prop'!D3</f>
        <v>5206459.2417944744</v>
      </c>
      <c r="G2" s="120">
        <f>'Yearly Demand - Eth-Prop'!E3</f>
        <v>5061575.7260892428</v>
      </c>
      <c r="H2" s="120">
        <f>'Yearly Demand - Eth-Prop'!F3</f>
        <v>4895448.2931251777</v>
      </c>
      <c r="I2" s="120">
        <f>'Yearly Demand - Eth-Prop'!G3</f>
        <v>4712750.6046992252</v>
      </c>
      <c r="J2" s="120">
        <f>'Yearly Demand - Eth-Prop'!H3</f>
        <v>4521555.3493697401</v>
      </c>
      <c r="K2" s="120">
        <f>'Yearly Demand - Eth-Prop'!I3</f>
        <v>4330360.0940402551</v>
      </c>
      <c r="L2" s="331">
        <f>(K2/E2)^(1/30)-1</f>
        <v>-6.9680618668425121E-3</v>
      </c>
      <c r="S2" s="5" t="s">
        <v>68</v>
      </c>
    </row>
    <row r="3" spans="2:25">
      <c r="B3" t="s">
        <v>67</v>
      </c>
      <c r="D3" s="22">
        <f>(E2/D2)-1</f>
        <v>-1.815938078464141E-2</v>
      </c>
      <c r="E3" s="22">
        <f>(F2/D2)^(1/6)-1</f>
        <v>-7.2817810703688091E-3</v>
      </c>
      <c r="F3" s="22">
        <f>(F2/E2)^(1/5)-1</f>
        <v>-5.0918423706168836E-3</v>
      </c>
      <c r="G3" s="22">
        <f t="shared" ref="G3:K3" si="0">(G2/F2)^(1/5)-1</f>
        <v>-5.6285348050889583E-3</v>
      </c>
      <c r="H3" s="22">
        <f t="shared" si="0"/>
        <v>-6.6521735798773518E-3</v>
      </c>
      <c r="I3" s="22">
        <f t="shared" si="0"/>
        <v>-7.5779660408817895E-3</v>
      </c>
      <c r="J3" s="22">
        <f t="shared" si="0"/>
        <v>-8.2489276480860463E-3</v>
      </c>
      <c r="K3" s="22">
        <f t="shared" si="0"/>
        <v>-8.6038407487412094E-3</v>
      </c>
    </row>
    <row r="5" spans="2:25">
      <c r="B5" s="1" t="s">
        <v>69</v>
      </c>
      <c r="C5" s="1"/>
      <c r="D5" s="1" t="s">
        <v>528</v>
      </c>
      <c r="E5" s="1"/>
      <c r="G5" s="1"/>
      <c r="H5" s="1"/>
      <c r="I5" s="1"/>
      <c r="J5" s="1"/>
      <c r="K5" s="1"/>
    </row>
    <row r="6" spans="2:25">
      <c r="B6" t="s">
        <v>16</v>
      </c>
      <c r="C6" s="119">
        <f>D6/E2</f>
        <v>0.43646686122197292</v>
      </c>
      <c r="D6" s="99">
        <f>SUM(D14:D15)</f>
        <v>2331196</v>
      </c>
    </row>
    <row r="7" spans="2:25">
      <c r="B7" t="s">
        <v>18</v>
      </c>
      <c r="C7" s="119">
        <f>0.14*(1-$C$6)/0.39</f>
        <v>0.20229394725365077</v>
      </c>
      <c r="D7" s="99">
        <f t="shared" ref="D7:D10" si="1">C7*$E$2</f>
        <v>1080464.2518371809</v>
      </c>
      <c r="F7" t="s">
        <v>1414</v>
      </c>
    </row>
    <row r="8" spans="2:25">
      <c r="B8" t="s">
        <v>20</v>
      </c>
      <c r="C8" s="119">
        <f>0.12*(1-$C$6)/0.39</f>
        <v>0.17339481193170064</v>
      </c>
      <c r="D8" s="99">
        <f t="shared" si="1"/>
        <v>926112.21586044075</v>
      </c>
      <c r="F8" t="s">
        <v>1414</v>
      </c>
    </row>
    <row r="9" spans="2:25">
      <c r="B9" t="s">
        <v>532</v>
      </c>
      <c r="C9" s="119">
        <f>0.06*(1-$C$6)/0.39</f>
        <v>8.6697405965850322E-2</v>
      </c>
      <c r="D9" s="99">
        <f t="shared" si="1"/>
        <v>463056.10793022037</v>
      </c>
      <c r="F9" t="s">
        <v>1414</v>
      </c>
    </row>
    <row r="10" spans="2:25">
      <c r="B10" t="s">
        <v>24</v>
      </c>
      <c r="C10" s="119">
        <f>0.07*(1-$C$6)/0.39</f>
        <v>0.10114697362682538</v>
      </c>
      <c r="D10" s="99">
        <f t="shared" si="1"/>
        <v>540232.12591859046</v>
      </c>
      <c r="F10" t="s">
        <v>1414</v>
      </c>
    </row>
    <row r="11" spans="2:25">
      <c r="C11" s="6">
        <f>SUM(C6:C10)</f>
        <v>1</v>
      </c>
      <c r="D11" s="99">
        <f>C11*$E$2</f>
        <v>5341060.7015464325</v>
      </c>
    </row>
    <row r="13" spans="2:25">
      <c r="B13" s="1" t="s">
        <v>70</v>
      </c>
      <c r="D13" s="1" t="s">
        <v>528</v>
      </c>
      <c r="E13" s="1" t="s">
        <v>530</v>
      </c>
      <c r="G13" s="1" t="s">
        <v>71</v>
      </c>
      <c r="I13" s="1" t="s">
        <v>528</v>
      </c>
      <c r="J13" s="1" t="s">
        <v>530</v>
      </c>
      <c r="L13" s="1" t="s">
        <v>72</v>
      </c>
      <c r="N13" s="1" t="s">
        <v>528</v>
      </c>
      <c r="O13" s="1" t="s">
        <v>530</v>
      </c>
      <c r="Q13" s="1" t="s">
        <v>547</v>
      </c>
      <c r="S13" s="1" t="s">
        <v>528</v>
      </c>
      <c r="T13" s="1" t="s">
        <v>530</v>
      </c>
      <c r="V13" s="1" t="s">
        <v>24</v>
      </c>
      <c r="X13" s="1" t="s">
        <v>528</v>
      </c>
      <c r="Y13" s="1" t="s">
        <v>530</v>
      </c>
    </row>
    <row r="14" spans="2:25">
      <c r="B14" t="s">
        <v>9</v>
      </c>
      <c r="C14" s="221">
        <f>D14/D16</f>
        <v>0.36285537552397995</v>
      </c>
      <c r="D14" s="514">
        <f>845887</f>
        <v>845887</v>
      </c>
      <c r="E14" s="2">
        <f>D14/$D$11</f>
        <v>0.15837434683247184</v>
      </c>
      <c r="G14" t="s">
        <v>533</v>
      </c>
      <c r="H14" s="221">
        <f>I14/I21</f>
        <v>0.35275933424729666</v>
      </c>
      <c r="I14" s="99">
        <f>I27</f>
        <v>381143.85015608743</v>
      </c>
      <c r="J14" s="2">
        <f>I14/$D$11</f>
        <v>7.1361078155455587E-2</v>
      </c>
      <c r="K14" s="2">
        <f>(I14-K69)/(I21-K69)</f>
        <v>0.33471505812741392</v>
      </c>
      <c r="L14" t="s">
        <v>34</v>
      </c>
      <c r="M14" s="221">
        <f>N14/N16</f>
        <v>0.45582733579190249</v>
      </c>
      <c r="N14" s="514">
        <f>942293*E38</f>
        <v>422147.26400000002</v>
      </c>
      <c r="O14" s="2">
        <f>N14/$D$11</f>
        <v>7.9038095162965089E-2</v>
      </c>
      <c r="Q14" t="s">
        <v>529</v>
      </c>
      <c r="R14" s="221">
        <f>S14/$S$16</f>
        <v>0.95369571593461744</v>
      </c>
      <c r="S14" s="99">
        <f>S21</f>
        <v>441614.62637040898</v>
      </c>
      <c r="T14" s="2">
        <f>S14/$D$11</f>
        <v>8.2682944652275797E-2</v>
      </c>
      <c r="V14" t="s">
        <v>24</v>
      </c>
      <c r="W14" s="51">
        <v>1</v>
      </c>
      <c r="X14" s="99">
        <f>W14*$D$10</f>
        <v>540232.12591859046</v>
      </c>
      <c r="Y14" s="2">
        <f>X14/$D$11</f>
        <v>0.10114697362682538</v>
      </c>
    </row>
    <row r="15" spans="2:25">
      <c r="B15" t="s">
        <v>29</v>
      </c>
      <c r="C15" s="221">
        <f>1-C14</f>
        <v>0.63714462447602005</v>
      </c>
      <c r="D15" s="514">
        <f>1485309</f>
        <v>1485309</v>
      </c>
      <c r="E15" s="2">
        <f>D15/$D$11</f>
        <v>0.27809251438950106</v>
      </c>
      <c r="G15" t="s">
        <v>534</v>
      </c>
      <c r="H15" s="221">
        <f>0.13*(1-$H$14)/0.33</f>
        <v>0.2549735955995498</v>
      </c>
      <c r="I15" s="99">
        <f>H15*I14/H14</f>
        <v>275489.85520770354</v>
      </c>
      <c r="J15" s="2">
        <f>I15/$D$11</f>
        <v>5.1579615099289017E-2</v>
      </c>
      <c r="L15" t="s">
        <v>27</v>
      </c>
      <c r="M15" s="221">
        <f>N15/N16</f>
        <v>0.54417266420809751</v>
      </c>
      <c r="N15" s="99">
        <f>N16-N14</f>
        <v>503964.95186044072</v>
      </c>
      <c r="O15" s="2">
        <f>N15/$D$11</f>
        <v>9.4356716768735555E-2</v>
      </c>
      <c r="Q15" t="s">
        <v>24</v>
      </c>
      <c r="R15" s="221">
        <f>S15/$S$16</f>
        <v>4.630428406538261E-2</v>
      </c>
      <c r="S15" s="99">
        <f>S16-S14</f>
        <v>21441.481559811393</v>
      </c>
      <c r="T15" s="2">
        <f>S15/$D$11</f>
        <v>4.0144613135745305E-3</v>
      </c>
      <c r="W15" s="6">
        <f>SUM(W14)</f>
        <v>1</v>
      </c>
      <c r="X15" s="99">
        <f>W15*$D$10</f>
        <v>540232.12591859046</v>
      </c>
      <c r="Y15" s="2"/>
    </row>
    <row r="16" spans="2:25">
      <c r="C16" s="6">
        <f>SUM(C14:C15)</f>
        <v>1</v>
      </c>
      <c r="D16" s="99">
        <f>SUM(D14:D15)</f>
        <v>2331196</v>
      </c>
      <c r="G16" t="s">
        <v>535</v>
      </c>
      <c r="H16" s="221">
        <f>0.06*(1-$H$14)/0.33</f>
        <v>0.11768012104594605</v>
      </c>
      <c r="I16" s="99">
        <f t="shared" ref="I16:I20" si="2">H16*I15/H15</f>
        <v>127149.16394201701</v>
      </c>
      <c r="J16" s="2">
        <f t="shared" ref="J16:J20" si="3">I16/$D$11</f>
        <v>2.3805976199671851E-2</v>
      </c>
      <c r="M16" s="6">
        <f>SUM(M14:M15)</f>
        <v>1</v>
      </c>
      <c r="N16" s="99">
        <f>D8</f>
        <v>926112.21586044075</v>
      </c>
      <c r="O16" s="2"/>
      <c r="R16" s="6">
        <f>SUM(R14:R15)</f>
        <v>1</v>
      </c>
      <c r="S16" s="99">
        <f>D9</f>
        <v>463056.10793022037</v>
      </c>
      <c r="X16" s="40"/>
    </row>
    <row r="17" spans="1:20">
      <c r="C17" s="6"/>
      <c r="D17" s="40"/>
      <c r="G17" t="s">
        <v>555</v>
      </c>
      <c r="H17" s="221">
        <f>0.03*(1-$H$14)/0.33</f>
        <v>5.8840060522973026E-2</v>
      </c>
      <c r="I17" s="99">
        <f t="shared" si="2"/>
        <v>63574.581971008505</v>
      </c>
      <c r="J17" s="2">
        <f t="shared" si="3"/>
        <v>1.1902988099835926E-2</v>
      </c>
      <c r="N17" s="40"/>
      <c r="O17" s="2"/>
      <c r="S17" s="99"/>
    </row>
    <row r="18" spans="1:20">
      <c r="C18" s="6"/>
      <c r="D18" s="40"/>
      <c r="G18" t="s">
        <v>536</v>
      </c>
      <c r="H18" s="221">
        <f>0.02*(1-$H$14)/0.33</f>
        <v>3.9226707015315353E-2</v>
      </c>
      <c r="I18" s="99">
        <f t="shared" si="2"/>
        <v>42383.054647339006</v>
      </c>
      <c r="J18" s="2">
        <f t="shared" si="3"/>
        <v>7.9353253998906172E-3</v>
      </c>
      <c r="N18" s="40"/>
      <c r="O18" s="2"/>
      <c r="Q18" s="1" t="s">
        <v>73</v>
      </c>
      <c r="S18" s="520" t="s">
        <v>528</v>
      </c>
      <c r="T18" s="1" t="s">
        <v>530</v>
      </c>
    </row>
    <row r="19" spans="1:20">
      <c r="C19" s="6"/>
      <c r="D19" s="40"/>
      <c r="G19" t="s">
        <v>537</v>
      </c>
      <c r="H19" s="221">
        <f>0.03*(1-$H$14)/0.33</f>
        <v>5.8840060522973026E-2</v>
      </c>
      <c r="I19" s="99">
        <f t="shared" si="2"/>
        <v>63574.581971008512</v>
      </c>
      <c r="J19" s="2">
        <f t="shared" si="3"/>
        <v>1.1902988099835927E-2</v>
      </c>
      <c r="N19" s="40"/>
      <c r="O19" s="2"/>
      <c r="Q19" t="s">
        <v>33</v>
      </c>
      <c r="R19" s="51">
        <v>0.59</v>
      </c>
      <c r="S19" s="514">
        <f>969628*E39</f>
        <v>260552.62955854129</v>
      </c>
      <c r="T19" s="2">
        <f>S19/$D$11</f>
        <v>4.8782937344842715E-2</v>
      </c>
    </row>
    <row r="20" spans="1:20">
      <c r="C20" s="6"/>
      <c r="D20" s="40"/>
      <c r="G20" t="s">
        <v>27</v>
      </c>
      <c r="H20" s="221">
        <f>0.06*(1-$H$14)/0.33</f>
        <v>0.11768012104594605</v>
      </c>
      <c r="I20" s="99">
        <f t="shared" si="2"/>
        <v>127149.16394201702</v>
      </c>
      <c r="J20" s="2">
        <f t="shared" si="3"/>
        <v>2.3805976199671855E-2</v>
      </c>
      <c r="N20" s="40"/>
      <c r="O20" s="2"/>
      <c r="Q20" t="s">
        <v>24</v>
      </c>
      <c r="R20" s="51">
        <f>1-R19</f>
        <v>0.41000000000000003</v>
      </c>
      <c r="S20" s="99">
        <f>R20*S19/R19</f>
        <v>181061.99681186769</v>
      </c>
      <c r="T20" s="2">
        <f>S20/$D$11</f>
        <v>3.3900007307433075E-2</v>
      </c>
    </row>
    <row r="21" spans="1:20">
      <c r="C21" s="6"/>
      <c r="D21" s="40"/>
      <c r="H21" s="6">
        <f>SUM(H14:H20)</f>
        <v>1</v>
      </c>
      <c r="I21" s="99">
        <f>D7</f>
        <v>1080464.2518371809</v>
      </c>
      <c r="M21" s="40"/>
      <c r="R21" s="6">
        <f>SUM(R19:R20)</f>
        <v>1</v>
      </c>
      <c r="S21" s="99">
        <f>SUM(S19:S20)</f>
        <v>441614.62637040898</v>
      </c>
    </row>
    <row r="22" spans="1:20">
      <c r="C22" s="6"/>
      <c r="D22" s="40"/>
      <c r="H22" s="6"/>
      <c r="I22" s="99"/>
      <c r="M22" s="40"/>
      <c r="N22" s="2">
        <f>R14*R19</f>
        <v>0.56268047240142427</v>
      </c>
      <c r="S22" s="99"/>
    </row>
    <row r="23" spans="1:20">
      <c r="C23" s="6"/>
      <c r="D23" s="40"/>
      <c r="G23" s="1" t="s">
        <v>539</v>
      </c>
      <c r="I23" s="520" t="s">
        <v>528</v>
      </c>
      <c r="J23" s="1" t="s">
        <v>530</v>
      </c>
      <c r="M23" s="40"/>
    </row>
    <row r="24" spans="1:20">
      <c r="C24" s="6"/>
      <c r="D24" s="40"/>
      <c r="G24" t="s">
        <v>77</v>
      </c>
      <c r="H24" s="221">
        <f>I24/I27</f>
        <v>0.15377412053164682</v>
      </c>
      <c r="I24" s="514">
        <f>(670527*0.6*E36)</f>
        <v>58610.06035379813</v>
      </c>
      <c r="J24" s="2">
        <f>I24/E2</f>
        <v>1.0973487033545297E-2</v>
      </c>
      <c r="K24" s="37">
        <f>H24*H14</f>
        <v>5.4245256383207284E-2</v>
      </c>
      <c r="L24" s="2">
        <f>(I24+I25-K69)/(I27-K69)</f>
        <v>0.67501268036997808</v>
      </c>
      <c r="M24" s="40"/>
    </row>
    <row r="25" spans="1:20">
      <c r="C25" s="6"/>
      <c r="D25" s="40"/>
      <c r="G25" t="s">
        <v>35</v>
      </c>
      <c r="H25" s="221">
        <f>I25/I27</f>
        <v>0.54622587946835321</v>
      </c>
      <c r="I25" s="514">
        <f>(1429080*E36)</f>
        <v>208190.63475546308</v>
      </c>
      <c r="J25" s="2">
        <f>I25/E2</f>
        <v>3.8979267675273613E-2</v>
      </c>
      <c r="K25" s="37">
        <f>H25*H14</f>
        <v>0.1926862775899004</v>
      </c>
      <c r="M25" s="40"/>
    </row>
    <row r="26" spans="1:20">
      <c r="C26" s="6"/>
      <c r="D26" s="40"/>
      <c r="G26" t="s">
        <v>24</v>
      </c>
      <c r="H26" s="51">
        <v>0.3</v>
      </c>
      <c r="I26" s="99">
        <f>(I24+I25)*H26/(1-H26)</f>
        <v>114343.15504682623</v>
      </c>
      <c r="J26" s="2">
        <f>I26/E2</f>
        <v>2.1408323446636675E-2</v>
      </c>
      <c r="K26" s="37">
        <f>H26*H14</f>
        <v>0.10582780027418899</v>
      </c>
      <c r="M26" s="40"/>
    </row>
    <row r="27" spans="1:20">
      <c r="C27" s="6"/>
      <c r="D27" s="40"/>
      <c r="H27" s="6">
        <f>SUM(H24:H26)</f>
        <v>1</v>
      </c>
      <c r="I27" s="99">
        <f>SUM(I24:I26)</f>
        <v>381143.85015608743</v>
      </c>
      <c r="M27" s="40"/>
    </row>
    <row r="28" spans="1:20">
      <c r="D28" s="40"/>
      <c r="G28" s="230" t="s">
        <v>602</v>
      </c>
      <c r="H28" s="230"/>
      <c r="I28" s="230"/>
      <c r="J28" s="230"/>
      <c r="K28" s="230"/>
      <c r="L28" s="230"/>
      <c r="M28" s="230"/>
    </row>
    <row r="29" spans="1:20">
      <c r="A29" s="1" t="s">
        <v>60</v>
      </c>
      <c r="B29" t="s">
        <v>561</v>
      </c>
      <c r="G29" t="s">
        <v>567</v>
      </c>
      <c r="L29" s="5" t="s">
        <v>52</v>
      </c>
      <c r="Q29" t="s">
        <v>549</v>
      </c>
    </row>
    <row r="30" spans="1:20">
      <c r="G30" t="s">
        <v>538</v>
      </c>
      <c r="Q30" t="s">
        <v>546</v>
      </c>
    </row>
    <row r="31" spans="1:20">
      <c r="G31" t="s">
        <v>565</v>
      </c>
    </row>
    <row r="33" spans="2:11">
      <c r="B33" s="1" t="s">
        <v>75</v>
      </c>
      <c r="C33" s="1"/>
      <c r="E33" s="1" t="s">
        <v>76</v>
      </c>
      <c r="H33" s="1"/>
    </row>
    <row r="34" spans="2:11">
      <c r="B34" t="s">
        <v>9</v>
      </c>
      <c r="C34" s="2">
        <f>C6*C14</f>
        <v>0.15837434683247184</v>
      </c>
      <c r="E34" s="140">
        <v>1</v>
      </c>
      <c r="F34" s="50" t="s">
        <v>338</v>
      </c>
    </row>
    <row r="35" spans="2:11">
      <c r="B35" t="s">
        <v>29</v>
      </c>
      <c r="C35" s="2">
        <f>C15*C6</f>
        <v>0.27809251438950111</v>
      </c>
      <c r="E35" s="140">
        <v>1</v>
      </c>
      <c r="F35" s="50" t="s">
        <v>338</v>
      </c>
    </row>
    <row r="36" spans="2:11">
      <c r="B36" t="s">
        <v>35</v>
      </c>
      <c r="C36" s="2">
        <f>H25*C7*H14</f>
        <v>3.897926767527362E-2</v>
      </c>
      <c r="E36" s="140">
        <f>28/192.2</f>
        <v>0.14568158168574402</v>
      </c>
      <c r="F36" s="50" t="s">
        <v>557</v>
      </c>
    </row>
    <row r="37" spans="2:11">
      <c r="B37" t="s">
        <v>77</v>
      </c>
      <c r="C37" s="2">
        <f>H14*C7*H24</f>
        <v>1.0973487033545297E-2</v>
      </c>
      <c r="E37" s="220">
        <f>E36</f>
        <v>0.14568158168574402</v>
      </c>
      <c r="F37" s="50"/>
      <c r="K37" s="50"/>
    </row>
    <row r="38" spans="2:11">
      <c r="B38" t="s">
        <v>34</v>
      </c>
      <c r="C38" s="2">
        <f>M14*C8</f>
        <v>7.9038095162965089E-2</v>
      </c>
      <c r="E38" s="140">
        <f>28/62.5</f>
        <v>0.44800000000000001</v>
      </c>
      <c r="F38" s="50" t="s">
        <v>556</v>
      </c>
    </row>
    <row r="39" spans="2:11">
      <c r="B39" t="s">
        <v>74</v>
      </c>
      <c r="C39" s="2">
        <f>R14*C9</f>
        <v>8.2682944652275797E-2</v>
      </c>
      <c r="E39" s="140">
        <f>28/104.2</f>
        <v>0.2687140115163148</v>
      </c>
      <c r="F39" s="50" t="s">
        <v>558</v>
      </c>
    </row>
    <row r="40" spans="2:11">
      <c r="B40" t="s">
        <v>1013</v>
      </c>
      <c r="C40" s="2">
        <f>J18+J19+T20</f>
        <v>5.3738320807159623E-2</v>
      </c>
      <c r="E40" s="140"/>
      <c r="F40" s="50"/>
    </row>
    <row r="41" spans="2:11">
      <c r="B41" t="s">
        <v>24</v>
      </c>
      <c r="C41" s="6">
        <f>1-SUM(C34:C40)</f>
        <v>0.29812102344680769</v>
      </c>
      <c r="E41" s="51">
        <v>0.1</v>
      </c>
      <c r="F41" s="50" t="s">
        <v>339</v>
      </c>
    </row>
    <row r="42" spans="2:11">
      <c r="C42" s="6">
        <f>SUM(C34:C41)</f>
        <v>1</v>
      </c>
    </row>
    <row r="43" spans="2:11">
      <c r="B43" s="1"/>
    </row>
    <row r="44" spans="2:11">
      <c r="B44" s="58" t="s">
        <v>337</v>
      </c>
      <c r="C44" s="58" t="s">
        <v>141</v>
      </c>
      <c r="D44" s="58"/>
      <c r="E44" s="58" t="s">
        <v>33</v>
      </c>
      <c r="F44" s="58" t="s">
        <v>34</v>
      </c>
      <c r="G44" s="58" t="s">
        <v>35</v>
      </c>
      <c r="H44" s="58" t="s">
        <v>27</v>
      </c>
    </row>
    <row r="45" spans="2:11">
      <c r="B45" t="s">
        <v>17</v>
      </c>
      <c r="C45" s="139">
        <f>'Production - Industry shares'!B18</f>
        <v>0.14509090909090913</v>
      </c>
      <c r="D45" s="139"/>
      <c r="E45" s="139">
        <f>'Production - Industry shares'!E18</f>
        <v>2.2092105263157892E-2</v>
      </c>
      <c r="F45" s="139">
        <f>'Production - Industry shares'!F18</f>
        <v>1.2153846153846157E-2</v>
      </c>
      <c r="G45" s="139">
        <f>'Production - Industry shares'!G18</f>
        <v>3.6999999999999998E-2</v>
      </c>
      <c r="H45" s="22">
        <f>SUM('Production - Industry shares'!H18:I18)</f>
        <v>5.8898809523809537E-3</v>
      </c>
    </row>
    <row r="46" spans="2:11">
      <c r="B46" t="s">
        <v>19</v>
      </c>
      <c r="C46" s="139">
        <f>'Production - Industry shares'!B19</f>
        <v>2.8000000000000004E-2</v>
      </c>
      <c r="D46" s="139"/>
      <c r="E46" s="139">
        <f>'Production - Industry shares'!E19</f>
        <v>2.1131578947368421E-2</v>
      </c>
      <c r="F46" s="139">
        <f>'Production - Industry shares'!F19</f>
        <v>0.1093846153846154</v>
      </c>
      <c r="G46" s="139">
        <f>'Production - Industry shares'!G19</f>
        <v>0</v>
      </c>
      <c r="H46" s="22">
        <f>SUM('Production - Industry shares'!H19:I19)</f>
        <v>3.2616071428571439E-2</v>
      </c>
    </row>
    <row r="47" spans="2:11">
      <c r="B47" t="s">
        <v>21</v>
      </c>
      <c r="C47" s="139">
        <f>'Production - Industry shares'!B20</f>
        <v>5.7272727272727284E-3</v>
      </c>
      <c r="D47" s="139"/>
      <c r="E47" s="139">
        <f>'Production - Industry shares'!E20</f>
        <v>0</v>
      </c>
      <c r="F47" s="139">
        <f>'Production - Industry shares'!F20</f>
        <v>4.0512820512820513E-3</v>
      </c>
      <c r="G47" s="139">
        <f>'Production - Industry shares'!G20</f>
        <v>0</v>
      </c>
      <c r="H47" s="22">
        <f>SUM('Production - Industry shares'!H20:I20)</f>
        <v>7.9744047619047631E-2</v>
      </c>
    </row>
    <row r="48" spans="2:11">
      <c r="B48" t="s">
        <v>41</v>
      </c>
      <c r="C48" s="139">
        <f>'Production - Industry shares'!B21</f>
        <v>4.454545454545455E-3</v>
      </c>
      <c r="D48" s="139"/>
      <c r="E48" s="139">
        <f>'Production - Industry shares'!E21</f>
        <v>5.7631578947368424E-3</v>
      </c>
      <c r="F48" s="139">
        <f>'Production - Industry shares'!F21</f>
        <v>5.4017094017094021E-3</v>
      </c>
      <c r="G48" s="139">
        <f>'Production - Industry shares'!G21</f>
        <v>0</v>
      </c>
      <c r="H48" s="22">
        <f>SUM('Production - Industry shares'!H21:I21)</f>
        <v>5.5279761904761915E-2</v>
      </c>
    </row>
    <row r="49" spans="2:21">
      <c r="B49" t="s">
        <v>26</v>
      </c>
      <c r="C49" s="139">
        <f>'Production - Industry shares'!B22</f>
        <v>2.9272727272727277E-2</v>
      </c>
      <c r="D49" s="139"/>
      <c r="E49" s="139">
        <f>'Production - Industry shares'!E22</f>
        <v>1.7289473684210528E-2</v>
      </c>
      <c r="F49" s="139">
        <f>'Production - Industry shares'!F22</f>
        <v>8.1025641025641026E-3</v>
      </c>
      <c r="G49" s="139">
        <f>'Production - Industry shares'!G22</f>
        <v>0</v>
      </c>
      <c r="H49" s="22">
        <f>SUM('Production - Industry shares'!H22:I22)</f>
        <v>1.3136904761904765E-2</v>
      </c>
    </row>
    <row r="50" spans="2:21">
      <c r="B50" t="s">
        <v>27</v>
      </c>
      <c r="C50" s="139">
        <f>'Production - Industry shares'!B23</f>
        <v>1.8454545454545456E-2</v>
      </c>
      <c r="D50" s="139"/>
      <c r="E50" s="139">
        <f>'Production - Industry shares'!E23</f>
        <v>6.7236842105263149E-3</v>
      </c>
      <c r="F50" s="139">
        <f>'Production - Industry shares'!F23</f>
        <v>1.8905982905982905E-2</v>
      </c>
      <c r="G50" s="139">
        <f>'Production - Industry shares'!G23</f>
        <v>0</v>
      </c>
      <c r="H50" s="22">
        <f>SUM('Production - Industry shares'!H23:I23)</f>
        <v>9.3333333333333351E-2</v>
      </c>
    </row>
    <row r="51" spans="2:21">
      <c r="B51" t="s">
        <v>43</v>
      </c>
      <c r="C51" s="139">
        <f>'Production - Industry shares'!B24</f>
        <v>0.23100000000000004</v>
      </c>
      <c r="D51" s="139"/>
      <c r="E51" s="139">
        <f>'Production - Industry shares'!E24</f>
        <v>7.2999999999999995E-2</v>
      </c>
      <c r="F51" s="139">
        <f>'Production - Industry shares'!F24</f>
        <v>0.15800000000000003</v>
      </c>
      <c r="G51" s="139">
        <f>'Production - Industry shares'!G24</f>
        <v>3.6999999999999998E-2</v>
      </c>
      <c r="H51" s="22">
        <f>SUM('Production - Industry shares'!H24:I24)</f>
        <v>0.28000000000000003</v>
      </c>
      <c r="I51" s="37"/>
    </row>
    <row r="53" spans="2:21">
      <c r="B53" s="27" t="s">
        <v>48</v>
      </c>
      <c r="C53" s="27" t="s">
        <v>141</v>
      </c>
      <c r="D53" s="27"/>
      <c r="E53" s="27" t="s">
        <v>33</v>
      </c>
      <c r="F53" s="27" t="s">
        <v>34</v>
      </c>
      <c r="G53" s="27" t="s">
        <v>35</v>
      </c>
      <c r="H53" s="58" t="s">
        <v>27</v>
      </c>
    </row>
    <row r="54" spans="2:21">
      <c r="B54" t="s">
        <v>17</v>
      </c>
      <c r="C54" s="2">
        <f>C45/C$51</f>
        <v>0.62809917355371903</v>
      </c>
      <c r="D54" s="2"/>
      <c r="E54" s="2">
        <f t="shared" ref="C54:H59" si="4">E45/E$51</f>
        <v>0.30263157894736842</v>
      </c>
      <c r="F54" s="2">
        <f>F45/F$51</f>
        <v>7.6923076923076927E-2</v>
      </c>
      <c r="G54" s="2">
        <f t="shared" si="4"/>
        <v>1</v>
      </c>
      <c r="H54" s="2">
        <f>H45/H$51</f>
        <v>2.1035289115646262E-2</v>
      </c>
    </row>
    <row r="55" spans="2:21">
      <c r="B55" t="s">
        <v>19</v>
      </c>
      <c r="C55" s="2">
        <f t="shared" si="4"/>
        <v>0.12121212121212122</v>
      </c>
      <c r="D55" s="2"/>
      <c r="E55" s="2">
        <f t="shared" si="4"/>
        <v>0.28947368421052633</v>
      </c>
      <c r="F55" s="2">
        <f t="shared" si="4"/>
        <v>0.69230769230769229</v>
      </c>
      <c r="G55" s="2">
        <f t="shared" si="4"/>
        <v>0</v>
      </c>
      <c r="H55" s="2">
        <f t="shared" si="4"/>
        <v>0.11648596938775513</v>
      </c>
    </row>
    <row r="56" spans="2:21">
      <c r="B56" t="s">
        <v>21</v>
      </c>
      <c r="C56" s="2">
        <f t="shared" si="4"/>
        <v>2.4793388429752067E-2</v>
      </c>
      <c r="D56" s="2"/>
      <c r="E56" s="2">
        <f t="shared" si="4"/>
        <v>0</v>
      </c>
      <c r="F56" s="2">
        <f t="shared" si="4"/>
        <v>2.5641025641025637E-2</v>
      </c>
      <c r="G56" s="2">
        <f t="shared" si="4"/>
        <v>0</v>
      </c>
      <c r="H56" s="2">
        <f t="shared" si="4"/>
        <v>0.28480017006802721</v>
      </c>
    </row>
    <row r="57" spans="2:21">
      <c r="B57" t="s">
        <v>23</v>
      </c>
      <c r="C57" s="2">
        <f t="shared" si="4"/>
        <v>1.9283746556473826E-2</v>
      </c>
      <c r="D57" s="2"/>
      <c r="E57" s="2">
        <f t="shared" si="4"/>
        <v>7.8947368421052641E-2</v>
      </c>
      <c r="F57" s="2">
        <f t="shared" si="4"/>
        <v>3.4188034188034185E-2</v>
      </c>
      <c r="G57" s="2">
        <f t="shared" si="4"/>
        <v>0</v>
      </c>
      <c r="H57" s="2">
        <f t="shared" si="4"/>
        <v>0.1974277210884354</v>
      </c>
    </row>
    <row r="58" spans="2:21">
      <c r="B58" t="s">
        <v>26</v>
      </c>
      <c r="C58" s="2">
        <f t="shared" si="4"/>
        <v>0.12672176308539945</v>
      </c>
      <c r="D58" s="2"/>
      <c r="E58" s="2">
        <f t="shared" si="4"/>
        <v>0.23684210526315794</v>
      </c>
      <c r="F58" s="2">
        <f t="shared" si="4"/>
        <v>5.1282051282051273E-2</v>
      </c>
      <c r="G58" s="2">
        <f t="shared" si="4"/>
        <v>0</v>
      </c>
      <c r="H58" s="2">
        <f t="shared" si="4"/>
        <v>4.6917517006802724E-2</v>
      </c>
    </row>
    <row r="59" spans="2:21">
      <c r="B59" t="s">
        <v>27</v>
      </c>
      <c r="C59" s="2">
        <f t="shared" si="4"/>
        <v>7.9889807162534424E-2</v>
      </c>
      <c r="D59" s="2"/>
      <c r="E59" s="2">
        <f t="shared" si="4"/>
        <v>9.2105263157894732E-2</v>
      </c>
      <c r="F59" s="2">
        <f t="shared" si="4"/>
        <v>0.11965811965811964</v>
      </c>
      <c r="G59" s="2">
        <f t="shared" si="4"/>
        <v>0</v>
      </c>
      <c r="H59" s="2">
        <f t="shared" si="4"/>
        <v>0.33333333333333337</v>
      </c>
    </row>
    <row r="60" spans="2:21">
      <c r="B60" t="s">
        <v>78</v>
      </c>
      <c r="C60" s="2">
        <f t="shared" ref="C60:H60" si="5">SUM(C54:C59)</f>
        <v>1</v>
      </c>
      <c r="D60" s="2"/>
      <c r="E60" s="2">
        <f t="shared" si="5"/>
        <v>1</v>
      </c>
      <c r="F60" s="2">
        <f t="shared" si="5"/>
        <v>1</v>
      </c>
      <c r="G60" s="2">
        <f t="shared" si="5"/>
        <v>1</v>
      </c>
      <c r="H60" s="2">
        <f t="shared" si="5"/>
        <v>1</v>
      </c>
      <c r="K60" s="6"/>
    </row>
    <row r="61" spans="2:21" ht="15.5" thickBot="1"/>
    <row r="62" spans="2:21">
      <c r="B62" s="27" t="s">
        <v>54</v>
      </c>
      <c r="C62" s="27" t="s">
        <v>141</v>
      </c>
      <c r="D62" s="27"/>
      <c r="E62" s="27" t="s">
        <v>33</v>
      </c>
      <c r="F62" s="27" t="s">
        <v>34</v>
      </c>
      <c r="G62" s="27" t="s">
        <v>35</v>
      </c>
      <c r="H62" s="27" t="s">
        <v>77</v>
      </c>
      <c r="I62" s="27" t="s">
        <v>27</v>
      </c>
      <c r="J62" s="30" t="s">
        <v>78</v>
      </c>
      <c r="K62" s="33" t="s">
        <v>79</v>
      </c>
      <c r="L62" s="33" t="s">
        <v>67</v>
      </c>
      <c r="M62" s="86" t="s">
        <v>80</v>
      </c>
      <c r="N62" s="89" t="s">
        <v>78</v>
      </c>
      <c r="P62" s="142" t="s">
        <v>340</v>
      </c>
      <c r="U62" s="1" t="s">
        <v>377</v>
      </c>
    </row>
    <row r="63" spans="2:21">
      <c r="B63" t="s">
        <v>17</v>
      </c>
      <c r="C63" s="2">
        <f>C54*$C$35</f>
        <v>0.17466967845952136</v>
      </c>
      <c r="D63" s="2"/>
      <c r="E63" s="2">
        <f t="shared" ref="E63:E68" si="6">E54*$C$39</f>
        <v>2.5022470092136095E-2</v>
      </c>
      <c r="F63" s="2">
        <f t="shared" ref="F63:F68" si="7">F54*$C$38</f>
        <v>6.0798534740742378E-3</v>
      </c>
      <c r="G63" s="2">
        <f>G54*$C$36</f>
        <v>3.897926767527362E-2</v>
      </c>
      <c r="H63" s="188">
        <v>0</v>
      </c>
      <c r="I63" s="2">
        <f>H54*SUM($C$40:$C$41)</f>
        <v>7.4014630344239095E-3</v>
      </c>
      <c r="J63" s="31">
        <f>SUM(C63:I63)</f>
        <v>0.25215273273542926</v>
      </c>
      <c r="K63" s="34">
        <f>J63*$E$2</f>
        <v>1346763.0516007419</v>
      </c>
      <c r="L63" s="470">
        <f>$L$2</f>
        <v>-6.9680618668425121E-3</v>
      </c>
      <c r="M63" s="87">
        <f>K63*(1+L63)^30</f>
        <v>1091912.1314407033</v>
      </c>
      <c r="N63" s="90">
        <f>M63/M$70</f>
        <v>0.29960200450928676</v>
      </c>
      <c r="P63" s="50" t="s">
        <v>341</v>
      </c>
    </row>
    <row r="64" spans="2:21">
      <c r="B64" t="s">
        <v>19</v>
      </c>
      <c r="C64" s="2">
        <f t="shared" ref="C64:C68" si="8">C55*$C$35</f>
        <v>3.3708183562363769E-2</v>
      </c>
      <c r="D64" s="2"/>
      <c r="E64" s="2">
        <f t="shared" si="6"/>
        <v>2.3934536609869311E-2</v>
      </c>
      <c r="F64" s="2">
        <f t="shared" si="7"/>
        <v>5.4718681266668137E-2</v>
      </c>
      <c r="G64" s="2">
        <f t="shared" ref="G64:G68" si="9">G55*$C$36</f>
        <v>0</v>
      </c>
      <c r="H64" s="236">
        <f>$C$37*0.25</f>
        <v>2.7433717583863243E-3</v>
      </c>
      <c r="I64" s="2">
        <f>H55*SUM($C$40:$C$41)</f>
        <v>4.098667680356323E-2</v>
      </c>
      <c r="J64" s="31">
        <f>SUM(C64:I64)</f>
        <v>0.15609145000085078</v>
      </c>
      <c r="K64" s="34">
        <f t="shared" ref="K64:K68" si="10">J64*$E$2</f>
        <v>833693.90944694402</v>
      </c>
      <c r="L64" s="470">
        <f>$L$2</f>
        <v>-6.9680618668425121E-3</v>
      </c>
      <c r="M64" s="87">
        <f>K64*(1+L64)^30</f>
        <v>675932.18610456563</v>
      </c>
      <c r="N64" s="90">
        <f t="shared" ref="N64:N69" si="11">M64/M$70</f>
        <v>0.1854642255893551</v>
      </c>
      <c r="P64" s="50" t="s">
        <v>342</v>
      </c>
      <c r="U64" s="156" t="s">
        <v>378</v>
      </c>
    </row>
    <row r="65" spans="2:21">
      <c r="B65" t="s">
        <v>21</v>
      </c>
      <c r="C65" s="2">
        <f t="shared" si="8"/>
        <v>6.8948557286653174E-3</v>
      </c>
      <c r="D65" s="2"/>
      <c r="E65" s="2">
        <f t="shared" si="6"/>
        <v>0</v>
      </c>
      <c r="F65" s="2">
        <f t="shared" si="7"/>
        <v>2.026617824691412E-3</v>
      </c>
      <c r="G65" s="2">
        <f t="shared" si="9"/>
        <v>0</v>
      </c>
      <c r="H65" s="236">
        <f>0</f>
        <v>0</v>
      </c>
      <c r="I65" s="2">
        <f>H56*SUM($C$40:$C$41)</f>
        <v>0.10020960108355442</v>
      </c>
      <c r="J65" s="31">
        <f>SUM(C65:I65)</f>
        <v>0.10913107463691116</v>
      </c>
      <c r="K65" s="34">
        <f>J65*$E$2</f>
        <v>582875.6940607368</v>
      </c>
      <c r="L65" s="470">
        <f>$L$2</f>
        <v>-6.9680618668425121E-3</v>
      </c>
      <c r="M65" s="87">
        <f>K65*(1+L65)^30</f>
        <v>472576.85062740982</v>
      </c>
      <c r="N65" s="90">
        <f t="shared" si="11"/>
        <v>0.12966700126854172</v>
      </c>
      <c r="P65" s="50" t="s">
        <v>342</v>
      </c>
    </row>
    <row r="66" spans="2:21">
      <c r="B66" t="s">
        <v>23</v>
      </c>
      <c r="C66" s="2">
        <f t="shared" si="8"/>
        <v>5.3626655667396899E-3</v>
      </c>
      <c r="D66" s="2"/>
      <c r="E66" s="2">
        <f t="shared" si="6"/>
        <v>6.5276008936007218E-3</v>
      </c>
      <c r="F66" s="2">
        <f t="shared" si="7"/>
        <v>2.7021570995885498E-3</v>
      </c>
      <c r="G66" s="2">
        <f t="shared" si="9"/>
        <v>0</v>
      </c>
      <c r="H66" s="236">
        <v>0</v>
      </c>
      <c r="I66" s="2">
        <f t="shared" ref="I66:I68" si="12">H57*SUM($C$40:$C$41)</f>
        <v>6.9466788479732033E-2</v>
      </c>
      <c r="J66" s="31">
        <f t="shared" ref="J66:J68" si="13">SUM(C66:I66)</f>
        <v>8.4059212039660991E-2</v>
      </c>
      <c r="K66" s="34">
        <f t="shared" si="10"/>
        <v>448965.35402799206</v>
      </c>
      <c r="L66" s="470">
        <f>(M66/K66)^(1/30)-1</f>
        <v>-6.9680618668425121E-3</v>
      </c>
      <c r="M66" s="87">
        <f>($M$70-$M$63-$M$64-$M$65-$M$69-$M$67)*(J66/SUM($J$66:$J$66,J68))</f>
        <v>364006.65735301701</v>
      </c>
      <c r="N66" s="90">
        <f t="shared" si="11"/>
        <v>9.9877198043212143E-2</v>
      </c>
      <c r="P66" s="50" t="s">
        <v>343</v>
      </c>
    </row>
    <row r="67" spans="2:21">
      <c r="B67" t="s">
        <v>26</v>
      </c>
      <c r="C67" s="2">
        <f t="shared" si="8"/>
        <v>3.5240373724289398E-2</v>
      </c>
      <c r="D67" s="2"/>
      <c r="E67" s="2">
        <f t="shared" si="6"/>
        <v>1.9582802680802164E-2</v>
      </c>
      <c r="F67" s="2">
        <f t="shared" si="7"/>
        <v>4.0532356493828241E-3</v>
      </c>
      <c r="G67" s="2">
        <f>G58*$C$36</f>
        <v>0</v>
      </c>
      <c r="H67" s="236">
        <v>0</v>
      </c>
      <c r="I67" s="2">
        <f t="shared" si="12"/>
        <v>1.6508366768037967E-2</v>
      </c>
      <c r="J67" s="31">
        <f>SUM(C67:I67)</f>
        <v>7.5384778822512349E-2</v>
      </c>
      <c r="K67" s="34">
        <f t="shared" si="10"/>
        <v>402634.67966369045</v>
      </c>
      <c r="L67" s="470">
        <f>L63</f>
        <v>-6.9680618668425121E-3</v>
      </c>
      <c r="M67" s="87">
        <f>K67*(1+L67)^30</f>
        <v>326443.23791105917</v>
      </c>
      <c r="N67" s="90">
        <f t="shared" si="11"/>
        <v>8.9570438518354861E-2</v>
      </c>
      <c r="P67" s="50" t="s">
        <v>341</v>
      </c>
      <c r="U67" s="156"/>
    </row>
    <row r="68" spans="2:21">
      <c r="B68" t="s">
        <v>27</v>
      </c>
      <c r="C68" s="2">
        <f t="shared" si="8"/>
        <v>2.2216757347921574E-2</v>
      </c>
      <c r="D68" s="2"/>
      <c r="E68" s="2">
        <f t="shared" si="6"/>
        <v>7.6155343758675074E-3</v>
      </c>
      <c r="F68" s="2">
        <f t="shared" si="7"/>
        <v>9.4575498485599228E-3</v>
      </c>
      <c r="G68" s="2">
        <f t="shared" si="9"/>
        <v>0</v>
      </c>
      <c r="H68" s="236">
        <f>$C$37*0.25</f>
        <v>2.7433717583863243E-3</v>
      </c>
      <c r="I68" s="2">
        <f t="shared" si="12"/>
        <v>0.11728644808465578</v>
      </c>
      <c r="J68" s="31">
        <f t="shared" si="13"/>
        <v>0.15931966141539111</v>
      </c>
      <c r="K68" s="34">
        <f t="shared" si="10"/>
        <v>850935.98256942898</v>
      </c>
      <c r="L68" s="470">
        <f t="shared" ref="L68" si="14">(M68/K68)^(1/30)-1</f>
        <v>-6.9680618668425121E-3</v>
      </c>
      <c r="M68" s="87">
        <f>($M$70-$M$63-$M$64-$M$65-$M$69-$M$67)*(J68/SUM($J$66:$J$66,J68))</f>
        <v>689911.50398921641</v>
      </c>
      <c r="N68" s="90">
        <f t="shared" si="11"/>
        <v>0.18929991120847886</v>
      </c>
      <c r="P68" s="50" t="s">
        <v>343</v>
      </c>
      <c r="U68" s="156" t="s">
        <v>379</v>
      </c>
    </row>
    <row r="69" spans="2:21">
      <c r="B69" t="s">
        <v>362</v>
      </c>
      <c r="C69" s="6">
        <v>0</v>
      </c>
      <c r="D69" s="6"/>
      <c r="E69" s="6">
        <v>0</v>
      </c>
      <c r="F69" s="6">
        <v>0</v>
      </c>
      <c r="G69" s="6">
        <v>0</v>
      </c>
      <c r="H69" s="236">
        <f>$C$37*0.5</f>
        <v>5.4867435167726486E-3</v>
      </c>
      <c r="I69" s="22">
        <v>0</v>
      </c>
      <c r="J69" s="31">
        <f>SUM(C69:I69)</f>
        <v>5.4867435167726486E-3</v>
      </c>
      <c r="K69" s="34">
        <f>J69*$E$2</f>
        <v>29305.030176899061</v>
      </c>
      <c r="L69" s="470">
        <f>$L$2</f>
        <v>-6.9680618668425121E-3</v>
      </c>
      <c r="M69" s="87">
        <f>K69*(1+L69)^30</f>
        <v>23759.575171266421</v>
      </c>
      <c r="N69" s="90">
        <f t="shared" si="11"/>
        <v>6.5192208627705582E-3</v>
      </c>
      <c r="P69" s="50" t="s">
        <v>344</v>
      </c>
      <c r="U69" s="156" t="s">
        <v>572</v>
      </c>
    </row>
    <row r="70" spans="2:21" ht="15.5" thickBot="1">
      <c r="B70" s="28" t="s">
        <v>78</v>
      </c>
      <c r="C70" s="29">
        <f t="shared" ref="C70:I70" si="15">SUM(C63:C69)</f>
        <v>0.27809251438950111</v>
      </c>
      <c r="D70" s="29"/>
      <c r="E70" s="29">
        <f t="shared" si="15"/>
        <v>8.2682944652275811E-2</v>
      </c>
      <c r="F70" s="29">
        <f t="shared" si="15"/>
        <v>7.9038095162965089E-2</v>
      </c>
      <c r="G70" s="237">
        <f t="shared" si="15"/>
        <v>3.897926767527362E-2</v>
      </c>
      <c r="H70" s="237">
        <f t="shared" si="15"/>
        <v>1.0973487033545297E-2</v>
      </c>
      <c r="I70" s="29">
        <f t="shared" si="15"/>
        <v>0.35185934425396737</v>
      </c>
      <c r="J70" s="485">
        <f>SUM(C70:I70)</f>
        <v>0.84162565316752824</v>
      </c>
      <c r="K70" s="35">
        <f>SUM(K63:K69)</f>
        <v>4495173.7015464334</v>
      </c>
      <c r="L70" s="38">
        <f>L2</f>
        <v>-6.9680618668425121E-3</v>
      </c>
      <c r="M70" s="88">
        <f>K70*(1+L70)^30</f>
        <v>3644542.1425972376</v>
      </c>
      <c r="N70" s="91">
        <f>SUM(N63:N69)</f>
        <v>1</v>
      </c>
    </row>
    <row r="71" spans="2:21" ht="15.5" thickTop="1"/>
    <row r="72" spans="2:21">
      <c r="B72" s="27" t="s">
        <v>54</v>
      </c>
      <c r="C72" s="27" t="s">
        <v>141</v>
      </c>
      <c r="D72" s="27" t="s">
        <v>35</v>
      </c>
      <c r="E72" s="27" t="s">
        <v>34</v>
      </c>
      <c r="F72" s="27" t="s">
        <v>27</v>
      </c>
      <c r="G72" s="1" t="s">
        <v>78</v>
      </c>
      <c r="H72" s="1"/>
      <c r="I72" s="1"/>
      <c r="J72" s="1"/>
      <c r="K72" s="142"/>
      <c r="L72" s="142"/>
      <c r="M72" s="142"/>
      <c r="N72" s="1"/>
      <c r="P72" s="142"/>
      <c r="U72" s="1"/>
    </row>
    <row r="73" spans="2:21">
      <c r="B73" t="s">
        <v>615</v>
      </c>
      <c r="C73" s="2">
        <f>(C63+D63+C67+D67)/(SUM($C$63:$I$63,C67:I67))</f>
        <v>0.64087331916691792</v>
      </c>
      <c r="D73" s="2">
        <f>(G63+H63+G67+H67)/(SUM($C$63:$I$63,C67:I67))</f>
        <v>0.11900703369781254</v>
      </c>
      <c r="E73" s="2">
        <f>(F63+F67)/(SUM($C63:$I63,C67:I67))</f>
        <v>3.093718663019308E-2</v>
      </c>
      <c r="F73" s="2">
        <f>1-C73-D73-E73</f>
        <v>0.20918246050507647</v>
      </c>
      <c r="G73" s="149">
        <f>SUM(C73:F73)</f>
        <v>1</v>
      </c>
      <c r="H73" s="246"/>
      <c r="I73" s="249">
        <f>D73*(K63+K67)</f>
        <v>208190.63475546311</v>
      </c>
      <c r="J73" s="8"/>
      <c r="K73" s="143"/>
      <c r="L73" s="244"/>
      <c r="M73" s="143"/>
      <c r="N73" s="8"/>
      <c r="P73" s="50"/>
    </row>
    <row r="74" spans="2:21">
      <c r="B74" t="s">
        <v>19</v>
      </c>
      <c r="C74" s="2">
        <f>(C64+D64)/(SUM($C$64:$I$64))</f>
        <v>0.21595150510921668</v>
      </c>
      <c r="D74" s="2">
        <f>(G64+H64)/(SUM($C$64:$I$64))</f>
        <v>1.7575413377038725E-2</v>
      </c>
      <c r="E74" s="2">
        <f t="shared" ref="E74:E75" si="16">(F64)/(SUM($C64:$I64))</f>
        <v>0.35055527555397742</v>
      </c>
      <c r="F74" s="2">
        <f t="shared" ref="F74:F77" si="17">1-C74-D74-E74</f>
        <v>0.41591780595976718</v>
      </c>
      <c r="G74" s="149">
        <f t="shared" ref="G74:G77" si="18">SUM(C74:F74)</f>
        <v>1</v>
      </c>
      <c r="H74" s="236"/>
      <c r="I74" s="249">
        <f>D74*(K64)</f>
        <v>14652.515088449531</v>
      </c>
      <c r="J74" s="8"/>
      <c r="K74" s="143"/>
      <c r="L74" s="244"/>
      <c r="M74" s="143"/>
      <c r="N74" s="8"/>
      <c r="P74" s="50"/>
      <c r="U74" s="156"/>
    </row>
    <row r="75" spans="2:21">
      <c r="B75" t="s">
        <v>21</v>
      </c>
      <c r="C75" s="2">
        <f>(C65+D65)/(SUM($C$65:$I$65))</f>
        <v>6.3179582457197625E-2</v>
      </c>
      <c r="D75" s="2">
        <f>(G65+H65)/(SUM($C$65:$I$65))</f>
        <v>0</v>
      </c>
      <c r="E75" s="2">
        <f t="shared" si="16"/>
        <v>1.8570492698199399E-2</v>
      </c>
      <c r="F75" s="2">
        <f t="shared" si="17"/>
        <v>0.91824992484460288</v>
      </c>
      <c r="G75" s="149">
        <f t="shared" si="18"/>
        <v>0.99999999999999989</v>
      </c>
      <c r="H75" s="236"/>
      <c r="I75" s="249">
        <f>D75*K65</f>
        <v>0</v>
      </c>
      <c r="J75" s="8"/>
      <c r="K75" s="143"/>
      <c r="L75" s="244"/>
      <c r="M75" s="143"/>
      <c r="N75" s="8"/>
      <c r="P75" s="50"/>
    </row>
    <row r="76" spans="2:21">
      <c r="B76" t="s">
        <v>27</v>
      </c>
      <c r="C76" s="2">
        <f>(C68+D68+C66+D66)/(SUM($C$68:$I$68,C66:I66))</f>
        <v>0.11331888640595054</v>
      </c>
      <c r="D76" s="2">
        <f>(G68+H68+G66+H66)/(SUM($C$68:$I$68,C66:I66))</f>
        <v>1.127202094183815E-2</v>
      </c>
      <c r="E76" s="2">
        <f>(F68+F66)/(SUM($C68:$I68,C66:I66))</f>
        <v>4.9962047960560398E-2</v>
      </c>
      <c r="F76" s="2">
        <f t="shared" si="17"/>
        <v>0.82544704469165098</v>
      </c>
      <c r="G76" s="149">
        <f t="shared" si="18"/>
        <v>1</v>
      </c>
      <c r="H76" s="236"/>
      <c r="I76" s="249">
        <f>D76*(K66+K68)</f>
        <v>14652.515088449531</v>
      </c>
      <c r="J76" s="8"/>
      <c r="K76" s="143"/>
      <c r="L76" s="144"/>
      <c r="M76" s="143"/>
      <c r="N76" s="8"/>
      <c r="P76" s="50"/>
      <c r="U76" s="156"/>
    </row>
    <row r="77" spans="2:21">
      <c r="B77" t="s">
        <v>362</v>
      </c>
      <c r="C77" s="2">
        <f>(C69+D69)/(SUM($C$69:$I$69))</f>
        <v>0</v>
      </c>
      <c r="D77" s="2">
        <f>(G69+H69)/(SUM($C$69:$I$69))</f>
        <v>1</v>
      </c>
      <c r="E77" s="2">
        <f>(F69)/(SUM($C69:$I69))</f>
        <v>0</v>
      </c>
      <c r="F77" s="2">
        <f t="shared" si="17"/>
        <v>0</v>
      </c>
      <c r="G77" s="149">
        <f t="shared" si="18"/>
        <v>1</v>
      </c>
      <c r="H77" s="236"/>
      <c r="I77" s="249">
        <f>K69</f>
        <v>29305.030176899061</v>
      </c>
      <c r="J77" s="8"/>
      <c r="K77" s="143"/>
      <c r="L77" s="244"/>
      <c r="M77" s="143"/>
      <c r="N77" s="8"/>
      <c r="P77" s="50"/>
      <c r="U77" s="156"/>
    </row>
    <row r="78" spans="2:21" ht="15.5" thickBot="1">
      <c r="B78" s="28"/>
      <c r="C78" s="29"/>
      <c r="D78" s="29"/>
      <c r="E78" s="29"/>
      <c r="F78" s="29"/>
      <c r="G78" s="228"/>
      <c r="H78" s="247"/>
      <c r="I78" s="228"/>
      <c r="J78" s="245"/>
      <c r="K78" s="145"/>
      <c r="L78" s="146"/>
      <c r="M78" s="145"/>
      <c r="N78" s="8"/>
    </row>
    <row r="79" spans="2:21" ht="15.5" thickTop="1"/>
    <row r="80" spans="2:21">
      <c r="C80" s="2"/>
      <c r="D80" s="2"/>
      <c r="E80" s="2"/>
      <c r="F80" s="2"/>
      <c r="G80" s="2"/>
      <c r="H80" s="2"/>
      <c r="I80" s="2"/>
      <c r="J80" s="50" t="s">
        <v>237</v>
      </c>
      <c r="K80" s="161">
        <f>'R&amp;S - Buildings'!J4+'R&amp;S - Transportation'!D4+'R&amp;S - Packaging and hh goods'!J4+'R&amp;S - Apparel'!E4+'R&amp;S - Others'!F4</f>
        <v>4495173.7015464334</v>
      </c>
      <c r="L80" s="161"/>
      <c r="M80" s="161">
        <f>'R&amp;S - Buildings'!J6+'R&amp;S - Transportation'!D7+'R&amp;S - Packaging and hh goods'!J6+'R&amp;S - Apparel'!E6+'R&amp;S - Others'!F6</f>
        <v>4138471.2448801594</v>
      </c>
    </row>
    <row r="81" spans="2:13">
      <c r="K81" s="142"/>
      <c r="L81" s="142"/>
      <c r="M81" s="142"/>
    </row>
    <row r="82" spans="2:13">
      <c r="B82" t="s">
        <v>540</v>
      </c>
      <c r="C82" t="s">
        <v>127</v>
      </c>
      <c r="D82" t="s">
        <v>544</v>
      </c>
      <c r="E82" t="s">
        <v>550</v>
      </c>
      <c r="F82" t="s">
        <v>548</v>
      </c>
      <c r="K82" s="143"/>
      <c r="L82" s="144"/>
      <c r="M82" s="143"/>
    </row>
    <row r="83" spans="2:13">
      <c r="B83" t="s">
        <v>141</v>
      </c>
      <c r="C83" s="219">
        <f>(C34+C35)*E2</f>
        <v>2331196.0000000005</v>
      </c>
      <c r="D83">
        <f>'Production - Industry shares'!L17*('Production - Industry shares'!B13+'Production - Industry shares'!C13)</f>
        <v>2579886.0200189999</v>
      </c>
      <c r="E83">
        <v>104</v>
      </c>
      <c r="F83" s="2"/>
      <c r="G83" s="2">
        <f>(E83-C83)/C83</f>
        <v>-0.99995538770656778</v>
      </c>
      <c r="H83" t="s">
        <v>545</v>
      </c>
      <c r="I83" t="s">
        <v>551</v>
      </c>
      <c r="K83" s="143"/>
      <c r="L83" s="144"/>
      <c r="M83" s="143"/>
    </row>
    <row r="84" spans="2:13">
      <c r="B84" t="s">
        <v>34</v>
      </c>
      <c r="C84" s="219">
        <f>C38/E38*E2</f>
        <v>942293</v>
      </c>
      <c r="D84">
        <f>'Production - Industry shares'!L17*'Production - Industry shares'!F13</f>
        <v>1764597.3643420001</v>
      </c>
      <c r="E84">
        <v>46</v>
      </c>
      <c r="F84" s="2">
        <f>(D84-C84)/C84</f>
        <v>0.87266313592693578</v>
      </c>
      <c r="G84" s="2">
        <f t="shared" ref="G84:G87" si="19">(E84-C84)/C84</f>
        <v>-0.99995118291232132</v>
      </c>
      <c r="I84" s="5" t="s">
        <v>560</v>
      </c>
      <c r="K84" s="143"/>
      <c r="L84" s="144"/>
      <c r="M84" s="143"/>
    </row>
    <row r="85" spans="2:13">
      <c r="B85" t="s">
        <v>35</v>
      </c>
      <c r="C85" s="231">
        <f>(C36+C37)/E36*E2</f>
        <v>1831396.2000000002</v>
      </c>
      <c r="D85">
        <f>'Production - Industry shares'!L17*'Production - Industry shares'!G13</f>
        <v>413228.496713</v>
      </c>
      <c r="E85">
        <v>75</v>
      </c>
      <c r="F85" s="2"/>
      <c r="G85" s="2">
        <f t="shared" si="19"/>
        <v>-0.99995904763808074</v>
      </c>
      <c r="H85" t="s">
        <v>545</v>
      </c>
      <c r="I85" t="s">
        <v>559</v>
      </c>
      <c r="K85" s="143"/>
      <c r="L85" s="144"/>
      <c r="M85" s="143"/>
    </row>
    <row r="86" spans="2:13">
      <c r="B86" t="s">
        <v>74</v>
      </c>
      <c r="C86" s="219">
        <f>C39/E39*E2</f>
        <v>1643437.2881355933</v>
      </c>
      <c r="D86">
        <f>'Production - Industry shares'!L17*'Production - Industry shares'!E13</f>
        <v>815288.65567699994</v>
      </c>
      <c r="F86" s="2">
        <f>(D86-C86)/C86</f>
        <v>-0.50391252433981903</v>
      </c>
      <c r="G86" s="2"/>
      <c r="H86" t="s">
        <v>545</v>
      </c>
      <c r="K86" s="143"/>
      <c r="L86" s="144"/>
      <c r="M86" s="143"/>
    </row>
    <row r="87" spans="2:13">
      <c r="B87" t="s">
        <v>140</v>
      </c>
      <c r="C87" s="219">
        <f>('Demand - Propylene'!C25+'Demand - Propylene'!C26)*'Demand - Propylene'!E2</f>
        <v>2602173.0999999996</v>
      </c>
      <c r="D87">
        <f>'Production - Industry shares'!D13*'Production - Industry shares'!L17</f>
        <v>2468202.6425290001</v>
      </c>
      <c r="E87">
        <v>75</v>
      </c>
      <c r="F87" s="2"/>
      <c r="G87" s="2">
        <f t="shared" si="19"/>
        <v>-0.99997117793585677</v>
      </c>
      <c r="H87" t="s">
        <v>545</v>
      </c>
      <c r="I87" t="s">
        <v>551</v>
      </c>
      <c r="K87" s="143"/>
      <c r="L87" s="144"/>
      <c r="M87" s="143"/>
    </row>
    <row r="88" spans="2:13">
      <c r="B88" t="s">
        <v>553</v>
      </c>
      <c r="C88">
        <f>'Production - Industry shares'!L17*0.11</f>
        <v>1228517.1523899999</v>
      </c>
      <c r="K88" s="143"/>
      <c r="L88" s="144"/>
      <c r="M88" s="143"/>
    </row>
    <row r="89" spans="2:13">
      <c r="B89" t="s">
        <v>554</v>
      </c>
      <c r="C89">
        <v>1.5</v>
      </c>
      <c r="K89" s="145"/>
      <c r="L89" s="146"/>
      <c r="M89" s="145"/>
    </row>
    <row r="90" spans="2:13">
      <c r="B90" t="s">
        <v>552</v>
      </c>
      <c r="C90" s="217">
        <f>'Production - Industry shares'!L17-'Demand - Ethylene'!C87-'Demand - Ethylene'!C86-'Demand - Ethylene'!C85-'Demand - Ethylene'!C84-'Demand - Ethylene'!C83-C88-C89</f>
        <v>589323.50847440585</v>
      </c>
    </row>
    <row r="91" spans="2:13">
      <c r="C91">
        <f>('Production - Industry shares'!H13+'Production - Industry shares'!I13)*'Production - Industry shares'!L17</f>
        <v>3127134.569720001</v>
      </c>
    </row>
    <row r="94" spans="2:13">
      <c r="C94" s="217"/>
      <c r="L94" s="37"/>
    </row>
  </sheetData>
  <phoneticPr fontId="20" type="noConversion"/>
  <hyperlinks>
    <hyperlink ref="S2" r:id="rId1" xr:uid="{F1383701-141F-4E98-BDA6-E9552C42BF66}"/>
    <hyperlink ref="L29" r:id="rId2" xr:uid="{BF601BF2-FE0B-42FA-A783-E750E252EDE0}"/>
    <hyperlink ref="I84" r:id="rId3" display="https://www.statista.com/statistics/720296/global-polyvinyl-chloride-market-size-in-tons/" xr:uid="{9B94BA9D-17A3-420C-975A-8B05231D9867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0A7B-1512-43DA-907B-B420A4FC34E8}">
  <sheetPr>
    <tabColor theme="7"/>
  </sheetPr>
  <dimension ref="A1:AI73"/>
  <sheetViews>
    <sheetView topLeftCell="I1" zoomScale="90" zoomScaleNormal="90" workbookViewId="0">
      <selection activeCell="M2" sqref="M1:S2"/>
    </sheetView>
  </sheetViews>
  <sheetFormatPr defaultRowHeight="14.75"/>
  <cols>
    <col min="2" max="2" width="18" customWidth="1"/>
    <col min="3" max="3" width="10.26953125" customWidth="1"/>
    <col min="4" max="4" width="12.453125" bestFit="1" customWidth="1"/>
    <col min="5" max="5" width="10.54296875" customWidth="1"/>
    <col min="6" max="9" width="12.453125" bestFit="1" customWidth="1"/>
    <col min="10" max="10" width="21.1796875" customWidth="1"/>
    <col min="11" max="11" width="12.1796875" customWidth="1"/>
    <col min="12" max="12" width="15.1796875" customWidth="1"/>
    <col min="13" max="13" width="16.81640625" customWidth="1"/>
    <col min="22" max="22" width="17.1796875" customWidth="1"/>
  </cols>
  <sheetData>
    <row r="1" spans="2:35">
      <c r="C1" s="1"/>
      <c r="D1" s="1">
        <v>2019</v>
      </c>
      <c r="E1" s="1">
        <v>2020</v>
      </c>
      <c r="F1" s="1">
        <v>2025</v>
      </c>
      <c r="G1" s="1">
        <v>2030</v>
      </c>
      <c r="H1" s="1">
        <v>2035</v>
      </c>
      <c r="I1" s="1">
        <v>2040</v>
      </c>
      <c r="J1" s="1">
        <v>2045</v>
      </c>
      <c r="K1" s="1">
        <v>2050</v>
      </c>
      <c r="L1" s="1" t="s">
        <v>67</v>
      </c>
      <c r="M1" s="1"/>
    </row>
    <row r="2" spans="2:35">
      <c r="B2" t="s">
        <v>139</v>
      </c>
      <c r="C2" s="92"/>
      <c r="D2" s="120">
        <f>'Yearly Demand - Eth-Prop'!B4</f>
        <v>4423472.6499999994</v>
      </c>
      <c r="E2" s="120">
        <f>'Yearly Demand - Eth-Prop'!C4</f>
        <v>4343145.1257582027</v>
      </c>
      <c r="F2" s="120">
        <f>'Yearly Demand - Eth-Prop'!D4</f>
        <v>4233692.3959526056</v>
      </c>
      <c r="G2" s="120">
        <f>'Yearly Demand - Eth-Prop'!E4</f>
        <v>4115878.6937313033</v>
      </c>
      <c r="H2" s="120">
        <f>'Yearly Demand - Eth-Prop'!F4</f>
        <v>3980790.2551139155</v>
      </c>
      <c r="I2" s="120">
        <f>'Yearly Demand - Eth-Prop'!G4</f>
        <v>3832227.5221075811</v>
      </c>
      <c r="J2" s="120">
        <f>'Yearly Demand - Eth-Prop'!H4</f>
        <v>3676754.8945428128</v>
      </c>
      <c r="K2" s="120">
        <f>'Yearly Demand - Eth-Prop'!I4</f>
        <v>3521282.2669780441</v>
      </c>
      <c r="L2" s="37">
        <f>(K2/E2)^(1/30)-1</f>
        <v>-6.9680618668426231E-3</v>
      </c>
      <c r="M2" s="50"/>
      <c r="S2" s="5"/>
    </row>
    <row r="3" spans="2:35">
      <c r="B3" t="s">
        <v>67</v>
      </c>
      <c r="D3" s="22">
        <f>(E2/D2)-1</f>
        <v>-1.815938078464141E-2</v>
      </c>
      <c r="E3" s="22">
        <f>(F2/D2)^(1/6)-1</f>
        <v>-7.281781070368698E-3</v>
      </c>
      <c r="F3" s="22">
        <f>(F2/E2)^(1/5)-1</f>
        <v>-5.0918423706168836E-3</v>
      </c>
      <c r="G3" s="22">
        <f t="shared" ref="G3:K3" si="0">(G2/F2)^(1/5)-1</f>
        <v>-5.6285348050889583E-3</v>
      </c>
      <c r="H3" s="22">
        <f t="shared" si="0"/>
        <v>-6.6521735798772408E-3</v>
      </c>
      <c r="I3" s="22">
        <f t="shared" si="0"/>
        <v>-7.5779660408817895E-3</v>
      </c>
      <c r="J3" s="22">
        <f t="shared" si="0"/>
        <v>-8.2489276480860463E-3</v>
      </c>
      <c r="K3" s="22">
        <f t="shared" si="0"/>
        <v>-8.6038407487412094E-3</v>
      </c>
    </row>
    <row r="5" spans="2:35">
      <c r="B5" s="1" t="s">
        <v>345</v>
      </c>
      <c r="C5" s="1"/>
      <c r="D5" s="1" t="s">
        <v>528</v>
      </c>
      <c r="E5" s="1"/>
      <c r="F5" s="50" t="s">
        <v>83</v>
      </c>
      <c r="G5" s="1"/>
      <c r="H5" s="1"/>
      <c r="I5" s="1"/>
      <c r="J5" s="1"/>
      <c r="K5" s="1"/>
    </row>
    <row r="6" spans="2:35">
      <c r="B6" t="s">
        <v>10</v>
      </c>
      <c r="C6" s="119">
        <f>D6/$E$2</f>
        <v>0.59914486498899266</v>
      </c>
      <c r="D6" s="99">
        <f>D18</f>
        <v>2602173.1</v>
      </c>
    </row>
    <row r="7" spans="2:35">
      <c r="B7" t="s">
        <v>85</v>
      </c>
      <c r="C7" s="119">
        <f>0.05*(1-$C$6)/0.33</f>
        <v>6.073562651681929E-2</v>
      </c>
      <c r="D7" s="99">
        <f>$E$2*C7</f>
        <v>263783.64026639436</v>
      </c>
    </row>
    <row r="8" spans="2:35">
      <c r="B8" t="s">
        <v>87</v>
      </c>
      <c r="C8" s="119">
        <f>0.06*(1-$C$6)/0.33</f>
        <v>7.2882751820183139E-2</v>
      </c>
      <c r="D8" s="99">
        <f t="shared" ref="D8:D12" si="1">$E$2*C8</f>
        <v>316540.36831967317</v>
      </c>
    </row>
    <row r="9" spans="2:35">
      <c r="B9" t="s">
        <v>351</v>
      </c>
      <c r="C9" s="119">
        <f>0.04*(1-$C$6)/0.33</f>
        <v>4.8588501213455433E-2</v>
      </c>
      <c r="D9" s="99">
        <f t="shared" si="1"/>
        <v>211026.91221311549</v>
      </c>
    </row>
    <row r="10" spans="2:35">
      <c r="B10" t="s">
        <v>357</v>
      </c>
      <c r="C10" s="119">
        <f>0.07*(1-$C$6)/0.33</f>
        <v>8.5029877123547024E-2</v>
      </c>
      <c r="D10" s="99">
        <f t="shared" si="1"/>
        <v>369297.09637295216</v>
      </c>
    </row>
    <row r="11" spans="2:35">
      <c r="B11" t="s">
        <v>94</v>
      </c>
      <c r="C11" s="119">
        <f>0.03*(1-$C$6)/0.33</f>
        <v>3.644137591009157E-2</v>
      </c>
      <c r="D11" s="99">
        <f t="shared" si="1"/>
        <v>158270.18415983659</v>
      </c>
    </row>
    <row r="12" spans="2:35">
      <c r="B12" t="s">
        <v>24</v>
      </c>
      <c r="C12" s="119">
        <f>0.08*(1-$C$6)/0.33</f>
        <v>9.7177002426910866E-2</v>
      </c>
      <c r="D12" s="99">
        <f t="shared" si="1"/>
        <v>422053.82442623097</v>
      </c>
      <c r="E12" t="s">
        <v>603</v>
      </c>
    </row>
    <row r="13" spans="2:35">
      <c r="C13" s="6">
        <f>SUM(C6:C12)</f>
        <v>1</v>
      </c>
      <c r="D13" s="99">
        <f>SUM(D6:D12)</f>
        <v>4343145.1257582027</v>
      </c>
      <c r="E13" t="s">
        <v>604</v>
      </c>
    </row>
    <row r="15" spans="2:35">
      <c r="B15" s="1" t="s">
        <v>346</v>
      </c>
      <c r="D15" s="1" t="s">
        <v>528</v>
      </c>
      <c r="E15" s="1" t="s">
        <v>530</v>
      </c>
      <c r="G15" s="1" t="s">
        <v>352</v>
      </c>
      <c r="I15" s="1" t="s">
        <v>528</v>
      </c>
      <c r="J15" s="1" t="s">
        <v>530</v>
      </c>
      <c r="L15" s="1" t="s">
        <v>87</v>
      </c>
      <c r="N15" s="1" t="s">
        <v>528</v>
      </c>
      <c r="O15" s="1" t="s">
        <v>530</v>
      </c>
      <c r="Q15" s="1" t="s">
        <v>353</v>
      </c>
      <c r="S15" s="1" t="s">
        <v>528</v>
      </c>
      <c r="T15" s="1" t="s">
        <v>530</v>
      </c>
      <c r="V15" s="1" t="s">
        <v>357</v>
      </c>
      <c r="X15" s="1" t="s">
        <v>528</v>
      </c>
      <c r="Y15" s="1" t="s">
        <v>530</v>
      </c>
      <c r="AA15" s="1" t="s">
        <v>94</v>
      </c>
      <c r="AC15" s="1" t="s">
        <v>528</v>
      </c>
      <c r="AD15" s="1" t="s">
        <v>530</v>
      </c>
      <c r="AF15" s="1" t="s">
        <v>24</v>
      </c>
      <c r="AH15" s="1" t="s">
        <v>528</v>
      </c>
      <c r="AI15" s="1" t="s">
        <v>530</v>
      </c>
    </row>
    <row r="16" spans="2:35">
      <c r="B16" t="s">
        <v>360</v>
      </c>
      <c r="C16" s="221">
        <f>D16/$D$18</f>
        <v>0.9226961111849169</v>
      </c>
      <c r="D16" s="514">
        <f>2401015</f>
        <v>2401015</v>
      </c>
      <c r="E16" s="2">
        <f>D16/$E$2</f>
        <v>0.55282863696175566</v>
      </c>
      <c r="G16" t="s">
        <v>100</v>
      </c>
      <c r="H16" s="51">
        <v>0.5</v>
      </c>
      <c r="I16" s="222">
        <f>H16*$D$7</f>
        <v>131891.82013319718</v>
      </c>
      <c r="J16" s="2">
        <f>I16/$E$2</f>
        <v>3.0367813258409645E-2</v>
      </c>
      <c r="L16" t="s">
        <v>106</v>
      </c>
      <c r="M16" s="51">
        <v>0.3</v>
      </c>
      <c r="N16" s="222">
        <f>M16*$D$8</f>
        <v>94962.110495901943</v>
      </c>
      <c r="O16" s="2">
        <f>N16/$E$2</f>
        <v>2.1864825546054938E-2</v>
      </c>
      <c r="Q16" t="s">
        <v>354</v>
      </c>
      <c r="R16" s="51">
        <v>0.98</v>
      </c>
      <c r="S16" s="222">
        <f>R16*$D$9</f>
        <v>206806.37396885318</v>
      </c>
      <c r="T16" s="2">
        <f>S16/$E$2</f>
        <v>4.7616731189186329E-2</v>
      </c>
      <c r="V16" t="s">
        <v>618</v>
      </c>
      <c r="W16" s="51">
        <v>0.68</v>
      </c>
      <c r="X16" s="222">
        <f>W16*$D$10</f>
        <v>251122.02553360749</v>
      </c>
      <c r="Y16" s="2">
        <f>X16/$E$2</f>
        <v>5.7820316444011984E-2</v>
      </c>
      <c r="AA16" t="s">
        <v>24</v>
      </c>
      <c r="AB16" s="51">
        <v>1</v>
      </c>
      <c r="AC16" s="222">
        <f>D11*AB16</f>
        <v>158270.18415983659</v>
      </c>
      <c r="AD16" s="2">
        <f>AC16/$E$2</f>
        <v>3.644137591009157E-2</v>
      </c>
      <c r="AF16" t="s">
        <v>24</v>
      </c>
      <c r="AG16" s="51">
        <v>1</v>
      </c>
      <c r="AH16" s="222">
        <f>AG16*D12</f>
        <v>422053.82442623097</v>
      </c>
      <c r="AI16" s="2">
        <f>AH16/$E$2</f>
        <v>9.7177002426910866E-2</v>
      </c>
    </row>
    <row r="17" spans="1:35">
      <c r="B17" t="s">
        <v>361</v>
      </c>
      <c r="C17" s="221">
        <f>D17/$D$18</f>
        <v>7.7303888815083058E-2</v>
      </c>
      <c r="D17" s="514">
        <f>670527*0.3</f>
        <v>201158.1</v>
      </c>
      <c r="E17" s="2">
        <f>D17/$E$2</f>
        <v>4.631622802723704E-2</v>
      </c>
      <c r="G17" t="s">
        <v>102</v>
      </c>
      <c r="H17" s="51">
        <v>0.35</v>
      </c>
      <c r="I17" s="222">
        <f t="shared" ref="I17:I19" si="2">H17*$D$7</f>
        <v>92324.274093238026</v>
      </c>
      <c r="J17" s="2">
        <f>I17/$E$2</f>
        <v>2.1257469280886752E-2</v>
      </c>
      <c r="L17" t="s">
        <v>108</v>
      </c>
      <c r="M17" s="51">
        <v>0.35</v>
      </c>
      <c r="N17" s="222">
        <f t="shared" ref="N17:N19" si="3">M17*$D$8</f>
        <v>110789.12891188561</v>
      </c>
      <c r="O17" s="2">
        <f>N17/$E$2</f>
        <v>2.5508963137064099E-2</v>
      </c>
      <c r="Q17" t="s">
        <v>27</v>
      </c>
      <c r="R17" s="51">
        <v>0.02</v>
      </c>
      <c r="S17" s="222">
        <f>R17*$D$9</f>
        <v>4220.5382442623095</v>
      </c>
      <c r="T17" s="2">
        <f>S17/$E$2</f>
        <v>9.7177002426910859E-4</v>
      </c>
      <c r="V17" t="s">
        <v>358</v>
      </c>
      <c r="W17" s="51">
        <v>0.22</v>
      </c>
      <c r="X17" s="222">
        <f t="shared" ref="X17:X19" si="4">W17*$D$10</f>
        <v>81245.361202049477</v>
      </c>
      <c r="Y17" s="2">
        <f>X17/$E$2</f>
        <v>1.8706572967180344E-2</v>
      </c>
      <c r="AB17" s="6">
        <f>SUM(AB16)</f>
        <v>1</v>
      </c>
      <c r="AC17" s="222"/>
      <c r="AD17" s="2"/>
      <c r="AG17" s="6">
        <f>SUM(AG16)</f>
        <v>1</v>
      </c>
      <c r="AH17" s="222"/>
      <c r="AI17" s="2"/>
    </row>
    <row r="18" spans="1:35">
      <c r="C18" s="6">
        <f>SUM(C16:C17)</f>
        <v>1</v>
      </c>
      <c r="D18" s="99">
        <f>SUM(D16:D17)</f>
        <v>2602173.1</v>
      </c>
      <c r="G18" t="s">
        <v>103</v>
      </c>
      <c r="H18" s="51">
        <v>0.1</v>
      </c>
      <c r="I18" s="222">
        <f t="shared" si="2"/>
        <v>26378.364026639436</v>
      </c>
      <c r="J18" s="2">
        <f t="shared" ref="J18:J19" si="5">I18/$E$2</f>
        <v>6.0735626516819291E-3</v>
      </c>
      <c r="L18" t="s">
        <v>110</v>
      </c>
      <c r="M18" s="51">
        <v>0.15</v>
      </c>
      <c r="N18" s="222">
        <f t="shared" si="3"/>
        <v>47481.055247950972</v>
      </c>
      <c r="O18" s="2">
        <f t="shared" ref="O18:O19" si="6">N18/$E$2</f>
        <v>1.0932412773027469E-2</v>
      </c>
      <c r="R18" s="6">
        <f>SUM(R16:R17)</f>
        <v>1</v>
      </c>
      <c r="S18" s="222">
        <f>SUM(S16:S17)</f>
        <v>211026.91221311549</v>
      </c>
      <c r="T18" s="2"/>
      <c r="V18" t="s">
        <v>359</v>
      </c>
      <c r="W18" s="51">
        <v>0.04</v>
      </c>
      <c r="X18" s="222">
        <f t="shared" si="4"/>
        <v>14771.883854918087</v>
      </c>
      <c r="Y18" s="2">
        <f t="shared" ref="Y18:Y19" si="7">X18/$E$2</f>
        <v>3.4011950849418813E-3</v>
      </c>
      <c r="AC18" s="222"/>
      <c r="AD18" s="2"/>
      <c r="AH18" s="222"/>
      <c r="AI18" s="2"/>
    </row>
    <row r="19" spans="1:35">
      <c r="C19" s="6"/>
      <c r="G19" t="s">
        <v>24</v>
      </c>
      <c r="H19" s="51">
        <v>0.05</v>
      </c>
      <c r="I19" s="222">
        <f t="shared" si="2"/>
        <v>13189.182013319718</v>
      </c>
      <c r="J19" s="2">
        <f t="shared" si="5"/>
        <v>3.0367813258409646E-3</v>
      </c>
      <c r="L19" t="s">
        <v>24</v>
      </c>
      <c r="M19" s="51">
        <v>0.2</v>
      </c>
      <c r="N19" s="222">
        <f t="shared" si="3"/>
        <v>63308.073663934636</v>
      </c>
      <c r="O19" s="2">
        <f t="shared" si="6"/>
        <v>1.4576550364036628E-2</v>
      </c>
      <c r="S19" s="222"/>
      <c r="T19" s="2"/>
      <c r="V19" t="s">
        <v>24</v>
      </c>
      <c r="W19" s="51">
        <v>0.06</v>
      </c>
      <c r="X19" s="222">
        <f t="shared" si="4"/>
        <v>22157.825782377127</v>
      </c>
      <c r="Y19" s="2">
        <f t="shared" si="7"/>
        <v>5.1017926274128204E-3</v>
      </c>
      <c r="AC19" s="222"/>
      <c r="AD19" s="2"/>
      <c r="AH19" s="222"/>
      <c r="AI19" s="2"/>
    </row>
    <row r="20" spans="1:35">
      <c r="C20" s="6"/>
      <c r="H20" s="6">
        <f>SUM(H16:H19)</f>
        <v>1</v>
      </c>
      <c r="I20" s="222">
        <f>SUM(I16:I19)</f>
        <v>263783.64026639436</v>
      </c>
      <c r="M20" s="6">
        <f>SUM(M16:M19)</f>
        <v>1</v>
      </c>
      <c r="N20" s="222">
        <f>SUM(N16:N19)</f>
        <v>316540.36831967317</v>
      </c>
      <c r="W20" s="6">
        <f>SUM(W16:W19)</f>
        <v>1</v>
      </c>
      <c r="X20" s="222">
        <f>SUM(X16:X19)</f>
        <v>369297.09637295222</v>
      </c>
      <c r="AC20" s="222"/>
      <c r="AH20" s="222"/>
    </row>
    <row r="22" spans="1:35" s="50" customFormat="1">
      <c r="A22" s="1" t="s">
        <v>60</v>
      </c>
      <c r="B22" s="138"/>
      <c r="G22" s="138" t="s">
        <v>101</v>
      </c>
      <c r="L22" s="138" t="s">
        <v>105</v>
      </c>
      <c r="Q22" s="138" t="s">
        <v>355</v>
      </c>
      <c r="R22" s="138"/>
      <c r="V22" s="5" t="s">
        <v>356</v>
      </c>
    </row>
    <row r="24" spans="1:35">
      <c r="B24" s="1" t="s">
        <v>347</v>
      </c>
      <c r="C24" s="1"/>
      <c r="E24" s="1" t="s">
        <v>348</v>
      </c>
      <c r="H24" s="1"/>
    </row>
    <row r="25" spans="1:35">
      <c r="B25" t="s">
        <v>360</v>
      </c>
      <c r="C25" s="2">
        <f>C16*C6</f>
        <v>0.55282863696175555</v>
      </c>
      <c r="E25" s="140">
        <v>1</v>
      </c>
      <c r="F25" s="50" t="s">
        <v>349</v>
      </c>
    </row>
    <row r="26" spans="1:35">
      <c r="B26" t="s">
        <v>361</v>
      </c>
      <c r="C26" s="2">
        <f>C17*C6</f>
        <v>4.631622802723704E-2</v>
      </c>
      <c r="E26" s="140">
        <v>1</v>
      </c>
      <c r="F26" s="50" t="s">
        <v>349</v>
      </c>
      <c r="K26" s="50" t="s">
        <v>363</v>
      </c>
    </row>
    <row r="27" spans="1:35">
      <c r="B27" t="s">
        <v>1013</v>
      </c>
      <c r="C27" s="2">
        <f>O16+O17+Y16+Y17</f>
        <v>0.12390067809431135</v>
      </c>
      <c r="E27" s="140"/>
      <c r="F27" s="50"/>
      <c r="K27" s="50"/>
    </row>
    <row r="28" spans="1:35">
      <c r="B28" t="s">
        <v>24</v>
      </c>
      <c r="C28" s="2">
        <f>1-SUM(C25:C27)</f>
        <v>0.27695445691669607</v>
      </c>
      <c r="E28" s="140">
        <v>0.1</v>
      </c>
      <c r="F28" s="50" t="s">
        <v>339</v>
      </c>
    </row>
    <row r="29" spans="1:35">
      <c r="C29" s="6">
        <f>SUM(C25:C28)</f>
        <v>1</v>
      </c>
      <c r="E29" s="140"/>
      <c r="F29" s="50"/>
    </row>
    <row r="30" spans="1:35">
      <c r="B30" s="1"/>
    </row>
    <row r="31" spans="1:35">
      <c r="B31" s="58" t="s">
        <v>337</v>
      </c>
      <c r="C31" s="58" t="s">
        <v>140</v>
      </c>
      <c r="D31" s="58" t="s">
        <v>27</v>
      </c>
      <c r="E31" s="1"/>
      <c r="F31" s="1"/>
      <c r="G31" s="1"/>
      <c r="H31" s="1"/>
    </row>
    <row r="32" spans="1:35">
      <c r="B32" t="s">
        <v>17</v>
      </c>
      <c r="C32" s="139">
        <f>'Production - Industry shares'!D18</f>
        <v>8.5886255924170596E-2</v>
      </c>
      <c r="D32" s="139">
        <f>SUM('Production - Industry shares'!H18:I18)</f>
        <v>5.8898809523809537E-3</v>
      </c>
      <c r="E32" s="147"/>
      <c r="F32" s="147"/>
      <c r="G32" s="147"/>
      <c r="H32" s="148"/>
    </row>
    <row r="33" spans="2:11">
      <c r="B33" t="s">
        <v>19</v>
      </c>
      <c r="C33" s="139">
        <f>'Production - Industry shares'!D19</f>
        <v>1.2568720379146919E-2</v>
      </c>
      <c r="D33" s="139">
        <f>SUM('Production - Industry shares'!H19:I19)</f>
        <v>3.2616071428571439E-2</v>
      </c>
      <c r="E33" s="147"/>
      <c r="F33" s="147"/>
      <c r="G33" s="147"/>
      <c r="H33" s="148"/>
    </row>
    <row r="34" spans="2:11">
      <c r="B34" t="s">
        <v>21</v>
      </c>
      <c r="C34" s="139">
        <f>'Production - Industry shares'!D20</f>
        <v>2.7232227488151659E-2</v>
      </c>
      <c r="D34" s="139">
        <f>SUM('Production - Industry shares'!H20:I20)</f>
        <v>7.9744047619047631E-2</v>
      </c>
      <c r="E34" s="147"/>
      <c r="F34" s="147"/>
      <c r="G34" s="147"/>
      <c r="H34" s="148"/>
    </row>
    <row r="35" spans="2:11">
      <c r="B35" t="s">
        <v>41</v>
      </c>
      <c r="C35" s="139">
        <f>'Production - Industry shares'!D21</f>
        <v>9.4265402843601905E-3</v>
      </c>
      <c r="D35" s="139">
        <f>SUM('Production - Industry shares'!H21:I21)</f>
        <v>5.5279761904761915E-2</v>
      </c>
      <c r="E35" s="147"/>
      <c r="F35" s="147"/>
      <c r="G35" s="147"/>
      <c r="H35" s="148"/>
    </row>
    <row r="36" spans="2:11">
      <c r="B36" t="s">
        <v>26</v>
      </c>
      <c r="C36" s="139">
        <f>'Production - Industry shares'!D22</f>
        <v>3.9800947867298569E-2</v>
      </c>
      <c r="D36" s="139">
        <f>SUM('Production - Industry shares'!H22:I22)</f>
        <v>1.3136904761904765E-2</v>
      </c>
      <c r="E36" s="147"/>
      <c r="F36" s="147"/>
      <c r="G36" s="147"/>
      <c r="H36" s="627"/>
      <c r="I36" s="624"/>
    </row>
    <row r="37" spans="2:11">
      <c r="B37" t="s">
        <v>27</v>
      </c>
      <c r="C37" s="139">
        <f>'Production - Industry shares'!D23</f>
        <v>4.608530805687204E-2</v>
      </c>
      <c r="D37" s="139">
        <f>SUM('Production - Industry shares'!H23:I23)</f>
        <v>9.3333333333333351E-2</v>
      </c>
      <c r="E37" s="147"/>
      <c r="F37" s="147"/>
      <c r="G37" s="147"/>
      <c r="H37" s="627"/>
      <c r="I37" s="624"/>
    </row>
    <row r="38" spans="2:11">
      <c r="B38" t="s">
        <v>43</v>
      </c>
      <c r="C38" s="139">
        <f>'Production - Industry shares'!D24</f>
        <v>0.22099999999999997</v>
      </c>
      <c r="D38" s="139">
        <f>SUM('Production - Industry shares'!H24:I24)</f>
        <v>0.28000000000000003</v>
      </c>
      <c r="E38" s="147"/>
      <c r="F38" s="756"/>
      <c r="G38" s="624"/>
      <c r="H38" s="627"/>
      <c r="I38" s="624"/>
    </row>
    <row r="39" spans="2:11">
      <c r="F39" s="624"/>
      <c r="G39" s="624"/>
      <c r="H39" s="624"/>
      <c r="I39" s="624"/>
    </row>
    <row r="40" spans="2:11">
      <c r="B40" s="27" t="s">
        <v>48</v>
      </c>
      <c r="C40" s="58" t="s">
        <v>140</v>
      </c>
      <c r="D40" s="58" t="s">
        <v>27</v>
      </c>
      <c r="E40" s="1"/>
      <c r="F40" s="625"/>
      <c r="G40" s="625"/>
      <c r="H40" s="625"/>
      <c r="I40" s="624"/>
    </row>
    <row r="41" spans="2:11">
      <c r="B41" t="s">
        <v>17</v>
      </c>
      <c r="C41" s="2">
        <f>C32/C$38</f>
        <v>0.38862559241706157</v>
      </c>
      <c r="D41" s="2">
        <f t="shared" ref="C41:D46" si="8">D32/D$38</f>
        <v>2.1035289115646262E-2</v>
      </c>
      <c r="E41" s="149"/>
      <c r="F41" s="432"/>
      <c r="G41" s="432"/>
      <c r="H41" s="432"/>
      <c r="I41" s="624"/>
    </row>
    <row r="42" spans="2:11">
      <c r="B42" t="s">
        <v>19</v>
      </c>
      <c r="C42" s="2">
        <f t="shared" si="8"/>
        <v>5.6872037914691947E-2</v>
      </c>
      <c r="D42" s="2">
        <f t="shared" si="8"/>
        <v>0.11648596938775513</v>
      </c>
      <c r="E42" s="149"/>
      <c r="F42" s="432"/>
      <c r="G42" s="432"/>
      <c r="H42" s="432"/>
      <c r="I42" s="624"/>
    </row>
    <row r="43" spans="2:11">
      <c r="B43" t="s">
        <v>21</v>
      </c>
      <c r="C43" s="2">
        <f t="shared" si="8"/>
        <v>0.12322274881516589</v>
      </c>
      <c r="D43" s="2">
        <f t="shared" si="8"/>
        <v>0.28480017006802721</v>
      </c>
      <c r="E43" s="149"/>
      <c r="F43" s="149"/>
      <c r="G43" s="149"/>
      <c r="H43" s="149"/>
    </row>
    <row r="44" spans="2:11">
      <c r="B44" t="s">
        <v>23</v>
      </c>
      <c r="C44" s="2">
        <f t="shared" si="8"/>
        <v>4.2654028436018968E-2</v>
      </c>
      <c r="D44" s="2">
        <f t="shared" si="8"/>
        <v>0.1974277210884354</v>
      </c>
      <c r="E44" s="149"/>
      <c r="F44" s="149"/>
      <c r="G44" s="149"/>
      <c r="H44" s="149"/>
    </row>
    <row r="45" spans="2:11">
      <c r="B45" t="s">
        <v>26</v>
      </c>
      <c r="C45" s="2">
        <f t="shared" si="8"/>
        <v>0.18009478672985779</v>
      </c>
      <c r="D45" s="2">
        <f t="shared" si="8"/>
        <v>4.6917517006802724E-2</v>
      </c>
      <c r="E45" s="149"/>
      <c r="F45" s="149"/>
      <c r="G45" s="149"/>
      <c r="H45" s="149"/>
    </row>
    <row r="46" spans="2:11">
      <c r="B46" t="s">
        <v>27</v>
      </c>
      <c r="C46" s="2">
        <f t="shared" si="8"/>
        <v>0.20853080568720384</v>
      </c>
      <c r="D46" s="2">
        <f t="shared" si="8"/>
        <v>0.33333333333333337</v>
      </c>
      <c r="E46" s="149"/>
      <c r="F46" s="149"/>
      <c r="G46" s="149"/>
      <c r="H46" s="149"/>
    </row>
    <row r="47" spans="2:11">
      <c r="B47" t="s">
        <v>78</v>
      </c>
      <c r="C47" s="2">
        <f>SUM(C41:C46)</f>
        <v>1</v>
      </c>
      <c r="D47" s="2">
        <f>SUM(D41:D46)</f>
        <v>1</v>
      </c>
      <c r="E47" s="149"/>
      <c r="F47" s="149"/>
      <c r="G47" s="149"/>
      <c r="H47" s="149"/>
      <c r="K47" s="6"/>
    </row>
    <row r="48" spans="2:11" ht="15.5" thickBot="1"/>
    <row r="49" spans="2:16">
      <c r="B49" s="27" t="s">
        <v>350</v>
      </c>
      <c r="C49" s="58" t="s">
        <v>140</v>
      </c>
      <c r="D49" s="58" t="s">
        <v>27</v>
      </c>
      <c r="E49" s="27"/>
      <c r="F49" s="27"/>
      <c r="G49" s="27"/>
      <c r="H49" s="27"/>
      <c r="I49" s="27"/>
      <c r="J49" s="30" t="s">
        <v>78</v>
      </c>
      <c r="K49" s="33" t="s">
        <v>79</v>
      </c>
      <c r="L49" s="33" t="s">
        <v>67</v>
      </c>
      <c r="M49" s="86" t="s">
        <v>80</v>
      </c>
      <c r="N49" s="89" t="s">
        <v>78</v>
      </c>
      <c r="P49" s="142" t="s">
        <v>340</v>
      </c>
    </row>
    <row r="50" spans="2:16">
      <c r="B50" t="s">
        <v>17</v>
      </c>
      <c r="C50" s="2">
        <f>C41*($C$25+$C$26)</f>
        <v>0.23284302809998761</v>
      </c>
      <c r="D50" s="2">
        <f>D41*SUM($C$27:$C$28)</f>
        <v>8.4321036584479574E-3</v>
      </c>
      <c r="E50" s="2"/>
      <c r="F50" s="2"/>
      <c r="G50" s="2"/>
      <c r="H50" s="2"/>
      <c r="I50" s="2"/>
      <c r="J50" s="31">
        <f>SUM(C50:D50)</f>
        <v>0.24127513175843557</v>
      </c>
      <c r="K50" s="521">
        <f>J50*$E$2</f>
        <v>1047892.9124633176</v>
      </c>
      <c r="L50" s="470">
        <f>$L$2</f>
        <v>-6.9680618668426231E-3</v>
      </c>
      <c r="M50" s="523">
        <f>K50*(1+L50)^30</f>
        <v>849597.84292376938</v>
      </c>
      <c r="N50" s="90">
        <f t="shared" ref="N50:N56" si="9">M50/M$57</f>
        <v>0.2412751317584356</v>
      </c>
      <c r="P50" s="50" t="s">
        <v>341</v>
      </c>
    </row>
    <row r="51" spans="2:16">
      <c r="B51" t="s">
        <v>19</v>
      </c>
      <c r="C51" s="2">
        <f t="shared" ref="C51:C54" si="10">C42*($C$25+$C$26)</f>
        <v>3.4074589478046972E-2</v>
      </c>
      <c r="D51" s="2">
        <f t="shared" ref="D51:D55" si="11">D42*SUM($C$27:$C$28)</f>
        <v>4.6693998985816665E-2</v>
      </c>
      <c r="E51" s="2"/>
      <c r="F51" s="2"/>
      <c r="G51" s="2"/>
      <c r="H51" s="2"/>
      <c r="I51" s="2"/>
      <c r="J51" s="31">
        <f t="shared" ref="J51:J56" si="12">SUM(C51:D51)</f>
        <v>8.0768588463863644E-2</v>
      </c>
      <c r="K51" s="521">
        <f t="shared" ref="K51:K56" si="13">J51*$E$2</f>
        <v>350789.70130119962</v>
      </c>
      <c r="L51" s="470">
        <f t="shared" ref="L51:L52" si="14">$L$2</f>
        <v>-6.9680618668426231E-3</v>
      </c>
      <c r="M51" s="523">
        <f>K51*(1+L51)^30</f>
        <v>284408.99828665017</v>
      </c>
      <c r="N51" s="90">
        <f t="shared" si="9"/>
        <v>8.0768588463863658E-2</v>
      </c>
      <c r="P51" s="50" t="s">
        <v>342</v>
      </c>
    </row>
    <row r="52" spans="2:16">
      <c r="B52" t="s">
        <v>21</v>
      </c>
      <c r="C52" s="2">
        <f t="shared" si="10"/>
        <v>7.3828277202435108E-2</v>
      </c>
      <c r="D52" s="2">
        <f t="shared" si="11"/>
        <v>0.11416361062377693</v>
      </c>
      <c r="E52" s="2"/>
      <c r="F52" s="2"/>
      <c r="G52" s="2"/>
      <c r="H52" s="2"/>
      <c r="I52" s="2"/>
      <c r="J52" s="31">
        <f t="shared" si="12"/>
        <v>0.18799188782621204</v>
      </c>
      <c r="K52" s="521">
        <f t="shared" si="13"/>
        <v>816476.05129449558</v>
      </c>
      <c r="L52" s="470">
        <f t="shared" si="14"/>
        <v>-6.9680618668426231E-3</v>
      </c>
      <c r="M52" s="523">
        <f>K52*(1+L52)^30</f>
        <v>661972.50093816535</v>
      </c>
      <c r="N52" s="90">
        <f t="shared" si="9"/>
        <v>0.18799188782621204</v>
      </c>
      <c r="P52" s="50" t="s">
        <v>342</v>
      </c>
    </row>
    <row r="53" spans="2:16">
      <c r="B53" t="s">
        <v>23</v>
      </c>
      <c r="C53" s="2">
        <f t="shared" si="10"/>
        <v>2.5555942108535235E-2</v>
      </c>
      <c r="D53" s="2">
        <f t="shared" si="11"/>
        <v>7.9139915791820295E-2</v>
      </c>
      <c r="E53" s="2"/>
      <c r="F53" s="2"/>
      <c r="G53" s="2"/>
      <c r="H53" s="2"/>
      <c r="I53" s="2"/>
      <c r="J53" s="31">
        <f t="shared" si="12"/>
        <v>0.10469585790035553</v>
      </c>
      <c r="K53" s="521">
        <f t="shared" si="13"/>
        <v>454709.30492700252</v>
      </c>
      <c r="L53" s="470">
        <f>(M53/K53)^(1/30)-1</f>
        <v>-6.9680618668426231E-3</v>
      </c>
      <c r="M53" s="523">
        <f>($M$57-$M$50-$M$51-$M$52-$M$56-$M$54)*(J53/SUM($J$53:$J$53,J55))</f>
        <v>368663.66785057454</v>
      </c>
      <c r="N53" s="90">
        <f t="shared" si="9"/>
        <v>0.1046958579003555</v>
      </c>
      <c r="P53" s="50" t="s">
        <v>343</v>
      </c>
    </row>
    <row r="54" spans="2:16">
      <c r="B54" t="s">
        <v>26</v>
      </c>
      <c r="C54" s="2">
        <f t="shared" si="10"/>
        <v>0.10790286668048206</v>
      </c>
      <c r="D54" s="2">
        <f t="shared" si="11"/>
        <v>1.8807127614143142E-2</v>
      </c>
      <c r="E54" s="2"/>
      <c r="F54" s="2"/>
      <c r="G54" s="2"/>
      <c r="H54" s="2"/>
      <c r="I54" s="2"/>
      <c r="J54" s="31">
        <f t="shared" si="12"/>
        <v>0.12670999429462521</v>
      </c>
      <c r="K54" s="521">
        <f t="shared" si="13"/>
        <v>550319.89410555118</v>
      </c>
      <c r="L54" s="470">
        <f>L50</f>
        <v>-6.9680618668426231E-3</v>
      </c>
      <c r="M54" s="523">
        <f>K54*(1+L54)^30</f>
        <v>446181.65595855238</v>
      </c>
      <c r="N54" s="90">
        <f t="shared" si="9"/>
        <v>0.12670999429462521</v>
      </c>
      <c r="P54" s="50" t="s">
        <v>341</v>
      </c>
    </row>
    <row r="55" spans="2:16">
      <c r="B55" t="s">
        <v>27</v>
      </c>
      <c r="C55" s="2">
        <f>C46*($C$25+$C$26)</f>
        <v>0.12494016141950558</v>
      </c>
      <c r="D55" s="2">
        <f t="shared" si="11"/>
        <v>0.13361837833700249</v>
      </c>
      <c r="E55" s="2"/>
      <c r="F55" s="2"/>
      <c r="G55" s="2"/>
      <c r="H55" s="2"/>
      <c r="I55" s="2"/>
      <c r="J55" s="31">
        <f t="shared" si="12"/>
        <v>0.25855853975650805</v>
      </c>
      <c r="K55" s="521">
        <f t="shared" si="13"/>
        <v>1122957.2616666364</v>
      </c>
      <c r="L55" s="470">
        <f t="shared" ref="L55" si="15">(M55/K55)^(1/30)-1</f>
        <v>-6.9680618668426231E-3</v>
      </c>
      <c r="M55" s="523">
        <f>($M$57-$M$50-$M$51-$M$52-$M$56-$M$54)*(J55/SUM($J$53:$J$53,J55))</f>
        <v>910457.60102032823</v>
      </c>
      <c r="N55" s="90">
        <f t="shared" si="9"/>
        <v>0.25855853975650805</v>
      </c>
      <c r="P55" s="50" t="s">
        <v>343</v>
      </c>
    </row>
    <row r="56" spans="2:16">
      <c r="B56" t="s">
        <v>362</v>
      </c>
      <c r="C56" s="2">
        <v>0</v>
      </c>
      <c r="D56" s="2">
        <v>0</v>
      </c>
      <c r="E56" s="6"/>
      <c r="F56" s="6"/>
      <c r="G56" s="6"/>
      <c r="H56" s="6"/>
      <c r="I56" s="2"/>
      <c r="J56" s="31">
        <f t="shared" si="12"/>
        <v>0</v>
      </c>
      <c r="K56" s="521">
        <f t="shared" si="13"/>
        <v>0</v>
      </c>
      <c r="L56" s="470">
        <f t="shared" ref="L56" si="16">$L$2</f>
        <v>-6.9680618668426231E-3</v>
      </c>
      <c r="M56" s="523">
        <f>K56*(1+L56)^30</f>
        <v>0</v>
      </c>
      <c r="N56" s="90">
        <f t="shared" si="9"/>
        <v>0</v>
      </c>
      <c r="P56" s="50" t="s">
        <v>344</v>
      </c>
    </row>
    <row r="57" spans="2:16" ht="15.5" thickBot="1">
      <c r="B57" s="28" t="s">
        <v>78</v>
      </c>
      <c r="C57" s="29">
        <f>SUM(C50:C56)</f>
        <v>0.59914486498899255</v>
      </c>
      <c r="D57" s="29">
        <f>SUM(D50:D56)</f>
        <v>0.40085513501100745</v>
      </c>
      <c r="E57" s="29"/>
      <c r="F57" s="29"/>
      <c r="G57" s="29"/>
      <c r="H57" s="29"/>
      <c r="I57" s="29"/>
      <c r="J57" s="32">
        <f>SUM(C57:I57)</f>
        <v>1</v>
      </c>
      <c r="K57" s="522">
        <f>SUM(K50:K56)</f>
        <v>4343145.1257582027</v>
      </c>
      <c r="L57" s="38">
        <f>L2</f>
        <v>-6.9680618668426231E-3</v>
      </c>
      <c r="M57" s="524">
        <f>K57*(1+L57)^30</f>
        <v>3521282.2669780399</v>
      </c>
      <c r="N57" s="91">
        <f>SUM(N50:N56)</f>
        <v>1</v>
      </c>
    </row>
    <row r="58" spans="2:16" ht="15.5" thickTop="1">
      <c r="M58" s="99"/>
    </row>
    <row r="59" spans="2:16">
      <c r="J59" s="50" t="s">
        <v>237</v>
      </c>
      <c r="K59" s="161">
        <f>'R&amp;S - Buildings'!I4+'R&amp;S - Transportation'!C4+'R&amp;S - Packaging and hh goods'!I4+'R&amp;S - Apparel'!D4+'R&amp;S - Others'!E4</f>
        <v>4343145.1257582027</v>
      </c>
      <c r="L59" s="161"/>
      <c r="M59" s="161">
        <f>'R&amp;S - Buildings'!I6+'R&amp;S - Transportation'!C7+'R&amp;S - Packaging and hh goods'!I6+'R&amp;S - Apparel'!D6+'R&amp;S - Others'!E6</f>
        <v>4213164.4078198541</v>
      </c>
    </row>
    <row r="60" spans="2:16">
      <c r="K60" s="142"/>
      <c r="L60" s="142"/>
      <c r="M60" s="142"/>
    </row>
    <row r="61" spans="2:16">
      <c r="K61" s="143"/>
      <c r="L61" s="144"/>
      <c r="M61" s="143"/>
    </row>
    <row r="62" spans="2:16">
      <c r="K62" s="143"/>
      <c r="L62" s="144"/>
      <c r="M62" s="143"/>
    </row>
    <row r="63" spans="2:16">
      <c r="K63" s="143"/>
      <c r="L63" s="144"/>
      <c r="M63" s="143"/>
    </row>
    <row r="64" spans="2:16">
      <c r="K64" s="143"/>
      <c r="L64" s="144"/>
      <c r="M64" s="143"/>
    </row>
    <row r="65" spans="11:13">
      <c r="K65" s="143"/>
      <c r="L65" s="144"/>
      <c r="M65" s="143"/>
    </row>
    <row r="66" spans="11:13">
      <c r="K66" s="143"/>
      <c r="L66" s="144"/>
      <c r="M66" s="143"/>
    </row>
    <row r="67" spans="11:13">
      <c r="K67" s="143"/>
      <c r="L67" s="144"/>
      <c r="M67" s="143"/>
    </row>
    <row r="68" spans="11:13">
      <c r="K68" s="145"/>
      <c r="L68" s="146"/>
      <c r="M68" s="145"/>
    </row>
    <row r="73" spans="11:13">
      <c r="L73" s="37"/>
    </row>
  </sheetData>
  <hyperlinks>
    <hyperlink ref="G22" r:id="rId1" xr:uid="{8A0E6C9C-BD8B-4E1D-9382-6242FDAAC5C9}"/>
    <hyperlink ref="L22" r:id="rId2" xr:uid="{AFF80CA9-A23A-43E4-8470-AEE9C0296772}"/>
    <hyperlink ref="Q22" r:id="rId3" xr:uid="{882EA3C3-5C7F-4F3E-B9A4-E920EBFF7A20}"/>
    <hyperlink ref="V22" r:id="rId4" xr:uid="{DBC48CA8-D7CA-4C16-8BC5-864DB31995A2}"/>
  </hyperlinks>
  <pageMargins left="0.7" right="0.7" top="0.75" bottom="0.75" header="0.3" footer="0.3"/>
  <pageSetup paperSize="9" orientation="portrait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90FA-51AE-48D3-A3D7-51AC38CDE649}">
  <sheetPr>
    <tabColor theme="7"/>
  </sheetPr>
  <dimension ref="A1:Y79"/>
  <sheetViews>
    <sheetView topLeftCell="E1" zoomScale="70" zoomScaleNormal="70" workbookViewId="0">
      <selection activeCell="N2" sqref="N2"/>
    </sheetView>
  </sheetViews>
  <sheetFormatPr defaultRowHeight="14.75"/>
  <cols>
    <col min="1" max="1" width="31.453125" customWidth="1"/>
    <col min="2" max="2" width="21.26953125" bestFit="1" customWidth="1"/>
    <col min="3" max="3" width="23.54296875" bestFit="1" customWidth="1"/>
    <col min="4" max="5" width="21.1796875" bestFit="1" customWidth="1"/>
    <col min="6" max="7" width="14.54296875" customWidth="1"/>
    <col min="11" max="11" width="31.453125" customWidth="1"/>
    <col min="12" max="12" width="20.1796875" customWidth="1"/>
    <col min="13" max="13" width="15.1796875" customWidth="1"/>
    <col min="15" max="15" width="13.1796875" customWidth="1"/>
    <col min="16" max="18" width="22.453125" customWidth="1"/>
  </cols>
  <sheetData>
    <row r="1" spans="1:14">
      <c r="B1" t="s">
        <v>1011</v>
      </c>
      <c r="C1" t="s">
        <v>40</v>
      </c>
    </row>
    <row r="2" spans="1:14">
      <c r="B2" s="40"/>
      <c r="C2" s="2"/>
      <c r="K2" t="str" cm="1">
        <f t="array" ref="K2:N6">'Sankey Methanol_detailed'!P21:S25</f>
        <v>Corrected</v>
      </c>
      <c r="L2" t="str">
        <v>Fuel</v>
      </c>
      <c r="M2">
        <v>28.587862624213781</v>
      </c>
      <c r="N2" s="6">
        <v>0.27471012342412782</v>
      </c>
    </row>
    <row r="3" spans="1:14">
      <c r="A3" t="s">
        <v>29</v>
      </c>
      <c r="B3" s="99">
        <f>C3*$B$13</f>
        <v>60469.599895776919</v>
      </c>
      <c r="C3" s="52">
        <v>4.1058666557715798E-2</v>
      </c>
      <c r="K3">
        <v>0</v>
      </c>
      <c r="L3" t="str">
        <v>Major Polymers</v>
      </c>
      <c r="M3" s="40">
        <v>28.851572700948026</v>
      </c>
      <c r="N3" s="6">
        <v>0.27724419981452192</v>
      </c>
    </row>
    <row r="4" spans="1:14">
      <c r="A4" t="s">
        <v>9</v>
      </c>
      <c r="B4" s="99">
        <f t="shared" ref="B4:B11" si="0">C4*$B$13</f>
        <v>49282.723915058188</v>
      </c>
      <c r="C4" s="52">
        <v>3.3462813244538377E-2</v>
      </c>
      <c r="K4">
        <v>0</v>
      </c>
      <c r="L4" t="str">
        <v>Minor Polymers</v>
      </c>
      <c r="M4">
        <v>22.580763290736638</v>
      </c>
      <c r="N4" s="6">
        <v>0.21698594092708512</v>
      </c>
    </row>
    <row r="5" spans="1:14">
      <c r="A5" t="s">
        <v>140</v>
      </c>
      <c r="B5" s="99">
        <f t="shared" si="0"/>
        <v>180821.45152440865</v>
      </c>
      <c r="C5" s="52">
        <v>0.12277719213322204</v>
      </c>
      <c r="K5">
        <v>0</v>
      </c>
      <c r="L5" t="str">
        <v>Other</v>
      </c>
      <c r="M5" s="40">
        <v>24.045360628442481</v>
      </c>
      <c r="N5" s="6">
        <v>0.23105973583426512</v>
      </c>
    </row>
    <row r="6" spans="1:14">
      <c r="A6" t="s">
        <v>34</v>
      </c>
      <c r="B6" s="99">
        <f t="shared" si="0"/>
        <v>20726.996234439674</v>
      </c>
      <c r="C6" s="52">
        <v>1.4073564710196195E-2</v>
      </c>
      <c r="K6">
        <v>0</v>
      </c>
      <c r="L6" t="str">
        <v>Total</v>
      </c>
      <c r="M6">
        <v>104.06555924434093</v>
      </c>
      <c r="N6" s="6">
        <v>0</v>
      </c>
    </row>
    <row r="7" spans="1:14">
      <c r="A7" t="s">
        <v>35</v>
      </c>
      <c r="B7" s="99">
        <f t="shared" si="0"/>
        <v>13403.248563755098</v>
      </c>
      <c r="C7" s="52">
        <v>9.1007632681200691E-3</v>
      </c>
    </row>
    <row r="8" spans="1:14">
      <c r="A8" t="s">
        <v>77</v>
      </c>
      <c r="B8" s="99">
        <f t="shared" si="0"/>
        <v>24125.847414759173</v>
      </c>
      <c r="C8" s="188">
        <v>1.6381373882616124E-2</v>
      </c>
      <c r="L8" t="s">
        <v>826</v>
      </c>
      <c r="M8" s="40">
        <f>SUMIF('Sankey Methanol_detailed'!D:D,'Demand - Methanol'!L8,'Sankey Methanol_detailed'!H:H)</f>
        <v>28.587862624213781</v>
      </c>
    </row>
    <row r="9" spans="1:14">
      <c r="A9" t="s">
        <v>74</v>
      </c>
      <c r="B9" s="99">
        <f t="shared" si="0"/>
        <v>5023.0579936899903</v>
      </c>
      <c r="C9" s="52">
        <v>3.4106404477366094E-3</v>
      </c>
      <c r="L9" t="s">
        <v>823</v>
      </c>
      <c r="M9" s="40">
        <f>SUMIF('Sankey Methanol_detailed'!D:D,'Demand - Methanol'!L9,'Sankey Methanol_detailed'!H:H)</f>
        <v>31.201972235932104</v>
      </c>
    </row>
    <row r="10" spans="1:14">
      <c r="A10" t="s">
        <v>1012</v>
      </c>
      <c r="B10" s="99">
        <f t="shared" si="0"/>
        <v>29890.516558407937</v>
      </c>
      <c r="C10" s="52">
        <v>2.0295565949250874E-2</v>
      </c>
      <c r="L10" t="s">
        <v>913</v>
      </c>
      <c r="M10" s="40">
        <f>SUMIF('Sankey Methanol_detailed'!D:D,'Demand - Methanol'!L10,'Sankey Methanol_detailed'!H:H)</f>
        <v>22.580763290736638</v>
      </c>
    </row>
    <row r="11" spans="1:14">
      <c r="A11" t="s">
        <v>1013</v>
      </c>
      <c r="B11" s="99">
        <f t="shared" si="0"/>
        <v>325522.0937140719</v>
      </c>
      <c r="C11" s="52">
        <v>0.22102846928062794</v>
      </c>
      <c r="L11" t="s">
        <v>24</v>
      </c>
      <c r="M11" s="40">
        <f>M6-SUM(M8:M10)</f>
        <v>21.694961093458403</v>
      </c>
    </row>
    <row r="12" spans="1:14">
      <c r="A12" t="s">
        <v>1014</v>
      </c>
      <c r="B12" s="99">
        <f>SUM(B3:B11)</f>
        <v>709265.53581436747</v>
      </c>
      <c r="L12" t="s">
        <v>78</v>
      </c>
      <c r="M12" s="40">
        <f>SUM(M8:M11)</f>
        <v>104.06555924434093</v>
      </c>
    </row>
    <row r="13" spans="1:14">
      <c r="A13" t="s">
        <v>1015</v>
      </c>
      <c r="B13" s="99">
        <f>'Yearly Demand - meth.'!G2</f>
        <v>1472760.9288230378</v>
      </c>
    </row>
    <row r="14" spans="1:14">
      <c r="A14" t="s">
        <v>566</v>
      </c>
      <c r="B14" s="422">
        <f>B12+M5+M2</f>
        <v>709318.16903762007</v>
      </c>
    </row>
    <row r="16" spans="1:14">
      <c r="A16" s="1" t="s">
        <v>329</v>
      </c>
      <c r="B16" t="s">
        <v>297</v>
      </c>
      <c r="C16" t="s">
        <v>9</v>
      </c>
      <c r="D16" t="s">
        <v>140</v>
      </c>
      <c r="E16" t="s">
        <v>74</v>
      </c>
      <c r="F16" t="s">
        <v>34</v>
      </c>
      <c r="G16" t="s">
        <v>35</v>
      </c>
      <c r="H16" t="s">
        <v>160</v>
      </c>
      <c r="I16" t="s">
        <v>24</v>
      </c>
      <c r="J16" t="s">
        <v>78</v>
      </c>
    </row>
    <row r="17" spans="1:15">
      <c r="A17" t="s">
        <v>17</v>
      </c>
      <c r="B17" s="37">
        <v>0.13500000000000001</v>
      </c>
      <c r="C17" s="37">
        <v>9.2999999999999999E-2</v>
      </c>
      <c r="D17" s="37">
        <v>8.2000000000000003E-2</v>
      </c>
      <c r="E17" s="37">
        <v>2.3E-2</v>
      </c>
      <c r="F17" s="37">
        <v>8.9999999999999993E-3</v>
      </c>
      <c r="G17" s="37">
        <v>0.10100000000000001</v>
      </c>
      <c r="H17" s="37">
        <v>2E-3</v>
      </c>
      <c r="I17" s="37">
        <v>1E-3</v>
      </c>
      <c r="J17" s="37">
        <f>SUM(B17:I17)</f>
        <v>0.44600000000000006</v>
      </c>
    </row>
    <row r="18" spans="1:15">
      <c r="A18" t="s">
        <v>19</v>
      </c>
      <c r="B18" s="37">
        <v>1.0999999999999999E-2</v>
      </c>
      <c r="C18" s="37">
        <v>3.3000000000000002E-2</v>
      </c>
      <c r="D18" s="37">
        <v>1.2E-2</v>
      </c>
      <c r="E18" s="37">
        <v>2.1999999999999999E-2</v>
      </c>
      <c r="F18" s="37">
        <v>8.1000000000000003E-2</v>
      </c>
      <c r="G18" s="37">
        <v>0</v>
      </c>
      <c r="H18" s="37">
        <v>2.4E-2</v>
      </c>
      <c r="I18" s="37">
        <v>5.0000000000000001E-3</v>
      </c>
      <c r="J18" s="37">
        <f t="shared" ref="J18:J22" si="1">SUM(B18:I18)</f>
        <v>0.18799999999999997</v>
      </c>
    </row>
    <row r="19" spans="1:15">
      <c r="A19" t="s">
        <v>330</v>
      </c>
      <c r="B19" s="37">
        <v>1E-3</v>
      </c>
      <c r="C19" s="37">
        <v>8.0000000000000002E-3</v>
      </c>
      <c r="D19" s="37">
        <v>2.5999999999999999E-2</v>
      </c>
      <c r="E19" s="37">
        <v>0</v>
      </c>
      <c r="F19" s="37">
        <v>3.0000000000000001E-3</v>
      </c>
      <c r="G19" s="37">
        <v>0</v>
      </c>
      <c r="H19" s="37">
        <v>1.6E-2</v>
      </c>
      <c r="I19" s="37">
        <v>1.4E-2</v>
      </c>
      <c r="J19" s="37">
        <f t="shared" si="1"/>
        <v>6.8000000000000005E-2</v>
      </c>
    </row>
    <row r="20" spans="1:15">
      <c r="A20" t="s">
        <v>23</v>
      </c>
      <c r="B20" s="37">
        <v>5.0000000000000001E-3</v>
      </c>
      <c r="C20" s="37">
        <v>2E-3</v>
      </c>
      <c r="D20" s="37">
        <v>8.9999999999999993E-3</v>
      </c>
      <c r="E20" s="37">
        <v>6.0000000000000001E-3</v>
      </c>
      <c r="F20" s="37">
        <v>4.0000000000000001E-3</v>
      </c>
      <c r="G20" s="37">
        <v>0</v>
      </c>
      <c r="H20" s="37">
        <v>4.0000000000000001E-3</v>
      </c>
      <c r="I20" s="37">
        <v>0.01</v>
      </c>
      <c r="J20" s="37">
        <f t="shared" si="1"/>
        <v>0.04</v>
      </c>
    </row>
    <row r="21" spans="1:15">
      <c r="A21" t="s">
        <v>336</v>
      </c>
      <c r="B21" s="37">
        <v>2.9000000000000001E-2</v>
      </c>
      <c r="C21" s="37">
        <v>1.7000000000000001E-2</v>
      </c>
      <c r="D21" s="37">
        <v>3.7999999999999999E-2</v>
      </c>
      <c r="E21" s="37">
        <v>1.7999999999999999E-2</v>
      </c>
      <c r="F21" s="37">
        <v>6.0000000000000001E-3</v>
      </c>
      <c r="G21" s="37">
        <v>0</v>
      </c>
      <c r="H21" s="37">
        <v>0.01</v>
      </c>
      <c r="I21" s="37">
        <v>2E-3</v>
      </c>
      <c r="J21" s="37">
        <f t="shared" si="1"/>
        <v>0.12</v>
      </c>
    </row>
    <row r="22" spans="1:15">
      <c r="A22" t="s">
        <v>27</v>
      </c>
      <c r="B22" s="37">
        <v>1.9000000000000003E-2</v>
      </c>
      <c r="C22" s="37">
        <v>9.9999999999999985E-3</v>
      </c>
      <c r="D22" s="37">
        <v>4.4000000000000004E-2</v>
      </c>
      <c r="E22" s="37">
        <v>7.0000000000000001E-3</v>
      </c>
      <c r="F22" s="37">
        <v>1.4E-2</v>
      </c>
      <c r="G22" s="37">
        <v>0</v>
      </c>
      <c r="H22" s="37">
        <v>2.8000000000000001E-2</v>
      </c>
      <c r="I22" s="37">
        <v>1.6E-2</v>
      </c>
      <c r="J22" s="37">
        <f t="shared" si="1"/>
        <v>0.13800000000000001</v>
      </c>
    </row>
    <row r="23" spans="1:15">
      <c r="A23" t="s">
        <v>43</v>
      </c>
      <c r="B23" s="37">
        <f>SUM(B17:B22)</f>
        <v>0.2</v>
      </c>
      <c r="C23" s="37">
        <f t="shared" ref="C23:I23" si="2">SUM(C17:C22)</f>
        <v>0.16300000000000003</v>
      </c>
      <c r="D23" s="37">
        <f t="shared" si="2"/>
        <v>0.21100000000000002</v>
      </c>
      <c r="E23" s="37">
        <f t="shared" si="2"/>
        <v>7.5999999999999998E-2</v>
      </c>
      <c r="F23" s="37">
        <f t="shared" si="2"/>
        <v>0.11700000000000001</v>
      </c>
      <c r="G23" s="37">
        <f t="shared" si="2"/>
        <v>0.10100000000000001</v>
      </c>
      <c r="H23" s="37">
        <f t="shared" si="2"/>
        <v>8.4000000000000005E-2</v>
      </c>
      <c r="I23" s="37">
        <f t="shared" si="2"/>
        <v>4.8000000000000001E-2</v>
      </c>
      <c r="J23" s="37">
        <f>SUM(B23:I23)</f>
        <v>1</v>
      </c>
    </row>
    <row r="25" spans="1:15">
      <c r="O25" s="6"/>
    </row>
    <row r="26" spans="1:15">
      <c r="A26" s="1" t="s">
        <v>48</v>
      </c>
      <c r="B26" t="s">
        <v>297</v>
      </c>
      <c r="C26" t="s">
        <v>9</v>
      </c>
      <c r="D26" t="s">
        <v>140</v>
      </c>
      <c r="E26" t="s">
        <v>74</v>
      </c>
      <c r="F26" t="s">
        <v>34</v>
      </c>
      <c r="G26" t="s">
        <v>35</v>
      </c>
      <c r="H26" t="s">
        <v>160</v>
      </c>
      <c r="I26" t="s">
        <v>24</v>
      </c>
      <c r="O26" s="6"/>
    </row>
    <row r="27" spans="1:15">
      <c r="A27" t="s">
        <v>17</v>
      </c>
      <c r="B27" s="6">
        <f>B17/B$23</f>
        <v>0.67500000000000004</v>
      </c>
      <c r="C27" s="6">
        <f t="shared" ref="B27:I33" si="3">C17/C$23</f>
        <v>0.57055214723926373</v>
      </c>
      <c r="D27" s="6">
        <f t="shared" si="3"/>
        <v>0.38862559241706157</v>
      </c>
      <c r="E27" s="6">
        <f t="shared" si="3"/>
        <v>0.30263157894736842</v>
      </c>
      <c r="F27" s="6">
        <f t="shared" si="3"/>
        <v>7.6923076923076913E-2</v>
      </c>
      <c r="G27" s="6">
        <f t="shared" si="3"/>
        <v>1</v>
      </c>
      <c r="H27" s="6">
        <f t="shared" si="3"/>
        <v>2.3809523809523808E-2</v>
      </c>
      <c r="I27" s="6">
        <f t="shared" si="3"/>
        <v>2.0833333333333332E-2</v>
      </c>
      <c r="O27" s="6"/>
    </row>
    <row r="28" spans="1:15">
      <c r="A28" t="s">
        <v>19</v>
      </c>
      <c r="B28" s="6">
        <f t="shared" si="3"/>
        <v>5.4999999999999993E-2</v>
      </c>
      <c r="C28" s="6">
        <f>C18/C$23</f>
        <v>0.20245398773006132</v>
      </c>
      <c r="D28" s="6">
        <f t="shared" si="3"/>
        <v>5.6872037914691941E-2</v>
      </c>
      <c r="E28" s="6">
        <f t="shared" si="3"/>
        <v>0.28947368421052633</v>
      </c>
      <c r="F28" s="6">
        <f t="shared" si="3"/>
        <v>0.69230769230769229</v>
      </c>
      <c r="G28" s="6">
        <f t="shared" si="3"/>
        <v>0</v>
      </c>
      <c r="H28" s="6">
        <f t="shared" si="3"/>
        <v>0.2857142857142857</v>
      </c>
      <c r="I28" s="6">
        <f t="shared" si="3"/>
        <v>0.10416666666666667</v>
      </c>
      <c r="O28" s="6"/>
    </row>
    <row r="29" spans="1:15">
      <c r="A29" t="s">
        <v>21</v>
      </c>
      <c r="B29" s="6">
        <f>B19/B$23</f>
        <v>5.0000000000000001E-3</v>
      </c>
      <c r="C29" s="6">
        <f t="shared" si="3"/>
        <v>4.9079754601226988E-2</v>
      </c>
      <c r="D29" s="6">
        <f t="shared" si="3"/>
        <v>0.12322274881516586</v>
      </c>
      <c r="E29" s="6">
        <f t="shared" si="3"/>
        <v>0</v>
      </c>
      <c r="F29" s="6">
        <f t="shared" si="3"/>
        <v>2.564102564102564E-2</v>
      </c>
      <c r="G29" s="6">
        <f t="shared" si="3"/>
        <v>0</v>
      </c>
      <c r="H29" s="6">
        <f t="shared" si="3"/>
        <v>0.19047619047619047</v>
      </c>
      <c r="I29" s="6">
        <f t="shared" si="3"/>
        <v>0.29166666666666669</v>
      </c>
      <c r="O29" s="6"/>
    </row>
    <row r="30" spans="1:15">
      <c r="A30" t="s">
        <v>23</v>
      </c>
      <c r="B30" s="6">
        <f t="shared" si="3"/>
        <v>2.4999999999999998E-2</v>
      </c>
      <c r="C30" s="6">
        <f t="shared" si="3"/>
        <v>1.2269938650306747E-2</v>
      </c>
      <c r="D30" s="6">
        <f t="shared" si="3"/>
        <v>4.2654028436018947E-2</v>
      </c>
      <c r="E30" s="6">
        <f t="shared" si="3"/>
        <v>7.8947368421052641E-2</v>
      </c>
      <c r="F30" s="6">
        <f t="shared" si="3"/>
        <v>3.4188034188034185E-2</v>
      </c>
      <c r="G30" s="6">
        <f t="shared" si="3"/>
        <v>0</v>
      </c>
      <c r="H30" s="6">
        <f t="shared" si="3"/>
        <v>4.7619047619047616E-2</v>
      </c>
      <c r="I30" s="6">
        <f t="shared" si="3"/>
        <v>0.20833333333333334</v>
      </c>
      <c r="O30" s="6"/>
    </row>
    <row r="31" spans="1:15">
      <c r="A31" t="s">
        <v>26</v>
      </c>
      <c r="B31" s="6">
        <f t="shared" si="3"/>
        <v>0.14499999999999999</v>
      </c>
      <c r="C31" s="6">
        <f t="shared" si="3"/>
        <v>0.10429447852760734</v>
      </c>
      <c r="D31" s="6">
        <f t="shared" si="3"/>
        <v>0.18009478672985779</v>
      </c>
      <c r="E31" s="6">
        <f t="shared" si="3"/>
        <v>0.23684210526315788</v>
      </c>
      <c r="F31" s="6">
        <f t="shared" si="3"/>
        <v>5.128205128205128E-2</v>
      </c>
      <c r="G31" s="6">
        <f t="shared" si="3"/>
        <v>0</v>
      </c>
      <c r="H31" s="6">
        <f t="shared" si="3"/>
        <v>0.11904761904761904</v>
      </c>
      <c r="I31" s="6">
        <f t="shared" si="3"/>
        <v>4.1666666666666664E-2</v>
      </c>
      <c r="O31" s="6"/>
    </row>
    <row r="32" spans="1:15">
      <c r="A32" t="s">
        <v>27</v>
      </c>
      <c r="B32" s="6">
        <f t="shared" si="3"/>
        <v>9.5000000000000015E-2</v>
      </c>
      <c r="C32" s="6">
        <f t="shared" si="3"/>
        <v>6.1349693251533721E-2</v>
      </c>
      <c r="D32" s="6">
        <f t="shared" si="3"/>
        <v>0.20853080568720378</v>
      </c>
      <c r="E32" s="6">
        <f t="shared" si="3"/>
        <v>9.2105263157894746E-2</v>
      </c>
      <c r="F32" s="6">
        <f t="shared" si="3"/>
        <v>0.11965811965811965</v>
      </c>
      <c r="G32" s="6">
        <f t="shared" si="3"/>
        <v>0</v>
      </c>
      <c r="H32" s="6">
        <f t="shared" si="3"/>
        <v>0.33333333333333331</v>
      </c>
      <c r="I32" s="6">
        <f t="shared" si="3"/>
        <v>0.33333333333333331</v>
      </c>
    </row>
    <row r="33" spans="1:25">
      <c r="A33" t="s">
        <v>78</v>
      </c>
      <c r="B33" s="6">
        <f t="shared" si="3"/>
        <v>1</v>
      </c>
      <c r="C33" s="6">
        <f t="shared" si="3"/>
        <v>1</v>
      </c>
      <c r="D33" s="6">
        <f t="shared" si="3"/>
        <v>1</v>
      </c>
      <c r="E33" s="6">
        <f t="shared" si="3"/>
        <v>1</v>
      </c>
      <c r="F33" s="6">
        <f t="shared" si="3"/>
        <v>1</v>
      </c>
      <c r="G33" s="6">
        <f t="shared" si="3"/>
        <v>1</v>
      </c>
      <c r="H33" s="6">
        <f t="shared" si="3"/>
        <v>1</v>
      </c>
      <c r="I33" s="6">
        <f t="shared" si="3"/>
        <v>1</v>
      </c>
    </row>
    <row r="35" spans="1:25" ht="15.5" thickBot="1"/>
    <row r="36" spans="1:25">
      <c r="A36" s="1" t="s">
        <v>1016</v>
      </c>
      <c r="B36" t="s">
        <v>297</v>
      </c>
      <c r="C36" t="s">
        <v>9</v>
      </c>
      <c r="D36" t="s">
        <v>140</v>
      </c>
      <c r="E36" t="s">
        <v>74</v>
      </c>
      <c r="F36" t="s">
        <v>34</v>
      </c>
      <c r="G36" t="s">
        <v>35</v>
      </c>
      <c r="H36" t="s">
        <v>77</v>
      </c>
      <c r="I36" t="s">
        <v>160</v>
      </c>
      <c r="J36" t="s">
        <v>27</v>
      </c>
      <c r="K36" s="1" t="s">
        <v>78</v>
      </c>
      <c r="L36" s="30" t="s">
        <v>1017</v>
      </c>
      <c r="M36" s="33" t="s">
        <v>79</v>
      </c>
      <c r="N36" s="33" t="s">
        <v>67</v>
      </c>
      <c r="O36" s="86" t="s">
        <v>80</v>
      </c>
      <c r="P36" s="89" t="s">
        <v>78</v>
      </c>
      <c r="Q36" s="86"/>
      <c r="R36" s="89"/>
      <c r="T36" s="142" t="s">
        <v>340</v>
      </c>
      <c r="Y36" s="1" t="s">
        <v>377</v>
      </c>
    </row>
    <row r="37" spans="1:25">
      <c r="A37" t="s">
        <v>17</v>
      </c>
      <c r="B37" s="2">
        <f>C$3*B27</f>
        <v>2.7714599926458167E-2</v>
      </c>
      <c r="C37" s="2">
        <f>C$4*C27</f>
        <v>1.9092279949337845E-2</v>
      </c>
      <c r="D37" s="2">
        <f>C$5*D27</f>
        <v>4.7714359028076803E-2</v>
      </c>
      <c r="E37" s="2">
        <f>C$9*E27</f>
        <v>1.0321675039202897E-3</v>
      </c>
      <c r="F37" s="2">
        <f>C$6*F27</f>
        <v>1.0825819007843226E-3</v>
      </c>
      <c r="G37" s="2">
        <f>C$7*G27</f>
        <v>9.1007632681200691E-3</v>
      </c>
      <c r="H37" s="188">
        <v>0</v>
      </c>
      <c r="I37" s="22">
        <f>C$10*H27</f>
        <v>4.8322776069644933E-4</v>
      </c>
      <c r="J37" s="149">
        <f>C$11*I27</f>
        <v>4.6047597766797482E-3</v>
      </c>
      <c r="K37" s="110">
        <f t="shared" ref="K37:K43" si="4">SUM(B37:J37)</f>
        <v>0.1108247391140737</v>
      </c>
      <c r="L37" s="442">
        <f t="shared" ref="L37:L43" si="5">SUM(B37:J37)</f>
        <v>0.1108247391140737</v>
      </c>
      <c r="M37" s="593">
        <f>L37*$B$13</f>
        <v>163218.34571421403</v>
      </c>
      <c r="N37" s="141">
        <f>'Yearly Demand - meth.'!$N$2</f>
        <v>-6.9680618668425121E-3</v>
      </c>
      <c r="O37" s="523">
        <f>M37*(1+N37)^30</f>
        <v>132332.18088898662</v>
      </c>
      <c r="P37" s="90">
        <f>O37/$O$46</f>
        <v>0.11082473911407369</v>
      </c>
      <c r="Q37" s="444"/>
      <c r="R37" s="90"/>
      <c r="T37" s="50" t="s">
        <v>341</v>
      </c>
    </row>
    <row r="38" spans="1:25">
      <c r="A38" t="s">
        <v>19</v>
      </c>
      <c r="B38" s="2">
        <f t="shared" ref="B38:B41" si="6">C$3*B28</f>
        <v>2.2582266606743684E-3</v>
      </c>
      <c r="C38" s="2">
        <f t="shared" ref="C38:C41" si="7">C$4*C28</f>
        <v>6.7746799820231057E-3</v>
      </c>
      <c r="D38" s="2">
        <f t="shared" ref="D38:D41" si="8">C$5*D28</f>
        <v>6.9825891260600209E-3</v>
      </c>
      <c r="E38" s="2">
        <f t="shared" ref="E38:E41" si="9">C$9*E28</f>
        <v>9.8729065592375546E-4</v>
      </c>
      <c r="F38" s="2">
        <f t="shared" ref="F38:F41" si="10">C$6*F28</f>
        <v>9.7432371070589035E-3</v>
      </c>
      <c r="G38" s="2">
        <f t="shared" ref="G38:G41" si="11">C$7*G28</f>
        <v>0</v>
      </c>
      <c r="H38" s="236">
        <f>$C$8*0.25</f>
        <v>4.0953434706540309E-3</v>
      </c>
      <c r="I38" s="22">
        <f t="shared" ref="I38:I41" si="12">C$10*H28</f>
        <v>5.7987331283573919E-3</v>
      </c>
      <c r="J38" s="149">
        <f t="shared" ref="J38:J41" si="13">C$11*I28</f>
        <v>2.3023798883398745E-2</v>
      </c>
      <c r="K38" s="110">
        <f t="shared" si="4"/>
        <v>5.9663899014150326E-2</v>
      </c>
      <c r="L38" s="442">
        <f t="shared" si="5"/>
        <v>5.9663899014150326E-2</v>
      </c>
      <c r="M38" s="593">
        <f t="shared" ref="M38:M44" si="14">L38*$B$13</f>
        <v>87870.659329283968</v>
      </c>
      <c r="N38" s="141">
        <f>'Yearly Demand - meth.'!$N$2</f>
        <v>-6.9680618668425121E-3</v>
      </c>
      <c r="O38" s="523">
        <f t="shared" ref="O38:O45" si="15">M38*(1+N38)^30</f>
        <v>71242.702125884127</v>
      </c>
      <c r="P38" s="90">
        <f t="shared" ref="P38:P45" si="16">O38/$O$46</f>
        <v>5.9663899014150326E-2</v>
      </c>
      <c r="Q38" s="87"/>
      <c r="R38" s="90"/>
      <c r="T38" s="50" t="s">
        <v>342</v>
      </c>
      <c r="Y38" s="156" t="s">
        <v>378</v>
      </c>
    </row>
    <row r="39" spans="1:25">
      <c r="A39" t="s">
        <v>1018</v>
      </c>
      <c r="B39" s="2">
        <f t="shared" si="6"/>
        <v>2.05293332788579E-4</v>
      </c>
      <c r="C39" s="2">
        <f t="shared" si="7"/>
        <v>1.6423466623086318E-3</v>
      </c>
      <c r="D39" s="2">
        <f t="shared" si="8"/>
        <v>1.5128943106463377E-2</v>
      </c>
      <c r="E39" s="2">
        <f t="shared" si="9"/>
        <v>0</v>
      </c>
      <c r="F39" s="2">
        <f t="shared" si="10"/>
        <v>3.6086063359477421E-4</v>
      </c>
      <c r="G39" s="2">
        <f t="shared" si="11"/>
        <v>0</v>
      </c>
      <c r="H39" s="236">
        <f>0</f>
        <v>0</v>
      </c>
      <c r="I39" s="22">
        <f t="shared" si="12"/>
        <v>3.8658220855715946E-3</v>
      </c>
      <c r="J39" s="149">
        <f t="shared" si="13"/>
        <v>6.4466636873516489E-2</v>
      </c>
      <c r="K39" s="110">
        <f t="shared" si="4"/>
        <v>8.5669902694243447E-2</v>
      </c>
      <c r="L39" s="442">
        <f t="shared" si="5"/>
        <v>8.5669902694243447E-2</v>
      </c>
      <c r="M39" s="593">
        <f t="shared" si="14"/>
        <v>126171.28546415325</v>
      </c>
      <c r="N39" s="141">
        <f>'Yearly Demand - meth.'!$N$2</f>
        <v>-6.9680618668425121E-3</v>
      </c>
      <c r="O39" s="523">
        <f t="shared" si="15"/>
        <v>102295.61694169448</v>
      </c>
      <c r="P39" s="90">
        <f t="shared" si="16"/>
        <v>8.5669902694243447E-2</v>
      </c>
      <c r="Q39" s="87"/>
      <c r="R39" s="90"/>
      <c r="T39" s="50" t="s">
        <v>342</v>
      </c>
    </row>
    <row r="40" spans="1:25">
      <c r="A40" t="s">
        <v>23</v>
      </c>
      <c r="B40" s="2">
        <f t="shared" si="6"/>
        <v>1.0264666639428948E-3</v>
      </c>
      <c r="C40" s="2">
        <f t="shared" si="7"/>
        <v>4.1058666557715795E-4</v>
      </c>
      <c r="D40" s="2">
        <f t="shared" si="8"/>
        <v>5.2369418445450148E-3</v>
      </c>
      <c r="E40" s="2">
        <f t="shared" si="9"/>
        <v>2.6926108797920603E-4</v>
      </c>
      <c r="F40" s="2">
        <f t="shared" si="10"/>
        <v>4.8114751145969894E-4</v>
      </c>
      <c r="G40" s="2">
        <f t="shared" si="11"/>
        <v>0</v>
      </c>
      <c r="H40" s="236">
        <v>0</v>
      </c>
      <c r="I40" s="22">
        <f t="shared" si="12"/>
        <v>9.6645552139289865E-4</v>
      </c>
      <c r="J40" s="149">
        <f t="shared" si="13"/>
        <v>4.6047597766797489E-2</v>
      </c>
      <c r="K40" s="110">
        <f t="shared" si="4"/>
        <v>5.4438457061694361E-2</v>
      </c>
      <c r="L40" s="442">
        <f t="shared" si="5"/>
        <v>5.4438457061694361E-2</v>
      </c>
      <c r="M40" s="593">
        <f t="shared" si="14"/>
        <v>80174.832585874043</v>
      </c>
      <c r="N40" s="141">
        <f>'Yearly Demand - meth.'!$N$2</f>
        <v>-6.9680618668425121E-3</v>
      </c>
      <c r="O40" s="523">
        <f t="shared" si="15"/>
        <v>65003.173522387602</v>
      </c>
      <c r="P40" s="90">
        <f t="shared" si="16"/>
        <v>5.4438457061694354E-2</v>
      </c>
      <c r="Q40" s="87"/>
      <c r="R40" s="90"/>
      <c r="T40" s="50" t="s">
        <v>343</v>
      </c>
    </row>
    <row r="41" spans="1:25">
      <c r="A41" t="s">
        <v>26</v>
      </c>
      <c r="B41" s="2">
        <f t="shared" si="6"/>
        <v>5.9535066508687902E-3</v>
      </c>
      <c r="C41" s="2">
        <f t="shared" si="7"/>
        <v>3.4899866574058425E-3</v>
      </c>
      <c r="D41" s="2">
        <f t="shared" si="8"/>
        <v>2.2111532232523396E-2</v>
      </c>
      <c r="E41" s="2">
        <f t="shared" si="9"/>
        <v>8.0778326393761803E-4</v>
      </c>
      <c r="F41" s="2">
        <f t="shared" si="10"/>
        <v>7.2172126718954841E-4</v>
      </c>
      <c r="G41" s="2">
        <f t="shared" si="11"/>
        <v>0</v>
      </c>
      <c r="H41" s="236">
        <v>0</v>
      </c>
      <c r="I41" s="22">
        <f t="shared" si="12"/>
        <v>2.4161388034822468E-3</v>
      </c>
      <c r="J41" s="149">
        <f t="shared" si="13"/>
        <v>9.2095195533594965E-3</v>
      </c>
      <c r="K41" s="110">
        <f t="shared" si="4"/>
        <v>4.4710188428766943E-2</v>
      </c>
      <c r="L41" s="442">
        <f t="shared" si="5"/>
        <v>4.4710188428766943E-2</v>
      </c>
      <c r="M41" s="593">
        <f t="shared" si="14"/>
        <v>65847.418638203846</v>
      </c>
      <c r="N41" s="141">
        <f>'Yearly Demand - meth.'!$N$2</f>
        <v>-6.9680618668425121E-3</v>
      </c>
      <c r="O41" s="523">
        <f t="shared" si="15"/>
        <v>53386.967477055965</v>
      </c>
      <c r="P41" s="90">
        <f t="shared" si="16"/>
        <v>4.4710188428766943E-2</v>
      </c>
      <c r="Q41" s="444"/>
      <c r="R41" s="90"/>
      <c r="T41" s="50" t="s">
        <v>341</v>
      </c>
      <c r="Y41" s="156"/>
    </row>
    <row r="42" spans="1:25">
      <c r="A42" t="s">
        <v>362</v>
      </c>
      <c r="B42" s="52">
        <v>0</v>
      </c>
      <c r="C42" s="52">
        <v>0</v>
      </c>
      <c r="D42" s="52">
        <v>0</v>
      </c>
      <c r="E42" s="52">
        <v>0</v>
      </c>
      <c r="F42" s="52">
        <v>0</v>
      </c>
      <c r="G42" s="52">
        <v>0</v>
      </c>
      <c r="H42" s="236">
        <f>$C$8*0.5</f>
        <v>8.1906869413080619E-3</v>
      </c>
      <c r="I42" s="52">
        <v>0</v>
      </c>
      <c r="J42" s="52">
        <v>0</v>
      </c>
      <c r="K42" s="110">
        <f t="shared" si="4"/>
        <v>8.1906869413080619E-3</v>
      </c>
      <c r="L42" s="442">
        <f t="shared" si="5"/>
        <v>8.1906869413080619E-3</v>
      </c>
      <c r="M42" s="593">
        <f t="shared" si="14"/>
        <v>12062.923707379587</v>
      </c>
      <c r="N42" s="141">
        <f>'Yearly Demand - meth.'!$N$2</f>
        <v>-6.9680618668425121E-3</v>
      </c>
      <c r="O42" s="523">
        <f t="shared" si="15"/>
        <v>9780.2302499135312</v>
      </c>
      <c r="P42" s="90">
        <f t="shared" si="16"/>
        <v>8.1906869413080601E-3</v>
      </c>
      <c r="Q42" s="87"/>
      <c r="R42" s="90"/>
      <c r="T42" s="50" t="s">
        <v>343</v>
      </c>
      <c r="Y42" s="156" t="s">
        <v>379</v>
      </c>
    </row>
    <row r="43" spans="1:25">
      <c r="A43" t="s">
        <v>1019</v>
      </c>
      <c r="B43" s="2">
        <f>C$3*B32</f>
        <v>3.9005733229830015E-3</v>
      </c>
      <c r="C43" s="2">
        <f>C$4*C32</f>
        <v>2.0529333278857891E-3</v>
      </c>
      <c r="D43" s="2">
        <f>C$5*D32</f>
        <v>2.560282679555341E-2</v>
      </c>
      <c r="E43" s="2">
        <f>C$9*E32</f>
        <v>3.1413793597574036E-4</v>
      </c>
      <c r="F43" s="2">
        <f>C$6*F32</f>
        <v>1.6840162901089464E-3</v>
      </c>
      <c r="G43" s="2">
        <f>C$7*G32</f>
        <v>0</v>
      </c>
      <c r="H43" s="236">
        <f>$C$8*0.25</f>
        <v>4.0953434706540309E-3</v>
      </c>
      <c r="I43" s="22">
        <f>C$10*H32</f>
        <v>6.765188649750291E-3</v>
      </c>
      <c r="J43" s="149">
        <f>C$11*I32</f>
        <v>7.3676156426875972E-2</v>
      </c>
      <c r="K43" s="110">
        <f t="shared" si="4"/>
        <v>0.11809117621978718</v>
      </c>
      <c r="L43" s="442">
        <f t="shared" si="5"/>
        <v>0.11809117621978718</v>
      </c>
      <c r="M43" s="593">
        <f t="shared" si="14"/>
        <v>173920.0703752588</v>
      </c>
      <c r="N43" s="141">
        <f>'Yearly Demand - meth.'!$N$2</f>
        <v>-6.9680618668425121E-3</v>
      </c>
      <c r="O43" s="523">
        <f t="shared" si="15"/>
        <v>141008.79476760761</v>
      </c>
      <c r="P43" s="90">
        <f t="shared" si="16"/>
        <v>0.11809117621978718</v>
      </c>
      <c r="Q43" s="87"/>
      <c r="R43" s="90"/>
      <c r="T43" s="50" t="s">
        <v>344</v>
      </c>
      <c r="Y43" s="156" t="s">
        <v>572</v>
      </c>
    </row>
    <row r="44" spans="1:25">
      <c r="A44" t="s">
        <v>1020</v>
      </c>
      <c r="B44" s="2"/>
      <c r="C44" s="2"/>
      <c r="D44" s="2"/>
      <c r="E44" s="2"/>
      <c r="F44" s="2"/>
      <c r="G44" s="2"/>
      <c r="I44" s="2"/>
      <c r="J44" s="149"/>
      <c r="K44" s="110"/>
      <c r="L44" s="442">
        <f>N2</f>
        <v>0.27471012342412782</v>
      </c>
      <c r="M44" s="593">
        <f t="shared" si="14"/>
        <v>404582.33653120982</v>
      </c>
      <c r="N44" s="141">
        <f>'Yearly Demand - meth.'!$N$2</f>
        <v>-6.9680618668425121E-3</v>
      </c>
      <c r="O44" s="523">
        <f t="shared" si="15"/>
        <v>328022.33540634642</v>
      </c>
      <c r="P44" s="90">
        <f t="shared" si="16"/>
        <v>0.27471012342412776</v>
      </c>
      <c r="Q44" s="444"/>
      <c r="R44" s="90"/>
    </row>
    <row r="45" spans="1:25">
      <c r="A45" t="s">
        <v>1021</v>
      </c>
      <c r="B45" s="2"/>
      <c r="C45" s="2"/>
      <c r="D45" s="2"/>
      <c r="E45" s="2"/>
      <c r="F45" s="2"/>
      <c r="G45" s="2"/>
      <c r="I45" s="2"/>
      <c r="J45" s="149"/>
      <c r="K45" s="110"/>
      <c r="L45" s="442">
        <f>1-SUM(L37:L44)</f>
        <v>0.24370082710184815</v>
      </c>
      <c r="M45" s="593">
        <f>L45*$B$13</f>
        <v>358913.05647746043</v>
      </c>
      <c r="N45" s="141">
        <f>'Yearly Demand - meth.'!$N$2</f>
        <v>-6.9680618668425121E-3</v>
      </c>
      <c r="O45" s="523">
        <f t="shared" si="15"/>
        <v>290995.15318184084</v>
      </c>
      <c r="P45" s="90">
        <f t="shared" si="16"/>
        <v>0.24370082710184812</v>
      </c>
      <c r="Q45" s="87"/>
      <c r="R45" s="90"/>
    </row>
    <row r="46" spans="1:25" ht="15.5" thickBot="1">
      <c r="A46" s="28" t="s">
        <v>78</v>
      </c>
      <c r="B46" s="237">
        <f t="shared" ref="B46:G46" si="17">SUM(B37:B43)</f>
        <v>4.1058666557715798E-2</v>
      </c>
      <c r="C46" s="237">
        <f t="shared" si="17"/>
        <v>3.346281324453837E-2</v>
      </c>
      <c r="D46" s="237">
        <f t="shared" si="17"/>
        <v>0.12277719213322201</v>
      </c>
      <c r="E46" s="237">
        <f t="shared" si="17"/>
        <v>3.4106404477366099E-3</v>
      </c>
      <c r="F46" s="237">
        <f t="shared" si="17"/>
        <v>1.4073564710196194E-2</v>
      </c>
      <c r="G46" s="237">
        <f t="shared" si="17"/>
        <v>9.1007632681200691E-3</v>
      </c>
      <c r="H46" s="237">
        <f>SUM(H37:H43)</f>
        <v>1.6381373882616124E-2</v>
      </c>
      <c r="I46" s="237">
        <f>SUM(I37:I43)</f>
        <v>2.0295565949250874E-2</v>
      </c>
      <c r="J46" s="237">
        <f>SUM(J37:J43)</f>
        <v>0.22102846928062794</v>
      </c>
      <c r="L46" s="439">
        <f>SUM(L37:L45)</f>
        <v>1</v>
      </c>
      <c r="M46" s="594">
        <f>SUM(M37:M45)</f>
        <v>1472760.928823038</v>
      </c>
      <c r="N46" s="38">
        <f>(O46/M46)^(1/30)-1</f>
        <v>-6.9680618668425121E-3</v>
      </c>
      <c r="O46" s="594">
        <f>SUM(O37:O45)</f>
        <v>1194067.1545617173</v>
      </c>
      <c r="P46" s="441">
        <f>SUM(P37:P45)</f>
        <v>1</v>
      </c>
      <c r="Q46" s="440"/>
      <c r="R46" s="441"/>
    </row>
    <row r="47" spans="1:25" ht="15.5" thickTop="1">
      <c r="N47" s="230" t="s">
        <v>1053</v>
      </c>
    </row>
    <row r="48" spans="1:25">
      <c r="O48" s="40">
        <f>SUM(O37:O45)</f>
        <v>1194067.1545617173</v>
      </c>
    </row>
    <row r="49" spans="1:15">
      <c r="B49" s="432"/>
      <c r="C49" s="432"/>
      <c r="D49" s="432"/>
      <c r="E49" s="432"/>
      <c r="F49" s="432"/>
      <c r="G49" s="432"/>
      <c r="H49" s="432"/>
      <c r="I49" s="432"/>
      <c r="J49" s="8"/>
      <c r="K49" s="8"/>
      <c r="L49" s="143"/>
      <c r="M49" s="244"/>
      <c r="N49" s="143"/>
      <c r="O49" s="8"/>
    </row>
    <row r="50" spans="1:15">
      <c r="B50" s="432"/>
      <c r="C50" s="432"/>
      <c r="D50" s="432"/>
      <c r="E50" s="432"/>
      <c r="F50" s="432"/>
      <c r="G50" s="432"/>
      <c r="H50" s="432"/>
      <c r="I50" s="432"/>
      <c r="J50" s="8"/>
      <c r="K50" s="8"/>
      <c r="L50" s="143"/>
      <c r="M50" s="244"/>
      <c r="N50" s="143"/>
      <c r="O50" s="8"/>
    </row>
    <row r="51" spans="1:15">
      <c r="B51" s="432"/>
      <c r="C51" s="432"/>
      <c r="D51" s="432"/>
      <c r="E51" s="432"/>
      <c r="F51" s="432"/>
      <c r="G51" s="432"/>
      <c r="H51" s="432"/>
      <c r="I51" s="432"/>
      <c r="J51" s="8"/>
      <c r="K51" s="8"/>
      <c r="L51" s="143"/>
      <c r="M51" s="244"/>
      <c r="N51" s="143"/>
      <c r="O51" s="8"/>
    </row>
    <row r="52" spans="1:15">
      <c r="B52" s="432"/>
      <c r="C52" s="432"/>
      <c r="D52" s="432"/>
      <c r="E52" s="432"/>
      <c r="F52" s="432"/>
      <c r="G52" s="432"/>
      <c r="H52" s="432"/>
      <c r="I52" s="432"/>
      <c r="J52" s="8"/>
      <c r="K52" s="8"/>
      <c r="L52" s="143"/>
      <c r="M52" s="144"/>
      <c r="N52" s="143"/>
      <c r="O52" s="8"/>
    </row>
    <row r="53" spans="1:15">
      <c r="B53" s="432"/>
      <c r="C53" s="432"/>
      <c r="D53" s="432"/>
      <c r="E53" s="432"/>
      <c r="F53" s="432"/>
      <c r="G53" s="432"/>
      <c r="H53" s="432"/>
      <c r="I53" s="432"/>
      <c r="J53" s="8"/>
      <c r="K53" s="8"/>
      <c r="L53" s="143"/>
      <c r="M53" s="144"/>
      <c r="N53" s="143"/>
      <c r="O53" s="8"/>
    </row>
    <row r="54" spans="1:15">
      <c r="B54" s="432"/>
      <c r="C54" s="432"/>
      <c r="D54" s="432"/>
      <c r="E54" s="432"/>
      <c r="F54" s="432"/>
      <c r="G54" s="432"/>
      <c r="H54" s="432"/>
      <c r="I54" s="432"/>
      <c r="J54" s="8"/>
      <c r="K54" s="8"/>
      <c r="L54" s="143"/>
      <c r="M54" s="144"/>
      <c r="N54" s="143"/>
      <c r="O54" s="8"/>
    </row>
    <row r="55" spans="1:15">
      <c r="B55" s="432"/>
      <c r="C55" s="432"/>
      <c r="D55" s="432"/>
      <c r="E55" s="432"/>
      <c r="F55" s="432"/>
      <c r="G55" s="432"/>
      <c r="H55" s="432"/>
      <c r="I55" s="432"/>
      <c r="J55" s="8"/>
      <c r="K55" s="8"/>
      <c r="L55" s="143"/>
      <c r="M55" s="144"/>
      <c r="N55" s="143"/>
      <c r="O55" s="8"/>
    </row>
    <row r="56" spans="1:15">
      <c r="B56" s="432"/>
      <c r="C56" s="432"/>
      <c r="D56" s="432"/>
      <c r="E56" s="432"/>
      <c r="F56" s="432"/>
      <c r="G56" s="432"/>
      <c r="H56" s="432"/>
      <c r="I56" s="432"/>
      <c r="J56" s="8"/>
      <c r="K56" s="8"/>
      <c r="L56" s="143"/>
      <c r="M56" s="144"/>
      <c r="N56" s="143"/>
      <c r="O56" s="8"/>
    </row>
    <row r="57" spans="1:15">
      <c r="A57" s="1"/>
      <c r="B57" s="433"/>
      <c r="C57" s="433"/>
      <c r="D57" s="433"/>
      <c r="E57" s="433"/>
      <c r="F57" s="433"/>
      <c r="G57" s="433"/>
      <c r="H57" s="433"/>
      <c r="I57" s="433"/>
      <c r="K57" s="8"/>
      <c r="L57" s="145"/>
      <c r="M57" s="146"/>
      <c r="N57" s="145"/>
      <c r="O57" s="8"/>
    </row>
    <row r="62" spans="1:15">
      <c r="A62" s="26"/>
      <c r="B62" s="434" t="s">
        <v>826</v>
      </c>
      <c r="C62" s="434" t="s">
        <v>1022</v>
      </c>
      <c r="D62" s="434" t="s">
        <v>1023</v>
      </c>
      <c r="E62" s="434" t="s">
        <v>1024</v>
      </c>
      <c r="F62" s="434" t="s">
        <v>1025</v>
      </c>
    </row>
    <row r="63" spans="1:15">
      <c r="A63" s="434" t="s">
        <v>1026</v>
      </c>
      <c r="B63" s="127"/>
      <c r="C63" s="435">
        <v>0.53</v>
      </c>
      <c r="D63" s="435">
        <v>0.2</v>
      </c>
      <c r="E63" s="435">
        <v>0.14000000000000001</v>
      </c>
      <c r="F63" s="435">
        <v>0.13</v>
      </c>
    </row>
    <row r="64" spans="1:15">
      <c r="B64" s="331">
        <f>($K$39-$J$39)/$K$39</f>
        <v>0.24749959033339375</v>
      </c>
      <c r="C64" s="6">
        <f>C63*$J$39/$K$39</f>
        <v>0.39882521712330132</v>
      </c>
      <c r="D64" s="6">
        <f t="shared" ref="D64:F64" si="18">D63*$J$39/$K$39</f>
        <v>0.15050008193332126</v>
      </c>
      <c r="E64" s="6">
        <f t="shared" si="18"/>
        <v>0.10535005735332489</v>
      </c>
      <c r="F64" s="6">
        <f t="shared" si="18"/>
        <v>9.7825053256658814E-2</v>
      </c>
      <c r="G64" s="331">
        <f>SUM(B64:F64)</f>
        <v>1</v>
      </c>
    </row>
    <row r="67" spans="1:3">
      <c r="A67" t="s">
        <v>1027</v>
      </c>
    </row>
    <row r="70" spans="1:3">
      <c r="A70" t="s">
        <v>1028</v>
      </c>
    </row>
    <row r="71" spans="1:3">
      <c r="A71" s="613">
        <v>2016</v>
      </c>
      <c r="B71" t="s">
        <v>1029</v>
      </c>
      <c r="C71" s="40">
        <v>3.9640449438202201</v>
      </c>
    </row>
    <row r="72" spans="1:3">
      <c r="A72" s="613"/>
      <c r="B72" t="s">
        <v>1030</v>
      </c>
      <c r="C72" s="40">
        <v>7.8337078651685301</v>
      </c>
    </row>
    <row r="73" spans="1:3">
      <c r="A73" s="613"/>
      <c r="B73" t="s">
        <v>1031</v>
      </c>
      <c r="C73" s="40">
        <v>3.5393258426966199</v>
      </c>
    </row>
    <row r="74" spans="1:3">
      <c r="C74" s="40">
        <f>SUM(C71:C73)</f>
        <v>15.337078651685371</v>
      </c>
    </row>
    <row r="75" spans="1:3">
      <c r="A75" s="613">
        <v>2040</v>
      </c>
      <c r="B75" t="s">
        <v>1029</v>
      </c>
      <c r="C75" s="40">
        <v>4.4988764044943803</v>
      </c>
    </row>
    <row r="76" spans="1:3">
      <c r="A76" s="613"/>
      <c r="B76" t="s">
        <v>1030</v>
      </c>
      <c r="C76" s="40">
        <v>5.3011235955056097</v>
      </c>
    </row>
    <row r="77" spans="1:3">
      <c r="A77" s="613"/>
      <c r="B77" t="s">
        <v>1031</v>
      </c>
      <c r="C77" s="40">
        <v>12.835955056179699</v>
      </c>
    </row>
    <row r="78" spans="1:3">
      <c r="C78" s="40">
        <f>SUM(C75:C77)</f>
        <v>22.635955056179689</v>
      </c>
    </row>
    <row r="79" spans="1:3">
      <c r="A79" t="s">
        <v>67</v>
      </c>
      <c r="B79" s="23">
        <f>(C78/C74)^(1/(A75-A71))-1</f>
        <v>1.6351675426470091E-2</v>
      </c>
    </row>
  </sheetData>
  <mergeCells count="2">
    <mergeCell ref="A71:A73"/>
    <mergeCell ref="A75:A7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8DEC-4FD9-4EA9-9B2B-C2565C9D4613}">
  <sheetPr>
    <tabColor theme="7"/>
  </sheetPr>
  <dimension ref="B2:AA33"/>
  <sheetViews>
    <sheetView zoomScale="80" zoomScaleNormal="80" workbookViewId="0">
      <selection activeCell="C18" sqref="C18"/>
    </sheetView>
  </sheetViews>
  <sheetFormatPr defaultRowHeight="14.75"/>
  <cols>
    <col min="2" max="2" width="26.54296875" customWidth="1"/>
    <col min="3" max="3" width="22.453125" customWidth="1"/>
    <col min="5" max="5" width="17.1796875" customWidth="1"/>
    <col min="6" max="6" width="15.81640625" customWidth="1"/>
    <col min="7" max="7" width="8.7265625" customWidth="1"/>
    <col min="8" max="8" width="17.453125" customWidth="1"/>
    <col min="14" max="14" width="12" customWidth="1"/>
    <col min="19" max="19" width="15.54296875" customWidth="1"/>
  </cols>
  <sheetData>
    <row r="2" spans="2:27">
      <c r="B2" s="1" t="s">
        <v>1271</v>
      </c>
      <c r="C2" s="1"/>
      <c r="D2" s="1"/>
      <c r="E2" s="1" t="s">
        <v>1087</v>
      </c>
      <c r="G2" s="1" t="s">
        <v>1272</v>
      </c>
      <c r="H2" s="1"/>
      <c r="I2" s="1"/>
      <c r="J2" s="1" t="s">
        <v>1087</v>
      </c>
      <c r="M2" s="1" t="s">
        <v>1273</v>
      </c>
      <c r="N2" s="1"/>
      <c r="O2" s="1"/>
      <c r="P2" s="1" t="s">
        <v>1087</v>
      </c>
      <c r="S2" s="1" t="s">
        <v>1289</v>
      </c>
      <c r="T2" s="1"/>
      <c r="U2" s="1"/>
      <c r="V2" s="1" t="s">
        <v>1087</v>
      </c>
      <c r="X2" s="1" t="s">
        <v>1274</v>
      </c>
      <c r="Y2" s="1"/>
      <c r="Z2" s="1"/>
      <c r="AA2" s="1" t="s">
        <v>1087</v>
      </c>
    </row>
    <row r="3" spans="2:27">
      <c r="C3" t="s">
        <v>1276</v>
      </c>
      <c r="D3" s="70">
        <v>0.28599999999999998</v>
      </c>
      <c r="E3" s="40">
        <f t="shared" ref="E3:E12" si="0">D3*$E$13</f>
        <v>242100.63621629108</v>
      </c>
      <c r="H3" t="s">
        <v>1291</v>
      </c>
      <c r="I3" s="51">
        <v>0.73</v>
      </c>
      <c r="J3" s="40">
        <f t="shared" ref="J3:J8" si="1">I3*$J$9</f>
        <v>0</v>
      </c>
      <c r="N3" t="s">
        <v>1297</v>
      </c>
      <c r="O3" s="51">
        <v>0.7</v>
      </c>
      <c r="P3">
        <f>O3*$P$5</f>
        <v>0</v>
      </c>
      <c r="S3" t="s">
        <v>1307</v>
      </c>
      <c r="T3" s="70">
        <v>0.33800000000000002</v>
      </c>
      <c r="U3">
        <f>T3*$U$8</f>
        <v>0</v>
      </c>
      <c r="X3" t="s">
        <v>1295</v>
      </c>
    </row>
    <row r="4" spans="2:27">
      <c r="C4" t="s">
        <v>1278</v>
      </c>
      <c r="D4" s="70">
        <v>0.26500000000000001</v>
      </c>
      <c r="E4" s="40">
        <f t="shared" si="0"/>
        <v>224324.01607453547</v>
      </c>
      <c r="H4" t="s">
        <v>1285</v>
      </c>
      <c r="I4" s="70">
        <f>70.9%*0.27</f>
        <v>0.19143000000000004</v>
      </c>
      <c r="J4" s="40">
        <f t="shared" si="1"/>
        <v>0</v>
      </c>
      <c r="N4" t="s">
        <v>27</v>
      </c>
      <c r="O4" s="6">
        <f>1-O3</f>
        <v>0.30000000000000004</v>
      </c>
      <c r="P4">
        <f>O4*$P$5</f>
        <v>0</v>
      </c>
      <c r="S4" t="s">
        <v>1292</v>
      </c>
      <c r="T4" s="188">
        <f>66.7%-33.8%</f>
        <v>0.32900000000000007</v>
      </c>
      <c r="U4">
        <f>T4*$U$8</f>
        <v>0</v>
      </c>
    </row>
    <row r="5" spans="2:27">
      <c r="C5" t="s">
        <v>1277</v>
      </c>
      <c r="D5" s="70">
        <v>0.14899999999999999</v>
      </c>
      <c r="E5" s="40">
        <f t="shared" si="0"/>
        <v>126129.35243436144</v>
      </c>
      <c r="H5" t="s">
        <v>1286</v>
      </c>
      <c r="I5" s="70">
        <f>(78.3%-70.9%)*0.27</f>
        <v>1.997999999999996E-2</v>
      </c>
      <c r="J5" s="40">
        <f t="shared" si="1"/>
        <v>0</v>
      </c>
      <c r="N5" t="s">
        <v>78</v>
      </c>
      <c r="O5" s="6">
        <f>SUM(O3:O4)</f>
        <v>1</v>
      </c>
      <c r="P5" s="39">
        <f>'Yearly Demand - C4'!C7</f>
        <v>0</v>
      </c>
      <c r="S5" t="s">
        <v>1293</v>
      </c>
      <c r="T5" s="188">
        <f>79.9%-66.7%</f>
        <v>0.13200000000000001</v>
      </c>
      <c r="U5">
        <f>T5*$U$8</f>
        <v>0</v>
      </c>
    </row>
    <row r="6" spans="2:27">
      <c r="C6" t="s">
        <v>1279</v>
      </c>
      <c r="D6" s="70">
        <v>0.107</v>
      </c>
      <c r="E6" s="40">
        <f t="shared" si="0"/>
        <v>90576.112150850167</v>
      </c>
      <c r="H6" t="s">
        <v>1287</v>
      </c>
      <c r="I6" s="70">
        <f>(87.3%-78.3%)*0.27</f>
        <v>2.4300000000000023E-2</v>
      </c>
      <c r="J6" s="40">
        <f t="shared" si="1"/>
        <v>0</v>
      </c>
      <c r="M6" t="s">
        <v>1298</v>
      </c>
      <c r="S6" t="s">
        <v>1294</v>
      </c>
      <c r="T6" s="188">
        <f>95.3%-79.9%</f>
        <v>0.15399999999999991</v>
      </c>
      <c r="U6">
        <f>T6*$U$8</f>
        <v>0</v>
      </c>
    </row>
    <row r="7" spans="2:27">
      <c r="C7" t="s">
        <v>1280</v>
      </c>
      <c r="D7" s="70">
        <v>6.2E-2</v>
      </c>
      <c r="E7" s="40">
        <f t="shared" si="0"/>
        <v>52483.354704230936</v>
      </c>
      <c r="H7" t="s">
        <v>1288</v>
      </c>
      <c r="I7" s="70">
        <f>(94.2%-87.3%)*0.27</f>
        <v>1.8630000000000018E-2</v>
      </c>
      <c r="J7" s="40">
        <f t="shared" si="1"/>
        <v>0</v>
      </c>
      <c r="M7" s="50" t="s">
        <v>1299</v>
      </c>
      <c r="S7" t="s">
        <v>27</v>
      </c>
      <c r="T7" s="22">
        <f>1-SUM(T3:T6)</f>
        <v>4.7000000000000042E-2</v>
      </c>
      <c r="U7">
        <f>T7*$U$8</f>
        <v>0</v>
      </c>
    </row>
    <row r="8" spans="2:27">
      <c r="C8" t="s">
        <v>1281</v>
      </c>
      <c r="D8" s="70">
        <v>5.3999999999999999E-2</v>
      </c>
      <c r="E8" s="40">
        <f t="shared" si="0"/>
        <v>45711.308935943074</v>
      </c>
      <c r="H8" t="s">
        <v>27</v>
      </c>
      <c r="I8" s="478">
        <f>1-SUM(I3:I7)</f>
        <v>1.5660000000000007E-2</v>
      </c>
      <c r="J8" s="40">
        <f t="shared" si="1"/>
        <v>0</v>
      </c>
      <c r="M8" t="s">
        <v>1082</v>
      </c>
      <c r="N8" t="s">
        <v>93</v>
      </c>
      <c r="S8" t="s">
        <v>78</v>
      </c>
      <c r="T8" s="331">
        <f>+SUM(T3:T7)</f>
        <v>1</v>
      </c>
      <c r="U8" s="484">
        <f>'Yearly Demand - C4'!C8</f>
        <v>0</v>
      </c>
    </row>
    <row r="9" spans="2:27">
      <c r="C9" t="s">
        <v>1282</v>
      </c>
      <c r="D9" s="70">
        <v>2.1999999999999999E-2</v>
      </c>
      <c r="E9" s="40">
        <f t="shared" si="0"/>
        <v>18623.125862791621</v>
      </c>
      <c r="H9" t="s">
        <v>78</v>
      </c>
      <c r="I9" s="331">
        <f>+SUM(I3:I8)</f>
        <v>1</v>
      </c>
      <c r="J9" s="40">
        <f>'Yearly Demand - C4'!C6</f>
        <v>0</v>
      </c>
      <c r="S9" t="s">
        <v>1290</v>
      </c>
      <c r="U9" t="s">
        <v>93</v>
      </c>
    </row>
    <row r="10" spans="2:27">
      <c r="C10" t="s">
        <v>1283</v>
      </c>
      <c r="D10" s="70">
        <v>0.02</v>
      </c>
      <c r="E10" s="40">
        <f t="shared" si="0"/>
        <v>16930.114420719656</v>
      </c>
      <c r="G10" t="s">
        <v>1296</v>
      </c>
      <c r="I10" s="70"/>
      <c r="J10" s="40" t="s">
        <v>93</v>
      </c>
    </row>
    <row r="11" spans="2:27">
      <c r="C11" t="s">
        <v>1284</v>
      </c>
      <c r="D11" s="70">
        <v>2.1000000000000001E-2</v>
      </c>
      <c r="E11" s="40">
        <f t="shared" si="0"/>
        <v>17776.62014175564</v>
      </c>
      <c r="G11" t="s">
        <v>1082</v>
      </c>
      <c r="H11" t="s">
        <v>93</v>
      </c>
      <c r="I11" s="70"/>
      <c r="J11" s="40"/>
    </row>
    <row r="12" spans="2:27">
      <c r="C12" t="s">
        <v>27</v>
      </c>
      <c r="D12" s="478">
        <f>1-SUM(D3:D11)</f>
        <v>1.3999999999999901E-2</v>
      </c>
      <c r="E12" s="40">
        <f t="shared" si="0"/>
        <v>11851.080094503675</v>
      </c>
      <c r="I12" s="70"/>
      <c r="J12" s="40"/>
    </row>
    <row r="13" spans="2:27">
      <c r="C13" t="s">
        <v>78</v>
      </c>
      <c r="D13" s="331">
        <f>SUM(D3:D12)</f>
        <v>1</v>
      </c>
      <c r="E13" s="39">
        <f>'Yearly Demand - C4'!C5</f>
        <v>846505.72103598283</v>
      </c>
      <c r="I13" s="331"/>
      <c r="J13" s="39"/>
    </row>
    <row r="14" spans="2:27">
      <c r="B14" t="s">
        <v>1275</v>
      </c>
    </row>
    <row r="15" spans="2:27">
      <c r="E15" t="s">
        <v>1308</v>
      </c>
    </row>
    <row r="16" spans="2:27">
      <c r="B16" s="1"/>
      <c r="D16" s="1"/>
      <c r="E16" s="1"/>
      <c r="J16" s="1"/>
    </row>
    <row r="17" spans="2:19">
      <c r="C17" s="8" t="s">
        <v>1303</v>
      </c>
      <c r="D17" s="40"/>
      <c r="F17" t="s">
        <v>1376</v>
      </c>
      <c r="I17" t="s">
        <v>330</v>
      </c>
      <c r="J17" t="s">
        <v>600</v>
      </c>
      <c r="K17" s="6"/>
    </row>
    <row r="18" spans="2:19">
      <c r="B18" t="s">
        <v>1304</v>
      </c>
      <c r="C18" s="222">
        <f>E3+E6+E8+J6+U4+E4</f>
        <v>602712.07337761973</v>
      </c>
      <c r="D18" s="2">
        <f>C18/$C$23</f>
        <v>0.71199999999999997</v>
      </c>
      <c r="F18" s="40">
        <f>E3+E4+E6+E8</f>
        <v>602712.07337761973</v>
      </c>
      <c r="G18" s="2">
        <f>F18/$F$23</f>
        <v>0.71200000000000008</v>
      </c>
      <c r="I18" s="40" t="s">
        <v>1306</v>
      </c>
      <c r="K18" s="6"/>
    </row>
    <row r="19" spans="2:19">
      <c r="B19" t="s">
        <v>141</v>
      </c>
      <c r="C19" s="222">
        <f>J4</f>
        <v>0</v>
      </c>
      <c r="D19" s="2">
        <f t="shared" ref="D19:D22" si="2">C19/$C$23</f>
        <v>0</v>
      </c>
      <c r="F19">
        <f>0</f>
        <v>0</v>
      </c>
      <c r="G19" s="2">
        <f t="shared" ref="G19:G22" si="3">F19/$F$23</f>
        <v>0</v>
      </c>
      <c r="H19" s="6"/>
      <c r="I19" s="40"/>
    </row>
    <row r="20" spans="2:19">
      <c r="B20" t="s">
        <v>1305</v>
      </c>
      <c r="C20" s="222">
        <f>E5+E7</f>
        <v>178612.70713859238</v>
      </c>
      <c r="D20" s="2">
        <f t="shared" si="2"/>
        <v>0.21099999999999999</v>
      </c>
      <c r="F20" s="40">
        <f>E5+E7</f>
        <v>178612.70713859238</v>
      </c>
      <c r="G20" s="2">
        <f t="shared" si="3"/>
        <v>0.21100000000000002</v>
      </c>
      <c r="H20" s="6"/>
      <c r="I20" s="40"/>
    </row>
    <row r="21" spans="2:19">
      <c r="B21" t="s">
        <v>1291</v>
      </c>
      <c r="C21" s="309">
        <f>J3+P3+U3</f>
        <v>0</v>
      </c>
      <c r="D21" s="2">
        <f t="shared" si="2"/>
        <v>0</v>
      </c>
      <c r="F21">
        <f>0</f>
        <v>0</v>
      </c>
      <c r="G21" s="2">
        <f t="shared" si="3"/>
        <v>0</v>
      </c>
    </row>
    <row r="22" spans="2:19">
      <c r="B22" t="s">
        <v>27</v>
      </c>
      <c r="C22" s="309">
        <f>'Yearly Demand - C4'!C4-'Demand - C4'!C18-'Demand - C4'!C19-'Demand - C4'!C21-C20</f>
        <v>65180.940519770724</v>
      </c>
      <c r="D22" s="2">
        <f t="shared" si="2"/>
        <v>7.7000000000000055E-2</v>
      </c>
      <c r="F22" s="40">
        <f>SUM(E9:E12)</f>
        <v>65180.940519770593</v>
      </c>
      <c r="G22" s="2">
        <f t="shared" si="3"/>
        <v>7.6999999999999916E-2</v>
      </c>
    </row>
    <row r="23" spans="2:19">
      <c r="B23" t="s">
        <v>78</v>
      </c>
      <c r="C23" s="309">
        <f>SUM(C18:C22)</f>
        <v>846505.72103598283</v>
      </c>
      <c r="F23" s="40">
        <f>SUM(F18:F22)</f>
        <v>846505.72103598271</v>
      </c>
    </row>
    <row r="24" spans="2:19">
      <c r="I24" s="605" t="s">
        <v>1374</v>
      </c>
      <c r="J24" s="605"/>
      <c r="K24" s="605"/>
      <c r="L24" s="605"/>
      <c r="M24" s="605"/>
      <c r="O24" s="605" t="s">
        <v>1375</v>
      </c>
      <c r="P24" s="605"/>
      <c r="Q24" s="605"/>
      <c r="R24" s="605"/>
      <c r="S24" s="605"/>
    </row>
    <row r="25" spans="2:19">
      <c r="C25" t="s">
        <v>1309</v>
      </c>
      <c r="D25" t="s">
        <v>141</v>
      </c>
      <c r="E25" t="s">
        <v>861</v>
      </c>
      <c r="F25" t="s">
        <v>1291</v>
      </c>
      <c r="G25" t="s">
        <v>27</v>
      </c>
      <c r="I25" s="605">
        <v>2020</v>
      </c>
      <c r="J25" s="605"/>
      <c r="K25" t="s">
        <v>67</v>
      </c>
      <c r="L25">
        <v>2050</v>
      </c>
      <c r="O25" s="605">
        <v>2020</v>
      </c>
      <c r="P25" s="605"/>
      <c r="Q25" t="s">
        <v>67</v>
      </c>
      <c r="R25">
        <v>2050</v>
      </c>
    </row>
    <row r="26" spans="2:19">
      <c r="B26" s="2" t="str">
        <f>'Production - Industry shares'!A46</f>
        <v>Packaging &amp; consumer goods</v>
      </c>
      <c r="C26" s="51">
        <v>0</v>
      </c>
      <c r="D26" s="6">
        <f>'Demand - Ethylene'!J63+'Demand - Ethylene'!J67</f>
        <v>0.32753751155794164</v>
      </c>
      <c r="E26" s="22">
        <f>'Production - Industry shares'!I7/'Production - Industry shares'!I13</f>
        <v>2.0833333333333332E-2</v>
      </c>
      <c r="F26" s="2">
        <v>0</v>
      </c>
      <c r="G26" s="2">
        <v>0</v>
      </c>
      <c r="I26" s="217">
        <f>C26*$C$18+D26*$C$19+E26*$C$20+F26*$C$21+G26*$C$22</f>
        <v>3721.0980653873412</v>
      </c>
      <c r="J26" s="2">
        <f>I26/$I$31</f>
        <v>4.3958333333333323E-3</v>
      </c>
      <c r="K26" s="22">
        <f>'Yearly Demand - C4'!$AU$3</f>
        <v>-6.9680618668425121E-3</v>
      </c>
      <c r="L26" s="217">
        <f>I26*(1+K26)^30</f>
        <v>3016.9465334288884</v>
      </c>
      <c r="M26" s="2">
        <f>L26/$L$31</f>
        <v>4.3958333333333341E-3</v>
      </c>
      <c r="O26" s="217">
        <f>C26*$F$18+D26*$F$19+E26*$F$20+F26*$F$21+G26*$F$22</f>
        <v>3721.0980653873412</v>
      </c>
      <c r="P26" s="2">
        <f>O26/$O$31</f>
        <v>4.3958333333333341E-3</v>
      </c>
      <c r="Q26" s="22">
        <f>'Yearly Demand - C4'!$AU$3</f>
        <v>-6.9680618668425121E-3</v>
      </c>
      <c r="R26" s="217">
        <f>O26*(1+Q26)^30</f>
        <v>3016.9465334288884</v>
      </c>
      <c r="S26" s="2">
        <f>R26/$R$31</f>
        <v>4.3958333333333341E-3</v>
      </c>
    </row>
    <row r="27" spans="2:19">
      <c r="B27" s="2" t="str">
        <f>'Production - Industry shares'!A47</f>
        <v>Building &amp; Construction</v>
      </c>
      <c r="C27" s="51">
        <v>0.15</v>
      </c>
      <c r="D27" s="22">
        <f>'Demand - Ethylene'!J64</f>
        <v>0.15609145000085078</v>
      </c>
      <c r="E27" s="22">
        <f>'Production - Industry shares'!I8/'Production - Industry shares'!I13</f>
        <v>0.10416666666666667</v>
      </c>
      <c r="F27" s="2">
        <v>0</v>
      </c>
      <c r="G27" s="2">
        <v>0</v>
      </c>
      <c r="I27" s="217">
        <f>C27*$C$18+D27*$C$19+E27*$C$20+F27*$C$21+G27*$C$22</f>
        <v>109012.30133357966</v>
      </c>
      <c r="J27" s="2">
        <f t="shared" ref="J27:J31" si="4">I27/$I$31</f>
        <v>0.12877916666666664</v>
      </c>
      <c r="K27" s="22">
        <f>'Yearly Demand - C4'!$AU$3</f>
        <v>-6.9680618668425121E-3</v>
      </c>
      <c r="L27" s="217">
        <f t="shared" ref="L27:L30" si="5">I27*(1+K27)^30</f>
        <v>88383.664937143723</v>
      </c>
      <c r="M27" s="2">
        <f t="shared" ref="M27:M31" si="6">L27/$L$31</f>
        <v>0.12877916666666667</v>
      </c>
      <c r="O27" s="217">
        <f t="shared" ref="O27:O30" si="7">C27*$F$18+D27*$F$19+E27*$F$20+F27*$F$21+G27*$F$22</f>
        <v>109012.30133357966</v>
      </c>
      <c r="P27" s="2">
        <f t="shared" ref="P27:P30" si="8">O27/$O$31</f>
        <v>0.12877916666666667</v>
      </c>
      <c r="Q27" s="22">
        <f>'Yearly Demand - C4'!$AU$3</f>
        <v>-6.9680618668425121E-3</v>
      </c>
      <c r="R27" s="217">
        <f t="shared" ref="R27:R30" si="9">O27*(1+Q27)^30</f>
        <v>88383.664937143723</v>
      </c>
      <c r="S27" s="2">
        <f t="shared" ref="S27:S30" si="10">R27/$R$31</f>
        <v>0.12877916666666667</v>
      </c>
    </row>
    <row r="28" spans="2:19">
      <c r="B28" s="2" t="str">
        <f>'Production - Industry shares'!A48</f>
        <v>Transportation</v>
      </c>
      <c r="C28" s="51">
        <v>0.65</v>
      </c>
      <c r="D28" s="22">
        <f>'Demand - Ethylene'!J65</f>
        <v>0.10913107463691116</v>
      </c>
      <c r="E28" s="22">
        <f>'Production - Industry shares'!I6/'Production - Industry shares'!I13</f>
        <v>0.29166666666666663</v>
      </c>
      <c r="F28" s="2">
        <v>1</v>
      </c>
      <c r="G28" s="2">
        <v>0</v>
      </c>
      <c r="I28" s="217">
        <f t="shared" ref="I28:I30" si="11">C28*$C$18+D28*$C$19+E28*$C$20+F28*$C$21+G28*$C$22</f>
        <v>443858.22061087564</v>
      </c>
      <c r="J28" s="2">
        <f t="shared" si="4"/>
        <v>0.52434166666666659</v>
      </c>
      <c r="K28" s="22">
        <f>'Yearly Demand - C4'!$AU$3</f>
        <v>-6.9680618668425121E-3</v>
      </c>
      <c r="L28" s="217">
        <f t="shared" si="5"/>
        <v>359865.95797133475</v>
      </c>
      <c r="M28" s="2">
        <f t="shared" si="6"/>
        <v>0.52434166666666671</v>
      </c>
      <c r="O28" s="217">
        <f t="shared" si="7"/>
        <v>443858.22061087564</v>
      </c>
      <c r="P28" s="2">
        <f t="shared" si="8"/>
        <v>0.52434166666666671</v>
      </c>
      <c r="Q28" s="22">
        <f>'Yearly Demand - C4'!$AU$3</f>
        <v>-6.9680618668425121E-3</v>
      </c>
      <c r="R28" s="217">
        <f t="shared" si="9"/>
        <v>359865.95797133475</v>
      </c>
      <c r="S28" s="2">
        <f t="shared" si="10"/>
        <v>0.52434166666666671</v>
      </c>
    </row>
    <row r="29" spans="2:19">
      <c r="B29" s="2" t="str">
        <f>'Production - Industry shares'!A49</f>
        <v>Apparel</v>
      </c>
      <c r="C29" s="236">
        <v>1.4999999999999999E-2</v>
      </c>
      <c r="D29" s="22">
        <f>'Demand - Ethylene'!J69</f>
        <v>5.4867435167726486E-3</v>
      </c>
      <c r="E29" s="22">
        <v>0</v>
      </c>
      <c r="F29" s="2">
        <v>0</v>
      </c>
      <c r="G29" s="2">
        <v>0</v>
      </c>
      <c r="I29" s="217">
        <f t="shared" si="11"/>
        <v>9040.6811006642947</v>
      </c>
      <c r="J29" s="2">
        <f t="shared" si="4"/>
        <v>1.0679999999999997E-2</v>
      </c>
      <c r="K29" s="22">
        <f>'Yearly Demand - C4'!$AU$3</f>
        <v>-6.9680618668425121E-3</v>
      </c>
      <c r="L29" s="217">
        <f t="shared" si="5"/>
        <v>7329.8932269999286</v>
      </c>
      <c r="M29" s="2">
        <f t="shared" si="6"/>
        <v>1.0679999999999999E-2</v>
      </c>
      <c r="O29" s="217">
        <f t="shared" si="7"/>
        <v>9040.6811006642947</v>
      </c>
      <c r="P29" s="2">
        <f t="shared" si="8"/>
        <v>1.0679999999999999E-2</v>
      </c>
      <c r="Q29" s="22">
        <f>'Yearly Demand - C4'!$AU$3</f>
        <v>-6.9680618668425121E-3</v>
      </c>
      <c r="R29" s="217">
        <f t="shared" si="9"/>
        <v>7329.8932269999286</v>
      </c>
      <c r="S29" s="2">
        <f t="shared" si="10"/>
        <v>1.0679999999999999E-2</v>
      </c>
    </row>
    <row r="30" spans="2:19">
      <c r="B30" s="2" t="str">
        <f>'Production - Industry shares'!A50</f>
        <v>Others</v>
      </c>
      <c r="C30" s="6">
        <f>1-SUM(C26:C29)</f>
        <v>0.18499999999999994</v>
      </c>
      <c r="D30" s="6">
        <f>1-SUM(D26:D29)</f>
        <v>0.40175322028752369</v>
      </c>
      <c r="E30" s="22">
        <f t="shared" ref="E30:G30" si="12">1-SUM(E26:E29)</f>
        <v>0.58333333333333337</v>
      </c>
      <c r="F30" s="6">
        <f t="shared" si="12"/>
        <v>0</v>
      </c>
      <c r="G30" s="6">
        <f t="shared" si="12"/>
        <v>1</v>
      </c>
      <c r="I30" s="217">
        <f t="shared" si="11"/>
        <v>280873.4199254759</v>
      </c>
      <c r="J30" s="2">
        <f t="shared" si="4"/>
        <v>0.33180333333333328</v>
      </c>
      <c r="K30" s="22">
        <f>'Yearly Demand - C4'!$AU$3</f>
        <v>-6.9680618668425121E-3</v>
      </c>
      <c r="L30" s="217">
        <f t="shared" si="5"/>
        <v>227723.12787415733</v>
      </c>
      <c r="M30" s="2">
        <f t="shared" si="6"/>
        <v>0.33180333333333339</v>
      </c>
      <c r="O30" s="217">
        <f t="shared" si="7"/>
        <v>280873.41992547578</v>
      </c>
      <c r="P30" s="2">
        <f t="shared" si="8"/>
        <v>0.33180333333333323</v>
      </c>
      <c r="Q30" s="22">
        <f>'Yearly Demand - C4'!$AU$3</f>
        <v>-6.9680618668425121E-3</v>
      </c>
      <c r="R30" s="217">
        <f t="shared" si="9"/>
        <v>227723.12787415725</v>
      </c>
      <c r="S30" s="2">
        <f t="shared" si="10"/>
        <v>0.33180333333333328</v>
      </c>
    </row>
    <row r="31" spans="2:19">
      <c r="B31" s="2" t="str">
        <f>'Production - Industry shares'!A51</f>
        <v>Total</v>
      </c>
      <c r="C31" s="6">
        <f>SUM(C26:C30)</f>
        <v>1</v>
      </c>
      <c r="I31" s="217">
        <f>SUM(I26:I30)</f>
        <v>846505.72103598295</v>
      </c>
      <c r="J31" s="2">
        <f t="shared" si="4"/>
        <v>1</v>
      </c>
      <c r="L31" s="217">
        <f>SUM(L26:L30)</f>
        <v>686319.59054306452</v>
      </c>
      <c r="M31" s="2">
        <f t="shared" si="6"/>
        <v>1</v>
      </c>
      <c r="O31" s="217">
        <f>SUM(O26:O30)</f>
        <v>846505.72103598271</v>
      </c>
      <c r="P31" s="2">
        <f>SUM(P26:P30)</f>
        <v>1</v>
      </c>
      <c r="R31" s="217">
        <f>SUM(R26:R30)</f>
        <v>686319.59054306452</v>
      </c>
      <c r="S31" s="2">
        <f t="shared" ref="S31" si="13">R31/$L$31</f>
        <v>1</v>
      </c>
    </row>
    <row r="32" spans="2:19">
      <c r="C32" t="s">
        <v>1310</v>
      </c>
      <c r="D32" t="s">
        <v>93</v>
      </c>
    </row>
    <row r="33" spans="3:3">
      <c r="C33" t="s">
        <v>1379</v>
      </c>
    </row>
  </sheetData>
  <mergeCells count="4">
    <mergeCell ref="I25:J25"/>
    <mergeCell ref="O25:P25"/>
    <mergeCell ref="I24:M24"/>
    <mergeCell ref="O24:S2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7327-8DBE-430C-B99C-2058948C8F0D}">
  <sheetPr>
    <tabColor theme="7"/>
  </sheetPr>
  <dimension ref="A2:AI98"/>
  <sheetViews>
    <sheetView workbookViewId="0">
      <selection activeCell="K76" sqref="K76"/>
    </sheetView>
  </sheetViews>
  <sheetFormatPr defaultRowHeight="14.75"/>
  <cols>
    <col min="2" max="2" width="26.81640625" customWidth="1"/>
    <col min="3" max="3" width="16.1796875" customWidth="1"/>
    <col min="4" max="4" width="20.26953125" customWidth="1"/>
    <col min="5" max="5" width="11.7265625" customWidth="1"/>
    <col min="6" max="6" width="11.453125" customWidth="1"/>
    <col min="7" max="7" width="11.1796875" customWidth="1"/>
    <col min="10" max="10" width="23.453125" customWidth="1"/>
    <col min="11" max="11" width="13.1796875" customWidth="1"/>
    <col min="12" max="12" width="11.81640625" customWidth="1"/>
    <col min="13" max="13" width="12.453125" bestFit="1" customWidth="1"/>
    <col min="17" max="17" width="18.81640625" customWidth="1"/>
    <col min="18" max="18" width="23.453125" customWidth="1"/>
    <col min="20" max="20" width="7.26953125" customWidth="1"/>
    <col min="24" max="24" width="18.81640625" customWidth="1"/>
    <col min="25" max="25" width="23.453125" customWidth="1"/>
    <col min="27" max="27" width="7.26953125" customWidth="1"/>
    <col min="30" max="30" width="18.81640625" customWidth="1"/>
    <col min="31" max="31" width="23.453125" customWidth="1"/>
    <col min="33" max="33" width="7.26953125" customWidth="1"/>
  </cols>
  <sheetData>
    <row r="2" spans="2:34">
      <c r="B2" s="1" t="s">
        <v>1083</v>
      </c>
      <c r="C2" s="1"/>
      <c r="D2" s="1"/>
      <c r="E2" s="1" t="s">
        <v>1087</v>
      </c>
      <c r="I2" s="1" t="s">
        <v>1097</v>
      </c>
      <c r="M2" s="1" t="s">
        <v>1087</v>
      </c>
      <c r="Q2" s="1" t="s">
        <v>1103</v>
      </c>
      <c r="T2" s="1" t="s">
        <v>1087</v>
      </c>
      <c r="X2" s="1" t="s">
        <v>1111</v>
      </c>
      <c r="AA2" s="1" t="s">
        <v>1087</v>
      </c>
      <c r="AD2" s="1" t="s">
        <v>1125</v>
      </c>
      <c r="AG2" s="1" t="s">
        <v>1087</v>
      </c>
    </row>
    <row r="3" spans="2:34">
      <c r="C3" t="s">
        <v>1085</v>
      </c>
      <c r="D3" s="331">
        <f>E3/E8</f>
        <v>0.52244453863944951</v>
      </c>
      <c r="E3" s="99">
        <f>'Demand - Ethylene'!D9*'Demand - BTX'!E33/'Demand - BTX'!C33</f>
        <v>1289942.0149484708</v>
      </c>
      <c r="G3" t="s">
        <v>1090</v>
      </c>
      <c r="H3" t="s">
        <v>93</v>
      </c>
      <c r="J3" t="s">
        <v>1101</v>
      </c>
      <c r="K3" s="51">
        <v>0.28000000000000003</v>
      </c>
      <c r="L3" s="6"/>
      <c r="M3" s="99">
        <f>K3*$M$8</f>
        <v>463262.36467510118</v>
      </c>
      <c r="P3" t="s">
        <v>93</v>
      </c>
      <c r="R3" t="s">
        <v>952</v>
      </c>
      <c r="S3" s="51">
        <v>0.98</v>
      </c>
      <c r="T3" s="40">
        <f>S3*$T$5</f>
        <v>3789699.5563815548</v>
      </c>
      <c r="Y3" t="s">
        <v>1122</v>
      </c>
      <c r="Z3" s="236">
        <v>0.437</v>
      </c>
      <c r="AA3" s="40">
        <f>Z3*$AA$7</f>
        <v>162663.84759629657</v>
      </c>
      <c r="AE3" t="s">
        <v>1112</v>
      </c>
      <c r="AF3" s="331">
        <v>0.245</v>
      </c>
      <c r="AG3" s="40">
        <f>AF3*$AG$7</f>
        <v>15199.329771583771</v>
      </c>
    </row>
    <row r="4" spans="2:34">
      <c r="C4" t="s">
        <v>351</v>
      </c>
      <c r="D4" s="331">
        <f>E4/E8</f>
        <v>0.1550365146775608</v>
      </c>
      <c r="E4" s="99">
        <f>'Demand - Propylene'!D9*'Demand - BTX'!E34/'Demand - BTX'!C34</f>
        <v>382793.00354937225</v>
      </c>
      <c r="G4" t="s">
        <v>1093</v>
      </c>
      <c r="H4" t="s">
        <v>93</v>
      </c>
      <c r="J4" t="s">
        <v>1100</v>
      </c>
      <c r="K4" s="70">
        <v>0.22</v>
      </c>
      <c r="L4" s="6"/>
      <c r="M4" s="99">
        <f t="shared" ref="M4:M7" si="0">K4*$M$8</f>
        <v>363991.85795900808</v>
      </c>
      <c r="P4" t="s">
        <v>93</v>
      </c>
      <c r="R4" t="s">
        <v>27</v>
      </c>
      <c r="S4" s="70">
        <v>0.02</v>
      </c>
      <c r="T4" s="40">
        <f>S4*$T$5</f>
        <v>77340.807273092956</v>
      </c>
      <c r="Y4" t="s">
        <v>1115</v>
      </c>
      <c r="Z4" s="236">
        <v>0.25</v>
      </c>
      <c r="AA4" s="40">
        <f t="shared" ref="AA4:AA6" si="1">Z4*$AA$7</f>
        <v>93057.121050512913</v>
      </c>
      <c r="AE4" t="s">
        <v>1113</v>
      </c>
      <c r="AF4" s="331">
        <v>0.23300000000000001</v>
      </c>
      <c r="AG4" s="40">
        <f t="shared" ref="AG4:AG6" si="2">AF4*$AG$7</f>
        <v>14454.872803179669</v>
      </c>
    </row>
    <row r="5" spans="2:34">
      <c r="C5" t="s">
        <v>1086</v>
      </c>
      <c r="D5" s="70">
        <v>0.1</v>
      </c>
      <c r="E5" s="99">
        <f t="shared" ref="E5:E7" si="3">D5*E$8</f>
        <v>246905.06255606364</v>
      </c>
      <c r="J5" t="s">
        <v>1099</v>
      </c>
      <c r="K5" s="51">
        <f>18%+17.9%</f>
        <v>0.35899999999999999</v>
      </c>
      <c r="L5" s="6"/>
      <c r="M5" s="99">
        <f t="shared" si="0"/>
        <v>593968.53185129038</v>
      </c>
      <c r="R5" t="s">
        <v>78</v>
      </c>
      <c r="S5" s="51">
        <f>SUM(S3:S4)</f>
        <v>1</v>
      </c>
      <c r="T5" s="203">
        <f>'Yearly Demand - BTX'!N10</f>
        <v>3867040.363654648</v>
      </c>
      <c r="Y5" t="s">
        <v>1116</v>
      </c>
      <c r="Z5" s="236">
        <v>0.187</v>
      </c>
      <c r="AA5" s="40">
        <f t="shared" si="1"/>
        <v>69606.726545783662</v>
      </c>
      <c r="AE5" t="s">
        <v>103</v>
      </c>
      <c r="AF5" s="331">
        <v>0.216</v>
      </c>
      <c r="AG5" s="40">
        <f t="shared" si="2"/>
        <v>13400.225431273855</v>
      </c>
    </row>
    <row r="6" spans="2:34">
      <c r="C6" t="s">
        <v>842</v>
      </c>
      <c r="D6" s="331">
        <f>E6/E8</f>
        <v>6.2522188769991063E-2</v>
      </c>
      <c r="E6" s="99">
        <f>D24</f>
        <v>154370.44929396661</v>
      </c>
      <c r="G6" t="s">
        <v>1152</v>
      </c>
      <c r="H6" t="s">
        <v>1130</v>
      </c>
      <c r="J6" t="s">
        <v>1098</v>
      </c>
      <c r="K6" s="221">
        <f>M6/M8</f>
        <v>3.5494201730846366E-2</v>
      </c>
      <c r="L6" s="6"/>
      <c r="M6" s="99">
        <f>L14</f>
        <v>58725.456521739128</v>
      </c>
      <c r="Q6" t="s">
        <v>60</v>
      </c>
      <c r="R6" t="s">
        <v>1096</v>
      </c>
      <c r="S6" s="51"/>
      <c r="T6" s="6" t="s">
        <v>93</v>
      </c>
      <c r="U6" s="40"/>
      <c r="Y6" t="s">
        <v>27</v>
      </c>
      <c r="Z6" s="236">
        <v>0.126</v>
      </c>
      <c r="AA6" s="40">
        <f t="shared" si="1"/>
        <v>46900.789009458509</v>
      </c>
      <c r="AB6" s="40"/>
      <c r="AE6" t="s">
        <v>1114</v>
      </c>
      <c r="AF6" s="331">
        <v>0.183</v>
      </c>
      <c r="AG6" s="40">
        <f t="shared" si="2"/>
        <v>11352.968768162573</v>
      </c>
      <c r="AH6" s="40"/>
    </row>
    <row r="7" spans="2:34">
      <c r="C7" t="s">
        <v>27</v>
      </c>
      <c r="D7" s="70">
        <f>1-D3-D4-D5-D6</f>
        <v>0.15999675791299861</v>
      </c>
      <c r="E7" s="99">
        <f t="shared" si="3"/>
        <v>395040.09521276288</v>
      </c>
      <c r="J7" t="s">
        <v>27</v>
      </c>
      <c r="K7" s="51">
        <f>1-K3-K4-K5-K6</f>
        <v>0.10550579826915366</v>
      </c>
      <c r="L7" s="6"/>
      <c r="M7" s="99">
        <f t="shared" si="0"/>
        <v>174560.23426107969</v>
      </c>
      <c r="S7" s="51"/>
      <c r="T7" s="6"/>
      <c r="U7" s="40"/>
      <c r="Y7" t="s">
        <v>78</v>
      </c>
      <c r="Z7" s="37">
        <f>SUM(Z3:Z6)</f>
        <v>1</v>
      </c>
      <c r="AA7" s="222">
        <f>'Yearly Demand - BTX'!N11</f>
        <v>372228.48420205165</v>
      </c>
      <c r="AB7" s="40"/>
      <c r="AE7" t="s">
        <v>27</v>
      </c>
      <c r="AF7" s="331">
        <f>1-AF3-AF4-AF5-AF6</f>
        <v>0.12300000000000005</v>
      </c>
      <c r="AG7" s="222">
        <f>'Yearly Demand - BTX'!N12</f>
        <v>62038.080700341925</v>
      </c>
      <c r="AH7" s="40"/>
    </row>
    <row r="8" spans="2:34">
      <c r="C8" t="s">
        <v>78</v>
      </c>
      <c r="D8" s="331">
        <f>SUM(D3:D7)</f>
        <v>1</v>
      </c>
      <c r="E8" s="99">
        <f>'Yearly Demand - BTX'!N7</f>
        <v>2469050.6255606362</v>
      </c>
      <c r="J8" t="s">
        <v>78</v>
      </c>
      <c r="K8" s="6">
        <f>SUM(K3:K7)</f>
        <v>1</v>
      </c>
      <c r="L8" s="6">
        <f>SUM(L3:L7)</f>
        <v>0</v>
      </c>
      <c r="M8" s="99">
        <f>'Yearly Demand - BTX'!N17</f>
        <v>1654508.4452682184</v>
      </c>
      <c r="Q8" s="1" t="s">
        <v>952</v>
      </c>
      <c r="T8" s="1" t="s">
        <v>528</v>
      </c>
      <c r="U8" s="1" t="s">
        <v>530</v>
      </c>
      <c r="X8" t="s">
        <v>60</v>
      </c>
      <c r="Y8" s="5" t="s">
        <v>1117</v>
      </c>
      <c r="AA8" t="s">
        <v>93</v>
      </c>
      <c r="AD8" t="s">
        <v>60</v>
      </c>
      <c r="AE8" s="5" t="s">
        <v>1131</v>
      </c>
      <c r="AG8" t="s">
        <v>93</v>
      </c>
    </row>
    <row r="9" spans="2:34">
      <c r="B9" t="s">
        <v>1084</v>
      </c>
      <c r="I9" t="s">
        <v>60</v>
      </c>
      <c r="J9" s="5" t="s">
        <v>1095</v>
      </c>
      <c r="N9" t="s">
        <v>93</v>
      </c>
      <c r="Q9" s="125"/>
      <c r="R9" t="s">
        <v>35</v>
      </c>
      <c r="S9" s="22">
        <v>0.8</v>
      </c>
      <c r="T9" s="40">
        <f>S9*T3</f>
        <v>3031759.6451052441</v>
      </c>
      <c r="U9" s="2">
        <f t="shared" ref="U9:U12" si="4">T9/$T$5</f>
        <v>0.78400000000000003</v>
      </c>
      <c r="V9" s="182" t="s">
        <v>1110</v>
      </c>
      <c r="W9" t="s">
        <v>93</v>
      </c>
    </row>
    <row r="10" spans="2:34">
      <c r="R10" t="s">
        <v>895</v>
      </c>
      <c r="S10" s="2">
        <f>T10/T13</f>
        <v>1.7330417845544308E-6</v>
      </c>
      <c r="T10" s="40">
        <f>('Production - Industry shares'!Z132/'Production - Industry shares'!Z145)*R18</f>
        <v>6.5677076821166249</v>
      </c>
      <c r="U10" s="2">
        <f t="shared" si="4"/>
        <v>1.6983809488633422E-6</v>
      </c>
      <c r="X10" s="1" t="s">
        <v>1121</v>
      </c>
      <c r="AA10" s="1" t="s">
        <v>528</v>
      </c>
      <c r="AB10" s="1" t="s">
        <v>530</v>
      </c>
    </row>
    <row r="11" spans="2:34">
      <c r="B11" s="1" t="s">
        <v>547</v>
      </c>
      <c r="D11" s="1" t="s">
        <v>528</v>
      </c>
      <c r="E11" s="1" t="s">
        <v>530</v>
      </c>
      <c r="I11" s="1" t="s">
        <v>1098</v>
      </c>
      <c r="L11" s="1" t="s">
        <v>528</v>
      </c>
      <c r="M11" s="1" t="s">
        <v>530</v>
      </c>
      <c r="R11" t="s">
        <v>1160</v>
      </c>
      <c r="S11" s="6">
        <f>T11/T13</f>
        <v>9.9999133479107702E-2</v>
      </c>
      <c r="T11" s="40">
        <f>(T13-T10-T9)/2</f>
        <v>378966.67178431433</v>
      </c>
      <c r="U11" s="2">
        <f t="shared" si="4"/>
        <v>9.7999150809525537E-2</v>
      </c>
      <c r="V11" t="s">
        <v>1189</v>
      </c>
      <c r="X11" s="125"/>
      <c r="Y11" t="s">
        <v>1126</v>
      </c>
      <c r="Z11" s="236">
        <v>0.14599999999999999</v>
      </c>
      <c r="AA11" s="222">
        <f>Z11*$AA$3</f>
        <v>23748.9217490593</v>
      </c>
      <c r="AB11" s="2">
        <f>AA11/$AA$7</f>
        <v>6.3801999999999998E-2</v>
      </c>
      <c r="AD11" s="1" t="s">
        <v>1121</v>
      </c>
      <c r="AG11" s="1" t="s">
        <v>528</v>
      </c>
      <c r="AH11" s="1" t="s">
        <v>530</v>
      </c>
    </row>
    <row r="12" spans="2:34">
      <c r="B12" t="s">
        <v>529</v>
      </c>
      <c r="C12" s="6">
        <f>'Demand - Ethylene'!R14</f>
        <v>0.95369571593461744</v>
      </c>
      <c r="D12" s="99">
        <f>C12*$E$3</f>
        <v>1230212.1734604249</v>
      </c>
      <c r="E12" s="2">
        <f>D12/$E$8</f>
        <v>0.49825311831388075</v>
      </c>
      <c r="I12" s="125"/>
      <c r="J12" t="s">
        <v>160</v>
      </c>
      <c r="K12" s="188">
        <v>0.92</v>
      </c>
      <c r="L12" s="99">
        <f>174282*0.31</f>
        <v>54027.42</v>
      </c>
      <c r="M12" s="2">
        <f>L12/$M$8</f>
        <v>3.2654665592378659E-2</v>
      </c>
      <c r="O12" t="s">
        <v>1416</v>
      </c>
      <c r="R12" t="s">
        <v>1159</v>
      </c>
      <c r="S12" s="37">
        <f>1-S10-S9-S11</f>
        <v>9.999913347910773E-2</v>
      </c>
      <c r="T12" s="222">
        <f>(T13-T10-T9)/2</f>
        <v>378966.67178431433</v>
      </c>
      <c r="U12" s="2">
        <f t="shared" si="4"/>
        <v>9.7999150809525537E-2</v>
      </c>
      <c r="Y12" t="s">
        <v>1123</v>
      </c>
      <c r="Z12" s="236">
        <f>18%+17.9%</f>
        <v>0.35899999999999999</v>
      </c>
      <c r="AA12" s="222">
        <f t="shared" ref="AA12:AA15" si="5">Z12*$AA$3</f>
        <v>58396.321287070466</v>
      </c>
      <c r="AB12" s="2">
        <f t="shared" ref="AB12:AB15" si="6">AA12/$AA$7</f>
        <v>0.15688299999999999</v>
      </c>
      <c r="AD12" s="125"/>
      <c r="AE12" t="s">
        <v>1118</v>
      </c>
      <c r="AF12" s="236">
        <v>0.35199999999999998</v>
      </c>
      <c r="AG12" s="222">
        <f>AF12*$AA$3</f>
        <v>57257.674353896393</v>
      </c>
      <c r="AH12" s="2">
        <f>AG12/$AA$7</f>
        <v>0.15382399999999999</v>
      </c>
    </row>
    <row r="13" spans="2:34">
      <c r="B13" t="s">
        <v>24</v>
      </c>
      <c r="C13" s="6">
        <f>'Demand - Ethylene'!R15</f>
        <v>4.630428406538261E-2</v>
      </c>
      <c r="D13" s="99">
        <f>C13*$E$3</f>
        <v>59729.841488046011</v>
      </c>
      <c r="E13" s="2">
        <f>D13/$E$8</f>
        <v>2.4191420325568831E-2</v>
      </c>
      <c r="J13" s="125" t="s">
        <v>27</v>
      </c>
      <c r="K13" s="188">
        <v>0.08</v>
      </c>
      <c r="L13" s="99">
        <f>K13*L12/K12</f>
        <v>4698.03652173913</v>
      </c>
      <c r="M13" s="2">
        <f>L13/$M$8</f>
        <v>2.8395361384677092E-3</v>
      </c>
      <c r="R13" t="s">
        <v>78</v>
      </c>
      <c r="S13" s="102">
        <f>SUM(S9:S12)</f>
        <v>1</v>
      </c>
      <c r="T13" s="40">
        <f>T3</f>
        <v>3789699.5563815548</v>
      </c>
      <c r="Y13" t="s">
        <v>1127</v>
      </c>
      <c r="Z13" s="236">
        <f>14%</f>
        <v>0.14000000000000001</v>
      </c>
      <c r="AA13" s="222">
        <f t="shared" si="5"/>
        <v>22772.938663481524</v>
      </c>
      <c r="AB13" s="2">
        <f t="shared" si="6"/>
        <v>6.1180000000000012E-2</v>
      </c>
      <c r="AE13" t="s">
        <v>1123</v>
      </c>
      <c r="AF13" s="236">
        <v>0.221</v>
      </c>
      <c r="AG13" s="222">
        <f t="shared" ref="AG13:AG18" si="7">AF13*$AA$3</f>
        <v>35948.710318781545</v>
      </c>
      <c r="AH13" s="2">
        <f t="shared" ref="AH13:AH17" si="8">AG13/$AA$7</f>
        <v>9.657700000000001E-2</v>
      </c>
    </row>
    <row r="14" spans="2:34">
      <c r="C14" s="6">
        <f>SUM(C12:C13)</f>
        <v>1</v>
      </c>
      <c r="D14" s="99">
        <f>C14*$E$3</f>
        <v>1289942.0149484708</v>
      </c>
      <c r="J14" t="s">
        <v>78</v>
      </c>
      <c r="K14" s="102">
        <f>SUM(K12:K13)</f>
        <v>1</v>
      </c>
      <c r="L14" s="99">
        <f>SUM(L12:L13)</f>
        <v>58725.456521739128</v>
      </c>
      <c r="Q14" t="s">
        <v>1161</v>
      </c>
      <c r="S14" t="s">
        <v>93</v>
      </c>
      <c r="Y14" t="s">
        <v>1128</v>
      </c>
      <c r="Z14" s="236">
        <v>0.106</v>
      </c>
      <c r="AA14" s="222">
        <f t="shared" si="5"/>
        <v>17242.367845207438</v>
      </c>
      <c r="AB14" s="2">
        <f t="shared" si="6"/>
        <v>4.6322000000000002E-2</v>
      </c>
      <c r="AE14" t="s">
        <v>1124</v>
      </c>
      <c r="AF14" s="236">
        <v>0.18</v>
      </c>
      <c r="AG14" s="222">
        <f t="shared" si="7"/>
        <v>29279.492567333382</v>
      </c>
      <c r="AH14" s="2">
        <f t="shared" si="8"/>
        <v>7.8659999999999994E-2</v>
      </c>
    </row>
    <row r="15" spans="2:34">
      <c r="I15" t="s">
        <v>60</v>
      </c>
      <c r="J15" t="s">
        <v>1102</v>
      </c>
      <c r="K15" s="188"/>
      <c r="L15" s="40"/>
      <c r="Q15" t="s">
        <v>1094</v>
      </c>
      <c r="T15" s="52"/>
      <c r="Y15" t="s">
        <v>27</v>
      </c>
      <c r="Z15" s="236">
        <f>1-Z11-Z12-Z13-Z14</f>
        <v>0.249</v>
      </c>
      <c r="AA15" s="222">
        <f t="shared" si="5"/>
        <v>40503.298051477846</v>
      </c>
      <c r="AB15" s="2">
        <f t="shared" si="6"/>
        <v>0.10881300000000001</v>
      </c>
      <c r="AE15" t="s">
        <v>1119</v>
      </c>
      <c r="AF15" s="236">
        <v>0.11899999999999999</v>
      </c>
      <c r="AG15" s="222">
        <f t="shared" si="7"/>
        <v>19356.997863959292</v>
      </c>
      <c r="AH15" s="2">
        <f t="shared" si="8"/>
        <v>5.2003000000000001E-2</v>
      </c>
    </row>
    <row r="16" spans="2:34">
      <c r="B16" s="1" t="s">
        <v>73</v>
      </c>
      <c r="D16" s="1" t="s">
        <v>528</v>
      </c>
      <c r="E16" s="1" t="s">
        <v>530</v>
      </c>
      <c r="K16" s="188"/>
      <c r="L16" s="40"/>
      <c r="Q16" t="s">
        <v>1104</v>
      </c>
      <c r="R16" s="52">
        <f>(12*2+4)/R20-R17</f>
        <v>0.14582876995201433</v>
      </c>
      <c r="T16" s="52"/>
      <c r="Y16" s="119" t="s">
        <v>78</v>
      </c>
      <c r="Z16" s="37">
        <f>SUM(Z11:Z15)</f>
        <v>1</v>
      </c>
      <c r="AA16" s="203">
        <f>Z16*$AA$3</f>
        <v>162663.84759629657</v>
      </c>
      <c r="AB16" s="2"/>
      <c r="AE16" t="s">
        <v>1120</v>
      </c>
      <c r="AF16" s="236">
        <v>7.9000000000000001E-2</v>
      </c>
      <c r="AG16" s="222">
        <f t="shared" si="7"/>
        <v>12850.44396010743</v>
      </c>
      <c r="AH16" s="2">
        <f t="shared" si="8"/>
        <v>3.4523000000000005E-2</v>
      </c>
    </row>
    <row r="17" spans="2:35">
      <c r="B17" t="s">
        <v>74</v>
      </c>
      <c r="C17" s="6">
        <f>'Demand - Ethylene'!R19</f>
        <v>0.59</v>
      </c>
      <c r="D17" s="99">
        <f>C17*$D$12</f>
        <v>725825.18234165059</v>
      </c>
      <c r="E17" s="2">
        <f>D17/$E$8</f>
        <v>0.29396933980518958</v>
      </c>
      <c r="K17" s="37"/>
      <c r="L17" s="40"/>
      <c r="M17" s="452"/>
      <c r="N17" s="125"/>
      <c r="O17" s="125"/>
      <c r="Q17" t="s">
        <v>1105</v>
      </c>
      <c r="R17" s="52">
        <f>'Production - Industry shares'!Z147</f>
        <v>4.5633813190281036E-6</v>
      </c>
      <c r="T17" s="40"/>
      <c r="U17" s="452"/>
      <c r="V17" s="125"/>
      <c r="W17" s="125"/>
      <c r="X17" t="s">
        <v>60</v>
      </c>
      <c r="Y17" t="s">
        <v>1132</v>
      </c>
      <c r="AC17" t="s">
        <v>93</v>
      </c>
      <c r="AE17" t="s">
        <v>27</v>
      </c>
      <c r="AF17" s="236">
        <f>1-AF12-AF13-AF14-AF15-AF16</f>
        <v>4.9000000000000057E-2</v>
      </c>
      <c r="AG17" s="222">
        <f t="shared" si="7"/>
        <v>7970.5285322185418</v>
      </c>
      <c r="AH17" s="2">
        <f t="shared" si="8"/>
        <v>2.1413000000000026E-2</v>
      </c>
    </row>
    <row r="18" spans="2:35">
      <c r="B18" t="s">
        <v>24</v>
      </c>
      <c r="C18" s="6">
        <f>'Demand - Ethylene'!R20</f>
        <v>0.41000000000000003</v>
      </c>
      <c r="D18" s="99">
        <f>C18*$D$12</f>
        <v>504386.99111877423</v>
      </c>
      <c r="E18" s="2">
        <f>D18/$E$8</f>
        <v>0.20428377850869112</v>
      </c>
      <c r="L18" s="6"/>
      <c r="M18" s="182"/>
      <c r="Q18" t="s">
        <v>1106</v>
      </c>
      <c r="R18" s="52">
        <f>(12*8+4+6)/192</f>
        <v>0.55208333333333337</v>
      </c>
      <c r="S18" s="37"/>
      <c r="T18" s="6"/>
      <c r="U18" s="182"/>
      <c r="Y18" s="52"/>
      <c r="AA18" s="52"/>
      <c r="AE18" s="119" t="s">
        <v>78</v>
      </c>
      <c r="AF18" s="37">
        <f>SUM(AF12:AF17)</f>
        <v>0.99999999999999989</v>
      </c>
      <c r="AG18" s="203">
        <f t="shared" si="7"/>
        <v>162663.84759629655</v>
      </c>
    </row>
    <row r="19" spans="2:35">
      <c r="C19" s="6">
        <f>SUM(C17:C18)</f>
        <v>1</v>
      </c>
      <c r="D19" s="99">
        <f>D12</f>
        <v>1230212.1734604249</v>
      </c>
      <c r="L19" s="6"/>
      <c r="Q19" t="s">
        <v>1107</v>
      </c>
      <c r="R19" s="51">
        <f>64/R20</f>
        <v>0.33333333333333331</v>
      </c>
      <c r="S19" s="182" t="s">
        <v>1109</v>
      </c>
      <c r="T19" s="6"/>
      <c r="Y19" s="52"/>
      <c r="Z19" s="37"/>
      <c r="AA19" s="40"/>
      <c r="AB19" s="452"/>
      <c r="AC19" s="125"/>
      <c r="AD19" t="s">
        <v>60</v>
      </c>
      <c r="AE19" s="5" t="s">
        <v>1129</v>
      </c>
      <c r="AF19" s="37"/>
      <c r="AG19" s="40"/>
      <c r="AH19" s="452"/>
      <c r="AI19" t="s">
        <v>1130</v>
      </c>
    </row>
    <row r="20" spans="2:35">
      <c r="G20" t="s">
        <v>74</v>
      </c>
      <c r="H20" s="40">
        <f>D17+9*0.14</f>
        <v>725826.4423416506</v>
      </c>
      <c r="I20" s="2">
        <f>H20/$H$25</f>
        <v>6257.1245029452639</v>
      </c>
      <c r="L20" s="5"/>
      <c r="Q20" t="s">
        <v>1108</v>
      </c>
      <c r="R20">
        <f>12*10+8+16*4</f>
        <v>192</v>
      </c>
      <c r="T20" s="5"/>
      <c r="Y20" s="51"/>
      <c r="Z20" s="182"/>
      <c r="AA20" s="6"/>
      <c r="AB20" s="182"/>
      <c r="AE20" s="51"/>
      <c r="AF20" s="182"/>
      <c r="AG20" s="6"/>
      <c r="AH20" s="182"/>
    </row>
    <row r="21" spans="2:35">
      <c r="B21" s="158" t="s">
        <v>842</v>
      </c>
      <c r="G21" t="s">
        <v>35</v>
      </c>
      <c r="H21" s="217">
        <f>AA11+T9+T10+9*0.36</f>
        <v>3055518.3745619855</v>
      </c>
      <c r="I21" s="2">
        <f t="shared" ref="I21:I24" si="9">H21/$H$25</f>
        <v>26340.675642775735</v>
      </c>
      <c r="R21" s="6">
        <f>SUM(R16:R19)</f>
        <v>1.03125</v>
      </c>
      <c r="AA21" s="6"/>
      <c r="AG21" s="6"/>
    </row>
    <row r="22" spans="2:35">
      <c r="B22" t="s">
        <v>1133</v>
      </c>
      <c r="C22" s="51">
        <v>0.82</v>
      </c>
      <c r="D22" s="219">
        <f>D30</f>
        <v>126583.76842105262</v>
      </c>
      <c r="E22" s="2">
        <f>D22/$E$8</f>
        <v>5.126819479139267E-2</v>
      </c>
      <c r="G22" t="s">
        <v>160</v>
      </c>
      <c r="H22" s="40">
        <f>D28+L12+9*0.07</f>
        <v>174282.63</v>
      </c>
      <c r="I22" s="2">
        <f t="shared" si="9"/>
        <v>1502.4364655172415</v>
      </c>
      <c r="AA22" s="5"/>
      <c r="AG22" s="5"/>
    </row>
    <row r="23" spans="2:35">
      <c r="B23" t="s">
        <v>27</v>
      </c>
      <c r="C23" s="51">
        <v>0.18</v>
      </c>
      <c r="D23" s="219">
        <f>D22*C23/C22</f>
        <v>27786.680872913988</v>
      </c>
      <c r="E23" s="2">
        <f>D23/$E$8</f>
        <v>1.125399397859839E-2</v>
      </c>
      <c r="F23" s="2"/>
      <c r="G23" t="s">
        <v>826</v>
      </c>
      <c r="H23" s="40">
        <f>M3+9*0.07</f>
        <v>463262.99467510119</v>
      </c>
      <c r="I23" s="2">
        <f t="shared" si="9"/>
        <v>3993.6465058198378</v>
      </c>
    </row>
    <row r="24" spans="2:35">
      <c r="B24" t="s">
        <v>78</v>
      </c>
      <c r="C24" s="6">
        <f>SUM(C22:C23)</f>
        <v>1</v>
      </c>
      <c r="D24" s="219">
        <f>SUM(D22:D23)</f>
        <v>154370.44929396661</v>
      </c>
      <c r="G24" t="s">
        <v>27</v>
      </c>
      <c r="H24" s="217">
        <f>116-H20-H21-H22-H23</f>
        <v>-4418774.4415787365</v>
      </c>
      <c r="I24" s="2">
        <f t="shared" si="9"/>
        <v>-38092.883117058074</v>
      </c>
    </row>
    <row r="25" spans="2:35">
      <c r="B25" t="s">
        <v>60</v>
      </c>
      <c r="C25" t="s">
        <v>1134</v>
      </c>
      <c r="E25" t="s">
        <v>93</v>
      </c>
      <c r="G25" t="s">
        <v>78</v>
      </c>
      <c r="H25">
        <v>116</v>
      </c>
    </row>
    <row r="27" spans="2:35" s="1" customFormat="1">
      <c r="B27" s="1" t="s">
        <v>1133</v>
      </c>
    </row>
    <row r="28" spans="2:35">
      <c r="B28" t="s">
        <v>160</v>
      </c>
      <c r="C28" s="6">
        <f>'Sankey Methanol_detailed'!G83</f>
        <v>0.95</v>
      </c>
      <c r="D28" s="529">
        <f>174282*0.69</f>
        <v>120254.57999999999</v>
      </c>
      <c r="E28" s="2">
        <f>D28/$E$8</f>
        <v>4.8704785051823032E-2</v>
      </c>
      <c r="G28" t="s">
        <v>1415</v>
      </c>
    </row>
    <row r="29" spans="2:35">
      <c r="B29" t="s">
        <v>27</v>
      </c>
      <c r="C29" s="6">
        <f>1-C28</f>
        <v>5.0000000000000044E-2</v>
      </c>
      <c r="D29" s="530">
        <f>C29*D28/C28</f>
        <v>6329.1884210526368</v>
      </c>
      <c r="E29" s="2">
        <f>D29/$E$8</f>
        <v>2.563409739569636E-3</v>
      </c>
    </row>
    <row r="30" spans="2:35">
      <c r="B30" t="s">
        <v>78</v>
      </c>
      <c r="C30" s="6">
        <f>SUM(C28:C29)</f>
        <v>1</v>
      </c>
      <c r="D30" s="531">
        <f>SUM(D28:D29)</f>
        <v>126583.76842105262</v>
      </c>
    </row>
    <row r="32" spans="2:35">
      <c r="B32" t="s">
        <v>1094</v>
      </c>
      <c r="J32" t="s">
        <v>1145</v>
      </c>
      <c r="K32" s="2">
        <f>(6*12+6)/(6*12+5+14+16*2)</f>
        <v>0.63414634146341464</v>
      </c>
    </row>
    <row r="33" spans="1:11">
      <c r="B33" t="s">
        <v>1088</v>
      </c>
      <c r="C33" s="52">
        <f>(12*2+4)/(12*8+10)</f>
        <v>0.26415094339622641</v>
      </c>
      <c r="D33" t="s">
        <v>1089</v>
      </c>
      <c r="E33" s="52">
        <f>(12*6+6)/(12*8+10)</f>
        <v>0.73584905660377353</v>
      </c>
      <c r="F33" s="6"/>
      <c r="J33" t="s">
        <v>1146</v>
      </c>
      <c r="K33" s="2">
        <f>(6*12+5+14+16*2)/(12*6+5+14+2)</f>
        <v>1.3225806451612903</v>
      </c>
    </row>
    <row r="34" spans="1:11">
      <c r="B34" t="s">
        <v>1091</v>
      </c>
      <c r="C34" s="52">
        <f>(12*3+7)/(12*9+13)</f>
        <v>0.35537190082644626</v>
      </c>
      <c r="D34" t="s">
        <v>1092</v>
      </c>
      <c r="E34" s="52">
        <f>(12*6+6)/(12*9+13)</f>
        <v>0.64462809917355368</v>
      </c>
      <c r="J34" t="s">
        <v>1144</v>
      </c>
      <c r="K34" s="2">
        <f>(12*6+5+14+2)*2/(C40)</f>
        <v>0.74399999999999999</v>
      </c>
    </row>
    <row r="35" spans="1:11">
      <c r="K35" s="2">
        <f>K32*K34*K33</f>
        <v>0.62399999999999989</v>
      </c>
    </row>
    <row r="36" spans="1:11">
      <c r="B36" t="s">
        <v>1136</v>
      </c>
      <c r="F36" t="s">
        <v>1137</v>
      </c>
    </row>
    <row r="37" spans="1:11">
      <c r="B37" t="s">
        <v>1141</v>
      </c>
      <c r="C37" s="47">
        <f>(6*12+4)*2</f>
        <v>152</v>
      </c>
      <c r="D37" s="22">
        <f>C37/$C$40</f>
        <v>0.60799999999999998</v>
      </c>
      <c r="F37" t="s">
        <v>1149</v>
      </c>
      <c r="G37">
        <f>12*6+12+3+3</f>
        <v>90</v>
      </c>
      <c r="H37" s="2">
        <f>G37/$G$39</f>
        <v>0.51724137931034486</v>
      </c>
    </row>
    <row r="38" spans="1:11">
      <c r="B38" t="s">
        <v>1142</v>
      </c>
      <c r="C38" s="47">
        <f>12+2</f>
        <v>14</v>
      </c>
      <c r="D38" s="2">
        <f t="shared" ref="D38:D39" si="10">C38/$C$40</f>
        <v>5.6000000000000001E-2</v>
      </c>
      <c r="F38" t="s">
        <v>1150</v>
      </c>
      <c r="G38">
        <f>(14+12+16)*2</f>
        <v>84</v>
      </c>
      <c r="H38" s="2">
        <f>G38/$G$39</f>
        <v>0.48275862068965519</v>
      </c>
    </row>
    <row r="39" spans="1:11">
      <c r="B39" t="s">
        <v>1143</v>
      </c>
      <c r="C39" s="47">
        <f>(14+12+16)*2</f>
        <v>84</v>
      </c>
      <c r="D39" s="2">
        <f t="shared" si="10"/>
        <v>0.33600000000000002</v>
      </c>
      <c r="G39">
        <f>SUM(G37:G38)</f>
        <v>174</v>
      </c>
    </row>
    <row r="40" spans="1:11">
      <c r="C40">
        <f>SUM(C37:C39)</f>
        <v>250</v>
      </c>
    </row>
    <row r="43" spans="1:11" s="168" customFormat="1">
      <c r="A43" s="293"/>
      <c r="B43" s="166" t="s">
        <v>1156</v>
      </c>
    </row>
    <row r="45" spans="1:11">
      <c r="B45" t="s">
        <v>1138</v>
      </c>
    </row>
    <row r="46" spans="1:11">
      <c r="B46" t="s">
        <v>1139</v>
      </c>
      <c r="C46" s="222">
        <f>'Demand - Propylene'!X16</f>
        <v>251122.02553360749</v>
      </c>
      <c r="F46" t="s">
        <v>1147</v>
      </c>
      <c r="G46">
        <f>D22/K35</f>
        <v>202858.6032388664</v>
      </c>
    </row>
    <row r="47" spans="1:11">
      <c r="B47" t="s">
        <v>1140</v>
      </c>
      <c r="C47" s="222">
        <f>'Demand - Ethylene'!I19</f>
        <v>63574.581971008512</v>
      </c>
      <c r="F47" t="s">
        <v>1148</v>
      </c>
      <c r="G47">
        <f>M6/H37</f>
        <v>113535.88260869564</v>
      </c>
    </row>
    <row r="48" spans="1:11">
      <c r="C48" s="222">
        <f>SUM(C46:C47)/0.9</f>
        <v>349662.89722735115</v>
      </c>
      <c r="D48" t="s">
        <v>1153</v>
      </c>
      <c r="E48" t="s">
        <v>93</v>
      </c>
      <c r="G48">
        <f>SUM(G46:G47)/0.9</f>
        <v>351549.42871951335</v>
      </c>
      <c r="H48" t="s">
        <v>1154</v>
      </c>
      <c r="I48" t="s">
        <v>93</v>
      </c>
    </row>
    <row r="50" spans="1:7">
      <c r="B50" t="s">
        <v>1151</v>
      </c>
      <c r="D50">
        <v>22.5</v>
      </c>
      <c r="E50" t="s">
        <v>127</v>
      </c>
      <c r="F50" s="454" t="s">
        <v>1135</v>
      </c>
      <c r="G50" s="455">
        <f>D28/D51</f>
        <v>0.17149524552013148</v>
      </c>
    </row>
    <row r="51" spans="1:7">
      <c r="B51" t="s">
        <v>1155</v>
      </c>
      <c r="D51" s="40">
        <f>C48+G48</f>
        <v>701212.32594686444</v>
      </c>
      <c r="E51" t="s">
        <v>127</v>
      </c>
      <c r="F51" s="454" t="s">
        <v>1163</v>
      </c>
      <c r="G51" s="455">
        <f>L12/D51</f>
        <v>7.7048588567015602E-2</v>
      </c>
    </row>
    <row r="53" spans="1:7" s="166" customFormat="1">
      <c r="A53" s="165"/>
      <c r="B53" s="166" t="s">
        <v>1157</v>
      </c>
    </row>
    <row r="55" spans="1:7">
      <c r="C55" s="1" t="s">
        <v>88</v>
      </c>
      <c r="D55" s="1" t="s">
        <v>1158</v>
      </c>
      <c r="E55" s="1" t="s">
        <v>1079</v>
      </c>
      <c r="F55" s="1" t="s">
        <v>1080</v>
      </c>
      <c r="G55" s="1" t="s">
        <v>1081</v>
      </c>
    </row>
    <row r="56" spans="1:7">
      <c r="B56" t="s">
        <v>35</v>
      </c>
      <c r="C56" s="2">
        <f>0%</f>
        <v>0</v>
      </c>
      <c r="D56" s="2">
        <f>0</f>
        <v>0</v>
      </c>
      <c r="E56" s="2">
        <f>U9+U10</f>
        <v>0.78400169838094891</v>
      </c>
      <c r="F56" s="2">
        <v>0</v>
      </c>
      <c r="G56" s="2">
        <v>0</v>
      </c>
    </row>
    <row r="57" spans="1:7">
      <c r="B57" t="s">
        <v>160</v>
      </c>
      <c r="C57" s="2">
        <f>E28</f>
        <v>4.8704785051823032E-2</v>
      </c>
      <c r="D57" s="2">
        <f>M12</f>
        <v>3.2654665592378659E-2</v>
      </c>
      <c r="E57" s="2">
        <f>0</f>
        <v>0</v>
      </c>
      <c r="F57" s="2">
        <v>0</v>
      </c>
      <c r="G57" s="2">
        <v>0</v>
      </c>
    </row>
    <row r="58" spans="1:7">
      <c r="B58" t="s">
        <v>74</v>
      </c>
      <c r="C58" s="2">
        <f>E17</f>
        <v>0.29396933980518958</v>
      </c>
      <c r="D58" s="2">
        <f>0</f>
        <v>0</v>
      </c>
      <c r="E58" s="2">
        <f>0</f>
        <v>0</v>
      </c>
      <c r="F58" s="2">
        <v>0</v>
      </c>
      <c r="G58" s="2">
        <v>0</v>
      </c>
    </row>
    <row r="59" spans="1:7">
      <c r="B59" t="s">
        <v>913</v>
      </c>
      <c r="C59" s="2">
        <f>E18</f>
        <v>0.20428377850869112</v>
      </c>
      <c r="D59" s="2">
        <f>0</f>
        <v>0</v>
      </c>
      <c r="E59" s="2">
        <f>U11</f>
        <v>9.7999150809525537E-2</v>
      </c>
      <c r="F59" s="2">
        <f>AB11+AB12+AB13+AB14</f>
        <v>0.32818700000000001</v>
      </c>
      <c r="G59" s="2">
        <f>AH12+AH13+AH14+AH15</f>
        <v>0.38106400000000001</v>
      </c>
    </row>
    <row r="60" spans="1:7">
      <c r="B60" t="s">
        <v>826</v>
      </c>
      <c r="C60" s="2">
        <v>0</v>
      </c>
      <c r="D60" s="2">
        <f>L3</f>
        <v>0</v>
      </c>
      <c r="E60" s="2">
        <v>0</v>
      </c>
      <c r="F60" s="2">
        <v>0</v>
      </c>
      <c r="G60" s="2">
        <v>0</v>
      </c>
    </row>
    <row r="61" spans="1:7">
      <c r="B61" t="s">
        <v>932</v>
      </c>
      <c r="C61" s="2">
        <f>0</f>
        <v>0</v>
      </c>
      <c r="D61" s="2">
        <f>K4</f>
        <v>0.22</v>
      </c>
      <c r="E61" s="2">
        <f>0</f>
        <v>0</v>
      </c>
      <c r="F61" s="2">
        <f>Z5</f>
        <v>0.187</v>
      </c>
      <c r="G61" s="2">
        <f>0</f>
        <v>0</v>
      </c>
    </row>
    <row r="62" spans="1:7">
      <c r="B62" t="s">
        <v>27</v>
      </c>
      <c r="C62" s="2">
        <f>1-C56-C57-C58-C59-C60-C61</f>
        <v>0.45304209663429623</v>
      </c>
      <c r="D62" s="2">
        <f t="shared" ref="D62:G62" si="11">1-D56-D57-D58-D59-D60-D61</f>
        <v>0.74734533440762141</v>
      </c>
      <c r="E62" s="2">
        <f t="shared" si="11"/>
        <v>0.11799915080952555</v>
      </c>
      <c r="F62" s="2">
        <f t="shared" si="11"/>
        <v>0.48481299999999999</v>
      </c>
      <c r="G62" s="2">
        <f t="shared" si="11"/>
        <v>0.61893599999999993</v>
      </c>
    </row>
    <row r="63" spans="1:7">
      <c r="B63" s="1" t="s">
        <v>78</v>
      </c>
      <c r="C63" s="116">
        <f>SUM(C56:C62)</f>
        <v>1</v>
      </c>
      <c r="D63" s="116">
        <f t="shared" ref="D63:G63" si="12">SUM(D56:D62)</f>
        <v>1</v>
      </c>
      <c r="E63" s="116">
        <f t="shared" si="12"/>
        <v>1</v>
      </c>
      <c r="F63" s="116">
        <f t="shared" si="12"/>
        <v>1</v>
      </c>
      <c r="G63" s="116">
        <f t="shared" si="12"/>
        <v>1</v>
      </c>
    </row>
    <row r="65" spans="2:21">
      <c r="B65" t="s">
        <v>1164</v>
      </c>
      <c r="C65" s="2">
        <f>C59*E8/('Production - Industry shares'!$I$13*'Production - Industry shares'!$L$14)</f>
        <v>0.18291947746656789</v>
      </c>
      <c r="D65" s="2">
        <f>D59*M8/('Production - Industry shares'!$I$13*'Production - Industry shares'!$L$14)</f>
        <v>0</v>
      </c>
      <c r="E65" s="2">
        <f>E59*T5/('Production - Industry shares'!$I$13*'Production - Industry shares'!$L$14)</f>
        <v>0.13743491961652793</v>
      </c>
      <c r="F65" s="2">
        <f>F59*AA7/('Production - Industry shares'!$I$13*'Production - Industry shares'!$L$14)</f>
        <v>4.4302379488818024E-2</v>
      </c>
      <c r="G65" s="2">
        <f>G59*AG7/('Production - Industry shares'!$I$13*'Production - Industry shares'!$L$14)</f>
        <v>8.573385466988305E-3</v>
      </c>
    </row>
    <row r="66" spans="2:21">
      <c r="E66" s="614">
        <f>(E65*T5+F65*AA7+G65*AG7)/SUM(AG7,AA7,T5)</f>
        <v>0.12751679305524236</v>
      </c>
      <c r="F66" s="614"/>
      <c r="G66" s="614"/>
    </row>
    <row r="68" spans="2:21" ht="15.5" thickBot="1"/>
    <row r="69" spans="2:21">
      <c r="B69" s="27" t="s">
        <v>1198</v>
      </c>
      <c r="C69" s="27" t="s">
        <v>74</v>
      </c>
      <c r="D69" s="27" t="s">
        <v>35</v>
      </c>
      <c r="E69" s="27" t="s">
        <v>77</v>
      </c>
      <c r="F69" s="27" t="s">
        <v>160</v>
      </c>
      <c r="G69" s="27" t="s">
        <v>27</v>
      </c>
      <c r="H69" s="27"/>
      <c r="I69" s="27"/>
      <c r="J69" s="30" t="s">
        <v>78</v>
      </c>
      <c r="K69" s="33" t="s">
        <v>79</v>
      </c>
      <c r="L69" s="33" t="s">
        <v>67</v>
      </c>
      <c r="M69" s="86" t="s">
        <v>80</v>
      </c>
      <c r="N69" s="89" t="s">
        <v>78</v>
      </c>
      <c r="P69" s="142" t="s">
        <v>340</v>
      </c>
      <c r="U69" s="1" t="s">
        <v>377</v>
      </c>
    </row>
    <row r="70" spans="2:21">
      <c r="B70" t="s">
        <v>17</v>
      </c>
      <c r="C70" s="2">
        <f>'Production - Industry shares'!E97/'Production - Industry shares'!E$104*('Production - Industry shares'!$E$104/'Production - Industry shares'!$K$104)</f>
        <v>0.17998435543848662</v>
      </c>
      <c r="D70" s="2">
        <v>0</v>
      </c>
      <c r="E70" s="2">
        <v>0</v>
      </c>
      <c r="F70" s="2">
        <f>'Production - Industry shares'!I97/'Production - Industry shares'!I$104*('Production - Industry shares'!$I$104/'Production - Industry shares'!$K$104)</f>
        <v>2.2483769940768793E-3</v>
      </c>
      <c r="G70" s="2">
        <f>'Production - Industry shares'!J97/'Production - Industry shares'!J$104*('Production - Industry shares'!$J$104/'Production - Industry shares'!$K$104)</f>
        <v>6.4757760963738671E-3</v>
      </c>
      <c r="H70" s="188"/>
      <c r="I70" s="2"/>
      <c r="J70" s="31">
        <f>SUM(C70:I70)</f>
        <v>0.18870850852893736</v>
      </c>
      <c r="K70" s="438">
        <f>'Yearly Demand - BTX'!$N$16*'Demand - BTX'!J70</f>
        <v>416037.85495538352</v>
      </c>
      <c r="L70" s="470">
        <f>$L$77</f>
        <v>-6.8456155150002918E-3</v>
      </c>
      <c r="M70" s="87">
        <f>K70*(1+L70)^30</f>
        <v>338560.10074494488</v>
      </c>
      <c r="N70" s="90">
        <f>M70/M$77</f>
        <v>0.18870850852893736</v>
      </c>
      <c r="P70" s="50" t="s">
        <v>1200</v>
      </c>
    </row>
    <row r="71" spans="2:21">
      <c r="B71" t="s">
        <v>19</v>
      </c>
      <c r="C71" s="2">
        <f>'Production - Industry shares'!E98/'Production - Industry shares'!E$104*('Production - Industry shares'!$E$104/'Production - Industry shares'!$K$104)</f>
        <v>0.17215894868029161</v>
      </c>
      <c r="D71" s="2">
        <v>0</v>
      </c>
      <c r="E71" s="2">
        <v>0</v>
      </c>
      <c r="F71" s="2">
        <f>'Production - Industry shares'!I98/'Production - Industry shares'!I$104*('Production - Industry shares'!$I$104/'Production - Industry shares'!$K$104)</f>
        <v>2.6980523928922546E-2</v>
      </c>
      <c r="G71" s="2">
        <f>'Production - Industry shares'!J98/'Production - Industry shares'!J$104*('Production - Industry shares'!$J$104/'Production - Industry shares'!$K$104)</f>
        <v>3.2378880481869335E-2</v>
      </c>
      <c r="H71" s="236"/>
      <c r="I71" s="2"/>
      <c r="J71" s="31">
        <f>SUM(C71:I71)</f>
        <v>0.23151835309108348</v>
      </c>
      <c r="K71" s="438">
        <f>'Yearly Demand - BTX'!$N$16*'Demand - BTX'!J71</f>
        <v>510418.95118389576</v>
      </c>
      <c r="L71" s="470">
        <f t="shared" ref="L71:L76" si="13">$L$77</f>
        <v>-6.8456155150002918E-3</v>
      </c>
      <c r="M71" s="87">
        <f t="shared" ref="M71:M76" si="14">K71*(1+L71)^30</f>
        <v>415364.82672587805</v>
      </c>
      <c r="N71" s="90">
        <f t="shared" ref="N71:N76" si="15">M71/M$77</f>
        <v>0.23151835309108348</v>
      </c>
      <c r="P71" s="50" t="s">
        <v>1201</v>
      </c>
      <c r="U71" s="156" t="s">
        <v>378</v>
      </c>
    </row>
    <row r="72" spans="2:21">
      <c r="B72" t="s">
        <v>21</v>
      </c>
      <c r="C72" s="2">
        <f>'Production - Industry shares'!E99/'Production - Industry shares'!E$104*('Production - Industry shares'!$E$104/'Production - Industry shares'!$K$104)</f>
        <v>0</v>
      </c>
      <c r="D72" s="2">
        <v>0</v>
      </c>
      <c r="E72" s="2">
        <v>0</v>
      </c>
      <c r="F72" s="2">
        <f>'Production - Industry shares'!I99/'Production - Industry shares'!I$104*('Production - Industry shares'!$I$104/'Production - Industry shares'!$K$104)</f>
        <v>1.7987015952615034E-2</v>
      </c>
      <c r="G72" s="2">
        <f>'Production - Industry shares'!J99/'Production - Industry shares'!J$104*('Production - Industry shares'!$J$104/'Production - Industry shares'!$K$104)</f>
        <v>9.0660865349234135E-2</v>
      </c>
      <c r="H72" s="236"/>
      <c r="I72" s="2"/>
      <c r="J72" s="31">
        <f t="shared" ref="J72:J76" si="16">SUM(C72:I72)</f>
        <v>0.10864788130184917</v>
      </c>
      <c r="K72" s="438">
        <f>'Yearly Demand - BTX'!$N$16*'Demand - BTX'!J72</f>
        <v>239531.49666983375</v>
      </c>
      <c r="L72" s="470">
        <f t="shared" si="13"/>
        <v>-6.8456155150002918E-3</v>
      </c>
      <c r="M72" s="87">
        <f t="shared" si="14"/>
        <v>194924.10769405388</v>
      </c>
      <c r="N72" s="90">
        <f t="shared" si="15"/>
        <v>0.10864788130184917</v>
      </c>
      <c r="P72" s="50" t="s">
        <v>1201</v>
      </c>
    </row>
    <row r="73" spans="2:21">
      <c r="B73" t="s">
        <v>23</v>
      </c>
      <c r="C73" s="2">
        <f>'Production - Industry shares'!E100/'Production - Industry shares'!E$104*('Production - Industry shares'!$E$104/'Production - Industry shares'!$K$104)</f>
        <v>4.6952440549170436E-2</v>
      </c>
      <c r="D73" s="2">
        <v>0</v>
      </c>
      <c r="E73" s="2">
        <v>0</v>
      </c>
      <c r="F73" s="2">
        <f>'Production - Industry shares'!I100/'Production - Industry shares'!I$104*('Production - Industry shares'!$I$104/'Production - Industry shares'!$K$104)</f>
        <v>4.4967539881537585E-3</v>
      </c>
      <c r="G73" s="2">
        <f>'Production - Industry shares'!J100/'Production - Industry shares'!J$104*('Production - Industry shares'!$J$104/'Production - Industry shares'!$K$104)</f>
        <v>6.475776096373867E-2</v>
      </c>
      <c r="H73" s="236"/>
      <c r="I73" s="2"/>
      <c r="J73" s="31">
        <f t="shared" si="16"/>
        <v>0.11620695550106286</v>
      </c>
      <c r="K73" s="438">
        <f>'Yearly Demand - BTX'!$N$16*'Demand - BTX'!J73</f>
        <v>256196.67536158944</v>
      </c>
      <c r="L73" s="470">
        <f t="shared" si="13"/>
        <v>-6.8456155150002918E-3</v>
      </c>
      <c r="M73" s="87">
        <f t="shared" si="14"/>
        <v>208485.76923424809</v>
      </c>
      <c r="N73" s="90">
        <f t="shared" si="15"/>
        <v>0.11620695550106287</v>
      </c>
      <c r="P73" s="50" t="s">
        <v>343</v>
      </c>
    </row>
    <row r="74" spans="2:21">
      <c r="B74" t="s">
        <v>26</v>
      </c>
      <c r="C74" s="2">
        <f>'Production - Industry shares'!E101/'Production - Industry shares'!E$104*('Production - Industry shares'!$E$104/'Production - Industry shares'!$K$104)</f>
        <v>0.1408573216475113</v>
      </c>
      <c r="D74" s="2">
        <v>0</v>
      </c>
      <c r="E74" s="2">
        <v>0</v>
      </c>
      <c r="F74" s="2">
        <f>'Production - Industry shares'!I101/'Production - Industry shares'!I$104*('Production - Industry shares'!$I$104/'Production - Industry shares'!$K$104)</f>
        <v>1.1241884970384395E-2</v>
      </c>
      <c r="G74" s="2">
        <f>'Production - Industry shares'!J101/'Production - Industry shares'!J$104*('Production - Industry shares'!$J$104/'Production - Industry shares'!$K$104)</f>
        <v>1.2951552192747734E-2</v>
      </c>
      <c r="H74" s="236"/>
      <c r="I74" s="2"/>
      <c r="J74" s="31">
        <f>SUM(C74:I74)</f>
        <v>0.16505075881064343</v>
      </c>
      <c r="K74" s="438">
        <f>'Yearly Demand - BTX'!$N$16*'Demand - BTX'!J74</f>
        <v>363880.59123369481</v>
      </c>
      <c r="L74" s="470">
        <f t="shared" si="13"/>
        <v>-6.8456155150002918E-3</v>
      </c>
      <c r="M74" s="87">
        <f t="shared" si="14"/>
        <v>296115.96194875456</v>
      </c>
      <c r="N74" s="90">
        <f t="shared" si="15"/>
        <v>0.16505075881064343</v>
      </c>
      <c r="P74" s="50" t="s">
        <v>1200</v>
      </c>
      <c r="U74" s="156"/>
    </row>
    <row r="75" spans="2:21">
      <c r="B75" t="s">
        <v>362</v>
      </c>
      <c r="C75" s="2">
        <f>'Production - Industry shares'!E102/'Production - Industry shares'!E$104*('Production - Industry shares'!$E$104/'Production - Industry shares'!$K$104)</f>
        <v>0</v>
      </c>
      <c r="D75" s="2">
        <v>0</v>
      </c>
      <c r="E75" s="6">
        <f>'Production - Industry shares'!L102/'Production - Industry shares'!L104</f>
        <v>0</v>
      </c>
      <c r="F75" s="2">
        <f>'Production - Industry shares'!I102/'Production - Industry shares'!I$104*('Production - Industry shares'!$I$104/'Production - Industry shares'!$K$104)</f>
        <v>0</v>
      </c>
      <c r="G75" s="2">
        <f>'Production - Industry shares'!J102/'Production - Industry shares'!J$104*('Production - Industry shares'!$J$104/'Production - Industry shares'!$K$104)</f>
        <v>0</v>
      </c>
      <c r="H75" s="236"/>
      <c r="I75" s="22"/>
      <c r="J75" s="31">
        <f>SUM(C75:I75)</f>
        <v>0</v>
      </c>
      <c r="K75" s="438">
        <f>'Yearly Demand - BTX'!$N$16*'Demand - BTX'!J75</f>
        <v>0</v>
      </c>
      <c r="L75" s="470">
        <f t="shared" si="13"/>
        <v>-6.8456155150002918E-3</v>
      </c>
      <c r="M75" s="87">
        <f t="shared" si="14"/>
        <v>0</v>
      </c>
      <c r="N75" s="90">
        <f t="shared" si="15"/>
        <v>0</v>
      </c>
      <c r="P75" s="50" t="s">
        <v>1202</v>
      </c>
      <c r="U75" s="156" t="s">
        <v>572</v>
      </c>
    </row>
    <row r="76" spans="2:21">
      <c r="B76" t="s">
        <v>27</v>
      </c>
      <c r="C76" s="2">
        <f>'Production - Industry shares'!E103/'Production - Industry shares'!E$104*('Production - Industry shares'!$E$104/'Production - Industry shares'!$K$104)</f>
        <v>5.4777847307365506E-2</v>
      </c>
      <c r="D76" s="2">
        <v>0</v>
      </c>
      <c r="E76" s="2">
        <v>0</v>
      </c>
      <c r="F76" s="2">
        <f>'Production - Industry shares'!I103/'Production - Industry shares'!I$104*('Production - Industry shares'!$I$104/'Production - Industry shares'!$K$104)</f>
        <v>3.1477277917076302E-2</v>
      </c>
      <c r="G76" s="2">
        <f>'Production - Industry shares'!J103/'Production - Industry shares'!J$104*('Production - Industry shares'!$J$104/'Production - Industry shares'!$K$104)</f>
        <v>0.10361241754198187</v>
      </c>
      <c r="H76" s="236"/>
      <c r="I76" s="2"/>
      <c r="J76" s="31">
        <f t="shared" si="16"/>
        <v>0.1898675427664237</v>
      </c>
      <c r="K76" s="438">
        <f>'Yearly Demand - BTX'!$N$16*'Demand - BTX'!J76</f>
        <v>418593.12986981444</v>
      </c>
      <c r="L76" s="470">
        <f t="shared" si="13"/>
        <v>-6.8456155150002918E-3</v>
      </c>
      <c r="M76" s="87">
        <f t="shared" si="14"/>
        <v>340639.51280362293</v>
      </c>
      <c r="N76" s="90">
        <f t="shared" si="15"/>
        <v>0.18986754276642373</v>
      </c>
      <c r="P76" s="50" t="s">
        <v>343</v>
      </c>
      <c r="U76" s="156" t="s">
        <v>379</v>
      </c>
    </row>
    <row r="77" spans="2:21" ht="15.5" thickBot="1">
      <c r="B77" s="28" t="s">
        <v>78</v>
      </c>
      <c r="C77" s="29">
        <f>SUM(C70:C76)</f>
        <v>0.59473091362282537</v>
      </c>
      <c r="D77" s="29">
        <f>SUM(D70:D76)</f>
        <v>0</v>
      </c>
      <c r="E77" s="29">
        <f t="shared" ref="E77:G77" si="17">SUM(E70:E76)</f>
        <v>0</v>
      </c>
      <c r="F77" s="29">
        <f t="shared" si="17"/>
        <v>9.4431833751228919E-2</v>
      </c>
      <c r="G77" s="29">
        <f t="shared" si="17"/>
        <v>0.31083725262594564</v>
      </c>
      <c r="H77" s="237"/>
      <c r="I77" s="29"/>
      <c r="J77" s="235">
        <f>SUM(C77:I77)</f>
        <v>0.99999999999999989</v>
      </c>
      <c r="K77" s="35">
        <f>SUM(K70:K76)</f>
        <v>2204658.6992742117</v>
      </c>
      <c r="L77" s="38">
        <f>'Yearly Demand - BTX'!AT3</f>
        <v>-6.8456155150002918E-3</v>
      </c>
      <c r="M77" s="88">
        <f>K77*(1+L77)^30</f>
        <v>1794090.2791515023</v>
      </c>
      <c r="N77" s="91">
        <f>SUM(N70:N76)</f>
        <v>1.0000000000000002</v>
      </c>
    </row>
    <row r="78" spans="2:21" ht="16.25" thickTop="1" thickBot="1">
      <c r="M78" s="429">
        <f>SUM(M70:M76)</f>
        <v>1794090.2791515023</v>
      </c>
    </row>
    <row r="79" spans="2:21">
      <c r="B79" s="27" t="s">
        <v>1199</v>
      </c>
      <c r="C79" s="27" t="s">
        <v>74</v>
      </c>
      <c r="D79" s="27" t="s">
        <v>35</v>
      </c>
      <c r="E79" s="27" t="s">
        <v>77</v>
      </c>
      <c r="F79" s="27" t="s">
        <v>160</v>
      </c>
      <c r="G79" s="27" t="s">
        <v>27</v>
      </c>
      <c r="H79" s="27"/>
      <c r="I79" s="27"/>
      <c r="J79" s="30" t="s">
        <v>78</v>
      </c>
      <c r="K79" s="33" t="s">
        <v>79</v>
      </c>
      <c r="L79" s="33" t="s">
        <v>67</v>
      </c>
      <c r="M79" s="86" t="s">
        <v>80</v>
      </c>
      <c r="N79" s="89" t="s">
        <v>78</v>
      </c>
      <c r="P79" s="142" t="s">
        <v>340</v>
      </c>
      <c r="U79" s="1" t="s">
        <v>377</v>
      </c>
    </row>
    <row r="80" spans="2:21">
      <c r="B80" t="s">
        <v>17</v>
      </c>
      <c r="C80" s="2">
        <f>'Production - Industry shares'!E111/'Production - Industry shares'!E$118*('Production - Industry shares'!$E$118/('Production - Industry shares'!$K$118))</f>
        <v>5.2383678303824177E-2</v>
      </c>
      <c r="D80" s="2">
        <f>'Production - Industry shares'!G111/'Production - Industry shares'!G$118*('Production - Industry shares'!$G$118/('Production - Industry shares'!$K$118))</f>
        <v>8.777310881379656E-2</v>
      </c>
      <c r="E80" s="2">
        <v>0</v>
      </c>
      <c r="F80" s="2">
        <f>'Production - Industry shares'!I111/'Production - Industry shares'!I$118*('Production - Industry shares'!I$118/('Production - Industry shares'!$K$118))</f>
        <v>3.36770861264599E-3</v>
      </c>
      <c r="G80" s="2">
        <f>'Production - Industry shares'!J111/'Production - Industry shares'!J$118*('Production - Industry shares'!J$118/('Production - Industry shares'!$K$118))</f>
        <v>1.2451859081862336E-2</v>
      </c>
      <c r="H80" s="188"/>
      <c r="I80" s="2"/>
      <c r="J80" s="31">
        <f>K80/$K$87</f>
        <v>0.10695267663984627</v>
      </c>
      <c r="K80" s="438">
        <f>'Production - Industry shares'!L111</f>
        <v>127406.95685615994</v>
      </c>
      <c r="L80" s="470">
        <f>$L$77</f>
        <v>-6.8456155150002918E-3</v>
      </c>
      <c r="M80" s="474">
        <f>K80*(1+L80)^30</f>
        <v>103680.25802232396</v>
      </c>
      <c r="N80" s="90">
        <f>M80/M$87</f>
        <v>0.10695267663984626</v>
      </c>
      <c r="P80" s="50" t="s">
        <v>341</v>
      </c>
    </row>
    <row r="81" spans="2:21">
      <c r="B81" t="s">
        <v>19</v>
      </c>
      <c r="C81" s="2">
        <f>'Production - Industry shares'!E112/'Production - Industry shares'!E$118*('Production - Industry shares'!$E$118/('Production - Industry shares'!$K$118))</f>
        <v>5.0106127073223129E-2</v>
      </c>
      <c r="D81" s="2">
        <f>'Production - Industry shares'!G112/'Production - Industry shares'!G$118*('Production - Industry shares'!$G$118/('Production - Industry shares'!$K$118))</f>
        <v>0</v>
      </c>
      <c r="E81" s="2">
        <v>0</v>
      </c>
      <c r="F81" s="2">
        <f>'Production - Industry shares'!I112/'Production - Industry shares'!I$118*('Production - Industry shares'!I$118/('Production - Industry shares'!$K$118))</f>
        <v>4.0412503351751873E-2</v>
      </c>
      <c r="G81" s="2">
        <f>'Production - Industry shares'!J112/'Production - Industry shares'!J$118*('Production - Industry shares'!J$118/('Production - Industry shares'!$K$118))</f>
        <v>6.2259295409311681E-2</v>
      </c>
      <c r="H81" s="236"/>
      <c r="I81" s="2"/>
      <c r="J81" s="31">
        <f t="shared" ref="J81:J86" si="18">K81/$K$87</f>
        <v>0.10475952024357892</v>
      </c>
      <c r="K81" s="438">
        <f>'Production - Industry shares'!L112</f>
        <v>124794.36789497873</v>
      </c>
      <c r="L81" s="470">
        <f t="shared" ref="L81:L86" si="19">$L$77</f>
        <v>-6.8456155150002918E-3</v>
      </c>
      <c r="M81" s="474">
        <f t="shared" ref="M81:M86" si="20">K81*(1+L81)^30</f>
        <v>101554.20537743304</v>
      </c>
      <c r="N81" s="90">
        <f t="shared" ref="N81:N86" si="21">M81/M$87</f>
        <v>0.10475952024357892</v>
      </c>
      <c r="P81" s="50" t="s">
        <v>342</v>
      </c>
      <c r="U81" s="156" t="s">
        <v>378</v>
      </c>
    </row>
    <row r="82" spans="2:21">
      <c r="B82" t="s">
        <v>21</v>
      </c>
      <c r="C82" s="2">
        <f>'Production - Industry shares'!E113/'Production - Industry shares'!E$118*('Production - Industry shares'!$E$118/('Production - Industry shares'!$K$118))</f>
        <v>0</v>
      </c>
      <c r="D82" s="2">
        <f>'Production - Industry shares'!G113/'Production - Industry shares'!G$118*('Production - Industry shares'!$G$118/('Production - Industry shares'!$K$118))</f>
        <v>0</v>
      </c>
      <c r="E82" s="2">
        <v>0</v>
      </c>
      <c r="F82" s="2">
        <f>'Production - Industry shares'!I113/'Production - Industry shares'!I$118*('Production - Industry shares'!I$118/('Production - Industry shares'!$K$118))</f>
        <v>2.694166890116792E-2</v>
      </c>
      <c r="G82" s="2">
        <f>'Production - Industry shares'!J113/'Production - Industry shares'!J$118*('Production - Industry shares'!J$118/('Production - Industry shares'!$K$118))</f>
        <v>0.1743260271460727</v>
      </c>
      <c r="H82" s="236"/>
      <c r="I82" s="2"/>
      <c r="J82" s="31">
        <f t="shared" si="18"/>
        <v>0.13800885935124749</v>
      </c>
      <c r="K82" s="438">
        <f>'Production - Industry shares'!L113</f>
        <v>164402.51278930038</v>
      </c>
      <c r="L82" s="470">
        <f t="shared" si="19"/>
        <v>-6.8456155150002918E-3</v>
      </c>
      <c r="M82" s="474">
        <f t="shared" si="20"/>
        <v>133786.21832053407</v>
      </c>
      <c r="N82" s="90">
        <f t="shared" si="21"/>
        <v>0.13800885935124749</v>
      </c>
      <c r="P82" s="50" t="s">
        <v>342</v>
      </c>
    </row>
    <row r="83" spans="2:21">
      <c r="B83" t="s">
        <v>23</v>
      </c>
      <c r="C83" s="2">
        <f>'Production - Industry shares'!E114/'Production - Industry shares'!E$118*('Production - Industry shares'!$E$118/('Production - Industry shares'!$K$118))</f>
        <v>1.3665307383606308E-2</v>
      </c>
      <c r="D83" s="2">
        <f>'Production - Industry shares'!G114/'Production - Industry shares'!G$118*('Production - Industry shares'!$G$118/('Production - Industry shares'!$K$118))</f>
        <v>0</v>
      </c>
      <c r="E83" s="2">
        <v>0</v>
      </c>
      <c r="F83" s="2">
        <f>'Production - Industry shares'!I114/'Production - Industry shares'!I$118*('Production - Industry shares'!I$118/('Production - Industry shares'!$K$118))</f>
        <v>6.73541722529198E-3</v>
      </c>
      <c r="G83" s="2">
        <f>'Production - Industry shares'!J114/'Production - Industry shares'!J$118*('Production - Industry shares'!J$118/('Production - Industry shares'!$K$118))</f>
        <v>0.12451859081862336</v>
      </c>
      <c r="H83" s="236"/>
      <c r="I83" s="2"/>
      <c r="J83" s="31">
        <f t="shared" si="18"/>
        <v>9.9370886699182787E-2</v>
      </c>
      <c r="K83" s="438">
        <f>'Production - Industry shares'!L114</f>
        <v>118375.17930546425</v>
      </c>
      <c r="L83" s="470">
        <f t="shared" si="19"/>
        <v>-6.8456155150002918E-3</v>
      </c>
      <c r="M83" s="474">
        <f t="shared" si="20"/>
        <v>96330.447227348617</v>
      </c>
      <c r="N83" s="90">
        <f t="shared" si="21"/>
        <v>9.9370886699182787E-2</v>
      </c>
      <c r="P83" s="50" t="s">
        <v>343</v>
      </c>
    </row>
    <row r="84" spans="2:21">
      <c r="B84" t="s">
        <v>26</v>
      </c>
      <c r="C84" s="2">
        <f>'Production - Industry shares'!E115/'Production - Industry shares'!E$118*('Production - Industry shares'!$E$118/('Production - Industry shares'!$K$118))</f>
        <v>4.0995922150818931E-2</v>
      </c>
      <c r="D84" s="2">
        <f>'Production - Industry shares'!G115/'Production - Industry shares'!G$118*('Production - Industry shares'!$G$118/('Production - Industry shares'!$K$118))</f>
        <v>0</v>
      </c>
      <c r="E84" s="2">
        <v>0</v>
      </c>
      <c r="F84" s="2">
        <f>'Production - Industry shares'!I115/'Production - Industry shares'!I$118*('Production - Industry shares'!I$118/('Production - Industry shares'!$K$118))</f>
        <v>1.683854306322995E-2</v>
      </c>
      <c r="G84" s="2">
        <f>'Production - Industry shares'!J115/'Production - Industry shares'!J$118*('Production - Industry shares'!J$118/('Production - Industry shares'!$K$118))</f>
        <v>2.4903718163724671E-2</v>
      </c>
      <c r="H84" s="236"/>
      <c r="I84" s="2"/>
      <c r="J84" s="31">
        <f t="shared" si="18"/>
        <v>5.6733407978599562E-2</v>
      </c>
      <c r="K84" s="438">
        <f>'Production - Industry shares'!L115</f>
        <v>67583.44989319703</v>
      </c>
      <c r="L84" s="470">
        <f t="shared" si="19"/>
        <v>-6.8456155150002918E-3</v>
      </c>
      <c r="M84" s="474">
        <f t="shared" si="20"/>
        <v>54997.542488015948</v>
      </c>
      <c r="N84" s="90">
        <f t="shared" si="21"/>
        <v>5.6733407978599562E-2</v>
      </c>
      <c r="P84" s="50" t="s">
        <v>341</v>
      </c>
      <c r="U84" s="156"/>
    </row>
    <row r="85" spans="2:21">
      <c r="B85" t="s">
        <v>362</v>
      </c>
      <c r="C85" s="2">
        <f>'Production - Industry shares'!E116/'Production - Industry shares'!E$118*('Production - Industry shares'!$E$118/('Production - Industry shares'!$K$118))</f>
        <v>0</v>
      </c>
      <c r="D85" s="2">
        <f>'Production - Industry shares'!G116/'Production - Industry shares'!G$118*('Production - Industry shares'!$G$118/('Production - Industry shares'!$K$118))</f>
        <v>0</v>
      </c>
      <c r="E85" s="37">
        <f>'Production - Industry shares'!L116/'Production - Industry shares'!L118</f>
        <v>1.259486063202713E-2</v>
      </c>
      <c r="F85" s="2">
        <f>'Production - Industry shares'!I116/'Production - Industry shares'!I$118*('Production - Industry shares'!I$118/('Production - Industry shares'!$K$118))</f>
        <v>0</v>
      </c>
      <c r="G85" s="2">
        <f>'Production - Industry shares'!J116/'Production - Industry shares'!J$118*('Production - Industry shares'!J$118/('Production - Industry shares'!$K$118))</f>
        <v>0</v>
      </c>
      <c r="H85" s="236"/>
      <c r="I85" s="22"/>
      <c r="J85" s="31">
        <f t="shared" si="18"/>
        <v>8.746430994463282E-3</v>
      </c>
      <c r="K85" s="438">
        <f>'Production - Industry shares'!L116</f>
        <v>10419.151641332548</v>
      </c>
      <c r="L85" s="470">
        <f t="shared" si="19"/>
        <v>-6.8456155150002918E-3</v>
      </c>
      <c r="M85" s="474">
        <f t="shared" si="20"/>
        <v>8478.8174618021239</v>
      </c>
      <c r="N85" s="90">
        <f t="shared" si="21"/>
        <v>8.746430994463282E-3</v>
      </c>
      <c r="P85" s="50" t="s">
        <v>344</v>
      </c>
      <c r="U85" s="156" t="s">
        <v>572</v>
      </c>
    </row>
    <row r="86" spans="2:21">
      <c r="B86" t="s">
        <v>27</v>
      </c>
      <c r="C86" s="2">
        <f>'Production - Industry shares'!E117/'Production - Industry shares'!E$118*('Production - Industry shares'!$E$118/('Production - Industry shares'!$K$118))</f>
        <v>1.5942858614207356E-2</v>
      </c>
      <c r="D86" s="2">
        <f>'Production - Industry shares'!G117/'Production - Industry shares'!G$118*('Production - Industry shares'!$G$118/('Production - Industry shares'!$K$118))</f>
        <v>0</v>
      </c>
      <c r="E86" s="2">
        <v>0</v>
      </c>
      <c r="F86" s="2">
        <f>'Production - Industry shares'!I117/'Production - Industry shares'!I$118*('Production - Industry shares'!I$118/('Production - Industry shares'!$K$118))</f>
        <v>4.7147920577043853E-2</v>
      </c>
      <c r="G86" s="2">
        <f>'Production - Industry shares'!J117/'Production - Industry shares'!J$118*('Production - Industry shares'!J$118/('Production - Industry shares'!$K$118))</f>
        <v>0.19922974530979737</v>
      </c>
      <c r="H86" s="236"/>
      <c r="I86" s="2"/>
      <c r="J86" s="31">
        <f t="shared" si="18"/>
        <v>0.48542821809308162</v>
      </c>
      <c r="K86" s="438">
        <f>'Production - Industry shares'!L117+'Demand - BTX'!M4</f>
        <v>578264.46221268456</v>
      </c>
      <c r="L86" s="470">
        <f t="shared" si="19"/>
        <v>-6.8456155150002918E-3</v>
      </c>
      <c r="M86" s="474">
        <f t="shared" si="20"/>
        <v>470575.62731868064</v>
      </c>
      <c r="N86" s="90">
        <f t="shared" si="21"/>
        <v>0.48542821809308162</v>
      </c>
      <c r="P86" s="50" t="s">
        <v>343</v>
      </c>
      <c r="U86" s="156" t="s">
        <v>379</v>
      </c>
    </row>
    <row r="87" spans="2:21" ht="15.5" thickBot="1">
      <c r="B87" s="28" t="s">
        <v>78</v>
      </c>
      <c r="C87" s="29">
        <f>SUM(C80:C86)</f>
        <v>0.17309389352567989</v>
      </c>
      <c r="D87" s="29">
        <f>SUM(D80:D86)</f>
        <v>8.777310881379656E-2</v>
      </c>
      <c r="E87" s="237">
        <f t="shared" ref="E87" si="22">SUM(E80:E86)</f>
        <v>1.259486063202713E-2</v>
      </c>
      <c r="F87" s="29">
        <f t="shared" ref="F87" si="23">SUM(F80:F86)</f>
        <v>0.14144376173113157</v>
      </c>
      <c r="G87" s="29">
        <f t="shared" ref="G87" si="24">SUM(G80:G86)</f>
        <v>0.59768923592939216</v>
      </c>
      <c r="H87" s="237"/>
      <c r="I87" s="29"/>
      <c r="J87" s="235">
        <f>SUM(J80:J86)</f>
        <v>1</v>
      </c>
      <c r="K87" s="469">
        <f>SUM(K80:K86)</f>
        <v>1191246.0805931175</v>
      </c>
      <c r="L87" s="38">
        <f>L77</f>
        <v>-6.8456155150002918E-3</v>
      </c>
      <c r="M87" s="475">
        <f>K87*(1+L87)^30</f>
        <v>969403.11621613847</v>
      </c>
      <c r="N87" s="91">
        <f>SUM(N80:N86)</f>
        <v>1</v>
      </c>
    </row>
    <row r="88" spans="2:21" ht="16.25" thickTop="1" thickBot="1">
      <c r="M88" s="429">
        <f>SUM(M80:M86)</f>
        <v>969403.11621613835</v>
      </c>
    </row>
    <row r="89" spans="2:21">
      <c r="B89" s="27" t="s">
        <v>1203</v>
      </c>
      <c r="C89" s="27" t="s">
        <v>74</v>
      </c>
      <c r="D89" s="27" t="s">
        <v>35</v>
      </c>
      <c r="E89" s="27" t="s">
        <v>77</v>
      </c>
      <c r="F89" s="27" t="s">
        <v>160</v>
      </c>
      <c r="G89" s="27" t="s">
        <v>27</v>
      </c>
      <c r="H89" s="27"/>
      <c r="I89" s="27"/>
      <c r="J89" s="30" t="s">
        <v>78</v>
      </c>
      <c r="K89" s="33" t="s">
        <v>79</v>
      </c>
      <c r="L89" s="33" t="s">
        <v>67</v>
      </c>
      <c r="M89" s="86" t="s">
        <v>80</v>
      </c>
      <c r="N89" s="89" t="s">
        <v>78</v>
      </c>
      <c r="P89" s="142" t="s">
        <v>340</v>
      </c>
      <c r="U89" s="1" t="s">
        <v>377</v>
      </c>
    </row>
    <row r="90" spans="2:21">
      <c r="B90" t="s">
        <v>17</v>
      </c>
      <c r="C90" s="22">
        <v>0</v>
      </c>
      <c r="D90" s="22">
        <f>'Production - Industry shares'!G125/'Production - Industry shares'!G$132*('Production - Industry shares'!G$132/'Production - Industry shares'!$K$132)</f>
        <v>0.58651025294598613</v>
      </c>
      <c r="E90" s="22">
        <v>0</v>
      </c>
      <c r="F90" s="22">
        <v>0</v>
      </c>
      <c r="G90" s="22">
        <f>'Production - Industry shares'!J125/'Production - Industry shares'!J$132*('Production - Industry shares'!J$132/'Production - Industry shares'!$K$132)</f>
        <v>8.6143697302919573E-3</v>
      </c>
      <c r="H90" s="188"/>
      <c r="I90" s="2"/>
      <c r="J90" s="31">
        <f>K90/$K$97</f>
        <v>0.58028866828276127</v>
      </c>
      <c r="K90" s="438">
        <f>'Production - Industry shares'!L125</f>
        <v>2342576.0306383162</v>
      </c>
      <c r="L90" s="470">
        <f>$L$77</f>
        <v>-6.8456155150002918E-3</v>
      </c>
      <c r="M90" s="87">
        <f>K90*(1+L90)^30</f>
        <v>1906323.5892816889</v>
      </c>
      <c r="N90" s="90">
        <f>M90/M$97</f>
        <v>0.58028866828276127</v>
      </c>
      <c r="P90" s="50" t="s">
        <v>341</v>
      </c>
    </row>
    <row r="91" spans="2:21">
      <c r="B91" t="s">
        <v>19</v>
      </c>
      <c r="C91" s="22">
        <v>0</v>
      </c>
      <c r="D91" s="22">
        <f>'Production - Industry shares'!G126/'Production - Industry shares'!G$132*('Production - Industry shares'!G$132/'Production - Industry shares'!$K$132)</f>
        <v>0</v>
      </c>
      <c r="E91" s="22">
        <v>0</v>
      </c>
      <c r="F91" s="22">
        <v>0</v>
      </c>
      <c r="G91" s="22">
        <f>'Production - Industry shares'!J126/'Production - Industry shares'!J$132*('Production - Industry shares'!J$132/'Production - Industry shares'!$K$132)</f>
        <v>4.3071848651459785E-2</v>
      </c>
      <c r="H91" s="236"/>
      <c r="I91" s="2"/>
      <c r="J91" s="31">
        <f t="shared" ref="J91:J96" si="25">K91/$K$97</f>
        <v>4.1998103829133535E-2</v>
      </c>
      <c r="K91" s="438">
        <f>'Production - Industry shares'!L126</f>
        <v>169542.77541474818</v>
      </c>
      <c r="L91" s="470">
        <f t="shared" ref="L91:L96" si="26">$L$77</f>
        <v>-6.8456155150002918E-3</v>
      </c>
      <c r="M91" s="87">
        <f t="shared" ref="M91:M96" si="27">K91*(1+L91)^30</f>
        <v>137969.22189003788</v>
      </c>
      <c r="N91" s="90">
        <f t="shared" ref="N91:N96" si="28">M91/M$97</f>
        <v>4.1998103829133535E-2</v>
      </c>
      <c r="P91" s="50" t="s">
        <v>342</v>
      </c>
      <c r="U91" s="156" t="s">
        <v>378</v>
      </c>
    </row>
    <row r="92" spans="2:21">
      <c r="B92" t="s">
        <v>21</v>
      </c>
      <c r="C92" s="22">
        <v>0</v>
      </c>
      <c r="D92" s="22">
        <f>'Production - Industry shares'!G127/'Production - Industry shares'!G$132*('Production - Industry shares'!G$132/'Production - Industry shares'!$K$132)</f>
        <v>0</v>
      </c>
      <c r="E92" s="22">
        <v>0</v>
      </c>
      <c r="F92" s="22">
        <v>0</v>
      </c>
      <c r="G92" s="22">
        <f>'Production - Industry shares'!J127/'Production - Industry shares'!J$132*('Production - Industry shares'!J$132/'Production - Industry shares'!$K$132)</f>
        <v>0.12060117622408739</v>
      </c>
      <c r="H92" s="236"/>
      <c r="I92" s="2"/>
      <c r="J92" s="31">
        <f t="shared" si="25"/>
        <v>0.11759469072157389</v>
      </c>
      <c r="K92" s="438">
        <f>'Production - Industry shares'!L127</f>
        <v>474719.77116129483</v>
      </c>
      <c r="L92" s="470">
        <f t="shared" si="26"/>
        <v>-6.8456155150002918E-3</v>
      </c>
      <c r="M92" s="87">
        <f t="shared" si="27"/>
        <v>386313.82129210606</v>
      </c>
      <c r="N92" s="90">
        <f t="shared" si="28"/>
        <v>0.1175946907215739</v>
      </c>
      <c r="P92" s="50" t="s">
        <v>342</v>
      </c>
    </row>
    <row r="93" spans="2:21">
      <c r="B93" t="s">
        <v>23</v>
      </c>
      <c r="C93" s="22">
        <v>0</v>
      </c>
      <c r="D93" s="22">
        <f>'Production - Industry shares'!G128/'Production - Industry shares'!G$132*('Production - Industry shares'!G$132/'Production - Industry shares'!$K$132)</f>
        <v>0</v>
      </c>
      <c r="E93" s="22">
        <v>0</v>
      </c>
      <c r="F93" s="22">
        <v>0</v>
      </c>
      <c r="G93" s="22">
        <f>'Production - Industry shares'!J128/'Production - Industry shares'!J$132*('Production - Industry shares'!J$132/'Production - Industry shares'!$K$132)</f>
        <v>8.614369730291957E-2</v>
      </c>
      <c r="H93" s="236"/>
      <c r="I93" s="2"/>
      <c r="J93" s="31">
        <f t="shared" si="25"/>
        <v>8.3996207658267069E-2</v>
      </c>
      <c r="K93" s="438">
        <f>'Production - Industry shares'!L128</f>
        <v>339085.55082949635</v>
      </c>
      <c r="L93" s="470">
        <f t="shared" si="26"/>
        <v>-6.8456155150002918E-3</v>
      </c>
      <c r="M93" s="87">
        <f t="shared" si="27"/>
        <v>275938.44378007576</v>
      </c>
      <c r="N93" s="90">
        <f t="shared" si="28"/>
        <v>8.3996207658267069E-2</v>
      </c>
      <c r="P93" s="50" t="s">
        <v>343</v>
      </c>
    </row>
    <row r="94" spans="2:21">
      <c r="B94" t="s">
        <v>26</v>
      </c>
      <c r="C94" s="22">
        <v>0</v>
      </c>
      <c r="D94" s="22">
        <f>'Production - Industry shares'!G129/'Production - Industry shares'!G$132*('Production - Industry shares'!G$132/'Production - Industry shares'!$K$132)</f>
        <v>0</v>
      </c>
      <c r="E94" s="22">
        <v>0</v>
      </c>
      <c r="F94" s="22">
        <v>0</v>
      </c>
      <c r="G94" s="22">
        <f>'Production - Industry shares'!J129/'Production - Industry shares'!J$132*('Production - Industry shares'!J$132/'Production - Industry shares'!$K$132)</f>
        <v>1.7228739460583915E-2</v>
      </c>
      <c r="H94" s="236"/>
      <c r="I94" s="2"/>
      <c r="J94" s="31">
        <f t="shared" si="25"/>
        <v>1.6799241531653419E-2</v>
      </c>
      <c r="K94" s="438">
        <f>'Production - Industry shares'!L129</f>
        <v>67817.110165899285</v>
      </c>
      <c r="L94" s="470">
        <f t="shared" si="26"/>
        <v>-6.8456155150002918E-3</v>
      </c>
      <c r="M94" s="87">
        <f t="shared" si="27"/>
        <v>55187.688756015166</v>
      </c>
      <c r="N94" s="90">
        <f t="shared" si="28"/>
        <v>1.6799241531653419E-2</v>
      </c>
      <c r="P94" s="50" t="s">
        <v>341</v>
      </c>
      <c r="U94" s="156"/>
    </row>
    <row r="95" spans="2:21">
      <c r="B95" t="s">
        <v>362</v>
      </c>
      <c r="C95" s="22">
        <v>0</v>
      </c>
      <c r="D95" s="22">
        <f>'Production - Industry shares'!G130/'Production - Industry shares'!G$132*('Production - Industry shares'!G$132/'Production - Industry shares'!$K$132)</f>
        <v>0</v>
      </c>
      <c r="E95" s="37">
        <f>'Production - Industry shares'!L130/'Production - Industry shares'!L132</f>
        <v>2.4929155723383552E-2</v>
      </c>
      <c r="F95" s="22">
        <v>0</v>
      </c>
      <c r="G95" s="22">
        <f>'Production - Industry shares'!J130/'Production - Industry shares'!J$132*('Production - Industry shares'!J$132/'Production - Industry shares'!$K$132)</f>
        <v>0</v>
      </c>
      <c r="H95" s="236"/>
      <c r="I95" s="22"/>
      <c r="J95" s="31">
        <f t="shared" si="25"/>
        <v>2.4929155723383552E-2</v>
      </c>
      <c r="K95" s="438">
        <f>'Production - Industry shares'!L130</f>
        <v>100636.88273366746</v>
      </c>
      <c r="L95" s="470">
        <f t="shared" si="26"/>
        <v>-6.8456155150002918E-3</v>
      </c>
      <c r="M95" s="87">
        <f t="shared" si="27"/>
        <v>81895.512033686333</v>
      </c>
      <c r="N95" s="90">
        <f t="shared" si="28"/>
        <v>2.4929155723383556E-2</v>
      </c>
      <c r="P95" s="50" t="s">
        <v>344</v>
      </c>
      <c r="U95" s="156" t="s">
        <v>572</v>
      </c>
    </row>
    <row r="96" spans="2:21">
      <c r="B96" t="s">
        <v>27</v>
      </c>
      <c r="C96" s="22">
        <v>0</v>
      </c>
      <c r="D96" s="22">
        <f>'Production - Industry shares'!G131/'Production - Industry shares'!G$132*('Production - Industry shares'!G$132/'Production - Industry shares'!$K$132)</f>
        <v>0</v>
      </c>
      <c r="E96" s="22">
        <v>0</v>
      </c>
      <c r="F96" s="22">
        <v>0</v>
      </c>
      <c r="G96" s="22">
        <f>'Production - Industry shares'!J131/'Production - Industry shares'!J$132*('Production - Industry shares'!J$132/'Production - Industry shares'!$K$132)</f>
        <v>0.13782991568467132</v>
      </c>
      <c r="H96" s="236"/>
      <c r="I96" s="2"/>
      <c r="J96" s="31">
        <f t="shared" si="25"/>
        <v>0.13439393225322735</v>
      </c>
      <c r="K96" s="438">
        <f>'Production - Industry shares'!L131</f>
        <v>542536.88132719428</v>
      </c>
      <c r="L96" s="470">
        <f t="shared" si="26"/>
        <v>-6.8456155150002918E-3</v>
      </c>
      <c r="M96" s="87">
        <f t="shared" si="27"/>
        <v>441501.51004812133</v>
      </c>
      <c r="N96" s="90">
        <f t="shared" si="28"/>
        <v>0.13439393225322735</v>
      </c>
      <c r="P96" s="50" t="s">
        <v>343</v>
      </c>
      <c r="U96" s="156" t="s">
        <v>379</v>
      </c>
    </row>
    <row r="97" spans="2:14" ht="15.5" thickBot="1">
      <c r="B97" s="28" t="s">
        <v>78</v>
      </c>
      <c r="C97" s="29">
        <f>SUM(C90:C96)</f>
        <v>0</v>
      </c>
      <c r="D97" s="29">
        <f>SUM(D90:D96)</f>
        <v>0.58651025294598613</v>
      </c>
      <c r="E97" s="29">
        <f t="shared" ref="E97" si="29">SUM(E90:E96)</f>
        <v>2.4929155723383552E-2</v>
      </c>
      <c r="F97" s="29">
        <f t="shared" ref="F97" si="30">SUM(F90:F96)</f>
        <v>0</v>
      </c>
      <c r="G97" s="29">
        <f t="shared" ref="G97" si="31">SUM(G90:G96)</f>
        <v>0.41348974705401387</v>
      </c>
      <c r="H97" s="237"/>
      <c r="I97" s="29"/>
      <c r="J97" s="235">
        <f>SUM(J90:J96)</f>
        <v>1</v>
      </c>
      <c r="K97" s="35">
        <f>SUM(K90:K96)</f>
        <v>4036915.0022706161</v>
      </c>
      <c r="L97" s="38">
        <f>L87</f>
        <v>-6.8456155150002918E-3</v>
      </c>
      <c r="M97" s="88">
        <f>K97*(1+L97)^30</f>
        <v>3285129.787081731</v>
      </c>
      <c r="N97" s="91">
        <f>SUM(N90:N96)</f>
        <v>1</v>
      </c>
    </row>
    <row r="98" spans="2:14" ht="15.5" thickTop="1">
      <c r="M98" s="429">
        <f>SUM(M90:M96)</f>
        <v>3285129.7870817315</v>
      </c>
    </row>
  </sheetData>
  <mergeCells count="1">
    <mergeCell ref="E66:G66"/>
  </mergeCells>
  <hyperlinks>
    <hyperlink ref="J9" r:id="rId1" xr:uid="{CBCDCC69-452C-40CE-BD9B-0DA6301E2176}"/>
    <hyperlink ref="Y8" r:id="rId2" xr:uid="{00EF798B-B99A-4200-8179-98A19038ADD6}"/>
    <hyperlink ref="AE19" r:id="rId3" xr:uid="{1A68FD0F-27DE-481A-82FF-DAF52A5C74FE}"/>
    <hyperlink ref="AE8" r:id="rId4" xr:uid="{5D481BE0-9919-4789-BF7A-F94B4E049D4A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FCB3-34B6-424D-89E5-5906F124870A}">
  <sheetPr>
    <tabColor theme="7"/>
  </sheetPr>
  <dimension ref="A1:AI48"/>
  <sheetViews>
    <sheetView workbookViewId="0">
      <selection activeCell="H12" sqref="H12"/>
    </sheetView>
  </sheetViews>
  <sheetFormatPr defaultRowHeight="14.75"/>
  <cols>
    <col min="2" max="2" width="34.81640625" customWidth="1"/>
    <col min="4" max="4" width="20" bestFit="1" customWidth="1"/>
    <col min="5" max="5" width="14" customWidth="1"/>
    <col min="6" max="6" width="13.54296875" bestFit="1" customWidth="1"/>
    <col min="7" max="7" width="20" bestFit="1" customWidth="1"/>
    <col min="8" max="22" width="11.453125" customWidth="1"/>
    <col min="23" max="25" width="11.1796875" bestFit="1" customWidth="1"/>
    <col min="26" max="30" width="12" bestFit="1" customWidth="1"/>
    <col min="31" max="34" width="12.1796875" bestFit="1" customWidth="1"/>
  </cols>
  <sheetData>
    <row r="1" spans="1:11">
      <c r="A1" s="1" t="s">
        <v>364</v>
      </c>
    </row>
    <row r="3" spans="1:11">
      <c r="A3" t="s">
        <v>206</v>
      </c>
      <c r="B3" s="5" t="s">
        <v>231</v>
      </c>
    </row>
    <row r="4" spans="1:11" ht="15.5" thickBot="1"/>
    <row r="5" spans="1:11" ht="15.5" thickBot="1">
      <c r="F5" s="67" t="s">
        <v>208</v>
      </c>
    </row>
    <row r="6" spans="1:11" ht="15.5" thickBot="1">
      <c r="B6" s="1" t="s">
        <v>232</v>
      </c>
      <c r="C6" s="50" t="s">
        <v>210</v>
      </c>
      <c r="D6" s="47">
        <v>2.1499999999999999E-4</v>
      </c>
      <c r="E6" s="47">
        <v>2.2000000000000001E-4</v>
      </c>
      <c r="F6" s="67">
        <f>AVERAGE(D6:E6)</f>
        <v>2.175E-4</v>
      </c>
    </row>
    <row r="7" spans="1:11">
      <c r="B7" t="s">
        <v>211</v>
      </c>
      <c r="C7" s="50" t="s">
        <v>212</v>
      </c>
      <c r="D7" s="47">
        <f>18/1000</f>
        <v>1.7999999999999999E-2</v>
      </c>
      <c r="E7" s="47">
        <f>22/1000</f>
        <v>2.1999999999999999E-2</v>
      </c>
      <c r="F7" s="68">
        <f>AVERAGE(D7/D6,E7/E6)</f>
        <v>91.860465116279059</v>
      </c>
      <c r="G7" s="69">
        <f>F7</f>
        <v>91.860465116279059</v>
      </c>
      <c r="K7" s="50" t="s">
        <v>60</v>
      </c>
    </row>
    <row r="8" spans="1:11">
      <c r="B8" t="s">
        <v>233</v>
      </c>
      <c r="C8" s="50" t="s">
        <v>126</v>
      </c>
      <c r="D8" s="70">
        <v>5.0999999999999997E-2</v>
      </c>
      <c r="E8" s="52">
        <v>6.5500000000000003E-2</v>
      </c>
      <c r="F8" s="71">
        <f>AVERAGE(D8,E8)</f>
        <v>5.8249999999999996E-2</v>
      </c>
      <c r="G8" s="72">
        <f>F8*$G$7</f>
        <v>5.3508720930232547</v>
      </c>
      <c r="J8" s="6">
        <f>F8/(F9+F8)</f>
        <v>0.66762177650429799</v>
      </c>
      <c r="K8" s="50" t="s">
        <v>214</v>
      </c>
    </row>
    <row r="9" spans="1:11">
      <c r="B9" t="s">
        <v>234</v>
      </c>
      <c r="C9" s="50" t="s">
        <v>126</v>
      </c>
      <c r="D9" s="51">
        <v>1.4999999999999999E-2</v>
      </c>
      <c r="E9" s="51">
        <v>4.2999999999999997E-2</v>
      </c>
      <c r="F9" s="71">
        <f>AVERAGE(D9,E9)</f>
        <v>2.8999999999999998E-2</v>
      </c>
      <c r="G9" s="72">
        <f t="shared" ref="G9:G11" si="0">F9*$G$7</f>
        <v>2.6639534883720923</v>
      </c>
      <c r="J9" s="6">
        <f>F9/(F8+F9)</f>
        <v>0.33237822349570201</v>
      </c>
      <c r="K9" s="138" t="s">
        <v>216</v>
      </c>
    </row>
    <row r="10" spans="1:11">
      <c r="B10" t="s">
        <v>235</v>
      </c>
      <c r="C10" s="50" t="s">
        <v>126</v>
      </c>
      <c r="D10" s="51">
        <v>0.1</v>
      </c>
      <c r="E10" s="51">
        <v>0.2</v>
      </c>
      <c r="F10" s="71">
        <f t="shared" ref="F10:F11" si="1">AVERAGE(D10,E10)</f>
        <v>0.15000000000000002</v>
      </c>
      <c r="G10" s="72">
        <f t="shared" si="0"/>
        <v>13.779069767441861</v>
      </c>
    </row>
    <row r="11" spans="1:11" ht="15.5" thickBot="1">
      <c r="B11" t="s">
        <v>236</v>
      </c>
      <c r="C11" s="50" t="s">
        <v>126</v>
      </c>
      <c r="D11" s="51">
        <f>1-SUM(D8:D10)</f>
        <v>0.83399999999999996</v>
      </c>
      <c r="E11" s="51">
        <f>1-SUM(E8:E10)</f>
        <v>0.6915</v>
      </c>
      <c r="F11" s="73">
        <f t="shared" si="1"/>
        <v>0.76275000000000004</v>
      </c>
      <c r="G11" s="74">
        <f t="shared" si="0"/>
        <v>70.066569767441862</v>
      </c>
      <c r="J11" t="s">
        <v>237</v>
      </c>
    </row>
    <row r="13" spans="1:11">
      <c r="A13" t="s">
        <v>219</v>
      </c>
    </row>
    <row r="14" spans="1:11">
      <c r="D14" s="1"/>
      <c r="E14" s="1"/>
      <c r="F14" s="1"/>
    </row>
    <row r="15" spans="1:11" ht="15.5" thickBot="1">
      <c r="B15" s="75"/>
      <c r="C15" s="76"/>
      <c r="D15" s="75">
        <v>2020</v>
      </c>
      <c r="E15" s="75">
        <v>2050</v>
      </c>
      <c r="F15" s="77" t="s">
        <v>238</v>
      </c>
      <c r="G15" s="75" t="s">
        <v>67</v>
      </c>
      <c r="I15" s="50" t="s">
        <v>60</v>
      </c>
    </row>
    <row r="16" spans="1:11">
      <c r="B16" t="s">
        <v>239</v>
      </c>
      <c r="C16" s="50" t="s">
        <v>210</v>
      </c>
      <c r="D16" s="514">
        <v>64000</v>
      </c>
      <c r="E16" s="514">
        <v>366000</v>
      </c>
      <c r="F16" s="79">
        <f>6000000/5</f>
        <v>1200000</v>
      </c>
      <c r="G16" s="22">
        <f>(E16/D16)^(1/30)-1</f>
        <v>5.984747719765493E-2</v>
      </c>
      <c r="I16" s="50"/>
    </row>
    <row r="17" spans="2:35">
      <c r="B17" t="s">
        <v>222</v>
      </c>
      <c r="C17" s="50" t="s">
        <v>212</v>
      </c>
      <c r="D17" s="79">
        <f>D16*F7</f>
        <v>5879069.7674418595</v>
      </c>
      <c r="E17" s="79">
        <f>E16*F7</f>
        <v>33620930.232558139</v>
      </c>
      <c r="F17" s="79">
        <f>F16*F7</f>
        <v>110232558.13953488</v>
      </c>
    </row>
    <row r="18" spans="2:35">
      <c r="B18" t="s">
        <v>240</v>
      </c>
      <c r="C18" s="50" t="s">
        <v>212</v>
      </c>
      <c r="D18" s="79">
        <f>(D17+F9)*$F$8</f>
        <v>342455.81564273831</v>
      </c>
      <c r="E18" s="79">
        <f>(E17+F9)*$F$8</f>
        <v>1958419.1877357615</v>
      </c>
      <c r="F18" s="79">
        <f>(F17+F9)*$F$8</f>
        <v>6421046.5133171557</v>
      </c>
    </row>
    <row r="19" spans="2:35" ht="15.5" thickBot="1">
      <c r="B19" s="80" t="s">
        <v>562</v>
      </c>
      <c r="C19" s="81" t="s">
        <v>212</v>
      </c>
      <c r="D19" s="82">
        <f>D17*$F$8*$D$22+D17*$F$9*$D$23</f>
        <v>374044.0558139534</v>
      </c>
      <c r="E19" s="82">
        <f>E17*$F$8*$D$22+E17*$F$9*$D$23</f>
        <v>2139064.4441860463</v>
      </c>
      <c r="F19" s="82">
        <f>F17*$F$8*$D$22+F17*$F$9*$D$23</f>
        <v>7013326.0465116268</v>
      </c>
      <c r="G19" s="79">
        <f>E19-D19</f>
        <v>1765020.388372093</v>
      </c>
    </row>
    <row r="21" spans="2:35" ht="15.5" thickBot="1">
      <c r="B21" s="75" t="s">
        <v>224</v>
      </c>
      <c r="C21" s="75"/>
      <c r="D21" s="75"/>
      <c r="E21" t="s">
        <v>60</v>
      </c>
      <c r="J21" s="62" t="s">
        <v>141</v>
      </c>
      <c r="K21" s="62" t="s">
        <v>616</v>
      </c>
      <c r="L21" s="62" t="s">
        <v>617</v>
      </c>
      <c r="M21" s="62" t="s">
        <v>27</v>
      </c>
    </row>
    <row r="22" spans="2:35">
      <c r="B22" t="s">
        <v>241</v>
      </c>
      <c r="C22" t="s">
        <v>126</v>
      </c>
      <c r="D22" s="52">
        <v>0.8</v>
      </c>
      <c r="E22" s="138" t="s">
        <v>366</v>
      </c>
      <c r="J22" s="51">
        <v>0.7</v>
      </c>
      <c r="K22" s="51">
        <v>0.3</v>
      </c>
      <c r="L22" s="51">
        <v>0</v>
      </c>
      <c r="M22" s="51">
        <v>0</v>
      </c>
    </row>
    <row r="23" spans="2:35">
      <c r="B23" t="s">
        <v>242</v>
      </c>
      <c r="C23" s="50" t="s">
        <v>126</v>
      </c>
      <c r="D23" s="52">
        <v>0.58699999999999997</v>
      </c>
      <c r="E23" s="50" t="s">
        <v>367</v>
      </c>
      <c r="J23" s="51">
        <v>0</v>
      </c>
      <c r="K23" s="51">
        <v>0</v>
      </c>
      <c r="L23" s="51">
        <v>0</v>
      </c>
      <c r="M23" s="51">
        <v>1</v>
      </c>
    </row>
    <row r="24" spans="2:35">
      <c r="B24" t="s">
        <v>799</v>
      </c>
      <c r="C24" s="50" t="s">
        <v>126</v>
      </c>
      <c r="D24" s="52">
        <f>G42*(1-D22)</f>
        <v>5.6139613120269126E-2</v>
      </c>
      <c r="E24" s="50"/>
      <c r="J24" s="51"/>
      <c r="K24" s="51"/>
      <c r="L24" s="51"/>
      <c r="M24" s="51"/>
    </row>
    <row r="25" spans="2:35">
      <c r="D25" s="2">
        <f>(F8*D22+F9*D23)/(F8+F9)</f>
        <v>0.72920343839541546</v>
      </c>
      <c r="J25" s="2">
        <f>($F$8*J22+$F$9*J23)/($F$8+$F$9)</f>
        <v>0.46733524355300854</v>
      </c>
      <c r="K25" s="2">
        <f>($F$8*K22+$F$9*K23)/($F$8+$F$9)</f>
        <v>0.20028653295128937</v>
      </c>
      <c r="L25" s="2">
        <f>($F$8*L22+$F$9*L23)/($F$8+$F$9)</f>
        <v>0</v>
      </c>
      <c r="M25" s="2">
        <f>($F$8*M22+$F$9*M23)/($F$8+$F$9)</f>
        <v>0.33237822349570201</v>
      </c>
      <c r="N25" s="6">
        <f>SUM(J25:M25)</f>
        <v>0.99999999999999989</v>
      </c>
    </row>
    <row r="26" spans="2:35">
      <c r="D26" s="2"/>
    </row>
    <row r="27" spans="2:35" ht="15.5" thickBot="1">
      <c r="B27" s="75"/>
      <c r="C27" s="76"/>
      <c r="D27" s="75">
        <v>2020</v>
      </c>
      <c r="E27" s="75">
        <f>D27+1</f>
        <v>2021</v>
      </c>
      <c r="F27" s="75">
        <f t="shared" ref="F27:AH27" si="2">E27+1</f>
        <v>2022</v>
      </c>
      <c r="G27" s="75">
        <f t="shared" si="2"/>
        <v>2023</v>
      </c>
      <c r="H27" s="75">
        <f t="shared" si="2"/>
        <v>2024</v>
      </c>
      <c r="I27" s="75">
        <f t="shared" si="2"/>
        <v>2025</v>
      </c>
      <c r="J27" s="75">
        <f t="shared" si="2"/>
        <v>2026</v>
      </c>
      <c r="K27" s="75">
        <f t="shared" si="2"/>
        <v>2027</v>
      </c>
      <c r="L27" s="75">
        <f t="shared" si="2"/>
        <v>2028</v>
      </c>
      <c r="M27" s="75">
        <f t="shared" si="2"/>
        <v>2029</v>
      </c>
      <c r="N27" s="75">
        <f t="shared" si="2"/>
        <v>2030</v>
      </c>
      <c r="O27" s="75">
        <f t="shared" si="2"/>
        <v>2031</v>
      </c>
      <c r="P27" s="75">
        <f t="shared" si="2"/>
        <v>2032</v>
      </c>
      <c r="Q27" s="75">
        <f t="shared" si="2"/>
        <v>2033</v>
      </c>
      <c r="R27" s="75">
        <f t="shared" si="2"/>
        <v>2034</v>
      </c>
      <c r="S27" s="75">
        <f t="shared" si="2"/>
        <v>2035</v>
      </c>
      <c r="T27" s="75">
        <f t="shared" si="2"/>
        <v>2036</v>
      </c>
      <c r="U27" s="75">
        <f t="shared" si="2"/>
        <v>2037</v>
      </c>
      <c r="V27" s="75">
        <f t="shared" si="2"/>
        <v>2038</v>
      </c>
      <c r="W27" s="75">
        <f t="shared" si="2"/>
        <v>2039</v>
      </c>
      <c r="X27" s="75">
        <f t="shared" si="2"/>
        <v>2040</v>
      </c>
      <c r="Y27" s="75">
        <f t="shared" si="2"/>
        <v>2041</v>
      </c>
      <c r="Z27" s="75">
        <f t="shared" si="2"/>
        <v>2042</v>
      </c>
      <c r="AA27" s="75">
        <f t="shared" si="2"/>
        <v>2043</v>
      </c>
      <c r="AB27" s="75">
        <f t="shared" si="2"/>
        <v>2044</v>
      </c>
      <c r="AC27" s="75">
        <f t="shared" si="2"/>
        <v>2045</v>
      </c>
      <c r="AD27" s="75">
        <f t="shared" si="2"/>
        <v>2046</v>
      </c>
      <c r="AE27" s="75">
        <f t="shared" si="2"/>
        <v>2047</v>
      </c>
      <c r="AF27" s="75">
        <f t="shared" si="2"/>
        <v>2048</v>
      </c>
      <c r="AG27" s="75">
        <f t="shared" si="2"/>
        <v>2049</v>
      </c>
      <c r="AH27" s="75">
        <f t="shared" si="2"/>
        <v>2050</v>
      </c>
    </row>
    <row r="28" spans="2:35">
      <c r="B28" t="s">
        <v>247</v>
      </c>
      <c r="C28" s="50" t="s">
        <v>210</v>
      </c>
      <c r="D28" s="79">
        <f>D16</f>
        <v>64000</v>
      </c>
      <c r="E28" s="79">
        <f t="shared" ref="E28:AH28" si="3">D28*(1+$G$16)</f>
        <v>67830.238540649909</v>
      </c>
      <c r="F28" s="79">
        <f t="shared" si="3"/>
        <v>71889.707195022944</v>
      </c>
      <c r="G28" s="79">
        <f t="shared" si="3"/>
        <v>76192.124807123168</v>
      </c>
      <c r="H28" s="79">
        <f t="shared" si="3"/>
        <v>80752.03125915835</v>
      </c>
      <c r="I28" s="79">
        <f t="shared" si="3"/>
        <v>85584.836608605154</v>
      </c>
      <c r="J28" s="79">
        <f t="shared" si="3"/>
        <v>90706.873166003672</v>
      </c>
      <c r="K28" s="79">
        <f t="shared" si="3"/>
        <v>96135.450689476653</v>
      </c>
      <c r="L28" s="79">
        <f t="shared" si="3"/>
        <v>101888.91488250138</v>
      </c>
      <c r="M28" s="79">
        <f t="shared" si="3"/>
        <v>107986.70939262569</v>
      </c>
      <c r="N28" s="79">
        <f t="shared" si="3"/>
        <v>114449.44152065065</v>
      </c>
      <c r="O28" s="79">
        <f t="shared" si="3"/>
        <v>121298.95186234213</v>
      </c>
      <c r="P28" s="79">
        <f t="shared" si="3"/>
        <v>128558.3881180231</v>
      </c>
      <c r="Q28" s="79">
        <f t="shared" si="3"/>
        <v>136252.28331948374</v>
      </c>
      <c r="R28" s="79">
        <f t="shared" si="3"/>
        <v>144406.63873857495</v>
      </c>
      <c r="S28" s="79">
        <f t="shared" si="3"/>
        <v>153049.0117576718</v>
      </c>
      <c r="T28" s="79">
        <f t="shared" si="3"/>
        <v>162208.60899896268</v>
      </c>
      <c r="U28" s="79">
        <f t="shared" si="3"/>
        <v>171916.38502729143</v>
      </c>
      <c r="V28" s="79">
        <f t="shared" si="3"/>
        <v>182205.14696011553</v>
      </c>
      <c r="W28" s="79">
        <f t="shared" si="3"/>
        <v>193109.6653381064</v>
      </c>
      <c r="X28" s="79">
        <f t="shared" si="3"/>
        <v>204666.7916310755</v>
      </c>
      <c r="Y28" s="79">
        <f t="shared" si="3"/>
        <v>216915.58277633347</v>
      </c>
      <c r="Z28" s="79">
        <f t="shared" si="3"/>
        <v>229897.43317035612</v>
      </c>
      <c r="AA28" s="79">
        <f t="shared" si="3"/>
        <v>243656.21455981841</v>
      </c>
      <c r="AB28" s="79">
        <f t="shared" si="3"/>
        <v>258238.42430475407</v>
      </c>
      <c r="AC28" s="79">
        <f t="shared" si="3"/>
        <v>273693.34251489118</v>
      </c>
      <c r="AD28" s="79">
        <f t="shared" si="3"/>
        <v>290073.19859020109</v>
      </c>
      <c r="AE28" s="79">
        <f t="shared" si="3"/>
        <v>307433.34772847896</v>
      </c>
      <c r="AF28" s="79">
        <f t="shared" si="3"/>
        <v>325832.45799645782</v>
      </c>
      <c r="AG28" s="79">
        <f t="shared" si="3"/>
        <v>345332.70859665668</v>
      </c>
      <c r="AH28" s="79">
        <f t="shared" si="3"/>
        <v>365999.99999999953</v>
      </c>
    </row>
    <row r="29" spans="2:35">
      <c r="B29" t="s">
        <v>248</v>
      </c>
      <c r="C29" s="50" t="s">
        <v>210</v>
      </c>
      <c r="D29">
        <f>0</f>
        <v>0</v>
      </c>
      <c r="E29" s="79">
        <f>E28-D28</f>
        <v>3830.2385406499088</v>
      </c>
      <c r="F29" s="79">
        <f t="shared" ref="F29:AH29" si="4">F28-E28</f>
        <v>4059.468654373035</v>
      </c>
      <c r="G29" s="79">
        <f t="shared" si="4"/>
        <v>4302.4176121002238</v>
      </c>
      <c r="H29" s="79">
        <f t="shared" si="4"/>
        <v>4559.9064520351822</v>
      </c>
      <c r="I29" s="79">
        <f t="shared" si="4"/>
        <v>4832.805349446804</v>
      </c>
      <c r="J29" s="79">
        <f t="shared" si="4"/>
        <v>5122.0365573985182</v>
      </c>
      <c r="K29" s="79">
        <f t="shared" si="4"/>
        <v>5428.5775234729808</v>
      </c>
      <c r="L29" s="79">
        <f t="shared" si="4"/>
        <v>5753.4641930247308</v>
      </c>
      <c r="M29" s="79">
        <f t="shared" si="4"/>
        <v>6097.7945101243095</v>
      </c>
      <c r="N29" s="79">
        <f t="shared" si="4"/>
        <v>6462.7321280249598</v>
      </c>
      <c r="O29" s="79">
        <f t="shared" si="4"/>
        <v>6849.510341691479</v>
      </c>
      <c r="P29" s="79">
        <f t="shared" si="4"/>
        <v>7259.4362556809647</v>
      </c>
      <c r="Q29" s="79">
        <f t="shared" si="4"/>
        <v>7693.8952014606475</v>
      </c>
      <c r="R29" s="79">
        <f t="shared" si="4"/>
        <v>8154.3554190912109</v>
      </c>
      <c r="S29" s="79">
        <f t="shared" si="4"/>
        <v>8642.373019096849</v>
      </c>
      <c r="T29" s="79">
        <f t="shared" si="4"/>
        <v>9159.5972412908741</v>
      </c>
      <c r="U29" s="79">
        <f t="shared" si="4"/>
        <v>9707.7760283287498</v>
      </c>
      <c r="V29" s="79">
        <f t="shared" si="4"/>
        <v>10288.761932824098</v>
      </c>
      <c r="W29" s="79">
        <f t="shared" si="4"/>
        <v>10904.518377990869</v>
      </c>
      <c r="X29" s="79">
        <f t="shared" si="4"/>
        <v>11557.1262929691</v>
      </c>
      <c r="Y29" s="79">
        <f t="shared" si="4"/>
        <v>12248.791145257972</v>
      </c>
      <c r="Z29" s="79">
        <f t="shared" si="4"/>
        <v>12981.850394022651</v>
      </c>
      <c r="AA29" s="79">
        <f t="shared" si="4"/>
        <v>13758.781389462296</v>
      </c>
      <c r="AB29" s="79">
        <f t="shared" si="4"/>
        <v>14582.209744935652</v>
      </c>
      <c r="AC29" s="79">
        <f t="shared" si="4"/>
        <v>15454.918210137112</v>
      </c>
      <c r="AD29" s="79">
        <f t="shared" si="4"/>
        <v>16379.856075309915</v>
      </c>
      <c r="AE29" s="79">
        <f t="shared" si="4"/>
        <v>17360.149138277862</v>
      </c>
      <c r="AF29" s="79">
        <f t="shared" si="4"/>
        <v>18399.11026797886</v>
      </c>
      <c r="AG29" s="79">
        <f t="shared" si="4"/>
        <v>19500.250600198866</v>
      </c>
      <c r="AH29" s="79">
        <f t="shared" si="4"/>
        <v>20667.291403342853</v>
      </c>
    </row>
    <row r="30" spans="2:35">
      <c r="B30" t="s">
        <v>246</v>
      </c>
      <c r="C30" s="50" t="s">
        <v>212</v>
      </c>
      <c r="D30">
        <v>0</v>
      </c>
      <c r="E30" s="79">
        <f>E29*$F$7</f>
        <v>351847.49385039858</v>
      </c>
      <c r="F30" s="79">
        <f t="shared" ref="F30:AH30" si="5">F29*$F$7</f>
        <v>372904.67871566245</v>
      </c>
      <c r="G30" s="79">
        <f t="shared" si="5"/>
        <v>395222.08297199727</v>
      </c>
      <c r="H30" s="79">
        <f t="shared" si="5"/>
        <v>418875.12757067365</v>
      </c>
      <c r="I30" s="79">
        <f t="shared" si="5"/>
        <v>443943.74721662496</v>
      </c>
      <c r="J30" s="79">
        <f t="shared" si="5"/>
        <v>470512.66050521267</v>
      </c>
      <c r="K30" s="79">
        <f t="shared" si="5"/>
        <v>498671.65622600634</v>
      </c>
      <c r="L30" s="79">
        <f t="shared" si="5"/>
        <v>528515.89680110896</v>
      </c>
      <c r="M30" s="79">
        <f t="shared" si="5"/>
        <v>560146.23988351203</v>
      </c>
      <c r="N30" s="79">
        <f t="shared" si="5"/>
        <v>593669.57920229272</v>
      </c>
      <c r="O30" s="79">
        <f t="shared" si="5"/>
        <v>629199.20580654277</v>
      </c>
      <c r="P30" s="79">
        <f t="shared" si="5"/>
        <v>666855.19092883274</v>
      </c>
      <c r="Q30" s="79">
        <f t="shared" si="5"/>
        <v>706764.7917620826</v>
      </c>
      <c r="R30" s="79">
        <f t="shared" si="5"/>
        <v>749062.88152116933</v>
      </c>
      <c r="S30" s="79">
        <f t="shared" si="5"/>
        <v>793892.40524261747</v>
      </c>
      <c r="T30" s="79">
        <f t="shared" si="5"/>
        <v>841404.86286276625</v>
      </c>
      <c r="U30" s="79">
        <f t="shared" si="5"/>
        <v>891760.82120694325</v>
      </c>
      <c r="V30" s="79">
        <f t="shared" si="5"/>
        <v>945130.45661988796</v>
      </c>
      <c r="W30" s="79">
        <f t="shared" si="5"/>
        <v>1001694.1300712542</v>
      </c>
      <c r="X30" s="79">
        <f t="shared" si="5"/>
        <v>1061642.9966797195</v>
      </c>
      <c r="Y30" s="79">
        <f t="shared" si="5"/>
        <v>1125179.6517155578</v>
      </c>
      <c r="Z30" s="79">
        <f t="shared" si="5"/>
        <v>1192518.8152648713</v>
      </c>
      <c r="AA30" s="79">
        <f t="shared" si="5"/>
        <v>1263888.0578692108</v>
      </c>
      <c r="AB30" s="79">
        <f t="shared" si="5"/>
        <v>1339528.569592926</v>
      </c>
      <c r="AC30" s="79">
        <f t="shared" si="5"/>
        <v>1419695.9751172462</v>
      </c>
      <c r="AD30" s="79">
        <f t="shared" si="5"/>
        <v>1504661.1976156782</v>
      </c>
      <c r="AE30" s="79">
        <f t="shared" si="5"/>
        <v>1594711.3743301756</v>
      </c>
      <c r="AF30" s="79">
        <f t="shared" si="5"/>
        <v>1690150.8269422438</v>
      </c>
      <c r="AG30" s="79">
        <f t="shared" si="5"/>
        <v>1791302.0900182677</v>
      </c>
      <c r="AH30" s="79">
        <f t="shared" si="5"/>
        <v>1898507.0010047501</v>
      </c>
    </row>
    <row r="31" spans="2:35">
      <c r="B31" t="s">
        <v>245</v>
      </c>
      <c r="C31" s="50" t="s">
        <v>212</v>
      </c>
      <c r="D31">
        <v>0</v>
      </c>
      <c r="E31" s="79">
        <f>E30*($F$8+$F$9)</f>
        <v>30698.693838447274</v>
      </c>
      <c r="F31" s="79">
        <f t="shared" ref="F31:AH31" si="6">F30*($F$8+$F$9)</f>
        <v>32535.933217941547</v>
      </c>
      <c r="G31" s="79">
        <f t="shared" si="6"/>
        <v>34483.126739306761</v>
      </c>
      <c r="H31" s="79">
        <f t="shared" si="6"/>
        <v>36546.854880541272</v>
      </c>
      <c r="I31" s="79">
        <f t="shared" si="6"/>
        <v>38734.091944650529</v>
      </c>
      <c r="J31" s="79">
        <f t="shared" si="6"/>
        <v>41052.229629079804</v>
      </c>
      <c r="K31" s="79">
        <f t="shared" si="6"/>
        <v>43509.102005719047</v>
      </c>
      <c r="L31" s="79">
        <f t="shared" si="6"/>
        <v>46113.011995896755</v>
      </c>
      <c r="M31" s="79">
        <f t="shared" si="6"/>
        <v>48872.75942983642</v>
      </c>
      <c r="N31" s="79">
        <f t="shared" si="6"/>
        <v>51797.670785400034</v>
      </c>
      <c r="O31" s="79">
        <f t="shared" si="6"/>
        <v>54897.630706620854</v>
      </c>
      <c r="P31" s="79">
        <f t="shared" si="6"/>
        <v>58183.115408540652</v>
      </c>
      <c r="Q31" s="79">
        <f t="shared" si="6"/>
        <v>61665.228081241701</v>
      </c>
      <c r="R31" s="79">
        <f t="shared" si="6"/>
        <v>65355.736412722021</v>
      </c>
      <c r="S31" s="79">
        <f t="shared" si="6"/>
        <v>69267.112357418373</v>
      </c>
      <c r="T31" s="79">
        <f t="shared" si="6"/>
        <v>73412.574284776347</v>
      </c>
      <c r="U31" s="79">
        <f t="shared" si="6"/>
        <v>77806.13165030579</v>
      </c>
      <c r="V31" s="79">
        <f t="shared" si="6"/>
        <v>82462.632340085212</v>
      </c>
      <c r="W31" s="79">
        <f t="shared" si="6"/>
        <v>87397.812848716931</v>
      </c>
      <c r="X31" s="79">
        <f t="shared" si="6"/>
        <v>92628.351460305523</v>
      </c>
      <c r="Y31" s="79">
        <f t="shared" si="6"/>
        <v>98171.924612182411</v>
      </c>
      <c r="Z31" s="79">
        <f t="shared" si="6"/>
        <v>104047.26663186002</v>
      </c>
      <c r="AA31" s="79">
        <f t="shared" si="6"/>
        <v>110274.23304908864</v>
      </c>
      <c r="AB31" s="79">
        <f t="shared" si="6"/>
        <v>116873.86769698278</v>
      </c>
      <c r="AC31" s="79">
        <f t="shared" si="6"/>
        <v>123868.47382897972</v>
      </c>
      <c r="AD31" s="79">
        <f t="shared" si="6"/>
        <v>131281.6894919679</v>
      </c>
      <c r="AE31" s="79">
        <f t="shared" si="6"/>
        <v>139138.56741030782</v>
      </c>
      <c r="AF31" s="79">
        <f t="shared" si="6"/>
        <v>147465.65965071076</v>
      </c>
      <c r="AG31" s="79">
        <f t="shared" si="6"/>
        <v>156291.10735409384</v>
      </c>
      <c r="AH31" s="79">
        <f t="shared" si="6"/>
        <v>165644.73583766443</v>
      </c>
    </row>
    <row r="32" spans="2:35" ht="15.5" thickBot="1">
      <c r="B32" s="83" t="s">
        <v>229</v>
      </c>
      <c r="C32" s="84" t="s">
        <v>212</v>
      </c>
      <c r="D32" s="85">
        <v>0</v>
      </c>
      <c r="E32" s="85">
        <f>E30*$F$8*$D$22+E30*$F$9*$D$23</f>
        <v>22385.593101243907</v>
      </c>
      <c r="F32" s="85">
        <f t="shared" ref="F32:AH32" si="7">F30*$F$8*$D$22+F30*$F$9*$D$23</f>
        <v>23725.314373926591</v>
      </c>
      <c r="G32" s="85">
        <f t="shared" si="7"/>
        <v>25145.21458492738</v>
      </c>
      <c r="H32" s="85">
        <f t="shared" si="7"/>
        <v>26650.092241428971</v>
      </c>
      <c r="I32" s="85">
        <f t="shared" si="7"/>
        <v>28245.033029163329</v>
      </c>
      <c r="J32" s="85">
        <f t="shared" si="7"/>
        <v>29935.426999323143</v>
      </c>
      <c r="K32" s="85">
        <f t="shared" si="7"/>
        <v>31726.986784067201</v>
      </c>
      <c r="L32" s="85">
        <f t="shared" si="7"/>
        <v>33625.766902176954</v>
      </c>
      <c r="M32" s="85">
        <f t="shared" si="7"/>
        <v>35638.184220108684</v>
      </c>
      <c r="N32" s="85">
        <f t="shared" si="7"/>
        <v>37771.03963758747</v>
      </c>
      <c r="O32" s="85">
        <f t="shared" si="7"/>
        <v>40031.541071029664</v>
      </c>
      <c r="P32" s="85">
        <f t="shared" si="7"/>
        <v>42427.327812465126</v>
      </c>
      <c r="Q32" s="85">
        <f t="shared" si="7"/>
        <v>44966.496346278975</v>
      </c>
      <c r="R32" s="85">
        <f t="shared" si="7"/>
        <v>47657.627711021356</v>
      </c>
      <c r="S32" s="85">
        <f t="shared" si="7"/>
        <v>50509.816498751046</v>
      </c>
      <c r="T32" s="85">
        <f t="shared" si="7"/>
        <v>53532.701589917779</v>
      </c>
      <c r="U32" s="85">
        <f t="shared" si="7"/>
        <v>56736.498727649348</v>
      </c>
      <c r="V32" s="85">
        <f t="shared" si="7"/>
        <v>60132.035041527131</v>
      </c>
      <c r="W32" s="85">
        <f t="shared" si="7"/>
        <v>63730.785637523411</v>
      </c>
      <c r="X32" s="85">
        <f t="shared" si="7"/>
        <v>67544.91237775379</v>
      </c>
      <c r="Y32" s="85">
        <f t="shared" si="7"/>
        <v>71587.304981098932</v>
      </c>
      <c r="Z32" s="85">
        <f t="shared" si="7"/>
        <v>75871.624583596917</v>
      </c>
      <c r="AA32" s="85">
        <f t="shared" si="7"/>
        <v>80412.349905812793</v>
      </c>
      <c r="AB32" s="85">
        <f t="shared" si="7"/>
        <v>85224.826183210724</v>
      </c>
      <c r="AC32" s="85">
        <f t="shared" si="7"/>
        <v>90325.317024884542</v>
      </c>
      <c r="AD32" s="85">
        <f t="shared" si="7"/>
        <v>95731.059375902303</v>
      </c>
      <c r="AE32" s="85">
        <f t="shared" si="7"/>
        <v>101460.32176900876</v>
      </c>
      <c r="AF32" s="85">
        <f t="shared" si="7"/>
        <v>107532.46606254637</v>
      </c>
      <c r="AG32" s="85">
        <f t="shared" si="7"/>
        <v>113968.01287323225</v>
      </c>
      <c r="AH32" s="85">
        <f t="shared" si="7"/>
        <v>120788.71092492521</v>
      </c>
      <c r="AI32" s="79"/>
    </row>
    <row r="33" spans="2:35" ht="15.5" thickBot="1">
      <c r="B33" s="83" t="s">
        <v>812</v>
      </c>
      <c r="C33" s="84" t="s">
        <v>212</v>
      </c>
      <c r="D33" s="85">
        <v>0</v>
      </c>
      <c r="E33" s="85">
        <f>E31*$F$8*$D$24</f>
        <v>100.38879533135214</v>
      </c>
      <c r="F33" s="85">
        <f t="shared" ref="F33:AH33" si="8">F31*$F$8*$D$24</f>
        <v>106.39681147084531</v>
      </c>
      <c r="G33" s="85">
        <f t="shared" si="8"/>
        <v>112.76439221925003</v>
      </c>
      <c r="H33" s="85">
        <f t="shared" si="8"/>
        <v>119.51305661129904</v>
      </c>
      <c r="I33" s="85">
        <f t="shared" si="8"/>
        <v>126.66561154166598</v>
      </c>
      <c r="J33" s="85">
        <f t="shared" si="8"/>
        <v>134.24622884013263</v>
      </c>
      <c r="K33" s="85">
        <f t="shared" si="8"/>
        <v>142.28052695951362</v>
      </c>
      <c r="L33" s="85">
        <f t="shared" si="8"/>
        <v>150.79565755239341</v>
      </c>
      <c r="M33" s="85">
        <f t="shared" si="8"/>
        <v>159.82039722926581</v>
      </c>
      <c r="N33" s="85">
        <f t="shared" si="8"/>
        <v>169.38524480816449</v>
      </c>
      <c r="O33" s="85">
        <f t="shared" si="8"/>
        <v>179.52252438444015</v>
      </c>
      <c r="P33" s="85">
        <f t="shared" si="8"/>
        <v>190.26649456900347</v>
      </c>
      <c r="Q33" s="85">
        <f t="shared" si="8"/>
        <v>201.65346426419924</v>
      </c>
      <c r="R33" s="85">
        <f t="shared" si="8"/>
        <v>213.72191536857909</v>
      </c>
      <c r="S33" s="85">
        <f t="shared" si="8"/>
        <v>226.51263282523936</v>
      </c>
      <c r="T33" s="85">
        <f t="shared" si="8"/>
        <v>240.0688424532286</v>
      </c>
      <c r="U33" s="85">
        <f t="shared" si="8"/>
        <v>254.43635702781603</v>
      </c>
      <c r="V33" s="85">
        <f t="shared" si="8"/>
        <v>269.66373110329272</v>
      </c>
      <c r="W33" s="85">
        <f t="shared" si="8"/>
        <v>285.80242510153113</v>
      </c>
      <c r="X33" s="85">
        <f t="shared" si="8"/>
        <v>302.90697922082978</v>
      </c>
      <c r="Y33" s="85">
        <f t="shared" si="8"/>
        <v>321.03519775275856</v>
      </c>
      <c r="Z33" s="85">
        <f t="shared" si="8"/>
        <v>340.24834442991181</v>
      </c>
      <c r="AA33" s="85">
        <f t="shared" si="8"/>
        <v>360.61134946472094</v>
      </c>
      <c r="AB33" s="85">
        <f t="shared" si="8"/>
        <v>382.19302897902617</v>
      </c>
      <c r="AC33" s="85">
        <f t="shared" si="8"/>
        <v>405.06631756595118</v>
      </c>
      <c r="AD33" s="85">
        <f t="shared" si="8"/>
        <v>429.30851477001755</v>
      </c>
      <c r="AE33" s="85">
        <f t="shared" si="8"/>
        <v>455.00154631847442</v>
      </c>
      <c r="AF33" s="85">
        <f t="shared" si="8"/>
        <v>482.23224098666765</v>
      </c>
      <c r="AG33" s="85">
        <f t="shared" si="8"/>
        <v>511.09262403309128</v>
      </c>
      <c r="AH33" s="85">
        <f t="shared" si="8"/>
        <v>541.6802281958021</v>
      </c>
      <c r="AI33" s="79"/>
    </row>
    <row r="38" spans="2:35">
      <c r="B38" t="s">
        <v>3</v>
      </c>
      <c r="C38">
        <v>28.053999999999998</v>
      </c>
      <c r="F38" t="s">
        <v>800</v>
      </c>
      <c r="G38" s="39">
        <f>(1/C41)*C40</f>
        <v>0.53353760074602008</v>
      </c>
    </row>
    <row r="39" spans="2:35">
      <c r="B39" t="s">
        <v>801</v>
      </c>
      <c r="C39">
        <v>86.09</v>
      </c>
      <c r="F39" t="s">
        <v>802</v>
      </c>
      <c r="G39" s="39">
        <f>(1/(2*C39))*2*C41</f>
        <v>0.69754907654779874</v>
      </c>
    </row>
    <row r="40" spans="2:35">
      <c r="B40" t="s">
        <v>716</v>
      </c>
      <c r="C40">
        <v>32.04</v>
      </c>
      <c r="F40" t="s">
        <v>803</v>
      </c>
      <c r="G40" s="39">
        <f>(1/SUM(C38+C39))*C39</f>
        <v>0.75422273619287927</v>
      </c>
      <c r="I40" s="39"/>
    </row>
    <row r="41" spans="2:35">
      <c r="B41" t="s">
        <v>804</v>
      </c>
      <c r="C41">
        <v>60.052</v>
      </c>
      <c r="F41" t="s">
        <v>805</v>
      </c>
      <c r="G41" s="39">
        <f>(1/SUM(C39+C38))*C38</f>
        <v>0.24577726380712084</v>
      </c>
    </row>
    <row r="42" spans="2:35">
      <c r="B42" t="s">
        <v>806</v>
      </c>
      <c r="C42" s="39">
        <v>32</v>
      </c>
      <c r="F42" t="s">
        <v>807</v>
      </c>
      <c r="G42" s="385">
        <f>G38*G39*G40</f>
        <v>0.28069806560134569</v>
      </c>
    </row>
    <row r="43" spans="2:35">
      <c r="F43" t="s">
        <v>808</v>
      </c>
      <c r="G43" s="39">
        <f>(1/(2*C39))*2*C38</f>
        <v>0.32586827738413282</v>
      </c>
    </row>
    <row r="44" spans="2:35">
      <c r="F44" t="s">
        <v>805</v>
      </c>
      <c r="G44" s="385">
        <f>G43*G40+G41</f>
        <v>0.49155452761424168</v>
      </c>
    </row>
    <row r="45" spans="2:35">
      <c r="F45" t="s">
        <v>809</v>
      </c>
      <c r="G45" s="39">
        <f>(1/(2*C39))*2*C42</f>
        <v>0.3717040306655825</v>
      </c>
    </row>
    <row r="46" spans="2:35">
      <c r="F46" t="s">
        <v>810</v>
      </c>
      <c r="G46" s="385">
        <f>G45*G40</f>
        <v>0.28034763106251753</v>
      </c>
    </row>
    <row r="48" spans="2:35">
      <c r="F48" t="s">
        <v>811</v>
      </c>
      <c r="G48" s="39">
        <f>G42+G44+G46</f>
        <v>1.052600224278105</v>
      </c>
    </row>
  </sheetData>
  <hyperlinks>
    <hyperlink ref="B3" r:id="rId1" display="https://eitrawmaterials.eu/wp-content/uploads/2020/04/rms_for_wind_and_solar_published_v2.pdf" xr:uid="{0AB76E17-5D60-4C47-B7AA-50194FFB45D8}"/>
    <hyperlink ref="E22" r:id="rId2" xr:uid="{209C01D1-C69A-4298-8BA8-BB6120DEF96D}"/>
    <hyperlink ref="K9" r:id="rId3" xr:uid="{1C461105-1563-4C6E-A52B-F15D7A1D4237}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C1F3F-FDAB-4303-8BE3-3F5AFFA86721}">
  <sheetPr>
    <tabColor theme="7"/>
  </sheetPr>
  <dimension ref="A1:AI40"/>
  <sheetViews>
    <sheetView topLeftCell="A30" workbookViewId="0">
      <selection activeCell="E24" sqref="E24"/>
    </sheetView>
  </sheetViews>
  <sheetFormatPr defaultRowHeight="14.75"/>
  <cols>
    <col min="2" max="2" width="34.453125" customWidth="1"/>
    <col min="3" max="3" width="11.54296875" customWidth="1"/>
    <col min="4" max="4" width="14.81640625" customWidth="1"/>
    <col min="5" max="5" width="15.1796875" customWidth="1"/>
    <col min="6" max="6" width="13.54296875" customWidth="1"/>
    <col min="7" max="26" width="11.54296875" customWidth="1"/>
    <col min="27" max="34" width="12.453125" customWidth="1"/>
  </cols>
  <sheetData>
    <row r="1" spans="1:11">
      <c r="A1" s="1" t="s">
        <v>368</v>
      </c>
    </row>
    <row r="3" spans="1:11">
      <c r="A3" t="s">
        <v>206</v>
      </c>
      <c r="B3" s="5" t="s">
        <v>207</v>
      </c>
    </row>
    <row r="4" spans="1:11" ht="15.5" thickBot="1"/>
    <row r="5" spans="1:11" ht="15.5" thickBot="1">
      <c r="F5" s="67" t="s">
        <v>208</v>
      </c>
    </row>
    <row r="6" spans="1:11" ht="15.5" thickBot="1">
      <c r="B6" s="1" t="s">
        <v>209</v>
      </c>
      <c r="C6" s="50" t="s">
        <v>210</v>
      </c>
      <c r="D6" s="47">
        <v>2</v>
      </c>
      <c r="E6" s="47">
        <v>3.45</v>
      </c>
      <c r="F6" s="67">
        <v>1</v>
      </c>
    </row>
    <row r="7" spans="1:11">
      <c r="B7" t="s">
        <v>211</v>
      </c>
      <c r="C7" s="50" t="s">
        <v>212</v>
      </c>
      <c r="D7" s="47">
        <v>236</v>
      </c>
      <c r="E7" s="47">
        <v>601</v>
      </c>
      <c r="F7" s="68">
        <f>AVERAGE(D7/D6,E7/E6)</f>
        <v>146.10144927536231</v>
      </c>
      <c r="G7" s="69">
        <f>F7</f>
        <v>146.10144927536231</v>
      </c>
      <c r="K7" s="50" t="s">
        <v>60</v>
      </c>
    </row>
    <row r="8" spans="1:11">
      <c r="B8" t="s">
        <v>213</v>
      </c>
      <c r="C8" s="50" t="s">
        <v>126</v>
      </c>
      <c r="D8" s="70">
        <v>0.03</v>
      </c>
      <c r="E8" s="52">
        <v>0.04</v>
      </c>
      <c r="F8" s="71">
        <f>AVERAGE(D8,E8)</f>
        <v>3.5000000000000003E-2</v>
      </c>
      <c r="G8" s="72">
        <f>F8*$G$7</f>
        <v>5.1135507246376815</v>
      </c>
      <c r="J8" s="6">
        <f>F8/(F9+F8)</f>
        <v>0.35000000000000003</v>
      </c>
      <c r="K8" s="50" t="s">
        <v>214</v>
      </c>
    </row>
    <row r="9" spans="1:11">
      <c r="B9" t="s">
        <v>215</v>
      </c>
      <c r="C9" s="50" t="s">
        <v>126</v>
      </c>
      <c r="D9" s="51">
        <v>0.09</v>
      </c>
      <c r="E9" s="51">
        <v>0.04</v>
      </c>
      <c r="F9" s="71">
        <f>AVERAGE(D9,E9)</f>
        <v>6.5000000000000002E-2</v>
      </c>
      <c r="G9" s="72">
        <f t="shared" ref="G9:G11" si="0">F9*$G$7</f>
        <v>9.4965942028985513</v>
      </c>
      <c r="J9" s="6">
        <f>F9/(F8+F9)</f>
        <v>0.65</v>
      </c>
      <c r="K9" s="50" t="s">
        <v>216</v>
      </c>
    </row>
    <row r="10" spans="1:11">
      <c r="B10" t="s">
        <v>217</v>
      </c>
      <c r="C10" s="50" t="s">
        <v>126</v>
      </c>
      <c r="D10" s="51">
        <f>0.84+0.01</f>
        <v>0.85</v>
      </c>
      <c r="E10" s="51">
        <f>0.89+0.01</f>
        <v>0.9</v>
      </c>
      <c r="F10" s="71">
        <f t="shared" ref="F10:F11" si="1">AVERAGE(D10,E10)</f>
        <v>0.875</v>
      </c>
      <c r="G10" s="72">
        <f t="shared" si="0"/>
        <v>127.83876811594203</v>
      </c>
    </row>
    <row r="11" spans="1:11" ht="15.5" thickBot="1">
      <c r="B11" t="s">
        <v>218</v>
      </c>
      <c r="C11" s="50" t="s">
        <v>126</v>
      </c>
      <c r="D11" s="51">
        <f>1-D10-D9-D8</f>
        <v>3.0000000000000027E-2</v>
      </c>
      <c r="E11" s="51">
        <f>1-E10-E9-E8</f>
        <v>1.9999999999999976E-2</v>
      </c>
      <c r="F11" s="73">
        <f t="shared" si="1"/>
        <v>2.5000000000000001E-2</v>
      </c>
      <c r="G11" s="74">
        <f t="shared" si="0"/>
        <v>3.6525362318840582</v>
      </c>
    </row>
    <row r="13" spans="1:11">
      <c r="A13" t="s">
        <v>219</v>
      </c>
    </row>
    <row r="14" spans="1:11">
      <c r="D14" s="1"/>
      <c r="E14" s="1"/>
      <c r="F14" s="1"/>
    </row>
    <row r="15" spans="1:11" ht="15.5" thickBot="1">
      <c r="B15" s="75"/>
      <c r="C15" s="76"/>
      <c r="D15" s="75">
        <v>2020</v>
      </c>
      <c r="E15" s="75">
        <v>2050</v>
      </c>
      <c r="F15" s="77" t="s">
        <v>220</v>
      </c>
      <c r="G15" s="75" t="s">
        <v>67</v>
      </c>
      <c r="I15" s="150" t="s">
        <v>60</v>
      </c>
    </row>
    <row r="16" spans="1:11">
      <c r="B16" t="s">
        <v>221</v>
      </c>
      <c r="C16" s="50" t="s">
        <v>210</v>
      </c>
      <c r="D16" s="514">
        <v>9200</v>
      </c>
      <c r="E16" s="514">
        <v>41700</v>
      </c>
      <c r="F16" s="79">
        <f>E16-D16</f>
        <v>32500</v>
      </c>
      <c r="G16" s="22">
        <f>(E16/D16)^(1/30)-1</f>
        <v>5.1667067176386583E-2</v>
      </c>
      <c r="I16" s="50" t="s">
        <v>365</v>
      </c>
    </row>
    <row r="17" spans="2:34">
      <c r="B17" t="s">
        <v>243</v>
      </c>
      <c r="C17" s="50" t="s">
        <v>212</v>
      </c>
      <c r="D17" s="79">
        <f>D16*F7</f>
        <v>1344133.3333333333</v>
      </c>
      <c r="E17" s="79">
        <f>E16*F7</f>
        <v>6092430.4347826084</v>
      </c>
      <c r="F17" s="79">
        <f>F16*F7</f>
        <v>4748297.1014492754</v>
      </c>
    </row>
    <row r="18" spans="2:34">
      <c r="B18" t="s">
        <v>223</v>
      </c>
      <c r="C18" s="50" t="s">
        <v>212</v>
      </c>
      <c r="D18" s="79">
        <f>D17*$F$8</f>
        <v>47044.666666666672</v>
      </c>
      <c r="E18" s="79">
        <f t="shared" ref="E18:F18" si="2">E17*$F$8</f>
        <v>213235.06521739133</v>
      </c>
      <c r="F18" s="79">
        <f t="shared" si="2"/>
        <v>166190.39855072467</v>
      </c>
    </row>
    <row r="19" spans="2:34" ht="15.5" thickBot="1">
      <c r="B19" s="80" t="s">
        <v>562</v>
      </c>
      <c r="C19" s="81" t="s">
        <v>212</v>
      </c>
      <c r="D19" s="82">
        <f>D18*$D$22</f>
        <v>14113.400000000001</v>
      </c>
      <c r="E19" s="82">
        <f>E18*$D$22</f>
        <v>63970.519565217393</v>
      </c>
      <c r="F19" s="82">
        <f>F18*$D$22</f>
        <v>49857.119565217399</v>
      </c>
      <c r="G19" s="79">
        <f>E19-D19</f>
        <v>49857.119565217392</v>
      </c>
    </row>
    <row r="21" spans="2:34" ht="15.5" thickBot="1">
      <c r="B21" s="75" t="s">
        <v>224</v>
      </c>
      <c r="C21" s="75"/>
      <c r="D21" s="75"/>
      <c r="I21" s="62" t="s">
        <v>141</v>
      </c>
      <c r="J21" s="62" t="s">
        <v>616</v>
      </c>
      <c r="K21" s="62" t="s">
        <v>617</v>
      </c>
      <c r="L21" s="62" t="s">
        <v>27</v>
      </c>
    </row>
    <row r="22" spans="2:34">
      <c r="B22" t="s">
        <v>225</v>
      </c>
      <c r="C22" t="s">
        <v>126</v>
      </c>
      <c r="D22" s="52">
        <v>0.3</v>
      </c>
      <c r="I22" s="51">
        <v>0</v>
      </c>
      <c r="J22" s="51">
        <v>0.5</v>
      </c>
      <c r="K22" s="51">
        <v>0.3</v>
      </c>
      <c r="L22" s="51">
        <v>0.2</v>
      </c>
    </row>
    <row r="23" spans="2:34">
      <c r="B23" t="s">
        <v>813</v>
      </c>
      <c r="C23" t="s">
        <v>126</v>
      </c>
      <c r="D23" s="52">
        <f>0.35*AVERAGE('Production - Industry shares'!Z114,'Production - Industry shares'!Z119,'Production - Industry shares'!Z122)</f>
        <v>0.15312844828414252</v>
      </c>
      <c r="E23" t="s">
        <v>814</v>
      </c>
      <c r="I23" s="51"/>
      <c r="J23" s="51"/>
      <c r="K23" s="51"/>
      <c r="L23" s="51"/>
    </row>
    <row r="24" spans="2:34">
      <c r="B24" t="s">
        <v>1178</v>
      </c>
      <c r="C24" t="s">
        <v>126</v>
      </c>
      <c r="D24" s="52">
        <f>0.5*0.25</f>
        <v>0.125</v>
      </c>
      <c r="E24" t="s">
        <v>1183</v>
      </c>
      <c r="I24" s="51"/>
      <c r="J24" s="51"/>
      <c r="K24" s="51"/>
      <c r="L24" s="51"/>
    </row>
    <row r="25" spans="2:34">
      <c r="B25" t="s">
        <v>1179</v>
      </c>
      <c r="C25" t="s">
        <v>126</v>
      </c>
      <c r="D25" s="52">
        <v>0</v>
      </c>
      <c r="E25" t="s">
        <v>1182</v>
      </c>
      <c r="I25" s="51"/>
      <c r="J25" s="51"/>
      <c r="K25" s="51"/>
      <c r="L25" s="51"/>
    </row>
    <row r="26" spans="2:34">
      <c r="B26" t="s">
        <v>1180</v>
      </c>
      <c r="C26" t="s">
        <v>126</v>
      </c>
      <c r="D26" s="52">
        <f>0.52*0.25</f>
        <v>0.13</v>
      </c>
      <c r="E26" t="s">
        <v>1184</v>
      </c>
      <c r="I26" s="51"/>
      <c r="J26" s="51"/>
      <c r="K26" s="51"/>
      <c r="L26" s="51"/>
    </row>
    <row r="27" spans="2:34">
      <c r="B27" t="s">
        <v>1181</v>
      </c>
      <c r="C27" t="s">
        <v>126</v>
      </c>
      <c r="D27" s="52">
        <v>0</v>
      </c>
      <c r="E27" t="s">
        <v>1182</v>
      </c>
      <c r="I27" s="51"/>
      <c r="J27" s="51"/>
      <c r="K27" s="51"/>
      <c r="L27" s="51"/>
    </row>
    <row r="28" spans="2:34">
      <c r="B28" t="s">
        <v>226</v>
      </c>
      <c r="C28" s="50"/>
      <c r="D28" s="79"/>
    </row>
    <row r="29" spans="2:34">
      <c r="B29" t="s">
        <v>227</v>
      </c>
    </row>
    <row r="30" spans="2:34">
      <c r="B30" t="s">
        <v>228</v>
      </c>
    </row>
    <row r="32" spans="2:34" ht="15.5" thickBot="1">
      <c r="B32" s="75"/>
      <c r="C32" s="76"/>
      <c r="D32" s="75">
        <v>2020</v>
      </c>
      <c r="E32" s="75">
        <f>D32+1</f>
        <v>2021</v>
      </c>
      <c r="F32" s="75">
        <f t="shared" ref="F32:AH32" si="3">E32+1</f>
        <v>2022</v>
      </c>
      <c r="G32" s="75">
        <f t="shared" si="3"/>
        <v>2023</v>
      </c>
      <c r="H32" s="75">
        <f t="shared" si="3"/>
        <v>2024</v>
      </c>
      <c r="I32" s="75">
        <f t="shared" si="3"/>
        <v>2025</v>
      </c>
      <c r="J32" s="75">
        <f t="shared" si="3"/>
        <v>2026</v>
      </c>
      <c r="K32" s="75">
        <f t="shared" si="3"/>
        <v>2027</v>
      </c>
      <c r="L32" s="75">
        <f t="shared" si="3"/>
        <v>2028</v>
      </c>
      <c r="M32" s="75">
        <f t="shared" si="3"/>
        <v>2029</v>
      </c>
      <c r="N32" s="75">
        <f t="shared" si="3"/>
        <v>2030</v>
      </c>
      <c r="O32" s="75">
        <f t="shared" si="3"/>
        <v>2031</v>
      </c>
      <c r="P32" s="75">
        <f t="shared" si="3"/>
        <v>2032</v>
      </c>
      <c r="Q32" s="75">
        <f t="shared" si="3"/>
        <v>2033</v>
      </c>
      <c r="R32" s="75">
        <f t="shared" si="3"/>
        <v>2034</v>
      </c>
      <c r="S32" s="75">
        <f t="shared" si="3"/>
        <v>2035</v>
      </c>
      <c r="T32" s="75">
        <f t="shared" si="3"/>
        <v>2036</v>
      </c>
      <c r="U32" s="75">
        <f t="shared" si="3"/>
        <v>2037</v>
      </c>
      <c r="V32" s="75">
        <f t="shared" si="3"/>
        <v>2038</v>
      </c>
      <c r="W32" s="75">
        <f t="shared" si="3"/>
        <v>2039</v>
      </c>
      <c r="X32" s="75">
        <f t="shared" si="3"/>
        <v>2040</v>
      </c>
      <c r="Y32" s="75">
        <f t="shared" si="3"/>
        <v>2041</v>
      </c>
      <c r="Z32" s="75">
        <f t="shared" si="3"/>
        <v>2042</v>
      </c>
      <c r="AA32" s="75">
        <f t="shared" si="3"/>
        <v>2043</v>
      </c>
      <c r="AB32" s="75">
        <f t="shared" si="3"/>
        <v>2044</v>
      </c>
      <c r="AC32" s="75">
        <f t="shared" si="3"/>
        <v>2045</v>
      </c>
      <c r="AD32" s="75">
        <f t="shared" si="3"/>
        <v>2046</v>
      </c>
      <c r="AE32" s="75">
        <f t="shared" si="3"/>
        <v>2047</v>
      </c>
      <c r="AF32" s="75">
        <f t="shared" si="3"/>
        <v>2048</v>
      </c>
      <c r="AG32" s="75">
        <f t="shared" si="3"/>
        <v>2049</v>
      </c>
      <c r="AH32" s="75">
        <f t="shared" si="3"/>
        <v>2050</v>
      </c>
    </row>
    <row r="33" spans="2:35">
      <c r="B33" t="s">
        <v>221</v>
      </c>
      <c r="C33" s="50" t="s">
        <v>210</v>
      </c>
      <c r="D33" s="79">
        <f>D16</f>
        <v>9200</v>
      </c>
      <c r="E33" s="79">
        <f t="shared" ref="E33:AH33" si="4">D33*(1+$G$16)</f>
        <v>9675.3370180227557</v>
      </c>
      <c r="F33" s="79">
        <f t="shared" si="4"/>
        <v>10175.233305687118</v>
      </c>
      <c r="G33" s="79">
        <f t="shared" si="4"/>
        <v>10700.957768427459</v>
      </c>
      <c r="H33" s="79">
        <f t="shared" si="4"/>
        <v>11253.844872300477</v>
      </c>
      <c r="I33" s="79">
        <f t="shared" si="4"/>
        <v>11835.29803131026</v>
      </c>
      <c r="J33" s="79">
        <f t="shared" si="4"/>
        <v>12446.793169746523</v>
      </c>
      <c r="K33" s="79">
        <f t="shared" si="4"/>
        <v>13089.882468578406</v>
      </c>
      <c r="L33" s="79">
        <f t="shared" si="4"/>
        <v>13766.198305413451</v>
      </c>
      <c r="M33" s="79">
        <f t="shared" si="4"/>
        <v>14477.457398022707</v>
      </c>
      <c r="N33" s="79">
        <f t="shared" si="4"/>
        <v>15225.465161949622</v>
      </c>
      <c r="O33" s="79">
        <f t="shared" si="4"/>
        <v>16012.120293263806</v>
      </c>
      <c r="P33" s="79">
        <f t="shared" si="4"/>
        <v>16839.419588092249</v>
      </c>
      <c r="Q33" s="79">
        <f t="shared" si="4"/>
        <v>17709.46301116157</v>
      </c>
      <c r="R33" s="79">
        <f t="shared" si="4"/>
        <v>18624.459026216988</v>
      </c>
      <c r="S33" s="79">
        <f t="shared" si="4"/>
        <v>19586.730201848401</v>
      </c>
      <c r="T33" s="79">
        <f t="shared" si="4"/>
        <v>20598.719106953064</v>
      </c>
      <c r="U33" s="79">
        <f t="shared" si="4"/>
        <v>21662.994510799526</v>
      </c>
      <c r="V33" s="79">
        <f t="shared" si="4"/>
        <v>22782.257903430698</v>
      </c>
      <c r="W33" s="79">
        <f t="shared" si="4"/>
        <v>23959.350352957015</v>
      </c>
      <c r="X33" s="79">
        <f t="shared" si="4"/>
        <v>25197.259717145826</v>
      </c>
      <c r="Y33" s="79">
        <f t="shared" si="4"/>
        <v>26499.128227612458</v>
      </c>
      <c r="Z33" s="79">
        <f t="shared" si="4"/>
        <v>27868.260465864194</v>
      </c>
      <c r="AA33" s="79">
        <f t="shared" si="4"/>
        <v>29308.131751443038</v>
      </c>
      <c r="AB33" s="79">
        <f t="shared" si="4"/>
        <v>30822.396963459232</v>
      </c>
      <c r="AC33" s="79">
        <f t="shared" si="4"/>
        <v>32414.899817907535</v>
      </c>
      <c r="AD33" s="79">
        <f t="shared" si="4"/>
        <v>34089.682624315203</v>
      </c>
      <c r="AE33" s="79">
        <f t="shared" si="4"/>
        <v>35850.996546487397</v>
      </c>
      <c r="AF33" s="79">
        <f t="shared" si="4"/>
        <v>37703.312393395165</v>
      </c>
      <c r="AG33" s="79">
        <f t="shared" si="4"/>
        <v>39651.331967596998</v>
      </c>
      <c r="AH33" s="79">
        <f t="shared" si="4"/>
        <v>41700.000000000036</v>
      </c>
    </row>
    <row r="34" spans="2:35">
      <c r="B34" t="s">
        <v>244</v>
      </c>
      <c r="C34" s="50" t="s">
        <v>210</v>
      </c>
      <c r="D34">
        <f>0</f>
        <v>0</v>
      </c>
      <c r="E34" s="79">
        <f>E33-D33</f>
        <v>475.33701802275573</v>
      </c>
      <c r="F34" s="79">
        <f t="shared" ref="F34:AH34" si="5">F33-E33</f>
        <v>499.89628766436181</v>
      </c>
      <c r="G34" s="79">
        <f t="shared" si="5"/>
        <v>525.72446274034155</v>
      </c>
      <c r="H34" s="79">
        <f t="shared" si="5"/>
        <v>552.88710387301762</v>
      </c>
      <c r="I34" s="79">
        <f t="shared" si="5"/>
        <v>581.45315900978312</v>
      </c>
      <c r="J34" s="79">
        <f t="shared" si="5"/>
        <v>611.49513843626301</v>
      </c>
      <c r="K34" s="79">
        <f t="shared" si="5"/>
        <v>643.08929883188284</v>
      </c>
      <c r="L34" s="79">
        <f t="shared" si="5"/>
        <v>676.31583683504505</v>
      </c>
      <c r="M34" s="79">
        <f t="shared" si="5"/>
        <v>711.25909260925619</v>
      </c>
      <c r="N34" s="79">
        <f t="shared" si="5"/>
        <v>748.00776392691478</v>
      </c>
      <c r="O34" s="79">
        <f t="shared" si="5"/>
        <v>786.65513131418447</v>
      </c>
      <c r="P34" s="79">
        <f t="shared" si="5"/>
        <v>827.29929482844273</v>
      </c>
      <c r="Q34" s="79">
        <f t="shared" si="5"/>
        <v>870.04342306932085</v>
      </c>
      <c r="R34" s="79">
        <f t="shared" si="5"/>
        <v>914.99601505541796</v>
      </c>
      <c r="S34" s="79">
        <f t="shared" si="5"/>
        <v>962.27117563141292</v>
      </c>
      <c r="T34" s="79">
        <f t="shared" si="5"/>
        <v>1011.988905104663</v>
      </c>
      <c r="U34" s="79">
        <f t="shared" si="5"/>
        <v>1064.2754038464627</v>
      </c>
      <c r="V34" s="79">
        <f t="shared" si="5"/>
        <v>1119.2633926311719</v>
      </c>
      <c r="W34" s="79">
        <f t="shared" si="5"/>
        <v>1177.0924495263171</v>
      </c>
      <c r="X34" s="79">
        <f t="shared" si="5"/>
        <v>1237.9093641888103</v>
      </c>
      <c r="Y34" s="79">
        <f t="shared" si="5"/>
        <v>1301.8685104666329</v>
      </c>
      <c r="Z34" s="79">
        <f t="shared" si="5"/>
        <v>1369.1322382517355</v>
      </c>
      <c r="AA34" s="79">
        <f t="shared" si="5"/>
        <v>1439.8712855788435</v>
      </c>
      <c r="AB34" s="79">
        <f t="shared" si="5"/>
        <v>1514.2652120161947</v>
      </c>
      <c r="AC34" s="79">
        <f t="shared" si="5"/>
        <v>1592.502854448303</v>
      </c>
      <c r="AD34" s="79">
        <f t="shared" si="5"/>
        <v>1674.7828064076675</v>
      </c>
      <c r="AE34" s="79">
        <f t="shared" si="5"/>
        <v>1761.313922172194</v>
      </c>
      <c r="AF34" s="79">
        <f t="shared" si="5"/>
        <v>1852.315846907768</v>
      </c>
      <c r="AG34" s="79">
        <f t="shared" si="5"/>
        <v>1948.0195742018332</v>
      </c>
      <c r="AH34" s="79">
        <f t="shared" si="5"/>
        <v>2048.6680324030385</v>
      </c>
    </row>
    <row r="35" spans="2:35">
      <c r="B35" t="s">
        <v>246</v>
      </c>
      <c r="C35" s="50" t="s">
        <v>212</v>
      </c>
      <c r="D35">
        <v>0</v>
      </c>
      <c r="E35" s="79">
        <f>E34*$F$7</f>
        <v>69447.427227353633</v>
      </c>
      <c r="F35" s="79">
        <f t="shared" ref="F35:AH35" si="6">F34*$F$7</f>
        <v>73035.572115136689</v>
      </c>
      <c r="G35" s="79">
        <f t="shared" si="6"/>
        <v>76809.105925875119</v>
      </c>
      <c r="H35" s="79">
        <f t="shared" si="6"/>
        <v>80777.607161505657</v>
      </c>
      <c r="I35" s="79">
        <f t="shared" si="6"/>
        <v>84951.14921706701</v>
      </c>
      <c r="J35" s="79">
        <f t="shared" si="6"/>
        <v>89340.32595037634</v>
      </c>
      <c r="K35" s="79">
        <f t="shared" si="6"/>
        <v>93956.278572814641</v>
      </c>
      <c r="L35" s="79">
        <f t="shared" si="6"/>
        <v>98810.723929479544</v>
      </c>
      <c r="M35" s="79">
        <f t="shared" si="6"/>
        <v>103915.98424049147</v>
      </c>
      <c r="N35" s="79">
        <f t="shared" si="6"/>
        <v>109285.01837894533</v>
      </c>
      <c r="O35" s="79">
        <f t="shared" si="6"/>
        <v>114931.4547649028</v>
      </c>
      <c r="P35" s="79">
        <f t="shared" si="6"/>
        <v>120869.62595892073</v>
      </c>
      <c r="Q35" s="79">
        <f t="shared" si="6"/>
        <v>127114.60504292497</v>
      </c>
      <c r="R35" s="79">
        <f t="shared" si="6"/>
        <v>133682.24388077779</v>
      </c>
      <c r="S35" s="79">
        <f t="shared" si="6"/>
        <v>140589.21335565613</v>
      </c>
      <c r="T35" s="79">
        <f t="shared" si="6"/>
        <v>147853.04568637838</v>
      </c>
      <c r="U35" s="79">
        <f t="shared" si="6"/>
        <v>155492.17893008972</v>
      </c>
      <c r="V35" s="79">
        <f t="shared" si="6"/>
        <v>163526.00378427308</v>
      </c>
      <c r="W35" s="79">
        <f t="shared" si="6"/>
        <v>171974.91280688118</v>
      </c>
      <c r="X35" s="79">
        <f t="shared" si="6"/>
        <v>180860.35217952749</v>
      </c>
      <c r="Y35" s="79">
        <f t="shared" si="6"/>
        <v>190204.87614513226</v>
      </c>
      <c r="Z35" s="79">
        <f t="shared" si="6"/>
        <v>200032.2042581992</v>
      </c>
      <c r="AA35" s="79">
        <f t="shared" si="6"/>
        <v>210367.28159304813</v>
      </c>
      <c r="AB35" s="79">
        <f t="shared" si="6"/>
        <v>221236.34206282982</v>
      </c>
      <c r="AC35" s="79">
        <f t="shared" si="6"/>
        <v>232666.97501004842</v>
      </c>
      <c r="AD35" s="79">
        <f t="shared" si="6"/>
        <v>244688.19523761878</v>
      </c>
      <c r="AE35" s="79">
        <f t="shared" si="6"/>
        <v>257330.51665823025</v>
      </c>
      <c r="AF35" s="79">
        <f t="shared" si="6"/>
        <v>270626.02974894503</v>
      </c>
      <c r="AG35" s="79">
        <f t="shared" si="6"/>
        <v>284608.483007662</v>
      </c>
      <c r="AH35" s="79">
        <f t="shared" si="6"/>
        <v>299313.36861818883</v>
      </c>
    </row>
    <row r="36" spans="2:35">
      <c r="B36" t="s">
        <v>245</v>
      </c>
      <c r="C36" s="50" t="s">
        <v>212</v>
      </c>
      <c r="D36">
        <v>0</v>
      </c>
      <c r="E36" s="79">
        <f>E35*$F$8</f>
        <v>2430.6599529573773</v>
      </c>
      <c r="F36" s="79">
        <f t="shared" ref="F36:AH36" si="7">F35*$F$8</f>
        <v>2556.2450240297844</v>
      </c>
      <c r="G36" s="79">
        <f t="shared" si="7"/>
        <v>2688.3187074056295</v>
      </c>
      <c r="H36" s="79">
        <f t="shared" si="7"/>
        <v>2827.2162506526984</v>
      </c>
      <c r="I36" s="79">
        <f t="shared" si="7"/>
        <v>2973.2902225973457</v>
      </c>
      <c r="J36" s="79">
        <f t="shared" si="7"/>
        <v>3126.9114082631722</v>
      </c>
      <c r="K36" s="79">
        <f t="shared" si="7"/>
        <v>3288.4697500485127</v>
      </c>
      <c r="L36" s="79">
        <f t="shared" si="7"/>
        <v>3458.3753375317842</v>
      </c>
      <c r="M36" s="79">
        <f t="shared" si="7"/>
        <v>3637.0594484172016</v>
      </c>
      <c r="N36" s="79">
        <f t="shared" si="7"/>
        <v>3824.975643263087</v>
      </c>
      <c r="O36" s="79">
        <f t="shared" si="7"/>
        <v>4022.6009167715983</v>
      </c>
      <c r="P36" s="79">
        <f t="shared" si="7"/>
        <v>4230.4369085622257</v>
      </c>
      <c r="Q36" s="79">
        <f t="shared" si="7"/>
        <v>4449.0111765023748</v>
      </c>
      <c r="R36" s="79">
        <f t="shared" si="7"/>
        <v>4678.8785358272235</v>
      </c>
      <c r="S36" s="79">
        <f t="shared" si="7"/>
        <v>4920.6224674479654</v>
      </c>
      <c r="T36" s="79">
        <f t="shared" si="7"/>
        <v>5174.8565990232437</v>
      </c>
      <c r="U36" s="79">
        <f t="shared" si="7"/>
        <v>5442.2262625531412</v>
      </c>
      <c r="V36" s="79">
        <f t="shared" si="7"/>
        <v>5723.4101324495587</v>
      </c>
      <c r="W36" s="79">
        <f t="shared" si="7"/>
        <v>6019.1219482408424</v>
      </c>
      <c r="X36" s="79">
        <f t="shared" si="7"/>
        <v>6330.1123262834626</v>
      </c>
      <c r="Y36" s="79">
        <f t="shared" si="7"/>
        <v>6657.1706650796295</v>
      </c>
      <c r="Z36" s="79">
        <f t="shared" si="7"/>
        <v>7001.1271490369727</v>
      </c>
      <c r="AA36" s="79">
        <f t="shared" si="7"/>
        <v>7362.8548557566855</v>
      </c>
      <c r="AB36" s="79">
        <f t="shared" si="7"/>
        <v>7743.2719721990443</v>
      </c>
      <c r="AC36" s="79">
        <f t="shared" si="7"/>
        <v>8143.3441253516958</v>
      </c>
      <c r="AD36" s="79">
        <f t="shared" si="7"/>
        <v>8564.0868333166582</v>
      </c>
      <c r="AE36" s="79">
        <f t="shared" si="7"/>
        <v>9006.5680830380588</v>
      </c>
      <c r="AF36" s="79">
        <f t="shared" si="7"/>
        <v>9471.9110412130776</v>
      </c>
      <c r="AG36" s="79">
        <f t="shared" si="7"/>
        <v>9961.296905268171</v>
      </c>
      <c r="AH36" s="79">
        <f t="shared" si="7"/>
        <v>10475.96790163661</v>
      </c>
    </row>
    <row r="37" spans="2:35" ht="15.5" thickBot="1">
      <c r="B37" s="83" t="s">
        <v>229</v>
      </c>
      <c r="C37" s="84" t="s">
        <v>212</v>
      </c>
      <c r="D37" s="85">
        <v>0</v>
      </c>
      <c r="E37" s="85">
        <f>E36*$D$22</f>
        <v>729.19798588721312</v>
      </c>
      <c r="F37" s="85">
        <f t="shared" ref="F37:AH37" si="8">F36*$D$22</f>
        <v>766.87350720893528</v>
      </c>
      <c r="G37" s="85">
        <f t="shared" si="8"/>
        <v>806.49561222168882</v>
      </c>
      <c r="H37" s="85">
        <f t="shared" si="8"/>
        <v>848.16487519580949</v>
      </c>
      <c r="I37" s="85">
        <f t="shared" si="8"/>
        <v>891.9870667792037</v>
      </c>
      <c r="J37" s="85">
        <f t="shared" si="8"/>
        <v>938.07342247895167</v>
      </c>
      <c r="K37" s="85">
        <f t="shared" si="8"/>
        <v>986.54092501455375</v>
      </c>
      <c r="L37" s="85">
        <f t="shared" si="8"/>
        <v>1037.5126012595351</v>
      </c>
      <c r="M37" s="85">
        <f t="shared" si="8"/>
        <v>1091.1178345251603</v>
      </c>
      <c r="N37" s="85">
        <f t="shared" si="8"/>
        <v>1147.492692978926</v>
      </c>
      <c r="O37" s="85">
        <f t="shared" si="8"/>
        <v>1206.7802750314795</v>
      </c>
      <c r="P37" s="85">
        <f t="shared" si="8"/>
        <v>1269.1310725686676</v>
      </c>
      <c r="Q37" s="85">
        <f t="shared" si="8"/>
        <v>1334.7033529507123</v>
      </c>
      <c r="R37" s="85">
        <f t="shared" si="8"/>
        <v>1403.6635607481669</v>
      </c>
      <c r="S37" s="85">
        <f t="shared" si="8"/>
        <v>1476.1867402343896</v>
      </c>
      <c r="T37" s="85">
        <f t="shared" si="8"/>
        <v>1552.456979706973</v>
      </c>
      <c r="U37" s="85">
        <f t="shared" si="8"/>
        <v>1632.6678787659423</v>
      </c>
      <c r="V37" s="85">
        <f t="shared" si="8"/>
        <v>1717.0230397348676</v>
      </c>
      <c r="W37" s="85">
        <f t="shared" si="8"/>
        <v>1805.7365844722526</v>
      </c>
      <c r="X37" s="85">
        <f t="shared" si="8"/>
        <v>1899.0336978850387</v>
      </c>
      <c r="Y37" s="85">
        <f t="shared" si="8"/>
        <v>1997.1511995238889</v>
      </c>
      <c r="Z37" s="85">
        <f t="shared" si="8"/>
        <v>2100.3381447110919</v>
      </c>
      <c r="AA37" s="85">
        <f t="shared" si="8"/>
        <v>2208.8564567270055</v>
      </c>
      <c r="AB37" s="85">
        <f t="shared" si="8"/>
        <v>2322.9815916597131</v>
      </c>
      <c r="AC37" s="85">
        <f t="shared" si="8"/>
        <v>2443.0032376055087</v>
      </c>
      <c r="AD37" s="85">
        <f t="shared" si="8"/>
        <v>2569.2260499949975</v>
      </c>
      <c r="AE37" s="85">
        <f t="shared" si="8"/>
        <v>2701.9704249114175</v>
      </c>
      <c r="AF37" s="85">
        <f t="shared" si="8"/>
        <v>2841.5733123639234</v>
      </c>
      <c r="AG37" s="85">
        <f t="shared" si="8"/>
        <v>2988.3890715804514</v>
      </c>
      <c r="AH37" s="85">
        <f t="shared" si="8"/>
        <v>3142.7903704909827</v>
      </c>
      <c r="AI37" s="79"/>
    </row>
    <row r="38" spans="2:35" ht="15.5" thickBot="1">
      <c r="B38" s="83" t="s">
        <v>812</v>
      </c>
      <c r="C38" s="84" t="s">
        <v>212</v>
      </c>
      <c r="D38" s="85">
        <v>0</v>
      </c>
      <c r="E38" s="85">
        <f>E36*$D$23</f>
        <v>372.20318690277003</v>
      </c>
      <c r="F38" s="85">
        <f t="shared" ref="F38:AH38" si="9">F36*$D$23</f>
        <v>391.43383396374151</v>
      </c>
      <c r="G38" s="85">
        <f t="shared" si="9"/>
        <v>411.65807215825578</v>
      </c>
      <c r="H38" s="85">
        <f t="shared" si="9"/>
        <v>432.92723742615902</v>
      </c>
      <c r="I38" s="85">
        <f t="shared" si="9"/>
        <v>455.29531808474422</v>
      </c>
      <c r="J38" s="85">
        <f t="shared" si="9"/>
        <v>478.81909186932239</v>
      </c>
      <c r="K38" s="85">
        <f t="shared" si="9"/>
        <v>503.55827005427074</v>
      </c>
      <c r="L38" s="85">
        <f t="shared" si="9"/>
        <v>529.57564902038973</v>
      </c>
      <c r="M38" s="85">
        <f t="shared" si="9"/>
        <v>556.93726965330541</v>
      </c>
      <c r="N38" s="85">
        <f t="shared" si="9"/>
        <v>585.71258497751637</v>
      </c>
      <c r="O38" s="85">
        <f t="shared" si="9"/>
        <v>615.97463645160394</v>
      </c>
      <c r="P38" s="85">
        <f t="shared" si="9"/>
        <v>647.80023937209853</v>
      </c>
      <c r="Q38" s="85">
        <f t="shared" si="9"/>
        <v>681.27017785661599</v>
      </c>
      <c r="R38" s="85">
        <f t="shared" si="9"/>
        <v>716.46940990120345</v>
      </c>
      <c r="S38" s="85">
        <f t="shared" si="9"/>
        <v>753.48728303239545</v>
      </c>
      <c r="T38" s="85">
        <f t="shared" si="9"/>
        <v>792.41776110138437</v>
      </c>
      <c r="U38" s="85">
        <f t="shared" si="9"/>
        <v>833.35966279597085</v>
      </c>
      <c r="V38" s="85">
        <f t="shared" si="9"/>
        <v>876.41691247573954</v>
      </c>
      <c r="W38" s="85">
        <f t="shared" si="9"/>
        <v>921.69880396714495</v>
      </c>
      <c r="X38" s="85">
        <f t="shared" si="9"/>
        <v>969.32027798811032</v>
      </c>
      <c r="Y38" s="85">
        <f t="shared" si="9"/>
        <v>1019.4022139063567</v>
      </c>
      <c r="Z38" s="85">
        <f t="shared" si="9"/>
        <v>1072.0717365720143</v>
      </c>
      <c r="AA38" s="85">
        <f t="shared" si="9"/>
        <v>1127.4625390033852</v>
      </c>
      <c r="AB38" s="85">
        <f t="shared" si="9"/>
        <v>1185.7152217449316</v>
      </c>
      <c r="AC38" s="85">
        <f t="shared" si="9"/>
        <v>1246.977649758893</v>
      </c>
      <c r="AD38" s="85">
        <f t="shared" si="9"/>
        <v>1311.4053277564358</v>
      </c>
      <c r="AE38" s="85">
        <f t="shared" si="9"/>
        <v>1379.161794921102</v>
      </c>
      <c r="AF38" s="85">
        <f t="shared" si="9"/>
        <v>1450.4190400263954</v>
      </c>
      <c r="AG38" s="85">
        <f t="shared" si="9"/>
        <v>1525.3579380013459</v>
      </c>
      <c r="AH38" s="85">
        <f t="shared" si="9"/>
        <v>1604.1687090520986</v>
      </c>
      <c r="AI38" s="79"/>
    </row>
    <row r="39" spans="2:35" ht="15.5" thickBot="1">
      <c r="B39" s="83" t="s">
        <v>1185</v>
      </c>
      <c r="C39" s="84" t="s">
        <v>212</v>
      </c>
      <c r="D39" s="85">
        <v>0</v>
      </c>
      <c r="E39" s="85">
        <f>E36*$D$24</f>
        <v>303.83249411967216</v>
      </c>
      <c r="F39" s="85">
        <f t="shared" ref="F39:AH39" si="10">F36*$D$24</f>
        <v>319.53062800372305</v>
      </c>
      <c r="G39" s="85">
        <f t="shared" si="10"/>
        <v>336.03983842570369</v>
      </c>
      <c r="H39" s="85">
        <f t="shared" si="10"/>
        <v>353.4020313315873</v>
      </c>
      <c r="I39" s="85">
        <f t="shared" si="10"/>
        <v>371.66127782466822</v>
      </c>
      <c r="J39" s="85">
        <f t="shared" si="10"/>
        <v>390.86392603289653</v>
      </c>
      <c r="K39" s="85">
        <f t="shared" si="10"/>
        <v>411.05871875606408</v>
      </c>
      <c r="L39" s="85">
        <f t="shared" si="10"/>
        <v>432.29691719147303</v>
      </c>
      <c r="M39" s="85">
        <f t="shared" si="10"/>
        <v>454.6324310521502</v>
      </c>
      <c r="N39" s="85">
        <f t="shared" si="10"/>
        <v>478.12195540788588</v>
      </c>
      <c r="O39" s="85">
        <f t="shared" si="10"/>
        <v>502.82511459644979</v>
      </c>
      <c r="P39" s="85">
        <f t="shared" si="10"/>
        <v>528.80461357027821</v>
      </c>
      <c r="Q39" s="85">
        <f t="shared" si="10"/>
        <v>556.12639706279685</v>
      </c>
      <c r="R39" s="85">
        <f t="shared" si="10"/>
        <v>584.85981697840293</v>
      </c>
      <c r="S39" s="85">
        <f t="shared" si="10"/>
        <v>615.07780843099567</v>
      </c>
      <c r="T39" s="85">
        <f t="shared" si="10"/>
        <v>646.85707487790546</v>
      </c>
      <c r="U39" s="85">
        <f t="shared" si="10"/>
        <v>680.27828281914265</v>
      </c>
      <c r="V39" s="85">
        <f t="shared" si="10"/>
        <v>715.42626655619483</v>
      </c>
      <c r="W39" s="85">
        <f t="shared" si="10"/>
        <v>752.39024353010529</v>
      </c>
      <c r="X39" s="85">
        <f t="shared" si="10"/>
        <v>791.26404078543283</v>
      </c>
      <c r="Y39" s="85">
        <f t="shared" si="10"/>
        <v>832.14633313495369</v>
      </c>
      <c r="Z39" s="85">
        <f t="shared" si="10"/>
        <v>875.14089362962159</v>
      </c>
      <c r="AA39" s="85">
        <f t="shared" si="10"/>
        <v>920.35685696958569</v>
      </c>
      <c r="AB39" s="85">
        <f t="shared" si="10"/>
        <v>967.90899652488054</v>
      </c>
      <c r="AC39" s="85">
        <f t="shared" si="10"/>
        <v>1017.918015668962</v>
      </c>
      <c r="AD39" s="85">
        <f t="shared" si="10"/>
        <v>1070.5108541645823</v>
      </c>
      <c r="AE39" s="85">
        <f t="shared" si="10"/>
        <v>1125.8210103797574</v>
      </c>
      <c r="AF39" s="85">
        <f t="shared" si="10"/>
        <v>1183.9888801516347</v>
      </c>
      <c r="AG39" s="85">
        <f t="shared" si="10"/>
        <v>1245.1621131585214</v>
      </c>
      <c r="AH39" s="85">
        <f t="shared" si="10"/>
        <v>1309.4959877045762</v>
      </c>
      <c r="AI39" s="79"/>
    </row>
    <row r="40" spans="2:35" ht="15.5" thickBot="1">
      <c r="B40" s="83" t="s">
        <v>1186</v>
      </c>
      <c r="C40" s="84" t="s">
        <v>212</v>
      </c>
      <c r="D40" s="85">
        <v>0</v>
      </c>
      <c r="E40" s="85">
        <f>E36*$D$26</f>
        <v>315.98579388445904</v>
      </c>
      <c r="F40" s="85">
        <f t="shared" ref="F40:AH40" si="11">F36*$D$26</f>
        <v>332.31185312387197</v>
      </c>
      <c r="G40" s="85">
        <f t="shared" si="11"/>
        <v>349.48143196273185</v>
      </c>
      <c r="H40" s="85">
        <f t="shared" si="11"/>
        <v>367.53811258485081</v>
      </c>
      <c r="I40" s="85">
        <f t="shared" si="11"/>
        <v>386.52772893765496</v>
      </c>
      <c r="J40" s="85">
        <f t="shared" si="11"/>
        <v>406.4984830742124</v>
      </c>
      <c r="K40" s="85">
        <f t="shared" si="11"/>
        <v>427.50106750630664</v>
      </c>
      <c r="L40" s="85">
        <f t="shared" si="11"/>
        <v>449.58879387913197</v>
      </c>
      <c r="M40" s="85">
        <f t="shared" si="11"/>
        <v>472.81772829423625</v>
      </c>
      <c r="N40" s="85">
        <f t="shared" si="11"/>
        <v>497.24683362420132</v>
      </c>
      <c r="O40" s="85">
        <f t="shared" si="11"/>
        <v>522.93811918030781</v>
      </c>
      <c r="P40" s="85">
        <f t="shared" si="11"/>
        <v>549.95679811308935</v>
      </c>
      <c r="Q40" s="85">
        <f t="shared" si="11"/>
        <v>578.37145294530876</v>
      </c>
      <c r="R40" s="85">
        <f t="shared" si="11"/>
        <v>608.25420965753904</v>
      </c>
      <c r="S40" s="85">
        <f t="shared" si="11"/>
        <v>639.68092076823552</v>
      </c>
      <c r="T40" s="85">
        <f t="shared" si="11"/>
        <v>672.73135787302169</v>
      </c>
      <c r="U40" s="85">
        <f t="shared" si="11"/>
        <v>707.48941413190835</v>
      </c>
      <c r="V40" s="85">
        <f t="shared" si="11"/>
        <v>744.04331721844267</v>
      </c>
      <c r="W40" s="85">
        <f t="shared" si="11"/>
        <v>782.48585327130957</v>
      </c>
      <c r="X40" s="85">
        <f t="shared" si="11"/>
        <v>822.91460241685013</v>
      </c>
      <c r="Y40" s="85">
        <f t="shared" si="11"/>
        <v>865.43218646035189</v>
      </c>
      <c r="Z40" s="85">
        <f t="shared" si="11"/>
        <v>910.14652937480651</v>
      </c>
      <c r="AA40" s="85">
        <f t="shared" si="11"/>
        <v>957.17113124836919</v>
      </c>
      <c r="AB40" s="85">
        <f t="shared" si="11"/>
        <v>1006.6253563858758</v>
      </c>
      <c r="AC40" s="85">
        <f t="shared" si="11"/>
        <v>1058.6347362957206</v>
      </c>
      <c r="AD40" s="85">
        <f t="shared" si="11"/>
        <v>1113.3312883311655</v>
      </c>
      <c r="AE40" s="85">
        <f t="shared" si="11"/>
        <v>1170.8538507949477</v>
      </c>
      <c r="AF40" s="85">
        <f t="shared" si="11"/>
        <v>1231.3484353577001</v>
      </c>
      <c r="AG40" s="85">
        <f t="shared" si="11"/>
        <v>1294.9685976848623</v>
      </c>
      <c r="AH40" s="85">
        <f t="shared" si="11"/>
        <v>1361.8758272127593</v>
      </c>
      <c r="AI40" s="79"/>
    </row>
  </sheetData>
  <hyperlinks>
    <hyperlink ref="B3" r:id="rId1" xr:uid="{AC02FA5A-22FD-465A-A96E-71D33097C009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3592-90DB-4242-91D5-B47527EABA93}">
  <sheetPr>
    <tabColor rgb="FFFFC000"/>
  </sheetPr>
  <dimension ref="A1:AH148"/>
  <sheetViews>
    <sheetView zoomScale="70" zoomScaleNormal="70" workbookViewId="0">
      <selection activeCell="K27" sqref="K27"/>
    </sheetView>
  </sheetViews>
  <sheetFormatPr defaultRowHeight="14.75"/>
  <cols>
    <col min="1" max="1" width="44.1796875" customWidth="1"/>
    <col min="2" max="2" width="10.1796875" customWidth="1"/>
    <col min="5" max="5" width="20" bestFit="1" customWidth="1"/>
    <col min="7" max="7" width="18.453125" customWidth="1"/>
    <col min="8" max="8" width="11.453125" customWidth="1"/>
    <col min="11" max="11" width="20.54296875" customWidth="1"/>
    <col min="12" max="12" width="13.81640625" bestFit="1" customWidth="1"/>
    <col min="13" max="13" width="20" bestFit="1" customWidth="1"/>
    <col min="25" max="25" width="30.453125" customWidth="1"/>
    <col min="26" max="26" width="10.453125" customWidth="1"/>
    <col min="29" max="29" width="26" customWidth="1"/>
  </cols>
  <sheetData>
    <row r="1" spans="1:15" s="75" customFormat="1" ht="15.5" thickBot="1">
      <c r="A1" s="75" t="s">
        <v>325</v>
      </c>
    </row>
    <row r="2" spans="1:15">
      <c r="A2" s="50" t="s">
        <v>369</v>
      </c>
    </row>
    <row r="3" spans="1:15">
      <c r="A3" s="138" t="s">
        <v>327</v>
      </c>
    </row>
    <row r="5" spans="1:15">
      <c r="A5" s="129" t="s">
        <v>329</v>
      </c>
      <c r="B5" s="130" t="s">
        <v>141</v>
      </c>
      <c r="C5" s="131"/>
      <c r="D5" s="132" t="s">
        <v>140</v>
      </c>
      <c r="E5" s="131" t="s">
        <v>74</v>
      </c>
      <c r="F5" s="131" t="s">
        <v>34</v>
      </c>
      <c r="G5" s="131" t="s">
        <v>35</v>
      </c>
      <c r="H5" s="133" t="s">
        <v>160</v>
      </c>
      <c r="I5" s="131" t="s">
        <v>24</v>
      </c>
      <c r="J5" s="131" t="s">
        <v>78</v>
      </c>
    </row>
    <row r="6" spans="1:15">
      <c r="A6" s="134" t="s">
        <v>330</v>
      </c>
      <c r="B6" s="533">
        <f>(0.001+0.008)/36.3%*$B$13</f>
        <v>5.7272727272727284E-3</v>
      </c>
      <c r="C6" s="533"/>
      <c r="D6" s="533">
        <f>2.6%/21.1%*$D$13</f>
        <v>2.7232227488151659E-2</v>
      </c>
      <c r="E6" s="533">
        <f>0%/7.6%*$E$13</f>
        <v>0</v>
      </c>
      <c r="F6" s="533">
        <f>0.3%/11.7%*$F$13</f>
        <v>4.0512820512820513E-3</v>
      </c>
      <c r="G6" s="533">
        <f>0%/10.1%*$G$13</f>
        <v>0</v>
      </c>
      <c r="H6" s="533">
        <f>1.6%/8.4%*$H$13</f>
        <v>3.619047619047619E-3</v>
      </c>
      <c r="I6" s="533">
        <f>1.4%/4.8%*$I$13</f>
        <v>7.6125000000000012E-2</v>
      </c>
      <c r="J6" s="135">
        <f>SUM(B6:I6)</f>
        <v>0.11675482988575407</v>
      </c>
      <c r="M6" s="223" t="s">
        <v>1367</v>
      </c>
    </row>
    <row r="7" spans="1:15">
      <c r="A7" s="134" t="s">
        <v>17</v>
      </c>
      <c r="B7" s="533">
        <f>(13.5%+9.3%)/36.3%*$B$13</f>
        <v>0.14509090909090913</v>
      </c>
      <c r="C7" s="533"/>
      <c r="D7" s="533">
        <f>8.2%/21.1%*$D$13</f>
        <v>8.5886255924170596E-2</v>
      </c>
      <c r="E7" s="533">
        <f>2.3%/7.6%*$E$13</f>
        <v>2.2092105263157892E-2</v>
      </c>
      <c r="F7" s="533">
        <f>0.9%/11.7%*$F$13</f>
        <v>1.2153846153846157E-2</v>
      </c>
      <c r="G7" s="533">
        <f>10.1%/10.1%*$G$13</f>
        <v>3.6999999999999998E-2</v>
      </c>
      <c r="H7" s="533">
        <f>0.2%/8.4%*$H$13</f>
        <v>4.5238095238095237E-4</v>
      </c>
      <c r="I7" s="533">
        <f>0.1%/4.8%*$I$13</f>
        <v>5.4375000000000014E-3</v>
      </c>
      <c r="J7" s="135">
        <f t="shared" ref="J7:J12" si="0">SUM(B7:I7)</f>
        <v>0.30811299738446468</v>
      </c>
      <c r="M7" s="224"/>
    </row>
    <row r="8" spans="1:15" ht="29.5">
      <c r="A8" s="136" t="s">
        <v>331</v>
      </c>
      <c r="B8" s="533">
        <f>(1.1%+3.3%)/36.3%*$B$13</f>
        <v>2.8000000000000004E-2</v>
      </c>
      <c r="C8" s="533"/>
      <c r="D8" s="533">
        <f>1.2%/21.1%*$D$13</f>
        <v>1.2568720379146919E-2</v>
      </c>
      <c r="E8" s="533">
        <f>2.2%/7.6%*$E$13</f>
        <v>2.1131578947368421E-2</v>
      </c>
      <c r="F8" s="533">
        <f>8.1%/11.7%*$F$13</f>
        <v>0.1093846153846154</v>
      </c>
      <c r="G8" s="533">
        <f>0%</f>
        <v>0</v>
      </c>
      <c r="H8" s="533">
        <f>2.4%/8.4%*$H$13</f>
        <v>5.4285714285714284E-3</v>
      </c>
      <c r="I8" s="533">
        <f>0.5%/4.8%*$I$13</f>
        <v>2.7187500000000007E-2</v>
      </c>
      <c r="J8" s="135">
        <f t="shared" si="0"/>
        <v>0.20370098613970217</v>
      </c>
    </row>
    <row r="9" spans="1:15" ht="29.5">
      <c r="A9" s="136" t="s">
        <v>332</v>
      </c>
      <c r="B9" s="533">
        <f>(0.5%+0.2%)/36.3%*$B$13</f>
        <v>4.454545454545455E-3</v>
      </c>
      <c r="C9" s="533"/>
      <c r="D9" s="533">
        <f>0.9%/21.1%*$D$13</f>
        <v>9.4265402843601905E-3</v>
      </c>
      <c r="E9" s="533">
        <f>0.6%/7.6%*$E$13</f>
        <v>5.7631578947368424E-3</v>
      </c>
      <c r="F9" s="533">
        <f>0.4%/11.7%*$F$13</f>
        <v>5.4017094017094021E-3</v>
      </c>
      <c r="G9" s="533">
        <v>0</v>
      </c>
      <c r="H9" s="533">
        <f>0.4%/8.4%*$H$13</f>
        <v>9.0476190476190474E-4</v>
      </c>
      <c r="I9" s="533">
        <f>1%/4.8%*$I$13</f>
        <v>5.4375000000000014E-2</v>
      </c>
      <c r="J9" s="135">
        <f t="shared" si="0"/>
        <v>8.0325714940113813E-2</v>
      </c>
    </row>
    <row r="10" spans="1:15" ht="29.5">
      <c r="A10" s="136" t="s">
        <v>333</v>
      </c>
      <c r="B10" s="533">
        <f>(2.9%+1.7%)/36.3%*$B$13</f>
        <v>2.9272727272727277E-2</v>
      </c>
      <c r="C10" s="533"/>
      <c r="D10" s="533">
        <f>3.8%/21.1%*$D$13</f>
        <v>3.9800947867298569E-2</v>
      </c>
      <c r="E10" s="533">
        <f>1.8%/7.6%*$E$13</f>
        <v>1.7289473684210528E-2</v>
      </c>
      <c r="F10" s="533">
        <f>0.6%/11.7%*$F$13</f>
        <v>8.1025641025641026E-3</v>
      </c>
      <c r="G10" s="533">
        <v>0</v>
      </c>
      <c r="H10" s="533">
        <f>1%/8.4%*$H$13</f>
        <v>2.2619047619047618E-3</v>
      </c>
      <c r="I10" s="533">
        <f>0.2%/4.8%*$I$13</f>
        <v>1.0875000000000003E-2</v>
      </c>
      <c r="J10" s="135">
        <f t="shared" si="0"/>
        <v>0.10760261768870524</v>
      </c>
      <c r="L10" s="1" t="s">
        <v>1165</v>
      </c>
      <c r="O10">
        <f>'Demand - C4'!C18/(I13*L14)</f>
        <v>0.21857775768658658</v>
      </c>
    </row>
    <row r="11" spans="1:15" ht="29.5">
      <c r="A11" s="136" t="s">
        <v>334</v>
      </c>
      <c r="B11" s="533">
        <f>(0.2%+0.1%)/36.3%*$B$13</f>
        <v>1.9090909090909093E-3</v>
      </c>
      <c r="C11" s="533"/>
      <c r="D11" s="533">
        <f>0.2%/21.1%*$D$13</f>
        <v>2.0947867298578195E-3</v>
      </c>
      <c r="E11" s="533">
        <f>0%/7.6%*$E$13</f>
        <v>0</v>
      </c>
      <c r="F11" s="533">
        <f>0%/11.7%*$F$13</f>
        <v>0</v>
      </c>
      <c r="G11" s="533">
        <v>0</v>
      </c>
      <c r="H11" s="533">
        <f>0.3%/8.4%*$H$13</f>
        <v>6.7857142857142855E-4</v>
      </c>
      <c r="I11" s="533">
        <v>0</v>
      </c>
      <c r="J11" s="135">
        <f t="shared" si="0"/>
        <v>4.682449067520157E-3</v>
      </c>
    </row>
    <row r="12" spans="1:15">
      <c r="A12" s="134" t="s">
        <v>24</v>
      </c>
      <c r="B12" s="533">
        <f>(1.7%+0.9%)/36.3%*$B$13</f>
        <v>1.6545454545454547E-2</v>
      </c>
      <c r="C12" s="533"/>
      <c r="D12" s="533">
        <f>4.2%/21.1%*$D$13</f>
        <v>4.3990521327014219E-2</v>
      </c>
      <c r="E12" s="533">
        <f>0.7%/7.6%*$E$13</f>
        <v>6.7236842105263149E-3</v>
      </c>
      <c r="F12" s="533">
        <f>1.4%/11.7%*$F$13</f>
        <v>1.8905982905982905E-2</v>
      </c>
      <c r="G12" s="533">
        <v>0</v>
      </c>
      <c r="H12" s="533">
        <f>2.5%/8.4%*$H$13</f>
        <v>5.6547619047619046E-3</v>
      </c>
      <c r="I12" s="533">
        <f>1.6%/4.8%*$I$13</f>
        <v>8.7000000000000022E-2</v>
      </c>
      <c r="J12" s="135">
        <f t="shared" si="0"/>
        <v>0.1788204048937399</v>
      </c>
    </row>
    <row r="13" spans="1:15">
      <c r="A13" s="134" t="s">
        <v>78</v>
      </c>
      <c r="B13" s="532">
        <v>0.23100000000000001</v>
      </c>
      <c r="C13" s="532"/>
      <c r="D13" s="532">
        <v>0.221</v>
      </c>
      <c r="E13" s="532">
        <v>7.2999999999999995E-2</v>
      </c>
      <c r="F13" s="532">
        <v>0.158</v>
      </c>
      <c r="G13" s="532">
        <v>3.6999999999999998E-2</v>
      </c>
      <c r="H13" s="532">
        <v>1.9E-2</v>
      </c>
      <c r="I13" s="532">
        <f>1-B13-D13-E13-F13-G13-H13</f>
        <v>0.26100000000000007</v>
      </c>
      <c r="J13" s="135">
        <f>SUM(J6:J12)</f>
        <v>1</v>
      </c>
      <c r="K13" s="37">
        <f>SUM(B13:I13)</f>
        <v>1.0000000000000002</v>
      </c>
      <c r="L13" s="47"/>
      <c r="M13" t="s">
        <v>541</v>
      </c>
      <c r="N13" t="s">
        <v>543</v>
      </c>
    </row>
    <row r="14" spans="1:15">
      <c r="A14" s="128" t="s">
        <v>328</v>
      </c>
      <c r="B14" s="37"/>
      <c r="C14" s="37"/>
      <c r="D14" s="37"/>
      <c r="E14" s="37"/>
      <c r="F14" s="37"/>
      <c r="G14" s="37"/>
      <c r="H14" s="37"/>
      <c r="I14" s="37"/>
      <c r="L14" s="520">
        <v>10564852</v>
      </c>
      <c r="M14" s="1" t="s">
        <v>693</v>
      </c>
      <c r="N14" s="1" t="s">
        <v>542</v>
      </c>
    </row>
    <row r="15" spans="1:15">
      <c r="A15" s="137"/>
      <c r="L15" s="99">
        <f>L14</f>
        <v>10564852</v>
      </c>
      <c r="N15" t="s">
        <v>690</v>
      </c>
    </row>
    <row r="16" spans="1:15">
      <c r="A16" s="50" t="s">
        <v>335</v>
      </c>
      <c r="L16" s="99">
        <f>P22</f>
        <v>603485.74900000007</v>
      </c>
      <c r="M16" s="50"/>
      <c r="N16" t="s">
        <v>691</v>
      </c>
    </row>
    <row r="17" spans="1:34">
      <c r="A17" s="129" t="s">
        <v>329</v>
      </c>
      <c r="B17" s="130" t="s">
        <v>141</v>
      </c>
      <c r="C17" s="131"/>
      <c r="D17" s="132" t="s">
        <v>140</v>
      </c>
      <c r="E17" s="131" t="s">
        <v>74</v>
      </c>
      <c r="F17" s="131" t="s">
        <v>34</v>
      </c>
      <c r="G17" s="131" t="s">
        <v>35</v>
      </c>
      <c r="H17" s="133" t="s">
        <v>160</v>
      </c>
      <c r="I17" s="131" t="s">
        <v>24</v>
      </c>
      <c r="J17" s="131" t="s">
        <v>78</v>
      </c>
      <c r="L17" s="78">
        <f>L14+L16</f>
        <v>11168337.749</v>
      </c>
      <c r="M17" t="s">
        <v>693</v>
      </c>
      <c r="O17" s="240"/>
      <c r="P17" s="241"/>
      <c r="Q17" s="240"/>
      <c r="R17" s="240"/>
      <c r="S17" s="240"/>
      <c r="T17" s="242"/>
      <c r="U17" s="240"/>
      <c r="V17" s="240"/>
      <c r="X17" s="240"/>
      <c r="Y17" s="240"/>
      <c r="Z17" s="240"/>
      <c r="AA17" s="240"/>
      <c r="AB17" s="240"/>
      <c r="AD17" s="240"/>
      <c r="AE17" s="240"/>
      <c r="AF17" s="240"/>
      <c r="AG17" s="240"/>
      <c r="AH17" s="240"/>
    </row>
    <row r="18" spans="1:34">
      <c r="A18" t="s">
        <v>17</v>
      </c>
      <c r="B18" s="37">
        <f>B7</f>
        <v>0.14509090909090913</v>
      </c>
      <c r="C18" s="37">
        <f t="shared" ref="C18:J18" si="1">C7</f>
        <v>0</v>
      </c>
      <c r="D18" s="37">
        <f t="shared" si="1"/>
        <v>8.5886255924170596E-2</v>
      </c>
      <c r="E18" s="37">
        <f t="shared" si="1"/>
        <v>2.2092105263157892E-2</v>
      </c>
      <c r="F18" s="37">
        <f t="shared" si="1"/>
        <v>1.2153846153846157E-2</v>
      </c>
      <c r="G18" s="37">
        <f t="shared" si="1"/>
        <v>3.6999999999999998E-2</v>
      </c>
      <c r="H18" s="37">
        <f t="shared" si="1"/>
        <v>4.5238095238095237E-4</v>
      </c>
      <c r="I18" s="37">
        <f t="shared" si="1"/>
        <v>5.4375000000000014E-3</v>
      </c>
      <c r="J18" s="37">
        <f t="shared" si="1"/>
        <v>0.30811299738446468</v>
      </c>
      <c r="N18" s="37"/>
      <c r="O18" s="37"/>
      <c r="P18" s="37"/>
      <c r="Q18" s="37"/>
      <c r="R18" s="37"/>
      <c r="S18" s="37"/>
      <c r="T18" s="37"/>
      <c r="U18" s="37"/>
      <c r="V18" s="37"/>
      <c r="X18" s="243"/>
      <c r="Y18" s="243"/>
      <c r="Z18" s="243"/>
      <c r="AA18" s="243"/>
      <c r="AB18" s="243"/>
      <c r="AD18" s="243"/>
      <c r="AE18" s="243"/>
      <c r="AF18" s="243"/>
      <c r="AG18" s="243"/>
      <c r="AH18" s="243"/>
    </row>
    <row r="19" spans="1:34">
      <c r="A19" t="s">
        <v>19</v>
      </c>
      <c r="B19" s="37">
        <f>B8</f>
        <v>2.8000000000000004E-2</v>
      </c>
      <c r="C19" s="37">
        <f t="shared" ref="C19:J19" si="2">C8</f>
        <v>0</v>
      </c>
      <c r="D19" s="37">
        <f t="shared" si="2"/>
        <v>1.2568720379146919E-2</v>
      </c>
      <c r="E19" s="37">
        <f t="shared" si="2"/>
        <v>2.1131578947368421E-2</v>
      </c>
      <c r="F19" s="37">
        <f t="shared" si="2"/>
        <v>0.1093846153846154</v>
      </c>
      <c r="G19" s="37">
        <f t="shared" si="2"/>
        <v>0</v>
      </c>
      <c r="H19" s="37">
        <f t="shared" si="2"/>
        <v>5.4285714285714284E-3</v>
      </c>
      <c r="I19" s="37">
        <f t="shared" si="2"/>
        <v>2.7187500000000007E-2</v>
      </c>
      <c r="J19" s="37">
        <f t="shared" si="2"/>
        <v>0.20370098613970217</v>
      </c>
      <c r="N19" s="37"/>
      <c r="O19" s="37"/>
      <c r="P19" s="37"/>
      <c r="Q19" s="37"/>
      <c r="R19" s="37"/>
      <c r="S19" s="37"/>
      <c r="T19" s="37"/>
      <c r="U19" s="37"/>
      <c r="V19" s="37"/>
      <c r="X19" s="243"/>
      <c r="Y19" s="243"/>
      <c r="Z19" s="243"/>
      <c r="AA19" s="243"/>
      <c r="AB19" s="243"/>
      <c r="AD19" s="243"/>
      <c r="AE19" s="243"/>
      <c r="AF19" s="243"/>
      <c r="AG19" s="243"/>
      <c r="AH19" s="243"/>
    </row>
    <row r="20" spans="1:34">
      <c r="A20" t="s">
        <v>330</v>
      </c>
      <c r="B20" s="37">
        <f>B6</f>
        <v>5.7272727272727284E-3</v>
      </c>
      <c r="C20" s="37">
        <f t="shared" ref="C20:J20" si="3">C6</f>
        <v>0</v>
      </c>
      <c r="D20" s="37">
        <f t="shared" si="3"/>
        <v>2.7232227488151659E-2</v>
      </c>
      <c r="E20" s="37">
        <f t="shared" si="3"/>
        <v>0</v>
      </c>
      <c r="F20" s="37">
        <f t="shared" si="3"/>
        <v>4.0512820512820513E-3</v>
      </c>
      <c r="G20" s="37">
        <f t="shared" si="3"/>
        <v>0</v>
      </c>
      <c r="H20" s="37">
        <f t="shared" si="3"/>
        <v>3.619047619047619E-3</v>
      </c>
      <c r="I20" s="37">
        <f t="shared" si="3"/>
        <v>7.6125000000000012E-2</v>
      </c>
      <c r="J20" s="37">
        <f t="shared" si="3"/>
        <v>0.11675482988575407</v>
      </c>
      <c r="M20" t="s">
        <v>692</v>
      </c>
      <c r="N20" s="37"/>
      <c r="O20" s="37"/>
      <c r="P20" s="37"/>
      <c r="Q20" s="37"/>
      <c r="R20" s="37"/>
      <c r="S20" s="37"/>
      <c r="T20" s="37"/>
      <c r="U20" s="37"/>
      <c r="V20" s="37"/>
      <c r="X20" s="243"/>
      <c r="Y20" s="243"/>
      <c r="Z20" s="243"/>
      <c r="AA20" s="243"/>
      <c r="AB20" s="243"/>
      <c r="AD20" s="243"/>
      <c r="AE20" s="243"/>
      <c r="AF20" s="243"/>
      <c r="AG20" s="243"/>
      <c r="AH20" s="243"/>
    </row>
    <row r="21" spans="1:34">
      <c r="A21" t="s">
        <v>23</v>
      </c>
      <c r="B21" s="37">
        <f>B9</f>
        <v>4.454545454545455E-3</v>
      </c>
      <c r="C21" s="37">
        <f t="shared" ref="C21:J21" si="4">C9</f>
        <v>0</v>
      </c>
      <c r="D21" s="37">
        <f t="shared" si="4"/>
        <v>9.4265402843601905E-3</v>
      </c>
      <c r="E21" s="37">
        <f t="shared" si="4"/>
        <v>5.7631578947368424E-3</v>
      </c>
      <c r="F21" s="37">
        <f t="shared" si="4"/>
        <v>5.4017094017094021E-3</v>
      </c>
      <c r="G21" s="37">
        <f t="shared" si="4"/>
        <v>0</v>
      </c>
      <c r="H21" s="37">
        <f t="shared" si="4"/>
        <v>9.0476190476190474E-4</v>
      </c>
      <c r="I21" s="37">
        <f t="shared" si="4"/>
        <v>5.4375000000000014E-2</v>
      </c>
      <c r="J21" s="37">
        <f t="shared" si="4"/>
        <v>8.0325714940113813E-2</v>
      </c>
      <c r="M21" t="s">
        <v>35</v>
      </c>
      <c r="N21" s="37" t="s">
        <v>27</v>
      </c>
      <c r="O21" s="37" t="s">
        <v>140</v>
      </c>
      <c r="P21" s="37"/>
      <c r="Q21" s="37"/>
      <c r="R21" s="37"/>
      <c r="S21" s="37"/>
      <c r="T21" s="37"/>
      <c r="U21" s="37"/>
      <c r="V21" s="37"/>
      <c r="X21" s="243"/>
      <c r="Y21" s="243"/>
      <c r="Z21" s="243"/>
      <c r="AA21" s="243"/>
      <c r="AB21" s="243"/>
      <c r="AD21" s="243"/>
      <c r="AE21" s="243"/>
      <c r="AF21" s="243"/>
      <c r="AG21" s="243"/>
      <c r="AH21" s="243"/>
    </row>
    <row r="22" spans="1:34">
      <c r="A22" t="s">
        <v>336</v>
      </c>
      <c r="B22" s="37">
        <f>B10</f>
        <v>2.9272727272727277E-2</v>
      </c>
      <c r="C22" s="37">
        <f t="shared" ref="C22:J22" si="5">C10</f>
        <v>0</v>
      </c>
      <c r="D22" s="37">
        <f t="shared" si="5"/>
        <v>3.9800947867298569E-2</v>
      </c>
      <c r="E22" s="37">
        <f t="shared" si="5"/>
        <v>1.7289473684210528E-2</v>
      </c>
      <c r="F22" s="37">
        <f t="shared" si="5"/>
        <v>8.1025641025641026E-3</v>
      </c>
      <c r="G22" s="37">
        <f t="shared" si="5"/>
        <v>0</v>
      </c>
      <c r="H22" s="37">
        <f t="shared" si="5"/>
        <v>2.2619047619047618E-3</v>
      </c>
      <c r="I22" s="37">
        <f t="shared" si="5"/>
        <v>1.0875000000000003E-2</v>
      </c>
      <c r="J22" s="37">
        <f t="shared" si="5"/>
        <v>0.10760261768870524</v>
      </c>
      <c r="M22" s="39">
        <f>'Demand - Ethylene'!I24/'Demand - Ethylene'!E36</f>
        <v>402316.2</v>
      </c>
      <c r="N22" s="308">
        <f>10.7%*107</f>
        <v>11.449</v>
      </c>
      <c r="O22" s="39">
        <f>'Demand - Propylene'!D17</f>
        <v>201158.1</v>
      </c>
      <c r="P22" s="249">
        <f>SUM(M22:O22)</f>
        <v>603485.74900000007</v>
      </c>
      <c r="Q22" s="37"/>
      <c r="R22" s="37"/>
      <c r="S22" s="37"/>
      <c r="T22" s="37"/>
      <c r="U22" s="37"/>
      <c r="V22" s="37"/>
      <c r="X22" s="243"/>
      <c r="Y22" s="243"/>
      <c r="Z22" s="243"/>
      <c r="AA22" s="243"/>
      <c r="AB22" s="243"/>
      <c r="AD22" s="243"/>
      <c r="AE22" s="243"/>
      <c r="AF22" s="243"/>
      <c r="AG22" s="243"/>
      <c r="AH22" s="243"/>
    </row>
    <row r="23" spans="1:34">
      <c r="A23" t="s">
        <v>27</v>
      </c>
      <c r="B23" s="37">
        <f>B12+B11</f>
        <v>1.8454545454545456E-2</v>
      </c>
      <c r="C23" s="37">
        <f t="shared" ref="C23:J23" si="6">C12+C11</f>
        <v>0</v>
      </c>
      <c r="D23" s="37">
        <f t="shared" si="6"/>
        <v>4.608530805687204E-2</v>
      </c>
      <c r="E23" s="37">
        <f t="shared" si="6"/>
        <v>6.7236842105263149E-3</v>
      </c>
      <c r="F23" s="37">
        <f t="shared" si="6"/>
        <v>1.8905982905982905E-2</v>
      </c>
      <c r="G23" s="37">
        <f t="shared" si="6"/>
        <v>0</v>
      </c>
      <c r="H23" s="37">
        <f t="shared" si="6"/>
        <v>6.3333333333333332E-3</v>
      </c>
      <c r="I23" s="37">
        <f t="shared" si="6"/>
        <v>8.7000000000000022E-2</v>
      </c>
      <c r="J23" s="37">
        <f t="shared" si="6"/>
        <v>0.18350285396126007</v>
      </c>
      <c r="M23" t="s">
        <v>695</v>
      </c>
      <c r="N23" s="37" t="s">
        <v>697</v>
      </c>
      <c r="O23" s="37" t="s">
        <v>696</v>
      </c>
      <c r="P23" s="37"/>
      <c r="Q23" s="37"/>
      <c r="R23" s="37"/>
      <c r="S23" s="37"/>
      <c r="T23" s="37"/>
      <c r="U23" s="37"/>
      <c r="V23" s="37"/>
      <c r="X23" s="243"/>
      <c r="Y23" s="243"/>
      <c r="Z23" s="243"/>
      <c r="AA23" s="243"/>
      <c r="AB23" s="243"/>
      <c r="AD23" s="243"/>
      <c r="AE23" s="243"/>
      <c r="AF23" s="243"/>
      <c r="AG23" s="243"/>
      <c r="AH23" s="243"/>
    </row>
    <row r="24" spans="1:34">
      <c r="A24" t="s">
        <v>43</v>
      </c>
      <c r="B24" s="37">
        <f t="shared" ref="B24:J24" si="7">SUM(B18:B23)</f>
        <v>0.23100000000000004</v>
      </c>
      <c r="C24" s="37">
        <f t="shared" si="7"/>
        <v>0</v>
      </c>
      <c r="D24" s="37">
        <f t="shared" si="7"/>
        <v>0.22099999999999997</v>
      </c>
      <c r="E24" s="37">
        <f t="shared" si="7"/>
        <v>7.2999999999999995E-2</v>
      </c>
      <c r="F24" s="37">
        <f t="shared" si="7"/>
        <v>0.15800000000000003</v>
      </c>
      <c r="G24" s="37">
        <f t="shared" si="7"/>
        <v>3.6999999999999998E-2</v>
      </c>
      <c r="H24" s="37">
        <f t="shared" si="7"/>
        <v>1.9E-2</v>
      </c>
      <c r="I24" s="37">
        <f t="shared" si="7"/>
        <v>0.26100000000000001</v>
      </c>
      <c r="J24" s="37">
        <f t="shared" si="7"/>
        <v>1</v>
      </c>
      <c r="M24" s="217">
        <f>M22/$P$22</f>
        <v>0.66665401903301613</v>
      </c>
      <c r="N24" s="217">
        <f t="shared" ref="N24:O24" si="8">N22/$P$22</f>
        <v>1.8971450475792426E-5</v>
      </c>
      <c r="O24" s="217">
        <f t="shared" si="8"/>
        <v>0.33332700951650807</v>
      </c>
      <c r="P24" s="37"/>
      <c r="Q24" s="37"/>
      <c r="R24" s="37"/>
      <c r="S24" s="37"/>
      <c r="T24" s="37"/>
      <c r="U24" s="37"/>
      <c r="V24" s="37"/>
      <c r="X24" s="243"/>
      <c r="Y24" s="243"/>
      <c r="Z24" s="243"/>
      <c r="AA24" s="243"/>
      <c r="AB24" s="243"/>
      <c r="AD24" s="243"/>
      <c r="AE24" s="243"/>
      <c r="AF24" s="243"/>
      <c r="AG24" s="243"/>
      <c r="AH24" s="243"/>
    </row>
    <row r="25" spans="1:34">
      <c r="M25" s="39">
        <f>N22/(M22+N22)</f>
        <v>2.8456905779299296E-5</v>
      </c>
    </row>
    <row r="26" spans="1:34">
      <c r="A26" s="50" t="s">
        <v>335</v>
      </c>
      <c r="M26" s="50"/>
    </row>
    <row r="27" spans="1:34">
      <c r="A27" s="129" t="s">
        <v>329</v>
      </c>
      <c r="B27" s="130" t="s">
        <v>141</v>
      </c>
      <c r="C27" s="131" t="s">
        <v>140</v>
      </c>
      <c r="D27" s="132" t="s">
        <v>74</v>
      </c>
      <c r="E27" s="131" t="s">
        <v>34</v>
      </c>
      <c r="F27" s="131" t="s">
        <v>35</v>
      </c>
      <c r="G27" s="131" t="s">
        <v>160</v>
      </c>
      <c r="H27" s="133" t="s">
        <v>27</v>
      </c>
      <c r="I27" s="131" t="s">
        <v>78</v>
      </c>
      <c r="J27" s="131"/>
      <c r="M27" s="238"/>
      <c r="N27" s="239"/>
      <c r="O27" s="240"/>
      <c r="P27" s="241"/>
      <c r="Q27" s="240"/>
      <c r="R27" s="240"/>
      <c r="S27" s="240"/>
      <c r="T27" s="242"/>
      <c r="U27" s="240"/>
      <c r="V27" s="240"/>
      <c r="X27" s="240"/>
      <c r="Y27" s="240"/>
      <c r="Z27" s="240"/>
      <c r="AA27" s="240"/>
      <c r="AB27" s="240"/>
      <c r="AD27" s="240"/>
      <c r="AE27" s="240"/>
      <c r="AF27" s="240"/>
      <c r="AG27" s="240"/>
      <c r="AH27" s="240"/>
    </row>
    <row r="28" spans="1:34">
      <c r="A28" t="s">
        <v>689</v>
      </c>
      <c r="B28" s="37">
        <f>B18+C18+B22+C22</f>
        <v>0.17436363636363642</v>
      </c>
      <c r="C28" s="37">
        <f>D18+D22</f>
        <v>0.12568720379146917</v>
      </c>
      <c r="D28" s="37">
        <f t="shared" ref="D28:H28" si="9">E18+E22</f>
        <v>3.938157894736842E-2</v>
      </c>
      <c r="E28" s="37">
        <f t="shared" si="9"/>
        <v>2.025641025641026E-2</v>
      </c>
      <c r="F28" s="37">
        <f t="shared" si="9"/>
        <v>3.6999999999999998E-2</v>
      </c>
      <c r="G28" s="37">
        <f t="shared" si="9"/>
        <v>2.7142857142857142E-3</v>
      </c>
      <c r="H28" s="37">
        <f t="shared" si="9"/>
        <v>1.6312500000000004E-2</v>
      </c>
      <c r="I28" s="37">
        <f>SUM(B28:H28)</f>
        <v>0.41571561507317001</v>
      </c>
      <c r="J28" s="37"/>
      <c r="M28" s="217">
        <f>M22/$P$22</f>
        <v>0.66665401903301613</v>
      </c>
      <c r="N28" s="217">
        <f t="shared" ref="N28:O28" si="10">N22/$P$22</f>
        <v>1.8971450475792426E-5</v>
      </c>
      <c r="O28" s="217">
        <f t="shared" si="10"/>
        <v>0.33332700951650807</v>
      </c>
      <c r="P28" s="37"/>
      <c r="Q28" s="37"/>
      <c r="R28" s="37"/>
      <c r="S28" s="37"/>
      <c r="T28" s="37"/>
      <c r="U28" s="37"/>
      <c r="V28" s="37"/>
      <c r="X28" s="243"/>
      <c r="Y28" s="243"/>
      <c r="Z28" s="243"/>
      <c r="AA28" s="243"/>
      <c r="AB28" s="243"/>
      <c r="AD28" s="243"/>
      <c r="AE28" s="243"/>
      <c r="AF28" s="243"/>
      <c r="AG28" s="243"/>
      <c r="AH28" s="243"/>
    </row>
    <row r="29" spans="1:34">
      <c r="A29" t="s">
        <v>19</v>
      </c>
      <c r="B29" s="37">
        <f>B19+C19</f>
        <v>2.8000000000000004E-2</v>
      </c>
      <c r="C29" s="37">
        <f>D19</f>
        <v>1.2568720379146919E-2</v>
      </c>
      <c r="D29" s="37">
        <f t="shared" ref="D29:H29" si="11">E19</f>
        <v>2.1131578947368421E-2</v>
      </c>
      <c r="E29" s="37">
        <f t="shared" si="11"/>
        <v>0.1093846153846154</v>
      </c>
      <c r="F29" s="37">
        <f t="shared" si="11"/>
        <v>0</v>
      </c>
      <c r="G29" s="37">
        <f t="shared" si="11"/>
        <v>5.4285714285714284E-3</v>
      </c>
      <c r="H29" s="37">
        <f t="shared" si="11"/>
        <v>2.7187500000000007E-2</v>
      </c>
      <c r="I29" s="37">
        <f t="shared" ref="I29:I30" si="12">SUM(B29:H29)</f>
        <v>0.20370098613970217</v>
      </c>
      <c r="J29" s="37"/>
      <c r="N29" s="37"/>
      <c r="O29" s="37"/>
      <c r="P29" s="37"/>
      <c r="Q29" s="37"/>
      <c r="R29" s="37"/>
      <c r="S29" s="37"/>
      <c r="T29" s="37"/>
      <c r="U29" s="37"/>
      <c r="V29" s="37"/>
      <c r="X29" s="243"/>
      <c r="Y29" s="243"/>
      <c r="Z29" s="243"/>
      <c r="AA29" s="243"/>
      <c r="AB29" s="243"/>
      <c r="AD29" s="243"/>
      <c r="AE29" s="243"/>
      <c r="AF29" s="243"/>
      <c r="AG29" s="243"/>
      <c r="AH29" s="243"/>
    </row>
    <row r="30" spans="1:34">
      <c r="A30" t="s">
        <v>330</v>
      </c>
      <c r="B30" s="37">
        <f>B20+C20</f>
        <v>5.7272727272727284E-3</v>
      </c>
      <c r="C30" s="37">
        <f>D20</f>
        <v>2.7232227488151659E-2</v>
      </c>
      <c r="D30" s="37">
        <f t="shared" ref="D30:G30" si="13">E20</f>
        <v>0</v>
      </c>
      <c r="E30" s="37">
        <f t="shared" si="13"/>
        <v>4.0512820512820513E-3</v>
      </c>
      <c r="F30" s="37">
        <f t="shared" si="13"/>
        <v>0</v>
      </c>
      <c r="G30" s="37">
        <f t="shared" si="13"/>
        <v>3.619047619047619E-3</v>
      </c>
      <c r="H30" s="37">
        <f>I20</f>
        <v>7.6125000000000012E-2</v>
      </c>
      <c r="I30" s="37">
        <f t="shared" si="12"/>
        <v>0.11675482988575407</v>
      </c>
      <c r="J30" s="37"/>
      <c r="N30" s="37"/>
      <c r="O30" s="37"/>
      <c r="P30" s="37"/>
      <c r="Q30" s="37"/>
      <c r="R30" s="37"/>
      <c r="S30" s="37"/>
      <c r="T30" s="37"/>
      <c r="U30" s="37"/>
      <c r="V30" s="37"/>
      <c r="X30" s="243"/>
      <c r="Y30" s="243"/>
      <c r="Z30" s="243"/>
      <c r="AA30" s="243"/>
      <c r="AB30" s="243"/>
      <c r="AD30" s="243"/>
      <c r="AE30" s="243"/>
      <c r="AF30" s="243"/>
      <c r="AG30" s="243"/>
      <c r="AH30" s="243"/>
    </row>
    <row r="31" spans="1:34">
      <c r="A31" t="s">
        <v>27</v>
      </c>
      <c r="B31" s="37">
        <f>B23+B21+C21+C23</f>
        <v>2.290909090909091E-2</v>
      </c>
      <c r="C31" s="37">
        <f t="shared" ref="C31:H31" si="14">D21+D23</f>
        <v>5.5511848341232232E-2</v>
      </c>
      <c r="D31" s="37">
        <f t="shared" si="14"/>
        <v>1.2486842105263157E-2</v>
      </c>
      <c r="E31" s="37">
        <f t="shared" si="14"/>
        <v>2.4307692307692308E-2</v>
      </c>
      <c r="F31" s="37">
        <f t="shared" si="14"/>
        <v>0</v>
      </c>
      <c r="G31" s="37">
        <f t="shared" si="14"/>
        <v>7.2380952380952379E-3</v>
      </c>
      <c r="H31" s="37">
        <f t="shared" si="14"/>
        <v>0.14137500000000003</v>
      </c>
      <c r="I31" s="37">
        <f>SUM(B31:H31)</f>
        <v>0.26382856890137385</v>
      </c>
      <c r="J31" s="37"/>
      <c r="N31" s="37"/>
      <c r="O31" s="37"/>
      <c r="P31" s="37"/>
      <c r="Q31" s="37"/>
      <c r="R31" s="37"/>
      <c r="S31" s="37"/>
      <c r="T31" s="37"/>
      <c r="U31" s="37"/>
      <c r="V31" s="37"/>
      <c r="X31" s="243"/>
      <c r="Y31" s="243"/>
      <c r="Z31" s="243"/>
      <c r="AA31" s="243"/>
      <c r="AB31" s="243"/>
      <c r="AD31" s="243"/>
      <c r="AE31" s="243"/>
      <c r="AF31" s="243"/>
      <c r="AG31" s="243"/>
      <c r="AH31" s="243"/>
    </row>
    <row r="32" spans="1:34">
      <c r="A32" t="s">
        <v>78</v>
      </c>
      <c r="B32" s="37">
        <f t="shared" ref="B32:H32" si="15">SUM(B28:B31)</f>
        <v>0.23100000000000004</v>
      </c>
      <c r="C32" s="37">
        <f t="shared" si="15"/>
        <v>0.22099999999999997</v>
      </c>
      <c r="D32" s="37">
        <f t="shared" si="15"/>
        <v>7.2999999999999995E-2</v>
      </c>
      <c r="E32" s="37">
        <f t="shared" si="15"/>
        <v>0.15800000000000003</v>
      </c>
      <c r="F32" s="37">
        <f t="shared" si="15"/>
        <v>3.6999999999999998E-2</v>
      </c>
      <c r="G32" s="37">
        <f t="shared" si="15"/>
        <v>1.9E-2</v>
      </c>
      <c r="H32" s="37">
        <f t="shared" si="15"/>
        <v>0.26100000000000007</v>
      </c>
      <c r="I32" s="37">
        <f>SUM(B32:H32)</f>
        <v>1.0000000000000002</v>
      </c>
      <c r="J32" s="37"/>
      <c r="N32" s="37"/>
      <c r="O32" s="37"/>
      <c r="P32" s="37"/>
      <c r="Q32" s="37"/>
      <c r="R32" s="37"/>
      <c r="S32" s="37"/>
      <c r="T32" s="37"/>
      <c r="U32" s="37"/>
      <c r="V32" s="37"/>
      <c r="X32" s="243"/>
      <c r="Y32" s="243"/>
      <c r="Z32" s="243"/>
      <c r="AA32" s="243"/>
      <c r="AB32" s="243"/>
      <c r="AD32" s="243"/>
      <c r="AE32" s="243"/>
      <c r="AF32" s="243"/>
      <c r="AG32" s="243"/>
      <c r="AH32" s="243"/>
    </row>
    <row r="33" spans="1:34">
      <c r="J33" s="37"/>
      <c r="N33" s="37"/>
      <c r="O33" s="37"/>
      <c r="P33" s="37"/>
      <c r="Q33" s="37"/>
      <c r="R33" s="37"/>
      <c r="S33" s="37"/>
      <c r="T33" s="37"/>
      <c r="U33" s="37"/>
      <c r="V33" s="37"/>
      <c r="X33" s="243"/>
      <c r="Y33" s="243"/>
      <c r="Z33" s="243"/>
      <c r="AA33" s="243"/>
      <c r="AB33" s="243"/>
      <c r="AD33" s="243"/>
      <c r="AE33" s="243"/>
      <c r="AF33" s="243"/>
      <c r="AG33" s="243"/>
      <c r="AH33" s="243"/>
    </row>
    <row r="34" spans="1:34">
      <c r="A34" s="50" t="s">
        <v>694</v>
      </c>
      <c r="M34" s="50"/>
    </row>
    <row r="35" spans="1:34">
      <c r="A35" s="129" t="s">
        <v>329</v>
      </c>
      <c r="B35" s="130" t="s">
        <v>141</v>
      </c>
      <c r="C35" s="131" t="s">
        <v>140</v>
      </c>
      <c r="D35" s="132" t="s">
        <v>74</v>
      </c>
      <c r="E35" s="131" t="s">
        <v>34</v>
      </c>
      <c r="F35" s="131" t="s">
        <v>35</v>
      </c>
      <c r="G35" s="131" t="s">
        <v>160</v>
      </c>
      <c r="H35" s="133" t="s">
        <v>27</v>
      </c>
      <c r="I35" s="131" t="s">
        <v>78</v>
      </c>
      <c r="J35" s="131"/>
      <c r="M35" s="238"/>
      <c r="N35" s="239"/>
      <c r="O35" s="240"/>
      <c r="P35" s="241"/>
      <c r="Q35" s="240"/>
      <c r="R35" s="240"/>
      <c r="S35" s="240"/>
      <c r="T35" s="242"/>
      <c r="U35" s="240"/>
      <c r="V35" s="240"/>
      <c r="X35" s="240"/>
      <c r="Y35" s="240"/>
      <c r="Z35" s="240"/>
      <c r="AA35" s="240"/>
      <c r="AB35" s="240"/>
      <c r="AD35" s="240"/>
      <c r="AE35" s="240"/>
      <c r="AF35" s="240"/>
      <c r="AG35" s="240"/>
      <c r="AH35" s="240"/>
    </row>
    <row r="36" spans="1:34">
      <c r="A36" t="s">
        <v>689</v>
      </c>
      <c r="B36" s="37">
        <f>B28*$L$15/$L$17</f>
        <v>0.16494182516360403</v>
      </c>
      <c r="C36" s="37">
        <f t="shared" ref="C36:H36" si="16">C28*$L$15/$L$17</f>
        <v>0.11889564375590328</v>
      </c>
      <c r="D36" s="37">
        <f t="shared" si="16"/>
        <v>3.7253579042460169E-2</v>
      </c>
      <c r="E36" s="37">
        <f t="shared" si="16"/>
        <v>1.9161846751045677E-2</v>
      </c>
      <c r="F36" s="37">
        <f t="shared" si="16"/>
        <v>3.5000689698428997E-2</v>
      </c>
      <c r="G36" s="37">
        <f t="shared" si="16"/>
        <v>2.5676181632052161E-3</v>
      </c>
      <c r="H36" s="37">
        <f t="shared" si="16"/>
        <v>1.5431047316368195E-2</v>
      </c>
      <c r="I36" s="37">
        <f>SUM(B36:H36)</f>
        <v>0.39325224989101559</v>
      </c>
      <c r="J36" s="37"/>
      <c r="N36" s="37"/>
      <c r="O36" s="37"/>
      <c r="P36" s="37"/>
      <c r="Q36" s="37"/>
      <c r="R36" s="37"/>
      <c r="S36" s="37"/>
      <c r="T36" s="37"/>
      <c r="U36" s="37"/>
      <c r="V36" s="37"/>
      <c r="X36" s="243"/>
      <c r="Y36" s="243"/>
      <c r="Z36" s="243"/>
      <c r="AA36" s="243"/>
      <c r="AB36" s="243"/>
      <c r="AD36" s="243"/>
      <c r="AE36" s="243"/>
      <c r="AF36" s="243"/>
      <c r="AG36" s="243"/>
      <c r="AH36" s="243"/>
    </row>
    <row r="37" spans="1:34">
      <c r="A37" t="s">
        <v>19</v>
      </c>
      <c r="B37" s="37">
        <f t="shared" ref="B37:H37" si="17">B29*$L$15/$L$17</f>
        <v>2.6487008420432757E-2</v>
      </c>
      <c r="C37" s="37">
        <f t="shared" si="17"/>
        <v>1.188956437559033E-2</v>
      </c>
      <c r="D37" s="37">
        <f t="shared" si="17"/>
        <v>1.9989725339856674E-2</v>
      </c>
      <c r="E37" s="37">
        <f t="shared" si="17"/>
        <v>0.10347397245564666</v>
      </c>
      <c r="F37" s="37">
        <f t="shared" si="17"/>
        <v>0</v>
      </c>
      <c r="G37" s="37">
        <f t="shared" si="17"/>
        <v>5.1352363264104322E-3</v>
      </c>
      <c r="H37" s="37">
        <f t="shared" si="17"/>
        <v>2.571841219394699E-2</v>
      </c>
      <c r="I37" s="37">
        <f t="shared" ref="I37:I39" si="18">SUM(B37:H37)</f>
        <v>0.19269391911188385</v>
      </c>
      <c r="J37" s="37"/>
      <c r="N37" s="37"/>
      <c r="O37" s="37"/>
      <c r="P37" s="37"/>
      <c r="Q37" s="37"/>
      <c r="R37" s="37"/>
      <c r="S37" s="37"/>
      <c r="T37" s="37"/>
      <c r="U37" s="37"/>
      <c r="V37" s="37"/>
      <c r="X37" s="243"/>
      <c r="Y37" s="243"/>
      <c r="Z37" s="243"/>
      <c r="AA37" s="243"/>
      <c r="AB37" s="243"/>
      <c r="AD37" s="243"/>
      <c r="AE37" s="243"/>
      <c r="AF37" s="243"/>
      <c r="AG37" s="243"/>
      <c r="AH37" s="243"/>
    </row>
    <row r="38" spans="1:34">
      <c r="A38" t="s">
        <v>330</v>
      </c>
      <c r="B38" s="37">
        <f t="shared" ref="B38:G38" si="19">B30*$L$15/$L$17</f>
        <v>5.4177971769067013E-3</v>
      </c>
      <c r="C38" s="37">
        <f t="shared" si="19"/>
        <v>2.5760722813779047E-2</v>
      </c>
      <c r="D38" s="37">
        <f t="shared" si="19"/>
        <v>0</v>
      </c>
      <c r="E38" s="37">
        <f t="shared" si="19"/>
        <v>3.8323693502091351E-3</v>
      </c>
      <c r="F38" s="37">
        <f t="shared" si="19"/>
        <v>0</v>
      </c>
      <c r="G38" s="37">
        <f t="shared" si="19"/>
        <v>3.4234908842736213E-3</v>
      </c>
      <c r="H38" s="37">
        <f>H30*$L$15/$L$17</f>
        <v>7.2011554143051562E-2</v>
      </c>
      <c r="I38" s="37">
        <f t="shared" si="18"/>
        <v>0.11044593436822006</v>
      </c>
      <c r="J38" s="37"/>
      <c r="N38" s="37"/>
      <c r="O38" s="37"/>
      <c r="P38" s="37"/>
      <c r="Q38" s="37"/>
      <c r="R38" s="37"/>
      <c r="S38" s="37"/>
      <c r="T38" s="37"/>
      <c r="U38" s="37"/>
      <c r="V38" s="37"/>
      <c r="X38" s="243"/>
      <c r="Y38" s="243"/>
      <c r="Z38" s="243"/>
      <c r="AA38" s="243"/>
      <c r="AB38" s="243"/>
      <c r="AD38" s="243"/>
      <c r="AE38" s="243"/>
      <c r="AF38" s="243"/>
      <c r="AG38" s="243"/>
      <c r="AH38" s="243"/>
    </row>
    <row r="39" spans="1:34">
      <c r="A39" t="s">
        <v>702</v>
      </c>
      <c r="B39" s="37">
        <v>0</v>
      </c>
      <c r="C39" s="37">
        <f>O22/L17</f>
        <v>1.8011462808600276E-2</v>
      </c>
      <c r="D39" s="37">
        <v>0</v>
      </c>
      <c r="E39" s="37">
        <v>0</v>
      </c>
      <c r="F39" s="37">
        <f>M22/L17</f>
        <v>3.6022925617200552E-2</v>
      </c>
      <c r="G39" s="37">
        <v>0</v>
      </c>
      <c r="H39" s="37">
        <f>N22/L17</f>
        <v>1.0251301722161053E-6</v>
      </c>
      <c r="I39" s="37">
        <f t="shared" si="18"/>
        <v>5.4035413555973043E-2</v>
      </c>
      <c r="J39" s="37"/>
      <c r="N39" s="37"/>
      <c r="O39" s="37"/>
      <c r="P39" s="37"/>
      <c r="Q39" s="37"/>
      <c r="R39" s="37"/>
      <c r="S39" s="37"/>
      <c r="T39" s="37"/>
      <c r="U39" s="37"/>
      <c r="V39" s="37"/>
      <c r="X39" s="243"/>
      <c r="Y39" s="243"/>
      <c r="Z39" s="243"/>
      <c r="AA39" s="243"/>
      <c r="AB39" s="243"/>
      <c r="AD39" s="243"/>
      <c r="AE39" s="243"/>
      <c r="AF39" s="243"/>
      <c r="AG39" s="243"/>
      <c r="AH39" s="243"/>
    </row>
    <row r="40" spans="1:34">
      <c r="A40" t="s">
        <v>27</v>
      </c>
      <c r="B40" s="37">
        <f>B31*$L$15/$L$17</f>
        <v>2.1671188707626802E-2</v>
      </c>
      <c r="C40" s="37">
        <f t="shared" ref="C40:H40" si="20">C31*$L$15/$L$17</f>
        <v>5.2512242658857289E-2</v>
      </c>
      <c r="D40" s="37">
        <f t="shared" si="20"/>
        <v>1.1812110428097126E-2</v>
      </c>
      <c r="E40" s="37">
        <f t="shared" si="20"/>
        <v>2.2994216101254808E-2</v>
      </c>
      <c r="F40" s="37">
        <f t="shared" si="20"/>
        <v>0</v>
      </c>
      <c r="G40" s="37">
        <f t="shared" si="20"/>
        <v>6.8469817685472426E-3</v>
      </c>
      <c r="H40" s="37">
        <f t="shared" si="20"/>
        <v>0.13373574340852434</v>
      </c>
      <c r="I40" s="37">
        <f>SUM(B40:H40)</f>
        <v>0.24957248307290761</v>
      </c>
      <c r="J40" s="37"/>
      <c r="N40" s="37"/>
      <c r="O40" s="37"/>
      <c r="P40" s="37"/>
      <c r="Q40" s="37"/>
      <c r="R40" s="37"/>
      <c r="S40" s="37"/>
      <c r="T40" s="37"/>
      <c r="U40" s="37"/>
      <c r="V40" s="37"/>
      <c r="X40" s="243"/>
      <c r="Y40" s="243"/>
      <c r="Z40" s="243"/>
      <c r="AA40" s="243"/>
      <c r="AB40" s="243"/>
      <c r="AD40" s="243"/>
      <c r="AE40" s="243"/>
      <c r="AF40" s="243"/>
      <c r="AG40" s="243"/>
      <c r="AH40" s="243"/>
    </row>
    <row r="41" spans="1:34">
      <c r="A41" t="s">
        <v>78</v>
      </c>
      <c r="B41" s="37">
        <f t="shared" ref="B41:H41" si="21">SUM(B36:B40)</f>
        <v>0.2185178194685703</v>
      </c>
      <c r="C41" s="37">
        <f t="shared" si="21"/>
        <v>0.22706963641273023</v>
      </c>
      <c r="D41" s="37">
        <f t="shared" si="21"/>
        <v>6.9055414810413968E-2</v>
      </c>
      <c r="E41" s="37">
        <f t="shared" si="21"/>
        <v>0.1494624046581563</v>
      </c>
      <c r="F41" s="37">
        <f t="shared" si="21"/>
        <v>7.1023615315629549E-2</v>
      </c>
      <c r="G41" s="37">
        <f t="shared" si="21"/>
        <v>1.7973327142436511E-2</v>
      </c>
      <c r="H41" s="37">
        <f t="shared" si="21"/>
        <v>0.24689778219206332</v>
      </c>
      <c r="I41" s="37">
        <f>SUM(B41:H41)</f>
        <v>1.0000000000000002</v>
      </c>
      <c r="J41" s="37"/>
      <c r="N41" s="37"/>
      <c r="O41" s="37"/>
      <c r="P41" s="37"/>
      <c r="Q41" s="37"/>
      <c r="R41" s="37"/>
      <c r="S41" s="37"/>
      <c r="T41" s="37"/>
      <c r="U41" s="37"/>
      <c r="V41" s="37"/>
      <c r="X41" s="243"/>
      <c r="Y41" s="243"/>
      <c r="Z41" s="243"/>
      <c r="AA41" s="243"/>
      <c r="AB41" s="243"/>
      <c r="AD41" s="243"/>
      <c r="AE41" s="243"/>
      <c r="AF41" s="243"/>
      <c r="AG41" s="243"/>
      <c r="AH41" s="243"/>
    </row>
    <row r="42" spans="1:34">
      <c r="J42" s="37"/>
      <c r="N42" s="37"/>
      <c r="O42" s="37"/>
      <c r="P42" s="37"/>
      <c r="Q42" s="37"/>
      <c r="R42" s="37"/>
      <c r="S42" s="37"/>
      <c r="T42" s="37"/>
      <c r="U42" s="37"/>
      <c r="V42" s="37"/>
      <c r="X42" s="243"/>
      <c r="Y42" s="243"/>
      <c r="Z42" s="243"/>
      <c r="AA42" s="243"/>
      <c r="AB42" s="243"/>
      <c r="AD42" s="243"/>
      <c r="AE42" s="243"/>
      <c r="AF42" s="243"/>
      <c r="AG42" s="243"/>
      <c r="AH42" s="243"/>
    </row>
    <row r="43" spans="1:34">
      <c r="J43" s="37"/>
      <c r="N43" s="37"/>
      <c r="O43" s="37"/>
      <c r="P43" s="37"/>
      <c r="Q43" s="37"/>
      <c r="R43" s="37"/>
      <c r="S43" s="37"/>
      <c r="T43" s="37"/>
      <c r="U43" s="37"/>
      <c r="V43" s="37"/>
      <c r="X43" s="243"/>
      <c r="Y43" s="243"/>
      <c r="Z43" s="243"/>
      <c r="AA43" s="243"/>
      <c r="AB43" s="243"/>
      <c r="AD43" s="243"/>
      <c r="AE43" s="243"/>
      <c r="AF43" s="243"/>
      <c r="AG43" s="243"/>
      <c r="AH43" s="243"/>
    </row>
    <row r="44" spans="1:34">
      <c r="A44" s="50" t="s">
        <v>703</v>
      </c>
      <c r="M44" s="50"/>
    </row>
    <row r="45" spans="1:34">
      <c r="A45" s="129" t="s">
        <v>329</v>
      </c>
      <c r="B45" s="130" t="s">
        <v>141</v>
      </c>
      <c r="C45" s="131" t="s">
        <v>140</v>
      </c>
      <c r="D45" s="132" t="s">
        <v>74</v>
      </c>
      <c r="E45" s="131" t="s">
        <v>34</v>
      </c>
      <c r="F45" s="131" t="s">
        <v>35</v>
      </c>
      <c r="G45" s="131" t="s">
        <v>160</v>
      </c>
      <c r="H45" s="133" t="s">
        <v>27</v>
      </c>
      <c r="I45" s="131" t="s">
        <v>78</v>
      </c>
      <c r="J45" s="131"/>
      <c r="M45" s="238"/>
      <c r="N45" s="239"/>
      <c r="O45" s="240"/>
      <c r="P45" s="241"/>
      <c r="Q45" s="240"/>
      <c r="R45" s="240"/>
      <c r="S45" s="240"/>
      <c r="T45" s="242"/>
      <c r="U45" s="240"/>
      <c r="V45" s="240"/>
      <c r="X45" s="240"/>
      <c r="Y45" s="240"/>
      <c r="Z45" s="240"/>
      <c r="AA45" s="240"/>
      <c r="AB45" s="240"/>
      <c r="AD45" s="240"/>
      <c r="AE45" s="240"/>
      <c r="AF45" s="240"/>
      <c r="AG45" s="240"/>
      <c r="AH45" s="240"/>
    </row>
    <row r="46" spans="1:34">
      <c r="A46" t="s">
        <v>689</v>
      </c>
      <c r="B46" s="37">
        <f>B36</f>
        <v>0.16494182516360403</v>
      </c>
      <c r="C46" s="37">
        <f>C36+0.1*C39</f>
        <v>0.12069679003676331</v>
      </c>
      <c r="D46" s="37">
        <f t="shared" ref="D46:H46" si="22">D36</f>
        <v>3.7253579042460169E-2</v>
      </c>
      <c r="E46" s="37">
        <f t="shared" si="22"/>
        <v>1.9161846751045677E-2</v>
      </c>
      <c r="F46" s="37">
        <f t="shared" si="22"/>
        <v>3.5000689698428997E-2</v>
      </c>
      <c r="G46" s="37">
        <f t="shared" si="22"/>
        <v>2.5676181632052161E-3</v>
      </c>
      <c r="H46" s="37">
        <f t="shared" si="22"/>
        <v>1.5431047316368195E-2</v>
      </c>
      <c r="I46" s="37">
        <f>SUM(B46:H46)</f>
        <v>0.39505339617187563</v>
      </c>
      <c r="J46" s="37"/>
      <c r="N46" s="37"/>
      <c r="O46" s="37"/>
      <c r="P46" s="37"/>
      <c r="Q46" s="37"/>
      <c r="R46" s="37"/>
      <c r="S46" s="37"/>
      <c r="T46" s="37"/>
      <c r="U46" s="37"/>
      <c r="V46" s="37"/>
      <c r="X46" s="243"/>
      <c r="Y46" s="243"/>
      <c r="Z46" s="243"/>
      <c r="AA46" s="243"/>
      <c r="AB46" s="243"/>
      <c r="AD46" s="243"/>
      <c r="AE46" s="243"/>
      <c r="AF46" s="243"/>
      <c r="AG46" s="243"/>
      <c r="AH46" s="243"/>
    </row>
    <row r="47" spans="1:34">
      <c r="A47" t="s">
        <v>19</v>
      </c>
      <c r="B47" s="37">
        <f t="shared" ref="B47:H50" si="23">B37</f>
        <v>2.6487008420432757E-2</v>
      </c>
      <c r="C47" s="37">
        <f>C37+0.4*C39</f>
        <v>1.909414949903044E-2</v>
      </c>
      <c r="D47" s="37">
        <f t="shared" si="23"/>
        <v>1.9989725339856674E-2</v>
      </c>
      <c r="E47" s="37">
        <f t="shared" si="23"/>
        <v>0.10347397245564666</v>
      </c>
      <c r="F47" s="37">
        <f t="shared" si="23"/>
        <v>0</v>
      </c>
      <c r="G47" s="37">
        <f t="shared" si="23"/>
        <v>5.1352363264104322E-3</v>
      </c>
      <c r="H47" s="37">
        <f t="shared" si="23"/>
        <v>2.571841219394699E-2</v>
      </c>
      <c r="I47" s="37">
        <f t="shared" ref="I47:I49" si="24">SUM(B47:H47)</f>
        <v>0.19989850423532396</v>
      </c>
      <c r="J47" s="37"/>
      <c r="N47" s="37"/>
      <c r="O47" s="37"/>
      <c r="P47" s="37"/>
      <c r="Q47" s="37"/>
      <c r="R47" s="37"/>
      <c r="S47" s="37"/>
      <c r="T47" s="37"/>
      <c r="U47" s="37"/>
      <c r="V47" s="37"/>
      <c r="X47" s="243"/>
      <c r="Y47" s="243"/>
      <c r="Z47" s="243"/>
      <c r="AA47" s="243"/>
      <c r="AB47" s="243"/>
      <c r="AD47" s="243"/>
      <c r="AE47" s="243"/>
      <c r="AF47" s="243"/>
      <c r="AG47" s="243"/>
      <c r="AH47" s="243"/>
    </row>
    <row r="48" spans="1:34">
      <c r="A48" t="s">
        <v>330</v>
      </c>
      <c r="B48" s="37">
        <f t="shared" si="23"/>
        <v>5.4177971769067013E-3</v>
      </c>
      <c r="C48" s="37">
        <f>C38+0.4*C39</f>
        <v>3.2965307937219156E-2</v>
      </c>
      <c r="D48" s="37">
        <f t="shared" si="23"/>
        <v>0</v>
      </c>
      <c r="E48" s="37">
        <f t="shared" si="23"/>
        <v>3.8323693502091351E-3</v>
      </c>
      <c r="F48" s="37">
        <f t="shared" si="23"/>
        <v>0</v>
      </c>
      <c r="G48" s="37">
        <f t="shared" si="23"/>
        <v>3.4234908842736213E-3</v>
      </c>
      <c r="H48" s="37">
        <f>H38</f>
        <v>7.2011554143051562E-2</v>
      </c>
      <c r="I48" s="37">
        <f t="shared" si="24"/>
        <v>0.11765051949166017</v>
      </c>
      <c r="J48" s="37"/>
      <c r="N48" s="37"/>
      <c r="O48" s="37"/>
      <c r="P48" s="37"/>
      <c r="Q48" s="37"/>
      <c r="R48" s="37"/>
      <c r="S48" s="37"/>
      <c r="T48" s="37"/>
      <c r="U48" s="37"/>
      <c r="V48" s="37"/>
      <c r="X48" s="243"/>
      <c r="Y48" s="243"/>
      <c r="Z48" s="243"/>
      <c r="AA48" s="243"/>
      <c r="AB48" s="243"/>
      <c r="AD48" s="243"/>
      <c r="AE48" s="243"/>
      <c r="AF48" s="243"/>
      <c r="AG48" s="243"/>
      <c r="AH48" s="243"/>
    </row>
    <row r="49" spans="1:34">
      <c r="A49" t="s">
        <v>362</v>
      </c>
      <c r="B49" s="37">
        <f t="shared" si="23"/>
        <v>0</v>
      </c>
      <c r="C49" s="37">
        <v>0</v>
      </c>
      <c r="D49" s="37">
        <f t="shared" si="23"/>
        <v>0</v>
      </c>
      <c r="E49" s="37">
        <f t="shared" si="23"/>
        <v>0</v>
      </c>
      <c r="F49" s="37">
        <f t="shared" si="23"/>
        <v>3.6022925617200552E-2</v>
      </c>
      <c r="G49" s="37">
        <f t="shared" si="23"/>
        <v>0</v>
      </c>
      <c r="H49" s="37">
        <f t="shared" si="23"/>
        <v>1.0251301722161053E-6</v>
      </c>
      <c r="I49" s="37">
        <f t="shared" si="24"/>
        <v>3.6023950747372767E-2</v>
      </c>
      <c r="J49" s="37"/>
      <c r="N49" s="37"/>
      <c r="O49" s="37"/>
      <c r="P49" s="37"/>
      <c r="Q49" s="37"/>
      <c r="R49" s="37"/>
      <c r="S49" s="37"/>
      <c r="T49" s="37"/>
      <c r="U49" s="37"/>
      <c r="V49" s="37"/>
      <c r="X49" s="243"/>
      <c r="Y49" s="243"/>
      <c r="Z49" s="243"/>
      <c r="AA49" s="243"/>
      <c r="AB49" s="243"/>
      <c r="AD49" s="243"/>
      <c r="AE49" s="243"/>
      <c r="AF49" s="243"/>
      <c r="AG49" s="243"/>
      <c r="AH49" s="243"/>
    </row>
    <row r="50" spans="1:34">
      <c r="A50" t="s">
        <v>27</v>
      </c>
      <c r="B50" s="37">
        <f t="shared" si="23"/>
        <v>2.1671188707626802E-2</v>
      </c>
      <c r="C50" s="37">
        <f>C40+0.1*C39</f>
        <v>5.4313388939717315E-2</v>
      </c>
      <c r="D50" s="37">
        <f t="shared" si="23"/>
        <v>1.1812110428097126E-2</v>
      </c>
      <c r="E50" s="37">
        <f t="shared" si="23"/>
        <v>2.2994216101254808E-2</v>
      </c>
      <c r="F50" s="37">
        <f t="shared" si="23"/>
        <v>0</v>
      </c>
      <c r="G50" s="37">
        <f t="shared" si="23"/>
        <v>6.8469817685472426E-3</v>
      </c>
      <c r="H50" s="37">
        <f t="shared" si="23"/>
        <v>0.13373574340852434</v>
      </c>
      <c r="I50" s="37">
        <f>SUM(B50:H50)</f>
        <v>0.25137362935376761</v>
      </c>
      <c r="J50" s="37"/>
      <c r="M50" t="s">
        <v>704</v>
      </c>
      <c r="N50" s="37"/>
      <c r="O50" s="37"/>
      <c r="P50" s="37"/>
      <c r="Q50" s="37"/>
      <c r="R50" s="37"/>
      <c r="S50" s="37"/>
      <c r="T50" s="37"/>
      <c r="U50" s="37"/>
      <c r="V50" s="37"/>
      <c r="X50" s="243"/>
      <c r="Y50" s="243"/>
      <c r="Z50" s="243"/>
      <c r="AA50" s="243"/>
      <c r="AB50" s="243"/>
      <c r="AD50" s="243"/>
      <c r="AE50" s="243"/>
      <c r="AF50" s="243"/>
      <c r="AG50" s="243"/>
      <c r="AH50" s="243"/>
    </row>
    <row r="51" spans="1:34">
      <c r="A51" t="s">
        <v>78</v>
      </c>
      <c r="B51" s="37">
        <f t="shared" ref="B51:H51" si="25">SUM(B46:B50)</f>
        <v>0.2185178194685703</v>
      </c>
      <c r="C51" s="37">
        <f t="shared" si="25"/>
        <v>0.22706963641273023</v>
      </c>
      <c r="D51" s="37">
        <f t="shared" si="25"/>
        <v>6.9055414810413968E-2</v>
      </c>
      <c r="E51" s="37">
        <f t="shared" si="25"/>
        <v>0.1494624046581563</v>
      </c>
      <c r="F51" s="37">
        <f t="shared" si="25"/>
        <v>7.1023615315629549E-2</v>
      </c>
      <c r="G51" s="37">
        <f t="shared" si="25"/>
        <v>1.7973327142436511E-2</v>
      </c>
      <c r="H51" s="37">
        <f t="shared" si="25"/>
        <v>0.24689778219206332</v>
      </c>
      <c r="I51" s="37">
        <f>SUM(B51:H51)</f>
        <v>1.0000000000000002</v>
      </c>
      <c r="J51" s="37"/>
      <c r="N51" s="37"/>
      <c r="O51" s="37"/>
      <c r="P51" s="37"/>
      <c r="Q51" s="37"/>
      <c r="R51" s="37"/>
      <c r="S51" s="37"/>
      <c r="T51" s="37"/>
      <c r="U51" s="37"/>
      <c r="V51" s="37"/>
      <c r="X51" s="243"/>
      <c r="Y51" s="243"/>
      <c r="Z51" s="243"/>
      <c r="AA51" s="243"/>
      <c r="AB51" s="243"/>
      <c r="AD51" s="243"/>
      <c r="AE51" s="243"/>
      <c r="AF51" s="243"/>
      <c r="AG51" s="243"/>
      <c r="AH51" s="243"/>
    </row>
    <row r="52" spans="1:34">
      <c r="B52" s="37"/>
      <c r="C52" s="37"/>
      <c r="D52" s="37"/>
      <c r="E52" s="37"/>
      <c r="F52" s="37"/>
      <c r="G52" s="37"/>
      <c r="H52" s="37"/>
      <c r="I52" s="37"/>
      <c r="J52" s="37"/>
      <c r="N52" s="37"/>
      <c r="O52" s="37"/>
      <c r="P52" s="37"/>
      <c r="Q52" s="37"/>
      <c r="R52" s="37"/>
      <c r="S52" s="37"/>
      <c r="T52" s="37"/>
      <c r="U52" s="37"/>
      <c r="V52" s="37"/>
      <c r="X52" s="243"/>
      <c r="Y52" s="243"/>
      <c r="Z52" s="243"/>
      <c r="AA52" s="243"/>
      <c r="AB52" s="243"/>
      <c r="AD52" s="243"/>
      <c r="AE52" s="243"/>
      <c r="AF52" s="243"/>
      <c r="AG52" s="243"/>
      <c r="AH52" s="243"/>
    </row>
    <row r="53" spans="1:34">
      <c r="B53" s="37"/>
      <c r="C53" s="37"/>
      <c r="D53" s="37"/>
      <c r="E53" s="37"/>
      <c r="F53" s="37"/>
      <c r="G53" s="37"/>
      <c r="H53" s="37"/>
      <c r="I53" s="37"/>
      <c r="J53" s="37"/>
      <c r="N53" s="37"/>
      <c r="O53" s="37"/>
      <c r="P53" s="37"/>
      <c r="Q53" s="37"/>
      <c r="R53" s="37"/>
      <c r="S53" s="37"/>
      <c r="T53" s="37"/>
      <c r="U53" s="37"/>
      <c r="V53" s="37"/>
      <c r="X53" s="243"/>
      <c r="Y53" s="243"/>
      <c r="Z53" s="243"/>
      <c r="AA53" s="243"/>
      <c r="AB53" s="243"/>
      <c r="AD53" s="243"/>
      <c r="AE53" s="243"/>
      <c r="AF53" s="243"/>
      <c r="AG53" s="243"/>
      <c r="AH53" s="243"/>
    </row>
    <row r="54" spans="1:34" ht="15.5" thickBot="1">
      <c r="A54" s="230"/>
      <c r="B54" s="456" t="s">
        <v>141</v>
      </c>
      <c r="C54" s="456"/>
      <c r="D54" s="456" t="s">
        <v>140</v>
      </c>
      <c r="E54" s="456" t="s">
        <v>74</v>
      </c>
      <c r="F54" s="456" t="s">
        <v>34</v>
      </c>
      <c r="G54" s="456" t="s">
        <v>35</v>
      </c>
      <c r="H54" s="456" t="s">
        <v>24</v>
      </c>
      <c r="I54" s="456" t="s">
        <v>78</v>
      </c>
      <c r="K54" s="1" t="s">
        <v>391</v>
      </c>
    </row>
    <row r="55" spans="1:34" ht="15.5" thickTop="1">
      <c r="A55" s="457" t="s">
        <v>389</v>
      </c>
      <c r="B55" s="387">
        <f>'Demand - Ethylene'!E34</f>
        <v>1</v>
      </c>
      <c r="C55" s="387">
        <f>'Demand - Ethylene'!E35</f>
        <v>1</v>
      </c>
      <c r="D55" s="458">
        <v>0</v>
      </c>
      <c r="E55" s="387">
        <f>'Demand - Ethylene'!E39</f>
        <v>0.2687140115163148</v>
      </c>
      <c r="F55" s="387">
        <f>'Demand - Ethylene'!E38</f>
        <v>0.44800000000000001</v>
      </c>
      <c r="G55" s="387">
        <f>'Demand - Ethylene'!E36</f>
        <v>0.14568158168574402</v>
      </c>
      <c r="H55" s="387">
        <f>'Demand - Ethylene'!E41</f>
        <v>0.1</v>
      </c>
      <c r="I55" s="230"/>
      <c r="K55" t="s">
        <v>390</v>
      </c>
    </row>
    <row r="56" spans="1:34">
      <c r="A56" s="230" t="s">
        <v>17</v>
      </c>
      <c r="B56" s="459">
        <f t="shared" ref="B56:G61" si="26">B18*B$55</f>
        <v>0.14509090909090913</v>
      </c>
      <c r="C56" s="459">
        <f t="shared" si="26"/>
        <v>0</v>
      </c>
      <c r="D56" s="459">
        <f t="shared" si="26"/>
        <v>0</v>
      </c>
      <c r="E56" s="459">
        <f t="shared" si="26"/>
        <v>5.9364582281038487E-3</v>
      </c>
      <c r="F56" s="459">
        <f t="shared" si="26"/>
        <v>5.444923076923079E-3</v>
      </c>
      <c r="G56" s="459">
        <f t="shared" si="26"/>
        <v>5.3902185223725285E-3</v>
      </c>
      <c r="H56" s="459">
        <f t="shared" ref="H56:H61" si="27">(H18+I18)*H$55</f>
        <v>5.8898809523809544E-4</v>
      </c>
      <c r="I56" s="459">
        <f>SUM(B56:H56)</f>
        <v>0.16245149701354669</v>
      </c>
      <c r="K56" s="37">
        <f t="shared" ref="K56:K61" si="28">I56/J18</f>
        <v>0.52724649200967988</v>
      </c>
    </row>
    <row r="57" spans="1:34">
      <c r="A57" s="230" t="s">
        <v>19</v>
      </c>
      <c r="B57" s="460">
        <f t="shared" si="26"/>
        <v>2.8000000000000004E-2</v>
      </c>
      <c r="C57" s="460">
        <f t="shared" si="26"/>
        <v>0</v>
      </c>
      <c r="D57" s="460">
        <f t="shared" si="26"/>
        <v>0</v>
      </c>
      <c r="E57" s="460">
        <f t="shared" si="26"/>
        <v>5.6783513486210737E-3</v>
      </c>
      <c r="F57" s="460">
        <f t="shared" si="26"/>
        <v>4.9004307692307701E-2</v>
      </c>
      <c r="G57" s="460">
        <f t="shared" si="26"/>
        <v>0</v>
      </c>
      <c r="H57" s="460">
        <f t="shared" si="27"/>
        <v>3.2616071428571442E-3</v>
      </c>
      <c r="I57" s="460">
        <f t="shared" ref="I57:I61" si="29">SUM(B57:H57)</f>
        <v>8.5944266183785922E-2</v>
      </c>
      <c r="K57" s="37">
        <f t="shared" si="28"/>
        <v>0.42191384446633773</v>
      </c>
    </row>
    <row r="58" spans="1:34">
      <c r="A58" s="230" t="s">
        <v>330</v>
      </c>
      <c r="B58" s="460">
        <f t="shared" si="26"/>
        <v>5.7272727272727284E-3</v>
      </c>
      <c r="C58" s="460">
        <f t="shared" si="26"/>
        <v>0</v>
      </c>
      <c r="D58" s="460">
        <f t="shared" si="26"/>
        <v>0</v>
      </c>
      <c r="E58" s="460">
        <f t="shared" si="26"/>
        <v>0</v>
      </c>
      <c r="F58" s="460">
        <f t="shared" si="26"/>
        <v>1.8149743589743589E-3</v>
      </c>
      <c r="G58" s="460">
        <f t="shared" si="26"/>
        <v>0</v>
      </c>
      <c r="H58" s="460">
        <f t="shared" si="27"/>
        <v>7.9744047619047641E-3</v>
      </c>
      <c r="I58" s="460">
        <f t="shared" si="29"/>
        <v>1.5516651848151852E-2</v>
      </c>
      <c r="K58" s="37">
        <f t="shared" si="28"/>
        <v>0.13289944290386163</v>
      </c>
    </row>
    <row r="59" spans="1:34">
      <c r="A59" s="230" t="s">
        <v>23</v>
      </c>
      <c r="B59" s="460">
        <f t="shared" si="26"/>
        <v>4.454545454545455E-3</v>
      </c>
      <c r="C59" s="460">
        <f t="shared" si="26"/>
        <v>0</v>
      </c>
      <c r="D59" s="460">
        <f t="shared" si="26"/>
        <v>0</v>
      </c>
      <c r="E59" s="460">
        <f t="shared" si="26"/>
        <v>1.5486412768966563E-3</v>
      </c>
      <c r="F59" s="460">
        <f t="shared" si="26"/>
        <v>2.4199658119658123E-3</v>
      </c>
      <c r="G59" s="460">
        <f t="shared" si="26"/>
        <v>0</v>
      </c>
      <c r="H59" s="460">
        <f t="shared" si="27"/>
        <v>5.5279761904761917E-3</v>
      </c>
      <c r="I59" s="460">
        <f t="shared" si="29"/>
        <v>1.3951128733884117E-2</v>
      </c>
      <c r="K59" s="37">
        <f t="shared" si="28"/>
        <v>0.17368197400154195</v>
      </c>
    </row>
    <row r="60" spans="1:34">
      <c r="A60" s="230" t="s">
        <v>336</v>
      </c>
      <c r="B60" s="460">
        <f t="shared" si="26"/>
        <v>2.9272727272727277E-2</v>
      </c>
      <c r="C60" s="460">
        <f t="shared" si="26"/>
        <v>0</v>
      </c>
      <c r="D60" s="460">
        <f t="shared" si="26"/>
        <v>0</v>
      </c>
      <c r="E60" s="460">
        <f t="shared" si="26"/>
        <v>4.6459238306899697E-3</v>
      </c>
      <c r="F60" s="460">
        <f t="shared" si="26"/>
        <v>3.6299487179487179E-3</v>
      </c>
      <c r="G60" s="460">
        <f t="shared" si="26"/>
        <v>0</v>
      </c>
      <c r="H60" s="460">
        <f t="shared" si="27"/>
        <v>1.3136904761904765E-3</v>
      </c>
      <c r="I60" s="460">
        <f t="shared" si="29"/>
        <v>3.8862290297556439E-2</v>
      </c>
      <c r="K60" s="37">
        <f t="shared" si="28"/>
        <v>0.36116491524383898</v>
      </c>
    </row>
    <row r="61" spans="1:34">
      <c r="A61" s="230" t="s">
        <v>27</v>
      </c>
      <c r="B61" s="460">
        <f t="shared" si="26"/>
        <v>1.8454545454545456E-2</v>
      </c>
      <c r="C61" s="460">
        <f t="shared" si="26"/>
        <v>0</v>
      </c>
      <c r="D61" s="460">
        <f t="shared" si="26"/>
        <v>0</v>
      </c>
      <c r="E61" s="460">
        <f t="shared" si="26"/>
        <v>1.8067481563794321E-3</v>
      </c>
      <c r="F61" s="460">
        <f t="shared" si="26"/>
        <v>8.4698803418803408E-3</v>
      </c>
      <c r="G61" s="460">
        <f t="shared" si="26"/>
        <v>0</v>
      </c>
      <c r="H61" s="460">
        <f t="shared" si="27"/>
        <v>9.3333333333333358E-3</v>
      </c>
      <c r="I61" s="460">
        <f t="shared" si="29"/>
        <v>3.8064507286138569E-2</v>
      </c>
      <c r="K61" s="37">
        <f t="shared" si="28"/>
        <v>0.20743278082298655</v>
      </c>
    </row>
    <row r="62" spans="1:34" ht="15.5" thickBot="1">
      <c r="A62" s="456" t="s">
        <v>78</v>
      </c>
      <c r="B62" s="461">
        <f>SUM(B56:B61)</f>
        <v>0.23100000000000004</v>
      </c>
      <c r="C62" s="461">
        <f t="shared" ref="C62:I62" si="30">SUM(C56:C61)</f>
        <v>0</v>
      </c>
      <c r="D62" s="461">
        <f t="shared" si="30"/>
        <v>0</v>
      </c>
      <c r="E62" s="461">
        <f t="shared" si="30"/>
        <v>1.9616122840690978E-2</v>
      </c>
      <c r="F62" s="461">
        <f t="shared" si="30"/>
        <v>7.0784E-2</v>
      </c>
      <c r="G62" s="461">
        <f t="shared" si="30"/>
        <v>5.3902185223725285E-3</v>
      </c>
      <c r="H62" s="461">
        <f t="shared" si="30"/>
        <v>2.8000000000000008E-2</v>
      </c>
      <c r="I62" s="461">
        <f t="shared" si="30"/>
        <v>0.35479034136306359</v>
      </c>
    </row>
    <row r="63" spans="1:34" ht="15.5" thickTop="1"/>
    <row r="64" spans="1:34">
      <c r="J64" t="s">
        <v>393</v>
      </c>
      <c r="K64" s="22">
        <f>(I56+I60)/(J18+J22)</f>
        <v>0.48425842092958188</v>
      </c>
    </row>
    <row r="65" spans="1:31">
      <c r="J65" t="s">
        <v>27</v>
      </c>
      <c r="K65" s="22">
        <f>(I59+I61)/(J23+J21)</f>
        <v>0.19715695019923152</v>
      </c>
    </row>
    <row r="67" spans="1:31" ht="15.5" thickBot="1">
      <c r="A67" s="230"/>
      <c r="B67" s="456" t="s">
        <v>141</v>
      </c>
      <c r="C67" s="456"/>
      <c r="D67" s="456" t="s">
        <v>140</v>
      </c>
      <c r="E67" s="456" t="s">
        <v>74</v>
      </c>
      <c r="F67" s="456" t="s">
        <v>34</v>
      </c>
      <c r="G67" s="456" t="s">
        <v>35</v>
      </c>
      <c r="H67" s="456" t="s">
        <v>24</v>
      </c>
      <c r="I67" s="456" t="s">
        <v>78</v>
      </c>
      <c r="K67" s="1" t="s">
        <v>391</v>
      </c>
    </row>
    <row r="68" spans="1:31" ht="15.5" thickTop="1">
      <c r="A68" s="457" t="s">
        <v>501</v>
      </c>
      <c r="B68" s="458">
        <v>0</v>
      </c>
      <c r="C68" s="458">
        <v>0</v>
      </c>
      <c r="D68" s="458">
        <v>1</v>
      </c>
      <c r="E68" s="458">
        <v>0</v>
      </c>
      <c r="F68" s="458">
        <v>0</v>
      </c>
      <c r="G68" s="458">
        <v>0</v>
      </c>
      <c r="H68" s="387">
        <f>'Demand - Propylene'!E28</f>
        <v>0.1</v>
      </c>
      <c r="I68" s="230"/>
      <c r="K68" t="s">
        <v>390</v>
      </c>
    </row>
    <row r="69" spans="1:31">
      <c r="A69" s="230" t="s">
        <v>17</v>
      </c>
      <c r="B69" s="459">
        <f t="shared" ref="B69:B74" si="31">B18*B$68</f>
        <v>0</v>
      </c>
      <c r="C69" s="459">
        <f t="shared" ref="C69:H69" si="32">C18*C$68</f>
        <v>0</v>
      </c>
      <c r="D69" s="459">
        <f t="shared" si="32"/>
        <v>8.5886255924170596E-2</v>
      </c>
      <c r="E69" s="459">
        <f t="shared" si="32"/>
        <v>0</v>
      </c>
      <c r="F69" s="459">
        <f t="shared" si="32"/>
        <v>0</v>
      </c>
      <c r="G69" s="459">
        <f t="shared" si="32"/>
        <v>0</v>
      </c>
      <c r="H69" s="459">
        <f t="shared" si="32"/>
        <v>4.5238095238095238E-5</v>
      </c>
      <c r="I69" s="459">
        <f>SUM(B69:H69)</f>
        <v>8.5931494019408694E-2</v>
      </c>
      <c r="K69" s="37">
        <f t="shared" ref="K69:K74" si="33">I69/J18</f>
        <v>0.27889603732679613</v>
      </c>
    </row>
    <row r="70" spans="1:31">
      <c r="A70" s="230" t="s">
        <v>19</v>
      </c>
      <c r="B70" s="460">
        <f t="shared" si="31"/>
        <v>0</v>
      </c>
      <c r="C70" s="460">
        <f t="shared" ref="C70:H74" si="34">C19*C$68</f>
        <v>0</v>
      </c>
      <c r="D70" s="460">
        <f t="shared" si="34"/>
        <v>1.2568720379146919E-2</v>
      </c>
      <c r="E70" s="460">
        <f t="shared" si="34"/>
        <v>0</v>
      </c>
      <c r="F70" s="460">
        <f t="shared" si="34"/>
        <v>0</v>
      </c>
      <c r="G70" s="460">
        <f t="shared" si="34"/>
        <v>0</v>
      </c>
      <c r="H70" s="460">
        <f t="shared" si="34"/>
        <v>5.4285714285714289E-4</v>
      </c>
      <c r="I70" s="460">
        <f t="shared" ref="I70:I74" si="35">SUM(B70:H70)</f>
        <v>1.3111577522004062E-2</v>
      </c>
      <c r="K70" s="37">
        <f t="shared" si="33"/>
        <v>6.4366784719499998E-2</v>
      </c>
    </row>
    <row r="71" spans="1:31">
      <c r="A71" s="230" t="s">
        <v>330</v>
      </c>
      <c r="B71" s="460">
        <f>B20*B$68</f>
        <v>0</v>
      </c>
      <c r="C71" s="460">
        <f t="shared" si="34"/>
        <v>0</v>
      </c>
      <c r="D71" s="460">
        <f t="shared" si="34"/>
        <v>2.7232227488151659E-2</v>
      </c>
      <c r="E71" s="460">
        <f t="shared" si="34"/>
        <v>0</v>
      </c>
      <c r="F71" s="460">
        <f t="shared" si="34"/>
        <v>0</v>
      </c>
      <c r="G71" s="460">
        <f t="shared" si="34"/>
        <v>0</v>
      </c>
      <c r="H71" s="460">
        <f t="shared" si="34"/>
        <v>3.6190476190476191E-4</v>
      </c>
      <c r="I71" s="460">
        <f t="shared" si="35"/>
        <v>2.759413225005642E-2</v>
      </c>
      <c r="K71" s="37">
        <f t="shared" si="33"/>
        <v>0.23634253312738832</v>
      </c>
    </row>
    <row r="72" spans="1:31">
      <c r="A72" s="230" t="s">
        <v>23</v>
      </c>
      <c r="B72" s="460">
        <f t="shared" si="31"/>
        <v>0</v>
      </c>
      <c r="C72" s="460">
        <f t="shared" si="34"/>
        <v>0</v>
      </c>
      <c r="D72" s="460">
        <f t="shared" si="34"/>
        <v>9.4265402843601905E-3</v>
      </c>
      <c r="E72" s="460">
        <f t="shared" si="34"/>
        <v>0</v>
      </c>
      <c r="F72" s="460">
        <f t="shared" si="34"/>
        <v>0</v>
      </c>
      <c r="G72" s="460">
        <f t="shared" si="34"/>
        <v>0</v>
      </c>
      <c r="H72" s="460">
        <f t="shared" si="34"/>
        <v>9.0476190476190477E-5</v>
      </c>
      <c r="I72" s="460">
        <f t="shared" si="35"/>
        <v>9.5170164748363817E-3</v>
      </c>
      <c r="K72" s="37">
        <f t="shared" si="33"/>
        <v>0.11848032080301703</v>
      </c>
      <c r="Y72" s="1" t="s">
        <v>836</v>
      </c>
      <c r="AC72" s="1" t="s">
        <v>837</v>
      </c>
    </row>
    <row r="73" spans="1:31">
      <c r="A73" s="230" t="s">
        <v>336</v>
      </c>
      <c r="B73" s="460">
        <f t="shared" si="31"/>
        <v>0</v>
      </c>
      <c r="C73" s="460">
        <f t="shared" si="34"/>
        <v>0</v>
      </c>
      <c r="D73" s="460">
        <f t="shared" si="34"/>
        <v>3.9800947867298569E-2</v>
      </c>
      <c r="E73" s="460">
        <f t="shared" si="34"/>
        <v>0</v>
      </c>
      <c r="F73" s="460">
        <f t="shared" si="34"/>
        <v>0</v>
      </c>
      <c r="G73" s="460">
        <f t="shared" si="34"/>
        <v>0</v>
      </c>
      <c r="H73" s="460">
        <f t="shared" si="34"/>
        <v>2.2619047619047618E-4</v>
      </c>
      <c r="I73" s="460">
        <f t="shared" si="35"/>
        <v>4.0027138343489047E-2</v>
      </c>
      <c r="K73" s="37">
        <f t="shared" si="33"/>
        <v>0.37199037721635825</v>
      </c>
      <c r="Y73" t="s">
        <v>838</v>
      </c>
      <c r="Z73">
        <v>30.026</v>
      </c>
      <c r="AC73" t="s">
        <v>839</v>
      </c>
      <c r="AD73">
        <v>25</v>
      </c>
      <c r="AE73" t="s">
        <v>840</v>
      </c>
    </row>
    <row r="74" spans="1:31">
      <c r="A74" s="230" t="s">
        <v>27</v>
      </c>
      <c r="B74" s="460">
        <f t="shared" si="31"/>
        <v>0</v>
      </c>
      <c r="C74" s="460">
        <f t="shared" si="34"/>
        <v>0</v>
      </c>
      <c r="D74" s="460">
        <f t="shared" si="34"/>
        <v>4.608530805687204E-2</v>
      </c>
      <c r="E74" s="460">
        <f t="shared" si="34"/>
        <v>0</v>
      </c>
      <c r="F74" s="460">
        <f t="shared" si="34"/>
        <v>0</v>
      </c>
      <c r="G74" s="460">
        <f t="shared" si="34"/>
        <v>0</v>
      </c>
      <c r="H74" s="460">
        <f t="shared" si="34"/>
        <v>6.333333333333334E-4</v>
      </c>
      <c r="I74" s="460">
        <f t="shared" si="35"/>
        <v>4.6718641390205373E-2</v>
      </c>
      <c r="K74" s="37">
        <f t="shared" si="33"/>
        <v>0.25459354109047433</v>
      </c>
      <c r="Y74" t="s">
        <v>716</v>
      </c>
      <c r="Z74">
        <f>32.04</f>
        <v>32.04</v>
      </c>
      <c r="AC74" t="s">
        <v>841</v>
      </c>
      <c r="AD74" s="392">
        <f>(1/(Z76+Z77-Z78))*(Z77)*AD73</f>
        <v>5.2723226420222886</v>
      </c>
    </row>
    <row r="75" spans="1:31" ht="15.5" thickBot="1">
      <c r="A75" s="456" t="s">
        <v>78</v>
      </c>
      <c r="B75" s="461">
        <f>SUM(B69:B74)</f>
        <v>0</v>
      </c>
      <c r="C75" s="461">
        <f t="shared" ref="C75:I75" si="36">SUM(C69:C74)</f>
        <v>0</v>
      </c>
      <c r="D75" s="461">
        <f t="shared" si="36"/>
        <v>0.22099999999999997</v>
      </c>
      <c r="E75" s="461">
        <f t="shared" si="36"/>
        <v>0</v>
      </c>
      <c r="F75" s="461">
        <f t="shared" si="36"/>
        <v>0</v>
      </c>
      <c r="G75" s="461">
        <f t="shared" si="36"/>
        <v>0</v>
      </c>
      <c r="H75" s="461">
        <f t="shared" si="36"/>
        <v>1.9000000000000002E-3</v>
      </c>
      <c r="I75" s="461">
        <f t="shared" si="36"/>
        <v>0.22289999999999999</v>
      </c>
      <c r="Y75" t="s">
        <v>842</v>
      </c>
      <c r="Z75">
        <v>93.129000000000005</v>
      </c>
      <c r="AC75" t="s">
        <v>843</v>
      </c>
      <c r="AD75" s="392">
        <v>4.5781615384615382</v>
      </c>
      <c r="AE75" t="s">
        <v>844</v>
      </c>
    </row>
    <row r="76" spans="1:31" ht="15.5" thickTop="1">
      <c r="Y76" t="s">
        <v>845</v>
      </c>
      <c r="Z76">
        <v>250.25</v>
      </c>
      <c r="AC76" t="s">
        <v>537</v>
      </c>
      <c r="AD76" s="392">
        <v>0.68330769230769228</v>
      </c>
    </row>
    <row r="77" spans="1:31">
      <c r="J77" t="s">
        <v>393</v>
      </c>
      <c r="K77" s="22">
        <f>(I69+I73)/(J18+J22)</f>
        <v>0.30299230482532585</v>
      </c>
      <c r="Y77" t="s">
        <v>846</v>
      </c>
      <c r="Z77">
        <v>62.07</v>
      </c>
    </row>
    <row r="78" spans="1:31">
      <c r="J78" t="s">
        <v>27</v>
      </c>
      <c r="K78" s="22">
        <f>(I72+I74)/(J23+J21)</f>
        <v>0.21315226815358326</v>
      </c>
      <c r="Y78" t="s">
        <v>847</v>
      </c>
      <c r="Z78">
        <v>18</v>
      </c>
      <c r="AC78" s="230" t="s">
        <v>848</v>
      </c>
    </row>
    <row r="79" spans="1:31" ht="15.5" thickBot="1">
      <c r="T79" t="s">
        <v>967</v>
      </c>
      <c r="Y79" t="s">
        <v>804</v>
      </c>
      <c r="Z79">
        <v>60.052</v>
      </c>
    </row>
    <row r="80" spans="1:31" ht="15.5" thickBot="1">
      <c r="B80" s="174" t="s">
        <v>297</v>
      </c>
      <c r="C80" s="174" t="s">
        <v>9</v>
      </c>
      <c r="D80" s="174" t="s">
        <v>140</v>
      </c>
      <c r="E80" s="174" t="s">
        <v>74</v>
      </c>
      <c r="F80" s="174" t="s">
        <v>34</v>
      </c>
      <c r="G80" s="174" t="s">
        <v>35</v>
      </c>
      <c r="H80" t="s">
        <v>77</v>
      </c>
      <c r="I80" s="133" t="s">
        <v>160</v>
      </c>
      <c r="J80" s="131" t="s">
        <v>24</v>
      </c>
      <c r="K80" s="131" t="s">
        <v>78</v>
      </c>
      <c r="L80" s="386" t="s">
        <v>831</v>
      </c>
      <c r="S80" t="s">
        <v>1073</v>
      </c>
      <c r="T80" s="418">
        <f>SUM(Z124,Z121,Z132,Z116,Z90,Z100,Z106,Z111)</f>
        <v>25.494479693648902</v>
      </c>
      <c r="Y80" t="s">
        <v>849</v>
      </c>
      <c r="Z80" s="4">
        <v>166.13200000000001</v>
      </c>
    </row>
    <row r="81" spans="1:29" ht="15.5" thickTop="1">
      <c r="A81" s="54" t="s">
        <v>832</v>
      </c>
      <c r="B81" s="51">
        <v>0</v>
      </c>
      <c r="C81" s="51">
        <v>0</v>
      </c>
      <c r="D81" s="51">
        <v>0</v>
      </c>
      <c r="E81" s="51">
        <v>0</v>
      </c>
      <c r="F81" s="51">
        <v>0</v>
      </c>
      <c r="G81" s="387">
        <f>Z147</f>
        <v>4.5633813190281036E-6</v>
      </c>
      <c r="H81" s="387">
        <f>G81</f>
        <v>4.5633813190281036E-6</v>
      </c>
      <c r="I81" s="387">
        <f>Z96</f>
        <v>0.10886110356075018</v>
      </c>
      <c r="J81" s="388">
        <f>Z129</f>
        <v>0.5009063728840607</v>
      </c>
      <c r="N81" s="1" t="s">
        <v>833</v>
      </c>
      <c r="S81" t="s">
        <v>1074</v>
      </c>
      <c r="T81">
        <f>'Demand - Methanol'!M45</f>
        <v>358913.05647746043</v>
      </c>
      <c r="Y81" t="s">
        <v>850</v>
      </c>
      <c r="Z81" s="39">
        <v>194.19</v>
      </c>
    </row>
    <row r="82" spans="1:29">
      <c r="A82" t="s">
        <v>17</v>
      </c>
      <c r="B82" s="391">
        <f>B18*B$81</f>
        <v>0</v>
      </c>
      <c r="C82" s="391">
        <f t="shared" ref="C82:G82" si="37">C18*C$81</f>
        <v>0</v>
      </c>
      <c r="D82" s="391">
        <f t="shared" si="37"/>
        <v>0</v>
      </c>
      <c r="E82" s="391">
        <f t="shared" si="37"/>
        <v>0</v>
      </c>
      <c r="F82" s="391">
        <f t="shared" si="37"/>
        <v>0</v>
      </c>
      <c r="G82" s="175">
        <f t="shared" si="37"/>
        <v>1.6884510880403983E-7</v>
      </c>
      <c r="H82" s="387"/>
      <c r="I82" s="175">
        <f>H18*I$81</f>
        <v>4.9246689706053651E-5</v>
      </c>
      <c r="J82" s="175">
        <f>I18*J$81</f>
        <v>2.7236784025570808E-3</v>
      </c>
      <c r="K82" s="37">
        <f>SUM(B82:J82)</f>
        <v>2.7730939373719387E-3</v>
      </c>
      <c r="L82" s="39">
        <f>K82/$K$89*($L$89-$L$87)</f>
        <v>0.5323484286127812</v>
      </c>
      <c r="N82" s="37">
        <f>K82/J18</f>
        <v>9.0002497814516431E-3</v>
      </c>
      <c r="S82" t="s">
        <v>826</v>
      </c>
      <c r="T82">
        <f>'Demand - Methanol'!M44</f>
        <v>404582.33653120982</v>
      </c>
      <c r="Y82" t="s">
        <v>801</v>
      </c>
      <c r="Z82" s="39">
        <v>86.09</v>
      </c>
    </row>
    <row r="83" spans="1:29">
      <c r="A83" t="s">
        <v>19</v>
      </c>
      <c r="B83" s="149">
        <f t="shared" ref="B83:G83" si="38">B19*B$81</f>
        <v>0</v>
      </c>
      <c r="C83" s="149">
        <f t="shared" si="38"/>
        <v>0</v>
      </c>
      <c r="D83" s="149">
        <f t="shared" si="38"/>
        <v>0</v>
      </c>
      <c r="E83" s="149">
        <f t="shared" si="38"/>
        <v>0</v>
      </c>
      <c r="F83" s="149">
        <f t="shared" si="38"/>
        <v>0</v>
      </c>
      <c r="G83" s="148">
        <f t="shared" si="38"/>
        <v>0</v>
      </c>
      <c r="H83" s="188"/>
      <c r="I83" s="148">
        <f t="shared" ref="I83:J86" si="39">H19*I$81</f>
        <v>5.9096027647264379E-4</v>
      </c>
      <c r="J83" s="148">
        <f t="shared" si="39"/>
        <v>1.3618392012785403E-2</v>
      </c>
      <c r="K83" s="37">
        <f>SUM(B83:J83)</f>
        <v>1.4209352289258046E-2</v>
      </c>
      <c r="L83" s="39">
        <f t="shared" ref="L83:L86" si="40">K83/$K$89*($L$89-$L$87)</f>
        <v>2.7277569868262952</v>
      </c>
      <c r="N83" s="37">
        <f t="shared" ref="N83:N86" si="41">K83/J19</f>
        <v>6.9755932745033403E-2</v>
      </c>
      <c r="S83" t="s">
        <v>823</v>
      </c>
      <c r="T83">
        <f>'Demand - Methanol'!M9</f>
        <v>31.201972235932104</v>
      </c>
      <c r="Y83" t="s">
        <v>851</v>
      </c>
      <c r="Z83" s="39">
        <v>100.117</v>
      </c>
    </row>
    <row r="84" spans="1:29">
      <c r="A84" t="s">
        <v>330</v>
      </c>
      <c r="B84" s="149">
        <f t="shared" ref="B84:G84" si="42">B20*B$81</f>
        <v>0</v>
      </c>
      <c r="C84" s="149">
        <f t="shared" si="42"/>
        <v>0</v>
      </c>
      <c r="D84" s="149">
        <f t="shared" si="42"/>
        <v>0</v>
      </c>
      <c r="E84" s="149">
        <f t="shared" si="42"/>
        <v>0</v>
      </c>
      <c r="F84" s="149">
        <f t="shared" si="42"/>
        <v>0</v>
      </c>
      <c r="G84" s="148">
        <f t="shared" si="42"/>
        <v>0</v>
      </c>
      <c r="H84" s="236"/>
      <c r="I84" s="148">
        <f t="shared" si="39"/>
        <v>3.9397351764842921E-4</v>
      </c>
      <c r="J84" s="148">
        <f t="shared" si="39"/>
        <v>3.8131497635799129E-2</v>
      </c>
      <c r="K84" s="37">
        <f>SUM(B84:J84)</f>
        <v>3.8525471153447559E-2</v>
      </c>
      <c r="L84" s="39">
        <f t="shared" si="40"/>
        <v>7.395701153038182</v>
      </c>
      <c r="N84" s="37">
        <f t="shared" si="41"/>
        <v>0.32996897165749089</v>
      </c>
      <c r="T84" s="39">
        <f>SUM(T80:T83)</f>
        <v>763552.08946059982</v>
      </c>
      <c r="Y84" t="s">
        <v>852</v>
      </c>
      <c r="Z84" s="39">
        <v>94.11</v>
      </c>
    </row>
    <row r="85" spans="1:29">
      <c r="A85" t="s">
        <v>23</v>
      </c>
      <c r="B85" s="149">
        <f t="shared" ref="B85:G85" si="43">B21*B$81</f>
        <v>0</v>
      </c>
      <c r="C85" s="149">
        <f t="shared" si="43"/>
        <v>0</v>
      </c>
      <c r="D85" s="149">
        <f t="shared" si="43"/>
        <v>0</v>
      </c>
      <c r="E85" s="149">
        <f t="shared" si="43"/>
        <v>0</v>
      </c>
      <c r="F85" s="149">
        <f t="shared" si="43"/>
        <v>0</v>
      </c>
      <c r="G85" s="148">
        <f t="shared" si="43"/>
        <v>0</v>
      </c>
      <c r="H85" s="236"/>
      <c r="I85" s="148">
        <f t="shared" si="39"/>
        <v>9.8493379412107303E-5</v>
      </c>
      <c r="J85" s="148">
        <f t="shared" si="39"/>
        <v>2.7236784025570806E-2</v>
      </c>
      <c r="K85" s="37">
        <f>SUM(B85:J85)</f>
        <v>2.7335277404982913E-2</v>
      </c>
      <c r="L85" s="39">
        <f t="shared" si="40"/>
        <v>5.2475294024940053</v>
      </c>
      <c r="N85" s="37">
        <f t="shared" si="41"/>
        <v>0.34030543550546061</v>
      </c>
      <c r="Y85" t="s">
        <v>853</v>
      </c>
      <c r="Z85" s="39">
        <v>60.055999999999997</v>
      </c>
    </row>
    <row r="86" spans="1:29">
      <c r="A86" t="s">
        <v>336</v>
      </c>
      <c r="B86" s="6">
        <f t="shared" ref="B86:G86" si="44">B22*B$81</f>
        <v>0</v>
      </c>
      <c r="C86" s="6">
        <f t="shared" si="44"/>
        <v>0</v>
      </c>
      <c r="D86" s="6">
        <f t="shared" si="44"/>
        <v>0</v>
      </c>
      <c r="E86" s="6">
        <f t="shared" si="44"/>
        <v>0</v>
      </c>
      <c r="F86" s="6">
        <f t="shared" si="44"/>
        <v>0</v>
      </c>
      <c r="G86" s="37">
        <f t="shared" si="44"/>
        <v>0</v>
      </c>
      <c r="H86" s="236"/>
      <c r="I86" s="148">
        <f t="shared" si="39"/>
        <v>2.4623344853026826E-4</v>
      </c>
      <c r="J86" s="148">
        <f t="shared" si="39"/>
        <v>5.4473568051141615E-3</v>
      </c>
      <c r="K86" s="37">
        <f>SUM(B86:J86)</f>
        <v>5.6935902536444302E-3</v>
      </c>
      <c r="L86" s="39">
        <f t="shared" si="40"/>
        <v>1.0929935635592325</v>
      </c>
      <c r="N86" s="37">
        <f t="shared" si="41"/>
        <v>5.291312029337434E-2</v>
      </c>
      <c r="S86" t="s">
        <v>911</v>
      </c>
      <c r="T86">
        <f>SUMIF('Sankey Methanol_detailed'!E:E,S86,'Sankey Methanol_detailed'!H:H)</f>
        <v>2.9137164029122613</v>
      </c>
      <c r="Z86" s="39"/>
    </row>
    <row r="87" spans="1:29">
      <c r="A87" t="s">
        <v>362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37">
        <v>0</v>
      </c>
      <c r="H87" s="236"/>
      <c r="I87" s="37">
        <v>0</v>
      </c>
      <c r="J87" s="37">
        <v>0</v>
      </c>
      <c r="K87" s="37"/>
      <c r="L87" s="39">
        <f>(('Sankey Methanol_detailed'!H79+'Sankey Methanol_detailed'!H81)/SUM('Demand - Methanol'!B6:B7))*'Demand - Methanol'!B7*0.5*H81</f>
        <v>1.598377416477679E-6</v>
      </c>
      <c r="M87" t="s">
        <v>834</v>
      </c>
      <c r="S87" t="s">
        <v>913</v>
      </c>
      <c r="T87">
        <f>SUMIF('Sankey Methanol_detailed'!E:E,S87,'Sankey Methanol_detailed'!H:H)</f>
        <v>22.580763290736638</v>
      </c>
      <c r="Z87" s="39"/>
    </row>
    <row r="88" spans="1:29">
      <c r="A88" t="s">
        <v>27</v>
      </c>
      <c r="B88" s="149">
        <f>B23*B$81</f>
        <v>0</v>
      </c>
      <c r="C88" s="149">
        <f t="shared" ref="C88:G88" si="45">C23*C$81</f>
        <v>0</v>
      </c>
      <c r="D88" s="149">
        <f t="shared" si="45"/>
        <v>0</v>
      </c>
      <c r="E88" s="149">
        <f t="shared" si="45"/>
        <v>0</v>
      </c>
      <c r="F88" s="149">
        <f t="shared" si="45"/>
        <v>0</v>
      </c>
      <c r="G88" s="148">
        <f t="shared" si="45"/>
        <v>0</v>
      </c>
      <c r="H88" s="236"/>
      <c r="I88" s="148">
        <f>H23*I$81</f>
        <v>6.8945365588475116E-4</v>
      </c>
      <c r="J88" s="148">
        <f>I23*J$81</f>
        <v>4.3578854440913292E-2</v>
      </c>
      <c r="K88" s="37">
        <f>SUM(B88:J88)</f>
        <v>4.4268308096798041E-2</v>
      </c>
      <c r="L88" s="39">
        <f>K88/$K$89*($L$89-$L$87)</f>
        <v>8.4981485607409866</v>
      </c>
      <c r="N88" s="37">
        <f>K88/J23</f>
        <v>0.24124043381986679</v>
      </c>
      <c r="S88" t="s">
        <v>826</v>
      </c>
      <c r="T88">
        <f>SUMIF('Sankey Methanol_detailed'!E:E,S88,'Sankey Methanol_detailed'!H:H)</f>
        <v>28.587862624213781</v>
      </c>
      <c r="Z88" s="39"/>
    </row>
    <row r="89" spans="1:29" ht="15.5" thickBot="1">
      <c r="A89" s="174" t="s">
        <v>78</v>
      </c>
      <c r="B89" s="176">
        <f t="shared" ref="B89:G89" si="46">SUM(B82:B88)</f>
        <v>0</v>
      </c>
      <c r="C89" s="176">
        <f t="shared" si="46"/>
        <v>0</v>
      </c>
      <c r="D89" s="176">
        <f t="shared" si="46"/>
        <v>0</v>
      </c>
      <c r="E89" s="176">
        <f t="shared" si="46"/>
        <v>0</v>
      </c>
      <c r="F89" s="176">
        <f t="shared" si="46"/>
        <v>0</v>
      </c>
      <c r="G89" s="176">
        <f t="shared" si="46"/>
        <v>1.6884510880403983E-7</v>
      </c>
      <c r="I89" s="176">
        <f>SUM(I82:I88)</f>
        <v>2.0683609676542532E-3</v>
      </c>
      <c r="J89" s="176">
        <f>SUM(J82:J88)</f>
        <v>0.13073656332273986</v>
      </c>
      <c r="K89" s="176">
        <f>SUM(K82:K88)</f>
        <v>0.13280509313550293</v>
      </c>
      <c r="L89" s="389">
        <f>T86+T87</f>
        <v>25.494479693648898</v>
      </c>
      <c r="S89" t="s">
        <v>823</v>
      </c>
      <c r="T89">
        <f>SUMIF('Sankey Methanol_detailed'!E:E,S89,'Sankey Methanol_detailed'!H:H)</f>
        <v>31.201972235932111</v>
      </c>
      <c r="Y89" s="230" t="s">
        <v>142</v>
      </c>
    </row>
    <row r="90" spans="1:29" ht="15.5" thickTop="1">
      <c r="L90" s="39">
        <f>SUM(L82:L88)</f>
        <v>25.494479693648898</v>
      </c>
      <c r="M90" t="s">
        <v>393</v>
      </c>
      <c r="N90" s="22">
        <f>(K82+K86)/(J18+J22)</f>
        <v>2.0366529146436201E-2</v>
      </c>
      <c r="S90" t="s">
        <v>27</v>
      </c>
      <c r="T90">
        <f>SUMIF('Sankey Methanol_detailed'!E:E,S90,'Sankey Methanol_detailed'!H:H)</f>
        <v>16.87792438415423</v>
      </c>
      <c r="Y90" t="s">
        <v>854</v>
      </c>
      <c r="Z90" s="393">
        <v>1.1298928174736835</v>
      </c>
    </row>
    <row r="91" spans="1:29" ht="15.5" thickBot="1">
      <c r="M91" t="s">
        <v>27</v>
      </c>
      <c r="N91" s="22">
        <f>(K85+K88)/(J23+J21)</f>
        <v>0.27140194028247289</v>
      </c>
      <c r="S91" s="226" t="s">
        <v>78</v>
      </c>
      <c r="T91" s="226">
        <f>SUM(T86:T90)</f>
        <v>102.16223893794901</v>
      </c>
    </row>
    <row r="92" spans="1:29" ht="21" customHeight="1">
      <c r="B92" s="8"/>
      <c r="C92" s="143"/>
      <c r="D92" s="244"/>
      <c r="E92" s="143"/>
      <c r="M92" s="3" t="s">
        <v>835</v>
      </c>
      <c r="N92" s="390">
        <f>L87/L89</f>
        <v>6.2695039698176756E-8</v>
      </c>
      <c r="S92" t="s">
        <v>1076</v>
      </c>
      <c r="T92">
        <f>SUMIF('Sankey Methanol_detailed'!F:F,S92,'Sankey Methanol_detailed'!H:H)</f>
        <v>102.16223893794904</v>
      </c>
      <c r="Y92" t="s">
        <v>855</v>
      </c>
      <c r="Z92" s="39">
        <f>(1/(Z73))*(Z74)</f>
        <v>1.0670752014920402</v>
      </c>
      <c r="AC92" s="453" t="s">
        <v>856</v>
      </c>
    </row>
    <row r="93" spans="1:29">
      <c r="Y93" t="s">
        <v>857</v>
      </c>
      <c r="Z93" s="39">
        <f>(1/(Z76))*(Z73)</f>
        <v>0.11998401598401598</v>
      </c>
    </row>
    <row r="94" spans="1:29" ht="15.5" thickBot="1">
      <c r="Y94" t="s">
        <v>858</v>
      </c>
      <c r="Z94">
        <v>1</v>
      </c>
    </row>
    <row r="95" spans="1:29" ht="15.5" thickBot="1">
      <c r="B95" s="174" t="s">
        <v>297</v>
      </c>
      <c r="C95" s="174" t="s">
        <v>9</v>
      </c>
      <c r="D95" s="174" t="s">
        <v>140</v>
      </c>
      <c r="E95" s="174" t="s">
        <v>74</v>
      </c>
      <c r="F95" s="174" t="s">
        <v>34</v>
      </c>
      <c r="G95" s="174" t="s">
        <v>35</v>
      </c>
      <c r="H95" s="1" t="s">
        <v>77</v>
      </c>
      <c r="I95" s="133" t="s">
        <v>160</v>
      </c>
      <c r="J95" s="131" t="s">
        <v>24</v>
      </c>
      <c r="K95" s="131" t="s">
        <v>78</v>
      </c>
      <c r="L95" s="386" t="s">
        <v>1197</v>
      </c>
      <c r="Y95" t="s">
        <v>859</v>
      </c>
      <c r="Z95" s="39">
        <f>(1/(Z76+Z77-Z78))*(Z76*Z94)</f>
        <v>0.85026501766784457</v>
      </c>
    </row>
    <row r="96" spans="1:29" ht="15.5" thickTop="1">
      <c r="A96" s="54" t="s">
        <v>1162</v>
      </c>
      <c r="B96" s="51">
        <v>0</v>
      </c>
      <c r="C96" s="51">
        <v>0</v>
      </c>
      <c r="D96" s="51">
        <v>0</v>
      </c>
      <c r="E96" s="221">
        <f>'Demand - BTX'!E33-E110</f>
        <v>0.68407717325015771</v>
      </c>
      <c r="F96" s="51">
        <v>0</v>
      </c>
      <c r="G96" s="458">
        <v>0</v>
      </c>
      <c r="H96" s="458">
        <v>0</v>
      </c>
      <c r="I96" s="468">
        <f>'Demand - BTX'!D37*'Demand - BTX'!D28/('Demand - BTX'!D28+'Demand - BTX'!L12)-'Demand - BTX'!K5*2/3*'Demand - BTX'!E28*'Demand - BTX'!D37*'Demand - BTX'!L12/('Demand - BTX'!D28+'Demand - BTX'!L12)</f>
        <v>0.4173229492258147</v>
      </c>
      <c r="J96" s="467">
        <v>0.1</v>
      </c>
      <c r="N96" s="1"/>
      <c r="Y96" s="394" t="s">
        <v>860</v>
      </c>
      <c r="Z96" s="395">
        <f>Z92*Z93*Z95</f>
        <v>0.10886110356075018</v>
      </c>
    </row>
    <row r="97" spans="1:29">
      <c r="A97" t="s">
        <v>17</v>
      </c>
      <c r="B97" s="391">
        <f>B46*B$96</f>
        <v>0</v>
      </c>
      <c r="C97" s="391">
        <f t="shared" ref="C97:G97" si="47">C18*C$96</f>
        <v>0</v>
      </c>
      <c r="D97" s="391">
        <f t="shared" si="47"/>
        <v>0</v>
      </c>
      <c r="E97" s="391">
        <f t="shared" si="47"/>
        <v>1.5112704919565982E-2</v>
      </c>
      <c r="F97" s="391">
        <f t="shared" si="47"/>
        <v>0</v>
      </c>
      <c r="G97" s="391">
        <f t="shared" si="47"/>
        <v>0</v>
      </c>
      <c r="H97" s="387"/>
      <c r="I97" s="391">
        <f>H18*I$96</f>
        <v>1.8878895322120188E-4</v>
      </c>
      <c r="J97" s="175">
        <f>I18*J$96</f>
        <v>5.4375000000000018E-4</v>
      </c>
      <c r="K97" s="37">
        <f>SUM(B97:J97)</f>
        <v>1.5845243872787185E-2</v>
      </c>
      <c r="L97" s="99">
        <f>K97/$K$104*($L$104-$L$102)</f>
        <v>416037.85495538358</v>
      </c>
      <c r="N97" s="37"/>
    </row>
    <row r="98" spans="1:29">
      <c r="A98" t="s">
        <v>19</v>
      </c>
      <c r="B98" s="149">
        <f t="shared" ref="B98:G101" si="48">B19*B$96</f>
        <v>0</v>
      </c>
      <c r="C98" s="149">
        <f t="shared" si="48"/>
        <v>0</v>
      </c>
      <c r="D98" s="149">
        <f t="shared" si="48"/>
        <v>0</v>
      </c>
      <c r="E98" s="149">
        <f t="shared" si="48"/>
        <v>1.4455630792628333E-2</v>
      </c>
      <c r="F98" s="149">
        <f t="shared" si="48"/>
        <v>0</v>
      </c>
      <c r="G98" s="149">
        <f t="shared" si="48"/>
        <v>0</v>
      </c>
      <c r="H98" s="188"/>
      <c r="I98" s="149">
        <f t="shared" ref="I98:J101" si="49">H19*I$96</f>
        <v>2.2654674386544224E-3</v>
      </c>
      <c r="J98" s="148">
        <f t="shared" si="49"/>
        <v>2.7187500000000007E-3</v>
      </c>
      <c r="K98" s="37">
        <f>SUM(B98:J98)</f>
        <v>1.9439848231282759E-2</v>
      </c>
      <c r="L98" s="99">
        <f>K98/$K$104*($L$104-$L$102)</f>
        <v>510418.95118389581</v>
      </c>
      <c r="N98" s="37"/>
      <c r="Y98" s="230" t="s">
        <v>861</v>
      </c>
      <c r="Z98" s="39"/>
    </row>
    <row r="99" spans="1:29">
      <c r="A99" t="s">
        <v>330</v>
      </c>
      <c r="B99" s="149">
        <f t="shared" si="48"/>
        <v>0</v>
      </c>
      <c r="C99" s="149">
        <f t="shared" si="48"/>
        <v>0</v>
      </c>
      <c r="D99" s="149">
        <f t="shared" si="48"/>
        <v>0</v>
      </c>
      <c r="E99" s="149">
        <f t="shared" si="48"/>
        <v>0</v>
      </c>
      <c r="F99" s="149">
        <f t="shared" si="48"/>
        <v>0</v>
      </c>
      <c r="G99" s="149">
        <f t="shared" si="48"/>
        <v>0</v>
      </c>
      <c r="H99" s="236"/>
      <c r="I99" s="149">
        <f t="shared" si="49"/>
        <v>1.510311625769615E-3</v>
      </c>
      <c r="J99" s="148">
        <f t="shared" si="49"/>
        <v>7.6125000000000012E-3</v>
      </c>
      <c r="K99" s="37">
        <f>SUM(B99:J99)</f>
        <v>9.1228116257696164E-3</v>
      </c>
      <c r="L99" s="99">
        <f>K99/$K$104*($L$104-$L$102)</f>
        <v>239531.49666983369</v>
      </c>
      <c r="N99" s="37"/>
      <c r="Z99" s="39"/>
    </row>
    <row r="100" spans="1:29">
      <c r="A100" t="s">
        <v>23</v>
      </c>
      <c r="B100" s="149">
        <f t="shared" si="48"/>
        <v>0</v>
      </c>
      <c r="C100" s="149">
        <f t="shared" si="48"/>
        <v>0</v>
      </c>
      <c r="D100" s="149">
        <f t="shared" si="48"/>
        <v>0</v>
      </c>
      <c r="E100" s="149">
        <f t="shared" si="48"/>
        <v>3.9424447616259089E-3</v>
      </c>
      <c r="F100" s="149">
        <f t="shared" si="48"/>
        <v>0</v>
      </c>
      <c r="G100" s="149">
        <f t="shared" si="48"/>
        <v>0</v>
      </c>
      <c r="H100" s="236"/>
      <c r="I100" s="149">
        <f t="shared" si="49"/>
        <v>3.7757790644240376E-4</v>
      </c>
      <c r="J100" s="148">
        <f t="shared" si="49"/>
        <v>5.4375000000000014E-3</v>
      </c>
      <c r="K100" s="37">
        <f>SUM(B100:J100)</f>
        <v>9.7575226680683136E-3</v>
      </c>
      <c r="L100" s="99">
        <f t="shared" ref="L100:L101" si="50">K100/$K$104*($L$104-$L$102)</f>
        <v>256196.67536158944</v>
      </c>
      <c r="N100" s="37"/>
      <c r="Y100" t="s">
        <v>862</v>
      </c>
      <c r="Z100" s="393">
        <v>1.0645306645833978</v>
      </c>
    </row>
    <row r="101" spans="1:29">
      <c r="A101" t="s">
        <v>336</v>
      </c>
      <c r="B101" s="6">
        <f t="shared" si="48"/>
        <v>0</v>
      </c>
      <c r="C101" s="6">
        <f t="shared" si="48"/>
        <v>0</v>
      </c>
      <c r="D101" s="6">
        <f t="shared" si="48"/>
        <v>0</v>
      </c>
      <c r="E101" s="6">
        <f t="shared" si="48"/>
        <v>1.1827334284877727E-2</v>
      </c>
      <c r="F101" s="6">
        <f t="shared" si="48"/>
        <v>0</v>
      </c>
      <c r="G101" s="6">
        <f t="shared" si="48"/>
        <v>0</v>
      </c>
      <c r="H101" s="236"/>
      <c r="I101" s="6">
        <f t="shared" si="49"/>
        <v>9.4394476610600941E-4</v>
      </c>
      <c r="J101" s="37">
        <f t="shared" si="49"/>
        <v>1.0875000000000004E-3</v>
      </c>
      <c r="K101" s="37">
        <f>SUM(B101:J101)</f>
        <v>1.3858779050983736E-2</v>
      </c>
      <c r="L101" s="99">
        <f t="shared" si="50"/>
        <v>363880.59123369481</v>
      </c>
      <c r="N101" s="37"/>
      <c r="Y101" t="s">
        <v>800</v>
      </c>
      <c r="Z101" s="39">
        <f>(1/Z79)*Z74</f>
        <v>0.53353760074602008</v>
      </c>
    </row>
    <row r="102" spans="1:29">
      <c r="A102" t="s">
        <v>362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236"/>
      <c r="I102" s="6">
        <v>0</v>
      </c>
      <c r="J102" s="37">
        <v>0</v>
      </c>
      <c r="K102" s="37">
        <f>0</f>
        <v>0</v>
      </c>
      <c r="L102" s="99">
        <v>0</v>
      </c>
      <c r="M102" t="s">
        <v>1193</v>
      </c>
      <c r="Y102" t="s">
        <v>802</v>
      </c>
      <c r="Z102" s="39">
        <f>(1/(2*Z82))*2*Z79</f>
        <v>0.69754907654779874</v>
      </c>
      <c r="AC102" t="s">
        <v>863</v>
      </c>
    </row>
    <row r="103" spans="1:29">
      <c r="A103" t="s">
        <v>27</v>
      </c>
      <c r="B103" s="6">
        <f t="shared" ref="B103:G103" si="51">B23*B$96</f>
        <v>0</v>
      </c>
      <c r="C103" s="6">
        <f t="shared" si="51"/>
        <v>0</v>
      </c>
      <c r="D103" s="6">
        <f t="shared" si="51"/>
        <v>0</v>
      </c>
      <c r="E103" s="6">
        <f t="shared" si="51"/>
        <v>4.5995188885635599E-3</v>
      </c>
      <c r="F103" s="6">
        <f t="shared" si="51"/>
        <v>0</v>
      </c>
      <c r="G103" s="6">
        <f t="shared" si="51"/>
        <v>0</v>
      </c>
      <c r="H103" s="236"/>
      <c r="I103" s="6">
        <f>H23*I$96</f>
        <v>2.6430453450968262E-3</v>
      </c>
      <c r="J103" s="37">
        <f>I23*J$96</f>
        <v>8.7000000000000029E-3</v>
      </c>
      <c r="K103" s="37">
        <f>SUM(B103:J103)</f>
        <v>1.5942564233660389E-2</v>
      </c>
      <c r="L103" s="99">
        <f>K103/$K$104*($L$104-$L$102)</f>
        <v>418593.12986981438</v>
      </c>
      <c r="N103" s="37"/>
      <c r="Y103" t="s">
        <v>803</v>
      </c>
      <c r="Z103">
        <v>1</v>
      </c>
      <c r="AC103" t="s">
        <v>864</v>
      </c>
    </row>
    <row r="104" spans="1:29" ht="15.5" thickBot="1">
      <c r="A104" s="174" t="s">
        <v>78</v>
      </c>
      <c r="B104" s="176">
        <f t="shared" ref="B104:G104" si="52">SUM(B97:B103)</f>
        <v>0</v>
      </c>
      <c r="C104" s="176">
        <f t="shared" si="52"/>
        <v>0</v>
      </c>
      <c r="D104" s="176">
        <f t="shared" si="52"/>
        <v>0</v>
      </c>
      <c r="E104" s="176">
        <f t="shared" si="52"/>
        <v>4.993763364726151E-2</v>
      </c>
      <c r="F104" s="176">
        <f t="shared" si="52"/>
        <v>0</v>
      </c>
      <c r="G104" s="176">
        <f t="shared" si="52"/>
        <v>0</v>
      </c>
      <c r="I104" s="176">
        <f>SUM(I97:I103)</f>
        <v>7.9291360352904787E-3</v>
      </c>
      <c r="J104" s="176">
        <f>SUM(J97:J103)</f>
        <v>2.6100000000000009E-2</v>
      </c>
      <c r="K104" s="176">
        <f>SUM(K97:K103)</f>
        <v>8.3966769682551998E-2</v>
      </c>
      <c r="L104" s="190">
        <f>'Yearly Demand - BTX'!N16</f>
        <v>2204658.6992742117</v>
      </c>
      <c r="Y104" t="s">
        <v>807</v>
      </c>
      <c r="Z104" s="385">
        <f>Z101*Z102*Z103</f>
        <v>0.37216866070391447</v>
      </c>
    </row>
    <row r="105" spans="1:29" ht="15.5" thickTop="1">
      <c r="E105" s="224"/>
      <c r="L105" s="99">
        <f>SUM(L97:L103)</f>
        <v>2204658.6992742121</v>
      </c>
      <c r="N105" s="22"/>
    </row>
    <row r="106" spans="1:29">
      <c r="N106" s="22"/>
      <c r="Y106" t="s">
        <v>865</v>
      </c>
      <c r="Z106" s="393">
        <v>1.772842341876246</v>
      </c>
    </row>
    <row r="107" spans="1:29">
      <c r="B107" s="8"/>
      <c r="C107" s="143"/>
      <c r="D107" s="244"/>
      <c r="E107" s="143"/>
      <c r="M107" s="3"/>
      <c r="N107" s="390"/>
      <c r="Y107" t="s">
        <v>866</v>
      </c>
      <c r="Z107" s="39">
        <f>(1/Z83)*Z74</f>
        <v>0.32002557008300286</v>
      </c>
      <c r="AC107" t="s">
        <v>867</v>
      </c>
    </row>
    <row r="108" spans="1:29" ht="15.5" thickBot="1">
      <c r="Y108" t="s">
        <v>868</v>
      </c>
      <c r="Z108" s="39">
        <v>1</v>
      </c>
      <c r="AC108" t="s">
        <v>869</v>
      </c>
    </row>
    <row r="109" spans="1:29" ht="15.5" thickBot="1">
      <c r="B109" s="174" t="s">
        <v>297</v>
      </c>
      <c r="C109" s="174" t="s">
        <v>9</v>
      </c>
      <c r="D109" s="174" t="s">
        <v>140</v>
      </c>
      <c r="E109" s="174" t="s">
        <v>74</v>
      </c>
      <c r="F109" s="174" t="s">
        <v>34</v>
      </c>
      <c r="G109" s="174" t="s">
        <v>35</v>
      </c>
      <c r="H109" s="1" t="s">
        <v>77</v>
      </c>
      <c r="I109" s="133" t="s">
        <v>160</v>
      </c>
      <c r="J109" s="131" t="s">
        <v>24</v>
      </c>
      <c r="K109" s="131" t="s">
        <v>78</v>
      </c>
      <c r="L109" s="386" t="s">
        <v>1196</v>
      </c>
      <c r="Y109" t="s">
        <v>870</v>
      </c>
      <c r="Z109" s="385">
        <f>Z107*Z108</f>
        <v>0.32002557008300286</v>
      </c>
    </row>
    <row r="110" spans="1:29" ht="15.5" thickTop="1">
      <c r="A110" s="54" t="s">
        <v>1187</v>
      </c>
      <c r="B110" s="51">
        <v>0</v>
      </c>
      <c r="C110" s="51">
        <v>0</v>
      </c>
      <c r="D110" s="51">
        <v>0</v>
      </c>
      <c r="E110" s="51">
        <f>'Demand - BTX'!K5*2/3*'Demand - BTX'!E17*'Demand - BTX'!E33</f>
        <v>5.1771883353615836E-2</v>
      </c>
      <c r="F110" s="51">
        <v>0</v>
      </c>
      <c r="G110" s="458">
        <f>'Demand - BTX'!K5*1/3*SUM('Demand - BTX'!U9:U10)*'Demand - BTX'!R18</f>
        <v>5.1795834427410814E-2</v>
      </c>
      <c r="H110" s="458">
        <f>'Demand - BTX'!K5*1/3*SUM('Demand - BTX'!U9:U10)*'Demand - BTX'!R18</f>
        <v>5.1795834427410814E-2</v>
      </c>
      <c r="I110" s="468">
        <f>'Demand - BTX'!H37*'Demand - BTX'!L12/('Demand - BTX'!D28+'Demand - BTX'!L12)+'Demand - BTX'!K5*2/3*'Demand - BTX'!E28*'Demand - BTX'!D37*'Demand - BTX'!L12/('Demand - BTX'!D28+'Demand - BTX'!L12)</f>
        <v>0.16254187836039208</v>
      </c>
      <c r="J110" s="467">
        <v>0.05</v>
      </c>
      <c r="N110" s="1"/>
      <c r="Z110" s="39"/>
    </row>
    <row r="111" spans="1:29">
      <c r="A111" t="s">
        <v>17</v>
      </c>
      <c r="B111" s="175">
        <f t="shared" ref="B111:G115" si="53">B18*B$110</f>
        <v>0</v>
      </c>
      <c r="C111" s="175">
        <f t="shared" si="53"/>
        <v>0</v>
      </c>
      <c r="D111" s="175">
        <f t="shared" si="53"/>
        <v>0</v>
      </c>
      <c r="E111" s="175">
        <f t="shared" si="53"/>
        <v>1.1437498967200128E-3</v>
      </c>
      <c r="F111" s="175">
        <f t="shared" si="53"/>
        <v>0</v>
      </c>
      <c r="G111" s="175">
        <f t="shared" si="53"/>
        <v>1.9164458738141999E-3</v>
      </c>
      <c r="H111" s="471"/>
      <c r="I111" s="175">
        <f t="shared" ref="I111:J115" si="54">H18*I$110</f>
        <v>7.3530849734463087E-5</v>
      </c>
      <c r="J111" s="175">
        <f t="shared" si="54"/>
        <v>2.7187500000000009E-4</v>
      </c>
      <c r="K111" s="37">
        <f>SUM(B111:J111)</f>
        <v>3.4056016202686757E-3</v>
      </c>
      <c r="L111" s="99">
        <f>K111/$K$118*($L$118-$L$116)</f>
        <v>127406.95685615994</v>
      </c>
      <c r="M111" s="2">
        <f>L111/$L$118</f>
        <v>0.15401185436137865</v>
      </c>
      <c r="N111" s="37"/>
      <c r="Y111" t="s">
        <v>871</v>
      </c>
      <c r="Z111" s="393">
        <v>3.8059547535955658</v>
      </c>
    </row>
    <row r="112" spans="1:29">
      <c r="A112" t="s">
        <v>19</v>
      </c>
      <c r="B112" s="148">
        <f t="shared" si="53"/>
        <v>0</v>
      </c>
      <c r="C112" s="148">
        <f t="shared" si="53"/>
        <v>0</v>
      </c>
      <c r="D112" s="148">
        <f t="shared" si="53"/>
        <v>0</v>
      </c>
      <c r="E112" s="148">
        <f t="shared" si="53"/>
        <v>1.094021640340882E-3</v>
      </c>
      <c r="F112" s="148">
        <f t="shared" si="53"/>
        <v>0</v>
      </c>
      <c r="G112" s="148">
        <f t="shared" si="53"/>
        <v>0</v>
      </c>
      <c r="H112" s="188"/>
      <c r="I112" s="148">
        <f t="shared" si="54"/>
        <v>8.8237019681355693E-4</v>
      </c>
      <c r="J112" s="148">
        <f t="shared" si="54"/>
        <v>1.3593750000000003E-3</v>
      </c>
      <c r="K112" s="37">
        <f>SUM(B112:J112)</f>
        <v>3.3357668371544391E-3</v>
      </c>
      <c r="L112" s="99">
        <f>K112/$K$118*($L$118-$L$116)</f>
        <v>124794.36789497873</v>
      </c>
      <c r="M112" s="2">
        <f t="shared" ref="M112:M117" si="55">L112/$L$118</f>
        <v>0.15085370915075366</v>
      </c>
      <c r="N112" s="37"/>
      <c r="Y112" t="s">
        <v>855</v>
      </c>
      <c r="Z112" s="39">
        <f>(1/(Z73))*(Z74)</f>
        <v>1.0670752014920402</v>
      </c>
    </row>
    <row r="113" spans="1:29">
      <c r="A113" t="s">
        <v>330</v>
      </c>
      <c r="B113" s="148">
        <f t="shared" si="53"/>
        <v>0</v>
      </c>
      <c r="C113" s="148">
        <f t="shared" si="53"/>
        <v>0</v>
      </c>
      <c r="D113" s="148">
        <f t="shared" si="53"/>
        <v>0</v>
      </c>
      <c r="E113" s="148">
        <f t="shared" si="53"/>
        <v>0</v>
      </c>
      <c r="F113" s="148">
        <f t="shared" si="53"/>
        <v>0</v>
      </c>
      <c r="G113" s="148">
        <f t="shared" si="53"/>
        <v>0</v>
      </c>
      <c r="H113" s="236"/>
      <c r="I113" s="148">
        <f t="shared" si="54"/>
        <v>5.8824679787570469E-4</v>
      </c>
      <c r="J113" s="148">
        <f t="shared" si="54"/>
        <v>3.8062500000000006E-3</v>
      </c>
      <c r="K113" s="37">
        <f>SUM(B113:J113)</f>
        <v>4.3944967978757051E-3</v>
      </c>
      <c r="L113" s="99">
        <f>K113/$K$118*($L$118-$L$116)</f>
        <v>164402.51278930038</v>
      </c>
      <c r="M113" s="2">
        <f t="shared" si="55"/>
        <v>0.19873275746579641</v>
      </c>
      <c r="N113" s="37"/>
      <c r="Y113" t="s">
        <v>872</v>
      </c>
      <c r="Z113" s="39">
        <f>(1/(2*Z84+2*Z73-Z78))*2*Z73</f>
        <v>0.26078724291272931</v>
      </c>
    </row>
    <row r="114" spans="1:29">
      <c r="A114" t="s">
        <v>23</v>
      </c>
      <c r="B114" s="148">
        <f t="shared" si="53"/>
        <v>0</v>
      </c>
      <c r="C114" s="148">
        <f t="shared" si="53"/>
        <v>0</v>
      </c>
      <c r="D114" s="148">
        <f t="shared" si="53"/>
        <v>0</v>
      </c>
      <c r="E114" s="148">
        <f t="shared" si="53"/>
        <v>2.9836953827478601E-4</v>
      </c>
      <c r="F114" s="148">
        <f t="shared" si="53"/>
        <v>0</v>
      </c>
      <c r="G114" s="148">
        <f t="shared" si="53"/>
        <v>0</v>
      </c>
      <c r="H114" s="236"/>
      <c r="I114" s="148">
        <f t="shared" si="54"/>
        <v>1.4706169946892617E-4</v>
      </c>
      <c r="J114" s="148">
        <f t="shared" si="54"/>
        <v>2.7187500000000007E-3</v>
      </c>
      <c r="K114" s="37">
        <f>SUM(B114:J114)</f>
        <v>3.164181237743713E-3</v>
      </c>
      <c r="L114" s="99">
        <f>K114/$K$118*($L$118-$L$116)</f>
        <v>118375.17930546425</v>
      </c>
      <c r="M114" s="2">
        <f t="shared" si="55"/>
        <v>0.14309407684682324</v>
      </c>
      <c r="N114" s="37"/>
      <c r="Y114" t="s">
        <v>873</v>
      </c>
      <c r="Z114" s="385">
        <f>Z112*Z113</f>
        <v>0.27827959977765426</v>
      </c>
    </row>
    <row r="115" spans="1:29">
      <c r="A115" t="s">
        <v>336</v>
      </c>
      <c r="B115" s="37">
        <f t="shared" si="53"/>
        <v>0</v>
      </c>
      <c r="C115" s="37">
        <f t="shared" si="53"/>
        <v>0</v>
      </c>
      <c r="D115" s="37">
        <f t="shared" si="53"/>
        <v>0</v>
      </c>
      <c r="E115" s="37">
        <f t="shared" si="53"/>
        <v>8.9510861482435813E-4</v>
      </c>
      <c r="F115" s="37">
        <f t="shared" si="53"/>
        <v>0</v>
      </c>
      <c r="G115" s="37">
        <f t="shared" si="53"/>
        <v>0</v>
      </c>
      <c r="H115" s="236"/>
      <c r="I115" s="37">
        <f t="shared" si="54"/>
        <v>3.6765424867231541E-4</v>
      </c>
      <c r="J115" s="37">
        <f t="shared" si="54"/>
        <v>5.4375000000000018E-4</v>
      </c>
      <c r="K115" s="37">
        <f>SUM(B115:J115)</f>
        <v>1.8065128634966738E-3</v>
      </c>
      <c r="L115" s="99">
        <f>K115/$K$118*($L$118-$L$116)</f>
        <v>67583.44989319703</v>
      </c>
      <c r="M115" s="2">
        <f t="shared" si="55"/>
        <v>8.1696107489183392E-2</v>
      </c>
      <c r="N115" s="37"/>
      <c r="Z115" s="39"/>
    </row>
    <row r="116" spans="1:29">
      <c r="A116" t="s">
        <v>362</v>
      </c>
      <c r="B116" s="37">
        <v>0</v>
      </c>
      <c r="C116" s="37">
        <v>0</v>
      </c>
      <c r="D116" s="37">
        <v>0</v>
      </c>
      <c r="E116" s="37">
        <v>0</v>
      </c>
      <c r="F116" s="37">
        <v>0</v>
      </c>
      <c r="G116" s="37">
        <v>0</v>
      </c>
      <c r="H116" s="236"/>
      <c r="I116" s="37">
        <v>0</v>
      </c>
      <c r="J116" s="37">
        <v>0</v>
      </c>
      <c r="K116" s="37"/>
      <c r="L116" s="78">
        <f>M22*H110*0.5</f>
        <v>10419.151641332548</v>
      </c>
      <c r="M116" s="2">
        <f t="shared" si="55"/>
        <v>1.259486063202713E-2</v>
      </c>
      <c r="N116" t="s">
        <v>1194</v>
      </c>
      <c r="Y116" t="s">
        <v>874</v>
      </c>
      <c r="Z116" s="396">
        <v>9.0391425397894682</v>
      </c>
      <c r="AC116" t="s">
        <v>863</v>
      </c>
    </row>
    <row r="117" spans="1:29">
      <c r="A117" t="s">
        <v>27</v>
      </c>
      <c r="B117" s="148">
        <f t="shared" ref="B117:G117" si="56">B23*B$110</f>
        <v>0</v>
      </c>
      <c r="C117" s="148">
        <f t="shared" si="56"/>
        <v>0</v>
      </c>
      <c r="D117" s="148">
        <f t="shared" si="56"/>
        <v>0</v>
      </c>
      <c r="E117" s="148">
        <f t="shared" si="56"/>
        <v>3.4809779465391695E-4</v>
      </c>
      <c r="F117" s="148">
        <f t="shared" si="56"/>
        <v>0</v>
      </c>
      <c r="G117" s="148">
        <f t="shared" si="56"/>
        <v>0</v>
      </c>
      <c r="H117" s="236"/>
      <c r="I117" s="148">
        <f>H23*I$110</f>
        <v>1.029431896282483E-3</v>
      </c>
      <c r="J117" s="148">
        <f>I23*J$110</f>
        <v>4.3500000000000014E-3</v>
      </c>
      <c r="K117" s="37">
        <f>SUM(B117:J117)</f>
        <v>5.7275296909364013E-3</v>
      </c>
      <c r="L117" s="99">
        <f>K117/$K$118*($L$118-$L$116)</f>
        <v>214272.60425367643</v>
      </c>
      <c r="M117" s="2">
        <f t="shared" si="55"/>
        <v>0.25901663405403763</v>
      </c>
      <c r="N117" s="37"/>
      <c r="Y117" t="s">
        <v>875</v>
      </c>
      <c r="Z117" s="39">
        <f>1/(((Z85+Z73)+(Z85+2*Z73))/2)*1.5*Z73</f>
        <v>0.42855511679908653</v>
      </c>
      <c r="AC117" t="s">
        <v>864</v>
      </c>
    </row>
    <row r="118" spans="1:29" ht="15.5" thickBot="1">
      <c r="A118" s="174" t="s">
        <v>78</v>
      </c>
      <c r="B118" s="176">
        <f t="shared" ref="B118:G118" si="57">SUM(B111:B117)</f>
        <v>0</v>
      </c>
      <c r="C118" s="176">
        <f t="shared" si="57"/>
        <v>0</v>
      </c>
      <c r="D118" s="176">
        <f t="shared" si="57"/>
        <v>0</v>
      </c>
      <c r="E118" s="176">
        <f t="shared" si="57"/>
        <v>3.7793474848139556E-3</v>
      </c>
      <c r="F118" s="176">
        <f t="shared" si="57"/>
        <v>0</v>
      </c>
      <c r="G118" s="176">
        <f t="shared" si="57"/>
        <v>1.9164458738141999E-3</v>
      </c>
      <c r="H118" s="37">
        <f>K116</f>
        <v>0</v>
      </c>
      <c r="I118" s="176">
        <f>SUM(I111:I117)</f>
        <v>3.0882956888474491E-3</v>
      </c>
      <c r="J118" s="176">
        <f>SUM(J111:J117)</f>
        <v>1.3050000000000004E-2</v>
      </c>
      <c r="K118" s="176">
        <f>SUM(K111:K117)</f>
        <v>2.1834089047475604E-2</v>
      </c>
      <c r="L118" s="190">
        <f>'Demand - BTX'!M5+'Demand - BTX'!M6+'Demand - BTX'!M7</f>
        <v>827254.2226341092</v>
      </c>
      <c r="Y118" t="s">
        <v>876</v>
      </c>
      <c r="Z118" s="39">
        <f>(1/((((Z85+Z73)+(Z85+2*Z73))/2)-Z78))*(((Z85+Z73)+(Z85+2*Z73))/2)</f>
        <v>1.2066708766289684</v>
      </c>
    </row>
    <row r="119" spans="1:29" ht="15.5" thickTop="1">
      <c r="L119" s="99">
        <f>SUM(L111:L117)</f>
        <v>827254.22263410944</v>
      </c>
      <c r="M119" s="23"/>
      <c r="N119" s="22"/>
      <c r="Y119" t="s">
        <v>877</v>
      </c>
      <c r="Z119" s="385">
        <f>Z117*Z118</f>
        <v>0.51712497847178374</v>
      </c>
    </row>
    <row r="120" spans="1:29">
      <c r="N120" s="22"/>
    </row>
    <row r="121" spans="1:29">
      <c r="B121" s="8"/>
      <c r="C121" s="143"/>
      <c r="D121" s="244"/>
      <c r="E121" s="143"/>
      <c r="M121" s="3"/>
      <c r="N121" s="390"/>
      <c r="Y121" t="s">
        <v>878</v>
      </c>
      <c r="Z121" s="396">
        <v>4.9953156140941797</v>
      </c>
      <c r="AC121" t="s">
        <v>867</v>
      </c>
    </row>
    <row r="122" spans="1:29" ht="15.5" thickBot="1">
      <c r="Y122" t="s">
        <v>879</v>
      </c>
      <c r="Z122" s="385">
        <f>Z119</f>
        <v>0.51712497847178374</v>
      </c>
      <c r="AA122" t="s">
        <v>880</v>
      </c>
    </row>
    <row r="123" spans="1:29" ht="15.5" thickBot="1">
      <c r="B123" s="174" t="s">
        <v>297</v>
      </c>
      <c r="C123" s="174" t="s">
        <v>9</v>
      </c>
      <c r="D123" s="174" t="s">
        <v>140</v>
      </c>
      <c r="E123" s="174" t="s">
        <v>74</v>
      </c>
      <c r="F123" s="174" t="s">
        <v>34</v>
      </c>
      <c r="G123" s="174" t="s">
        <v>35</v>
      </c>
      <c r="H123" s="1" t="s">
        <v>77</v>
      </c>
      <c r="I123" s="133" t="s">
        <v>160</v>
      </c>
      <c r="J123" s="131" t="s">
        <v>24</v>
      </c>
      <c r="K123" s="131" t="s">
        <v>78</v>
      </c>
      <c r="L123" s="386" t="s">
        <v>1195</v>
      </c>
      <c r="Z123" s="39"/>
    </row>
    <row r="124" spans="1:29" ht="15.5" thickTop="1">
      <c r="A124" s="54" t="s">
        <v>1188</v>
      </c>
      <c r="B124" s="51">
        <v>0</v>
      </c>
      <c r="C124" s="51">
        <v>0</v>
      </c>
      <c r="D124" s="51">
        <v>0</v>
      </c>
      <c r="E124" s="51">
        <v>0</v>
      </c>
      <c r="F124" s="51">
        <v>0</v>
      </c>
      <c r="G124" s="387">
        <f>'Demand - BTX'!R18-G110</f>
        <v>0.5002874989059225</v>
      </c>
      <c r="H124" s="387">
        <f>'Demand - BTX'!R18-H110</f>
        <v>0.5002874989059225</v>
      </c>
      <c r="I124" s="458">
        <v>0</v>
      </c>
      <c r="J124" s="467">
        <v>0.05</v>
      </c>
      <c r="N124" s="1"/>
      <c r="Y124" t="s">
        <v>881</v>
      </c>
      <c r="Z124" s="396">
        <v>1.9029773767977829</v>
      </c>
    </row>
    <row r="125" spans="1:29">
      <c r="A125" t="s">
        <v>17</v>
      </c>
      <c r="B125" s="391">
        <f t="shared" ref="B125:G129" si="58">B18*B$124</f>
        <v>0</v>
      </c>
      <c r="C125" s="391">
        <f t="shared" si="58"/>
        <v>0</v>
      </c>
      <c r="D125" s="391">
        <f t="shared" si="58"/>
        <v>0</v>
      </c>
      <c r="E125" s="391">
        <f t="shared" si="58"/>
        <v>0</v>
      </c>
      <c r="F125" s="391">
        <f t="shared" si="58"/>
        <v>0</v>
      </c>
      <c r="G125" s="472">
        <f t="shared" si="58"/>
        <v>1.8510637459519131E-2</v>
      </c>
      <c r="H125" s="473"/>
      <c r="I125" s="472">
        <f t="shared" ref="I125:J129" si="59">H18*I$124</f>
        <v>0</v>
      </c>
      <c r="J125" s="472">
        <f t="shared" si="59"/>
        <v>2.7187500000000009E-4</v>
      </c>
      <c r="K125" s="37">
        <f>SUM(B125:J125)</f>
        <v>1.8782512459519132E-2</v>
      </c>
      <c r="L125" s="99">
        <f>K125/$K$132*($L$132-$L$130)</f>
        <v>2342576.0306383162</v>
      </c>
      <c r="N125" s="37"/>
      <c r="Y125" t="s">
        <v>855</v>
      </c>
      <c r="Z125" s="39">
        <f>(1/(Z73))*(Z74)</f>
        <v>1.0670752014920402</v>
      </c>
    </row>
    <row r="126" spans="1:29">
      <c r="A126" t="s">
        <v>19</v>
      </c>
      <c r="B126" s="149">
        <f t="shared" si="58"/>
        <v>0</v>
      </c>
      <c r="C126" s="149">
        <f t="shared" si="58"/>
        <v>0</v>
      </c>
      <c r="D126" s="149">
        <f t="shared" si="58"/>
        <v>0</v>
      </c>
      <c r="E126" s="149">
        <f t="shared" si="58"/>
        <v>0</v>
      </c>
      <c r="F126" s="149">
        <f t="shared" si="58"/>
        <v>0</v>
      </c>
      <c r="G126" s="243">
        <f t="shared" si="58"/>
        <v>0</v>
      </c>
      <c r="H126" s="365"/>
      <c r="I126" s="243">
        <f t="shared" si="59"/>
        <v>0</v>
      </c>
      <c r="J126" s="243">
        <f t="shared" si="59"/>
        <v>1.3593750000000003E-3</v>
      </c>
      <c r="K126" s="37">
        <f>SUM(B126:J126)</f>
        <v>1.3593750000000003E-3</v>
      </c>
      <c r="L126" s="99">
        <f t="shared" ref="L126:L129" si="60">K126/$K$132*($L$132-$L$130)</f>
        <v>169542.77541474818</v>
      </c>
      <c r="N126" s="37"/>
      <c r="Y126" t="s">
        <v>882</v>
      </c>
      <c r="Z126">
        <v>1</v>
      </c>
    </row>
    <row r="127" spans="1:29">
      <c r="A127" t="s">
        <v>330</v>
      </c>
      <c r="B127" s="149">
        <f t="shared" si="58"/>
        <v>0</v>
      </c>
      <c r="C127" s="149">
        <f t="shared" si="58"/>
        <v>0</v>
      </c>
      <c r="D127" s="149">
        <f t="shared" si="58"/>
        <v>0</v>
      </c>
      <c r="E127" s="149">
        <f t="shared" si="58"/>
        <v>0</v>
      </c>
      <c r="F127" s="149">
        <f t="shared" si="58"/>
        <v>0</v>
      </c>
      <c r="G127" s="243">
        <f t="shared" si="58"/>
        <v>0</v>
      </c>
      <c r="H127" s="70"/>
      <c r="I127" s="243">
        <f t="shared" si="59"/>
        <v>0</v>
      </c>
      <c r="J127" s="243">
        <f t="shared" si="59"/>
        <v>3.8062500000000006E-3</v>
      </c>
      <c r="K127" s="37">
        <f>SUM(B127:J127)</f>
        <v>3.8062500000000006E-3</v>
      </c>
      <c r="L127" s="99">
        <f t="shared" si="60"/>
        <v>474719.77116129483</v>
      </c>
      <c r="N127" s="37"/>
      <c r="Y127" t="s">
        <v>877</v>
      </c>
      <c r="Z127" s="385">
        <f>Z125*Z126</f>
        <v>1.0670752014920402</v>
      </c>
    </row>
    <row r="128" spans="1:29">
      <c r="A128" t="s">
        <v>23</v>
      </c>
      <c r="B128" s="149">
        <f t="shared" si="58"/>
        <v>0</v>
      </c>
      <c r="C128" s="149">
        <f t="shared" si="58"/>
        <v>0</v>
      </c>
      <c r="D128" s="149">
        <f t="shared" si="58"/>
        <v>0</v>
      </c>
      <c r="E128" s="149">
        <f t="shared" si="58"/>
        <v>0</v>
      </c>
      <c r="F128" s="149">
        <f t="shared" si="58"/>
        <v>0</v>
      </c>
      <c r="G128" s="243">
        <f t="shared" si="58"/>
        <v>0</v>
      </c>
      <c r="H128" s="70"/>
      <c r="I128" s="243">
        <f t="shared" si="59"/>
        <v>0</v>
      </c>
      <c r="J128" s="243">
        <f t="shared" si="59"/>
        <v>2.7187500000000007E-3</v>
      </c>
      <c r="K128" s="37">
        <f>SUM(B128:J128)</f>
        <v>2.7187500000000007E-3</v>
      </c>
      <c r="L128" s="99">
        <f t="shared" si="60"/>
        <v>339085.55082949635</v>
      </c>
      <c r="N128" s="37"/>
      <c r="Z128" s="39"/>
    </row>
    <row r="129" spans="1:29">
      <c r="A129" t="s">
        <v>336</v>
      </c>
      <c r="B129" s="6">
        <f t="shared" si="58"/>
        <v>0</v>
      </c>
      <c r="C129" s="6">
        <f t="shared" si="58"/>
        <v>0</v>
      </c>
      <c r="D129" s="6">
        <f t="shared" si="58"/>
        <v>0</v>
      </c>
      <c r="E129" s="6">
        <f t="shared" si="58"/>
        <v>0</v>
      </c>
      <c r="F129" s="6">
        <f t="shared" si="58"/>
        <v>0</v>
      </c>
      <c r="G129" s="331">
        <f t="shared" si="58"/>
        <v>0</v>
      </c>
      <c r="H129" s="70"/>
      <c r="I129" s="331">
        <f t="shared" si="59"/>
        <v>0</v>
      </c>
      <c r="J129" s="331">
        <f t="shared" si="59"/>
        <v>5.4375000000000018E-4</v>
      </c>
      <c r="K129" s="37">
        <f>SUM(B129:J129)</f>
        <v>5.4375000000000018E-4</v>
      </c>
      <c r="L129" s="99">
        <f t="shared" si="60"/>
        <v>67817.110165899285</v>
      </c>
      <c r="N129" s="37"/>
      <c r="Y129" s="394" t="s">
        <v>883</v>
      </c>
      <c r="Z129" s="397">
        <f>(Z100*Z104+Z106*Z109+Z111*Z114+Z116*Z119+Z121*Z122+Z124*Z127)/SUM(Z100,Z106,Z111,Z116,Z121,Z124)</f>
        <v>0.5009063728840607</v>
      </c>
    </row>
    <row r="130" spans="1:29">
      <c r="A130" t="s">
        <v>362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331">
        <v>0</v>
      </c>
      <c r="H130" s="331"/>
      <c r="I130" s="331">
        <v>0</v>
      </c>
      <c r="J130" s="331">
        <v>0</v>
      </c>
      <c r="K130" s="37"/>
      <c r="L130" s="78">
        <f>M22*H124*0.5</f>
        <v>100636.88273366746</v>
      </c>
      <c r="M130" t="s">
        <v>834</v>
      </c>
      <c r="AC130" t="s">
        <v>863</v>
      </c>
    </row>
    <row r="131" spans="1:29">
      <c r="A131" t="s">
        <v>27</v>
      </c>
      <c r="B131" s="149">
        <f t="shared" ref="B131:G131" si="61">B23*B$124</f>
        <v>0</v>
      </c>
      <c r="C131" s="149">
        <f t="shared" si="61"/>
        <v>0</v>
      </c>
      <c r="D131" s="149">
        <f t="shared" si="61"/>
        <v>0</v>
      </c>
      <c r="E131" s="149">
        <f t="shared" si="61"/>
        <v>0</v>
      </c>
      <c r="F131" s="149">
        <f t="shared" si="61"/>
        <v>0</v>
      </c>
      <c r="G131" s="243">
        <f t="shared" si="61"/>
        <v>0</v>
      </c>
      <c r="H131" s="70"/>
      <c r="I131" s="243">
        <f>H23*I$124</f>
        <v>0</v>
      </c>
      <c r="J131" s="243">
        <f>I23*J$124</f>
        <v>4.3500000000000014E-3</v>
      </c>
      <c r="K131" s="37">
        <f>SUM(B131:J131)</f>
        <v>4.3500000000000014E-3</v>
      </c>
      <c r="L131" s="99">
        <f>K131/$K$132*($L$132-$L$130)</f>
        <v>542536.88132719428</v>
      </c>
      <c r="N131" s="37"/>
      <c r="Y131" s="230" t="s">
        <v>35</v>
      </c>
      <c r="AC131" t="s">
        <v>864</v>
      </c>
    </row>
    <row r="132" spans="1:29" ht="15.5" thickBot="1">
      <c r="A132" s="174" t="s">
        <v>78</v>
      </c>
      <c r="B132" s="176">
        <f t="shared" ref="B132:G132" si="62">SUM(B125:B131)</f>
        <v>0</v>
      </c>
      <c r="C132" s="176">
        <f t="shared" si="62"/>
        <v>0</v>
      </c>
      <c r="D132" s="176">
        <f t="shared" si="62"/>
        <v>0</v>
      </c>
      <c r="E132" s="176">
        <f t="shared" si="62"/>
        <v>0</v>
      </c>
      <c r="F132" s="176">
        <f t="shared" si="62"/>
        <v>0</v>
      </c>
      <c r="G132" s="176">
        <f t="shared" si="62"/>
        <v>1.8510637459519131E-2</v>
      </c>
      <c r="I132" s="176">
        <f>SUM(I125:I131)</f>
        <v>0</v>
      </c>
      <c r="J132" s="176">
        <f>SUM(J125:J131)</f>
        <v>1.3050000000000004E-2</v>
      </c>
      <c r="K132" s="176">
        <f>SUM(K125:K131)</f>
        <v>3.1560637459519134E-2</v>
      </c>
      <c r="L132" s="190">
        <f>'Yearly Demand - BTX'!N18</f>
        <v>4036915.0022706161</v>
      </c>
      <c r="Y132" t="s">
        <v>884</v>
      </c>
      <c r="Z132" s="393">
        <v>1.7838235854385778</v>
      </c>
    </row>
    <row r="133" spans="1:29" ht="15.5" thickTop="1">
      <c r="L133" s="99">
        <f>SUM(L125:L131)</f>
        <v>4036915.0022706161</v>
      </c>
      <c r="N133" s="22"/>
    </row>
    <row r="134" spans="1:29">
      <c r="N134" s="22"/>
      <c r="Y134" t="s">
        <v>885</v>
      </c>
    </row>
    <row r="135" spans="1:29">
      <c r="B135" s="8"/>
      <c r="C135" s="143"/>
      <c r="D135" s="244"/>
      <c r="E135" s="143"/>
      <c r="M135" s="3"/>
      <c r="N135" s="390"/>
      <c r="Y135" t="s">
        <v>886</v>
      </c>
      <c r="Z135" s="384">
        <f>(1/Z79)*Z74</f>
        <v>0.53353760074602008</v>
      </c>
      <c r="AC135" t="s">
        <v>867</v>
      </c>
    </row>
    <row r="136" spans="1:29">
      <c r="Y136" t="s">
        <v>887</v>
      </c>
      <c r="Z136">
        <v>0.05</v>
      </c>
      <c r="AB136" t="s">
        <v>888</v>
      </c>
      <c r="AC136" t="s">
        <v>889</v>
      </c>
    </row>
    <row r="137" spans="1:29">
      <c r="Y137" t="s">
        <v>890</v>
      </c>
      <c r="Z137" s="39">
        <f>1/(Z80+Z77-Z78)*Z80</f>
        <v>0.7903445257419055</v>
      </c>
    </row>
    <row r="138" spans="1:29">
      <c r="Y138" s="394" t="s">
        <v>891</v>
      </c>
      <c r="Z138" s="395">
        <f>Z135*Z136*Z137</f>
        <v>2.1083926101354369E-2</v>
      </c>
    </row>
    <row r="140" spans="1:29">
      <c r="Y140" t="s">
        <v>892</v>
      </c>
    </row>
    <row r="141" spans="1:29">
      <c r="Y141" t="s">
        <v>893</v>
      </c>
      <c r="Z141" s="39">
        <f>(1/Z81)*2*Z74</f>
        <v>0.32998609609145679</v>
      </c>
      <c r="AB141" t="s">
        <v>894</v>
      </c>
    </row>
    <row r="142" spans="1:29">
      <c r="Y142" t="s">
        <v>895</v>
      </c>
      <c r="Z142" s="39">
        <f>1/(Z81+Z77-Z74)*Z81</f>
        <v>0.86606903933636603</v>
      </c>
    </row>
    <row r="143" spans="1:29">
      <c r="Y143" s="394" t="s">
        <v>891</v>
      </c>
      <c r="Z143" s="39">
        <f>Z141*Z142</f>
        <v>0.28579074123628573</v>
      </c>
    </row>
    <row r="145" spans="25:26">
      <c r="Y145" s="394" t="s">
        <v>896</v>
      </c>
      <c r="Z145" s="397">
        <v>0.14994870642753136</v>
      </c>
    </row>
    <row r="147" spans="25:26">
      <c r="Y147" s="63" t="s">
        <v>1071</v>
      </c>
      <c r="Z147" s="447">
        <f>Z132/(G13*L14)</f>
        <v>4.5633813190281036E-6</v>
      </c>
    </row>
    <row r="148" spans="25:26">
      <c r="Z148" s="2">
        <f>Z132/Z145/(G13*L14)</f>
        <v>3.0432948891316632E-5</v>
      </c>
    </row>
  </sheetData>
  <hyperlinks>
    <hyperlink ref="A3" r:id="rId1" xr:uid="{2BE56415-4B42-4F40-B9F6-22F9089C1142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CB81-6641-4927-B20B-B69DEB37C8E8}">
  <sheetPr>
    <tabColor rgb="FFFF0000"/>
  </sheetPr>
  <dimension ref="A1:AM32"/>
  <sheetViews>
    <sheetView zoomScale="79" zoomScaleNormal="79" workbookViewId="0">
      <selection activeCell="AC12" sqref="AC12"/>
    </sheetView>
  </sheetViews>
  <sheetFormatPr defaultRowHeight="14.75"/>
  <cols>
    <col min="1" max="1" width="25.1796875" customWidth="1"/>
    <col min="2" max="2" width="12.81640625" bestFit="1" customWidth="1"/>
    <col min="3" max="3" width="14.1796875" bestFit="1" customWidth="1"/>
    <col min="4" max="8" width="14.1796875" customWidth="1"/>
    <col min="9" max="9" width="11.453125" customWidth="1"/>
    <col min="10" max="13" width="14.1796875" customWidth="1"/>
    <col min="14" max="15" width="11.453125" customWidth="1"/>
    <col min="19" max="19" width="17.453125" customWidth="1"/>
    <col min="20" max="20" width="15.7265625" customWidth="1"/>
    <col min="21" max="21" width="17.81640625" customWidth="1"/>
    <col min="22" max="22" width="19.453125" customWidth="1"/>
    <col min="25" max="25" width="13.54296875" customWidth="1"/>
    <col min="26" max="26" width="17.81640625" customWidth="1"/>
  </cols>
  <sheetData>
    <row r="1" spans="1:27">
      <c r="A1" s="42" t="s">
        <v>124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1"/>
    </row>
    <row r="2" spans="1:27" ht="15.5" thickBot="1">
      <c r="A2" s="41"/>
      <c r="B2" s="41" t="s">
        <v>143</v>
      </c>
      <c r="C2" s="41" t="s">
        <v>144</v>
      </c>
      <c r="D2" s="41" t="s">
        <v>796</v>
      </c>
      <c r="E2" s="41" t="s">
        <v>1204</v>
      </c>
      <c r="F2" s="41" t="s">
        <v>1205</v>
      </c>
      <c r="G2" s="41" t="s">
        <v>1206</v>
      </c>
      <c r="H2" s="41" t="s">
        <v>1312</v>
      </c>
      <c r="I2" s="41" t="s">
        <v>4</v>
      </c>
      <c r="J2" s="41" t="s">
        <v>3</v>
      </c>
      <c r="K2" s="41" t="s">
        <v>716</v>
      </c>
      <c r="L2" s="41" t="s">
        <v>88</v>
      </c>
      <c r="M2" s="41" t="s">
        <v>717</v>
      </c>
      <c r="N2" s="41" t="s">
        <v>718</v>
      </c>
      <c r="O2" s="41" t="s">
        <v>1300</v>
      </c>
      <c r="P2" t="s">
        <v>60</v>
      </c>
      <c r="S2" s="41" t="s">
        <v>612</v>
      </c>
      <c r="T2" s="41" t="s">
        <v>611</v>
      </c>
      <c r="U2" s="41" t="s">
        <v>613</v>
      </c>
      <c r="V2" s="41" t="s">
        <v>614</v>
      </c>
      <c r="Y2" s="41" t="s">
        <v>611</v>
      </c>
      <c r="Z2" s="41" t="s">
        <v>1066</v>
      </c>
    </row>
    <row r="3" spans="1:27">
      <c r="B3" t="s">
        <v>126</v>
      </c>
      <c r="C3" t="s">
        <v>126</v>
      </c>
      <c r="I3" t="s">
        <v>127</v>
      </c>
      <c r="J3" t="s">
        <v>127</v>
      </c>
      <c r="K3" t="s">
        <v>127</v>
      </c>
      <c r="L3" t="s">
        <v>127</v>
      </c>
      <c r="M3" t="s">
        <v>127</v>
      </c>
      <c r="N3" t="s">
        <v>127</v>
      </c>
      <c r="O3" t="s">
        <v>127</v>
      </c>
      <c r="S3" t="s">
        <v>126</v>
      </c>
      <c r="T3" t="s">
        <v>126</v>
      </c>
      <c r="U3" t="s">
        <v>126</v>
      </c>
      <c r="V3" t="s">
        <v>126</v>
      </c>
      <c r="Y3" t="s">
        <v>126</v>
      </c>
      <c r="Z3" t="s">
        <v>126</v>
      </c>
    </row>
    <row r="4" spans="1:27">
      <c r="A4" t="s">
        <v>128</v>
      </c>
      <c r="I4" s="99">
        <f>'Demand - Propylene'!K50+'Demand - Propylene'!K54</f>
        <v>1598212.8065688689</v>
      </c>
      <c r="J4" s="99">
        <f>'Demand - Ethylene'!K63+'Demand - Ethylene'!K67</f>
        <v>1749397.7312644324</v>
      </c>
      <c r="K4" s="40">
        <f>'Production - Industry shares'!L82+'Production - Industry shares'!L86</f>
        <v>1.6253419921720136</v>
      </c>
      <c r="L4" s="40">
        <f>'Demand - BTX'!K70</f>
        <v>416037.85495538352</v>
      </c>
      <c r="M4" s="40">
        <f>'Demand - BTX'!K80</f>
        <v>127406.95685615994</v>
      </c>
      <c r="N4" s="40">
        <f>'Demand - BTX'!K90</f>
        <v>2342576.0306383162</v>
      </c>
      <c r="O4" s="40">
        <f>'Demand - C4'!I26</f>
        <v>3721.0980653873412</v>
      </c>
      <c r="P4" s="7"/>
    </row>
    <row r="5" spans="1:27">
      <c r="A5" t="s">
        <v>129</v>
      </c>
      <c r="B5" s="536">
        <f>C5</f>
        <v>-6.9680618668425121E-3</v>
      </c>
      <c r="C5" s="536">
        <f>'Demand - Ethylene'!L63</f>
        <v>-6.9680618668425121E-3</v>
      </c>
      <c r="D5" s="538">
        <f>'Demand - Methanol'!N37</f>
        <v>-6.9680618668425121E-3</v>
      </c>
      <c r="E5" s="536">
        <f>'Yearly Demand - BTX'!AT3</f>
        <v>-6.8456155150002918E-3</v>
      </c>
      <c r="F5" s="536">
        <f>'Yearly Demand - BTX'!AT3</f>
        <v>-6.8456155150002918E-3</v>
      </c>
      <c r="G5" s="536">
        <f>'Yearly Demand - BTX'!AT3</f>
        <v>-6.8456155150002918E-3</v>
      </c>
      <c r="H5" s="536">
        <f>'Demand - C4'!K26</f>
        <v>-6.9680618668425121E-3</v>
      </c>
      <c r="I5" s="99">
        <f>I4*(1+C5)^30-I4</f>
        <v>-302433.30768654239</v>
      </c>
      <c r="J5" s="99">
        <f>J4*(1+C5)^30-J4</f>
        <v>-331042.36191266985</v>
      </c>
      <c r="K5" s="40">
        <f>K4*(1+D5)^30-K4</f>
        <v>-0.30756702286081627</v>
      </c>
      <c r="L5" s="40">
        <f>L4*(1+E5)^30-L4</f>
        <v>-77477.754210438638</v>
      </c>
      <c r="M5" s="40">
        <f>M4*(1+E5)^30-M4</f>
        <v>-23726.698833835981</v>
      </c>
      <c r="N5" s="40">
        <f>N4*(1+E5)^30-N4</f>
        <v>-436252.44135662727</v>
      </c>
      <c r="O5" s="40">
        <f>'Demand - C4'!L26-'Demand - C4'!I26</f>
        <v>-704.15153195845278</v>
      </c>
      <c r="P5" s="7" t="s">
        <v>145</v>
      </c>
      <c r="S5" s="43"/>
      <c r="T5" s="43"/>
      <c r="U5" s="43"/>
      <c r="V5" s="43"/>
      <c r="Y5" s="43"/>
      <c r="Z5" s="43"/>
    </row>
    <row r="6" spans="1:27">
      <c r="A6" t="s">
        <v>131</v>
      </c>
      <c r="D6" s="122"/>
      <c r="I6" s="99">
        <f>SUM(I4:I5)</f>
        <v>1295779.4988823265</v>
      </c>
      <c r="J6" s="99">
        <f>SUM(J4:J5)</f>
        <v>1418355.3693517626</v>
      </c>
      <c r="K6" s="40">
        <f>SUM(K4:K5)</f>
        <v>1.3177749693111973</v>
      </c>
      <c r="L6" s="40">
        <f t="shared" ref="L6:O6" si="0">SUM(L4:L5)</f>
        <v>338560.10074494488</v>
      </c>
      <c r="M6" s="40">
        <f t="shared" si="0"/>
        <v>103680.25802232396</v>
      </c>
      <c r="N6" s="40">
        <f t="shared" si="0"/>
        <v>1906323.5892816889</v>
      </c>
      <c r="O6" s="40">
        <f t="shared" si="0"/>
        <v>3016.9465334288884</v>
      </c>
    </row>
    <row r="7" spans="1:27">
      <c r="A7" t="s">
        <v>146</v>
      </c>
      <c r="B7" s="534">
        <v>0.06</v>
      </c>
      <c r="C7" s="534">
        <f>W7</f>
        <v>0.18</v>
      </c>
      <c r="D7" s="539">
        <v>2.1999999999999999E-2</v>
      </c>
      <c r="E7" s="534">
        <v>0.193</v>
      </c>
      <c r="F7" s="534">
        <v>0.14799999999999999</v>
      </c>
      <c r="G7" s="534">
        <v>0.14099999999999999</v>
      </c>
      <c r="H7" s="536">
        <f>C7</f>
        <v>0.18</v>
      </c>
      <c r="I7" s="537">
        <f>$I$6*B7</f>
        <v>77746.769932939584</v>
      </c>
      <c r="J7" s="537">
        <f>$J$6*C7</f>
        <v>255303.96648331726</v>
      </c>
      <c r="K7" s="384">
        <f>$K$6*D7</f>
        <v>2.8991049324846339E-2</v>
      </c>
      <c r="L7" s="384">
        <f>$L$6*E7</f>
        <v>65342.099443774365</v>
      </c>
      <c r="M7" s="384">
        <f>$M$6*F7</f>
        <v>15344.678187303945</v>
      </c>
      <c r="N7" s="384">
        <f>$N$6*G7</f>
        <v>268791.62608871813</v>
      </c>
      <c r="O7" s="384">
        <f>$O$6*H7</f>
        <v>543.05037601719994</v>
      </c>
      <c r="P7" s="7" t="s">
        <v>145</v>
      </c>
      <c r="S7" s="534">
        <v>0.156</v>
      </c>
      <c r="T7" s="534">
        <v>4.0000000000000001E-3</v>
      </c>
      <c r="U7" s="534">
        <v>5.0000000000000001E-3</v>
      </c>
      <c r="V7" s="534">
        <v>1.4999999999999999E-2</v>
      </c>
      <c r="W7" s="37">
        <f>SUM(S7:V7)</f>
        <v>0.18</v>
      </c>
      <c r="Y7" s="53">
        <v>0.10199999999999999</v>
      </c>
      <c r="Z7" s="53">
        <v>3.5999999999999997E-2</v>
      </c>
      <c r="AA7" s="37">
        <f>SUM(Y7:Z7)</f>
        <v>0.13799999999999998</v>
      </c>
    </row>
    <row r="8" spans="1:27">
      <c r="A8" t="s">
        <v>147</v>
      </c>
      <c r="B8" s="534">
        <v>0.113</v>
      </c>
      <c r="C8" s="534">
        <f t="shared" ref="C8:C10" si="1">W8</f>
        <v>0.22100000000000003</v>
      </c>
      <c r="D8" s="539">
        <v>3.6999999999999998E-2</v>
      </c>
      <c r="E8" s="534">
        <v>0.13600000000000001</v>
      </c>
      <c r="F8" s="534">
        <v>7.6999999999999999E-2</v>
      </c>
      <c r="G8" s="534">
        <v>0.19500000000000001</v>
      </c>
      <c r="H8" s="536">
        <f t="shared" ref="H8:H10" si="2">C8</f>
        <v>0.22100000000000003</v>
      </c>
      <c r="I8" s="537">
        <f>$I$6*B8</f>
        <v>146423.08337370289</v>
      </c>
      <c r="J8" s="537">
        <f>$J$6*C8</f>
        <v>313456.53662673954</v>
      </c>
      <c r="K8" s="384">
        <f>$K$6*D8</f>
        <v>4.8757673864514295E-2</v>
      </c>
      <c r="L8" s="384">
        <f t="shared" ref="L8:L10" si="3">$L$6*E8</f>
        <v>46044.173701312509</v>
      </c>
      <c r="M8" s="384">
        <f t="shared" ref="M8:M10" si="4">$M$6*F8</f>
        <v>7983.3798677189452</v>
      </c>
      <c r="N8" s="384">
        <f t="shared" ref="N8:N10" si="5">$N$6*G8</f>
        <v>371733.09990992933</v>
      </c>
      <c r="O8" s="384">
        <f>$O$6*H8</f>
        <v>666.74518388778438</v>
      </c>
      <c r="P8" s="7" t="s">
        <v>145</v>
      </c>
      <c r="S8" s="534">
        <v>0.19900000000000001</v>
      </c>
      <c r="T8" s="534">
        <v>1.2E-2</v>
      </c>
      <c r="U8" s="534">
        <v>2E-3</v>
      </c>
      <c r="V8" s="534">
        <v>8.0000000000000002E-3</v>
      </c>
      <c r="W8" s="37">
        <f t="shared" ref="W8:W10" si="6">SUM(S8:V8)</f>
        <v>0.22100000000000003</v>
      </c>
      <c r="Y8" s="53">
        <v>0.20799999999999999</v>
      </c>
      <c r="Z8" s="53">
        <v>2.5000000000000001E-2</v>
      </c>
      <c r="AA8" s="37">
        <f>SUM(Y8:Z8)</f>
        <v>0.23299999999999998</v>
      </c>
    </row>
    <row r="9" spans="1:27">
      <c r="A9" t="s">
        <v>148</v>
      </c>
      <c r="B9" s="534">
        <v>6.4000000000000001E-2</v>
      </c>
      <c r="C9" s="534">
        <f t="shared" si="1"/>
        <v>0.126</v>
      </c>
      <c r="D9" s="539">
        <v>1.7999999999999999E-2</v>
      </c>
      <c r="E9" s="534">
        <v>0.17599999999999999</v>
      </c>
      <c r="F9" s="534">
        <v>0.17699999999999999</v>
      </c>
      <c r="G9" s="534">
        <v>0.14799999999999999</v>
      </c>
      <c r="H9" s="536">
        <f t="shared" si="2"/>
        <v>0.126</v>
      </c>
      <c r="I9" s="537">
        <f>$I$6*B9</f>
        <v>82929.887928468903</v>
      </c>
      <c r="J9" s="537">
        <f>$J$6*C9</f>
        <v>178712.7765383221</v>
      </c>
      <c r="K9" s="384">
        <f>$K$6*D9</f>
        <v>2.371994944760155E-2</v>
      </c>
      <c r="L9" s="384">
        <f t="shared" si="3"/>
        <v>59586.577731110294</v>
      </c>
      <c r="M9" s="384">
        <f t="shared" si="4"/>
        <v>18351.405669951342</v>
      </c>
      <c r="N9" s="384">
        <f t="shared" si="5"/>
        <v>282135.89121368993</v>
      </c>
      <c r="O9" s="384">
        <f t="shared" ref="O9:O10" si="7">$O$6*H9</f>
        <v>380.13526321203994</v>
      </c>
      <c r="P9" s="7" t="s">
        <v>145</v>
      </c>
      <c r="S9" s="534">
        <v>9.5000000000000001E-2</v>
      </c>
      <c r="T9" s="534">
        <v>5.0000000000000001E-3</v>
      </c>
      <c r="U9" s="534">
        <v>7.0000000000000001E-3</v>
      </c>
      <c r="V9" s="534">
        <v>1.9E-2</v>
      </c>
      <c r="W9" s="37">
        <f t="shared" si="6"/>
        <v>0.126</v>
      </c>
      <c r="Y9" s="53">
        <v>8.6999999999999994E-2</v>
      </c>
      <c r="Z9" s="53">
        <v>2.4E-2</v>
      </c>
      <c r="AA9" s="37">
        <f>SUM(Y9:Z9)</f>
        <v>0.11099999999999999</v>
      </c>
    </row>
    <row r="10" spans="1:27">
      <c r="A10" t="s">
        <v>149</v>
      </c>
      <c r="B10" s="534">
        <v>1.7999999999999999E-2</v>
      </c>
      <c r="C10" s="534">
        <f t="shared" si="1"/>
        <v>8.3000000000000004E-2</v>
      </c>
      <c r="D10" s="539">
        <v>2.5000000000000001E-2</v>
      </c>
      <c r="E10" s="534">
        <v>8.2000000000000003E-2</v>
      </c>
      <c r="F10" s="534">
        <v>2.5999999999999999E-2</v>
      </c>
      <c r="G10" s="534">
        <v>0.05</v>
      </c>
      <c r="H10" s="536">
        <f t="shared" si="2"/>
        <v>8.3000000000000004E-2</v>
      </c>
      <c r="I10" s="537">
        <f>$I$6*B10</f>
        <v>23324.030979881874</v>
      </c>
      <c r="J10" s="537">
        <f>$J$6*C10</f>
        <v>117723.4956561963</v>
      </c>
      <c r="K10" s="384">
        <f>$K$6*D10</f>
        <v>3.2944374232779933E-2</v>
      </c>
      <c r="L10" s="384">
        <f t="shared" si="3"/>
        <v>27761.928261085483</v>
      </c>
      <c r="M10" s="384">
        <f t="shared" si="4"/>
        <v>2695.6867085804229</v>
      </c>
      <c r="N10" s="384">
        <f t="shared" si="5"/>
        <v>95316.179464084445</v>
      </c>
      <c r="O10" s="384">
        <f t="shared" si="7"/>
        <v>250.40656227459775</v>
      </c>
      <c r="P10" s="7" t="s">
        <v>145</v>
      </c>
      <c r="S10" s="534">
        <v>7.3999999999999996E-2</v>
      </c>
      <c r="T10" s="534">
        <v>3.0000000000000001E-3</v>
      </c>
      <c r="U10" s="534">
        <v>2E-3</v>
      </c>
      <c r="V10" s="534">
        <v>4.0000000000000001E-3</v>
      </c>
      <c r="W10" s="37">
        <f t="shared" si="6"/>
        <v>8.3000000000000004E-2</v>
      </c>
      <c r="Y10" s="53">
        <v>0.129</v>
      </c>
      <c r="Z10" s="53">
        <v>2.5999999999999999E-2</v>
      </c>
      <c r="AA10" s="37">
        <f>SUM(Y10:Z10)</f>
        <v>0.155</v>
      </c>
    </row>
    <row r="11" spans="1:27">
      <c r="A11" t="s">
        <v>138</v>
      </c>
      <c r="B11" s="44"/>
      <c r="I11" s="99">
        <f>I6-I7-I8-I9-I10</f>
        <v>965355.72666733328</v>
      </c>
      <c r="J11" s="99">
        <f>J6-J7-J8-J9-J10</f>
        <v>553158.59404718736</v>
      </c>
      <c r="K11" s="40">
        <f>K6-K7-K8-K9-K10</f>
        <v>1.1833619224414551</v>
      </c>
      <c r="L11" s="40">
        <f>L6-L7-L8-L9-L10</f>
        <v>139825.32160766222</v>
      </c>
      <c r="M11" s="40">
        <f>M6-M7-M8-M9-M10</f>
        <v>59305.1075887693</v>
      </c>
      <c r="N11" s="40">
        <f t="shared" ref="N11:O11" si="8">N6-N7-N8-N9-N10</f>
        <v>888346.79260526702</v>
      </c>
      <c r="O11" s="40">
        <f t="shared" si="8"/>
        <v>1176.6091480372663</v>
      </c>
    </row>
    <row r="13" spans="1:27">
      <c r="B13" t="s">
        <v>188</v>
      </c>
      <c r="C13" t="s">
        <v>189</v>
      </c>
      <c r="D13" t="s">
        <v>190</v>
      </c>
      <c r="E13" t="s">
        <v>191</v>
      </c>
      <c r="F13" t="s">
        <v>1064</v>
      </c>
      <c r="G13" t="s">
        <v>1065</v>
      </c>
      <c r="H13" t="s">
        <v>1207</v>
      </c>
      <c r="I13" t="s">
        <v>1208</v>
      </c>
      <c r="J13" t="s">
        <v>1209</v>
      </c>
      <c r="K13" t="s">
        <v>1210</v>
      </c>
      <c r="L13" t="s">
        <v>1211</v>
      </c>
      <c r="M13" t="s">
        <v>1212</v>
      </c>
      <c r="Q13" t="s">
        <v>375</v>
      </c>
    </row>
    <row r="14" spans="1:27">
      <c r="A14" t="s">
        <v>173</v>
      </c>
      <c r="B14" s="535">
        <f>100%</f>
        <v>1</v>
      </c>
      <c r="C14" s="516">
        <v>1</v>
      </c>
      <c r="D14" s="535">
        <f>100%</f>
        <v>1</v>
      </c>
      <c r="E14" s="516">
        <v>1</v>
      </c>
      <c r="F14" s="535">
        <f>100%</f>
        <v>1</v>
      </c>
      <c r="G14" s="516">
        <v>1</v>
      </c>
      <c r="H14" s="535">
        <f>100%</f>
        <v>1</v>
      </c>
      <c r="I14" s="516">
        <v>1</v>
      </c>
      <c r="J14" s="535">
        <f>100%</f>
        <v>1</v>
      </c>
      <c r="K14" s="516">
        <v>1</v>
      </c>
      <c r="L14" s="535">
        <f>100%</f>
        <v>1</v>
      </c>
      <c r="M14" s="516">
        <v>1</v>
      </c>
      <c r="O14" s="51"/>
      <c r="Q14" t="s">
        <v>187</v>
      </c>
      <c r="W14" t="s">
        <v>192</v>
      </c>
    </row>
    <row r="15" spans="1:27">
      <c r="A15" t="s">
        <v>174</v>
      </c>
      <c r="B15" s="535">
        <v>0.75</v>
      </c>
      <c r="C15" s="516">
        <v>0.86</v>
      </c>
      <c r="D15" s="535">
        <v>0.78</v>
      </c>
      <c r="E15" s="516">
        <v>0.87</v>
      </c>
      <c r="F15" s="535">
        <v>0.72</v>
      </c>
      <c r="G15" s="516">
        <v>0.82</v>
      </c>
      <c r="H15" s="535">
        <v>0.73</v>
      </c>
      <c r="I15" s="516">
        <v>0.8</v>
      </c>
      <c r="J15" s="535">
        <v>0.73</v>
      </c>
      <c r="K15" s="516">
        <v>0.82</v>
      </c>
      <c r="L15" s="535">
        <v>0.73</v>
      </c>
      <c r="M15" s="516">
        <v>0.82</v>
      </c>
      <c r="O15" s="51"/>
      <c r="Q15" t="s">
        <v>186</v>
      </c>
      <c r="W15" t="s">
        <v>192</v>
      </c>
    </row>
    <row r="16" spans="1:27">
      <c r="B16" s="52"/>
    </row>
    <row r="17" spans="1:39">
      <c r="B17" s="605" t="s">
        <v>167</v>
      </c>
      <c r="C17" s="605"/>
      <c r="D17" s="605"/>
      <c r="E17" s="605"/>
      <c r="F17" s="605"/>
      <c r="G17" s="605"/>
      <c r="H17" s="605"/>
      <c r="I17" s="605"/>
      <c r="J17" s="605"/>
      <c r="K17" s="177"/>
      <c r="L17" s="177"/>
      <c r="M17" s="177"/>
      <c r="P17" s="605" t="s">
        <v>4</v>
      </c>
      <c r="Q17" s="605"/>
      <c r="R17" s="605"/>
      <c r="S17" s="605"/>
      <c r="U17" s="605" t="s">
        <v>716</v>
      </c>
      <c r="V17" s="605"/>
      <c r="W17" s="605"/>
      <c r="X17" s="605"/>
      <c r="Z17" s="605" t="s">
        <v>88</v>
      </c>
      <c r="AA17" s="605"/>
      <c r="AB17" s="605"/>
      <c r="AC17" s="605"/>
      <c r="AE17" s="605" t="s">
        <v>717</v>
      </c>
      <c r="AF17" s="605"/>
      <c r="AG17" s="605"/>
      <c r="AH17" s="605"/>
      <c r="AJ17" s="605" t="s">
        <v>1170</v>
      </c>
      <c r="AK17" s="605"/>
      <c r="AL17" s="605"/>
      <c r="AM17" s="605"/>
    </row>
    <row r="18" spans="1:39">
      <c r="B18" t="s">
        <v>183</v>
      </c>
      <c r="C18" t="s">
        <v>147</v>
      </c>
      <c r="D18" t="s">
        <v>184</v>
      </c>
      <c r="E18" t="s">
        <v>185</v>
      </c>
      <c r="P18" t="s">
        <v>183</v>
      </c>
      <c r="Q18" t="s">
        <v>147</v>
      </c>
      <c r="R18" t="s">
        <v>184</v>
      </c>
      <c r="S18" t="s">
        <v>185</v>
      </c>
      <c r="U18" t="s">
        <v>183</v>
      </c>
      <c r="V18" t="s">
        <v>147</v>
      </c>
      <c r="W18" t="s">
        <v>184</v>
      </c>
      <c r="X18" t="s">
        <v>185</v>
      </c>
      <c r="Z18" t="s">
        <v>183</v>
      </c>
      <c r="AA18" t="s">
        <v>147</v>
      </c>
      <c r="AB18" t="s">
        <v>184</v>
      </c>
      <c r="AC18" t="s">
        <v>185</v>
      </c>
      <c r="AE18" t="s">
        <v>183</v>
      </c>
      <c r="AF18" t="s">
        <v>147</v>
      </c>
      <c r="AG18" t="s">
        <v>184</v>
      </c>
      <c r="AH18" t="s">
        <v>185</v>
      </c>
      <c r="AJ18" t="s">
        <v>183</v>
      </c>
      <c r="AK18" t="s">
        <v>147</v>
      </c>
      <c r="AL18" t="s">
        <v>184</v>
      </c>
      <c r="AM18" t="s">
        <v>185</v>
      </c>
    </row>
    <row r="19" spans="1:39">
      <c r="A19" t="s">
        <v>175</v>
      </c>
      <c r="B19" s="516">
        <v>0.15</v>
      </c>
      <c r="C19" s="516">
        <v>0.28999999999999998</v>
      </c>
      <c r="D19" s="516">
        <v>0.39</v>
      </c>
      <c r="E19" s="516">
        <v>0.42</v>
      </c>
      <c r="F19" s="51"/>
      <c r="G19" s="51"/>
      <c r="H19" s="51"/>
      <c r="K19" s="51"/>
      <c r="L19" s="51"/>
      <c r="M19" s="51"/>
      <c r="P19" s="516">
        <v>0.13</v>
      </c>
      <c r="Q19" s="516">
        <v>0.36</v>
      </c>
      <c r="R19" s="516">
        <v>0.4</v>
      </c>
      <c r="S19" s="516">
        <v>0.51</v>
      </c>
      <c r="U19" s="757">
        <v>0.06</v>
      </c>
      <c r="V19" s="757">
        <v>0.17</v>
      </c>
      <c r="W19" s="757">
        <v>0.25</v>
      </c>
      <c r="X19" s="757">
        <v>0.24</v>
      </c>
      <c r="Z19" s="516">
        <v>7.5999999999999998E-2</v>
      </c>
      <c r="AA19" s="516">
        <v>0.34899999999999998</v>
      </c>
      <c r="AB19" s="516">
        <v>0.315</v>
      </c>
      <c r="AC19" s="516">
        <v>0.40899999999999997</v>
      </c>
      <c r="AE19" s="516">
        <v>7.5999999999999998E-2</v>
      </c>
      <c r="AF19" s="516">
        <v>0.34899999999999998</v>
      </c>
      <c r="AG19" s="516">
        <v>0.315</v>
      </c>
      <c r="AH19" s="516">
        <v>0.40899999999999997</v>
      </c>
      <c r="AJ19" s="516">
        <v>0.1</v>
      </c>
      <c r="AK19" s="516">
        <v>0.317</v>
      </c>
      <c r="AL19" s="516">
        <v>0.31900000000000001</v>
      </c>
      <c r="AM19" s="516">
        <v>0.34300000000000003</v>
      </c>
    </row>
    <row r="20" spans="1:39">
      <c r="A20" t="s">
        <v>176</v>
      </c>
      <c r="B20" s="516">
        <v>0.61</v>
      </c>
      <c r="C20" s="516">
        <v>0.71</v>
      </c>
      <c r="D20" s="516">
        <v>0.76</v>
      </c>
      <c r="E20" s="516">
        <v>0.76</v>
      </c>
      <c r="F20" s="51"/>
      <c r="G20" s="51"/>
      <c r="H20" s="51"/>
      <c r="K20" s="51"/>
      <c r="L20" s="51"/>
      <c r="M20" s="51"/>
      <c r="P20" s="516">
        <v>0.61</v>
      </c>
      <c r="Q20" s="516">
        <v>0.76</v>
      </c>
      <c r="R20" s="516">
        <v>0.77</v>
      </c>
      <c r="S20" s="516">
        <v>0.82</v>
      </c>
      <c r="U20" s="757">
        <v>0.53</v>
      </c>
      <c r="V20" s="757">
        <v>0.56999999999999995</v>
      </c>
      <c r="W20" s="757">
        <v>0.64</v>
      </c>
      <c r="X20" s="757">
        <v>0.63</v>
      </c>
      <c r="Z20" s="516">
        <v>0.59799999999999998</v>
      </c>
      <c r="AA20" s="516">
        <v>0.751</v>
      </c>
      <c r="AB20" s="516">
        <v>0.71699999999999997</v>
      </c>
      <c r="AC20" s="516">
        <v>0.76900000000000002</v>
      </c>
      <c r="AE20" s="516">
        <v>0.59799999999999998</v>
      </c>
      <c r="AF20" s="516">
        <v>0.751</v>
      </c>
      <c r="AG20" s="516">
        <v>0.71699999999999997</v>
      </c>
      <c r="AH20" s="516">
        <v>0.76900000000000002</v>
      </c>
      <c r="AJ20" s="516">
        <v>0.60099999999999998</v>
      </c>
      <c r="AK20" s="516">
        <v>0.71799999999999997</v>
      </c>
      <c r="AL20" s="516">
        <v>0.72199999999999998</v>
      </c>
      <c r="AM20" s="516">
        <v>0.73799999999999999</v>
      </c>
    </row>
    <row r="21" spans="1:39">
      <c r="A21" t="s">
        <v>177</v>
      </c>
      <c r="B21" s="516">
        <v>1</v>
      </c>
      <c r="C21" s="516">
        <v>1</v>
      </c>
      <c r="D21" s="516">
        <v>1</v>
      </c>
      <c r="E21" s="516">
        <v>1</v>
      </c>
      <c r="F21" s="51"/>
      <c r="G21" s="51"/>
      <c r="H21" s="51"/>
      <c r="K21" s="51"/>
      <c r="L21" s="51"/>
      <c r="M21" s="51"/>
      <c r="P21" s="516">
        <v>1</v>
      </c>
      <c r="Q21" s="516">
        <v>1</v>
      </c>
      <c r="R21" s="516">
        <v>1</v>
      </c>
      <c r="S21" s="516">
        <v>1</v>
      </c>
      <c r="U21" s="757">
        <v>1</v>
      </c>
      <c r="V21" s="757">
        <v>1</v>
      </c>
      <c r="W21" s="757">
        <v>1</v>
      </c>
      <c r="X21" s="757">
        <v>1</v>
      </c>
      <c r="Z21" s="516">
        <v>1</v>
      </c>
      <c r="AA21" s="516">
        <v>1</v>
      </c>
      <c r="AB21" s="516">
        <v>1</v>
      </c>
      <c r="AC21" s="516">
        <v>1</v>
      </c>
      <c r="AE21" s="516">
        <v>1</v>
      </c>
      <c r="AF21" s="516">
        <v>1</v>
      </c>
      <c r="AG21" s="516">
        <v>1</v>
      </c>
      <c r="AH21" s="516">
        <v>1</v>
      </c>
      <c r="AJ21" s="516">
        <v>1</v>
      </c>
      <c r="AK21" s="516">
        <v>1</v>
      </c>
      <c r="AL21" s="516">
        <v>1</v>
      </c>
      <c r="AM21" s="516">
        <v>1</v>
      </c>
    </row>
    <row r="22" spans="1:39">
      <c r="A22" s="50" t="s">
        <v>376</v>
      </c>
    </row>
    <row r="26" spans="1:39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</row>
    <row r="27" spans="1:39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</row>
    <row r="28" spans="1:39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</row>
    <row r="30" spans="1:39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</row>
    <row r="31" spans="1:39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</row>
    <row r="32" spans="1:39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</row>
  </sheetData>
  <mergeCells count="6">
    <mergeCell ref="AJ17:AM17"/>
    <mergeCell ref="B17:J17"/>
    <mergeCell ref="P17:S17"/>
    <mergeCell ref="U17:X17"/>
    <mergeCell ref="Z17:AC17"/>
    <mergeCell ref="AE17:AH17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C110"/>
  <sheetViews>
    <sheetView workbookViewId="0">
      <selection activeCell="D28" sqref="D28"/>
    </sheetView>
  </sheetViews>
  <sheetFormatPr defaultRowHeight="14.75"/>
  <cols>
    <col min="1" max="1" width="29.81640625" customWidth="1"/>
    <col min="2" max="2" width="16.1796875" customWidth="1"/>
    <col min="3" max="8" width="14.81640625" customWidth="1"/>
    <col min="9" max="18" width="22.81640625" customWidth="1"/>
  </cols>
  <sheetData>
    <row r="1" spans="1:18">
      <c r="A1" s="42" t="s">
        <v>124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1"/>
      <c r="M1" s="1"/>
      <c r="N1" s="1"/>
      <c r="O1" s="1"/>
    </row>
    <row r="2" spans="1:18" ht="15.5" thickBot="1">
      <c r="A2" s="41"/>
      <c r="B2" s="41" t="s">
        <v>143</v>
      </c>
      <c r="C2" s="41" t="s">
        <v>144</v>
      </c>
      <c r="D2" s="41" t="s">
        <v>716</v>
      </c>
      <c r="E2" s="41" t="s">
        <v>88</v>
      </c>
      <c r="F2" s="41" t="s">
        <v>717</v>
      </c>
      <c r="G2" s="41" t="s">
        <v>1170</v>
      </c>
      <c r="H2" s="41" t="s">
        <v>1300</v>
      </c>
      <c r="I2" s="41" t="s">
        <v>4</v>
      </c>
      <c r="J2" s="41" t="s">
        <v>3</v>
      </c>
      <c r="K2" s="41" t="s">
        <v>716</v>
      </c>
      <c r="L2" s="41" t="s">
        <v>88</v>
      </c>
      <c r="M2" s="41" t="s">
        <v>717</v>
      </c>
      <c r="N2" s="41" t="s">
        <v>1170</v>
      </c>
      <c r="O2" s="41" t="s">
        <v>1300</v>
      </c>
      <c r="P2" t="s">
        <v>60</v>
      </c>
    </row>
    <row r="3" spans="1:18">
      <c r="B3" t="s">
        <v>126</v>
      </c>
      <c r="C3" t="s">
        <v>126</v>
      </c>
      <c r="D3" t="s">
        <v>126</v>
      </c>
      <c r="I3" t="s">
        <v>127</v>
      </c>
      <c r="J3" t="s">
        <v>127</v>
      </c>
      <c r="K3" t="s">
        <v>127</v>
      </c>
      <c r="L3" t="s">
        <v>127</v>
      </c>
      <c r="M3" t="s">
        <v>127</v>
      </c>
      <c r="N3" t="s">
        <v>127</v>
      </c>
      <c r="O3" t="s">
        <v>127</v>
      </c>
    </row>
    <row r="4" spans="1:18">
      <c r="A4" t="s">
        <v>128</v>
      </c>
      <c r="I4" s="40">
        <f>'Demand - Propylene'!K51</f>
        <v>350789.70130119962</v>
      </c>
      <c r="J4" s="40">
        <f>'Demand - Ethylene'!K64</f>
        <v>833693.90944694402</v>
      </c>
      <c r="K4" s="39">
        <f>'Production - Industry shares'!L83</f>
        <v>2.7277569868262952</v>
      </c>
      <c r="L4" s="39">
        <f>'Production - Industry shares'!L98</f>
        <v>510418.95118389581</v>
      </c>
      <c r="M4" s="39">
        <f>'Production - Industry shares'!L112</f>
        <v>124794.36789497873</v>
      </c>
      <c r="N4" s="39">
        <f>'Production - Industry shares'!L126</f>
        <v>169542.77541474818</v>
      </c>
      <c r="O4" s="39">
        <f>'Demand - C4'!I27</f>
        <v>109012.30133357966</v>
      </c>
      <c r="P4" s="7"/>
    </row>
    <row r="5" spans="1:18">
      <c r="A5" t="s">
        <v>129</v>
      </c>
      <c r="B5" s="445">
        <f>'Demand - Propylene'!L51</f>
        <v>-6.9680618668426231E-3</v>
      </c>
      <c r="C5" s="445">
        <f>'Demand - Ethylene'!L64</f>
        <v>-6.9680618668425121E-3</v>
      </c>
      <c r="D5" s="445">
        <f>'Demand - Methanol'!N38</f>
        <v>-6.9680618668425121E-3</v>
      </c>
      <c r="E5" s="445">
        <f>'Demand - BTX'!L71</f>
        <v>-6.8456155150002918E-3</v>
      </c>
      <c r="F5" s="445">
        <f>'Demand - BTX'!L81</f>
        <v>-6.8456155150002918E-3</v>
      </c>
      <c r="G5" s="445">
        <f>'Demand - BTX'!L91</f>
        <v>-6.8456155150002918E-3</v>
      </c>
      <c r="H5" s="445">
        <f>'Demand - C4'!K27</f>
        <v>-6.9680618668425121E-3</v>
      </c>
      <c r="I5" s="40">
        <f>I4*(1+C5)^30-I4</f>
        <v>-66380.70301454846</v>
      </c>
      <c r="J5" s="40">
        <f>J4*(1+C5)^30-J4</f>
        <v>-157761.72334237839</v>
      </c>
      <c r="K5" s="40">
        <f>K4*(1+D5)^30-K4</f>
        <v>-0.51617942535577122</v>
      </c>
      <c r="L5" s="39">
        <f>L4*(1+E5)^30-L4</f>
        <v>-95054.124458017759</v>
      </c>
      <c r="M5" s="39">
        <f>M4*(1+F5)^30-M4</f>
        <v>-23240.162517545687</v>
      </c>
      <c r="N5" s="39">
        <f>N4*(1+G5)^30-N4</f>
        <v>-31573.553524710296</v>
      </c>
      <c r="O5" s="39">
        <f>'Demand - C4'!L27-'Demand - C4'!I27</f>
        <v>-20628.636396435933</v>
      </c>
      <c r="P5" s="5" t="s">
        <v>150</v>
      </c>
    </row>
    <row r="6" spans="1:18">
      <c r="A6" t="s">
        <v>131</v>
      </c>
      <c r="I6" s="40">
        <f>SUM(I4:I5)</f>
        <v>284408.99828665116</v>
      </c>
      <c r="J6" s="40">
        <f>SUM(J4:J5)</f>
        <v>675932.18610456563</v>
      </c>
      <c r="K6" s="40">
        <f>SUM(K4:K5)</f>
        <v>2.211577561470524</v>
      </c>
      <c r="L6" s="39">
        <f t="shared" ref="L6:N6" si="0">SUM(L4:L5)</f>
        <v>415364.82672587805</v>
      </c>
      <c r="M6" s="39">
        <f t="shared" si="0"/>
        <v>101554.20537743304</v>
      </c>
      <c r="N6" s="39">
        <f t="shared" si="0"/>
        <v>137969.22189003788</v>
      </c>
      <c r="O6" s="39">
        <f>'Demand - C4'!L27</f>
        <v>88383.664937143723</v>
      </c>
    </row>
    <row r="7" spans="1:18">
      <c r="A7" t="s">
        <v>151</v>
      </c>
      <c r="B7" s="44">
        <v>0.55000000000000004</v>
      </c>
      <c r="C7" s="44">
        <v>0.55000000000000004</v>
      </c>
      <c r="D7" s="44">
        <v>0.55000000000000004</v>
      </c>
      <c r="E7" s="44">
        <v>0.55000000000000004</v>
      </c>
      <c r="F7" s="44">
        <v>0.55000000000000004</v>
      </c>
      <c r="G7" s="44">
        <v>0.55000000000000004</v>
      </c>
      <c r="H7" s="44">
        <v>0.55000000000000004</v>
      </c>
      <c r="I7" s="45">
        <f>$I$6*B7</f>
        <v>156424.94905765814</v>
      </c>
      <c r="J7" s="45">
        <f>$J$6*C7</f>
        <v>371762.70235751115</v>
      </c>
      <c r="K7" s="384">
        <f>$K$6*D7</f>
        <v>1.2163676588087884</v>
      </c>
      <c r="L7" s="45">
        <f>$L$6*E7</f>
        <v>228450.65469923295</v>
      </c>
      <c r="M7" s="45">
        <f>$M$6*F7</f>
        <v>55854.812957588176</v>
      </c>
      <c r="N7" s="45">
        <f>$N$6*G7</f>
        <v>75883.072039520834</v>
      </c>
      <c r="O7" s="45">
        <f>O6*H7</f>
        <v>48611.01571542905</v>
      </c>
      <c r="P7" s="5" t="s">
        <v>150</v>
      </c>
    </row>
    <row r="8" spans="1:18">
      <c r="A8" t="s">
        <v>152</v>
      </c>
      <c r="B8" s="44">
        <f>Q36</f>
        <v>0</v>
      </c>
      <c r="C8" s="44">
        <f>Q27</f>
        <v>0.19373223635003736</v>
      </c>
      <c r="D8" s="44">
        <f>$P$46</f>
        <v>0.17912863070539423</v>
      </c>
      <c r="E8" s="44">
        <f t="shared" ref="E8:G8" si="1">$P$46</f>
        <v>0.17912863070539423</v>
      </c>
      <c r="F8" s="44">
        <f t="shared" si="1"/>
        <v>0.17912863070539423</v>
      </c>
      <c r="G8" s="44">
        <f t="shared" si="1"/>
        <v>0.17912863070539423</v>
      </c>
      <c r="H8" s="44">
        <v>0</v>
      </c>
      <c r="I8" s="45">
        <f>$I$6*B8</f>
        <v>0</v>
      </c>
      <c r="J8" s="45">
        <f>$J$6*C8</f>
        <v>130949.85403500714</v>
      </c>
      <c r="K8" s="384">
        <f>$K$6*D8</f>
        <v>0.39615686028498981</v>
      </c>
      <c r="L8" s="45">
        <f>$L$6*E8</f>
        <v>74403.732654589869</v>
      </c>
      <c r="M8" s="45">
        <f>$M$6*F8</f>
        <v>18191.265751633964</v>
      </c>
      <c r="N8" s="45">
        <f>$N$6*G8</f>
        <v>24714.237796651189</v>
      </c>
      <c r="O8" s="45">
        <f>O6*H8</f>
        <v>0</v>
      </c>
      <c r="P8" s="5" t="s">
        <v>574</v>
      </c>
    </row>
    <row r="9" spans="1:18">
      <c r="A9" t="s">
        <v>138</v>
      </c>
      <c r="B9" s="44"/>
      <c r="I9" s="40">
        <f>I6-I7-I8</f>
        <v>127984.04922899301</v>
      </c>
      <c r="J9" s="40">
        <f>J6-J7-J8</f>
        <v>173219.62971204735</v>
      </c>
      <c r="K9" s="40">
        <f>K6-K7-K8</f>
        <v>0.59905304237674573</v>
      </c>
      <c r="L9" s="40">
        <f>L6-L7-L8</f>
        <v>112510.43937205523</v>
      </c>
      <c r="M9" s="40">
        <f t="shared" ref="M9:N9" si="2">M6-M7-M8</f>
        <v>27508.126668210902</v>
      </c>
      <c r="N9" s="40">
        <f t="shared" si="2"/>
        <v>37371.912053865861</v>
      </c>
      <c r="O9" s="40">
        <f>O6-O7-O8</f>
        <v>39772.649221714673</v>
      </c>
    </row>
    <row r="10" spans="1:18">
      <c r="B10" t="s">
        <v>380</v>
      </c>
      <c r="C10" t="s">
        <v>204</v>
      </c>
    </row>
    <row r="11" spans="1:18">
      <c r="A11" t="s">
        <v>173</v>
      </c>
      <c r="B11" s="52">
        <f>100%</f>
        <v>1</v>
      </c>
      <c r="C11" s="51">
        <v>1</v>
      </c>
      <c r="D11" s="51"/>
      <c r="E11" s="51"/>
      <c r="F11" s="51"/>
      <c r="G11" s="51"/>
      <c r="H11" s="51"/>
      <c r="I11" s="40"/>
      <c r="J11" s="40"/>
    </row>
    <row r="12" spans="1:18">
      <c r="A12" t="s">
        <v>174</v>
      </c>
      <c r="B12" s="52">
        <f>0.22/C7</f>
        <v>0.39999999999999997</v>
      </c>
      <c r="C12" s="51">
        <v>0.5</v>
      </c>
      <c r="D12" s="51"/>
      <c r="E12" s="51"/>
      <c r="F12" s="51"/>
      <c r="G12" s="51"/>
      <c r="H12" s="51"/>
      <c r="I12" s="40"/>
      <c r="J12" s="225" t="s">
        <v>573</v>
      </c>
      <c r="Q12" s="37"/>
      <c r="R12" s="37"/>
    </row>
    <row r="13" spans="1:18">
      <c r="B13" s="52"/>
      <c r="I13" s="40"/>
      <c r="J13" s="40"/>
      <c r="Q13" s="37"/>
      <c r="R13" s="37"/>
    </row>
    <row r="14" spans="1:18">
      <c r="B14" t="s">
        <v>178</v>
      </c>
      <c r="Q14" s="37"/>
      <c r="R14" s="37"/>
    </row>
    <row r="15" spans="1:18">
      <c r="A15" t="s">
        <v>175</v>
      </c>
      <c r="B15" s="51">
        <v>0.33</v>
      </c>
      <c r="C15" s="51"/>
      <c r="D15" s="51"/>
      <c r="E15" s="51"/>
      <c r="F15" s="51"/>
      <c r="G15" s="51"/>
      <c r="H15" s="51"/>
    </row>
    <row r="16" spans="1:18">
      <c r="A16" t="s">
        <v>176</v>
      </c>
      <c r="B16" s="51">
        <v>0.66</v>
      </c>
      <c r="C16" s="51"/>
      <c r="D16" s="51"/>
      <c r="E16" s="51"/>
      <c r="F16" s="51"/>
      <c r="G16" s="51"/>
      <c r="H16" s="51"/>
      <c r="Q16" s="37"/>
      <c r="R16" s="37"/>
    </row>
    <row r="17" spans="1:19">
      <c r="A17" t="s">
        <v>177</v>
      </c>
      <c r="B17" s="51">
        <v>1</v>
      </c>
      <c r="C17" s="51"/>
      <c r="D17" s="51"/>
      <c r="E17" s="51"/>
      <c r="F17" s="51"/>
      <c r="G17" s="51"/>
      <c r="H17" s="51"/>
      <c r="Q17" s="37"/>
      <c r="R17" s="37"/>
    </row>
    <row r="18" spans="1:19" ht="15.5" thickBot="1">
      <c r="B18" s="51"/>
      <c r="C18" s="51"/>
      <c r="D18" s="51"/>
      <c r="E18" s="51"/>
      <c r="F18" s="51"/>
      <c r="G18" s="51"/>
      <c r="H18" s="51"/>
      <c r="Q18" s="37"/>
      <c r="R18" s="37"/>
    </row>
    <row r="19" spans="1:19" s="153" customFormat="1" ht="15.5" thickBot="1">
      <c r="A19" s="151" t="s">
        <v>577</v>
      </c>
      <c r="B19" s="152"/>
      <c r="C19" s="152"/>
      <c r="D19" s="152"/>
      <c r="E19" s="152"/>
      <c r="F19" s="152"/>
      <c r="G19" s="152"/>
      <c r="H19" s="152"/>
    </row>
    <row r="20" spans="1:19">
      <c r="A20" t="s">
        <v>153</v>
      </c>
      <c r="J20" s="229" t="s">
        <v>3</v>
      </c>
      <c r="K20" s="229"/>
      <c r="L20" s="229"/>
      <c r="M20" s="229"/>
      <c r="N20" s="229"/>
      <c r="O20" s="229"/>
      <c r="P20" s="229"/>
      <c r="Q20" s="229"/>
    </row>
    <row r="21" spans="1:19">
      <c r="C21" t="s">
        <v>3</v>
      </c>
      <c r="J21" t="s">
        <v>575</v>
      </c>
      <c r="K21" t="s">
        <v>582</v>
      </c>
      <c r="P21" t="s">
        <v>576</v>
      </c>
      <c r="Q21" t="s">
        <v>581</v>
      </c>
    </row>
    <row r="22" spans="1:19">
      <c r="A22" t="s">
        <v>154</v>
      </c>
      <c r="B22" t="s">
        <v>155</v>
      </c>
      <c r="C22" s="47">
        <v>31.6</v>
      </c>
      <c r="D22" s="47"/>
      <c r="E22" s="47"/>
      <c r="F22" s="47"/>
      <c r="G22" s="47"/>
      <c r="H22" s="47"/>
      <c r="J22" s="119">
        <f>$C$7</f>
        <v>0.55000000000000004</v>
      </c>
      <c r="K22">
        <f>C22*(1-J22)</f>
        <v>14.219999999999999</v>
      </c>
      <c r="P22" s="52">
        <f>50%</f>
        <v>0.5</v>
      </c>
      <c r="Q22">
        <f>P22*K22</f>
        <v>7.1099999999999994</v>
      </c>
      <c r="S22" t="s">
        <v>578</v>
      </c>
    </row>
    <row r="23" spans="1:19">
      <c r="A23" t="s">
        <v>154</v>
      </c>
      <c r="B23" t="s">
        <v>156</v>
      </c>
      <c r="C23" s="47">
        <f>25.7+30</f>
        <v>55.7</v>
      </c>
      <c r="D23" s="47"/>
      <c r="E23" s="47"/>
      <c r="F23" s="47"/>
      <c r="G23" s="47"/>
      <c r="H23" s="47"/>
      <c r="J23" s="119">
        <f t="shared" ref="J23:J26" si="3">$C$7</f>
        <v>0.55000000000000004</v>
      </c>
      <c r="K23">
        <f>C23*(1-J23)</f>
        <v>25.064999999999998</v>
      </c>
      <c r="P23" s="52">
        <v>0</v>
      </c>
      <c r="Q23">
        <f t="shared" ref="Q23:Q26" si="4">P23*K23</f>
        <v>0</v>
      </c>
      <c r="S23" t="s">
        <v>579</v>
      </c>
    </row>
    <row r="24" spans="1:19">
      <c r="A24" t="s">
        <v>154</v>
      </c>
      <c r="B24" t="s">
        <v>157</v>
      </c>
      <c r="C24" s="47">
        <f>8.2+20</f>
        <v>28.2</v>
      </c>
      <c r="D24" s="47"/>
      <c r="E24" s="47"/>
      <c r="F24" s="47"/>
      <c r="G24" s="47"/>
      <c r="H24" s="47"/>
      <c r="J24" s="119">
        <f t="shared" si="3"/>
        <v>0.55000000000000004</v>
      </c>
      <c r="K24">
        <f>C24*(1-J24)</f>
        <v>12.689999999999998</v>
      </c>
      <c r="P24" s="52">
        <v>0.9</v>
      </c>
      <c r="Q24">
        <f t="shared" si="4"/>
        <v>11.420999999999998</v>
      </c>
      <c r="S24" t="s">
        <v>580</v>
      </c>
    </row>
    <row r="25" spans="1:19">
      <c r="A25" t="s">
        <v>154</v>
      </c>
      <c r="B25" t="s">
        <v>158</v>
      </c>
      <c r="C25" s="47">
        <v>8.1999999999999993</v>
      </c>
      <c r="D25" s="47"/>
      <c r="E25" s="47"/>
      <c r="F25" s="47"/>
      <c r="G25" s="47"/>
      <c r="H25" s="47"/>
      <c r="J25" s="119">
        <f t="shared" si="3"/>
        <v>0.55000000000000004</v>
      </c>
      <c r="K25">
        <f>C25*(1-J25)</f>
        <v>3.6899999999999995</v>
      </c>
      <c r="P25" s="52">
        <v>0.9</v>
      </c>
      <c r="Q25">
        <f t="shared" si="4"/>
        <v>3.3209999999999997</v>
      </c>
      <c r="S25" t="s">
        <v>580</v>
      </c>
    </row>
    <row r="26" spans="1:19">
      <c r="A26" t="s">
        <v>154</v>
      </c>
      <c r="B26" t="s">
        <v>159</v>
      </c>
      <c r="C26" s="47">
        <v>10</v>
      </c>
      <c r="D26" s="47"/>
      <c r="E26" s="47"/>
      <c r="F26" s="47"/>
      <c r="G26" s="47"/>
      <c r="H26" s="47"/>
      <c r="J26" s="119">
        <f t="shared" si="3"/>
        <v>0.55000000000000004</v>
      </c>
      <c r="K26">
        <f>C26*(1-J26)</f>
        <v>4.5</v>
      </c>
      <c r="P26" s="52">
        <v>0.9</v>
      </c>
      <c r="Q26">
        <f t="shared" si="4"/>
        <v>4.05</v>
      </c>
      <c r="S26" t="s">
        <v>580</v>
      </c>
    </row>
    <row r="27" spans="1:19" ht="15.5" thickBot="1">
      <c r="C27">
        <f>SUM(C22:C26)</f>
        <v>133.70000000000002</v>
      </c>
      <c r="P27" s="226" t="s">
        <v>78</v>
      </c>
      <c r="Q27" s="227">
        <f>SUM(Q22:Q26)/C27</f>
        <v>0.19373223635003736</v>
      </c>
    </row>
    <row r="28" spans="1:19" ht="15.5" thickBot="1">
      <c r="C28" s="2"/>
      <c r="D28" s="2"/>
      <c r="E28" s="2"/>
      <c r="F28" s="2"/>
      <c r="G28" s="2"/>
      <c r="H28" s="2"/>
      <c r="Q28" s="1"/>
      <c r="R28" s="228"/>
    </row>
    <row r="29" spans="1:19">
      <c r="J29" s="229" t="s">
        <v>4</v>
      </c>
      <c r="K29" s="229"/>
      <c r="L29" s="229"/>
      <c r="M29" s="229"/>
      <c r="N29" s="229"/>
      <c r="O29" s="229"/>
      <c r="P29" s="229"/>
      <c r="Q29" s="229"/>
    </row>
    <row r="30" spans="1:19">
      <c r="C30" t="s">
        <v>4</v>
      </c>
      <c r="J30" t="s">
        <v>575</v>
      </c>
      <c r="K30" t="s">
        <v>582</v>
      </c>
      <c r="P30" t="s">
        <v>576</v>
      </c>
      <c r="Q30" t="s">
        <v>581</v>
      </c>
    </row>
    <row r="31" spans="1:19">
      <c r="B31" t="s">
        <v>155</v>
      </c>
      <c r="C31" s="47">
        <v>0</v>
      </c>
      <c r="D31" s="47"/>
      <c r="E31" s="47"/>
      <c r="F31" s="47"/>
      <c r="G31" s="47"/>
      <c r="H31" s="47"/>
      <c r="J31" s="119">
        <f>$B$7</f>
        <v>0.55000000000000004</v>
      </c>
      <c r="K31">
        <f>C31*(1-J31)</f>
        <v>0</v>
      </c>
      <c r="P31" s="52">
        <f>50%</f>
        <v>0.5</v>
      </c>
      <c r="Q31">
        <f>P31*K31</f>
        <v>0</v>
      </c>
      <c r="S31" t="s">
        <v>578</v>
      </c>
    </row>
    <row r="32" spans="1:19">
      <c r="B32" t="s">
        <v>156</v>
      </c>
      <c r="C32" s="47">
        <v>10.9</v>
      </c>
      <c r="D32" s="47"/>
      <c r="E32" s="47"/>
      <c r="F32" s="47"/>
      <c r="G32" s="47"/>
      <c r="H32" s="47"/>
      <c r="J32" s="119">
        <f t="shared" ref="J32:J35" si="5">$B$7</f>
        <v>0.55000000000000004</v>
      </c>
      <c r="K32">
        <f t="shared" ref="K32:K35" si="6">C32*(1-J32)</f>
        <v>4.9049999999999994</v>
      </c>
      <c r="P32" s="52">
        <v>0</v>
      </c>
      <c r="Q32">
        <f t="shared" ref="Q32:Q35" si="7">P32*K32</f>
        <v>0</v>
      </c>
      <c r="S32" t="s">
        <v>579</v>
      </c>
    </row>
    <row r="33" spans="2:19">
      <c r="B33" t="s">
        <v>157</v>
      </c>
      <c r="C33" s="232">
        <v>0</v>
      </c>
      <c r="D33" s="232"/>
      <c r="E33" s="232"/>
      <c r="F33" s="232"/>
      <c r="G33" s="232"/>
      <c r="H33" s="232"/>
      <c r="J33" s="119">
        <f t="shared" si="5"/>
        <v>0.55000000000000004</v>
      </c>
      <c r="K33">
        <f t="shared" si="6"/>
        <v>0</v>
      </c>
      <c r="P33" s="52">
        <v>0.9</v>
      </c>
      <c r="Q33">
        <f t="shared" si="7"/>
        <v>0</v>
      </c>
      <c r="S33" t="s">
        <v>580</v>
      </c>
    </row>
    <row r="34" spans="2:19">
      <c r="B34" t="s">
        <v>158</v>
      </c>
      <c r="C34" s="47">
        <v>0</v>
      </c>
      <c r="D34" s="47"/>
      <c r="E34" s="47"/>
      <c r="F34" s="47"/>
      <c r="G34" s="47"/>
      <c r="H34" s="47"/>
      <c r="J34" s="119">
        <f t="shared" si="5"/>
        <v>0.55000000000000004</v>
      </c>
      <c r="K34">
        <f t="shared" si="6"/>
        <v>0</v>
      </c>
      <c r="P34" s="52">
        <v>0.9</v>
      </c>
      <c r="Q34">
        <f t="shared" si="7"/>
        <v>0</v>
      </c>
      <c r="S34" t="s">
        <v>580</v>
      </c>
    </row>
    <row r="35" spans="2:19">
      <c r="B35" t="s">
        <v>159</v>
      </c>
      <c r="C35" s="47">
        <v>0</v>
      </c>
      <c r="D35" s="47"/>
      <c r="E35" s="47"/>
      <c r="F35" s="47"/>
      <c r="G35" s="47"/>
      <c r="H35" s="47"/>
      <c r="J35" s="119">
        <f t="shared" si="5"/>
        <v>0.55000000000000004</v>
      </c>
      <c r="K35">
        <f t="shared" si="6"/>
        <v>0</v>
      </c>
      <c r="P35" s="52">
        <v>0.9</v>
      </c>
      <c r="Q35">
        <f t="shared" si="7"/>
        <v>0</v>
      </c>
      <c r="S35" t="s">
        <v>580</v>
      </c>
    </row>
    <row r="36" spans="2:19" ht="15.5" thickBot="1">
      <c r="C36">
        <f>SUM(C31:C35)</f>
        <v>10.9</v>
      </c>
      <c r="P36" s="226" t="s">
        <v>78</v>
      </c>
      <c r="Q36" s="227">
        <f>SUM(Q31:Q35)/C36</f>
        <v>0</v>
      </c>
    </row>
    <row r="37" spans="2:19">
      <c r="C37" s="2"/>
      <c r="K37" s="1"/>
      <c r="L37" s="1"/>
      <c r="M37" s="1"/>
      <c r="N37" s="1"/>
      <c r="O37" s="1"/>
      <c r="P37" s="228"/>
    </row>
    <row r="38" spans="2:19">
      <c r="C38" s="2" t="s">
        <v>779</v>
      </c>
      <c r="I38" t="s">
        <v>779</v>
      </c>
      <c r="K38" t="s">
        <v>576</v>
      </c>
      <c r="P38" t="s">
        <v>581</v>
      </c>
    </row>
    <row r="39" spans="2:19">
      <c r="B39" t="s">
        <v>155</v>
      </c>
      <c r="C39" s="47">
        <v>0</v>
      </c>
      <c r="I39" s="119">
        <f>$B$7</f>
        <v>0.55000000000000004</v>
      </c>
      <c r="J39">
        <f>C39*(1-I39)</f>
        <v>0</v>
      </c>
      <c r="K39" s="228">
        <f>SUM($Q$22:$Q$26,$Q$31:$Q$35)/SUM($K$22:$K$26,$K$31:$K$35)</f>
        <v>0.3980636237897649</v>
      </c>
      <c r="L39" s="228"/>
      <c r="M39" s="228"/>
      <c r="N39" s="228"/>
      <c r="O39" s="228"/>
      <c r="P39">
        <f>K39*J39</f>
        <v>0</v>
      </c>
    </row>
    <row r="40" spans="2:19">
      <c r="B40" t="s">
        <v>156</v>
      </c>
      <c r="C40" s="47">
        <v>0</v>
      </c>
      <c r="I40" s="119">
        <f t="shared" ref="I40:I45" si="8">$B$7</f>
        <v>0.55000000000000004</v>
      </c>
      <c r="J40">
        <f t="shared" ref="J40:J45" si="9">C40*(1-I40)</f>
        <v>0</v>
      </c>
      <c r="K40" s="228">
        <f t="shared" ref="K40:K45" si="10">SUM($Q$22:$Q$26,$Q$31:$Q$35)/SUM($K$22:$K$26,$K$31:$K$35)</f>
        <v>0.3980636237897649</v>
      </c>
      <c r="L40" s="228"/>
      <c r="M40" s="228"/>
      <c r="N40" s="228"/>
      <c r="O40" s="228"/>
      <c r="P40">
        <f t="shared" ref="P40:P45" si="11">K40*J40</f>
        <v>0</v>
      </c>
    </row>
    <row r="41" spans="2:19">
      <c r="B41" t="s">
        <v>157</v>
      </c>
      <c r="C41" s="47">
        <v>21.8</v>
      </c>
      <c r="I41" s="119">
        <f t="shared" si="8"/>
        <v>0.55000000000000004</v>
      </c>
      <c r="J41">
        <f t="shared" si="9"/>
        <v>9.8099999999999987</v>
      </c>
      <c r="K41" s="228">
        <f t="shared" si="10"/>
        <v>0.3980636237897649</v>
      </c>
      <c r="L41" s="228"/>
      <c r="M41" s="228"/>
      <c r="N41" s="228"/>
      <c r="O41" s="228"/>
      <c r="P41">
        <f t="shared" si="11"/>
        <v>3.9050041493775933</v>
      </c>
    </row>
    <row r="42" spans="2:19">
      <c r="B42" t="s">
        <v>158</v>
      </c>
      <c r="C42" s="47">
        <v>0</v>
      </c>
      <c r="I42" s="119">
        <f t="shared" si="8"/>
        <v>0.55000000000000004</v>
      </c>
      <c r="J42">
        <f t="shared" si="9"/>
        <v>0</v>
      </c>
      <c r="K42" s="228">
        <f t="shared" si="10"/>
        <v>0.3980636237897649</v>
      </c>
      <c r="L42" s="228"/>
      <c r="M42" s="228"/>
      <c r="N42" s="228"/>
      <c r="O42" s="228"/>
      <c r="P42">
        <f t="shared" si="11"/>
        <v>0</v>
      </c>
    </row>
    <row r="43" spans="2:19">
      <c r="B43" t="s">
        <v>159</v>
      </c>
      <c r="C43" s="47">
        <v>0</v>
      </c>
      <c r="I43" s="119">
        <f t="shared" si="8"/>
        <v>0.55000000000000004</v>
      </c>
      <c r="J43">
        <f t="shared" si="9"/>
        <v>0</v>
      </c>
      <c r="K43" s="228">
        <f t="shared" si="10"/>
        <v>0.3980636237897649</v>
      </c>
      <c r="L43" s="228"/>
      <c r="M43" s="228"/>
      <c r="N43" s="228"/>
      <c r="O43" s="228"/>
      <c r="P43">
        <f t="shared" si="11"/>
        <v>0</v>
      </c>
    </row>
    <row r="44" spans="2:19">
      <c r="B44" t="s">
        <v>780</v>
      </c>
      <c r="C44" s="47">
        <v>12</v>
      </c>
      <c r="I44" s="119">
        <f t="shared" si="8"/>
        <v>0.55000000000000004</v>
      </c>
      <c r="J44">
        <f t="shared" si="9"/>
        <v>5.3999999999999995</v>
      </c>
      <c r="K44" s="228">
        <f t="shared" si="10"/>
        <v>0.3980636237897649</v>
      </c>
      <c r="L44" s="228"/>
      <c r="M44" s="228"/>
      <c r="N44" s="228"/>
      <c r="O44" s="228"/>
      <c r="P44">
        <f t="shared" si="11"/>
        <v>2.1495435684647304</v>
      </c>
    </row>
    <row r="45" spans="2:19">
      <c r="B45" t="s">
        <v>24</v>
      </c>
      <c r="C45" s="47">
        <v>4.5</v>
      </c>
      <c r="I45" s="119">
        <f t="shared" si="8"/>
        <v>0.55000000000000004</v>
      </c>
      <c r="J45">
        <f t="shared" si="9"/>
        <v>2.0249999999999999</v>
      </c>
      <c r="K45" s="228">
        <f t="shared" si="10"/>
        <v>0.3980636237897649</v>
      </c>
      <c r="L45" s="228"/>
      <c r="M45" s="228"/>
      <c r="N45" s="228"/>
      <c r="O45" s="228"/>
      <c r="P45">
        <f t="shared" si="11"/>
        <v>0.80607883817427384</v>
      </c>
    </row>
    <row r="46" spans="2:19" ht="15.5" thickBot="1">
      <c r="C46">
        <f>SUM(C39:C45)</f>
        <v>38.299999999999997</v>
      </c>
      <c r="K46" s="226" t="s">
        <v>78</v>
      </c>
      <c r="L46" s="226"/>
      <c r="M46" s="226"/>
      <c r="N46" s="226"/>
      <c r="O46" s="226"/>
      <c r="P46" s="227">
        <f>SUM(P39:P45)/C46</f>
        <v>0.17912863070539423</v>
      </c>
    </row>
    <row r="47" spans="2:19">
      <c r="C47" s="149"/>
      <c r="K47" s="1"/>
      <c r="L47" s="1"/>
      <c r="M47" s="1"/>
      <c r="N47" s="1"/>
      <c r="O47" s="1"/>
      <c r="P47" s="228"/>
    </row>
    <row r="48" spans="2:19">
      <c r="C48" s="2"/>
      <c r="D48" s="2"/>
      <c r="E48" s="2"/>
      <c r="F48" s="2"/>
      <c r="G48" s="2"/>
      <c r="H48" s="2"/>
      <c r="P48" s="679"/>
      <c r="Q48" s="228"/>
    </row>
    <row r="49" spans="2:17" s="707" customFormat="1">
      <c r="B49" s="758"/>
      <c r="C49" s="758"/>
      <c r="D49" s="758"/>
      <c r="E49" s="758"/>
      <c r="F49" s="758"/>
      <c r="G49" s="758"/>
      <c r="H49" s="758"/>
    </row>
    <row r="50" spans="2:17" s="708" customFormat="1"/>
    <row r="51" spans="2:17" s="708" customFormat="1"/>
    <row r="52" spans="2:17" s="708" customFormat="1"/>
    <row r="53" spans="2:17" s="708" customFormat="1"/>
    <row r="54" spans="2:17" s="708" customFormat="1">
      <c r="J54" s="759"/>
      <c r="P54" s="759"/>
      <c r="Q54" s="711"/>
    </row>
    <row r="55" spans="2:17" s="708" customFormat="1">
      <c r="J55" s="759"/>
      <c r="P55" s="759"/>
      <c r="Q55" s="711"/>
    </row>
    <row r="56" spans="2:17" s="708" customFormat="1">
      <c r="J56" s="759"/>
      <c r="P56" s="759"/>
      <c r="Q56" s="711"/>
    </row>
    <row r="57" spans="2:17" s="708" customFormat="1">
      <c r="J57" s="759"/>
      <c r="P57" s="759"/>
      <c r="Q57" s="711"/>
    </row>
    <row r="58" spans="2:17" s="708" customFormat="1">
      <c r="J58" s="759"/>
      <c r="P58" s="759"/>
      <c r="Q58" s="711"/>
    </row>
    <row r="59" spans="2:17" s="708" customFormat="1">
      <c r="J59" s="759"/>
      <c r="P59" s="759"/>
      <c r="Q59" s="711"/>
    </row>
    <row r="60" spans="2:17" s="708" customFormat="1">
      <c r="J60" s="759"/>
      <c r="P60" s="759"/>
      <c r="Q60" s="711"/>
    </row>
    <row r="61" spans="2:17" s="708" customFormat="1">
      <c r="J61" s="759"/>
      <c r="P61" s="759"/>
      <c r="Q61" s="711"/>
    </row>
    <row r="62" spans="2:17" s="708" customFormat="1">
      <c r="J62" s="759"/>
      <c r="P62" s="759"/>
      <c r="Q62" s="711"/>
    </row>
    <row r="63" spans="2:17" s="708" customFormat="1"/>
    <row r="64" spans="2:17" s="708" customFormat="1"/>
    <row r="65" spans="2:29" s="708" customFormat="1">
      <c r="I65" s="759"/>
      <c r="J65" s="759"/>
      <c r="K65" s="759"/>
      <c r="L65" s="759"/>
      <c r="M65" s="759"/>
      <c r="N65" s="759"/>
      <c r="O65" s="759"/>
      <c r="P65" s="759"/>
      <c r="Q65" s="759"/>
      <c r="R65" s="759"/>
    </row>
    <row r="66" spans="2:29" s="708" customFormat="1">
      <c r="I66" s="759"/>
      <c r="J66" s="759"/>
      <c r="K66" s="759"/>
      <c r="L66" s="759"/>
      <c r="M66" s="759"/>
      <c r="N66" s="759"/>
      <c r="O66" s="759"/>
      <c r="P66" s="759"/>
      <c r="Q66" s="759"/>
      <c r="R66" s="759"/>
    </row>
    <row r="67" spans="2:29" s="708" customFormat="1">
      <c r="B67" s="707"/>
      <c r="C67" s="707"/>
      <c r="D67" s="707"/>
      <c r="E67" s="707"/>
      <c r="F67" s="707"/>
      <c r="G67" s="707"/>
      <c r="H67" s="707"/>
      <c r="I67" s="707"/>
      <c r="J67" s="760"/>
      <c r="K67" s="760"/>
      <c r="L67" s="760"/>
      <c r="M67" s="760"/>
      <c r="N67" s="760"/>
      <c r="O67" s="760"/>
      <c r="P67" s="760"/>
      <c r="Q67" s="760"/>
      <c r="R67" s="760"/>
    </row>
    <row r="68" spans="2:29" s="708" customFormat="1">
      <c r="B68" s="707"/>
      <c r="C68" s="707"/>
      <c r="D68" s="707"/>
      <c r="E68" s="707"/>
      <c r="F68" s="707"/>
      <c r="G68" s="707"/>
      <c r="H68" s="707"/>
      <c r="I68" s="707"/>
      <c r="J68" s="707"/>
      <c r="K68" s="707"/>
      <c r="L68" s="707"/>
      <c r="M68" s="707"/>
      <c r="N68" s="707"/>
      <c r="O68" s="707"/>
      <c r="P68" s="707"/>
      <c r="Q68" s="707"/>
      <c r="R68" s="707"/>
    </row>
    <row r="69" spans="2:29" s="708" customFormat="1">
      <c r="AC69" s="627"/>
    </row>
    <row r="70" spans="2:29" s="708" customFormat="1">
      <c r="C70" s="707"/>
      <c r="D70" s="707"/>
      <c r="E70" s="707"/>
      <c r="F70" s="707"/>
      <c r="G70" s="707"/>
      <c r="H70" s="707"/>
      <c r="I70" s="707"/>
      <c r="AC70" s="627"/>
    </row>
    <row r="71" spans="2:29" s="708" customFormat="1">
      <c r="C71" s="711"/>
      <c r="D71" s="711"/>
      <c r="E71" s="711"/>
      <c r="F71" s="711"/>
      <c r="G71" s="711"/>
      <c r="H71" s="711"/>
      <c r="I71" s="711"/>
      <c r="Y71" s="707"/>
      <c r="Z71" s="707"/>
      <c r="AA71" s="707"/>
      <c r="AC71" s="627"/>
    </row>
    <row r="72" spans="2:29" s="708" customFormat="1">
      <c r="C72" s="711"/>
      <c r="D72" s="711"/>
      <c r="E72" s="711"/>
      <c r="F72" s="711"/>
      <c r="G72" s="711"/>
      <c r="H72" s="711"/>
      <c r="I72" s="711"/>
    </row>
    <row r="73" spans="2:29" s="708" customFormat="1"/>
    <row r="74" spans="2:29" s="708" customFormat="1"/>
    <row r="75" spans="2:29" s="708" customFormat="1" ht="35.5" customHeight="1">
      <c r="C75" s="761"/>
      <c r="D75" s="761"/>
      <c r="E75" s="761"/>
      <c r="F75" s="761"/>
      <c r="G75" s="761"/>
      <c r="H75" s="761"/>
      <c r="I75" s="761"/>
      <c r="J75" s="761"/>
      <c r="K75" s="761"/>
      <c r="L75" s="761"/>
      <c r="M75" s="761"/>
      <c r="N75" s="761"/>
      <c r="O75" s="761"/>
      <c r="P75" s="761"/>
      <c r="Q75" s="762"/>
      <c r="R75" s="761"/>
    </row>
    <row r="76" spans="2:29" s="708" customFormat="1">
      <c r="C76" s="759"/>
      <c r="D76" s="759"/>
      <c r="E76" s="759"/>
      <c r="F76" s="759"/>
      <c r="G76" s="759"/>
      <c r="H76" s="759"/>
      <c r="I76" s="759"/>
      <c r="J76" s="759"/>
      <c r="K76" s="759"/>
      <c r="L76" s="759"/>
      <c r="M76" s="759"/>
      <c r="N76" s="759"/>
      <c r="O76" s="759"/>
      <c r="P76" s="759"/>
      <c r="Q76" s="759"/>
      <c r="R76" s="759"/>
    </row>
    <row r="77" spans="2:29" s="708" customFormat="1">
      <c r="C77" s="759"/>
      <c r="D77" s="759"/>
      <c r="E77" s="759"/>
      <c r="F77" s="759"/>
      <c r="G77" s="759"/>
      <c r="H77" s="759"/>
      <c r="I77" s="759"/>
      <c r="J77" s="759"/>
      <c r="K77" s="759"/>
      <c r="L77" s="759"/>
      <c r="M77" s="759"/>
      <c r="N77" s="759"/>
      <c r="O77" s="759"/>
      <c r="P77" s="759"/>
      <c r="Q77" s="759"/>
      <c r="R77" s="759"/>
    </row>
    <row r="78" spans="2:29" s="708" customFormat="1"/>
    <row r="79" spans="2:29" s="708" customFormat="1">
      <c r="K79" s="711"/>
      <c r="L79" s="711"/>
      <c r="M79" s="711"/>
      <c r="N79" s="711"/>
      <c r="O79" s="711"/>
      <c r="Q79" s="711"/>
    </row>
    <row r="80" spans="2:29" s="708" customFormat="1">
      <c r="K80" s="711"/>
      <c r="L80" s="711"/>
      <c r="M80" s="711"/>
      <c r="N80" s="711"/>
      <c r="O80" s="711"/>
      <c r="Q80" s="711"/>
    </row>
    <row r="81" s="708" customFormat="1"/>
    <row r="82" s="708" customFormat="1"/>
    <row r="83" s="708" customFormat="1"/>
    <row r="84" s="708" customFormat="1"/>
    <row r="85" s="708" customFormat="1"/>
    <row r="86" s="708" customFormat="1"/>
    <row r="87" s="708" customFormat="1"/>
    <row r="88" s="708" customFormat="1"/>
    <row r="89" s="708" customFormat="1"/>
    <row r="90" s="708" customFormat="1"/>
    <row r="91" s="708" customFormat="1"/>
    <row r="92" s="708" customFormat="1"/>
    <row r="98" spans="2:10">
      <c r="J98" s="6"/>
    </row>
    <row r="99" spans="2:10">
      <c r="J99" s="6"/>
    </row>
    <row r="103" spans="2:10">
      <c r="B103" t="s">
        <v>161</v>
      </c>
    </row>
    <row r="105" spans="2:10">
      <c r="B105" t="s">
        <v>162</v>
      </c>
      <c r="C105" s="6">
        <v>0.33</v>
      </c>
      <c r="D105" s="6"/>
      <c r="E105" s="6"/>
      <c r="F105" s="6"/>
      <c r="G105" s="6"/>
      <c r="H105" s="6"/>
      <c r="J105" t="s">
        <v>34</v>
      </c>
    </row>
    <row r="106" spans="2:10">
      <c r="B106" t="s">
        <v>163</v>
      </c>
      <c r="C106" s="6">
        <v>0.25</v>
      </c>
      <c r="D106" s="6"/>
      <c r="E106" s="6"/>
      <c r="F106" s="6"/>
      <c r="G106" s="6"/>
      <c r="H106" s="6"/>
      <c r="J106" t="s">
        <v>11</v>
      </c>
    </row>
    <row r="107" spans="2:10">
      <c r="B107" t="s">
        <v>164</v>
      </c>
      <c r="C107" s="6">
        <v>0.23</v>
      </c>
      <c r="D107" s="6"/>
      <c r="E107" s="6"/>
      <c r="F107" s="6"/>
      <c r="G107" s="6"/>
      <c r="H107" s="6"/>
      <c r="J107" t="s">
        <v>11</v>
      </c>
    </row>
    <row r="108" spans="2:10">
      <c r="B108" t="s">
        <v>165</v>
      </c>
      <c r="C108" s="6">
        <v>0.1</v>
      </c>
      <c r="D108" s="6"/>
      <c r="E108" s="6"/>
      <c r="F108" s="6"/>
      <c r="G108" s="6"/>
      <c r="H108" s="6"/>
      <c r="J108" t="s">
        <v>34</v>
      </c>
    </row>
    <row r="109" spans="2:10">
      <c r="B109" t="s">
        <v>166</v>
      </c>
      <c r="C109" s="6">
        <v>0.05</v>
      </c>
      <c r="D109" s="6"/>
      <c r="E109" s="6"/>
      <c r="F109" s="6"/>
      <c r="G109" s="6"/>
      <c r="H109" s="6"/>
      <c r="J109" t="s">
        <v>34</v>
      </c>
    </row>
    <row r="110" spans="2:10">
      <c r="B110" t="s">
        <v>24</v>
      </c>
      <c r="C110" s="6">
        <v>0.04</v>
      </c>
      <c r="D110" s="6"/>
      <c r="E110" s="6"/>
      <c r="F110" s="6"/>
      <c r="G110" s="6"/>
      <c r="H110" s="6"/>
      <c r="J110" t="s">
        <v>16</v>
      </c>
    </row>
  </sheetData>
  <hyperlinks>
    <hyperlink ref="P7" r:id="rId1" xr:uid="{40E35F30-303D-4A33-90D6-ECA30F8EFEC6}"/>
    <hyperlink ref="P8" r:id="rId2" display="https://cdn.odi.org/media/documents/odi-et-cp-construction-report-sep20-proof04_final2.pdf" xr:uid="{D3B15341-76B3-4383-B1BC-E944AC169992}"/>
    <hyperlink ref="P5" r:id="rId3" xr:uid="{D3020848-3A87-4982-AF72-F2156F7B4B89}"/>
  </hyperlinks>
  <pageMargins left="0.7" right="0.7" top="0.75" bottom="0.75" header="0.3" footer="0.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E48"/>
  <sheetViews>
    <sheetView topLeftCell="A3" zoomScale="60" zoomScaleNormal="60" workbookViewId="0">
      <selection activeCell="N14" sqref="N14:Q23"/>
    </sheetView>
  </sheetViews>
  <sheetFormatPr defaultRowHeight="14.75"/>
  <cols>
    <col min="1" max="1" width="30.1796875" customWidth="1"/>
    <col min="2" max="2" width="15.1796875" customWidth="1"/>
    <col min="3" max="3" width="11.81640625" customWidth="1"/>
    <col min="4" max="11" width="16.81640625" customWidth="1"/>
    <col min="12" max="12" width="11.81640625" customWidth="1"/>
    <col min="20" max="20" width="27" bestFit="1" customWidth="1"/>
  </cols>
  <sheetData>
    <row r="1" spans="1:31">
      <c r="A1" s="42" t="s">
        <v>124</v>
      </c>
      <c r="B1" s="42"/>
      <c r="C1" s="42"/>
      <c r="D1" s="42"/>
      <c r="E1" s="42"/>
      <c r="W1" s="42"/>
      <c r="X1" s="42"/>
      <c r="Y1" s="42"/>
      <c r="Z1" s="42"/>
      <c r="AA1" s="42"/>
    </row>
    <row r="2" spans="1:31" ht="15.5" thickBot="1">
      <c r="A2" s="41"/>
      <c r="B2" s="41" t="s">
        <v>125</v>
      </c>
      <c r="C2" s="41" t="s">
        <v>4</v>
      </c>
      <c r="D2" s="41" t="s">
        <v>3</v>
      </c>
      <c r="E2" s="41" t="s">
        <v>781</v>
      </c>
      <c r="F2" s="41" t="s">
        <v>782</v>
      </c>
      <c r="G2" s="41" t="s">
        <v>88</v>
      </c>
      <c r="H2" s="41" t="s">
        <v>717</v>
      </c>
      <c r="I2" s="41" t="s">
        <v>1170</v>
      </c>
      <c r="J2" s="41" t="s">
        <v>1300</v>
      </c>
      <c r="K2" s="41" t="s">
        <v>1311</v>
      </c>
      <c r="L2" s="154" t="s">
        <v>60</v>
      </c>
      <c r="W2" s="41"/>
      <c r="X2" s="41" t="s">
        <v>125</v>
      </c>
      <c r="Y2" s="41" t="s">
        <v>716</v>
      </c>
      <c r="Z2" s="41"/>
      <c r="AA2" s="41"/>
      <c r="AB2" s="154" t="s">
        <v>60</v>
      </c>
      <c r="AD2" t="s">
        <v>786</v>
      </c>
      <c r="AE2" s="22">
        <f>(97/66)^(1/35)-1</f>
        <v>1.1062346974396675E-2</v>
      </c>
    </row>
    <row r="3" spans="1:31">
      <c r="B3" t="s">
        <v>126</v>
      </c>
      <c r="C3" t="s">
        <v>127</v>
      </c>
      <c r="D3" t="s">
        <v>127</v>
      </c>
      <c r="E3" t="s">
        <v>127</v>
      </c>
      <c r="X3" t="s">
        <v>126</v>
      </c>
      <c r="Y3" t="s">
        <v>127</v>
      </c>
    </row>
    <row r="4" spans="1:31">
      <c r="A4" t="s">
        <v>128</v>
      </c>
      <c r="C4" s="40">
        <f>'Demand - Propylene'!K52</f>
        <v>816476.05129449558</v>
      </c>
      <c r="D4" s="40">
        <f>'Demand - Ethylene'!K65</f>
        <v>582875.6940607368</v>
      </c>
      <c r="E4" s="40">
        <f>'Production - Industry shares'!L84</f>
        <v>7.395701153038182</v>
      </c>
      <c r="F4" s="45"/>
      <c r="G4" s="45">
        <f>'Production - Industry shares'!L99</f>
        <v>239531.49666983369</v>
      </c>
      <c r="H4" s="45">
        <f>'Production - Industry shares'!L113</f>
        <v>164402.51278930038</v>
      </c>
      <c r="I4" s="45">
        <f>'Production - Industry shares'!L127</f>
        <v>474719.77116129483</v>
      </c>
      <c r="J4" s="45">
        <f>'Demand - C4'!I28-'Demand - C4'!C21</f>
        <v>443858.22061087564</v>
      </c>
      <c r="K4" s="45">
        <f>'Demand - C4'!C21</f>
        <v>0</v>
      </c>
      <c r="L4" s="7"/>
      <c r="M4" s="7"/>
      <c r="W4" t="s">
        <v>128</v>
      </c>
      <c r="Y4" s="40">
        <v>0</v>
      </c>
      <c r="Z4" s="40"/>
      <c r="AB4" s="7"/>
      <c r="AC4" s="7"/>
    </row>
    <row r="5" spans="1:31">
      <c r="A5" t="s">
        <v>129</v>
      </c>
      <c r="B5" s="43">
        <v>1.7000000000000001E-2</v>
      </c>
      <c r="C5" s="40">
        <f>C4*(1+B5)^30-C4</f>
        <v>537378.59048547712</v>
      </c>
      <c r="D5" s="40">
        <f>D4*(1+B5)^30-D4</f>
        <v>383630.25884959544</v>
      </c>
      <c r="E5" s="40">
        <f>E4*(1+B5)^30-E4</f>
        <v>4.8676154738039994</v>
      </c>
      <c r="G5" s="40">
        <f>G4*(1+'Demand - BTX'!L72)^30-G4</f>
        <v>-44607.388975779846</v>
      </c>
      <c r="H5" s="40">
        <f>H4*(1+'Demand - BTX'!L72)^30-H4</f>
        <v>-30616.294468766311</v>
      </c>
      <c r="I5" s="40">
        <f>I4*(1+'Demand - BTX'!L72)^30-I4</f>
        <v>-88405.949869188771</v>
      </c>
      <c r="J5" s="40">
        <f>J4*(1+'Demand - C4'!K28)^30-J4</f>
        <v>-83992.262639540888</v>
      </c>
      <c r="K5" s="40"/>
      <c r="L5" s="5" t="s">
        <v>130</v>
      </c>
      <c r="W5" t="s">
        <v>129</v>
      </c>
      <c r="X5" s="383">
        <v>0</v>
      </c>
      <c r="Y5" s="40">
        <f>Y4*(1+X5)^30-Y4</f>
        <v>0</v>
      </c>
      <c r="Z5" s="40"/>
      <c r="AB5" s="5" t="s">
        <v>130</v>
      </c>
    </row>
    <row r="6" spans="1:31">
      <c r="A6" t="s">
        <v>784</v>
      </c>
      <c r="B6" s="43">
        <f>'Demand - Methanol'!N44</f>
        <v>-6.9680618668425121E-3</v>
      </c>
      <c r="C6" s="40"/>
      <c r="D6" s="40"/>
      <c r="F6" s="40">
        <f>F4*(1+B6)^30-F4</f>
        <v>0</v>
      </c>
      <c r="G6" s="40"/>
      <c r="H6" s="40"/>
      <c r="I6" s="40"/>
      <c r="J6" s="40"/>
      <c r="K6" s="40">
        <f>K4*(1+'Demand - C4'!K28)^30</f>
        <v>0</v>
      </c>
      <c r="L6" s="5"/>
      <c r="X6" s="383"/>
      <c r="Y6" s="40"/>
      <c r="Z6" s="40"/>
      <c r="AB6" s="5"/>
    </row>
    <row r="7" spans="1:31">
      <c r="A7" t="s">
        <v>131</v>
      </c>
      <c r="C7" s="40">
        <f>SUM(C4:C5)</f>
        <v>1353854.6417799727</v>
      </c>
      <c r="D7" s="40">
        <f>SUM(D4:D5)</f>
        <v>966505.95291033224</v>
      </c>
      <c r="E7" s="40">
        <f>SUM(E4:E5)</f>
        <v>12.263316626842181</v>
      </c>
      <c r="F7" s="40">
        <f>SUM(F4:F6)</f>
        <v>0</v>
      </c>
      <c r="G7" s="40">
        <f t="shared" ref="G7:I7" si="0">SUM(G4:G6)</f>
        <v>194924.10769405385</v>
      </c>
      <c r="H7" s="40">
        <f t="shared" si="0"/>
        <v>133786.21832053407</v>
      </c>
      <c r="I7" s="40">
        <f t="shared" si="0"/>
        <v>386313.82129210606</v>
      </c>
      <c r="J7" s="40">
        <f>SUM(J4:J5)</f>
        <v>359865.95797133475</v>
      </c>
      <c r="K7" s="40">
        <f>SUM(K4:K6)</f>
        <v>0</v>
      </c>
      <c r="W7" t="s">
        <v>131</v>
      </c>
      <c r="Y7" s="40">
        <f>SUM(Y4:Y5)</f>
        <v>0</v>
      </c>
      <c r="Z7" s="40"/>
    </row>
    <row r="8" spans="1:31">
      <c r="A8" t="s">
        <v>787</v>
      </c>
      <c r="B8" s="44">
        <v>0.1</v>
      </c>
      <c r="C8" s="45">
        <f>C7*B8</f>
        <v>135385.46417799729</v>
      </c>
      <c r="D8" s="45">
        <f>D7*B8</f>
        <v>96650.595291033227</v>
      </c>
      <c r="E8" s="45">
        <f>E7*B8</f>
        <v>1.2263316626842182</v>
      </c>
      <c r="G8" s="45">
        <f>G$7*$B8</f>
        <v>19492.410769405386</v>
      </c>
      <c r="H8" s="45">
        <f t="shared" ref="H8:I8" si="1">H$7*$B8</f>
        <v>13378.621832053408</v>
      </c>
      <c r="I8" s="45">
        <f t="shared" si="1"/>
        <v>38631.382129210608</v>
      </c>
      <c r="J8" s="45">
        <v>0</v>
      </c>
      <c r="K8" s="45">
        <v>0</v>
      </c>
      <c r="L8" s="7" t="s">
        <v>132</v>
      </c>
      <c r="W8" t="s">
        <v>138</v>
      </c>
      <c r="X8" s="44"/>
      <c r="Y8" s="40">
        <f>Y7-Y24*Y7</f>
        <v>0</v>
      </c>
      <c r="Z8" s="40"/>
      <c r="AB8" s="7"/>
    </row>
    <row r="9" spans="1:31">
      <c r="A9" t="s">
        <v>785</v>
      </c>
      <c r="B9" s="44">
        <v>1</v>
      </c>
      <c r="C9" s="45"/>
      <c r="D9" s="45"/>
      <c r="F9" s="40">
        <f>F7*B9</f>
        <v>0</v>
      </c>
      <c r="G9" s="45"/>
      <c r="H9" s="45"/>
      <c r="I9" s="45"/>
      <c r="J9" s="45"/>
      <c r="K9" s="45">
        <f>B9*K7</f>
        <v>0</v>
      </c>
      <c r="L9" s="7" t="s">
        <v>783</v>
      </c>
      <c r="X9" s="44"/>
      <c r="Y9" s="40"/>
      <c r="Z9" s="40"/>
      <c r="AB9" s="7"/>
    </row>
    <row r="10" spans="1:31">
      <c r="A10" t="s">
        <v>134</v>
      </c>
      <c r="B10" s="44">
        <v>0.33</v>
      </c>
      <c r="C10" s="40">
        <f>(C7+C8)*B10</f>
        <v>491449.23496613011</v>
      </c>
      <c r="D10" s="40">
        <f>(D7+D8)*B10</f>
        <v>350841.66090645059</v>
      </c>
      <c r="E10" s="40">
        <f>(E7+E8)*B10</f>
        <v>4.4515839355437121</v>
      </c>
      <c r="G10" s="45">
        <f>(G$7+G$8)*$B10</f>
        <v>70757.451092941556</v>
      </c>
      <c r="H10" s="45">
        <f t="shared" ref="H10:I12" si="2">(H$7+H$8)*$B10</f>
        <v>48564.397250353868</v>
      </c>
      <c r="I10" s="45">
        <f t="shared" si="2"/>
        <v>140231.91712903453</v>
      </c>
      <c r="J10" s="45">
        <f>B10*$J$7</f>
        <v>118755.76613054048</v>
      </c>
      <c r="K10" s="45"/>
      <c r="L10" s="7" t="s">
        <v>135</v>
      </c>
      <c r="W10" t="s">
        <v>788</v>
      </c>
      <c r="Y10" s="6">
        <v>0.9</v>
      </c>
      <c r="Z10" s="230" t="s">
        <v>789</v>
      </c>
    </row>
    <row r="11" spans="1:31">
      <c r="A11" t="s">
        <v>136</v>
      </c>
      <c r="B11" s="44">
        <v>0.21</v>
      </c>
      <c r="C11" s="40">
        <f>(C7+C8-C10)*B11</f>
        <v>209536.08290828636</v>
      </c>
      <c r="D11" s="40">
        <f>(D7+D8-D10)*B11</f>
        <v>149586.12633193212</v>
      </c>
      <c r="E11" s="40">
        <f>(E7+E8-E10)*B11</f>
        <v>1.8979935143363642</v>
      </c>
      <c r="G11" s="45">
        <f t="shared" ref="G11:G12" si="3">(G$7+G$8)*$B11</f>
        <v>45027.468877326442</v>
      </c>
      <c r="H11" s="45">
        <f t="shared" si="2"/>
        <v>30904.616432043371</v>
      </c>
      <c r="I11" s="45">
        <f t="shared" si="2"/>
        <v>89238.492718476497</v>
      </c>
      <c r="J11" s="45">
        <f t="shared" ref="J11:J12" si="4">B11*$J$7</f>
        <v>75571.851173980293</v>
      </c>
      <c r="K11" s="45"/>
      <c r="L11" s="7" t="s">
        <v>135</v>
      </c>
      <c r="W11" t="s">
        <v>790</v>
      </c>
      <c r="Y11" s="6">
        <v>0.1</v>
      </c>
      <c r="Z11" s="230" t="s">
        <v>789</v>
      </c>
    </row>
    <row r="12" spans="1:31">
      <c r="A12" t="s">
        <v>137</v>
      </c>
      <c r="B12" s="51">
        <v>0</v>
      </c>
      <c r="C12" s="46">
        <v>0</v>
      </c>
      <c r="D12" s="46">
        <v>0</v>
      </c>
      <c r="E12" s="46">
        <v>1</v>
      </c>
      <c r="F12" s="7"/>
      <c r="G12" s="45">
        <f t="shared" si="3"/>
        <v>0</v>
      </c>
      <c r="H12" s="45">
        <f t="shared" si="2"/>
        <v>0</v>
      </c>
      <c r="I12" s="45">
        <f t="shared" si="2"/>
        <v>0</v>
      </c>
      <c r="J12" s="45">
        <f t="shared" si="4"/>
        <v>0</v>
      </c>
      <c r="K12" s="45"/>
      <c r="L12" s="5" t="s">
        <v>130</v>
      </c>
      <c r="W12" t="s">
        <v>791</v>
      </c>
      <c r="X12" s="51"/>
      <c r="Y12" s="46">
        <f>Y10*Y24*Y7</f>
        <v>0</v>
      </c>
      <c r="Z12" s="40"/>
      <c r="AB12" s="7"/>
    </row>
    <row r="13" spans="1:31">
      <c r="A13" t="s">
        <v>138</v>
      </c>
      <c r="C13" s="40">
        <f>C7+C8-C10-C11-C12</f>
        <v>788254.78808355355</v>
      </c>
      <c r="D13" s="40">
        <f>D7+D8-D10-D11-D12</f>
        <v>562728.76096298266</v>
      </c>
      <c r="E13" s="40">
        <f>E7+E8-E10-E11-E12</f>
        <v>6.1400708396463228</v>
      </c>
      <c r="F13" s="40">
        <f>F7-F9</f>
        <v>0</v>
      </c>
      <c r="G13" s="40">
        <f>G7+G8-G10-G11-G12</f>
        <v>98631.598493191268</v>
      </c>
      <c r="H13" s="40">
        <f t="shared" ref="H13:I13" si="5">H7+H8-H10-H11-H12</f>
        <v>67695.826470190237</v>
      </c>
      <c r="I13" s="40">
        <f t="shared" si="5"/>
        <v>195474.79357380565</v>
      </c>
      <c r="J13" s="40">
        <f>J7-SUM(J10:J12)</f>
        <v>165538.34066681398</v>
      </c>
      <c r="K13" s="40">
        <f>K7-SUM(K9:K12)</f>
        <v>0</v>
      </c>
      <c r="W13" t="s">
        <v>792</v>
      </c>
      <c r="X13" s="51"/>
      <c r="Y13" s="46">
        <f>Y11*Y18*Y7</f>
        <v>0</v>
      </c>
      <c r="Z13" s="40"/>
      <c r="AB13" s="7"/>
    </row>
    <row r="14" spans="1:31">
      <c r="W14" t="s">
        <v>793</v>
      </c>
      <c r="Y14" s="40">
        <f>Y7-Y12-Y13</f>
        <v>0</v>
      </c>
      <c r="Z14" s="46"/>
      <c r="AA14" s="7"/>
      <c r="AB14" s="5" t="s">
        <v>130</v>
      </c>
    </row>
    <row r="15" spans="1:31">
      <c r="A15" t="s">
        <v>173</v>
      </c>
      <c r="B15" s="52">
        <f>100%</f>
        <v>1</v>
      </c>
      <c r="C15" s="52">
        <f>100%</f>
        <v>1</v>
      </c>
      <c r="G15" s="52"/>
      <c r="H15" s="52"/>
      <c r="I15" s="52"/>
      <c r="J15" s="52"/>
      <c r="K15" s="52"/>
      <c r="L15" s="50" t="s">
        <v>370</v>
      </c>
      <c r="W15" t="s">
        <v>794</v>
      </c>
      <c r="Y15" s="40">
        <f>-(Y7-Y14)</f>
        <v>0</v>
      </c>
      <c r="Z15" s="46"/>
      <c r="AA15" s="7"/>
      <c r="AB15" s="5"/>
    </row>
    <row r="16" spans="1:31">
      <c r="A16" t="s">
        <v>174</v>
      </c>
      <c r="B16" s="52">
        <v>0.5</v>
      </c>
      <c r="C16" s="52">
        <v>1</v>
      </c>
      <c r="G16" s="52"/>
      <c r="H16" s="52"/>
      <c r="I16" s="52"/>
      <c r="J16" s="52"/>
      <c r="K16" s="52"/>
      <c r="L16" s="50" t="s">
        <v>370</v>
      </c>
      <c r="O16" s="37"/>
      <c r="P16" s="37"/>
      <c r="Z16" s="40"/>
      <c r="AA16" s="7"/>
    </row>
    <row r="17" spans="1:31">
      <c r="B17" s="52"/>
      <c r="O17" s="37"/>
      <c r="P17" s="37"/>
    </row>
    <row r="18" spans="1:31">
      <c r="B18" t="s">
        <v>178</v>
      </c>
      <c r="C18" t="s">
        <v>373</v>
      </c>
      <c r="D18" t="s">
        <v>374</v>
      </c>
      <c r="O18" s="37"/>
      <c r="P18" s="37"/>
      <c r="W18" t="s">
        <v>795</v>
      </c>
      <c r="X18" s="52"/>
      <c r="Y18" s="51">
        <v>1</v>
      </c>
      <c r="Z18" s="230" t="s">
        <v>789</v>
      </c>
    </row>
    <row r="19" spans="1:31">
      <c r="A19" t="s">
        <v>175</v>
      </c>
      <c r="B19" s="51">
        <v>0.1</v>
      </c>
      <c r="C19" s="51">
        <v>0.1</v>
      </c>
      <c r="D19" s="51">
        <v>0.2</v>
      </c>
      <c r="X19" s="52"/>
      <c r="Z19" s="50"/>
      <c r="AE19" s="37"/>
    </row>
    <row r="20" spans="1:31">
      <c r="A20" t="s">
        <v>176</v>
      </c>
      <c r="B20" s="51">
        <v>0.4</v>
      </c>
      <c r="C20" s="51">
        <v>0.5</v>
      </c>
      <c r="D20" s="51">
        <v>0.7</v>
      </c>
      <c r="O20" s="37"/>
      <c r="P20" s="37"/>
      <c r="X20" s="52"/>
      <c r="AE20" s="37"/>
    </row>
    <row r="21" spans="1:31">
      <c r="A21" t="s">
        <v>177</v>
      </c>
      <c r="B21" s="51">
        <v>1</v>
      </c>
      <c r="C21" s="51">
        <v>1</v>
      </c>
      <c r="D21" s="51">
        <v>1</v>
      </c>
      <c r="O21" s="37"/>
      <c r="P21" s="37"/>
      <c r="AE21" s="37"/>
    </row>
    <row r="22" spans="1:31">
      <c r="A22" s="50" t="s">
        <v>206</v>
      </c>
      <c r="B22" s="155" t="s">
        <v>372</v>
      </c>
      <c r="C22" s="50" t="s">
        <v>371</v>
      </c>
      <c r="D22" s="50" t="s">
        <v>371</v>
      </c>
      <c r="O22" s="37"/>
      <c r="P22" s="37"/>
      <c r="X22" s="51"/>
      <c r="Y22" s="51"/>
      <c r="Z22" s="51"/>
    </row>
    <row r="24" spans="1:31" s="707" customFormat="1">
      <c r="B24" s="758"/>
      <c r="C24" s="758"/>
    </row>
    <row r="25" spans="1:31" s="708" customFormat="1"/>
    <row r="26" spans="1:31" s="708" customFormat="1">
      <c r="C26" s="714"/>
      <c r="D26" s="718"/>
      <c r="E26" s="718"/>
    </row>
    <row r="27" spans="1:31" s="708" customFormat="1">
      <c r="B27" s="711"/>
      <c r="C27" s="714"/>
      <c r="D27" s="718"/>
      <c r="E27" s="718"/>
    </row>
    <row r="28" spans="1:31" s="708" customFormat="1">
      <c r="B28" s="711"/>
      <c r="C28" s="714"/>
      <c r="D28" s="718"/>
      <c r="E28" s="718"/>
    </row>
    <row r="29" spans="1:31" s="708" customFormat="1">
      <c r="B29" s="711"/>
      <c r="C29" s="714"/>
      <c r="D29" s="718"/>
      <c r="E29" s="718"/>
    </row>
    <row r="30" spans="1:31" s="708" customFormat="1">
      <c r="B30" s="711"/>
      <c r="C30" s="714"/>
      <c r="D30" s="718"/>
      <c r="E30" s="718"/>
    </row>
    <row r="31" spans="1:31" s="708" customFormat="1">
      <c r="B31" s="711"/>
      <c r="C31" s="714"/>
      <c r="D31" s="718"/>
      <c r="E31" s="718"/>
    </row>
    <row r="32" spans="1:31" s="708" customFormat="1"/>
    <row r="33" spans="1:14" s="708" customFormat="1"/>
    <row r="34" spans="1:14" s="708" customFormat="1">
      <c r="A34" s="763"/>
    </row>
    <row r="35" spans="1:14" s="708" customFormat="1"/>
    <row r="36" spans="1:14" s="708" customFormat="1"/>
    <row r="37" spans="1:14" s="708" customFormat="1">
      <c r="C37" s="711"/>
      <c r="F37" s="711"/>
      <c r="G37" s="711"/>
      <c r="H37" s="711"/>
      <c r="I37" s="711"/>
      <c r="J37" s="711"/>
      <c r="K37" s="711"/>
      <c r="L37" s="711"/>
      <c r="M37" s="711"/>
      <c r="N37" s="711"/>
    </row>
    <row r="38" spans="1:14" s="708" customFormat="1">
      <c r="C38" s="711"/>
    </row>
    <row r="39" spans="1:14" s="708" customFormat="1">
      <c r="C39" s="711"/>
    </row>
    <row r="40" spans="1:14" s="708" customFormat="1">
      <c r="C40" s="711"/>
    </row>
    <row r="41" spans="1:14" s="708" customFormat="1">
      <c r="C41" s="711"/>
    </row>
    <row r="42" spans="1:14" s="708" customFormat="1">
      <c r="B42" s="764"/>
    </row>
    <row r="43" spans="1:14" s="708" customFormat="1"/>
    <row r="44" spans="1:14" s="708" customFormat="1"/>
    <row r="45" spans="1:14" s="708" customFormat="1"/>
    <row r="46" spans="1:14" s="708" customFormat="1">
      <c r="B46" s="711"/>
      <c r="C46" s="765"/>
    </row>
    <row r="47" spans="1:14" s="708" customFormat="1">
      <c r="B47" s="711"/>
      <c r="C47" s="765"/>
    </row>
    <row r="48" spans="1:14" s="708" customFormat="1"/>
  </sheetData>
  <phoneticPr fontId="20" type="noConversion"/>
  <hyperlinks>
    <hyperlink ref="L5" r:id="rId1" xr:uid="{1DAB214B-1E6F-4E68-9A32-7D44F207471D}"/>
    <hyperlink ref="L12" r:id="rId2" xr:uid="{A8F2143D-1F21-4463-8865-588736ADDA79}"/>
    <hyperlink ref="AB5" r:id="rId3" xr:uid="{235B00F2-9E61-4A6E-9D54-D409E42F4CE3}"/>
    <hyperlink ref="AB14" r:id="rId4" xr:uid="{D7A93D59-9E2E-4006-B1B2-5470A8697C00}"/>
  </hyperlinks>
  <pageMargins left="0.7" right="0.7" top="0.75" bottom="0.75" header="0.3" footer="0.3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829C-C842-48F4-9D0D-E5E448B6756A}">
  <sheetPr>
    <tabColor rgb="FFFF0000"/>
  </sheetPr>
  <dimension ref="A1:R22"/>
  <sheetViews>
    <sheetView topLeftCell="A11" workbookViewId="0">
      <selection activeCell="K14" sqref="K14:O24"/>
    </sheetView>
  </sheetViews>
  <sheetFormatPr defaultRowHeight="14.75"/>
  <cols>
    <col min="1" max="1" width="30.453125" customWidth="1"/>
    <col min="2" max="2" width="13.1796875" customWidth="1"/>
  </cols>
  <sheetData>
    <row r="1" spans="1:18">
      <c r="A1" s="42" t="s">
        <v>124</v>
      </c>
      <c r="B1" s="42"/>
      <c r="C1" s="42"/>
      <c r="D1" s="42"/>
      <c r="E1" s="42"/>
      <c r="F1" s="42"/>
      <c r="G1" s="1"/>
      <c r="H1" s="1"/>
      <c r="I1" s="1"/>
      <c r="J1" s="1"/>
    </row>
    <row r="2" spans="1:18" ht="15.5" thickBot="1">
      <c r="A2" s="41"/>
      <c r="B2" s="41" t="s">
        <v>143</v>
      </c>
      <c r="C2" s="41" t="s">
        <v>144</v>
      </c>
      <c r="D2" s="41" t="s">
        <v>4</v>
      </c>
      <c r="E2" s="41" t="s">
        <v>3</v>
      </c>
      <c r="F2" s="41" t="s">
        <v>797</v>
      </c>
      <c r="G2" s="41" t="s">
        <v>88</v>
      </c>
      <c r="H2" s="41" t="s">
        <v>717</v>
      </c>
      <c r="I2" s="41" t="s">
        <v>1170</v>
      </c>
      <c r="J2" s="41" t="s">
        <v>1300</v>
      </c>
      <c r="K2" t="s">
        <v>60</v>
      </c>
    </row>
    <row r="3" spans="1:18">
      <c r="B3" t="s">
        <v>126</v>
      </c>
      <c r="C3" t="s">
        <v>126</v>
      </c>
      <c r="D3" t="s">
        <v>127</v>
      </c>
      <c r="E3" t="s">
        <v>127</v>
      </c>
      <c r="F3" t="s">
        <v>127</v>
      </c>
      <c r="G3" t="s">
        <v>127</v>
      </c>
      <c r="H3" t="s">
        <v>127</v>
      </c>
      <c r="I3" t="s">
        <v>127</v>
      </c>
      <c r="J3" t="s">
        <v>127</v>
      </c>
      <c r="K3" t="s">
        <v>442</v>
      </c>
    </row>
    <row r="4" spans="1:18">
      <c r="A4" t="s">
        <v>128</v>
      </c>
      <c r="D4" s="40">
        <v>0</v>
      </c>
      <c r="E4" s="40">
        <f>'Demand - Ethylene'!J69*'Demand - Ethylene'!E2</f>
        <v>29305.030176899061</v>
      </c>
      <c r="F4" s="39">
        <f>'Production - Industry shares'!L87</f>
        <v>1.598377416477679E-6</v>
      </c>
      <c r="G4" s="40">
        <v>0</v>
      </c>
      <c r="H4" s="40">
        <f>'Production - Industry shares'!L116</f>
        <v>10419.151641332548</v>
      </c>
      <c r="I4" s="40">
        <f>'Production - Industry shares'!L130</f>
        <v>100636.88273366746</v>
      </c>
      <c r="J4" s="39">
        <f>'Demand - C4'!I29</f>
        <v>9040.6811006642947</v>
      </c>
    </row>
    <row r="5" spans="1:18">
      <c r="A5" t="s">
        <v>129</v>
      </c>
      <c r="B5" s="43"/>
      <c r="C5" s="43">
        <f>'Demand - Ethylene'!L69</f>
        <v>-6.9680618668425121E-3</v>
      </c>
      <c r="D5" s="40">
        <v>0</v>
      </c>
      <c r="E5" s="40">
        <f>E4*(1+C5)^30-E4</f>
        <v>-5545.4550056326407</v>
      </c>
      <c r="F5" s="39">
        <f>F4*(1+C5)^30-F4</f>
        <v>-3.0246445717989835E-7</v>
      </c>
      <c r="G5" s="40">
        <v>0</v>
      </c>
      <c r="H5" s="40">
        <f>H4*(1+'Demand - BTX'!L75)^30-H4</f>
        <v>-1940.3341795304241</v>
      </c>
      <c r="I5" s="40">
        <f>I4*(1+'Demand - BTX'!L75)^30-I4</f>
        <v>-18741.370699981126</v>
      </c>
      <c r="J5" s="39">
        <f>'Demand - C4'!L29-'Demand - C4'!I29</f>
        <v>-1710.7878736643661</v>
      </c>
      <c r="K5" s="5" t="s">
        <v>441</v>
      </c>
    </row>
    <row r="6" spans="1:18">
      <c r="A6" t="s">
        <v>131</v>
      </c>
      <c r="D6" s="40">
        <v>0</v>
      </c>
      <c r="E6" s="40">
        <f>SUM(E4:E5)</f>
        <v>23759.575171266421</v>
      </c>
      <c r="F6" s="216">
        <f>SUM(F4:F5)</f>
        <v>1.2959129592977806E-6</v>
      </c>
      <c r="G6" s="40">
        <f t="shared" ref="G6:I6" si="0">SUM(G4:G5)</f>
        <v>0</v>
      </c>
      <c r="H6" s="40">
        <f t="shared" si="0"/>
        <v>8478.8174618021239</v>
      </c>
      <c r="I6" s="40">
        <f t="shared" si="0"/>
        <v>81895.512033686333</v>
      </c>
      <c r="J6" s="39">
        <f>'Demand - C4'!L29</f>
        <v>7329.8932269999286</v>
      </c>
    </row>
    <row r="7" spans="1:18">
      <c r="A7" t="s">
        <v>201</v>
      </c>
      <c r="C7" s="51">
        <v>0.25</v>
      </c>
      <c r="D7" s="40">
        <v>0</v>
      </c>
      <c r="E7" s="40">
        <f>E6*C7</f>
        <v>5939.8937928166051</v>
      </c>
      <c r="F7" s="216">
        <f>F6*C7</f>
        <v>3.2397823982444516E-7</v>
      </c>
      <c r="G7" s="40">
        <v>0</v>
      </c>
      <c r="H7" s="40">
        <f>H$6*$C7</f>
        <v>2119.704365450531</v>
      </c>
      <c r="I7" s="40">
        <f>I$6*$C7</f>
        <v>20473.878008421583</v>
      </c>
      <c r="J7" s="39">
        <f>$J$6*C7</f>
        <v>1832.4733067499822</v>
      </c>
      <c r="K7" s="5" t="s">
        <v>441</v>
      </c>
    </row>
    <row r="8" spans="1:18">
      <c r="A8" t="s">
        <v>203</v>
      </c>
      <c r="C8" s="51">
        <v>0.34</v>
      </c>
      <c r="D8" s="40">
        <v>0</v>
      </c>
      <c r="E8" s="40">
        <f>E6*C8</f>
        <v>8078.2555582305831</v>
      </c>
      <c r="F8" s="216">
        <f>F6*C8</f>
        <v>4.4061040616124544E-7</v>
      </c>
      <c r="G8" s="40">
        <v>0</v>
      </c>
      <c r="H8" s="40">
        <f t="shared" ref="H8:I10" si="1">H$6*$C8</f>
        <v>2882.7979370127223</v>
      </c>
      <c r="I8" s="40">
        <f t="shared" si="1"/>
        <v>27844.474091453354</v>
      </c>
      <c r="J8" s="39">
        <f t="shared" ref="J8:J10" si="2">$J$6*C8</f>
        <v>2492.1636971799758</v>
      </c>
      <c r="K8" s="5" t="s">
        <v>441</v>
      </c>
    </row>
    <row r="9" spans="1:18">
      <c r="A9" t="s">
        <v>151</v>
      </c>
      <c r="B9" s="44"/>
      <c r="C9" s="44"/>
      <c r="D9" s="40">
        <v>0</v>
      </c>
      <c r="E9" s="45">
        <f>SUM(E7:E8)</f>
        <v>14018.149351047188</v>
      </c>
      <c r="F9" s="446">
        <f>SUM(F7:F8)</f>
        <v>7.645886459856906E-7</v>
      </c>
      <c r="G9" s="40">
        <f t="shared" ref="G9:J9" si="3">SUM(G7:G8)</f>
        <v>0</v>
      </c>
      <c r="H9" s="40">
        <f t="shared" si="3"/>
        <v>5002.5023024632537</v>
      </c>
      <c r="I9" s="40">
        <f t="shared" si="3"/>
        <v>48318.352099874937</v>
      </c>
      <c r="J9" s="39">
        <f t="shared" si="3"/>
        <v>4324.6370039299582</v>
      </c>
    </row>
    <row r="10" spans="1:18">
      <c r="A10" t="s">
        <v>152</v>
      </c>
      <c r="B10" s="44"/>
      <c r="C10" s="51">
        <v>0.2</v>
      </c>
      <c r="D10" s="40">
        <v>0</v>
      </c>
      <c r="E10" s="45">
        <f>$E$6*C10</f>
        <v>4751.9150342532839</v>
      </c>
      <c r="F10" s="446">
        <f>$F$6*C10</f>
        <v>2.5918259185955612E-7</v>
      </c>
      <c r="G10" s="40">
        <v>0</v>
      </c>
      <c r="H10" s="40">
        <f t="shared" si="1"/>
        <v>1695.7634923604248</v>
      </c>
      <c r="I10" s="40">
        <f t="shared" si="1"/>
        <v>16379.102406737267</v>
      </c>
      <c r="J10" s="39">
        <f t="shared" si="2"/>
        <v>1465.9786453999859</v>
      </c>
      <c r="K10" t="s">
        <v>569</v>
      </c>
    </row>
    <row r="11" spans="1:18">
      <c r="A11" t="s">
        <v>138</v>
      </c>
      <c r="B11" s="44"/>
      <c r="D11" s="40">
        <v>0</v>
      </c>
      <c r="E11" s="40">
        <f>E6-E9-E10</f>
        <v>4989.5107859659483</v>
      </c>
      <c r="F11" s="216">
        <f>F6-F9-F10</f>
        <v>2.7214172145253391E-7</v>
      </c>
      <c r="G11" s="40">
        <f t="shared" ref="G11:I11" si="4">G6-G9-G10</f>
        <v>0</v>
      </c>
      <c r="H11" s="40">
        <f>H6-H9-H10</f>
        <v>1780.5516669784454</v>
      </c>
      <c r="I11" s="40">
        <f t="shared" si="4"/>
        <v>17198.057527074128</v>
      </c>
      <c r="J11" s="39">
        <f>J6-J9-J10</f>
        <v>1539.2775776699846</v>
      </c>
      <c r="K11" t="s">
        <v>570</v>
      </c>
      <c r="Q11">
        <f>47*1.021^35</f>
        <v>97.274460536518234</v>
      </c>
    </row>
    <row r="12" spans="1:18">
      <c r="Q12">
        <f>(28-6)/Q11</f>
        <v>0.22616419436981491</v>
      </c>
      <c r="R12" s="182" t="s">
        <v>571</v>
      </c>
    </row>
    <row r="13" spans="1:18">
      <c r="A13" t="s">
        <v>173</v>
      </c>
      <c r="B13" s="52">
        <f>100%</f>
        <v>1</v>
      </c>
    </row>
    <row r="14" spans="1:18">
      <c r="A14" t="s">
        <v>174</v>
      </c>
      <c r="B14" s="52">
        <v>0.5</v>
      </c>
    </row>
    <row r="15" spans="1:18">
      <c r="B15" s="52"/>
    </row>
    <row r="16" spans="1:18">
      <c r="B16" t="s">
        <v>202</v>
      </c>
      <c r="C16" t="s">
        <v>203</v>
      </c>
      <c r="D16" t="s">
        <v>204</v>
      </c>
      <c r="L16" s="37"/>
      <c r="M16" s="37"/>
      <c r="N16" s="37"/>
    </row>
    <row r="17" spans="1:14">
      <c r="A17" t="s">
        <v>175</v>
      </c>
      <c r="B17" s="51">
        <v>0.7</v>
      </c>
      <c r="C17" s="51">
        <v>0.2</v>
      </c>
      <c r="D17" s="51">
        <v>0.33</v>
      </c>
      <c r="L17" s="37"/>
      <c r="M17" s="37"/>
      <c r="N17" s="37"/>
    </row>
    <row r="18" spans="1:14">
      <c r="A18" t="s">
        <v>176</v>
      </c>
      <c r="B18" s="51">
        <v>0.9</v>
      </c>
      <c r="C18" s="51">
        <v>0.5</v>
      </c>
      <c r="D18" s="51">
        <v>0.66</v>
      </c>
      <c r="L18" s="37"/>
      <c r="M18" s="37"/>
      <c r="N18" s="37"/>
    </row>
    <row r="19" spans="1:14">
      <c r="A19" t="s">
        <v>177</v>
      </c>
      <c r="B19" s="51">
        <v>1</v>
      </c>
      <c r="C19" s="51">
        <v>1</v>
      </c>
      <c r="D19" s="51">
        <v>1</v>
      </c>
    </row>
    <row r="20" spans="1:14">
      <c r="A20" s="50" t="s">
        <v>60</v>
      </c>
      <c r="B20" s="157" t="s">
        <v>258</v>
      </c>
      <c r="L20" s="37"/>
      <c r="M20" s="37"/>
      <c r="N20" s="37"/>
    </row>
    <row r="21" spans="1:14">
      <c r="L21" s="37"/>
      <c r="M21" s="37"/>
      <c r="N21" s="37"/>
    </row>
    <row r="22" spans="1:14">
      <c r="L22" s="37"/>
      <c r="M22" s="37"/>
      <c r="N22" s="37"/>
    </row>
  </sheetData>
  <hyperlinks>
    <hyperlink ref="K5" r:id="rId1" xr:uid="{417138E4-9296-490A-90BD-0D67BB8AD0AD}"/>
    <hyperlink ref="K7" r:id="rId2" xr:uid="{6A7C2740-3868-4DAA-9274-71A3B2DBB13C}"/>
    <hyperlink ref="K8" r:id="rId3" xr:uid="{DC75B207-FC8E-4A45-A135-7D9DB5DF1E03}"/>
  </hyperlinks>
  <pageMargins left="0.7" right="0.7" top="0.75" bottom="0.75" header="0.3" footer="0.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7391-1F5F-4469-ABB0-B9AF4AB6D648}">
  <sheetPr>
    <tabColor rgb="FFFF0000"/>
  </sheetPr>
  <dimension ref="A1:N21"/>
  <sheetViews>
    <sheetView workbookViewId="0">
      <selection activeCell="I16" sqref="I16"/>
    </sheetView>
  </sheetViews>
  <sheetFormatPr defaultRowHeight="14.75"/>
  <cols>
    <col min="1" max="1" width="30.453125" customWidth="1"/>
    <col min="2" max="2" width="25.453125" customWidth="1"/>
    <col min="3" max="4" width="12.81640625" customWidth="1"/>
  </cols>
  <sheetData>
    <row r="1" spans="1:14">
      <c r="A1" s="42" t="s">
        <v>124</v>
      </c>
      <c r="B1" s="42"/>
      <c r="C1" s="42"/>
      <c r="D1" s="42"/>
      <c r="E1" s="42"/>
      <c r="F1" s="42"/>
      <c r="G1" s="42"/>
      <c r="H1" s="42"/>
      <c r="I1" s="42"/>
      <c r="J1" s="42"/>
      <c r="K1" s="1"/>
    </row>
    <row r="2" spans="1:14" ht="15.5" thickBot="1">
      <c r="A2" s="41"/>
      <c r="B2" s="41" t="s">
        <v>798</v>
      </c>
      <c r="C2" s="41" t="s">
        <v>144</v>
      </c>
      <c r="D2" s="41" t="s">
        <v>1067</v>
      </c>
      <c r="E2" s="41" t="s">
        <v>4</v>
      </c>
      <c r="F2" s="41" t="s">
        <v>3</v>
      </c>
      <c r="G2" s="41" t="s">
        <v>716</v>
      </c>
      <c r="H2" s="41" t="s">
        <v>88</v>
      </c>
      <c r="I2" s="41" t="s">
        <v>717</v>
      </c>
      <c r="J2" s="41" t="s">
        <v>1170</v>
      </c>
      <c r="K2" s="41" t="s">
        <v>1300</v>
      </c>
      <c r="L2" t="s">
        <v>60</v>
      </c>
    </row>
    <row r="3" spans="1:14">
      <c r="B3" t="s">
        <v>126</v>
      </c>
      <c r="C3" t="s">
        <v>126</v>
      </c>
      <c r="E3" t="s">
        <v>127</v>
      </c>
      <c r="F3" t="s">
        <v>127</v>
      </c>
      <c r="G3" t="s">
        <v>127</v>
      </c>
      <c r="H3" t="s">
        <v>127</v>
      </c>
      <c r="I3" t="s">
        <v>127</v>
      </c>
      <c r="J3" t="s">
        <v>127</v>
      </c>
      <c r="K3" t="s">
        <v>127</v>
      </c>
    </row>
    <row r="4" spans="1:14">
      <c r="A4" t="s">
        <v>128</v>
      </c>
      <c r="E4" s="40">
        <f>'Demand - Propylene'!K53+'Demand - Propylene'!K55</f>
        <v>1577666.5665936391</v>
      </c>
      <c r="F4" s="40">
        <f>'Demand - Ethylene'!K66+'Demand - Ethylene'!K68</f>
        <v>1299901.336597421</v>
      </c>
      <c r="G4" s="40">
        <f>'Production - Industry shares'!L88+'Production - Industry shares'!L85</f>
        <v>13.745677963234993</v>
      </c>
      <c r="H4" s="40">
        <f>'Production - Industry shares'!L103</f>
        <v>418593.12986981438</v>
      </c>
      <c r="I4" s="40">
        <f>'Production - Industry shares'!L117</f>
        <v>214272.60425367643</v>
      </c>
      <c r="J4" s="39">
        <f>'Production - Industry shares'!L131</f>
        <v>542536.88132719428</v>
      </c>
      <c r="K4" s="39">
        <f>'Demand - C4'!I30</f>
        <v>280873.4199254759</v>
      </c>
      <c r="L4" s="156"/>
    </row>
    <row r="5" spans="1:14">
      <c r="A5" t="s">
        <v>129</v>
      </c>
      <c r="B5" s="445">
        <f>'Demand - Propylene'!L53</f>
        <v>-6.9680618668426231E-3</v>
      </c>
      <c r="C5" s="445">
        <f>'Demand - Ethylene'!L66</f>
        <v>-6.9680618668425121E-3</v>
      </c>
      <c r="D5" s="445">
        <f>'Demand - Methanol'!N41</f>
        <v>-6.9680618668425121E-3</v>
      </c>
      <c r="E5" s="40">
        <f>E4*(1+B5)^30-E4</f>
        <v>-298545.29772273591</v>
      </c>
      <c r="F5" s="40">
        <f>F4*(1+C5)^30-F4</f>
        <v>-245983.17525518779</v>
      </c>
      <c r="G5" s="40">
        <f>G4*(1+D5)^30-G4</f>
        <v>-2.6011247286523602</v>
      </c>
      <c r="H5" s="40">
        <f>H4*(1+'Demand - BTX'!L96)^30-H4</f>
        <v>-77953.617066191509</v>
      </c>
      <c r="I5" s="40">
        <f>I4*(1+'Demand - BTX'!L96)^30-I4</f>
        <v>-39903.48466770479</v>
      </c>
      <c r="J5" s="40">
        <f>J4*(1+'Demand - BTX'!L96)^30-J4</f>
        <v>-101035.37127907295</v>
      </c>
      <c r="K5" s="40">
        <f>'Demand - C4'!L30-'Demand - C4'!I30</f>
        <v>-53150.292051318567</v>
      </c>
      <c r="L5" s="66"/>
    </row>
    <row r="6" spans="1:14">
      <c r="A6" t="s">
        <v>131</v>
      </c>
      <c r="E6" s="40">
        <f>SUM(E4:E5)</f>
        <v>1279121.2688709032</v>
      </c>
      <c r="F6" s="40">
        <f>SUM(F4:F5)</f>
        <v>1053918.1613422332</v>
      </c>
      <c r="G6" s="40">
        <f>SUM(G4:G5)</f>
        <v>11.144553234582633</v>
      </c>
      <c r="H6" s="40">
        <f t="shared" ref="H6:K6" si="0">SUM(H4:H5)</f>
        <v>340639.51280362287</v>
      </c>
      <c r="I6" s="40">
        <f t="shared" si="0"/>
        <v>174369.11958597164</v>
      </c>
      <c r="J6" s="40">
        <f t="shared" si="0"/>
        <v>441501.51004812133</v>
      </c>
      <c r="K6" s="40">
        <f t="shared" si="0"/>
        <v>227723.12787415733</v>
      </c>
    </row>
    <row r="7" spans="1:14">
      <c r="A7" t="s">
        <v>151</v>
      </c>
      <c r="B7" s="51">
        <v>0.15</v>
      </c>
      <c r="C7" s="51">
        <v>0.15</v>
      </c>
      <c r="D7" s="51">
        <v>0.15</v>
      </c>
      <c r="E7" s="45">
        <f>$E$6*B7</f>
        <v>191868.19033063547</v>
      </c>
      <c r="F7" s="45">
        <f>$F$6*C7</f>
        <v>158087.72420133496</v>
      </c>
      <c r="G7" s="45">
        <f>G$6*$B7</f>
        <v>1.6716829851873949</v>
      </c>
      <c r="H7" s="45">
        <f t="shared" ref="H7:J8" si="1">H$6*$B7</f>
        <v>51095.926920543432</v>
      </c>
      <c r="I7" s="45">
        <f t="shared" si="1"/>
        <v>26155.367937895746</v>
      </c>
      <c r="J7" s="45">
        <f t="shared" si="1"/>
        <v>66225.226507218191</v>
      </c>
      <c r="K7" s="45">
        <f>$K$6*D7</f>
        <v>34158.469181123597</v>
      </c>
      <c r="L7" s="50" t="s">
        <v>382</v>
      </c>
    </row>
    <row r="8" spans="1:14">
      <c r="A8" t="s">
        <v>152</v>
      </c>
      <c r="B8" s="51">
        <v>0.05</v>
      </c>
      <c r="C8" s="51">
        <v>0.05</v>
      </c>
      <c r="D8" s="51">
        <v>0.05</v>
      </c>
      <c r="E8" s="45">
        <f>$E$6*B8</f>
        <v>63956.063443545165</v>
      </c>
      <c r="F8" s="45">
        <f>$F$6*C8</f>
        <v>52695.908067111661</v>
      </c>
      <c r="G8" s="45">
        <f>$G$6*D8</f>
        <v>0.55722766172913163</v>
      </c>
      <c r="H8" s="45">
        <f t="shared" si="1"/>
        <v>17031.975640181143</v>
      </c>
      <c r="I8" s="45">
        <f t="shared" si="1"/>
        <v>8718.455979298582</v>
      </c>
      <c r="J8" s="45">
        <f t="shared" si="1"/>
        <v>22075.075502406067</v>
      </c>
      <c r="K8" s="45">
        <f>$K$6*D8</f>
        <v>11386.156393707868</v>
      </c>
      <c r="L8" s="50" t="s">
        <v>382</v>
      </c>
    </row>
    <row r="9" spans="1:14">
      <c r="A9" t="s">
        <v>138</v>
      </c>
      <c r="B9" s="44"/>
      <c r="E9" s="40">
        <f>E6-E7-E8</f>
        <v>1023297.0150967225</v>
      </c>
      <c r="F9" s="40">
        <f>F6-F7-F8</f>
        <v>843134.52907378657</v>
      </c>
      <c r="G9" s="40">
        <f>G6-G7-G8</f>
        <v>8.9156425876661061</v>
      </c>
      <c r="H9" s="40">
        <f t="shared" ref="H9:K9" si="2">H6-H7-H8</f>
        <v>272511.61024289828</v>
      </c>
      <c r="I9" s="40">
        <f t="shared" si="2"/>
        <v>139495.29566877731</v>
      </c>
      <c r="J9" s="40">
        <f t="shared" si="2"/>
        <v>353201.20803849708</v>
      </c>
      <c r="K9" s="40">
        <f t="shared" si="2"/>
        <v>182178.50229932586</v>
      </c>
    </row>
    <row r="11" spans="1:14">
      <c r="A11" t="s">
        <v>173</v>
      </c>
      <c r="B11" s="52">
        <f>100%</f>
        <v>1</v>
      </c>
    </row>
    <row r="12" spans="1:14">
      <c r="A12" t="s">
        <v>174</v>
      </c>
      <c r="B12" s="52">
        <v>0.5</v>
      </c>
    </row>
    <row r="13" spans="1:14">
      <c r="B13" s="52"/>
    </row>
    <row r="14" spans="1:14">
      <c r="B14" t="s">
        <v>380</v>
      </c>
      <c r="C14" t="s">
        <v>204</v>
      </c>
    </row>
    <row r="15" spans="1:14">
      <c r="A15" t="s">
        <v>175</v>
      </c>
      <c r="B15" s="51">
        <v>0.33</v>
      </c>
      <c r="C15" s="51">
        <v>0.33</v>
      </c>
      <c r="D15" s="51"/>
      <c r="F15" s="37"/>
      <c r="G15" s="37"/>
      <c r="N15" s="37"/>
    </row>
    <row r="16" spans="1:14">
      <c r="A16" t="s">
        <v>176</v>
      </c>
      <c r="B16" s="51">
        <v>0.66</v>
      </c>
      <c r="C16" s="51">
        <v>0.66</v>
      </c>
      <c r="D16" s="51"/>
      <c r="F16" s="37"/>
      <c r="G16" s="37"/>
      <c r="N16" s="37"/>
    </row>
    <row r="17" spans="1:14">
      <c r="A17" t="s">
        <v>177</v>
      </c>
      <c r="B17" s="51">
        <v>1</v>
      </c>
      <c r="C17" s="51">
        <v>1</v>
      </c>
      <c r="D17" s="51"/>
      <c r="F17" s="37"/>
      <c r="G17" s="37"/>
      <c r="N17" s="37"/>
    </row>
    <row r="18" spans="1:14">
      <c r="A18" s="50" t="s">
        <v>60</v>
      </c>
      <c r="B18" s="157" t="s">
        <v>381</v>
      </c>
    </row>
    <row r="19" spans="1:14">
      <c r="F19" s="37"/>
      <c r="G19" s="37"/>
      <c r="N19" s="37"/>
    </row>
    <row r="20" spans="1:14">
      <c r="F20" s="37"/>
      <c r="G20" s="37"/>
      <c r="N20" s="37"/>
    </row>
    <row r="21" spans="1:14">
      <c r="F21" s="37"/>
      <c r="G21" s="37"/>
      <c r="N21" s="37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FB92-9953-4830-B180-5AABF3C7FD31}">
  <sheetPr>
    <tabColor theme="4"/>
  </sheetPr>
  <dimension ref="A1:BL292"/>
  <sheetViews>
    <sheetView topLeftCell="A258" zoomScale="60" zoomScaleNormal="60" workbookViewId="0">
      <selection activeCell="AI188" sqref="AI188"/>
    </sheetView>
  </sheetViews>
  <sheetFormatPr defaultRowHeight="14.75" outlineLevelRow="2" outlineLevelCol="1"/>
  <cols>
    <col min="1" max="1" width="64.26953125" customWidth="1"/>
    <col min="2" max="2" width="15.453125" style="50" bestFit="1" customWidth="1"/>
    <col min="3" max="3" width="12.7265625" style="99" bestFit="1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2.7265625" style="99" bestFit="1" customWidth="1" collapsed="1"/>
    <col min="24" max="32" width="8.81640625" style="99" hidden="1" customWidth="1" outlineLevel="1"/>
    <col min="33" max="33" width="13.816406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520">
        <v>2020</v>
      </c>
      <c r="D1" s="520">
        <f>C1+1</f>
        <v>2021</v>
      </c>
      <c r="E1" s="520">
        <f t="shared" ref="E1:L1" si="0">D1+1</f>
        <v>2022</v>
      </c>
      <c r="F1" s="520">
        <f t="shared" si="0"/>
        <v>2023</v>
      </c>
      <c r="G1" s="520">
        <f t="shared" si="0"/>
        <v>2024</v>
      </c>
      <c r="H1" s="520">
        <f t="shared" si="0"/>
        <v>2025</v>
      </c>
      <c r="I1" s="520">
        <f t="shared" si="0"/>
        <v>2026</v>
      </c>
      <c r="J1" s="520">
        <f t="shared" si="0"/>
        <v>2027</v>
      </c>
      <c r="K1" s="520">
        <f t="shared" si="0"/>
        <v>2028</v>
      </c>
      <c r="L1" s="520">
        <f t="shared" si="0"/>
        <v>2029</v>
      </c>
      <c r="M1" s="520">
        <v>2030</v>
      </c>
      <c r="N1" s="520">
        <f>M1+1</f>
        <v>2031</v>
      </c>
      <c r="O1" s="520">
        <f t="shared" ref="O1:V1" si="1">N1+1</f>
        <v>2032</v>
      </c>
      <c r="P1" s="520">
        <f t="shared" si="1"/>
        <v>2033</v>
      </c>
      <c r="Q1" s="520">
        <f t="shared" si="1"/>
        <v>2034</v>
      </c>
      <c r="R1" s="520">
        <f t="shared" si="1"/>
        <v>2035</v>
      </c>
      <c r="S1" s="520">
        <f t="shared" si="1"/>
        <v>2036</v>
      </c>
      <c r="T1" s="520">
        <f t="shared" si="1"/>
        <v>2037</v>
      </c>
      <c r="U1" s="520">
        <f t="shared" si="1"/>
        <v>2038</v>
      </c>
      <c r="V1" s="520">
        <f t="shared" si="1"/>
        <v>2039</v>
      </c>
      <c r="W1" s="520">
        <v>2040</v>
      </c>
      <c r="X1" s="520">
        <f>W1+1</f>
        <v>2041</v>
      </c>
      <c r="Y1" s="520">
        <f t="shared" ref="Y1:AF1" si="2">X1+1</f>
        <v>2042</v>
      </c>
      <c r="Z1" s="520">
        <f t="shared" si="2"/>
        <v>2043</v>
      </c>
      <c r="AA1" s="520">
        <f t="shared" si="2"/>
        <v>2044</v>
      </c>
      <c r="AB1" s="520">
        <f t="shared" si="2"/>
        <v>2045</v>
      </c>
      <c r="AC1" s="520">
        <f t="shared" si="2"/>
        <v>2046</v>
      </c>
      <c r="AD1" s="520">
        <f t="shared" si="2"/>
        <v>2047</v>
      </c>
      <c r="AE1" s="520">
        <f t="shared" si="2"/>
        <v>2048</v>
      </c>
      <c r="AF1" s="520">
        <f t="shared" si="2"/>
        <v>2049</v>
      </c>
      <c r="AG1" s="520">
        <v>2050</v>
      </c>
      <c r="AI1" s="1" t="s">
        <v>67</v>
      </c>
      <c r="AJ1" s="142" t="s">
        <v>60</v>
      </c>
      <c r="AO1" s="1"/>
    </row>
    <row r="2" spans="1:47" ht="15.5" thickBot="1">
      <c r="A2" s="174" t="s">
        <v>271</v>
      </c>
      <c r="B2" s="193" t="s">
        <v>127</v>
      </c>
      <c r="C2" s="173">
        <f>'Ethylene Recycling HC'!C2</f>
        <v>8568000</v>
      </c>
      <c r="D2" s="173">
        <f>'Ethylene Recycling HC'!D2</f>
        <v>8549085.4990054406</v>
      </c>
      <c r="E2" s="173">
        <f>'Ethylene Recycling HC'!E2</f>
        <v>8530212.7531868704</v>
      </c>
      <c r="F2" s="173">
        <f>'Ethylene Recycling HC'!F2</f>
        <v>8511381.6703666151</v>
      </c>
      <c r="G2" s="173">
        <f>'Ethylene Recycling HC'!G2</f>
        <v>8492592.1585704871</v>
      </c>
      <c r="H2" s="173">
        <f>'Ethylene Recycling HC'!H2</f>
        <v>8473844.1260273419</v>
      </c>
      <c r="I2" s="173">
        <f>'Ethylene Recycling HC'!I2</f>
        <v>8455137.4811686259</v>
      </c>
      <c r="J2" s="173">
        <f>'Ethylene Recycling HC'!J2</f>
        <v>8436472.1326279286</v>
      </c>
      <c r="K2" s="173">
        <f>'Ethylene Recycling HC'!K2</f>
        <v>8417847.9892405383</v>
      </c>
      <c r="L2" s="173">
        <f>'Ethylene Recycling HC'!L2</f>
        <v>8399264.9600429963</v>
      </c>
      <c r="M2" s="173">
        <f>'Ethylene Recycling HC'!M2</f>
        <v>8380722.9542726539</v>
      </c>
      <c r="N2" s="173">
        <f>'Ethylene Recycling HC'!N2</f>
        <v>8362221.8813672252</v>
      </c>
      <c r="O2" s="173">
        <f>'Ethylene Recycling HC'!O2</f>
        <v>8343761.6509643495</v>
      </c>
      <c r="P2" s="173">
        <f>'Ethylene Recycling HC'!P2</f>
        <v>8325342.1729011461</v>
      </c>
      <c r="Q2" s="173">
        <f>'Ethylene Recycling HC'!Q2</f>
        <v>8306963.3572137766</v>
      </c>
      <c r="R2" s="173">
        <f>'Ethylene Recycling HC'!R2</f>
        <v>8288625.1141370041</v>
      </c>
      <c r="S2" s="173">
        <f>'Ethylene Recycling HC'!S2</f>
        <v>8270327.3541037561</v>
      </c>
      <c r="T2" s="173">
        <f>'Ethylene Recycling HC'!T2</f>
        <v>8252069.9877446853</v>
      </c>
      <c r="U2" s="173">
        <f>'Ethylene Recycling HC'!U2</f>
        <v>8233852.9258877328</v>
      </c>
      <c r="V2" s="173">
        <f>'Ethylene Recycling HC'!V2</f>
        <v>8215676.0795576964</v>
      </c>
      <c r="W2" s="173">
        <f>'Ethylene Recycling HC'!W2</f>
        <v>8197539.3599757906</v>
      </c>
      <c r="X2" s="173">
        <f>'Ethylene Recycling HC'!X2</f>
        <v>8179442.6785592176</v>
      </c>
      <c r="Y2" s="173">
        <f>'Ethylene Recycling HC'!Y2</f>
        <v>8161385.946920732</v>
      </c>
      <c r="Z2" s="173">
        <f>'Ethylene Recycling HC'!Z2</f>
        <v>8143369.07686821</v>
      </c>
      <c r="AA2" s="173">
        <f>'Ethylene Recycling HC'!AA2</f>
        <v>8125391.9804042177</v>
      </c>
      <c r="AB2" s="173">
        <f>'Ethylene Recycling HC'!AB2</f>
        <v>8107454.5697255842</v>
      </c>
      <c r="AC2" s="173">
        <f>'Ethylene Recycling HC'!AC2</f>
        <v>8089556.7572229682</v>
      </c>
      <c r="AD2" s="173">
        <f>'Ethylene Recycling HC'!AD2</f>
        <v>8071698.455480434</v>
      </c>
      <c r="AE2" s="173">
        <f>'Ethylene Recycling HC'!AE2</f>
        <v>8053879.5772750229</v>
      </c>
      <c r="AF2" s="173">
        <f>'Ethylene Recycling HC'!AF2</f>
        <v>8036100.0355763268</v>
      </c>
      <c r="AG2" s="173">
        <f>'Ethylene Recycling HC'!AG2</f>
        <v>8018359.7435460649</v>
      </c>
      <c r="AH2" s="173"/>
      <c r="AI2" s="557">
        <f>'Ethylene Recycling HC'!AI2</f>
        <v>-2.2075748126235695E-3</v>
      </c>
      <c r="AJ2" s="186"/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20">
        <f>'Waste gen. - Industry shares'!C18+'Waste gen. - Industry shares'!C22</f>
        <v>0.52072263549415521</v>
      </c>
      <c r="D4" s="99">
        <f>C4</f>
        <v>0.52072263549415521</v>
      </c>
      <c r="E4" s="99">
        <f t="shared" ref="E4:T8" si="3">D4</f>
        <v>0.52072263549415521</v>
      </c>
      <c r="F4" s="99">
        <f t="shared" si="3"/>
        <v>0.52072263549415521</v>
      </c>
      <c r="G4" s="99">
        <f t="shared" si="3"/>
        <v>0.52072263549415521</v>
      </c>
      <c r="H4" s="99">
        <f t="shared" si="3"/>
        <v>0.52072263549415521</v>
      </c>
      <c r="I4" s="99">
        <f t="shared" si="3"/>
        <v>0.52072263549415521</v>
      </c>
      <c r="J4" s="99">
        <f t="shared" si="3"/>
        <v>0.52072263549415521</v>
      </c>
      <c r="K4" s="99">
        <f t="shared" si="3"/>
        <v>0.52072263549415521</v>
      </c>
      <c r="L4" s="99">
        <f t="shared" si="3"/>
        <v>0.52072263549415521</v>
      </c>
      <c r="M4" s="99">
        <f t="shared" si="3"/>
        <v>0.52072263549415521</v>
      </c>
      <c r="N4" s="99">
        <f t="shared" si="3"/>
        <v>0.52072263549415521</v>
      </c>
      <c r="O4" s="99">
        <f t="shared" si="3"/>
        <v>0.52072263549415521</v>
      </c>
      <c r="P4" s="99">
        <f t="shared" si="3"/>
        <v>0.52072263549415521</v>
      </c>
      <c r="Q4" s="99">
        <f t="shared" si="3"/>
        <v>0.52072263549415521</v>
      </c>
      <c r="R4" s="99">
        <f t="shared" si="3"/>
        <v>0.52072263549415521</v>
      </c>
      <c r="S4" s="99">
        <f t="shared" si="3"/>
        <v>0.52072263549415521</v>
      </c>
      <c r="T4" s="99">
        <f t="shared" si="3"/>
        <v>0.52072263549415521</v>
      </c>
      <c r="U4" s="99">
        <f t="shared" ref="T4:AG8" si="4">T4</f>
        <v>0.52072263549415521</v>
      </c>
      <c r="V4" s="99">
        <f t="shared" si="4"/>
        <v>0.52072263549415521</v>
      </c>
      <c r="W4" s="99">
        <f t="shared" si="4"/>
        <v>0.52072263549415521</v>
      </c>
      <c r="X4" s="99">
        <f t="shared" si="4"/>
        <v>0.52072263549415521</v>
      </c>
      <c r="Y4" s="99">
        <f t="shared" si="4"/>
        <v>0.52072263549415521</v>
      </c>
      <c r="Z4" s="99">
        <f t="shared" si="4"/>
        <v>0.52072263549415521</v>
      </c>
      <c r="AA4" s="99">
        <f t="shared" si="4"/>
        <v>0.52072263549415521</v>
      </c>
      <c r="AB4" s="99">
        <f t="shared" si="4"/>
        <v>0.52072263549415521</v>
      </c>
      <c r="AC4" s="99">
        <f t="shared" si="4"/>
        <v>0.52072263549415521</v>
      </c>
      <c r="AD4" s="99">
        <f t="shared" si="4"/>
        <v>0.52072263549415521</v>
      </c>
      <c r="AE4" s="99">
        <f t="shared" si="4"/>
        <v>0.52072263549415521</v>
      </c>
      <c r="AF4" s="99">
        <f t="shared" si="4"/>
        <v>0.52072263549415521</v>
      </c>
      <c r="AG4" s="99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20">
        <f>'Waste gen. - Industry shares'!C20</f>
        <v>3.2943676939426139E-2</v>
      </c>
      <c r="D5" s="99">
        <f>C5</f>
        <v>3.2943676939426139E-2</v>
      </c>
      <c r="E5" s="99">
        <f t="shared" si="3"/>
        <v>3.2943676939426139E-2</v>
      </c>
      <c r="F5" s="99">
        <f t="shared" si="3"/>
        <v>3.2943676939426139E-2</v>
      </c>
      <c r="G5" s="99">
        <f t="shared" si="3"/>
        <v>3.2943676939426139E-2</v>
      </c>
      <c r="H5" s="99">
        <f t="shared" si="3"/>
        <v>3.2943676939426139E-2</v>
      </c>
      <c r="I5" s="99">
        <f t="shared" si="3"/>
        <v>3.2943676939426139E-2</v>
      </c>
      <c r="J5" s="99">
        <f t="shared" si="3"/>
        <v>3.2943676939426139E-2</v>
      </c>
      <c r="K5" s="99">
        <f t="shared" si="3"/>
        <v>3.2943676939426139E-2</v>
      </c>
      <c r="L5" s="99">
        <f t="shared" si="3"/>
        <v>3.2943676939426139E-2</v>
      </c>
      <c r="M5" s="99">
        <f t="shared" si="3"/>
        <v>3.2943676939426139E-2</v>
      </c>
      <c r="N5" s="99">
        <f t="shared" si="3"/>
        <v>3.2943676939426139E-2</v>
      </c>
      <c r="O5" s="99">
        <f t="shared" si="3"/>
        <v>3.2943676939426139E-2</v>
      </c>
      <c r="P5" s="99">
        <f t="shared" si="3"/>
        <v>3.2943676939426139E-2</v>
      </c>
      <c r="Q5" s="99">
        <f t="shared" si="3"/>
        <v>3.2943676939426139E-2</v>
      </c>
      <c r="R5" s="99">
        <f t="shared" si="3"/>
        <v>3.2943676939426139E-2</v>
      </c>
      <c r="S5" s="99">
        <f t="shared" si="3"/>
        <v>3.2943676939426139E-2</v>
      </c>
      <c r="T5" s="99">
        <f t="shared" si="4"/>
        <v>3.2943676939426139E-2</v>
      </c>
      <c r="U5" s="99">
        <f t="shared" si="4"/>
        <v>3.2943676939426139E-2</v>
      </c>
      <c r="V5" s="99">
        <f t="shared" si="4"/>
        <v>3.2943676939426139E-2</v>
      </c>
      <c r="W5" s="99">
        <f t="shared" si="4"/>
        <v>3.2943676939426139E-2</v>
      </c>
      <c r="X5" s="99">
        <f t="shared" si="4"/>
        <v>3.2943676939426139E-2</v>
      </c>
      <c r="Y5" s="99">
        <f t="shared" si="4"/>
        <v>3.2943676939426139E-2</v>
      </c>
      <c r="Z5" s="99">
        <f t="shared" si="4"/>
        <v>3.2943676939426139E-2</v>
      </c>
      <c r="AA5" s="99">
        <f t="shared" si="4"/>
        <v>3.2943676939426139E-2</v>
      </c>
      <c r="AB5" s="99">
        <f t="shared" si="4"/>
        <v>3.2943676939426139E-2</v>
      </c>
      <c r="AC5" s="99">
        <f t="shared" si="4"/>
        <v>3.2943676939426139E-2</v>
      </c>
      <c r="AD5" s="99">
        <f t="shared" si="4"/>
        <v>3.2943676939426139E-2</v>
      </c>
      <c r="AE5" s="99">
        <f t="shared" si="4"/>
        <v>3.2943676939426139E-2</v>
      </c>
      <c r="AF5" s="99">
        <f t="shared" si="4"/>
        <v>3.2943676939426139E-2</v>
      </c>
      <c r="AG5" s="99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20">
        <f>'Waste gen. - Industry shares'!C19</f>
        <v>6.4824654622741756E-2</v>
      </c>
      <c r="D6" s="99">
        <f t="shared" ref="D6:D7" si="5">C6</f>
        <v>6.4824654622741756E-2</v>
      </c>
      <c r="E6" s="99">
        <f t="shared" si="3"/>
        <v>6.4824654622741756E-2</v>
      </c>
      <c r="F6" s="99">
        <f t="shared" si="3"/>
        <v>6.4824654622741756E-2</v>
      </c>
      <c r="G6" s="99">
        <f t="shared" si="3"/>
        <v>6.4824654622741756E-2</v>
      </c>
      <c r="H6" s="99">
        <f t="shared" si="3"/>
        <v>6.4824654622741756E-2</v>
      </c>
      <c r="I6" s="99">
        <f t="shared" si="3"/>
        <v>6.4824654622741756E-2</v>
      </c>
      <c r="J6" s="99">
        <f t="shared" si="3"/>
        <v>6.4824654622741756E-2</v>
      </c>
      <c r="K6" s="99">
        <f t="shared" si="3"/>
        <v>6.4824654622741756E-2</v>
      </c>
      <c r="L6" s="99">
        <f t="shared" si="3"/>
        <v>6.4824654622741756E-2</v>
      </c>
      <c r="M6" s="99">
        <f t="shared" si="3"/>
        <v>6.4824654622741756E-2</v>
      </c>
      <c r="N6" s="99">
        <f t="shared" si="3"/>
        <v>6.4824654622741756E-2</v>
      </c>
      <c r="O6" s="99">
        <f t="shared" si="3"/>
        <v>6.4824654622741756E-2</v>
      </c>
      <c r="P6" s="99">
        <f t="shared" si="3"/>
        <v>6.4824654622741756E-2</v>
      </c>
      <c r="Q6" s="99">
        <f t="shared" si="3"/>
        <v>6.4824654622741756E-2</v>
      </c>
      <c r="R6" s="99">
        <f t="shared" si="3"/>
        <v>6.4824654622741756E-2</v>
      </c>
      <c r="S6" s="99">
        <f t="shared" si="3"/>
        <v>6.4824654622741756E-2</v>
      </c>
      <c r="T6" s="99">
        <f t="shared" si="3"/>
        <v>6.4824654622741756E-2</v>
      </c>
      <c r="U6" s="99">
        <f t="shared" si="4"/>
        <v>6.4824654622741756E-2</v>
      </c>
      <c r="V6" s="99">
        <f t="shared" si="4"/>
        <v>6.4824654622741756E-2</v>
      </c>
      <c r="W6" s="99">
        <f t="shared" si="4"/>
        <v>6.4824654622741756E-2</v>
      </c>
      <c r="X6" s="99">
        <f t="shared" si="4"/>
        <v>6.4824654622741756E-2</v>
      </c>
      <c r="Y6" s="99">
        <f t="shared" si="4"/>
        <v>6.4824654622741756E-2</v>
      </c>
      <c r="Z6" s="99">
        <f t="shared" si="4"/>
        <v>6.4824654622741756E-2</v>
      </c>
      <c r="AA6" s="99">
        <f t="shared" si="4"/>
        <v>6.4824654622741756E-2</v>
      </c>
      <c r="AB6" s="99">
        <f t="shared" si="4"/>
        <v>6.4824654622741756E-2</v>
      </c>
      <c r="AC6" s="99">
        <f t="shared" si="4"/>
        <v>6.4824654622741756E-2</v>
      </c>
      <c r="AD6" s="99">
        <f t="shared" si="4"/>
        <v>6.4824654622741756E-2</v>
      </c>
      <c r="AE6" s="99">
        <f t="shared" si="4"/>
        <v>6.4824654622741756E-2</v>
      </c>
      <c r="AF6" s="99">
        <f t="shared" si="4"/>
        <v>6.4824654622741756E-2</v>
      </c>
      <c r="AG6" s="99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20">
        <f>'Waste gen. - Industry shares'!C23</f>
        <v>5.3134962805526036E-2</v>
      </c>
      <c r="D7" s="99">
        <f t="shared" si="5"/>
        <v>5.3134962805526036E-2</v>
      </c>
      <c r="E7" s="99">
        <f t="shared" si="3"/>
        <v>5.3134962805526036E-2</v>
      </c>
      <c r="F7" s="99">
        <f t="shared" si="3"/>
        <v>5.3134962805526036E-2</v>
      </c>
      <c r="G7" s="99">
        <f t="shared" si="3"/>
        <v>5.3134962805526036E-2</v>
      </c>
      <c r="H7" s="99">
        <f t="shared" si="3"/>
        <v>5.3134962805526036E-2</v>
      </c>
      <c r="I7" s="99">
        <f t="shared" si="3"/>
        <v>5.3134962805526036E-2</v>
      </c>
      <c r="J7" s="99">
        <f t="shared" si="3"/>
        <v>5.3134962805526036E-2</v>
      </c>
      <c r="K7" s="99">
        <f t="shared" si="3"/>
        <v>5.3134962805526036E-2</v>
      </c>
      <c r="L7" s="99">
        <f t="shared" si="3"/>
        <v>5.3134962805526036E-2</v>
      </c>
      <c r="M7" s="99">
        <f>L7</f>
        <v>5.3134962805526036E-2</v>
      </c>
      <c r="N7" s="99">
        <f t="shared" si="3"/>
        <v>5.3134962805526036E-2</v>
      </c>
      <c r="O7" s="99">
        <f t="shared" si="3"/>
        <v>5.3134962805526036E-2</v>
      </c>
      <c r="P7" s="99">
        <f t="shared" si="3"/>
        <v>5.3134962805526036E-2</v>
      </c>
      <c r="Q7" s="99">
        <f t="shared" si="3"/>
        <v>5.3134962805526036E-2</v>
      </c>
      <c r="R7" s="99">
        <f t="shared" si="3"/>
        <v>5.3134962805526036E-2</v>
      </c>
      <c r="S7" s="99">
        <f t="shared" si="3"/>
        <v>5.3134962805526036E-2</v>
      </c>
      <c r="T7" s="99">
        <f t="shared" si="3"/>
        <v>5.3134962805526036E-2</v>
      </c>
      <c r="U7" s="99">
        <f t="shared" si="4"/>
        <v>5.3134962805526036E-2</v>
      </c>
      <c r="V7" s="99">
        <f t="shared" si="4"/>
        <v>5.3134962805526036E-2</v>
      </c>
      <c r="W7" s="99">
        <f t="shared" si="4"/>
        <v>5.3134962805526036E-2</v>
      </c>
      <c r="X7" s="99">
        <f t="shared" si="4"/>
        <v>5.3134962805526036E-2</v>
      </c>
      <c r="Y7" s="99">
        <f t="shared" si="4"/>
        <v>5.3134962805526036E-2</v>
      </c>
      <c r="Z7" s="99">
        <f t="shared" si="4"/>
        <v>5.3134962805526036E-2</v>
      </c>
      <c r="AA7" s="99">
        <f t="shared" si="4"/>
        <v>5.3134962805526036E-2</v>
      </c>
      <c r="AB7" s="99">
        <f t="shared" si="4"/>
        <v>5.3134962805526036E-2</v>
      </c>
      <c r="AC7" s="99">
        <f t="shared" si="4"/>
        <v>5.3134962805526036E-2</v>
      </c>
      <c r="AD7" s="99">
        <f t="shared" si="4"/>
        <v>5.3134962805526036E-2</v>
      </c>
      <c r="AE7" s="99">
        <f t="shared" si="4"/>
        <v>5.3134962805526036E-2</v>
      </c>
      <c r="AF7" s="99">
        <f t="shared" si="4"/>
        <v>5.3134962805526036E-2</v>
      </c>
      <c r="AG7" s="99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20">
        <f>'Waste gen. - Industry shares'!C24+'Waste gen. - Industry shares'!C21</f>
        <v>0.3283740701381509</v>
      </c>
      <c r="D8" s="120">
        <f>C8</f>
        <v>0.3283740701381509</v>
      </c>
      <c r="E8" s="120">
        <f t="shared" si="3"/>
        <v>0.3283740701381509</v>
      </c>
      <c r="F8" s="120">
        <f t="shared" si="3"/>
        <v>0.3283740701381509</v>
      </c>
      <c r="G8" s="120">
        <f t="shared" si="3"/>
        <v>0.3283740701381509</v>
      </c>
      <c r="H8" s="120">
        <f t="shared" si="3"/>
        <v>0.3283740701381509</v>
      </c>
      <c r="I8" s="120">
        <f t="shared" si="3"/>
        <v>0.3283740701381509</v>
      </c>
      <c r="J8" s="120">
        <f t="shared" si="3"/>
        <v>0.3283740701381509</v>
      </c>
      <c r="K8" s="120">
        <f t="shared" si="3"/>
        <v>0.3283740701381509</v>
      </c>
      <c r="L8" s="120">
        <f t="shared" si="3"/>
        <v>0.3283740701381509</v>
      </c>
      <c r="M8" s="120">
        <f t="shared" si="3"/>
        <v>0.3283740701381509</v>
      </c>
      <c r="N8" s="120">
        <f t="shared" si="3"/>
        <v>0.3283740701381509</v>
      </c>
      <c r="O8" s="120">
        <f t="shared" si="3"/>
        <v>0.3283740701381509</v>
      </c>
      <c r="P8" s="120">
        <f t="shared" si="3"/>
        <v>0.3283740701381509</v>
      </c>
      <c r="Q8" s="120">
        <f t="shared" si="3"/>
        <v>0.3283740701381509</v>
      </c>
      <c r="R8" s="120">
        <f t="shared" si="3"/>
        <v>0.3283740701381509</v>
      </c>
      <c r="S8" s="120">
        <f t="shared" si="3"/>
        <v>0.3283740701381509</v>
      </c>
      <c r="T8" s="120">
        <f t="shared" si="3"/>
        <v>0.3283740701381509</v>
      </c>
      <c r="U8" s="120">
        <f t="shared" si="4"/>
        <v>0.3283740701381509</v>
      </c>
      <c r="V8" s="120">
        <f t="shared" si="4"/>
        <v>0.3283740701381509</v>
      </c>
      <c r="W8" s="120">
        <f t="shared" si="4"/>
        <v>0.3283740701381509</v>
      </c>
      <c r="X8" s="120">
        <f t="shared" si="4"/>
        <v>0.3283740701381509</v>
      </c>
      <c r="Y8" s="120">
        <f t="shared" si="4"/>
        <v>0.3283740701381509</v>
      </c>
      <c r="Z8" s="120">
        <f t="shared" si="4"/>
        <v>0.3283740701381509</v>
      </c>
      <c r="AA8" s="120">
        <f t="shared" si="4"/>
        <v>0.3283740701381509</v>
      </c>
      <c r="AB8" s="120">
        <f t="shared" si="4"/>
        <v>0.3283740701381509</v>
      </c>
      <c r="AC8" s="120">
        <f t="shared" si="4"/>
        <v>0.3283740701381509</v>
      </c>
      <c r="AD8" s="120">
        <f t="shared" si="4"/>
        <v>0.3283740701381509</v>
      </c>
      <c r="AE8" s="120">
        <f t="shared" si="4"/>
        <v>0.3283740701381509</v>
      </c>
      <c r="AF8" s="120">
        <f t="shared" si="4"/>
        <v>0.3283740701381509</v>
      </c>
      <c r="AG8" s="120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3">
        <f t="shared" ref="C9:AG9" si="6">SUM(C4:C8)</f>
        <v>1</v>
      </c>
      <c r="D9" s="173">
        <f t="shared" si="6"/>
        <v>1</v>
      </c>
      <c r="E9" s="173">
        <f t="shared" si="6"/>
        <v>1</v>
      </c>
      <c r="F9" s="173">
        <f t="shared" si="6"/>
        <v>1</v>
      </c>
      <c r="G9" s="173">
        <f t="shared" si="6"/>
        <v>1</v>
      </c>
      <c r="H9" s="173">
        <f t="shared" si="6"/>
        <v>1</v>
      </c>
      <c r="I9" s="173">
        <f t="shared" si="6"/>
        <v>1</v>
      </c>
      <c r="J9" s="173">
        <f t="shared" si="6"/>
        <v>1</v>
      </c>
      <c r="K9" s="173">
        <f t="shared" si="6"/>
        <v>1</v>
      </c>
      <c r="L9" s="173">
        <f t="shared" si="6"/>
        <v>1</v>
      </c>
      <c r="M9" s="173">
        <f t="shared" si="6"/>
        <v>1</v>
      </c>
      <c r="N9" s="173">
        <f t="shared" si="6"/>
        <v>1</v>
      </c>
      <c r="O9" s="173">
        <f t="shared" si="6"/>
        <v>1</v>
      </c>
      <c r="P9" s="173">
        <f t="shared" si="6"/>
        <v>1</v>
      </c>
      <c r="Q9" s="173">
        <f t="shared" si="6"/>
        <v>1</v>
      </c>
      <c r="R9" s="173">
        <f t="shared" si="6"/>
        <v>1</v>
      </c>
      <c r="S9" s="173">
        <f t="shared" si="6"/>
        <v>1</v>
      </c>
      <c r="T9" s="173">
        <f t="shared" si="6"/>
        <v>1</v>
      </c>
      <c r="U9" s="173">
        <f t="shared" si="6"/>
        <v>1</v>
      </c>
      <c r="V9" s="173">
        <f t="shared" si="6"/>
        <v>1</v>
      </c>
      <c r="W9" s="173">
        <f t="shared" si="6"/>
        <v>1</v>
      </c>
      <c r="X9" s="173">
        <f t="shared" si="6"/>
        <v>1</v>
      </c>
      <c r="Y9" s="173">
        <f t="shared" si="6"/>
        <v>1</v>
      </c>
      <c r="Z9" s="173">
        <f t="shared" si="6"/>
        <v>1</v>
      </c>
      <c r="AA9" s="173">
        <f t="shared" si="6"/>
        <v>1</v>
      </c>
      <c r="AB9" s="173">
        <f t="shared" si="6"/>
        <v>1</v>
      </c>
      <c r="AC9" s="173">
        <f t="shared" si="6"/>
        <v>1</v>
      </c>
      <c r="AD9" s="173">
        <f t="shared" si="6"/>
        <v>1</v>
      </c>
      <c r="AE9" s="173">
        <f t="shared" si="6"/>
        <v>1</v>
      </c>
      <c r="AF9" s="173">
        <f t="shared" si="6"/>
        <v>1</v>
      </c>
      <c r="AG9" s="173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399</v>
      </c>
      <c r="B18" s="50" t="s">
        <v>126</v>
      </c>
      <c r="C18" s="120">
        <f>'Ethylene Recycling HC'!C18</f>
        <v>0.48140062479090012</v>
      </c>
      <c r="D18" s="120">
        <f>C18</f>
        <v>0.48140062479090012</v>
      </c>
      <c r="E18" s="120">
        <f t="shared" ref="E18:AF19" si="9">D18</f>
        <v>0.48140062479090012</v>
      </c>
      <c r="F18" s="120">
        <f t="shared" si="9"/>
        <v>0.48140062479090012</v>
      </c>
      <c r="G18" s="120">
        <f t="shared" si="9"/>
        <v>0.48140062479090012</v>
      </c>
      <c r="H18" s="120">
        <f t="shared" si="9"/>
        <v>0.48140062479090012</v>
      </c>
      <c r="I18" s="120">
        <f t="shared" si="9"/>
        <v>0.48140062479090012</v>
      </c>
      <c r="J18" s="120">
        <f t="shared" si="9"/>
        <v>0.48140062479090012</v>
      </c>
      <c r="K18" s="120">
        <f t="shared" si="9"/>
        <v>0.48140062479090012</v>
      </c>
      <c r="L18" s="120">
        <f t="shared" si="9"/>
        <v>0.48140062479090012</v>
      </c>
      <c r="M18" s="120">
        <f t="shared" si="9"/>
        <v>0.48140062479090012</v>
      </c>
      <c r="N18" s="120">
        <f t="shared" si="9"/>
        <v>0.48140062479090012</v>
      </c>
      <c r="O18" s="120">
        <f t="shared" si="9"/>
        <v>0.48140062479090012</v>
      </c>
      <c r="P18" s="120">
        <f t="shared" si="9"/>
        <v>0.48140062479090012</v>
      </c>
      <c r="Q18" s="120">
        <f t="shared" si="9"/>
        <v>0.48140062479090012</v>
      </c>
      <c r="R18" s="120">
        <f t="shared" si="9"/>
        <v>0.48140062479090012</v>
      </c>
      <c r="S18" s="120">
        <f t="shared" si="9"/>
        <v>0.48140062479090012</v>
      </c>
      <c r="T18" s="120">
        <f t="shared" si="9"/>
        <v>0.48140062479090012</v>
      </c>
      <c r="U18" s="120">
        <f t="shared" si="9"/>
        <v>0.48140062479090012</v>
      </c>
      <c r="V18" s="120">
        <f t="shared" si="9"/>
        <v>0.48140062479090012</v>
      </c>
      <c r="W18" s="120">
        <f t="shared" si="9"/>
        <v>0.48140062479090012</v>
      </c>
      <c r="X18" s="120">
        <f t="shared" si="9"/>
        <v>0.48140062479090012</v>
      </c>
      <c r="Y18" s="120">
        <f t="shared" si="9"/>
        <v>0.48140062479090012</v>
      </c>
      <c r="Z18" s="120">
        <f t="shared" si="9"/>
        <v>0.48140062479090012</v>
      </c>
      <c r="AA18" s="120">
        <f t="shared" si="9"/>
        <v>0.48140062479090012</v>
      </c>
      <c r="AB18" s="120">
        <f t="shared" si="9"/>
        <v>0.48140062479090012</v>
      </c>
      <c r="AC18" s="120">
        <f t="shared" si="9"/>
        <v>0.48140062479090012</v>
      </c>
      <c r="AD18" s="120">
        <f t="shared" si="9"/>
        <v>0.48140062479090012</v>
      </c>
      <c r="AE18" s="120">
        <f t="shared" si="9"/>
        <v>0.48140062479090012</v>
      </c>
      <c r="AF18" s="120">
        <f t="shared" si="9"/>
        <v>0.48140062479090012</v>
      </c>
      <c r="AG18" s="120">
        <f>AF18</f>
        <v>0.48140062479090012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276</v>
      </c>
      <c r="B19" s="50" t="s">
        <v>126</v>
      </c>
      <c r="C19" s="120">
        <f>'Ethylene Recycling HC'!C19</f>
        <v>9.1247164902777636E-2</v>
      </c>
      <c r="D19" s="120">
        <f t="shared" ref="D19:S22" si="10">C19</f>
        <v>9.1247164902777636E-2</v>
      </c>
      <c r="E19" s="120">
        <f t="shared" si="10"/>
        <v>9.1247164902777636E-2</v>
      </c>
      <c r="F19" s="120">
        <f t="shared" si="10"/>
        <v>9.1247164902777636E-2</v>
      </c>
      <c r="G19" s="120">
        <f t="shared" si="10"/>
        <v>9.1247164902777636E-2</v>
      </c>
      <c r="H19" s="120">
        <f t="shared" si="10"/>
        <v>9.1247164902777636E-2</v>
      </c>
      <c r="I19" s="120">
        <f t="shared" si="10"/>
        <v>9.1247164902777636E-2</v>
      </c>
      <c r="J19" s="120">
        <f t="shared" si="10"/>
        <v>9.1247164902777636E-2</v>
      </c>
      <c r="K19" s="120">
        <f t="shared" si="10"/>
        <v>9.1247164902777636E-2</v>
      </c>
      <c r="L19" s="120">
        <f t="shared" si="10"/>
        <v>9.1247164902777636E-2</v>
      </c>
      <c r="M19" s="120">
        <f t="shared" si="10"/>
        <v>9.1247164902777636E-2</v>
      </c>
      <c r="N19" s="120">
        <f t="shared" si="10"/>
        <v>9.1247164902777636E-2</v>
      </c>
      <c r="O19" s="120">
        <f t="shared" si="10"/>
        <v>9.1247164902777636E-2</v>
      </c>
      <c r="P19" s="120">
        <f t="shared" si="10"/>
        <v>9.1247164902777636E-2</v>
      </c>
      <c r="Q19" s="120">
        <f t="shared" si="10"/>
        <v>9.1247164902777636E-2</v>
      </c>
      <c r="R19" s="120">
        <f t="shared" si="10"/>
        <v>9.1247164902777636E-2</v>
      </c>
      <c r="S19" s="120">
        <f t="shared" si="10"/>
        <v>9.1247164902777636E-2</v>
      </c>
      <c r="T19" s="120">
        <f t="shared" si="9"/>
        <v>9.1247164902777636E-2</v>
      </c>
      <c r="U19" s="120">
        <f t="shared" si="9"/>
        <v>9.1247164902777636E-2</v>
      </c>
      <c r="V19" s="120">
        <f t="shared" si="9"/>
        <v>9.1247164902777636E-2</v>
      </c>
      <c r="W19" s="120">
        <f t="shared" si="9"/>
        <v>9.1247164902777636E-2</v>
      </c>
      <c r="X19" s="120">
        <f t="shared" si="9"/>
        <v>9.1247164902777636E-2</v>
      </c>
      <c r="Y19" s="120">
        <f t="shared" si="9"/>
        <v>9.1247164902777636E-2</v>
      </c>
      <c r="Z19" s="120">
        <f t="shared" si="9"/>
        <v>9.1247164902777636E-2</v>
      </c>
      <c r="AA19" s="120">
        <f t="shared" si="9"/>
        <v>9.1247164902777636E-2</v>
      </c>
      <c r="AB19" s="120">
        <f t="shared" si="9"/>
        <v>9.1247164902777636E-2</v>
      </c>
      <c r="AC19" s="120">
        <f t="shared" si="9"/>
        <v>9.1247164902777636E-2</v>
      </c>
      <c r="AD19" s="120">
        <f t="shared" si="9"/>
        <v>9.1247164902777636E-2</v>
      </c>
      <c r="AE19" s="120">
        <f t="shared" si="9"/>
        <v>9.1247164902777636E-2</v>
      </c>
      <c r="AF19" s="120">
        <f t="shared" si="9"/>
        <v>9.1247164902777636E-2</v>
      </c>
      <c r="AG19" s="120">
        <f t="shared" ref="T19:AG22" si="11">AF19</f>
        <v>9.1247164902777636E-2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277</v>
      </c>
      <c r="B20" s="50" t="s">
        <v>126</v>
      </c>
      <c r="C20" s="120">
        <f>'Ethylene Recycling HC'!C20</f>
        <v>0.40413863472452932</v>
      </c>
      <c r="D20" s="120">
        <f t="shared" si="10"/>
        <v>0.40413863472452932</v>
      </c>
      <c r="E20" s="120">
        <f t="shared" si="10"/>
        <v>0.40413863472452932</v>
      </c>
      <c r="F20" s="120">
        <f t="shared" si="10"/>
        <v>0.40413863472452932</v>
      </c>
      <c r="G20" s="120">
        <f t="shared" si="10"/>
        <v>0.40413863472452932</v>
      </c>
      <c r="H20" s="120">
        <f t="shared" si="10"/>
        <v>0.40413863472452932</v>
      </c>
      <c r="I20" s="120">
        <f t="shared" si="10"/>
        <v>0.40413863472452932</v>
      </c>
      <c r="J20" s="120">
        <f t="shared" si="10"/>
        <v>0.40413863472452932</v>
      </c>
      <c r="K20" s="120">
        <f t="shared" si="10"/>
        <v>0.40413863472452932</v>
      </c>
      <c r="L20" s="120">
        <f t="shared" si="10"/>
        <v>0.40413863472452932</v>
      </c>
      <c r="M20" s="120">
        <f t="shared" si="10"/>
        <v>0.40413863472452932</v>
      </c>
      <c r="N20" s="120">
        <f t="shared" si="10"/>
        <v>0.40413863472452932</v>
      </c>
      <c r="O20" s="120">
        <f t="shared" si="10"/>
        <v>0.40413863472452932</v>
      </c>
      <c r="P20" s="120">
        <f t="shared" si="10"/>
        <v>0.40413863472452932</v>
      </c>
      <c r="Q20" s="120">
        <f t="shared" si="10"/>
        <v>0.40413863472452932</v>
      </c>
      <c r="R20" s="120">
        <f t="shared" si="10"/>
        <v>0.40413863472452932</v>
      </c>
      <c r="S20" s="120">
        <f t="shared" si="10"/>
        <v>0.40413863472452932</v>
      </c>
      <c r="T20" s="120">
        <f t="shared" si="11"/>
        <v>0.40413863472452932</v>
      </c>
      <c r="U20" s="120">
        <f t="shared" si="11"/>
        <v>0.40413863472452932</v>
      </c>
      <c r="V20" s="120">
        <f t="shared" si="11"/>
        <v>0.40413863472452932</v>
      </c>
      <c r="W20" s="120">
        <f t="shared" si="11"/>
        <v>0.40413863472452932</v>
      </c>
      <c r="X20" s="120">
        <f t="shared" si="11"/>
        <v>0.40413863472452932</v>
      </c>
      <c r="Y20" s="120">
        <f t="shared" si="11"/>
        <v>0.40413863472452932</v>
      </c>
      <c r="Z20" s="120">
        <f t="shared" si="11"/>
        <v>0.40413863472452932</v>
      </c>
      <c r="AA20" s="120">
        <f t="shared" si="11"/>
        <v>0.40413863472452932</v>
      </c>
      <c r="AB20" s="120">
        <f t="shared" si="11"/>
        <v>0.40413863472452932</v>
      </c>
      <c r="AC20" s="120">
        <f t="shared" si="11"/>
        <v>0.40413863472452932</v>
      </c>
      <c r="AD20" s="120">
        <f t="shared" si="11"/>
        <v>0.40413863472452932</v>
      </c>
      <c r="AE20" s="120">
        <f t="shared" si="11"/>
        <v>0.40413863472452932</v>
      </c>
      <c r="AF20" s="120">
        <f t="shared" si="11"/>
        <v>0.40413863472452932</v>
      </c>
      <c r="AG20" s="120">
        <f t="shared" si="11"/>
        <v>0.40413863472452932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394</v>
      </c>
      <c r="B21" s="50" t="s">
        <v>126</v>
      </c>
      <c r="C21" s="120">
        <f>'Ethylene Recycling HC'!C21</f>
        <v>0.18362640877728367</v>
      </c>
      <c r="D21" s="120">
        <f t="shared" si="10"/>
        <v>0.18362640877728367</v>
      </c>
      <c r="E21" s="120">
        <f t="shared" si="10"/>
        <v>0.18362640877728367</v>
      </c>
      <c r="F21" s="120">
        <f t="shared" si="10"/>
        <v>0.18362640877728367</v>
      </c>
      <c r="G21" s="120">
        <f t="shared" si="10"/>
        <v>0.18362640877728367</v>
      </c>
      <c r="H21" s="120">
        <f t="shared" si="10"/>
        <v>0.18362640877728367</v>
      </c>
      <c r="I21" s="120">
        <f t="shared" si="10"/>
        <v>0.18362640877728367</v>
      </c>
      <c r="J21" s="120">
        <f t="shared" si="10"/>
        <v>0.18362640877728367</v>
      </c>
      <c r="K21" s="120">
        <f t="shared" si="10"/>
        <v>0.18362640877728367</v>
      </c>
      <c r="L21" s="120">
        <f t="shared" si="10"/>
        <v>0.18362640877728367</v>
      </c>
      <c r="M21" s="120">
        <f t="shared" si="10"/>
        <v>0.18362640877728367</v>
      </c>
      <c r="N21" s="120">
        <f t="shared" si="10"/>
        <v>0.18362640877728367</v>
      </c>
      <c r="O21" s="120">
        <f t="shared" si="10"/>
        <v>0.18362640877728367</v>
      </c>
      <c r="P21" s="120">
        <f t="shared" si="10"/>
        <v>0.18362640877728367</v>
      </c>
      <c r="Q21" s="120">
        <f t="shared" si="10"/>
        <v>0.18362640877728367</v>
      </c>
      <c r="R21" s="120">
        <f t="shared" si="10"/>
        <v>0.18362640877728367</v>
      </c>
      <c r="S21" s="120">
        <f t="shared" si="10"/>
        <v>0.18362640877728367</v>
      </c>
      <c r="T21" s="120">
        <f t="shared" si="11"/>
        <v>0.18362640877728367</v>
      </c>
      <c r="U21" s="120">
        <f t="shared" si="11"/>
        <v>0.18362640877728367</v>
      </c>
      <c r="V21" s="120">
        <f t="shared" si="11"/>
        <v>0.18362640877728367</v>
      </c>
      <c r="W21" s="120">
        <f t="shared" si="11"/>
        <v>0.18362640877728367</v>
      </c>
      <c r="X21" s="120">
        <f t="shared" si="11"/>
        <v>0.18362640877728367</v>
      </c>
      <c r="Y21" s="120">
        <f t="shared" si="11"/>
        <v>0.18362640877728367</v>
      </c>
      <c r="Z21" s="120">
        <f t="shared" si="11"/>
        <v>0.18362640877728367</v>
      </c>
      <c r="AA21" s="120">
        <f t="shared" si="11"/>
        <v>0.18362640877728367</v>
      </c>
      <c r="AB21" s="120">
        <f t="shared" si="11"/>
        <v>0.18362640877728367</v>
      </c>
      <c r="AC21" s="120">
        <f t="shared" si="11"/>
        <v>0.18362640877728367</v>
      </c>
      <c r="AD21" s="120">
        <f t="shared" si="11"/>
        <v>0.18362640877728367</v>
      </c>
      <c r="AE21" s="120">
        <f t="shared" si="11"/>
        <v>0.18362640877728367</v>
      </c>
      <c r="AF21" s="120">
        <f t="shared" si="11"/>
        <v>0.18362640877728367</v>
      </c>
      <c r="AG21" s="120">
        <f t="shared" si="11"/>
        <v>0.18362640877728367</v>
      </c>
      <c r="AI21" s="50" t="s">
        <v>503</v>
      </c>
      <c r="AJ21" s="185"/>
      <c r="AM21" s="112"/>
      <c r="AN21" s="107"/>
      <c r="AO21" s="108"/>
      <c r="AP21" s="109"/>
      <c r="AQ21" s="108"/>
    </row>
    <row r="22" spans="1:64" outlineLevel="1">
      <c r="A22" t="s">
        <v>299</v>
      </c>
      <c r="B22" s="50" t="s">
        <v>126</v>
      </c>
      <c r="C22" s="120">
        <f>'Ethylene Recycling HC'!C22</f>
        <v>0.19302045152542507</v>
      </c>
      <c r="D22" s="120">
        <f>C22</f>
        <v>0.19302045152542507</v>
      </c>
      <c r="E22" s="120">
        <f t="shared" si="10"/>
        <v>0.19302045152542507</v>
      </c>
      <c r="F22" s="120">
        <f t="shared" si="10"/>
        <v>0.19302045152542507</v>
      </c>
      <c r="G22" s="120">
        <f t="shared" si="10"/>
        <v>0.19302045152542507</v>
      </c>
      <c r="H22" s="120">
        <f t="shared" si="10"/>
        <v>0.19302045152542507</v>
      </c>
      <c r="I22" s="120">
        <f t="shared" si="10"/>
        <v>0.19302045152542507</v>
      </c>
      <c r="J22" s="120">
        <f t="shared" si="10"/>
        <v>0.19302045152542507</v>
      </c>
      <c r="K22" s="120">
        <f t="shared" si="10"/>
        <v>0.19302045152542507</v>
      </c>
      <c r="L22" s="120">
        <f t="shared" si="10"/>
        <v>0.19302045152542507</v>
      </c>
      <c r="M22" s="120">
        <f t="shared" si="10"/>
        <v>0.19302045152542507</v>
      </c>
      <c r="N22" s="120">
        <f t="shared" si="10"/>
        <v>0.19302045152542507</v>
      </c>
      <c r="O22" s="120">
        <f t="shared" si="10"/>
        <v>0.19302045152542507</v>
      </c>
      <c r="P22" s="120">
        <f t="shared" si="10"/>
        <v>0.19302045152542507</v>
      </c>
      <c r="Q22" s="120">
        <f t="shared" si="10"/>
        <v>0.19302045152542507</v>
      </c>
      <c r="R22" s="120">
        <f t="shared" si="10"/>
        <v>0.19302045152542507</v>
      </c>
      <c r="S22" s="120">
        <f t="shared" si="10"/>
        <v>0.19302045152542507</v>
      </c>
      <c r="T22" s="120">
        <f t="shared" si="11"/>
        <v>0.19302045152542507</v>
      </c>
      <c r="U22" s="120">
        <f t="shared" si="11"/>
        <v>0.19302045152542507</v>
      </c>
      <c r="V22" s="120">
        <f t="shared" si="11"/>
        <v>0.19302045152542507</v>
      </c>
      <c r="W22" s="120">
        <f t="shared" si="11"/>
        <v>0.19302045152542507</v>
      </c>
      <c r="X22" s="120">
        <f t="shared" si="11"/>
        <v>0.19302045152542507</v>
      </c>
      <c r="Y22" s="120">
        <f t="shared" si="11"/>
        <v>0.19302045152542507</v>
      </c>
      <c r="Z22" s="120">
        <f t="shared" si="11"/>
        <v>0.19302045152542507</v>
      </c>
      <c r="AA22" s="120">
        <f t="shared" si="11"/>
        <v>0.19302045152542507</v>
      </c>
      <c r="AB22" s="120">
        <f t="shared" si="11"/>
        <v>0.19302045152542507</v>
      </c>
      <c r="AC22" s="120">
        <f t="shared" si="11"/>
        <v>0.19302045152542507</v>
      </c>
      <c r="AD22" s="120">
        <f t="shared" si="11"/>
        <v>0.19302045152542507</v>
      </c>
      <c r="AE22" s="120">
        <f t="shared" si="11"/>
        <v>0.19302045152542507</v>
      </c>
      <c r="AF22" s="120">
        <f t="shared" si="11"/>
        <v>0.19302045152542507</v>
      </c>
      <c r="AG22" s="120">
        <f t="shared" si="11"/>
        <v>0.19302045152542507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400</v>
      </c>
      <c r="B24" s="50" t="s">
        <v>301</v>
      </c>
      <c r="C24" s="178">
        <f>C11*C18</f>
        <v>2147793.6993327653</v>
      </c>
      <c r="D24" s="178">
        <f t="shared" ref="D24:AG24" si="12">D11*D18</f>
        <v>2143052.2840594063</v>
      </c>
      <c r="E24" s="178">
        <f t="shared" si="12"/>
        <v>2138321.3358149813</v>
      </c>
      <c r="F24" s="178">
        <f t="shared" si="12"/>
        <v>2133600.8314927407</v>
      </c>
      <c r="G24" s="178">
        <f t="shared" si="12"/>
        <v>2128890.7480369443</v>
      </c>
      <c r="H24" s="178">
        <f t="shared" si="12"/>
        <v>2124191.0624427507</v>
      </c>
      <c r="I24" s="178">
        <f t="shared" si="12"/>
        <v>2119501.7517561018</v>
      </c>
      <c r="J24" s="178">
        <f t="shared" si="12"/>
        <v>2114822.7930736137</v>
      </c>
      <c r="K24" s="178">
        <f t="shared" si="12"/>
        <v>2110154.163542462</v>
      </c>
      <c r="L24" s="178">
        <f t="shared" si="12"/>
        <v>2105495.8403602727</v>
      </c>
      <c r="M24" s="178">
        <f t="shared" si="12"/>
        <v>2100847.8007750097</v>
      </c>
      <c r="N24" s="178">
        <f t="shared" si="12"/>
        <v>2096210.0220848632</v>
      </c>
      <c r="O24" s="178">
        <f t="shared" si="12"/>
        <v>2091582.4816381396</v>
      </c>
      <c r="P24" s="178">
        <f t="shared" si="12"/>
        <v>2086965.1568331504</v>
      </c>
      <c r="Q24" s="178">
        <f t="shared" si="12"/>
        <v>2082358.0251181026</v>
      </c>
      <c r="R24" s="178">
        <f t="shared" si="12"/>
        <v>2077761.0639909874</v>
      </c>
      <c r="S24" s="178">
        <f t="shared" si="12"/>
        <v>2073174.2509994709</v>
      </c>
      <c r="T24" s="178">
        <f t="shared" si="12"/>
        <v>2068597.563740785</v>
      </c>
      <c r="U24" s="178">
        <f t="shared" si="12"/>
        <v>2064030.9798616159</v>
      </c>
      <c r="V24" s="178">
        <f t="shared" si="12"/>
        <v>2059474.4770579988</v>
      </c>
      <c r="W24" s="178">
        <f t="shared" si="12"/>
        <v>2054928.0330752044</v>
      </c>
      <c r="X24" s="178">
        <f t="shared" si="12"/>
        <v>2050391.6257076333</v>
      </c>
      <c r="Y24" s="178">
        <f t="shared" si="12"/>
        <v>2045865.2327987072</v>
      </c>
      <c r="Z24" s="178">
        <f t="shared" si="12"/>
        <v>2041348.8322407582</v>
      </c>
      <c r="AA24" s="178">
        <f t="shared" si="12"/>
        <v>2036842.4019749251</v>
      </c>
      <c r="AB24" s="178">
        <f t="shared" si="12"/>
        <v>2032345.9199910415</v>
      </c>
      <c r="AC24" s="178">
        <f t="shared" si="12"/>
        <v>2027859.3643275311</v>
      </c>
      <c r="AD24" s="178">
        <f t="shared" si="12"/>
        <v>2023382.713071299</v>
      </c>
      <c r="AE24" s="178">
        <f t="shared" si="12"/>
        <v>2018915.9443576247</v>
      </c>
      <c r="AF24" s="178">
        <f t="shared" si="12"/>
        <v>2014459.0363700567</v>
      </c>
      <c r="AG24" s="178">
        <f t="shared" si="12"/>
        <v>2010011.9673403041</v>
      </c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302</v>
      </c>
      <c r="B25" s="50" t="s">
        <v>301</v>
      </c>
      <c r="C25" s="178">
        <f t="shared" ref="C25:AG28" si="13">C12*C19</f>
        <v>25755.554702972328</v>
      </c>
      <c r="D25" s="178">
        <f t="shared" si="13"/>
        <v>25698.697389124896</v>
      </c>
      <c r="E25" s="178">
        <f t="shared" si="13"/>
        <v>25641.965592051427</v>
      </c>
      <c r="F25" s="178">
        <f t="shared" si="13"/>
        <v>25585.359034664256</v>
      </c>
      <c r="G25" s="178">
        <f t="shared" si="13"/>
        <v>25528.877440487398</v>
      </c>
      <c r="H25" s="178">
        <f t="shared" si="13"/>
        <v>25472.520533655221</v>
      </c>
      <c r="I25" s="178">
        <f t="shared" si="13"/>
        <v>25416.288038911091</v>
      </c>
      <c r="J25" s="178">
        <f t="shared" si="13"/>
        <v>25360.179681606005</v>
      </c>
      <c r="K25" s="178">
        <f t="shared" si="13"/>
        <v>25304.195187697278</v>
      </c>
      <c r="L25" s="178">
        <f t="shared" si="13"/>
        <v>25248.334283747205</v>
      </c>
      <c r="M25" s="178">
        <f t="shared" si="13"/>
        <v>25192.596696921708</v>
      </c>
      <c r="N25" s="178">
        <f t="shared" si="13"/>
        <v>25136.982154989</v>
      </c>
      <c r="O25" s="178">
        <f t="shared" si="13"/>
        <v>25081.490386318274</v>
      </c>
      <c r="P25" s="178">
        <f t="shared" si="13"/>
        <v>25026.121119878382</v>
      </c>
      <c r="Q25" s="178">
        <f t="shared" si="13"/>
        <v>24970.874085236472</v>
      </c>
      <c r="R25" s="178">
        <f t="shared" si="13"/>
        <v>24915.749012556706</v>
      </c>
      <c r="S25" s="178">
        <f t="shared" si="13"/>
        <v>24860.745632598937</v>
      </c>
      <c r="T25" s="178">
        <f t="shared" si="13"/>
        <v>24805.86367671737</v>
      </c>
      <c r="U25" s="178">
        <f t="shared" si="13"/>
        <v>24751.102876859273</v>
      </c>
      <c r="V25" s="178">
        <f t="shared" si="13"/>
        <v>24696.462965563664</v>
      </c>
      <c r="W25" s="178">
        <f t="shared" si="13"/>
        <v>24641.943675959996</v>
      </c>
      <c r="X25" s="178">
        <f t="shared" si="13"/>
        <v>24587.544741766858</v>
      </c>
      <c r="Y25" s="178">
        <f t="shared" si="13"/>
        <v>24533.265897290676</v>
      </c>
      <c r="Z25" s="178">
        <f t="shared" si="13"/>
        <v>24479.106877424423</v>
      </c>
      <c r="AA25" s="178">
        <f t="shared" si="13"/>
        <v>24425.0674176463</v>
      </c>
      <c r="AB25" s="178">
        <f t="shared" si="13"/>
        <v>24371.14725401847</v>
      </c>
      <c r="AC25" s="178">
        <f t="shared" si="13"/>
        <v>24317.346123185762</v>
      </c>
      <c r="AD25" s="178">
        <f t="shared" si="13"/>
        <v>24263.663762374363</v>
      </c>
      <c r="AE25" s="178">
        <f t="shared" si="13"/>
        <v>24210.099909390581</v>
      </c>
      <c r="AF25" s="178">
        <f t="shared" si="13"/>
        <v>24156.65430261951</v>
      </c>
      <c r="AG25" s="178">
        <f t="shared" si="13"/>
        <v>24103.326681023791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303</v>
      </c>
      <c r="B26" s="50" t="s">
        <v>301</v>
      </c>
      <c r="C26" s="178">
        <f t="shared" si="13"/>
        <v>224465.72705792324</v>
      </c>
      <c r="D26" s="178">
        <f t="shared" si="13"/>
        <v>223970.20217257293</v>
      </c>
      <c r="E26" s="178">
        <f t="shared" si="13"/>
        <v>223475.77119547853</v>
      </c>
      <c r="F26" s="178">
        <f t="shared" si="13"/>
        <v>222982.43171175578</v>
      </c>
      <c r="G26" s="178">
        <f t="shared" si="13"/>
        <v>222490.18131185134</v>
      </c>
      <c r="H26" s="178">
        <f t="shared" si="13"/>
        <v>221999.01759153121</v>
      </c>
      <c r="I26" s="178">
        <f t="shared" si="13"/>
        <v>221508.93815186896</v>
      </c>
      <c r="J26" s="178">
        <f t="shared" si="13"/>
        <v>221019.94059923393</v>
      </c>
      <c r="K26" s="178">
        <f t="shared" si="13"/>
        <v>220532.0225452795</v>
      </c>
      <c r="L26" s="178">
        <f t="shared" si="13"/>
        <v>220045.18160693158</v>
      </c>
      <c r="M26" s="178">
        <f t="shared" si="13"/>
        <v>219559.41540637694</v>
      </c>
      <c r="N26" s="178">
        <f t="shared" si="13"/>
        <v>219074.72157105149</v>
      </c>
      <c r="O26" s="178">
        <f t="shared" si="13"/>
        <v>218591.0977336287</v>
      </c>
      <c r="P26" s="178">
        <f t="shared" si="13"/>
        <v>218108.54153200824</v>
      </c>
      <c r="Q26" s="178">
        <f t="shared" si="13"/>
        <v>217627.05060930407</v>
      </c>
      <c r="R26" s="178">
        <f t="shared" si="13"/>
        <v>217146.62261383343</v>
      </c>
      <c r="S26" s="178">
        <f t="shared" si="13"/>
        <v>216667.25519910484</v>
      </c>
      <c r="T26" s="178">
        <f t="shared" si="13"/>
        <v>216188.94602380699</v>
      </c>
      <c r="U26" s="178">
        <f t="shared" si="13"/>
        <v>215711.69275179724</v>
      </c>
      <c r="V26" s="178">
        <f t="shared" si="13"/>
        <v>215235.49305208997</v>
      </c>
      <c r="W26" s="178">
        <f t="shared" si="13"/>
        <v>214760.34459884558</v>
      </c>
      <c r="X26" s="178">
        <f t="shared" si="13"/>
        <v>214286.24507135878</v>
      </c>
      <c r="Y26" s="178">
        <f t="shared" si="13"/>
        <v>213813.19215404757</v>
      </c>
      <c r="Z26" s="178">
        <f t="shared" si="13"/>
        <v>213341.18353644165</v>
      </c>
      <c r="AA26" s="178">
        <f t="shared" si="13"/>
        <v>212870.21691317126</v>
      </c>
      <c r="AB26" s="178">
        <f t="shared" si="13"/>
        <v>212400.28998395609</v>
      </c>
      <c r="AC26" s="178">
        <f t="shared" si="13"/>
        <v>211931.40045359352</v>
      </c>
      <c r="AD26" s="178">
        <f t="shared" si="13"/>
        <v>211463.54603194815</v>
      </c>
      <c r="AE26" s="178">
        <f t="shared" si="13"/>
        <v>210996.72443393996</v>
      </c>
      <c r="AF26" s="178">
        <f t="shared" si="13"/>
        <v>210530.9333795335</v>
      </c>
      <c r="AG26" s="178">
        <f t="shared" si="13"/>
        <v>210066.17059372671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397</v>
      </c>
      <c r="B27" s="50" t="s">
        <v>301</v>
      </c>
      <c r="C27" s="178">
        <f t="shared" si="13"/>
        <v>83597.825207426489</v>
      </c>
      <c r="D27" s="178">
        <f t="shared" si="13"/>
        <v>83413.276754108461</v>
      </c>
      <c r="E27" s="178">
        <f t="shared" si="13"/>
        <v>83229.135705307679</v>
      </c>
      <c r="F27" s="178">
        <f t="shared" si="13"/>
        <v>83045.401161648217</v>
      </c>
      <c r="G27" s="178">
        <f t="shared" si="13"/>
        <v>82862.072225739539</v>
      </c>
      <c r="H27" s="178">
        <f t="shared" si="13"/>
        <v>82679.148002172195</v>
      </c>
      <c r="I27" s="178">
        <f t="shared" si="13"/>
        <v>82496.627597513434</v>
      </c>
      <c r="J27" s="178">
        <f t="shared" si="13"/>
        <v>82314.510120302773</v>
      </c>
      <c r="K27" s="178">
        <f t="shared" si="13"/>
        <v>82132.794681047744</v>
      </c>
      <c r="L27" s="178">
        <f t="shared" si="13"/>
        <v>81951.48039221947</v>
      </c>
      <c r="M27" s="178">
        <f t="shared" si="13"/>
        <v>81770.566368248401</v>
      </c>
      <c r="N27" s="178">
        <f t="shared" si="13"/>
        <v>81590.051725519879</v>
      </c>
      <c r="O27" s="178">
        <f t="shared" si="13"/>
        <v>81409.935582369973</v>
      </c>
      <c r="P27" s="178">
        <f t="shared" si="13"/>
        <v>81230.217059081027</v>
      </c>
      <c r="Q27" s="178">
        <f t="shared" si="13"/>
        <v>81050.895277877455</v>
      </c>
      <c r="R27" s="178">
        <f t="shared" si="13"/>
        <v>80871.969362921416</v>
      </c>
      <c r="S27" s="178">
        <f t="shared" si="13"/>
        <v>80693.438440308571</v>
      </c>
      <c r="T27" s="178">
        <f t="shared" si="13"/>
        <v>80515.301638063756</v>
      </c>
      <c r="U27" s="178">
        <f t="shared" si="13"/>
        <v>80337.558086136778</v>
      </c>
      <c r="V27" s="178">
        <f t="shared" si="13"/>
        <v>80160.206916398136</v>
      </c>
      <c r="W27" s="178">
        <f t="shared" si="13"/>
        <v>79983.247262634803</v>
      </c>
      <c r="X27" s="178">
        <f t="shared" si="13"/>
        <v>79806.678260545959</v>
      </c>
      <c r="Y27" s="178">
        <f t="shared" si="13"/>
        <v>79630.49904773882</v>
      </c>
      <c r="Z27" s="178">
        <f t="shared" si="13"/>
        <v>79454.708763724397</v>
      </c>
      <c r="AA27" s="178">
        <f t="shared" si="13"/>
        <v>79279.30654991325</v>
      </c>
      <c r="AB27" s="178">
        <f t="shared" si="13"/>
        <v>79104.2915496114</v>
      </c>
      <c r="AC27" s="178">
        <f t="shared" si="13"/>
        <v>78929.662908016049</v>
      </c>
      <c r="AD27" s="178">
        <f t="shared" si="13"/>
        <v>78755.419772211448</v>
      </c>
      <c r="AE27" s="178">
        <f t="shared" si="13"/>
        <v>78581.561291164719</v>
      </c>
      <c r="AF27" s="178">
        <f t="shared" si="13"/>
        <v>78408.08661572171</v>
      </c>
      <c r="AG27" s="178">
        <f t="shared" si="13"/>
        <v>78234.994898602818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304</v>
      </c>
      <c r="B28" s="156" t="s">
        <v>301</v>
      </c>
      <c r="C28" s="178">
        <f t="shared" si="13"/>
        <v>543064.78390965052</v>
      </c>
      <c r="D28" s="178">
        <f t="shared" si="13"/>
        <v>541865.92777106864</v>
      </c>
      <c r="E28" s="178">
        <f t="shared" si="13"/>
        <v>540669.71819710231</v>
      </c>
      <c r="F28" s="178">
        <f t="shared" si="13"/>
        <v>539476.14934526221</v>
      </c>
      <c r="G28" s="178">
        <f t="shared" si="13"/>
        <v>538285.21538595646</v>
      </c>
      <c r="H28" s="178">
        <f t="shared" si="13"/>
        <v>537096.91050246265</v>
      </c>
      <c r="I28" s="178">
        <f t="shared" si="13"/>
        <v>535911.22889089957</v>
      </c>
      <c r="J28" s="178">
        <f t="shared" si="13"/>
        <v>534728.16476019786</v>
      </c>
      <c r="K28" s="178">
        <f t="shared" si="13"/>
        <v>533547.71233207278</v>
      </c>
      <c r="L28" s="178">
        <f t="shared" si="13"/>
        <v>532369.86584099545</v>
      </c>
      <c r="M28" s="178">
        <f t="shared" si="13"/>
        <v>531194.61953416525</v>
      </c>
      <c r="N28" s="178">
        <f t="shared" si="13"/>
        <v>530021.96767148038</v>
      </c>
      <c r="O28" s="178">
        <f t="shared" si="13"/>
        <v>528851.90452551167</v>
      </c>
      <c r="P28" s="178">
        <f t="shared" si="13"/>
        <v>527684.4243814731</v>
      </c>
      <c r="Q28" s="178">
        <f t="shared" si="13"/>
        <v>526519.52153719473</v>
      </c>
      <c r="R28" s="178">
        <f t="shared" si="13"/>
        <v>525357.19030309469</v>
      </c>
      <c r="S28" s="178">
        <f t="shared" si="13"/>
        <v>524197.42500215082</v>
      </c>
      <c r="T28" s="178">
        <f t="shared" si="13"/>
        <v>523040.21996987402</v>
      </c>
      <c r="U28" s="178">
        <f t="shared" si="13"/>
        <v>521885.56955427938</v>
      </c>
      <c r="V28" s="178">
        <f t="shared" si="13"/>
        <v>520733.46811585961</v>
      </c>
      <c r="W28" s="178">
        <f t="shared" si="13"/>
        <v>519583.91002755694</v>
      </c>
      <c r="X28" s="178">
        <f t="shared" si="13"/>
        <v>518436.8896747356</v>
      </c>
      <c r="Y28" s="178">
        <f t="shared" si="13"/>
        <v>517292.40145515476</v>
      </c>
      <c r="Z28" s="178">
        <f t="shared" si="13"/>
        <v>516150.43977894081</v>
      </c>
      <c r="AA28" s="178">
        <f t="shared" si="13"/>
        <v>515010.9990685602</v>
      </c>
      <c r="AB28" s="178">
        <f t="shared" si="13"/>
        <v>513874.07375879236</v>
      </c>
      <c r="AC28" s="178">
        <f t="shared" si="13"/>
        <v>512739.6582967022</v>
      </c>
      <c r="AD28" s="178">
        <f t="shared" si="13"/>
        <v>511607.74714161322</v>
      </c>
      <c r="AE28" s="178">
        <f t="shared" si="13"/>
        <v>510478.3347650803</v>
      </c>
      <c r="AF28" s="178">
        <f t="shared" si="13"/>
        <v>509351.41565086285</v>
      </c>
      <c r="AG28" s="178">
        <f t="shared" si="13"/>
        <v>508226.98429489788</v>
      </c>
      <c r="AL28" s="100"/>
      <c r="AM28" s="181"/>
      <c r="AN28" s="181"/>
      <c r="AO28" s="181"/>
    </row>
    <row r="29" spans="1:64" s="1" customFormat="1" ht="15.5" thickBot="1">
      <c r="A29" s="174" t="s">
        <v>419</v>
      </c>
      <c r="B29" s="193" t="s">
        <v>301</v>
      </c>
      <c r="C29" s="190">
        <f>SUM(C24:C28)</f>
        <v>3024677.5902107381</v>
      </c>
      <c r="D29" s="190">
        <f t="shared" ref="D29:AG29" si="14">SUM(D24:D28)</f>
        <v>3018000.3881462808</v>
      </c>
      <c r="E29" s="190">
        <f t="shared" si="14"/>
        <v>3011337.9265049212</v>
      </c>
      <c r="F29" s="190">
        <f t="shared" si="14"/>
        <v>3004690.1727460716</v>
      </c>
      <c r="G29" s="190">
        <f t="shared" si="14"/>
        <v>2998057.0944009796</v>
      </c>
      <c r="H29" s="190">
        <f t="shared" si="14"/>
        <v>2991438.6590725724</v>
      </c>
      <c r="I29" s="190">
        <f t="shared" si="14"/>
        <v>2984834.8344352953</v>
      </c>
      <c r="J29" s="190">
        <f t="shared" si="14"/>
        <v>2978245.5882349545</v>
      </c>
      <c r="K29" s="190">
        <f t="shared" si="14"/>
        <v>2971670.8882885589</v>
      </c>
      <c r="L29" s="190">
        <f t="shared" si="14"/>
        <v>2965110.7024841662</v>
      </c>
      <c r="M29" s="190">
        <f t="shared" si="14"/>
        <v>2958564.9987807218</v>
      </c>
      <c r="N29" s="190">
        <f t="shared" si="14"/>
        <v>2952033.7452079039</v>
      </c>
      <c r="O29" s="190">
        <f t="shared" si="14"/>
        <v>2945516.9098659679</v>
      </c>
      <c r="P29" s="190">
        <f t="shared" si="14"/>
        <v>2939014.4609255912</v>
      </c>
      <c r="Q29" s="190">
        <f t="shared" si="14"/>
        <v>2932526.3666277155</v>
      </c>
      <c r="R29" s="190">
        <f t="shared" si="14"/>
        <v>2926052.5952833937</v>
      </c>
      <c r="S29" s="190">
        <f t="shared" si="14"/>
        <v>2919593.115273634</v>
      </c>
      <c r="T29" s="190">
        <f t="shared" si="14"/>
        <v>2913147.895049247</v>
      </c>
      <c r="U29" s="190">
        <f t="shared" si="14"/>
        <v>2906716.9031306887</v>
      </c>
      <c r="V29" s="190">
        <f t="shared" si="14"/>
        <v>2900300.1081079105</v>
      </c>
      <c r="W29" s="190">
        <f t="shared" si="14"/>
        <v>2893897.478640202</v>
      </c>
      <c r="X29" s="190">
        <f t="shared" si="14"/>
        <v>2887508.9834560407</v>
      </c>
      <c r="Y29" s="190">
        <f t="shared" si="14"/>
        <v>2881134.5913529391</v>
      </c>
      <c r="Z29" s="190">
        <f t="shared" si="14"/>
        <v>2874774.2711972892</v>
      </c>
      <c r="AA29" s="190">
        <f t="shared" si="14"/>
        <v>2868427.991924216</v>
      </c>
      <c r="AB29" s="190">
        <f t="shared" si="14"/>
        <v>2862095.7225374198</v>
      </c>
      <c r="AC29" s="190">
        <f t="shared" si="14"/>
        <v>2855777.432109029</v>
      </c>
      <c r="AD29" s="190">
        <f t="shared" si="14"/>
        <v>2849473.0897794459</v>
      </c>
      <c r="AE29" s="190">
        <f t="shared" si="14"/>
        <v>2843182.6647572005</v>
      </c>
      <c r="AF29" s="190">
        <f t="shared" si="14"/>
        <v>2836906.1263187942</v>
      </c>
      <c r="AG29" s="190">
        <f t="shared" si="14"/>
        <v>2830643.4438085551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505</v>
      </c>
      <c r="B31" s="156" t="s">
        <v>301</v>
      </c>
      <c r="C31" s="99">
        <f>C29</f>
        <v>3024677.5902107381</v>
      </c>
      <c r="D31" s="99">
        <f t="shared" ref="D31:AG31" si="15">D29</f>
        <v>3018000.3881462808</v>
      </c>
      <c r="E31" s="99">
        <f t="shared" si="15"/>
        <v>3011337.9265049212</v>
      </c>
      <c r="F31" s="99">
        <f t="shared" si="15"/>
        <v>3004690.1727460716</v>
      </c>
      <c r="G31" s="99">
        <f t="shared" si="15"/>
        <v>2998057.0944009796</v>
      </c>
      <c r="H31" s="99">
        <f t="shared" si="15"/>
        <v>2991438.6590725724</v>
      </c>
      <c r="I31" s="99">
        <f t="shared" si="15"/>
        <v>2984834.8344352953</v>
      </c>
      <c r="J31" s="99">
        <f t="shared" si="15"/>
        <v>2978245.5882349545</v>
      </c>
      <c r="K31" s="99">
        <f t="shared" si="15"/>
        <v>2971670.8882885589</v>
      </c>
      <c r="L31" s="99">
        <f t="shared" si="15"/>
        <v>2965110.7024841662</v>
      </c>
      <c r="M31" s="99">
        <f t="shared" si="15"/>
        <v>2958564.9987807218</v>
      </c>
      <c r="N31" s="99">
        <f t="shared" si="15"/>
        <v>2952033.7452079039</v>
      </c>
      <c r="O31" s="99">
        <f t="shared" si="15"/>
        <v>2945516.9098659679</v>
      </c>
      <c r="P31" s="99">
        <f t="shared" si="15"/>
        <v>2939014.4609255912</v>
      </c>
      <c r="Q31" s="99">
        <f t="shared" si="15"/>
        <v>2932526.3666277155</v>
      </c>
      <c r="R31" s="99">
        <f t="shared" si="15"/>
        <v>2926052.5952833937</v>
      </c>
      <c r="S31" s="99">
        <f t="shared" si="15"/>
        <v>2919593.115273634</v>
      </c>
      <c r="T31" s="99">
        <f t="shared" si="15"/>
        <v>2913147.895049247</v>
      </c>
      <c r="U31" s="99">
        <f t="shared" si="15"/>
        <v>2906716.9031306887</v>
      </c>
      <c r="V31" s="99">
        <f t="shared" si="15"/>
        <v>2900300.1081079105</v>
      </c>
      <c r="W31" s="99">
        <f t="shared" si="15"/>
        <v>2893897.478640202</v>
      </c>
      <c r="X31" s="99">
        <f t="shared" si="15"/>
        <v>2887508.9834560407</v>
      </c>
      <c r="Y31" s="99">
        <f t="shared" si="15"/>
        <v>2881134.5913529391</v>
      </c>
      <c r="Z31" s="99">
        <f t="shared" si="15"/>
        <v>2874774.2711972892</v>
      </c>
      <c r="AA31" s="99">
        <f t="shared" si="15"/>
        <v>2868427.991924216</v>
      </c>
      <c r="AB31" s="99">
        <f t="shared" si="15"/>
        <v>2862095.7225374198</v>
      </c>
      <c r="AC31" s="99">
        <f t="shared" si="15"/>
        <v>2855777.432109029</v>
      </c>
      <c r="AD31" s="99">
        <f t="shared" si="15"/>
        <v>2849473.0897794459</v>
      </c>
      <c r="AE31" s="99">
        <f t="shared" si="15"/>
        <v>2843182.6647572005</v>
      </c>
      <c r="AF31" s="99">
        <f t="shared" si="15"/>
        <v>2836906.1263187942</v>
      </c>
      <c r="AG31" s="99">
        <f t="shared" si="15"/>
        <v>2830643.4438085551</v>
      </c>
      <c r="AL31" s="100"/>
      <c r="AM31" s="2"/>
      <c r="AN31" s="2"/>
      <c r="AO31" s="2"/>
    </row>
    <row r="32" spans="1:64" outlineLevel="1">
      <c r="A32" t="s">
        <v>401</v>
      </c>
      <c r="B32" s="156" t="s">
        <v>301</v>
      </c>
      <c r="C32" s="99">
        <f>'Yearly Demand - Eth-Prop'!L3</f>
        <v>5341060.7015464325</v>
      </c>
      <c r="D32" s="99">
        <f>'Yearly Demand - Eth-Prop'!M3</f>
        <v>5313864.8623622619</v>
      </c>
      <c r="E32" s="99">
        <f>'Yearly Demand - Eth-Prop'!N3</f>
        <v>5286807.5001043538</v>
      </c>
      <c r="F32" s="99">
        <f>'Yearly Demand - Eth-Prop'!O3</f>
        <v>5259887.909670027</v>
      </c>
      <c r="G32" s="99">
        <f>'Yearly Demand - Eth-Prop'!P3</f>
        <v>5233105.389546874</v>
      </c>
      <c r="H32" s="99">
        <f>'Yearly Demand - Eth-Prop'!Q3</f>
        <v>5206459.2417944744</v>
      </c>
      <c r="I32" s="99">
        <f>'Yearly Demand - Eth-Prop'!R3</f>
        <v>5177154.5047407569</v>
      </c>
      <c r="J32" s="99">
        <f>'Yearly Demand - Eth-Prop'!S3</f>
        <v>5148014.7104195002</v>
      </c>
      <c r="K32" s="99">
        <f>'Yearly Demand - Eth-Prop'!T3</f>
        <v>5119038.9304447938</v>
      </c>
      <c r="L32" s="99">
        <f>'Yearly Demand - Eth-Prop'!U3</f>
        <v>5090226.2416561795</v>
      </c>
      <c r="M32" s="99">
        <f>'Yearly Demand - Eth-Prop'!V3</f>
        <v>5061575.7260892428</v>
      </c>
      <c r="N32" s="99">
        <f>'Yearly Demand - Eth-Prop'!W3</f>
        <v>5027905.2457716037</v>
      </c>
      <c r="O32" s="99">
        <f>'Yearly Demand - Eth-Prop'!X3</f>
        <v>4994458.7473335555</v>
      </c>
      <c r="P32" s="99">
        <f>'Yearly Demand - Eth-Prop'!Y3</f>
        <v>4961234.7408087561</v>
      </c>
      <c r="Q32" s="99">
        <f>'Yearly Demand - Eth-Prop'!Z3</f>
        <v>4928231.7461423781</v>
      </c>
      <c r="R32" s="99">
        <f>'Yearly Demand - Eth-Prop'!AA3</f>
        <v>4895448.2931251777</v>
      </c>
      <c r="S32" s="99">
        <f>'Yearly Demand - Eth-Prop'!AB3</f>
        <v>4858350.7522049826</v>
      </c>
      <c r="T32" s="99">
        <f>'Yearly Demand - Eth-Prop'!AC3</f>
        <v>4821534.335190081</v>
      </c>
      <c r="U32" s="99">
        <f>'Yearly Demand - Eth-Prop'!AD3</f>
        <v>4784996.9117330648</v>
      </c>
      <c r="V32" s="99">
        <f>'Yearly Demand - Eth-Prop'!AE3</f>
        <v>4748736.3676302275</v>
      </c>
      <c r="W32" s="99">
        <f>'Yearly Demand - Eth-Prop'!AF3</f>
        <v>4712750.6046992252</v>
      </c>
      <c r="X32" s="99">
        <f>'Yearly Demand - Eth-Prop'!AG3</f>
        <v>4673875.4659375874</v>
      </c>
      <c r="Y32" s="99">
        <f>'Yearly Demand - Eth-Prop'!AH3</f>
        <v>4635321.0053829039</v>
      </c>
      <c r="Z32" s="99">
        <f>'Yearly Demand - Eth-Prop'!AI3</f>
        <v>4597084.5777838472</v>
      </c>
      <c r="AA32" s="99">
        <f>'Yearly Demand - Eth-Prop'!AJ3</f>
        <v>4559163.559709576</v>
      </c>
      <c r="AB32" s="99">
        <f>'Yearly Demand - Eth-Prop'!AK3</f>
        <v>4521555.3493697401</v>
      </c>
      <c r="AC32" s="99">
        <f>'Yearly Demand - Eth-Prop'!AL3</f>
        <v>4482652.6072071437</v>
      </c>
      <c r="AD32" s="99">
        <f>'Yearly Demand - Eth-Prop'!AM3</f>
        <v>4444084.5780428043</v>
      </c>
      <c r="AE32" s="99">
        <f>'Yearly Demand - Eth-Prop'!AN3</f>
        <v>4405848.3820593869</v>
      </c>
      <c r="AF32" s="99">
        <f>'Yearly Demand - Eth-Prop'!AO3</f>
        <v>4367941.1642170493</v>
      </c>
      <c r="AG32" s="99">
        <f>'Yearly Demand - Eth-Prop'!AP3</f>
        <v>4330360.0940402551</v>
      </c>
      <c r="AL32" s="100"/>
      <c r="AM32" s="2"/>
      <c r="AN32" s="2"/>
      <c r="AO32" s="2"/>
    </row>
    <row r="33" spans="1:64" outlineLevel="1">
      <c r="A33" t="s">
        <v>402</v>
      </c>
      <c r="B33" s="156" t="s">
        <v>301</v>
      </c>
      <c r="C33" s="99">
        <f>C32-C31</f>
        <v>2316383.1113356943</v>
      </c>
      <c r="D33" s="99">
        <f t="shared" ref="D33:AG33" si="16">D32-D31</f>
        <v>2295864.4742159811</v>
      </c>
      <c r="E33" s="99">
        <f t="shared" si="16"/>
        <v>2275469.5735994326</v>
      </c>
      <c r="F33" s="99">
        <f t="shared" si="16"/>
        <v>2255197.7369239554</v>
      </c>
      <c r="G33" s="99">
        <f t="shared" si="16"/>
        <v>2235048.2951458944</v>
      </c>
      <c r="H33" s="99">
        <f t="shared" si="16"/>
        <v>2215020.5827219021</v>
      </c>
      <c r="I33" s="99">
        <f t="shared" si="16"/>
        <v>2192319.6703054616</v>
      </c>
      <c r="J33" s="99">
        <f t="shared" si="16"/>
        <v>2169769.1221845457</v>
      </c>
      <c r="K33" s="99">
        <f t="shared" si="16"/>
        <v>2147368.0421562348</v>
      </c>
      <c r="L33" s="99">
        <f t="shared" si="16"/>
        <v>2125115.5391720133</v>
      </c>
      <c r="M33" s="99">
        <f t="shared" si="16"/>
        <v>2103010.727308521</v>
      </c>
      <c r="N33" s="99">
        <f t="shared" si="16"/>
        <v>2075871.5005636998</v>
      </c>
      <c r="O33" s="99">
        <f t="shared" si="16"/>
        <v>2048941.8374675876</v>
      </c>
      <c r="P33" s="99">
        <f t="shared" si="16"/>
        <v>2022220.2798831649</v>
      </c>
      <c r="Q33" s="99">
        <f t="shared" si="16"/>
        <v>1995705.3795146625</v>
      </c>
      <c r="R33" s="99">
        <f t="shared" si="16"/>
        <v>1969395.697841784</v>
      </c>
      <c r="S33" s="99">
        <f t="shared" si="16"/>
        <v>1938757.6369313486</v>
      </c>
      <c r="T33" s="99">
        <f t="shared" si="16"/>
        <v>1908386.4401408341</v>
      </c>
      <c r="U33" s="99">
        <f t="shared" si="16"/>
        <v>1878280.0086023761</v>
      </c>
      <c r="V33" s="99">
        <f t="shared" si="16"/>
        <v>1848436.259522317</v>
      </c>
      <c r="W33" s="99">
        <f t="shared" si="16"/>
        <v>1818853.1260590232</v>
      </c>
      <c r="X33" s="99">
        <f t="shared" si="16"/>
        <v>1786366.4824815467</v>
      </c>
      <c r="Y33" s="99">
        <f t="shared" si="16"/>
        <v>1754186.4140299647</v>
      </c>
      <c r="Z33" s="99">
        <f t="shared" si="16"/>
        <v>1722310.306586558</v>
      </c>
      <c r="AA33" s="99">
        <f t="shared" si="16"/>
        <v>1690735.5677853599</v>
      </c>
      <c r="AB33" s="99">
        <f t="shared" si="16"/>
        <v>1659459.6268323204</v>
      </c>
      <c r="AC33" s="99">
        <f t="shared" si="16"/>
        <v>1626875.1750981146</v>
      </c>
      <c r="AD33" s="99">
        <f t="shared" si="16"/>
        <v>1594611.4882633584</v>
      </c>
      <c r="AE33" s="99">
        <f t="shared" si="16"/>
        <v>1562665.7173021864</v>
      </c>
      <c r="AF33" s="99">
        <f t="shared" si="16"/>
        <v>1531035.037898255</v>
      </c>
      <c r="AG33" s="99">
        <f t="shared" si="16"/>
        <v>1499716.6502316999</v>
      </c>
      <c r="AL33" s="100"/>
      <c r="AM33" s="2"/>
      <c r="AN33" s="2"/>
      <c r="AO33" s="2"/>
    </row>
    <row r="34" spans="1:64" outlineLevel="1">
      <c r="A34" t="s">
        <v>403</v>
      </c>
      <c r="B34" s="50" t="s">
        <v>126</v>
      </c>
      <c r="C34" s="99">
        <f>C31/C32</f>
        <v>0.56630653707698608</v>
      </c>
      <c r="D34" s="99">
        <f t="shared" ref="D34:AG34" si="17">D31/D32</f>
        <v>0.56794827612620891</v>
      </c>
      <c r="E34" s="99">
        <f t="shared" si="17"/>
        <v>0.56959477462447461</v>
      </c>
      <c r="F34" s="99">
        <f t="shared" si="17"/>
        <v>0.57124604636956366</v>
      </c>
      <c r="G34" s="99">
        <f t="shared" si="17"/>
        <v>0.57290210519925655</v>
      </c>
      <c r="H34" s="99">
        <f t="shared" si="17"/>
        <v>0.57456296499145043</v>
      </c>
      <c r="I34" s="99">
        <f t="shared" si="17"/>
        <v>0.57653964773546185</v>
      </c>
      <c r="J34" s="99">
        <f t="shared" si="17"/>
        <v>0.57852313090850971</v>
      </c>
      <c r="K34" s="99">
        <f t="shared" si="17"/>
        <v>0.58051343790627319</v>
      </c>
      <c r="L34" s="99">
        <f t="shared" si="17"/>
        <v>0.58251059220492019</v>
      </c>
      <c r="M34" s="99">
        <f t="shared" si="17"/>
        <v>0.58451461736138377</v>
      </c>
      <c r="N34" s="99">
        <f t="shared" si="17"/>
        <v>0.58712994794214191</v>
      </c>
      <c r="O34" s="99">
        <f t="shared" si="17"/>
        <v>0.58975698046130065</v>
      </c>
      <c r="P34" s="99">
        <f t="shared" si="17"/>
        <v>0.59239576727758048</v>
      </c>
      <c r="Q34" s="99">
        <f t="shared" si="17"/>
        <v>0.59504636098397345</v>
      </c>
      <c r="R34" s="99">
        <f t="shared" si="17"/>
        <v>0.59770881440879187</v>
      </c>
      <c r="S34" s="99">
        <f t="shared" si="17"/>
        <v>0.60094325506419322</v>
      </c>
      <c r="T34" s="99">
        <f t="shared" si="17"/>
        <v>0.60419519856730441</v>
      </c>
      <c r="U34" s="99">
        <f t="shared" si="17"/>
        <v>0.60746473963301117</v>
      </c>
      <c r="V34" s="99">
        <f t="shared" si="17"/>
        <v>0.61075197348873966</v>
      </c>
      <c r="W34" s="99">
        <f t="shared" si="17"/>
        <v>0.61405699587722928</v>
      </c>
      <c r="X34" s="99">
        <f t="shared" si="17"/>
        <v>0.61779758671357787</v>
      </c>
      <c r="Y34" s="99">
        <f t="shared" si="17"/>
        <v>0.62156096374062042</v>
      </c>
      <c r="Z34" s="99">
        <f t="shared" si="17"/>
        <v>0.62534726576276178</v>
      </c>
      <c r="AA34" s="99">
        <f t="shared" si="17"/>
        <v>0.62915663242994913</v>
      </c>
      <c r="AB34" s="99">
        <f t="shared" si="17"/>
        <v>0.63298920424282046</v>
      </c>
      <c r="AC34" s="99">
        <f t="shared" si="17"/>
        <v>0.63707310879222534</v>
      </c>
      <c r="AD34" s="99">
        <f t="shared" si="17"/>
        <v>0.64118336177894419</v>
      </c>
      <c r="AE34" s="99">
        <f t="shared" si="17"/>
        <v>0.64532013319719295</v>
      </c>
      <c r="AF34" s="99">
        <f t="shared" si="17"/>
        <v>0.64948359413795076</v>
      </c>
      <c r="AG34" s="99">
        <f t="shared" si="17"/>
        <v>0.65367391679603848</v>
      </c>
      <c r="AI34" s="182" t="s">
        <v>404</v>
      </c>
      <c r="AL34" s="100"/>
      <c r="AM34" s="2"/>
      <c r="AN34" s="2"/>
      <c r="AO34" s="2"/>
    </row>
    <row r="35" spans="1:64" outlineLevel="1">
      <c r="AL35" s="100"/>
      <c r="AM35" s="2"/>
      <c r="AN35" s="2"/>
      <c r="AO35" s="2"/>
    </row>
    <row r="36" spans="1:64" outlineLevel="1">
      <c r="A36" t="s">
        <v>282</v>
      </c>
      <c r="B36" s="50" t="s">
        <v>126</v>
      </c>
      <c r="C36" s="99">
        <f>'Yearly LC Ethylene'!D33/'Yearly LC Ethylene'!D26</f>
        <v>1</v>
      </c>
      <c r="D36" s="99">
        <f>'Yearly LC Ethylene'!E33/'Yearly LC Ethylene'!E26</f>
        <v>0.98594424999999997</v>
      </c>
      <c r="E36" s="99">
        <f>'Yearly LC Ethylene'!F33/'Yearly LC Ethylene'!F26</f>
        <v>0.97188850000000004</v>
      </c>
      <c r="F36" s="99">
        <f>'Yearly LC Ethylene'!G33/'Yearly LC Ethylene'!G26</f>
        <v>0.9578327499999999</v>
      </c>
      <c r="G36" s="99">
        <f>'Yearly LC Ethylene'!H33/'Yearly LC Ethylene'!H26</f>
        <v>0.94377699999999998</v>
      </c>
      <c r="H36" s="99">
        <f>'Yearly LC Ethylene'!I33/'Yearly LC Ethylene'!I26</f>
        <v>0.92972124999999994</v>
      </c>
      <c r="I36" s="99">
        <f>'Yearly LC Ethylene'!J33/'Yearly LC Ethylene'!J26</f>
        <v>0.91566550000000002</v>
      </c>
      <c r="J36" s="99">
        <f>'Yearly LC Ethylene'!K33/'Yearly LC Ethylene'!K26</f>
        <v>0.9016097500000001</v>
      </c>
      <c r="K36" s="99">
        <f>'Yearly LC Ethylene'!L33/'Yearly LC Ethylene'!L26</f>
        <v>0.88755399999999995</v>
      </c>
      <c r="L36" s="99">
        <f>'Yearly LC Ethylene'!M33/'Yearly LC Ethylene'!M26</f>
        <v>0.87349824999999992</v>
      </c>
      <c r="M36" s="99">
        <f>'Yearly LC Ethylene'!N33/'Yearly LC Ethylene'!N26</f>
        <v>0.8594425</v>
      </c>
      <c r="N36" s="99">
        <f>'Yearly LC Ethylene'!O33/'Yearly LC Ethylene'!O26</f>
        <v>0.83904699999999999</v>
      </c>
      <c r="O36" s="99">
        <f>'Yearly LC Ethylene'!P33/'Yearly LC Ethylene'!P26</f>
        <v>0.82222050000000002</v>
      </c>
      <c r="P36" s="99">
        <f>'Yearly LC Ethylene'!Q33/'Yearly LC Ethylene'!Q26</f>
        <v>0.80239603999999987</v>
      </c>
      <c r="Q36" s="99">
        <f>'Yearly LC Ethylene'!R33/'Yearly LC Ethylene'!R26</f>
        <v>0.78257158000000004</v>
      </c>
      <c r="R36" s="99">
        <f>'Yearly LC Ethylene'!S33/'Yearly LC Ethylene'!S26</f>
        <v>0.76274712</v>
      </c>
      <c r="S36" s="99">
        <f>'Yearly LC Ethylene'!T33/'Yearly LC Ethylene'!T26</f>
        <v>0.74292265999999996</v>
      </c>
      <c r="T36" s="99">
        <f>'Yearly LC Ethylene'!U33/'Yearly LC Ethylene'!U26</f>
        <v>0.72309820000000002</v>
      </c>
      <c r="U36" s="99">
        <f>'Yearly LC Ethylene'!V33/'Yearly LC Ethylene'!V26</f>
        <v>0.70327374000000009</v>
      </c>
      <c r="V36" s="99">
        <f>'Yearly LC Ethylene'!W33/'Yearly LC Ethylene'!W26</f>
        <v>0.68344928000000005</v>
      </c>
      <c r="W36" s="99">
        <f>'Yearly LC Ethylene'!X33/'Yearly LC Ethylene'!X26</f>
        <v>0.66362482</v>
      </c>
      <c r="X36" s="99">
        <f>'Yearly LC Ethylene'!Y33/'Yearly LC Ethylene'!Y26</f>
        <v>0.64897959000000005</v>
      </c>
      <c r="Y36" s="99">
        <f>'Yearly LC Ethylene'!Z33/'Yearly LC Ethylene'!Z26</f>
        <v>0.63459408000000006</v>
      </c>
      <c r="Z36" s="99">
        <f>'Yearly LC Ethylene'!AA33/'Yearly LC Ethylene'!AA26</f>
        <v>0.62020856999999996</v>
      </c>
      <c r="AA36" s="99">
        <f>'Yearly LC Ethylene'!AB33/'Yearly LC Ethylene'!AB26</f>
        <v>0.60582305999999997</v>
      </c>
      <c r="AB36" s="99">
        <f>'Yearly LC Ethylene'!AC33/'Yearly LC Ethylene'!AC26</f>
        <v>0.59143754999999998</v>
      </c>
      <c r="AC36" s="99">
        <f>'Yearly LC Ethylene'!AD33/'Yearly LC Ethylene'!AD26</f>
        <v>0.57705203999999999</v>
      </c>
      <c r="AD36" s="99">
        <f>'Yearly LC Ethylene'!AE33/'Yearly LC Ethylene'!AE26</f>
        <v>0.56266653</v>
      </c>
      <c r="AE36" s="99">
        <f>'Yearly LC Ethylene'!AF33/'Yearly LC Ethylene'!AF26</f>
        <v>0.5482810199999999</v>
      </c>
      <c r="AF36" s="99">
        <f>'Yearly LC Ethylene'!AG33/'Yearly LC Ethylene'!AG26</f>
        <v>0.53389551000000002</v>
      </c>
      <c r="AG36" s="99">
        <f>'Yearly LC Ethylene'!AH33/'Yearly LC Ethylene'!AH26</f>
        <v>0.51951000000000003</v>
      </c>
      <c r="AL36" s="100"/>
      <c r="AM36" s="2"/>
      <c r="AN36" s="2"/>
      <c r="AO36" s="2"/>
      <c r="BC36" s="1"/>
      <c r="BD36" s="114"/>
      <c r="BE36" s="114"/>
      <c r="BF36" s="114"/>
      <c r="BG36" s="114"/>
      <c r="BH36" s="114"/>
      <c r="BI36" s="114"/>
      <c r="BJ36" s="114"/>
      <c r="BK36" s="114"/>
    </row>
    <row r="37" spans="1:64" outlineLevel="1">
      <c r="A37" t="s">
        <v>283</v>
      </c>
      <c r="B37" s="50" t="s">
        <v>126</v>
      </c>
      <c r="C37" s="99">
        <f>'Yearly LC Ethylene'!D19/'Yearly LC Ethylene'!D12</f>
        <v>1</v>
      </c>
      <c r="D37" s="99">
        <f>'Yearly LC Ethylene'!E19/'Yearly LC Ethylene'!E12</f>
        <v>0.9982990342325001</v>
      </c>
      <c r="E37" s="99">
        <f>'Yearly LC Ethylene'!F19/'Yearly LC Ethylene'!F12</f>
        <v>0.99659614385999995</v>
      </c>
      <c r="F37" s="99">
        <f>'Yearly LC Ethylene'!G19/'Yearly LC Ethylene'!G12</f>
        <v>0.99489133927750006</v>
      </c>
      <c r="G37" s="99">
        <f>'Yearly LC Ethylene'!H19/'Yearly LC Ethylene'!H12</f>
        <v>0.99318463087999997</v>
      </c>
      <c r="H37" s="99">
        <f>'Yearly LC Ethylene'!I19/'Yearly LC Ethylene'!I12</f>
        <v>0.99147602906250021</v>
      </c>
      <c r="I37" s="99">
        <f>'Yearly LC Ethylene'!J19/'Yearly LC Ethylene'!J12</f>
        <v>0.98976554421999996</v>
      </c>
      <c r="J37" s="99">
        <f>'Yearly LC Ethylene'!K19/'Yearly LC Ethylene'!K12</f>
        <v>0.98805318674750009</v>
      </c>
      <c r="K37" s="99">
        <f>'Yearly LC Ethylene'!L19/'Yearly LC Ethylene'!L12</f>
        <v>0.98633896704000001</v>
      </c>
      <c r="L37" s="99">
        <f>'Yearly LC Ethylene'!M19/'Yearly LC Ethylene'!M12</f>
        <v>0.98462289549250004</v>
      </c>
      <c r="M37" s="99">
        <f>'Yearly LC Ethylene'!N19/'Yearly LC Ethylene'!N12</f>
        <v>0.98290498249999991</v>
      </c>
      <c r="N37" s="99">
        <f>'Yearly LC Ethylene'!O19/'Yearly LC Ethylene'!O12</f>
        <v>0.97870549159499987</v>
      </c>
      <c r="O37" s="99">
        <f>'Yearly LC Ethylene'!P19/'Yearly LC Ethylene'!P12</f>
        <v>0.97447390335999995</v>
      </c>
      <c r="P37" s="99">
        <f>'Yearly LC Ethylene'!Q19/'Yearly LC Ethylene'!Q12</f>
        <v>0.97021059201499993</v>
      </c>
      <c r="Q37" s="99">
        <f>'Yearly LC Ethylene'!R19/'Yearly LC Ethylene'!R12</f>
        <v>0.96591593178000001</v>
      </c>
      <c r="R37" s="99">
        <f>'Yearly LC Ethylene'!S19/'Yearly LC Ethylene'!S12</f>
        <v>0.96159029687499986</v>
      </c>
      <c r="S37" s="99">
        <f>'Yearly LC Ethylene'!T19/'Yearly LC Ethylene'!T12</f>
        <v>0.95723406152000001</v>
      </c>
      <c r="T37" s="99">
        <f>'Yearly LC Ethylene'!U19/'Yearly LC Ethylene'!U12</f>
        <v>0.9528475999349999</v>
      </c>
      <c r="U37" s="99">
        <f>'Yearly LC Ethylene'!V19/'Yearly LC Ethylene'!V12</f>
        <v>0.94843128634000007</v>
      </c>
      <c r="V37" s="99">
        <f>'Yearly LC Ethylene'!W19/'Yearly LC Ethylene'!W12</f>
        <v>0.94398549495499995</v>
      </c>
      <c r="W37" s="99">
        <f>'Yearly LC Ethylene'!X19/'Yearly LC Ethylene'!X12</f>
        <v>0.93951060000000008</v>
      </c>
      <c r="X37" s="99">
        <f>'Yearly LC Ethylene'!Y19/'Yearly LC Ethylene'!Y12</f>
        <v>0.92783659834999999</v>
      </c>
      <c r="Y37" s="99">
        <f>'Yearly LC Ethylene'!Z19/'Yearly LC Ethylene'!Z12</f>
        <v>0.91614176079999998</v>
      </c>
      <c r="Z37" s="99">
        <f>'Yearly LC Ethylene'!AA19/'Yearly LC Ethylene'!AA12</f>
        <v>0.90442795845000001</v>
      </c>
      <c r="AA37" s="99">
        <f>'Yearly LC Ethylene'!AB19/'Yearly LC Ethylene'!AB12</f>
        <v>0.89269706240000013</v>
      </c>
      <c r="AB37" s="99">
        <f>'Yearly LC Ethylene'!AC19/'Yearly LC Ethylene'!AC12</f>
        <v>0.88095094374999994</v>
      </c>
      <c r="AC37" s="99">
        <f>'Yearly LC Ethylene'!AD19/'Yearly LC Ethylene'!AD12</f>
        <v>0.86919147359999993</v>
      </c>
      <c r="AD37" s="99">
        <f>'Yearly LC Ethylene'!AE19/'Yearly LC Ethylene'!AE12</f>
        <v>0.85742052304999994</v>
      </c>
      <c r="AE37" s="99">
        <f>'Yearly LC Ethylene'!AF19/'Yearly LC Ethylene'!AF12</f>
        <v>0.84563996320000001</v>
      </c>
      <c r="AF37" s="99">
        <f>'Yearly LC Ethylene'!AG19/'Yearly LC Ethylene'!AG12</f>
        <v>0.83385166514999998</v>
      </c>
      <c r="AG37" s="99">
        <f>'Yearly LC Ethylene'!AH19/'Yearly LC Ethylene'!AH12</f>
        <v>0.82205750000000011</v>
      </c>
      <c r="AL37" s="100"/>
      <c r="AM37" s="2"/>
      <c r="AN37" s="2"/>
      <c r="AO37" s="2"/>
      <c r="BL37" s="1"/>
    </row>
    <row r="38" spans="1:64" outlineLevel="1">
      <c r="A38" t="s">
        <v>284</v>
      </c>
      <c r="B38" s="50" t="s">
        <v>126</v>
      </c>
      <c r="C38" s="99">
        <f>'Yearly LC Ethylene'!D43/'Yearly LC Ethylene'!D40</f>
        <v>1</v>
      </c>
      <c r="D38" s="99">
        <f>'Yearly LC Ethylene'!E43/'Yearly LC Ethylene'!E40</f>
        <v>0.98954341810022439</v>
      </c>
      <c r="E38" s="99">
        <f>'Yearly LC Ethylene'!F43/'Yearly LC Ethylene'!F40</f>
        <v>0.97908683620044867</v>
      </c>
      <c r="F38" s="99">
        <f>'Yearly LC Ethylene'!G43/'Yearly LC Ethylene'!G40</f>
        <v>0.96863025430067318</v>
      </c>
      <c r="G38" s="99">
        <f>'Yearly LC Ethylene'!H43/'Yearly LC Ethylene'!H40</f>
        <v>0.95817367240089746</v>
      </c>
      <c r="H38" s="99">
        <f>'Yearly LC Ethylene'!I43/'Yearly LC Ethylene'!I40</f>
        <v>0.94771709050112196</v>
      </c>
      <c r="I38" s="99">
        <f>'Yearly LC Ethylene'!J43/'Yearly LC Ethylene'!J40</f>
        <v>0.93726050860134635</v>
      </c>
      <c r="J38" s="99">
        <f>'Yearly LC Ethylene'!K43/'Yearly LC Ethylene'!K40</f>
        <v>0.92680392670157064</v>
      </c>
      <c r="K38" s="99">
        <f>'Yearly LC Ethylene'!L43/'Yearly LC Ethylene'!L40</f>
        <v>0.91634734480179514</v>
      </c>
      <c r="L38" s="99">
        <f>'Yearly LC Ethylene'!M43/'Yearly LC Ethylene'!M40</f>
        <v>0.90589076290201953</v>
      </c>
      <c r="M38" s="99">
        <f>'Yearly LC Ethylene'!N43/'Yearly LC Ethylene'!N40</f>
        <v>0.89543418100224381</v>
      </c>
      <c r="N38" s="99">
        <f>'Yearly LC Ethylene'!O43/'Yearly LC Ethylene'!O40</f>
        <v>0.8849775991024682</v>
      </c>
      <c r="O38" s="99">
        <f>'Yearly LC Ethylene'!P43/'Yearly LC Ethylene'!P40</f>
        <v>0.8745210172026926</v>
      </c>
      <c r="P38" s="99">
        <f>'Yearly LC Ethylene'!Q43/'Yearly LC Ethylene'!Q40</f>
        <v>0.86406443530291688</v>
      </c>
      <c r="Q38" s="99">
        <f>'Yearly LC Ethylene'!R43/'Yearly LC Ethylene'!R40</f>
        <v>0.85360785340314138</v>
      </c>
      <c r="R38" s="99">
        <f>'Yearly LC Ethylene'!S43/'Yearly LC Ethylene'!S40</f>
        <v>0.84315127150336566</v>
      </c>
      <c r="S38" s="99">
        <f>'Yearly LC Ethylene'!T43/'Yearly LC Ethylene'!T40</f>
        <v>0.83269468960359005</v>
      </c>
      <c r="T38" s="99">
        <f>'Yearly LC Ethylene'!U43/'Yearly LC Ethylene'!U40</f>
        <v>0.82223810770381456</v>
      </c>
      <c r="U38" s="99">
        <f>'Yearly LC Ethylene'!V43/'Yearly LC Ethylene'!V40</f>
        <v>0.81178152580403884</v>
      </c>
      <c r="V38" s="99">
        <f>'Yearly LC Ethylene'!W43/'Yearly LC Ethylene'!W40</f>
        <v>0.80132494390426323</v>
      </c>
      <c r="W38" s="99">
        <f>'Yearly LC Ethylene'!X43/'Yearly LC Ethylene'!X40</f>
        <v>0.79086836200448773</v>
      </c>
      <c r="X38" s="99">
        <f>'Yearly LC Ethylene'!Y43/'Yearly LC Ethylene'!Y40</f>
        <v>0.78009491398653708</v>
      </c>
      <c r="Y38" s="99">
        <f>'Yearly LC Ethylene'!Z43/'Yearly LC Ethylene'!Z40</f>
        <v>0.7693214659685863</v>
      </c>
      <c r="Z38" s="99">
        <f>'Yearly LC Ethylene'!AA43/'Yearly LC Ethylene'!AA40</f>
        <v>0.75854801795063576</v>
      </c>
      <c r="AA38" s="99">
        <f>'Yearly LC Ethylene'!AB43/'Yearly LC Ethylene'!AB40</f>
        <v>0.74777456993268521</v>
      </c>
      <c r="AB38" s="99">
        <f>'Yearly LC Ethylene'!AC43/'Yearly LC Ethylene'!AC40</f>
        <v>0.73700112191473433</v>
      </c>
      <c r="AC38" s="99">
        <f>'Yearly LC Ethylene'!AD43/'Yearly LC Ethylene'!AD40</f>
        <v>0.72622767389678389</v>
      </c>
      <c r="AD38" s="99">
        <f>'Yearly LC Ethylene'!AE43/'Yearly LC Ethylene'!AE40</f>
        <v>0.71545422587883323</v>
      </c>
      <c r="AE38" s="99">
        <f>'Yearly LC Ethylene'!AF43/'Yearly LC Ethylene'!AF40</f>
        <v>0.70468077786088257</v>
      </c>
      <c r="AF38" s="99">
        <f>'Yearly LC Ethylene'!AG43/'Yearly LC Ethylene'!AG40</f>
        <v>0.69390732984293191</v>
      </c>
      <c r="AG38" s="99">
        <f>'Yearly LC Ethylene'!AH43/'Yearly LC Ethylene'!AH40</f>
        <v>0.68313388182498125</v>
      </c>
      <c r="AL38" s="100"/>
      <c r="AM38" s="2"/>
      <c r="AN38" s="2"/>
      <c r="AO38" s="2"/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405</v>
      </c>
      <c r="B39" s="50" t="s">
        <v>126</v>
      </c>
      <c r="C39" s="99">
        <f>'Yearly LC Ethylene'!D55/'Yearly LC Ethylene'!D50</f>
        <v>1</v>
      </c>
      <c r="D39" s="99">
        <f>'Yearly LC Ethylene'!E55/'Yearly LC Ethylene'!E50</f>
        <v>0.98454999999999993</v>
      </c>
      <c r="E39" s="99">
        <f>'Yearly LC Ethylene'!F55/'Yearly LC Ethylene'!F50</f>
        <v>0.96909999999999996</v>
      </c>
      <c r="F39" s="99">
        <f>'Yearly LC Ethylene'!G55/'Yearly LC Ethylene'!G50</f>
        <v>0.95365</v>
      </c>
      <c r="G39" s="99">
        <f>'Yearly LC Ethylene'!H55/'Yearly LC Ethylene'!H50</f>
        <v>0.93819999999999992</v>
      </c>
      <c r="H39" s="99">
        <f>'Yearly LC Ethylene'!I55/'Yearly LC Ethylene'!I50</f>
        <v>0.92274999999999996</v>
      </c>
      <c r="I39" s="99">
        <f>'Yearly LC Ethylene'!J55/'Yearly LC Ethylene'!J50</f>
        <v>0.9073</v>
      </c>
      <c r="J39" s="99">
        <f>'Yearly LC Ethylene'!K55/'Yearly LC Ethylene'!K50</f>
        <v>0.89185000000000003</v>
      </c>
      <c r="K39" s="99">
        <f>'Yearly LC Ethylene'!L55/'Yearly LC Ethylene'!L50</f>
        <v>0.87640000000000007</v>
      </c>
      <c r="L39" s="99">
        <f>'Yearly LC Ethylene'!M55/'Yearly LC Ethylene'!M50</f>
        <v>0.86094999999999999</v>
      </c>
      <c r="M39" s="99">
        <f>'Yearly LC Ethylene'!N55/'Yearly LC Ethylene'!N50</f>
        <v>0.84549999999999992</v>
      </c>
      <c r="N39" s="99">
        <f>'Yearly LC Ethylene'!O55/'Yearly LC Ethylene'!O50</f>
        <v>0.83460000000000001</v>
      </c>
      <c r="O39" s="99">
        <f>'Yearly LC Ethylene'!P55/'Yearly LC Ethylene'!P50</f>
        <v>0.82369999999999999</v>
      </c>
      <c r="P39" s="99">
        <f>'Yearly LC Ethylene'!Q55/'Yearly LC Ethylene'!Q50</f>
        <v>0.81279999999999997</v>
      </c>
      <c r="Q39" s="99">
        <f>'Yearly LC Ethylene'!R55/'Yearly LC Ethylene'!R50</f>
        <v>0.80190000000000006</v>
      </c>
      <c r="R39" s="99">
        <f>'Yearly LC Ethylene'!S55/'Yearly LC Ethylene'!S50</f>
        <v>0.79099999999999993</v>
      </c>
      <c r="S39" s="99">
        <f>'Yearly LC Ethylene'!T55/'Yearly LC Ethylene'!T50</f>
        <v>0.7800999999999999</v>
      </c>
      <c r="T39" s="99">
        <f>'Yearly LC Ethylene'!U55/'Yearly LC Ethylene'!U50</f>
        <v>0.76919999999999988</v>
      </c>
      <c r="U39" s="99">
        <f>'Yearly LC Ethylene'!V55/'Yearly LC Ethylene'!V50</f>
        <v>0.75829999999999986</v>
      </c>
      <c r="V39" s="99">
        <f>'Yearly LC Ethylene'!W55/'Yearly LC Ethylene'!W50</f>
        <v>0.74740000000000006</v>
      </c>
      <c r="W39" s="99">
        <f>'Yearly LC Ethylene'!X55/'Yearly LC Ethylene'!X50</f>
        <v>0.73649999999999982</v>
      </c>
      <c r="X39" s="99">
        <f>'Yearly LC Ethylene'!Y55/'Yearly LC Ethylene'!Y50</f>
        <v>0.72334999999999994</v>
      </c>
      <c r="Y39" s="99">
        <f>'Yearly LC Ethylene'!Z55/'Yearly LC Ethylene'!Z50</f>
        <v>0.71019999999999994</v>
      </c>
      <c r="Z39" s="99">
        <f>'Yearly LC Ethylene'!AA55/'Yearly LC Ethylene'!AA50</f>
        <v>0.69704999999999995</v>
      </c>
      <c r="AA39" s="99">
        <f>'Yearly LC Ethylene'!AB55/'Yearly LC Ethylene'!AB50</f>
        <v>0.68390000000000006</v>
      </c>
      <c r="AB39" s="99">
        <f>'Yearly LC Ethylene'!AC55/'Yearly LC Ethylene'!AC50</f>
        <v>0.67075000000000007</v>
      </c>
      <c r="AC39" s="99">
        <f>'Yearly LC Ethylene'!AD55/'Yearly LC Ethylene'!AD50</f>
        <v>0.65759999999999985</v>
      </c>
      <c r="AD39" s="99">
        <f>'Yearly LC Ethylene'!AE55/'Yearly LC Ethylene'!AE50</f>
        <v>0.64445000000000008</v>
      </c>
      <c r="AE39" s="99">
        <f>'Yearly LC Ethylene'!AF55/'Yearly LC Ethylene'!AF50</f>
        <v>0.63129999999999997</v>
      </c>
      <c r="AF39" s="99">
        <f>'Yearly LC Ethylene'!AG55/'Yearly LC Ethylene'!AG50</f>
        <v>0.61814999999999998</v>
      </c>
      <c r="AG39" s="99">
        <f>'Yearly LC Ethylene'!AH55/'Yearly LC Ethylene'!AH50</f>
        <v>0.60499999999999998</v>
      </c>
      <c r="AL39" s="100"/>
      <c r="AM39" s="2"/>
      <c r="AN39" s="2"/>
      <c r="AO39" s="2"/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305</v>
      </c>
      <c r="B40" s="156" t="s">
        <v>126</v>
      </c>
      <c r="C40" s="120">
        <f>'Yearly LC Ethylene'!D65/'Yearly LC Ethylene'!D62</f>
        <v>1</v>
      </c>
      <c r="D40" s="120">
        <f>'Yearly LC Ethylene'!E65/'Yearly LC Ethylene'!E62</f>
        <v>0.99669999999999992</v>
      </c>
      <c r="E40" s="120">
        <f>'Yearly LC Ethylene'!F65/'Yearly LC Ethylene'!F62</f>
        <v>0.99339999999999995</v>
      </c>
      <c r="F40" s="120">
        <f>'Yearly LC Ethylene'!G65/'Yearly LC Ethylene'!G62</f>
        <v>0.99010000000000009</v>
      </c>
      <c r="G40" s="120">
        <f>'Yearly LC Ethylene'!H65/'Yearly LC Ethylene'!H62</f>
        <v>0.98680000000000001</v>
      </c>
      <c r="H40" s="120">
        <f>'Yearly LC Ethylene'!I65/'Yearly LC Ethylene'!I62</f>
        <v>0.98350000000000004</v>
      </c>
      <c r="I40" s="120">
        <f>'Yearly LC Ethylene'!J65/'Yearly LC Ethylene'!J62</f>
        <v>0.98020000000000007</v>
      </c>
      <c r="J40" s="120">
        <f>'Yearly LC Ethylene'!K65/'Yearly LC Ethylene'!K62</f>
        <v>0.97689999999999999</v>
      </c>
      <c r="K40" s="120">
        <f>'Yearly LC Ethylene'!L65/'Yearly LC Ethylene'!L62</f>
        <v>0.97360000000000002</v>
      </c>
      <c r="L40" s="120">
        <f>'Yearly LC Ethylene'!M65/'Yearly LC Ethylene'!M62</f>
        <v>0.97030000000000005</v>
      </c>
      <c r="M40" s="120">
        <f>'Yearly LC Ethylene'!N65/'Yearly LC Ethylene'!N62</f>
        <v>0.96699999999999997</v>
      </c>
      <c r="N40" s="120">
        <f>'Yearly LC Ethylene'!O65/'Yearly LC Ethylene'!O62</f>
        <v>0.9637</v>
      </c>
      <c r="O40" s="120">
        <f>'Yearly LC Ethylene'!P65/'Yearly LC Ethylene'!P62</f>
        <v>0.96040000000000003</v>
      </c>
      <c r="P40" s="120">
        <f>'Yearly LC Ethylene'!Q65/'Yearly LC Ethylene'!Q62</f>
        <v>0.95709999999999995</v>
      </c>
      <c r="Q40" s="120">
        <f>'Yearly LC Ethylene'!R65/'Yearly LC Ethylene'!R62</f>
        <v>0.95380000000000009</v>
      </c>
      <c r="R40" s="120">
        <f>'Yearly LC Ethylene'!S65/'Yearly LC Ethylene'!S62</f>
        <v>0.9504999999999999</v>
      </c>
      <c r="S40" s="120">
        <f>'Yearly LC Ethylene'!T65/'Yearly LC Ethylene'!T62</f>
        <v>0.94719999999999993</v>
      </c>
      <c r="T40" s="120">
        <f>'Yearly LC Ethylene'!U65/'Yearly LC Ethylene'!U62</f>
        <v>0.94389999999999996</v>
      </c>
      <c r="U40" s="120">
        <f>'Yearly LC Ethylene'!V65/'Yearly LC Ethylene'!V62</f>
        <v>0.94059999999999999</v>
      </c>
      <c r="V40" s="120">
        <f>'Yearly LC Ethylene'!W65/'Yearly LC Ethylene'!W62</f>
        <v>0.93730000000000002</v>
      </c>
      <c r="W40" s="120">
        <f>'Yearly LC Ethylene'!X65/'Yearly LC Ethylene'!X62</f>
        <v>0.93399999999999994</v>
      </c>
      <c r="X40" s="120">
        <f>'Yearly LC Ethylene'!Y65/'Yearly LC Ethylene'!Y62</f>
        <v>0.93059999999999998</v>
      </c>
      <c r="Y40" s="120">
        <f>'Yearly LC Ethylene'!Z65/'Yearly LC Ethylene'!Z62</f>
        <v>0.92720000000000002</v>
      </c>
      <c r="Z40" s="120">
        <f>'Yearly LC Ethylene'!AA65/'Yearly LC Ethylene'!AA62</f>
        <v>0.92379999999999984</v>
      </c>
      <c r="AA40" s="120">
        <f>'Yearly LC Ethylene'!AB65/'Yearly LC Ethylene'!AB62</f>
        <v>0.9204</v>
      </c>
      <c r="AB40" s="120">
        <f>'Yearly LC Ethylene'!AC65/'Yearly LC Ethylene'!AC62</f>
        <v>0.91699999999999993</v>
      </c>
      <c r="AC40" s="120">
        <f>'Yearly LC Ethylene'!AD65/'Yearly LC Ethylene'!AD62</f>
        <v>0.91359999999999997</v>
      </c>
      <c r="AD40" s="120">
        <f>'Yearly LC Ethylene'!AE65/'Yearly LC Ethylene'!AE62</f>
        <v>0.91020000000000001</v>
      </c>
      <c r="AE40" s="120">
        <f>'Yearly LC Ethylene'!AF65/'Yearly LC Ethylene'!AF62</f>
        <v>0.90679999999999994</v>
      </c>
      <c r="AF40" s="120">
        <f>'Yearly LC Ethylene'!AG65/'Yearly LC Ethylene'!AG62</f>
        <v>0.90340000000000009</v>
      </c>
      <c r="AG40" s="120">
        <f>'Yearly LC Ethylene'!AH65/'Yearly LC Ethylene'!AH62</f>
        <v>0.9</v>
      </c>
      <c r="AI40" s="122"/>
      <c r="AL40" s="100"/>
      <c r="AM40" s="2"/>
      <c r="AN40" s="2"/>
      <c r="AO40" s="2"/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I41" t="s">
        <v>406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278</v>
      </c>
      <c r="B42" s="50" t="s">
        <v>301</v>
      </c>
      <c r="C42" s="99">
        <f>C24*C36</f>
        <v>2147793.6993327653</v>
      </c>
      <c r="D42" s="99">
        <f t="shared" ref="D42:AG42" si="18">D24*D36</f>
        <v>2112930.0769177382</v>
      </c>
      <c r="E42" s="99">
        <f t="shared" si="18"/>
        <v>2078209.9155832184</v>
      </c>
      <c r="F42" s="99">
        <f t="shared" si="18"/>
        <v>2043632.7518309781</v>
      </c>
      <c r="G42" s="99">
        <f t="shared" si="18"/>
        <v>2009198.1235100632</v>
      </c>
      <c r="H42" s="99">
        <f t="shared" si="18"/>
        <v>1974905.569813102</v>
      </c>
      <c r="I42" s="99">
        <f t="shared" si="18"/>
        <v>1940754.6312726268</v>
      </c>
      <c r="J42" s="99">
        <f t="shared" si="18"/>
        <v>1906744.8497574027</v>
      </c>
      <c r="K42" s="99">
        <f t="shared" si="18"/>
        <v>1872875.7684687662</v>
      </c>
      <c r="L42" s="99">
        <f t="shared" si="18"/>
        <v>1839146.9319369774</v>
      </c>
      <c r="M42" s="99">
        <f t="shared" si="18"/>
        <v>1805557.8860175763</v>
      </c>
      <c r="N42" s="99">
        <f t="shared" si="18"/>
        <v>1758818.7304002382</v>
      </c>
      <c r="O42" s="99">
        <f t="shared" si="18"/>
        <v>1719741.993843752</v>
      </c>
      <c r="P42" s="99">
        <f t="shared" si="18"/>
        <v>1674572.5774608986</v>
      </c>
      <c r="Q42" s="99">
        <f t="shared" si="18"/>
        <v>1629594.2098423534</v>
      </c>
      <c r="R42" s="99">
        <f t="shared" si="18"/>
        <v>1584806.2676072614</v>
      </c>
      <c r="S42" s="99">
        <f t="shared" si="18"/>
        <v>1540208.1291960345</v>
      </c>
      <c r="T42" s="99">
        <f t="shared" si="18"/>
        <v>1495799.1748653469</v>
      </c>
      <c r="U42" s="99">
        <f t="shared" si="18"/>
        <v>1451578.7866831436</v>
      </c>
      <c r="V42" s="99">
        <f t="shared" si="18"/>
        <v>1407546.3485236659</v>
      </c>
      <c r="W42" s="99">
        <f t="shared" si="18"/>
        <v>1363701.2460624864</v>
      </c>
      <c r="X42" s="99">
        <f t="shared" si="18"/>
        <v>1330662.3165911734</v>
      </c>
      <c r="Y42" s="99">
        <f t="shared" si="18"/>
        <v>1298293.9652118816</v>
      </c>
      <c r="Z42" s="99">
        <f t="shared" si="18"/>
        <v>1266062.0401152105</v>
      </c>
      <c r="AA42" s="99">
        <f t="shared" si="18"/>
        <v>1233966.0967021992</v>
      </c>
      <c r="AB42" s="99">
        <f t="shared" si="18"/>
        <v>1202005.6916719975</v>
      </c>
      <c r="AC42" s="99">
        <f t="shared" si="18"/>
        <v>1170180.3830183051</v>
      </c>
      <c r="AD42" s="99">
        <f t="shared" si="18"/>
        <v>1138489.7300258134</v>
      </c>
      <c r="AE42" s="99">
        <f t="shared" si="18"/>
        <v>1106933.2932666615</v>
      </c>
      <c r="AF42" s="99">
        <f t="shared" si="18"/>
        <v>1075510.6345969001</v>
      </c>
      <c r="AG42" s="99">
        <f t="shared" si="18"/>
        <v>1044221.3171529614</v>
      </c>
      <c r="AI42" s="184" t="s">
        <v>285</v>
      </c>
      <c r="AJ42" s="185" t="s">
        <v>407</v>
      </c>
      <c r="BD42" s="37"/>
      <c r="BE42" s="37"/>
      <c r="BF42" s="37"/>
      <c r="BG42" s="37"/>
      <c r="BH42" s="37"/>
      <c r="BI42" s="37"/>
      <c r="BJ42" s="37"/>
      <c r="BK42" s="37"/>
      <c r="BL42" s="110"/>
    </row>
    <row r="43" spans="1:64" outlineLevel="1">
      <c r="A43" t="s">
        <v>279</v>
      </c>
      <c r="B43" s="50" t="s">
        <v>301</v>
      </c>
      <c r="C43" s="99">
        <f>C25*$C$37</f>
        <v>25755.554702972328</v>
      </c>
      <c r="D43" s="99">
        <f t="shared" ref="D43:O43" si="19">D25*$C$37</f>
        <v>25698.697389124896</v>
      </c>
      <c r="E43" s="99">
        <f t="shared" si="19"/>
        <v>25641.965592051427</v>
      </c>
      <c r="F43" s="99">
        <f t="shared" si="19"/>
        <v>25585.359034664256</v>
      </c>
      <c r="G43" s="99">
        <f t="shared" si="19"/>
        <v>25528.877440487398</v>
      </c>
      <c r="H43" s="99">
        <f t="shared" si="19"/>
        <v>25472.520533655221</v>
      </c>
      <c r="I43" s="99">
        <f t="shared" si="19"/>
        <v>25416.288038911091</v>
      </c>
      <c r="J43" s="99">
        <f t="shared" si="19"/>
        <v>25360.179681606005</v>
      </c>
      <c r="K43" s="99">
        <f t="shared" si="19"/>
        <v>25304.195187697278</v>
      </c>
      <c r="L43" s="99">
        <f t="shared" si="19"/>
        <v>25248.334283747205</v>
      </c>
      <c r="M43" s="99">
        <f t="shared" si="19"/>
        <v>25192.596696921708</v>
      </c>
      <c r="N43" s="99">
        <f t="shared" si="19"/>
        <v>25136.982154989</v>
      </c>
      <c r="O43" s="99">
        <f t="shared" si="19"/>
        <v>25081.490386318274</v>
      </c>
      <c r="P43" s="99">
        <f>D37*P25</f>
        <v>24983.552544560163</v>
      </c>
      <c r="Q43" s="99">
        <f t="shared" ref="Q43:AG43" si="20">E37*Q25</f>
        <v>24885.876822160273</v>
      </c>
      <c r="R43" s="99">
        <f t="shared" si="20"/>
        <v>24788.462904204589</v>
      </c>
      <c r="S43" s="99">
        <f t="shared" si="20"/>
        <v>24691.310474514346</v>
      </c>
      <c r="T43" s="99">
        <f t="shared" si="20"/>
        <v>24594.41921565745</v>
      </c>
      <c r="U43" s="99">
        <f t="shared" si="20"/>
        <v>24497.788808959824</v>
      </c>
      <c r="V43" s="99">
        <f t="shared" si="20"/>
        <v>24401.418934516794</v>
      </c>
      <c r="W43" s="99">
        <f t="shared" si="20"/>
        <v>24305.309271204242</v>
      </c>
      <c r="X43" s="99">
        <f t="shared" si="20"/>
        <v>24209.459496689877</v>
      </c>
      <c r="Y43" s="99">
        <f t="shared" si="20"/>
        <v>24113.869287444337</v>
      </c>
      <c r="Z43" s="99">
        <f t="shared" si="20"/>
        <v>23957.836330276212</v>
      </c>
      <c r="AA43" s="99">
        <f t="shared" si="20"/>
        <v>23801.590786304943</v>
      </c>
      <c r="AB43" s="99">
        <f t="shared" si="20"/>
        <v>23645.145205405999</v>
      </c>
      <c r="AC43" s="99">
        <f t="shared" si="20"/>
        <v>23488.512038993747</v>
      </c>
      <c r="AD43" s="99">
        <f t="shared" si="20"/>
        <v>23331.70364053674</v>
      </c>
      <c r="AE43" s="99">
        <f t="shared" si="20"/>
        <v>23174.732266070929</v>
      </c>
      <c r="AF43" s="99">
        <f t="shared" si="20"/>
        <v>23017.61007471049</v>
      </c>
      <c r="AG43" s="99">
        <f t="shared" si="20"/>
        <v>22860.349129156639</v>
      </c>
      <c r="AI43" s="184" t="s">
        <v>286</v>
      </c>
      <c r="AJ43" s="185" t="s">
        <v>407</v>
      </c>
      <c r="BD43" s="37"/>
      <c r="BE43" s="37"/>
      <c r="BF43" s="37"/>
      <c r="BG43" s="37"/>
      <c r="BH43" s="37"/>
      <c r="BI43" s="37"/>
      <c r="BJ43" s="37"/>
      <c r="BK43" s="37"/>
      <c r="BL43" s="110"/>
    </row>
    <row r="44" spans="1:64" outlineLevel="1">
      <c r="A44" t="s">
        <v>280</v>
      </c>
      <c r="B44" s="50" t="s">
        <v>301</v>
      </c>
      <c r="C44" s="99">
        <f>C26</f>
        <v>224465.72705792324</v>
      </c>
      <c r="D44" s="99">
        <f t="shared" ref="D44:AG44" si="21">D26</f>
        <v>223970.20217257293</v>
      </c>
      <c r="E44" s="99">
        <f t="shared" si="21"/>
        <v>223475.77119547853</v>
      </c>
      <c r="F44" s="99">
        <f t="shared" si="21"/>
        <v>222982.43171175578</v>
      </c>
      <c r="G44" s="99">
        <f t="shared" si="21"/>
        <v>222490.18131185134</v>
      </c>
      <c r="H44" s="99">
        <f t="shared" si="21"/>
        <v>221999.01759153121</v>
      </c>
      <c r="I44" s="99">
        <f t="shared" si="21"/>
        <v>221508.93815186896</v>
      </c>
      <c r="J44" s="99">
        <f t="shared" si="21"/>
        <v>221019.94059923393</v>
      </c>
      <c r="K44" s="99">
        <f t="shared" si="21"/>
        <v>220532.0225452795</v>
      </c>
      <c r="L44" s="99">
        <f t="shared" si="21"/>
        <v>220045.18160693158</v>
      </c>
      <c r="M44" s="99">
        <f t="shared" si="21"/>
        <v>219559.41540637694</v>
      </c>
      <c r="N44" s="99">
        <f t="shared" si="21"/>
        <v>219074.72157105149</v>
      </c>
      <c r="O44" s="99">
        <f t="shared" si="21"/>
        <v>218591.0977336287</v>
      </c>
      <c r="P44" s="99">
        <f t="shared" si="21"/>
        <v>218108.54153200824</v>
      </c>
      <c r="Q44" s="99">
        <f t="shared" si="21"/>
        <v>217627.05060930407</v>
      </c>
      <c r="R44" s="99">
        <f t="shared" si="21"/>
        <v>217146.62261383343</v>
      </c>
      <c r="S44" s="99">
        <f t="shared" si="21"/>
        <v>216667.25519910484</v>
      </c>
      <c r="T44" s="99">
        <f t="shared" si="21"/>
        <v>216188.94602380699</v>
      </c>
      <c r="U44" s="99">
        <f t="shared" si="21"/>
        <v>215711.69275179724</v>
      </c>
      <c r="V44" s="99">
        <f t="shared" si="21"/>
        <v>215235.49305208997</v>
      </c>
      <c r="W44" s="99">
        <f t="shared" si="21"/>
        <v>214760.34459884558</v>
      </c>
      <c r="X44" s="99">
        <f t="shared" si="21"/>
        <v>214286.24507135878</v>
      </c>
      <c r="Y44" s="99">
        <f t="shared" si="21"/>
        <v>213813.19215404757</v>
      </c>
      <c r="Z44" s="99">
        <f t="shared" si="21"/>
        <v>213341.18353644165</v>
      </c>
      <c r="AA44" s="99">
        <f t="shared" si="21"/>
        <v>212870.21691317126</v>
      </c>
      <c r="AB44" s="99">
        <f t="shared" si="21"/>
        <v>212400.28998395609</v>
      </c>
      <c r="AC44" s="99">
        <f t="shared" si="21"/>
        <v>211931.40045359352</v>
      </c>
      <c r="AD44" s="99">
        <f t="shared" si="21"/>
        <v>211463.54603194815</v>
      </c>
      <c r="AE44" s="99">
        <f t="shared" si="21"/>
        <v>210996.72443393996</v>
      </c>
      <c r="AF44" s="99">
        <f t="shared" si="21"/>
        <v>210530.9333795335</v>
      </c>
      <c r="AG44" s="99">
        <f t="shared" si="21"/>
        <v>210066.17059372671</v>
      </c>
      <c r="AI44" s="184" t="s">
        <v>287</v>
      </c>
      <c r="AJ44" s="185" t="s">
        <v>407</v>
      </c>
      <c r="BD44" s="37"/>
      <c r="BE44" s="37"/>
      <c r="BF44" s="37"/>
      <c r="BG44" s="37"/>
      <c r="BH44" s="37"/>
      <c r="BI44" s="37"/>
      <c r="BJ44" s="37"/>
      <c r="BK44" s="37"/>
      <c r="BL44" s="110"/>
    </row>
    <row r="45" spans="1:64" outlineLevel="1">
      <c r="A45" t="s">
        <v>281</v>
      </c>
      <c r="B45" s="50" t="s">
        <v>301</v>
      </c>
      <c r="C45" s="99">
        <f>C27*$C$39</f>
        <v>83597.825207426489</v>
      </c>
      <c r="D45" s="99">
        <f t="shared" ref="D45:H45" si="22">D27*$C$39</f>
        <v>83413.276754108461</v>
      </c>
      <c r="E45" s="99">
        <f t="shared" si="22"/>
        <v>83229.135705307679</v>
      </c>
      <c r="F45" s="99">
        <f t="shared" si="22"/>
        <v>83045.401161648217</v>
      </c>
      <c r="G45" s="99">
        <f t="shared" si="22"/>
        <v>82862.072225739539</v>
      </c>
      <c r="H45" s="99">
        <f t="shared" si="22"/>
        <v>82679.148002172195</v>
      </c>
      <c r="I45" s="99">
        <f>I27*D39</f>
        <v>81222.054701131841</v>
      </c>
      <c r="J45" s="99">
        <f t="shared" ref="J45:AG46" si="23">J27*E39</f>
        <v>79770.99175758542</v>
      </c>
      <c r="K45" s="99">
        <f t="shared" si="23"/>
        <v>78325.939647581181</v>
      </c>
      <c r="L45" s="99">
        <f t="shared" si="23"/>
        <v>76886.878903980294</v>
      </c>
      <c r="M45" s="99">
        <f t="shared" si="23"/>
        <v>75453.790116301214</v>
      </c>
      <c r="N45" s="99">
        <f t="shared" si="23"/>
        <v>74026.653930564193</v>
      </c>
      <c r="O45" s="99">
        <f t="shared" si="23"/>
        <v>72605.451049136667</v>
      </c>
      <c r="P45" s="99">
        <f t="shared" si="23"/>
        <v>71190.162230578615</v>
      </c>
      <c r="Q45" s="99">
        <f t="shared" si="23"/>
        <v>69780.768289488595</v>
      </c>
      <c r="R45" s="99">
        <f t="shared" si="23"/>
        <v>68377.25009635005</v>
      </c>
      <c r="S45" s="99">
        <f t="shared" si="23"/>
        <v>67346.743722281535</v>
      </c>
      <c r="T45" s="99">
        <f t="shared" si="23"/>
        <v>66320.453959273116</v>
      </c>
      <c r="U45" s="99">
        <f t="shared" si="23"/>
        <v>65298.367212411969</v>
      </c>
      <c r="V45" s="99">
        <f t="shared" si="23"/>
        <v>64280.46992625967</v>
      </c>
      <c r="W45" s="99">
        <f t="shared" si="23"/>
        <v>63266.74858474412</v>
      </c>
      <c r="X45" s="99">
        <f t="shared" si="23"/>
        <v>62257.189711051898</v>
      </c>
      <c r="Y45" s="99">
        <f t="shared" si="23"/>
        <v>61251.779867520694</v>
      </c>
      <c r="Z45" s="99">
        <f t="shared" si="23"/>
        <v>60250.505655532201</v>
      </c>
      <c r="AA45" s="99">
        <f t="shared" si="23"/>
        <v>59253.353715405166</v>
      </c>
      <c r="AB45" s="99">
        <f t="shared" si="23"/>
        <v>58260.310726288779</v>
      </c>
      <c r="AC45" s="99">
        <f t="shared" si="23"/>
        <v>57093.771664513406</v>
      </c>
      <c r="AD45" s="99">
        <f t="shared" si="23"/>
        <v>55932.099122224565</v>
      </c>
      <c r="AE45" s="99">
        <f t="shared" si="23"/>
        <v>54775.27729800636</v>
      </c>
      <c r="AF45" s="99">
        <f t="shared" si="23"/>
        <v>53623.290436492083</v>
      </c>
      <c r="AG45" s="99">
        <f t="shared" si="23"/>
        <v>52476.122828237843</v>
      </c>
      <c r="AI45" s="184" t="s">
        <v>288</v>
      </c>
      <c r="AJ45" s="185" t="s">
        <v>407</v>
      </c>
      <c r="AL45" s="5"/>
      <c r="AM45" s="101"/>
      <c r="AN45" s="101"/>
      <c r="AO45" s="101"/>
      <c r="BC45" s="1"/>
      <c r="BD45" s="110"/>
      <c r="BE45" s="110"/>
      <c r="BF45" s="110"/>
      <c r="BG45" s="110"/>
      <c r="BH45" s="110"/>
      <c r="BI45" s="110"/>
      <c r="BJ45" s="110"/>
      <c r="BK45" s="110"/>
      <c r="BL45" s="110"/>
    </row>
    <row r="46" spans="1:64" outlineLevel="1">
      <c r="A46" s="160" t="s">
        <v>306</v>
      </c>
      <c r="B46" s="156" t="s">
        <v>301</v>
      </c>
      <c r="C46" s="99">
        <f>C28*$C$40</f>
        <v>543064.78390965052</v>
      </c>
      <c r="D46" s="99">
        <f t="shared" ref="D46:H46" si="24">D28*$C$40</f>
        <v>541865.92777106864</v>
      </c>
      <c r="E46" s="99">
        <f t="shared" si="24"/>
        <v>540669.71819710231</v>
      </c>
      <c r="F46" s="99">
        <f t="shared" si="24"/>
        <v>539476.14934526221</v>
      </c>
      <c r="G46" s="99">
        <f t="shared" si="24"/>
        <v>538285.21538595646</v>
      </c>
      <c r="H46" s="99">
        <f t="shared" si="24"/>
        <v>537096.91050246265</v>
      </c>
      <c r="I46" s="99">
        <f>I28*D40</f>
        <v>534142.72183555958</v>
      </c>
      <c r="J46" s="99">
        <f t="shared" si="23"/>
        <v>531198.95887278055</v>
      </c>
      <c r="K46" s="99">
        <f t="shared" si="23"/>
        <v>528265.58997998526</v>
      </c>
      <c r="L46" s="99">
        <f t="shared" si="23"/>
        <v>525342.58361189428</v>
      </c>
      <c r="M46" s="99">
        <f t="shared" si="23"/>
        <v>522429.90831185156</v>
      </c>
      <c r="N46" s="99">
        <f t="shared" si="23"/>
        <v>519527.53271158511</v>
      </c>
      <c r="O46" s="99">
        <f t="shared" si="23"/>
        <v>516635.42553097237</v>
      </c>
      <c r="P46" s="99">
        <f t="shared" si="23"/>
        <v>513753.55557780224</v>
      </c>
      <c r="Q46" s="99">
        <f t="shared" si="23"/>
        <v>510881.8917475401</v>
      </c>
      <c r="R46" s="99">
        <f t="shared" si="23"/>
        <v>508020.40302309254</v>
      </c>
      <c r="S46" s="99">
        <f t="shared" si="23"/>
        <v>505169.05847457272</v>
      </c>
      <c r="T46" s="99">
        <f t="shared" si="23"/>
        <v>502327.82725906704</v>
      </c>
      <c r="U46" s="99">
        <f t="shared" si="23"/>
        <v>499496.67862040078</v>
      </c>
      <c r="V46" s="99">
        <f t="shared" si="23"/>
        <v>496675.58188890695</v>
      </c>
      <c r="W46" s="99">
        <f t="shared" si="23"/>
        <v>493864.50648119283</v>
      </c>
      <c r="X46" s="99">
        <f t="shared" si="23"/>
        <v>491063.4218999095</v>
      </c>
      <c r="Y46" s="99">
        <f t="shared" si="23"/>
        <v>488272.29773352057</v>
      </c>
      <c r="Z46" s="99">
        <f t="shared" si="23"/>
        <v>485491.1036560717</v>
      </c>
      <c r="AA46" s="99">
        <f t="shared" si="23"/>
        <v>482719.80942696147</v>
      </c>
      <c r="AB46" s="99">
        <f t="shared" si="23"/>
        <v>479958.38489071204</v>
      </c>
      <c r="AC46" s="99">
        <f t="shared" si="23"/>
        <v>477155.52601091104</v>
      </c>
      <c r="AD46" s="99">
        <f t="shared" si="23"/>
        <v>474362.7031497038</v>
      </c>
      <c r="AE46" s="99">
        <f t="shared" si="23"/>
        <v>471579.88565598108</v>
      </c>
      <c r="AF46" s="99">
        <f t="shared" si="23"/>
        <v>468807.04296505416</v>
      </c>
      <c r="AG46" s="99">
        <f t="shared" si="23"/>
        <v>466044.14459842129</v>
      </c>
      <c r="AI46" s="184" t="s">
        <v>288</v>
      </c>
      <c r="AJ46" s="185" t="s">
        <v>407</v>
      </c>
      <c r="AL46" s="100"/>
      <c r="AM46" s="2"/>
      <c r="AN46" s="2"/>
      <c r="AO46" s="2"/>
    </row>
    <row r="47" spans="1:64" s="1" customFormat="1" ht="15.5" thickBot="1">
      <c r="A47" s="174" t="s">
        <v>420</v>
      </c>
      <c r="B47" s="189" t="s">
        <v>301</v>
      </c>
      <c r="C47" s="190">
        <f>SUM(C42:C46)</f>
        <v>3024677.5902107381</v>
      </c>
      <c r="D47" s="190">
        <f t="shared" ref="D47:AF47" si="25">SUM(D42:D46)</f>
        <v>2987878.1810046127</v>
      </c>
      <c r="E47" s="190">
        <f t="shared" si="25"/>
        <v>2951226.5062731584</v>
      </c>
      <c r="F47" s="190">
        <f t="shared" si="25"/>
        <v>2914722.0930843083</v>
      </c>
      <c r="G47" s="190">
        <f t="shared" si="25"/>
        <v>2878364.469874098</v>
      </c>
      <c r="H47" s="190">
        <f t="shared" si="25"/>
        <v>2842153.1664429237</v>
      </c>
      <c r="I47" s="190">
        <f t="shared" si="25"/>
        <v>2803044.6340000983</v>
      </c>
      <c r="J47" s="190">
        <f t="shared" si="25"/>
        <v>2764094.9206686085</v>
      </c>
      <c r="K47" s="190">
        <f t="shared" si="25"/>
        <v>2725303.5158293094</v>
      </c>
      <c r="L47" s="190">
        <f t="shared" si="25"/>
        <v>2686669.9103435311</v>
      </c>
      <c r="M47" s="190">
        <f t="shared" si="25"/>
        <v>2648193.5965490276</v>
      </c>
      <c r="N47" s="190">
        <f t="shared" si="25"/>
        <v>2596584.6207684278</v>
      </c>
      <c r="O47" s="190">
        <f t="shared" si="25"/>
        <v>2552655.4585438077</v>
      </c>
      <c r="P47" s="190">
        <f t="shared" si="25"/>
        <v>2502608.389345848</v>
      </c>
      <c r="Q47" s="190">
        <f t="shared" si="25"/>
        <v>2452769.7973108464</v>
      </c>
      <c r="R47" s="190">
        <f t="shared" si="25"/>
        <v>2403139.0062447423</v>
      </c>
      <c r="S47" s="190">
        <f t="shared" si="25"/>
        <v>2354082.497066508</v>
      </c>
      <c r="T47" s="190">
        <f t="shared" si="25"/>
        <v>2305230.8213231517</v>
      </c>
      <c r="U47" s="190">
        <f t="shared" si="25"/>
        <v>2256583.3140767133</v>
      </c>
      <c r="V47" s="190">
        <f t="shared" si="25"/>
        <v>2208139.3123254394</v>
      </c>
      <c r="W47" s="190">
        <f t="shared" si="25"/>
        <v>2159898.1549984734</v>
      </c>
      <c r="X47" s="190">
        <f t="shared" si="25"/>
        <v>2122478.6327701835</v>
      </c>
      <c r="Y47" s="190">
        <f t="shared" si="25"/>
        <v>2085745.1042544148</v>
      </c>
      <c r="Z47" s="190">
        <f t="shared" si="25"/>
        <v>2049102.6692935321</v>
      </c>
      <c r="AA47" s="190">
        <f t="shared" si="25"/>
        <v>2012611.0675440421</v>
      </c>
      <c r="AB47" s="190">
        <f t="shared" si="25"/>
        <v>1976269.8224783605</v>
      </c>
      <c r="AC47" s="190">
        <f t="shared" si="25"/>
        <v>1939849.5931863168</v>
      </c>
      <c r="AD47" s="190">
        <f t="shared" si="25"/>
        <v>1903579.7819702267</v>
      </c>
      <c r="AE47" s="190">
        <f t="shared" si="25"/>
        <v>1867459.9129206599</v>
      </c>
      <c r="AF47" s="190">
        <f t="shared" si="25"/>
        <v>1831489.5114526902</v>
      </c>
      <c r="AG47" s="190">
        <f>SUM(AG42:AG46)</f>
        <v>1795668.1043025041</v>
      </c>
      <c r="AJ47" s="142"/>
      <c r="AL47" s="194"/>
      <c r="AM47" s="116"/>
      <c r="AN47" s="116"/>
      <c r="AO47" s="116"/>
    </row>
    <row r="48" spans="1:64" ht="15.5" thickTop="1">
      <c r="B48" s="156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L48" s="100"/>
      <c r="AM48" s="2"/>
      <c r="AN48" s="2"/>
      <c r="AO48" s="2"/>
    </row>
    <row r="49" spans="1:63" s="174" customFormat="1" ht="15.5" thickBot="1">
      <c r="A49" s="174" t="s">
        <v>416</v>
      </c>
      <c r="B49" s="189" t="s">
        <v>126</v>
      </c>
      <c r="C49" s="190">
        <f>C52</f>
        <v>0.25</v>
      </c>
      <c r="D49" s="190">
        <f t="shared" ref="D49:AG49" si="26">D52</f>
        <v>0.2640542988340765</v>
      </c>
      <c r="E49" s="190">
        <f t="shared" si="26"/>
        <v>0.27797528395547783</v>
      </c>
      <c r="F49" s="190">
        <f t="shared" si="26"/>
        <v>0.29175708641406539</v>
      </c>
      <c r="G49" s="190">
        <f t="shared" si="26"/>
        <v>0.30539348763263441</v>
      </c>
      <c r="H49" s="190">
        <f t="shared" si="26"/>
        <v>0.31887789297818275</v>
      </c>
      <c r="I49" s="190">
        <f t="shared" si="26"/>
        <v>0.33220330289904365</v>
      </c>
      <c r="J49" s="190">
        <f t="shared" si="26"/>
        <v>0.34536228136225317</v>
      </c>
      <c r="K49" s="190">
        <f t="shared" si="26"/>
        <v>0.35834692129186696</v>
      </c>
      <c r="L49" s="190">
        <f t="shared" si="26"/>
        <v>0.3711488066704165</v>
      </c>
      <c r="M49" s="190">
        <f t="shared" si="26"/>
        <v>0.3837589709214953</v>
      </c>
      <c r="N49" s="190">
        <f t="shared" si="26"/>
        <v>0.39030044316752249</v>
      </c>
      <c r="O49" s="190">
        <f t="shared" si="26"/>
        <v>0.3969278690714122</v>
      </c>
      <c r="P49" s="190">
        <f t="shared" si="26"/>
        <v>0.40292558396324563</v>
      </c>
      <c r="Q49" s="190">
        <f t="shared" si="26"/>
        <v>0.40857639740277452</v>
      </c>
      <c r="R49" s="190">
        <f t="shared" si="26"/>
        <v>0.41385326058004018</v>
      </c>
      <c r="S49" s="190">
        <f t="shared" si="26"/>
        <v>0.41872623755790389</v>
      </c>
      <c r="T49" s="190">
        <f t="shared" si="26"/>
        <v>0.4231621095046581</v>
      </c>
      <c r="U49" s="190">
        <f t="shared" si="26"/>
        <v>0.42712391198933292</v>
      </c>
      <c r="V49" s="190">
        <f t="shared" si="26"/>
        <v>0.43057039174838763</v>
      </c>
      <c r="W49" s="190">
        <f t="shared" si="26"/>
        <v>0.4334553660843708</v>
      </c>
      <c r="X49" s="190">
        <f t="shared" si="26"/>
        <v>0.44204054048203134</v>
      </c>
      <c r="Y49" s="190">
        <f t="shared" si="26"/>
        <v>0.45017594000409689</v>
      </c>
      <c r="Z49" s="190">
        <f t="shared" si="26"/>
        <v>0.45776808225835319</v>
      </c>
      <c r="AA49" s="190">
        <f t="shared" si="26"/>
        <v>0.46477826766380925</v>
      </c>
      <c r="AB49" s="190">
        <f t="shared" si="26"/>
        <v>0.47116403148652425</v>
      </c>
      <c r="AC49" s="190">
        <f t="shared" si="26"/>
        <v>0.47687867452625188</v>
      </c>
      <c r="AD49" s="190">
        <f t="shared" si="26"/>
        <v>0.4818707218104103</v>
      </c>
      <c r="AE49" s="190">
        <f t="shared" si="26"/>
        <v>0.48608329607302542</v>
      </c>
      <c r="AF49" s="190">
        <f t="shared" si="26"/>
        <v>0.48945338994615972</v>
      </c>
      <c r="AG49" s="190">
        <f t="shared" si="26"/>
        <v>0.49191101723089004</v>
      </c>
      <c r="AJ49" s="204" t="s">
        <v>458</v>
      </c>
      <c r="AL49" s="191"/>
      <c r="AM49" s="192"/>
      <c r="AN49" s="192"/>
      <c r="AO49" s="192"/>
    </row>
    <row r="50" spans="1:63" ht="15.5" outlineLevel="1" thickTop="1">
      <c r="A50" t="s">
        <v>408</v>
      </c>
      <c r="B50" s="50" t="s">
        <v>126</v>
      </c>
      <c r="C50" s="120">
        <f>'Ethylene Recycling HC'!C50*'Ethylene Recycling HC'!C$42/'Ethylene Recycling LC'!C$42</f>
        <v>8.2746478873239437E-2</v>
      </c>
      <c r="D50" s="120">
        <f>'Ethylene Recycling HC'!D50*'Ethylene Recycling HC'!D$42/'Ethylene Recycling LC'!D$42</f>
        <v>8.905319386630603E-2</v>
      </c>
      <c r="E50" s="120">
        <f>'Ethylene Recycling HC'!E50*'Ethylene Recycling HC'!E$42/'Ethylene Recycling LC'!E$42</f>
        <v>9.5303813867769149E-2</v>
      </c>
      <c r="F50" s="120">
        <f>'Ethylene Recycling HC'!F50*'Ethylene Recycling HC'!F$42/'Ethylene Recycling LC'!F$42</f>
        <v>0.10149586937391351</v>
      </c>
      <c r="G50" s="120">
        <f>'Ethylene Recycling HC'!G50*'Ethylene Recycling HC'!G$42/'Ethylene Recycling LC'!G$42</f>
        <v>0.10762674376692023</v>
      </c>
      <c r="H50" s="120">
        <f>'Ethylene Recycling HC'!H50*'Ethylene Recycling HC'!H$42/'Ethylene Recycling LC'!H$42</f>
        <v>0.11369366219433445</v>
      </c>
      <c r="I50" s="120">
        <f>'Ethylene Recycling HC'!I50*'Ethylene Recycling HC'!I$42/'Ethylene Recycling LC'!I$42</f>
        <v>0.11969367942431096</v>
      </c>
      <c r="J50" s="120">
        <f>'Ethylene Recycling HC'!J50*'Ethylene Recycling HC'!J$42/'Ethylene Recycling LC'!J$42</f>
        <v>0.12562366656486779</v>
      </c>
      <c r="K50" s="120">
        <f>'Ethylene Recycling HC'!K50*'Ethylene Recycling HC'!K$42/'Ethylene Recycling LC'!K$42</f>
        <v>0.13148029652121623</v>
      </c>
      <c r="L50" s="120">
        <f>'Ethylene Recycling HC'!L50*'Ethylene Recycling HC'!L$42/'Ethylene Recycling LC'!L$42</f>
        <v>0.13726002804902543</v>
      </c>
      <c r="M50" s="120">
        <f>'Ethylene Recycling HC'!M50*'Ethylene Recycling HC'!M$42/'Ethylene Recycling LC'!M$42</f>
        <v>0.142959088242882</v>
      </c>
      <c r="N50" s="120">
        <f>'Ethylene Recycling HC'!N50*'Ethylene Recycling HC'!N$42/'Ethylene Recycling LC'!N$42</f>
        <v>0.1503350054237422</v>
      </c>
      <c r="O50" s="120">
        <f>'Ethylene Recycling HC'!O50*'Ethylene Recycling HC'!O$42/'Ethylene Recycling LC'!O$42</f>
        <v>0.15766989450270061</v>
      </c>
      <c r="P50" s="120">
        <f>'Ethylene Recycling HC'!P50*'Ethylene Recycling HC'!P$42/'Ethylene Recycling LC'!P$42</f>
        <v>0.16467949644529828</v>
      </c>
      <c r="Q50" s="120">
        <f>'Ethylene Recycling HC'!Q50*'Ethylene Recycling HC'!Q$42/'Ethylene Recycling LC'!Q$42</f>
        <v>0.17146645541303385</v>
      </c>
      <c r="R50" s="120">
        <f>'Ethylene Recycling HC'!R50*'Ethylene Recycling HC'!R$42/'Ethylene Recycling LC'!R$42</f>
        <v>0.17801341135314405</v>
      </c>
      <c r="S50" s="120">
        <f>'Ethylene Recycling HC'!S50*'Ethylene Recycling HC'!S$42/'Ethylene Recycling LC'!S$42</f>
        <v>0.18430115124113555</v>
      </c>
      <c r="T50" s="120">
        <f>'Ethylene Recycling HC'!T50*'Ethylene Recycling HC'!T$42/'Ethylene Recycling LC'!T$42</f>
        <v>0.19030835507542404</v>
      </c>
      <c r="U50" s="120">
        <f>'Ethylene Recycling HC'!U50*'Ethylene Recycling HC'!U$42/'Ethylene Recycling LC'!U$42</f>
        <v>0.19601129891129679</v>
      </c>
      <c r="V50" s="120">
        <f>'Ethylene Recycling HC'!V50*'Ethylene Recycling HC'!V$42/'Ethylene Recycling LC'!V$42</f>
        <v>0.20138350621123435</v>
      </c>
      <c r="W50" s="120">
        <f>'Ethylene Recycling HC'!W50*'Ethylene Recycling HC'!W$42/'Ethylene Recycling LC'!W$42</f>
        <v>0.20639533670397395</v>
      </c>
      <c r="X50" s="120">
        <f>'Ethylene Recycling HC'!X50*'Ethylene Recycling HC'!X$42/'Ethylene Recycling LC'!X$42</f>
        <v>0.21641907357025325</v>
      </c>
      <c r="Y50" s="120">
        <f>'Ethylene Recycling HC'!Y50*'Ethylene Recycling HC'!Y$42/'Ethylene Recycling LC'!Y$42</f>
        <v>0.22609500175892405</v>
      </c>
      <c r="Z50" s="120">
        <f>'Ethylene Recycling HC'!Z50*'Ethylene Recycling HC'!Z$42/'Ethylene Recycling LC'!Z$42</f>
        <v>0.23536930905606374</v>
      </c>
      <c r="AA50" s="120">
        <f>'Ethylene Recycling HC'!AA50*'Ethylene Recycling HC'!AA$42/'Ethylene Recycling LC'!AA$42</f>
        <v>0.24421338551728658</v>
      </c>
      <c r="AB50" s="120">
        <f>'Ethylene Recycling HC'!AB50*'Ethylene Recycling HC'!AB$42/'Ethylene Recycling LC'!AB$42</f>
        <v>0.25259583768443805</v>
      </c>
      <c r="AC50" s="120">
        <f>'Ethylene Recycling HC'!AC50*'Ethylene Recycling HC'!AC$42/'Ethylene Recycling LC'!AC$42</f>
        <v>0.26048214163018568</v>
      </c>
      <c r="AD50" s="120">
        <f>'Ethylene Recycling HC'!AD50*'Ethylene Recycling HC'!AD$42/'Ethylene Recycling LC'!AD$42</f>
        <v>0.26783424277964429</v>
      </c>
      <c r="AE50" s="120">
        <f>'Ethylene Recycling HC'!AE50*'Ethylene Recycling HC'!AE$42/'Ethylene Recycling LC'!AE$42</f>
        <v>0.27461009273397596</v>
      </c>
      <c r="AF50" s="120">
        <f>'Ethylene Recycling HC'!AF50*'Ethylene Recycling HC'!AF$42/'Ethylene Recycling LC'!AF$42</f>
        <v>0.28076311121384812</v>
      </c>
      <c r="AG50" s="120">
        <f>'Ethylene Recycling HC'!AG50*'Ethylene Recycling HC'!AG$42/'Ethylene Recycling LC'!AG$42</f>
        <v>0.28624155860845035</v>
      </c>
      <c r="AI50" s="124" t="s">
        <v>479</v>
      </c>
      <c r="AJ50" s="185"/>
      <c r="AL50" s="100"/>
      <c r="AM50" s="2"/>
      <c r="AN50" s="2"/>
      <c r="AO50" s="2"/>
      <c r="AV50" s="37"/>
    </row>
    <row r="51" spans="1:63" outlineLevel="1">
      <c r="A51" t="s">
        <v>410</v>
      </c>
      <c r="B51" s="50" t="s">
        <v>126</v>
      </c>
      <c r="C51" s="120">
        <f>'Ethylene Recycling HC'!C51*'Ethylene Recycling HC'!C$42/'Ethylene Recycling LC'!C$42</f>
        <v>0.16725352112676059</v>
      </c>
      <c r="D51" s="120">
        <f>'Ethylene Recycling HC'!D51*'Ethylene Recycling HC'!D$42/'Ethylene Recycling LC'!D$42</f>
        <v>0.17500110496777047</v>
      </c>
      <c r="E51" s="120">
        <f>'Ethylene Recycling HC'!E51*'Ethylene Recycling HC'!E$42/'Ethylene Recycling LC'!E$42</f>
        <v>0.18267147008770868</v>
      </c>
      <c r="F51" s="120">
        <f>'Ethylene Recycling HC'!F51*'Ethylene Recycling HC'!F$42/'Ethylene Recycling LC'!F$42</f>
        <v>0.19026121704015192</v>
      </c>
      <c r="G51" s="120">
        <f>'Ethylene Recycling HC'!G51*'Ethylene Recycling HC'!G$42/'Ethylene Recycling LC'!G$42</f>
        <v>0.19776674386571413</v>
      </c>
      <c r="H51" s="120">
        <f>'Ethylene Recycling HC'!H51*'Ethylene Recycling HC'!H$42/'Ethylene Recycling LC'!H$42</f>
        <v>0.20518423078384834</v>
      </c>
      <c r="I51" s="120">
        <f>'Ethylene Recycling HC'!I51*'Ethylene Recycling HC'!I$42/'Ethylene Recycling LC'!I$42</f>
        <v>0.21250962347473271</v>
      </c>
      <c r="J51" s="120">
        <f>'Ethylene Recycling HC'!J51*'Ethylene Recycling HC'!J$42/'Ethylene Recycling LC'!J$42</f>
        <v>0.21973861479738535</v>
      </c>
      <c r="K51" s="120">
        <f>'Ethylene Recycling HC'!K51*'Ethylene Recycling HC'!K$42/'Ethylene Recycling LC'!K$42</f>
        <v>0.22686662477065075</v>
      </c>
      <c r="L51" s="120">
        <f>'Ethylene Recycling HC'!L51*'Ethylene Recycling HC'!L$42/'Ethylene Recycling LC'!L$42</f>
        <v>0.2338887786213911</v>
      </c>
      <c r="M51" s="120">
        <f>'Ethylene Recycling HC'!M51*'Ethylene Recycling HC'!M$42/'Ethylene Recycling LC'!M$42</f>
        <v>0.24079988267861333</v>
      </c>
      <c r="N51" s="120">
        <f>'Ethylene Recycling HC'!N51*'Ethylene Recycling HC'!N$42/'Ethylene Recycling LC'!N$42</f>
        <v>0.23996543774378029</v>
      </c>
      <c r="O51" s="120">
        <f>'Ethylene Recycling HC'!O51*'Ethylene Recycling HC'!O$42/'Ethylene Recycling LC'!O$42</f>
        <v>0.23925797456871156</v>
      </c>
      <c r="P51" s="120">
        <f>'Ethylene Recycling HC'!P51*'Ethylene Recycling HC'!P$42/'Ethylene Recycling LC'!P$42</f>
        <v>0.23824608751794737</v>
      </c>
      <c r="Q51" s="120">
        <f>'Ethylene Recycling HC'!Q51*'Ethylene Recycling HC'!Q$42/'Ethylene Recycling LC'!Q$42</f>
        <v>0.23710994198974067</v>
      </c>
      <c r="R51" s="120">
        <f>'Ethylene Recycling HC'!R51*'Ethylene Recycling HC'!R$42/'Ethylene Recycling LC'!R$42</f>
        <v>0.23583984922689619</v>
      </c>
      <c r="S51" s="120">
        <f>'Ethylene Recycling HC'!S51*'Ethylene Recycling HC'!S$42/'Ethylene Recycling LC'!S$42</f>
        <v>0.23442508631676826</v>
      </c>
      <c r="T51" s="120">
        <f>'Ethylene Recycling HC'!T51*'Ethylene Recycling HC'!T$42/'Ethylene Recycling LC'!T$42</f>
        <v>0.23285375442923403</v>
      </c>
      <c r="U51" s="120">
        <f>'Ethylene Recycling HC'!U51*'Ethylene Recycling HC'!U$42/'Ethylene Recycling LC'!U$42</f>
        <v>0.23111261307803613</v>
      </c>
      <c r="V51" s="120">
        <f>'Ethylene Recycling HC'!V51*'Ethylene Recycling HC'!V$42/'Ethylene Recycling LC'!V$42</f>
        <v>0.2291868855371533</v>
      </c>
      <c r="W51" s="120">
        <f>'Ethylene Recycling HC'!W51*'Ethylene Recycling HC'!W$42/'Ethylene Recycling LC'!W$42</f>
        <v>0.2270600293803969</v>
      </c>
      <c r="X51" s="120">
        <f>'Ethylene Recycling HC'!X51*'Ethylene Recycling HC'!X$42/'Ethylene Recycling LC'!X$42</f>
        <v>0.22562146691177812</v>
      </c>
      <c r="Y51" s="120">
        <f>'Ethylene Recycling HC'!Y51*'Ethylene Recycling HC'!Y$42/'Ethylene Recycling LC'!Y$42</f>
        <v>0.22408093824517294</v>
      </c>
      <c r="Z51" s="120">
        <f>'Ethylene Recycling HC'!Z51*'Ethylene Recycling HC'!Z$42/'Ethylene Recycling LC'!Z$42</f>
        <v>0.22239877320228943</v>
      </c>
      <c r="AA51" s="120">
        <f>'Ethylene Recycling HC'!AA51*'Ethylene Recycling HC'!AA$42/'Ethylene Recycling LC'!AA$42</f>
        <v>0.2205648821465227</v>
      </c>
      <c r="AB51" s="120">
        <f>'Ethylene Recycling HC'!AB51*'Ethylene Recycling HC'!AB$42/'Ethylene Recycling LC'!AB$42</f>
        <v>0.21856819380208625</v>
      </c>
      <c r="AC51" s="120">
        <f>'Ethylene Recycling HC'!AC51*'Ethylene Recycling HC'!AC$42/'Ethylene Recycling LC'!AC$42</f>
        <v>0.2163965328960662</v>
      </c>
      <c r="AD51" s="120">
        <f>'Ethylene Recycling HC'!AD51*'Ethylene Recycling HC'!AD$42/'Ethylene Recycling LC'!AD$42</f>
        <v>0.21403647903076603</v>
      </c>
      <c r="AE51" s="120">
        <f>'Ethylene Recycling HC'!AE51*'Ethylene Recycling HC'!AE$42/'Ethylene Recycling LC'!AE$42</f>
        <v>0.21147320333904951</v>
      </c>
      <c r="AF51" s="120">
        <f>'Ethylene Recycling HC'!AF51*'Ethylene Recycling HC'!AF$42/'Ethylene Recycling LC'!AF$42</f>
        <v>0.20869027873231152</v>
      </c>
      <c r="AG51" s="120">
        <f>'Ethylene Recycling HC'!AG51*'Ethylene Recycling HC'!AG$42/'Ethylene Recycling LC'!AG$42</f>
        <v>0.20566945862243971</v>
      </c>
      <c r="AI51" s="124" t="s">
        <v>479</v>
      </c>
      <c r="AJ51" s="185"/>
      <c r="AL51" s="100"/>
      <c r="AM51" s="2"/>
      <c r="AN51" s="2"/>
      <c r="AO51" s="2"/>
      <c r="AV51" s="37"/>
    </row>
    <row r="52" spans="1:63" outlineLevel="1">
      <c r="A52" t="s">
        <v>409</v>
      </c>
      <c r="B52" s="156" t="s">
        <v>126</v>
      </c>
      <c r="C52" s="120">
        <f>'Ethylene Recycling HC'!C52*'Ethylene Recycling HC'!C$42/'Ethylene Recycling LC'!C$42</f>
        <v>0.25</v>
      </c>
      <c r="D52" s="120">
        <f>'Ethylene Recycling HC'!D52*'Ethylene Recycling HC'!D$42/'Ethylene Recycling LC'!D$42</f>
        <v>0.2640542988340765</v>
      </c>
      <c r="E52" s="120">
        <f>'Ethylene Recycling HC'!E52*'Ethylene Recycling HC'!E$42/'Ethylene Recycling LC'!E$42</f>
        <v>0.27797528395547783</v>
      </c>
      <c r="F52" s="120">
        <f>'Ethylene Recycling HC'!F52*'Ethylene Recycling HC'!F$42/'Ethylene Recycling LC'!F$42</f>
        <v>0.29175708641406539</v>
      </c>
      <c r="G52" s="120">
        <f>'Ethylene Recycling HC'!G52*'Ethylene Recycling HC'!G$42/'Ethylene Recycling LC'!G$42</f>
        <v>0.30539348763263441</v>
      </c>
      <c r="H52" s="120">
        <f>'Ethylene Recycling HC'!H52*'Ethylene Recycling HC'!H$42/'Ethylene Recycling LC'!H$42</f>
        <v>0.31887789297818275</v>
      </c>
      <c r="I52" s="120">
        <f>'Ethylene Recycling HC'!I52*'Ethylene Recycling HC'!I$42/'Ethylene Recycling LC'!I$42</f>
        <v>0.33220330289904365</v>
      </c>
      <c r="J52" s="120">
        <f>'Ethylene Recycling HC'!J52*'Ethylene Recycling HC'!J$42/'Ethylene Recycling LC'!J$42</f>
        <v>0.34536228136225317</v>
      </c>
      <c r="K52" s="120">
        <f>'Ethylene Recycling HC'!K52*'Ethylene Recycling HC'!K$42/'Ethylene Recycling LC'!K$42</f>
        <v>0.35834692129186696</v>
      </c>
      <c r="L52" s="120">
        <f>'Ethylene Recycling HC'!L52*'Ethylene Recycling HC'!L$42/'Ethylene Recycling LC'!L$42</f>
        <v>0.3711488066704165</v>
      </c>
      <c r="M52" s="120">
        <f>'Ethylene Recycling HC'!M52*'Ethylene Recycling HC'!M$42/'Ethylene Recycling LC'!M$42</f>
        <v>0.3837589709214953</v>
      </c>
      <c r="N52" s="120">
        <f>'Ethylene Recycling HC'!N52*'Ethylene Recycling HC'!N$42/'Ethylene Recycling LC'!N$42</f>
        <v>0.39030044316752249</v>
      </c>
      <c r="O52" s="120">
        <f>'Ethylene Recycling HC'!O52*'Ethylene Recycling HC'!O$42/'Ethylene Recycling LC'!O$42</f>
        <v>0.3969278690714122</v>
      </c>
      <c r="P52" s="120">
        <f>'Ethylene Recycling HC'!P52*'Ethylene Recycling HC'!P$42/'Ethylene Recycling LC'!P$42</f>
        <v>0.40292558396324563</v>
      </c>
      <c r="Q52" s="120">
        <f>'Ethylene Recycling HC'!Q52*'Ethylene Recycling HC'!Q$42/'Ethylene Recycling LC'!Q$42</f>
        <v>0.40857639740277452</v>
      </c>
      <c r="R52" s="120">
        <f>'Ethylene Recycling HC'!R52*'Ethylene Recycling HC'!R$42/'Ethylene Recycling LC'!R$42</f>
        <v>0.41385326058004018</v>
      </c>
      <c r="S52" s="120">
        <f>'Ethylene Recycling HC'!S52*'Ethylene Recycling HC'!S$42/'Ethylene Recycling LC'!S$42</f>
        <v>0.41872623755790389</v>
      </c>
      <c r="T52" s="120">
        <f>'Ethylene Recycling HC'!T52*'Ethylene Recycling HC'!T$42/'Ethylene Recycling LC'!T$42</f>
        <v>0.4231621095046581</v>
      </c>
      <c r="U52" s="120">
        <f>'Ethylene Recycling HC'!U52*'Ethylene Recycling HC'!U$42/'Ethylene Recycling LC'!U$42</f>
        <v>0.42712391198933292</v>
      </c>
      <c r="V52" s="120">
        <f>'Ethylene Recycling HC'!V52*'Ethylene Recycling HC'!V$42/'Ethylene Recycling LC'!V$42</f>
        <v>0.43057039174838763</v>
      </c>
      <c r="W52" s="120">
        <f>'Ethylene Recycling HC'!W52*'Ethylene Recycling HC'!W$42/'Ethylene Recycling LC'!W$42</f>
        <v>0.4334553660843708</v>
      </c>
      <c r="X52" s="120">
        <f>'Ethylene Recycling HC'!X52*'Ethylene Recycling HC'!X$42/'Ethylene Recycling LC'!X$42</f>
        <v>0.44204054048203134</v>
      </c>
      <c r="Y52" s="120">
        <f>'Ethylene Recycling HC'!Y52*'Ethylene Recycling HC'!Y$42/'Ethylene Recycling LC'!Y$42</f>
        <v>0.45017594000409689</v>
      </c>
      <c r="Z52" s="120">
        <f>'Ethylene Recycling HC'!Z52*'Ethylene Recycling HC'!Z$42/'Ethylene Recycling LC'!Z$42</f>
        <v>0.45776808225835319</v>
      </c>
      <c r="AA52" s="120">
        <f>'Ethylene Recycling HC'!AA52*'Ethylene Recycling HC'!AA$42/'Ethylene Recycling LC'!AA$42</f>
        <v>0.46477826766380925</v>
      </c>
      <c r="AB52" s="120">
        <f>'Ethylene Recycling HC'!AB52*'Ethylene Recycling HC'!AB$42/'Ethylene Recycling LC'!AB$42</f>
        <v>0.47116403148652425</v>
      </c>
      <c r="AC52" s="120">
        <f>'Ethylene Recycling HC'!AC52*'Ethylene Recycling HC'!AC$42/'Ethylene Recycling LC'!AC$42</f>
        <v>0.47687867452625188</v>
      </c>
      <c r="AD52" s="120">
        <f>'Ethylene Recycling HC'!AD52*'Ethylene Recycling HC'!AD$42/'Ethylene Recycling LC'!AD$42</f>
        <v>0.4818707218104103</v>
      </c>
      <c r="AE52" s="120">
        <f>'Ethylene Recycling HC'!AE52*'Ethylene Recycling HC'!AE$42/'Ethylene Recycling LC'!AE$42</f>
        <v>0.48608329607302542</v>
      </c>
      <c r="AF52" s="120">
        <f>'Ethylene Recycling HC'!AF52*'Ethylene Recycling HC'!AF$42/'Ethylene Recycling LC'!AF$42</f>
        <v>0.48945338994615972</v>
      </c>
      <c r="AG52" s="120">
        <f>'Ethylene Recycling HC'!AG52*'Ethylene Recycling HC'!AG$42/'Ethylene Recycling LC'!AG$42</f>
        <v>0.49191101723089004</v>
      </c>
      <c r="AI52" s="124" t="s">
        <v>479</v>
      </c>
      <c r="AJ52" s="185"/>
      <c r="AL52" s="100"/>
      <c r="AM52" s="2"/>
      <c r="AN52" s="2"/>
      <c r="AO52" s="2"/>
    </row>
    <row r="53" spans="1:63" outlineLevel="1">
      <c r="A53" t="s">
        <v>423</v>
      </c>
      <c r="B53" s="50" t="s">
        <v>126</v>
      </c>
      <c r="C53" s="120">
        <f>'Ethylene Recycling HC'!C58*'Ethylene Recycling HC'!C$42/'Ethylene Recycling LC'!C$42</f>
        <v>1.923404623536536E-2</v>
      </c>
      <c r="D53" s="120">
        <f>'Ethylene Recycling HC'!D58*'Ethylene Recycling HC'!D$42/'Ethylene Recycling LC'!D$42</f>
        <v>1.9745848072314606E-2</v>
      </c>
      <c r="E53" s="120">
        <f>'Ethylene Recycling HC'!E58*'Ethylene Recycling HC'!E$42/'Ethylene Recycling LC'!E$42</f>
        <v>2.0215531889989789E-2</v>
      </c>
      <c r="F53" s="120">
        <f>'Ethylene Recycling HC'!F58*'Ethylene Recycling HC'!F$42/'Ethylene Recycling LC'!F$42</f>
        <v>2.0643230767110981E-2</v>
      </c>
      <c r="G53" s="120">
        <f>'Ethylene Recycling HC'!G58*'Ethylene Recycling HC'!G$42/'Ethylene Recycling LC'!G$42</f>
        <v>2.1029085710208385E-2</v>
      </c>
      <c r="H53" s="120">
        <f>'Ethylene Recycling HC'!H58*'Ethylene Recycling HC'!H$42/'Ethylene Recycling LC'!H$42</f>
        <v>2.1373246252895127E-2</v>
      </c>
      <c r="I53" s="120">
        <f>'Ethylene Recycling HC'!I58*'Ethylene Recycling HC'!I$42/'Ethylene Recycling LC'!I$42</f>
        <v>2.1675871110333995E-2</v>
      </c>
      <c r="J53" s="120">
        <f>'Ethylene Recycling HC'!J58*'Ethylene Recycling HC'!J$42/'Ethylene Recycling LC'!J$42</f>
        <v>2.1937128894921762E-2</v>
      </c>
      <c r="K53" s="120">
        <f>'Ethylene Recycling HC'!K58*'Ethylene Recycling HC'!K$42/'Ethylene Recycling LC'!K$42</f>
        <v>2.2157198899976881E-2</v>
      </c>
      <c r="L53" s="120">
        <f>'Ethylene Recycling HC'!L58*'Ethylene Recycling HC'!L$42/'Ethylene Recycling LC'!L$42</f>
        <v>2.2336271959090759E-2</v>
      </c>
      <c r="M53" s="120">
        <f>'Ethylene Recycling HC'!M58*'Ethylene Recycling HC'!M$42/'Ethylene Recycling LC'!M$42</f>
        <v>2.2474551389804618E-2</v>
      </c>
      <c r="N53" s="120">
        <f>'Ethylene Recycling HC'!N58*'Ethylene Recycling HC'!N$42/'Ethylene Recycling LC'!N$42</f>
        <v>2.1876750307233454E-2</v>
      </c>
      <c r="O53" s="120">
        <f>'Ethylene Recycling HC'!O58*'Ethylene Recycling HC'!O$42/'Ethylene Recycling LC'!O$42</f>
        <v>2.1293866443666307E-2</v>
      </c>
      <c r="P53" s="120">
        <f>'Ethylene Recycling HC'!P58*'Ethylene Recycling HC'!P$42/'Ethylene Recycling LC'!P$42</f>
        <v>2.0687614195442211E-2</v>
      </c>
      <c r="Q53" s="120">
        <f>'Ethylene Recycling HC'!Q58*'Ethylene Recycling HC'!Q$42/'Ethylene Recycling LC'!Q$42</f>
        <v>2.007522623924261E-2</v>
      </c>
      <c r="R53" s="120">
        <f>'Ethylene Recycling HC'!R58*'Ethylene Recycling HC'!R$42/'Ethylene Recycling LC'!R$42</f>
        <v>1.9456710927775234E-2</v>
      </c>
      <c r="S53" s="120">
        <f>'Ethylene Recycling HC'!S58*'Ethylene Recycling HC'!S$42/'Ethylene Recycling LC'!S$42</f>
        <v>1.8832077505296457E-2</v>
      </c>
      <c r="T53" s="120">
        <f>'Ethylene Recycling HC'!T58*'Ethylene Recycling HC'!T$42/'Ethylene Recycling LC'!T$42</f>
        <v>1.8201336229824765E-2</v>
      </c>
      <c r="U53" s="120">
        <f>'Ethylene Recycling HC'!U58*'Ethylene Recycling HC'!U$42/'Ethylene Recycling LC'!U$42</f>
        <v>1.7564498516024561E-2</v>
      </c>
      <c r="V53" s="120">
        <f>'Ethylene Recycling HC'!V58*'Ethylene Recycling HC'!V$42/'Ethylene Recycling LC'!V$42</f>
        <v>1.6921577102957344E-2</v>
      </c>
      <c r="W53" s="120">
        <f>'Ethylene Recycling HC'!W58*'Ethylene Recycling HC'!W$42/'Ethylene Recycling LC'!W$42</f>
        <v>1.6272586251900235E-2</v>
      </c>
      <c r="X53" s="120">
        <f>'Ethylene Recycling HC'!X58*'Ethylene Recycling HC'!X$42/'Ethylene Recycling LC'!X$42</f>
        <v>1.5680647962509783E-2</v>
      </c>
      <c r="Y53" s="120">
        <f>'Ethylene Recycling HC'!Y58*'Ethylene Recycling HC'!Y$42/'Ethylene Recycling LC'!Y$42</f>
        <v>1.5088077675163812E-2</v>
      </c>
      <c r="Z53" s="120">
        <f>'Ethylene Recycling HC'!Z58*'Ethylene Recycling HC'!Z$42/'Ethylene Recycling LC'!Z$42</f>
        <v>1.4492952996252839E-2</v>
      </c>
      <c r="AA53" s="120">
        <f>'Ethylene Recycling HC'!AA58*'Ethylene Recycling HC'!AA$42/'Ethylene Recycling LC'!AA$42</f>
        <v>1.3895558907223342E-2</v>
      </c>
      <c r="AB53" s="120">
        <f>'Ethylene Recycling HC'!AB58*'Ethylene Recycling HC'!AB$42/'Ethylene Recycling LC'!AB$42</f>
        <v>1.3296208115887557E-2</v>
      </c>
      <c r="AC53" s="120">
        <f>'Ethylene Recycling HC'!AC58*'Ethylene Recycling HC'!AC$42/'Ethylene Recycling LC'!AC$42</f>
        <v>1.2695244512419388E-2</v>
      </c>
      <c r="AD53" s="120">
        <f>'Ethylene Recycling HC'!AD58*'Ethylene Recycling HC'!AD$42/'Ethylene Recycling LC'!AD$42</f>
        <v>1.2093047155500379E-2</v>
      </c>
      <c r="AE53" s="120">
        <f>'Ethylene Recycling HC'!AE58*'Ethylene Recycling HC'!AE$42/'Ethylene Recycling LC'!AE$42</f>
        <v>1.1490034885984018E-2</v>
      </c>
      <c r="AF53" s="120">
        <f>'Ethylene Recycling HC'!AF58*'Ethylene Recycling HC'!AF$42/'Ethylene Recycling LC'!AF$42</f>
        <v>1.0886671686435378E-2</v>
      </c>
      <c r="AG53" s="120">
        <f>'Ethylene Recycling HC'!AG58*'Ethylene Recycling HC'!AG$42/'Ethylene Recycling LC'!AG$42</f>
        <v>1.0283472931121987E-2</v>
      </c>
      <c r="AI53" s="124" t="s">
        <v>479</v>
      </c>
      <c r="AJ53" s="185"/>
      <c r="AL53" s="100"/>
      <c r="AM53" s="2"/>
      <c r="AN53" s="2"/>
      <c r="AO53" s="2"/>
    </row>
    <row r="54" spans="1:63" outlineLevel="1">
      <c r="A54" t="s">
        <v>424</v>
      </c>
      <c r="B54" s="50" t="s">
        <v>126</v>
      </c>
      <c r="C54" s="120">
        <f>'Ethylene Recycling HC'!C59*'Ethylene Recycling HC'!C$42/'Ethylene Recycling LC'!C$42</f>
        <v>2.3066990228489227E-2</v>
      </c>
      <c r="D54" s="120">
        <f>'Ethylene Recycling HC'!D59*'Ethylene Recycling HC'!D$42/'Ethylene Recycling LC'!D$42</f>
        <v>2.4135508484792661E-2</v>
      </c>
      <c r="E54" s="120">
        <f>'Ethylene Recycling HC'!E59*'Ethylene Recycling HC'!E$42/'Ethylene Recycling LC'!E$42</f>
        <v>2.519337701921032E-2</v>
      </c>
      <c r="F54" s="120">
        <f>'Ethylene Recycling HC'!F59*'Ethylene Recycling HC'!F$42/'Ethylene Recycling LC'!F$42</f>
        <v>2.6240126992599686E-2</v>
      </c>
      <c r="G54" s="120">
        <f>'Ethylene Recycling HC'!G59*'Ethylene Recycling HC'!G$42/'Ethylene Recycling LC'!G$42</f>
        <v>2.7275261635975556E-2</v>
      </c>
      <c r="H54" s="120">
        <f>'Ethylene Recycling HC'!H59*'Ethylene Recycling HC'!H$42/'Ethylene Recycling LC'!H$42</f>
        <v>2.8298254139259672E-2</v>
      </c>
      <c r="I54" s="120">
        <f>'Ethylene Recycling HC'!I59*'Ethylene Recycling HC'!I$42/'Ethylene Recycling LC'!I$42</f>
        <v>2.930854534557999E-2</v>
      </c>
      <c r="J54" s="120">
        <f>'Ethylene Recycling HC'!J59*'Ethylene Recycling HC'!J$42/'Ethylene Recycling LC'!J$42</f>
        <v>3.0305541229900316E-2</v>
      </c>
      <c r="K54" s="120">
        <f>'Ethylene Recycling HC'!K59*'Ethylene Recycling HC'!K$42/'Ethylene Recycling LC'!K$42</f>
        <v>3.128861013807159E-2</v>
      </c>
      <c r="L54" s="120">
        <f>'Ethylene Recycling HC'!L59*'Ethylene Recycling HC'!L$42/'Ethylene Recycling LC'!L$42</f>
        <v>3.2257079759319282E-2</v>
      </c>
      <c r="M54" s="120">
        <f>'Ethylene Recycling HC'!M59*'Ethylene Recycling HC'!M$42/'Ethylene Recycling LC'!M$42</f>
        <v>3.3210233801649995E-2</v>
      </c>
      <c r="N54" s="120">
        <f>'Ethylene Recycling HC'!N59*'Ethylene Recycling HC'!N$42/'Ethylene Recycling LC'!N$42</f>
        <v>3.3095150226557915E-2</v>
      </c>
      <c r="O54" s="120">
        <f>'Ethylene Recycling HC'!O59*'Ethylene Recycling HC'!O$42/'Ethylene Recycling LC'!O$42</f>
        <v>3.299757950854619E-2</v>
      </c>
      <c r="P54" s="120">
        <f>'Ethylene Recycling HC'!P59*'Ethylene Recycling HC'!P$42/'Ethylene Recycling LC'!P$42</f>
        <v>3.2858023769718893E-2</v>
      </c>
      <c r="Q54" s="120">
        <f>'Ethylene Recycling HC'!Q59*'Ethylene Recycling HC'!Q$42/'Ethylene Recycling LC'!Q$42</f>
        <v>3.2701330758888814E-2</v>
      </c>
      <c r="R54" s="120">
        <f>'Ethylene Recycling HC'!R59*'Ethylene Recycling HC'!R$42/'Ethylene Recycling LC'!R$42</f>
        <v>3.2526164238313116E-2</v>
      </c>
      <c r="S54" s="120">
        <f>'Ethylene Recycling HC'!S59*'Ethylene Recycling HC'!S$42/'Ethylene Recycling LC'!S$42</f>
        <v>3.2331045343334419E-2</v>
      </c>
      <c r="T54" s="120">
        <f>'Ethylene Recycling HC'!T59*'Ethylene Recycling HC'!T$42/'Ethylene Recycling LC'!T$42</f>
        <v>3.2114333031083631E-2</v>
      </c>
      <c r="U54" s="120">
        <f>'Ethylene Recycling HC'!U59*'Ethylene Recycling HC'!U$42/'Ethylene Recycling LC'!U$42</f>
        <v>3.1874201222414196E-2</v>
      </c>
      <c r="V54" s="120">
        <f>'Ethylene Recycling HC'!V59*'Ethylene Recycling HC'!V$42/'Ethylene Recycling LC'!V$42</f>
        <v>3.1608611965643872E-2</v>
      </c>
      <c r="W54" s="120">
        <f>'Ethylene Recycling HC'!W59*'Ethylene Recycling HC'!W$42/'Ethylene Recycling LC'!W$42</f>
        <v>3.1315283790220166E-2</v>
      </c>
      <c r="X54" s="120">
        <f>'Ethylene Recycling HC'!X59*'Ethylene Recycling HC'!X$42/'Ethylene Recycling LC'!X$42</f>
        <v>3.1116882547704307E-2</v>
      </c>
      <c r="Y54" s="120">
        <f>'Ethylene Recycling HC'!Y59*'Ethylene Recycling HC'!Y$42/'Ethylene Recycling LC'!Y$42</f>
        <v>3.0904418502344357E-2</v>
      </c>
      <c r="Z54" s="120">
        <f>'Ethylene Recycling HC'!Z59*'Ethylene Recycling HC'!Z$42/'Ethylene Recycling LC'!Z$42</f>
        <v>3.0672420489115726E-2</v>
      </c>
      <c r="AA54" s="120">
        <f>'Ethylene Recycling HC'!AA59*'Ethylene Recycling HC'!AA$42/'Ethylene Recycling LC'!AA$42</f>
        <v>3.0419496982462477E-2</v>
      </c>
      <c r="AB54" s="120">
        <f>'Ethylene Recycling HC'!AB59*'Ethylene Recycling HC'!AB$42/'Ethylene Recycling LC'!AB$42</f>
        <v>3.0144121072764603E-2</v>
      </c>
      <c r="AC54" s="120">
        <f>'Ethylene Recycling HC'!AC59*'Ethylene Recycling HC'!AC$42/'Ethylene Recycling LC'!AC$42</f>
        <v>2.9844613591180451E-2</v>
      </c>
      <c r="AD54" s="120">
        <f>'Ethylene Recycling HC'!AD59*'Ethylene Recycling HC'!AD$42/'Ethylene Recycling LC'!AD$42</f>
        <v>2.9519123645839765E-2</v>
      </c>
      <c r="AE54" s="120">
        <f>'Ethylene Recycling HC'!AE59*'Ethylene Recycling HC'!AE$42/'Ethylene Recycling LC'!AE$42</f>
        <v>2.9165606093949557E-2</v>
      </c>
      <c r="AF54" s="120">
        <f>'Ethylene Recycling HC'!AF59*'Ethylene Recycling HC'!AF$42/'Ethylene Recycling LC'!AF$42</f>
        <v>2.8781795371892505E-2</v>
      </c>
      <c r="AG54" s="120">
        <f>'Ethylene Recycling HC'!AG59*'Ethylene Recycling HC'!AG$42/'Ethylene Recycling LC'!AG$42</f>
        <v>2.8365174977374022E-2</v>
      </c>
      <c r="AI54" s="124" t="s">
        <v>479</v>
      </c>
      <c r="AJ54" s="185"/>
      <c r="AL54" s="100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A55" t="s">
        <v>425</v>
      </c>
      <c r="B55" s="50" t="s">
        <v>126</v>
      </c>
      <c r="C55" s="120">
        <f>'Ethylene Recycling HC'!C61*'Ethylene Recycling HC'!C$42/'Ethylene Recycling LC'!C$42</f>
        <v>0.1067969954383812</v>
      </c>
      <c r="D55" s="120">
        <f>'Ethylene Recycling HC'!D61*'Ethylene Recycling HC'!D$42/'Ethylene Recycling LC'!D$42</f>
        <v>0.11212325342438258</v>
      </c>
      <c r="E55" s="120">
        <f>'Ethylene Recycling HC'!E61*'Ethylene Recycling HC'!E$42/'Ethylene Recycling LC'!E$42</f>
        <v>0.11743344257781885</v>
      </c>
      <c r="F55" s="120">
        <f>'Ethylene Recycling HC'!F61*'Ethylene Recycling HC'!F$42/'Ethylene Recycling LC'!F$42</f>
        <v>0.12272486822502741</v>
      </c>
      <c r="G55" s="120">
        <f>'Ethylene Recycling HC'!G61*'Ethylene Recycling HC'!G$42/'Ethylene Recycling LC'!G$42</f>
        <v>0.12799467516434232</v>
      </c>
      <c r="H55" s="120">
        <f>'Ethylene Recycling HC'!H61*'Ethylene Recycling HC'!H$42/'Ethylene Recycling LC'!H$42</f>
        <v>0.13323983553158922</v>
      </c>
      <c r="I55" s="120">
        <f>'Ethylene Recycling HC'!I61*'Ethylene Recycling HC'!I$42/'Ethylene Recycling LC'!I$42</f>
        <v>0.13845713554796926</v>
      </c>
      <c r="J55" s="120">
        <f>'Ethylene Recycling HC'!J61*'Ethylene Recycling HC'!J$42/'Ethylene Recycling LC'!J$42</f>
        <v>0.14364316102837116</v>
      </c>
      <c r="K55" s="120">
        <f>'Ethylene Recycling HC'!K61*'Ethylene Recycling HC'!K$42/'Ethylene Recycling LC'!K$42</f>
        <v>0.14879428151269675</v>
      </c>
      <c r="L55" s="120">
        <f>'Ethylene Recycling HC'!L61*'Ethylene Recycling HC'!L$42/'Ethylene Recycling LC'!L$42</f>
        <v>0.15390663286509867</v>
      </c>
      <c r="M55" s="120">
        <f>'Ethylene Recycling HC'!M61*'Ethylene Recycling HC'!M$42/'Ethylene Recycling LC'!M$42</f>
        <v>0.1589760981657333</v>
      </c>
      <c r="N55" s="120">
        <f>'Ethylene Recycling HC'!N61*'Ethylene Recycling HC'!N$42/'Ethylene Recycling LC'!N$42</f>
        <v>0.1589451174824684</v>
      </c>
      <c r="O55" s="120">
        <f>'Ethylene Recycling HC'!O61*'Ethylene Recycling HC'!O$42/'Ethylene Recycling LC'!O$42</f>
        <v>0.1589949045221298</v>
      </c>
      <c r="P55" s="120">
        <f>'Ethylene Recycling HC'!P61*'Ethylene Recycling HC'!P$42/'Ethylene Recycling LC'!P$42</f>
        <v>0.15883866652079234</v>
      </c>
      <c r="Q55" s="120">
        <f>'Ethylene Recycling HC'!Q61*'Ethylene Recycling HC'!Q$42/'Ethylene Recycling LC'!Q$42</f>
        <v>0.15859493136850247</v>
      </c>
      <c r="R55" s="120">
        <f>'Ethylene Recycling HC'!R61*'Ethylene Recycling HC'!R$42/'Ethylene Recycling LC'!R$42</f>
        <v>0.15825638991461624</v>
      </c>
      <c r="S55" s="120">
        <f>'Ethylene Recycling HC'!S61*'Ethylene Recycling HC'!S$42/'Ethylene Recycling LC'!S$42</f>
        <v>0.15781495284671854</v>
      </c>
      <c r="T55" s="120">
        <f>'Ethylene Recycling HC'!T61*'Ethylene Recycling HC'!T$42/'Ethylene Recycling LC'!T$42</f>
        <v>0.15726164374604881</v>
      </c>
      <c r="U55" s="120">
        <f>'Ethylene Recycling HC'!U61*'Ethylene Recycling HC'!U$42/'Ethylene Recycling LC'!U$42</f>
        <v>0.15658647405507575</v>
      </c>
      <c r="V55" s="120">
        <f>'Ethylene Recycling HC'!V61*'Ethylene Recycling HC'!V$42/'Ethylene Recycling LC'!V$42</f>
        <v>0.15577829628456683</v>
      </c>
      <c r="W55" s="120">
        <f>'Ethylene Recycling HC'!W61*'Ethylene Recycling HC'!W$42/'Ethylene Recycling LC'!W$42</f>
        <v>0.15482463090979129</v>
      </c>
      <c r="X55" s="120">
        <f>'Ethylene Recycling HC'!X61*'Ethylene Recycling HC'!X$42/'Ethylene Recycling LC'!X$42</f>
        <v>0.15433256495693098</v>
      </c>
      <c r="Y55" s="120">
        <f>'Ethylene Recycling HC'!Y61*'Ethylene Recycling HC'!Y$42/'Ethylene Recycling LC'!Y$42</f>
        <v>0.15376429611053244</v>
      </c>
      <c r="Z55" s="120">
        <f>'Ethylene Recycling HC'!Z61*'Ethylene Recycling HC'!Z$42/'Ethylene Recycling LC'!Z$42</f>
        <v>0.15309185397713637</v>
      </c>
      <c r="AA55" s="120">
        <f>'Ethylene Recycling HC'!AA61*'Ethylene Recycling HC'!AA$42/'Ethylene Recycling LC'!AA$42</f>
        <v>0.15230735070151025</v>
      </c>
      <c r="AB55" s="120">
        <f>'Ethylene Recycling HC'!AB61*'Ethylene Recycling HC'!AB$42/'Ethylene Recycling LC'!AB$42</f>
        <v>0.1514021310045725</v>
      </c>
      <c r="AC55" s="120">
        <f>'Ethylene Recycling HC'!AC61*'Ethylene Recycling HC'!AC$42/'Ethylene Recycling LC'!AC$42</f>
        <v>0.15036667652665134</v>
      </c>
      <c r="AD55" s="120">
        <f>'Ethylene Recycling HC'!AD61*'Ethylene Recycling HC'!AD$42/'Ethylene Recycling LC'!AD$42</f>
        <v>0.14919049549699814</v>
      </c>
      <c r="AE55" s="120">
        <f>'Ethylene Recycling HC'!AE61*'Ethylene Recycling HC'!AE$42/'Ethylene Recycling LC'!AE$42</f>
        <v>0.14786199503453923</v>
      </c>
      <c r="AF55" s="120">
        <f>'Ethylene Recycling HC'!AF61*'Ethylene Recycling HC'!AF$42/'Ethylene Recycling LC'!AF$42</f>
        <v>0.1463683328039275</v>
      </c>
      <c r="AG55" s="120">
        <f>'Ethylene Recycling HC'!AG61*'Ethylene Recycling HC'!AG$42/'Ethylene Recycling LC'!AG$42</f>
        <v>0.14469524402525466</v>
      </c>
      <c r="AI55" s="124" t="s">
        <v>479</v>
      </c>
      <c r="AJ55" s="185"/>
      <c r="AL55" s="100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I56" s="1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470</v>
      </c>
      <c r="B57" s="50" t="s">
        <v>126</v>
      </c>
      <c r="C57" s="120">
        <f>'Ethylene Recycling HC'!C64*'Ethylene Recycling HC'!C$42/'Ethylene Recycling LC'!C$42</f>
        <v>6.6347057930833772E-2</v>
      </c>
      <c r="D57" s="120">
        <f>'Ethylene Recycling HC'!D64*'Ethylene Recycling HC'!D$42/'Ethylene Recycling LC'!D$42</f>
        <v>7.1695320366781778E-2</v>
      </c>
      <c r="E57" s="120">
        <f>'Ethylene Recycling HC'!E64*'Ethylene Recycling HC'!E$42/'Ethylene Recycling LC'!E$42</f>
        <v>7.7039521243481665E-2</v>
      </c>
      <c r="F57" s="120">
        <f>'Ethylene Recycling HC'!F64*'Ethylene Recycling HC'!F$42/'Ethylene Recycling LC'!F$42</f>
        <v>8.2377105447624818E-2</v>
      </c>
      <c r="G57" s="120">
        <f>'Ethylene Recycling HC'!G64*'Ethylene Recycling HC'!G$42/'Ethylene Recycling LC'!G$42</f>
        <v>8.770536565183551E-2</v>
      </c>
      <c r="H57" s="120">
        <f>'Ethylene Recycling HC'!H64*'Ethylene Recycling HC'!H$42/'Ethylene Recycling LC'!H$42</f>
        <v>9.3021430808626335E-2</v>
      </c>
      <c r="I57" s="120">
        <f>'Ethylene Recycling HC'!I64*'Ethylene Recycling HC'!I$42/'Ethylene Recycling LC'!I$42</f>
        <v>9.8322253584624861E-2</v>
      </c>
      <c r="J57" s="120">
        <f>'Ethylene Recycling HC'!J64*'Ethylene Recycling HC'!J$42/'Ethylene Recycling LC'!J$42</f>
        <v>0.10360459661942749</v>
      </c>
      <c r="K57" s="120">
        <f>'Ethylene Recycling HC'!K64*'Ethylene Recycling HC'!K$42/'Ethylene Recycling LC'!K$42</f>
        <v>0.10886501747878266</v>
      </c>
      <c r="L57" s="120">
        <f>'Ethylene Recycling HC'!L64*'Ethylene Recycling HC'!L$42/'Ethylene Recycling LC'!L$42</f>
        <v>0.11409985215503447</v>
      </c>
      <c r="M57" s="120">
        <f>'Ethylene Recycling HC'!M64*'Ethylene Recycling HC'!M$42/'Ethylene Recycling LC'!M$42</f>
        <v>0.11930519694851473</v>
      </c>
      <c r="N57" s="120">
        <f>'Ethylene Recycling HC'!N64*'Ethylene Recycling HC'!N$42/'Ethylene Recycling LC'!N$42</f>
        <v>0.12595274122771172</v>
      </c>
      <c r="O57" s="120">
        <f>'Ethylene Recycling HC'!O64*'Ethylene Recycling HC'!O$42/'Ethylene Recycling LC'!O$42</f>
        <v>0.13261405945152796</v>
      </c>
      <c r="P57" s="120">
        <f>'Ethylene Recycling HC'!P64*'Ethylene Recycling HC'!P$42/'Ethylene Recycling LC'!P$42</f>
        <v>0.13904873189421574</v>
      </c>
      <c r="Q57" s="120">
        <f>'Ethylene Recycling HC'!Q64*'Ethylene Recycling HC'!Q$42/'Ethylene Recycling LC'!Q$42</f>
        <v>0.1453405691466601</v>
      </c>
      <c r="R57" s="120">
        <f>'Ethylene Recycling HC'!R64*'Ethylene Recycling HC'!R$42/'Ethylene Recycling LC'!R$42</f>
        <v>0.15147261333881948</v>
      </c>
      <c r="S57" s="120">
        <f>'Ethylene Recycling HC'!S64*'Ethylene Recycling HC'!S$42/'Ethylene Recycling LC'!S$42</f>
        <v>0.15742609655697226</v>
      </c>
      <c r="T57" s="120">
        <f>'Ethylene Recycling HC'!T64*'Ethylene Recycling HC'!T$42/'Ethylene Recycling LC'!T$42</f>
        <v>0.16318019272293274</v>
      </c>
      <c r="U57" s="120">
        <f>'Ethylene Recycling HC'!U64*'Ethylene Recycling HC'!U$42/'Ethylene Recycling LC'!U$42</f>
        <v>0.16871172750786684</v>
      </c>
      <c r="V57" s="120">
        <f>'Ethylene Recycling HC'!V64*'Ethylene Recycling HC'!V$42/'Ethylene Recycling LC'!V$42</f>
        <v>0.17399483775982855</v>
      </c>
      <c r="W57" s="120">
        <f>'Ethylene Recycling HC'!W64*'Ethylene Recycling HC'!W$42/'Ethylene Recycling LC'!W$42</f>
        <v>0.17900056988778171</v>
      </c>
      <c r="X57" s="120">
        <f>'Ethylene Recycling HC'!X64*'Ethylene Recycling HC'!X$42/'Ethylene Recycling LC'!X$42</f>
        <v>0.1884021909339427</v>
      </c>
      <c r="Y57" s="120">
        <f>'Ethylene Recycling HC'!Y64*'Ethylene Recycling HC'!Y$42/'Ethylene Recycling LC'!Y$42</f>
        <v>0.1975655056204445</v>
      </c>
      <c r="Z57" s="120">
        <f>'Ethylene Recycling HC'!Z64*'Ethylene Recycling HC'!Z$42/'Ethylene Recycling LC'!Z$42</f>
        <v>0.20643990074083857</v>
      </c>
      <c r="AA57" s="120">
        <f>'Ethylene Recycling HC'!AA64*'Ethylene Recycling HC'!AA$42/'Ethylene Recycling LC'!AA$42</f>
        <v>0.21499624571489515</v>
      </c>
      <c r="AB57" s="120">
        <f>'Ethylene Recycling HC'!AB64*'Ethylene Recycling HC'!AB$42/'Ethylene Recycling LC'!AB$42</f>
        <v>0.22320257579500286</v>
      </c>
      <c r="AC57" s="120">
        <f>'Ethylene Recycling HC'!AC64*'Ethylene Recycling HC'!AC$42/'Ethylene Recycling LC'!AC$42</f>
        <v>0.23102373879696167</v>
      </c>
      <c r="AD57" s="120">
        <f>'Ethylene Recycling HC'!AD64*'Ethylene Recycling HC'!AD$42/'Ethylene Recycling LC'!AD$42</f>
        <v>0.23842098763927208</v>
      </c>
      <c r="AE57" s="120">
        <f>'Ethylene Recycling HC'!AE64*'Ethylene Recycling HC'!AE$42/'Ethylene Recycling LC'!AE$42</f>
        <v>0.24535150873797992</v>
      </c>
      <c r="AF57" s="120">
        <f>'Ethylene Recycling HC'!AF64*'Ethylene Recycling HC'!AF$42/'Ethylene Recycling LC'!AF$42</f>
        <v>0.25176787415873042</v>
      </c>
      <c r="AG57" s="120">
        <f>'Ethylene Recycling HC'!AG64*'Ethylene Recycling HC'!AG$42/'Ethylene Recycling LC'!AG$42</f>
        <v>0.25761740274760531</v>
      </c>
      <c r="AI57" s="124" t="s">
        <v>479</v>
      </c>
      <c r="AJ57" s="185"/>
      <c r="AL57" s="100"/>
      <c r="AM57" s="2"/>
      <c r="AN57" s="2"/>
      <c r="AO57" s="2"/>
      <c r="AV57" s="37"/>
    </row>
    <row r="58" spans="1:63" outlineLevel="1">
      <c r="A58" t="s">
        <v>471</v>
      </c>
      <c r="B58" s="50" t="s">
        <v>126</v>
      </c>
      <c r="C58" s="120">
        <f>'Ethylene Recycling HC'!C65*'Ethylene Recycling HC'!C$42/'Ethylene Recycling LC'!C$42</f>
        <v>0.13410575539211084</v>
      </c>
      <c r="D58" s="120">
        <f>'Ethylene Recycling HC'!D65*'Ethylene Recycling HC'!D$42/'Ethylene Recycling LC'!D$42</f>
        <v>0.14089062660729873</v>
      </c>
      <c r="E58" s="120">
        <f>'Ethylene Recycling HC'!E65*'Ethylene Recycling HC'!E$42/'Ethylene Recycling LC'!E$42</f>
        <v>0.14766379255216133</v>
      </c>
      <c r="F58" s="120">
        <f>'Ethylene Recycling HC'!F65*'Ethylene Recycling HC'!F$42/'Ethylene Recycling LC'!F$42</f>
        <v>0.15442173593261857</v>
      </c>
      <c r="G58" s="120">
        <f>'Ethylene Recycling HC'!G65*'Ethylene Recycling HC'!G$42/'Ethylene Recycling LC'!G$42</f>
        <v>0.16116072992116776</v>
      </c>
      <c r="H58" s="120">
        <f>'Ethylene Recycling HC'!H65*'Ethylene Recycling HC'!H$42/'Ethylene Recycling LC'!H$42</f>
        <v>0.16787682231799966</v>
      </c>
      <c r="I58" s="120">
        <f>'Ethylene Recycling HC'!I65*'Ethylene Recycling HC'!I$42/'Ethylene Recycling LC'!I$42</f>
        <v>0.17456581825332337</v>
      </c>
      <c r="J58" s="120">
        <f>'Ethylene Recycling HC'!J65*'Ethylene Recycling HC'!J$42/'Ethylene Recycling LC'!J$42</f>
        <v>0.18122326127170726</v>
      </c>
      <c r="K58" s="120">
        <f>'Ethylene Recycling HC'!K65*'Ethylene Recycling HC'!K$42/'Ethylene Recycling LC'!K$42</f>
        <v>0.18784441261907234</v>
      </c>
      <c r="L58" s="120">
        <f>'Ethylene Recycling HC'!L65*'Ethylene Recycling HC'!L$42/'Ethylene Recycling LC'!L$42</f>
        <v>0.19442422852988625</v>
      </c>
      <c r="M58" s="120">
        <f>'Ethylene Recycling HC'!M65*'Ethylene Recycling HC'!M$42/'Ethylene Recycling LC'!M$42</f>
        <v>0.20095733528561879</v>
      </c>
      <c r="N58" s="120">
        <f>'Ethylene Recycling HC'!N65*'Ethylene Recycling HC'!N$42/'Ethylene Recycling LC'!N$42</f>
        <v>0.2010463537653463</v>
      </c>
      <c r="O58" s="120">
        <f>'Ethylene Recycling HC'!O65*'Ethylene Recycling HC'!O$42/'Ethylene Recycling LC'!O$42</f>
        <v>0.20123671271413079</v>
      </c>
      <c r="P58" s="120">
        <f>'Ethylene Recycling HC'!P65*'Ethylene Recycling HC'!P$42/'Ethylene Recycling LC'!P$42</f>
        <v>0.20116539741262207</v>
      </c>
      <c r="Q58" s="120">
        <f>'Ethylene Recycling HC'!Q65*'Ethylene Recycling HC'!Q$42/'Ethylene Recycling LC'!Q$42</f>
        <v>0.20098213283821637</v>
      </c>
      <c r="R58" s="120">
        <f>'Ethylene Recycling HC'!R65*'Ethylene Recycling HC'!R$42/'Ethylene Recycling LC'!R$42</f>
        <v>0.20067745469448414</v>
      </c>
      <c r="S58" s="120">
        <f>'Ethylene Recycling HC'!S65*'Ethylene Recycling HC'!S$42/'Ethylene Recycling LC'!S$42</f>
        <v>0.20024088848796673</v>
      </c>
      <c r="T58" s="120">
        <f>'Ethylene Recycling HC'!T65*'Ethylene Recycling HC'!T$42/'Ethylene Recycling LC'!T$42</f>
        <v>0.19966081105036945</v>
      </c>
      <c r="U58" s="120">
        <f>'Ethylene Recycling HC'!U65*'Ethylene Recycling HC'!U$42/'Ethylene Recycling LC'!U$42</f>
        <v>0.19892428863959474</v>
      </c>
      <c r="V58" s="120">
        <f>'Ethylene Recycling HC'!V65*'Ethylene Recycling HC'!V$42/'Ethylene Recycling LC'!V$42</f>
        <v>0.19801688686405836</v>
      </c>
      <c r="W58" s="120">
        <f>'Ethylene Recycling HC'!W65*'Ethylene Recycling HC'!W$42/'Ethylene Recycling LC'!W$42</f>
        <v>0.19692244653822619</v>
      </c>
      <c r="X58" s="120">
        <f>'Ethylene Recycling HC'!X65*'Ethylene Recycling HC'!X$42/'Ethylene Recycling LC'!X$42</f>
        <v>0.19641327350063895</v>
      </c>
      <c r="Y58" s="120">
        <f>'Ethylene Recycling HC'!Y65*'Ethylene Recycling HC'!Y$42/'Ethylene Recycling LC'!Y$42</f>
        <v>0.19580558402399012</v>
      </c>
      <c r="Z58" s="120">
        <f>'Ethylene Recycling HC'!Z65*'Ethylene Recycling HC'!Z$42/'Ethylene Recycling LC'!Z$42</f>
        <v>0.19506358262635215</v>
      </c>
      <c r="AA58" s="120">
        <f>'Ethylene Recycling HC'!AA65*'Ethylene Recycling HC'!AA$42/'Ethylene Recycling LC'!AA$42</f>
        <v>0.19417699606270775</v>
      </c>
      <c r="AB58" s="120">
        <f>'Ethylene Recycling HC'!AB65*'Ethylene Recycling HC'!AB$42/'Ethylene Recycling LC'!AB$42</f>
        <v>0.19313455158525991</v>
      </c>
      <c r="AC58" s="120">
        <f>'Ethylene Recycling HC'!AC65*'Ethylene Recycling HC'!AC$42/'Ethylene Recycling LC'!AC$42</f>
        <v>0.19192385235885043</v>
      </c>
      <c r="AD58" s="120">
        <f>'Ethylene Recycling HC'!AD65*'Ethylene Recycling HC'!AD$42/'Ethylene Recycling LC'!AD$42</f>
        <v>0.19053123376510234</v>
      </c>
      <c r="AE58" s="120">
        <f>'Ethylene Recycling HC'!AE65*'Ethylene Recycling HC'!AE$42/'Ethylene Recycling LC'!AE$42</f>
        <v>0.18894159708526234</v>
      </c>
      <c r="AF58" s="120">
        <f>'Ethylene Recycling HC'!AF65*'Ethylene Recycling HC'!AF$42/'Ethylene Recycling LC'!AF$42</f>
        <v>0.18713821629511659</v>
      </c>
      <c r="AG58" s="120">
        <f>'Ethylene Recycling HC'!AG65*'Ethylene Recycling HC'!AG$42/'Ethylene Recycling LC'!AG$42</f>
        <v>0.18510251276019576</v>
      </c>
      <c r="AI58" s="124" t="s">
        <v>479</v>
      </c>
      <c r="AJ58" s="185"/>
      <c r="AL58" s="100"/>
      <c r="AM58" s="2"/>
      <c r="AN58" s="2"/>
      <c r="AO58" s="2"/>
      <c r="AV58" s="37"/>
    </row>
    <row r="59" spans="1:63" outlineLevel="1">
      <c r="A59" t="s">
        <v>472</v>
      </c>
      <c r="B59" s="156" t="s">
        <v>126</v>
      </c>
      <c r="C59" s="120">
        <f>'Ethylene Recycling HC'!C66*'Ethylene Recycling HC'!C$42/'Ethylene Recycling LC'!C$42</f>
        <v>0.20045281332294462</v>
      </c>
      <c r="D59" s="120">
        <f>'Ethylene Recycling HC'!D66*'Ethylene Recycling HC'!D$42/'Ethylene Recycling LC'!D$42</f>
        <v>0.21258594697408051</v>
      </c>
      <c r="E59" s="120">
        <f>'Ethylene Recycling HC'!E66*'Ethylene Recycling HC'!E$42/'Ethylene Recycling LC'!E$42</f>
        <v>0.22470331379564298</v>
      </c>
      <c r="F59" s="120">
        <f>'Ethylene Recycling HC'!F66*'Ethylene Recycling HC'!F$42/'Ethylene Recycling LC'!F$42</f>
        <v>0.2367988413802434</v>
      </c>
      <c r="G59" s="120">
        <f>'Ethylene Recycling HC'!G66*'Ethylene Recycling HC'!G$42/'Ethylene Recycling LC'!G$42</f>
        <v>0.24886609557300324</v>
      </c>
      <c r="H59" s="120">
        <f>'Ethylene Recycling HC'!H66*'Ethylene Recycling HC'!H$42/'Ethylene Recycling LC'!H$42</f>
        <v>0.26089825312662601</v>
      </c>
      <c r="I59" s="120">
        <f>'Ethylene Recycling HC'!I66*'Ethylene Recycling HC'!I$42/'Ethylene Recycling LC'!I$42</f>
        <v>0.27288807183794828</v>
      </c>
      <c r="J59" s="120">
        <f>'Ethylene Recycling HC'!J66*'Ethylene Recycling HC'!J$42/'Ethylene Recycling LC'!J$42</f>
        <v>0.28482785789113474</v>
      </c>
      <c r="K59" s="120">
        <f>'Ethylene Recycling HC'!K66*'Ethylene Recycling HC'!K$42/'Ethylene Recycling LC'!K$42</f>
        <v>0.296709430097855</v>
      </c>
      <c r="L59" s="120">
        <f>'Ethylene Recycling HC'!L66*'Ethylene Recycling HC'!L$42/'Ethylene Recycling LC'!L$42</f>
        <v>0.30852408068492071</v>
      </c>
      <c r="M59" s="120">
        <f>'Ethylene Recycling HC'!M66*'Ethylene Recycling HC'!M$42/'Ethylene Recycling LC'!M$42</f>
        <v>0.32026253223413348</v>
      </c>
      <c r="N59" s="120">
        <f>'Ethylene Recycling HC'!N66*'Ethylene Recycling HC'!N$42/'Ethylene Recycling LC'!N$42</f>
        <v>0.32699909499305801</v>
      </c>
      <c r="O59" s="120">
        <f>'Ethylene Recycling HC'!O66*'Ethylene Recycling HC'!O$42/'Ethylene Recycling LC'!O$42</f>
        <v>0.33385077216565878</v>
      </c>
      <c r="P59" s="120">
        <f>'Ethylene Recycling HC'!P66*'Ethylene Recycling HC'!P$42/'Ethylene Recycling LC'!P$42</f>
        <v>0.34021412930683781</v>
      </c>
      <c r="Q59" s="120">
        <f>'Ethylene Recycling HC'!Q66*'Ethylene Recycling HC'!Q$42/'Ethylene Recycling LC'!Q$42</f>
        <v>0.34632270198487647</v>
      </c>
      <c r="R59" s="120">
        <f>'Ethylene Recycling HC'!R66*'Ethylene Recycling HC'!R$42/'Ethylene Recycling LC'!R$42</f>
        <v>0.35215006803330368</v>
      </c>
      <c r="S59" s="120">
        <f>'Ethylene Recycling HC'!S66*'Ethylene Recycling HC'!S$42/'Ethylene Recycling LC'!S$42</f>
        <v>0.35766698504493905</v>
      </c>
      <c r="T59" s="120">
        <f>'Ethylene Recycling HC'!T66*'Ethylene Recycling HC'!T$42/'Ethylene Recycling LC'!T$42</f>
        <v>0.36284100377330214</v>
      </c>
      <c r="U59" s="120">
        <f>'Ethylene Recycling HC'!U66*'Ethylene Recycling HC'!U$42/'Ethylene Recycling LC'!U$42</f>
        <v>0.36763601614746161</v>
      </c>
      <c r="V59" s="120">
        <f>'Ethylene Recycling HC'!V66*'Ethylene Recycling HC'!V$42/'Ethylene Recycling LC'!V$42</f>
        <v>0.37201172462388687</v>
      </c>
      <c r="W59" s="120">
        <f>'Ethylene Recycling HC'!W66*'Ethylene Recycling HC'!W$42/'Ethylene Recycling LC'!W$42</f>
        <v>0.37592301642600795</v>
      </c>
      <c r="X59" s="120">
        <f>'Ethylene Recycling HC'!X66*'Ethylene Recycling HC'!X$42/'Ethylene Recycling LC'!X$42</f>
        <v>0.3848154644345817</v>
      </c>
      <c r="Y59" s="120">
        <f>'Ethylene Recycling HC'!Y66*'Ethylene Recycling HC'!Y$42/'Ethylene Recycling LC'!Y$42</f>
        <v>0.39337108964443468</v>
      </c>
      <c r="Z59" s="120">
        <f>'Ethylene Recycling HC'!Z66*'Ethylene Recycling HC'!Z$42/'Ethylene Recycling LC'!Z$42</f>
        <v>0.40150348336719072</v>
      </c>
      <c r="AA59" s="120">
        <f>'Ethylene Recycling HC'!AA66*'Ethylene Recycling HC'!AA$42/'Ethylene Recycling LC'!AA$42</f>
        <v>0.40917324177760289</v>
      </c>
      <c r="AB59" s="120">
        <f>'Ethylene Recycling HC'!AB66*'Ethylene Recycling HC'!AB$42/'Ethylene Recycling LC'!AB$42</f>
        <v>0.41633712738026279</v>
      </c>
      <c r="AC59" s="120">
        <f>'Ethylene Recycling HC'!AC66*'Ethylene Recycling HC'!AC$42/'Ethylene Recycling LC'!AC$42</f>
        <v>0.4229475911558121</v>
      </c>
      <c r="AD59" s="120">
        <f>'Ethylene Recycling HC'!AD66*'Ethylene Recycling HC'!AD$42/'Ethylene Recycling LC'!AD$42</f>
        <v>0.4289522214043745</v>
      </c>
      <c r="AE59" s="120">
        <f>'Ethylene Recycling HC'!AE66*'Ethylene Recycling HC'!AE$42/'Ethylene Recycling LC'!AE$42</f>
        <v>0.43429310582324226</v>
      </c>
      <c r="AF59" s="120">
        <f>'Ethylene Recycling HC'!AF66*'Ethylene Recycling HC'!AF$42/'Ethylene Recycling LC'!AF$42</f>
        <v>0.43890609045384704</v>
      </c>
      <c r="AG59" s="120">
        <f>'Ethylene Recycling HC'!AG66*'Ethylene Recycling HC'!AG$42/'Ethylene Recycling LC'!AG$42</f>
        <v>0.44271991550780104</v>
      </c>
      <c r="AI59" s="124" t="s">
        <v>479</v>
      </c>
      <c r="AJ59" s="185"/>
      <c r="AL59" s="100"/>
      <c r="AM59" s="2"/>
      <c r="AN59" s="2"/>
      <c r="AO59" s="2"/>
    </row>
    <row r="60" spans="1:63" outlineLevel="1">
      <c r="A60" t="s">
        <v>473</v>
      </c>
      <c r="B60" s="50" t="s">
        <v>126</v>
      </c>
      <c r="C60" s="120">
        <f>'Ethylene Recycling HC'!C67*'Ethylene Recycling HC'!C$42/'Ethylene Recycling LC'!C$42</f>
        <v>1.5422074717850311E-2</v>
      </c>
      <c r="D60" s="120">
        <f>'Ethylene Recycling HC'!D67*'Ethylene Recycling HC'!D$42/'Ethylene Recycling LC'!D$42</f>
        <v>1.5897070526002002E-2</v>
      </c>
      <c r="E60" s="120">
        <f>'Ethylene Recycling HC'!E67*'Ethylene Recycling HC'!E$42/'Ethylene Recycling LC'!E$42</f>
        <v>1.6341370143360501E-2</v>
      </c>
      <c r="F60" s="120">
        <f>'Ethylene Recycling HC'!F67*'Ethylene Recycling HC'!F$42/'Ethylene Recycling LC'!F$42</f>
        <v>1.6754668029071777E-2</v>
      </c>
      <c r="G60" s="120">
        <f>'Ethylene Recycling HC'!G67*'Ethylene Recycling HC'!G$42/'Ethylene Recycling LC'!G$42</f>
        <v>1.7136666844923095E-2</v>
      </c>
      <c r="H60" s="120">
        <f>'Ethylene Recycling HC'!H67*'Ethylene Recycling HC'!H$42/'Ethylene Recycling LC'!H$42</f>
        <v>1.7487078075390634E-2</v>
      </c>
      <c r="I60" s="120">
        <f>'Ethylene Recycling HC'!I67*'Ethylene Recycling HC'!I$42/'Ethylene Recycling LC'!I$42</f>
        <v>1.780562270479448E-2</v>
      </c>
      <c r="J60" s="120">
        <f>'Ethylene Recycling HC'!J67*'Ethylene Recycling HC'!J$42/'Ethylene Recycling LC'!J$42</f>
        <v>1.8092031957793291E-2</v>
      </c>
      <c r="K60" s="120">
        <f>'Ethylene Recycling HC'!K67*'Ethylene Recycling HC'!K$42/'Ethylene Recycling LC'!K$42</f>
        <v>1.8346048110239949E-2</v>
      </c>
      <c r="L60" s="120">
        <f>'Ethylene Recycling HC'!L67*'Ethylene Recycling HC'!L$42/'Ethylene Recycling LC'!L$42</f>
        <v>1.8567425378323704E-2</v>
      </c>
      <c r="M60" s="120">
        <f>'Ethylene Recycling HC'!M67*'Ethylene Recycling HC'!M$42/'Ethylene Recycling LC'!M$42</f>
        <v>1.8755930894961199E-2</v>
      </c>
      <c r="N60" s="120">
        <f>'Ethylene Recycling HC'!N67*'Ethylene Recycling HC'!N$42/'Ethylene Recycling LC'!N$42</f>
        <v>1.8328643169856672E-2</v>
      </c>
      <c r="O60" s="120">
        <f>'Ethylene Recycling HC'!O67*'Ethylene Recycling HC'!O$42/'Ethylene Recycling LC'!O$42</f>
        <v>1.7909988964094167E-2</v>
      </c>
      <c r="P60" s="120">
        <f>'Ethylene Recycling HC'!P67*'Ethylene Recycling HC'!P$42/'Ethylene Recycling LC'!P$42</f>
        <v>1.7467787926765569E-2</v>
      </c>
      <c r="Q60" s="120">
        <f>'Ethylene Recycling HC'!Q67*'Ethylene Recycling HC'!Q$42/'Ethylene Recycling LC'!Q$42</f>
        <v>1.7016417586350221E-2</v>
      </c>
      <c r="R60" s="120">
        <f>'Ethylene Recycling HC'!R67*'Ethylene Recycling HC'!R$42/'Ethylene Recycling LC'!R$42</f>
        <v>1.6555824804466508E-2</v>
      </c>
      <c r="S60" s="120">
        <f>'Ethylene Recycling HC'!S67*'Ethylene Recycling HC'!S$42/'Ethylene Recycling LC'!S$42</f>
        <v>1.608595731362681E-2</v>
      </c>
      <c r="T60" s="120">
        <f>'Ethylene Recycling HC'!T67*'Ethylene Recycling HC'!T$42/'Ethylene Recycling LC'!T$42</f>
        <v>1.5606763836619667E-2</v>
      </c>
      <c r="U60" s="120">
        <f>'Ethylene Recycling HC'!U67*'Ethylene Recycling HC'!U$42/'Ethylene Recycling LC'!U$42</f>
        <v>1.511819422608336E-2</v>
      </c>
      <c r="V60" s="120">
        <f>'Ethylene Recycling HC'!V67*'Ethylene Recycling HC'!V$42/'Ethylene Recycling LC'!V$42</f>
        <v>1.4620199628370778E-2</v>
      </c>
      <c r="W60" s="120">
        <f>'Ethylene Recycling HC'!W67*'Ethylene Recycling HC'!W$42/'Ethylene Recycling LC'!W$42</f>
        <v>1.4112732676785042E-2</v>
      </c>
      <c r="X60" s="120">
        <f>'Ethylene Recycling HC'!X67*'Ethylene Recycling HC'!X$42/'Ethylene Recycling LC'!X$42</f>
        <v>1.3650684214955307E-2</v>
      </c>
      <c r="Y60" s="120">
        <f>'Ethylene Recycling HC'!Y67*'Ethylene Recycling HC'!Y$42/'Ethylene Recycling LC'!Y$42</f>
        <v>1.3184208724404602E-2</v>
      </c>
      <c r="Z60" s="120">
        <f>'Ethylene Recycling HC'!Z67*'Ethylene Recycling HC'!Z$42/'Ethylene Recycling LC'!Z$42</f>
        <v>1.2711613888773468E-2</v>
      </c>
      <c r="AA60" s="120">
        <f>'Ethylene Recycling HC'!AA67*'Ethylene Recycling HC'!AA$42/'Ethylene Recycling LC'!AA$42</f>
        <v>1.2233125513718905E-2</v>
      </c>
      <c r="AB60" s="120">
        <f>'Ethylene Recycling HC'!AB67*'Ethylene Recycling HC'!AB$42/'Ethylene Recycling LC'!AB$42</f>
        <v>1.1748997635820357E-2</v>
      </c>
      <c r="AC60" s="120">
        <f>'Ethylene Recycling HC'!AC67*'Ethylene Recycling HC'!AC$42/'Ethylene Recycling LC'!AC$42</f>
        <v>1.1259516041466935E-2</v>
      </c>
      <c r="AD60" s="120">
        <f>'Ethylene Recycling HC'!AD67*'Ethylene Recycling HC'!AD$42/'Ethylene Recycling LC'!AD$42</f>
        <v>1.0765002325542146E-2</v>
      </c>
      <c r="AE60" s="120">
        <f>'Ethylene Recycling HC'!AE67*'Ethylene Recycling HC'!AE$42/'Ethylene Recycling LC'!AE$42</f>
        <v>1.0265818589046386E-2</v>
      </c>
      <c r="AF60" s="120">
        <f>'Ethylene Recycling HC'!AF67*'Ethylene Recycling HC'!AF$42/'Ethylene Recycling LC'!AF$42</f>
        <v>9.7623728961680114E-3</v>
      </c>
      <c r="AG60" s="120">
        <f>'Ethylene Recycling HC'!AG67*'Ethylene Recycling HC'!AG$42/'Ethylene Recycling LC'!AG$42</f>
        <v>9.2551256380097886E-3</v>
      </c>
      <c r="AI60" s="124" t="s">
        <v>479</v>
      </c>
      <c r="AJ60" s="185"/>
      <c r="AL60" s="100"/>
      <c r="AM60" s="2"/>
      <c r="AN60" s="2"/>
      <c r="AO60" s="2"/>
    </row>
    <row r="61" spans="1:63" outlineLevel="1">
      <c r="A61" t="s">
        <v>474</v>
      </c>
      <c r="B61" s="50" t="s">
        <v>126</v>
      </c>
      <c r="C61" s="120">
        <f>'Ethylene Recycling HC'!C68*'Ethylene Recycling HC'!C$42/'Ethylene Recycling LC'!C$42</f>
        <v>1.8495372344774153E-2</v>
      </c>
      <c r="D61" s="120">
        <f>'Ethylene Recycling HC'!D68*'Ethylene Recycling HC'!D$42/'Ethylene Recycling LC'!D$42</f>
        <v>1.9431116818002202E-2</v>
      </c>
      <c r="E61" s="120">
        <f>'Ethylene Recycling HC'!E68*'Ethylene Recycling HC'!E$42/'Ethylene Recycling LC'!E$42</f>
        <v>2.0365246943416244E-2</v>
      </c>
      <c r="F61" s="120">
        <f>'Ethylene Recycling HC'!F68*'Ethylene Recycling HC'!F$42/'Ethylene Recycling LC'!F$42</f>
        <v>2.1297277628758569E-2</v>
      </c>
      <c r="G61" s="120">
        <f>'Ethylene Recycling HC'!G68*'Ethylene Recycling HC'!G$42/'Ethylene Recycling LC'!G$42</f>
        <v>2.222669488369276E-2</v>
      </c>
      <c r="H61" s="120">
        <f>'Ethylene Recycling HC'!H68*'Ethylene Recycling HC'!H$42/'Ethylene Recycling LC'!H$42</f>
        <v>2.3152953635363162E-2</v>
      </c>
      <c r="I61" s="120">
        <f>'Ethylene Recycling HC'!I68*'Ethylene Recycling HC'!I$42/'Ethylene Recycling LC'!I$42</f>
        <v>2.4075475342763126E-2</v>
      </c>
      <c r="J61" s="120">
        <f>'Ethylene Recycling HC'!J68*'Ethylene Recycling HC'!J$42/'Ethylene Recycling LC'!J$42</f>
        <v>2.499364538795696E-2</v>
      </c>
      <c r="K61" s="120">
        <f>'Ethylene Recycling HC'!K68*'Ethylene Recycling HC'!K$42/'Ethylene Recycling LC'!K$42</f>
        <v>2.5906810219418208E-2</v>
      </c>
      <c r="L61" s="120">
        <f>'Ethylene Recycling HC'!L68*'Ethylene Recycling HC'!L$42/'Ethylene Recycling LC'!L$42</f>
        <v>2.6814274219563061E-2</v>
      </c>
      <c r="M61" s="120">
        <f>'Ethylene Recycling HC'!M68*'Ethylene Recycling HC'!M$42/'Ethylene Recycling LC'!M$42</f>
        <v>2.7715296264904307E-2</v>
      </c>
      <c r="N61" s="120">
        <f>'Ethylene Recycling HC'!N68*'Ethylene Recycling HC'!N$42/'Ethylene Recycling LC'!N$42</f>
        <v>2.7727573366086968E-2</v>
      </c>
      <c r="O61" s="120">
        <f>'Ethylene Recycling HC'!O68*'Ethylene Recycling HC'!O$42/'Ethylene Recycling LC'!O$42</f>
        <v>2.7753826971882146E-2</v>
      </c>
      <c r="P61" s="120">
        <f>'Ethylene Recycling HC'!P68*'Ethylene Recycling HC'!P$42/'Ethylene Recycling LC'!P$42</f>
        <v>2.7743991427901005E-2</v>
      </c>
      <c r="Q61" s="120">
        <f>'Ethylene Recycling HC'!Q68*'Ethylene Recycling HC'!Q$42/'Ethylene Recycling LC'!Q$42</f>
        <v>2.7718716252116572E-2</v>
      </c>
      <c r="R61" s="120">
        <f>'Ethylene Recycling HC'!R68*'Ethylene Recycling HC'!R$42/'Ethylene Recycling LC'!R$42</f>
        <v>2.7676696163588931E-2</v>
      </c>
      <c r="S61" s="120">
        <f>'Ethylene Recycling HC'!S68*'Ethylene Recycling HC'!S$42/'Ethylene Recycling LC'!S$42</f>
        <v>2.7616486558720926E-2</v>
      </c>
      <c r="T61" s="120">
        <f>'Ethylene Recycling HC'!T68*'Ethylene Recycling HC'!T$42/'Ethylene Recycling LC'!T$42</f>
        <v>2.7536484412908502E-2</v>
      </c>
      <c r="U61" s="120">
        <f>'Ethylene Recycling HC'!U68*'Ethylene Recycling HC'!U$42/'Ethylene Recycling LC'!U$42</f>
        <v>2.7434905952030977E-2</v>
      </c>
      <c r="V61" s="120">
        <f>'Ethylene Recycling HC'!V68*'Ethylene Recycling HC'!V$42/'Ethylene Recycling LC'!V$42</f>
        <v>2.7309760437912032E-2</v>
      </c>
      <c r="W61" s="120">
        <f>'Ethylene Recycling HC'!W68*'Ethylene Recycling HC'!W$42/'Ethylene Recycling LC'!W$42</f>
        <v>2.7158819255140153E-2</v>
      </c>
      <c r="X61" s="120">
        <f>'Ethylene Recycling HC'!X68*'Ethylene Recycling HC'!X$42/'Ethylene Recycling LC'!X$42</f>
        <v>2.7088595983286081E-2</v>
      </c>
      <c r="Y61" s="120">
        <f>'Ethylene Recycling HC'!Y68*'Ethylene Recycling HC'!Y$42/'Ethylene Recycling LC'!Y$42</f>
        <v>2.7004785686645515E-2</v>
      </c>
      <c r="Z61" s="120">
        <f>'Ethylene Recycling HC'!Z68*'Ethylene Recycling HC'!Z$42/'Ethylene Recycling LC'!Z$42</f>
        <v>2.6902451584059597E-2</v>
      </c>
      <c r="AA61" s="120">
        <f>'Ethylene Recycling HC'!AA68*'Ethylene Recycling HC'!AA$42/'Ethylene Recycling LC'!AA$42</f>
        <v>2.6780176827375726E-2</v>
      </c>
      <c r="AB61" s="120">
        <f>'Ethylene Recycling HC'!AB68*'Ethylene Recycling HC'!AB$42/'Ethylene Recycling LC'!AB$42</f>
        <v>2.6636406720695543E-2</v>
      </c>
      <c r="AC61" s="120">
        <f>'Ethylene Recycling HC'!AC68*'Ethylene Recycling HC'!AC$42/'Ethylene Recycling LC'!AC$42</f>
        <v>2.6469431538127863E-2</v>
      </c>
      <c r="AD61" s="120">
        <f>'Ethylene Recycling HC'!AD68*'Ethylene Recycling HC'!AD$42/'Ethylene Recycling LC'!AD$42</f>
        <v>2.6277366705784792E-2</v>
      </c>
      <c r="AE61" s="120">
        <f>'Ethylene Recycling HC'!AE68*'Ethylene Recycling HC'!AE$42/'Ethylene Recycling LC'!AE$42</f>
        <v>2.6058129863931242E-2</v>
      </c>
      <c r="AF61" s="120">
        <f>'Ethylene Recycling HC'!AF68*'Ethylene Recycling HC'!AF$42/'Ethylene Recycling LC'!AF$42</f>
        <v>2.5809414220850639E-2</v>
      </c>
      <c r="AG61" s="120">
        <f>'Ethylene Recycling HC'!AG68*'Ethylene Recycling HC'!AG$42/'Ethylene Recycling LC'!AG$42</f>
        <v>2.5528657479636615E-2</v>
      </c>
      <c r="AI61" s="124" t="s">
        <v>479</v>
      </c>
      <c r="AJ61" s="185"/>
      <c r="AL61" s="100"/>
      <c r="AM61" s="2"/>
      <c r="AN61" s="2"/>
      <c r="AO61" s="2"/>
      <c r="BC61" s="1"/>
      <c r="BD61" s="2"/>
      <c r="BE61" s="2"/>
      <c r="BF61" s="2"/>
      <c r="BG61" s="2"/>
      <c r="BH61" s="2"/>
      <c r="BI61" s="2"/>
      <c r="BJ61" s="2"/>
      <c r="BK61" s="2"/>
    </row>
    <row r="62" spans="1:63" outlineLevel="1">
      <c r="A62" t="s">
        <v>475</v>
      </c>
      <c r="B62" s="50" t="s">
        <v>126</v>
      </c>
      <c r="C62" s="120">
        <f>'Ethylene Recycling HC'!C70*'Ethylene Recycling HC'!C$42/'Ethylene Recycling LC'!C$42</f>
        <v>8.5631032760244766E-2</v>
      </c>
      <c r="D62" s="120">
        <f>'Ethylene Recycling HC'!D70*'Ethylene Recycling HC'!D$42/'Ethylene Recycling LC'!D$42</f>
        <v>9.0268661075708814E-2</v>
      </c>
      <c r="E62" s="120">
        <f>'Ethylene Recycling HC'!E70*'Ethylene Recycling HC'!E$42/'Ethylene Recycling LC'!E$42</f>
        <v>9.4928165274912199E-2</v>
      </c>
      <c r="F62" s="120">
        <f>'Ethylene Recycling HC'!F70*'Ethylene Recycling HC'!F$42/'Ethylene Recycling LC'!F$42</f>
        <v>9.9607200501672294E-2</v>
      </c>
      <c r="G62" s="120">
        <f>'Ethylene Recycling HC'!G70*'Ethylene Recycling HC'!G$42/'Ethylene Recycling LC'!G$42</f>
        <v>0.10430325580682372</v>
      </c>
      <c r="H62" s="120">
        <f>'Ethylene Recycling HC'!H70*'Ethylene Recycling HC'!H$42/'Ethylene Recycling LC'!H$42</f>
        <v>0.10901364159305005</v>
      </c>
      <c r="I62" s="120">
        <f>'Ethylene Recycling HC'!I70*'Ethylene Recycling HC'!I$42/'Ethylene Recycling LC'!I$42</f>
        <v>0.11373547590335999</v>
      </c>
      <c r="J62" s="120">
        <f>'Ethylene Recycling HC'!J70*'Ethylene Recycling HC'!J$42/'Ethylene Recycling LC'!J$42</f>
        <v>0.11846566942702039</v>
      </c>
      <c r="K62" s="120">
        <f>'Ethylene Recycling HC'!K70*'Ethylene Recycling HC'!K$42/'Ethylene Recycling LC'!K$42</f>
        <v>0.12320090908076696</v>
      </c>
      <c r="L62" s="120">
        <f>'Ethylene Recycling HC'!L70*'Ethylene Recycling HC'!L$42/'Ethylene Recycling LC'!L$42</f>
        <v>0.12793764000481431</v>
      </c>
      <c r="M62" s="120">
        <f>'Ethylene Recycling HC'!M70*'Ethylene Recycling HC'!M$42/'Ethylene Recycling LC'!M$42</f>
        <v>0.13267204579218897</v>
      </c>
      <c r="N62" s="120">
        <f>'Ethylene Recycling HC'!N70*'Ethylene Recycling HC'!N$42/'Ethylene Recycling LC'!N$42</f>
        <v>0.1331664118762583</v>
      </c>
      <c r="O62" s="120">
        <f>'Ethylene Recycling HC'!O70*'Ethylene Recycling HC'!O$42/'Ethylene Recycling LC'!O$42</f>
        <v>0.13372850782510404</v>
      </c>
      <c r="P62" s="120">
        <f>'Ethylene Recycling HC'!P70*'Ethylene Recycling HC'!P$42/'Ethylene Recycling LC'!P$42</f>
        <v>0.13411697043184012</v>
      </c>
      <c r="Q62" s="120">
        <f>'Ethylene Recycling HC'!Q70*'Ethylene Recycling HC'!Q$42/'Ethylene Recycling LC'!Q$42</f>
        <v>0.13443024487413244</v>
      </c>
      <c r="R62" s="120">
        <f>'Ethylene Recycling HC'!R70*'Ethylene Recycling HC'!R$42/'Ethylene Recycling LC'!R$42</f>
        <v>0.13466125263101272</v>
      </c>
      <c r="S62" s="120">
        <f>'Ethylene Recycling HC'!S70*'Ethylene Recycling HC'!S$42/'Ethylene Recycling LC'!S$42</f>
        <v>0.1348021530938564</v>
      </c>
      <c r="T62" s="120">
        <f>'Ethylene Recycling HC'!T70*'Ethylene Recycling HC'!T$42/'Ethylene Recycling LC'!T$42</f>
        <v>0.13484423909940757</v>
      </c>
      <c r="U62" s="120">
        <f>'Ethylene Recycling HC'!U70*'Ethylene Recycling HC'!U$42/'Ethylene Recycling LC'!U$42</f>
        <v>0.13477781479399728</v>
      </c>
      <c r="V62" s="120">
        <f>'Ethylene Recycling HC'!V70*'Ethylene Recycling HC'!V$42/'Ethylene Recycling LC'!V$42</f>
        <v>0.13459205224138482</v>
      </c>
      <c r="W62" s="120">
        <f>'Ethylene Recycling HC'!W70*'Ethylene Recycling HC'!W$42/'Ethylene Recycling LC'!W$42</f>
        <v>0.1342748223292804</v>
      </c>
      <c r="X62" s="120">
        <f>'Ethylene Recycling HC'!X70*'Ethylene Recycling HC'!X$42/'Ethylene Recycling LC'!X$42</f>
        <v>0.13435319212242205</v>
      </c>
      <c r="Y62" s="120">
        <f>'Ethylene Recycling HC'!Y70*'Ethylene Recycling HC'!Y$42/'Ethylene Recycling LC'!Y$42</f>
        <v>0.13436175355986185</v>
      </c>
      <c r="Z62" s="120">
        <f>'Ethylene Recycling HC'!Z70*'Ethylene Recycling HC'!Z$42/'Ethylene Recycling LC'!Z$42</f>
        <v>0.1342752258823304</v>
      </c>
      <c r="AA62" s="120">
        <f>'Ethylene Recycling HC'!AA70*'Ethylene Recycling HC'!AA$42/'Ethylene Recycling LC'!AA$42</f>
        <v>0.13408564205539308</v>
      </c>
      <c r="AB62" s="120">
        <f>'Ethylene Recycling HC'!AB70*'Ethylene Recycling HC'!AB$42/'Ethylene Recycling LC'!AB$42</f>
        <v>0.13378425365539981</v>
      </c>
      <c r="AC62" s="120">
        <f>'Ethylene Recycling HC'!AC70*'Ethylene Recycling HC'!AC$42/'Ethylene Recycling LC'!AC$42</f>
        <v>0.1333614334720086</v>
      </c>
      <c r="AD62" s="120">
        <f>'Ethylene Recycling HC'!AD70*'Ethylene Recycling HC'!AD$42/'Ethylene Recycling LC'!AD$42</f>
        <v>0.1328065631699355</v>
      </c>
      <c r="AE62" s="120">
        <f>'Ethylene Recycling HC'!AE70*'Ethylene Recycling HC'!AE$42/'Ethylene Recycling LC'!AE$42</f>
        <v>0.13210790326587082</v>
      </c>
      <c r="AF62" s="120">
        <f>'Ethylene Recycling HC'!AF70*'Ethylene Recycling HC'!AF$42/'Ethylene Recycling LC'!AF$42</f>
        <v>0.13125244208500847</v>
      </c>
      <c r="AG62" s="120">
        <f>'Ethylene Recycling HC'!AG70*'Ethylene Recycling HC'!AG$42/'Ethylene Recycling LC'!AG$42</f>
        <v>0.13022571962272919</v>
      </c>
      <c r="AI62" s="124" t="s">
        <v>479</v>
      </c>
      <c r="AJ62" s="185"/>
      <c r="AL62" s="100"/>
      <c r="AM62" s="2"/>
      <c r="AN62" s="2"/>
      <c r="AO62" s="2"/>
      <c r="BC62" s="1"/>
      <c r="BD62" s="2"/>
      <c r="BE62" s="2"/>
      <c r="BF62" s="2"/>
      <c r="BG62" s="2"/>
      <c r="BH62" s="2"/>
      <c r="BI62" s="2"/>
      <c r="BJ62" s="2"/>
      <c r="BK62" s="2"/>
    </row>
    <row r="63" spans="1:63" outlineLevel="1"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I63" s="124"/>
      <c r="AJ63" s="185"/>
      <c r="AL63" s="100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s="1" customFormat="1" outlineLevel="1">
      <c r="A64" s="1" t="s">
        <v>265</v>
      </c>
      <c r="B64" s="60"/>
      <c r="C64" s="541">
        <f>'Ethylene Recycling HC'!C72</f>
        <v>142499.79299311075</v>
      </c>
      <c r="D64" s="541">
        <f>'Ethylene Recycling HC'!D72</f>
        <v>151487.19877722609</v>
      </c>
      <c r="E64" s="541">
        <f>'Ethylene Recycling HC'!E72</f>
        <v>160104.2969399876</v>
      </c>
      <c r="F64" s="541">
        <f>'Ethylene Recycling HC'!F72</f>
        <v>168348.55069380015</v>
      </c>
      <c r="G64" s="541">
        <f>'Ethylene Recycling HC'!G72</f>
        <v>176217.45608943186</v>
      </c>
      <c r="H64" s="541">
        <f>'Ethylene Recycling HC'!H72</f>
        <v>183708.54181594023</v>
      </c>
      <c r="I64" s="541">
        <f>'Ethylene Recycling HC'!I72</f>
        <v>190819.36900152234</v>
      </c>
      <c r="J64" s="541">
        <f>'Ethylene Recycling HC'!J72</f>
        <v>197547.53101528657</v>
      </c>
      <c r="K64" s="541">
        <f>'Ethylene Recycling HC'!K72</f>
        <v>203890.65326994075</v>
      </c>
      <c r="L64" s="541">
        <f>'Ethylene Recycling HC'!L72</f>
        <v>209846.39302539438</v>
      </c>
      <c r="M64" s="541">
        <f>'Ethylene Recycling HC'!M72</f>
        <v>215412.43919327084</v>
      </c>
      <c r="N64" s="541">
        <f>'Ethylene Recycling HC'!N72</f>
        <v>221528.04041655367</v>
      </c>
      <c r="O64" s="541">
        <f>'Ethylene Recycling HC'!O72</f>
        <v>228061.96701288453</v>
      </c>
      <c r="P64" s="541">
        <f>'Ethylene Recycling HC'!P72</f>
        <v>232847.19336076628</v>
      </c>
      <c r="Q64" s="541">
        <f>'Ethylene Recycling HC'!Q72</f>
        <v>236846.1499365895</v>
      </c>
      <c r="R64" s="541">
        <f>'Ethylene Recycling HC'!R72</f>
        <v>240054.74699021238</v>
      </c>
      <c r="S64" s="541">
        <f>'Ethylene Recycling HC'!S72</f>
        <v>242468.95366464855</v>
      </c>
      <c r="T64" s="541">
        <f>'Ethylene Recycling HC'!T72</f>
        <v>244084.79762933106</v>
      </c>
      <c r="U64" s="541">
        <f>'Ethylene Recycling HC'!U72</f>
        <v>244898.36471508647</v>
      </c>
      <c r="V64" s="541">
        <f>'Ethylene Recycling HC'!V72</f>
        <v>244905.79855081433</v>
      </c>
      <c r="W64" s="541">
        <f>'Ethylene Recycling HC'!W72</f>
        <v>244103.30020186311</v>
      </c>
      <c r="X64" s="541">
        <f>'Ethylene Recycling HC'!X72</f>
        <v>250699.69583901277</v>
      </c>
      <c r="Y64" s="541">
        <f>'Ethylene Recycling HC'!Y72</f>
        <v>256498.10368105717</v>
      </c>
      <c r="Z64" s="541">
        <f>'Ethylene Recycling HC'!Z72</f>
        <v>261365.72189312763</v>
      </c>
      <c r="AA64" s="541">
        <f>'Ethylene Recycling HC'!AA72</f>
        <v>265298.07813043607</v>
      </c>
      <c r="AB64" s="541">
        <f>'Ethylene Recycling HC'!AB72</f>
        <v>268290.76650144387</v>
      </c>
      <c r="AC64" s="541">
        <f>'Ethylene Recycling HC'!AC72</f>
        <v>270339.44715174945</v>
      </c>
      <c r="AD64" s="541">
        <f>'Ethylene Recycling HC'!AD72</f>
        <v>271439.84584992268</v>
      </c>
      <c r="AE64" s="541">
        <f>'Ethylene Recycling HC'!AE72</f>
        <v>271587.75357527618</v>
      </c>
      <c r="AF64" s="541">
        <f>'Ethylene Recycling HC'!AF72</f>
        <v>270779.02610756864</v>
      </c>
      <c r="AG64" s="541">
        <f>'Ethylene Recycling HC'!AG72</f>
        <v>269009.58361862937</v>
      </c>
      <c r="AH64" s="367"/>
      <c r="AI64" s="368"/>
      <c r="AJ64" s="369"/>
      <c r="AL64" s="194"/>
      <c r="AM64" s="116"/>
      <c r="AN64" s="116"/>
      <c r="AO64" s="116"/>
      <c r="BD64" s="116"/>
      <c r="BE64" s="116"/>
      <c r="BF64" s="116"/>
      <c r="BG64" s="116"/>
      <c r="BH64" s="116"/>
      <c r="BI64" s="116"/>
      <c r="BJ64" s="116"/>
      <c r="BK64" s="116"/>
    </row>
    <row r="65" spans="1:63" outlineLevel="1">
      <c r="A65" s="4" t="s">
        <v>141</v>
      </c>
      <c r="C65" s="120">
        <f>'Ethylene Recycling HC'!C73</f>
        <v>132195.87366449193</v>
      </c>
      <c r="D65" s="120">
        <f>'Ethylene Recycling HC'!D73</f>
        <v>140346.83127769476</v>
      </c>
      <c r="E65" s="120">
        <f>'Ethylene Recycling HC'!E73</f>
        <v>148133.0305405939</v>
      </c>
      <c r="F65" s="120">
        <f>'Ethylene Recycling HC'!F73</f>
        <v>155553.49577354194</v>
      </c>
      <c r="G65" s="120">
        <f>'Ethylene Recycling HC'!G73</f>
        <v>162607.29409704392</v>
      </c>
      <c r="H65" s="120">
        <f>'Ethylene Recycling HC'!H73</f>
        <v>169293.53504515035</v>
      </c>
      <c r="I65" s="120">
        <f>'Ethylene Recycling HC'!I73</f>
        <v>175611.37018117955</v>
      </c>
      <c r="J65" s="120">
        <f>'Ethylene Recycling HC'!J73</f>
        <v>181559.99271575845</v>
      </c>
      <c r="K65" s="120">
        <f>'Ethylene Recycling HC'!K73</f>
        <v>187138.63712716938</v>
      </c>
      <c r="L65" s="120">
        <f>'Ethylene Recycling HC'!L73</f>
        <v>192346.57878399317</v>
      </c>
      <c r="M65" s="120">
        <f>'Ethylene Recycling HC'!M73</f>
        <v>197183.13357003627</v>
      </c>
      <c r="N65" s="120">
        <f>'Ethylene Recycling HC'!N73</f>
        <v>202508.34917003306</v>
      </c>
      <c r="O65" s="120">
        <f>'Ethylene Recycling HC'!O73</f>
        <v>208200.39386594089</v>
      </c>
      <c r="P65" s="120">
        <f>'Ethylene Recycling HC'!P73</f>
        <v>212282.08838801572</v>
      </c>
      <c r="Q65" s="120">
        <f>'Ethylene Recycling HC'!Q73</f>
        <v>215636.13730321027</v>
      </c>
      <c r="R65" s="120">
        <f>'Ethylene Recycling HC'!R73</f>
        <v>218261.72744609797</v>
      </c>
      <c r="S65" s="120">
        <f>'Ethylene Recycling HC'!S73</f>
        <v>220158.1192744257</v>
      </c>
      <c r="T65" s="120">
        <f>'Ethylene Recycling HC'!T73</f>
        <v>221324.64617388669</v>
      </c>
      <c r="U65" s="120">
        <f>'Ethylene Recycling HC'!U73</f>
        <v>221760.71376715208</v>
      </c>
      <c r="V65" s="120">
        <f>'Ethylene Recycling HC'!V73</f>
        <v>221465.79922714212</v>
      </c>
      <c r="W65" s="120">
        <f>'Ethylene Recycling HC'!W73</f>
        <v>220439.45059451458</v>
      </c>
      <c r="X65" s="120">
        <f>'Ethylene Recycling HC'!X73</f>
        <v>226087.59650832249</v>
      </c>
      <c r="Y65" s="120">
        <f>'Ethylene Recycling HC'!Y73</f>
        <v>231000.82953103751</v>
      </c>
      <c r="Z65" s="120">
        <f>'Ethylene Recycling HC'!Z73</f>
        <v>235062.66120665404</v>
      </c>
      <c r="AA65" s="120">
        <f>'Ethylene Recycling HC'!AA73</f>
        <v>238272.51409242649</v>
      </c>
      <c r="AB65" s="120">
        <f>'Ethylene Recycling HC'!AB73</f>
        <v>240629.89238152927</v>
      </c>
      <c r="AC65" s="120">
        <f>'Ethylene Recycling HC'!AC73</f>
        <v>242134.38112111189</v>
      </c>
      <c r="AD65" s="120">
        <f>'Ethylene Recycling HC'!AD73</f>
        <v>242785.64543517056</v>
      </c>
      <c r="AE65" s="120">
        <f>'Ethylene Recycling HC'!AE73</f>
        <v>242583.42975221048</v>
      </c>
      <c r="AF65" s="120">
        <f>'Ethylene Recycling HC'!AF73</f>
        <v>241527.55703767779</v>
      </c>
      <c r="AG65" s="120">
        <f>'Ethylene Recycling HC'!AG73</f>
        <v>239617.928031135</v>
      </c>
      <c r="AH65" s="217"/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s="4" t="s">
        <v>74</v>
      </c>
      <c r="C66" s="120">
        <f>'Ethylene Recycling HC'!C74</f>
        <v>0</v>
      </c>
      <c r="D66" s="120">
        <f>'Ethylene Recycling HC'!D74</f>
        <v>136.49091967356901</v>
      </c>
      <c r="E66" s="120">
        <f>'Ethylene Recycling HC'!E74</f>
        <v>288.50995872153311</v>
      </c>
      <c r="F66" s="120">
        <f>'Ethylene Recycling HC'!F74</f>
        <v>455.04931166560698</v>
      </c>
      <c r="G66" s="120">
        <f>'Ethylene Recycling HC'!G74</f>
        <v>635.09214873142673</v>
      </c>
      <c r="H66" s="120">
        <f>'Ethylene Recycling HC'!H74</f>
        <v>827.61276288507054</v>
      </c>
      <c r="I66" s="120">
        <f>'Ethylene Recycling HC'!I74</f>
        <v>1031.5767157929683</v>
      </c>
      <c r="J66" s="120">
        <f>'Ethylene Recycling HC'!J74</f>
        <v>1245.9409827110121</v>
      </c>
      <c r="K66" s="120">
        <f>'Ethylene Recycling HC'!K74</f>
        <v>1469.6540963086427</v>
      </c>
      <c r="L66" s="120">
        <f>'Ethylene Recycling HC'!L74</f>
        <v>1701.6562894336719</v>
      </c>
      <c r="M66" s="120">
        <f>'Ethylene Recycling HC'!M74</f>
        <v>1940.8796368235726</v>
      </c>
      <c r="N66" s="120">
        <f>'Ethylene Recycling HC'!N74</f>
        <v>2195.5797476884272</v>
      </c>
      <c r="O66" s="120">
        <f>'Ethylene Recycling HC'!O74</f>
        <v>2465.8232144825797</v>
      </c>
      <c r="P66" s="120">
        <f>'Ethylene Recycling HC'!P74</f>
        <v>2727.3582301528236</v>
      </c>
      <c r="Q66" s="120">
        <f>'Ethylene Recycling HC'!Q74</f>
        <v>2987.5982077495964</v>
      </c>
      <c r="R66" s="120">
        <f>'Ethylene Recycling HC'!R74</f>
        <v>3244.3625718715634</v>
      </c>
      <c r="S66" s="120">
        <f>'Ethylene Recycling HC'!S74</f>
        <v>3495.4568565645627</v>
      </c>
      <c r="T66" s="120">
        <f>'Ethylene Recycling HC'!T74</f>
        <v>3738.6729650197899</v>
      </c>
      <c r="U66" s="120">
        <f>'Ethylene Recycling HC'!U74</f>
        <v>3971.7894273171287</v>
      </c>
      <c r="V66" s="120">
        <f>'Ethylene Recycling HC'!V74</f>
        <v>4192.5716562243288</v>
      </c>
      <c r="W66" s="120">
        <f>'Ethylene Recycling HC'!W74</f>
        <v>4398.7722010626358</v>
      </c>
      <c r="X66" s="120">
        <f>'Ethylene Recycling HC'!X74</f>
        <v>4743.5220849433035</v>
      </c>
      <c r="Y66" s="120">
        <f>'Ethylene Recycling HC'!Y74</f>
        <v>5084.3409322238849</v>
      </c>
      <c r="Z66" s="120">
        <f>'Ethylene Recycling HC'!Z74</f>
        <v>5416.319695173831</v>
      </c>
      <c r="AA66" s="120">
        <f>'Ethylene Recycling HC'!AA74</f>
        <v>5736.8457211866817</v>
      </c>
      <c r="AB66" s="120">
        <f>'Ethylene Recycling HC'!AB74</f>
        <v>6043.2917360826532</v>
      </c>
      <c r="AC66" s="120">
        <f>'Ethylene Recycling HC'!AC74</f>
        <v>6333.0161337347008</v>
      </c>
      <c r="AD66" s="120">
        <f>'Ethylene Recycling HC'!AD74</f>
        <v>6603.3632634924224</v>
      </c>
      <c r="AE66" s="120">
        <f>'Ethylene Recycling HC'!AE74</f>
        <v>6851.6637154158334</v>
      </c>
      <c r="AF66" s="120">
        <f>'Ethylene Recycling HC'!AF74</f>
        <v>7075.2346033310969</v>
      </c>
      <c r="AG66" s="120">
        <f>'Ethylene Recycling HC'!AG74</f>
        <v>7271.3798457201092</v>
      </c>
      <c r="AH66" s="217"/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s="4" t="s">
        <v>34</v>
      </c>
      <c r="C67" s="120">
        <f>'Ethylene Recycling HC'!C75</f>
        <v>0</v>
      </c>
      <c r="D67" s="120">
        <f>'Ethylene Recycling HC'!D75</f>
        <v>234.09428809508765</v>
      </c>
      <c r="E67" s="120">
        <f>'Ethylene Recycling HC'!E75</f>
        <v>494.82070717074237</v>
      </c>
      <c r="F67" s="120">
        <f>'Ethylene Recycling HC'!F75</f>
        <v>780.45077956308933</v>
      </c>
      <c r="G67" s="120">
        <f>'Ethylene Recycling HC'!G75</f>
        <v>1089.2405501232222</v>
      </c>
      <c r="H67" s="120">
        <f>'Ethylene Recycling HC'!H75</f>
        <v>1419.4308383981538</v>
      </c>
      <c r="I67" s="120">
        <f>'Ethylene Recycling HC'!I75</f>
        <v>1769.2474889652781</v>
      </c>
      <c r="J67" s="120">
        <f>'Ethylene Recycling HC'!J75</f>
        <v>2136.9016199303164</v>
      </c>
      <c r="K67" s="120">
        <f>'Ethylene Recycling HC'!K75</f>
        <v>2520.5898695986498</v>
      </c>
      <c r="L67" s="120">
        <f>'Ethylene Recycling HC'!L75</f>
        <v>2918.4946413299208</v>
      </c>
      <c r="M67" s="120">
        <f>'Ethylene Recycling HC'!M75</f>
        <v>3328.7843465857281</v>
      </c>
      <c r="N67" s="120">
        <f>'Ethylene Recycling HC'!N75</f>
        <v>3765.6181028036813</v>
      </c>
      <c r="O67" s="120">
        <f>'Ethylene Recycling HC'!O75</f>
        <v>4229.1101220737082</v>
      </c>
      <c r="P67" s="120">
        <f>'Ethylene Recycling HC'!P75</f>
        <v>4677.6663590137632</v>
      </c>
      <c r="Q67" s="120">
        <f>'Ethylene Recycling HC'!Q75</f>
        <v>5124.0014883769154</v>
      </c>
      <c r="R67" s="120">
        <f>'Ethylene Recycling HC'!R75</f>
        <v>5564.3756258731792</v>
      </c>
      <c r="S67" s="120">
        <f>'Ethylene Recycling HC'!S75</f>
        <v>5995.0250636565152</v>
      </c>
      <c r="T67" s="120">
        <f>'Ethylene Recycling HC'!T75</f>
        <v>6412.1627157307385</v>
      </c>
      <c r="U67" s="120">
        <f>'Ethylene Recycling HC'!U75</f>
        <v>6811.9785600026726</v>
      </c>
      <c r="V67" s="120">
        <f>'Ethylene Recycling HC'!V75</f>
        <v>7190.6400770009059</v>
      </c>
      <c r="W67" s="120">
        <f>'Ethylene Recycling HC'!W75</f>
        <v>7544.2926852783348</v>
      </c>
      <c r="X67" s="120">
        <f>'Ethylene Recycling HC'!X75</f>
        <v>8135.5699572823651</v>
      </c>
      <c r="Y67" s="120">
        <f>'Ethylene Recycling HC'!Y75</f>
        <v>8720.1051455157412</v>
      </c>
      <c r="Z67" s="120">
        <f>'Ethylene Recycling HC'!Z75</f>
        <v>9289.4787885486749</v>
      </c>
      <c r="AA67" s="120">
        <f>'Ethylene Recycling HC'!AA75</f>
        <v>9839.2099505547285</v>
      </c>
      <c r="AB67" s="120">
        <f>'Ethylene Recycling HC'!AB75</f>
        <v>10364.792618385054</v>
      </c>
      <c r="AC67" s="120">
        <f>'Ethylene Recycling HC'!AC75</f>
        <v>10861.696198303331</v>
      </c>
      <c r="AD67" s="120">
        <f>'Ethylene Recycling HC'!AD75</f>
        <v>11325.36600894378</v>
      </c>
      <c r="AE67" s="120">
        <f>'Ethylene Recycling HC'!AE75</f>
        <v>11751.223770512921</v>
      </c>
      <c r="AF67" s="120">
        <f>'Ethylene Recycling HC'!AF75</f>
        <v>12134.668090255789</v>
      </c>
      <c r="AG67" s="120">
        <f>'Ethylene Recycling HC'!AG75</f>
        <v>12471.074944207001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A68" s="4" t="s">
        <v>35</v>
      </c>
      <c r="C68" s="120">
        <f>'Ethylene Recycling HC'!C76</f>
        <v>10303.919328618815</v>
      </c>
      <c r="D68" s="120">
        <f>'Ethylene Recycling HC'!D76</f>
        <v>10727.702765342148</v>
      </c>
      <c r="E68" s="120">
        <f>'Ethylene Recycling HC'!E76</f>
        <v>11098.989432460736</v>
      </c>
      <c r="F68" s="120">
        <f>'Ethylene Recycling HC'!F76</f>
        <v>11419.265206989689</v>
      </c>
      <c r="G68" s="120">
        <f>'Ethylene Recycling HC'!G76</f>
        <v>11690.033288085309</v>
      </c>
      <c r="H68" s="120">
        <f>'Ethylene Recycling HC'!H76</f>
        <v>11912.813939029884</v>
      </c>
      <c r="I68" s="120">
        <f>'Ethylene Recycling HC'!I76</f>
        <v>12089.144231066552</v>
      </c>
      <c r="J68" s="120">
        <f>'Ethylene Recycling HC'!J76</f>
        <v>12220.577789074487</v>
      </c>
      <c r="K68" s="120">
        <f>'Ethylene Recycling HC'!K76</f>
        <v>12308.684539074409</v>
      </c>
      <c r="L68" s="120">
        <f>'Ethylene Recycling HC'!L76</f>
        <v>12355.050457554729</v>
      </c>
      <c r="M68" s="120">
        <f>'Ethylene Recycling HC'!M76</f>
        <v>12361.277322608561</v>
      </c>
      <c r="N68" s="120">
        <f>'Ethylene Recycling HC'!N76</f>
        <v>12381.606199267289</v>
      </c>
      <c r="O68" s="120">
        <f>'Ethylene Recycling HC'!O76</f>
        <v>12406.437788521805</v>
      </c>
      <c r="P68" s="120">
        <f>'Ethylene Recycling HC'!P76</f>
        <v>12319.24831227552</v>
      </c>
      <c r="Q68" s="120">
        <f>'Ethylene Recycling HC'!Q76</f>
        <v>12177.350070817765</v>
      </c>
      <c r="R68" s="120">
        <f>'Ethylene Recycling HC'!R76</f>
        <v>11984.059200550018</v>
      </c>
      <c r="S68" s="120">
        <f>'Ethylene Recycling HC'!S76</f>
        <v>11742.719104358504</v>
      </c>
      <c r="T68" s="120">
        <f>'Ethylene Recycling HC'!T76</f>
        <v>11456.6999949375</v>
      </c>
      <c r="U68" s="120">
        <f>'Ethylene Recycling HC'!U76</f>
        <v>11129.398441474292</v>
      </c>
      <c r="V68" s="120">
        <f>'Ethylene Recycling HC'!V76</f>
        <v>10764.236919677689</v>
      </c>
      <c r="W68" s="120">
        <f>'Ethylene Recycling HC'!W76</f>
        <v>10364.663365131899</v>
      </c>
      <c r="X68" s="120">
        <f>'Ethylene Recycling HC'!X76</f>
        <v>10270.601119782947</v>
      </c>
      <c r="Y68" s="120">
        <f>'Ethylene Recycling HC'!Y76</f>
        <v>10125.349011401213</v>
      </c>
      <c r="Z68" s="120">
        <f>'Ethylene Recycling HC'!Z76</f>
        <v>9927.4356072522969</v>
      </c>
      <c r="AA68" s="120">
        <f>'Ethylene Recycling HC'!AA76</f>
        <v>9680.8650625786431</v>
      </c>
      <c r="AB68" s="120">
        <f>'Ethylene Recycling HC'!AB76</f>
        <v>9389.6705566120727</v>
      </c>
      <c r="AC68" s="120">
        <f>'Ethylene Recycling HC'!AC76</f>
        <v>9057.9137827548711</v>
      </c>
      <c r="AD68" s="120">
        <f>'Ethylene Recycling HC'!AD76</f>
        <v>8689.6844425492382</v>
      </c>
      <c r="AE68" s="120">
        <f>'Ethylene Recycling HC'!AE76</f>
        <v>8289.0997434145065</v>
      </c>
      <c r="AF68" s="120">
        <f>'Ethylene Recycling HC'!AF76</f>
        <v>7860.3039001317011</v>
      </c>
      <c r="AG68" s="120">
        <f>'Ethylene Recycling HC'!AG76</f>
        <v>7407.4676400549852</v>
      </c>
      <c r="AH68" s="217"/>
      <c r="AI68" s="124"/>
      <c r="AJ68" s="185"/>
      <c r="AL68" s="100"/>
      <c r="AM68" s="2"/>
      <c r="AN68" s="2"/>
      <c r="AO68" s="2"/>
      <c r="BC68" s="1"/>
      <c r="BD68" s="2"/>
      <c r="BE68" s="2"/>
      <c r="BF68" s="2"/>
      <c r="BG68" s="2"/>
      <c r="BH68" s="2"/>
      <c r="BI68" s="2"/>
      <c r="BJ68" s="2"/>
      <c r="BK68" s="2"/>
    </row>
    <row r="69" spans="1:63" outlineLevel="1">
      <c r="A69" s="4" t="s">
        <v>27</v>
      </c>
      <c r="C69" s="120">
        <f>'Ethylene Recycling HC'!C77</f>
        <v>0</v>
      </c>
      <c r="D69" s="120">
        <f>'Ethylene Recycling HC'!D77</f>
        <v>42.079526420516949</v>
      </c>
      <c r="E69" s="120">
        <f>'Ethylene Recycling HC'!E77</f>
        <v>88.946301040683394</v>
      </c>
      <c r="F69" s="120">
        <f>'Ethylene Recycling HC'!F77</f>
        <v>140.28962203980925</v>
      </c>
      <c r="G69" s="120">
        <f>'Ethylene Recycling HC'!G77</f>
        <v>195.79600544798754</v>
      </c>
      <c r="H69" s="120">
        <f>'Ethylene Recycling HC'!H77</f>
        <v>255.14923047678164</v>
      </c>
      <c r="I69" s="120">
        <f>'Ethylene Recycling HC'!I77</f>
        <v>318.03038451799785</v>
      </c>
      <c r="J69" s="120">
        <f>'Ethylene Recycling HC'!J77</f>
        <v>384.1179078123356</v>
      </c>
      <c r="K69" s="120">
        <f>'Ethylene Recycling HC'!K77</f>
        <v>453.08763778969575</v>
      </c>
      <c r="L69" s="120">
        <f>'Ethylene Recycling HC'!L77</f>
        <v>524.61285308292258</v>
      </c>
      <c r="M69" s="120">
        <f>'Ethylene Recycling HC'!M77</f>
        <v>598.36431721674626</v>
      </c>
      <c r="N69" s="120">
        <f>'Ethylene Recycling HC'!N77</f>
        <v>676.88719676125049</v>
      </c>
      <c r="O69" s="120">
        <f>'Ethylene Recycling HC'!O77</f>
        <v>760.20202186561039</v>
      </c>
      <c r="P69" s="120">
        <f>'Ethylene Recycling HC'!P77</f>
        <v>840.83207130850747</v>
      </c>
      <c r="Q69" s="120">
        <f>'Ethylene Recycling HC'!Q77</f>
        <v>921.06286643501085</v>
      </c>
      <c r="R69" s="120">
        <f>'Ethylene Recycling HC'!R77</f>
        <v>1000.2221458197318</v>
      </c>
      <c r="S69" s="120">
        <f>'Ethylene Recycling HC'!S77</f>
        <v>1077.6333656433603</v>
      </c>
      <c r="T69" s="120">
        <f>'Ethylene Recycling HC'!T77</f>
        <v>1152.6157797564283</v>
      </c>
      <c r="U69" s="120">
        <f>'Ethylene Recycling HC'!U77</f>
        <v>1224.4845191403995</v>
      </c>
      <c r="V69" s="120">
        <f>'Ethylene Recycling HC'!V77</f>
        <v>1292.5506707693871</v>
      </c>
      <c r="W69" s="120">
        <f>'Ethylene Recycling HC'!W77</f>
        <v>1356.1213558757663</v>
      </c>
      <c r="X69" s="120">
        <f>'Ethylene Recycling HC'!X77</f>
        <v>1462.4061686817856</v>
      </c>
      <c r="Y69" s="120">
        <f>'Ethylene Recycling HC'!Y77</f>
        <v>1567.4790608789544</v>
      </c>
      <c r="Z69" s="120">
        <f>'Ethylene Recycling HC'!Z77</f>
        <v>1669.826595498929</v>
      </c>
      <c r="AA69" s="120">
        <f>'Ethylene Recycling HC'!AA77</f>
        <v>1768.6433036896856</v>
      </c>
      <c r="AB69" s="120">
        <f>'Ethylene Recycling HC'!AB77</f>
        <v>1863.1192088350022</v>
      </c>
      <c r="AC69" s="120">
        <f>'Ethylene Recycling HC'!AC77</f>
        <v>1952.4399158448512</v>
      </c>
      <c r="AD69" s="120">
        <f>'Ethylene Recycling HC'!AD77</f>
        <v>2035.786699766873</v>
      </c>
      <c r="AE69" s="120">
        <f>'Ethylene Recycling HC'!AE77</f>
        <v>2112.3365937226445</v>
      </c>
      <c r="AF69" s="120">
        <f>'Ethylene Recycling HC'!AF77</f>
        <v>2181.2624761724683</v>
      </c>
      <c r="AG69" s="120">
        <f>'Ethylene Recycling HC'!AG77</f>
        <v>2241.7331575123453</v>
      </c>
      <c r="AH69" s="217"/>
      <c r="AI69" s="124"/>
      <c r="AJ69" s="185"/>
      <c r="AL69" s="100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s="1" customFormat="1" outlineLevel="1">
      <c r="A70" s="1" t="s">
        <v>734</v>
      </c>
      <c r="B70" s="60"/>
      <c r="C70" s="541">
        <f>'Ethylene Recycling HC'!C78</f>
        <v>33123.434909638032</v>
      </c>
      <c r="D70" s="541">
        <f>'Ethylene Recycling HC'!D78</f>
        <v>33589.398449272121</v>
      </c>
      <c r="E70" s="541">
        <f>'Ethylene Recycling HC'!E78</f>
        <v>33960.797466147356</v>
      </c>
      <c r="F70" s="541">
        <f>'Ethylene Recycling HC'!F78</f>
        <v>34240.388330266462</v>
      </c>
      <c r="G70" s="541">
        <f>'Ethylene Recycling HC'!G78</f>
        <v>34430.9588680366</v>
      </c>
      <c r="H70" s="541">
        <f>'Ethylene Recycling HC'!H78</f>
        <v>34535.327890845547</v>
      </c>
      <c r="I70" s="541">
        <f>'Ethylene Recycling HC'!I78</f>
        <v>34556.344727022923</v>
      </c>
      <c r="J70" s="541">
        <f>'Ethylene Recycling HC'!J78</f>
        <v>34496.888757168694</v>
      </c>
      <c r="K70" s="541">
        <f>'Ethylene Recycling HC'!K78</f>
        <v>34359.868952830599</v>
      </c>
      <c r="L70" s="541">
        <f>'Ethylene Recycling HC'!L78</f>
        <v>34148.223418512811</v>
      </c>
      <c r="M70" s="541">
        <f>'Ethylene Recycling HC'!M78</f>
        <v>33864.918936997892</v>
      </c>
      <c r="N70" s="541">
        <f>'Ethylene Recycling HC'!N78</f>
        <v>32236.76090996631</v>
      </c>
      <c r="O70" s="541">
        <f>'Ethylene Recycling HC'!O78</f>
        <v>30800.560130830898</v>
      </c>
      <c r="P70" s="541">
        <f>'Ethylene Recycling HC'!P78</f>
        <v>29251.078651064185</v>
      </c>
      <c r="Q70" s="541">
        <f>'Ethylene Recycling HC'!Q78</f>
        <v>27729.855570975917</v>
      </c>
      <c r="R70" s="541">
        <f>'Ethylene Recycling HC'!R78</f>
        <v>26237.774915526283</v>
      </c>
      <c r="S70" s="541">
        <f>'Ethylene Recycling HC'!S78</f>
        <v>24775.722220348416</v>
      </c>
      <c r="T70" s="541">
        <f>'Ethylene Recycling HC'!T78</f>
        <v>23344.584469134032</v>
      </c>
      <c r="U70" s="541">
        <f>'Ethylene Recycling HC'!U78</f>
        <v>21945.250031538191</v>
      </c>
      <c r="V70" s="541">
        <f>'Ethylene Recycling HC'!V78</f>
        <v>20578.608601600346</v>
      </c>
      <c r="W70" s="541">
        <f>'Ethylene Recycling HC'!W78</f>
        <v>19245.551136678532</v>
      </c>
      <c r="X70" s="541">
        <f>'Ethylene Recycling HC'!X78</f>
        <v>18164.451080526993</v>
      </c>
      <c r="Y70" s="541">
        <f>'Ethylene Recycling HC'!Y78</f>
        <v>17116.978622988332</v>
      </c>
      <c r="Z70" s="541">
        <f>'Ethylene Recycling HC'!Z78</f>
        <v>16093.691813177382</v>
      </c>
      <c r="AA70" s="541">
        <f>'Ethylene Recycling HC'!AA78</f>
        <v>15095.262140631803</v>
      </c>
      <c r="AB70" s="541">
        <f>'Ethylene Recycling HC'!AB78</f>
        <v>14122.362029696911</v>
      </c>
      <c r="AC70" s="541">
        <f>'Ethylene Recycling HC'!AC78</f>
        <v>13175.664794004528</v>
      </c>
      <c r="AD70" s="541">
        <f>'Ethylene Recycling HC'!AD78</f>
        <v>12255.844591333733</v>
      </c>
      <c r="AE70" s="541">
        <f>'Ethylene Recycling HC'!AE78</f>
        <v>11363.576378851229</v>
      </c>
      <c r="AF70" s="541">
        <f>'Ethylene Recycling HC'!AF78</f>
        <v>10499.535868729236</v>
      </c>
      <c r="AG70" s="541">
        <f>'Ethylene Recycling HC'!AG78</f>
        <v>9664.399484138723</v>
      </c>
      <c r="AH70" s="367"/>
      <c r="AI70" s="368"/>
      <c r="AJ70" s="369"/>
      <c r="AL70" s="194"/>
      <c r="AM70" s="116"/>
      <c r="AN70" s="116"/>
      <c r="AO70" s="116"/>
      <c r="BD70" s="116"/>
      <c r="BE70" s="116"/>
      <c r="BF70" s="116"/>
      <c r="BG70" s="116"/>
      <c r="BH70" s="116"/>
      <c r="BI70" s="116"/>
      <c r="BJ70" s="116"/>
      <c r="BK70" s="116"/>
    </row>
    <row r="71" spans="1:63" outlineLevel="1">
      <c r="A71" s="4" t="s">
        <v>141</v>
      </c>
      <c r="C71" s="120">
        <f>'Ethylene Recycling HC'!C79</f>
        <v>0</v>
      </c>
      <c r="D71" s="120">
        <f>'Ethylene Recycling HC'!D79</f>
        <v>0</v>
      </c>
      <c r="E71" s="120">
        <f>'Ethylene Recycling HC'!E79</f>
        <v>0</v>
      </c>
      <c r="F71" s="120">
        <f>'Ethylene Recycling HC'!F79</f>
        <v>0</v>
      </c>
      <c r="G71" s="120">
        <f>'Ethylene Recycling HC'!G79</f>
        <v>0</v>
      </c>
      <c r="H71" s="120">
        <f>'Ethylene Recycling HC'!H79</f>
        <v>0</v>
      </c>
      <c r="I71" s="120">
        <f>'Ethylene Recycling HC'!I79</f>
        <v>0</v>
      </c>
      <c r="J71" s="120">
        <f>'Ethylene Recycling HC'!J79</f>
        <v>0</v>
      </c>
      <c r="K71" s="120">
        <f>'Ethylene Recycling HC'!K79</f>
        <v>0</v>
      </c>
      <c r="L71" s="120">
        <f>'Ethylene Recycling HC'!L79</f>
        <v>0</v>
      </c>
      <c r="M71" s="120">
        <f>'Ethylene Recycling HC'!M79</f>
        <v>0</v>
      </c>
      <c r="N71" s="120">
        <f>'Ethylene Recycling HC'!N79</f>
        <v>0</v>
      </c>
      <c r="O71" s="120">
        <f>'Ethylene Recycling HC'!O79</f>
        <v>0</v>
      </c>
      <c r="P71" s="120">
        <f>'Ethylene Recycling HC'!P79</f>
        <v>0</v>
      </c>
      <c r="Q71" s="120">
        <f>'Ethylene Recycling HC'!Q79</f>
        <v>0</v>
      </c>
      <c r="R71" s="120">
        <f>'Ethylene Recycling HC'!R79</f>
        <v>0</v>
      </c>
      <c r="S71" s="120">
        <f>'Ethylene Recycling HC'!S79</f>
        <v>0</v>
      </c>
      <c r="T71" s="120">
        <f>'Ethylene Recycling HC'!T79</f>
        <v>0</v>
      </c>
      <c r="U71" s="120">
        <f>'Ethylene Recycling HC'!U79</f>
        <v>0</v>
      </c>
      <c r="V71" s="120">
        <f>'Ethylene Recycling HC'!V79</f>
        <v>0</v>
      </c>
      <c r="W71" s="120">
        <f>'Ethylene Recycling HC'!W79</f>
        <v>0</v>
      </c>
      <c r="X71" s="120">
        <f>'Ethylene Recycling HC'!X79</f>
        <v>0</v>
      </c>
      <c r="Y71" s="120">
        <f>'Ethylene Recycling HC'!Y79</f>
        <v>0</v>
      </c>
      <c r="Z71" s="120">
        <f>'Ethylene Recycling HC'!Z79</f>
        <v>0</v>
      </c>
      <c r="AA71" s="120">
        <f>'Ethylene Recycling HC'!AA79</f>
        <v>0</v>
      </c>
      <c r="AB71" s="120">
        <f>'Ethylene Recycling HC'!AB79</f>
        <v>0</v>
      </c>
      <c r="AC71" s="120">
        <f>'Ethylene Recycling HC'!AC79</f>
        <v>0</v>
      </c>
      <c r="AD71" s="120">
        <f>'Ethylene Recycling HC'!AD79</f>
        <v>0</v>
      </c>
      <c r="AE71" s="120">
        <f>'Ethylene Recycling HC'!AE79</f>
        <v>0</v>
      </c>
      <c r="AF71" s="120">
        <f>'Ethylene Recycling HC'!AF79</f>
        <v>0</v>
      </c>
      <c r="AG71" s="120">
        <f>'Ethylene Recycling HC'!AG79</f>
        <v>0</v>
      </c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74</v>
      </c>
      <c r="C72" s="120">
        <f>'Ethylene Recycling HC'!C80</f>
        <v>0</v>
      </c>
      <c r="D72" s="120">
        <f>'Ethylene Recycling HC'!D80</f>
        <v>0</v>
      </c>
      <c r="E72" s="120">
        <f>'Ethylene Recycling HC'!E80</f>
        <v>0</v>
      </c>
      <c r="F72" s="120">
        <f>'Ethylene Recycling HC'!F80</f>
        <v>0</v>
      </c>
      <c r="G72" s="120">
        <f>'Ethylene Recycling HC'!G80</f>
        <v>0</v>
      </c>
      <c r="H72" s="120">
        <f>'Ethylene Recycling HC'!H80</f>
        <v>0</v>
      </c>
      <c r="I72" s="120">
        <f>'Ethylene Recycling HC'!I80</f>
        <v>0</v>
      </c>
      <c r="J72" s="120">
        <f>'Ethylene Recycling HC'!J80</f>
        <v>0</v>
      </c>
      <c r="K72" s="120">
        <f>'Ethylene Recycling HC'!K80</f>
        <v>0</v>
      </c>
      <c r="L72" s="120">
        <f>'Ethylene Recycling HC'!L80</f>
        <v>0</v>
      </c>
      <c r="M72" s="120">
        <f>'Ethylene Recycling HC'!M80</f>
        <v>0</v>
      </c>
      <c r="N72" s="120">
        <f>'Ethylene Recycling HC'!N80</f>
        <v>0</v>
      </c>
      <c r="O72" s="120">
        <f>'Ethylene Recycling HC'!O80</f>
        <v>0</v>
      </c>
      <c r="P72" s="120">
        <f>'Ethylene Recycling HC'!P80</f>
        <v>0</v>
      </c>
      <c r="Q72" s="120">
        <f>'Ethylene Recycling HC'!Q80</f>
        <v>0</v>
      </c>
      <c r="R72" s="120">
        <f>'Ethylene Recycling HC'!R80</f>
        <v>0</v>
      </c>
      <c r="S72" s="120">
        <f>'Ethylene Recycling HC'!S80</f>
        <v>0</v>
      </c>
      <c r="T72" s="120">
        <f>'Ethylene Recycling HC'!T80</f>
        <v>0</v>
      </c>
      <c r="U72" s="120">
        <f>'Ethylene Recycling HC'!U80</f>
        <v>0</v>
      </c>
      <c r="V72" s="120">
        <f>'Ethylene Recycling HC'!V80</f>
        <v>0</v>
      </c>
      <c r="W72" s="120">
        <f>'Ethylene Recycling HC'!W80</f>
        <v>0</v>
      </c>
      <c r="X72" s="120">
        <f>'Ethylene Recycling HC'!X80</f>
        <v>0</v>
      </c>
      <c r="Y72" s="120">
        <f>'Ethylene Recycling HC'!Y80</f>
        <v>0</v>
      </c>
      <c r="Z72" s="120">
        <f>'Ethylene Recycling HC'!Z80</f>
        <v>0</v>
      </c>
      <c r="AA72" s="120">
        <f>'Ethylene Recycling HC'!AA80</f>
        <v>0</v>
      </c>
      <c r="AB72" s="120">
        <f>'Ethylene Recycling HC'!AB80</f>
        <v>0</v>
      </c>
      <c r="AC72" s="120">
        <f>'Ethylene Recycling HC'!AC80</f>
        <v>0</v>
      </c>
      <c r="AD72" s="120">
        <f>'Ethylene Recycling HC'!AD80</f>
        <v>0</v>
      </c>
      <c r="AE72" s="120">
        <f>'Ethylene Recycling HC'!AE80</f>
        <v>0</v>
      </c>
      <c r="AF72" s="120">
        <f>'Ethylene Recycling HC'!AF80</f>
        <v>0</v>
      </c>
      <c r="AG72" s="120">
        <f>'Ethylene Recycling HC'!AG80</f>
        <v>0</v>
      </c>
      <c r="AH72" s="217"/>
      <c r="AI72" s="124"/>
      <c r="AJ72" s="185"/>
      <c r="AL72" s="100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34</v>
      </c>
      <c r="C73" s="120">
        <f>'Ethylene Recycling HC'!C81</f>
        <v>0</v>
      </c>
      <c r="D73" s="120">
        <f>'Ethylene Recycling HC'!D81</f>
        <v>0</v>
      </c>
      <c r="E73" s="120">
        <f>'Ethylene Recycling HC'!E81</f>
        <v>0</v>
      </c>
      <c r="F73" s="120">
        <f>'Ethylene Recycling HC'!F81</f>
        <v>0</v>
      </c>
      <c r="G73" s="120">
        <f>'Ethylene Recycling HC'!G81</f>
        <v>0</v>
      </c>
      <c r="H73" s="120">
        <f>'Ethylene Recycling HC'!H81</f>
        <v>0</v>
      </c>
      <c r="I73" s="120">
        <f>'Ethylene Recycling HC'!I81</f>
        <v>0</v>
      </c>
      <c r="J73" s="120">
        <f>'Ethylene Recycling HC'!J81</f>
        <v>0</v>
      </c>
      <c r="K73" s="120">
        <f>'Ethylene Recycling HC'!K81</f>
        <v>0</v>
      </c>
      <c r="L73" s="120">
        <f>'Ethylene Recycling HC'!L81</f>
        <v>0</v>
      </c>
      <c r="M73" s="120">
        <f>'Ethylene Recycling HC'!M81</f>
        <v>0</v>
      </c>
      <c r="N73" s="120">
        <f>'Ethylene Recycling HC'!N81</f>
        <v>0</v>
      </c>
      <c r="O73" s="120">
        <f>'Ethylene Recycling HC'!O81</f>
        <v>0</v>
      </c>
      <c r="P73" s="120">
        <f>'Ethylene Recycling HC'!P81</f>
        <v>0</v>
      </c>
      <c r="Q73" s="120">
        <f>'Ethylene Recycling HC'!Q81</f>
        <v>0</v>
      </c>
      <c r="R73" s="120">
        <f>'Ethylene Recycling HC'!R81</f>
        <v>0</v>
      </c>
      <c r="S73" s="120">
        <f>'Ethylene Recycling HC'!S81</f>
        <v>0</v>
      </c>
      <c r="T73" s="120">
        <f>'Ethylene Recycling HC'!T81</f>
        <v>0</v>
      </c>
      <c r="U73" s="120">
        <f>'Ethylene Recycling HC'!U81</f>
        <v>0</v>
      </c>
      <c r="V73" s="120">
        <f>'Ethylene Recycling HC'!V81</f>
        <v>0</v>
      </c>
      <c r="W73" s="120">
        <f>'Ethylene Recycling HC'!W81</f>
        <v>0</v>
      </c>
      <c r="X73" s="120">
        <f>'Ethylene Recycling HC'!X81</f>
        <v>0</v>
      </c>
      <c r="Y73" s="120">
        <f>'Ethylene Recycling HC'!Y81</f>
        <v>0</v>
      </c>
      <c r="Z73" s="120">
        <f>'Ethylene Recycling HC'!Z81</f>
        <v>0</v>
      </c>
      <c r="AA73" s="120">
        <f>'Ethylene Recycling HC'!AA81</f>
        <v>0</v>
      </c>
      <c r="AB73" s="120">
        <f>'Ethylene Recycling HC'!AB81</f>
        <v>0</v>
      </c>
      <c r="AC73" s="120">
        <f>'Ethylene Recycling HC'!AC81</f>
        <v>0</v>
      </c>
      <c r="AD73" s="120">
        <f>'Ethylene Recycling HC'!AD81</f>
        <v>0</v>
      </c>
      <c r="AE73" s="120">
        <f>'Ethylene Recycling HC'!AE81</f>
        <v>0</v>
      </c>
      <c r="AF73" s="120">
        <f>'Ethylene Recycling HC'!AF81</f>
        <v>0</v>
      </c>
      <c r="AG73" s="120">
        <f>'Ethylene Recycling HC'!AG81</f>
        <v>0</v>
      </c>
      <c r="AH73" s="217"/>
      <c r="AI73" s="124"/>
      <c r="AJ73" s="185"/>
      <c r="AL73" s="100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s="4" t="s">
        <v>35</v>
      </c>
      <c r="C74" s="120">
        <f>'Ethylene Recycling HC'!C82</f>
        <v>33123.434909638032</v>
      </c>
      <c r="D74" s="120">
        <f>'Ethylene Recycling HC'!D82</f>
        <v>33589.398449272121</v>
      </c>
      <c r="E74" s="120">
        <f>'Ethylene Recycling HC'!E82</f>
        <v>33960.797466147356</v>
      </c>
      <c r="F74" s="120">
        <f>'Ethylene Recycling HC'!F82</f>
        <v>34240.388330266462</v>
      </c>
      <c r="G74" s="120">
        <f>'Ethylene Recycling HC'!G82</f>
        <v>34430.9588680366</v>
      </c>
      <c r="H74" s="120">
        <f>'Ethylene Recycling HC'!H82</f>
        <v>34535.327890845547</v>
      </c>
      <c r="I74" s="120">
        <f>'Ethylene Recycling HC'!I82</f>
        <v>34556.344727022923</v>
      </c>
      <c r="J74" s="120">
        <f>'Ethylene Recycling HC'!J82</f>
        <v>34496.888757168694</v>
      </c>
      <c r="K74" s="120">
        <f>'Ethylene Recycling HC'!K82</f>
        <v>34359.868952830599</v>
      </c>
      <c r="L74" s="120">
        <f>'Ethylene Recycling HC'!L82</f>
        <v>34148.223418512811</v>
      </c>
      <c r="M74" s="120">
        <f>'Ethylene Recycling HC'!M82</f>
        <v>33864.918936997892</v>
      </c>
      <c r="N74" s="120">
        <f>'Ethylene Recycling HC'!N82</f>
        <v>32236.76090996631</v>
      </c>
      <c r="O74" s="120">
        <f>'Ethylene Recycling HC'!O82</f>
        <v>30800.560130830898</v>
      </c>
      <c r="P74" s="120">
        <f>'Ethylene Recycling HC'!P82</f>
        <v>29251.078651064185</v>
      </c>
      <c r="Q74" s="120">
        <f>'Ethylene Recycling HC'!Q82</f>
        <v>27729.855570975917</v>
      </c>
      <c r="R74" s="120">
        <f>'Ethylene Recycling HC'!R82</f>
        <v>26237.774915526283</v>
      </c>
      <c r="S74" s="120">
        <f>'Ethylene Recycling HC'!S82</f>
        <v>24775.722220348416</v>
      </c>
      <c r="T74" s="120">
        <f>'Ethylene Recycling HC'!T82</f>
        <v>23344.584469134032</v>
      </c>
      <c r="U74" s="120">
        <f>'Ethylene Recycling HC'!U82</f>
        <v>21945.250031538191</v>
      </c>
      <c r="V74" s="120">
        <f>'Ethylene Recycling HC'!V82</f>
        <v>20578.608601600346</v>
      </c>
      <c r="W74" s="120">
        <f>'Ethylene Recycling HC'!W82</f>
        <v>19245.551136678532</v>
      </c>
      <c r="X74" s="120">
        <f>'Ethylene Recycling HC'!X82</f>
        <v>18164.451080526993</v>
      </c>
      <c r="Y74" s="120">
        <f>'Ethylene Recycling HC'!Y82</f>
        <v>17116.978622988332</v>
      </c>
      <c r="Z74" s="120">
        <f>'Ethylene Recycling HC'!Z82</f>
        <v>16093.691813177382</v>
      </c>
      <c r="AA74" s="120">
        <f>'Ethylene Recycling HC'!AA82</f>
        <v>15095.262140631803</v>
      </c>
      <c r="AB74" s="120">
        <f>'Ethylene Recycling HC'!AB82</f>
        <v>14122.362029696911</v>
      </c>
      <c r="AC74" s="120">
        <f>'Ethylene Recycling HC'!AC82</f>
        <v>13175.664794004528</v>
      </c>
      <c r="AD74" s="120">
        <f>'Ethylene Recycling HC'!AD82</f>
        <v>12255.844591333733</v>
      </c>
      <c r="AE74" s="120">
        <f>'Ethylene Recycling HC'!AE82</f>
        <v>11363.576378851229</v>
      </c>
      <c r="AF74" s="120">
        <f>'Ethylene Recycling HC'!AF82</f>
        <v>10499.535868729236</v>
      </c>
      <c r="AG74" s="120">
        <f>'Ethylene Recycling HC'!AG82</f>
        <v>9664.399484138723</v>
      </c>
      <c r="AH74" s="217"/>
      <c r="AI74" s="124"/>
      <c r="AJ74" s="185"/>
      <c r="AL74" s="100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27</v>
      </c>
      <c r="C75" s="120">
        <f>'Ethylene Recycling HC'!C83</f>
        <v>0</v>
      </c>
      <c r="D75" s="120">
        <f>'Ethylene Recycling HC'!D83</f>
        <v>9.3303327997633119</v>
      </c>
      <c r="E75" s="120">
        <f>'Ethylene Recycling HC'!E83</f>
        <v>18.866997155846946</v>
      </c>
      <c r="F75" s="120">
        <f>'Ethylene Recycling HC'!F83</f>
        <v>28.533486730671811</v>
      </c>
      <c r="G75" s="120">
        <f>'Ethylene Recycling HC'!G83</f>
        <v>38.256392753077698</v>
      </c>
      <c r="H75" s="120">
        <f>'Ethylene Recycling HC'!H83</f>
        <v>47.965447052761895</v>
      </c>
      <c r="I75" s="120">
        <f>'Ethylene Recycling HC'!I83</f>
        <v>57.593564314657755</v>
      </c>
      <c r="J75" s="120">
        <f>'Ethylene Recycling HC'!J83</f>
        <v>67.076883559800834</v>
      </c>
      <c r="K75" s="120">
        <f>'Ethylene Recycling HC'!K83</f>
        <v>76.354808859189092</v>
      </c>
      <c r="L75" s="120">
        <f>'Ethylene Recycling HC'!L83</f>
        <v>85.370049287104777</v>
      </c>
      <c r="M75" s="120">
        <f>'Ethylene Recycling HC'!M83</f>
        <v>94.068658120325523</v>
      </c>
      <c r="N75" s="120">
        <f>'Ethylene Recycling HC'!N83</f>
        <v>98.500626304367401</v>
      </c>
      <c r="O75" s="120">
        <f>'Ethylene Recycling HC'!O83</f>
        <v>102.66792132301538</v>
      </c>
      <c r="P75" s="120">
        <f>'Ethylene Recycling HC'!P83</f>
        <v>105.62826502304128</v>
      </c>
      <c r="Q75" s="120">
        <f>'Ethylene Recycling HC'!Q83</f>
        <v>107.83768393478204</v>
      </c>
      <c r="R75" s="120">
        <f>'Ethylene Recycling HC'!R83</f>
        <v>109.32340999952335</v>
      </c>
      <c r="S75" s="120">
        <f>'Ethylene Recycling HC'!S83</f>
        <v>110.11366411670926</v>
      </c>
      <c r="T75" s="120">
        <f>'Ethylene Recycling HC'!T83</f>
        <v>110.23765794640927</v>
      </c>
      <c r="U75" s="120">
        <f>'Ethylene Recycling HC'!U83</f>
        <v>109.72559561002453</v>
      </c>
      <c r="V75" s="120">
        <f>'Ethylene Recycling HC'!V83</f>
        <v>108.60867529022727</v>
      </c>
      <c r="W75" s="120">
        <f>'Ethylene Recycling HC'!W83</f>
        <v>106.91909073112025</v>
      </c>
      <c r="X75" s="120">
        <f>'Ethylene Recycling HC'!X83</f>
        <v>105.95866589299412</v>
      </c>
      <c r="Y75" s="120">
        <f>'Ethylene Recycling HC'!Y83</f>
        <v>104.60313426102093</v>
      </c>
      <c r="Z75" s="120">
        <f>'Ethylene Recycling HC'!Z83</f>
        <v>102.82019545162703</v>
      </c>
      <c r="AA75" s="120">
        <f>'Ethylene Recycling HC'!AA83</f>
        <v>100.63448062123729</v>
      </c>
      <c r="AB75" s="120">
        <f>'Ethylene Recycling HC'!AB83</f>
        <v>98.071373512993347</v>
      </c>
      <c r="AC75" s="120">
        <f>'Ethylene Recycling HC'!AC83</f>
        <v>95.157011426327827</v>
      </c>
      <c r="AD75" s="120">
        <f>'Ethylene Recycling HC'!AD83</f>
        <v>91.918286113534819</v>
      </c>
      <c r="AE75" s="120">
        <f>'Ethylene Recycling HC'!AE83</f>
        <v>88.382844604061233</v>
      </c>
      <c r="AF75" s="120">
        <f>'Ethylene Recycling HC'!AF83</f>
        <v>84.579089957240342</v>
      </c>
      <c r="AG75" s="120">
        <f>'Ethylene Recycling HC'!AG83</f>
        <v>80.536181944183497</v>
      </c>
      <c r="AH75" s="217"/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s="1" customFormat="1" outlineLevel="1">
      <c r="A76" s="1" t="s">
        <v>748</v>
      </c>
      <c r="B76" s="60"/>
      <c r="C76" s="541">
        <f>'Ethylene Recycling HC'!C84</f>
        <v>39724.244188919401</v>
      </c>
      <c r="D76" s="541">
        <f>'Ethylene Recycling HC'!D84</f>
        <v>41056.591152858949</v>
      </c>
      <c r="E76" s="541">
        <f>'Ethylene Recycling HC'!E84</f>
        <v>42323.258131108472</v>
      </c>
      <c r="F76" s="541">
        <f>'Ethylene Recycling HC'!F84</f>
        <v>43523.814086968203</v>
      </c>
      <c r="G76" s="541">
        <f>'Ethylene Recycling HC'!G84</f>
        <v>44657.833652146212</v>
      </c>
      <c r="H76" s="541">
        <f>'Ethylene Recycling HC'!H84</f>
        <v>45724.897092103216</v>
      </c>
      <c r="I76" s="541">
        <f>'Ethylene Recycling HC'!I84</f>
        <v>46724.59027155747</v>
      </c>
      <c r="J76" s="541">
        <f>'Ethylene Recycling HC'!J84</f>
        <v>47656.504620149797</v>
      </c>
      <c r="K76" s="541">
        <f>'Ethylene Recycling HC'!K84</f>
        <v>48520.23709826736</v>
      </c>
      <c r="L76" s="541">
        <f>'Ethylene Recycling HC'!L84</f>
        <v>49315.390163026197</v>
      </c>
      <c r="M76" s="541">
        <f>'Ethylene Recycling HC'!M84</f>
        <v>50041.571734411453</v>
      </c>
      <c r="N76" s="541">
        <f>'Ethylene Recycling HC'!N84</f>
        <v>48767.775384820539</v>
      </c>
      <c r="O76" s="541">
        <f>'Ethylene Recycling HC'!O84</f>
        <v>47729.421733419105</v>
      </c>
      <c r="P76" s="541">
        <f>'Ethylene Recycling HC'!P84</f>
        <v>46459.327234473261</v>
      </c>
      <c r="Q76" s="541">
        <f>'Ethylene Recycling HC'!Q84</f>
        <v>45170.259508712305</v>
      </c>
      <c r="R76" s="541">
        <f>'Ethylene Recycling HC'!R84</f>
        <v>43862.201546717588</v>
      </c>
      <c r="S76" s="541">
        <f>'Ethylene Recycling HC'!S84</f>
        <v>42535.137097574989</v>
      </c>
      <c r="T76" s="541">
        <f>'Ethylene Recycling HC'!T84</f>
        <v>41189.050663521026</v>
      </c>
      <c r="U76" s="541">
        <f>'Ethylene Recycling HC'!U84</f>
        <v>39823.92749461528</v>
      </c>
      <c r="V76" s="541">
        <f>'Ethylene Recycling HC'!V84</f>
        <v>38439.753583439153</v>
      </c>
      <c r="W76" s="541">
        <f>'Ethylene Recycling HC'!W84</f>
        <v>37036.515659820478</v>
      </c>
      <c r="X76" s="541">
        <f>'Ethylene Recycling HC'!X84</f>
        <v>36045.77388432181</v>
      </c>
      <c r="Y76" s="541">
        <f>'Ethylene Recycling HC'!Y84</f>
        <v>35060.150288812067</v>
      </c>
      <c r="Z76" s="541">
        <f>'Ethylene Recycling HC'!Z84</f>
        <v>34060.172736615168</v>
      </c>
      <c r="AA76" s="541">
        <f>'Ethylene Recycling HC'!AA84</f>
        <v>33045.830268671511</v>
      </c>
      <c r="AB76" s="541">
        <f>'Ethylene Recycling HC'!AB84</f>
        <v>32017.112483966288</v>
      </c>
      <c r="AC76" s="541">
        <f>'Ethylene Recycling HC'!AC84</f>
        <v>30974.009535563266</v>
      </c>
      <c r="AD76" s="541">
        <f>'Ethylene Recycling HC'!AD84</f>
        <v>29916.512126658228</v>
      </c>
      <c r="AE76" s="541">
        <f>'Ethylene Recycling HC'!AE84</f>
        <v>28844.611506651752</v>
      </c>
      <c r="AF76" s="541">
        <f>'Ethylene Recycling HC'!AF84</f>
        <v>27758.29946724133</v>
      </c>
      <c r="AG76" s="541">
        <f>'Ethylene Recycling HC'!AG84</f>
        <v>26657.568338532947</v>
      </c>
      <c r="AH76" s="367"/>
      <c r="AI76" s="368"/>
      <c r="AJ76" s="369"/>
      <c r="AL76" s="194"/>
      <c r="AM76" s="116"/>
      <c r="AN76" s="116"/>
      <c r="AO76" s="116"/>
      <c r="BD76" s="116"/>
      <c r="BE76" s="116"/>
      <c r="BF76" s="116"/>
      <c r="BG76" s="116"/>
      <c r="BH76" s="116"/>
      <c r="BI76" s="116"/>
      <c r="BJ76" s="116"/>
      <c r="BK76" s="116"/>
    </row>
    <row r="77" spans="1:63" outlineLevel="1">
      <c r="A77" s="4" t="s">
        <v>141</v>
      </c>
      <c r="C77" s="120">
        <f>'Ethylene Recycling HC'!C85</f>
        <v>39724.244188919401</v>
      </c>
      <c r="D77" s="120">
        <f>'Ethylene Recycling HC'!D85</f>
        <v>41056.591152858949</v>
      </c>
      <c r="E77" s="120">
        <f>'Ethylene Recycling HC'!E85</f>
        <v>42323.258131108472</v>
      </c>
      <c r="F77" s="120">
        <f>'Ethylene Recycling HC'!F85</f>
        <v>43523.814086968203</v>
      </c>
      <c r="G77" s="120">
        <f>'Ethylene Recycling HC'!G85</f>
        <v>44657.833652146212</v>
      </c>
      <c r="H77" s="120">
        <f>'Ethylene Recycling HC'!H85</f>
        <v>45724.897092103216</v>
      </c>
      <c r="I77" s="120">
        <f>'Ethylene Recycling HC'!I85</f>
        <v>46724.59027155747</v>
      </c>
      <c r="J77" s="120">
        <f>'Ethylene Recycling HC'!J85</f>
        <v>47656.504620149797</v>
      </c>
      <c r="K77" s="120">
        <f>'Ethylene Recycling HC'!K85</f>
        <v>48520.23709826736</v>
      </c>
      <c r="L77" s="120">
        <f>'Ethylene Recycling HC'!L85</f>
        <v>49315.390163026197</v>
      </c>
      <c r="M77" s="120">
        <f>'Ethylene Recycling HC'!M85</f>
        <v>50041.571734411453</v>
      </c>
      <c r="N77" s="120">
        <f>'Ethylene Recycling HC'!N85</f>
        <v>48767.775384820539</v>
      </c>
      <c r="O77" s="120">
        <f>'Ethylene Recycling HC'!O85</f>
        <v>47729.421733419105</v>
      </c>
      <c r="P77" s="120">
        <f>'Ethylene Recycling HC'!P85</f>
        <v>46459.327234473261</v>
      </c>
      <c r="Q77" s="120">
        <f>'Ethylene Recycling HC'!Q85</f>
        <v>45170.259508712305</v>
      </c>
      <c r="R77" s="120">
        <f>'Ethylene Recycling HC'!R85</f>
        <v>43862.201546717588</v>
      </c>
      <c r="S77" s="120">
        <f>'Ethylene Recycling HC'!S85</f>
        <v>42535.137097574989</v>
      </c>
      <c r="T77" s="120">
        <f>'Ethylene Recycling HC'!T85</f>
        <v>41189.050663521026</v>
      </c>
      <c r="U77" s="120">
        <f>'Ethylene Recycling HC'!U85</f>
        <v>39823.92749461528</v>
      </c>
      <c r="V77" s="120">
        <f>'Ethylene Recycling HC'!V85</f>
        <v>38439.753583439153</v>
      </c>
      <c r="W77" s="120">
        <f>'Ethylene Recycling HC'!W85</f>
        <v>37036.515659820478</v>
      </c>
      <c r="X77" s="120">
        <f>'Ethylene Recycling HC'!X85</f>
        <v>36045.77388432181</v>
      </c>
      <c r="Y77" s="120">
        <f>'Ethylene Recycling HC'!Y85</f>
        <v>35060.150288812067</v>
      </c>
      <c r="Z77" s="120">
        <f>'Ethylene Recycling HC'!Z85</f>
        <v>34060.172736615168</v>
      </c>
      <c r="AA77" s="120">
        <f>'Ethylene Recycling HC'!AA85</f>
        <v>33045.830268671511</v>
      </c>
      <c r="AB77" s="120">
        <f>'Ethylene Recycling HC'!AB85</f>
        <v>32017.112483966288</v>
      </c>
      <c r="AC77" s="120">
        <f>'Ethylene Recycling HC'!AC85</f>
        <v>30974.009535563266</v>
      </c>
      <c r="AD77" s="120">
        <f>'Ethylene Recycling HC'!AD85</f>
        <v>29916.512126658228</v>
      </c>
      <c r="AE77" s="120">
        <f>'Ethylene Recycling HC'!AE85</f>
        <v>28844.611506651752</v>
      </c>
      <c r="AF77" s="120">
        <f>'Ethylene Recycling HC'!AF85</f>
        <v>27758.29946724133</v>
      </c>
      <c r="AG77" s="120">
        <f>'Ethylene Recycling HC'!AG85</f>
        <v>26657.568338532947</v>
      </c>
      <c r="AH77" s="217"/>
      <c r="AI77" s="124"/>
      <c r="AJ77" s="185"/>
      <c r="AL77" s="100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74</v>
      </c>
      <c r="C78" s="120">
        <f>'Ethylene Recycling HC'!C86</f>
        <v>0</v>
      </c>
      <c r="D78" s="120">
        <f>'Ethylene Recycling HC'!D86</f>
        <v>0</v>
      </c>
      <c r="E78" s="120">
        <f>'Ethylene Recycling HC'!E86</f>
        <v>0</v>
      </c>
      <c r="F78" s="120">
        <f>'Ethylene Recycling HC'!F86</f>
        <v>0</v>
      </c>
      <c r="G78" s="120">
        <f>'Ethylene Recycling HC'!G86</f>
        <v>0</v>
      </c>
      <c r="H78" s="120">
        <f>'Ethylene Recycling HC'!H86</f>
        <v>0</v>
      </c>
      <c r="I78" s="120">
        <f>'Ethylene Recycling HC'!I86</f>
        <v>0</v>
      </c>
      <c r="J78" s="120">
        <f>'Ethylene Recycling HC'!J86</f>
        <v>0</v>
      </c>
      <c r="K78" s="120">
        <f>'Ethylene Recycling HC'!K86</f>
        <v>0</v>
      </c>
      <c r="L78" s="120">
        <f>'Ethylene Recycling HC'!L86</f>
        <v>0</v>
      </c>
      <c r="M78" s="120">
        <f>'Ethylene Recycling HC'!M86</f>
        <v>0</v>
      </c>
      <c r="N78" s="120">
        <f>'Ethylene Recycling HC'!N86</f>
        <v>0</v>
      </c>
      <c r="O78" s="120">
        <f>'Ethylene Recycling HC'!O86</f>
        <v>0</v>
      </c>
      <c r="P78" s="120">
        <f>'Ethylene Recycling HC'!P86</f>
        <v>0</v>
      </c>
      <c r="Q78" s="120">
        <f>'Ethylene Recycling HC'!Q86</f>
        <v>0</v>
      </c>
      <c r="R78" s="120">
        <f>'Ethylene Recycling HC'!R86</f>
        <v>0</v>
      </c>
      <c r="S78" s="120">
        <f>'Ethylene Recycling HC'!S86</f>
        <v>0</v>
      </c>
      <c r="T78" s="120">
        <f>'Ethylene Recycling HC'!T86</f>
        <v>0</v>
      </c>
      <c r="U78" s="120">
        <f>'Ethylene Recycling HC'!U86</f>
        <v>0</v>
      </c>
      <c r="V78" s="120">
        <f>'Ethylene Recycling HC'!V86</f>
        <v>0</v>
      </c>
      <c r="W78" s="120">
        <f>'Ethylene Recycling HC'!W86</f>
        <v>0</v>
      </c>
      <c r="X78" s="120">
        <f>'Ethylene Recycling HC'!X86</f>
        <v>0</v>
      </c>
      <c r="Y78" s="120">
        <f>'Ethylene Recycling HC'!Y86</f>
        <v>0</v>
      </c>
      <c r="Z78" s="120">
        <f>'Ethylene Recycling HC'!Z86</f>
        <v>0</v>
      </c>
      <c r="AA78" s="120">
        <f>'Ethylene Recycling HC'!AA86</f>
        <v>0</v>
      </c>
      <c r="AB78" s="120">
        <f>'Ethylene Recycling HC'!AB86</f>
        <v>0</v>
      </c>
      <c r="AC78" s="120">
        <f>'Ethylene Recycling HC'!AC86</f>
        <v>0</v>
      </c>
      <c r="AD78" s="120">
        <f>'Ethylene Recycling HC'!AD86</f>
        <v>0</v>
      </c>
      <c r="AE78" s="120">
        <f>'Ethylene Recycling HC'!AE86</f>
        <v>0</v>
      </c>
      <c r="AF78" s="120">
        <f>'Ethylene Recycling HC'!AF86</f>
        <v>0</v>
      </c>
      <c r="AG78" s="120">
        <f>'Ethylene Recycling HC'!AG86</f>
        <v>0</v>
      </c>
      <c r="AH78" s="217"/>
      <c r="AI78" s="124"/>
      <c r="AJ78" s="185"/>
      <c r="AL78" s="100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34</v>
      </c>
      <c r="C79" s="120">
        <f>'Ethylene Recycling HC'!C87</f>
        <v>0</v>
      </c>
      <c r="D79" s="120">
        <f>'Ethylene Recycling HC'!D87</f>
        <v>0</v>
      </c>
      <c r="E79" s="120">
        <f>'Ethylene Recycling HC'!E87</f>
        <v>0</v>
      </c>
      <c r="F79" s="120">
        <f>'Ethylene Recycling HC'!F87</f>
        <v>0</v>
      </c>
      <c r="G79" s="120">
        <f>'Ethylene Recycling HC'!G87</f>
        <v>0</v>
      </c>
      <c r="H79" s="120">
        <f>'Ethylene Recycling HC'!H87</f>
        <v>0</v>
      </c>
      <c r="I79" s="120">
        <f>'Ethylene Recycling HC'!I87</f>
        <v>0</v>
      </c>
      <c r="J79" s="120">
        <f>'Ethylene Recycling HC'!J87</f>
        <v>0</v>
      </c>
      <c r="K79" s="120">
        <f>'Ethylene Recycling HC'!K87</f>
        <v>0</v>
      </c>
      <c r="L79" s="120">
        <f>'Ethylene Recycling HC'!L87</f>
        <v>0</v>
      </c>
      <c r="M79" s="120">
        <f>'Ethylene Recycling HC'!M87</f>
        <v>0</v>
      </c>
      <c r="N79" s="120">
        <f>'Ethylene Recycling HC'!N87</f>
        <v>0</v>
      </c>
      <c r="O79" s="120">
        <f>'Ethylene Recycling HC'!O87</f>
        <v>0</v>
      </c>
      <c r="P79" s="120">
        <f>'Ethylene Recycling HC'!P87</f>
        <v>0</v>
      </c>
      <c r="Q79" s="120">
        <f>'Ethylene Recycling HC'!Q87</f>
        <v>0</v>
      </c>
      <c r="R79" s="120">
        <f>'Ethylene Recycling HC'!R87</f>
        <v>0</v>
      </c>
      <c r="S79" s="120">
        <f>'Ethylene Recycling HC'!S87</f>
        <v>0</v>
      </c>
      <c r="T79" s="120">
        <f>'Ethylene Recycling HC'!T87</f>
        <v>0</v>
      </c>
      <c r="U79" s="120">
        <f>'Ethylene Recycling HC'!U87</f>
        <v>0</v>
      </c>
      <c r="V79" s="120">
        <f>'Ethylene Recycling HC'!V87</f>
        <v>0</v>
      </c>
      <c r="W79" s="120">
        <f>'Ethylene Recycling HC'!W87</f>
        <v>0</v>
      </c>
      <c r="X79" s="120">
        <f>'Ethylene Recycling HC'!X87</f>
        <v>0</v>
      </c>
      <c r="Y79" s="120">
        <f>'Ethylene Recycling HC'!Y87</f>
        <v>0</v>
      </c>
      <c r="Z79" s="120">
        <f>'Ethylene Recycling HC'!Z87</f>
        <v>0</v>
      </c>
      <c r="AA79" s="120">
        <f>'Ethylene Recycling HC'!AA87</f>
        <v>0</v>
      </c>
      <c r="AB79" s="120">
        <f>'Ethylene Recycling HC'!AB87</f>
        <v>0</v>
      </c>
      <c r="AC79" s="120">
        <f>'Ethylene Recycling HC'!AC87</f>
        <v>0</v>
      </c>
      <c r="AD79" s="120">
        <f>'Ethylene Recycling HC'!AD87</f>
        <v>0</v>
      </c>
      <c r="AE79" s="120">
        <f>'Ethylene Recycling HC'!AE87</f>
        <v>0</v>
      </c>
      <c r="AF79" s="120">
        <f>'Ethylene Recycling HC'!AF87</f>
        <v>0</v>
      </c>
      <c r="AG79" s="120">
        <f>'Ethylene Recycling HC'!AG87</f>
        <v>0</v>
      </c>
      <c r="AH79" s="217"/>
      <c r="AI79" s="124"/>
      <c r="AJ79" s="185"/>
      <c r="AL79" s="100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35</v>
      </c>
      <c r="C80" s="120">
        <f>'Ethylene Recycling HC'!C88</f>
        <v>0</v>
      </c>
      <c r="D80" s="120">
        <f>'Ethylene Recycling HC'!D88</f>
        <v>0</v>
      </c>
      <c r="E80" s="120">
        <f>'Ethylene Recycling HC'!E88</f>
        <v>0</v>
      </c>
      <c r="F80" s="120">
        <f>'Ethylene Recycling HC'!F88</f>
        <v>0</v>
      </c>
      <c r="G80" s="120">
        <f>'Ethylene Recycling HC'!G88</f>
        <v>0</v>
      </c>
      <c r="H80" s="120">
        <f>'Ethylene Recycling HC'!H88</f>
        <v>0</v>
      </c>
      <c r="I80" s="120">
        <f>'Ethylene Recycling HC'!I88</f>
        <v>0</v>
      </c>
      <c r="J80" s="120">
        <f>'Ethylene Recycling HC'!J88</f>
        <v>0</v>
      </c>
      <c r="K80" s="120">
        <f>'Ethylene Recycling HC'!K88</f>
        <v>0</v>
      </c>
      <c r="L80" s="120">
        <f>'Ethylene Recycling HC'!L88</f>
        <v>0</v>
      </c>
      <c r="M80" s="120">
        <f>'Ethylene Recycling HC'!M88</f>
        <v>0</v>
      </c>
      <c r="N80" s="120">
        <f>'Ethylene Recycling HC'!N88</f>
        <v>0</v>
      </c>
      <c r="O80" s="120">
        <f>'Ethylene Recycling HC'!O88</f>
        <v>0</v>
      </c>
      <c r="P80" s="120">
        <f>'Ethylene Recycling HC'!P88</f>
        <v>0</v>
      </c>
      <c r="Q80" s="120">
        <f>'Ethylene Recycling HC'!Q88</f>
        <v>0</v>
      </c>
      <c r="R80" s="120">
        <f>'Ethylene Recycling HC'!R88</f>
        <v>0</v>
      </c>
      <c r="S80" s="120">
        <f>'Ethylene Recycling HC'!S88</f>
        <v>0</v>
      </c>
      <c r="T80" s="120">
        <f>'Ethylene Recycling HC'!T88</f>
        <v>0</v>
      </c>
      <c r="U80" s="120">
        <f>'Ethylene Recycling HC'!U88</f>
        <v>0</v>
      </c>
      <c r="V80" s="120">
        <f>'Ethylene Recycling HC'!V88</f>
        <v>0</v>
      </c>
      <c r="W80" s="120">
        <f>'Ethylene Recycling HC'!W88</f>
        <v>0</v>
      </c>
      <c r="X80" s="120">
        <f>'Ethylene Recycling HC'!X88</f>
        <v>0</v>
      </c>
      <c r="Y80" s="120">
        <f>'Ethylene Recycling HC'!Y88</f>
        <v>0</v>
      </c>
      <c r="Z80" s="120">
        <f>'Ethylene Recycling HC'!Z88</f>
        <v>0</v>
      </c>
      <c r="AA80" s="120">
        <f>'Ethylene Recycling HC'!AA88</f>
        <v>0</v>
      </c>
      <c r="AB80" s="120">
        <f>'Ethylene Recycling HC'!AB88</f>
        <v>0</v>
      </c>
      <c r="AC80" s="120">
        <f>'Ethylene Recycling HC'!AC88</f>
        <v>0</v>
      </c>
      <c r="AD80" s="120">
        <f>'Ethylene Recycling HC'!AD88</f>
        <v>0</v>
      </c>
      <c r="AE80" s="120">
        <f>'Ethylene Recycling HC'!AE88</f>
        <v>0</v>
      </c>
      <c r="AF80" s="120">
        <f>'Ethylene Recycling HC'!AF88</f>
        <v>0</v>
      </c>
      <c r="AG80" s="120">
        <f>'Ethylene Recycling HC'!AG88</f>
        <v>0</v>
      </c>
      <c r="AH80" s="217"/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27</v>
      </c>
      <c r="C81" s="120">
        <f>'Ethylene Recycling HC'!C89</f>
        <v>0</v>
      </c>
      <c r="D81" s="120">
        <f>'Ethylene Recycling HC'!D89</f>
        <v>0</v>
      </c>
      <c r="E81" s="120">
        <f>'Ethylene Recycling HC'!E89</f>
        <v>0</v>
      </c>
      <c r="F81" s="120">
        <f>'Ethylene Recycling HC'!F89</f>
        <v>0</v>
      </c>
      <c r="G81" s="120">
        <f>'Ethylene Recycling HC'!G89</f>
        <v>0</v>
      </c>
      <c r="H81" s="120">
        <f>'Ethylene Recycling HC'!H89</f>
        <v>0</v>
      </c>
      <c r="I81" s="120">
        <f>'Ethylene Recycling HC'!I89</f>
        <v>0</v>
      </c>
      <c r="J81" s="120">
        <f>'Ethylene Recycling HC'!J89</f>
        <v>0</v>
      </c>
      <c r="K81" s="120">
        <f>'Ethylene Recycling HC'!K89</f>
        <v>0</v>
      </c>
      <c r="L81" s="120">
        <f>'Ethylene Recycling HC'!L89</f>
        <v>0</v>
      </c>
      <c r="M81" s="120">
        <f>'Ethylene Recycling HC'!M89</f>
        <v>0</v>
      </c>
      <c r="N81" s="120">
        <f>'Ethylene Recycling HC'!N89</f>
        <v>0</v>
      </c>
      <c r="O81" s="120">
        <f>'Ethylene Recycling HC'!O89</f>
        <v>0</v>
      </c>
      <c r="P81" s="120">
        <f>'Ethylene Recycling HC'!P89</f>
        <v>0</v>
      </c>
      <c r="Q81" s="120">
        <f>'Ethylene Recycling HC'!Q89</f>
        <v>0</v>
      </c>
      <c r="R81" s="120">
        <f>'Ethylene Recycling HC'!R89</f>
        <v>0</v>
      </c>
      <c r="S81" s="120">
        <f>'Ethylene Recycling HC'!S89</f>
        <v>0</v>
      </c>
      <c r="T81" s="120">
        <f>'Ethylene Recycling HC'!T89</f>
        <v>0</v>
      </c>
      <c r="U81" s="120">
        <f>'Ethylene Recycling HC'!U89</f>
        <v>0</v>
      </c>
      <c r="V81" s="120">
        <f>'Ethylene Recycling HC'!V89</f>
        <v>0</v>
      </c>
      <c r="W81" s="120">
        <f>'Ethylene Recycling HC'!W89</f>
        <v>0</v>
      </c>
      <c r="X81" s="120">
        <f>'Ethylene Recycling HC'!X89</f>
        <v>0</v>
      </c>
      <c r="Y81" s="120">
        <f>'Ethylene Recycling HC'!Y89</f>
        <v>0</v>
      </c>
      <c r="Z81" s="120">
        <f>'Ethylene Recycling HC'!Z89</f>
        <v>0</v>
      </c>
      <c r="AA81" s="120">
        <f>'Ethylene Recycling HC'!AA89</f>
        <v>0</v>
      </c>
      <c r="AB81" s="120">
        <f>'Ethylene Recycling HC'!AB89</f>
        <v>0</v>
      </c>
      <c r="AC81" s="120">
        <f>'Ethylene Recycling HC'!AC89</f>
        <v>0</v>
      </c>
      <c r="AD81" s="120">
        <f>'Ethylene Recycling HC'!AD89</f>
        <v>0</v>
      </c>
      <c r="AE81" s="120">
        <f>'Ethylene Recycling HC'!AE89</f>
        <v>0</v>
      </c>
      <c r="AF81" s="120">
        <f>'Ethylene Recycling HC'!AF89</f>
        <v>0</v>
      </c>
      <c r="AG81" s="120">
        <f>'Ethylene Recycling HC'!AG89</f>
        <v>0</v>
      </c>
      <c r="AH81" s="217"/>
      <c r="AI81" s="124"/>
      <c r="AJ81" s="185"/>
      <c r="AL81" s="100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s="1" customFormat="1" outlineLevel="1">
      <c r="A82" s="1" t="s">
        <v>749</v>
      </c>
      <c r="B82" s="60"/>
      <c r="C82" s="541">
        <f>'Ethylene Recycling HC'!C90</f>
        <v>183917.79262981133</v>
      </c>
      <c r="D82" s="541">
        <f>'Ethylene Recycling HC'!D90</f>
        <v>190731.36898995866</v>
      </c>
      <c r="E82" s="541">
        <f>'Ethylene Recycling HC'!E90</f>
        <v>197280.65434244508</v>
      </c>
      <c r="F82" s="541">
        <f>'Ethylene Recycling HC'!F90</f>
        <v>203560.53726341252</v>
      </c>
      <c r="G82" s="541">
        <f>'Ethylene Recycling HC'!G90</f>
        <v>209565.90584306032</v>
      </c>
      <c r="H82" s="541">
        <f>'Ethylene Recycling HC'!H90</f>
        <v>215291.64796772378</v>
      </c>
      <c r="I82" s="541">
        <f>'Ethylene Recycling HC'!I90</f>
        <v>220732.65159944215</v>
      </c>
      <c r="J82" s="541">
        <f>'Ethylene Recycling HC'!J90</f>
        <v>225883.80505303413</v>
      </c>
      <c r="K82" s="541">
        <f>'Ethylene Recycling HC'!K90</f>
        <v>230739.99727069202</v>
      </c>
      <c r="L82" s="541">
        <f>'Ethylene Recycling HC'!L90</f>
        <v>235296.11809411176</v>
      </c>
      <c r="M82" s="541">
        <f>'Ethylene Recycling HC'!M90</f>
        <v>239547.05853417178</v>
      </c>
      <c r="N82" s="541">
        <f>'Ethylene Recycling HC'!N90</f>
        <v>234215.57946815583</v>
      </c>
      <c r="O82" s="541">
        <f>'Ethylene Recycling HC'!O90</f>
        <v>229978.53068089421</v>
      </c>
      <c r="P82" s="541">
        <f>'Ethylene Recycling HC'!P90</f>
        <v>224588.60085729364</v>
      </c>
      <c r="Q82" s="541">
        <f>'Ethylene Recycling HC'!Q90</f>
        <v>219066.74867457591</v>
      </c>
      <c r="R82" s="541">
        <f>'Ethylene Recycling HC'!R90</f>
        <v>213411.99717347379</v>
      </c>
      <c r="S82" s="541">
        <f>'Ethylene Recycling HC'!S90</f>
        <v>207623.37202828599</v>
      </c>
      <c r="T82" s="541">
        <f>'Ethylene Recycling HC'!T90</f>
        <v>201699.90158023938</v>
      </c>
      <c r="U82" s="541">
        <f>'Ethylene Recycling HC'!U90</f>
        <v>195640.61687047602</v>
      </c>
      <c r="V82" s="541">
        <f>'Ethylene Recycling HC'!V90</f>
        <v>189444.5516726677</v>
      </c>
      <c r="W82" s="541">
        <f>'Ethylene Recycling HC'!W90</f>
        <v>183110.74252525865</v>
      </c>
      <c r="X82" s="541">
        <f>'Ethylene Recycling HC'!X90</f>
        <v>178778.72987104111</v>
      </c>
      <c r="Y82" s="541">
        <f>'Ethylene Recycling HC'!Y90</f>
        <v>174441.0538020547</v>
      </c>
      <c r="Z82" s="541">
        <f>'Ethylene Recycling HC'!Z90</f>
        <v>170000.76641751392</v>
      </c>
      <c r="AA82" s="541">
        <f>'Ethylene Recycling HC'!AA90</f>
        <v>165457.13635090165</v>
      </c>
      <c r="AB82" s="541">
        <f>'Ethylene Recycling HC'!AB90</f>
        <v>160809.43434988082</v>
      </c>
      <c r="AC82" s="541">
        <f>'Ethylene Recycling HC'!AC90</f>
        <v>156056.93330014523</v>
      </c>
      <c r="AD82" s="541">
        <f>'Ethylene Recycling HC'!AD90</f>
        <v>151198.90824899601</v>
      </c>
      <c r="AE82" s="541">
        <f>'Ethylene Recycling HC'!AE90</f>
        <v>146234.63642864392</v>
      </c>
      <c r="AF82" s="541">
        <f>'Ethylene Recycling HC'!AF90</f>
        <v>141163.39727924034</v>
      </c>
      <c r="AG82" s="541">
        <f>'Ethylene Recycling HC'!AG90</f>
        <v>135984.47247163852</v>
      </c>
      <c r="AH82" s="367"/>
      <c r="AI82" s="368"/>
      <c r="AJ82" s="369"/>
      <c r="AL82" s="194"/>
      <c r="AM82" s="116"/>
      <c r="AN82" s="116"/>
      <c r="AO82" s="116"/>
      <c r="BD82" s="116"/>
      <c r="BE82" s="116"/>
      <c r="BF82" s="116"/>
      <c r="BG82" s="116"/>
      <c r="BH82" s="116"/>
      <c r="BI82" s="116"/>
      <c r="BJ82" s="116"/>
      <c r="BK82" s="116"/>
    </row>
    <row r="83" spans="1:63" outlineLevel="1">
      <c r="A83" s="4" t="s">
        <v>141</v>
      </c>
      <c r="C83" s="120">
        <f>'Ethylene Recycling HC'!C91</f>
        <v>183917.79262981133</v>
      </c>
      <c r="D83" s="120">
        <f>'Ethylene Recycling HC'!D91</f>
        <v>188506.16968507579</v>
      </c>
      <c r="E83" s="120">
        <f>'Ethylene Recycling HC'!E91</f>
        <v>192677.43907445468</v>
      </c>
      <c r="F83" s="120">
        <f>'Ethylene Recycling HC'!F91</f>
        <v>196435.91845919305</v>
      </c>
      <c r="G83" s="120">
        <f>'Ethylene Recycling HC'!G91</f>
        <v>199786.16357038412</v>
      </c>
      <c r="H83" s="120">
        <f>'Ethylene Recycling HC'!H91</f>
        <v>202732.96850293985</v>
      </c>
      <c r="I83" s="120">
        <f>'Ethylene Recycling HC'!I91</f>
        <v>205281.36598748114</v>
      </c>
      <c r="J83" s="120">
        <f>'Ethylene Recycling HC'!J91</f>
        <v>207436.62764036961</v>
      </c>
      <c r="K83" s="120">
        <f>'Ethylene Recycling HC'!K91</f>
        <v>209204.26419209401</v>
      </c>
      <c r="L83" s="120">
        <f>'Ethylene Recycling HC'!L91</f>
        <v>210590.02569422993</v>
      </c>
      <c r="M83" s="120">
        <f>'Ethylene Recycling HC'!M91</f>
        <v>211599.90170518495</v>
      </c>
      <c r="N83" s="120">
        <f>'Ethylene Recycling HC'!N91</f>
        <v>204157.91343640906</v>
      </c>
      <c r="O83" s="120">
        <f>'Ethylene Recycling HC'!O91</f>
        <v>197781.53638556888</v>
      </c>
      <c r="P83" s="120">
        <f>'Ethylene Recycling HC'!P91</f>
        <v>190525.9963939373</v>
      </c>
      <c r="Q83" s="120">
        <f>'Ethylene Recycling HC'!Q91</f>
        <v>183285.8463910617</v>
      </c>
      <c r="R83" s="120">
        <f>'Ethylene Recycling HC'!R91</f>
        <v>176064.89766811574</v>
      </c>
      <c r="S83" s="120">
        <f>'Ethylene Recycling HC'!S91</f>
        <v>168867.00924967244</v>
      </c>
      <c r="T83" s="120">
        <f>'Ethylene Recycling HC'!T91</f>
        <v>161696.08776682508</v>
      </c>
      <c r="U83" s="120">
        <f>'Ethylene Recycling HC'!U91</f>
        <v>154556.08732767589</v>
      </c>
      <c r="V83" s="120">
        <f>'Ethylene Recycling HC'!V91</f>
        <v>147451.00938522618</v>
      </c>
      <c r="W83" s="120">
        <f>'Ethylene Recycling HC'!W91</f>
        <v>140384.90260269813</v>
      </c>
      <c r="X83" s="120">
        <f>'Ethylene Recycling HC'!X91</f>
        <v>134977.94105263587</v>
      </c>
      <c r="Y83" s="120">
        <f>'Ethylene Recycling HC'!Y91</f>
        <v>129667.84999286047</v>
      </c>
      <c r="Z83" s="120">
        <f>'Ethylene Recycling HC'!Z91</f>
        <v>124383.89409548083</v>
      </c>
      <c r="AA83" s="120">
        <f>'Ethylene Recycling HC'!AA91</f>
        <v>119129.13817264901</v>
      </c>
      <c r="AB83" s="120">
        <f>'Ethylene Recycling HC'!AB91</f>
        <v>113906.68266449872</v>
      </c>
      <c r="AC83" s="120">
        <f>'Ethylene Recycling HC'!AC91</f>
        <v>108719.66353243432</v>
      </c>
      <c r="AD83" s="120">
        <f>'Ethylene Recycling HC'!AD91</f>
        <v>103571.25215056208</v>
      </c>
      <c r="AE83" s="120">
        <f>'Ethylene Recycling HC'!AE91</f>
        <v>98464.655195286716</v>
      </c>
      <c r="AF83" s="120">
        <f>'Ethylene Recycling HC'!AF91</f>
        <v>93403.114533097163</v>
      </c>
      <c r="AG83" s="120">
        <f>'Ethylene Recycling HC'!AG91</f>
        <v>88389.90710656505</v>
      </c>
      <c r="AH83" s="217"/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74</v>
      </c>
      <c r="C84" s="120">
        <f>'Ethylene Recycling HC'!C92</f>
        <v>0</v>
      </c>
      <c r="D84" s="120">
        <f>'Ethylene Recycling HC'!D92</f>
        <v>635.77122996652895</v>
      </c>
      <c r="E84" s="120">
        <f>'Ethylene Recycling HC'!E92</f>
        <v>1315.2043622829672</v>
      </c>
      <c r="F84" s="120">
        <f>'Ethylene Recycling HC'!F92</f>
        <v>2035.6053726341254</v>
      </c>
      <c r="G84" s="120">
        <f>'Ethylene Recycling HC'!G92</f>
        <v>2794.2120779074712</v>
      </c>
      <c r="H84" s="120">
        <f>'Ethylene Recycling HC'!H92</f>
        <v>3588.1941327953964</v>
      </c>
      <c r="I84" s="120">
        <f>'Ethylene Recycling HC'!I92</f>
        <v>4414.6530319888434</v>
      </c>
      <c r="J84" s="120">
        <f>'Ethylene Recycling HC'!J92</f>
        <v>5270.6221179041295</v>
      </c>
      <c r="K84" s="120">
        <f>'Ethylene Recycling HC'!K92</f>
        <v>6153.0665938851207</v>
      </c>
      <c r="L84" s="120">
        <f>'Ethylene Recycling HC'!L92</f>
        <v>7058.8835428233533</v>
      </c>
      <c r="M84" s="120">
        <f>'Ethylene Recycling HC'!M92</f>
        <v>7984.9019511390588</v>
      </c>
      <c r="N84" s="120">
        <f>'Ethylene Recycling HC'!N92</f>
        <v>8587.9045804990474</v>
      </c>
      <c r="O84" s="120">
        <f>'Ethylene Recycling HC'!O92</f>
        <v>9199.1412272357684</v>
      </c>
      <c r="P84" s="120">
        <f>'Ethylene Recycling HC'!P92</f>
        <v>9732.1727038160589</v>
      </c>
      <c r="Q84" s="120">
        <f>'Ethylene Recycling HC'!Q92</f>
        <v>10223.114938146877</v>
      </c>
      <c r="R84" s="120">
        <f>'Ethylene Recycling HC'!R92</f>
        <v>10670.59985867369</v>
      </c>
      <c r="S84" s="120">
        <f>'Ethylene Recycling HC'!S92</f>
        <v>11073.246508175253</v>
      </c>
      <c r="T84" s="120">
        <f>'Ethylene Recycling HC'!T92</f>
        <v>11429.661089546898</v>
      </c>
      <c r="U84" s="120">
        <f>'Ethylene Recycling HC'!U92</f>
        <v>11738.437012228562</v>
      </c>
      <c r="V84" s="120">
        <f>'Ethylene Recycling HC'!V92</f>
        <v>11998.154939268956</v>
      </c>
      <c r="W84" s="120">
        <f>'Ethylene Recycling HC'!W92</f>
        <v>12207.382835017244</v>
      </c>
      <c r="X84" s="120">
        <f>'Ethylene Recycling HC'!X92</f>
        <v>12514.511090972877</v>
      </c>
      <c r="Y84" s="120">
        <f>'Ethylene Recycling HC'!Y92</f>
        <v>12792.343945484008</v>
      </c>
      <c r="Z84" s="120">
        <f>'Ethylene Recycling HC'!Z92</f>
        <v>13033.392092009397</v>
      </c>
      <c r="AA84" s="120">
        <f>'Ethylene Recycling HC'!AA92</f>
        <v>13236.570908072128</v>
      </c>
      <c r="AB84" s="120">
        <f>'Ethylene Recycling HC'!AB92</f>
        <v>13400.786195823395</v>
      </c>
      <c r="AC84" s="120">
        <f>'Ethylene Recycling HC'!AC92</f>
        <v>13524.934219345914</v>
      </c>
      <c r="AD84" s="120">
        <f>'Ethylene Recycling HC'!AD92</f>
        <v>13607.901742409635</v>
      </c>
      <c r="AE84" s="120">
        <f>'Ethylene Recycling HC'!AE92</f>
        <v>13648.566066673426</v>
      </c>
      <c r="AF84" s="120">
        <f>'Ethylene Recycling HC'!AF92</f>
        <v>13645.795070326558</v>
      </c>
      <c r="AG84" s="120">
        <f>'Ethylene Recycling HC'!AG92</f>
        <v>13598.447247163853</v>
      </c>
      <c r="AH84" s="217"/>
      <c r="AI84" s="124"/>
      <c r="AJ84" s="185"/>
      <c r="AL84" s="100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outlineLevel="1">
      <c r="A85" s="4" t="s">
        <v>34</v>
      </c>
      <c r="C85" s="120">
        <f>'Ethylene Recycling HC'!C93</f>
        <v>0</v>
      </c>
      <c r="D85" s="120">
        <f>'Ethylene Recycling HC'!D93</f>
        <v>953.65684494979337</v>
      </c>
      <c r="E85" s="120">
        <f>'Ethylene Recycling HC'!E93</f>
        <v>1972.8065434244509</v>
      </c>
      <c r="F85" s="120">
        <f>'Ethylene Recycling HC'!F93</f>
        <v>3053.4080589511877</v>
      </c>
      <c r="G85" s="120">
        <f>'Ethylene Recycling HC'!G93</f>
        <v>4191.3181168612064</v>
      </c>
      <c r="H85" s="120">
        <f>'Ethylene Recycling HC'!H93</f>
        <v>5382.2911991930951</v>
      </c>
      <c r="I85" s="120">
        <f>'Ethylene Recycling HC'!I93</f>
        <v>6621.9795479832646</v>
      </c>
      <c r="J85" s="120">
        <f>'Ethylene Recycling HC'!J93</f>
        <v>7905.9331768561951</v>
      </c>
      <c r="K85" s="120">
        <f>'Ethylene Recycling HC'!K93</f>
        <v>9229.5998908276815</v>
      </c>
      <c r="L85" s="120">
        <f>'Ethylene Recycling HC'!L93</f>
        <v>10588.32531423503</v>
      </c>
      <c r="M85" s="120">
        <f>'Ethylene Recycling HC'!M93</f>
        <v>11977.352926708589</v>
      </c>
      <c r="N85" s="120">
        <f>'Ethylene Recycling HC'!N93</f>
        <v>12881.85687074857</v>
      </c>
      <c r="O85" s="120">
        <f>'Ethylene Recycling HC'!O93</f>
        <v>13798.71184085365</v>
      </c>
      <c r="P85" s="120">
        <f>'Ethylene Recycling HC'!P93</f>
        <v>14598.259055724084</v>
      </c>
      <c r="Q85" s="120">
        <f>'Ethylene Recycling HC'!Q93</f>
        <v>15334.672407220312</v>
      </c>
      <c r="R85" s="120">
        <f>'Ethylene Recycling HC'!R93</f>
        <v>16005.899788010534</v>
      </c>
      <c r="S85" s="120">
        <f>'Ethylene Recycling HC'!S93</f>
        <v>16609.869762262879</v>
      </c>
      <c r="T85" s="120">
        <f>'Ethylene Recycling HC'!T93</f>
        <v>17144.491634320348</v>
      </c>
      <c r="U85" s="120">
        <f>'Ethylene Recycling HC'!U93</f>
        <v>17607.655518342843</v>
      </c>
      <c r="V85" s="120">
        <f>'Ethylene Recycling HC'!V93</f>
        <v>17997.232408903434</v>
      </c>
      <c r="W85" s="120">
        <f>'Ethylene Recycling HC'!W93</f>
        <v>18311.074252525868</v>
      </c>
      <c r="X85" s="120">
        <f>'Ethylene Recycling HC'!X93</f>
        <v>18771.766636459321</v>
      </c>
      <c r="Y85" s="120">
        <f>'Ethylene Recycling HC'!Y93</f>
        <v>19188.515918226021</v>
      </c>
      <c r="Z85" s="120">
        <f>'Ethylene Recycling HC'!Z93</f>
        <v>19550.088138014107</v>
      </c>
      <c r="AA85" s="120">
        <f>'Ethylene Recycling HC'!AA93</f>
        <v>19854.856362108203</v>
      </c>
      <c r="AB85" s="120">
        <f>'Ethylene Recycling HC'!AB93</f>
        <v>20101.179293735106</v>
      </c>
      <c r="AC85" s="120">
        <f>'Ethylene Recycling HC'!AC93</f>
        <v>20287.401329018885</v>
      </c>
      <c r="AD85" s="120">
        <f>'Ethylene Recycling HC'!AD93</f>
        <v>20411.852613614468</v>
      </c>
      <c r="AE85" s="120">
        <f>'Ethylene Recycling HC'!AE93</f>
        <v>20472.849100010153</v>
      </c>
      <c r="AF85" s="120">
        <f>'Ethylene Recycling HC'!AF93</f>
        <v>20468.692605489854</v>
      </c>
      <c r="AG85" s="120">
        <f>'Ethylene Recycling HC'!AG93</f>
        <v>20397.670870745776</v>
      </c>
      <c r="AH85" s="217"/>
      <c r="AI85" s="124"/>
      <c r="AJ85" s="185"/>
      <c r="AL85" s="100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35</v>
      </c>
      <c r="C86" s="120">
        <f>'Ethylene Recycling HC'!C94</f>
        <v>0</v>
      </c>
      <c r="D86" s="120">
        <f>'Ethylene Recycling HC'!D94</f>
        <v>317.88561498326447</v>
      </c>
      <c r="E86" s="120">
        <f>'Ethylene Recycling HC'!E94</f>
        <v>657.60218114148358</v>
      </c>
      <c r="F86" s="120">
        <f>'Ethylene Recycling HC'!F94</f>
        <v>1017.8026863170627</v>
      </c>
      <c r="G86" s="120">
        <f>'Ethylene Recycling HC'!G94</f>
        <v>1397.1060389537356</v>
      </c>
      <c r="H86" s="120">
        <f>'Ethylene Recycling HC'!H94</f>
        <v>1794.0970663976982</v>
      </c>
      <c r="I86" s="120">
        <f>'Ethylene Recycling HC'!I94</f>
        <v>2207.3265159944217</v>
      </c>
      <c r="J86" s="120">
        <f>'Ethylene Recycling HC'!J94</f>
        <v>2635.3110589520647</v>
      </c>
      <c r="K86" s="120">
        <f>'Ethylene Recycling HC'!K94</f>
        <v>3076.5332969425604</v>
      </c>
      <c r="L86" s="120">
        <f>'Ethylene Recycling HC'!L94</f>
        <v>3529.4417714116767</v>
      </c>
      <c r="M86" s="120">
        <f>'Ethylene Recycling HC'!M94</f>
        <v>3992.4509755695294</v>
      </c>
      <c r="N86" s="120">
        <f>'Ethylene Recycling HC'!N94</f>
        <v>4293.9522902495237</v>
      </c>
      <c r="O86" s="120">
        <f>'Ethylene Recycling HC'!O94</f>
        <v>4599.5706136178842</v>
      </c>
      <c r="P86" s="120">
        <f>'Ethylene Recycling HC'!P94</f>
        <v>4866.0863519080294</v>
      </c>
      <c r="Q86" s="120">
        <f>'Ethylene Recycling HC'!Q94</f>
        <v>5111.5574690734384</v>
      </c>
      <c r="R86" s="120">
        <f>'Ethylene Recycling HC'!R94</f>
        <v>5335.2999293368448</v>
      </c>
      <c r="S86" s="120">
        <f>'Ethylene Recycling HC'!S94</f>
        <v>5536.6232540876263</v>
      </c>
      <c r="T86" s="120">
        <f>'Ethylene Recycling HC'!T94</f>
        <v>5714.8305447734492</v>
      </c>
      <c r="U86" s="120">
        <f>'Ethylene Recycling HC'!U94</f>
        <v>5869.2185061142809</v>
      </c>
      <c r="V86" s="120">
        <f>'Ethylene Recycling HC'!V94</f>
        <v>5999.0774696344779</v>
      </c>
      <c r="W86" s="120">
        <f>'Ethylene Recycling HC'!W94</f>
        <v>6103.6914175086222</v>
      </c>
      <c r="X86" s="120">
        <f>'Ethylene Recycling HC'!X94</f>
        <v>6257.2555454864387</v>
      </c>
      <c r="Y86" s="120">
        <f>'Ethylene Recycling HC'!Y94</f>
        <v>6396.1719727420041</v>
      </c>
      <c r="Z86" s="120">
        <f>'Ethylene Recycling HC'!Z94</f>
        <v>6516.6960460046985</v>
      </c>
      <c r="AA86" s="120">
        <f>'Ethylene Recycling HC'!AA94</f>
        <v>6618.285454036064</v>
      </c>
      <c r="AB86" s="120">
        <f>'Ethylene Recycling HC'!AB94</f>
        <v>6700.3930979116976</v>
      </c>
      <c r="AC86" s="120">
        <f>'Ethylene Recycling HC'!AC94</f>
        <v>6762.4671096729571</v>
      </c>
      <c r="AD86" s="120">
        <f>'Ethylene Recycling HC'!AD94</f>
        <v>6803.9508712048173</v>
      </c>
      <c r="AE86" s="120">
        <f>'Ethylene Recycling HC'!AE94</f>
        <v>6824.2830333367128</v>
      </c>
      <c r="AF86" s="120">
        <f>'Ethylene Recycling HC'!AF94</f>
        <v>6822.8975351632789</v>
      </c>
      <c r="AG86" s="120">
        <f>'Ethylene Recycling HC'!AG94</f>
        <v>6799.2236235819264</v>
      </c>
      <c r="AH86" s="217"/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27</v>
      </c>
      <c r="C87" s="120">
        <f>'Ethylene Recycling HC'!C95</f>
        <v>0</v>
      </c>
      <c r="D87" s="120">
        <f>'Ethylene Recycling HC'!D95</f>
        <v>317.88561498326447</v>
      </c>
      <c r="E87" s="120">
        <f>'Ethylene Recycling HC'!E95</f>
        <v>657.60218114148358</v>
      </c>
      <c r="F87" s="120">
        <f>'Ethylene Recycling HC'!F95</f>
        <v>1017.8026863170627</v>
      </c>
      <c r="G87" s="120">
        <f>'Ethylene Recycling HC'!G95</f>
        <v>1397.1060389537356</v>
      </c>
      <c r="H87" s="120">
        <f>'Ethylene Recycling HC'!H95</f>
        <v>1794.0970663976982</v>
      </c>
      <c r="I87" s="120">
        <f>'Ethylene Recycling HC'!I95</f>
        <v>2207.3265159944217</v>
      </c>
      <c r="J87" s="120">
        <f>'Ethylene Recycling HC'!J95</f>
        <v>2635.3110589520647</v>
      </c>
      <c r="K87" s="120">
        <f>'Ethylene Recycling HC'!K95</f>
        <v>3076.5332969425604</v>
      </c>
      <c r="L87" s="120">
        <f>'Ethylene Recycling HC'!L95</f>
        <v>3529.4417714116767</v>
      </c>
      <c r="M87" s="120">
        <f>'Ethylene Recycling HC'!M95</f>
        <v>3992.4509755695294</v>
      </c>
      <c r="N87" s="120">
        <f>'Ethylene Recycling HC'!N95</f>
        <v>4293.9522902495237</v>
      </c>
      <c r="O87" s="120">
        <f>'Ethylene Recycling HC'!O95</f>
        <v>4599.5706136178842</v>
      </c>
      <c r="P87" s="120">
        <f>'Ethylene Recycling HC'!P95</f>
        <v>4866.0863519080294</v>
      </c>
      <c r="Q87" s="120">
        <f>'Ethylene Recycling HC'!Q95</f>
        <v>5111.5574690734384</v>
      </c>
      <c r="R87" s="120">
        <f>'Ethylene Recycling HC'!R95</f>
        <v>5335.2999293368448</v>
      </c>
      <c r="S87" s="120">
        <f>'Ethylene Recycling HC'!S95</f>
        <v>5536.6232540876263</v>
      </c>
      <c r="T87" s="120">
        <f>'Ethylene Recycling HC'!T95</f>
        <v>5714.8305447734492</v>
      </c>
      <c r="U87" s="120">
        <f>'Ethylene Recycling HC'!U95</f>
        <v>5869.2185061142809</v>
      </c>
      <c r="V87" s="120">
        <f>'Ethylene Recycling HC'!V95</f>
        <v>5999.0774696344779</v>
      </c>
      <c r="W87" s="120">
        <f>'Ethylene Recycling HC'!W95</f>
        <v>6103.6914175086222</v>
      </c>
      <c r="X87" s="120">
        <f>'Ethylene Recycling HC'!X95</f>
        <v>6257.2555454864387</v>
      </c>
      <c r="Y87" s="120">
        <f>'Ethylene Recycling HC'!Y95</f>
        <v>6396.1719727420041</v>
      </c>
      <c r="Z87" s="120">
        <f>'Ethylene Recycling HC'!Z95</f>
        <v>6516.6960460046985</v>
      </c>
      <c r="AA87" s="120">
        <f>'Ethylene Recycling HC'!AA95</f>
        <v>6618.285454036064</v>
      </c>
      <c r="AB87" s="120">
        <f>'Ethylene Recycling HC'!AB95</f>
        <v>6700.3930979116976</v>
      </c>
      <c r="AC87" s="120">
        <f>'Ethylene Recycling HC'!AC95</f>
        <v>6762.4671096729571</v>
      </c>
      <c r="AD87" s="120">
        <f>'Ethylene Recycling HC'!AD95</f>
        <v>6803.9508712048173</v>
      </c>
      <c r="AE87" s="120">
        <f>'Ethylene Recycling HC'!AE95</f>
        <v>6824.2830333367128</v>
      </c>
      <c r="AF87" s="120">
        <f>'Ethylene Recycling HC'!AF95</f>
        <v>6822.8975351632789</v>
      </c>
      <c r="AG87" s="120">
        <f>'Ethylene Recycling HC'!AG95</f>
        <v>6799.2236235819264</v>
      </c>
      <c r="AH87" s="217"/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s="1" customFormat="1" outlineLevel="1">
      <c r="A88" s="1" t="s">
        <v>750</v>
      </c>
      <c r="B88" s="60"/>
      <c r="C88" s="541">
        <f>'Ethylene Recycling HC'!C96</f>
        <v>31266.024747067924</v>
      </c>
      <c r="D88" s="541">
        <f>'Ethylene Recycling HC'!D96</f>
        <v>32314.68392225834</v>
      </c>
      <c r="E88" s="541">
        <f>'Ethylene Recycling HC'!E96</f>
        <v>33311.647914824127</v>
      </c>
      <c r="F88" s="541">
        <f>'Ethylene Recycling HC'!F96</f>
        <v>34256.577465846778</v>
      </c>
      <c r="G88" s="541">
        <f>'Ethylene Recycling HC'!G96</f>
        <v>35149.13777787923</v>
      </c>
      <c r="H88" s="541">
        <f>'Ethylene Recycling HC'!H96</f>
        <v>35988.99848766948</v>
      </c>
      <c r="I88" s="541">
        <f>'Ethylene Recycling HC'!I96</f>
        <v>36775.833639010394</v>
      </c>
      <c r="J88" s="541">
        <f>'Ethylene Recycling HC'!J96</f>
        <v>37509.321655715386</v>
      </c>
      <c r="K88" s="541">
        <f>'Ethylene Recycling HC'!K96</f>
        <v>38189.145314719142</v>
      </c>
      <c r="L88" s="541">
        <f>'Ethylene Recycling HC'!L96</f>
        <v>38814.991719303267</v>
      </c>
      <c r="M88" s="541">
        <f>'Ethylene Recycling HC'!M96</f>
        <v>39386.55227244601</v>
      </c>
      <c r="N88" s="541">
        <f>'Ethylene Recycling HC'!N96</f>
        <v>38383.976918220804</v>
      </c>
      <c r="O88" s="541">
        <f>'Ethylene Recycling HC'!O96</f>
        <v>37566.713012417371</v>
      </c>
      <c r="P88" s="541">
        <f>'Ethylene Recycling HC'!P96</f>
        <v>36567.051298369392</v>
      </c>
      <c r="Q88" s="541">
        <f>'Ethylene Recycling HC'!Q96</f>
        <v>35552.456200659988</v>
      </c>
      <c r="R88" s="541">
        <f>'Ethylene Recycling HC'!R96</f>
        <v>34522.914331573062</v>
      </c>
      <c r="S88" s="541">
        <f>'Ethylene Recycling HC'!S96</f>
        <v>33478.412900393647</v>
      </c>
      <c r="T88" s="541">
        <f>'Ethylene Recycling HC'!T96</f>
        <v>32418.939709194125</v>
      </c>
      <c r="U88" s="541">
        <f>'Ethylene Recycling HC'!U96</f>
        <v>31344.483148640895</v>
      </c>
      <c r="V88" s="541">
        <f>'Ethylene Recycling HC'!V96</f>
        <v>30255.032193821964</v>
      </c>
      <c r="W88" s="541">
        <f>'Ethylene Recycling HC'!W96</f>
        <v>29150.576400094775</v>
      </c>
      <c r="X88" s="541">
        <f>'Ethylene Recycling HC'!X96</f>
        <v>28370.786689726017</v>
      </c>
      <c r="Y88" s="541">
        <f>'Ethylene Recycling HC'!Y96</f>
        <v>27595.025379279294</v>
      </c>
      <c r="Z88" s="541">
        <f>'Ethylene Recycling HC'!Z96</f>
        <v>26807.966404794846</v>
      </c>
      <c r="AA88" s="541">
        <f>'Ethylene Recycling HC'!AA96</f>
        <v>26009.601140652841</v>
      </c>
      <c r="AB88" s="541">
        <f>'Ethylene Recycling HC'!AB96</f>
        <v>25199.92140045745</v>
      </c>
      <c r="AC88" s="541">
        <f>'Ethylene Recycling HC'!AC96</f>
        <v>24378.919433915173</v>
      </c>
      <c r="AD88" s="541">
        <f>'Ethylene Recycling HC'!AD96</f>
        <v>23546.587923728563</v>
      </c>
      <c r="AE88" s="541">
        <f>'Ethylene Recycling HC'!AE96</f>
        <v>22702.919982505191</v>
      </c>
      <c r="AF88" s="541">
        <f>'Ethylene Recycling HC'!AF96</f>
        <v>21847.909149681895</v>
      </c>
      <c r="AG88" s="541">
        <f>'Ethylene Recycling HC'!AG96</f>
        <v>20981.549388464231</v>
      </c>
      <c r="AH88" s="367"/>
      <c r="AI88" s="368"/>
      <c r="AJ88" s="369"/>
      <c r="AL88" s="194"/>
      <c r="AM88" s="116"/>
      <c r="AN88" s="116"/>
      <c r="AO88" s="116"/>
      <c r="BD88" s="116"/>
      <c r="BE88" s="116"/>
      <c r="BF88" s="116"/>
      <c r="BG88" s="116"/>
      <c r="BH88" s="116"/>
      <c r="BI88" s="116"/>
      <c r="BJ88" s="116"/>
      <c r="BK88" s="116"/>
    </row>
    <row r="89" spans="1:63" outlineLevel="1">
      <c r="A89" s="4" t="s">
        <v>141</v>
      </c>
      <c r="C89" s="120">
        <f>'Ethylene Recycling HC'!C97</f>
        <v>22437.396805048265</v>
      </c>
      <c r="D89" s="120">
        <f>'Ethylene Recycling HC'!D97</f>
        <v>23376.413951129434</v>
      </c>
      <c r="E89" s="120">
        <f>'Ethylene Recycling HC'!E97</f>
        <v>24289.838947514334</v>
      </c>
      <c r="F89" s="120">
        <f>'Ethylene Recycling HC'!F97</f>
        <v>25176.527550889099</v>
      </c>
      <c r="G89" s="120">
        <f>'Ethylene Recycling HC'!G97</f>
        <v>26035.330991935461</v>
      </c>
      <c r="H89" s="120">
        <f>'Ethylene Recycling HC'!H97</f>
        <v>26865.09608369225</v>
      </c>
      <c r="I89" s="120">
        <f>'Ethylene Recycling HC'!I97</f>
        <v>27664.665329067378</v>
      </c>
      <c r="J89" s="120">
        <f>'Ethylene Recycling HC'!J97</f>
        <v>28432.877027505303</v>
      </c>
      <c r="K89" s="120">
        <f>'Ethylene Recycling HC'!K97</f>
        <v>29168.565380814285</v>
      </c>
      <c r="L89" s="120">
        <f>'Ethylene Recycling HC'!L97</f>
        <v>29870.56059815851</v>
      </c>
      <c r="M89" s="120">
        <f>'Ethylene Recycling HC'!M97</f>
        <v>30537.689000219387</v>
      </c>
      <c r="N89" s="120">
        <f>'Ethylene Recycling HC'!N97</f>
        <v>29981.850940561435</v>
      </c>
      <c r="O89" s="120">
        <f>'Ethylene Recycling HC'!O97</f>
        <v>29560.259031779773</v>
      </c>
      <c r="P89" s="120">
        <f>'Ethylene Recycling HC'!P97</f>
        <v>28984.658662377617</v>
      </c>
      <c r="Q89" s="120">
        <f>'Ethylene Recycling HC'!Q97</f>
        <v>28385.598331023652</v>
      </c>
      <c r="R89" s="120">
        <f>'Ethylene Recycling HC'!R97</f>
        <v>27762.80875593692</v>
      </c>
      <c r="S89" s="120">
        <f>'Ethylene Recycling HC'!S97</f>
        <v>27116.020829869904</v>
      </c>
      <c r="T89" s="120">
        <f>'Ethylene Recycling HC'!T97</f>
        <v>26444.965633895943</v>
      </c>
      <c r="U89" s="120">
        <f>'Ethylene Recycling HC'!U97</f>
        <v>25749.374451067597</v>
      </c>
      <c r="V89" s="120">
        <f>'Ethylene Recycling HC'!V97</f>
        <v>25028.978779947109</v>
      </c>
      <c r="W89" s="120">
        <f>'Ethylene Recycling HC'!W97</f>
        <v>24283.510348009284</v>
      </c>
      <c r="X89" s="120">
        <f>'Ethylene Recycling HC'!X97</f>
        <v>23797.627910898904</v>
      </c>
      <c r="Y89" s="120">
        <f>'Ethylene Recycling HC'!Y97</f>
        <v>23306.148346720769</v>
      </c>
      <c r="Z89" s="120">
        <f>'Ethylene Recycling HC'!Z97</f>
        <v>22796.108899553099</v>
      </c>
      <c r="AA89" s="120">
        <f>'Ethylene Recycling HC'!AA97</f>
        <v>22267.306608122122</v>
      </c>
      <c r="AB89" s="120">
        <f>'Ethylene Recycling HC'!AB97</f>
        <v>21719.53869062275</v>
      </c>
      <c r="AC89" s="120">
        <f>'Ethylene Recycling HC'!AC97</f>
        <v>21152.602554682562</v>
      </c>
      <c r="AD89" s="120">
        <f>'Ethylene Recycling HC'!AD97</f>
        <v>20566.295807231145</v>
      </c>
      <c r="AE89" s="120">
        <f>'Ethylene Recycling HC'!AE97</f>
        <v>19960.4162642753</v>
      </c>
      <c r="AF89" s="120">
        <f>'Ethylene Recycling HC'!AF97</f>
        <v>19334.761960580752</v>
      </c>
      <c r="AG89" s="120">
        <f>'Ethylene Recycling HC'!AG97</f>
        <v>18689.131159260898</v>
      </c>
      <c r="AH89" s="217"/>
      <c r="AI89" s="124"/>
      <c r="AJ89" s="185"/>
      <c r="AL89" s="100"/>
      <c r="AM89" s="2"/>
      <c r="AN89" s="2"/>
      <c r="AO89" s="2"/>
      <c r="BC89" s="1"/>
      <c r="BD89" s="2"/>
      <c r="BE89" s="2"/>
      <c r="BF89" s="2"/>
      <c r="BG89" s="2"/>
      <c r="BH89" s="2"/>
      <c r="BI89" s="2"/>
      <c r="BJ89" s="2"/>
      <c r="BK89" s="2"/>
    </row>
    <row r="90" spans="1:63" outlineLevel="1">
      <c r="A90" s="4" t="s">
        <v>74</v>
      </c>
      <c r="C90" s="120">
        <f>'Ethylene Recycling HC'!C98</f>
        <v>8147.0414860479732</v>
      </c>
      <c r="D90" s="120">
        <f>'Ethylene Recycling HC'!D98</f>
        <v>8168.7317192802111</v>
      </c>
      <c r="E90" s="120">
        <f>'Ethylene Recycling HC'!E98</f>
        <v>8161.4294847313686</v>
      </c>
      <c r="F90" s="120">
        <f>'Ethylene Recycling HC'!F98</f>
        <v>8126.2616013806291</v>
      </c>
      <c r="G90" s="120">
        <f>'Ethylene Recycling HC'!G98</f>
        <v>8064.3664759543535</v>
      </c>
      <c r="H90" s="120">
        <f>'Ethylene Recycling HC'!H98</f>
        <v>7976.8939232238554</v>
      </c>
      <c r="I90" s="120">
        <f>'Ethylene Recycling HC'!I98</f>
        <v>7865.004987604184</v>
      </c>
      <c r="J90" s="120">
        <f>'Ethylene Recycling HC'!J98</f>
        <v>7729.8717660470047</v>
      </c>
      <c r="K90" s="120">
        <f>'Ethylene Recycling HC'!K98</f>
        <v>7572.6772322205188</v>
      </c>
      <c r="L90" s="120">
        <f>'Ethylene Recycling HC'!L98</f>
        <v>7394.6150619696109</v>
      </c>
      <c r="M90" s="120">
        <f>'Ethylene Recycling HC'!M98</f>
        <v>7196.8894600492513</v>
      </c>
      <c r="N90" s="120">
        <f>'Ethylene Recycling HC'!N98</f>
        <v>6714.8859343839586</v>
      </c>
      <c r="O90" s="120">
        <f>'Ethylene Recycling HC'!O98</f>
        <v>6279.4676939802239</v>
      </c>
      <c r="P90" s="120">
        <f>'Ethylene Recycling HC'!P98</f>
        <v>5827.7049819293288</v>
      </c>
      <c r="Q90" s="120">
        <f>'Ethylene Recycling HC'!Q98</f>
        <v>5389.2427506928188</v>
      </c>
      <c r="R90" s="120">
        <f>'Ethylene Recycling HC'!R98</f>
        <v>4964.4278316157961</v>
      </c>
      <c r="S90" s="120">
        <f>'Ethylene Recycling HC'!S98</f>
        <v>4553.6075541235468</v>
      </c>
      <c r="T90" s="120">
        <f>'Ethylene Recycling HC'!T98</f>
        <v>4157.1297219437802</v>
      </c>
      <c r="U90" s="120">
        <f>'Ethylene Recycling HC'!U98</f>
        <v>3775.3425895281407</v>
      </c>
      <c r="V90" s="120">
        <f>'Ethylene Recycling HC'!V98</f>
        <v>3408.5948386719492</v>
      </c>
      <c r="W90" s="120">
        <f>'Ethylene Recycling HC'!W98</f>
        <v>3057.235555330948</v>
      </c>
      <c r="X90" s="120">
        <f>'Ethylene Recycling HC'!X98</f>
        <v>2754.5947129763549</v>
      </c>
      <c r="Y90" s="120">
        <f>'Ethylene Recycling HC'!Y98</f>
        <v>2464.4545236006102</v>
      </c>
      <c r="Z90" s="120">
        <f>'Ethylene Recycling HC'!Z98</f>
        <v>2185.4714774076556</v>
      </c>
      <c r="AA90" s="120">
        <f>'Ethylene Recycling HC'!AA98</f>
        <v>1917.9087857200695</v>
      </c>
      <c r="AB90" s="120">
        <f>'Ethylene Recycling HC'!AB98</f>
        <v>1662.02995742096</v>
      </c>
      <c r="AC90" s="120">
        <f>'Ethylene Recycling HC'!AC98</f>
        <v>1418.0987816762067</v>
      </c>
      <c r="AD90" s="120">
        <f>'Ethylene Recycling HC'!AD98</f>
        <v>1186.3793108032855</v>
      </c>
      <c r="AE90" s="120">
        <f>'Ethylene Recycling HC'!AE98</f>
        <v>967.13584328583397</v>
      </c>
      <c r="AF90" s="120">
        <f>'Ethylene Recycling HC'!AF98</f>
        <v>760.63290693312206</v>
      </c>
      <c r="AG90" s="120">
        <f>'Ethylene Recycling HC'!AG98</f>
        <v>567.1352421835968</v>
      </c>
      <c r="AH90" s="217"/>
      <c r="AI90" s="124"/>
      <c r="AJ90" s="185"/>
      <c r="AL90" s="100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34</v>
      </c>
      <c r="C91" s="120">
        <f>'Ethylene Recycling HC'!C99</f>
        <v>0</v>
      </c>
      <c r="D91" s="120">
        <f>'Ethylene Recycling HC'!D99</f>
        <v>49.936119941879085</v>
      </c>
      <c r="E91" s="120">
        <f>'Ethylene Recycling HC'!E99</f>
        <v>102.95347153870919</v>
      </c>
      <c r="F91" s="120">
        <f>'Ethylene Recycling HC'!F99</f>
        <v>158.81082716899255</v>
      </c>
      <c r="G91" s="120">
        <f>'Ethylene Recycling HC'!G99</f>
        <v>217.26488975135189</v>
      </c>
      <c r="H91" s="120">
        <f>'Ethylene Recycling HC'!H99</f>
        <v>278.0703270055028</v>
      </c>
      <c r="I91" s="120">
        <f>'Ethylene Recycling HC'!I99</f>
        <v>340.97980546149307</v>
      </c>
      <c r="J91" s="120">
        <f>'Ethylene Recycling HC'!J99</f>
        <v>405.74402421857184</v>
      </c>
      <c r="K91" s="120">
        <f>'Ethylene Recycling HC'!K99</f>
        <v>472.11174845503882</v>
      </c>
      <c r="L91" s="120">
        <f>'Ethylene Recycling HC'!L99</f>
        <v>539.82984269042538</v>
      </c>
      <c r="M91" s="120">
        <f>'Ethylene Recycling HC'!M99</f>
        <v>608.6433038013455</v>
      </c>
      <c r="N91" s="120">
        <f>'Ethylene Recycling HC'!N99</f>
        <v>652.4654760140703</v>
      </c>
      <c r="O91" s="120">
        <f>'Ethylene Recycling HC'!O99</f>
        <v>696.62543182781849</v>
      </c>
      <c r="P91" s="120">
        <f>'Ethylene Recycling HC'!P99</f>
        <v>734.59535087329061</v>
      </c>
      <c r="Q91" s="120">
        <f>'Ethylene Recycling HC'!Q99</f>
        <v>769.15262729163737</v>
      </c>
      <c r="R91" s="120">
        <f>'Ethylene Recycling HC'!R99</f>
        <v>800.22772075632122</v>
      </c>
      <c r="S91" s="120">
        <f>'Ethylene Recycling HC'!S99</f>
        <v>827.75102294906185</v>
      </c>
      <c r="T91" s="120">
        <f>'Ethylene Recycling HC'!T99</f>
        <v>851.65286206189103</v>
      </c>
      <c r="U91" s="120">
        <f>'Ethylene Recycling HC'!U99</f>
        <v>871.86350726070611</v>
      </c>
      <c r="V91" s="120">
        <f>'Ethylene Recycling HC'!V99</f>
        <v>888.3131731105575</v>
      </c>
      <c r="W91" s="120">
        <f>'Ethylene Recycling HC'!W99</f>
        <v>900.93202396287688</v>
      </c>
      <c r="X91" s="120">
        <f>'Ethylene Recycling HC'!X99</f>
        <v>920.67331428123487</v>
      </c>
      <c r="Y91" s="120">
        <f>'Ethylene Recycling HC'!Y99</f>
        <v>938.14152754791655</v>
      </c>
      <c r="Z91" s="120">
        <f>'Ethylene Recycling HC'!Z99</f>
        <v>952.81061907305639</v>
      </c>
      <c r="AA91" s="120">
        <f>'Ethylene Recycling HC'!AA99</f>
        <v>964.62789386377983</v>
      </c>
      <c r="AB91" s="120">
        <f>'Ethylene Recycling HC'!AB99</f>
        <v>973.54062057867839</v>
      </c>
      <c r="AC91" s="120">
        <f>'Ethylene Recycling HC'!AC99</f>
        <v>979.49603479606753</v>
      </c>
      <c r="AD91" s="120">
        <f>'Ethylene Recycling HC'!AD99</f>
        <v>982.44134225394339</v>
      </c>
      <c r="AE91" s="120">
        <f>'Ethylene Recycling HC'!AE99</f>
        <v>982.32372206179832</v>
      </c>
      <c r="AF91" s="120">
        <f>'Ethylene Recycling HC'!AF99</f>
        <v>979.09032988446074</v>
      </c>
      <c r="AG91" s="120">
        <f>'Ethylene Recycling HC'!AG99</f>
        <v>972.68830109812279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35</v>
      </c>
      <c r="C92" s="120">
        <f>'Ethylene Recycling HC'!C100</f>
        <v>681.58645597168515</v>
      </c>
      <c r="D92" s="120">
        <f>'Ethylene Recycling HC'!D100</f>
        <v>710.62588436343731</v>
      </c>
      <c r="E92" s="120">
        <f>'Ethylene Recycling HC'!E100</f>
        <v>738.9196503721829</v>
      </c>
      <c r="F92" s="120">
        <f>'Ethylene Recycling HC'!F100</f>
        <v>766.43050881155023</v>
      </c>
      <c r="G92" s="120">
        <f>'Ethylene Recycling HC'!G100</f>
        <v>793.1210556786483</v>
      </c>
      <c r="H92" s="120">
        <f>'Ethylene Recycling HC'!H100</f>
        <v>818.95373179890225</v>
      </c>
      <c r="I92" s="120">
        <f>'Ethylene Recycling HC'!I100</f>
        <v>843.89082644249038</v>
      </c>
      <c r="J92" s="120">
        <f>'Ethylene Recycling HC'!J100</f>
        <v>867.89448091254337</v>
      </c>
      <c r="K92" s="120">
        <f>'Ethylene Recycling HC'!K100</f>
        <v>890.92669210525764</v>
      </c>
      <c r="L92" s="120">
        <f>'Ethylene Recycling HC'!L100</f>
        <v>912.94931604208375</v>
      </c>
      <c r="M92" s="120">
        <f>'Ethylene Recycling HC'!M100</f>
        <v>933.92407137413977</v>
      </c>
      <c r="N92" s="120">
        <f>'Ethylene Recycling HC'!N100</f>
        <v>917.4908929785488</v>
      </c>
      <c r="O92" s="120">
        <f>'Ethylene Recycling HC'!O100</f>
        <v>905.13922510788962</v>
      </c>
      <c r="P92" s="120">
        <f>'Ethylene Recycling HC'!P100</f>
        <v>888.04540564630497</v>
      </c>
      <c r="Q92" s="120">
        <f>'Ethylene Recycling HC'!Q100</f>
        <v>870.20376451720392</v>
      </c>
      <c r="R92" s="120">
        <f>'Ethylene Recycling HC'!R100</f>
        <v>851.60540496084548</v>
      </c>
      <c r="S92" s="120">
        <f>'Ethylene Recycling HC'!S100</f>
        <v>832.24143481857584</v>
      </c>
      <c r="T92" s="120">
        <f>'Ethylene Recycling HC'!T100</f>
        <v>812.1029669980536</v>
      </c>
      <c r="U92" s="120">
        <f>'Ethylene Recycling HC'!U100</f>
        <v>791.1811199341563</v>
      </c>
      <c r="V92" s="120">
        <f>'Ethylene Recycling HC'!V100</f>
        <v>769.4670180456086</v>
      </c>
      <c r="W92" s="120">
        <f>'Ethylene Recycling HC'!W100</f>
        <v>746.95179218734143</v>
      </c>
      <c r="X92" s="120">
        <f>'Ethylene Recycling HC'!X100</f>
        <v>732.39548311076419</v>
      </c>
      <c r="Y92" s="120">
        <f>'Ethylene Recycling HC'!Y100</f>
        <v>717.64572116564091</v>
      </c>
      <c r="Z92" s="120">
        <f>'Ethylene Recycling HC'!Z100</f>
        <v>702.30331175564379</v>
      </c>
      <c r="AA92" s="120">
        <f>'Ethylene Recycling HC'!AA100</f>
        <v>686.36154637266998</v>
      </c>
      <c r="AB92" s="120">
        <f>'Ethylene Recycling HC'!AB100</f>
        <v>669.81372158575471</v>
      </c>
      <c r="AC92" s="120">
        <f>'Ethylene Recycling HC'!AC100</f>
        <v>652.6531393774344</v>
      </c>
      <c r="AD92" s="120">
        <f>'Ethylene Recycling HC'!AD100</f>
        <v>634.87310747694289</v>
      </c>
      <c r="AE92" s="120">
        <f>'Ethylene Recycling HC'!AE100</f>
        <v>616.46693969025773</v>
      </c>
      <c r="AF92" s="120">
        <f>'Ethylene Recycling HC'!AF100</f>
        <v>597.4279562270184</v>
      </c>
      <c r="AG92" s="120">
        <f>'Ethylene Recycling HC'!AG100</f>
        <v>577.74948402433472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27</v>
      </c>
      <c r="C93" s="120">
        <f>'Ethylene Recycling HC'!C101</f>
        <v>0</v>
      </c>
      <c r="D93" s="120">
        <f>'Ethylene Recycling HC'!D101</f>
        <v>8.9762475433782214</v>
      </c>
      <c r="E93" s="120">
        <f>'Ethylene Recycling HC'!E101</f>
        <v>18.506360667532935</v>
      </c>
      <c r="F93" s="120">
        <f>'Ethylene Recycling HC'!F101</f>
        <v>28.546977596511486</v>
      </c>
      <c r="G93" s="120">
        <f>'Ethylene Recycling HC'!G101</f>
        <v>39.054364559416875</v>
      </c>
      <c r="H93" s="120">
        <f>'Ethylene Recycling HC'!H101</f>
        <v>49.984421948975282</v>
      </c>
      <c r="I93" s="120">
        <f>'Ethylene Recycling HC'!I101</f>
        <v>61.29269043485354</v>
      </c>
      <c r="J93" s="120">
        <f>'Ethylene Recycling HC'!J101</f>
        <v>72.93435703197126</v>
      </c>
      <c r="K93" s="120">
        <f>'Ethylene Recycling HC'!K101</f>
        <v>84.864261124050643</v>
      </c>
      <c r="L93" s="120">
        <f>'Ethylene Recycling HC'!L101</f>
        <v>97.036900442646683</v>
      </c>
      <c r="M93" s="120">
        <f>'Ethylene Recycling HC'!M101</f>
        <v>109.40643700189834</v>
      </c>
      <c r="N93" s="120">
        <f>'Ethylene Recycling HC'!N101</f>
        <v>117.28367428280445</v>
      </c>
      <c r="O93" s="120">
        <f>'Ethylene Recycling HC'!O101</f>
        <v>125.22162972167735</v>
      </c>
      <c r="P93" s="120">
        <f>'Ethylene Recycling HC'!P101</f>
        <v>132.04689754286329</v>
      </c>
      <c r="Q93" s="120">
        <f>'Ethylene Recycling HC'!Q101</f>
        <v>138.2587271346911</v>
      </c>
      <c r="R93" s="120">
        <f>'Ethylene Recycling HC'!R101</f>
        <v>143.84461830319347</v>
      </c>
      <c r="S93" s="120">
        <f>'Ethylene Recycling HC'!S101</f>
        <v>148.79205863257417</v>
      </c>
      <c r="T93" s="120">
        <f>'Ethylene Recycling HC'!T101</f>
        <v>153.08852429447319</v>
      </c>
      <c r="U93" s="120">
        <f>'Ethylene Recycling HC'!U101</f>
        <v>156.72148085031097</v>
      </c>
      <c r="V93" s="120">
        <f>'Ethylene Recycling HC'!V101</f>
        <v>159.67838404675433</v>
      </c>
      <c r="W93" s="120">
        <f>'Ethylene Recycling HC'!W101</f>
        <v>161.94668060434077</v>
      </c>
      <c r="X93" s="120">
        <f>'Ethylene Recycling HC'!X101</f>
        <v>165.49526845877406</v>
      </c>
      <c r="Y93" s="120">
        <f>'Ethylene Recycling HC'!Y101</f>
        <v>168.63526024437448</v>
      </c>
      <c r="Z93" s="120">
        <f>'Ethylene Recycling HC'!Z101</f>
        <v>171.272097005408</v>
      </c>
      <c r="AA93" s="120">
        <f>'Ethylene Recycling HC'!AA101</f>
        <v>173.39630657421543</v>
      </c>
      <c r="AB93" s="120">
        <f>'Ethylene Recycling HC'!AB101</f>
        <v>174.99841024932124</v>
      </c>
      <c r="AC93" s="120">
        <f>'Ethylene Recycling HC'!AC101</f>
        <v>176.06892338291786</v>
      </c>
      <c r="AD93" s="120">
        <f>'Ethylene Recycling HC'!AD101</f>
        <v>176.59835596326297</v>
      </c>
      <c r="AE93" s="120">
        <f>'Ethylene Recycling HC'!AE101</f>
        <v>176.57721319201795</v>
      </c>
      <c r="AF93" s="120">
        <f>'Ethylene Recycling HC'!AF101</f>
        <v>175.99599605655797</v>
      </c>
      <c r="AG93" s="120">
        <f>'Ethylene Recycling HC'!AG101</f>
        <v>174.84520189728246</v>
      </c>
      <c r="AH93" s="217"/>
      <c r="AI93" s="124"/>
      <c r="AJ93" s="185"/>
      <c r="AL93" s="100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outlineLevel="1">
      <c r="AI94" s="125"/>
      <c r="AJ94" s="185"/>
      <c r="AL94" s="100"/>
      <c r="AM94" s="123"/>
      <c r="AN94" s="2"/>
      <c r="AO94" s="2"/>
    </row>
    <row r="95" spans="1:63" s="174" customFormat="1" ht="15.5" thickBot="1">
      <c r="A95" s="174" t="s">
        <v>421</v>
      </c>
      <c r="B95" s="189"/>
      <c r="C95" s="190">
        <f>C96</f>
        <v>0.19</v>
      </c>
      <c r="D95" s="190">
        <f t="shared" ref="D95:AG95" si="27">D96</f>
        <v>0.20515750741304786</v>
      </c>
      <c r="E95" s="190">
        <f t="shared" si="27"/>
        <v>0.22031501482609578</v>
      </c>
      <c r="F95" s="190">
        <f t="shared" si="27"/>
        <v>0.23547252223914369</v>
      </c>
      <c r="G95" s="190">
        <f t="shared" si="27"/>
        <v>0.25063002965219155</v>
      </c>
      <c r="H95" s="190">
        <f t="shared" si="27"/>
        <v>0.26578753706523939</v>
      </c>
      <c r="I95" s="190">
        <f t="shared" si="27"/>
        <v>0.28094504447828728</v>
      </c>
      <c r="J95" s="190">
        <f t="shared" si="27"/>
        <v>0.29610255189133516</v>
      </c>
      <c r="K95" s="190">
        <f t="shared" si="27"/>
        <v>0.31126005930438305</v>
      </c>
      <c r="L95" s="190">
        <f t="shared" si="27"/>
        <v>0.32641756671743088</v>
      </c>
      <c r="M95" s="190">
        <f t="shared" si="27"/>
        <v>0.34157507413047883</v>
      </c>
      <c r="N95" s="190">
        <f t="shared" si="27"/>
        <v>0.35175830083520837</v>
      </c>
      <c r="O95" s="190">
        <f t="shared" si="27"/>
        <v>0.3619415275399378</v>
      </c>
      <c r="P95" s="190">
        <f t="shared" si="27"/>
        <v>0.37148998686571316</v>
      </c>
      <c r="Q95" s="190">
        <f t="shared" si="27"/>
        <v>0.38099927767234532</v>
      </c>
      <c r="R95" s="190">
        <f t="shared" si="27"/>
        <v>0.39046904763234269</v>
      </c>
      <c r="S95" s="190">
        <f t="shared" si="27"/>
        <v>0.39989894455678304</v>
      </c>
      <c r="T95" s="190">
        <f t="shared" si="27"/>
        <v>0.40928861639388509</v>
      </c>
      <c r="U95" s="190">
        <f t="shared" si="27"/>
        <v>0.41863771122764531</v>
      </c>
      <c r="V95" s="190">
        <f t="shared" si="27"/>
        <v>0.4279458772765341</v>
      </c>
      <c r="W95" s="190">
        <f t="shared" si="27"/>
        <v>0.43721276289226263</v>
      </c>
      <c r="X95" s="190">
        <f t="shared" si="27"/>
        <v>0.45182770550300277</v>
      </c>
      <c r="Y95" s="190">
        <f t="shared" si="27"/>
        <v>0.46638084271788094</v>
      </c>
      <c r="Z95" s="190">
        <f t="shared" si="27"/>
        <v>0.4781293158378388</v>
      </c>
      <c r="AA95" s="190">
        <f t="shared" si="27"/>
        <v>0.48961447576413403</v>
      </c>
      <c r="AB95" s="190">
        <f t="shared" si="27"/>
        <v>0.50083343859498619</v>
      </c>
      <c r="AC95" s="190">
        <f t="shared" si="27"/>
        <v>0.51178332099303547</v>
      </c>
      <c r="AD95" s="190">
        <f t="shared" si="27"/>
        <v>0.52246124029381058</v>
      </c>
      <c r="AE95" s="190">
        <f t="shared" si="27"/>
        <v>0.5328643146399713</v>
      </c>
      <c r="AF95" s="190">
        <f t="shared" si="27"/>
        <v>0.54298966314223263</v>
      </c>
      <c r="AG95" s="190">
        <f t="shared" si="27"/>
        <v>0.55283440606791234</v>
      </c>
      <c r="AJ95" s="204" t="s">
        <v>457</v>
      </c>
      <c r="AL95" s="191"/>
      <c r="AM95" s="192"/>
      <c r="AN95" s="192"/>
      <c r="AO95" s="192"/>
    </row>
    <row r="96" spans="1:63" ht="15.5" outlineLevel="1" thickTop="1">
      <c r="A96" t="s">
        <v>413</v>
      </c>
      <c r="B96" s="50" t="s">
        <v>126</v>
      </c>
      <c r="C96" s="120">
        <f>'Ethylene Recycling HC'!C104*'Ethylene Recycling HC'!C$43/'Ethylene Recycling LC'!C$43</f>
        <v>0.19</v>
      </c>
      <c r="D96" s="120">
        <f>'Ethylene Recycling HC'!D104*'Ethylene Recycling HC'!D$43/'Ethylene Recycling LC'!D$43</f>
        <v>0.20515750741304786</v>
      </c>
      <c r="E96" s="120">
        <f>'Ethylene Recycling HC'!E104*'Ethylene Recycling HC'!E$43/'Ethylene Recycling LC'!E$43</f>
        <v>0.22031501482609578</v>
      </c>
      <c r="F96" s="120">
        <f>'Ethylene Recycling HC'!F104*'Ethylene Recycling HC'!F$43/'Ethylene Recycling LC'!F$43</f>
        <v>0.23547252223914369</v>
      </c>
      <c r="G96" s="120">
        <f>'Ethylene Recycling HC'!G104*'Ethylene Recycling HC'!G$43/'Ethylene Recycling LC'!G$43</f>
        <v>0.25063002965219155</v>
      </c>
      <c r="H96" s="120">
        <f>'Ethylene Recycling HC'!H104*'Ethylene Recycling HC'!H$43/'Ethylene Recycling LC'!H$43</f>
        <v>0.26578753706523939</v>
      </c>
      <c r="I96" s="120">
        <f>'Ethylene Recycling HC'!I104*'Ethylene Recycling HC'!I$43/'Ethylene Recycling LC'!I$43</f>
        <v>0.28094504447828728</v>
      </c>
      <c r="J96" s="120">
        <f>'Ethylene Recycling HC'!J104*'Ethylene Recycling HC'!J$43/'Ethylene Recycling LC'!J$43</f>
        <v>0.29610255189133516</v>
      </c>
      <c r="K96" s="120">
        <f>'Ethylene Recycling HC'!K104*'Ethylene Recycling HC'!K$43/'Ethylene Recycling LC'!K$43</f>
        <v>0.31126005930438305</v>
      </c>
      <c r="L96" s="120">
        <f>'Ethylene Recycling HC'!L104*'Ethylene Recycling HC'!L$43/'Ethylene Recycling LC'!L$43</f>
        <v>0.32641756671743088</v>
      </c>
      <c r="M96" s="120">
        <f>'Ethylene Recycling HC'!M104*'Ethylene Recycling HC'!M$43/'Ethylene Recycling LC'!M$43</f>
        <v>0.34157507413047883</v>
      </c>
      <c r="N96" s="120">
        <f>'Ethylene Recycling HC'!N104*'Ethylene Recycling HC'!N$43/'Ethylene Recycling LC'!N$43</f>
        <v>0.35175830083520837</v>
      </c>
      <c r="O96" s="120">
        <f>'Ethylene Recycling HC'!O104*'Ethylene Recycling HC'!O$43/'Ethylene Recycling LC'!O$43</f>
        <v>0.3619415275399378</v>
      </c>
      <c r="P96" s="120">
        <f>'Ethylene Recycling HC'!P104*'Ethylene Recycling HC'!P$43/'Ethylene Recycling LC'!P$43</f>
        <v>0.37148998686571316</v>
      </c>
      <c r="Q96" s="120">
        <f>'Ethylene Recycling HC'!Q104*'Ethylene Recycling HC'!Q$43/'Ethylene Recycling LC'!Q$43</f>
        <v>0.38099927767234532</v>
      </c>
      <c r="R96" s="120">
        <f>'Ethylene Recycling HC'!R104*'Ethylene Recycling HC'!R$43/'Ethylene Recycling LC'!R$43</f>
        <v>0.39046904763234269</v>
      </c>
      <c r="S96" s="120">
        <f>'Ethylene Recycling HC'!S104*'Ethylene Recycling HC'!S$43/'Ethylene Recycling LC'!S$43</f>
        <v>0.39989894455678304</v>
      </c>
      <c r="T96" s="120">
        <f>'Ethylene Recycling HC'!T104*'Ethylene Recycling HC'!T$43/'Ethylene Recycling LC'!T$43</f>
        <v>0.40928861639388509</v>
      </c>
      <c r="U96" s="120">
        <f>'Ethylene Recycling HC'!U104*'Ethylene Recycling HC'!U$43/'Ethylene Recycling LC'!U$43</f>
        <v>0.41863771122764531</v>
      </c>
      <c r="V96" s="120">
        <f>'Ethylene Recycling HC'!V104*'Ethylene Recycling HC'!V$43/'Ethylene Recycling LC'!V$43</f>
        <v>0.4279458772765341</v>
      </c>
      <c r="W96" s="120">
        <f>'Ethylene Recycling HC'!W104*'Ethylene Recycling HC'!W$43/'Ethylene Recycling LC'!W$43</f>
        <v>0.43721276289226263</v>
      </c>
      <c r="X96" s="120">
        <f>'Ethylene Recycling HC'!X104*'Ethylene Recycling HC'!X$43/'Ethylene Recycling LC'!X$43</f>
        <v>0.45182770550300277</v>
      </c>
      <c r="Y96" s="120">
        <f>'Ethylene Recycling HC'!Y104*'Ethylene Recycling HC'!Y$43/'Ethylene Recycling LC'!Y$43</f>
        <v>0.46638084271788094</v>
      </c>
      <c r="Z96" s="120">
        <f>'Ethylene Recycling HC'!Z104*'Ethylene Recycling HC'!Z$43/'Ethylene Recycling LC'!Z$43</f>
        <v>0.4781293158378388</v>
      </c>
      <c r="AA96" s="120">
        <f>'Ethylene Recycling HC'!AA104*'Ethylene Recycling HC'!AA$43/'Ethylene Recycling LC'!AA$43</f>
        <v>0.48961447576413403</v>
      </c>
      <c r="AB96" s="120">
        <f>'Ethylene Recycling HC'!AB104*'Ethylene Recycling HC'!AB$43/'Ethylene Recycling LC'!AB$43</f>
        <v>0.50083343859498619</v>
      </c>
      <c r="AC96" s="120">
        <f>'Ethylene Recycling HC'!AC104*'Ethylene Recycling HC'!AC$43/'Ethylene Recycling LC'!AC$43</f>
        <v>0.51178332099303547</v>
      </c>
      <c r="AD96" s="120">
        <f>'Ethylene Recycling HC'!AD104*'Ethylene Recycling HC'!AD$43/'Ethylene Recycling LC'!AD$43</f>
        <v>0.52246124029381058</v>
      </c>
      <c r="AE96" s="120">
        <f>'Ethylene Recycling HC'!AE104*'Ethylene Recycling HC'!AE$43/'Ethylene Recycling LC'!AE$43</f>
        <v>0.5328643146399713</v>
      </c>
      <c r="AF96" s="120">
        <f>'Ethylene Recycling HC'!AF104*'Ethylene Recycling HC'!AF$43/'Ethylene Recycling LC'!AF$43</f>
        <v>0.54298966314223263</v>
      </c>
      <c r="AG96" s="120">
        <f>'Ethylene Recycling HC'!AG104*'Ethylene Recycling HC'!AG$43/'Ethylene Recycling LC'!AG$43</f>
        <v>0.55283440606791234</v>
      </c>
      <c r="AI96" s="124" t="s">
        <v>479</v>
      </c>
      <c r="AJ96" s="185"/>
    </row>
    <row r="97" spans="1:63" outlineLevel="1">
      <c r="A97" t="s">
        <v>480</v>
      </c>
      <c r="B97" s="50" t="s">
        <v>126</v>
      </c>
      <c r="C97" s="120">
        <f>'Ethylene Recycling HC'!C107*'Ethylene Recycling HC'!C$43/'Ethylene Recycling LC'!C$43</f>
        <v>1.52E-2</v>
      </c>
      <c r="D97" s="120">
        <f>'Ethylene Recycling HC'!D107*'Ethylene Recycling HC'!D$43/'Ethylene Recycling LC'!D$43</f>
        <v>2.1336380770956981E-2</v>
      </c>
      <c r="E97" s="120">
        <f>'Ethylene Recycling HC'!E107*'Ethylene Recycling HC'!E$43/'Ethylene Recycling LC'!E$43</f>
        <v>2.8200321897740258E-2</v>
      </c>
      <c r="F97" s="120">
        <f>'Ethylene Recycling HC'!F107*'Ethylene Recycling HC'!F$43/'Ethylene Recycling LC'!F$43</f>
        <v>3.5791823380349835E-2</v>
      </c>
      <c r="G97" s="120">
        <f>'Ethylene Recycling HC'!G107*'Ethylene Recycling HC'!G$43/'Ethylene Recycling LC'!G$43</f>
        <v>4.4110885218785714E-2</v>
      </c>
      <c r="H97" s="120">
        <f>'Ethylene Recycling HC'!H107*'Ethylene Recycling HC'!H$43/'Ethylene Recycling LC'!H$43</f>
        <v>5.3157507413047873E-2</v>
      </c>
      <c r="I97" s="120">
        <f>'Ethylene Recycling HC'!I107*'Ethylene Recycling HC'!I$43/'Ethylene Recycling LC'!I$43</f>
        <v>6.2931689963136347E-2</v>
      </c>
      <c r="J97" s="120">
        <f>'Ethylene Recycling HC'!J107*'Ethylene Recycling HC'!J$43/'Ethylene Recycling LC'!J$43</f>
        <v>7.3433432869051116E-2</v>
      </c>
      <c r="K97" s="120">
        <f>'Ethylene Recycling HC'!K107*'Ethylene Recycling HC'!K$43/'Ethylene Recycling LC'!K$43</f>
        <v>8.4662736130792171E-2</v>
      </c>
      <c r="L97" s="120">
        <f>'Ethylene Recycling HC'!L107*'Ethylene Recycling HC'!L$43/'Ethylene Recycling LC'!L$43</f>
        <v>9.6619599748359555E-2</v>
      </c>
      <c r="M97" s="120">
        <f>'Ethylene Recycling HC'!M107*'Ethylene Recycling HC'!M$43/'Ethylene Recycling LC'!M$43</f>
        <v>0.10930402372175323</v>
      </c>
      <c r="N97" s="120">
        <f>'Ethylene Recycling HC'!N107*'Ethylene Recycling HC'!N$43/'Ethylene Recycling LC'!N$43</f>
        <v>0.12100485548731167</v>
      </c>
      <c r="O97" s="120">
        <f>'Ethylene Recycling HC'!O107*'Ethylene Recycling HC'!O$43/'Ethylene Recycling LC'!O$43</f>
        <v>0.13319448213469712</v>
      </c>
      <c r="P97" s="120">
        <f>'Ethylene Recycling HC'!P107*'Ethylene Recycling HC'!P$43/'Ethylene Recycling LC'!P$43</f>
        <v>0.14562407485135959</v>
      </c>
      <c r="Q97" s="120">
        <f>'Ethylene Recycling HC'!Q107*'Ethylene Recycling HC'!Q$43/'Ethylene Recycling LC'!Q$43</f>
        <v>0.15849569951169568</v>
      </c>
      <c r="R97" s="120">
        <f>'Ethylene Recycling HC'!R107*'Ethylene Recycling HC'!R$43/'Ethylene Recycling LC'!R$43</f>
        <v>0.17180638095823081</v>
      </c>
      <c r="S97" s="120">
        <f>'Ethylene Recycling HC'!S107*'Ethylene Recycling HC'!S$43/'Ethylene Recycling LC'!S$43</f>
        <v>0.18555311027434737</v>
      </c>
      <c r="T97" s="120">
        <f>'Ethylene Recycling HC'!T107*'Ethylene Recycling HC'!T$43/'Ethylene Recycling LC'!T$43</f>
        <v>0.19973284480021603</v>
      </c>
      <c r="U97" s="120">
        <f>'Ethylene Recycling HC'!U107*'Ethylene Recycling HC'!U$43/'Ethylene Recycling LC'!U$43</f>
        <v>0.21434250814855446</v>
      </c>
      <c r="V97" s="120">
        <f>'Ethylene Recycling HC'!V107*'Ethylene Recycling HC'!V$43/'Ethylene Recycling LC'!V$43</f>
        <v>0.22937899022022232</v>
      </c>
      <c r="W97" s="120">
        <f>'Ethylene Recycling HC'!W107*'Ethylene Recycling HC'!W$43/'Ethylene Recycling LC'!W$43</f>
        <v>0.24483914721966718</v>
      </c>
      <c r="X97" s="120">
        <f>'Ethylene Recycling HC'!X107*'Ethylene Recycling HC'!X$43/'Ethylene Recycling LC'!X$43</f>
        <v>0.26386738001375371</v>
      </c>
      <c r="Y97" s="120">
        <f>'Ethylene Recycling HC'!Y107*'Ethylene Recycling HC'!Y$43/'Ethylene Recycling LC'!Y$43</f>
        <v>0.28355955237247171</v>
      </c>
      <c r="Z97" s="120">
        <f>'Ethylene Recycling HC'!Z107*'Ethylene Recycling HC'!Z$43/'Ethylene Recycling LC'!Z$43</f>
        <v>0.30217772760951422</v>
      </c>
      <c r="AA97" s="120">
        <f>'Ethylene Recycling HC'!AA107*'Ethylene Recycling HC'!AA$43/'Ethylene Recycling LC'!AA$43</f>
        <v>0.321187096101272</v>
      </c>
      <c r="AB97" s="120">
        <f>'Ethylene Recycling HC'!AB107*'Ethylene Recycling HC'!AB$43/'Ethylene Recycling LC'!AB$43</f>
        <v>0.34056673824459072</v>
      </c>
      <c r="AC97" s="120">
        <f>'Ethylene Recycling HC'!AC107*'Ethylene Recycling HC'!AC$43/'Ethylene Recycling LC'!AC$43</f>
        <v>0.36029545797909712</v>
      </c>
      <c r="AD97" s="120">
        <f>'Ethylene Recycling HC'!AD107*'Ethylene Recycling HC'!AD$43/'Ethylene Recycling LC'!AD$43</f>
        <v>0.38035178293389427</v>
      </c>
      <c r="AE97" s="120">
        <f>'Ethylene Recycling HC'!AE107*'Ethylene Recycling HC'!AE$43/'Ethylene Recycling LC'!AE$43</f>
        <v>0.40071396460925862</v>
      </c>
      <c r="AF97" s="120">
        <f>'Ethylene Recycling HC'!AF107*'Ethylene Recycling HC'!AF$43/'Ethylene Recycling LC'!AF$43</f>
        <v>0.42135997859837265</v>
      </c>
      <c r="AG97" s="120">
        <f>'Ethylene Recycling HC'!AG107*'Ethylene Recycling HC'!AG$43/'Ethylene Recycling LC'!AG$43</f>
        <v>0.4422675248543298</v>
      </c>
      <c r="AI97" s="124" t="s">
        <v>479</v>
      </c>
      <c r="AJ97" s="185"/>
      <c r="BD97" s="177"/>
      <c r="BE97" s="177"/>
    </row>
    <row r="98" spans="1:63" outlineLevel="1">
      <c r="A98" t="s">
        <v>481</v>
      </c>
      <c r="B98" s="50" t="s">
        <v>126</v>
      </c>
      <c r="C98" s="120">
        <f>'Ethylene Recycling HC'!C108*'Ethylene Recycling HC'!C$43/'Ethylene Recycling LC'!C$43</f>
        <v>0.17480000000000001</v>
      </c>
      <c r="D98" s="120">
        <f>'Ethylene Recycling HC'!D108*'Ethylene Recycling HC'!D$43/'Ethylene Recycling LC'!D$43</f>
        <v>0.18382112664209091</v>
      </c>
      <c r="E98" s="120">
        <f>'Ethylene Recycling HC'!E108*'Ethylene Recycling HC'!E$43/'Ethylene Recycling LC'!E$43</f>
        <v>0.19211469292835553</v>
      </c>
      <c r="F98" s="120">
        <f>'Ethylene Recycling HC'!F108*'Ethylene Recycling HC'!F$43/'Ethylene Recycling LC'!F$43</f>
        <v>0.19968069885879386</v>
      </c>
      <c r="G98" s="120">
        <f>'Ethylene Recycling HC'!G108*'Ethylene Recycling HC'!G$43/'Ethylene Recycling LC'!G$43</f>
        <v>0.20651914443340583</v>
      </c>
      <c r="H98" s="120">
        <f>'Ethylene Recycling HC'!H108*'Ethylene Recycling HC'!H$43/'Ethylene Recycling LC'!H$43</f>
        <v>0.21263002965219155</v>
      </c>
      <c r="I98" s="120">
        <f>'Ethylene Recycling HC'!I108*'Ethylene Recycling HC'!I$43/'Ethylene Recycling LC'!I$43</f>
        <v>0.21801335451515097</v>
      </c>
      <c r="J98" s="120">
        <f>'Ethylene Recycling HC'!J108*'Ethylene Recycling HC'!J$43/'Ethylene Recycling LC'!J$43</f>
        <v>0.22266911902228403</v>
      </c>
      <c r="K98" s="120">
        <f>'Ethylene Recycling HC'!K108*'Ethylene Recycling HC'!K$43/'Ethylene Recycling LC'!K$43</f>
        <v>0.22659732317359085</v>
      </c>
      <c r="L98" s="120">
        <f>'Ethylene Recycling HC'!L108*'Ethylene Recycling HC'!L$43/'Ethylene Recycling LC'!L$43</f>
        <v>0.22979796696907137</v>
      </c>
      <c r="M98" s="120">
        <f>'Ethylene Recycling HC'!M108*'Ethylene Recycling HC'!M$43/'Ethylene Recycling LC'!M$43</f>
        <v>0.23227105040872559</v>
      </c>
      <c r="N98" s="120">
        <f>'Ethylene Recycling HC'!N108*'Ethylene Recycling HC'!N$43/'Ethylene Recycling LC'!N$43</f>
        <v>0.2307534453478966</v>
      </c>
      <c r="O98" s="120">
        <f>'Ethylene Recycling HC'!O108*'Ethylene Recycling HC'!O$43/'Ethylene Recycling LC'!O$43</f>
        <v>0.22874704540524066</v>
      </c>
      <c r="P98" s="120">
        <f>'Ethylene Recycling HC'!P108*'Ethylene Recycling HC'!P$43/'Ethylene Recycling LC'!P$43</f>
        <v>0.22586591201435358</v>
      </c>
      <c r="Q98" s="120">
        <f>'Ethylene Recycling HC'!Q108*'Ethylene Recycling HC'!Q$43/'Ethylene Recycling LC'!Q$43</f>
        <v>0.22250357816064961</v>
      </c>
      <c r="R98" s="120">
        <f>'Ethylene Recycling HC'!R108*'Ethylene Recycling HC'!R$43/'Ethylene Recycling LC'!R$43</f>
        <v>0.21866266667411186</v>
      </c>
      <c r="S98" s="120">
        <f>'Ethylene Recycling HC'!S108*'Ethylene Recycling HC'!S$43/'Ethylene Recycling LC'!S$43</f>
        <v>0.21434583428243564</v>
      </c>
      <c r="T98" s="120">
        <f>'Ethylene Recycling HC'!T108*'Ethylene Recycling HC'!T$43/'Ethylene Recycling LC'!T$43</f>
        <v>0.20955577159366912</v>
      </c>
      <c r="U98" s="120">
        <f>'Ethylene Recycling HC'!U108*'Ethylene Recycling HC'!U$43/'Ethylene Recycling LC'!U$43</f>
        <v>0.20429520307909085</v>
      </c>
      <c r="V98" s="120">
        <f>'Ethylene Recycling HC'!V108*'Ethylene Recycling HC'!V$43/'Ethylene Recycling LC'!V$43</f>
        <v>0.19856688705631176</v>
      </c>
      <c r="W98" s="120">
        <f>'Ethylene Recycling HC'!W108*'Ethylene Recycling HC'!W$43/'Ethylene Recycling LC'!W$43</f>
        <v>0.1923736156725955</v>
      </c>
      <c r="X98" s="120">
        <f>'Ethylene Recycling HC'!X108*'Ethylene Recycling HC'!X$43/'Ethylene Recycling LC'!X$43</f>
        <v>0.1879603254892491</v>
      </c>
      <c r="Y98" s="120">
        <f>'Ethylene Recycling HC'!Y108*'Ethylene Recycling HC'!Y$43/'Ethylene Recycling LC'!Y$43</f>
        <v>0.1828212903454092</v>
      </c>
      <c r="Z98" s="120">
        <f>'Ethylene Recycling HC'!Z108*'Ethylene Recycling HC'!Z$43/'Ethylene Recycling LC'!Z$43</f>
        <v>0.17595158822832457</v>
      </c>
      <c r="AA98" s="120">
        <f>'Ethylene Recycling HC'!AA108*'Ethylene Recycling HC'!AA$43/'Ethylene Recycling LC'!AA$43</f>
        <v>0.16842737966286195</v>
      </c>
      <c r="AB98" s="120">
        <f>'Ethylene Recycling HC'!AB108*'Ethylene Recycling HC'!AB$43/'Ethylene Recycling LC'!AB$43</f>
        <v>0.16026670035039542</v>
      </c>
      <c r="AC98" s="120">
        <f>'Ethylene Recycling HC'!AC108*'Ethylene Recycling HC'!AC$43/'Ethylene Recycling LC'!AC$43</f>
        <v>0.15148786301393838</v>
      </c>
      <c r="AD98" s="120">
        <f>'Ethylene Recycling HC'!AD108*'Ethylene Recycling HC'!AD$43/'Ethylene Recycling LC'!AD$43</f>
        <v>0.14210945735991631</v>
      </c>
      <c r="AE98" s="120">
        <f>'Ethylene Recycling HC'!AE108*'Ethylene Recycling HC'!AE$43/'Ethylene Recycling LC'!AE$43</f>
        <v>0.13215035003071271</v>
      </c>
      <c r="AF98" s="120">
        <f>'Ethylene Recycling HC'!AF108*'Ethylene Recycling HC'!AF$43/'Ethylene Recycling LC'!AF$43</f>
        <v>0.1216296845438599</v>
      </c>
      <c r="AG98" s="120">
        <f>'Ethylene Recycling HC'!AG108*'Ethylene Recycling HC'!AG$43/'Ethylene Recycling LC'!AG$43</f>
        <v>0.11056688121358244</v>
      </c>
      <c r="AI98" s="124" t="s">
        <v>479</v>
      </c>
      <c r="AJ98" s="185"/>
      <c r="BD98" s="177"/>
      <c r="BE98" s="177"/>
    </row>
    <row r="99" spans="1:63" outlineLevel="1">
      <c r="A99" t="s">
        <v>426</v>
      </c>
      <c r="B99" s="50" t="s">
        <v>126</v>
      </c>
      <c r="C99" s="120">
        <f>'Ethylene Recycling HC'!C115*'Ethylene Recycling HC'!C$43/'Ethylene Recycling LC'!C$43</f>
        <v>9.0896000000000005E-2</v>
      </c>
      <c r="D99" s="120">
        <f>'Ethylene Recycling HC'!D115*'Ethylene Recycling HC'!D$43/'Ethylene Recycling LC'!D$43</f>
        <v>9.5586985853887266E-2</v>
      </c>
      <c r="E99" s="120">
        <f>'Ethylene Recycling HC'!E115*'Ethylene Recycling HC'!E$43/'Ethylene Recycling LC'!E$43</f>
        <v>9.989964032274487E-2</v>
      </c>
      <c r="F99" s="120">
        <f>'Ethylene Recycling HC'!F115*'Ethylene Recycling HC'!F$43/'Ethylene Recycling LC'!F$43</f>
        <v>0.1038339634065728</v>
      </c>
      <c r="G99" s="120">
        <f>'Ethylene Recycling HC'!G115*'Ethylene Recycling HC'!G$43/'Ethylene Recycling LC'!G$43</f>
        <v>0.10738995510537105</v>
      </c>
      <c r="H99" s="120">
        <f>'Ethylene Recycling HC'!H115*'Ethylene Recycling HC'!H$43/'Ethylene Recycling LC'!H$43</f>
        <v>0.11056761541913959</v>
      </c>
      <c r="I99" s="120">
        <f>'Ethylene Recycling HC'!I115*'Ethylene Recycling HC'!I$43/'Ethylene Recycling LC'!I$43</f>
        <v>0.11336694434787849</v>
      </c>
      <c r="J99" s="120">
        <f>'Ethylene Recycling HC'!J115*'Ethylene Recycling HC'!J$43/'Ethylene Recycling LC'!J$43</f>
        <v>0.1157879418915877</v>
      </c>
      <c r="K99" s="120">
        <f>'Ethylene Recycling HC'!K115*'Ethylene Recycling HC'!K$43/'Ethylene Recycling LC'!K$43</f>
        <v>0.11783060805026725</v>
      </c>
      <c r="L99" s="120">
        <f>'Ethylene Recycling HC'!L115*'Ethylene Recycling HC'!L$43/'Ethylene Recycling LC'!L$43</f>
        <v>0.11949494282391714</v>
      </c>
      <c r="M99" s="120">
        <f>'Ethylene Recycling HC'!M115*'Ethylene Recycling HC'!M$43/'Ethylene Recycling LC'!M$43</f>
        <v>0.12078094621253731</v>
      </c>
      <c r="N99" s="120">
        <f>'Ethylene Recycling HC'!N115*'Ethylene Recycling HC'!N$43/'Ethylene Recycling LC'!N$43</f>
        <v>0.11999179158090625</v>
      </c>
      <c r="O99" s="120">
        <f>'Ethylene Recycling HC'!O115*'Ethylene Recycling HC'!O$43/'Ethylene Recycling LC'!O$43</f>
        <v>0.11894846361072516</v>
      </c>
      <c r="P99" s="120">
        <f>'Ethylene Recycling HC'!P115*'Ethylene Recycling HC'!P$43/'Ethylene Recycling LC'!P$43</f>
        <v>0.11745027424746386</v>
      </c>
      <c r="Q99" s="120">
        <f>'Ethylene Recycling HC'!Q115*'Ethylene Recycling HC'!Q$43/'Ethylene Recycling LC'!Q$43</f>
        <v>0.11570186064353781</v>
      </c>
      <c r="R99" s="120">
        <f>'Ethylene Recycling HC'!R115*'Ethylene Recycling HC'!R$43/'Ethylene Recycling LC'!R$43</f>
        <v>0.11370458667053816</v>
      </c>
      <c r="S99" s="120">
        <f>'Ethylene Recycling HC'!S115*'Ethylene Recycling HC'!S$43/'Ethylene Recycling LC'!S$43</f>
        <v>0.11145983382686656</v>
      </c>
      <c r="T99" s="120">
        <f>'Ethylene Recycling HC'!T115*'Ethylene Recycling HC'!T$43/'Ethylene Recycling LC'!T$43</f>
        <v>0.10896900122870794</v>
      </c>
      <c r="U99" s="120">
        <f>'Ethylene Recycling HC'!U115*'Ethylene Recycling HC'!U$43/'Ethylene Recycling LC'!U$43</f>
        <v>0.10623350560112726</v>
      </c>
      <c r="V99" s="120">
        <f>'Ethylene Recycling HC'!V115*'Ethylene Recycling HC'!V$43/'Ethylene Recycling LC'!V$43</f>
        <v>0.10325478126928211</v>
      </c>
      <c r="W99" s="120">
        <f>'Ethylene Recycling HC'!W115*'Ethylene Recycling HC'!W$43/'Ethylene Recycling LC'!W$43</f>
        <v>0.10003428014974965</v>
      </c>
      <c r="X99" s="120">
        <f>'Ethylene Recycling HC'!X115*'Ethylene Recycling HC'!X$43/'Ethylene Recycling LC'!X$43</f>
        <v>9.7739369254409514E-2</v>
      </c>
      <c r="Y99" s="120">
        <f>'Ethylene Recycling HC'!Y115*'Ethylene Recycling HC'!Y$43/'Ethylene Recycling LC'!Y$43</f>
        <v>9.5067070979612797E-2</v>
      </c>
      <c r="Z99" s="120">
        <f>'Ethylene Recycling HC'!Z115*'Ethylene Recycling HC'!Z$43/'Ethylene Recycling LC'!Z$43</f>
        <v>9.1494825878728772E-2</v>
      </c>
      <c r="AA99" s="120">
        <f>'Ethylene Recycling HC'!AA115*'Ethylene Recycling HC'!AA$43/'Ethylene Recycling LC'!AA$43</f>
        <v>8.7582237424688222E-2</v>
      </c>
      <c r="AB99" s="120">
        <f>'Ethylene Recycling HC'!AB115*'Ethylene Recycling HC'!AB$43/'Ethylene Recycling LC'!AB$43</f>
        <v>8.3338684182205622E-2</v>
      </c>
      <c r="AC99" s="120">
        <f>'Ethylene Recycling HC'!AC115*'Ethylene Recycling HC'!AC$43/'Ethylene Recycling LC'!AC$43</f>
        <v>7.8773688767247954E-2</v>
      </c>
      <c r="AD99" s="120">
        <f>'Ethylene Recycling HC'!AD115*'Ethylene Recycling HC'!AD$43/'Ethylene Recycling LC'!AD$43</f>
        <v>7.3896917827156489E-2</v>
      </c>
      <c r="AE99" s="120">
        <f>'Ethylene Recycling HC'!AE115*'Ethylene Recycling HC'!AE$43/'Ethylene Recycling LC'!AE$43</f>
        <v>6.8718182015970616E-2</v>
      </c>
      <c r="AF99" s="120">
        <f>'Ethylene Recycling HC'!AF115*'Ethylene Recycling HC'!AF$43/'Ethylene Recycling LC'!AF$43</f>
        <v>6.3247435962807144E-2</v>
      </c>
      <c r="AG99" s="120">
        <f>'Ethylene Recycling HC'!AG115*'Ethylene Recycling HC'!AG$43/'Ethylene Recycling LC'!AG$43</f>
        <v>5.749477823106286E-2</v>
      </c>
      <c r="AI99" s="124" t="s">
        <v>479</v>
      </c>
      <c r="AJ99" s="185"/>
      <c r="BD99" s="177"/>
      <c r="BE99" s="177"/>
    </row>
    <row r="100" spans="1:63" outlineLevel="1">
      <c r="A100" t="s">
        <v>427</v>
      </c>
      <c r="B100" s="50" t="s">
        <v>126</v>
      </c>
      <c r="C100" s="120">
        <f>'Ethylene Recycling HC'!C116*'Ethylene Recycling HC'!C$43/'Ethylene Recycling LC'!C$43</f>
        <v>2.0976000000000002E-2</v>
      </c>
      <c r="D100" s="120">
        <f>'Ethylene Recycling HC'!D116*'Ethylene Recycling HC'!D$43/'Ethylene Recycling LC'!D$43</f>
        <v>2.2058535197050911E-2</v>
      </c>
      <c r="E100" s="120">
        <f>'Ethylene Recycling HC'!E116*'Ethylene Recycling HC'!E$43/'Ethylene Recycling LC'!E$43</f>
        <v>2.3053763151402659E-2</v>
      </c>
      <c r="F100" s="120">
        <f>'Ethylene Recycling HC'!F116*'Ethylene Recycling HC'!F$43/'Ethylene Recycling LC'!F$43</f>
        <v>2.396168386305526E-2</v>
      </c>
      <c r="G100" s="120">
        <f>'Ethylene Recycling HC'!G116*'Ethylene Recycling HC'!G$43/'Ethylene Recycling LC'!G$43</f>
        <v>2.47822973320087E-2</v>
      </c>
      <c r="H100" s="120">
        <f>'Ethylene Recycling HC'!H116*'Ethylene Recycling HC'!H$43/'Ethylene Recycling LC'!H$43</f>
        <v>2.5515603558262982E-2</v>
      </c>
      <c r="I100" s="120">
        <f>'Ethylene Recycling HC'!I116*'Ethylene Recycling HC'!I$43/'Ethylene Recycling LC'!I$43</f>
        <v>2.6161602541818114E-2</v>
      </c>
      <c r="J100" s="120">
        <f>'Ethylene Recycling HC'!J116*'Ethylene Recycling HC'!J$43/'Ethylene Recycling LC'!J$43</f>
        <v>2.6720294282674084E-2</v>
      </c>
      <c r="K100" s="120">
        <f>'Ethylene Recycling HC'!K116*'Ethylene Recycling HC'!K$43/'Ethylene Recycling LC'!K$43</f>
        <v>2.7191678780830897E-2</v>
      </c>
      <c r="L100" s="120">
        <f>'Ethylene Recycling HC'!L116*'Ethylene Recycling HC'!L$43/'Ethylene Recycling LC'!L$43</f>
        <v>2.7575756036288562E-2</v>
      </c>
      <c r="M100" s="120">
        <f>'Ethylene Recycling HC'!M116*'Ethylene Recycling HC'!M$43/'Ethylene Recycling LC'!M$43</f>
        <v>2.787252604904707E-2</v>
      </c>
      <c r="N100" s="120">
        <f>'Ethylene Recycling HC'!N116*'Ethylene Recycling HC'!N$43/'Ethylene Recycling LC'!N$43</f>
        <v>2.7690413441747594E-2</v>
      </c>
      <c r="O100" s="120">
        <f>'Ethylene Recycling HC'!O116*'Ethylene Recycling HC'!O$43/'Ethylene Recycling LC'!O$43</f>
        <v>2.7449645448628875E-2</v>
      </c>
      <c r="P100" s="120">
        <f>'Ethylene Recycling HC'!P116*'Ethylene Recycling HC'!P$43/'Ethylene Recycling LC'!P$43</f>
        <v>2.7103909441722425E-2</v>
      </c>
      <c r="Q100" s="120">
        <f>'Ethylene Recycling HC'!Q116*'Ethylene Recycling HC'!Q$43/'Ethylene Recycling LC'!Q$43</f>
        <v>2.6700429379277954E-2</v>
      </c>
      <c r="R100" s="120">
        <f>'Ethylene Recycling HC'!R116*'Ethylene Recycling HC'!R$43/'Ethylene Recycling LC'!R$43</f>
        <v>2.623952000089342E-2</v>
      </c>
      <c r="S100" s="120">
        <f>'Ethylene Recycling HC'!S116*'Ethylene Recycling HC'!S$43/'Ethylene Recycling LC'!S$43</f>
        <v>2.5721500113892275E-2</v>
      </c>
      <c r="T100" s="120">
        <f>'Ethylene Recycling HC'!T116*'Ethylene Recycling HC'!T$43/'Ethylene Recycling LC'!T$43</f>
        <v>2.5146692591240295E-2</v>
      </c>
      <c r="U100" s="120">
        <f>'Ethylene Recycling HC'!U116*'Ethylene Recycling HC'!U$43/'Ethylene Recycling LC'!U$43</f>
        <v>2.4515424369490904E-2</v>
      </c>
      <c r="V100" s="120">
        <f>'Ethylene Recycling HC'!V116*'Ethylene Recycling HC'!V$43/'Ethylene Recycling LC'!V$43</f>
        <v>2.3828026446757414E-2</v>
      </c>
      <c r="W100" s="120">
        <f>'Ethylene Recycling HC'!W116*'Ethylene Recycling HC'!W$43/'Ethylene Recycling LC'!W$43</f>
        <v>2.3084833880711461E-2</v>
      </c>
      <c r="X100" s="120">
        <f>'Ethylene Recycling HC'!X116*'Ethylene Recycling HC'!X$43/'Ethylene Recycling LC'!X$43</f>
        <v>2.2555239058709889E-2</v>
      </c>
      <c r="Y100" s="120">
        <f>'Ethylene Recycling HC'!Y116*'Ethylene Recycling HC'!Y$43/'Ethylene Recycling LC'!Y$43</f>
        <v>2.1938554841449107E-2</v>
      </c>
      <c r="Z100" s="120">
        <f>'Ethylene Recycling HC'!Z116*'Ethylene Recycling HC'!Z$43/'Ethylene Recycling LC'!Z$43</f>
        <v>2.111419058739895E-2</v>
      </c>
      <c r="AA100" s="120">
        <f>'Ethylene Recycling HC'!AA116*'Ethylene Recycling HC'!AA$43/'Ethylene Recycling LC'!AA$43</f>
        <v>2.0211285559543435E-2</v>
      </c>
      <c r="AB100" s="120">
        <f>'Ethylene Recycling HC'!AB116*'Ethylene Recycling HC'!AB$43/'Ethylene Recycling LC'!AB$43</f>
        <v>1.9232004042047449E-2</v>
      </c>
      <c r="AC100" s="120">
        <f>'Ethylene Recycling HC'!AC116*'Ethylene Recycling HC'!AC$43/'Ethylene Recycling LC'!AC$43</f>
        <v>1.8178543561672603E-2</v>
      </c>
      <c r="AD100" s="120">
        <f>'Ethylene Recycling HC'!AD116*'Ethylene Recycling HC'!AD$43/'Ethylene Recycling LC'!AD$43</f>
        <v>1.7053134883189956E-2</v>
      </c>
      <c r="AE100" s="120">
        <f>'Ethylene Recycling HC'!AE116*'Ethylene Recycling HC'!AE$43/'Ethylene Recycling LC'!AE$43</f>
        <v>1.5858042003685523E-2</v>
      </c>
      <c r="AF100" s="120">
        <f>'Ethylene Recycling HC'!AF116*'Ethylene Recycling HC'!AF$43/'Ethylene Recycling LC'!AF$43</f>
        <v>1.4595562145263188E-2</v>
      </c>
      <c r="AG100" s="120">
        <f>'Ethylene Recycling HC'!AG116*'Ethylene Recycling HC'!AG$43/'Ethylene Recycling LC'!AG$43</f>
        <v>1.3268025745629892E-2</v>
      </c>
      <c r="AI100" s="124" t="s">
        <v>479</v>
      </c>
      <c r="AJ100" s="185"/>
      <c r="AL100" s="1"/>
      <c r="BC100" s="1"/>
      <c r="BD100" s="615"/>
      <c r="BE100" s="605"/>
      <c r="BF100" s="6"/>
      <c r="BG100" s="6"/>
      <c r="BH100" s="6"/>
      <c r="BI100" s="6"/>
      <c r="BJ100" s="6"/>
    </row>
    <row r="101" spans="1:63" outlineLevel="1">
      <c r="A101" t="s">
        <v>428</v>
      </c>
      <c r="B101" s="50" t="s">
        <v>126</v>
      </c>
      <c r="C101" s="120">
        <f>'Ethylene Recycling HC'!C117*'Ethylene Recycling HC'!C$43/'Ethylene Recycling LC'!C$43</f>
        <v>6.2927999999999998E-2</v>
      </c>
      <c r="D101" s="120">
        <f>'Ethylene Recycling HC'!D117*'Ethylene Recycling HC'!D$43/'Ethylene Recycling LC'!D$43</f>
        <v>6.6175605591152722E-2</v>
      </c>
      <c r="E101" s="120">
        <f>'Ethylene Recycling HC'!E117*'Ethylene Recycling HC'!E$43/'Ethylene Recycling LC'!E$43</f>
        <v>6.9161289454207978E-2</v>
      </c>
      <c r="F101" s="120">
        <f>'Ethylene Recycling HC'!F117*'Ethylene Recycling HC'!F$43/'Ethylene Recycling LC'!F$43</f>
        <v>7.1885051589165777E-2</v>
      </c>
      <c r="G101" s="120">
        <f>'Ethylene Recycling HC'!G117*'Ethylene Recycling HC'!G$43/'Ethylene Recycling LC'!G$43</f>
        <v>7.4346891996026107E-2</v>
      </c>
      <c r="H101" s="120">
        <f>'Ethylene Recycling HC'!H117*'Ethylene Recycling HC'!H$43/'Ethylene Recycling LC'!H$43</f>
        <v>7.654681067478894E-2</v>
      </c>
      <c r="I101" s="120">
        <f>'Ethylene Recycling HC'!I117*'Ethylene Recycling HC'!I$43/'Ethylene Recycling LC'!I$43</f>
        <v>7.8484807625454331E-2</v>
      </c>
      <c r="J101" s="120">
        <f>'Ethylene Recycling HC'!J117*'Ethylene Recycling HC'!J$43/'Ethylene Recycling LC'!J$43</f>
        <v>8.0160882848022252E-2</v>
      </c>
      <c r="K101" s="120">
        <f>'Ethylene Recycling HC'!K117*'Ethylene Recycling HC'!K$43/'Ethylene Recycling LC'!K$43</f>
        <v>8.1575036342492704E-2</v>
      </c>
      <c r="L101" s="120">
        <f>'Ethylene Recycling HC'!L117*'Ethylene Recycling HC'!L$43/'Ethylene Recycling LC'!L$43</f>
        <v>8.2727268108865701E-2</v>
      </c>
      <c r="M101" s="120">
        <f>'Ethylene Recycling HC'!M117*'Ethylene Recycling HC'!M$43/'Ethylene Recycling LC'!M$43</f>
        <v>8.3617578147141214E-2</v>
      </c>
      <c r="N101" s="120">
        <f>'Ethylene Recycling HC'!N117*'Ethylene Recycling HC'!N$43/'Ethylene Recycling LC'!N$43</f>
        <v>8.3071240325242782E-2</v>
      </c>
      <c r="O101" s="120">
        <f>'Ethylene Recycling HC'!O117*'Ethylene Recycling HC'!O$43/'Ethylene Recycling LC'!O$43</f>
        <v>8.2348936345886636E-2</v>
      </c>
      <c r="P101" s="120">
        <f>'Ethylene Recycling HC'!P117*'Ethylene Recycling HC'!P$43/'Ethylene Recycling LC'!P$43</f>
        <v>8.1311728325167282E-2</v>
      </c>
      <c r="Q101" s="120">
        <f>'Ethylene Recycling HC'!Q117*'Ethylene Recycling HC'!Q$43/'Ethylene Recycling LC'!Q$43</f>
        <v>8.0101288137833848E-2</v>
      </c>
      <c r="R101" s="120">
        <f>'Ethylene Recycling HC'!R117*'Ethylene Recycling HC'!R$43/'Ethylene Recycling LC'!R$43</f>
        <v>7.8718560002680266E-2</v>
      </c>
      <c r="S101" s="120">
        <f>'Ethylene Recycling HC'!S117*'Ethylene Recycling HC'!S$43/'Ethylene Recycling LC'!S$43</f>
        <v>7.7164500341676823E-2</v>
      </c>
      <c r="T101" s="120">
        <f>'Ethylene Recycling HC'!T117*'Ethylene Recycling HC'!T$43/'Ethylene Recycling LC'!T$43</f>
        <v>7.5440077773720887E-2</v>
      </c>
      <c r="U101" s="120">
        <f>'Ethylene Recycling HC'!U117*'Ethylene Recycling HC'!U$43/'Ethylene Recycling LC'!U$43</f>
        <v>7.3546273108472698E-2</v>
      </c>
      <c r="V101" s="120">
        <f>'Ethylene Recycling HC'!V117*'Ethylene Recycling HC'!V$43/'Ethylene Recycling LC'!V$43</f>
        <v>7.1484079340272233E-2</v>
      </c>
      <c r="W101" s="120">
        <f>'Ethylene Recycling HC'!W117*'Ethylene Recycling HC'!W$43/'Ethylene Recycling LC'!W$43</f>
        <v>6.9254501642134383E-2</v>
      </c>
      <c r="X101" s="120">
        <f>'Ethylene Recycling HC'!X117*'Ethylene Recycling HC'!X$43/'Ethylene Recycling LC'!X$43</f>
        <v>6.7665717176129667E-2</v>
      </c>
      <c r="Y101" s="120">
        <f>'Ethylene Recycling HC'!Y117*'Ethylene Recycling HC'!Y$43/'Ethylene Recycling LC'!Y$43</f>
        <v>6.5815664524347312E-2</v>
      </c>
      <c r="Z101" s="120">
        <f>'Ethylene Recycling HC'!Z117*'Ethylene Recycling HC'!Z$43/'Ethylene Recycling LC'!Z$43</f>
        <v>6.3342571762196861E-2</v>
      </c>
      <c r="AA101" s="120">
        <f>'Ethylene Recycling HC'!AA117*'Ethylene Recycling HC'!AA$43/'Ethylene Recycling LC'!AA$43</f>
        <v>6.0633856678630305E-2</v>
      </c>
      <c r="AB101" s="120">
        <f>'Ethylene Recycling HC'!AB117*'Ethylene Recycling HC'!AB$43/'Ethylene Recycling LC'!AB$43</f>
        <v>5.7696012126142344E-2</v>
      </c>
      <c r="AC101" s="120">
        <f>'Ethylene Recycling HC'!AC117*'Ethylene Recycling HC'!AC$43/'Ethylene Recycling LC'!AC$43</f>
        <v>5.4535630685017815E-2</v>
      </c>
      <c r="AD101" s="120">
        <f>'Ethylene Recycling HC'!AD117*'Ethylene Recycling HC'!AD$43/'Ethylene Recycling LC'!AD$43</f>
        <v>5.1159404649569869E-2</v>
      </c>
      <c r="AE101" s="120">
        <f>'Ethylene Recycling HC'!AE117*'Ethylene Recycling HC'!AE$43/'Ethylene Recycling LC'!AE$43</f>
        <v>4.7574126011056567E-2</v>
      </c>
      <c r="AF101" s="120">
        <f>'Ethylene Recycling HC'!AF117*'Ethylene Recycling HC'!AF$43/'Ethylene Recycling LC'!AF$43</f>
        <v>4.3786686435789569E-2</v>
      </c>
      <c r="AG101" s="120">
        <f>'Ethylene Recycling HC'!AG117*'Ethylene Recycling HC'!AG$43/'Ethylene Recycling LC'!AG$43</f>
        <v>3.9804077236889675E-2</v>
      </c>
      <c r="AI101" s="124" t="s">
        <v>479</v>
      </c>
      <c r="AJ101" s="185"/>
      <c r="BC101" s="1"/>
      <c r="BD101" s="37"/>
      <c r="BF101" s="6"/>
      <c r="BG101" s="6"/>
      <c r="BH101" s="6"/>
      <c r="BI101" s="6"/>
      <c r="BJ101" s="6"/>
    </row>
    <row r="102" spans="1:63" outlineLevel="1"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I102" s="124"/>
      <c r="AJ102" s="185"/>
      <c r="BC102" s="1"/>
      <c r="BD102" s="37"/>
      <c r="BF102" s="6"/>
      <c r="BG102" s="6"/>
      <c r="BH102" s="6"/>
      <c r="BI102" s="6"/>
      <c r="BJ102" s="6"/>
    </row>
    <row r="103" spans="1:63" s="1" customFormat="1" outlineLevel="1">
      <c r="A103" s="1" t="s">
        <v>265</v>
      </c>
      <c r="B103" s="60"/>
      <c r="C103" s="541">
        <f>'Ethylene Recycling HC'!C127</f>
        <v>517.6567529707122</v>
      </c>
      <c r="D103" s="541">
        <f>'Ethylene Recycling HC'!D127</f>
        <v>720.97258189563161</v>
      </c>
      <c r="E103" s="541">
        <f>'Ethylene Recycling HC'!E127</f>
        <v>945.44870144750223</v>
      </c>
      <c r="F103" s="541">
        <f>'Ethylene Recycling HC'!F127</f>
        <v>1190.5282004953901</v>
      </c>
      <c r="G103" s="541">
        <f>'Ethylene Recycling HC'!G127</f>
        <v>1455.6584581049694</v>
      </c>
      <c r="H103" s="541">
        <f>'Ethylene Recycling HC'!H127</f>
        <v>1740.291121023633</v>
      </c>
      <c r="I103" s="541">
        <f>'Ethylene Recycling HC'!I127</f>
        <v>2043.8820812624356</v>
      </c>
      <c r="J103" s="541">
        <f>'Ethylene Recycling HC'!J127</f>
        <v>2365.891453774489</v>
      </c>
      <c r="K103" s="541">
        <f>'Ethylene Recycling HC'!K127</f>
        <v>2705.7835542294629</v>
      </c>
      <c r="L103" s="541">
        <f>'Ethylene Recycling HC'!L127</f>
        <v>3063.0268768838118</v>
      </c>
      <c r="M103" s="541">
        <f>'Ethylene Recycling HC'!M127</f>
        <v>3437.0940725463615</v>
      </c>
      <c r="N103" s="541">
        <f>'Ethylene Recycling HC'!N127</f>
        <v>3774.0917804607097</v>
      </c>
      <c r="O103" s="541">
        <f>'Ethylene Recycling HC'!O127</f>
        <v>4120.356524559882</v>
      </c>
      <c r="P103" s="541">
        <f>'Ethylene Recycling HC'!P127</f>
        <v>4460.3159175099463</v>
      </c>
      <c r="Q103" s="541">
        <f>'Ethylene Recycling HC'!Q127</f>
        <v>4806.3549208628729</v>
      </c>
      <c r="R103" s="541">
        <f>'Ethylene Recycling HC'!R127</f>
        <v>5158.048200302439</v>
      </c>
      <c r="S103" s="541">
        <f>'Ethylene Recycling HC'!S127</f>
        <v>5514.9773520655417</v>
      </c>
      <c r="T103" s="541">
        <f>'Ethylene Recycling HC'!T127</f>
        <v>5876.7308748531159</v>
      </c>
      <c r="U103" s="541">
        <f>'Ethylene Recycling HC'!U127</f>
        <v>6242.9041412484576</v>
      </c>
      <c r="V103" s="541">
        <f>'Ethylene Recycling HC'!V127</f>
        <v>6613.099368651121</v>
      </c>
      <c r="W103" s="541">
        <f>'Ethylene Recycling HC'!W127</f>
        <v>6986.9255897345865</v>
      </c>
      <c r="X103" s="541">
        <f>'Ethylene Recycling HC'!X127</f>
        <v>7452.9015843022644</v>
      </c>
      <c r="Y103" s="541">
        <f>'Ethylene Recycling HC'!Y127</f>
        <v>7926.8152122614001</v>
      </c>
      <c r="Z103" s="541">
        <f>'Ethylene Recycling HC'!Z127</f>
        <v>8338.9777099599196</v>
      </c>
      <c r="AA103" s="541">
        <f>'Ethylene Recycling HC'!AA127</f>
        <v>8749.1142604860979</v>
      </c>
      <c r="AB103" s="541">
        <f>'Ethylene Recycling HC'!AB127</f>
        <v>9156.3686977135967</v>
      </c>
      <c r="AC103" s="541">
        <f>'Ethylene Recycling HC'!AC127</f>
        <v>9559.9131729337223</v>
      </c>
      <c r="AD103" s="541">
        <f>'Ethylene Recycling HC'!AD127</f>
        <v>9958.9482252268808</v>
      </c>
      <c r="AE103" s="541">
        <f>'Ethylene Recycling HC'!AE127</f>
        <v>10352.70283387893</v>
      </c>
      <c r="AF103" s="541">
        <f>'Ethylene Recycling HC'!AF127</f>
        <v>10740.434453102831</v>
      </c>
      <c r="AG103" s="541">
        <f>'Ethylene Recycling HC'!AG127</f>
        <v>11121.429029323735</v>
      </c>
      <c r="AH103" s="367"/>
      <c r="AI103" s="368"/>
      <c r="AJ103" s="369"/>
      <c r="AL103" s="194"/>
      <c r="AM103" s="116"/>
      <c r="AN103" s="116"/>
      <c r="AO103" s="116"/>
      <c r="BD103" s="116"/>
      <c r="BE103" s="116"/>
      <c r="BF103" s="116"/>
      <c r="BG103" s="116"/>
      <c r="BH103" s="116"/>
      <c r="BI103" s="116"/>
      <c r="BJ103" s="116"/>
      <c r="BK103" s="116"/>
    </row>
    <row r="104" spans="1:63" outlineLevel="1">
      <c r="A104" s="4" t="s">
        <v>141</v>
      </c>
      <c r="C104" s="120">
        <f>'Ethylene Recycling HC'!C128</f>
        <v>417.66504114249017</v>
      </c>
      <c r="D104" s="120">
        <f>'Ethylene Recycling HC'!D128</f>
        <v>571.39999194394557</v>
      </c>
      <c r="E104" s="120">
        <f>'Ethylene Recycling HC'!E128</f>
        <v>735.78906908176225</v>
      </c>
      <c r="F104" s="120">
        <f>'Ethylene Recycling HC'!F128</f>
        <v>909.49921869303807</v>
      </c>
      <c r="G104" s="120">
        <f>'Ethylene Recycling HC'!G128</f>
        <v>1091.2324523143743</v>
      </c>
      <c r="H104" s="120">
        <f>'Ethylene Recycling HC'!H128</f>
        <v>1279.7255236347919</v>
      </c>
      <c r="I104" s="120">
        <f>'Ethylene Recycling HC'!I128</f>
        <v>1473.74960724988</v>
      </c>
      <c r="J104" s="120">
        <f>'Ethylene Recycling HC'!J128</f>
        <v>1672.1099794072163</v>
      </c>
      <c r="K104" s="120">
        <f>'Ethylene Recycling HC'!K128</f>
        <v>1873.645700733166</v>
      </c>
      <c r="L104" s="120">
        <f>'Ethylene Recycling HC'!L128</f>
        <v>2077.2293009311829</v>
      </c>
      <c r="M104" s="120">
        <f>'Ethylene Recycling HC'!M128</f>
        <v>2281.7664654417918</v>
      </c>
      <c r="N104" s="120">
        <f>'Ethylene Recycling HC'!N128</f>
        <v>2451.5281997880993</v>
      </c>
      <c r="O104" s="120">
        <f>'Ethylene Recycling HC'!O128</f>
        <v>2617.5407065899963</v>
      </c>
      <c r="P104" s="120">
        <f>'Ethylene Recycling HC'!P128</f>
        <v>2769.736471016899</v>
      </c>
      <c r="Q104" s="120">
        <f>'Ethylene Recycling HC'!Q128</f>
        <v>2915.8995986379978</v>
      </c>
      <c r="R104" s="120">
        <f>'Ethylene Recycling HC'!R128</f>
        <v>3055.5173648160785</v>
      </c>
      <c r="S104" s="120">
        <f>'Ethylene Recycling HC'!S128</f>
        <v>3188.1053758337966</v>
      </c>
      <c r="T104" s="120">
        <f>'Ethylene Recycling HC'!T128</f>
        <v>3313.2070576171809</v>
      </c>
      <c r="U104" s="120">
        <f>'Ethylene Recycling HC'!U128</f>
        <v>3430.3931465980477</v>
      </c>
      <c r="V104" s="120">
        <f>'Ethylene Recycling HC'!V128</f>
        <v>3539.2611827689993</v>
      </c>
      <c r="W104" s="120">
        <f>'Ethylene Recycling HC'!W128</f>
        <v>3639.4350049837522</v>
      </c>
      <c r="X104" s="120">
        <f>'Ethylene Recycling HC'!X128</f>
        <v>3775.6020368723407</v>
      </c>
      <c r="Y104" s="120">
        <f>'Ethylene Recycling HC'!Y128</f>
        <v>3902.352367624721</v>
      </c>
      <c r="Z104" s="120">
        <f>'Ethylene Recycling HC'!Z128</f>
        <v>3986.0342839374189</v>
      </c>
      <c r="AA104" s="120">
        <f>'Ethylene Recycling HC'!AA128</f>
        <v>4056.9911564051899</v>
      </c>
      <c r="AB104" s="120">
        <f>'Ethylene Recycling HC'!AB128</f>
        <v>4114.925115619697</v>
      </c>
      <c r="AC104" s="120">
        <f>'Ethylene Recycling HC'!AC128</f>
        <v>4159.5995767120357</v>
      </c>
      <c r="AD104" s="120">
        <f>'Ethylene Recycling HC'!AD128</f>
        <v>4190.8372446554713</v>
      </c>
      <c r="AE104" s="120">
        <f>'Ethylene Recycling HC'!AE128</f>
        <v>4208.5181062324655</v>
      </c>
      <c r="AF104" s="120">
        <f>'Ethylene Recycling HC'!AF128</f>
        <v>4212.5774105650671</v>
      </c>
      <c r="AG104" s="120">
        <f>'Ethylene Recycling HC'!AG128</f>
        <v>4203.0036400771469</v>
      </c>
      <c r="AH104" s="217"/>
      <c r="AI104" s="124"/>
      <c r="AJ104" s="185"/>
      <c r="AL104" s="100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outlineLevel="1">
      <c r="A105" s="4" t="s">
        <v>74</v>
      </c>
      <c r="C105" s="120">
        <f>'Ethylene Recycling HC'!C129</f>
        <v>51.799591696396234</v>
      </c>
      <c r="D105" s="120">
        <f>'Ethylene Recycling HC'!D129</f>
        <v>69.739679135058992</v>
      </c>
      <c r="E105" s="120">
        <f>'Ethylene Recycling HC'!E129</f>
        <v>88.299694077651026</v>
      </c>
      <c r="F105" s="120">
        <f>'Ethylene Recycling HC'!F129</f>
        <v>107.21774013634102</v>
      </c>
      <c r="G105" s="120">
        <f>'Ethylene Recycling HC'!G129</f>
        <v>126.23972333080199</v>
      </c>
      <c r="H105" s="120">
        <f>'Ethylene Recycling HC'!H129</f>
        <v>145.11927866061617</v>
      </c>
      <c r="I105" s="120">
        <f>'Ethylene Recycling HC'!I129</f>
        <v>163.6176971360243</v>
      </c>
      <c r="J105" s="120">
        <f>'Ethylene Recycling HC'!J129</f>
        <v>181.50385326472929</v>
      </c>
      <c r="K105" s="120">
        <f>'Ethylene Recycling HC'!K129</f>
        <v>198.55413299247698</v>
      </c>
      <c r="L105" s="120">
        <f>'Ethylene Recycling HC'!L129</f>
        <v>214.55236209514325</v>
      </c>
      <c r="M105" s="120">
        <f>'Ethylene Recycling HC'!M129</f>
        <v>229.28973502006801</v>
      </c>
      <c r="N105" s="120">
        <f>'Ethylene Recycling HC'!N129</f>
        <v>239.18242029961232</v>
      </c>
      <c r="O105" s="120">
        <f>'Ethylene Recycling HC'!O129</f>
        <v>247.38336867927555</v>
      </c>
      <c r="P105" s="120">
        <f>'Ethylene Recycling HC'!P129</f>
        <v>252.91683563460984</v>
      </c>
      <c r="Q105" s="120">
        <f>'Ethylene Recycling HC'!Q129</f>
        <v>256.50688004604979</v>
      </c>
      <c r="R105" s="120">
        <f>'Ethylene Recycling HC'!R129</f>
        <v>258.0713853269429</v>
      </c>
      <c r="S105" s="120">
        <f>'Ethylene Recycling HC'!S129</f>
        <v>257.53423336823994</v>
      </c>
      <c r="T105" s="120">
        <f>'Ethylene Recycling HC'!T129</f>
        <v>254.82518773560452</v>
      </c>
      <c r="U105" s="120">
        <f>'Ethylene Recycling HC'!U129</f>
        <v>249.87977740895582</v>
      </c>
      <c r="V105" s="120">
        <f>'Ethylene Recycling HC'!V129</f>
        <v>242.63918107624553</v>
      </c>
      <c r="W105" s="120">
        <f>'Ethylene Recycling HC'!W129</f>
        <v>233.05011199305284</v>
      </c>
      <c r="X105" s="120">
        <f>'Ethylene Recycling HC'!X129</f>
        <v>223.73353972769888</v>
      </c>
      <c r="Y105" s="120">
        <f>'Ethylene Recycling HC'!Y129</f>
        <v>211.52023438519879</v>
      </c>
      <c r="Z105" s="120">
        <f>'Ethylene Recycling HC'!Z129</f>
        <v>194.70363108608512</v>
      </c>
      <c r="AA105" s="120">
        <f>'Ethylene Recycling HC'!AA129</f>
        <v>175.09693201044274</v>
      </c>
      <c r="AB105" s="120">
        <f>'Ethylene Recycling HC'!AB129</f>
        <v>152.70613111917334</v>
      </c>
      <c r="AC105" s="120">
        <f>'Ethylene Recycling HC'!AC129</f>
        <v>127.54902321383929</v>
      </c>
      <c r="AD105" s="120">
        <f>'Ethylene Recycling HC'!AD129</f>
        <v>99.654732374656618</v>
      </c>
      <c r="AE105" s="120">
        <f>'Ethylene Recycling HC'!AE129</f>
        <v>69.063238870357608</v>
      </c>
      <c r="AF105" s="120">
        <f>'Ethylene Recycling HC'!AF129</f>
        <v>35.8249049600186</v>
      </c>
      <c r="AG105" s="120">
        <f>'Ethylene Recycling HC'!AG129</f>
        <v>0</v>
      </c>
      <c r="AH105" s="217"/>
      <c r="AI105" s="124"/>
      <c r="AJ105" s="185"/>
      <c r="AL105" s="100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34</v>
      </c>
      <c r="C106" s="120">
        <f>'Ethylene Recycling HC'!C130</f>
        <v>0</v>
      </c>
      <c r="D106" s="120">
        <f>'Ethylene Recycling HC'!D130</f>
        <v>2.8781889094267519</v>
      </c>
      <c r="E106" s="120">
        <f>'Ethylene Recycling HC'!E130</f>
        <v>7.5486364815244666</v>
      </c>
      <c r="F106" s="120">
        <f>'Ethylene Recycling HC'!F130</f>
        <v>14.258094478501203</v>
      </c>
      <c r="G106" s="120">
        <f>'Ethylene Recycling HC'!G130</f>
        <v>23.244490208019961</v>
      </c>
      <c r="H106" s="120">
        <f>'Ethylene Recycling HC'!H130</f>
        <v>34.737011708089888</v>
      </c>
      <c r="I106" s="120">
        <f>'Ethylene Recycling HC'!I130</f>
        <v>48.956192394987823</v>
      </c>
      <c r="J106" s="120">
        <f>'Ethylene Recycling HC'!J130</f>
        <v>66.11399517690549</v>
      </c>
      <c r="K106" s="120">
        <f>'Ethylene Recycling HC'!K130</f>
        <v>86.41389603600652</v>
      </c>
      <c r="L106" s="120">
        <f>'Ethylene Recycling HC'!L130</f>
        <v>110.0509670815655</v>
      </c>
      <c r="M106" s="120">
        <f>'Ethylene Recycling HC'!M130</f>
        <v>137.21195907684915</v>
      </c>
      <c r="N106" s="120">
        <f>'Ethylene Recycling HC'!N130</f>
        <v>165.73173954593554</v>
      </c>
      <c r="O106" s="120">
        <f>'Ethylene Recycling HC'!O130</f>
        <v>197.38611009075768</v>
      </c>
      <c r="P106" s="120">
        <f>'Ethylene Recycling HC'!P130</f>
        <v>231.4778920487112</v>
      </c>
      <c r="Q106" s="120">
        <f>'Ethylene Recycling HC'!Q130</f>
        <v>268.62375748427962</v>
      </c>
      <c r="R106" s="120">
        <f>'Ethylene Recycling HC'!R130</f>
        <v>308.87104788434652</v>
      </c>
      <c r="S106" s="120">
        <f>'Ethylene Recycling HC'!S130</f>
        <v>352.26075551932865</v>
      </c>
      <c r="T106" s="120">
        <f>'Ethylene Recycling HC'!T130</f>
        <v>398.8276598739248</v>
      </c>
      <c r="U106" s="120">
        <f>'Ethylene Recycling HC'!U130</f>
        <v>448.60046336966195</v>
      </c>
      <c r="V106" s="120">
        <f>'Ethylene Recycling HC'!V130</f>
        <v>501.60192636609463</v>
      </c>
      <c r="W106" s="120">
        <f>'Ethylene Recycling HC'!W130</f>
        <v>557.84900142777292</v>
      </c>
      <c r="X106" s="120">
        <f>'Ethylene Recycling HC'!X130</f>
        <v>624.80605178957421</v>
      </c>
      <c r="Y106" s="120">
        <f>'Ethylene Recycling HC'!Y130</f>
        <v>696.18067106301157</v>
      </c>
      <c r="Z106" s="120">
        <f>'Ethylene Recycling HC'!Z130</f>
        <v>765.66923147914281</v>
      </c>
      <c r="AA106" s="120">
        <f>'Ethylene Recycling HC'!AA130</f>
        <v>838.25446673034821</v>
      </c>
      <c r="AB106" s="120">
        <f>'Ethylene Recycling HC'!AB130</f>
        <v>913.82666616428094</v>
      </c>
      <c r="AC106" s="120">
        <f>'Ethylene Recycling HC'!AC130</f>
        <v>992.26538674184405</v>
      </c>
      <c r="AD106" s="120">
        <f>'Ethylene Recycling HC'!AD130</f>
        <v>1073.4400258509709</v>
      </c>
      <c r="AE106" s="120">
        <f>'Ethylene Recycling HC'!AE130</f>
        <v>1157.2103937989857</v>
      </c>
      <c r="AF106" s="120">
        <f>'Ethylene Recycling HC'!AF130</f>
        <v>1243.427285511942</v>
      </c>
      <c r="AG106" s="120">
        <f>'Ethylene Recycling HC'!AG130</f>
        <v>1331.933050977382</v>
      </c>
      <c r="AH106" s="217"/>
      <c r="AI106" s="124"/>
      <c r="AJ106" s="185"/>
      <c r="AL106" s="100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35</v>
      </c>
      <c r="C107" s="120">
        <f>'Ethylene Recycling HC'!C131</f>
        <v>0</v>
      </c>
      <c r="D107" s="120">
        <f>'Ethylene Recycling HC'!D131</f>
        <v>0</v>
      </c>
      <c r="E107" s="120">
        <f>'Ethylene Recycling HC'!E131</f>
        <v>0</v>
      </c>
      <c r="F107" s="120">
        <f>'Ethylene Recycling HC'!F131</f>
        <v>0</v>
      </c>
      <c r="G107" s="120">
        <f>'Ethylene Recycling HC'!G131</f>
        <v>0</v>
      </c>
      <c r="H107" s="120">
        <f>'Ethylene Recycling HC'!H131</f>
        <v>0</v>
      </c>
      <c r="I107" s="120">
        <f>'Ethylene Recycling HC'!I131</f>
        <v>0</v>
      </c>
      <c r="J107" s="120">
        <f>'Ethylene Recycling HC'!J131</f>
        <v>0</v>
      </c>
      <c r="K107" s="120">
        <f>'Ethylene Recycling HC'!K131</f>
        <v>0</v>
      </c>
      <c r="L107" s="120">
        <f>'Ethylene Recycling HC'!L131</f>
        <v>0</v>
      </c>
      <c r="M107" s="120">
        <f>'Ethylene Recycling HC'!M131</f>
        <v>0</v>
      </c>
      <c r="N107" s="120">
        <f>'Ethylene Recycling HC'!N131</f>
        <v>0</v>
      </c>
      <c r="O107" s="120">
        <f>'Ethylene Recycling HC'!O131</f>
        <v>0</v>
      </c>
      <c r="P107" s="120">
        <f>'Ethylene Recycling HC'!P131</f>
        <v>0</v>
      </c>
      <c r="Q107" s="120">
        <f>'Ethylene Recycling HC'!Q131</f>
        <v>0</v>
      </c>
      <c r="R107" s="120">
        <f>'Ethylene Recycling HC'!R131</f>
        <v>0</v>
      </c>
      <c r="S107" s="120">
        <f>'Ethylene Recycling HC'!S131</f>
        <v>0</v>
      </c>
      <c r="T107" s="120">
        <f>'Ethylene Recycling HC'!T131</f>
        <v>0</v>
      </c>
      <c r="U107" s="120">
        <f>'Ethylene Recycling HC'!U131</f>
        <v>0</v>
      </c>
      <c r="V107" s="120">
        <f>'Ethylene Recycling HC'!V131</f>
        <v>0</v>
      </c>
      <c r="W107" s="120">
        <f>'Ethylene Recycling HC'!W131</f>
        <v>0</v>
      </c>
      <c r="X107" s="120">
        <f>'Ethylene Recycling HC'!X131</f>
        <v>0</v>
      </c>
      <c r="Y107" s="120">
        <f>'Ethylene Recycling HC'!Y131</f>
        <v>0</v>
      </c>
      <c r="Z107" s="120">
        <f>'Ethylene Recycling HC'!Z131</f>
        <v>0</v>
      </c>
      <c r="AA107" s="120">
        <f>'Ethylene Recycling HC'!AA131</f>
        <v>0</v>
      </c>
      <c r="AB107" s="120">
        <f>'Ethylene Recycling HC'!AB131</f>
        <v>0</v>
      </c>
      <c r="AC107" s="120">
        <f>'Ethylene Recycling HC'!AC131</f>
        <v>0</v>
      </c>
      <c r="AD107" s="120">
        <f>'Ethylene Recycling HC'!AD131</f>
        <v>0</v>
      </c>
      <c r="AE107" s="120">
        <f>'Ethylene Recycling HC'!AE131</f>
        <v>0</v>
      </c>
      <c r="AF107" s="120">
        <f>'Ethylene Recycling HC'!AF131</f>
        <v>0</v>
      </c>
      <c r="AG107" s="120">
        <f>'Ethylene Recycling HC'!AG131</f>
        <v>0</v>
      </c>
      <c r="AH107" s="217"/>
      <c r="AI107" s="124"/>
      <c r="AJ107" s="185"/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27</v>
      </c>
      <c r="C108" s="120">
        <f>'Ethylene Recycling HC'!C132</f>
        <v>48.192120131825774</v>
      </c>
      <c r="D108" s="120">
        <f>'Ethylene Recycling HC'!D132</f>
        <v>76.954721907200266</v>
      </c>
      <c r="E108" s="120">
        <f>'Ethylene Recycling HC'!E132</f>
        <v>113.81130180656443</v>
      </c>
      <c r="F108" s="120">
        <f>'Ethylene Recycling HC'!F132</f>
        <v>159.55314718750964</v>
      </c>
      <c r="G108" s="120">
        <f>'Ethylene Recycling HC'!G132</f>
        <v>214.94179225177294</v>
      </c>
      <c r="H108" s="120">
        <f>'Ethylene Recycling HC'!H132</f>
        <v>280.70930702013482</v>
      </c>
      <c r="I108" s="120">
        <f>'Ethylene Recycling HC'!I132</f>
        <v>357.55858448154322</v>
      </c>
      <c r="J108" s="120">
        <f>'Ethylene Recycling HC'!J132</f>
        <v>446.16362592563758</v>
      </c>
      <c r="K108" s="120">
        <f>'Ethylene Recycling HC'!K132</f>
        <v>547.1698244678131</v>
      </c>
      <c r="L108" s="120">
        <f>'Ethylene Recycling HC'!L132</f>
        <v>661.19424677591974</v>
      </c>
      <c r="M108" s="120">
        <f>'Ethylene Recycling HC'!M132</f>
        <v>788.82591300765205</v>
      </c>
      <c r="N108" s="120">
        <f>'Ethylene Recycling HC'!N132</f>
        <v>917.64942082706204</v>
      </c>
      <c r="O108" s="120">
        <f>'Ethylene Recycling HC'!O132</f>
        <v>1058.0463391998521</v>
      </c>
      <c r="P108" s="120">
        <f>'Ethylene Recycling HC'!P132</f>
        <v>1206.1847188097256</v>
      </c>
      <c r="Q108" s="120">
        <f>'Ethylene Recycling HC'!Q132</f>
        <v>1365.3246846945449</v>
      </c>
      <c r="R108" s="120">
        <f>'Ethylene Recycling HC'!R132</f>
        <v>1535.5884022750699</v>
      </c>
      <c r="S108" s="120">
        <f>'Ethylene Recycling HC'!S132</f>
        <v>1717.0769873441752</v>
      </c>
      <c r="T108" s="120">
        <f>'Ethylene Recycling HC'!T132</f>
        <v>1909.8709696264045</v>
      </c>
      <c r="U108" s="120">
        <f>'Ethylene Recycling HC'!U132</f>
        <v>2114.0307538717907</v>
      </c>
      <c r="V108" s="120">
        <f>'Ethylene Recycling HC'!V132</f>
        <v>2329.5970784397796</v>
      </c>
      <c r="W108" s="120">
        <f>'Ethylene Recycling HC'!W132</f>
        <v>2556.5914713300062</v>
      </c>
      <c r="X108" s="120">
        <f>'Ethylene Recycling HC'!X132</f>
        <v>2828.7599559126484</v>
      </c>
      <c r="Y108" s="120">
        <f>'Ethylene Recycling HC'!Y132</f>
        <v>3116.7619391884659</v>
      </c>
      <c r="Z108" s="120">
        <f>'Ethylene Recycling HC'!Z132</f>
        <v>3392.5705634572696</v>
      </c>
      <c r="AA108" s="120">
        <f>'Ethylene Recycling HC'!AA132</f>
        <v>3678.7717053401138</v>
      </c>
      <c r="AB108" s="120">
        <f>'Ethylene Recycling HC'!AB132</f>
        <v>3974.9107848104413</v>
      </c>
      <c r="AC108" s="120">
        <f>'Ethylene Recycling HC'!AC132</f>
        <v>4280.499186265999</v>
      </c>
      <c r="AD108" s="120">
        <f>'Ethylene Recycling HC'!AD132</f>
        <v>4595.0162223457774</v>
      </c>
      <c r="AE108" s="120">
        <f>'Ethylene Recycling HC'!AE132</f>
        <v>4917.9110949771157</v>
      </c>
      <c r="AF108" s="120">
        <f>'Ethylene Recycling HC'!AF132</f>
        <v>5248.6048520657978</v>
      </c>
      <c r="AG108" s="120">
        <f>'Ethylene Recycling HC'!AG132</f>
        <v>5586.4923382692068</v>
      </c>
      <c r="AH108" s="217"/>
      <c r="AI108" s="124"/>
      <c r="AJ108" s="185"/>
      <c r="AL108" s="100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749</v>
      </c>
      <c r="B109" s="60"/>
      <c r="C109" s="541">
        <f>'Ethylene Recycling HC'!C133</f>
        <v>3095.5873827648593</v>
      </c>
      <c r="D109" s="541">
        <f>'Ethylene Recycling HC'!D133</f>
        <v>3229.9571668924295</v>
      </c>
      <c r="E109" s="541">
        <f>'Ethylene Recycling HC'!E133</f>
        <v>3349.2520248777773</v>
      </c>
      <c r="F109" s="541">
        <f>'Ethylene Recycling HC'!F133</f>
        <v>3453.7849690161001</v>
      </c>
      <c r="G109" s="541">
        <f>'Ethylene Recycling HC'!G133</f>
        <v>3543.8666825500986</v>
      </c>
      <c r="H109" s="541">
        <f>'Ethylene Recycling HC'!H133</f>
        <v>3619.8055317291578</v>
      </c>
      <c r="I109" s="541">
        <f>'Ethylene Recycling HC'!I133</f>
        <v>3681.907577817045</v>
      </c>
      <c r="J109" s="541">
        <f>'Ethylene Recycling HC'!J133</f>
        <v>3730.4765890482913</v>
      </c>
      <c r="K109" s="541">
        <f>'Ethylene Recycling HC'!K133</f>
        <v>3765.8140525334766</v>
      </c>
      <c r="L109" s="541">
        <f>'Ethylene Recycling HC'!L133</f>
        <v>3788.2191861136007</v>
      </c>
      <c r="M109" s="541">
        <f>'Ethylene Recycling HC'!M133</f>
        <v>3797.9889501637299</v>
      </c>
      <c r="N109" s="541">
        <f>'Ethylene Recycling HC'!N133</f>
        <v>3742.494732996387</v>
      </c>
      <c r="O109" s="541">
        <f>'Ethylene Recycling HC'!O133</f>
        <v>3679.6575223678246</v>
      </c>
      <c r="P109" s="541">
        <f>'Ethylene Recycling HC'!P133</f>
        <v>3597.3813277549598</v>
      </c>
      <c r="Q109" s="541">
        <f>'Ethylene Recycling HC'!Q133</f>
        <v>3508.6390922298961</v>
      </c>
      <c r="R109" s="541">
        <f>'Ethylene Recycling HC'!R133</f>
        <v>3413.6900816547036</v>
      </c>
      <c r="S109" s="541">
        <f>'Ethylene Recycling HC'!S133</f>
        <v>3312.7898438959201</v>
      </c>
      <c r="T109" s="541">
        <f>'Ethylene Recycling HC'!T133</f>
        <v>3206.1902215592063</v>
      </c>
      <c r="U109" s="541">
        <f>'Ethylene Recycling HC'!U133</f>
        <v>3094.139365006266</v>
      </c>
      <c r="V109" s="541">
        <f>'Ethylene Recycling HC'!V133</f>
        <v>2976.8817456495181</v>
      </c>
      <c r="W109" s="541">
        <f>'Ethylene Recycling HC'!W133</f>
        <v>2854.6581695201289</v>
      </c>
      <c r="X109" s="541">
        <f>'Ethylene Recycling HC'!X133</f>
        <v>2760.6364224593572</v>
      </c>
      <c r="Y109" s="541">
        <f>'Ethylene Recycling HC'!Y133</f>
        <v>2657.5691001107934</v>
      </c>
      <c r="Z109" s="541">
        <f>'Ethylene Recycling HC'!Z133</f>
        <v>2524.9157825600137</v>
      </c>
      <c r="AA109" s="541">
        <f>'Ethylene Recycling HC'!AA133</f>
        <v>2385.7340837130364</v>
      </c>
      <c r="AB109" s="541">
        <f>'Ethylene Recycling HC'!AB133</f>
        <v>2240.6172813228541</v>
      </c>
      <c r="AC109" s="541">
        <f>'Ethylene Recycling HC'!AC133</f>
        <v>2090.1446528095976</v>
      </c>
      <c r="AD109" s="541">
        <f>'Ethylene Recycling HC'!AD133</f>
        <v>1934.8813694726482</v>
      </c>
      <c r="AE109" s="541">
        <f>'Ethylene Recycling HC'!AE133</f>
        <v>1775.3784008737027</v>
      </c>
      <c r="AF109" s="541">
        <f>'Ethylene Recycling HC'!AF133</f>
        <v>1612.1724292492463</v>
      </c>
      <c r="AG109" s="541">
        <f>'Ethylene Recycling HC'!AG133</f>
        <v>1445.7857738120854</v>
      </c>
      <c r="AH109" s="367"/>
      <c r="AI109" s="368"/>
      <c r="AJ109" s="369"/>
      <c r="AL109" s="194"/>
      <c r="AM109" s="116"/>
      <c r="AN109" s="116"/>
      <c r="AO109" s="116"/>
      <c r="BD109" s="116"/>
      <c r="BE109" s="116"/>
      <c r="BF109" s="116"/>
      <c r="BG109" s="116"/>
      <c r="BH109" s="116"/>
      <c r="BI109" s="116"/>
      <c r="BJ109" s="116"/>
      <c r="BK109" s="116"/>
    </row>
    <row r="110" spans="1:63" outlineLevel="1">
      <c r="A110" s="4" t="s">
        <v>141</v>
      </c>
      <c r="C110" s="120">
        <f>'Ethylene Recycling HC'!C134</f>
        <v>2497.6369460320911</v>
      </c>
      <c r="D110" s="120">
        <f>'Ethylene Recycling HC'!D134</f>
        <v>2559.8719639088758</v>
      </c>
      <c r="E110" s="120">
        <f>'Ethylene Recycling HC'!E134</f>
        <v>2606.5327772221431</v>
      </c>
      <c r="F110" s="120">
        <f>'Ethylene Recycling HC'!F134</f>
        <v>2638.5051018084346</v>
      </c>
      <c r="G110" s="120">
        <f>'Ethylene Recycling HC'!G134</f>
        <v>2656.6550066344498</v>
      </c>
      <c r="H110" s="120">
        <f>'Ethylene Recycling HC'!H134</f>
        <v>2661.8290891603679</v>
      </c>
      <c r="I110" s="120">
        <f>'Ethylene Recycling HC'!I134</f>
        <v>2654.8546496315698</v>
      </c>
      <c r="J110" s="120">
        <f>'Ethylene Recycling HC'!J134</f>
        <v>2636.5398643040239</v>
      </c>
      <c r="K110" s="120">
        <f>'Ethylene Recycling HC'!K134</f>
        <v>2607.6739576086302</v>
      </c>
      <c r="L110" s="120">
        <f>'Ethylene Recycling HC'!L134</f>
        <v>2569.0273732597548</v>
      </c>
      <c r="M110" s="120">
        <f>'Ethylene Recycling HC'!M134</f>
        <v>2521.3519443131804</v>
      </c>
      <c r="N110" s="120">
        <f>'Ethylene Recycling HC'!N134</f>
        <v>2431.0037776503382</v>
      </c>
      <c r="O110" s="120">
        <f>'Ethylene Recycling HC'!O134</f>
        <v>2337.577657102544</v>
      </c>
      <c r="P110" s="120">
        <f>'Ethylene Recycling HC'!P134</f>
        <v>2233.8772517262819</v>
      </c>
      <c r="Q110" s="120">
        <f>'Ethylene Recycling HC'!Q134</f>
        <v>2128.6067070057375</v>
      </c>
      <c r="R110" s="120">
        <f>'Ethylene Recycling HC'!R134</f>
        <v>2022.1969468964585</v>
      </c>
      <c r="S110" s="120">
        <f>'Ethylene Recycling HC'!S134</f>
        <v>1915.0619188629209</v>
      </c>
      <c r="T110" s="120">
        <f>'Ethylene Recycling HC'!T134</f>
        <v>1807.5988668442576</v>
      </c>
      <c r="U110" s="120">
        <f>'Ethylene Recycling HC'!U134</f>
        <v>1700.1886032826569</v>
      </c>
      <c r="V110" s="120">
        <f>'Ethylene Recycling HC'!V134</f>
        <v>1593.1957801837757</v>
      </c>
      <c r="W110" s="120">
        <f>'Ethylene Recycling HC'!W134</f>
        <v>1486.9691591790749</v>
      </c>
      <c r="X110" s="120">
        <f>'Ethylene Recycling HC'!X134</f>
        <v>1398.5243709181918</v>
      </c>
      <c r="Y110" s="120">
        <f>'Ethylene Recycling HC'!Y134</f>
        <v>1308.3149779878659</v>
      </c>
      <c r="Z110" s="120">
        <f>'Ethylene Recycling HC'!Z134</f>
        <v>1206.9106338200374</v>
      </c>
      <c r="AA110" s="120">
        <f>'Ethylene Recycling HC'!AA134</f>
        <v>1106.2722226490239</v>
      </c>
      <c r="AB110" s="120">
        <f>'Ethylene Recycling HC'!AB134</f>
        <v>1006.9463812339953</v>
      </c>
      <c r="AC110" s="120">
        <f>'Ethylene Recycling HC'!AC134</f>
        <v>909.4397256356757</v>
      </c>
      <c r="AD110" s="120">
        <f>'Ethylene Recycling HC'!AD134</f>
        <v>814.21980753306184</v>
      </c>
      <c r="AE110" s="120">
        <f>'Ethylene Recycling HC'!AE134</f>
        <v>721.71608374965138</v>
      </c>
      <c r="AF110" s="120">
        <f>'Ethylene Recycling HC'!AF134</f>
        <v>632.32089791574481</v>
      </c>
      <c r="AG110" s="120">
        <f>'Ethylene Recycling HC'!AG134</f>
        <v>546.39047321002909</v>
      </c>
      <c r="AH110" s="217"/>
      <c r="AI110" s="124"/>
      <c r="AJ110" s="185"/>
      <c r="AL110" s="100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120">
        <f>'Ethylene Recycling HC'!C135</f>
        <v>309.7615583444495</v>
      </c>
      <c r="D111" s="120">
        <f>'Ethylene Recycling HC'!D135</f>
        <v>312.43376252506431</v>
      </c>
      <c r="E111" s="120">
        <f>'Ethylene Recycling HC'!E135</f>
        <v>312.80166627007884</v>
      </c>
      <c r="F111" s="120">
        <f>'Ethylene Recycling HC'!F135</f>
        <v>311.0443071744798</v>
      </c>
      <c r="G111" s="120">
        <f>'Ethylene Recycling HC'!G135</f>
        <v>307.33634461807981</v>
      </c>
      <c r="H111" s="120">
        <f>'Ethylene Recycling HC'!H135</f>
        <v>301.84809961408178</v>
      </c>
      <c r="I111" s="120">
        <f>'Ethylene Recycling HC'!I135</f>
        <v>294.74559441218094</v>
      </c>
      <c r="J111" s="120">
        <f>'Ethylene Recycling HC'!J135</f>
        <v>286.19059185741833</v>
      </c>
      <c r="K111" s="120">
        <f>'Ethylene Recycling HC'!K135</f>
        <v>276.34063450600036</v>
      </c>
      <c r="L111" s="120">
        <f>'Ethylene Recycling HC'!L135</f>
        <v>265.34908349929066</v>
      </c>
      <c r="M111" s="120">
        <f>'Ethylene Recycling HC'!M135</f>
        <v>253.36515719717517</v>
      </c>
      <c r="N111" s="120">
        <f>'Ethylene Recycling HC'!N135</f>
        <v>237.17996282733645</v>
      </c>
      <c r="O111" s="120">
        <f>'Ethylene Recycling HC'!O135</f>
        <v>220.92410402923124</v>
      </c>
      <c r="P111" s="120">
        <f>'Ethylene Recycling HC'!P135</f>
        <v>203.98517029142405</v>
      </c>
      <c r="Q111" s="120">
        <f>'Ethylene Recycling HC'!Q135</f>
        <v>187.25002243361629</v>
      </c>
      <c r="R111" s="120">
        <f>'Ethylene Recycling HC'!R135</f>
        <v>170.79633501637667</v>
      </c>
      <c r="S111" s="120">
        <f>'Ethylene Recycling HC'!S135</f>
        <v>154.6981498370599</v>
      </c>
      <c r="T111" s="120">
        <f>'Ethylene Recycling HC'!T135</f>
        <v>139.02593848919528</v>
      </c>
      <c r="U111" s="120">
        <f>'Ethylene Recycling HC'!U135</f>
        <v>123.84666467831369</v>
      </c>
      <c r="V111" s="120">
        <f>'Ethylene Recycling HC'!V135</f>
        <v>109.22384628745614</v>
      </c>
      <c r="W111" s="120">
        <f>'Ethylene Recycling HC'!W135</f>
        <v>95.217617185732948</v>
      </c>
      <c r="X111" s="120">
        <f>'Ethylene Recycling HC'!X135</f>
        <v>82.873354989547579</v>
      </c>
      <c r="Y111" s="120">
        <f>'Ethylene Recycling HC'!Y135</f>
        <v>70.914941738616577</v>
      </c>
      <c r="Z111" s="120">
        <f>'Ethylene Recycling HC'!Z135</f>
        <v>58.953301969356353</v>
      </c>
      <c r="AA111" s="120">
        <f>'Ethylene Recycling HC'!AA135</f>
        <v>47.745943899432888</v>
      </c>
      <c r="AB111" s="120">
        <f>'Ethylene Recycling HC'!AB135</f>
        <v>37.368088556221196</v>
      </c>
      <c r="AC111" s="120">
        <f>'Ethylene Recycling HC'!AC135</f>
        <v>27.886854620843916</v>
      </c>
      <c r="AD111" s="120">
        <f>'Ethylene Recycling HC'!AD135</f>
        <v>19.361490861361826</v>
      </c>
      <c r="AE111" s="120">
        <f>'Ethylene Recycling HC'!AE135</f>
        <v>11.843610750959179</v>
      </c>
      <c r="AF111" s="120">
        <f>'Ethylene Recycling HC'!AF135</f>
        <v>5.3774290331739145</v>
      </c>
      <c r="AG111" s="120">
        <f>'Ethylene Recycling HC'!AG135</f>
        <v>0</v>
      </c>
      <c r="AH111" s="217"/>
      <c r="AI111" s="124"/>
      <c r="AJ111" s="185"/>
      <c r="AL111" s="100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34</v>
      </c>
      <c r="C112" s="120">
        <f>'Ethylene Recycling HC'!C136</f>
        <v>0</v>
      </c>
      <c r="D112" s="120">
        <f>'Ethylene Recycling HC'!D136</f>
        <v>12.894286314231849</v>
      </c>
      <c r="E112" s="120">
        <f>'Ethylene Recycling HC'!E136</f>
        <v>26.741044735800429</v>
      </c>
      <c r="F112" s="120">
        <f>'Ethylene Recycling HC'!F136</f>
        <v>41.363482508157176</v>
      </c>
      <c r="G112" s="120">
        <f>'Ethylene Recycling HC'!G136</f>
        <v>56.58976797916133</v>
      </c>
      <c r="H112" s="120">
        <f>'Ethylene Recycling HC'!H136</f>
        <v>72.252984352826985</v>
      </c>
      <c r="I112" s="120">
        <f>'Ethylene Recycling HC'!I136</f>
        <v>88.191083728685214</v>
      </c>
      <c r="J112" s="120">
        <f>'Ethylene Recycling HC'!J136</f>
        <v>104.24684142732711</v>
      </c>
      <c r="K112" s="120">
        <f>'Ethylene Recycling HC'!K136</f>
        <v>120.26781060070087</v>
      </c>
      <c r="L112" s="120">
        <f>'Ethylene Recycling HC'!L136</f>
        <v>136.10627712574154</v>
      </c>
      <c r="M112" s="120">
        <f>'Ethylene Recycling HC'!M136</f>
        <v>151.61921477991834</v>
      </c>
      <c r="N112" s="120">
        <f>'Ethylene Recycling HC'!N136</f>
        <v>164.34421800555094</v>
      </c>
      <c r="O112" s="120">
        <f>'Ethylene Recycling HC'!O136</f>
        <v>176.27437831583316</v>
      </c>
      <c r="P112" s="120">
        <f>'Ethylene Recycling HC'!P136</f>
        <v>186.6940059952054</v>
      </c>
      <c r="Q112" s="120">
        <f>'Ethylene Recycling HC'!Q136</f>
        <v>196.09534296352408</v>
      </c>
      <c r="R112" s="120">
        <f>'Ethylene Recycling HC'!R136</f>
        <v>204.4164753270947</v>
      </c>
      <c r="S112" s="120">
        <f>'Ethylene Recycling HC'!S136</f>
        <v>211.59939176367936</v>
      </c>
      <c r="T112" s="120">
        <f>'Ethylene Recycling HC'!T136</f>
        <v>217.58991017383948</v>
      </c>
      <c r="U112" s="120">
        <f>'Ethylene Recycling HC'!U136</f>
        <v>222.33760465758866</v>
      </c>
      <c r="V112" s="120">
        <f>'Ethylene Recycling HC'!V136</f>
        <v>225.79573282390157</v>
      </c>
      <c r="W112" s="120">
        <f>'Ethylene Recycling HC'!W136</f>
        <v>227.92116344048992</v>
      </c>
      <c r="X112" s="120">
        <f>'Ethylene Recycling HC'!X136</f>
        <v>231.43500877246677</v>
      </c>
      <c r="Y112" s="120">
        <f>'Ethylene Recycling HC'!Y136</f>
        <v>233.40373024586211</v>
      </c>
      <c r="Z112" s="120">
        <f>'Ethylene Recycling HC'!Z136</f>
        <v>231.83301287317821</v>
      </c>
      <c r="AA112" s="120">
        <f>'Ethylene Recycling HC'!AA136</f>
        <v>228.57768141573865</v>
      </c>
      <c r="AB112" s="120">
        <f>'Ethylene Recycling HC'!AB136</f>
        <v>223.61876066137674</v>
      </c>
      <c r="AC112" s="120">
        <f>'Ethylene Recycling HC'!AC136</f>
        <v>216.94529591946656</v>
      </c>
      <c r="AD112" s="120">
        <f>'Ethylene Recycling HC'!AD136</f>
        <v>208.55406216533117</v>
      </c>
      <c r="AE112" s="120">
        <f>'Ethylene Recycling HC'!AE136</f>
        <v>198.4492717876555</v>
      </c>
      <c r="AF112" s="120">
        <f>'Ethylene Recycling HC'!AF136</f>
        <v>186.64228120674059</v>
      </c>
      <c r="AG112" s="120">
        <f>'Ethylene Recycling HC'!AG136</f>
        <v>173.15129662705965</v>
      </c>
      <c r="AH112" s="217"/>
      <c r="AI112" s="124"/>
      <c r="AJ112" s="185"/>
      <c r="AL112" s="100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35</v>
      </c>
      <c r="C113" s="120">
        <f>'Ethylene Recycling HC'!C137</f>
        <v>0</v>
      </c>
      <c r="D113" s="120">
        <f>'Ethylene Recycling HC'!D137</f>
        <v>0</v>
      </c>
      <c r="E113" s="120">
        <f>'Ethylene Recycling HC'!E137</f>
        <v>0</v>
      </c>
      <c r="F113" s="120">
        <f>'Ethylene Recycling HC'!F137</f>
        <v>0</v>
      </c>
      <c r="G113" s="120">
        <f>'Ethylene Recycling HC'!G137</f>
        <v>0</v>
      </c>
      <c r="H113" s="120">
        <f>'Ethylene Recycling HC'!H137</f>
        <v>0</v>
      </c>
      <c r="I113" s="120">
        <f>'Ethylene Recycling HC'!I137</f>
        <v>0</v>
      </c>
      <c r="J113" s="120">
        <f>'Ethylene Recycling HC'!J137</f>
        <v>0</v>
      </c>
      <c r="K113" s="120">
        <f>'Ethylene Recycling HC'!K137</f>
        <v>0</v>
      </c>
      <c r="L113" s="120">
        <f>'Ethylene Recycling HC'!L137</f>
        <v>0</v>
      </c>
      <c r="M113" s="120">
        <f>'Ethylene Recycling HC'!M137</f>
        <v>0</v>
      </c>
      <c r="N113" s="120">
        <f>'Ethylene Recycling HC'!N137</f>
        <v>0</v>
      </c>
      <c r="O113" s="120">
        <f>'Ethylene Recycling HC'!O137</f>
        <v>0</v>
      </c>
      <c r="P113" s="120">
        <f>'Ethylene Recycling HC'!P137</f>
        <v>0</v>
      </c>
      <c r="Q113" s="120">
        <f>'Ethylene Recycling HC'!Q137</f>
        <v>0</v>
      </c>
      <c r="R113" s="120">
        <f>'Ethylene Recycling HC'!R137</f>
        <v>0</v>
      </c>
      <c r="S113" s="120">
        <f>'Ethylene Recycling HC'!S137</f>
        <v>0</v>
      </c>
      <c r="T113" s="120">
        <f>'Ethylene Recycling HC'!T137</f>
        <v>0</v>
      </c>
      <c r="U113" s="120">
        <f>'Ethylene Recycling HC'!U137</f>
        <v>0</v>
      </c>
      <c r="V113" s="120">
        <f>'Ethylene Recycling HC'!V137</f>
        <v>0</v>
      </c>
      <c r="W113" s="120">
        <f>'Ethylene Recycling HC'!W137</f>
        <v>0</v>
      </c>
      <c r="X113" s="120">
        <f>'Ethylene Recycling HC'!X137</f>
        <v>0</v>
      </c>
      <c r="Y113" s="120">
        <f>'Ethylene Recycling HC'!Y137</f>
        <v>0</v>
      </c>
      <c r="Z113" s="120">
        <f>'Ethylene Recycling HC'!Z137</f>
        <v>0</v>
      </c>
      <c r="AA113" s="120">
        <f>'Ethylene Recycling HC'!AA137</f>
        <v>0</v>
      </c>
      <c r="AB113" s="120">
        <f>'Ethylene Recycling HC'!AB137</f>
        <v>0</v>
      </c>
      <c r="AC113" s="120">
        <f>'Ethylene Recycling HC'!AC137</f>
        <v>0</v>
      </c>
      <c r="AD113" s="120">
        <f>'Ethylene Recycling HC'!AD137</f>
        <v>0</v>
      </c>
      <c r="AE113" s="120">
        <f>'Ethylene Recycling HC'!AE137</f>
        <v>0</v>
      </c>
      <c r="AF113" s="120">
        <f>'Ethylene Recycling HC'!AF137</f>
        <v>0</v>
      </c>
      <c r="AG113" s="120">
        <f>'Ethylene Recycling HC'!AG137</f>
        <v>0</v>
      </c>
      <c r="AH113" s="217"/>
      <c r="AI113" s="124"/>
      <c r="AJ113" s="185"/>
      <c r="AL113" s="100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outlineLevel="1">
      <c r="A114" s="4" t="s">
        <v>27</v>
      </c>
      <c r="C114" s="120">
        <f>'Ethylene Recycling HC'!C138</f>
        <v>288.18887838831819</v>
      </c>
      <c r="D114" s="120">
        <f>'Ethylene Recycling HC'!D138</f>
        <v>344.75715414425719</v>
      </c>
      <c r="E114" s="120">
        <f>'Ethylene Recycling HC'!E138</f>
        <v>403.17653664975455</v>
      </c>
      <c r="F114" s="120">
        <f>'Ethylene Recycling HC'!F138</f>
        <v>462.87207752502798</v>
      </c>
      <c r="G114" s="120">
        <f>'Ethylene Recycling HC'!G138</f>
        <v>523.2855633184073</v>
      </c>
      <c r="H114" s="120">
        <f>'Ethylene Recycling HC'!H138</f>
        <v>583.87535860188063</v>
      </c>
      <c r="I114" s="120">
        <f>'Ethylene Recycling HC'!I138</f>
        <v>644.11625004460871</v>
      </c>
      <c r="J114" s="120">
        <f>'Ethylene Recycling HC'!J138</f>
        <v>703.49929145952149</v>
      </c>
      <c r="K114" s="120">
        <f>'Ethylene Recycling HC'!K138</f>
        <v>761.53164981814473</v>
      </c>
      <c r="L114" s="120">
        <f>'Ethylene Recycling HC'!L138</f>
        <v>817.73645222881316</v>
      </c>
      <c r="M114" s="120">
        <f>'Ethylene Recycling HC'!M138</f>
        <v>871.65263387345567</v>
      </c>
      <c r="N114" s="120">
        <f>'Ethylene Recycling HC'!N138</f>
        <v>909.96677451316089</v>
      </c>
      <c r="O114" s="120">
        <f>'Ethylene Recycling HC'!O138</f>
        <v>944.88138292021574</v>
      </c>
      <c r="P114" s="120">
        <f>'Ethylene Recycling HC'!P138</f>
        <v>972.82489974204793</v>
      </c>
      <c r="Q114" s="120">
        <f>'Ethylene Recycling HC'!Q138</f>
        <v>996.68701982701748</v>
      </c>
      <c r="R114" s="120">
        <f>'Ethylene Recycling HC'!R138</f>
        <v>1016.2803244147732</v>
      </c>
      <c r="S114" s="120">
        <f>'Ethylene Recycling HC'!S138</f>
        <v>1031.4303834322591</v>
      </c>
      <c r="T114" s="120">
        <f>'Ethylene Recycling HC'!T138</f>
        <v>1041.9755060519133</v>
      </c>
      <c r="U114" s="120">
        <f>'Ethylene Recycling HC'!U138</f>
        <v>1047.766492387706</v>
      </c>
      <c r="V114" s="120">
        <f>'Ethylene Recycling HC'!V138</f>
        <v>1048.6663863543838</v>
      </c>
      <c r="W114" s="120">
        <f>'Ethylene Recycling HC'!W138</f>
        <v>1044.5502297148303</v>
      </c>
      <c r="X114" s="120">
        <f>'Ethylene Recycling HC'!X138</f>
        <v>1047.8036877791501</v>
      </c>
      <c r="Y114" s="120">
        <f>'Ethylene Recycling HC'!Y138</f>
        <v>1044.935450138448</v>
      </c>
      <c r="Z114" s="120">
        <f>'Ethylene Recycling HC'!Z138</f>
        <v>1027.2188338974406</v>
      </c>
      <c r="AA114" s="120">
        <f>'Ethylene Recycling HC'!AA138</f>
        <v>1003.1382357488399</v>
      </c>
      <c r="AB114" s="120">
        <f>'Ethylene Recycling HC'!AB138</f>
        <v>972.68405087125984</v>
      </c>
      <c r="AC114" s="120">
        <f>'Ethylene Recycling HC'!AC138</f>
        <v>935.87277663361044</v>
      </c>
      <c r="AD114" s="120">
        <f>'Ethylene Recycling HC'!AD138</f>
        <v>892.74600891289253</v>
      </c>
      <c r="AE114" s="120">
        <f>'Ethylene Recycling HC'!AE138</f>
        <v>843.3694345854359</v>
      </c>
      <c r="AF114" s="120">
        <f>'Ethylene Recycling HC'!AF138</f>
        <v>787.8318210935862</v>
      </c>
      <c r="AG114" s="120">
        <f>'Ethylene Recycling HC'!AG138</f>
        <v>726.24400397499676</v>
      </c>
      <c r="AH114" s="217"/>
      <c r="AI114" s="124"/>
      <c r="AJ114" s="185"/>
      <c r="AL114" s="100"/>
      <c r="AM114" s="2"/>
      <c r="AN114" s="2"/>
      <c r="AO114" s="2"/>
      <c r="BC114" s="1"/>
      <c r="BD114" s="2"/>
      <c r="BE114" s="2"/>
      <c r="BF114" s="2"/>
      <c r="BG114" s="2"/>
      <c r="BH114" s="2"/>
      <c r="BI114" s="2"/>
      <c r="BJ114" s="2"/>
      <c r="BK114" s="2"/>
    </row>
    <row r="115" spans="1:63" s="1" customFormat="1" outlineLevel="1">
      <c r="A115" s="1" t="s">
        <v>754</v>
      </c>
      <c r="B115" s="60"/>
      <c r="C115" s="541">
        <f>'Ethylene Recycling HC'!C139</f>
        <v>714.36631909958294</v>
      </c>
      <c r="D115" s="541">
        <f>'Ethylene Recycling HC'!D139</f>
        <v>745.37473082132976</v>
      </c>
      <c r="E115" s="541">
        <f>'Ethylene Recycling HC'!E139</f>
        <v>772.90431343333296</v>
      </c>
      <c r="F115" s="541">
        <f>'Ethylene Recycling HC'!F139</f>
        <v>797.02730054217704</v>
      </c>
      <c r="G115" s="541">
        <f>'Ethylene Recycling HC'!G139</f>
        <v>817.81538828079181</v>
      </c>
      <c r="H115" s="541">
        <f>'Ethylene Recycling HC'!H139</f>
        <v>835.33973809134397</v>
      </c>
      <c r="I115" s="541">
        <f>'Ethylene Recycling HC'!I139</f>
        <v>849.67097949624122</v>
      </c>
      <c r="J115" s="541">
        <f>'Ethylene Recycling HC'!J139</f>
        <v>860.87921285729794</v>
      </c>
      <c r="K115" s="541">
        <f>'Ethylene Recycling HC'!K139</f>
        <v>869.03401212310985</v>
      </c>
      <c r="L115" s="541">
        <f>'Ethylene Recycling HC'!L139</f>
        <v>874.20442756467708</v>
      </c>
      <c r="M115" s="541">
        <f>'Ethylene Recycling HC'!M139</f>
        <v>876.45898849932212</v>
      </c>
      <c r="N115" s="541">
        <f>'Ethylene Recycling HC'!N139</f>
        <v>863.65263069147375</v>
      </c>
      <c r="O115" s="541">
        <f>'Ethylene Recycling HC'!O139</f>
        <v>849.15173593103634</v>
      </c>
      <c r="P115" s="541">
        <f>'Ethylene Recycling HC'!P139</f>
        <v>830.16492178960607</v>
      </c>
      <c r="Q115" s="541">
        <f>'Ethylene Recycling HC'!Q139</f>
        <v>809.68594436074522</v>
      </c>
      <c r="R115" s="541">
        <f>'Ethylene Recycling HC'!R139</f>
        <v>787.77463422800838</v>
      </c>
      <c r="S115" s="541">
        <f>'Ethylene Recycling HC'!S139</f>
        <v>764.48996397598148</v>
      </c>
      <c r="T115" s="541">
        <f>'Ethylene Recycling HC'!T139</f>
        <v>739.89005112904761</v>
      </c>
      <c r="U115" s="541">
        <f>'Ethylene Recycling HC'!U139</f>
        <v>714.0321611552921</v>
      </c>
      <c r="V115" s="541">
        <f>'Ethylene Recycling HC'!V139</f>
        <v>686.97271053450424</v>
      </c>
      <c r="W115" s="541">
        <f>'Ethylene Recycling HC'!W139</f>
        <v>658.76726988926055</v>
      </c>
      <c r="X115" s="541">
        <f>'Ethylene Recycling HC'!X139</f>
        <v>637.069943644467</v>
      </c>
      <c r="Y115" s="541">
        <f>'Ethylene Recycling HC'!Y139</f>
        <v>613.28517694864445</v>
      </c>
      <c r="Z115" s="541">
        <f>'Ethylene Recycling HC'!Z139</f>
        <v>582.67287289846468</v>
      </c>
      <c r="AA115" s="541">
        <f>'Ethylene Recycling HC'!AA139</f>
        <v>550.55401931839287</v>
      </c>
      <c r="AB115" s="541">
        <f>'Ethylene Recycling HC'!AB139</f>
        <v>517.06552645912006</v>
      </c>
      <c r="AC115" s="541">
        <f>'Ethylene Recycling HC'!AC139</f>
        <v>482.34107372529172</v>
      </c>
      <c r="AD115" s="541">
        <f>'Ethylene Recycling HC'!AD139</f>
        <v>446.51108526291864</v>
      </c>
      <c r="AE115" s="541">
        <f>'Ethylene Recycling HC'!AE139</f>
        <v>409.70270789393129</v>
      </c>
      <c r="AF115" s="541">
        <f>'Ethylene Recycling HC'!AF139</f>
        <v>372.03979136521076</v>
      </c>
      <c r="AG115" s="541">
        <f>'Ethylene Recycling HC'!AG139</f>
        <v>333.64287087971201</v>
      </c>
      <c r="AH115" s="367"/>
      <c r="AI115" s="368"/>
      <c r="AJ115" s="369"/>
      <c r="AL115" s="194"/>
      <c r="AM115" s="116"/>
      <c r="AN115" s="116"/>
      <c r="AO115" s="116"/>
      <c r="BD115" s="116"/>
      <c r="BE115" s="116"/>
      <c r="BF115" s="116"/>
      <c r="BG115" s="116"/>
      <c r="BH115" s="116"/>
      <c r="BI115" s="116"/>
      <c r="BJ115" s="116"/>
      <c r="BK115" s="116"/>
    </row>
    <row r="116" spans="1:63" outlineLevel="1">
      <c r="A116" s="4" t="s">
        <v>141</v>
      </c>
      <c r="C116" s="120">
        <f>'Ethylene Recycling HC'!C140</f>
        <v>576.37775677663649</v>
      </c>
      <c r="D116" s="120">
        <f>'Ethylene Recycling HC'!D140</f>
        <v>590.73968397897124</v>
      </c>
      <c r="E116" s="120">
        <f>'Ethylene Recycling HC'!E140</f>
        <v>601.50756397434054</v>
      </c>
      <c r="F116" s="120">
        <f>'Ethylene Recycling HC'!F140</f>
        <v>608.88579272502352</v>
      </c>
      <c r="G116" s="120">
        <f>'Ethylene Recycling HC'!G140</f>
        <v>613.07423230025756</v>
      </c>
      <c r="H116" s="120">
        <f>'Ethylene Recycling HC'!H140</f>
        <v>614.26825134470016</v>
      </c>
      <c r="I116" s="120">
        <f>'Ethylene Recycling HC'!I140</f>
        <v>612.65876529959303</v>
      </c>
      <c r="J116" s="120">
        <f>'Ethylene Recycling HC'!J140</f>
        <v>608.43227637785162</v>
      </c>
      <c r="K116" s="120">
        <f>'Ethylene Recycling HC'!K140</f>
        <v>601.77091329429913</v>
      </c>
      <c r="L116" s="120">
        <f>'Ethylene Recycling HC'!L140</f>
        <v>592.85247075225107</v>
      </c>
      <c r="M116" s="120">
        <f>'Ethylene Recycling HC'!M140</f>
        <v>581.85044868765692</v>
      </c>
      <c r="N116" s="120">
        <f>'Ethylene Recycling HC'!N140</f>
        <v>561.00087176546253</v>
      </c>
      <c r="O116" s="120">
        <f>'Ethylene Recycling HC'!O140</f>
        <v>539.44099779289468</v>
      </c>
      <c r="P116" s="120">
        <f>'Ethylene Recycling HC'!P140</f>
        <v>515.51013501375735</v>
      </c>
      <c r="Q116" s="120">
        <f>'Ethylene Recycling HC'!Q140</f>
        <v>491.21693238593946</v>
      </c>
      <c r="R116" s="120">
        <f>'Ethylene Recycling HC'!R140</f>
        <v>466.66083389918259</v>
      </c>
      <c r="S116" s="120">
        <f>'Ethylene Recycling HC'!S140</f>
        <v>441.93736589144322</v>
      </c>
      <c r="T116" s="120">
        <f>'Ethylene Recycling HC'!T140</f>
        <v>417.1382000409825</v>
      </c>
      <c r="U116" s="120">
        <f>'Ethylene Recycling HC'!U140</f>
        <v>392.3512161421516</v>
      </c>
      <c r="V116" s="120">
        <f>'Ethylene Recycling HC'!V140</f>
        <v>367.6605646577944</v>
      </c>
      <c r="W116" s="120">
        <f>'Ethylene Recycling HC'!W140</f>
        <v>343.14672904132499</v>
      </c>
      <c r="X116" s="120">
        <f>'Ethylene Recycling HC'!X140</f>
        <v>322.73639328881353</v>
      </c>
      <c r="Y116" s="120">
        <f>'Ethylene Recycling HC'!Y140</f>
        <v>301.91884107412278</v>
      </c>
      <c r="Z116" s="120">
        <f>'Ethylene Recycling HC'!Z140</f>
        <v>278.51783857385482</v>
      </c>
      <c r="AA116" s="120">
        <f>'Ethylene Recycling HC'!AA140</f>
        <v>255.29358984208238</v>
      </c>
      <c r="AB116" s="120">
        <f>'Ethylene Recycling HC'!AB140</f>
        <v>232.37224182322964</v>
      </c>
      <c r="AC116" s="120">
        <f>'Ethylene Recycling HC'!AC140</f>
        <v>209.87070591592516</v>
      </c>
      <c r="AD116" s="120">
        <f>'Ethylene Recycling HC'!AD140</f>
        <v>187.89687866147574</v>
      </c>
      <c r="AE116" s="120">
        <f>'Ethylene Recycling HC'!AE140</f>
        <v>166.54986548068874</v>
      </c>
      <c r="AF116" s="120">
        <f>'Ethylene Recycling HC'!AF140</f>
        <v>145.92020721132576</v>
      </c>
      <c r="AG116" s="120">
        <f>'Ethylene Recycling HC'!AG140</f>
        <v>126.09010920231439</v>
      </c>
      <c r="AH116" s="217"/>
      <c r="AI116" s="124"/>
      <c r="AJ116" s="185"/>
      <c r="AL116" s="100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74</v>
      </c>
      <c r="C117" s="120">
        <f>'Ethylene Recycling HC'!C141</f>
        <v>71.483436541026805</v>
      </c>
      <c r="D117" s="120">
        <f>'Ethylene Recycling HC'!D141</f>
        <v>72.100099044245596</v>
      </c>
      <c r="E117" s="120">
        <f>'Ethylene Recycling HC'!E141</f>
        <v>72.18499990847971</v>
      </c>
      <c r="F117" s="120">
        <f>'Ethylene Recycling HC'!F141</f>
        <v>71.779455501803042</v>
      </c>
      <c r="G117" s="120">
        <f>'Ethylene Recycling HC'!G141</f>
        <v>70.923771834941476</v>
      </c>
      <c r="H117" s="120">
        <f>'Ethylene Recycling HC'!H141</f>
        <v>69.657253757095773</v>
      </c>
      <c r="I117" s="120">
        <f>'Ethylene Recycling HC'!I141</f>
        <v>68.01821409511868</v>
      </c>
      <c r="J117" s="120">
        <f>'Ethylene Recycling HC'!J141</f>
        <v>66.043982736327308</v>
      </c>
      <c r="K117" s="120">
        <f>'Ethylene Recycling HC'!K141</f>
        <v>63.770915655230844</v>
      </c>
      <c r="L117" s="120">
        <f>'Ethylene Recycling HC'!L141</f>
        <v>61.234403884451694</v>
      </c>
      <c r="M117" s="120">
        <f>'Ethylene Recycling HC'!M141</f>
        <v>58.468882430117333</v>
      </c>
      <c r="N117" s="120">
        <f>'Ethylene Recycling HC'!N141</f>
        <v>54.73383757553917</v>
      </c>
      <c r="O117" s="120">
        <f>'Ethylene Recycling HC'!O141</f>
        <v>50.982485545207204</v>
      </c>
      <c r="P117" s="120">
        <f>'Ethylene Recycling HC'!P141</f>
        <v>47.073500836482474</v>
      </c>
      <c r="Q117" s="120">
        <f>'Ethylene Recycling HC'!Q141</f>
        <v>43.211543638526834</v>
      </c>
      <c r="R117" s="120">
        <f>'Ethylene Recycling HC'!R141</f>
        <v>39.414538849933074</v>
      </c>
      <c r="S117" s="120">
        <f>'Ethylene Recycling HC'!S141</f>
        <v>35.699573039321514</v>
      </c>
      <c r="T117" s="120">
        <f>'Ethylene Recycling HC'!T141</f>
        <v>32.082908882121991</v>
      </c>
      <c r="U117" s="120">
        <f>'Ethylene Recycling HC'!U141</f>
        <v>28.579999541149313</v>
      </c>
      <c r="V117" s="120">
        <f>'Ethylene Recycling HC'!V141</f>
        <v>25.20550298941296</v>
      </c>
      <c r="W117" s="120">
        <f>'Ethylene Recycling HC'!W141</f>
        <v>21.97329627363068</v>
      </c>
      <c r="X117" s="120">
        <f>'Ethylene Recycling HC'!X141</f>
        <v>19.124620382203286</v>
      </c>
      <c r="Y117" s="120">
        <f>'Ethylene Recycling HC'!Y141</f>
        <v>16.364986555065361</v>
      </c>
      <c r="Z117" s="120">
        <f>'Ethylene Recycling HC'!Z141</f>
        <v>13.604608146774542</v>
      </c>
      <c r="AA117" s="120">
        <f>'Ethylene Recycling HC'!AA141</f>
        <v>11.018294746022971</v>
      </c>
      <c r="AB117" s="120">
        <f>'Ethylene Recycling HC'!AB141</f>
        <v>8.6234050514356593</v>
      </c>
      <c r="AC117" s="120">
        <f>'Ethylene Recycling HC'!AC141</f>
        <v>6.4354279894255191</v>
      </c>
      <c r="AD117" s="120">
        <f>'Ethylene Recycling HC'!AD141</f>
        <v>4.468036352621958</v>
      </c>
      <c r="AE117" s="120">
        <f>'Ethylene Recycling HC'!AE141</f>
        <v>2.7331409425290407</v>
      </c>
      <c r="AF117" s="120">
        <f>'Ethylene Recycling HC'!AF141</f>
        <v>1.2409451615016729</v>
      </c>
      <c r="AG117" s="120">
        <f>'Ethylene Recycling HC'!AG141</f>
        <v>0</v>
      </c>
      <c r="AH117" s="217"/>
      <c r="AI117" s="124"/>
      <c r="AJ117" s="185"/>
      <c r="AL117" s="100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34</v>
      </c>
      <c r="C118" s="120">
        <f>'Ethylene Recycling HC'!C142</f>
        <v>0</v>
      </c>
      <c r="D118" s="120">
        <f>'Ethylene Recycling HC'!D142</f>
        <v>2.9756045340535029</v>
      </c>
      <c r="E118" s="120">
        <f>'Ethylene Recycling HC'!E142</f>
        <v>6.1710103236462501</v>
      </c>
      <c r="F118" s="120">
        <f>'Ethylene Recycling HC'!F142</f>
        <v>9.5454190403439636</v>
      </c>
      <c r="G118" s="120">
        <f>'Ethylene Recycling HC'!G142</f>
        <v>13.059177225960303</v>
      </c>
      <c r="H118" s="120">
        <f>'Ethylene Recycling HC'!H142</f>
        <v>16.673765619883149</v>
      </c>
      <c r="I118" s="120">
        <f>'Ethylene Recycling HC'!I142</f>
        <v>20.351788552773513</v>
      </c>
      <c r="J118" s="120">
        <f>'Ethylene Recycling HC'!J142</f>
        <v>24.056963406306256</v>
      </c>
      <c r="K118" s="120">
        <f>'Ethylene Recycling HC'!K142</f>
        <v>27.754110138623272</v>
      </c>
      <c r="L118" s="120">
        <f>'Ethylene Recycling HC'!L142</f>
        <v>31.409140875171129</v>
      </c>
      <c r="M118" s="120">
        <f>'Ethylene Recycling HC'!M142</f>
        <v>34.989049564596534</v>
      </c>
      <c r="N118" s="120">
        <f>'Ethylene Recycling HC'!N142</f>
        <v>37.925588770511744</v>
      </c>
      <c r="O118" s="120">
        <f>'Ethylene Recycling HC'!O142</f>
        <v>40.678702688269183</v>
      </c>
      <c r="P118" s="120">
        <f>'Ethylene Recycling HC'!P142</f>
        <v>43.083232152739704</v>
      </c>
      <c r="Q118" s="120">
        <f>'Ethylene Recycling HC'!Q142</f>
        <v>45.252771453120943</v>
      </c>
      <c r="R118" s="120">
        <f>'Ethylene Recycling HC'!R142</f>
        <v>47.173032767791071</v>
      </c>
      <c r="S118" s="120">
        <f>'Ethylene Recycling HC'!S142</f>
        <v>48.830628868541389</v>
      </c>
      <c r="T118" s="120">
        <f>'Ethylene Recycling HC'!T142</f>
        <v>50.213056193962963</v>
      </c>
      <c r="U118" s="120">
        <f>'Ethylene Recycling HC'!U142</f>
        <v>51.308677997905072</v>
      </c>
      <c r="V118" s="120">
        <f>'Ethylene Recycling HC'!V142</f>
        <v>52.106707574746522</v>
      </c>
      <c r="W118" s="120">
        <f>'Ethylene Recycling HC'!W142</f>
        <v>52.59719156318998</v>
      </c>
      <c r="X118" s="120">
        <f>'Ethylene Recycling HC'!X142</f>
        <v>53.408078947492328</v>
      </c>
      <c r="Y118" s="120">
        <f>'Ethylene Recycling HC'!Y142</f>
        <v>53.862399287506619</v>
      </c>
      <c r="Z118" s="120">
        <f>'Ethylene Recycling HC'!Z142</f>
        <v>53.499926047656508</v>
      </c>
      <c r="AA118" s="120">
        <f>'Ethylene Recycling HC'!AA142</f>
        <v>52.748695711324295</v>
      </c>
      <c r="AB118" s="120">
        <f>'Ethylene Recycling HC'!AB142</f>
        <v>51.604329383394621</v>
      </c>
      <c r="AC118" s="120">
        <f>'Ethylene Recycling HC'!AC142</f>
        <v>50.064299058338435</v>
      </c>
      <c r="AD118" s="120">
        <f>'Ethylene Recycling HC'!AD142</f>
        <v>48.127860499691792</v>
      </c>
      <c r="AE118" s="120">
        <f>'Ethylene Recycling HC'!AE142</f>
        <v>45.795985797151253</v>
      </c>
      <c r="AF118" s="120">
        <f>'Ethylene Recycling HC'!AF142</f>
        <v>43.071295663093991</v>
      </c>
      <c r="AG118" s="120">
        <f>'Ethylene Recycling HC'!AG142</f>
        <v>39.957991529321454</v>
      </c>
      <c r="AH118" s="217"/>
      <c r="AI118" s="124"/>
      <c r="AJ118" s="185"/>
      <c r="AL118" s="100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A119" s="4" t="s">
        <v>35</v>
      </c>
      <c r="C119" s="120">
        <f>'Ethylene Recycling HC'!C143</f>
        <v>0</v>
      </c>
      <c r="D119" s="120">
        <f>'Ethylene Recycling HC'!D143</f>
        <v>0</v>
      </c>
      <c r="E119" s="120">
        <f>'Ethylene Recycling HC'!E143</f>
        <v>0</v>
      </c>
      <c r="F119" s="120">
        <f>'Ethylene Recycling HC'!F143</f>
        <v>0</v>
      </c>
      <c r="G119" s="120">
        <f>'Ethylene Recycling HC'!G143</f>
        <v>0</v>
      </c>
      <c r="H119" s="120">
        <f>'Ethylene Recycling HC'!H143</f>
        <v>0</v>
      </c>
      <c r="I119" s="120">
        <f>'Ethylene Recycling HC'!I143</f>
        <v>0</v>
      </c>
      <c r="J119" s="120">
        <f>'Ethylene Recycling HC'!J143</f>
        <v>0</v>
      </c>
      <c r="K119" s="120">
        <f>'Ethylene Recycling HC'!K143</f>
        <v>0</v>
      </c>
      <c r="L119" s="120">
        <f>'Ethylene Recycling HC'!L143</f>
        <v>0</v>
      </c>
      <c r="M119" s="120">
        <f>'Ethylene Recycling HC'!M143</f>
        <v>0</v>
      </c>
      <c r="N119" s="120">
        <f>'Ethylene Recycling HC'!N143</f>
        <v>0</v>
      </c>
      <c r="O119" s="120">
        <f>'Ethylene Recycling HC'!O143</f>
        <v>0</v>
      </c>
      <c r="P119" s="120">
        <f>'Ethylene Recycling HC'!P143</f>
        <v>0</v>
      </c>
      <c r="Q119" s="120">
        <f>'Ethylene Recycling HC'!Q143</f>
        <v>0</v>
      </c>
      <c r="R119" s="120">
        <f>'Ethylene Recycling HC'!R143</f>
        <v>0</v>
      </c>
      <c r="S119" s="120">
        <f>'Ethylene Recycling HC'!S143</f>
        <v>0</v>
      </c>
      <c r="T119" s="120">
        <f>'Ethylene Recycling HC'!T143</f>
        <v>0</v>
      </c>
      <c r="U119" s="120">
        <f>'Ethylene Recycling HC'!U143</f>
        <v>0</v>
      </c>
      <c r="V119" s="120">
        <f>'Ethylene Recycling HC'!V143</f>
        <v>0</v>
      </c>
      <c r="W119" s="120">
        <f>'Ethylene Recycling HC'!W143</f>
        <v>0</v>
      </c>
      <c r="X119" s="120">
        <f>'Ethylene Recycling HC'!X143</f>
        <v>0</v>
      </c>
      <c r="Y119" s="120">
        <f>'Ethylene Recycling HC'!Y143</f>
        <v>0</v>
      </c>
      <c r="Z119" s="120">
        <f>'Ethylene Recycling HC'!Z143</f>
        <v>0</v>
      </c>
      <c r="AA119" s="120">
        <f>'Ethylene Recycling HC'!AA143</f>
        <v>0</v>
      </c>
      <c r="AB119" s="120">
        <f>'Ethylene Recycling HC'!AB143</f>
        <v>0</v>
      </c>
      <c r="AC119" s="120">
        <f>'Ethylene Recycling HC'!AC143</f>
        <v>0</v>
      </c>
      <c r="AD119" s="120">
        <f>'Ethylene Recycling HC'!AD143</f>
        <v>0</v>
      </c>
      <c r="AE119" s="120">
        <f>'Ethylene Recycling HC'!AE143</f>
        <v>0</v>
      </c>
      <c r="AF119" s="120">
        <f>'Ethylene Recycling HC'!AF143</f>
        <v>0</v>
      </c>
      <c r="AG119" s="120">
        <f>'Ethylene Recycling HC'!AG143</f>
        <v>0</v>
      </c>
      <c r="AH119" s="217"/>
      <c r="AI119" s="124"/>
      <c r="AJ119" s="185"/>
      <c r="AL119" s="100"/>
      <c r="AM119" s="2"/>
      <c r="AN119" s="2"/>
      <c r="AO119" s="2"/>
      <c r="BC119" s="1"/>
      <c r="BD119" s="2"/>
      <c r="BE119" s="2"/>
      <c r="BF119" s="2"/>
      <c r="BG119" s="2"/>
      <c r="BH119" s="2"/>
      <c r="BI119" s="2"/>
      <c r="BJ119" s="2"/>
      <c r="BK119" s="2"/>
    </row>
    <row r="120" spans="1:63" outlineLevel="1">
      <c r="A120" s="4" t="s">
        <v>27</v>
      </c>
      <c r="C120" s="120">
        <f>'Ethylene Recycling HC'!C144</f>
        <v>66.505125781919574</v>
      </c>
      <c r="D120" s="120">
        <f>'Ethylene Recycling HC'!D144</f>
        <v>79.559343264059336</v>
      </c>
      <c r="E120" s="120">
        <f>'Ethylene Recycling HC'!E144</f>
        <v>93.040739226866407</v>
      </c>
      <c r="F120" s="120">
        <f>'Ethylene Recycling HC'!F144</f>
        <v>106.81663327500647</v>
      </c>
      <c r="G120" s="120">
        <f>'Ethylene Recycling HC'!G144</f>
        <v>120.75820691963241</v>
      </c>
      <c r="H120" s="120">
        <f>'Ethylene Recycling HC'!H144</f>
        <v>134.74046736966474</v>
      </c>
      <c r="I120" s="120">
        <f>'Ethylene Recycling HC'!I144</f>
        <v>148.64221154875585</v>
      </c>
      <c r="J120" s="120">
        <f>'Ethylene Recycling HC'!J144</f>
        <v>162.34599033681266</v>
      </c>
      <c r="K120" s="120">
        <f>'Ethylene Recycling HC'!K144</f>
        <v>175.73807303495644</v>
      </c>
      <c r="L120" s="120">
        <f>'Ethylene Recycling HC'!L144</f>
        <v>188.70841205280303</v>
      </c>
      <c r="M120" s="120">
        <f>'Ethylene Recycling HC'!M144</f>
        <v>201.15060781695126</v>
      </c>
      <c r="N120" s="120">
        <f>'Ethylene Recycling HC'!N144</f>
        <v>209.99233257996016</v>
      </c>
      <c r="O120" s="120">
        <f>'Ethylene Recycling HC'!O144</f>
        <v>218.04954990466513</v>
      </c>
      <c r="P120" s="120">
        <f>'Ethylene Recycling HC'!P144</f>
        <v>224.49805378662643</v>
      </c>
      <c r="Q120" s="120">
        <f>'Ethylene Recycling HC'!Q144</f>
        <v>230.00469688315786</v>
      </c>
      <c r="R120" s="120">
        <f>'Ethylene Recycling HC'!R144</f>
        <v>234.52622871110145</v>
      </c>
      <c r="S120" s="120">
        <f>'Ethylene Recycling HC'!S144</f>
        <v>238.02239617667516</v>
      </c>
      <c r="T120" s="120">
        <f>'Ethylene Recycling HC'!T144</f>
        <v>240.45588601197997</v>
      </c>
      <c r="U120" s="120">
        <f>'Ethylene Recycling HC'!U144</f>
        <v>241.79226747408597</v>
      </c>
      <c r="V120" s="120">
        <f>'Ethylene Recycling HC'!V144</f>
        <v>241.99993531255015</v>
      </c>
      <c r="W120" s="120">
        <f>'Ethylene Recycling HC'!W144</f>
        <v>241.0500530111147</v>
      </c>
      <c r="X120" s="120">
        <f>'Ethylene Recycling HC'!X144</f>
        <v>241.80085102595768</v>
      </c>
      <c r="Y120" s="120">
        <f>'Ethylene Recycling HC'!Y144</f>
        <v>241.13895003194946</v>
      </c>
      <c r="Z120" s="120">
        <f>'Ethylene Recycling HC'!Z144</f>
        <v>237.05050013017859</v>
      </c>
      <c r="AA120" s="120">
        <f>'Ethylene Recycling HC'!AA144</f>
        <v>231.49343901896299</v>
      </c>
      <c r="AB120" s="120">
        <f>'Ethylene Recycling HC'!AB144</f>
        <v>224.4655502010599</v>
      </c>
      <c r="AC120" s="120">
        <f>'Ethylene Recycling HC'!AC144</f>
        <v>215.9706407616024</v>
      </c>
      <c r="AD120" s="120">
        <f>'Ethylene Recycling HC'!AD144</f>
        <v>206.01830974912895</v>
      </c>
      <c r="AE120" s="120">
        <f>'Ethylene Recycling HC'!AE144</f>
        <v>194.62371567356206</v>
      </c>
      <c r="AF120" s="120">
        <f>'Ethylene Recycling HC'!AF144</f>
        <v>181.80734332928915</v>
      </c>
      <c r="AG120" s="120">
        <f>'Ethylene Recycling HC'!AG144</f>
        <v>167.59477014807618</v>
      </c>
      <c r="AH120" s="217"/>
      <c r="AI120" s="124"/>
      <c r="AJ120" s="185"/>
      <c r="AL120" s="100"/>
      <c r="AM120" s="2"/>
      <c r="AN120" s="2"/>
      <c r="AO120" s="2"/>
      <c r="BC120" s="1"/>
      <c r="BD120" s="2"/>
      <c r="BE120" s="2"/>
      <c r="BF120" s="2"/>
      <c r="BG120" s="2"/>
      <c r="BH120" s="2"/>
      <c r="BI120" s="2"/>
      <c r="BJ120" s="2"/>
      <c r="BK120" s="2"/>
    </row>
    <row r="121" spans="1:63" s="1" customFormat="1" outlineLevel="1">
      <c r="A121" s="1" t="s">
        <v>750</v>
      </c>
      <c r="B121" s="60"/>
      <c r="C121" s="541">
        <f>'Ethylene Recycling HC'!C145</f>
        <v>2143.0989572987487</v>
      </c>
      <c r="D121" s="541">
        <f>'Ethylene Recycling HC'!D145</f>
        <v>2236.1241924639894</v>
      </c>
      <c r="E121" s="541">
        <f>'Ethylene Recycling HC'!E145</f>
        <v>2318.712940299999</v>
      </c>
      <c r="F121" s="541">
        <f>'Ethylene Recycling HC'!F145</f>
        <v>2391.0819016265309</v>
      </c>
      <c r="G121" s="541">
        <f>'Ethylene Recycling HC'!G145</f>
        <v>2453.4461648423758</v>
      </c>
      <c r="H121" s="541">
        <f>'Ethylene Recycling HC'!H145</f>
        <v>2506.0192142740316</v>
      </c>
      <c r="I121" s="541">
        <f>'Ethylene Recycling HC'!I145</f>
        <v>2549.0129384887232</v>
      </c>
      <c r="J121" s="541">
        <f>'Ethylene Recycling HC'!J145</f>
        <v>2582.6376385718941</v>
      </c>
      <c r="K121" s="541">
        <f>'Ethylene Recycling HC'!K145</f>
        <v>2607.1020363693297</v>
      </c>
      <c r="L121" s="541">
        <f>'Ethylene Recycling HC'!L145</f>
        <v>2622.6132826940311</v>
      </c>
      <c r="M121" s="541">
        <f>'Ethylene Recycling HC'!M145</f>
        <v>2629.3769654979665</v>
      </c>
      <c r="N121" s="541">
        <f>'Ethylene Recycling HC'!N145</f>
        <v>2590.9578920744216</v>
      </c>
      <c r="O121" s="541">
        <f>'Ethylene Recycling HC'!O145</f>
        <v>2547.4552077931094</v>
      </c>
      <c r="P121" s="541">
        <f>'Ethylene Recycling HC'!P145</f>
        <v>2490.4947653688182</v>
      </c>
      <c r="Q121" s="541">
        <f>'Ethylene Recycling HC'!Q145</f>
        <v>2429.0578330822354</v>
      </c>
      <c r="R121" s="541">
        <f>'Ethylene Recycling HC'!R145</f>
        <v>2363.3239026840251</v>
      </c>
      <c r="S121" s="541">
        <f>'Ethylene Recycling HC'!S145</f>
        <v>2293.4698919279444</v>
      </c>
      <c r="T121" s="541">
        <f>'Ethylene Recycling HC'!T145</f>
        <v>2219.6701533871424</v>
      </c>
      <c r="U121" s="541">
        <f>'Ethylene Recycling HC'!U145</f>
        <v>2142.0964834658762</v>
      </c>
      <c r="V121" s="541">
        <f>'Ethylene Recycling HC'!V145</f>
        <v>2060.9181316035124</v>
      </c>
      <c r="W121" s="541">
        <f>'Ethylene Recycling HC'!W145</f>
        <v>1976.3018096677815</v>
      </c>
      <c r="X121" s="541">
        <f>'Ethylene Recycling HC'!X145</f>
        <v>1911.2098309334008</v>
      </c>
      <c r="Y121" s="541">
        <f>'Ethylene Recycling HC'!Y145</f>
        <v>1839.8555308459338</v>
      </c>
      <c r="Z121" s="541">
        <f>'Ethylene Recycling HC'!Z145</f>
        <v>1748.0186186953943</v>
      </c>
      <c r="AA121" s="541">
        <f>'Ethylene Recycling HC'!AA145</f>
        <v>1651.6620579551789</v>
      </c>
      <c r="AB121" s="541">
        <f>'Ethylene Recycling HC'!AB145</f>
        <v>1551.1965793773604</v>
      </c>
      <c r="AC121" s="541">
        <f>'Ethylene Recycling HC'!AC145</f>
        <v>1447.0232211758753</v>
      </c>
      <c r="AD121" s="541">
        <f>'Ethylene Recycling HC'!AD145</f>
        <v>1339.5332557887562</v>
      </c>
      <c r="AE121" s="541">
        <f>'Ethylene Recycling HC'!AE145</f>
        <v>1229.108123681794</v>
      </c>
      <c r="AF121" s="541">
        <f>'Ethylene Recycling HC'!AF145</f>
        <v>1116.1193740956321</v>
      </c>
      <c r="AG121" s="541">
        <f>'Ethylene Recycling HC'!AG145</f>
        <v>1000.928612639136</v>
      </c>
      <c r="AH121" s="367"/>
      <c r="AI121" s="368"/>
      <c r="AJ121" s="369"/>
      <c r="AL121" s="194"/>
      <c r="AM121" s="116"/>
      <c r="AN121" s="116"/>
      <c r="AO121" s="116"/>
      <c r="BD121" s="116"/>
      <c r="BE121" s="116"/>
      <c r="BF121" s="116"/>
      <c r="BG121" s="116"/>
      <c r="BH121" s="116"/>
      <c r="BI121" s="116"/>
      <c r="BJ121" s="116"/>
      <c r="BK121" s="116"/>
    </row>
    <row r="122" spans="1:63" outlineLevel="1">
      <c r="A122" s="4" t="s">
        <v>141</v>
      </c>
      <c r="C122" s="120">
        <f>'Ethylene Recycling HC'!C146</f>
        <v>1729.1332703299095</v>
      </c>
      <c r="D122" s="120">
        <f>'Ethylene Recycling HC'!D146</f>
        <v>1772.219051936914</v>
      </c>
      <c r="E122" s="120">
        <f>'Ethylene Recycling HC'!E146</f>
        <v>1804.5226919230215</v>
      </c>
      <c r="F122" s="120">
        <f>'Ethylene Recycling HC'!F146</f>
        <v>1826.6573781750703</v>
      </c>
      <c r="G122" s="120">
        <f>'Ethylene Recycling HC'!G146</f>
        <v>1839.2226969007727</v>
      </c>
      <c r="H122" s="120">
        <f>'Ethylene Recycling HC'!H146</f>
        <v>1842.8047540341004</v>
      </c>
      <c r="I122" s="120">
        <f>'Ethylene Recycling HC'!I146</f>
        <v>1837.9762958987787</v>
      </c>
      <c r="J122" s="120">
        <f>'Ethylene Recycling HC'!J146</f>
        <v>1825.2968291335551</v>
      </c>
      <c r="K122" s="120">
        <f>'Ethylene Recycling HC'!K146</f>
        <v>1805.3127398828976</v>
      </c>
      <c r="L122" s="120">
        <f>'Ethylene Recycling HC'!L146</f>
        <v>1778.5574122567532</v>
      </c>
      <c r="M122" s="120">
        <f>'Ethylene Recycling HC'!M146</f>
        <v>1745.5513460629707</v>
      </c>
      <c r="N122" s="120">
        <f>'Ethylene Recycling HC'!N146</f>
        <v>1683.0026152963878</v>
      </c>
      <c r="O122" s="120">
        <f>'Ethylene Recycling HC'!O146</f>
        <v>1618.3229933786843</v>
      </c>
      <c r="P122" s="120">
        <f>'Ethylene Recycling HC'!P146</f>
        <v>1546.5304050412719</v>
      </c>
      <c r="Q122" s="120">
        <f>'Ethylene Recycling HC'!Q146</f>
        <v>1473.6507971578183</v>
      </c>
      <c r="R122" s="120">
        <f>'Ethylene Recycling HC'!R146</f>
        <v>1399.9825016975478</v>
      </c>
      <c r="S122" s="120">
        <f>'Ethylene Recycling HC'!S146</f>
        <v>1325.8120976743298</v>
      </c>
      <c r="T122" s="120">
        <f>'Ethylene Recycling HC'!T146</f>
        <v>1251.4146001229474</v>
      </c>
      <c r="U122" s="120">
        <f>'Ethylene Recycling HC'!U146</f>
        <v>1177.0536484264546</v>
      </c>
      <c r="V122" s="120">
        <f>'Ethylene Recycling HC'!V146</f>
        <v>1102.981693973383</v>
      </c>
      <c r="W122" s="120">
        <f>'Ethylene Recycling HC'!W146</f>
        <v>1029.440187123975</v>
      </c>
      <c r="X122" s="120">
        <f>'Ethylene Recycling HC'!X146</f>
        <v>968.20917986644042</v>
      </c>
      <c r="Y122" s="120">
        <f>'Ethylene Recycling HC'!Y146</f>
        <v>905.75652322236863</v>
      </c>
      <c r="Z122" s="120">
        <f>'Ethylene Recycling HC'!Z146</f>
        <v>835.55351572156451</v>
      </c>
      <c r="AA122" s="120">
        <f>'Ethylene Recycling HC'!AA146</f>
        <v>765.88076952624726</v>
      </c>
      <c r="AB122" s="120">
        <f>'Ethylene Recycling HC'!AB146</f>
        <v>697.11672546968907</v>
      </c>
      <c r="AC122" s="120">
        <f>'Ethylene Recycling HC'!AC146</f>
        <v>629.61211774777553</v>
      </c>
      <c r="AD122" s="120">
        <f>'Ethylene Recycling HC'!AD146</f>
        <v>563.69063598442733</v>
      </c>
      <c r="AE122" s="120">
        <f>'Ethylene Recycling HC'!AE146</f>
        <v>499.64959644206624</v>
      </c>
      <c r="AF122" s="120">
        <f>'Ethylene Recycling HC'!AF146</f>
        <v>437.76062163397717</v>
      </c>
      <c r="AG122" s="120">
        <f>'Ethylene Recycling HC'!AG146</f>
        <v>378.27032760694317</v>
      </c>
      <c r="AH122" s="217"/>
      <c r="AI122" s="124"/>
      <c r="AJ122" s="185"/>
      <c r="AL122" s="100"/>
      <c r="AM122" s="2"/>
      <c r="AN122" s="2"/>
      <c r="AO122" s="2"/>
      <c r="BC122" s="1"/>
      <c r="BD122" s="2"/>
      <c r="BE122" s="2"/>
      <c r="BF122" s="2"/>
      <c r="BG122" s="2"/>
      <c r="BH122" s="2"/>
      <c r="BI122" s="2"/>
      <c r="BJ122" s="2"/>
      <c r="BK122" s="2"/>
    </row>
    <row r="123" spans="1:63" outlineLevel="1">
      <c r="A123" s="4" t="s">
        <v>74</v>
      </c>
      <c r="C123" s="120">
        <f>'Ethylene Recycling HC'!C147</f>
        <v>214.45030962308041</v>
      </c>
      <c r="D123" s="120">
        <f>'Ethylene Recycling HC'!D147</f>
        <v>216.3002971327368</v>
      </c>
      <c r="E123" s="120">
        <f>'Ethylene Recycling HC'!E147</f>
        <v>216.55499972543913</v>
      </c>
      <c r="F123" s="120">
        <f>'Ethylene Recycling HC'!F147</f>
        <v>215.33836650540911</v>
      </c>
      <c r="G123" s="120">
        <f>'Ethylene Recycling HC'!G147</f>
        <v>212.77131550482446</v>
      </c>
      <c r="H123" s="120">
        <f>'Ethylene Recycling HC'!H147</f>
        <v>208.97176127128731</v>
      </c>
      <c r="I123" s="120">
        <f>'Ethylene Recycling HC'!I147</f>
        <v>204.05464228535601</v>
      </c>
      <c r="J123" s="120">
        <f>'Ethylene Recycling HC'!J147</f>
        <v>198.13194820898192</v>
      </c>
      <c r="K123" s="120">
        <f>'Ethylene Recycling HC'!K147</f>
        <v>191.31274696569253</v>
      </c>
      <c r="L123" s="120">
        <f>'Ethylene Recycling HC'!L147</f>
        <v>183.70321165335505</v>
      </c>
      <c r="M123" s="120">
        <f>'Ethylene Recycling HC'!M147</f>
        <v>175.406647290352</v>
      </c>
      <c r="N123" s="120">
        <f>'Ethylene Recycling HC'!N147</f>
        <v>164.20151272661755</v>
      </c>
      <c r="O123" s="120">
        <f>'Ethylene Recycling HC'!O147</f>
        <v>152.94745663562165</v>
      </c>
      <c r="P123" s="120">
        <f>'Ethylene Recycling HC'!P147</f>
        <v>141.22050250944741</v>
      </c>
      <c r="Q123" s="120">
        <f>'Ethylene Recycling HC'!Q147</f>
        <v>129.63463091558049</v>
      </c>
      <c r="R123" s="120">
        <f>'Ethylene Recycling HC'!R147</f>
        <v>118.24361654979923</v>
      </c>
      <c r="S123" s="120">
        <f>'Ethylene Recycling HC'!S147</f>
        <v>107.09871911796454</v>
      </c>
      <c r="T123" s="120">
        <f>'Ethylene Recycling HC'!T147</f>
        <v>96.248726646365952</v>
      </c>
      <c r="U123" s="120">
        <f>'Ethylene Recycling HC'!U147</f>
        <v>85.739998623447931</v>
      </c>
      <c r="V123" s="120">
        <f>'Ethylene Recycling HC'!V147</f>
        <v>75.616508968238861</v>
      </c>
      <c r="W123" s="120">
        <f>'Ethylene Recycling HC'!W147</f>
        <v>65.919888820892041</v>
      </c>
      <c r="X123" s="120">
        <f>'Ethylene Recycling HC'!X147</f>
        <v>57.373861146609855</v>
      </c>
      <c r="Y123" s="120">
        <f>'Ethylene Recycling HC'!Y147</f>
        <v>49.094959665196093</v>
      </c>
      <c r="Z123" s="120">
        <f>'Ethylene Recycling HC'!Z147</f>
        <v>40.813824440323629</v>
      </c>
      <c r="AA123" s="120">
        <f>'Ethylene Recycling HC'!AA147</f>
        <v>33.054884238068915</v>
      </c>
      <c r="AB123" s="120">
        <f>'Ethylene Recycling HC'!AB147</f>
        <v>25.87021515430698</v>
      </c>
      <c r="AC123" s="120">
        <f>'Ethylene Recycling HC'!AC147</f>
        <v>19.30628396827656</v>
      </c>
      <c r="AD123" s="120">
        <f>'Ethylene Recycling HC'!AD147</f>
        <v>13.404109057865877</v>
      </c>
      <c r="AE123" s="120">
        <f>'Ethylene Recycling HC'!AE147</f>
        <v>8.1994228275871226</v>
      </c>
      <c r="AF123" s="120">
        <f>'Ethylene Recycling HC'!AF147</f>
        <v>3.7228354845050182</v>
      </c>
      <c r="AG123" s="120">
        <f>'Ethylene Recycling HC'!AG147</f>
        <v>0</v>
      </c>
      <c r="AH123" s="217"/>
      <c r="AI123" s="124"/>
      <c r="AJ123" s="185"/>
      <c r="AL123" s="100"/>
      <c r="AM123" s="2"/>
      <c r="AN123" s="2"/>
      <c r="AO123" s="2"/>
      <c r="BC123" s="1"/>
      <c r="BD123" s="2"/>
      <c r="BE123" s="2"/>
      <c r="BF123" s="2"/>
      <c r="BG123" s="2"/>
      <c r="BH123" s="2"/>
      <c r="BI123" s="2"/>
      <c r="BJ123" s="2"/>
      <c r="BK123" s="2"/>
    </row>
    <row r="124" spans="1:63" outlineLevel="1">
      <c r="A124" s="4" t="s">
        <v>34</v>
      </c>
      <c r="C124" s="120">
        <f>'Ethylene Recycling HC'!C148</f>
        <v>0</v>
      </c>
      <c r="D124" s="120">
        <f>'Ethylene Recycling HC'!D148</f>
        <v>8.9268136021605091</v>
      </c>
      <c r="E124" s="120">
        <f>'Ethylene Recycling HC'!E148</f>
        <v>18.51303097093875</v>
      </c>
      <c r="F124" s="120">
        <f>'Ethylene Recycling HC'!F148</f>
        <v>28.636257121031889</v>
      </c>
      <c r="G124" s="120">
        <f>'Ethylene Recycling HC'!G148</f>
        <v>39.177531677880914</v>
      </c>
      <c r="H124" s="120">
        <f>'Ethylene Recycling HC'!H148</f>
        <v>50.021296859649439</v>
      </c>
      <c r="I124" s="120">
        <f>'Ethylene Recycling HC'!I148</f>
        <v>61.055365658320532</v>
      </c>
      <c r="J124" s="120">
        <f>'Ethylene Recycling HC'!J148</f>
        <v>72.170890218918771</v>
      </c>
      <c r="K124" s="120">
        <f>'Ethylene Recycling HC'!K148</f>
        <v>83.262330415869826</v>
      </c>
      <c r="L124" s="120">
        <f>'Ethylene Recycling HC'!L148</f>
        <v>94.227422625513384</v>
      </c>
      <c r="M124" s="120">
        <f>'Ethylene Recycling HC'!M148</f>
        <v>104.9671486937896</v>
      </c>
      <c r="N124" s="120">
        <f>'Ethylene Recycling HC'!N148</f>
        <v>113.77676631153525</v>
      </c>
      <c r="O124" s="120">
        <f>'Ethylene Recycling HC'!O148</f>
        <v>122.03610806480756</v>
      </c>
      <c r="P124" s="120">
        <f>'Ethylene Recycling HC'!P148</f>
        <v>129.24969645821912</v>
      </c>
      <c r="Q124" s="120">
        <f>'Ethylene Recycling HC'!Q148</f>
        <v>135.7583143593628</v>
      </c>
      <c r="R124" s="120">
        <f>'Ethylene Recycling HC'!R148</f>
        <v>141.51909830337323</v>
      </c>
      <c r="S124" s="120">
        <f>'Ethylene Recycling HC'!S148</f>
        <v>146.49188660562416</v>
      </c>
      <c r="T124" s="120">
        <f>'Ethylene Recycling HC'!T148</f>
        <v>150.63916858188884</v>
      </c>
      <c r="U124" s="120">
        <f>'Ethylene Recycling HC'!U148</f>
        <v>153.92603399371521</v>
      </c>
      <c r="V124" s="120">
        <f>'Ethylene Recycling HC'!V148</f>
        <v>156.32012272423955</v>
      </c>
      <c r="W124" s="120">
        <f>'Ethylene Recycling HC'!W148</f>
        <v>157.79157468956993</v>
      </c>
      <c r="X124" s="120">
        <f>'Ethylene Recycling HC'!X148</f>
        <v>160.22423684247696</v>
      </c>
      <c r="Y124" s="120">
        <f>'Ethylene Recycling HC'!Y148</f>
        <v>161.5871978625199</v>
      </c>
      <c r="Z124" s="120">
        <f>'Ethylene Recycling HC'!Z148</f>
        <v>160.49977814296955</v>
      </c>
      <c r="AA124" s="120">
        <f>'Ethylene Recycling HC'!AA148</f>
        <v>158.24608713397291</v>
      </c>
      <c r="AB124" s="120">
        <f>'Ethylene Recycling HC'!AB148</f>
        <v>154.81298815018388</v>
      </c>
      <c r="AC124" s="120">
        <f>'Ethylene Recycling HC'!AC148</f>
        <v>150.1928971750153</v>
      </c>
      <c r="AD124" s="120">
        <f>'Ethylene Recycling HC'!AD148</f>
        <v>144.3835814990754</v>
      </c>
      <c r="AE124" s="120">
        <f>'Ethylene Recycling HC'!AE148</f>
        <v>137.3879573914538</v>
      </c>
      <c r="AF124" s="120">
        <f>'Ethylene Recycling HC'!AF148</f>
        <v>129.21388698928197</v>
      </c>
      <c r="AG124" s="120">
        <f>'Ethylene Recycling HC'!AG148</f>
        <v>119.87397458796436</v>
      </c>
      <c r="AH124" s="217"/>
      <c r="AI124" s="124"/>
      <c r="AJ124" s="185"/>
      <c r="AL124" s="100"/>
      <c r="AM124" s="2"/>
      <c r="AN124" s="2"/>
      <c r="AO124" s="2"/>
      <c r="BC124" s="1"/>
      <c r="BD124" s="2"/>
      <c r="BE124" s="2"/>
      <c r="BF124" s="2"/>
      <c r="BG124" s="2"/>
      <c r="BH124" s="2"/>
      <c r="BI124" s="2"/>
      <c r="BJ124" s="2"/>
      <c r="BK124" s="2"/>
    </row>
    <row r="125" spans="1:63" outlineLevel="1">
      <c r="A125" s="4" t="s">
        <v>35</v>
      </c>
      <c r="C125" s="120">
        <f>'Ethylene Recycling HC'!C149</f>
        <v>0</v>
      </c>
      <c r="D125" s="120">
        <f>'Ethylene Recycling HC'!D149</f>
        <v>0</v>
      </c>
      <c r="E125" s="120">
        <f>'Ethylene Recycling HC'!E149</f>
        <v>0</v>
      </c>
      <c r="F125" s="120">
        <f>'Ethylene Recycling HC'!F149</f>
        <v>0</v>
      </c>
      <c r="G125" s="120">
        <f>'Ethylene Recycling HC'!G149</f>
        <v>0</v>
      </c>
      <c r="H125" s="120">
        <f>'Ethylene Recycling HC'!H149</f>
        <v>0</v>
      </c>
      <c r="I125" s="120">
        <f>'Ethylene Recycling HC'!I149</f>
        <v>0</v>
      </c>
      <c r="J125" s="120">
        <f>'Ethylene Recycling HC'!J149</f>
        <v>0</v>
      </c>
      <c r="K125" s="120">
        <f>'Ethylene Recycling HC'!K149</f>
        <v>0</v>
      </c>
      <c r="L125" s="120">
        <f>'Ethylene Recycling HC'!L149</f>
        <v>0</v>
      </c>
      <c r="M125" s="120">
        <f>'Ethylene Recycling HC'!M149</f>
        <v>0</v>
      </c>
      <c r="N125" s="120">
        <f>'Ethylene Recycling HC'!N149</f>
        <v>0</v>
      </c>
      <c r="O125" s="120">
        <f>'Ethylene Recycling HC'!O149</f>
        <v>0</v>
      </c>
      <c r="P125" s="120">
        <f>'Ethylene Recycling HC'!P149</f>
        <v>0</v>
      </c>
      <c r="Q125" s="120">
        <f>'Ethylene Recycling HC'!Q149</f>
        <v>0</v>
      </c>
      <c r="R125" s="120">
        <f>'Ethylene Recycling HC'!R149</f>
        <v>0</v>
      </c>
      <c r="S125" s="120">
        <f>'Ethylene Recycling HC'!S149</f>
        <v>0</v>
      </c>
      <c r="T125" s="120">
        <f>'Ethylene Recycling HC'!T149</f>
        <v>0</v>
      </c>
      <c r="U125" s="120">
        <f>'Ethylene Recycling HC'!U149</f>
        <v>0</v>
      </c>
      <c r="V125" s="120">
        <f>'Ethylene Recycling HC'!V149</f>
        <v>0</v>
      </c>
      <c r="W125" s="120">
        <f>'Ethylene Recycling HC'!W149</f>
        <v>0</v>
      </c>
      <c r="X125" s="120">
        <f>'Ethylene Recycling HC'!X149</f>
        <v>0</v>
      </c>
      <c r="Y125" s="120">
        <f>'Ethylene Recycling HC'!Y149</f>
        <v>0</v>
      </c>
      <c r="Z125" s="120">
        <f>'Ethylene Recycling HC'!Z149</f>
        <v>0</v>
      </c>
      <c r="AA125" s="120">
        <f>'Ethylene Recycling HC'!AA149</f>
        <v>0</v>
      </c>
      <c r="AB125" s="120">
        <f>'Ethylene Recycling HC'!AB149</f>
        <v>0</v>
      </c>
      <c r="AC125" s="120">
        <f>'Ethylene Recycling HC'!AC149</f>
        <v>0</v>
      </c>
      <c r="AD125" s="120">
        <f>'Ethylene Recycling HC'!AD149</f>
        <v>0</v>
      </c>
      <c r="AE125" s="120">
        <f>'Ethylene Recycling HC'!AE149</f>
        <v>0</v>
      </c>
      <c r="AF125" s="120">
        <f>'Ethylene Recycling HC'!AF149</f>
        <v>0</v>
      </c>
      <c r="AG125" s="120">
        <f>'Ethylene Recycling HC'!AG149</f>
        <v>0</v>
      </c>
      <c r="AH125" s="217"/>
      <c r="AI125" s="124"/>
      <c r="AJ125" s="185"/>
      <c r="AL125" s="100"/>
      <c r="AM125" s="2"/>
      <c r="AN125" s="2"/>
      <c r="AO125" s="2"/>
      <c r="BC125" s="1"/>
      <c r="BD125" s="2"/>
      <c r="BE125" s="2"/>
      <c r="BF125" s="2"/>
      <c r="BG125" s="2"/>
      <c r="BH125" s="2"/>
      <c r="BI125" s="2"/>
      <c r="BJ125" s="2"/>
      <c r="BK125" s="2"/>
    </row>
    <row r="126" spans="1:63" outlineLevel="1">
      <c r="A126" s="4" t="s">
        <v>27</v>
      </c>
      <c r="C126" s="120">
        <f>'Ethylene Recycling HC'!C150</f>
        <v>199.51537734575874</v>
      </c>
      <c r="D126" s="120">
        <f>'Ethylene Recycling HC'!D150</f>
        <v>238.67802979217802</v>
      </c>
      <c r="E126" s="120">
        <f>'Ethylene Recycling HC'!E150</f>
        <v>279.12221768059925</v>
      </c>
      <c r="F126" s="120">
        <f>'Ethylene Recycling HC'!F150</f>
        <v>320.44989982501937</v>
      </c>
      <c r="G126" s="120">
        <f>'Ethylene Recycling HC'!G150</f>
        <v>362.2746207588973</v>
      </c>
      <c r="H126" s="120">
        <f>'Ethylene Recycling HC'!H150</f>
        <v>404.2214021089942</v>
      </c>
      <c r="I126" s="120">
        <f>'Ethylene Recycling HC'!I150</f>
        <v>445.92663464626747</v>
      </c>
      <c r="J126" s="120">
        <f>'Ethylene Recycling HC'!J150</f>
        <v>487.03797101043801</v>
      </c>
      <c r="K126" s="120">
        <f>'Ethylene Recycling HC'!K150</f>
        <v>527.21421910486936</v>
      </c>
      <c r="L126" s="120">
        <f>'Ethylene Recycling HC'!L150</f>
        <v>566.12523615840905</v>
      </c>
      <c r="M126" s="120">
        <f>'Ethylene Recycling HC'!M150</f>
        <v>603.45182345085379</v>
      </c>
      <c r="N126" s="120">
        <f>'Ethylene Recycling HC'!N150</f>
        <v>629.97699773988063</v>
      </c>
      <c r="O126" s="120">
        <f>'Ethylene Recycling HC'!O150</f>
        <v>654.1486497139955</v>
      </c>
      <c r="P126" s="120">
        <f>'Ethylene Recycling HC'!P150</f>
        <v>673.49416135987929</v>
      </c>
      <c r="Q126" s="120">
        <f>'Ethylene Recycling HC'!Q150</f>
        <v>690.01409064947359</v>
      </c>
      <c r="R126" s="120">
        <f>'Ethylene Recycling HC'!R150</f>
        <v>703.57868613330436</v>
      </c>
      <c r="S126" s="120">
        <f>'Ethylene Recycling HC'!S150</f>
        <v>714.06718853002553</v>
      </c>
      <c r="T126" s="120">
        <f>'Ethylene Recycling HC'!T150</f>
        <v>721.36765803593971</v>
      </c>
      <c r="U126" s="120">
        <f>'Ethylene Recycling HC'!U150</f>
        <v>725.37680242225781</v>
      </c>
      <c r="V126" s="120">
        <f>'Ethylene Recycling HC'!V150</f>
        <v>725.99980593765031</v>
      </c>
      <c r="W126" s="120">
        <f>'Ethylene Recycling HC'!W150</f>
        <v>723.15015903334404</v>
      </c>
      <c r="X126" s="120">
        <f>'Ethylene Recycling HC'!X150</f>
        <v>725.40255307787299</v>
      </c>
      <c r="Y126" s="120">
        <f>'Ethylene Recycling HC'!Y150</f>
        <v>723.41685009584853</v>
      </c>
      <c r="Z126" s="120">
        <f>'Ethylene Recycling HC'!Z150</f>
        <v>711.15150039053594</v>
      </c>
      <c r="AA126" s="120">
        <f>'Ethylene Recycling HC'!AA150</f>
        <v>694.48031705688913</v>
      </c>
      <c r="AB126" s="120">
        <f>'Ethylene Recycling HC'!AB150</f>
        <v>673.39665060317986</v>
      </c>
      <c r="AC126" s="120">
        <f>'Ethylene Recycling HC'!AC150</f>
        <v>647.91192228480725</v>
      </c>
      <c r="AD126" s="120">
        <f>'Ethylene Recycling HC'!AD150</f>
        <v>618.05492924738701</v>
      </c>
      <c r="AE126" s="120">
        <f>'Ethylene Recycling HC'!AE150</f>
        <v>583.87114702068629</v>
      </c>
      <c r="AF126" s="120">
        <f>'Ethylene Recycling HC'!AF150</f>
        <v>545.4220299878674</v>
      </c>
      <c r="AG126" s="120">
        <f>'Ethylene Recycling HC'!AG150</f>
        <v>502.78431044422848</v>
      </c>
      <c r="AH126" s="217"/>
      <c r="AI126" s="124"/>
      <c r="AJ126" s="185"/>
      <c r="AL126" s="100"/>
      <c r="AM126" s="2"/>
      <c r="AN126" s="2"/>
      <c r="AO126" s="2"/>
      <c r="BC126" s="1"/>
      <c r="BD126" s="2"/>
      <c r="BE126" s="2"/>
      <c r="BF126" s="2"/>
      <c r="BG126" s="2"/>
      <c r="BH126" s="2"/>
      <c r="BI126" s="2"/>
      <c r="BJ126" s="2"/>
      <c r="BK126" s="2"/>
    </row>
    <row r="127" spans="1:63" outlineLevel="1">
      <c r="C127" s="120"/>
      <c r="AJ127" s="185"/>
      <c r="AM127" s="115"/>
      <c r="AN127" s="115"/>
    </row>
    <row r="128" spans="1:63" s="174" customFormat="1" ht="15.5" thickBot="1">
      <c r="A128" s="174" t="s">
        <v>432</v>
      </c>
      <c r="B128" s="189"/>
      <c r="C128" s="542">
        <f>C129</f>
        <v>0</v>
      </c>
      <c r="D128" s="542">
        <f t="shared" ref="D128:AF128" si="28">D129</f>
        <v>2.2181718165435932E-2</v>
      </c>
      <c r="E128" s="542">
        <f t="shared" si="28"/>
        <v>4.4363436330871864E-2</v>
      </c>
      <c r="F128" s="542">
        <f t="shared" si="28"/>
        <v>6.6545154496307796E-2</v>
      </c>
      <c r="G128" s="542">
        <f t="shared" si="28"/>
        <v>8.8726872661743728E-2</v>
      </c>
      <c r="H128" s="542">
        <f t="shared" si="28"/>
        <v>0.11090859082717966</v>
      </c>
      <c r="I128" s="542">
        <f t="shared" si="28"/>
        <v>0.13100179619597158</v>
      </c>
      <c r="J128" s="542">
        <f t="shared" si="28"/>
        <v>0.15032113907716843</v>
      </c>
      <c r="K128" s="542">
        <f t="shared" si="28"/>
        <v>0.16882900763592534</v>
      </c>
      <c r="L128" s="542">
        <f t="shared" si="28"/>
        <v>0.18648531251512734</v>
      </c>
      <c r="M128" s="542">
        <f t="shared" si="28"/>
        <v>0.20324727942428703</v>
      </c>
      <c r="N128" s="542">
        <f t="shared" si="28"/>
        <v>0.21253353454558668</v>
      </c>
      <c r="O128" s="542">
        <f t="shared" si="28"/>
        <v>0.22110889007046072</v>
      </c>
      <c r="P128" s="542">
        <f t="shared" si="28"/>
        <v>0.22893574878725423</v>
      </c>
      <c r="Q128" s="542">
        <f t="shared" si="28"/>
        <v>0.23597381471239728</v>
      </c>
      <c r="R128" s="542">
        <f t="shared" si="28"/>
        <v>0.24217984651425994</v>
      </c>
      <c r="S128" s="542">
        <f t="shared" si="28"/>
        <v>0.24955152719213466</v>
      </c>
      <c r="T128" s="542">
        <f t="shared" si="28"/>
        <v>0.25632950033175439</v>
      </c>
      <c r="U128" s="542">
        <f t="shared" si="28"/>
        <v>0.26248988030750275</v>
      </c>
      <c r="V128" s="542">
        <f t="shared" si="28"/>
        <v>0.26800748281153758</v>
      </c>
      <c r="W128" s="542">
        <f t="shared" si="28"/>
        <v>0.27285573537442154</v>
      </c>
      <c r="X128" s="542">
        <f t="shared" si="28"/>
        <v>0.28276133442868806</v>
      </c>
      <c r="Y128" s="542">
        <f t="shared" si="28"/>
        <v>0.29164873861742469</v>
      </c>
      <c r="Z128" s="542">
        <f t="shared" si="28"/>
        <v>0.29947404055291826</v>
      </c>
      <c r="AA128" s="542">
        <f t="shared" si="28"/>
        <v>0.30619077148526108</v>
      </c>
      <c r="AB128" s="542">
        <f t="shared" si="28"/>
        <v>0.31174971176502619</v>
      </c>
      <c r="AC128" s="542">
        <f t="shared" si="28"/>
        <v>0.31391953169445941</v>
      </c>
      <c r="AD128" s="542">
        <f t="shared" si="28"/>
        <v>0.31447246162745118</v>
      </c>
      <c r="AE128" s="542">
        <f t="shared" si="28"/>
        <v>0.31331699261864643</v>
      </c>
      <c r="AF128" s="542">
        <f t="shared" si="28"/>
        <v>0.31035457760231344</v>
      </c>
      <c r="AG128" s="542">
        <f>AG129</f>
        <v>0.30547894148341398</v>
      </c>
      <c r="AJ128" s="204" t="s">
        <v>456</v>
      </c>
      <c r="AL128" s="191"/>
      <c r="AM128" s="198"/>
      <c r="AN128" s="198"/>
      <c r="AO128" s="198"/>
    </row>
    <row r="129" spans="1:63" ht="15.5" outlineLevel="1" thickTop="1">
      <c r="A129" t="s">
        <v>433</v>
      </c>
      <c r="B129" s="50" t="s">
        <v>126</v>
      </c>
      <c r="C129" s="120">
        <f>'Ethylene Recycling HC'!C153*'Ethylene Recycling HC'!C$45/'Ethylene Recycling LC'!C$45</f>
        <v>0</v>
      </c>
      <c r="D129" s="120">
        <f>'Ethylene Recycling HC'!D153*'Ethylene Recycling HC'!D$45/'Ethylene Recycling LC'!D$45</f>
        <v>2.2181718165435932E-2</v>
      </c>
      <c r="E129" s="120">
        <f>'Ethylene Recycling HC'!E153*'Ethylene Recycling HC'!E$45/'Ethylene Recycling LC'!E$45</f>
        <v>4.4363436330871864E-2</v>
      </c>
      <c r="F129" s="120">
        <f>'Ethylene Recycling HC'!F153*'Ethylene Recycling HC'!F$45/'Ethylene Recycling LC'!F$45</f>
        <v>6.6545154496307796E-2</v>
      </c>
      <c r="G129" s="120">
        <f>'Ethylene Recycling HC'!G153*'Ethylene Recycling HC'!G$45/'Ethylene Recycling LC'!G$45</f>
        <v>8.8726872661743728E-2</v>
      </c>
      <c r="H129" s="120">
        <f>'Ethylene Recycling HC'!H153*'Ethylene Recycling HC'!H$45/'Ethylene Recycling LC'!H$45</f>
        <v>0.11090859082717966</v>
      </c>
      <c r="I129" s="120">
        <f>'Ethylene Recycling HC'!I153*'Ethylene Recycling HC'!I$45/'Ethylene Recycling LC'!I$45</f>
        <v>0.13100179619597158</v>
      </c>
      <c r="J129" s="120">
        <f>'Ethylene Recycling HC'!J153*'Ethylene Recycling HC'!J$45/'Ethylene Recycling LC'!J$45</f>
        <v>0.15032113907716843</v>
      </c>
      <c r="K129" s="120">
        <f>'Ethylene Recycling HC'!K153*'Ethylene Recycling HC'!K$45/'Ethylene Recycling LC'!K$45</f>
        <v>0.16882900763592534</v>
      </c>
      <c r="L129" s="120">
        <f>'Ethylene Recycling HC'!L153*'Ethylene Recycling HC'!L$45/'Ethylene Recycling LC'!L$45</f>
        <v>0.18648531251512734</v>
      </c>
      <c r="M129" s="120">
        <f>'Ethylene Recycling HC'!M153*'Ethylene Recycling HC'!M$45/'Ethylene Recycling LC'!M$45</f>
        <v>0.20324727942428703</v>
      </c>
      <c r="N129" s="120">
        <f>'Ethylene Recycling HC'!N153*'Ethylene Recycling HC'!N$45/'Ethylene Recycling LC'!N$45</f>
        <v>0.21253353454558668</v>
      </c>
      <c r="O129" s="120">
        <f>'Ethylene Recycling HC'!O153*'Ethylene Recycling HC'!O$45/'Ethylene Recycling LC'!O$45</f>
        <v>0.22110889007046072</v>
      </c>
      <c r="P129" s="120">
        <f>'Ethylene Recycling HC'!P153*'Ethylene Recycling HC'!P$45/'Ethylene Recycling LC'!P$45</f>
        <v>0.22893574878725423</v>
      </c>
      <c r="Q129" s="120">
        <f>'Ethylene Recycling HC'!Q153*'Ethylene Recycling HC'!Q$45/'Ethylene Recycling LC'!Q$45</f>
        <v>0.23597381471239728</v>
      </c>
      <c r="R129" s="120">
        <f>'Ethylene Recycling HC'!R153*'Ethylene Recycling HC'!R$45/'Ethylene Recycling LC'!R$45</f>
        <v>0.24217984651425994</v>
      </c>
      <c r="S129" s="120">
        <f>'Ethylene Recycling HC'!S153*'Ethylene Recycling HC'!S$45/'Ethylene Recycling LC'!S$45</f>
        <v>0.24955152719213466</v>
      </c>
      <c r="T129" s="120">
        <f>'Ethylene Recycling HC'!T153*'Ethylene Recycling HC'!T$45/'Ethylene Recycling LC'!T$45</f>
        <v>0.25632950033175439</v>
      </c>
      <c r="U129" s="120">
        <f>'Ethylene Recycling HC'!U153*'Ethylene Recycling HC'!U$45/'Ethylene Recycling LC'!U$45</f>
        <v>0.26248988030750275</v>
      </c>
      <c r="V129" s="120">
        <f>'Ethylene Recycling HC'!V153*'Ethylene Recycling HC'!V$45/'Ethylene Recycling LC'!V$45</f>
        <v>0.26800748281153758</v>
      </c>
      <c r="W129" s="120">
        <f>'Ethylene Recycling HC'!W153*'Ethylene Recycling HC'!W$45/'Ethylene Recycling LC'!W$45</f>
        <v>0.27285573537442154</v>
      </c>
      <c r="X129" s="120">
        <f>'Ethylene Recycling HC'!X153*'Ethylene Recycling HC'!X$45/'Ethylene Recycling LC'!X$45</f>
        <v>0.28276133442868806</v>
      </c>
      <c r="Y129" s="120">
        <f>'Ethylene Recycling HC'!Y153*'Ethylene Recycling HC'!Y$45/'Ethylene Recycling LC'!Y$45</f>
        <v>0.29164873861742469</v>
      </c>
      <c r="Z129" s="120">
        <f>'Ethylene Recycling HC'!Z153*'Ethylene Recycling HC'!Z$45/'Ethylene Recycling LC'!Z$45</f>
        <v>0.29947404055291826</v>
      </c>
      <c r="AA129" s="120">
        <f>'Ethylene Recycling HC'!AA153*'Ethylene Recycling HC'!AA$45/'Ethylene Recycling LC'!AA$45</f>
        <v>0.30619077148526108</v>
      </c>
      <c r="AB129" s="120">
        <f>'Ethylene Recycling HC'!AB153*'Ethylene Recycling HC'!AB$45/'Ethylene Recycling LC'!AB$45</f>
        <v>0.31174971176502619</v>
      </c>
      <c r="AC129" s="120">
        <f>'Ethylene Recycling HC'!AC153*'Ethylene Recycling HC'!AC$45/'Ethylene Recycling LC'!AC$45</f>
        <v>0.31391953169445941</v>
      </c>
      <c r="AD129" s="120">
        <f>'Ethylene Recycling HC'!AD153*'Ethylene Recycling HC'!AD$45/'Ethylene Recycling LC'!AD$45</f>
        <v>0.31447246162745118</v>
      </c>
      <c r="AE129" s="120">
        <f>'Ethylene Recycling HC'!AE153*'Ethylene Recycling HC'!AE$45/'Ethylene Recycling LC'!AE$45</f>
        <v>0.31331699261864643</v>
      </c>
      <c r="AF129" s="120">
        <f>'Ethylene Recycling HC'!AF153*'Ethylene Recycling HC'!AF$45/'Ethylene Recycling LC'!AF$45</f>
        <v>0.31035457760231344</v>
      </c>
      <c r="AG129" s="120">
        <f>'Ethylene Recycling HC'!AG153*'Ethylene Recycling HC'!AG$45/'Ethylene Recycling LC'!AG$45</f>
        <v>0.30547894148341398</v>
      </c>
      <c r="AI129" s="124" t="s">
        <v>479</v>
      </c>
      <c r="AJ129" s="185" t="s">
        <v>438</v>
      </c>
    </row>
    <row r="130" spans="1:63" outlineLevel="1">
      <c r="A130" t="s">
        <v>436</v>
      </c>
      <c r="B130" s="50" t="s">
        <v>126</v>
      </c>
      <c r="C130" s="120">
        <f>'Ethylene Recycling HC'!C156*'Ethylene Recycling HC'!C$45/'Ethylene Recycling LC'!C$45</f>
        <v>0</v>
      </c>
      <c r="D130" s="120">
        <f>'Ethylene Recycling HC'!D156*'Ethylene Recycling HC'!D$45/'Ethylene Recycling LC'!D$45</f>
        <v>1.2939335596504294E-3</v>
      </c>
      <c r="E130" s="120">
        <f>'Ethylene Recycling HC'!E156*'Ethylene Recycling HC'!E$45/'Ethylene Recycling LC'!E$45</f>
        <v>2.9575624220581241E-3</v>
      </c>
      <c r="F130" s="120">
        <f>'Ethylene Recycling HC'!F156*'Ethylene Recycling HC'!F$45/'Ethylene Recycling LC'!F$45</f>
        <v>4.9908865872230843E-3</v>
      </c>
      <c r="G130" s="120">
        <f>'Ethylene Recycling HC'!G156*'Ethylene Recycling HC'!G$45/'Ethylene Recycling LC'!G$45</f>
        <v>7.3939060551453106E-3</v>
      </c>
      <c r="H130" s="120">
        <f>'Ethylene Recycling HC'!H156*'Ethylene Recycling HC'!H$45/'Ethylene Recycling LC'!H$45</f>
        <v>1.0166620825824802E-2</v>
      </c>
      <c r="I130" s="120">
        <f>'Ethylene Recycling HC'!I156*'Ethylene Recycling HC'!I$45/'Ethylene Recycling LC'!I$45</f>
        <v>1.3100179619597157E-2</v>
      </c>
      <c r="J130" s="120">
        <f>'Ethylene Recycling HC'!J156*'Ethylene Recycling HC'!J$45/'Ethylene Recycling LC'!J$45</f>
        <v>1.6284790066693245E-2</v>
      </c>
      <c r="K130" s="120">
        <f>'Ethylene Recycling HC'!K156*'Ethylene Recycling HC'!K$45/'Ethylene Recycling LC'!K$45</f>
        <v>1.9696717557524623E-2</v>
      </c>
      <c r="L130" s="120">
        <f>'Ethylene Recycling HC'!L156*'Ethylene Recycling HC'!L$45/'Ethylene Recycling LC'!L$45</f>
        <v>2.3310664064390918E-2</v>
      </c>
      <c r="M130" s="120">
        <f>'Ethylene Recycling HC'!M156*'Ethylene Recycling HC'!M$45/'Ethylene Recycling LC'!M$45</f>
        <v>2.7099637256571604E-2</v>
      </c>
      <c r="N130" s="120">
        <f>'Ethylene Recycling HC'!N156*'Ethylene Recycling HC'!N$45/'Ethylene Recycling LC'!N$45</f>
        <v>3.0108917393958112E-2</v>
      </c>
      <c r="O130" s="120">
        <f>'Ethylene Recycling HC'!O156*'Ethylene Recycling HC'!O$45/'Ethylene Recycling LC'!O$45</f>
        <v>3.3166333510569107E-2</v>
      </c>
      <c r="P130" s="120">
        <f>'Ethylene Recycling HC'!P156*'Ethylene Recycling HC'!P$45/'Ethylene Recycling LC'!P$45</f>
        <v>3.6248160224648586E-2</v>
      </c>
      <c r="Q130" s="120">
        <f>'Ethylene Recycling HC'!Q156*'Ethylene Recycling HC'!Q$45/'Ethylene Recycling LC'!Q$45</f>
        <v>3.9328969118732876E-2</v>
      </c>
      <c r="R130" s="120">
        <f>'Ethylene Recycling HC'!R156*'Ethylene Recycling HC'!R$45/'Ethylene Recycling LC'!R$45</f>
        <v>4.2381473139995497E-2</v>
      </c>
      <c r="S130" s="120">
        <f>'Ethylene Recycling HC'!S156*'Ethylene Recycling HC'!S$45/'Ethylene Recycling LC'!S$45</f>
        <v>4.5751113318558016E-2</v>
      </c>
      <c r="T130" s="120">
        <f>'Ethylene Recycling HC'!T156*'Ethylene Recycling HC'!T$45/'Ethylene Recycling LC'!T$45</f>
        <v>4.9129820896919585E-2</v>
      </c>
      <c r="U130" s="120">
        <f>'Ethylene Recycling HC'!U156*'Ethylene Recycling HC'!U$45/'Ethylene Recycling LC'!U$45</f>
        <v>5.2497976061500536E-2</v>
      </c>
      <c r="V130" s="120">
        <f>'Ethylene Recycling HC'!V156*'Ethylene Recycling HC'!V$45/'Ethylene Recycling LC'!V$45</f>
        <v>5.5834892252403644E-2</v>
      </c>
      <c r="W130" s="120">
        <f>'Ethylene Recycling HC'!W156*'Ethylene Recycling HC'!W$45/'Ethylene Recycling LC'!W$45</f>
        <v>5.9118742664457984E-2</v>
      </c>
      <c r="X130" s="120">
        <f>'Ethylene Recycling HC'!X156*'Ethylene Recycling HC'!X$45/'Ethylene Recycling LC'!X$45</f>
        <v>6.3621300246454821E-2</v>
      </c>
      <c r="Y130" s="120">
        <f>'Ethylene Recycling HC'!Y156*'Ethylene Recycling HC'!Y$45/'Ethylene Recycling LC'!Y$45</f>
        <v>6.8051372344065747E-2</v>
      </c>
      <c r="Z130" s="120">
        <f>'Ethylene Recycling HC'!Z156*'Ethylene Recycling HC'!Z$45/'Ethylene Recycling LC'!Z$45</f>
        <v>7.2372893133621913E-2</v>
      </c>
      <c r="AA130" s="120">
        <f>'Ethylene Recycling HC'!AA156*'Ethylene Recycling HC'!AA$45/'Ethylene Recycling LC'!AA$45</f>
        <v>7.6547692871315243E-2</v>
      </c>
      <c r="AB130" s="120">
        <f>'Ethylene Recycling HC'!AB156*'Ethylene Recycling HC'!AB$45/'Ethylene Recycling LC'!AB$45</f>
        <v>8.0535342205965102E-2</v>
      </c>
      <c r="AC130" s="120">
        <f>'Ethylene Recycling HC'!AC156*'Ethylene Recycling HC'!AC$45/'Ethylene Recycling LC'!AC$45</f>
        <v>8.3711875118522516E-2</v>
      </c>
      <c r="AD130" s="120">
        <f>'Ethylene Recycling HC'!AD156*'Ethylene Recycling HC'!AD$45/'Ethylene Recycling LC'!AD$45</f>
        <v>8.6479926947549093E-2</v>
      </c>
      <c r="AE130" s="120">
        <f>'Ethylene Recycling HC'!AE156*'Ethylene Recycling HC'!AE$45/'Ethylene Recycling LC'!AE$45</f>
        <v>8.8773147908616498E-2</v>
      </c>
      <c r="AF130" s="120">
        <f>'Ethylene Recycling HC'!AF156*'Ethylene Recycling HC'!AF$45/'Ethylene Recycling LC'!AF$45</f>
        <v>9.052008513400811E-2</v>
      </c>
      <c r="AG130" s="120">
        <f>'Ethylene Recycling HC'!AG156*'Ethylene Recycling HC'!AG$45/'Ethylene Recycling LC'!AG$45</f>
        <v>9.1643682445024202E-2</v>
      </c>
      <c r="AI130" s="124" t="s">
        <v>479</v>
      </c>
      <c r="AJ130" s="185"/>
      <c r="BD130" s="177"/>
      <c r="BE130" s="177"/>
    </row>
    <row r="131" spans="1:63" outlineLevel="1">
      <c r="A131" t="s">
        <v>437</v>
      </c>
      <c r="B131" s="50" t="s">
        <v>126</v>
      </c>
      <c r="C131" s="120">
        <f>'Ethylene Recycling HC'!C157*'Ethylene Recycling HC'!C$45/'Ethylene Recycling LC'!C$45</f>
        <v>0</v>
      </c>
      <c r="D131" s="120">
        <f>'Ethylene Recycling HC'!D157*'Ethylene Recycling HC'!D$45/'Ethylene Recycling LC'!D$45</f>
        <v>2.0887784605785501E-2</v>
      </c>
      <c r="E131" s="120">
        <f>'Ethylene Recycling HC'!E157*'Ethylene Recycling HC'!E$45/'Ethylene Recycling LC'!E$45</f>
        <v>4.1405873908813742E-2</v>
      </c>
      <c r="F131" s="120">
        <f>'Ethylene Recycling HC'!F157*'Ethylene Recycling HC'!F$45/'Ethylene Recycling LC'!F$45</f>
        <v>6.1554267909084713E-2</v>
      </c>
      <c r="G131" s="120">
        <f>'Ethylene Recycling HC'!G157*'Ethylene Recycling HC'!G$45/'Ethylene Recycling LC'!G$45</f>
        <v>8.1332966606598417E-2</v>
      </c>
      <c r="H131" s="120">
        <f>'Ethylene Recycling HC'!H157*'Ethylene Recycling HC'!H$45/'Ethylene Recycling LC'!H$45</f>
        <v>0.10074197000135486</v>
      </c>
      <c r="I131" s="120">
        <f>'Ethylene Recycling HC'!I157*'Ethylene Recycling HC'!I$45/'Ethylene Recycling LC'!I$45</f>
        <v>0.11790161657637441</v>
      </c>
      <c r="J131" s="120">
        <f>'Ethylene Recycling HC'!J157*'Ethylene Recycling HC'!J$45/'Ethylene Recycling LC'!J$45</f>
        <v>0.1340363490104752</v>
      </c>
      <c r="K131" s="120">
        <f>'Ethylene Recycling HC'!K157*'Ethylene Recycling HC'!K$45/'Ethylene Recycling LC'!K$45</f>
        <v>0.1491322900784007</v>
      </c>
      <c r="L131" s="120">
        <f>'Ethylene Recycling HC'!L157*'Ethylene Recycling HC'!L$45/'Ethylene Recycling LC'!L$45</f>
        <v>0.16317464845073645</v>
      </c>
      <c r="M131" s="120">
        <f>'Ethylene Recycling HC'!M157*'Ethylene Recycling HC'!M$45/'Ethylene Recycling LC'!M$45</f>
        <v>0.17614764216771542</v>
      </c>
      <c r="N131" s="120">
        <f>'Ethylene Recycling HC'!N157*'Ethylene Recycling HC'!N$45/'Ethylene Recycling LC'!N$45</f>
        <v>0.18242461715162858</v>
      </c>
      <c r="O131" s="120">
        <f>'Ethylene Recycling HC'!O157*'Ethylene Recycling HC'!O$45/'Ethylene Recycling LC'!O$45</f>
        <v>0.18794255655989162</v>
      </c>
      <c r="P131" s="120">
        <f>'Ethylene Recycling HC'!P157*'Ethylene Recycling HC'!P$45/'Ethylene Recycling LC'!P$45</f>
        <v>0.19268758856260565</v>
      </c>
      <c r="Q131" s="120">
        <f>'Ethylene Recycling HC'!Q157*'Ethylene Recycling HC'!Q$45/'Ethylene Recycling LC'!Q$45</f>
        <v>0.19664484559366438</v>
      </c>
      <c r="R131" s="120">
        <f>'Ethylene Recycling HC'!R157*'Ethylene Recycling HC'!R$45/'Ethylene Recycling LC'!R$45</f>
        <v>0.19979837337426445</v>
      </c>
      <c r="S131" s="120">
        <f>'Ethylene Recycling HC'!S157*'Ethylene Recycling HC'!S$45/'Ethylene Recycling LC'!S$45</f>
        <v>0.20380041387357664</v>
      </c>
      <c r="T131" s="120">
        <f>'Ethylene Recycling HC'!T157*'Ethylene Recycling HC'!T$45/'Ethylene Recycling LC'!T$45</f>
        <v>0.20719967943483475</v>
      </c>
      <c r="U131" s="120">
        <f>'Ethylene Recycling HC'!U157*'Ethylene Recycling HC'!U$45/'Ethylene Recycling LC'!U$45</f>
        <v>0.2099919042460022</v>
      </c>
      <c r="V131" s="120">
        <f>'Ethylene Recycling HC'!V157*'Ethylene Recycling HC'!V$45/'Ethylene Recycling LC'!V$45</f>
        <v>0.21217259055913393</v>
      </c>
      <c r="W131" s="120">
        <f>'Ethylene Recycling HC'!W157*'Ethylene Recycling HC'!W$45/'Ethylene Recycling LC'!W$45</f>
        <v>0.21373699270996349</v>
      </c>
      <c r="X131" s="120">
        <f>'Ethylene Recycling HC'!X157*'Ethylene Recycling HC'!X$45/'Ethylene Recycling LC'!X$45</f>
        <v>0.21914003418223327</v>
      </c>
      <c r="Y131" s="120">
        <f>'Ethylene Recycling HC'!Y157*'Ethylene Recycling HC'!Y$45/'Ethylene Recycling LC'!Y$45</f>
        <v>0.22359736627335894</v>
      </c>
      <c r="Z131" s="120">
        <f>'Ethylene Recycling HC'!Z157*'Ethylene Recycling HC'!Z$45/'Ethylene Recycling LC'!Z$45</f>
        <v>0.2271011474192963</v>
      </c>
      <c r="AA131" s="120">
        <f>'Ethylene Recycling HC'!AA157*'Ethylene Recycling HC'!AA$45/'Ethylene Recycling LC'!AA$45</f>
        <v>0.22964307861394576</v>
      </c>
      <c r="AB131" s="120">
        <f>'Ethylene Recycling HC'!AB157*'Ethylene Recycling HC'!AB$45/'Ethylene Recycling LC'!AB$45</f>
        <v>0.23121436955906108</v>
      </c>
      <c r="AC131" s="120">
        <f>'Ethylene Recycling HC'!AC157*'Ethylene Recycling HC'!AC$45/'Ethylene Recycling LC'!AC$45</f>
        <v>0.23020765657593692</v>
      </c>
      <c r="AD131" s="120">
        <f>'Ethylene Recycling HC'!AD157*'Ethylene Recycling HC'!AD$45/'Ethylene Recycling LC'!AD$45</f>
        <v>0.2279925346799021</v>
      </c>
      <c r="AE131" s="120">
        <f>'Ethylene Recycling HC'!AE157*'Ethylene Recycling HC'!AE$45/'Ethylene Recycling LC'!AE$45</f>
        <v>0.22454384471002992</v>
      </c>
      <c r="AF131" s="120">
        <f>'Ethylene Recycling HC'!AF157*'Ethylene Recycling HC'!AF$45/'Ethylene Recycling LC'!AF$45</f>
        <v>0.21983449246830533</v>
      </c>
      <c r="AG131" s="120">
        <f>'Ethylene Recycling HC'!AG157*'Ethylene Recycling HC'!AG$45/'Ethylene Recycling LC'!AG$45</f>
        <v>0.21383525903838982</v>
      </c>
      <c r="AI131" s="124" t="s">
        <v>479</v>
      </c>
      <c r="AJ131" s="185"/>
      <c r="BD131" s="177"/>
      <c r="BE131" s="177"/>
    </row>
    <row r="132" spans="1:63" outlineLevel="1">
      <c r="A132" t="s">
        <v>440</v>
      </c>
      <c r="B132" s="50" t="s">
        <v>126</v>
      </c>
      <c r="C132" s="120">
        <f>'Ethylene Recycling HC'!C163*'Ethylene Recycling HC'!C$45/'Ethylene Recycling LC'!C$45</f>
        <v>0</v>
      </c>
      <c r="D132" s="120">
        <f>'Ethylene Recycling HC'!D163*'Ethylene Recycling HC'!D$45/'Ethylene Recycling LC'!D$45</f>
        <v>1.0443892302892751E-2</v>
      </c>
      <c r="E132" s="120">
        <f>'Ethylene Recycling HC'!E163*'Ethylene Recycling HC'!E$45/'Ethylene Recycling LC'!E$45</f>
        <v>2.0702936954406871E-2</v>
      </c>
      <c r="F132" s="120">
        <f>'Ethylene Recycling HC'!F163*'Ethylene Recycling HC'!F$45/'Ethylene Recycling LC'!F$45</f>
        <v>3.0777133954542357E-2</v>
      </c>
      <c r="G132" s="120">
        <f>'Ethylene Recycling HC'!G163*'Ethylene Recycling HC'!G$45/'Ethylene Recycling LC'!G$45</f>
        <v>4.0666483303299208E-2</v>
      </c>
      <c r="H132" s="120">
        <f>'Ethylene Recycling HC'!H163*'Ethylene Recycling HC'!H$45/'Ethylene Recycling LC'!H$45</f>
        <v>5.037098500067743E-2</v>
      </c>
      <c r="I132" s="120">
        <f>'Ethylene Recycling HC'!I163*'Ethylene Recycling HC'!I$45/'Ethylene Recycling LC'!I$45</f>
        <v>5.8950808288187204E-2</v>
      </c>
      <c r="J132" s="120">
        <f>'Ethylene Recycling HC'!J163*'Ethylene Recycling HC'!J$45/'Ethylene Recycling LC'!J$45</f>
        <v>6.7018174505237602E-2</v>
      </c>
      <c r="K132" s="120">
        <f>'Ethylene Recycling HC'!K163*'Ethylene Recycling HC'!K$45/'Ethylene Recycling LC'!K$45</f>
        <v>7.4566145039200352E-2</v>
      </c>
      <c r="L132" s="120">
        <f>'Ethylene Recycling HC'!L163*'Ethylene Recycling HC'!L$45/'Ethylene Recycling LC'!L$45</f>
        <v>8.1587324225368227E-2</v>
      </c>
      <c r="M132" s="120">
        <f>'Ethylene Recycling HC'!M163*'Ethylene Recycling HC'!M$45/'Ethylene Recycling LC'!M$45</f>
        <v>8.8073821083857709E-2</v>
      </c>
      <c r="N132" s="120">
        <f>'Ethylene Recycling HC'!N163*'Ethylene Recycling HC'!N$45/'Ethylene Recycling LC'!N$45</f>
        <v>9.1212308575814291E-2</v>
      </c>
      <c r="O132" s="120">
        <f>'Ethylene Recycling HC'!O163*'Ethylene Recycling HC'!O$45/'Ethylene Recycling LC'!O$45</f>
        <v>9.3971278279945808E-2</v>
      </c>
      <c r="P132" s="120">
        <f>'Ethylene Recycling HC'!P163*'Ethylene Recycling HC'!P$45/'Ethylene Recycling LC'!P$45</f>
        <v>9.6343794281302825E-2</v>
      </c>
      <c r="Q132" s="120">
        <f>'Ethylene Recycling HC'!Q163*'Ethylene Recycling HC'!Q$45/'Ethylene Recycling LC'!Q$45</f>
        <v>9.832242279683219E-2</v>
      </c>
      <c r="R132" s="120">
        <f>'Ethylene Recycling HC'!R163*'Ethylene Recycling HC'!R$45/'Ethylene Recycling LC'!R$45</f>
        <v>9.9899186687132227E-2</v>
      </c>
      <c r="S132" s="120">
        <f>'Ethylene Recycling HC'!S163*'Ethylene Recycling HC'!S$45/'Ethylene Recycling LC'!S$45</f>
        <v>0.10190020693678832</v>
      </c>
      <c r="T132" s="120">
        <f>'Ethylene Recycling HC'!T163*'Ethylene Recycling HC'!T$45/'Ethylene Recycling LC'!T$45</f>
        <v>0.10359983971741737</v>
      </c>
      <c r="U132" s="120">
        <f>'Ethylene Recycling HC'!U163*'Ethylene Recycling HC'!U$45/'Ethylene Recycling LC'!U$45</f>
        <v>0.1049959521230011</v>
      </c>
      <c r="V132" s="120">
        <f>'Ethylene Recycling HC'!V163*'Ethylene Recycling HC'!V$45/'Ethylene Recycling LC'!V$45</f>
        <v>0.10608629527956696</v>
      </c>
      <c r="W132" s="120">
        <f>'Ethylene Recycling HC'!W163*'Ethylene Recycling HC'!W$45/'Ethylene Recycling LC'!W$45</f>
        <v>0.10686849635498175</v>
      </c>
      <c r="X132" s="120">
        <f>'Ethylene Recycling HC'!X163*'Ethylene Recycling HC'!X$45/'Ethylene Recycling LC'!X$45</f>
        <v>0.10957001709111663</v>
      </c>
      <c r="Y132" s="120">
        <f>'Ethylene Recycling HC'!Y163*'Ethylene Recycling HC'!Y$45/'Ethylene Recycling LC'!Y$45</f>
        <v>0.11179868313667947</v>
      </c>
      <c r="Z132" s="120">
        <f>'Ethylene Recycling HC'!Z163*'Ethylene Recycling HC'!Z$45/'Ethylene Recycling LC'!Z$45</f>
        <v>0.11355057370964815</v>
      </c>
      <c r="AA132" s="120">
        <f>'Ethylene Recycling HC'!AA163*'Ethylene Recycling HC'!AA$45/'Ethylene Recycling LC'!AA$45</f>
        <v>0.11482153930697288</v>
      </c>
      <c r="AB132" s="120">
        <f>'Ethylene Recycling HC'!AB163*'Ethylene Recycling HC'!AB$45/'Ethylene Recycling LC'!AB$45</f>
        <v>0.11560718477953054</v>
      </c>
      <c r="AC132" s="120">
        <f>'Ethylene Recycling HC'!AC163*'Ethylene Recycling HC'!AC$45/'Ethylene Recycling LC'!AC$45</f>
        <v>0.11510382828796846</v>
      </c>
      <c r="AD132" s="120">
        <f>'Ethylene Recycling HC'!AD163*'Ethylene Recycling HC'!AD$45/'Ethylene Recycling LC'!AD$45</f>
        <v>0.11399626733995105</v>
      </c>
      <c r="AE132" s="120">
        <f>'Ethylene Recycling HC'!AE163*'Ethylene Recycling HC'!AE$45/'Ethylene Recycling LC'!AE$45</f>
        <v>0.11227192235501496</v>
      </c>
      <c r="AF132" s="120">
        <f>'Ethylene Recycling HC'!AF163*'Ethylene Recycling HC'!AF$45/'Ethylene Recycling LC'!AF$45</f>
        <v>0.10991724623415267</v>
      </c>
      <c r="AG132" s="120">
        <f>'Ethylene Recycling HC'!AG163*'Ethylene Recycling HC'!AG$45/'Ethylene Recycling LC'!AG$45</f>
        <v>0.10691762951919491</v>
      </c>
      <c r="AH132" s="122"/>
      <c r="AI132" s="124" t="s">
        <v>479</v>
      </c>
      <c r="AJ132" s="185"/>
    </row>
    <row r="133" spans="1:63" outlineLevel="1">
      <c r="A133" t="s">
        <v>518</v>
      </c>
      <c r="B133" s="50" t="s">
        <v>126</v>
      </c>
      <c r="C133" s="120">
        <f>'Ethylene Recycling HC'!C164*'Ethylene Recycling HC'!C$45/'Ethylene Recycling LC'!C$45</f>
        <v>0</v>
      </c>
      <c r="D133" s="120">
        <f>'Ethylene Recycling HC'!D164*'Ethylene Recycling HC'!D$45/'Ethylene Recycling LC'!D$45</f>
        <v>1.0443892302892751E-2</v>
      </c>
      <c r="E133" s="120">
        <f>'Ethylene Recycling HC'!E164*'Ethylene Recycling HC'!E$45/'Ethylene Recycling LC'!E$45</f>
        <v>2.0702936954406871E-2</v>
      </c>
      <c r="F133" s="120">
        <f>'Ethylene Recycling HC'!F164*'Ethylene Recycling HC'!F$45/'Ethylene Recycling LC'!F$45</f>
        <v>3.0777133954542357E-2</v>
      </c>
      <c r="G133" s="120">
        <f>'Ethylene Recycling HC'!G164*'Ethylene Recycling HC'!G$45/'Ethylene Recycling LC'!G$45</f>
        <v>4.0666483303299208E-2</v>
      </c>
      <c r="H133" s="120">
        <f>'Ethylene Recycling HC'!H164*'Ethylene Recycling HC'!H$45/'Ethylene Recycling LC'!H$45</f>
        <v>5.037098500067743E-2</v>
      </c>
      <c r="I133" s="120">
        <f>'Ethylene Recycling HC'!I164*'Ethylene Recycling HC'!I$45/'Ethylene Recycling LC'!I$45</f>
        <v>5.8950808288187204E-2</v>
      </c>
      <c r="J133" s="120">
        <f>'Ethylene Recycling HC'!J164*'Ethylene Recycling HC'!J$45/'Ethylene Recycling LC'!J$45</f>
        <v>6.7018174505237602E-2</v>
      </c>
      <c r="K133" s="120">
        <f>'Ethylene Recycling HC'!K164*'Ethylene Recycling HC'!K$45/'Ethylene Recycling LC'!K$45</f>
        <v>7.4566145039200352E-2</v>
      </c>
      <c r="L133" s="120">
        <f>'Ethylene Recycling HC'!L164*'Ethylene Recycling HC'!L$45/'Ethylene Recycling LC'!L$45</f>
        <v>8.1587324225368227E-2</v>
      </c>
      <c r="M133" s="120">
        <f>'Ethylene Recycling HC'!M164*'Ethylene Recycling HC'!M$45/'Ethylene Recycling LC'!M$45</f>
        <v>8.8073821083857709E-2</v>
      </c>
      <c r="N133" s="120">
        <f>'Ethylene Recycling HC'!N164*'Ethylene Recycling HC'!N$45/'Ethylene Recycling LC'!N$45</f>
        <v>9.1212308575814291E-2</v>
      </c>
      <c r="O133" s="120">
        <f>'Ethylene Recycling HC'!O164*'Ethylene Recycling HC'!O$45/'Ethylene Recycling LC'!O$45</f>
        <v>9.3971278279945808E-2</v>
      </c>
      <c r="P133" s="120">
        <f>'Ethylene Recycling HC'!P164*'Ethylene Recycling HC'!P$45/'Ethylene Recycling LC'!P$45</f>
        <v>9.6343794281302825E-2</v>
      </c>
      <c r="Q133" s="120">
        <f>'Ethylene Recycling HC'!Q164*'Ethylene Recycling HC'!Q$45/'Ethylene Recycling LC'!Q$45</f>
        <v>9.832242279683219E-2</v>
      </c>
      <c r="R133" s="120">
        <f>'Ethylene Recycling HC'!R164*'Ethylene Recycling HC'!R$45/'Ethylene Recycling LC'!R$45</f>
        <v>9.9899186687132227E-2</v>
      </c>
      <c r="S133" s="120">
        <f>'Ethylene Recycling HC'!S164*'Ethylene Recycling HC'!S$45/'Ethylene Recycling LC'!S$45</f>
        <v>0.10190020693678832</v>
      </c>
      <c r="T133" s="120">
        <f>'Ethylene Recycling HC'!T164*'Ethylene Recycling HC'!T$45/'Ethylene Recycling LC'!T$45</f>
        <v>0.10359983971741737</v>
      </c>
      <c r="U133" s="120">
        <f>'Ethylene Recycling HC'!U164*'Ethylene Recycling HC'!U$45/'Ethylene Recycling LC'!U$45</f>
        <v>0.1049959521230011</v>
      </c>
      <c r="V133" s="120">
        <f>'Ethylene Recycling HC'!V164*'Ethylene Recycling HC'!V$45/'Ethylene Recycling LC'!V$45</f>
        <v>0.10608629527956696</v>
      </c>
      <c r="W133" s="120">
        <f>'Ethylene Recycling HC'!W164*'Ethylene Recycling HC'!W$45/'Ethylene Recycling LC'!W$45</f>
        <v>0.10686849635498175</v>
      </c>
      <c r="X133" s="120">
        <f>'Ethylene Recycling HC'!X164*'Ethylene Recycling HC'!X$45/'Ethylene Recycling LC'!X$45</f>
        <v>0.10957001709111663</v>
      </c>
      <c r="Y133" s="120">
        <f>'Ethylene Recycling HC'!Y164*'Ethylene Recycling HC'!Y$45/'Ethylene Recycling LC'!Y$45</f>
        <v>0.11179868313667947</v>
      </c>
      <c r="Z133" s="120">
        <f>'Ethylene Recycling HC'!Z164*'Ethylene Recycling HC'!Z$45/'Ethylene Recycling LC'!Z$45</f>
        <v>0.11355057370964815</v>
      </c>
      <c r="AA133" s="120">
        <f>'Ethylene Recycling HC'!AA164*'Ethylene Recycling HC'!AA$45/'Ethylene Recycling LC'!AA$45</f>
        <v>0.11482153930697288</v>
      </c>
      <c r="AB133" s="120">
        <f>'Ethylene Recycling HC'!AB164*'Ethylene Recycling HC'!AB$45/'Ethylene Recycling LC'!AB$45</f>
        <v>0.11560718477953054</v>
      </c>
      <c r="AC133" s="120">
        <f>'Ethylene Recycling HC'!AC164*'Ethylene Recycling HC'!AC$45/'Ethylene Recycling LC'!AC$45</f>
        <v>0.11510382828796846</v>
      </c>
      <c r="AD133" s="120">
        <f>'Ethylene Recycling HC'!AD164*'Ethylene Recycling HC'!AD$45/'Ethylene Recycling LC'!AD$45</f>
        <v>0.11399626733995105</v>
      </c>
      <c r="AE133" s="120">
        <f>'Ethylene Recycling HC'!AE164*'Ethylene Recycling HC'!AE$45/'Ethylene Recycling LC'!AE$45</f>
        <v>0.11227192235501496</v>
      </c>
      <c r="AF133" s="120">
        <f>'Ethylene Recycling HC'!AF164*'Ethylene Recycling HC'!AF$45/'Ethylene Recycling LC'!AF$45</f>
        <v>0.10991724623415267</v>
      </c>
      <c r="AG133" s="120">
        <f>'Ethylene Recycling HC'!AG164*'Ethylene Recycling HC'!AG$45/'Ethylene Recycling LC'!AG$45</f>
        <v>0.10691762951919491</v>
      </c>
      <c r="AI133" s="124" t="s">
        <v>479</v>
      </c>
      <c r="AJ133" s="185"/>
    </row>
    <row r="134" spans="1:63" outlineLevel="1"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I134" s="125"/>
      <c r="AJ134" s="185"/>
      <c r="BC134" s="1"/>
      <c r="BD134" s="37"/>
      <c r="BF134" s="6"/>
      <c r="BG134" s="6"/>
      <c r="BH134" s="6"/>
      <c r="BI134" s="6"/>
      <c r="BJ134" s="6"/>
    </row>
    <row r="135" spans="1:63" s="1" customFormat="1" outlineLevel="1">
      <c r="A135" s="1" t="s">
        <v>265</v>
      </c>
      <c r="B135" s="60"/>
      <c r="C135" s="541">
        <f>'Ethylene Recycling HC'!C173</f>
        <v>0</v>
      </c>
      <c r="D135" s="541">
        <f>'Ethylene Recycling HC'!D173</f>
        <v>107.93123811254998</v>
      </c>
      <c r="E135" s="541">
        <f>'Ethylene Recycling HC'!E173</f>
        <v>246.15536418239407</v>
      </c>
      <c r="F135" s="541">
        <f>'Ethylene Recycling HC'!F173</f>
        <v>414.47017878823044</v>
      </c>
      <c r="G135" s="541">
        <f>'Ethylene Recycling HC'!G173</f>
        <v>612.67437757178368</v>
      </c>
      <c r="H135" s="541">
        <f>'Ethylene Recycling HC'!H173</f>
        <v>840.56754794033486</v>
      </c>
      <c r="I135" s="541">
        <f>'Ethylene Recycling HC'!I173</f>
        <v>1064.0235056575727</v>
      </c>
      <c r="J135" s="541">
        <f>'Ethylene Recycling HC'!J173</f>
        <v>1299.0538541841959</v>
      </c>
      <c r="K135" s="541">
        <f>'Ethylene Recycling HC'!K173</f>
        <v>1542.7639106661261</v>
      </c>
      <c r="L135" s="541">
        <f>'Ethylene Recycling HC'!L173</f>
        <v>1792.2842050901895</v>
      </c>
      <c r="M135" s="541">
        <f>'Ethylene Recycling HC'!M173</f>
        <v>2044.7703417852506</v>
      </c>
      <c r="N135" s="541">
        <f>'Ethylene Recycling HC'!N173</f>
        <v>2228.8624081464818</v>
      </c>
      <c r="O135" s="541">
        <f>'Ethylene Recycling HC'!O173</f>
        <v>2408.0566041809666</v>
      </c>
      <c r="P135" s="541">
        <f>'Ethylene Recycling HC'!P173</f>
        <v>2580.5124069527396</v>
      </c>
      <c r="Q135" s="541">
        <f>'Ethylene Recycling HC'!Q173</f>
        <v>2744.4056811387513</v>
      </c>
      <c r="R135" s="541">
        <f>'Ethylene Recycling HC'!R173</f>
        <v>2897.9285883452139</v>
      </c>
      <c r="S135" s="541">
        <f>'Ethylene Recycling HC'!S173</f>
        <v>3081.1885036739882</v>
      </c>
      <c r="T135" s="541">
        <f>'Ethylene Recycling HC'!T173</f>
        <v>3258.3120248214896</v>
      </c>
      <c r="U135" s="541">
        <f>'Ethylene Recycling HC'!U173</f>
        <v>3428.0321187722752</v>
      </c>
      <c r="V135" s="541">
        <f>'Ethylene Recycling HC'!V173</f>
        <v>3589.0931122665816</v>
      </c>
      <c r="W135" s="541">
        <f>'Ethylene Recycling HC'!W173</f>
        <v>3740.2506287984488</v>
      </c>
      <c r="X135" s="541">
        <f>'Ethylene Recycling HC'!X173</f>
        <v>3960.8833591073303</v>
      </c>
      <c r="Y135" s="541">
        <f>'Ethylene Recycling HC'!Y173</f>
        <v>4168.267678501401</v>
      </c>
      <c r="Z135" s="541">
        <f>'Ethylene Recycling HC'!Z173</f>
        <v>4360.5034070545144</v>
      </c>
      <c r="AA135" s="541">
        <f>'Ethylene Recycling HC'!AA173</f>
        <v>4535.707521802241</v>
      </c>
      <c r="AB135" s="541">
        <f>'Ethylene Recycling HC'!AB173</f>
        <v>4692.0140613675258</v>
      </c>
      <c r="AC135" s="541">
        <f>'Ethylene Recycling HC'!AC173</f>
        <v>4779.4266836251854</v>
      </c>
      <c r="AD135" s="541">
        <f>'Ethylene Recycling HC'!AD173</f>
        <v>4837.0038461130553</v>
      </c>
      <c r="AE135" s="541">
        <f>'Ethylene Recycling HC'!AE173</f>
        <v>4862.5737933114024</v>
      </c>
      <c r="AF135" s="541">
        <f>'Ethylene Recycling HC'!AF173</f>
        <v>4853.9848154769061</v>
      </c>
      <c r="AG135" s="541">
        <f>'Ethylene Recycling HC'!AG173</f>
        <v>4809.1051364171144</v>
      </c>
      <c r="AH135" s="367"/>
      <c r="AI135" s="368"/>
      <c r="AJ135" s="369"/>
      <c r="AL135" s="194"/>
      <c r="AM135" s="116"/>
      <c r="AN135" s="116"/>
      <c r="AO135" s="116"/>
      <c r="BD135" s="116"/>
      <c r="BE135" s="116"/>
      <c r="BF135" s="116"/>
      <c r="BG135" s="116"/>
      <c r="BH135" s="116"/>
      <c r="BI135" s="116"/>
      <c r="BJ135" s="116"/>
      <c r="BK135" s="116"/>
    </row>
    <row r="136" spans="1:63" outlineLevel="1">
      <c r="A136" s="4" t="s">
        <v>141</v>
      </c>
      <c r="C136" s="120">
        <f>'Ethylene Recycling HC'!C174</f>
        <v>0</v>
      </c>
      <c r="D136" s="120">
        <f>'Ethylene Recycling HC'!D174</f>
        <v>0</v>
      </c>
      <c r="E136" s="120">
        <f>'Ethylene Recycling HC'!E174</f>
        <v>0</v>
      </c>
      <c r="F136" s="120">
        <f>'Ethylene Recycling HC'!F174</f>
        <v>0</v>
      </c>
      <c r="G136" s="120">
        <f>'Ethylene Recycling HC'!G174</f>
        <v>0</v>
      </c>
      <c r="H136" s="120">
        <f>'Ethylene Recycling HC'!H174</f>
        <v>0</v>
      </c>
      <c r="I136" s="120">
        <f>'Ethylene Recycling HC'!I174</f>
        <v>0</v>
      </c>
      <c r="J136" s="120">
        <f>'Ethylene Recycling HC'!J174</f>
        <v>0</v>
      </c>
      <c r="K136" s="120">
        <f>'Ethylene Recycling HC'!K174</f>
        <v>0</v>
      </c>
      <c r="L136" s="120">
        <f>'Ethylene Recycling HC'!L174</f>
        <v>0</v>
      </c>
      <c r="M136" s="120">
        <f>'Ethylene Recycling HC'!M174</f>
        <v>0</v>
      </c>
      <c r="N136" s="120">
        <f>'Ethylene Recycling HC'!N174</f>
        <v>0</v>
      </c>
      <c r="O136" s="120">
        <f>'Ethylene Recycling HC'!O174</f>
        <v>0</v>
      </c>
      <c r="P136" s="120">
        <f>'Ethylene Recycling HC'!P174</f>
        <v>0</v>
      </c>
      <c r="Q136" s="120">
        <f>'Ethylene Recycling HC'!Q174</f>
        <v>0</v>
      </c>
      <c r="R136" s="120">
        <f>'Ethylene Recycling HC'!R174</f>
        <v>0</v>
      </c>
      <c r="S136" s="120">
        <f>'Ethylene Recycling HC'!S174</f>
        <v>0</v>
      </c>
      <c r="T136" s="120">
        <f>'Ethylene Recycling HC'!T174</f>
        <v>0</v>
      </c>
      <c r="U136" s="120">
        <f>'Ethylene Recycling HC'!U174</f>
        <v>0</v>
      </c>
      <c r="V136" s="120">
        <f>'Ethylene Recycling HC'!V174</f>
        <v>0</v>
      </c>
      <c r="W136" s="120">
        <f>'Ethylene Recycling HC'!W174</f>
        <v>0</v>
      </c>
      <c r="X136" s="120">
        <f>'Ethylene Recycling HC'!X174</f>
        <v>0</v>
      </c>
      <c r="Y136" s="120">
        <f>'Ethylene Recycling HC'!Y174</f>
        <v>0</v>
      </c>
      <c r="Z136" s="120">
        <f>'Ethylene Recycling HC'!Z174</f>
        <v>0</v>
      </c>
      <c r="AA136" s="120">
        <f>'Ethylene Recycling HC'!AA174</f>
        <v>0</v>
      </c>
      <c r="AB136" s="120">
        <f>'Ethylene Recycling HC'!AB174</f>
        <v>0</v>
      </c>
      <c r="AC136" s="120">
        <f>'Ethylene Recycling HC'!AC174</f>
        <v>0</v>
      </c>
      <c r="AD136" s="120">
        <f>'Ethylene Recycling HC'!AD174</f>
        <v>0</v>
      </c>
      <c r="AE136" s="120">
        <f>'Ethylene Recycling HC'!AE174</f>
        <v>0</v>
      </c>
      <c r="AF136" s="120">
        <f>'Ethylene Recycling HC'!AF174</f>
        <v>0</v>
      </c>
      <c r="AG136" s="120">
        <f>'Ethylene Recycling HC'!AG174</f>
        <v>0</v>
      </c>
      <c r="AH136" s="217"/>
      <c r="AI136" s="124"/>
      <c r="AJ136" s="185"/>
      <c r="AL136" s="100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74</v>
      </c>
      <c r="C137" s="120">
        <f>'Ethylene Recycling HC'!C175</f>
        <v>0</v>
      </c>
      <c r="D137" s="120">
        <f>'Ethylene Recycling HC'!D175</f>
        <v>0</v>
      </c>
      <c r="E137" s="120">
        <f>'Ethylene Recycling HC'!E175</f>
        <v>0</v>
      </c>
      <c r="F137" s="120">
        <f>'Ethylene Recycling HC'!F175</f>
        <v>0</v>
      </c>
      <c r="G137" s="120">
        <f>'Ethylene Recycling HC'!G175</f>
        <v>0</v>
      </c>
      <c r="H137" s="120">
        <f>'Ethylene Recycling HC'!H175</f>
        <v>0</v>
      </c>
      <c r="I137" s="120">
        <f>'Ethylene Recycling HC'!I175</f>
        <v>0</v>
      </c>
      <c r="J137" s="120">
        <f>'Ethylene Recycling HC'!J175</f>
        <v>0</v>
      </c>
      <c r="K137" s="120">
        <f>'Ethylene Recycling HC'!K175</f>
        <v>0</v>
      </c>
      <c r="L137" s="120">
        <f>'Ethylene Recycling HC'!L175</f>
        <v>0</v>
      </c>
      <c r="M137" s="120">
        <f>'Ethylene Recycling HC'!M175</f>
        <v>0</v>
      </c>
      <c r="N137" s="120">
        <f>'Ethylene Recycling HC'!N175</f>
        <v>0</v>
      </c>
      <c r="O137" s="120">
        <f>'Ethylene Recycling HC'!O175</f>
        <v>0</v>
      </c>
      <c r="P137" s="120">
        <f>'Ethylene Recycling HC'!P175</f>
        <v>0</v>
      </c>
      <c r="Q137" s="120">
        <f>'Ethylene Recycling HC'!Q175</f>
        <v>0</v>
      </c>
      <c r="R137" s="120">
        <f>'Ethylene Recycling HC'!R175</f>
        <v>0</v>
      </c>
      <c r="S137" s="120">
        <f>'Ethylene Recycling HC'!S175</f>
        <v>0</v>
      </c>
      <c r="T137" s="120">
        <f>'Ethylene Recycling HC'!T175</f>
        <v>0</v>
      </c>
      <c r="U137" s="120">
        <f>'Ethylene Recycling HC'!U175</f>
        <v>0</v>
      </c>
      <c r="V137" s="120">
        <f>'Ethylene Recycling HC'!V175</f>
        <v>0</v>
      </c>
      <c r="W137" s="120">
        <f>'Ethylene Recycling HC'!W175</f>
        <v>0</v>
      </c>
      <c r="X137" s="120">
        <f>'Ethylene Recycling HC'!X175</f>
        <v>0</v>
      </c>
      <c r="Y137" s="120">
        <f>'Ethylene Recycling HC'!Y175</f>
        <v>0</v>
      </c>
      <c r="Z137" s="120">
        <f>'Ethylene Recycling HC'!Z175</f>
        <v>0</v>
      </c>
      <c r="AA137" s="120">
        <f>'Ethylene Recycling HC'!AA175</f>
        <v>0</v>
      </c>
      <c r="AB137" s="120">
        <f>'Ethylene Recycling HC'!AB175</f>
        <v>0</v>
      </c>
      <c r="AC137" s="120">
        <f>'Ethylene Recycling HC'!AC175</f>
        <v>0</v>
      </c>
      <c r="AD137" s="120">
        <f>'Ethylene Recycling HC'!AD175</f>
        <v>0</v>
      </c>
      <c r="AE137" s="120">
        <f>'Ethylene Recycling HC'!AE175</f>
        <v>0</v>
      </c>
      <c r="AF137" s="120">
        <f>'Ethylene Recycling HC'!AF175</f>
        <v>0</v>
      </c>
      <c r="AG137" s="120">
        <f>'Ethylene Recycling HC'!AG175</f>
        <v>0</v>
      </c>
      <c r="AH137" s="217"/>
      <c r="AI137" s="124"/>
      <c r="AJ137" s="185"/>
      <c r="AL137" s="100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outlineLevel="1">
      <c r="A138" s="4" t="s">
        <v>34</v>
      </c>
      <c r="C138" s="120">
        <f>'Ethylene Recycling HC'!C176</f>
        <v>0</v>
      </c>
      <c r="D138" s="120">
        <f>'Ethylene Recycling HC'!D176</f>
        <v>0</v>
      </c>
      <c r="E138" s="120">
        <f>'Ethylene Recycling HC'!E176</f>
        <v>0</v>
      </c>
      <c r="F138" s="120">
        <f>'Ethylene Recycling HC'!F176</f>
        <v>0</v>
      </c>
      <c r="G138" s="120">
        <f>'Ethylene Recycling HC'!G176</f>
        <v>0</v>
      </c>
      <c r="H138" s="120">
        <f>'Ethylene Recycling HC'!H176</f>
        <v>0</v>
      </c>
      <c r="I138" s="120">
        <f>'Ethylene Recycling HC'!I176</f>
        <v>0</v>
      </c>
      <c r="J138" s="120">
        <f>'Ethylene Recycling HC'!J176</f>
        <v>0</v>
      </c>
      <c r="K138" s="120">
        <f>'Ethylene Recycling HC'!K176</f>
        <v>0</v>
      </c>
      <c r="L138" s="120">
        <f>'Ethylene Recycling HC'!L176</f>
        <v>0</v>
      </c>
      <c r="M138" s="120">
        <f>'Ethylene Recycling HC'!M176</f>
        <v>0</v>
      </c>
      <c r="N138" s="120">
        <f>'Ethylene Recycling HC'!N176</f>
        <v>0</v>
      </c>
      <c r="O138" s="120">
        <f>'Ethylene Recycling HC'!O176</f>
        <v>0</v>
      </c>
      <c r="P138" s="120">
        <f>'Ethylene Recycling HC'!P176</f>
        <v>0</v>
      </c>
      <c r="Q138" s="120">
        <f>'Ethylene Recycling HC'!Q176</f>
        <v>0</v>
      </c>
      <c r="R138" s="120">
        <f>'Ethylene Recycling HC'!R176</f>
        <v>0</v>
      </c>
      <c r="S138" s="120">
        <f>'Ethylene Recycling HC'!S176</f>
        <v>0</v>
      </c>
      <c r="T138" s="120">
        <f>'Ethylene Recycling HC'!T176</f>
        <v>0</v>
      </c>
      <c r="U138" s="120">
        <f>'Ethylene Recycling HC'!U176</f>
        <v>0</v>
      </c>
      <c r="V138" s="120">
        <f>'Ethylene Recycling HC'!V176</f>
        <v>0</v>
      </c>
      <c r="W138" s="120">
        <f>'Ethylene Recycling HC'!W176</f>
        <v>0</v>
      </c>
      <c r="X138" s="120">
        <f>'Ethylene Recycling HC'!X176</f>
        <v>0</v>
      </c>
      <c r="Y138" s="120">
        <f>'Ethylene Recycling HC'!Y176</f>
        <v>0</v>
      </c>
      <c r="Z138" s="120">
        <f>'Ethylene Recycling HC'!Z176</f>
        <v>0</v>
      </c>
      <c r="AA138" s="120">
        <f>'Ethylene Recycling HC'!AA176</f>
        <v>0</v>
      </c>
      <c r="AB138" s="120">
        <f>'Ethylene Recycling HC'!AB176</f>
        <v>0</v>
      </c>
      <c r="AC138" s="120">
        <f>'Ethylene Recycling HC'!AC176</f>
        <v>0</v>
      </c>
      <c r="AD138" s="120">
        <f>'Ethylene Recycling HC'!AD176</f>
        <v>0</v>
      </c>
      <c r="AE138" s="120">
        <f>'Ethylene Recycling HC'!AE176</f>
        <v>0</v>
      </c>
      <c r="AF138" s="120">
        <f>'Ethylene Recycling HC'!AF176</f>
        <v>0</v>
      </c>
      <c r="AG138" s="120">
        <f>'Ethylene Recycling HC'!AG176</f>
        <v>0</v>
      </c>
      <c r="AH138" s="217"/>
      <c r="AI138" s="124"/>
      <c r="AJ138" s="185"/>
      <c r="AL138" s="100"/>
      <c r="AM138" s="2"/>
      <c r="AN138" s="2"/>
      <c r="AO138" s="2"/>
      <c r="BC138" s="1"/>
      <c r="BD138" s="2"/>
      <c r="BE138" s="2"/>
      <c r="BF138" s="2"/>
      <c r="BG138" s="2"/>
      <c r="BH138" s="2"/>
      <c r="BI138" s="2"/>
      <c r="BJ138" s="2"/>
      <c r="BK138" s="2"/>
    </row>
    <row r="139" spans="1:63" outlineLevel="1">
      <c r="A139" s="4" t="s">
        <v>35</v>
      </c>
      <c r="C139" s="120">
        <f>'Ethylene Recycling HC'!C177</f>
        <v>0</v>
      </c>
      <c r="D139" s="120">
        <f>'Ethylene Recycling HC'!D177</f>
        <v>3.5976376601507618</v>
      </c>
      <c r="E139" s="120">
        <f>'Ethylene Recycling HC'!E177</f>
        <v>16.410037055393214</v>
      </c>
      <c r="F139" s="120">
        <f>'Ethylene Recycling HC'!F177</f>
        <v>41.446208260754887</v>
      </c>
      <c r="G139" s="120">
        <f>'Ethylene Recycling HC'!G177</f>
        <v>81.68832129445866</v>
      </c>
      <c r="H139" s="120">
        <f>'Ethylene Recycling HC'!H177</f>
        <v>140.09185474261227</v>
      </c>
      <c r="I139" s="120">
        <f>'Ethylene Recycling HC'!I177</f>
        <v>212.80054424545034</v>
      </c>
      <c r="J139" s="120">
        <f>'Ethylene Recycling HC'!J177</f>
        <v>303.10664503380173</v>
      </c>
      <c r="K139" s="120">
        <f>'Ethylene Recycling HC'!K177</f>
        <v>411.39567323010596</v>
      </c>
      <c r="L139" s="120">
        <f>'Ethylene Recycling HC'!L177</f>
        <v>537.67475848666959</v>
      </c>
      <c r="M139" s="120">
        <f>'Ethylene Recycling HC'!M177</f>
        <v>681.57679987834638</v>
      </c>
      <c r="N139" s="120">
        <f>'Ethylene Recycling HC'!N177</f>
        <v>817.23358565833826</v>
      </c>
      <c r="O139" s="120">
        <f>'Ethylene Recycling HC'!O177</f>
        <v>963.20382626673722</v>
      </c>
      <c r="P139" s="120">
        <f>'Ethylene Recycling HC'!P177</f>
        <v>1118.200199878738</v>
      </c>
      <c r="Q139" s="120">
        <f>'Ethylene Recycling HC'!Q177</f>
        <v>1280.6976338083714</v>
      </c>
      <c r="R139" s="120">
        <f>'Ethylene Recycling HC'!R177</f>
        <v>1448.9359903830293</v>
      </c>
      <c r="S139" s="120">
        <f>'Ethylene Recycling HC'!S177</f>
        <v>1643.2684353764942</v>
      </c>
      <c r="T139" s="120">
        <f>'Ethylene Recycling HC'!T177</f>
        <v>1846.3407472962763</v>
      </c>
      <c r="U139" s="120">
        <f>'Ethylene Recycling HC'!U177</f>
        <v>2056.7790937516843</v>
      </c>
      <c r="V139" s="120">
        <f>'Ethylene Recycling HC'!V177</f>
        <v>2273.0479022880263</v>
      </c>
      <c r="W139" s="120">
        <f>'Ethylene Recycling HC'!W177</f>
        <v>2493.4517116418078</v>
      </c>
      <c r="X139" s="120">
        <f>'Ethylene Recycling HC'!X177</f>
        <v>2772.5641915820197</v>
      </c>
      <c r="Y139" s="120">
        <f>'Ethylene Recycling HC'!Y177</f>
        <v>3056.6699213328766</v>
      </c>
      <c r="Z139" s="120">
        <f>'Ethylene Recycling HC'!Z177</f>
        <v>3342.9873095289831</v>
      </c>
      <c r="AA139" s="120">
        <f>'Ethylene Recycling HC'!AA177</f>
        <v>3628.4951377317525</v>
      </c>
      <c r="AB139" s="120">
        <f>'Ethylene Recycling HC'!AB177</f>
        <v>3909.9353403901018</v>
      </c>
      <c r="AC139" s="120">
        <f>'Ethylene Recycling HC'!AC177</f>
        <v>4142.0888801278543</v>
      </c>
      <c r="AD139" s="120">
        <f>'Ethylene Recycling HC'!AD177</f>
        <v>4353.2184249099982</v>
      </c>
      <c r="AE139" s="120">
        <f>'Ethylene Recycling HC'!AE177</f>
        <v>4538.3135548156279</v>
      </c>
      <c r="AF139" s="120">
        <f>'Ethylene Recycling HC'!AF177</f>
        <v>4692.0936653829067</v>
      </c>
      <c r="AG139" s="120">
        <f>'Ethylene Recycling HC'!AG177</f>
        <v>4809.0111962831952</v>
      </c>
      <c r="AH139" s="217"/>
      <c r="AI139" s="124"/>
      <c r="AJ139" s="185"/>
      <c r="AL139" s="100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27</v>
      </c>
      <c r="C140" s="120">
        <f>'Ethylene Recycling HC'!C178</f>
        <v>0</v>
      </c>
      <c r="D140" s="120">
        <f>'Ethylene Recycling HC'!D178</f>
        <v>7.0276934236934059E-5</v>
      </c>
      <c r="E140" s="120">
        <f>'Ethylene Recycling HC'!E178</f>
        <v>3.2055676638630479E-4</v>
      </c>
      <c r="F140" s="120">
        <f>'Ethylene Recycling HC'!F178</f>
        <v>8.0961806814899894E-4</v>
      </c>
      <c r="G140" s="120">
        <f>'Ethylene Recycling HC'!G178</f>
        <v>1.595715112481794E-3</v>
      </c>
      <c r="H140" s="120">
        <f>'Ethylene Recycling HC'!H178</f>
        <v>2.7365807768601432E-3</v>
      </c>
      <c r="I140" s="120">
        <f>'Ethylene Recycling HC'!I178</f>
        <v>4.1568860641998584E-3</v>
      </c>
      <c r="J140" s="120">
        <f>'Ethylene Recycling HC'!J178</f>
        <v>5.9209425106266948E-3</v>
      </c>
      <c r="K140" s="120">
        <f>'Ethylene Recycling HC'!K178</f>
        <v>8.0362808609635815E-3</v>
      </c>
      <c r="L140" s="120">
        <f>'Ethylene Recycling HC'!L178</f>
        <v>1.0503040387186637E-2</v>
      </c>
      <c r="M140" s="120">
        <f>'Ethylene Recycling HC'!M178</f>
        <v>1.3314050070418505E-2</v>
      </c>
      <c r="N140" s="120">
        <f>'Ethylene Recycling HC'!N178</f>
        <v>1.5963995371651215E-2</v>
      </c>
      <c r="O140" s="120">
        <f>'Ethylene Recycling HC'!O178</f>
        <v>1.8815405649404423E-2</v>
      </c>
      <c r="P140" s="120">
        <f>'Ethylene Recycling HC'!P178</f>
        <v>2.1843134115766258E-2</v>
      </c>
      <c r="Q140" s="120">
        <f>'Ethylene Recycling HC'!Q178</f>
        <v>2.501738971255274E-2</v>
      </c>
      <c r="R140" s="120">
        <f>'Ethylene Recycling HC'!R178</f>
        <v>2.8303789577688584E-2</v>
      </c>
      <c r="S140" s="120">
        <f>'Ethylene Recycling HC'!S178</f>
        <v>3.2099916299448562E-2</v>
      </c>
      <c r="T140" s="120">
        <f>'Ethylene Recycling HC'!T178</f>
        <v>3.6066769234140893E-2</v>
      </c>
      <c r="U140" s="120">
        <f>'Ethylene Recycling HC'!U178</f>
        <v>4.0177511680103653E-2</v>
      </c>
      <c r="V140" s="120">
        <f>'Ethylene Recycling HC'!V178</f>
        <v>4.4402147474685502E-2</v>
      </c>
      <c r="W140" s="120">
        <f>'Ethylene Recycling HC'!W178</f>
        <v>4.8707557157014768E-2</v>
      </c>
      <c r="X140" s="120">
        <f>'Ethylene Recycling HC'!X178</f>
        <v>5.41597931102719E-2</v>
      </c>
      <c r="Y140" s="120">
        <f>'Ethylene Recycling HC'!Y178</f>
        <v>5.9709568149373657E-2</v>
      </c>
      <c r="Z140" s="120">
        <f>'Ethylene Recycling HC'!Z178</f>
        <v>6.530254614268978E-2</v>
      </c>
      <c r="AA140" s="120">
        <f>'Ethylene Recycling HC'!AA178</f>
        <v>7.0879710038037461E-2</v>
      </c>
      <c r="AB140" s="120">
        <f>'Ethylene Recycling HC'!AB178</f>
        <v>7.6377416166959117E-2</v>
      </c>
      <c r="AC140" s="120">
        <f>'Ethylene Recycling HC'!AC178</f>
        <v>8.0912347304059176E-2</v>
      </c>
      <c r="AD140" s="120">
        <f>'Ethylene Recycling HC'!AD178</f>
        <v>8.5036591748817073E-2</v>
      </c>
      <c r="AE140" s="120">
        <f>'Ethylene Recycling HC'!AE178</f>
        <v>8.8652275011208106E-2</v>
      </c>
      <c r="AF140" s="120">
        <f>'Ethylene Recycling HC'!AF178</f>
        <v>9.1656244765302861E-2</v>
      </c>
      <c r="AG140" s="120">
        <f>'Ethylene Recycling HC'!AG178</f>
        <v>9.3940133918797991E-2</v>
      </c>
      <c r="AH140" s="217"/>
      <c r="AI140" s="124"/>
      <c r="AJ140" s="185"/>
      <c r="AL140" s="100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s="1" customFormat="1" outlineLevel="1">
      <c r="A141" s="1" t="s">
        <v>749</v>
      </c>
      <c r="B141" s="60"/>
      <c r="C141" s="541">
        <f>'Ethylene Recycling HC'!C179</f>
        <v>0</v>
      </c>
      <c r="D141" s="541">
        <f>'Ethylene Recycling HC'!D179</f>
        <v>871.15927905129615</v>
      </c>
      <c r="E141" s="541">
        <f>'Ethylene Recycling HC'!E179</f>
        <v>1723.0875492767586</v>
      </c>
      <c r="F141" s="541">
        <f>'Ethylene Recycling HC'!F179</f>
        <v>2555.8994358607547</v>
      </c>
      <c r="G141" s="541">
        <f>'Ethylene Recycling HC'!G179</f>
        <v>3369.70907664481</v>
      </c>
      <c r="H141" s="541">
        <f>'Ethylene Recycling HC'!H179</f>
        <v>4164.6301238862052</v>
      </c>
      <c r="I141" s="541">
        <f>'Ethylene Recycling HC'!I179</f>
        <v>4788.1057754590774</v>
      </c>
      <c r="J141" s="541">
        <f>'Ethylene Recycling HC'!J179</f>
        <v>5346.1062460657304</v>
      </c>
      <c r="K141" s="541">
        <f>'Ethylene Recycling HC'!K179</f>
        <v>5840.463376093192</v>
      </c>
      <c r="L141" s="541">
        <f>'Ethylene Recycling HC'!L179</f>
        <v>6272.9947178156644</v>
      </c>
      <c r="M141" s="541">
        <f>'Ethylene Recycling HC'!M179</f>
        <v>6645.503610802064</v>
      </c>
      <c r="N141" s="541">
        <f>'Ethylene Recycling HC'!N179</f>
        <v>6752.1420011496366</v>
      </c>
      <c r="O141" s="541">
        <f>'Ethylene Recycling HC'!O179</f>
        <v>6822.8270451794051</v>
      </c>
      <c r="P141" s="541">
        <f>'Ethylene Recycling HC'!P179</f>
        <v>6858.73034479544</v>
      </c>
      <c r="Q141" s="541">
        <f>'Ethylene Recycling HC'!Q179</f>
        <v>6861.0142028468781</v>
      </c>
      <c r="R141" s="541">
        <f>'Ethylene Recycling HC'!R179</f>
        <v>6830.8316725280038</v>
      </c>
      <c r="S141" s="541">
        <f>'Ethylene Recycling HC'!S179</f>
        <v>6862.6471218193383</v>
      </c>
      <c r="T141" s="541">
        <f>'Ethylene Recycling HC'!T179</f>
        <v>6870.7884001670536</v>
      </c>
      <c r="U141" s="541">
        <f>'Ethylene Recycling HC'!U179</f>
        <v>6856.0642375445523</v>
      </c>
      <c r="V141" s="541">
        <f>'Ethylene Recycling HC'!V179</f>
        <v>6819.2769133065076</v>
      </c>
      <c r="W141" s="541">
        <f>'Ethylene Recycling HC'!W179</f>
        <v>6761.2222905202734</v>
      </c>
      <c r="X141" s="541">
        <f>'Ethylene Recycling HC'!X179</f>
        <v>6821.521340684847</v>
      </c>
      <c r="Y141" s="541">
        <f>'Ethylene Recycling HC'!Y179</f>
        <v>6847.8683289665887</v>
      </c>
      <c r="Z141" s="541">
        <f>'Ethylene Recycling HC'!Z179</f>
        <v>6841.4794834820814</v>
      </c>
      <c r="AA141" s="541">
        <f>'Ethylene Recycling HC'!AA179</f>
        <v>6803.5612827033619</v>
      </c>
      <c r="AB141" s="541">
        <f>'Ethylene Recycling HC'!AB179</f>
        <v>6735.3105074469322</v>
      </c>
      <c r="AC141" s="541">
        <f>'Ethylene Recycling HC'!AC179</f>
        <v>6571.7116899846305</v>
      </c>
      <c r="AD141" s="541">
        <f>'Ethylene Recycling HC'!AD179</f>
        <v>6376.0505244217529</v>
      </c>
      <c r="AE141" s="541">
        <f>'Ethylene Recycling HC'!AE179</f>
        <v>6149.7256797761838</v>
      </c>
      <c r="AF141" s="541">
        <f>'Ethylene Recycling HC'!AF179</f>
        <v>5894.1244187933844</v>
      </c>
      <c r="AG141" s="541">
        <f>'Ethylene Recycling HC'!AG179</f>
        <v>5610.6226591533004</v>
      </c>
      <c r="AH141" s="367"/>
      <c r="AI141" s="368"/>
      <c r="AJ141" s="369"/>
      <c r="AL141" s="194"/>
      <c r="AM141" s="116"/>
      <c r="AN141" s="116"/>
      <c r="AO141" s="116"/>
      <c r="BD141" s="116"/>
      <c r="BE141" s="116"/>
      <c r="BF141" s="116"/>
      <c r="BG141" s="116"/>
      <c r="BH141" s="116"/>
      <c r="BI141" s="116"/>
      <c r="BJ141" s="116"/>
      <c r="BK141" s="116"/>
    </row>
    <row r="142" spans="1:63" outlineLevel="1">
      <c r="A142" s="4" t="s">
        <v>141</v>
      </c>
      <c r="C142" s="120">
        <f>'Ethylene Recycling HC'!C180</f>
        <v>0</v>
      </c>
      <c r="D142" s="120">
        <f>'Ethylene Recycling HC'!D180</f>
        <v>0</v>
      </c>
      <c r="E142" s="120">
        <f>'Ethylene Recycling HC'!E180</f>
        <v>0</v>
      </c>
      <c r="F142" s="120">
        <f>'Ethylene Recycling HC'!F180</f>
        <v>0</v>
      </c>
      <c r="G142" s="120">
        <f>'Ethylene Recycling HC'!G180</f>
        <v>0</v>
      </c>
      <c r="H142" s="120">
        <f>'Ethylene Recycling HC'!H180</f>
        <v>0</v>
      </c>
      <c r="I142" s="120">
        <f>'Ethylene Recycling HC'!I180</f>
        <v>0</v>
      </c>
      <c r="J142" s="120">
        <f>'Ethylene Recycling HC'!J180</f>
        <v>0</v>
      </c>
      <c r="K142" s="120">
        <f>'Ethylene Recycling HC'!K180</f>
        <v>0</v>
      </c>
      <c r="L142" s="120">
        <f>'Ethylene Recycling HC'!L180</f>
        <v>0</v>
      </c>
      <c r="M142" s="120">
        <f>'Ethylene Recycling HC'!M180</f>
        <v>0</v>
      </c>
      <c r="N142" s="120">
        <f>'Ethylene Recycling HC'!N180</f>
        <v>0</v>
      </c>
      <c r="O142" s="120">
        <f>'Ethylene Recycling HC'!O180</f>
        <v>0</v>
      </c>
      <c r="P142" s="120">
        <f>'Ethylene Recycling HC'!P180</f>
        <v>0</v>
      </c>
      <c r="Q142" s="120">
        <f>'Ethylene Recycling HC'!Q180</f>
        <v>0</v>
      </c>
      <c r="R142" s="120">
        <f>'Ethylene Recycling HC'!R180</f>
        <v>0</v>
      </c>
      <c r="S142" s="120">
        <f>'Ethylene Recycling HC'!S180</f>
        <v>0</v>
      </c>
      <c r="T142" s="120">
        <f>'Ethylene Recycling HC'!T180</f>
        <v>0</v>
      </c>
      <c r="U142" s="120">
        <f>'Ethylene Recycling HC'!U180</f>
        <v>0</v>
      </c>
      <c r="V142" s="120">
        <f>'Ethylene Recycling HC'!V180</f>
        <v>0</v>
      </c>
      <c r="W142" s="120">
        <f>'Ethylene Recycling HC'!W180</f>
        <v>0</v>
      </c>
      <c r="X142" s="120">
        <f>'Ethylene Recycling HC'!X180</f>
        <v>0</v>
      </c>
      <c r="Y142" s="120">
        <f>'Ethylene Recycling HC'!Y180</f>
        <v>0</v>
      </c>
      <c r="Z142" s="120">
        <f>'Ethylene Recycling HC'!Z180</f>
        <v>0</v>
      </c>
      <c r="AA142" s="120">
        <f>'Ethylene Recycling HC'!AA180</f>
        <v>0</v>
      </c>
      <c r="AB142" s="120">
        <f>'Ethylene Recycling HC'!AB180</f>
        <v>0</v>
      </c>
      <c r="AC142" s="120">
        <f>'Ethylene Recycling HC'!AC180</f>
        <v>0</v>
      </c>
      <c r="AD142" s="120">
        <f>'Ethylene Recycling HC'!AD180</f>
        <v>0</v>
      </c>
      <c r="AE142" s="120">
        <f>'Ethylene Recycling HC'!AE180</f>
        <v>0</v>
      </c>
      <c r="AF142" s="120">
        <f>'Ethylene Recycling HC'!AF180</f>
        <v>0</v>
      </c>
      <c r="AG142" s="120">
        <f>'Ethylene Recycling HC'!AG180</f>
        <v>0</v>
      </c>
      <c r="AH142" s="217"/>
      <c r="AI142" s="124"/>
      <c r="AJ142" s="185"/>
      <c r="AL142" s="100"/>
      <c r="AM142" s="2"/>
      <c r="AN142" s="2"/>
      <c r="AO142" s="2"/>
      <c r="BC142" s="1"/>
      <c r="BD142" s="2"/>
      <c r="BE142" s="2"/>
      <c r="BF142" s="2"/>
      <c r="BG142" s="2"/>
      <c r="BH142" s="2"/>
      <c r="BI142" s="2"/>
      <c r="BJ142" s="2"/>
      <c r="BK142" s="2"/>
    </row>
    <row r="143" spans="1:63" outlineLevel="1">
      <c r="A143" s="4" t="s">
        <v>74</v>
      </c>
      <c r="C143" s="120">
        <f>'Ethylene Recycling HC'!C181</f>
        <v>0</v>
      </c>
      <c r="D143" s="120">
        <f>'Ethylene Recycling HC'!D181</f>
        <v>0</v>
      </c>
      <c r="E143" s="120">
        <f>'Ethylene Recycling HC'!E181</f>
        <v>0</v>
      </c>
      <c r="F143" s="120">
        <f>'Ethylene Recycling HC'!F181</f>
        <v>0</v>
      </c>
      <c r="G143" s="120">
        <f>'Ethylene Recycling HC'!G181</f>
        <v>0</v>
      </c>
      <c r="H143" s="120">
        <f>'Ethylene Recycling HC'!H181</f>
        <v>0</v>
      </c>
      <c r="I143" s="120">
        <f>'Ethylene Recycling HC'!I181</f>
        <v>0</v>
      </c>
      <c r="J143" s="120">
        <f>'Ethylene Recycling HC'!J181</f>
        <v>0</v>
      </c>
      <c r="K143" s="120">
        <f>'Ethylene Recycling HC'!K181</f>
        <v>0</v>
      </c>
      <c r="L143" s="120">
        <f>'Ethylene Recycling HC'!L181</f>
        <v>0</v>
      </c>
      <c r="M143" s="120">
        <f>'Ethylene Recycling HC'!M181</f>
        <v>0</v>
      </c>
      <c r="N143" s="120">
        <f>'Ethylene Recycling HC'!N181</f>
        <v>0</v>
      </c>
      <c r="O143" s="120">
        <f>'Ethylene Recycling HC'!O181</f>
        <v>0</v>
      </c>
      <c r="P143" s="120">
        <f>'Ethylene Recycling HC'!P181</f>
        <v>0</v>
      </c>
      <c r="Q143" s="120">
        <f>'Ethylene Recycling HC'!Q181</f>
        <v>0</v>
      </c>
      <c r="R143" s="120">
        <f>'Ethylene Recycling HC'!R181</f>
        <v>0</v>
      </c>
      <c r="S143" s="120">
        <f>'Ethylene Recycling HC'!S181</f>
        <v>0</v>
      </c>
      <c r="T143" s="120">
        <f>'Ethylene Recycling HC'!T181</f>
        <v>0</v>
      </c>
      <c r="U143" s="120">
        <f>'Ethylene Recycling HC'!U181</f>
        <v>0</v>
      </c>
      <c r="V143" s="120">
        <f>'Ethylene Recycling HC'!V181</f>
        <v>0</v>
      </c>
      <c r="W143" s="120">
        <f>'Ethylene Recycling HC'!W181</f>
        <v>0</v>
      </c>
      <c r="X143" s="120">
        <f>'Ethylene Recycling HC'!X181</f>
        <v>0</v>
      </c>
      <c r="Y143" s="120">
        <f>'Ethylene Recycling HC'!Y181</f>
        <v>0</v>
      </c>
      <c r="Z143" s="120">
        <f>'Ethylene Recycling HC'!Z181</f>
        <v>0</v>
      </c>
      <c r="AA143" s="120">
        <f>'Ethylene Recycling HC'!AA181</f>
        <v>0</v>
      </c>
      <c r="AB143" s="120">
        <f>'Ethylene Recycling HC'!AB181</f>
        <v>0</v>
      </c>
      <c r="AC143" s="120">
        <f>'Ethylene Recycling HC'!AC181</f>
        <v>0</v>
      </c>
      <c r="AD143" s="120">
        <f>'Ethylene Recycling HC'!AD181</f>
        <v>0</v>
      </c>
      <c r="AE143" s="120">
        <f>'Ethylene Recycling HC'!AE181</f>
        <v>0</v>
      </c>
      <c r="AF143" s="120">
        <f>'Ethylene Recycling HC'!AF181</f>
        <v>0</v>
      </c>
      <c r="AG143" s="120">
        <f>'Ethylene Recycling HC'!AG181</f>
        <v>0</v>
      </c>
      <c r="AH143" s="217"/>
      <c r="AI143" s="124"/>
      <c r="AJ143" s="185"/>
      <c r="AL143" s="100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34</v>
      </c>
      <c r="C144" s="120">
        <f>'Ethylene Recycling HC'!C182</f>
        <v>0</v>
      </c>
      <c r="D144" s="120">
        <f>'Ethylene Recycling HC'!D182</f>
        <v>0</v>
      </c>
      <c r="E144" s="120">
        <f>'Ethylene Recycling HC'!E182</f>
        <v>0</v>
      </c>
      <c r="F144" s="120">
        <f>'Ethylene Recycling HC'!F182</f>
        <v>0</v>
      </c>
      <c r="G144" s="120">
        <f>'Ethylene Recycling HC'!G182</f>
        <v>0</v>
      </c>
      <c r="H144" s="120">
        <f>'Ethylene Recycling HC'!H182</f>
        <v>0</v>
      </c>
      <c r="I144" s="120">
        <f>'Ethylene Recycling HC'!I182</f>
        <v>0</v>
      </c>
      <c r="J144" s="120">
        <f>'Ethylene Recycling HC'!J182</f>
        <v>0</v>
      </c>
      <c r="K144" s="120">
        <f>'Ethylene Recycling HC'!K182</f>
        <v>0</v>
      </c>
      <c r="L144" s="120">
        <f>'Ethylene Recycling HC'!L182</f>
        <v>0</v>
      </c>
      <c r="M144" s="120">
        <f>'Ethylene Recycling HC'!M182</f>
        <v>0</v>
      </c>
      <c r="N144" s="120">
        <f>'Ethylene Recycling HC'!N182</f>
        <v>0</v>
      </c>
      <c r="O144" s="120">
        <f>'Ethylene Recycling HC'!O182</f>
        <v>0</v>
      </c>
      <c r="P144" s="120">
        <f>'Ethylene Recycling HC'!P182</f>
        <v>0</v>
      </c>
      <c r="Q144" s="120">
        <f>'Ethylene Recycling HC'!Q182</f>
        <v>0</v>
      </c>
      <c r="R144" s="120">
        <f>'Ethylene Recycling HC'!R182</f>
        <v>0</v>
      </c>
      <c r="S144" s="120">
        <f>'Ethylene Recycling HC'!S182</f>
        <v>0</v>
      </c>
      <c r="T144" s="120">
        <f>'Ethylene Recycling HC'!T182</f>
        <v>0</v>
      </c>
      <c r="U144" s="120">
        <f>'Ethylene Recycling HC'!U182</f>
        <v>0</v>
      </c>
      <c r="V144" s="120">
        <f>'Ethylene Recycling HC'!V182</f>
        <v>0</v>
      </c>
      <c r="W144" s="120">
        <f>'Ethylene Recycling HC'!W182</f>
        <v>0</v>
      </c>
      <c r="X144" s="120">
        <f>'Ethylene Recycling HC'!X182</f>
        <v>0</v>
      </c>
      <c r="Y144" s="120">
        <f>'Ethylene Recycling HC'!Y182</f>
        <v>0</v>
      </c>
      <c r="Z144" s="120">
        <f>'Ethylene Recycling HC'!Z182</f>
        <v>0</v>
      </c>
      <c r="AA144" s="120">
        <f>'Ethylene Recycling HC'!AA182</f>
        <v>0</v>
      </c>
      <c r="AB144" s="120">
        <f>'Ethylene Recycling HC'!AB182</f>
        <v>0</v>
      </c>
      <c r="AC144" s="120">
        <f>'Ethylene Recycling HC'!AC182</f>
        <v>0</v>
      </c>
      <c r="AD144" s="120">
        <f>'Ethylene Recycling HC'!AD182</f>
        <v>0</v>
      </c>
      <c r="AE144" s="120">
        <f>'Ethylene Recycling HC'!AE182</f>
        <v>0</v>
      </c>
      <c r="AF144" s="120">
        <f>'Ethylene Recycling HC'!AF182</f>
        <v>0</v>
      </c>
      <c r="AG144" s="120">
        <f>'Ethylene Recycling HC'!AG182</f>
        <v>0</v>
      </c>
      <c r="AH144" s="217"/>
      <c r="AI144" s="124"/>
      <c r="AJ144" s="185"/>
      <c r="AL144" s="100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35</v>
      </c>
      <c r="C145" s="120">
        <f>'Ethylene Recycling HC'!C183</f>
        <v>0</v>
      </c>
      <c r="D145" s="120">
        <f>'Ethylene Recycling HC'!D183</f>
        <v>29.038075399788291</v>
      </c>
      <c r="E145" s="120">
        <f>'Ethylene Recycling HC'!E183</f>
        <v>114.87025938775253</v>
      </c>
      <c r="F145" s="120">
        <f>'Ethylene Recycling HC'!F183</f>
        <v>255.58495094132184</v>
      </c>
      <c r="G145" s="120">
        <f>'Ethylene Recycling HC'!G183</f>
        <v>449.28576711952263</v>
      </c>
      <c r="H145" s="120">
        <f>'Ethylene Recycling HC'!H183</f>
        <v>694.09146213385179</v>
      </c>
      <c r="I145" s="120">
        <f>'Ethylene Recycling HC'!I183</f>
        <v>957.6024491045265</v>
      </c>
      <c r="J145" s="120">
        <f>'Ethylene Recycling HC'!J183</f>
        <v>1247.4004237929537</v>
      </c>
      <c r="K145" s="120">
        <f>'Ethylene Recycling HC'!K183</f>
        <v>1557.4264772282584</v>
      </c>
      <c r="L145" s="120">
        <f>'Ethylene Recycling HC'!L183</f>
        <v>1881.8616547033439</v>
      </c>
      <c r="M145" s="120">
        <f>'Ethylene Recycling HC'!M183</f>
        <v>2215.1245996046255</v>
      </c>
      <c r="N145" s="120">
        <f>'Ethylene Recycling HC'!N183</f>
        <v>2475.7370389061425</v>
      </c>
      <c r="O145" s="120">
        <f>'Ethylene Recycling HC'!O183</f>
        <v>2729.0775077557551</v>
      </c>
      <c r="P145" s="120">
        <f>'Ethylene Recycling HC'!P183</f>
        <v>2972.0584259934881</v>
      </c>
      <c r="Q145" s="120">
        <f>'Ethylene Recycling HC'!Q183</f>
        <v>3201.7440845209285</v>
      </c>
      <c r="R145" s="120">
        <f>'Ethylene Recycling HC'!R183</f>
        <v>3415.3491201885686</v>
      </c>
      <c r="S145" s="120">
        <f>'Ethylene Recycling HC'!S183</f>
        <v>3660.0069697021918</v>
      </c>
      <c r="T145" s="120">
        <f>'Ethylene Recycling HC'!T183</f>
        <v>3893.3707062551907</v>
      </c>
      <c r="U145" s="120">
        <f>'Ethylene Recycling HC'!U183</f>
        <v>4113.5581875033704</v>
      </c>
      <c r="V145" s="120">
        <f>'Ethylene Recycling HC'!V183</f>
        <v>4318.7910143472518</v>
      </c>
      <c r="W145" s="120">
        <f>'Ethylene Recycling HC'!W183</f>
        <v>4507.3934787371145</v>
      </c>
      <c r="X145" s="120">
        <f>'Ethylene Recycling HC'!X183</f>
        <v>4774.9716632801455</v>
      </c>
      <c r="Y145" s="120">
        <f>'Ethylene Recycling HC'!Y183</f>
        <v>5021.6720136182976</v>
      </c>
      <c r="Z145" s="120">
        <f>'Ethylene Recycling HC'!Z183</f>
        <v>5245.0318132265065</v>
      </c>
      <c r="AA145" s="120">
        <f>'Ethylene Recycling HC'!AA183</f>
        <v>5442.742706597629</v>
      </c>
      <c r="AB145" s="120">
        <f>'Ethylene Recycling HC'!AB183</f>
        <v>5612.6491176567597</v>
      </c>
      <c r="AC145" s="120">
        <f>'Ethylene Recycling HC'!AC183</f>
        <v>5695.3722101757994</v>
      </c>
      <c r="AD145" s="120">
        <f>'Ethylene Recycling HC'!AD183</f>
        <v>5738.3333782904501</v>
      </c>
      <c r="AE145" s="120">
        <f>'Ethylene Recycling HC'!AE183</f>
        <v>5739.6318487374101</v>
      </c>
      <c r="AF145" s="120">
        <f>'Ethylene Recycling HC'!AF183</f>
        <v>5697.5423079649572</v>
      </c>
      <c r="AG145" s="120">
        <f>'Ethylene Recycling HC'!AG183</f>
        <v>5610.5130623303949</v>
      </c>
      <c r="AH145" s="217"/>
      <c r="AI145" s="124"/>
      <c r="AJ145" s="185"/>
      <c r="AL145" s="100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27</v>
      </c>
      <c r="C146" s="120">
        <f>'Ethylene Recycling HC'!C184</f>
        <v>0</v>
      </c>
      <c r="D146" s="120">
        <f>'Ethylene Recycling HC'!D184</f>
        <v>5.6723525491239623E-4</v>
      </c>
      <c r="E146" s="120">
        <f>'Ethylene Recycling HC'!E184</f>
        <v>2.243897364704134E-3</v>
      </c>
      <c r="F146" s="120">
        <f>'Ethylene Recycling HC'!F184</f>
        <v>4.9926447535854936E-3</v>
      </c>
      <c r="G146" s="120">
        <f>'Ethylene Recycling HC'!G184</f>
        <v>8.7764331186498661E-3</v>
      </c>
      <c r="H146" s="120">
        <f>'Ethylene Recycling HC'!H184</f>
        <v>1.3558513848988894E-2</v>
      </c>
      <c r="I146" s="120">
        <f>'Ethylene Recycling HC'!I184</f>
        <v>1.8705987288899363E-2</v>
      </c>
      <c r="J146" s="120">
        <f>'Ethylene Recycling HC'!J184</f>
        <v>2.4366955716809864E-2</v>
      </c>
      <c r="K146" s="120">
        <f>'Ethylene Recycling HC'!K184</f>
        <v>3.0423063259362133E-2</v>
      </c>
      <c r="L146" s="120">
        <f>'Ethylene Recycling HC'!L184</f>
        <v>3.6760641355153237E-2</v>
      </c>
      <c r="M146" s="120">
        <f>'Ethylene Recycling HC'!M184</f>
        <v>4.327066272886014E-2</v>
      </c>
      <c r="N146" s="120">
        <f>'Ethylene Recycling HC'!N184</f>
        <v>4.8361515390590443E-2</v>
      </c>
      <c r="O146" s="120">
        <f>'Ethylene Recycling HC'!O184</f>
        <v>5.3310316006645861E-2</v>
      </c>
      <c r="P146" s="120">
        <f>'Ethylene Recycling HC'!P184</f>
        <v>5.8056751202431374E-2</v>
      </c>
      <c r="Q146" s="120">
        <f>'Ethylene Recycling HC'!Q184</f>
        <v>6.254347428138185E-2</v>
      </c>
      <c r="R146" s="120">
        <f>'Ethylene Recycling HC'!R184</f>
        <v>6.6716075433123093E-2</v>
      </c>
      <c r="S146" s="120">
        <f>'Ethylene Recycling HC'!S184</f>
        <v>7.1495268121499075E-2</v>
      </c>
      <c r="T146" s="120">
        <f>'Ethylene Recycling HC'!T184</f>
        <v>7.6053839471992749E-2</v>
      </c>
      <c r="U146" s="120">
        <f>'Ethylene Recycling HC'!U184</f>
        <v>8.0355023360207334E-2</v>
      </c>
      <c r="V146" s="120">
        <f>'Ethylene Recycling HC'!V184</f>
        <v>8.4364080201902489E-2</v>
      </c>
      <c r="W146" s="120">
        <f>'Ethylene Recycling HC'!W184</f>
        <v>8.8048276399219E-2</v>
      </c>
      <c r="X146" s="120">
        <f>'Ethylene Recycling HC'!X184</f>
        <v>9.3275199245468288E-2</v>
      </c>
      <c r="Y146" s="120">
        <f>'Ethylene Recycling HC'!Y184</f>
        <v>9.809429053111389E-2</v>
      </c>
      <c r="Z146" s="120">
        <f>'Ethylene Recycling HC'!Z184</f>
        <v>0.1024574430859443</v>
      </c>
      <c r="AA146" s="120">
        <f>'Ethylene Recycling HC'!AA184</f>
        <v>0.10631956505705618</v>
      </c>
      <c r="AB146" s="120">
        <f>'Ethylene Recycling HC'!AB184</f>
        <v>0.10963854901386068</v>
      </c>
      <c r="AC146" s="120">
        <f>'Ethylene Recycling HC'!AC184</f>
        <v>0.11125447754308138</v>
      </c>
      <c r="AD146" s="120">
        <f>'Ethylene Recycling HC'!AD184</f>
        <v>0.11209368912344066</v>
      </c>
      <c r="AE146" s="120">
        <f>'Ethylene Recycling HC'!AE184</f>
        <v>0.11211905369064551</v>
      </c>
      <c r="AF146" s="120">
        <f>'Ethylene Recycling HC'!AF184</f>
        <v>0.11129686864358203</v>
      </c>
      <c r="AG146" s="120">
        <f>'Ethylene Recycling HC'!AG184</f>
        <v>0.10959682290526433</v>
      </c>
      <c r="AH146" s="217"/>
      <c r="AI146" s="124"/>
      <c r="AJ146" s="185"/>
      <c r="AL146" s="100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s="1" customFormat="1" outlineLevel="1">
      <c r="A147" s="1" t="s">
        <v>750</v>
      </c>
      <c r="B147" s="60"/>
      <c r="C147" s="541">
        <f>'Ethylene Recycling HC'!C185</f>
        <v>0</v>
      </c>
      <c r="D147" s="541">
        <f>'Ethylene Recycling HC'!D185</f>
        <v>871.15927905129615</v>
      </c>
      <c r="E147" s="541">
        <f>'Ethylene Recycling HC'!E185</f>
        <v>1723.0875492767586</v>
      </c>
      <c r="F147" s="541">
        <f>'Ethylene Recycling HC'!F185</f>
        <v>2555.8994358607547</v>
      </c>
      <c r="G147" s="541">
        <f>'Ethylene Recycling HC'!G185</f>
        <v>3369.70907664481</v>
      </c>
      <c r="H147" s="541">
        <f>'Ethylene Recycling HC'!H185</f>
        <v>4164.6301238862052</v>
      </c>
      <c r="I147" s="541">
        <f>'Ethylene Recycling HC'!I185</f>
        <v>4788.1057754590774</v>
      </c>
      <c r="J147" s="541">
        <f>'Ethylene Recycling HC'!J185</f>
        <v>5346.1062460657304</v>
      </c>
      <c r="K147" s="541">
        <f>'Ethylene Recycling HC'!K185</f>
        <v>5840.463376093192</v>
      </c>
      <c r="L147" s="541">
        <f>'Ethylene Recycling HC'!L185</f>
        <v>6272.9947178156644</v>
      </c>
      <c r="M147" s="541">
        <f>'Ethylene Recycling HC'!M185</f>
        <v>6645.503610802064</v>
      </c>
      <c r="N147" s="541">
        <f>'Ethylene Recycling HC'!N185</f>
        <v>6752.1420011496366</v>
      </c>
      <c r="O147" s="541">
        <f>'Ethylene Recycling HC'!O185</f>
        <v>6822.8270451794051</v>
      </c>
      <c r="P147" s="541">
        <f>'Ethylene Recycling HC'!P185</f>
        <v>6858.73034479544</v>
      </c>
      <c r="Q147" s="541">
        <f>'Ethylene Recycling HC'!Q185</f>
        <v>6861.0142028468781</v>
      </c>
      <c r="R147" s="541">
        <f>'Ethylene Recycling HC'!R185</f>
        <v>6830.8316725280038</v>
      </c>
      <c r="S147" s="541">
        <f>'Ethylene Recycling HC'!S185</f>
        <v>6862.6471218193383</v>
      </c>
      <c r="T147" s="541">
        <f>'Ethylene Recycling HC'!T185</f>
        <v>6870.7884001670536</v>
      </c>
      <c r="U147" s="541">
        <f>'Ethylene Recycling HC'!U185</f>
        <v>6856.0642375445523</v>
      </c>
      <c r="V147" s="541">
        <f>'Ethylene Recycling HC'!V185</f>
        <v>6819.2769133065076</v>
      </c>
      <c r="W147" s="541">
        <f>'Ethylene Recycling HC'!W185</f>
        <v>6761.2222905202734</v>
      </c>
      <c r="X147" s="541">
        <f>'Ethylene Recycling HC'!X185</f>
        <v>6821.521340684847</v>
      </c>
      <c r="Y147" s="541">
        <f>'Ethylene Recycling HC'!Y185</f>
        <v>6847.8683289665887</v>
      </c>
      <c r="Z147" s="541">
        <f>'Ethylene Recycling HC'!Z185</f>
        <v>6841.4794834820814</v>
      </c>
      <c r="AA147" s="541">
        <f>'Ethylene Recycling HC'!AA185</f>
        <v>6803.5612827033619</v>
      </c>
      <c r="AB147" s="541">
        <f>'Ethylene Recycling HC'!AB185</f>
        <v>6735.3105074469322</v>
      </c>
      <c r="AC147" s="541">
        <f>'Ethylene Recycling HC'!AC185</f>
        <v>6571.7116899846305</v>
      </c>
      <c r="AD147" s="541">
        <f>'Ethylene Recycling HC'!AD185</f>
        <v>6376.0505244217529</v>
      </c>
      <c r="AE147" s="541">
        <f>'Ethylene Recycling HC'!AE185</f>
        <v>6149.7256797761838</v>
      </c>
      <c r="AF147" s="541">
        <f>'Ethylene Recycling HC'!AF185</f>
        <v>5894.1244187933844</v>
      </c>
      <c r="AG147" s="541">
        <f>'Ethylene Recycling HC'!AG185</f>
        <v>5610.6226591533004</v>
      </c>
      <c r="AH147" s="367"/>
      <c r="AI147" s="368"/>
      <c r="AJ147" s="369"/>
      <c r="AL147" s="194"/>
      <c r="AM147" s="116"/>
      <c r="AN147" s="116"/>
      <c r="AO147" s="116"/>
      <c r="BD147" s="116"/>
      <c r="BE147" s="116"/>
      <c r="BF147" s="116"/>
      <c r="BG147" s="116"/>
      <c r="BH147" s="116"/>
      <c r="BI147" s="116"/>
      <c r="BJ147" s="116"/>
      <c r="BK147" s="116"/>
    </row>
    <row r="148" spans="1:63" outlineLevel="1">
      <c r="A148" s="4" t="s">
        <v>141</v>
      </c>
      <c r="C148" s="120">
        <f>'Ethylene Recycling HC'!C186</f>
        <v>0</v>
      </c>
      <c r="D148" s="120">
        <f>'Ethylene Recycling HC'!D186</f>
        <v>0</v>
      </c>
      <c r="E148" s="120">
        <f>'Ethylene Recycling HC'!E186</f>
        <v>0</v>
      </c>
      <c r="F148" s="120">
        <f>'Ethylene Recycling HC'!F186</f>
        <v>0</v>
      </c>
      <c r="G148" s="120">
        <f>'Ethylene Recycling HC'!G186</f>
        <v>0</v>
      </c>
      <c r="H148" s="120">
        <f>'Ethylene Recycling HC'!H186</f>
        <v>0</v>
      </c>
      <c r="I148" s="120">
        <f>'Ethylene Recycling HC'!I186</f>
        <v>0</v>
      </c>
      <c r="J148" s="120">
        <f>'Ethylene Recycling HC'!J186</f>
        <v>0</v>
      </c>
      <c r="K148" s="120">
        <f>'Ethylene Recycling HC'!K186</f>
        <v>0</v>
      </c>
      <c r="L148" s="120">
        <f>'Ethylene Recycling HC'!L186</f>
        <v>0</v>
      </c>
      <c r="M148" s="120">
        <f>'Ethylene Recycling HC'!M186</f>
        <v>0</v>
      </c>
      <c r="N148" s="120">
        <f>'Ethylene Recycling HC'!N186</f>
        <v>0</v>
      </c>
      <c r="O148" s="120">
        <f>'Ethylene Recycling HC'!O186</f>
        <v>0</v>
      </c>
      <c r="P148" s="120">
        <f>'Ethylene Recycling HC'!P186</f>
        <v>0</v>
      </c>
      <c r="Q148" s="120">
        <f>'Ethylene Recycling HC'!Q186</f>
        <v>0</v>
      </c>
      <c r="R148" s="120">
        <f>'Ethylene Recycling HC'!R186</f>
        <v>0</v>
      </c>
      <c r="S148" s="120">
        <f>'Ethylene Recycling HC'!S186</f>
        <v>0</v>
      </c>
      <c r="T148" s="120">
        <f>'Ethylene Recycling HC'!T186</f>
        <v>0</v>
      </c>
      <c r="U148" s="120">
        <f>'Ethylene Recycling HC'!U186</f>
        <v>0</v>
      </c>
      <c r="V148" s="120">
        <f>'Ethylene Recycling HC'!V186</f>
        <v>0</v>
      </c>
      <c r="W148" s="120">
        <f>'Ethylene Recycling HC'!W186</f>
        <v>0</v>
      </c>
      <c r="X148" s="120">
        <f>'Ethylene Recycling HC'!X186</f>
        <v>0</v>
      </c>
      <c r="Y148" s="120">
        <f>'Ethylene Recycling HC'!Y186</f>
        <v>0</v>
      </c>
      <c r="Z148" s="120">
        <f>'Ethylene Recycling HC'!Z186</f>
        <v>0</v>
      </c>
      <c r="AA148" s="120">
        <f>'Ethylene Recycling HC'!AA186</f>
        <v>0</v>
      </c>
      <c r="AB148" s="120">
        <f>'Ethylene Recycling HC'!AB186</f>
        <v>0</v>
      </c>
      <c r="AC148" s="120">
        <f>'Ethylene Recycling HC'!AC186</f>
        <v>0</v>
      </c>
      <c r="AD148" s="120">
        <f>'Ethylene Recycling HC'!AD186</f>
        <v>0</v>
      </c>
      <c r="AE148" s="120">
        <f>'Ethylene Recycling HC'!AE186</f>
        <v>0</v>
      </c>
      <c r="AF148" s="120">
        <f>'Ethylene Recycling HC'!AF186</f>
        <v>0</v>
      </c>
      <c r="AG148" s="120">
        <f>'Ethylene Recycling HC'!AG186</f>
        <v>0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74</v>
      </c>
      <c r="C149" s="120">
        <f>'Ethylene Recycling HC'!C187</f>
        <v>0</v>
      </c>
      <c r="D149" s="120">
        <f>'Ethylene Recycling HC'!D187</f>
        <v>0</v>
      </c>
      <c r="E149" s="120">
        <f>'Ethylene Recycling HC'!E187</f>
        <v>0</v>
      </c>
      <c r="F149" s="120">
        <f>'Ethylene Recycling HC'!F187</f>
        <v>0</v>
      </c>
      <c r="G149" s="120">
        <f>'Ethylene Recycling HC'!G187</f>
        <v>0</v>
      </c>
      <c r="H149" s="120">
        <f>'Ethylene Recycling HC'!H187</f>
        <v>0</v>
      </c>
      <c r="I149" s="120">
        <f>'Ethylene Recycling HC'!I187</f>
        <v>0</v>
      </c>
      <c r="J149" s="120">
        <f>'Ethylene Recycling HC'!J187</f>
        <v>0</v>
      </c>
      <c r="K149" s="120">
        <f>'Ethylene Recycling HC'!K187</f>
        <v>0</v>
      </c>
      <c r="L149" s="120">
        <f>'Ethylene Recycling HC'!L187</f>
        <v>0</v>
      </c>
      <c r="M149" s="120">
        <f>'Ethylene Recycling HC'!M187</f>
        <v>0</v>
      </c>
      <c r="N149" s="120">
        <f>'Ethylene Recycling HC'!N187</f>
        <v>0</v>
      </c>
      <c r="O149" s="120">
        <f>'Ethylene Recycling HC'!O187</f>
        <v>0</v>
      </c>
      <c r="P149" s="120">
        <f>'Ethylene Recycling HC'!P187</f>
        <v>0</v>
      </c>
      <c r="Q149" s="120">
        <f>'Ethylene Recycling HC'!Q187</f>
        <v>0</v>
      </c>
      <c r="R149" s="120">
        <f>'Ethylene Recycling HC'!R187</f>
        <v>0</v>
      </c>
      <c r="S149" s="120">
        <f>'Ethylene Recycling HC'!S187</f>
        <v>0</v>
      </c>
      <c r="T149" s="120">
        <f>'Ethylene Recycling HC'!T187</f>
        <v>0</v>
      </c>
      <c r="U149" s="120">
        <f>'Ethylene Recycling HC'!U187</f>
        <v>0</v>
      </c>
      <c r="V149" s="120">
        <f>'Ethylene Recycling HC'!V187</f>
        <v>0</v>
      </c>
      <c r="W149" s="120">
        <f>'Ethylene Recycling HC'!W187</f>
        <v>0</v>
      </c>
      <c r="X149" s="120">
        <f>'Ethylene Recycling HC'!X187</f>
        <v>0</v>
      </c>
      <c r="Y149" s="120">
        <f>'Ethylene Recycling HC'!Y187</f>
        <v>0</v>
      </c>
      <c r="Z149" s="120">
        <f>'Ethylene Recycling HC'!Z187</f>
        <v>0</v>
      </c>
      <c r="AA149" s="120">
        <f>'Ethylene Recycling HC'!AA187</f>
        <v>0</v>
      </c>
      <c r="AB149" s="120">
        <f>'Ethylene Recycling HC'!AB187</f>
        <v>0</v>
      </c>
      <c r="AC149" s="120">
        <f>'Ethylene Recycling HC'!AC187</f>
        <v>0</v>
      </c>
      <c r="AD149" s="120">
        <f>'Ethylene Recycling HC'!AD187</f>
        <v>0</v>
      </c>
      <c r="AE149" s="120">
        <f>'Ethylene Recycling HC'!AE187</f>
        <v>0</v>
      </c>
      <c r="AF149" s="120">
        <f>'Ethylene Recycling HC'!AF187</f>
        <v>0</v>
      </c>
      <c r="AG149" s="120">
        <f>'Ethylene Recycling HC'!AG187</f>
        <v>0</v>
      </c>
      <c r="AH149" s="217"/>
      <c r="AI149" s="124"/>
      <c r="AJ149" s="185"/>
      <c r="AL149" s="100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outlineLevel="1">
      <c r="A150" s="4" t="s">
        <v>34</v>
      </c>
      <c r="C150" s="120">
        <f>'Ethylene Recycling HC'!C188</f>
        <v>0</v>
      </c>
      <c r="D150" s="120">
        <f>'Ethylene Recycling HC'!D188</f>
        <v>0</v>
      </c>
      <c r="E150" s="120">
        <f>'Ethylene Recycling HC'!E188</f>
        <v>0</v>
      </c>
      <c r="F150" s="120">
        <f>'Ethylene Recycling HC'!F188</f>
        <v>0</v>
      </c>
      <c r="G150" s="120">
        <f>'Ethylene Recycling HC'!G188</f>
        <v>0</v>
      </c>
      <c r="H150" s="120">
        <f>'Ethylene Recycling HC'!H188</f>
        <v>0</v>
      </c>
      <c r="I150" s="120">
        <f>'Ethylene Recycling HC'!I188</f>
        <v>0</v>
      </c>
      <c r="J150" s="120">
        <f>'Ethylene Recycling HC'!J188</f>
        <v>0</v>
      </c>
      <c r="K150" s="120">
        <f>'Ethylene Recycling HC'!K188</f>
        <v>0</v>
      </c>
      <c r="L150" s="120">
        <f>'Ethylene Recycling HC'!L188</f>
        <v>0</v>
      </c>
      <c r="M150" s="120">
        <f>'Ethylene Recycling HC'!M188</f>
        <v>0</v>
      </c>
      <c r="N150" s="120">
        <f>'Ethylene Recycling HC'!N188</f>
        <v>0</v>
      </c>
      <c r="O150" s="120">
        <f>'Ethylene Recycling HC'!O188</f>
        <v>0</v>
      </c>
      <c r="P150" s="120">
        <f>'Ethylene Recycling HC'!P188</f>
        <v>0</v>
      </c>
      <c r="Q150" s="120">
        <f>'Ethylene Recycling HC'!Q188</f>
        <v>0</v>
      </c>
      <c r="R150" s="120">
        <f>'Ethylene Recycling HC'!R188</f>
        <v>0</v>
      </c>
      <c r="S150" s="120">
        <f>'Ethylene Recycling HC'!S188</f>
        <v>0</v>
      </c>
      <c r="T150" s="120">
        <f>'Ethylene Recycling HC'!T188</f>
        <v>0</v>
      </c>
      <c r="U150" s="120">
        <f>'Ethylene Recycling HC'!U188</f>
        <v>0</v>
      </c>
      <c r="V150" s="120">
        <f>'Ethylene Recycling HC'!V188</f>
        <v>0</v>
      </c>
      <c r="W150" s="120">
        <f>'Ethylene Recycling HC'!W188</f>
        <v>0</v>
      </c>
      <c r="X150" s="120">
        <f>'Ethylene Recycling HC'!X188</f>
        <v>0</v>
      </c>
      <c r="Y150" s="120">
        <f>'Ethylene Recycling HC'!Y188</f>
        <v>0</v>
      </c>
      <c r="Z150" s="120">
        <f>'Ethylene Recycling HC'!Z188</f>
        <v>0</v>
      </c>
      <c r="AA150" s="120">
        <f>'Ethylene Recycling HC'!AA188</f>
        <v>0</v>
      </c>
      <c r="AB150" s="120">
        <f>'Ethylene Recycling HC'!AB188</f>
        <v>0</v>
      </c>
      <c r="AC150" s="120">
        <f>'Ethylene Recycling HC'!AC188</f>
        <v>0</v>
      </c>
      <c r="AD150" s="120">
        <f>'Ethylene Recycling HC'!AD188</f>
        <v>0</v>
      </c>
      <c r="AE150" s="120">
        <f>'Ethylene Recycling HC'!AE188</f>
        <v>0</v>
      </c>
      <c r="AF150" s="120">
        <f>'Ethylene Recycling HC'!AF188</f>
        <v>0</v>
      </c>
      <c r="AG150" s="120">
        <f>'Ethylene Recycling HC'!AG188</f>
        <v>0</v>
      </c>
      <c r="AH150" s="217"/>
      <c r="AI150" s="124"/>
      <c r="AJ150" s="185"/>
      <c r="AL150" s="100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35</v>
      </c>
      <c r="C151" s="120">
        <f>'Ethylene Recycling HC'!C189</f>
        <v>0</v>
      </c>
      <c r="D151" s="120">
        <f>'Ethylene Recycling HC'!D189</f>
        <v>29.038075399788291</v>
      </c>
      <c r="E151" s="120">
        <f>'Ethylene Recycling HC'!E189</f>
        <v>114.87025938775253</v>
      </c>
      <c r="F151" s="120">
        <f>'Ethylene Recycling HC'!F189</f>
        <v>255.58495094132184</v>
      </c>
      <c r="G151" s="120">
        <f>'Ethylene Recycling HC'!G189</f>
        <v>449.28576711952263</v>
      </c>
      <c r="H151" s="120">
        <f>'Ethylene Recycling HC'!H189</f>
        <v>694.09146213385179</v>
      </c>
      <c r="I151" s="120">
        <f>'Ethylene Recycling HC'!I189</f>
        <v>957.6024491045265</v>
      </c>
      <c r="J151" s="120">
        <f>'Ethylene Recycling HC'!J189</f>
        <v>1247.4004237929537</v>
      </c>
      <c r="K151" s="120">
        <f>'Ethylene Recycling HC'!K189</f>
        <v>1557.4264772282584</v>
      </c>
      <c r="L151" s="120">
        <f>'Ethylene Recycling HC'!L189</f>
        <v>1881.8616547033439</v>
      </c>
      <c r="M151" s="120">
        <f>'Ethylene Recycling HC'!M189</f>
        <v>2215.1245996046255</v>
      </c>
      <c r="N151" s="120">
        <f>'Ethylene Recycling HC'!N189</f>
        <v>2475.7370389061425</v>
      </c>
      <c r="O151" s="120">
        <f>'Ethylene Recycling HC'!O189</f>
        <v>2729.0775077557551</v>
      </c>
      <c r="P151" s="120">
        <f>'Ethylene Recycling HC'!P189</f>
        <v>2972.0584259934881</v>
      </c>
      <c r="Q151" s="120">
        <f>'Ethylene Recycling HC'!Q189</f>
        <v>3201.7440845209285</v>
      </c>
      <c r="R151" s="120">
        <f>'Ethylene Recycling HC'!R189</f>
        <v>3415.3491201885686</v>
      </c>
      <c r="S151" s="120">
        <f>'Ethylene Recycling HC'!S189</f>
        <v>3660.0069697021918</v>
      </c>
      <c r="T151" s="120">
        <f>'Ethylene Recycling HC'!T189</f>
        <v>3893.3707062551907</v>
      </c>
      <c r="U151" s="120">
        <f>'Ethylene Recycling HC'!U189</f>
        <v>4113.5581875033704</v>
      </c>
      <c r="V151" s="120">
        <f>'Ethylene Recycling HC'!V189</f>
        <v>4318.7910143472518</v>
      </c>
      <c r="W151" s="120">
        <f>'Ethylene Recycling HC'!W189</f>
        <v>4507.3934787371145</v>
      </c>
      <c r="X151" s="120">
        <f>'Ethylene Recycling HC'!X189</f>
        <v>4774.9716632801455</v>
      </c>
      <c r="Y151" s="120">
        <f>'Ethylene Recycling HC'!Y189</f>
        <v>5021.6720136182976</v>
      </c>
      <c r="Z151" s="120">
        <f>'Ethylene Recycling HC'!Z189</f>
        <v>5245.0318132265065</v>
      </c>
      <c r="AA151" s="120">
        <f>'Ethylene Recycling HC'!AA189</f>
        <v>5442.742706597629</v>
      </c>
      <c r="AB151" s="120">
        <f>'Ethylene Recycling HC'!AB189</f>
        <v>5612.6491176567597</v>
      </c>
      <c r="AC151" s="120">
        <f>'Ethylene Recycling HC'!AC189</f>
        <v>5695.3722101757994</v>
      </c>
      <c r="AD151" s="120">
        <f>'Ethylene Recycling HC'!AD189</f>
        <v>5738.3333782904501</v>
      </c>
      <c r="AE151" s="120">
        <f>'Ethylene Recycling HC'!AE189</f>
        <v>5739.6318487374101</v>
      </c>
      <c r="AF151" s="120">
        <f>'Ethylene Recycling HC'!AF189</f>
        <v>5697.5423079649572</v>
      </c>
      <c r="AG151" s="120">
        <f>'Ethylene Recycling HC'!AG189</f>
        <v>5610.5130623303949</v>
      </c>
      <c r="AH151" s="217"/>
      <c r="AI151" s="124"/>
      <c r="AJ151" s="185"/>
      <c r="AL151" s="100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27</v>
      </c>
      <c r="C152" s="120">
        <f>'Ethylene Recycling HC'!C190</f>
        <v>0</v>
      </c>
      <c r="D152" s="120">
        <f>'Ethylene Recycling HC'!D190</f>
        <v>5.6723525491239623E-4</v>
      </c>
      <c r="E152" s="120">
        <f>'Ethylene Recycling HC'!E190</f>
        <v>2.243897364704134E-3</v>
      </c>
      <c r="F152" s="120">
        <f>'Ethylene Recycling HC'!F190</f>
        <v>4.9926447535854936E-3</v>
      </c>
      <c r="G152" s="120">
        <f>'Ethylene Recycling HC'!G190</f>
        <v>8.7764331186498661E-3</v>
      </c>
      <c r="H152" s="120">
        <f>'Ethylene Recycling HC'!H190</f>
        <v>1.3558513848988894E-2</v>
      </c>
      <c r="I152" s="120">
        <f>'Ethylene Recycling HC'!I190</f>
        <v>1.8705987288899363E-2</v>
      </c>
      <c r="J152" s="120">
        <f>'Ethylene Recycling HC'!J190</f>
        <v>2.4366955716809864E-2</v>
      </c>
      <c r="K152" s="120">
        <f>'Ethylene Recycling HC'!K190</f>
        <v>3.0423063259362133E-2</v>
      </c>
      <c r="L152" s="120">
        <f>'Ethylene Recycling HC'!L190</f>
        <v>3.6760641355153237E-2</v>
      </c>
      <c r="M152" s="120">
        <f>'Ethylene Recycling HC'!M190</f>
        <v>4.327066272886014E-2</v>
      </c>
      <c r="N152" s="120">
        <f>'Ethylene Recycling HC'!N190</f>
        <v>4.8361515390590443E-2</v>
      </c>
      <c r="O152" s="120">
        <f>'Ethylene Recycling HC'!O190</f>
        <v>5.3310316006645861E-2</v>
      </c>
      <c r="P152" s="120">
        <f>'Ethylene Recycling HC'!P190</f>
        <v>5.8056751202431374E-2</v>
      </c>
      <c r="Q152" s="120">
        <f>'Ethylene Recycling HC'!Q190</f>
        <v>6.254347428138185E-2</v>
      </c>
      <c r="R152" s="120">
        <f>'Ethylene Recycling HC'!R190</f>
        <v>6.6716075433123093E-2</v>
      </c>
      <c r="S152" s="120">
        <f>'Ethylene Recycling HC'!S190</f>
        <v>7.1495268121499075E-2</v>
      </c>
      <c r="T152" s="120">
        <f>'Ethylene Recycling HC'!T190</f>
        <v>7.6053839471992749E-2</v>
      </c>
      <c r="U152" s="120">
        <f>'Ethylene Recycling HC'!U190</f>
        <v>8.0355023360207334E-2</v>
      </c>
      <c r="V152" s="120">
        <f>'Ethylene Recycling HC'!V190</f>
        <v>8.4364080201902489E-2</v>
      </c>
      <c r="W152" s="120">
        <f>'Ethylene Recycling HC'!W190</f>
        <v>8.8048276399219E-2</v>
      </c>
      <c r="X152" s="120">
        <f>'Ethylene Recycling HC'!X190</f>
        <v>9.3275199245468288E-2</v>
      </c>
      <c r="Y152" s="120">
        <f>'Ethylene Recycling HC'!Y190</f>
        <v>9.809429053111389E-2</v>
      </c>
      <c r="Z152" s="120">
        <f>'Ethylene Recycling HC'!Z190</f>
        <v>0.1024574430859443</v>
      </c>
      <c r="AA152" s="120">
        <f>'Ethylene Recycling HC'!AA190</f>
        <v>0.10631956505705618</v>
      </c>
      <c r="AB152" s="120">
        <f>'Ethylene Recycling HC'!AB190</f>
        <v>0.10963854901386068</v>
      </c>
      <c r="AC152" s="120">
        <f>'Ethylene Recycling HC'!AC190</f>
        <v>0.11125447754308138</v>
      </c>
      <c r="AD152" s="120">
        <f>'Ethylene Recycling HC'!AD190</f>
        <v>0.11209368912344066</v>
      </c>
      <c r="AE152" s="120">
        <f>'Ethylene Recycling HC'!AE190</f>
        <v>0.11211905369064551</v>
      </c>
      <c r="AF152" s="120">
        <f>'Ethylene Recycling HC'!AF190</f>
        <v>0.11129686864358203</v>
      </c>
      <c r="AG152" s="120">
        <f>'Ethylene Recycling HC'!AG190</f>
        <v>0.10959682290526433</v>
      </c>
      <c r="AH152" s="217"/>
      <c r="AI152" s="124"/>
      <c r="AJ152" s="185"/>
      <c r="AL152" s="100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J153" s="185"/>
    </row>
    <row r="154" spans="1:63" s="174" customFormat="1" ht="15.5" thickBot="1">
      <c r="A154" s="174" t="s">
        <v>446</v>
      </c>
      <c r="B154" s="189"/>
      <c r="C154" s="542">
        <f>C155</f>
        <v>0.02</v>
      </c>
      <c r="D154" s="542">
        <f t="shared" ref="D154:AG154" si="29">D155</f>
        <v>4.1442327559921402E-2</v>
      </c>
      <c r="E154" s="542">
        <f t="shared" si="29"/>
        <v>6.28846551198428E-2</v>
      </c>
      <c r="F154" s="542">
        <f t="shared" si="29"/>
        <v>8.4326982679764184E-2</v>
      </c>
      <c r="G154" s="542">
        <f t="shared" si="29"/>
        <v>0.1057693102396856</v>
      </c>
      <c r="H154" s="542">
        <f t="shared" si="29"/>
        <v>0.12721163779960698</v>
      </c>
      <c r="I154" s="542">
        <f t="shared" si="29"/>
        <v>0.14865396535952838</v>
      </c>
      <c r="J154" s="542">
        <f t="shared" si="29"/>
        <v>0.17009629291944978</v>
      </c>
      <c r="K154" s="542">
        <f t="shared" si="29"/>
        <v>0.19153862047937117</v>
      </c>
      <c r="L154" s="542">
        <f t="shared" si="29"/>
        <v>0.21298094803929257</v>
      </c>
      <c r="M154" s="542">
        <f t="shared" si="29"/>
        <v>0.23442327559921397</v>
      </c>
      <c r="N154" s="542">
        <f t="shared" si="29"/>
        <v>0.24882881581566058</v>
      </c>
      <c r="O154" s="542">
        <f t="shared" si="29"/>
        <v>0.26323435603210721</v>
      </c>
      <c r="P154" s="542">
        <f t="shared" si="29"/>
        <v>0.27763989624855379</v>
      </c>
      <c r="Q154" s="542">
        <f t="shared" si="29"/>
        <v>0.29204543646500042</v>
      </c>
      <c r="R154" s="542">
        <f t="shared" si="29"/>
        <v>0.306450976681447</v>
      </c>
      <c r="S154" s="542">
        <f t="shared" si="29"/>
        <v>0.32085651689789368</v>
      </c>
      <c r="T154" s="542">
        <f t="shared" si="29"/>
        <v>0.33526205711434021</v>
      </c>
      <c r="U154" s="542">
        <f t="shared" si="29"/>
        <v>0.34966759733078684</v>
      </c>
      <c r="V154" s="542">
        <f t="shared" si="29"/>
        <v>0.36407313754723347</v>
      </c>
      <c r="W154" s="542">
        <f t="shared" si="29"/>
        <v>0.37847867776368005</v>
      </c>
      <c r="X154" s="542">
        <f t="shared" si="29"/>
        <v>0.40063080998731199</v>
      </c>
      <c r="Y154" s="542">
        <f t="shared" si="29"/>
        <v>0.42278294221094409</v>
      </c>
      <c r="Z154" s="542">
        <f t="shared" si="29"/>
        <v>0.44493507443457603</v>
      </c>
      <c r="AA154" s="542">
        <f t="shared" si="29"/>
        <v>0.46708720665820802</v>
      </c>
      <c r="AB154" s="542">
        <f t="shared" si="29"/>
        <v>0.48923933888184001</v>
      </c>
      <c r="AC154" s="542">
        <f t="shared" si="29"/>
        <v>0.51139147110547201</v>
      </c>
      <c r="AD154" s="542">
        <f t="shared" si="29"/>
        <v>0.533543603329104</v>
      </c>
      <c r="AE154" s="542">
        <f t="shared" si="29"/>
        <v>0.55569573555273599</v>
      </c>
      <c r="AF154" s="542">
        <f t="shared" si="29"/>
        <v>0.57784786777636798</v>
      </c>
      <c r="AG154" s="542">
        <f t="shared" si="29"/>
        <v>0.6</v>
      </c>
      <c r="AJ154" s="204" t="s">
        <v>458</v>
      </c>
      <c r="AL154" s="191"/>
      <c r="AM154" s="198"/>
      <c r="AN154" s="198"/>
      <c r="AO154" s="198"/>
    </row>
    <row r="155" spans="1:63" ht="15.5" outlineLevel="1" thickTop="1">
      <c r="A155" t="s">
        <v>454</v>
      </c>
      <c r="B155" s="50" t="s">
        <v>126</v>
      </c>
      <c r="C155" s="120">
        <f>'Ethylene Recycling HC'!C193*'Ethylene Recycling HC'!C$44/'Ethylene Recycling LC'!C$44</f>
        <v>0.02</v>
      </c>
      <c r="D155" s="120">
        <f>'Ethylene Recycling HC'!D193*'Ethylene Recycling HC'!D$44/'Ethylene Recycling LC'!D$44</f>
        <v>4.1442327559921402E-2</v>
      </c>
      <c r="E155" s="120">
        <f>'Ethylene Recycling HC'!E193*'Ethylene Recycling HC'!E$44/'Ethylene Recycling LC'!E$44</f>
        <v>6.28846551198428E-2</v>
      </c>
      <c r="F155" s="120">
        <f>'Ethylene Recycling HC'!F193*'Ethylene Recycling HC'!F$44/'Ethylene Recycling LC'!F$44</f>
        <v>8.4326982679764184E-2</v>
      </c>
      <c r="G155" s="120">
        <f>'Ethylene Recycling HC'!G193*'Ethylene Recycling HC'!G$44/'Ethylene Recycling LC'!G$44</f>
        <v>0.1057693102396856</v>
      </c>
      <c r="H155" s="120">
        <f>'Ethylene Recycling HC'!H193*'Ethylene Recycling HC'!H$44/'Ethylene Recycling LC'!H$44</f>
        <v>0.12721163779960698</v>
      </c>
      <c r="I155" s="120">
        <f>'Ethylene Recycling HC'!I193*'Ethylene Recycling HC'!I$44/'Ethylene Recycling LC'!I$44</f>
        <v>0.14865396535952838</v>
      </c>
      <c r="J155" s="120">
        <f>'Ethylene Recycling HC'!J193*'Ethylene Recycling HC'!J$44/'Ethylene Recycling LC'!J$44</f>
        <v>0.17009629291944978</v>
      </c>
      <c r="K155" s="120">
        <f>'Ethylene Recycling HC'!K193*'Ethylene Recycling HC'!K$44/'Ethylene Recycling LC'!K$44</f>
        <v>0.19153862047937117</v>
      </c>
      <c r="L155" s="120">
        <f>'Ethylene Recycling HC'!L193*'Ethylene Recycling HC'!L$44/'Ethylene Recycling LC'!L$44</f>
        <v>0.21298094803929257</v>
      </c>
      <c r="M155" s="120">
        <f>'Ethylene Recycling HC'!M193*'Ethylene Recycling HC'!M$44/'Ethylene Recycling LC'!M$44</f>
        <v>0.23442327559921397</v>
      </c>
      <c r="N155" s="120">
        <f>'Ethylene Recycling HC'!N193*'Ethylene Recycling HC'!N$44/'Ethylene Recycling LC'!N$44</f>
        <v>0.24882881581566058</v>
      </c>
      <c r="O155" s="120">
        <f>'Ethylene Recycling HC'!O193*'Ethylene Recycling HC'!O$44/'Ethylene Recycling LC'!O$44</f>
        <v>0.26323435603210721</v>
      </c>
      <c r="P155" s="120">
        <f>'Ethylene Recycling HC'!P193*'Ethylene Recycling HC'!P$44/'Ethylene Recycling LC'!P$44</f>
        <v>0.27763989624855379</v>
      </c>
      <c r="Q155" s="120">
        <f>'Ethylene Recycling HC'!Q193*'Ethylene Recycling HC'!Q$44/'Ethylene Recycling LC'!Q$44</f>
        <v>0.29204543646500042</v>
      </c>
      <c r="R155" s="120">
        <f>'Ethylene Recycling HC'!R193*'Ethylene Recycling HC'!R$44/'Ethylene Recycling LC'!R$44</f>
        <v>0.306450976681447</v>
      </c>
      <c r="S155" s="120">
        <f>'Ethylene Recycling HC'!S193*'Ethylene Recycling HC'!S$44/'Ethylene Recycling LC'!S$44</f>
        <v>0.32085651689789368</v>
      </c>
      <c r="T155" s="120">
        <f>'Ethylene Recycling HC'!T193*'Ethylene Recycling HC'!T$44/'Ethylene Recycling LC'!T$44</f>
        <v>0.33526205711434021</v>
      </c>
      <c r="U155" s="120">
        <f>'Ethylene Recycling HC'!U193*'Ethylene Recycling HC'!U$44/'Ethylene Recycling LC'!U$44</f>
        <v>0.34966759733078684</v>
      </c>
      <c r="V155" s="120">
        <f>'Ethylene Recycling HC'!V193*'Ethylene Recycling HC'!V$44/'Ethylene Recycling LC'!V$44</f>
        <v>0.36407313754723347</v>
      </c>
      <c r="W155" s="120">
        <f>'Ethylene Recycling HC'!W193*'Ethylene Recycling HC'!W$44/'Ethylene Recycling LC'!W$44</f>
        <v>0.37847867776368005</v>
      </c>
      <c r="X155" s="120">
        <f>'Ethylene Recycling HC'!X193*'Ethylene Recycling HC'!X$44/'Ethylene Recycling LC'!X$44</f>
        <v>0.40063080998731199</v>
      </c>
      <c r="Y155" s="120">
        <f>'Ethylene Recycling HC'!Y193*'Ethylene Recycling HC'!Y$44/'Ethylene Recycling LC'!Y$44</f>
        <v>0.42278294221094409</v>
      </c>
      <c r="Z155" s="120">
        <f>'Ethylene Recycling HC'!Z193*'Ethylene Recycling HC'!Z$44/'Ethylene Recycling LC'!Z$44</f>
        <v>0.44493507443457603</v>
      </c>
      <c r="AA155" s="120">
        <f>'Ethylene Recycling HC'!AA193*'Ethylene Recycling HC'!AA$44/'Ethylene Recycling LC'!AA$44</f>
        <v>0.46708720665820802</v>
      </c>
      <c r="AB155" s="120">
        <f>'Ethylene Recycling HC'!AB193*'Ethylene Recycling HC'!AB$44/'Ethylene Recycling LC'!AB$44</f>
        <v>0.48923933888184001</v>
      </c>
      <c r="AC155" s="120">
        <f>'Ethylene Recycling HC'!AC193*'Ethylene Recycling HC'!AC$44/'Ethylene Recycling LC'!AC$44</f>
        <v>0.51139147110547201</v>
      </c>
      <c r="AD155" s="120">
        <f>'Ethylene Recycling HC'!AD193*'Ethylene Recycling HC'!AD$44/'Ethylene Recycling LC'!AD$44</f>
        <v>0.533543603329104</v>
      </c>
      <c r="AE155" s="120">
        <f>'Ethylene Recycling HC'!AE193*'Ethylene Recycling HC'!AE$44/'Ethylene Recycling LC'!AE$44</f>
        <v>0.55569573555273599</v>
      </c>
      <c r="AF155" s="120">
        <f>'Ethylene Recycling HC'!AF193*'Ethylene Recycling HC'!AF$44/'Ethylene Recycling LC'!AF$44</f>
        <v>0.57784786777636798</v>
      </c>
      <c r="AG155" s="120">
        <f>'Ethylene Recycling HC'!AG193*'Ethylene Recycling HC'!AG$44/'Ethylene Recycling LC'!AG$44</f>
        <v>0.6</v>
      </c>
      <c r="AI155" s="124" t="s">
        <v>479</v>
      </c>
      <c r="AJ155" s="185" t="s">
        <v>447</v>
      </c>
    </row>
    <row r="156" spans="1:63" outlineLevel="1"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  <c r="X156" s="543"/>
      <c r="Y156" s="543"/>
      <c r="Z156" s="543"/>
      <c r="AA156" s="543"/>
      <c r="AB156" s="543"/>
      <c r="AC156" s="543"/>
      <c r="AD156" s="543"/>
      <c r="AE156" s="543"/>
      <c r="AF156" s="543"/>
      <c r="AG156" s="543"/>
      <c r="AJ156" s="185"/>
    </row>
    <row r="157" spans="1:63" outlineLevel="1">
      <c r="A157" t="s">
        <v>455</v>
      </c>
      <c r="B157" s="50" t="s">
        <v>126</v>
      </c>
      <c r="C157" s="120">
        <f>'Ethylene Recycling HC'!C196*'Ethylene Recycling HC'!C$44/'Ethylene Recycling LC'!C$44</f>
        <v>2.2170609860419192E-2</v>
      </c>
      <c r="D157" s="120">
        <f>'Ethylene Recycling HC'!D196*'Ethylene Recycling HC'!D$44/'Ethylene Recycling LC'!D$44</f>
        <v>4.5928299685735037E-2</v>
      </c>
      <c r="E157" s="120">
        <f>'Ethylene Recycling HC'!E196*'Ethylene Recycling HC'!E$44/'Ethylene Recycling LC'!E$44</f>
        <v>6.9673795269344016E-2</v>
      </c>
      <c r="F157" s="120">
        <f>'Ethylene Recycling HC'!F196*'Ethylene Recycling HC'!F$44/'Ethylene Recycling LC'!F$44</f>
        <v>9.3407096611246118E-2</v>
      </c>
      <c r="G157" s="120">
        <f>'Ethylene Recycling HC'!G196*'Ethylene Recycling HC'!G$44/'Ethylene Recycling LC'!G$44</f>
        <v>0.11712820371144136</v>
      </c>
      <c r="H157" s="120">
        <f>'Ethylene Recycling HC'!H196*'Ethylene Recycling HC'!H$44/'Ethylene Recycling LC'!H$44</f>
        <v>0.14083711656992973</v>
      </c>
      <c r="I157" s="120">
        <f>'Ethylene Recycling HC'!I196*'Ethylene Recycling HC'!I$44/'Ethylene Recycling LC'!I$44</f>
        <v>0.16453383518671125</v>
      </c>
      <c r="J157" s="120">
        <f>'Ethylene Recycling HC'!J196*'Ethylene Recycling HC'!J$44/'Ethylene Recycling LC'!J$44</f>
        <v>0.18821835956178587</v>
      </c>
      <c r="K157" s="120">
        <f>'Ethylene Recycling HC'!K196*'Ethylene Recycling HC'!K$44/'Ethylene Recycling LC'!K$44</f>
        <v>0.21189068969515365</v>
      </c>
      <c r="L157" s="120">
        <f>'Ethylene Recycling HC'!L196*'Ethylene Recycling HC'!L$44/'Ethylene Recycling LC'!L$44</f>
        <v>0.23555082558681456</v>
      </c>
      <c r="M157" s="120">
        <f>'Ethylene Recycling HC'!M196*'Ethylene Recycling HC'!M$44/'Ethylene Recycling LC'!M$44</f>
        <v>0.2591987672367686</v>
      </c>
      <c r="N157" s="120">
        <f>'Ethylene Recycling HC'!N196*'Ethylene Recycling HC'!N$44/'Ethylene Recycling LC'!N$44</f>
        <v>0.27505603129915529</v>
      </c>
      <c r="O157" s="120">
        <f>'Ethylene Recycling HC'!O196*'Ethylene Recycling HC'!O$44/'Ethylene Recycling LC'!O$44</f>
        <v>0.29090510293752336</v>
      </c>
      <c r="P157" s="120">
        <f>'Ethylene Recycling HC'!P196*'Ethylene Recycling HC'!P$44/'Ethylene Recycling LC'!P$44</f>
        <v>0.30674598215187276</v>
      </c>
      <c r="Q157" s="120">
        <f>'Ethylene Recycling HC'!Q196*'Ethylene Recycling HC'!Q$44/'Ethylene Recycling LC'!Q$44</f>
        <v>0.32257866894220361</v>
      </c>
      <c r="R157" s="120">
        <f>'Ethylene Recycling HC'!R196*'Ethylene Recycling HC'!R$44/'Ethylene Recycling LC'!R$44</f>
        <v>0.33840316330851566</v>
      </c>
      <c r="S157" s="120">
        <f>'Ethylene Recycling HC'!S196*'Ethylene Recycling HC'!S$44/'Ethylene Recycling LC'!S$44</f>
        <v>0.35421946525080927</v>
      </c>
      <c r="T157" s="120">
        <f>'Ethylene Recycling HC'!T196*'Ethylene Recycling HC'!T$44/'Ethylene Recycling LC'!T$44</f>
        <v>0.3700275747690841</v>
      </c>
      <c r="U157" s="120">
        <f>'Ethylene Recycling HC'!U196*'Ethylene Recycling HC'!U$44/'Ethylene Recycling LC'!U$44</f>
        <v>0.38582749186334042</v>
      </c>
      <c r="V157" s="120">
        <f>'Ethylene Recycling HC'!V196*'Ethylene Recycling HC'!V$44/'Ethylene Recycling LC'!V$44</f>
        <v>0.40161921653357807</v>
      </c>
      <c r="W157" s="120">
        <f>'Ethylene Recycling HC'!W196*'Ethylene Recycling HC'!W$44/'Ethylene Recycling LC'!W$44</f>
        <v>0.41740274877979699</v>
      </c>
      <c r="X157" s="120">
        <f>'Ethylene Recycling HC'!X196*'Ethylene Recycling HC'!X$44/'Ethylene Recycling LC'!X$44</f>
        <v>0.44171916448461734</v>
      </c>
      <c r="Y157" s="120">
        <f>'Ethylene Recycling HC'!Y196*'Ethylene Recycling HC'!Y$44/'Ethylene Recycling LC'!Y$44</f>
        <v>0.46602298228214883</v>
      </c>
      <c r="Z157" s="120">
        <f>'Ethylene Recycling HC'!Z196*'Ethylene Recycling HC'!Z$44/'Ethylene Recycling LC'!Z$44</f>
        <v>0.49031420217239147</v>
      </c>
      <c r="AA157" s="120">
        <f>'Ethylene Recycling HC'!AA196*'Ethylene Recycling HC'!AA$44/'Ethylene Recycling LC'!AA$44</f>
        <v>0.51459282415534513</v>
      </c>
      <c r="AB157" s="120">
        <f>'Ethylene Recycling HC'!AB196*'Ethylene Recycling HC'!AB$44/'Ethylene Recycling LC'!AB$44</f>
        <v>0.53885884823101005</v>
      </c>
      <c r="AC157" s="120">
        <f>'Ethylene Recycling HC'!AC196*'Ethylene Recycling HC'!AC$44/'Ethylene Recycling LC'!AC$44</f>
        <v>0.56311227439938605</v>
      </c>
      <c r="AD157" s="120">
        <f>'Ethylene Recycling HC'!AD196*'Ethylene Recycling HC'!AD$44/'Ethylene Recycling LC'!AD$44</f>
        <v>0.58735310266047314</v>
      </c>
      <c r="AE157" s="120">
        <f>'Ethylene Recycling HC'!AE196*'Ethylene Recycling HC'!AE$44/'Ethylene Recycling LC'!AE$44</f>
        <v>0.61158133301427142</v>
      </c>
      <c r="AF157" s="120">
        <f>'Ethylene Recycling HC'!AF196*'Ethylene Recycling HC'!AF$44/'Ethylene Recycling LC'!AF$44</f>
        <v>0.63579696546078079</v>
      </c>
      <c r="AG157" s="120">
        <f>'Ethylene Recycling HC'!AG196*'Ethylene Recycling HC'!AG$44/'Ethylene Recycling LC'!AG$44</f>
        <v>0.66000000000000014</v>
      </c>
      <c r="AI157" s="124" t="s">
        <v>479</v>
      </c>
      <c r="AJ157" s="185" t="s">
        <v>447</v>
      </c>
    </row>
    <row r="158" spans="1:63" outlineLevel="1"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I158" s="124"/>
      <c r="AJ158" s="185"/>
    </row>
    <row r="159" spans="1:63" s="1" customFormat="1" outlineLevel="1">
      <c r="A159" s="1" t="s">
        <v>265</v>
      </c>
      <c r="B159" s="60"/>
      <c r="C159" s="541">
        <f>'Ethylene Recycling HC'!C198</f>
        <v>4976.5420616365564</v>
      </c>
      <c r="D159" s="541">
        <f>'Ethylene Recycling HC'!D198</f>
        <v>10286.570566056595</v>
      </c>
      <c r="E159" s="541">
        <f>'Ethylene Recycling HC'!E198</f>
        <v>15570.405129932538</v>
      </c>
      <c r="F159" s="541">
        <f>'Ethylene Recycling HC'!F198</f>
        <v>20828.141541510562</v>
      </c>
      <c r="G159" s="541">
        <f>'Ethylene Recycling HC'!G198</f>
        <v>26059.875280490047</v>
      </c>
      <c r="H159" s="541">
        <f>'Ethylene Recycling HC'!H198</f>
        <v>31265.701518948361</v>
      </c>
      <c r="I159" s="541">
        <f>'Ethylene Recycling HC'!I198</f>
        <v>36445.71512226302</v>
      </c>
      <c r="J159" s="541">
        <f>'Ethylene Recycling HC'!J198</f>
        <v>41600.010650031167</v>
      </c>
      <c r="K159" s="541">
        <f>'Ethylene Recycling HC'!K198</f>
        <v>46728.68235698645</v>
      </c>
      <c r="L159" s="541">
        <f>'Ethylene Recycling HC'!L198</f>
        <v>51831.824193913279</v>
      </c>
      <c r="M159" s="541">
        <f>'Ethylene Recycling HC'!M198</f>
        <v>56909.52980855848</v>
      </c>
      <c r="N159" s="541">
        <f>'Ethylene Recycling HC'!N198</f>
        <v>60257.823473300865</v>
      </c>
      <c r="O159" s="541">
        <f>'Ethylene Recycling HC'!O198</f>
        <v>63589.265787427488</v>
      </c>
      <c r="P159" s="541">
        <f>'Ethylene Recycling HC'!P198</f>
        <v>66903.918787948394</v>
      </c>
      <c r="Q159" s="541">
        <f>'Ethylene Recycling HC'!Q198</f>
        <v>70201.844311366891</v>
      </c>
      <c r="R159" s="541">
        <f>'Ethylene Recycling HC'!R198</f>
        <v>73483.103994281701</v>
      </c>
      <c r="S159" s="541">
        <f>'Ethylene Recycling HC'!S198</f>
        <v>76747.75927398754</v>
      </c>
      <c r="T159" s="541">
        <f>'Ethylene Recycling HC'!T198</f>
        <v>79995.871389073727</v>
      </c>
      <c r="U159" s="541">
        <f>'Ethylene Recycling HC'!U198</f>
        <v>83227.501380021436</v>
      </c>
      <c r="V159" s="541">
        <f>'Ethylene Recycling HC'!V198</f>
        <v>86442.710089798755</v>
      </c>
      <c r="W159" s="541">
        <f>'Ethylene Recycling HC'!W198</f>
        <v>89641.558164454575</v>
      </c>
      <c r="X159" s="541">
        <f>'Ethylene Recycling HC'!X198</f>
        <v>94654.341133466543</v>
      </c>
      <c r="Y159" s="541">
        <f>'Ethylene Recycling HC'!Y198</f>
        <v>99641.861458895393</v>
      </c>
      <c r="Z159" s="541">
        <f>'Ethylene Recycling HC'!Z198</f>
        <v>104604.21219618412</v>
      </c>
      <c r="AA159" s="541">
        <f>'Ethylene Recycling HC'!AA198</f>
        <v>109541.48609990971</v>
      </c>
      <c r="AB159" s="541">
        <f>'Ethylene Recycling HC'!AB198</f>
        <v>114453.77562468711</v>
      </c>
      <c r="AC159" s="541">
        <f>'Ethylene Recycling HC'!AC198</f>
        <v>119341.17292607012</v>
      </c>
      <c r="AD159" s="541">
        <f>'Ethylene Recycling HC'!AD198</f>
        <v>124203.76986145054</v>
      </c>
      <c r="AE159" s="541">
        <f>'Ethylene Recycling HC'!AE198</f>
        <v>129041.6579909539</v>
      </c>
      <c r="AF159" s="541">
        <f>'Ethylene Recycling HC'!AF198</f>
        <v>133854.9285783332</v>
      </c>
      <c r="AG159" s="541">
        <f>'Ethylene Recycling HC'!AG198</f>
        <v>138643.67259185965</v>
      </c>
      <c r="AH159" s="367"/>
      <c r="AI159" s="368"/>
      <c r="AJ159" s="369"/>
      <c r="AL159" s="194"/>
      <c r="AM159" s="116"/>
      <c r="AN159" s="116"/>
      <c r="AO159" s="116"/>
      <c r="BD159" s="116"/>
      <c r="BE159" s="116"/>
      <c r="BF159" s="116"/>
      <c r="BG159" s="116"/>
      <c r="BH159" s="116"/>
      <c r="BI159" s="116"/>
      <c r="BJ159" s="116"/>
      <c r="BK159" s="116"/>
    </row>
    <row r="160" spans="1:63" outlineLevel="1">
      <c r="A160" s="4" t="s">
        <v>141</v>
      </c>
      <c r="C160" s="120">
        <f>'Ethylene Recycling HC'!C199</f>
        <v>0</v>
      </c>
      <c r="D160" s="120">
        <f>'Ethylene Recycling HC'!D199</f>
        <v>112.41968139407344</v>
      </c>
      <c r="E160" s="120">
        <f>'Ethylene Recycling HC'!E199</f>
        <v>340.3311089236409</v>
      </c>
      <c r="F160" s="120">
        <f>'Ethylene Recycling HC'!F199</f>
        <v>682.87861958202814</v>
      </c>
      <c r="G160" s="120">
        <f>'Ethylene Recycling HC'!G199</f>
        <v>1139.2107242696236</v>
      </c>
      <c r="H160" s="120">
        <f>'Ethylene Recycling HC'!H199</f>
        <v>1708.4800909842097</v>
      </c>
      <c r="I160" s="120">
        <f>'Ethylene Recycling HC'!I199</f>
        <v>2389.8435280717622</v>
      </c>
      <c r="J160" s="120">
        <f>'Ethylene Recycling HC'!J199</f>
        <v>3182.4619675375147</v>
      </c>
      <c r="K160" s="120">
        <f>'Ethylene Recycling HC'!K199</f>
        <v>4085.5004484170859</v>
      </c>
      <c r="L160" s="120">
        <f>'Ethylene Recycling HC'!L199</f>
        <v>5098.1281002074729</v>
      </c>
      <c r="M160" s="120">
        <f>'Ethylene Recycling HC'!M199</f>
        <v>6219.5181263577097</v>
      </c>
      <c r="N160" s="120">
        <f>'Ethylene Recycling HC'!N199</f>
        <v>7243.9904049210063</v>
      </c>
      <c r="O160" s="120">
        <f>'Ethylene Recycling HC'!O199</f>
        <v>8339.4382460114302</v>
      </c>
      <c r="P160" s="120">
        <f>'Ethylene Recycling HC'!P199</f>
        <v>9505.317969301881</v>
      </c>
      <c r="Q160" s="120">
        <f>'Ethylene Recycling HC'!Q199</f>
        <v>10741.088575742831</v>
      </c>
      <c r="R160" s="120">
        <f>'Ethylene Recycling HC'!R199</f>
        <v>12046.211736704568</v>
      </c>
      <c r="S160" s="120">
        <f>'Ethylene Recycling HC'!S199</f>
        <v>13420.151783158641</v>
      </c>
      <c r="T160" s="120">
        <f>'Ethylene Recycling HC'!T199</f>
        <v>14862.375694898326</v>
      </c>
      <c r="U160" s="120">
        <f>'Ethylene Recycling HC'!U199</f>
        <v>16372.353089798085</v>
      </c>
      <c r="V160" s="120">
        <f>'Ethylene Recycling HC'!V199</f>
        <v>17949.556213111715</v>
      </c>
      <c r="W160" s="120">
        <f>'Ethylene Recycling HC'!W199</f>
        <v>19593.459926809282</v>
      </c>
      <c r="X160" s="120">
        <f>'Ethylene Recycling HC'!X199</f>
        <v>21723.588721198088</v>
      </c>
      <c r="Y160" s="120">
        <f>'Ethylene Recycling HC'!Y199</f>
        <v>23957.210756426513</v>
      </c>
      <c r="Z160" s="120">
        <f>'Ethylene Recycling HC'!Z199</f>
        <v>26293.521153364007</v>
      </c>
      <c r="AA160" s="120">
        <f>'Ethylene Recycling HC'!AA199</f>
        <v>28731.719021896046</v>
      </c>
      <c r="AB160" s="120">
        <f>'Ethylene Recycling HC'!AB199</f>
        <v>31271.007444730596</v>
      </c>
      <c r="AC160" s="120">
        <f>'Ethylene Recycling HC'!AC199</f>
        <v>33910.593461263037</v>
      </c>
      <c r="AD160" s="120">
        <f>'Ethylene Recycling HC'!AD199</f>
        <v>36649.688051499565</v>
      </c>
      <c r="AE160" s="120">
        <f>'Ethylene Recycling HC'!AE199</f>
        <v>39487.506120038619</v>
      </c>
      <c r="AF160" s="120">
        <f>'Ethylene Recycling HC'!AF199</f>
        <v>42423.266480110273</v>
      </c>
      <c r="AG160" s="120">
        <f>'Ethylene Recycling HC'!AG199</f>
        <v>45456.191837673359</v>
      </c>
      <c r="AH160" s="217"/>
      <c r="AI160" s="124"/>
      <c r="AJ160" s="185"/>
      <c r="AL160" s="100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120">
        <f>'Ethylene Recycling HC'!C200</f>
        <v>0</v>
      </c>
      <c r="D161" s="120">
        <f>'Ethylene Recycling HC'!D200</f>
        <v>22.798516051985295</v>
      </c>
      <c r="E161" s="120">
        <f>'Ethylene Recycling HC'!E200</f>
        <v>69.018557547652193</v>
      </c>
      <c r="F161" s="120">
        <f>'Ethylene Recycling HC'!F200</f>
        <v>138.4865975160038</v>
      </c>
      <c r="G161" s="120">
        <f>'Ethylene Recycling HC'!G200</f>
        <v>231.0299554471431</v>
      </c>
      <c r="H161" s="120">
        <f>'Ethylene Recycling HC'!H200</f>
        <v>346.47679388330141</v>
      </c>
      <c r="I161" s="120">
        <f>'Ethylene Recycling HC'!I200</f>
        <v>484.65611502212977</v>
      </c>
      <c r="J161" s="120">
        <f>'Ethylene Recycling HC'!J200</f>
        <v>645.39775733221143</v>
      </c>
      <c r="K161" s="120">
        <f>'Ethylene Recycling HC'!K200</f>
        <v>828.53239218075578</v>
      </c>
      <c r="L161" s="120">
        <f>'Ethylene Recycling HC'!L200</f>
        <v>1033.8915204734319</v>
      </c>
      <c r="M161" s="120">
        <f>'Ethylene Recycling HC'!M200</f>
        <v>1261.3074693063043</v>
      </c>
      <c r="N161" s="120">
        <f>'Ethylene Recycling HC'!N200</f>
        <v>1469.0686673279042</v>
      </c>
      <c r="O161" s="120">
        <f>'Ethylene Recycling HC'!O200</f>
        <v>1691.2235861064703</v>
      </c>
      <c r="P161" s="120">
        <f>'Ethylene Recycling HC'!P200</f>
        <v>1927.661968216338</v>
      </c>
      <c r="Q161" s="120">
        <f>'Ethylene Recycling HC'!Q200</f>
        <v>2178.2740999902753</v>
      </c>
      <c r="R161" s="120">
        <f>'Ethylene Recycling HC'!R200</f>
        <v>2442.9508093175496</v>
      </c>
      <c r="S161" s="120">
        <f>'Ethylene Recycling HC'!S200</f>
        <v>2721.5834634499415</v>
      </c>
      <c r="T161" s="120">
        <f>'Ethylene Recycling HC'!T200</f>
        <v>3014.0639668156773</v>
      </c>
      <c r="U161" s="120">
        <f>'Ethylene Recycling HC'!U200</f>
        <v>3320.2847588412619</v>
      </c>
      <c r="V161" s="120">
        <f>'Ethylene Recycling HC'!V200</f>
        <v>3640.1388117811666</v>
      </c>
      <c r="W161" s="120">
        <f>'Ethylene Recycling HC'!W200</f>
        <v>3973.5196285553716</v>
      </c>
      <c r="X161" s="120">
        <f>'Ethylene Recycling HC'!X200</f>
        <v>4405.5060468537376</v>
      </c>
      <c r="Y161" s="120">
        <f>'Ethylene Recycling HC'!Y200</f>
        <v>4858.480714569776</v>
      </c>
      <c r="Z161" s="120">
        <f>'Ethylene Recycling HC'!Z200</f>
        <v>5332.280403614328</v>
      </c>
      <c r="AA161" s="120">
        <f>'Ethylene Recycling HC'!AA200</f>
        <v>5826.742694863754</v>
      </c>
      <c r="AB161" s="120">
        <f>'Ethylene Recycling HC'!AB200</f>
        <v>6341.7059748759129</v>
      </c>
      <c r="AC161" s="120">
        <f>'Ethylene Recycling HC'!AC200</f>
        <v>6877.0094326179942</v>
      </c>
      <c r="AD161" s="120">
        <f>'Ethylene Recycling HC'!AD200</f>
        <v>7432.4930562062191</v>
      </c>
      <c r="AE161" s="120">
        <f>'Ethylene Recycling HC'!AE200</f>
        <v>8007.9976296572886</v>
      </c>
      <c r="AF161" s="120">
        <f>'Ethylene Recycling HC'!AF200</f>
        <v>8603.3647296516156</v>
      </c>
      <c r="AG161" s="120">
        <f>'Ethylene Recycling HC'!AG200</f>
        <v>9218.4367223082409</v>
      </c>
      <c r="AH161" s="217"/>
      <c r="AI161" s="124"/>
      <c r="AJ161" s="185"/>
      <c r="AL161" s="100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34</v>
      </c>
      <c r="C162" s="120">
        <f>'Ethylene Recycling HC'!C201</f>
        <v>4976.5420616365564</v>
      </c>
      <c r="D162" s="120">
        <f>'Ethylene Recycling HC'!D201</f>
        <v>10140.436618296602</v>
      </c>
      <c r="E162" s="120">
        <f>'Ethylene Recycling HC'!E201</f>
        <v>15128.009920518882</v>
      </c>
      <c r="F162" s="120">
        <f>'Ethylene Recycling HC'!F201</f>
        <v>19940.470029877219</v>
      </c>
      <c r="G162" s="120">
        <f>'Ethylene Recycling HC'!G201</f>
        <v>24579.019273751561</v>
      </c>
      <c r="H162" s="120">
        <f>'Ethylene Recycling HC'!H201</f>
        <v>29044.854268103583</v>
      </c>
      <c r="I162" s="120">
        <f>'Ethylene Recycling HC'!I201</f>
        <v>33339.165940171079</v>
      </c>
      <c r="J162" s="120">
        <f>'Ethylene Recycling HC'!J201</f>
        <v>37463.139551081338</v>
      </c>
      <c r="K162" s="120">
        <f>'Ethylene Recycling HC'!K201</f>
        <v>41417.954718383815</v>
      </c>
      <c r="L162" s="120">
        <f>'Ethylene Recycling HC'!L201</f>
        <v>45204.785438502389</v>
      </c>
      <c r="M162" s="120">
        <f>'Ethylene Recycling HC'!M201</f>
        <v>48824.800109107484</v>
      </c>
      <c r="N162" s="120">
        <f>'Ethylene Recycling HC'!N201</f>
        <v>50841.385868431258</v>
      </c>
      <c r="O162" s="120">
        <f>'Ethylene Recycling HC'!O201</f>
        <v>52748.859393475861</v>
      </c>
      <c r="P162" s="120">
        <f>'Ethylene Recycling HC'!P201</f>
        <v>54547.989449393026</v>
      </c>
      <c r="Q162" s="120">
        <f>'Ethylene Recycling HC'!Q201</f>
        <v>56239.541115444437</v>
      </c>
      <c r="R162" s="120">
        <f>'Ethylene Recycling HC'!R201</f>
        <v>57824.275799717921</v>
      </c>
      <c r="S162" s="120">
        <f>'Ethylene Recycling HC'!S201</f>
        <v>59302.951253790976</v>
      </c>
      <c r="T162" s="120">
        <f>'Ethylene Recycling HC'!T201</f>
        <v>60676.321587341656</v>
      </c>
      <c r="U162" s="120">
        <f>'Ethylene Recycling HC'!U201</f>
        <v>61945.137282707452</v>
      </c>
      <c r="V162" s="120">
        <f>'Ethylene Recycling HC'!V201</f>
        <v>63110.14520939163</v>
      </c>
      <c r="W162" s="120">
        <f>'Ethylene Recycling HC'!W201</f>
        <v>64172.088638517991</v>
      </c>
      <c r="X162" s="120">
        <f>'Ethylene Recycling HC'!X201</f>
        <v>66415.924692709043</v>
      </c>
      <c r="Y162" s="120">
        <f>'Ethylene Recycling HC'!Y201</f>
        <v>68499.967604183519</v>
      </c>
      <c r="Z162" s="120">
        <f>'Ethylene Recycling HC'!Z201</f>
        <v>70425.356687930413</v>
      </c>
      <c r="AA162" s="120">
        <f>'Ethylene Recycling HC'!AA201</f>
        <v>72193.225772764854</v>
      </c>
      <c r="AB162" s="120">
        <f>'Ethylene Recycling HC'!AB201</f>
        <v>73804.703223281904</v>
      </c>
      <c r="AC162" s="120">
        <f>'Ethylene Recycling HC'!AC201</f>
        <v>75260.911961731545</v>
      </c>
      <c r="AD162" s="120">
        <f>'Ethylene Recycling HC'!AD201</f>
        <v>76562.969489815572</v>
      </c>
      <c r="AE162" s="120">
        <f>'Ethylene Recycling HC'!AE201</f>
        <v>77711.987910405936</v>
      </c>
      <c r="AF162" s="120">
        <f>'Ethylene Recycling HC'!AF201</f>
        <v>78709.073949185506</v>
      </c>
      <c r="AG162" s="120">
        <f>'Ethylene Recycling HC'!AG201</f>
        <v>79555.328976211124</v>
      </c>
      <c r="AH162" s="217"/>
      <c r="AI162" s="124"/>
      <c r="AJ162" s="185"/>
      <c r="AL162" s="100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35</v>
      </c>
      <c r="C163" s="120">
        <f>'Ethylene Recycling HC'!C202</f>
        <v>0</v>
      </c>
      <c r="D163" s="120">
        <f>'Ethylene Recycling HC'!D202</f>
        <v>0</v>
      </c>
      <c r="E163" s="120">
        <f>'Ethylene Recycling HC'!E202</f>
        <v>0</v>
      </c>
      <c r="F163" s="120">
        <f>'Ethylene Recycling HC'!F202</f>
        <v>0</v>
      </c>
      <c r="G163" s="120">
        <f>'Ethylene Recycling HC'!G202</f>
        <v>0</v>
      </c>
      <c r="H163" s="120">
        <f>'Ethylene Recycling HC'!H202</f>
        <v>0</v>
      </c>
      <c r="I163" s="120">
        <f>'Ethylene Recycling HC'!I202</f>
        <v>0</v>
      </c>
      <c r="J163" s="120">
        <f>'Ethylene Recycling HC'!J202</f>
        <v>0</v>
      </c>
      <c r="K163" s="120">
        <f>'Ethylene Recycling HC'!K202</f>
        <v>0</v>
      </c>
      <c r="L163" s="120">
        <f>'Ethylene Recycling HC'!L202</f>
        <v>0</v>
      </c>
      <c r="M163" s="120">
        <f>'Ethylene Recycling HC'!M202</f>
        <v>0</v>
      </c>
      <c r="N163" s="120">
        <f>'Ethylene Recycling HC'!N202</f>
        <v>0</v>
      </c>
      <c r="O163" s="120">
        <f>'Ethylene Recycling HC'!O202</f>
        <v>0</v>
      </c>
      <c r="P163" s="120">
        <f>'Ethylene Recycling HC'!P202</f>
        <v>0</v>
      </c>
      <c r="Q163" s="120">
        <f>'Ethylene Recycling HC'!Q202</f>
        <v>0</v>
      </c>
      <c r="R163" s="120">
        <f>'Ethylene Recycling HC'!R202</f>
        <v>0</v>
      </c>
      <c r="S163" s="120">
        <f>'Ethylene Recycling HC'!S202</f>
        <v>0</v>
      </c>
      <c r="T163" s="120">
        <f>'Ethylene Recycling HC'!T202</f>
        <v>0</v>
      </c>
      <c r="U163" s="120">
        <f>'Ethylene Recycling HC'!U202</f>
        <v>0</v>
      </c>
      <c r="V163" s="120">
        <f>'Ethylene Recycling HC'!V202</f>
        <v>0</v>
      </c>
      <c r="W163" s="120">
        <f>'Ethylene Recycling HC'!W202</f>
        <v>0</v>
      </c>
      <c r="X163" s="120">
        <f>'Ethylene Recycling HC'!X202</f>
        <v>0</v>
      </c>
      <c r="Y163" s="120">
        <f>'Ethylene Recycling HC'!Y202</f>
        <v>0</v>
      </c>
      <c r="Z163" s="120">
        <f>'Ethylene Recycling HC'!Z202</f>
        <v>0</v>
      </c>
      <c r="AA163" s="120">
        <f>'Ethylene Recycling HC'!AA202</f>
        <v>0</v>
      </c>
      <c r="AB163" s="120">
        <f>'Ethylene Recycling HC'!AB202</f>
        <v>0</v>
      </c>
      <c r="AC163" s="120">
        <f>'Ethylene Recycling HC'!AC202</f>
        <v>0</v>
      </c>
      <c r="AD163" s="120">
        <f>'Ethylene Recycling HC'!AD202</f>
        <v>0</v>
      </c>
      <c r="AE163" s="120">
        <f>'Ethylene Recycling HC'!AE202</f>
        <v>0</v>
      </c>
      <c r="AF163" s="120">
        <f>'Ethylene Recycling HC'!AF202</f>
        <v>0</v>
      </c>
      <c r="AG163" s="120">
        <f>'Ethylene Recycling HC'!AG202</f>
        <v>0</v>
      </c>
      <c r="AH163" s="217"/>
      <c r="AI163" s="124"/>
      <c r="AJ163" s="185"/>
      <c r="AL163" s="100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27</v>
      </c>
      <c r="C164" s="120">
        <f>'Ethylene Recycling HC'!C203</f>
        <v>0</v>
      </c>
      <c r="D164" s="120">
        <f>'Ethylene Recycling HC'!D203</f>
        <v>10.915750313933472</v>
      </c>
      <c r="E164" s="120">
        <f>'Ethylene Recycling HC'!E203</f>
        <v>33.045542942362459</v>
      </c>
      <c r="F164" s="120">
        <f>'Ethylene Recycling HC'!F203</f>
        <v>66.306294535308538</v>
      </c>
      <c r="G164" s="120">
        <f>'Ethylene Recycling HC'!G203</f>
        <v>110.6153270217157</v>
      </c>
      <c r="H164" s="120">
        <f>'Ethylene Recycling HC'!H203</f>
        <v>165.89036597726147</v>
      </c>
      <c r="I164" s="120">
        <f>'Ethylene Recycling HC'!I203</f>
        <v>232.04953899803948</v>
      </c>
      <c r="J164" s="120">
        <f>'Ethylene Recycling HC'!J203</f>
        <v>309.01137408009362</v>
      </c>
      <c r="K164" s="120">
        <f>'Ethylene Recycling HC'!K203</f>
        <v>396.69479800478422</v>
      </c>
      <c r="L164" s="120">
        <f>'Ethylene Recycling HC'!L203</f>
        <v>495.01913472996694</v>
      </c>
      <c r="M164" s="120">
        <f>'Ethylene Recycling HC'!M203</f>
        <v>603.90410378696549</v>
      </c>
      <c r="N164" s="120">
        <f>'Ethylene Recycling HC'!N203</f>
        <v>703.37853262067847</v>
      </c>
      <c r="O164" s="120">
        <f>'Ethylene Recycling HC'!O203</f>
        <v>809.74456183369966</v>
      </c>
      <c r="P164" s="120">
        <f>'Ethylene Recycling HC'!P203</f>
        <v>922.9494010371252</v>
      </c>
      <c r="Q164" s="120">
        <f>'Ethylene Recycling HC'!Q203</f>
        <v>1042.9405201893157</v>
      </c>
      <c r="R164" s="120">
        <f>'Ethylene Recycling HC'!R203</f>
        <v>1169.665648541627</v>
      </c>
      <c r="S164" s="120">
        <f>'Ethylene Recycling HC'!S203</f>
        <v>1303.0727735879489</v>
      </c>
      <c r="T164" s="120">
        <f>'Ethylene Recycling HC'!T203</f>
        <v>1443.1101400180298</v>
      </c>
      <c r="U164" s="120">
        <f>'Ethylene Recycling HC'!U203</f>
        <v>1589.7262486745913</v>
      </c>
      <c r="V164" s="120">
        <f>'Ethylene Recycling HC'!V203</f>
        <v>1742.8698555141962</v>
      </c>
      <c r="W164" s="120">
        <f>'Ethylene Recycling HC'!W203</f>
        <v>1902.4899705718838</v>
      </c>
      <c r="X164" s="120">
        <f>'Ethylene Recycling HC'!X203</f>
        <v>2109.3216727056183</v>
      </c>
      <c r="Y164" s="120">
        <f>'Ethylene Recycling HC'!Y203</f>
        <v>2326.2023837155211</v>
      </c>
      <c r="Z164" s="120">
        <f>'Ethylene Recycling HC'!Z203</f>
        <v>2553.0539512753003</v>
      </c>
      <c r="AA164" s="120">
        <f>'Ethylene Recycling HC'!AA203</f>
        <v>2789.7986103849962</v>
      </c>
      <c r="AB164" s="120">
        <f>'Ethylene Recycling HC'!AB203</f>
        <v>3036.358981798619</v>
      </c>
      <c r="AC164" s="120">
        <f>'Ethylene Recycling HC'!AC203</f>
        <v>3292.6580704574608</v>
      </c>
      <c r="AD164" s="120">
        <f>'Ethylene Recycling HC'!AD203</f>
        <v>3558.619263929088</v>
      </c>
      <c r="AE164" s="120">
        <f>'Ethylene Recycling HC'!AE203</f>
        <v>3834.1663308519646</v>
      </c>
      <c r="AF164" s="120">
        <f>'Ethylene Recycling HC'!AF203</f>
        <v>4119.2234193857075</v>
      </c>
      <c r="AG164" s="120">
        <f>'Ethylene Recycling HC'!AG203</f>
        <v>4413.7150556669449</v>
      </c>
      <c r="AH164" s="217"/>
      <c r="AI164" s="124"/>
      <c r="AJ164" s="185"/>
      <c r="AL164" s="100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J165" s="185"/>
    </row>
    <row r="166" spans="1:63" s="174" customFormat="1" ht="15.5" thickBot="1">
      <c r="A166" s="174" t="s">
        <v>448</v>
      </c>
      <c r="B166" s="189"/>
      <c r="C166" s="542">
        <f>C167</f>
        <v>0.14000000000000001</v>
      </c>
      <c r="D166" s="542">
        <f t="shared" ref="D166:AG166" si="30">D167</f>
        <v>0.15700598392683424</v>
      </c>
      <c r="E166" s="542">
        <f t="shared" si="30"/>
        <v>0.17401196785366843</v>
      </c>
      <c r="F166" s="542">
        <f t="shared" si="30"/>
        <v>0.19101795178050265</v>
      </c>
      <c r="G166" s="542">
        <f t="shared" si="30"/>
        <v>0.20802393570733685</v>
      </c>
      <c r="H166" s="542">
        <f t="shared" si="30"/>
        <v>0.22502991963417107</v>
      </c>
      <c r="I166" s="542">
        <f t="shared" si="30"/>
        <v>0.24123454058142138</v>
      </c>
      <c r="J166" s="542">
        <f t="shared" si="30"/>
        <v>0.25732085219750356</v>
      </c>
      <c r="K166" s="542">
        <f t="shared" si="30"/>
        <v>0.27328767150859828</v>
      </c>
      <c r="L166" s="542">
        <f t="shared" si="30"/>
        <v>0.28913379971675329</v>
      </c>
      <c r="M166" s="542">
        <f t="shared" si="30"/>
        <v>0.30485802193440448</v>
      </c>
      <c r="N166" s="542">
        <f t="shared" si="30"/>
        <v>0.31499094056509547</v>
      </c>
      <c r="O166" s="542">
        <f t="shared" si="30"/>
        <v>0.32503794063624014</v>
      </c>
      <c r="P166" s="542">
        <f t="shared" si="30"/>
        <v>0.3349981484895197</v>
      </c>
      <c r="Q166" s="542">
        <f t="shared" si="30"/>
        <v>0.34487067858133191</v>
      </c>
      <c r="R166" s="542">
        <f t="shared" si="30"/>
        <v>0.35465463327999308</v>
      </c>
      <c r="S166" s="542">
        <f t="shared" si="30"/>
        <v>0.36434910265877035</v>
      </c>
      <c r="T166" s="542">
        <f t="shared" si="30"/>
        <v>0.37395316428464942</v>
      </c>
      <c r="U166" s="542">
        <f t="shared" si="30"/>
        <v>0.38346588300273182</v>
      </c>
      <c r="V166" s="542">
        <f t="shared" si="30"/>
        <v>0.39288631071615487</v>
      </c>
      <c r="W166" s="542">
        <f t="shared" si="30"/>
        <v>0.40221348616143021</v>
      </c>
      <c r="X166" s="542">
        <f t="shared" si="30"/>
        <v>0.41724780545240403</v>
      </c>
      <c r="Y166" s="542">
        <f t="shared" si="30"/>
        <v>0.43214155540228011</v>
      </c>
      <c r="Z166" s="542">
        <f t="shared" si="30"/>
        <v>0.44689325649109574</v>
      </c>
      <c r="AA166" s="542">
        <f t="shared" si="30"/>
        <v>0.46150140836280218</v>
      </c>
      <c r="AB166" s="542">
        <f t="shared" si="30"/>
        <v>0.47596448945717545</v>
      </c>
      <c r="AC166" s="542">
        <f t="shared" si="30"/>
        <v>0.49021979527737941</v>
      </c>
      <c r="AD166" s="542">
        <f t="shared" si="30"/>
        <v>0.50432195031912508</v>
      </c>
      <c r="AE166" s="542">
        <f t="shared" si="30"/>
        <v>0.51826926359092063</v>
      </c>
      <c r="AF166" s="542">
        <f t="shared" si="30"/>
        <v>0.53206001911487177</v>
      </c>
      <c r="AG166" s="542">
        <f t="shared" si="30"/>
        <v>0.545692475463468</v>
      </c>
      <c r="AJ166" s="204" t="s">
        <v>457</v>
      </c>
      <c r="AL166" s="191"/>
      <c r="AM166" s="198"/>
      <c r="AN166" s="198"/>
      <c r="AO166" s="198"/>
    </row>
    <row r="167" spans="1:63" ht="15.5" outlineLevel="2" thickTop="1">
      <c r="A167" t="s">
        <v>449</v>
      </c>
      <c r="B167" s="50" t="s">
        <v>126</v>
      </c>
      <c r="C167" s="120">
        <f>'Ethylene Recycling HC'!C206*'Ethylene Recycling HC'!C$46/'Ethylene Recycling LC'!C$46</f>
        <v>0.14000000000000001</v>
      </c>
      <c r="D167" s="120">
        <f>'Ethylene Recycling HC'!D206*'Ethylene Recycling HC'!D$46/'Ethylene Recycling LC'!D$46</f>
        <v>0.15700598392683424</v>
      </c>
      <c r="E167" s="120">
        <f>'Ethylene Recycling HC'!E206*'Ethylene Recycling HC'!E$46/'Ethylene Recycling LC'!E$46</f>
        <v>0.17401196785366843</v>
      </c>
      <c r="F167" s="120">
        <f>'Ethylene Recycling HC'!F206*'Ethylene Recycling HC'!F$46/'Ethylene Recycling LC'!F$46</f>
        <v>0.19101795178050265</v>
      </c>
      <c r="G167" s="120">
        <f>'Ethylene Recycling HC'!G206*'Ethylene Recycling HC'!G$46/'Ethylene Recycling LC'!G$46</f>
        <v>0.20802393570733685</v>
      </c>
      <c r="H167" s="120">
        <f>'Ethylene Recycling HC'!H206*'Ethylene Recycling HC'!H$46/'Ethylene Recycling LC'!H$46</f>
        <v>0.22502991963417107</v>
      </c>
      <c r="I167" s="120">
        <f>'Ethylene Recycling HC'!I206*'Ethylene Recycling HC'!I$46/'Ethylene Recycling LC'!I$46</f>
        <v>0.24123454058142138</v>
      </c>
      <c r="J167" s="120">
        <f>'Ethylene Recycling HC'!J206*'Ethylene Recycling HC'!J$46/'Ethylene Recycling LC'!J$46</f>
        <v>0.25732085219750356</v>
      </c>
      <c r="K167" s="120">
        <f>'Ethylene Recycling HC'!K206*'Ethylene Recycling HC'!K$46/'Ethylene Recycling LC'!K$46</f>
        <v>0.27328767150859828</v>
      </c>
      <c r="L167" s="120">
        <f>'Ethylene Recycling HC'!L206*'Ethylene Recycling HC'!L$46/'Ethylene Recycling LC'!L$46</f>
        <v>0.28913379971675329</v>
      </c>
      <c r="M167" s="120">
        <f>'Ethylene Recycling HC'!M206*'Ethylene Recycling HC'!M$46/'Ethylene Recycling LC'!M$46</f>
        <v>0.30485802193440448</v>
      </c>
      <c r="N167" s="120">
        <f>'Ethylene Recycling HC'!N206*'Ethylene Recycling HC'!N$46/'Ethylene Recycling LC'!N$46</f>
        <v>0.31499094056509547</v>
      </c>
      <c r="O167" s="120">
        <f>'Ethylene Recycling HC'!O206*'Ethylene Recycling HC'!O$46/'Ethylene Recycling LC'!O$46</f>
        <v>0.32503794063624014</v>
      </c>
      <c r="P167" s="120">
        <f>'Ethylene Recycling HC'!P206*'Ethylene Recycling HC'!P$46/'Ethylene Recycling LC'!P$46</f>
        <v>0.3349981484895197</v>
      </c>
      <c r="Q167" s="120">
        <f>'Ethylene Recycling HC'!Q206*'Ethylene Recycling HC'!Q$46/'Ethylene Recycling LC'!Q$46</f>
        <v>0.34487067858133191</v>
      </c>
      <c r="R167" s="120">
        <f>'Ethylene Recycling HC'!R206*'Ethylene Recycling HC'!R$46/'Ethylene Recycling LC'!R$46</f>
        <v>0.35465463327999308</v>
      </c>
      <c r="S167" s="120">
        <f>'Ethylene Recycling HC'!S206*'Ethylene Recycling HC'!S$46/'Ethylene Recycling LC'!S$46</f>
        <v>0.36434910265877035</v>
      </c>
      <c r="T167" s="120">
        <f>'Ethylene Recycling HC'!T206*'Ethylene Recycling HC'!T$46/'Ethylene Recycling LC'!T$46</f>
        <v>0.37395316428464942</v>
      </c>
      <c r="U167" s="120">
        <f>'Ethylene Recycling HC'!U206*'Ethylene Recycling HC'!U$46/'Ethylene Recycling LC'!U$46</f>
        <v>0.38346588300273182</v>
      </c>
      <c r="V167" s="120">
        <f>'Ethylene Recycling HC'!V206*'Ethylene Recycling HC'!V$46/'Ethylene Recycling LC'!V$46</f>
        <v>0.39288631071615487</v>
      </c>
      <c r="W167" s="120">
        <f>'Ethylene Recycling HC'!W206*'Ethylene Recycling HC'!W$46/'Ethylene Recycling LC'!W$46</f>
        <v>0.40221348616143021</v>
      </c>
      <c r="X167" s="120">
        <f>'Ethylene Recycling HC'!X206*'Ethylene Recycling HC'!X$46/'Ethylene Recycling LC'!X$46</f>
        <v>0.41724780545240403</v>
      </c>
      <c r="Y167" s="120">
        <f>'Ethylene Recycling HC'!Y206*'Ethylene Recycling HC'!Y$46/'Ethylene Recycling LC'!Y$46</f>
        <v>0.43214155540228011</v>
      </c>
      <c r="Z167" s="120">
        <f>'Ethylene Recycling HC'!Z206*'Ethylene Recycling HC'!Z$46/'Ethylene Recycling LC'!Z$46</f>
        <v>0.44689325649109574</v>
      </c>
      <c r="AA167" s="120">
        <f>'Ethylene Recycling HC'!AA206*'Ethylene Recycling HC'!AA$46/'Ethylene Recycling LC'!AA$46</f>
        <v>0.46150140836280218</v>
      </c>
      <c r="AB167" s="120">
        <f>'Ethylene Recycling HC'!AB206*'Ethylene Recycling HC'!AB$46/'Ethylene Recycling LC'!AB$46</f>
        <v>0.47596448945717545</v>
      </c>
      <c r="AC167" s="120">
        <f>'Ethylene Recycling HC'!AC206*'Ethylene Recycling HC'!AC$46/'Ethylene Recycling LC'!AC$46</f>
        <v>0.49021979527737941</v>
      </c>
      <c r="AD167" s="120">
        <f>'Ethylene Recycling HC'!AD206*'Ethylene Recycling HC'!AD$46/'Ethylene Recycling LC'!AD$46</f>
        <v>0.50432195031912508</v>
      </c>
      <c r="AE167" s="120">
        <f>'Ethylene Recycling HC'!AE206*'Ethylene Recycling HC'!AE$46/'Ethylene Recycling LC'!AE$46</f>
        <v>0.51826926359092063</v>
      </c>
      <c r="AF167" s="120">
        <f>'Ethylene Recycling HC'!AF206*'Ethylene Recycling HC'!AF$46/'Ethylene Recycling LC'!AF$46</f>
        <v>0.53206001911487177</v>
      </c>
      <c r="AG167" s="120">
        <f>'Ethylene Recycling HC'!AG206*'Ethylene Recycling HC'!AG$46/'Ethylene Recycling LC'!AG$46</f>
        <v>0.545692475463468</v>
      </c>
      <c r="AI167" s="124" t="s">
        <v>479</v>
      </c>
      <c r="AJ167" s="185" t="s">
        <v>450</v>
      </c>
    </row>
    <row r="168" spans="1:63" outlineLevel="2">
      <c r="C168" s="543"/>
      <c r="D168" s="120"/>
      <c r="E168" s="120"/>
      <c r="F168" s="120"/>
      <c r="G168" s="120"/>
      <c r="H168" s="120"/>
      <c r="I168" s="120"/>
      <c r="J168" s="120"/>
      <c r="K168" s="120"/>
      <c r="L168" s="120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AG168" s="103"/>
      <c r="AJ168" s="185"/>
    </row>
    <row r="169" spans="1:63" s="1" customFormat="1" outlineLevel="1">
      <c r="A169" s="1" t="s">
        <v>265</v>
      </c>
      <c r="B169" s="60"/>
      <c r="C169" s="541">
        <f>'Ethylene Recycling HC'!C211</f>
        <v>76029.069747351081</v>
      </c>
      <c r="D169" s="541">
        <f>'Ethylene Recycling HC'!D211</f>
        <v>85076.193146123522</v>
      </c>
      <c r="E169" s="541">
        <f>'Ethylene Recycling HC'!E211</f>
        <v>94083.001622366137</v>
      </c>
      <c r="F169" s="541">
        <f>'Ethylene Recycling HC'!F211</f>
        <v>103049.62908236454</v>
      </c>
      <c r="G169" s="541">
        <f>'Ethylene Recycling HC'!G211</f>
        <v>111976.20903765818</v>
      </c>
      <c r="H169" s="541">
        <f>'Ethylene Recycling HC'!H211</f>
        <v>120862.87460613075</v>
      </c>
      <c r="I169" s="541">
        <f>'Ethylene Recycling HC'!I211</f>
        <v>128853.67410691117</v>
      </c>
      <c r="J169" s="541">
        <f>'Ethylene Recycling HC'!J211</f>
        <v>136688.56878357055</v>
      </c>
      <c r="K169" s="541">
        <f>'Ethylene Recycling HC'!K211</f>
        <v>144368.47302374608</v>
      </c>
      <c r="L169" s="541">
        <f>'Ethylene Recycling HC'!L211</f>
        <v>151894.29735272317</v>
      </c>
      <c r="M169" s="541">
        <f>'Ethylene Recycling HC'!M211</f>
        <v>159266.94844732338</v>
      </c>
      <c r="N169" s="541">
        <f>'Ethylene Recycling HC'!N211</f>
        <v>163646.4661782856</v>
      </c>
      <c r="O169" s="541">
        <f>'Ethylene Recycling HC'!O211</f>
        <v>167926.11477431486</v>
      </c>
      <c r="P169" s="541">
        <f>'Ethylene Recycling HC'!P211</f>
        <v>172106.48989847131</v>
      </c>
      <c r="Q169" s="541">
        <f>'Ethylene Recycling HC'!Q211</f>
        <v>176188.1846818887</v>
      </c>
      <c r="R169" s="541">
        <f>'Ethylene Recycling HC'!R211</f>
        <v>180171.78973290918</v>
      </c>
      <c r="S169" s="541">
        <f>'Ethylene Recycling HC'!S211</f>
        <v>184057.89314618646</v>
      </c>
      <c r="T169" s="541">
        <f>'Ethylene Recycling HC'!T211</f>
        <v>187847.0805117609</v>
      </c>
      <c r="U169" s="541">
        <f>'Ethylene Recycling HC'!U211</f>
        <v>191539.93492410376</v>
      </c>
      <c r="V169" s="541">
        <f>'Ethylene Recycling HC'!V211</f>
        <v>195137.03699113213</v>
      </c>
      <c r="W169" s="541">
        <f>'Ethylene Recycling HC'!W211</f>
        <v>198638.96484319482</v>
      </c>
      <c r="X169" s="541">
        <f>'Ethylene Recycling HC'!X211</f>
        <v>204895.13512568525</v>
      </c>
      <c r="Y169" s="541">
        <f>'Ethylene Recycling HC'!Y211</f>
        <v>211002.75020240879</v>
      </c>
      <c r="Z169" s="541">
        <f>'Ethylene Recycling HC'!Z211</f>
        <v>216962.700310318</v>
      </c>
      <c r="AA169" s="541">
        <f>'Ethylene Recycling HC'!AA211</f>
        <v>222775.8718951662</v>
      </c>
      <c r="AB169" s="541">
        <f>'Ethylene Recycling HC'!AB211</f>
        <v>228443.14762519827</v>
      </c>
      <c r="AC169" s="541">
        <f>'Ethylene Recycling HC'!AC211</f>
        <v>233911.0842765391</v>
      </c>
      <c r="AD169" s="541">
        <f>'Ethylene Recycling HC'!AD211</f>
        <v>239231.52361111078</v>
      </c>
      <c r="AE169" s="541">
        <f>'Ethylene Recycling HC'!AE211</f>
        <v>244405.36006321586</v>
      </c>
      <c r="AF169" s="541">
        <f>'Ethylene Recycling HC'!AF211</f>
        <v>249433.48424117325</v>
      </c>
      <c r="AG169" s="541">
        <f>'Ethylene Recycling HC'!AG211</f>
        <v>254316.78294116692</v>
      </c>
      <c r="AH169" s="367"/>
      <c r="AI169" s="368"/>
      <c r="AJ169" s="369"/>
      <c r="AL169" s="194"/>
      <c r="AM169" s="116"/>
      <c r="AN169" s="116"/>
      <c r="AO169" s="116"/>
      <c r="BD169" s="116"/>
      <c r="BE169" s="116"/>
      <c r="BF169" s="116"/>
      <c r="BG169" s="116"/>
      <c r="BH169" s="116"/>
      <c r="BI169" s="116"/>
      <c r="BJ169" s="116"/>
      <c r="BK169" s="116"/>
    </row>
    <row r="170" spans="1:63" outlineLevel="1">
      <c r="A170" s="4" t="s">
        <v>141</v>
      </c>
      <c r="C170" s="120">
        <f>'Ethylene Recycling HC'!C212</f>
        <v>33957.786055918135</v>
      </c>
      <c r="D170" s="120">
        <f>'Ethylene Recycling HC'!D212</f>
        <v>37998.612568960001</v>
      </c>
      <c r="E170" s="120">
        <f>'Ethylene Recycling HC'!E212</f>
        <v>42021.432738919175</v>
      </c>
      <c r="F170" s="120">
        <f>'Ethylene Recycling HC'!F212</f>
        <v>46026.306373984989</v>
      </c>
      <c r="G170" s="120">
        <f>'Ethylene Recycling HC'!G212</f>
        <v>50013.293106036515</v>
      </c>
      <c r="H170" s="120">
        <f>'Ethylene Recycling HC'!H212</f>
        <v>53982.452391129569</v>
      </c>
      <c r="I170" s="120">
        <f>'Ethylene Recycling HC'!I212</f>
        <v>57551.480142816523</v>
      </c>
      <c r="J170" s="120">
        <f>'Ethylene Recycling HC'!J212</f>
        <v>61050.874230956346</v>
      </c>
      <c r="K170" s="120">
        <f>'Ethylene Recycling HC'!K212</f>
        <v>64481.04305959581</v>
      </c>
      <c r="L170" s="120">
        <f>'Ethylene Recycling HC'!L212</f>
        <v>67842.393307692619</v>
      </c>
      <c r="M170" s="120">
        <f>'Ethylene Recycling HC'!M212</f>
        <v>71135.329935318354</v>
      </c>
      <c r="N170" s="120">
        <f>'Ethylene Recycling HC'!N212</f>
        <v>73091.407086207037</v>
      </c>
      <c r="O170" s="120">
        <f>'Ethylene Recycling HC'!O212</f>
        <v>75002.878473419885</v>
      </c>
      <c r="P170" s="120">
        <f>'Ethylene Recycling HC'!P212</f>
        <v>76870.010145178021</v>
      </c>
      <c r="Q170" s="120">
        <f>'Ethylene Recycling HC'!Q212</f>
        <v>78693.067018837508</v>
      </c>
      <c r="R170" s="120">
        <f>'Ethylene Recycling HC'!R212</f>
        <v>80472.312884969404</v>
      </c>
      <c r="S170" s="120">
        <f>'Ethylene Recycling HC'!S212</f>
        <v>82208.010411425596</v>
      </c>
      <c r="T170" s="120">
        <f>'Ethylene Recycling HC'!T212</f>
        <v>83900.421147392131</v>
      </c>
      <c r="U170" s="120">
        <f>'Ethylene Recycling HC'!U212</f>
        <v>85549.805527428703</v>
      </c>
      <c r="V170" s="120">
        <f>'Ethylene Recycling HC'!V212</f>
        <v>87156.422875495176</v>
      </c>
      <c r="W170" s="120">
        <f>'Ethylene Recycling HC'!W212</f>
        <v>88720.53140896502</v>
      </c>
      <c r="X170" s="120">
        <f>'Ethylene Recycling HC'!X212</f>
        <v>91514.800662661961</v>
      </c>
      <c r="Y170" s="120">
        <f>'Ethylene Recycling HC'!Y212</f>
        <v>94242.718902047025</v>
      </c>
      <c r="Z170" s="120">
        <f>'Ethylene Recycling HC'!Z212</f>
        <v>96904.683744453607</v>
      </c>
      <c r="AA170" s="120">
        <f>'Ethylene Recycling HC'!AA212</f>
        <v>99501.091113905815</v>
      </c>
      <c r="AB170" s="120">
        <f>'Ethylene Recycling HC'!AB212</f>
        <v>102032.33524723326</v>
      </c>
      <c r="AC170" s="120">
        <f>'Ethylene Recycling HC'!AC212</f>
        <v>104474.54614880773</v>
      </c>
      <c r="AD170" s="120">
        <f>'Ethylene Recycling HC'!AD212</f>
        <v>106850.87853387115</v>
      </c>
      <c r="AE170" s="120">
        <f>'Ethylene Recycling HC'!AE212</f>
        <v>109161.73189447031</v>
      </c>
      <c r="AF170" s="120">
        <f>'Ethylene Recycling HC'!AF212</f>
        <v>111407.50401380649</v>
      </c>
      <c r="AG170" s="120">
        <f>'Ethylene Recycling HC'!AG212</f>
        <v>113588.59097242085</v>
      </c>
      <c r="AH170" s="217"/>
      <c r="AI170" s="124"/>
      <c r="AJ170" s="185"/>
      <c r="AL170" s="100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120">
        <f>'Ethylene Recycling HC'!C213</f>
        <v>4973.6411174772056</v>
      </c>
      <c r="D171" s="120">
        <f>'Ethylene Recycling HC'!D213</f>
        <v>5565.482436600967</v>
      </c>
      <c r="E171" s="120">
        <f>'Ethylene Recycling HC'!E213</f>
        <v>6154.6864492706509</v>
      </c>
      <c r="F171" s="120">
        <f>'Ethylene Recycling HC'!F213</f>
        <v>6741.2619153173337</v>
      </c>
      <c r="G171" s="120">
        <f>'Ethylene Recycling HC'!G213</f>
        <v>7325.2175687487388</v>
      </c>
      <c r="H171" s="120">
        <f>'Ethylene Recycling HC'!H213</f>
        <v>7906.5621178205638</v>
      </c>
      <c r="I171" s="120">
        <f>'Ethylene Recycling HC'!I213</f>
        <v>8429.3012370899087</v>
      </c>
      <c r="J171" s="120">
        <f>'Ethylene Recycling HC'!J213</f>
        <v>8941.8414331547701</v>
      </c>
      <c r="K171" s="120">
        <f>'Ethylene Recycling HC'!K213</f>
        <v>9444.2425230820245</v>
      </c>
      <c r="L171" s="120">
        <f>'Ethylene Recycling HC'!L213</f>
        <v>9936.5640712726745</v>
      </c>
      <c r="M171" s="120">
        <f>'Ethylene Recycling HC'!M213</f>
        <v>10418.865390370354</v>
      </c>
      <c r="N171" s="120">
        <f>'Ethylene Recycling HC'!N213</f>
        <v>10705.363035729129</v>
      </c>
      <c r="O171" s="120">
        <f>'Ethylene Recycling HC'!O213</f>
        <v>10985.327479543812</v>
      </c>
      <c r="P171" s="120">
        <f>'Ethylene Recycling HC'!P213</f>
        <v>11258.797688676652</v>
      </c>
      <c r="Q171" s="120">
        <f>'Ethylene Recycling HC'!Q213</f>
        <v>11525.812464357296</v>
      </c>
      <c r="R171" s="120">
        <f>'Ethylene Recycling HC'!R213</f>
        <v>11786.410442780352</v>
      </c>
      <c r="S171" s="120">
        <f>'Ethylene Recycling HC'!S213</f>
        <v>12040.63009570091</v>
      </c>
      <c r="T171" s="120">
        <f>'Ethylene Recycling HC'!T213</f>
        <v>12288.509731028194</v>
      </c>
      <c r="U171" s="120">
        <f>'Ethylene Recycling HC'!U213</f>
        <v>12530.087493417239</v>
      </c>
      <c r="V171" s="120">
        <f>'Ethylene Recycling HC'!V213</f>
        <v>12765.401364858601</v>
      </c>
      <c r="W171" s="120">
        <f>'Ethylene Recycling HC'!W213</f>
        <v>12994.489165266214</v>
      </c>
      <c r="X171" s="120">
        <f>'Ethylene Recycling HC'!X213</f>
        <v>13403.752962105153</v>
      </c>
      <c r="Y171" s="120">
        <f>'Ethylene Recycling HC'!Y213</f>
        <v>13803.298630311545</v>
      </c>
      <c r="Z171" s="120">
        <f>'Ethylene Recycling HC'!Z213</f>
        <v>14193.184407071858</v>
      </c>
      <c r="AA171" s="120">
        <f>'Ethylene Recycling HC'!AA213</f>
        <v>14573.468281561307</v>
      </c>
      <c r="AB171" s="120">
        <f>'Ethylene Recycling HC'!AB213</f>
        <v>14944.207995839479</v>
      </c>
      <c r="AC171" s="120">
        <f>'Ethylene Recycling HC'!AC213</f>
        <v>15301.907421167734</v>
      </c>
      <c r="AD171" s="120">
        <f>'Ethylene Recycling HC'!AD213</f>
        <v>15649.957922448408</v>
      </c>
      <c r="AE171" s="120">
        <f>'Ethylene Recycling HC'!AE213</f>
        <v>15988.418011448624</v>
      </c>
      <c r="AF171" s="120">
        <f>'Ethylene Recycling HC'!AF213</f>
        <v>16317.345949648756</v>
      </c>
      <c r="AG171" s="120">
        <f>'Ethylene Recycling HC'!AG213</f>
        <v>16636.799749148358</v>
      </c>
      <c r="AH171" s="217"/>
      <c r="AI171" s="124"/>
      <c r="AJ171" s="185"/>
      <c r="AL171" s="100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34</v>
      </c>
      <c r="C172" s="120">
        <f>'Ethylene Recycling HC'!C214</f>
        <v>16141.848113555061</v>
      </c>
      <c r="D172" s="120">
        <f>'Ethylene Recycling HC'!D214</f>
        <v>18062.656723378448</v>
      </c>
      <c r="E172" s="120">
        <f>'Ethylene Recycling HC'!E214</f>
        <v>19974.906010322458</v>
      </c>
      <c r="F172" s="120">
        <f>'Ethylene Recycling HC'!F214</f>
        <v>21878.624404235456</v>
      </c>
      <c r="G172" s="120">
        <f>'Ethylene Recycling HC'!G214</f>
        <v>23773.840251156627</v>
      </c>
      <c r="H172" s="120">
        <f>'Ethylene Recycling HC'!H214</f>
        <v>25660.581813547527</v>
      </c>
      <c r="I172" s="120">
        <f>'Ethylene Recycling HC'!I214</f>
        <v>27357.120680537453</v>
      </c>
      <c r="J172" s="120">
        <f>'Ethylene Recycling HC'!J214</f>
        <v>29020.559155802279</v>
      </c>
      <c r="K172" s="120">
        <f>'Ethylene Recycling HC'!K214</f>
        <v>30651.091374380161</v>
      </c>
      <c r="L172" s="120">
        <f>'Ethylene Recycling HC'!L214</f>
        <v>32248.910651287442</v>
      </c>
      <c r="M172" s="120">
        <f>'Ethylene Recycling HC'!M214</f>
        <v>33814.20948446721</v>
      </c>
      <c r="N172" s="120">
        <f>'Ethylene Recycling HC'!N214</f>
        <v>34744.031594072549</v>
      </c>
      <c r="O172" s="120">
        <f>'Ethylene Recycling HC'!O214</f>
        <v>35652.650334852297</v>
      </c>
      <c r="P172" s="120">
        <f>'Ethylene Recycling HC'!P214</f>
        <v>36540.192172942036</v>
      </c>
      <c r="Q172" s="120">
        <f>'Ethylene Recycling HC'!Q214</f>
        <v>37406.783036920213</v>
      </c>
      <c r="R172" s="120">
        <f>'Ethylene Recycling HC'!R214</f>
        <v>38252.54831974749</v>
      </c>
      <c r="S172" s="120">
        <f>'Ethylene Recycling HC'!S214</f>
        <v>39077.612880699518</v>
      </c>
      <c r="T172" s="120">
        <f>'Ethylene Recycling HC'!T214</f>
        <v>39882.101047293661</v>
      </c>
      <c r="U172" s="120">
        <f>'Ethylene Recycling HC'!U214</f>
        <v>40666.136617209166</v>
      </c>
      <c r="V172" s="120">
        <f>'Ethylene Recycling HC'!V214</f>
        <v>41429.842860201177</v>
      </c>
      <c r="W172" s="120">
        <f>'Ethylene Recycling HC'!W214</f>
        <v>42173.342520008518</v>
      </c>
      <c r="X172" s="120">
        <f>'Ethylene Recycling HC'!X214</f>
        <v>43501.599603885516</v>
      </c>
      <c r="Y172" s="120">
        <f>'Ethylene Recycling HC'!Y214</f>
        <v>44798.31670475423</v>
      </c>
      <c r="Z172" s="120">
        <f>'Ethylene Recycling HC'!Z214</f>
        <v>46063.682830184014</v>
      </c>
      <c r="AA172" s="120">
        <f>'Ethylene Recycling HC'!AA214</f>
        <v>47297.886182828915</v>
      </c>
      <c r="AB172" s="120">
        <f>'Ethylene Recycling HC'!AB214</f>
        <v>48501.11416333438</v>
      </c>
      <c r="AC172" s="120">
        <f>'Ethylene Recycling HC'!AC214</f>
        <v>49662.020159077671</v>
      </c>
      <c r="AD172" s="120">
        <f>'Ethylene Recycling HC'!AD214</f>
        <v>50791.61077384423</v>
      </c>
      <c r="AE172" s="120">
        <f>'Ethylene Recycling HC'!AE214</f>
        <v>51890.075906349215</v>
      </c>
      <c r="AF172" s="120">
        <f>'Ethylene Recycling HC'!AF214</f>
        <v>52957.60464300734</v>
      </c>
      <c r="AG172" s="120">
        <f>'Ethylene Recycling HC'!AG214</f>
        <v>53994.385260873132</v>
      </c>
      <c r="AH172" s="217"/>
      <c r="AI172" s="124"/>
      <c r="AJ172" s="185"/>
      <c r="AL172" s="100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35</v>
      </c>
      <c r="C173" s="120">
        <f>'Ethylene Recycling HC'!C215</f>
        <v>0</v>
      </c>
      <c r="D173" s="120">
        <f>'Ethylene Recycling HC'!D215</f>
        <v>0</v>
      </c>
      <c r="E173" s="120">
        <f>'Ethylene Recycling HC'!E215</f>
        <v>0</v>
      </c>
      <c r="F173" s="120">
        <f>'Ethylene Recycling HC'!F215</f>
        <v>0</v>
      </c>
      <c r="G173" s="120">
        <f>'Ethylene Recycling HC'!G215</f>
        <v>0</v>
      </c>
      <c r="H173" s="120">
        <f>'Ethylene Recycling HC'!H215</f>
        <v>0</v>
      </c>
      <c r="I173" s="120">
        <f>'Ethylene Recycling HC'!I215</f>
        <v>0</v>
      </c>
      <c r="J173" s="120">
        <f>'Ethylene Recycling HC'!J215</f>
        <v>0</v>
      </c>
      <c r="K173" s="120">
        <f>'Ethylene Recycling HC'!K215</f>
        <v>0</v>
      </c>
      <c r="L173" s="120">
        <f>'Ethylene Recycling HC'!L215</f>
        <v>0</v>
      </c>
      <c r="M173" s="120">
        <f>'Ethylene Recycling HC'!M215</f>
        <v>0</v>
      </c>
      <c r="N173" s="120">
        <f>'Ethylene Recycling HC'!N215</f>
        <v>0</v>
      </c>
      <c r="O173" s="120">
        <f>'Ethylene Recycling HC'!O215</f>
        <v>0</v>
      </c>
      <c r="P173" s="120">
        <f>'Ethylene Recycling HC'!P215</f>
        <v>0</v>
      </c>
      <c r="Q173" s="120">
        <f>'Ethylene Recycling HC'!Q215</f>
        <v>0</v>
      </c>
      <c r="R173" s="120">
        <f>'Ethylene Recycling HC'!R215</f>
        <v>0</v>
      </c>
      <c r="S173" s="120">
        <f>'Ethylene Recycling HC'!S215</f>
        <v>0</v>
      </c>
      <c r="T173" s="120">
        <f>'Ethylene Recycling HC'!T215</f>
        <v>0</v>
      </c>
      <c r="U173" s="120">
        <f>'Ethylene Recycling HC'!U215</f>
        <v>0</v>
      </c>
      <c r="V173" s="120">
        <f>'Ethylene Recycling HC'!V215</f>
        <v>0</v>
      </c>
      <c r="W173" s="120">
        <f>'Ethylene Recycling HC'!W215</f>
        <v>0</v>
      </c>
      <c r="X173" s="120">
        <f>'Ethylene Recycling HC'!X215</f>
        <v>0</v>
      </c>
      <c r="Y173" s="120">
        <f>'Ethylene Recycling HC'!Y215</f>
        <v>0</v>
      </c>
      <c r="Z173" s="120">
        <f>'Ethylene Recycling HC'!Z215</f>
        <v>0</v>
      </c>
      <c r="AA173" s="120">
        <f>'Ethylene Recycling HC'!AA215</f>
        <v>0</v>
      </c>
      <c r="AB173" s="120">
        <f>'Ethylene Recycling HC'!AB215</f>
        <v>0</v>
      </c>
      <c r="AC173" s="120">
        <f>'Ethylene Recycling HC'!AC215</f>
        <v>0</v>
      </c>
      <c r="AD173" s="120">
        <f>'Ethylene Recycling HC'!AD215</f>
        <v>0</v>
      </c>
      <c r="AE173" s="120">
        <f>'Ethylene Recycling HC'!AE215</f>
        <v>0</v>
      </c>
      <c r="AF173" s="120">
        <f>'Ethylene Recycling HC'!AF215</f>
        <v>0</v>
      </c>
      <c r="AG173" s="120">
        <f>'Ethylene Recycling HC'!AG215</f>
        <v>0</v>
      </c>
      <c r="AH173" s="217"/>
      <c r="AI173" s="124"/>
      <c r="AJ173" s="185"/>
      <c r="AL173" s="100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outlineLevel="1">
      <c r="A174" s="4" t="s">
        <v>27</v>
      </c>
      <c r="C174" s="120">
        <f>'Ethylene Recycling HC'!C216</f>
        <v>20955.794460400673</v>
      </c>
      <c r="D174" s="120">
        <f>'Ethylene Recycling HC'!D216</f>
        <v>23449.441417184098</v>
      </c>
      <c r="E174" s="120">
        <f>'Ethylene Recycling HC'!E216</f>
        <v>25931.976423853845</v>
      </c>
      <c r="F174" s="120">
        <f>'Ethylene Recycling HC'!F216</f>
        <v>28403.436388826754</v>
      </c>
      <c r="G174" s="120">
        <f>'Ethylene Recycling HC'!G216</f>
        <v>30863.858111716287</v>
      </c>
      <c r="H174" s="120">
        <f>'Ethylene Recycling HC'!H216</f>
        <v>33313.278283633088</v>
      </c>
      <c r="I174" s="120">
        <f>'Ethylene Recycling HC'!I216</f>
        <v>35515.772046467282</v>
      </c>
      <c r="J174" s="120">
        <f>'Ethylene Recycling HC'!J216</f>
        <v>37675.293963657146</v>
      </c>
      <c r="K174" s="120">
        <f>'Ethylene Recycling HC'!K216</f>
        <v>39792.096066688071</v>
      </c>
      <c r="L174" s="120">
        <f>'Ethylene Recycling HC'!L216</f>
        <v>41866.429322470431</v>
      </c>
      <c r="M174" s="120">
        <f>'Ethylene Recycling HC'!M216</f>
        <v>43898.543637167451</v>
      </c>
      <c r="N174" s="120">
        <f>'Ethylene Recycling HC'!N216</f>
        <v>45105.664462276873</v>
      </c>
      <c r="O174" s="120">
        <f>'Ethylene Recycling HC'!O216</f>
        <v>46285.25848649886</v>
      </c>
      <c r="P174" s="120">
        <f>'Ethylene Recycling HC'!P216</f>
        <v>47437.489891674595</v>
      </c>
      <c r="Q174" s="120">
        <f>'Ethylene Recycling HC'!Q216</f>
        <v>48562.522161773682</v>
      </c>
      <c r="R174" s="120">
        <f>'Ethylene Recycling HC'!R216</f>
        <v>49660.518085411924</v>
      </c>
      <c r="S174" s="120">
        <f>'Ethylene Recycling HC'!S216</f>
        <v>50731.639758360419</v>
      </c>
      <c r="T174" s="120">
        <f>'Ethylene Recycling HC'!T216</f>
        <v>51776.048586046905</v>
      </c>
      <c r="U174" s="120">
        <f>'Ethylene Recycling HC'!U216</f>
        <v>52793.905286048641</v>
      </c>
      <c r="V174" s="120">
        <f>'Ethylene Recycling HC'!V216</f>
        <v>53785.369890577167</v>
      </c>
      <c r="W174" s="120">
        <f>'Ethylene Recycling HC'!W216</f>
        <v>54750.601748955058</v>
      </c>
      <c r="X174" s="120">
        <f>'Ethylene Recycling HC'!X216</f>
        <v>56474.981897032616</v>
      </c>
      <c r="Y174" s="120">
        <f>'Ethylene Recycling HC'!Y216</f>
        <v>58158.415965295986</v>
      </c>
      <c r="Z174" s="120">
        <f>'Ethylene Recycling HC'!Z216</f>
        <v>59801.14932860851</v>
      </c>
      <c r="AA174" s="120">
        <f>'Ethylene Recycling HC'!AA216</f>
        <v>61403.426316870158</v>
      </c>
      <c r="AB174" s="120">
        <f>'Ethylene Recycling HC'!AB216</f>
        <v>62965.490218791128</v>
      </c>
      <c r="AC174" s="120">
        <f>'Ethylene Recycling HC'!AC216</f>
        <v>64472.610547485965</v>
      </c>
      <c r="AD174" s="120">
        <f>'Ethylene Recycling HC'!AD216</f>
        <v>65939.076380946979</v>
      </c>
      <c r="AE174" s="120">
        <f>'Ethylene Recycling HC'!AE216</f>
        <v>67365.134250947696</v>
      </c>
      <c r="AF174" s="120">
        <f>'Ethylene Recycling HC'!AF216</f>
        <v>68751.029634710649</v>
      </c>
      <c r="AG174" s="120">
        <f>'Ethylene Recycling HC'!AG216</f>
        <v>70097.006958724596</v>
      </c>
      <c r="AH174" s="217"/>
      <c r="AI174" s="124"/>
      <c r="AJ174" s="185"/>
      <c r="AL174" s="100"/>
      <c r="AM174" s="2"/>
      <c r="AN174" s="2"/>
      <c r="AO174" s="2"/>
      <c r="BC174" s="1"/>
      <c r="BD174" s="2"/>
      <c r="BE174" s="2"/>
      <c r="BF174" s="2"/>
      <c r="BG174" s="2"/>
      <c r="BH174" s="2"/>
      <c r="BI174" s="2"/>
      <c r="BJ174" s="2"/>
      <c r="BK174" s="2"/>
    </row>
    <row r="175" spans="1:63" outlineLevel="2">
      <c r="C175" s="543"/>
      <c r="D175" s="120"/>
      <c r="E175" s="120"/>
      <c r="F175" s="120"/>
      <c r="G175" s="120"/>
      <c r="H175" s="120"/>
      <c r="I175" s="120"/>
      <c r="J175" s="120"/>
      <c r="K175" s="120"/>
      <c r="L175" s="120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AG175" s="103"/>
      <c r="AJ175" s="185"/>
    </row>
    <row r="176" spans="1:63" s="174" customFormat="1" ht="15.5" thickBot="1">
      <c r="A176" s="200" t="s">
        <v>451</v>
      </c>
      <c r="B176" s="201"/>
      <c r="C176" s="599">
        <f t="shared" ref="C176:AG176" si="31">(C42*C59+C43*C95+C45*C128+C44*C157+C46*C166)/C47</f>
        <v>0.17073900978488046</v>
      </c>
      <c r="D176" s="599">
        <f t="shared" si="31"/>
        <v>0.18463421266880387</v>
      </c>
      <c r="E176" s="599">
        <f t="shared" si="31"/>
        <v>0.19855327972745368</v>
      </c>
      <c r="F176" s="599">
        <f t="shared" si="31"/>
        <v>0.21249317662514128</v>
      </c>
      <c r="G176" s="599">
        <f t="shared" si="31"/>
        <v>0.22645074284771546</v>
      </c>
      <c r="H176" s="599">
        <f t="shared" si="31"/>
        <v>0.24042268507497783</v>
      </c>
      <c r="I176" s="599">
        <f t="shared" si="31"/>
        <v>0.25425531404429474</v>
      </c>
      <c r="J176" s="599">
        <f t="shared" si="31"/>
        <v>0.26803823025810036</v>
      </c>
      <c r="K176" s="599">
        <f t="shared" si="31"/>
        <v>0.28176565611303528</v>
      </c>
      <c r="L176" s="599">
        <f t="shared" si="31"/>
        <v>0.29543153343567452</v>
      </c>
      <c r="M176" s="599">
        <f t="shared" si="31"/>
        <v>0.30902950624203301</v>
      </c>
      <c r="N176" s="599">
        <f t="shared" si="31"/>
        <v>0.3171903987658124</v>
      </c>
      <c r="O176" s="599">
        <f t="shared" si="31"/>
        <v>0.32545885265850233</v>
      </c>
      <c r="P176" s="599">
        <f t="shared" si="31"/>
        <v>0.33337328218964551</v>
      </c>
      <c r="Q176" s="599">
        <f t="shared" si="31"/>
        <v>0.34112595278302416</v>
      </c>
      <c r="R176" s="599">
        <f t="shared" si="31"/>
        <v>0.34870361054562615</v>
      </c>
      <c r="S176" s="599">
        <f t="shared" si="31"/>
        <v>0.35613355229561211</v>
      </c>
      <c r="T176" s="599">
        <f t="shared" si="31"/>
        <v>0.36336766055748237</v>
      </c>
      <c r="U176" s="599">
        <f t="shared" si="31"/>
        <v>0.37039001936316318</v>
      </c>
      <c r="V176" s="599">
        <f t="shared" si="31"/>
        <v>0.37718345966938144</v>
      </c>
      <c r="W176" s="599">
        <f t="shared" si="31"/>
        <v>0.38372943355803918</v>
      </c>
      <c r="X176" s="599">
        <f t="shared" si="31"/>
        <v>0.39583500687758594</v>
      </c>
      <c r="Y176" s="599">
        <f t="shared" si="31"/>
        <v>0.40775172992934389</v>
      </c>
      <c r="Z176" s="599">
        <f t="shared" si="31"/>
        <v>0.41939998952594809</v>
      </c>
      <c r="AA176" s="599">
        <f t="shared" si="31"/>
        <v>0.43079346699945292</v>
      </c>
      <c r="AB176" s="599">
        <f t="shared" si="31"/>
        <v>0.44191406686343609</v>
      </c>
      <c r="AC176" s="599">
        <f t="shared" si="31"/>
        <v>0.45267484307157907</v>
      </c>
      <c r="AD176" s="599">
        <f t="shared" si="31"/>
        <v>0.46311271861582948</v>
      </c>
      <c r="AE176" s="599">
        <f t="shared" si="31"/>
        <v>0.47320508611229856</v>
      </c>
      <c r="AF176" s="599">
        <f t="shared" si="31"/>
        <v>0.48292776625528877</v>
      </c>
      <c r="AG176" s="599">
        <f t="shared" si="31"/>
        <v>0.49225486865002943</v>
      </c>
      <c r="AJ176" s="204" t="s">
        <v>478</v>
      </c>
      <c r="AL176" s="191"/>
      <c r="AM176" s="198"/>
      <c r="AN176" s="198"/>
      <c r="AO176" s="198"/>
    </row>
    <row r="177" spans="1:41" s="174" customFormat="1" ht="16.25" thickTop="1" thickBot="1">
      <c r="A177" s="200" t="s">
        <v>452</v>
      </c>
      <c r="B177" s="201"/>
      <c r="C177" s="599">
        <f t="shared" ref="C177:AG177" si="32">(C11*C49+C95*C12+C14*C128+C154*C13+C166*C15)/C16</f>
        <v>0.18370882040382572</v>
      </c>
      <c r="D177" s="599">
        <f t="shared" si="32"/>
        <v>0.1996794963669721</v>
      </c>
      <c r="E177" s="599">
        <f t="shared" si="32"/>
        <v>0.21558075286230674</v>
      </c>
      <c r="F177" s="599">
        <f t="shared" si="32"/>
        <v>0.23140953379464593</v>
      </c>
      <c r="G177" s="599">
        <f t="shared" si="32"/>
        <v>0.24716260101007853</v>
      </c>
      <c r="H177" s="599">
        <f t="shared" si="32"/>
        <v>0.26283652053392759</v>
      </c>
      <c r="I177" s="599">
        <f t="shared" si="32"/>
        <v>0.27805352766816926</v>
      </c>
      <c r="J177" s="599">
        <f t="shared" si="32"/>
        <v>0.29310390130404773</v>
      </c>
      <c r="K177" s="599">
        <f t="shared" si="32"/>
        <v>0.30798113708676456</v>
      </c>
      <c r="L177" s="599">
        <f t="shared" si="32"/>
        <v>0.32267832880486119</v>
      </c>
      <c r="M177" s="599">
        <f t="shared" si="32"/>
        <v>0.3371881356111317</v>
      </c>
      <c r="N177" s="599">
        <f t="shared" si="32"/>
        <v>0.34568454793265319</v>
      </c>
      <c r="O177" s="599">
        <f t="shared" si="32"/>
        <v>0.35415973121871397</v>
      </c>
      <c r="P177" s="599">
        <f t="shared" si="32"/>
        <v>0.3622178264916191</v>
      </c>
      <c r="Q177" s="599">
        <f t="shared" si="32"/>
        <v>0.37002328839194326</v>
      </c>
      <c r="R177" s="599">
        <f t="shared" si="32"/>
        <v>0.37755942799959769</v>
      </c>
      <c r="S177" s="599">
        <f t="shared" si="32"/>
        <v>0.38491649340762113</v>
      </c>
      <c r="T177" s="599">
        <f t="shared" si="32"/>
        <v>0.39198338897982155</v>
      </c>
      <c r="U177" s="599">
        <f t="shared" si="32"/>
        <v>0.39873927866442871</v>
      </c>
      <c r="V177" s="599">
        <f t="shared" si="32"/>
        <v>0.40516101986666575</v>
      </c>
      <c r="W177" s="599">
        <f t="shared" si="32"/>
        <v>0.41122282504483454</v>
      </c>
      <c r="X177" s="599">
        <f t="shared" si="32"/>
        <v>0.42307400820642049</v>
      </c>
      <c r="Y177" s="599">
        <f t="shared" si="32"/>
        <v>0.43458868623943164</v>
      </c>
      <c r="Z177" s="599">
        <f t="shared" si="32"/>
        <v>0.4456250020419445</v>
      </c>
      <c r="AA177" s="599">
        <f t="shared" si="32"/>
        <v>0.45624356351591311</v>
      </c>
      <c r="AB177" s="599">
        <f t="shared" si="32"/>
        <v>0.46641904838167081</v>
      </c>
      <c r="AC177" s="599">
        <f t="shared" si="32"/>
        <v>0.47598789216951587</v>
      </c>
      <c r="AD177" s="599">
        <f t="shared" si="32"/>
        <v>0.48503530039241943</v>
      </c>
      <c r="AE177" s="599">
        <f t="shared" si="32"/>
        <v>0.49352614322939981</v>
      </c>
      <c r="AF177" s="599">
        <f t="shared" si="32"/>
        <v>0.50142171663336566</v>
      </c>
      <c r="AG177" s="599">
        <f t="shared" si="32"/>
        <v>0.50867926357452042</v>
      </c>
      <c r="AJ177" s="199" t="s">
        <v>476</v>
      </c>
      <c r="AL177" s="191"/>
      <c r="AM177" s="198"/>
      <c r="AN177" s="198"/>
      <c r="AO177" s="198"/>
    </row>
    <row r="178" spans="1:41" ht="15.5" thickTop="1">
      <c r="B178" s="121"/>
      <c r="C178" s="543"/>
      <c r="M178" s="544"/>
      <c r="N178" s="120"/>
      <c r="O178" s="120"/>
      <c r="P178" s="120"/>
      <c r="Q178" s="120"/>
      <c r="R178" s="120"/>
      <c r="S178" s="120"/>
      <c r="T178" s="120"/>
      <c r="U178" s="120"/>
      <c r="V178" s="120"/>
      <c r="W178" s="544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543"/>
    </row>
    <row r="179" spans="1:41">
      <c r="A179" t="s">
        <v>597</v>
      </c>
      <c r="B179" s="121"/>
      <c r="C179" s="120">
        <f>C169+C159+C147+C141+C135+C121+C115+C109+C103+C88+C82+C76+C70+C64</f>
        <v>518007.61068966892</v>
      </c>
      <c r="D179" s="120">
        <f t="shared" ref="D179:AG179" si="33">D169+D159+D147+D141+D135+D121+D115+D109+D103+D88+D82+D76+D70+D64</f>
        <v>553324.6834720429</v>
      </c>
      <c r="E179" s="120">
        <f t="shared" si="33"/>
        <v>587712.70998960582</v>
      </c>
      <c r="F179" s="120">
        <f t="shared" si="33"/>
        <v>621166.32988635916</v>
      </c>
      <c r="G179" s="120">
        <f t="shared" si="33"/>
        <v>653680.2557733421</v>
      </c>
      <c r="H179" s="120">
        <f t="shared" si="33"/>
        <v>685249.2727801922</v>
      </c>
      <c r="I179" s="120">
        <f t="shared" si="33"/>
        <v>714672.88710136956</v>
      </c>
      <c r="J179" s="120">
        <f t="shared" si="33"/>
        <v>742913.78177552391</v>
      </c>
      <c r="K179" s="120">
        <f t="shared" si="33"/>
        <v>769968.4816052902</v>
      </c>
      <c r="L179" s="120">
        <f t="shared" si="33"/>
        <v>795833.57538096257</v>
      </c>
      <c r="M179" s="120">
        <f t="shared" si="33"/>
        <v>820505.71546727663</v>
      </c>
      <c r="N179" s="120">
        <f t="shared" si="33"/>
        <v>825740.76619597245</v>
      </c>
      <c r="O179" s="120">
        <f t="shared" si="33"/>
        <v>832902.90481738013</v>
      </c>
      <c r="P179" s="120">
        <f t="shared" si="33"/>
        <v>836399.99011735339</v>
      </c>
      <c r="Q179" s="120">
        <f t="shared" si="33"/>
        <v>838775.67076213751</v>
      </c>
      <c r="R179" s="120">
        <f t="shared" si="33"/>
        <v>840026.95743696438</v>
      </c>
      <c r="S179" s="120">
        <f t="shared" si="33"/>
        <v>840379.46013060375</v>
      </c>
      <c r="T179" s="120">
        <f t="shared" si="33"/>
        <v>839622.59607833833</v>
      </c>
      <c r="U179" s="120">
        <f t="shared" si="33"/>
        <v>837753.4113092192</v>
      </c>
      <c r="V179" s="120">
        <f t="shared" si="33"/>
        <v>834769.01057859254</v>
      </c>
      <c r="W179" s="120">
        <f t="shared" si="33"/>
        <v>830666.55698001571</v>
      </c>
      <c r="X179" s="120">
        <f t="shared" si="33"/>
        <v>841974.657445597</v>
      </c>
      <c r="Y179" s="120">
        <f t="shared" si="33"/>
        <v>852257.45279209712</v>
      </c>
      <c r="Z179" s="120">
        <f t="shared" si="33"/>
        <v>861133.2791298636</v>
      </c>
      <c r="AA179" s="120">
        <f t="shared" si="33"/>
        <v>868703.16053505149</v>
      </c>
      <c r="AB179" s="120">
        <f t="shared" si="33"/>
        <v>874964.40317646507</v>
      </c>
      <c r="AC179" s="120">
        <f t="shared" si="33"/>
        <v>879679.50360222603</v>
      </c>
      <c r="AD179" s="120">
        <f t="shared" si="33"/>
        <v>883061.97104390827</v>
      </c>
      <c r="AE179" s="120">
        <f t="shared" si="33"/>
        <v>885109.43314529001</v>
      </c>
      <c r="AF179" s="120">
        <f t="shared" si="33"/>
        <v>885819.58039284451</v>
      </c>
      <c r="AG179" s="120">
        <f t="shared" si="33"/>
        <v>885190.16557580873</v>
      </c>
      <c r="AI179" s="22">
        <f>(AG179/C179)^(1/30)-1</f>
        <v>1.802086988680629E-2</v>
      </c>
    </row>
    <row r="180" spans="1:41">
      <c r="A180" t="s">
        <v>598</v>
      </c>
      <c r="B180" s="121"/>
      <c r="C180" s="120">
        <f>C179</f>
        <v>518007.61068966892</v>
      </c>
      <c r="D180" s="120">
        <f>C180*(1+$AI$180)</f>
        <v>526658.33778818639</v>
      </c>
      <c r="E180" s="120">
        <f t="shared" ref="E180:AG180" si="34">D180*(1+$AI$180)</f>
        <v>535453.53202924901</v>
      </c>
      <c r="F180" s="120">
        <f t="shared" si="34"/>
        <v>544395.60601413739</v>
      </c>
      <c r="G180" s="120">
        <f t="shared" si="34"/>
        <v>553487.0126345735</v>
      </c>
      <c r="H180" s="120">
        <f t="shared" si="34"/>
        <v>562730.24574557086</v>
      </c>
      <c r="I180" s="120">
        <f t="shared" si="34"/>
        <v>572127.84084952192</v>
      </c>
      <c r="J180" s="120">
        <f t="shared" si="34"/>
        <v>581682.37579170894</v>
      </c>
      <c r="K180" s="120">
        <f t="shared" si="34"/>
        <v>591396.47146743047</v>
      </c>
      <c r="L180" s="120">
        <f t="shared" si="34"/>
        <v>601272.7925409365</v>
      </c>
      <c r="M180" s="120">
        <f t="shared" si="34"/>
        <v>611314.0481763701</v>
      </c>
      <c r="N180" s="120">
        <f t="shared" si="34"/>
        <v>621522.99278091546</v>
      </c>
      <c r="O180" s="120">
        <f t="shared" si="34"/>
        <v>631902.42676035676</v>
      </c>
      <c r="P180" s="120">
        <f t="shared" si="34"/>
        <v>642455.19728725462</v>
      </c>
      <c r="Q180" s="120">
        <f t="shared" si="34"/>
        <v>653184.19908195175</v>
      </c>
      <c r="R180" s="120">
        <f t="shared" si="34"/>
        <v>664092.37520662032</v>
      </c>
      <c r="S180" s="120">
        <f t="shared" si="34"/>
        <v>675182.71787257085</v>
      </c>
      <c r="T180" s="120">
        <f t="shared" si="34"/>
        <v>686458.2692610427</v>
      </c>
      <c r="U180" s="120">
        <f t="shared" si="34"/>
        <v>697922.12235770212</v>
      </c>
      <c r="V180" s="120">
        <f t="shared" si="34"/>
        <v>709577.42180107569</v>
      </c>
      <c r="W180" s="120">
        <f t="shared" si="34"/>
        <v>721427.36474515358</v>
      </c>
      <c r="X180" s="120">
        <f t="shared" si="34"/>
        <v>733475.20173639758</v>
      </c>
      <c r="Y180" s="120">
        <f t="shared" si="34"/>
        <v>745724.23760539538</v>
      </c>
      <c r="Z180" s="120">
        <f t="shared" si="34"/>
        <v>758177.83237340546</v>
      </c>
      <c r="AA180" s="120">
        <f t="shared" si="34"/>
        <v>770839.40217404126</v>
      </c>
      <c r="AB180" s="120">
        <f t="shared" si="34"/>
        <v>783712.42019034771</v>
      </c>
      <c r="AC180" s="120">
        <f t="shared" si="34"/>
        <v>796800.41760752641</v>
      </c>
      <c r="AD180" s="120">
        <f t="shared" si="34"/>
        <v>810106.984581572</v>
      </c>
      <c r="AE180" s="120">
        <f t="shared" si="34"/>
        <v>823635.77122408419</v>
      </c>
      <c r="AF180" s="120">
        <f t="shared" si="34"/>
        <v>837390.48860352638</v>
      </c>
      <c r="AG180" s="120">
        <f t="shared" si="34"/>
        <v>851374.90976320521</v>
      </c>
      <c r="AI180" s="188">
        <v>1.67E-2</v>
      </c>
      <c r="AJ180" s="3" t="s">
        <v>599</v>
      </c>
    </row>
    <row r="181" spans="1:41">
      <c r="B181" s="121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I181" s="188">
        <v>1.67E-2</v>
      </c>
    </row>
    <row r="182" spans="1:41" s="54" customFormat="1">
      <c r="A182" s="54" t="s">
        <v>626</v>
      </c>
      <c r="B182" s="253"/>
      <c r="C182" s="545"/>
      <c r="D182" s="545"/>
      <c r="E182" s="545"/>
      <c r="F182" s="545"/>
      <c r="G182" s="545"/>
      <c r="H182" s="545"/>
      <c r="I182" s="545"/>
      <c r="J182" s="545"/>
      <c r="K182" s="545"/>
      <c r="L182" s="545"/>
      <c r="M182" s="545"/>
      <c r="N182" s="545"/>
      <c r="O182" s="545"/>
      <c r="P182" s="545"/>
      <c r="Q182" s="545"/>
      <c r="R182" s="545"/>
      <c r="S182" s="545"/>
      <c r="T182" s="545"/>
      <c r="U182" s="545"/>
      <c r="V182" s="545"/>
      <c r="W182" s="545"/>
      <c r="X182" s="545"/>
      <c r="Y182" s="545"/>
      <c r="Z182" s="545"/>
      <c r="AA182" s="545"/>
      <c r="AB182" s="545"/>
      <c r="AC182" s="545"/>
      <c r="AD182" s="545"/>
      <c r="AE182" s="545"/>
      <c r="AF182" s="545"/>
      <c r="AG182" s="545"/>
      <c r="AI182" s="255"/>
      <c r="AJ182" s="256"/>
    </row>
    <row r="183" spans="1:41" s="166" customFormat="1" outlineLevel="1">
      <c r="A183" s="293" t="s">
        <v>630</v>
      </c>
      <c r="B183" s="268" t="s">
        <v>126</v>
      </c>
      <c r="C183" s="561">
        <v>0.98</v>
      </c>
      <c r="D183" s="269">
        <f>-($C183-$AG183)/30+C183</f>
        <v>0.98033333333333328</v>
      </c>
      <c r="E183" s="269">
        <f t="shared" ref="E183:AF185" si="35">-($C183-$AG183)/30+D183</f>
        <v>0.98066666666666658</v>
      </c>
      <c r="F183" s="269">
        <f t="shared" si="35"/>
        <v>0.98099999999999987</v>
      </c>
      <c r="G183" s="269">
        <f t="shared" si="35"/>
        <v>0.98133333333333317</v>
      </c>
      <c r="H183" s="269">
        <f t="shared" si="35"/>
        <v>0.98166666666666647</v>
      </c>
      <c r="I183" s="269">
        <f t="shared" si="35"/>
        <v>0.98199999999999976</v>
      </c>
      <c r="J183" s="269">
        <f t="shared" si="35"/>
        <v>0.98233333333333306</v>
      </c>
      <c r="K183" s="269">
        <f t="shared" si="35"/>
        <v>0.98266666666666636</v>
      </c>
      <c r="L183" s="269">
        <f t="shared" si="35"/>
        <v>0.98299999999999965</v>
      </c>
      <c r="M183" s="269">
        <f t="shared" si="35"/>
        <v>0.98333333333333295</v>
      </c>
      <c r="N183" s="269">
        <f t="shared" si="35"/>
        <v>0.98366666666666625</v>
      </c>
      <c r="O183" s="269">
        <f t="shared" si="35"/>
        <v>0.98399999999999954</v>
      </c>
      <c r="P183" s="269">
        <f t="shared" si="35"/>
        <v>0.98433333333333284</v>
      </c>
      <c r="Q183" s="269">
        <f t="shared" si="35"/>
        <v>0.98466666666666613</v>
      </c>
      <c r="R183" s="269">
        <f t="shared" si="35"/>
        <v>0.98499999999999943</v>
      </c>
      <c r="S183" s="269">
        <f t="shared" si="35"/>
        <v>0.98533333333333273</v>
      </c>
      <c r="T183" s="269">
        <f t="shared" si="35"/>
        <v>0.98566666666666602</v>
      </c>
      <c r="U183" s="269">
        <f t="shared" si="35"/>
        <v>0.98599999999999932</v>
      </c>
      <c r="V183" s="269">
        <f t="shared" si="35"/>
        <v>0.98633333333333262</v>
      </c>
      <c r="W183" s="269">
        <f t="shared" si="35"/>
        <v>0.98666666666666591</v>
      </c>
      <c r="X183" s="269">
        <f t="shared" si="35"/>
        <v>0.98699999999999921</v>
      </c>
      <c r="Y183" s="269">
        <f t="shared" si="35"/>
        <v>0.98733333333333251</v>
      </c>
      <c r="Z183" s="269">
        <f t="shared" si="35"/>
        <v>0.9876666666666658</v>
      </c>
      <c r="AA183" s="269">
        <f t="shared" si="35"/>
        <v>0.9879999999999991</v>
      </c>
      <c r="AB183" s="269">
        <f t="shared" si="35"/>
        <v>0.9883333333333324</v>
      </c>
      <c r="AC183" s="269">
        <f t="shared" si="35"/>
        <v>0.98866666666666569</v>
      </c>
      <c r="AD183" s="269">
        <f t="shared" si="35"/>
        <v>0.98899999999999899</v>
      </c>
      <c r="AE183" s="269">
        <f t="shared" si="35"/>
        <v>0.98933333333333229</v>
      </c>
      <c r="AF183" s="269">
        <f t="shared" si="35"/>
        <v>0.98966666666666558</v>
      </c>
      <c r="AG183" s="561">
        <v>0.99</v>
      </c>
      <c r="AI183" s="270"/>
      <c r="AJ183" s="271" t="s">
        <v>1469</v>
      </c>
    </row>
    <row r="184" spans="1:41" outlineLevel="1">
      <c r="A184" s="3" t="s">
        <v>621</v>
      </c>
      <c r="B184" s="252" t="s">
        <v>126</v>
      </c>
      <c r="C184" s="255">
        <f>1-SUM(C185:C189)</f>
        <v>0.97</v>
      </c>
      <c r="D184" s="287">
        <f t="shared" ref="D184:S185" si="36">-($C184-$AG184)/30+C184</f>
        <v>0.97033333333333327</v>
      </c>
      <c r="E184" s="287">
        <f t="shared" si="36"/>
        <v>0.97066666666666657</v>
      </c>
      <c r="F184" s="287">
        <f t="shared" si="36"/>
        <v>0.97099999999999986</v>
      </c>
      <c r="G184" s="287">
        <f t="shared" si="36"/>
        <v>0.97133333333333316</v>
      </c>
      <c r="H184" s="287">
        <f t="shared" si="36"/>
        <v>0.97166666666666646</v>
      </c>
      <c r="I184" s="287">
        <f t="shared" si="36"/>
        <v>0.97199999999999975</v>
      </c>
      <c r="J184" s="287">
        <f t="shared" si="36"/>
        <v>0.97233333333333305</v>
      </c>
      <c r="K184" s="287">
        <f t="shared" si="36"/>
        <v>0.97266666666666635</v>
      </c>
      <c r="L184" s="287">
        <f t="shared" si="36"/>
        <v>0.97299999999999964</v>
      </c>
      <c r="M184" s="287">
        <f t="shared" si="36"/>
        <v>0.97333333333333294</v>
      </c>
      <c r="N184" s="287">
        <f t="shared" si="36"/>
        <v>0.97366666666666624</v>
      </c>
      <c r="O184" s="287">
        <f t="shared" si="36"/>
        <v>0.97399999999999953</v>
      </c>
      <c r="P184" s="287">
        <f t="shared" si="36"/>
        <v>0.97433333333333283</v>
      </c>
      <c r="Q184" s="287">
        <f t="shared" si="36"/>
        <v>0.97466666666666613</v>
      </c>
      <c r="R184" s="287">
        <f t="shared" si="36"/>
        <v>0.97499999999999942</v>
      </c>
      <c r="S184" s="287">
        <f t="shared" si="36"/>
        <v>0.97533333333333272</v>
      </c>
      <c r="T184" s="287">
        <f t="shared" si="35"/>
        <v>0.97566666666666602</v>
      </c>
      <c r="U184" s="287">
        <f t="shared" si="35"/>
        <v>0.97599999999999931</v>
      </c>
      <c r="V184" s="287">
        <f t="shared" si="35"/>
        <v>0.97633333333333261</v>
      </c>
      <c r="W184" s="287">
        <f t="shared" si="35"/>
        <v>0.97666666666666591</v>
      </c>
      <c r="X184" s="287">
        <f t="shared" si="35"/>
        <v>0.9769999999999992</v>
      </c>
      <c r="Y184" s="287">
        <f t="shared" si="35"/>
        <v>0.9773333333333325</v>
      </c>
      <c r="Z184" s="287">
        <f t="shared" si="35"/>
        <v>0.9776666666666658</v>
      </c>
      <c r="AA184" s="287">
        <f t="shared" si="35"/>
        <v>0.97799999999999909</v>
      </c>
      <c r="AB184" s="287">
        <f t="shared" si="35"/>
        <v>0.97833333333333239</v>
      </c>
      <c r="AC184" s="287">
        <f t="shared" si="35"/>
        <v>0.97866666666666569</v>
      </c>
      <c r="AD184" s="287">
        <f t="shared" si="35"/>
        <v>0.97899999999999898</v>
      </c>
      <c r="AE184" s="287">
        <f t="shared" si="35"/>
        <v>0.97933333333333228</v>
      </c>
      <c r="AF184" s="287">
        <f t="shared" si="35"/>
        <v>0.97966666666666558</v>
      </c>
      <c r="AG184" s="255">
        <f>1-SUM(AG185:AG189)</f>
        <v>0.98</v>
      </c>
      <c r="AI184" s="188"/>
      <c r="AJ184" s="271"/>
    </row>
    <row r="185" spans="1:41" outlineLevel="1">
      <c r="A185" s="3" t="s">
        <v>620</v>
      </c>
      <c r="B185" s="252" t="s">
        <v>126</v>
      </c>
      <c r="C185" s="266">
        <v>0.01</v>
      </c>
      <c r="D185" s="267">
        <f t="shared" si="36"/>
        <v>0.01</v>
      </c>
      <c r="E185" s="267">
        <f t="shared" si="36"/>
        <v>0.01</v>
      </c>
      <c r="F185" s="267">
        <f t="shared" si="36"/>
        <v>0.01</v>
      </c>
      <c r="G185" s="267">
        <f t="shared" si="36"/>
        <v>0.01</v>
      </c>
      <c r="H185" s="267">
        <f t="shared" si="36"/>
        <v>0.01</v>
      </c>
      <c r="I185" s="267">
        <f t="shared" si="36"/>
        <v>0.01</v>
      </c>
      <c r="J185" s="267">
        <f t="shared" si="36"/>
        <v>0.01</v>
      </c>
      <c r="K185" s="267">
        <f t="shared" si="36"/>
        <v>0.01</v>
      </c>
      <c r="L185" s="267">
        <f t="shared" si="36"/>
        <v>0.01</v>
      </c>
      <c r="M185" s="267">
        <f t="shared" si="36"/>
        <v>0.01</v>
      </c>
      <c r="N185" s="267">
        <f t="shared" si="36"/>
        <v>0.01</v>
      </c>
      <c r="O185" s="267">
        <f t="shared" si="36"/>
        <v>0.01</v>
      </c>
      <c r="P185" s="267">
        <f t="shared" si="36"/>
        <v>0.01</v>
      </c>
      <c r="Q185" s="267">
        <f t="shared" si="36"/>
        <v>0.01</v>
      </c>
      <c r="R185" s="267">
        <f t="shared" si="36"/>
        <v>0.01</v>
      </c>
      <c r="S185" s="267">
        <f t="shared" si="36"/>
        <v>0.01</v>
      </c>
      <c r="T185" s="267">
        <f t="shared" si="35"/>
        <v>0.01</v>
      </c>
      <c r="U185" s="267">
        <f t="shared" si="35"/>
        <v>0.01</v>
      </c>
      <c r="V185" s="267">
        <f t="shared" si="35"/>
        <v>0.01</v>
      </c>
      <c r="W185" s="267">
        <f t="shared" si="35"/>
        <v>0.01</v>
      </c>
      <c r="X185" s="267">
        <f t="shared" si="35"/>
        <v>0.01</v>
      </c>
      <c r="Y185" s="267">
        <f t="shared" si="35"/>
        <v>0.01</v>
      </c>
      <c r="Z185" s="267">
        <f t="shared" si="35"/>
        <v>0.01</v>
      </c>
      <c r="AA185" s="267">
        <f t="shared" si="35"/>
        <v>0.01</v>
      </c>
      <c r="AB185" s="267">
        <f t="shared" si="35"/>
        <v>0.01</v>
      </c>
      <c r="AC185" s="267">
        <f t="shared" si="35"/>
        <v>0.01</v>
      </c>
      <c r="AD185" s="267">
        <f t="shared" si="35"/>
        <v>0.01</v>
      </c>
      <c r="AE185" s="267">
        <f t="shared" si="35"/>
        <v>0.01</v>
      </c>
      <c r="AF185" s="267">
        <f t="shared" si="35"/>
        <v>0.01</v>
      </c>
      <c r="AG185" s="266">
        <v>0.01</v>
      </c>
      <c r="AI185" s="188"/>
      <c r="AJ185" s="271" t="s">
        <v>1469</v>
      </c>
    </row>
    <row r="186" spans="1:41" outlineLevel="1">
      <c r="A186" s="3" t="s">
        <v>622</v>
      </c>
      <c r="B186" s="252" t="s">
        <v>126</v>
      </c>
      <c r="C186" s="562">
        <v>0</v>
      </c>
      <c r="D186" s="267">
        <f t="shared" ref="D186:AF189" si="37">-($C186-$AG186)/30+C186</f>
        <v>0</v>
      </c>
      <c r="E186" s="267">
        <f t="shared" si="37"/>
        <v>0</v>
      </c>
      <c r="F186" s="267">
        <f t="shared" si="37"/>
        <v>0</v>
      </c>
      <c r="G186" s="267">
        <f t="shared" si="37"/>
        <v>0</v>
      </c>
      <c r="H186" s="267">
        <f t="shared" si="37"/>
        <v>0</v>
      </c>
      <c r="I186" s="267">
        <f t="shared" si="37"/>
        <v>0</v>
      </c>
      <c r="J186" s="267">
        <f t="shared" si="37"/>
        <v>0</v>
      </c>
      <c r="K186" s="267">
        <f t="shared" si="37"/>
        <v>0</v>
      </c>
      <c r="L186" s="267">
        <f t="shared" si="37"/>
        <v>0</v>
      </c>
      <c r="M186" s="267">
        <f t="shared" si="37"/>
        <v>0</v>
      </c>
      <c r="N186" s="267">
        <f t="shared" si="37"/>
        <v>0</v>
      </c>
      <c r="O186" s="267">
        <f t="shared" si="37"/>
        <v>0</v>
      </c>
      <c r="P186" s="267">
        <f t="shared" si="37"/>
        <v>0</v>
      </c>
      <c r="Q186" s="267">
        <f t="shared" si="37"/>
        <v>0</v>
      </c>
      <c r="R186" s="267">
        <f t="shared" si="37"/>
        <v>0</v>
      </c>
      <c r="S186" s="267">
        <f t="shared" si="37"/>
        <v>0</v>
      </c>
      <c r="T186" s="267">
        <f t="shared" si="37"/>
        <v>0</v>
      </c>
      <c r="U186" s="267">
        <f t="shared" si="37"/>
        <v>0</v>
      </c>
      <c r="V186" s="267">
        <f t="shared" si="37"/>
        <v>0</v>
      </c>
      <c r="W186" s="267">
        <f t="shared" si="37"/>
        <v>0</v>
      </c>
      <c r="X186" s="267">
        <f t="shared" si="37"/>
        <v>0</v>
      </c>
      <c r="Y186" s="267">
        <f t="shared" si="37"/>
        <v>0</v>
      </c>
      <c r="Z186" s="267">
        <f t="shared" si="37"/>
        <v>0</v>
      </c>
      <c r="AA186" s="267">
        <f t="shared" si="37"/>
        <v>0</v>
      </c>
      <c r="AB186" s="267">
        <f t="shared" si="37"/>
        <v>0</v>
      </c>
      <c r="AC186" s="267">
        <f t="shared" si="37"/>
        <v>0</v>
      </c>
      <c r="AD186" s="267">
        <f t="shared" si="37"/>
        <v>0</v>
      </c>
      <c r="AE186" s="267">
        <f t="shared" si="37"/>
        <v>0</v>
      </c>
      <c r="AF186" s="267">
        <f t="shared" si="37"/>
        <v>0</v>
      </c>
      <c r="AG186" s="562">
        <v>0</v>
      </c>
      <c r="AI186" s="188"/>
      <c r="AJ186" t="s">
        <v>1470</v>
      </c>
    </row>
    <row r="187" spans="1:41" outlineLevel="1">
      <c r="A187" s="3" t="s">
        <v>623</v>
      </c>
      <c r="B187" s="252" t="s">
        <v>126</v>
      </c>
      <c r="C187" s="562">
        <v>0</v>
      </c>
      <c r="D187" s="267">
        <f t="shared" si="37"/>
        <v>0</v>
      </c>
      <c r="E187" s="267">
        <f t="shared" si="37"/>
        <v>0</v>
      </c>
      <c r="F187" s="267">
        <f t="shared" si="37"/>
        <v>0</v>
      </c>
      <c r="G187" s="267">
        <f t="shared" si="37"/>
        <v>0</v>
      </c>
      <c r="H187" s="267">
        <f t="shared" si="37"/>
        <v>0</v>
      </c>
      <c r="I187" s="267">
        <f t="shared" si="37"/>
        <v>0</v>
      </c>
      <c r="J187" s="267">
        <f t="shared" si="37"/>
        <v>0</v>
      </c>
      <c r="K187" s="267">
        <f t="shared" si="37"/>
        <v>0</v>
      </c>
      <c r="L187" s="267">
        <f t="shared" si="37"/>
        <v>0</v>
      </c>
      <c r="M187" s="267">
        <f t="shared" si="37"/>
        <v>0</v>
      </c>
      <c r="N187" s="267">
        <f t="shared" si="37"/>
        <v>0</v>
      </c>
      <c r="O187" s="267">
        <f t="shared" si="37"/>
        <v>0</v>
      </c>
      <c r="P187" s="267">
        <f t="shared" si="37"/>
        <v>0</v>
      </c>
      <c r="Q187" s="267">
        <f t="shared" si="37"/>
        <v>0</v>
      </c>
      <c r="R187" s="267">
        <f t="shared" si="37"/>
        <v>0</v>
      </c>
      <c r="S187" s="267">
        <f t="shared" si="37"/>
        <v>0</v>
      </c>
      <c r="T187" s="267">
        <f t="shared" si="37"/>
        <v>0</v>
      </c>
      <c r="U187" s="267">
        <f t="shared" si="37"/>
        <v>0</v>
      </c>
      <c r="V187" s="267">
        <f t="shared" si="37"/>
        <v>0</v>
      </c>
      <c r="W187" s="267">
        <f t="shared" si="37"/>
        <v>0</v>
      </c>
      <c r="X187" s="267">
        <f t="shared" si="37"/>
        <v>0</v>
      </c>
      <c r="Y187" s="267">
        <f t="shared" si="37"/>
        <v>0</v>
      </c>
      <c r="Z187" s="267">
        <f t="shared" si="37"/>
        <v>0</v>
      </c>
      <c r="AA187" s="267">
        <f t="shared" si="37"/>
        <v>0</v>
      </c>
      <c r="AB187" s="267">
        <f t="shared" si="37"/>
        <v>0</v>
      </c>
      <c r="AC187" s="267">
        <f t="shared" si="37"/>
        <v>0</v>
      </c>
      <c r="AD187" s="267">
        <f t="shared" si="37"/>
        <v>0</v>
      </c>
      <c r="AE187" s="267">
        <f t="shared" si="37"/>
        <v>0</v>
      </c>
      <c r="AF187" s="267">
        <f t="shared" si="37"/>
        <v>0</v>
      </c>
      <c r="AG187" s="562">
        <v>0</v>
      </c>
      <c r="AI187" s="188"/>
      <c r="AJ187" t="s">
        <v>1470</v>
      </c>
    </row>
    <row r="188" spans="1:41" outlineLevel="1">
      <c r="A188" s="3" t="s">
        <v>624</v>
      </c>
      <c r="B188" s="252" t="s">
        <v>126</v>
      </c>
      <c r="C188" s="562">
        <v>1.4999999999999999E-2</v>
      </c>
      <c r="D188" s="267">
        <f t="shared" si="37"/>
        <v>1.4733333333333333E-2</v>
      </c>
      <c r="E188" s="267">
        <f t="shared" si="37"/>
        <v>1.4466666666666666E-2</v>
      </c>
      <c r="F188" s="267">
        <f t="shared" si="37"/>
        <v>1.4199999999999999E-2</v>
      </c>
      <c r="G188" s="267">
        <f t="shared" si="37"/>
        <v>1.3933333333333332E-2</v>
      </c>
      <c r="H188" s="267">
        <f t="shared" si="37"/>
        <v>1.3666666666666666E-2</v>
      </c>
      <c r="I188" s="267">
        <f t="shared" si="37"/>
        <v>1.3399999999999999E-2</v>
      </c>
      <c r="J188" s="267">
        <f t="shared" si="37"/>
        <v>1.3133333333333332E-2</v>
      </c>
      <c r="K188" s="267">
        <f t="shared" si="37"/>
        <v>1.2866666666666665E-2</v>
      </c>
      <c r="L188" s="267">
        <f t="shared" si="37"/>
        <v>1.2599999999999998E-2</v>
      </c>
      <c r="M188" s="267">
        <f t="shared" si="37"/>
        <v>1.2333333333333332E-2</v>
      </c>
      <c r="N188" s="267">
        <f t="shared" si="37"/>
        <v>1.2066666666666665E-2</v>
      </c>
      <c r="O188" s="267">
        <f t="shared" si="37"/>
        <v>1.1799999999999998E-2</v>
      </c>
      <c r="P188" s="267">
        <f t="shared" si="37"/>
        <v>1.1533333333333331E-2</v>
      </c>
      <c r="Q188" s="267">
        <f t="shared" si="37"/>
        <v>1.1266666666666664E-2</v>
      </c>
      <c r="R188" s="267">
        <f t="shared" si="37"/>
        <v>1.0999999999999998E-2</v>
      </c>
      <c r="S188" s="267">
        <f t="shared" si="37"/>
        <v>1.0733333333333331E-2</v>
      </c>
      <c r="T188" s="267">
        <f t="shared" si="37"/>
        <v>1.0466666666666664E-2</v>
      </c>
      <c r="U188" s="267">
        <f t="shared" si="37"/>
        <v>1.0199999999999997E-2</v>
      </c>
      <c r="V188" s="267">
        <f t="shared" si="37"/>
        <v>9.9333333333333305E-3</v>
      </c>
      <c r="W188" s="267">
        <f t="shared" si="37"/>
        <v>9.6666666666666637E-3</v>
      </c>
      <c r="X188" s="267">
        <f t="shared" si="37"/>
        <v>9.3999999999999969E-3</v>
      </c>
      <c r="Y188" s="267">
        <f t="shared" si="37"/>
        <v>9.1333333333333301E-3</v>
      </c>
      <c r="Z188" s="267">
        <f t="shared" si="37"/>
        <v>8.8666666666666633E-3</v>
      </c>
      <c r="AA188" s="267">
        <f t="shared" si="37"/>
        <v>8.5999999999999965E-3</v>
      </c>
      <c r="AB188" s="267">
        <f t="shared" si="37"/>
        <v>8.3333333333333297E-3</v>
      </c>
      <c r="AC188" s="267">
        <f t="shared" si="37"/>
        <v>8.066666666666663E-3</v>
      </c>
      <c r="AD188" s="267">
        <f t="shared" si="37"/>
        <v>7.7999999999999962E-3</v>
      </c>
      <c r="AE188" s="267">
        <f t="shared" si="37"/>
        <v>7.5333333333333294E-3</v>
      </c>
      <c r="AF188" s="267">
        <f t="shared" si="37"/>
        <v>7.2666666666666626E-3</v>
      </c>
      <c r="AG188" s="562">
        <v>7.0000000000000001E-3</v>
      </c>
      <c r="AI188" s="188"/>
      <c r="AJ188" t="s">
        <v>1470</v>
      </c>
    </row>
    <row r="189" spans="1:41" outlineLevel="1">
      <c r="A189" s="3" t="s">
        <v>625</v>
      </c>
      <c r="B189" s="252" t="s">
        <v>126</v>
      </c>
      <c r="C189" s="562">
        <v>5.0000000000000001E-3</v>
      </c>
      <c r="D189" s="267">
        <f t="shared" si="37"/>
        <v>4.9333333333333338E-3</v>
      </c>
      <c r="E189" s="267">
        <f t="shared" si="37"/>
        <v>4.8666666666666676E-3</v>
      </c>
      <c r="F189" s="267">
        <f t="shared" si="37"/>
        <v>4.8000000000000013E-3</v>
      </c>
      <c r="G189" s="267">
        <f t="shared" si="37"/>
        <v>4.7333333333333351E-3</v>
      </c>
      <c r="H189" s="267">
        <f t="shared" si="37"/>
        <v>4.6666666666666688E-3</v>
      </c>
      <c r="I189" s="267">
        <f t="shared" si="37"/>
        <v>4.6000000000000025E-3</v>
      </c>
      <c r="J189" s="267">
        <f t="shared" si="37"/>
        <v>4.5333333333333363E-3</v>
      </c>
      <c r="K189" s="267">
        <f t="shared" si="37"/>
        <v>4.46666666666667E-3</v>
      </c>
      <c r="L189" s="267">
        <f t="shared" si="37"/>
        <v>4.4000000000000037E-3</v>
      </c>
      <c r="M189" s="267">
        <f t="shared" si="37"/>
        <v>4.3333333333333375E-3</v>
      </c>
      <c r="N189" s="267">
        <f t="shared" si="37"/>
        <v>4.2666666666666712E-3</v>
      </c>
      <c r="O189" s="267">
        <f t="shared" si="37"/>
        <v>4.2000000000000049E-3</v>
      </c>
      <c r="P189" s="267">
        <f t="shared" si="37"/>
        <v>4.1333333333333387E-3</v>
      </c>
      <c r="Q189" s="267">
        <f t="shared" si="37"/>
        <v>4.0666666666666724E-3</v>
      </c>
      <c r="R189" s="267">
        <f t="shared" si="37"/>
        <v>4.0000000000000062E-3</v>
      </c>
      <c r="S189" s="267">
        <f t="shared" si="37"/>
        <v>3.9333333333333399E-3</v>
      </c>
      <c r="T189" s="267">
        <f t="shared" si="37"/>
        <v>3.8666666666666732E-3</v>
      </c>
      <c r="U189" s="267">
        <f t="shared" si="37"/>
        <v>3.8000000000000065E-3</v>
      </c>
      <c r="V189" s="267">
        <f t="shared" si="37"/>
        <v>3.7333333333333398E-3</v>
      </c>
      <c r="W189" s="267">
        <f t="shared" si="37"/>
        <v>3.6666666666666731E-3</v>
      </c>
      <c r="X189" s="267">
        <f t="shared" si="37"/>
        <v>3.6000000000000064E-3</v>
      </c>
      <c r="Y189" s="267">
        <f t="shared" si="37"/>
        <v>3.5333333333333397E-3</v>
      </c>
      <c r="Z189" s="267">
        <f t="shared" si="37"/>
        <v>3.466666666666673E-3</v>
      </c>
      <c r="AA189" s="267">
        <f t="shared" si="37"/>
        <v>3.4000000000000063E-3</v>
      </c>
      <c r="AB189" s="267">
        <f t="shared" si="37"/>
        <v>3.3333333333333396E-3</v>
      </c>
      <c r="AC189" s="267">
        <f t="shared" si="37"/>
        <v>3.2666666666666729E-3</v>
      </c>
      <c r="AD189" s="267">
        <f t="shared" si="37"/>
        <v>3.2000000000000062E-3</v>
      </c>
      <c r="AE189" s="267">
        <f t="shared" si="37"/>
        <v>3.1333333333333395E-3</v>
      </c>
      <c r="AF189" s="267">
        <f t="shared" si="37"/>
        <v>3.0666666666666728E-3</v>
      </c>
      <c r="AG189" s="562">
        <v>3.0000000000000001E-3</v>
      </c>
      <c r="AI189" s="188"/>
      <c r="AJ189" t="s">
        <v>1470</v>
      </c>
    </row>
    <row r="190" spans="1:41" s="54" customFormat="1" outlineLevel="1">
      <c r="A190" s="256" t="s">
        <v>627</v>
      </c>
      <c r="B190" s="253"/>
      <c r="C190" s="254"/>
      <c r="D190" s="254"/>
      <c r="E190" s="254"/>
      <c r="F190" s="254"/>
      <c r="G190" s="254"/>
      <c r="H190" s="254"/>
      <c r="I190" s="254"/>
      <c r="J190" s="254"/>
      <c r="K190" s="254"/>
      <c r="L190" s="254"/>
      <c r="M190" s="254"/>
      <c r="N190" s="254"/>
      <c r="O190" s="254"/>
      <c r="P190" s="254"/>
      <c r="Q190" s="254"/>
      <c r="R190" s="254"/>
      <c r="S190" s="254"/>
      <c r="T190" s="254"/>
      <c r="U190" s="254"/>
      <c r="V190" s="254"/>
      <c r="W190" s="254"/>
      <c r="X190" s="254"/>
      <c r="Y190" s="254"/>
      <c r="Z190" s="254"/>
      <c r="AA190" s="254"/>
      <c r="AB190" s="254"/>
      <c r="AC190" s="254"/>
      <c r="AD190" s="254"/>
      <c r="AE190" s="254"/>
      <c r="AF190" s="254"/>
      <c r="AG190" s="254"/>
      <c r="AI190" s="255"/>
      <c r="AJ190" s="256"/>
    </row>
    <row r="191" spans="1:41" s="54" customFormat="1" outlineLevel="1">
      <c r="A191" s="257" t="s">
        <v>656</v>
      </c>
      <c r="B191" s="258" t="s">
        <v>126</v>
      </c>
      <c r="C191" s="563">
        <f>C183</f>
        <v>0.98</v>
      </c>
      <c r="D191" s="287">
        <f>-($C191-$AG191)/30+C191</f>
        <v>0.98033333333333328</v>
      </c>
      <c r="E191" s="287">
        <f t="shared" ref="E191:AF192" si="38">-($C191-$AG191)/30+D191</f>
        <v>0.98066666666666658</v>
      </c>
      <c r="F191" s="287">
        <f t="shared" si="38"/>
        <v>0.98099999999999987</v>
      </c>
      <c r="G191" s="287">
        <f t="shared" si="38"/>
        <v>0.98133333333333317</v>
      </c>
      <c r="H191" s="287">
        <f t="shared" si="38"/>
        <v>0.98166666666666647</v>
      </c>
      <c r="I191" s="287">
        <f t="shared" si="38"/>
        <v>0.98199999999999976</v>
      </c>
      <c r="J191" s="287">
        <f t="shared" si="38"/>
        <v>0.98233333333333306</v>
      </c>
      <c r="K191" s="287">
        <f t="shared" si="38"/>
        <v>0.98266666666666636</v>
      </c>
      <c r="L191" s="287">
        <f t="shared" si="38"/>
        <v>0.98299999999999965</v>
      </c>
      <c r="M191" s="287">
        <f t="shared" si="38"/>
        <v>0.98333333333333295</v>
      </c>
      <c r="N191" s="287">
        <f t="shared" si="38"/>
        <v>0.98366666666666625</v>
      </c>
      <c r="O191" s="287">
        <f t="shared" si="38"/>
        <v>0.98399999999999954</v>
      </c>
      <c r="P191" s="287">
        <f t="shared" si="38"/>
        <v>0.98433333333333284</v>
      </c>
      <c r="Q191" s="287">
        <f t="shared" si="38"/>
        <v>0.98466666666666613</v>
      </c>
      <c r="R191" s="287">
        <f t="shared" si="38"/>
        <v>0.98499999999999943</v>
      </c>
      <c r="S191" s="287">
        <f t="shared" si="38"/>
        <v>0.98533333333333273</v>
      </c>
      <c r="T191" s="287">
        <f t="shared" si="38"/>
        <v>0.98566666666666602</v>
      </c>
      <c r="U191" s="287">
        <f t="shared" si="38"/>
        <v>0.98599999999999932</v>
      </c>
      <c r="V191" s="287">
        <f t="shared" si="38"/>
        <v>0.98633333333333262</v>
      </c>
      <c r="W191" s="287">
        <f t="shared" si="38"/>
        <v>0.98666666666666591</v>
      </c>
      <c r="X191" s="287">
        <f t="shared" si="38"/>
        <v>0.98699999999999921</v>
      </c>
      <c r="Y191" s="287">
        <f t="shared" si="38"/>
        <v>0.98733333333333251</v>
      </c>
      <c r="Z191" s="287">
        <f t="shared" si="38"/>
        <v>0.9876666666666658</v>
      </c>
      <c r="AA191" s="287">
        <f t="shared" si="38"/>
        <v>0.9879999999999991</v>
      </c>
      <c r="AB191" s="287">
        <f t="shared" si="38"/>
        <v>0.9883333333333324</v>
      </c>
      <c r="AC191" s="287">
        <f t="shared" si="38"/>
        <v>0.98866666666666569</v>
      </c>
      <c r="AD191" s="287">
        <f t="shared" si="38"/>
        <v>0.98899999999999899</v>
      </c>
      <c r="AE191" s="287">
        <f t="shared" si="38"/>
        <v>0.98933333333333229</v>
      </c>
      <c r="AF191" s="287">
        <f t="shared" si="38"/>
        <v>0.98966666666666558</v>
      </c>
      <c r="AG191" s="563">
        <f>AG183</f>
        <v>0.99</v>
      </c>
      <c r="AI191" s="255"/>
      <c r="AJ191" s="271" t="s">
        <v>1469</v>
      </c>
    </row>
    <row r="192" spans="1:41" s="54" customFormat="1" outlineLevel="1">
      <c r="A192" s="257" t="s">
        <v>667</v>
      </c>
      <c r="B192" s="258" t="s">
        <v>126</v>
      </c>
      <c r="C192" s="563">
        <v>1</v>
      </c>
      <c r="D192" s="287">
        <f>-($C192-$AG192)/30+C192</f>
        <v>1</v>
      </c>
      <c r="E192" s="287">
        <f t="shared" si="38"/>
        <v>1</v>
      </c>
      <c r="F192" s="287">
        <f t="shared" si="38"/>
        <v>1</v>
      </c>
      <c r="G192" s="287">
        <f t="shared" si="38"/>
        <v>1</v>
      </c>
      <c r="H192" s="287">
        <f t="shared" si="38"/>
        <v>1</v>
      </c>
      <c r="I192" s="287">
        <f t="shared" si="38"/>
        <v>1</v>
      </c>
      <c r="J192" s="287">
        <f t="shared" si="38"/>
        <v>1</v>
      </c>
      <c r="K192" s="287">
        <f t="shared" si="38"/>
        <v>1</v>
      </c>
      <c r="L192" s="287">
        <f t="shared" si="38"/>
        <v>1</v>
      </c>
      <c r="M192" s="287">
        <f t="shared" si="38"/>
        <v>1</v>
      </c>
      <c r="N192" s="287">
        <f t="shared" si="38"/>
        <v>1</v>
      </c>
      <c r="O192" s="287">
        <f t="shared" si="38"/>
        <v>1</v>
      </c>
      <c r="P192" s="287">
        <f t="shared" si="38"/>
        <v>1</v>
      </c>
      <c r="Q192" s="287">
        <f t="shared" si="38"/>
        <v>1</v>
      </c>
      <c r="R192" s="287">
        <f t="shared" si="38"/>
        <v>1</v>
      </c>
      <c r="S192" s="287">
        <f t="shared" si="38"/>
        <v>1</v>
      </c>
      <c r="T192" s="287">
        <f t="shared" si="38"/>
        <v>1</v>
      </c>
      <c r="U192" s="287">
        <f t="shared" si="38"/>
        <v>1</v>
      </c>
      <c r="V192" s="287">
        <f t="shared" si="38"/>
        <v>1</v>
      </c>
      <c r="W192" s="287">
        <f t="shared" si="38"/>
        <v>1</v>
      </c>
      <c r="X192" s="287">
        <f t="shared" si="38"/>
        <v>1</v>
      </c>
      <c r="Y192" s="287">
        <f t="shared" si="38"/>
        <v>1</v>
      </c>
      <c r="Z192" s="287">
        <f t="shared" si="38"/>
        <v>1</v>
      </c>
      <c r="AA192" s="287">
        <f t="shared" si="38"/>
        <v>1</v>
      </c>
      <c r="AB192" s="287">
        <f t="shared" si="38"/>
        <v>1</v>
      </c>
      <c r="AC192" s="287">
        <f t="shared" si="38"/>
        <v>1</v>
      </c>
      <c r="AD192" s="287">
        <f t="shared" si="38"/>
        <v>1</v>
      </c>
      <c r="AE192" s="287">
        <f t="shared" si="38"/>
        <v>1</v>
      </c>
      <c r="AF192" s="287">
        <f t="shared" si="38"/>
        <v>1</v>
      </c>
      <c r="AG192" s="563">
        <v>1</v>
      </c>
      <c r="AI192" s="255"/>
      <c r="AJ192" t="s">
        <v>1470</v>
      </c>
    </row>
    <row r="193" spans="1:36" s="58" customFormat="1" outlineLevel="1">
      <c r="A193" s="261" t="s">
        <v>668</v>
      </c>
      <c r="B193" s="262" t="s">
        <v>126</v>
      </c>
      <c r="C193" s="289">
        <f>1-C192</f>
        <v>0</v>
      </c>
      <c r="D193" s="289">
        <f t="shared" ref="D193:AG193" si="39">1-D192</f>
        <v>0</v>
      </c>
      <c r="E193" s="289">
        <f t="shared" si="39"/>
        <v>0</v>
      </c>
      <c r="F193" s="289">
        <f t="shared" si="39"/>
        <v>0</v>
      </c>
      <c r="G193" s="289">
        <f t="shared" si="39"/>
        <v>0</v>
      </c>
      <c r="H193" s="289">
        <f t="shared" si="39"/>
        <v>0</v>
      </c>
      <c r="I193" s="289">
        <f t="shared" si="39"/>
        <v>0</v>
      </c>
      <c r="J193" s="289">
        <f t="shared" si="39"/>
        <v>0</v>
      </c>
      <c r="K193" s="289">
        <f t="shared" si="39"/>
        <v>0</v>
      </c>
      <c r="L193" s="289">
        <f t="shared" si="39"/>
        <v>0</v>
      </c>
      <c r="M193" s="289">
        <f t="shared" si="39"/>
        <v>0</v>
      </c>
      <c r="N193" s="289">
        <f t="shared" si="39"/>
        <v>0</v>
      </c>
      <c r="O193" s="289">
        <f t="shared" si="39"/>
        <v>0</v>
      </c>
      <c r="P193" s="289">
        <f t="shared" si="39"/>
        <v>0</v>
      </c>
      <c r="Q193" s="289">
        <f t="shared" si="39"/>
        <v>0</v>
      </c>
      <c r="R193" s="289">
        <f t="shared" si="39"/>
        <v>0</v>
      </c>
      <c r="S193" s="289">
        <f t="shared" si="39"/>
        <v>0</v>
      </c>
      <c r="T193" s="289">
        <f t="shared" si="39"/>
        <v>0</v>
      </c>
      <c r="U193" s="289">
        <f t="shared" si="39"/>
        <v>0</v>
      </c>
      <c r="V193" s="289">
        <f t="shared" si="39"/>
        <v>0</v>
      </c>
      <c r="W193" s="289">
        <f t="shared" si="39"/>
        <v>0</v>
      </c>
      <c r="X193" s="289">
        <f t="shared" si="39"/>
        <v>0</v>
      </c>
      <c r="Y193" s="289">
        <f t="shared" si="39"/>
        <v>0</v>
      </c>
      <c r="Z193" s="289">
        <f t="shared" si="39"/>
        <v>0</v>
      </c>
      <c r="AA193" s="289">
        <f t="shared" si="39"/>
        <v>0</v>
      </c>
      <c r="AB193" s="289">
        <f t="shared" si="39"/>
        <v>0</v>
      </c>
      <c r="AC193" s="289">
        <f t="shared" si="39"/>
        <v>0</v>
      </c>
      <c r="AD193" s="289">
        <f t="shared" si="39"/>
        <v>0</v>
      </c>
      <c r="AE193" s="289">
        <f t="shared" si="39"/>
        <v>0</v>
      </c>
      <c r="AF193" s="289">
        <f t="shared" si="39"/>
        <v>0</v>
      </c>
      <c r="AG193" s="289">
        <f t="shared" si="39"/>
        <v>0</v>
      </c>
      <c r="AI193" s="291"/>
      <c r="AJ193" s="290"/>
    </row>
    <row r="194" spans="1:36" s="1" customFormat="1" outlineLevel="1">
      <c r="A194" t="s">
        <v>649</v>
      </c>
      <c r="B194" s="252" t="s">
        <v>126</v>
      </c>
      <c r="C194" s="562">
        <v>1</v>
      </c>
      <c r="D194" s="267">
        <f t="shared" ref="D194:S209" si="40">-($C194-$AG194)/30+C194</f>
        <v>1</v>
      </c>
      <c r="E194" s="267">
        <f t="shared" si="40"/>
        <v>1</v>
      </c>
      <c r="F194" s="267">
        <f t="shared" si="40"/>
        <v>1</v>
      </c>
      <c r="G194" s="267">
        <f t="shared" si="40"/>
        <v>1</v>
      </c>
      <c r="H194" s="267">
        <f t="shared" si="40"/>
        <v>1</v>
      </c>
      <c r="I194" s="267">
        <f t="shared" si="40"/>
        <v>1</v>
      </c>
      <c r="J194" s="267">
        <f t="shared" si="40"/>
        <v>1</v>
      </c>
      <c r="K194" s="267">
        <f t="shared" si="40"/>
        <v>1</v>
      </c>
      <c r="L194" s="267">
        <f t="shared" si="40"/>
        <v>1</v>
      </c>
      <c r="M194" s="267">
        <f t="shared" si="40"/>
        <v>1</v>
      </c>
      <c r="N194" s="267">
        <f t="shared" si="40"/>
        <v>1</v>
      </c>
      <c r="O194" s="267">
        <f t="shared" si="40"/>
        <v>1</v>
      </c>
      <c r="P194" s="267">
        <f t="shared" si="40"/>
        <v>1</v>
      </c>
      <c r="Q194" s="267">
        <f t="shared" si="40"/>
        <v>1</v>
      </c>
      <c r="R194" s="267">
        <f t="shared" si="40"/>
        <v>1</v>
      </c>
      <c r="S194" s="267">
        <f t="shared" si="40"/>
        <v>1</v>
      </c>
      <c r="T194" s="267">
        <f t="shared" ref="T194:AF208" si="41">-($C194-$AG194)/30+S194</f>
        <v>1</v>
      </c>
      <c r="U194" s="267">
        <f t="shared" si="41"/>
        <v>1</v>
      </c>
      <c r="V194" s="267">
        <f t="shared" si="41"/>
        <v>1</v>
      </c>
      <c r="W194" s="267">
        <f t="shared" si="41"/>
        <v>1</v>
      </c>
      <c r="X194" s="267">
        <f t="shared" si="41"/>
        <v>1</v>
      </c>
      <c r="Y194" s="267">
        <f t="shared" si="41"/>
        <v>1</v>
      </c>
      <c r="Z194" s="267">
        <f t="shared" si="41"/>
        <v>1</v>
      </c>
      <c r="AA194" s="267">
        <f t="shared" si="41"/>
        <v>1</v>
      </c>
      <c r="AB194" s="267">
        <f t="shared" si="41"/>
        <v>1</v>
      </c>
      <c r="AC194" s="267">
        <f t="shared" si="41"/>
        <v>1</v>
      </c>
      <c r="AD194" s="267">
        <f t="shared" si="41"/>
        <v>1</v>
      </c>
      <c r="AE194" s="267">
        <f t="shared" si="41"/>
        <v>1</v>
      </c>
      <c r="AF194" s="267">
        <f t="shared" si="41"/>
        <v>1</v>
      </c>
      <c r="AG194" s="562">
        <v>1</v>
      </c>
      <c r="AI194" s="266"/>
      <c r="AJ194" s="185"/>
    </row>
    <row r="195" spans="1:36" s="1" customFormat="1" outlineLevel="1">
      <c r="A195" t="s">
        <v>655</v>
      </c>
      <c r="B195" s="252" t="s">
        <v>126</v>
      </c>
      <c r="C195" s="562">
        <v>0</v>
      </c>
      <c r="D195" s="267">
        <f t="shared" si="40"/>
        <v>0</v>
      </c>
      <c r="E195" s="267">
        <f t="shared" si="40"/>
        <v>0</v>
      </c>
      <c r="F195" s="267">
        <f t="shared" si="40"/>
        <v>0</v>
      </c>
      <c r="G195" s="267">
        <f t="shared" si="40"/>
        <v>0</v>
      </c>
      <c r="H195" s="267">
        <f t="shared" si="40"/>
        <v>0</v>
      </c>
      <c r="I195" s="267">
        <f t="shared" si="40"/>
        <v>0</v>
      </c>
      <c r="J195" s="267">
        <f t="shared" si="40"/>
        <v>0</v>
      </c>
      <c r="K195" s="267">
        <f t="shared" si="40"/>
        <v>0</v>
      </c>
      <c r="L195" s="267">
        <f t="shared" si="40"/>
        <v>0</v>
      </c>
      <c r="M195" s="267">
        <f t="shared" si="40"/>
        <v>0</v>
      </c>
      <c r="N195" s="267">
        <f t="shared" si="40"/>
        <v>0</v>
      </c>
      <c r="O195" s="267">
        <f t="shared" si="40"/>
        <v>0</v>
      </c>
      <c r="P195" s="267">
        <f t="shared" si="40"/>
        <v>0</v>
      </c>
      <c r="Q195" s="267">
        <f t="shared" si="40"/>
        <v>0</v>
      </c>
      <c r="R195" s="267">
        <f t="shared" si="40"/>
        <v>0</v>
      </c>
      <c r="S195" s="267">
        <f t="shared" si="40"/>
        <v>0</v>
      </c>
      <c r="T195" s="267">
        <f t="shared" si="41"/>
        <v>0</v>
      </c>
      <c r="U195" s="267">
        <f t="shared" si="41"/>
        <v>0</v>
      </c>
      <c r="V195" s="267">
        <f t="shared" si="41"/>
        <v>0</v>
      </c>
      <c r="W195" s="267">
        <f t="shared" si="41"/>
        <v>0</v>
      </c>
      <c r="X195" s="267">
        <f t="shared" si="41"/>
        <v>0</v>
      </c>
      <c r="Y195" s="267">
        <f t="shared" si="41"/>
        <v>0</v>
      </c>
      <c r="Z195" s="267">
        <f t="shared" si="41"/>
        <v>0</v>
      </c>
      <c r="AA195" s="267">
        <f t="shared" si="41"/>
        <v>0</v>
      </c>
      <c r="AB195" s="267">
        <f t="shared" si="41"/>
        <v>0</v>
      </c>
      <c r="AC195" s="267">
        <f t="shared" si="41"/>
        <v>0</v>
      </c>
      <c r="AD195" s="267">
        <f t="shared" si="41"/>
        <v>0</v>
      </c>
      <c r="AE195" s="267">
        <f t="shared" si="41"/>
        <v>0</v>
      </c>
      <c r="AF195" s="267">
        <f t="shared" si="41"/>
        <v>0</v>
      </c>
      <c r="AG195" s="562">
        <v>0</v>
      </c>
      <c r="AI195" s="266"/>
      <c r="AJ195" s="185" t="s">
        <v>1471</v>
      </c>
    </row>
    <row r="196" spans="1:36" s="1" customFormat="1" outlineLevel="1">
      <c r="A196" t="s">
        <v>650</v>
      </c>
      <c r="B196" s="252" t="s">
        <v>126</v>
      </c>
      <c r="C196" s="246">
        <v>0.15</v>
      </c>
      <c r="D196" s="267">
        <f t="shared" si="40"/>
        <v>0.15633333333333332</v>
      </c>
      <c r="E196" s="267">
        <f t="shared" si="40"/>
        <v>0.16266666666666665</v>
      </c>
      <c r="F196" s="267">
        <f t="shared" si="40"/>
        <v>0.16899999999999998</v>
      </c>
      <c r="G196" s="267">
        <f t="shared" si="40"/>
        <v>0.17533333333333331</v>
      </c>
      <c r="H196" s="267">
        <f t="shared" si="40"/>
        <v>0.18166666666666664</v>
      </c>
      <c r="I196" s="267">
        <f t="shared" si="40"/>
        <v>0.18799999999999997</v>
      </c>
      <c r="J196" s="267">
        <f t="shared" si="40"/>
        <v>0.1943333333333333</v>
      </c>
      <c r="K196" s="267">
        <f t="shared" si="40"/>
        <v>0.20066666666666663</v>
      </c>
      <c r="L196" s="267">
        <f t="shared" si="40"/>
        <v>0.20699999999999996</v>
      </c>
      <c r="M196" s="267">
        <f t="shared" si="40"/>
        <v>0.21333333333333329</v>
      </c>
      <c r="N196" s="267">
        <f t="shared" si="40"/>
        <v>0.21966666666666662</v>
      </c>
      <c r="O196" s="267">
        <f t="shared" si="40"/>
        <v>0.22599999999999995</v>
      </c>
      <c r="P196" s="267">
        <f t="shared" si="40"/>
        <v>0.23233333333333328</v>
      </c>
      <c r="Q196" s="267">
        <f t="shared" si="40"/>
        <v>0.23866666666666661</v>
      </c>
      <c r="R196" s="267">
        <f t="shared" si="40"/>
        <v>0.24499999999999994</v>
      </c>
      <c r="S196" s="267">
        <f t="shared" si="40"/>
        <v>0.2513333333333333</v>
      </c>
      <c r="T196" s="267">
        <f t="shared" si="41"/>
        <v>0.25766666666666665</v>
      </c>
      <c r="U196" s="267">
        <f t="shared" si="41"/>
        <v>0.26400000000000001</v>
      </c>
      <c r="V196" s="267">
        <f t="shared" si="41"/>
        <v>0.27033333333333337</v>
      </c>
      <c r="W196" s="267">
        <f t="shared" si="41"/>
        <v>0.27666666666666673</v>
      </c>
      <c r="X196" s="267">
        <f t="shared" si="41"/>
        <v>0.28300000000000008</v>
      </c>
      <c r="Y196" s="267">
        <f t="shared" si="41"/>
        <v>0.28933333333333344</v>
      </c>
      <c r="Z196" s="267">
        <f t="shared" si="41"/>
        <v>0.2956666666666668</v>
      </c>
      <c r="AA196" s="267">
        <f t="shared" si="41"/>
        <v>0.30200000000000016</v>
      </c>
      <c r="AB196" s="267">
        <f t="shared" si="41"/>
        <v>0.30833333333333351</v>
      </c>
      <c r="AC196" s="267">
        <f t="shared" si="41"/>
        <v>0.31466666666666687</v>
      </c>
      <c r="AD196" s="267">
        <f t="shared" si="41"/>
        <v>0.32100000000000023</v>
      </c>
      <c r="AE196" s="267">
        <f t="shared" si="41"/>
        <v>0.32733333333333359</v>
      </c>
      <c r="AF196" s="267">
        <f t="shared" si="41"/>
        <v>0.33366666666666694</v>
      </c>
      <c r="AG196" s="246">
        <v>0.34</v>
      </c>
      <c r="AI196" s="266"/>
      <c r="AJ196" t="s">
        <v>1470</v>
      </c>
    </row>
    <row r="197" spans="1:36" s="1" customFormat="1" outlineLevel="1">
      <c r="A197" t="s">
        <v>651</v>
      </c>
      <c r="B197" s="252" t="s">
        <v>126</v>
      </c>
      <c r="C197" s="267">
        <f>1-C196</f>
        <v>0.85</v>
      </c>
      <c r="D197" s="267">
        <f t="shared" si="40"/>
        <v>0.84366666666666668</v>
      </c>
      <c r="E197" s="267">
        <f t="shared" si="40"/>
        <v>0.83733333333333337</v>
      </c>
      <c r="F197" s="267">
        <f t="shared" si="40"/>
        <v>0.83100000000000007</v>
      </c>
      <c r="G197" s="267">
        <f t="shared" si="40"/>
        <v>0.82466666666666677</v>
      </c>
      <c r="H197" s="267">
        <f t="shared" si="40"/>
        <v>0.81833333333333347</v>
      </c>
      <c r="I197" s="267">
        <f t="shared" si="40"/>
        <v>0.81200000000000017</v>
      </c>
      <c r="J197" s="267">
        <f t="shared" si="40"/>
        <v>0.80566666666666686</v>
      </c>
      <c r="K197" s="267">
        <f t="shared" si="40"/>
        <v>0.79933333333333356</v>
      </c>
      <c r="L197" s="267">
        <f t="shared" si="40"/>
        <v>0.79300000000000026</v>
      </c>
      <c r="M197" s="267">
        <f t="shared" si="40"/>
        <v>0.78666666666666696</v>
      </c>
      <c r="N197" s="267">
        <f t="shared" si="40"/>
        <v>0.78033333333333366</v>
      </c>
      <c r="O197" s="267">
        <f t="shared" si="40"/>
        <v>0.77400000000000035</v>
      </c>
      <c r="P197" s="267">
        <f t="shared" si="40"/>
        <v>0.76766666666666705</v>
      </c>
      <c r="Q197" s="267">
        <f t="shared" si="40"/>
        <v>0.76133333333333375</v>
      </c>
      <c r="R197" s="267">
        <f t="shared" si="40"/>
        <v>0.75500000000000045</v>
      </c>
      <c r="S197" s="267">
        <f t="shared" si="40"/>
        <v>0.74866666666666715</v>
      </c>
      <c r="T197" s="267">
        <f t="shared" si="41"/>
        <v>0.74233333333333384</v>
      </c>
      <c r="U197" s="267">
        <f t="shared" si="41"/>
        <v>0.73600000000000054</v>
      </c>
      <c r="V197" s="267">
        <f t="shared" si="41"/>
        <v>0.72966666666666724</v>
      </c>
      <c r="W197" s="267">
        <f t="shared" si="41"/>
        <v>0.72333333333333394</v>
      </c>
      <c r="X197" s="267">
        <f t="shared" si="41"/>
        <v>0.71700000000000064</v>
      </c>
      <c r="Y197" s="267">
        <f t="shared" si="41"/>
        <v>0.71066666666666733</v>
      </c>
      <c r="Z197" s="267">
        <f t="shared" si="41"/>
        <v>0.70433333333333403</v>
      </c>
      <c r="AA197" s="267">
        <f t="shared" si="41"/>
        <v>0.69800000000000073</v>
      </c>
      <c r="AB197" s="267">
        <f t="shared" si="41"/>
        <v>0.69166666666666743</v>
      </c>
      <c r="AC197" s="267">
        <f t="shared" si="41"/>
        <v>0.68533333333333413</v>
      </c>
      <c r="AD197" s="267">
        <f t="shared" si="41"/>
        <v>0.67900000000000083</v>
      </c>
      <c r="AE197" s="267">
        <f t="shared" si="41"/>
        <v>0.67266666666666752</v>
      </c>
      <c r="AF197" s="267">
        <f t="shared" si="41"/>
        <v>0.66633333333333422</v>
      </c>
      <c r="AG197" s="267">
        <f>1-AG196</f>
        <v>0.65999999999999992</v>
      </c>
      <c r="AI197" s="266"/>
      <c r="AJ197" t="s">
        <v>1470</v>
      </c>
    </row>
    <row r="198" spans="1:36" s="1" customFormat="1" outlineLevel="1">
      <c r="A198" t="s">
        <v>654</v>
      </c>
      <c r="B198" s="252" t="s">
        <v>126</v>
      </c>
      <c r="C198" s="246">
        <v>0</v>
      </c>
      <c r="D198" s="267">
        <f t="shared" si="40"/>
        <v>0</v>
      </c>
      <c r="E198" s="267">
        <f t="shared" si="40"/>
        <v>0</v>
      </c>
      <c r="F198" s="267">
        <f t="shared" si="40"/>
        <v>0</v>
      </c>
      <c r="G198" s="267">
        <f t="shared" si="40"/>
        <v>0</v>
      </c>
      <c r="H198" s="267">
        <f t="shared" si="40"/>
        <v>0</v>
      </c>
      <c r="I198" s="267">
        <f t="shared" si="40"/>
        <v>0</v>
      </c>
      <c r="J198" s="267">
        <f t="shared" si="40"/>
        <v>0</v>
      </c>
      <c r="K198" s="267">
        <f t="shared" si="40"/>
        <v>0</v>
      </c>
      <c r="L198" s="267">
        <f t="shared" si="40"/>
        <v>0</v>
      </c>
      <c r="M198" s="267">
        <f t="shared" si="40"/>
        <v>0</v>
      </c>
      <c r="N198" s="267">
        <f t="shared" si="40"/>
        <v>0</v>
      </c>
      <c r="O198" s="267">
        <f t="shared" si="40"/>
        <v>0</v>
      </c>
      <c r="P198" s="267">
        <f t="shared" si="40"/>
        <v>0</v>
      </c>
      <c r="Q198" s="267">
        <f t="shared" si="40"/>
        <v>0</v>
      </c>
      <c r="R198" s="267">
        <f t="shared" si="40"/>
        <v>0</v>
      </c>
      <c r="S198" s="267">
        <f t="shared" si="40"/>
        <v>0</v>
      </c>
      <c r="T198" s="267">
        <f t="shared" si="41"/>
        <v>0</v>
      </c>
      <c r="U198" s="267">
        <f t="shared" si="41"/>
        <v>0</v>
      </c>
      <c r="V198" s="267">
        <f t="shared" si="41"/>
        <v>0</v>
      </c>
      <c r="W198" s="267">
        <f t="shared" si="41"/>
        <v>0</v>
      </c>
      <c r="X198" s="267">
        <f t="shared" si="41"/>
        <v>0</v>
      </c>
      <c r="Y198" s="267">
        <f t="shared" si="41"/>
        <v>0</v>
      </c>
      <c r="Z198" s="267">
        <f t="shared" si="41"/>
        <v>0</v>
      </c>
      <c r="AA198" s="267">
        <f t="shared" si="41"/>
        <v>0</v>
      </c>
      <c r="AB198" s="267">
        <f t="shared" si="41"/>
        <v>0</v>
      </c>
      <c r="AC198" s="267">
        <f t="shared" si="41"/>
        <v>0</v>
      </c>
      <c r="AD198" s="267">
        <f t="shared" si="41"/>
        <v>0</v>
      </c>
      <c r="AE198" s="267">
        <f t="shared" si="41"/>
        <v>0</v>
      </c>
      <c r="AF198" s="267">
        <f t="shared" si="41"/>
        <v>0</v>
      </c>
      <c r="AG198" s="246">
        <v>0</v>
      </c>
      <c r="AI198" s="266"/>
      <c r="AJ198" t="s">
        <v>1470</v>
      </c>
    </row>
    <row r="199" spans="1:36" s="1" customFormat="1" outlineLevel="1">
      <c r="A199" t="s">
        <v>665</v>
      </c>
      <c r="B199" s="252" t="s">
        <v>126</v>
      </c>
      <c r="C199" s="246">
        <v>1</v>
      </c>
      <c r="D199" s="267">
        <f t="shared" si="40"/>
        <v>1</v>
      </c>
      <c r="E199" s="267">
        <f t="shared" si="40"/>
        <v>1</v>
      </c>
      <c r="F199" s="267">
        <f t="shared" si="40"/>
        <v>1</v>
      </c>
      <c r="G199" s="267">
        <f t="shared" si="40"/>
        <v>1</v>
      </c>
      <c r="H199" s="267">
        <f t="shared" si="40"/>
        <v>1</v>
      </c>
      <c r="I199" s="267">
        <f t="shared" si="40"/>
        <v>1</v>
      </c>
      <c r="J199" s="267">
        <f t="shared" si="40"/>
        <v>1</v>
      </c>
      <c r="K199" s="267">
        <f t="shared" si="40"/>
        <v>1</v>
      </c>
      <c r="L199" s="267">
        <f t="shared" si="40"/>
        <v>1</v>
      </c>
      <c r="M199" s="267">
        <f t="shared" si="40"/>
        <v>1</v>
      </c>
      <c r="N199" s="267">
        <f t="shared" si="40"/>
        <v>1</v>
      </c>
      <c r="O199" s="267">
        <f t="shared" si="40"/>
        <v>1</v>
      </c>
      <c r="P199" s="267">
        <f t="shared" si="40"/>
        <v>1</v>
      </c>
      <c r="Q199" s="267">
        <f t="shared" si="40"/>
        <v>1</v>
      </c>
      <c r="R199" s="267">
        <f t="shared" si="40"/>
        <v>1</v>
      </c>
      <c r="S199" s="267">
        <f t="shared" si="40"/>
        <v>1</v>
      </c>
      <c r="T199" s="267">
        <f t="shared" si="41"/>
        <v>1</v>
      </c>
      <c r="U199" s="267">
        <f t="shared" si="41"/>
        <v>1</v>
      </c>
      <c r="V199" s="267">
        <f t="shared" si="41"/>
        <v>1</v>
      </c>
      <c r="W199" s="267">
        <f t="shared" si="41"/>
        <v>1</v>
      </c>
      <c r="X199" s="267">
        <f t="shared" si="41"/>
        <v>1</v>
      </c>
      <c r="Y199" s="267">
        <f t="shared" si="41"/>
        <v>1</v>
      </c>
      <c r="Z199" s="267">
        <f t="shared" si="41"/>
        <v>1</v>
      </c>
      <c r="AA199" s="267">
        <f t="shared" si="41"/>
        <v>1</v>
      </c>
      <c r="AB199" s="267">
        <f t="shared" si="41"/>
        <v>1</v>
      </c>
      <c r="AC199" s="267">
        <f t="shared" si="41"/>
        <v>1</v>
      </c>
      <c r="AD199" s="267">
        <f t="shared" si="41"/>
        <v>1</v>
      </c>
      <c r="AE199" s="267">
        <f t="shared" si="41"/>
        <v>1</v>
      </c>
      <c r="AF199" s="267">
        <f t="shared" si="41"/>
        <v>1</v>
      </c>
      <c r="AG199" s="246">
        <v>1</v>
      </c>
      <c r="AI199" s="266"/>
      <c r="AJ199" t="s">
        <v>1470</v>
      </c>
    </row>
    <row r="200" spans="1:36" s="1" customFormat="1" outlineLevel="1">
      <c r="A200" t="s">
        <v>652</v>
      </c>
      <c r="B200" s="252" t="s">
        <v>126</v>
      </c>
      <c r="C200" s="246">
        <v>0.8</v>
      </c>
      <c r="D200" s="267">
        <f t="shared" si="40"/>
        <v>0.80333333333333334</v>
      </c>
      <c r="E200" s="267">
        <f t="shared" si="40"/>
        <v>0.80666666666666664</v>
      </c>
      <c r="F200" s="267">
        <f t="shared" si="40"/>
        <v>0.80999999999999994</v>
      </c>
      <c r="G200" s="267">
        <f t="shared" si="40"/>
        <v>0.81333333333333324</v>
      </c>
      <c r="H200" s="267">
        <f t="shared" si="40"/>
        <v>0.81666666666666654</v>
      </c>
      <c r="I200" s="267">
        <f t="shared" si="40"/>
        <v>0.81999999999999984</v>
      </c>
      <c r="J200" s="267">
        <f t="shared" si="40"/>
        <v>0.82333333333333314</v>
      </c>
      <c r="K200" s="267">
        <f t="shared" si="40"/>
        <v>0.82666666666666644</v>
      </c>
      <c r="L200" s="267">
        <f t="shared" si="40"/>
        <v>0.82999999999999974</v>
      </c>
      <c r="M200" s="267">
        <f t="shared" si="40"/>
        <v>0.83333333333333304</v>
      </c>
      <c r="N200" s="267">
        <f t="shared" si="40"/>
        <v>0.83666666666666634</v>
      </c>
      <c r="O200" s="267">
        <f t="shared" si="40"/>
        <v>0.83999999999999964</v>
      </c>
      <c r="P200" s="267">
        <f t="shared" si="40"/>
        <v>0.84333333333333294</v>
      </c>
      <c r="Q200" s="267">
        <f t="shared" si="40"/>
        <v>0.84666666666666623</v>
      </c>
      <c r="R200" s="267">
        <f t="shared" si="40"/>
        <v>0.84999999999999953</v>
      </c>
      <c r="S200" s="267">
        <f t="shared" si="40"/>
        <v>0.85333333333333283</v>
      </c>
      <c r="T200" s="267">
        <f t="shared" si="41"/>
        <v>0.85666666666666613</v>
      </c>
      <c r="U200" s="267">
        <f t="shared" si="41"/>
        <v>0.85999999999999943</v>
      </c>
      <c r="V200" s="267">
        <f t="shared" si="41"/>
        <v>0.86333333333333273</v>
      </c>
      <c r="W200" s="267">
        <f t="shared" si="41"/>
        <v>0.86666666666666603</v>
      </c>
      <c r="X200" s="267">
        <f t="shared" si="41"/>
        <v>0.86999999999999933</v>
      </c>
      <c r="Y200" s="267">
        <f t="shared" si="41"/>
        <v>0.87333333333333263</v>
      </c>
      <c r="Z200" s="267">
        <f t="shared" si="41"/>
        <v>0.87666666666666593</v>
      </c>
      <c r="AA200" s="267">
        <f t="shared" si="41"/>
        <v>0.87999999999999923</v>
      </c>
      <c r="AB200" s="267">
        <f t="shared" si="41"/>
        <v>0.88333333333333253</v>
      </c>
      <c r="AC200" s="267">
        <f t="shared" si="41"/>
        <v>0.88666666666666583</v>
      </c>
      <c r="AD200" s="267">
        <f t="shared" si="41"/>
        <v>0.88999999999999913</v>
      </c>
      <c r="AE200" s="267">
        <f t="shared" si="41"/>
        <v>0.89333333333333242</v>
      </c>
      <c r="AF200" s="267">
        <f t="shared" si="41"/>
        <v>0.89666666666666572</v>
      </c>
      <c r="AG200" s="246">
        <v>0.9</v>
      </c>
      <c r="AI200" s="266"/>
      <c r="AJ200" t="s">
        <v>1470</v>
      </c>
    </row>
    <row r="201" spans="1:36" s="1" customFormat="1" outlineLevel="1">
      <c r="A201" t="s">
        <v>653</v>
      </c>
      <c r="B201" s="252" t="s">
        <v>126</v>
      </c>
      <c r="C201" s="246">
        <v>0.2</v>
      </c>
      <c r="D201" s="267">
        <f t="shared" si="40"/>
        <v>0.19666666666666668</v>
      </c>
      <c r="E201" s="267">
        <f t="shared" si="40"/>
        <v>0.19333333333333336</v>
      </c>
      <c r="F201" s="267">
        <f t="shared" si="40"/>
        <v>0.19000000000000003</v>
      </c>
      <c r="G201" s="267">
        <f t="shared" si="40"/>
        <v>0.1866666666666667</v>
      </c>
      <c r="H201" s="267">
        <f t="shared" si="40"/>
        <v>0.18333333333333338</v>
      </c>
      <c r="I201" s="267">
        <f t="shared" si="40"/>
        <v>0.18000000000000005</v>
      </c>
      <c r="J201" s="267">
        <f t="shared" si="40"/>
        <v>0.17666666666666672</v>
      </c>
      <c r="K201" s="267">
        <f t="shared" si="40"/>
        <v>0.17333333333333339</v>
      </c>
      <c r="L201" s="267">
        <f t="shared" si="40"/>
        <v>0.17000000000000007</v>
      </c>
      <c r="M201" s="267">
        <f t="shared" si="40"/>
        <v>0.16666666666666674</v>
      </c>
      <c r="N201" s="267">
        <f t="shared" si="40"/>
        <v>0.16333333333333341</v>
      </c>
      <c r="O201" s="267">
        <f t="shared" si="40"/>
        <v>0.16000000000000009</v>
      </c>
      <c r="P201" s="267">
        <f t="shared" si="40"/>
        <v>0.15666666666666676</v>
      </c>
      <c r="Q201" s="267">
        <f t="shared" si="40"/>
        <v>0.15333333333333343</v>
      </c>
      <c r="R201" s="267">
        <f t="shared" si="40"/>
        <v>0.15000000000000011</v>
      </c>
      <c r="S201" s="267">
        <f t="shared" si="40"/>
        <v>0.14666666666666678</v>
      </c>
      <c r="T201" s="267">
        <f t="shared" si="41"/>
        <v>0.14333333333333345</v>
      </c>
      <c r="U201" s="267">
        <f t="shared" si="41"/>
        <v>0.14000000000000012</v>
      </c>
      <c r="V201" s="267">
        <f t="shared" si="41"/>
        <v>0.1366666666666668</v>
      </c>
      <c r="W201" s="267">
        <f t="shared" si="41"/>
        <v>0.13333333333333347</v>
      </c>
      <c r="X201" s="267">
        <f t="shared" si="41"/>
        <v>0.13000000000000014</v>
      </c>
      <c r="Y201" s="267">
        <f t="shared" si="41"/>
        <v>0.12666666666666682</v>
      </c>
      <c r="Z201" s="267">
        <f t="shared" si="41"/>
        <v>0.12333333333333349</v>
      </c>
      <c r="AA201" s="267">
        <f t="shared" si="41"/>
        <v>0.12000000000000016</v>
      </c>
      <c r="AB201" s="267">
        <f t="shared" si="41"/>
        <v>0.11666666666666684</v>
      </c>
      <c r="AC201" s="267">
        <f t="shared" si="41"/>
        <v>0.11333333333333351</v>
      </c>
      <c r="AD201" s="267">
        <f t="shared" si="41"/>
        <v>0.11000000000000018</v>
      </c>
      <c r="AE201" s="267">
        <f t="shared" si="41"/>
        <v>0.10666666666666685</v>
      </c>
      <c r="AF201" s="267">
        <f t="shared" si="41"/>
        <v>0.10333333333333353</v>
      </c>
      <c r="AG201" s="246">
        <v>0.1</v>
      </c>
      <c r="AI201" s="266"/>
      <c r="AJ201" t="s">
        <v>1470</v>
      </c>
    </row>
    <row r="202" spans="1:36" s="1" customFormat="1" outlineLevel="1">
      <c r="A202" t="s">
        <v>663</v>
      </c>
      <c r="B202" s="252" t="s">
        <v>126</v>
      </c>
      <c r="C202" s="246">
        <v>0.95</v>
      </c>
      <c r="D202" s="267">
        <f t="shared" si="40"/>
        <v>0.94866666666666666</v>
      </c>
      <c r="E202" s="267">
        <f t="shared" si="40"/>
        <v>0.94733333333333336</v>
      </c>
      <c r="F202" s="267">
        <f t="shared" si="40"/>
        <v>0.94600000000000006</v>
      </c>
      <c r="G202" s="267">
        <f t="shared" si="40"/>
        <v>0.94466666666666677</v>
      </c>
      <c r="H202" s="267">
        <f t="shared" si="40"/>
        <v>0.94333333333333347</v>
      </c>
      <c r="I202" s="267">
        <f t="shared" si="40"/>
        <v>0.94200000000000017</v>
      </c>
      <c r="J202" s="267">
        <f t="shared" si="40"/>
        <v>0.94066666666666687</v>
      </c>
      <c r="K202" s="267">
        <f t="shared" si="40"/>
        <v>0.93933333333333358</v>
      </c>
      <c r="L202" s="267">
        <f t="shared" si="40"/>
        <v>0.93800000000000028</v>
      </c>
      <c r="M202" s="267">
        <f t="shared" si="40"/>
        <v>0.93666666666666698</v>
      </c>
      <c r="N202" s="267">
        <f t="shared" si="40"/>
        <v>0.93533333333333368</v>
      </c>
      <c r="O202" s="267">
        <f t="shared" si="40"/>
        <v>0.93400000000000039</v>
      </c>
      <c r="P202" s="267">
        <f t="shared" si="40"/>
        <v>0.93266666666666709</v>
      </c>
      <c r="Q202" s="267">
        <f t="shared" si="40"/>
        <v>0.93133333333333379</v>
      </c>
      <c r="R202" s="267">
        <f t="shared" si="40"/>
        <v>0.93000000000000049</v>
      </c>
      <c r="S202" s="267">
        <f t="shared" si="40"/>
        <v>0.9286666666666672</v>
      </c>
      <c r="T202" s="267">
        <f t="shared" si="41"/>
        <v>0.9273333333333339</v>
      </c>
      <c r="U202" s="267">
        <f t="shared" si="41"/>
        <v>0.9260000000000006</v>
      </c>
      <c r="V202" s="267">
        <f t="shared" si="41"/>
        <v>0.9246666666666673</v>
      </c>
      <c r="W202" s="267">
        <f t="shared" si="41"/>
        <v>0.92333333333333401</v>
      </c>
      <c r="X202" s="267">
        <f t="shared" si="41"/>
        <v>0.92200000000000071</v>
      </c>
      <c r="Y202" s="267">
        <f t="shared" si="41"/>
        <v>0.92066666666666741</v>
      </c>
      <c r="Z202" s="267">
        <f t="shared" si="41"/>
        <v>0.91933333333333411</v>
      </c>
      <c r="AA202" s="267">
        <f t="shared" si="41"/>
        <v>0.91800000000000082</v>
      </c>
      <c r="AB202" s="267">
        <f t="shared" si="41"/>
        <v>0.91666666666666752</v>
      </c>
      <c r="AC202" s="267">
        <f t="shared" si="41"/>
        <v>0.91533333333333422</v>
      </c>
      <c r="AD202" s="267">
        <f t="shared" si="41"/>
        <v>0.91400000000000092</v>
      </c>
      <c r="AE202" s="267">
        <f t="shared" si="41"/>
        <v>0.91266666666666763</v>
      </c>
      <c r="AF202" s="267">
        <f t="shared" si="41"/>
        <v>0.91133333333333433</v>
      </c>
      <c r="AG202" s="246">
        <v>0.91</v>
      </c>
      <c r="AI202" s="266"/>
      <c r="AJ202" t="s">
        <v>1470</v>
      </c>
    </row>
    <row r="203" spans="1:36" s="1" customFormat="1" outlineLevel="1">
      <c r="A203" t="s">
        <v>664</v>
      </c>
      <c r="B203" s="252" t="s">
        <v>126</v>
      </c>
      <c r="C203" s="246">
        <v>0.05</v>
      </c>
      <c r="D203" s="267">
        <f t="shared" si="40"/>
        <v>5.1333333333333335E-2</v>
      </c>
      <c r="E203" s="267">
        <f t="shared" si="40"/>
        <v>5.2666666666666667E-2</v>
      </c>
      <c r="F203" s="267">
        <f t="shared" si="40"/>
        <v>5.3999999999999999E-2</v>
      </c>
      <c r="G203" s="267">
        <f t="shared" si="40"/>
        <v>5.5333333333333332E-2</v>
      </c>
      <c r="H203" s="267">
        <f t="shared" si="40"/>
        <v>5.6666666666666664E-2</v>
      </c>
      <c r="I203" s="267">
        <f t="shared" si="40"/>
        <v>5.7999999999999996E-2</v>
      </c>
      <c r="J203" s="267">
        <f t="shared" si="40"/>
        <v>5.9333333333333328E-2</v>
      </c>
      <c r="K203" s="267">
        <f t="shared" si="40"/>
        <v>6.066666666666666E-2</v>
      </c>
      <c r="L203" s="267">
        <f t="shared" si="40"/>
        <v>6.1999999999999993E-2</v>
      </c>
      <c r="M203" s="267">
        <f t="shared" si="40"/>
        <v>6.3333333333333325E-2</v>
      </c>
      <c r="N203" s="267">
        <f t="shared" si="40"/>
        <v>6.4666666666666664E-2</v>
      </c>
      <c r="O203" s="267">
        <f t="shared" si="40"/>
        <v>6.6000000000000003E-2</v>
      </c>
      <c r="P203" s="267">
        <f t="shared" si="40"/>
        <v>6.7333333333333342E-2</v>
      </c>
      <c r="Q203" s="267">
        <f t="shared" si="40"/>
        <v>6.8666666666666681E-2</v>
      </c>
      <c r="R203" s="267">
        <f t="shared" si="40"/>
        <v>7.0000000000000021E-2</v>
      </c>
      <c r="S203" s="267">
        <f t="shared" si="40"/>
        <v>7.133333333333336E-2</v>
      </c>
      <c r="T203" s="267">
        <f t="shared" si="41"/>
        <v>7.2666666666666699E-2</v>
      </c>
      <c r="U203" s="267">
        <f t="shared" si="41"/>
        <v>7.4000000000000038E-2</v>
      </c>
      <c r="V203" s="267">
        <f t="shared" si="41"/>
        <v>7.5333333333333377E-2</v>
      </c>
      <c r="W203" s="267">
        <f t="shared" si="41"/>
        <v>7.6666666666666716E-2</v>
      </c>
      <c r="X203" s="267">
        <f t="shared" si="41"/>
        <v>7.8000000000000055E-2</v>
      </c>
      <c r="Y203" s="267">
        <f t="shared" si="41"/>
        <v>7.9333333333333395E-2</v>
      </c>
      <c r="Z203" s="267">
        <f t="shared" si="41"/>
        <v>8.0666666666666734E-2</v>
      </c>
      <c r="AA203" s="267">
        <f t="shared" si="41"/>
        <v>8.2000000000000073E-2</v>
      </c>
      <c r="AB203" s="267">
        <f t="shared" si="41"/>
        <v>8.3333333333333412E-2</v>
      </c>
      <c r="AC203" s="267">
        <f t="shared" si="41"/>
        <v>8.4666666666666751E-2</v>
      </c>
      <c r="AD203" s="267">
        <f t="shared" si="41"/>
        <v>8.600000000000009E-2</v>
      </c>
      <c r="AE203" s="267">
        <f t="shared" si="41"/>
        <v>8.7333333333333429E-2</v>
      </c>
      <c r="AF203" s="267">
        <f t="shared" si="41"/>
        <v>8.8666666666666769E-2</v>
      </c>
      <c r="AG203" s="246">
        <v>0.09</v>
      </c>
      <c r="AI203" s="266"/>
      <c r="AJ203" t="s">
        <v>1470</v>
      </c>
    </row>
    <row r="204" spans="1:36" s="1" customFormat="1" outlineLevel="1">
      <c r="A204" t="s">
        <v>666</v>
      </c>
      <c r="B204" s="252"/>
      <c r="C204" s="246">
        <v>0.27</v>
      </c>
      <c r="D204" s="267">
        <f t="shared" si="40"/>
        <v>0.26600000000000001</v>
      </c>
      <c r="E204" s="267">
        <f t="shared" si="40"/>
        <v>0.26200000000000001</v>
      </c>
      <c r="F204" s="267">
        <f t="shared" si="40"/>
        <v>0.25800000000000001</v>
      </c>
      <c r="G204" s="267">
        <f t="shared" si="40"/>
        <v>0.254</v>
      </c>
      <c r="H204" s="267">
        <f t="shared" si="40"/>
        <v>0.25</v>
      </c>
      <c r="I204" s="267">
        <f t="shared" si="40"/>
        <v>0.246</v>
      </c>
      <c r="J204" s="267">
        <f t="shared" si="40"/>
        <v>0.24199999999999999</v>
      </c>
      <c r="K204" s="267">
        <f t="shared" si="40"/>
        <v>0.23799999999999999</v>
      </c>
      <c r="L204" s="267">
        <f t="shared" si="40"/>
        <v>0.23399999999999999</v>
      </c>
      <c r="M204" s="267">
        <f t="shared" si="40"/>
        <v>0.22999999999999998</v>
      </c>
      <c r="N204" s="267">
        <f t="shared" si="40"/>
        <v>0.22599999999999998</v>
      </c>
      <c r="O204" s="267">
        <f t="shared" si="40"/>
        <v>0.22199999999999998</v>
      </c>
      <c r="P204" s="267">
        <f t="shared" si="40"/>
        <v>0.21799999999999997</v>
      </c>
      <c r="Q204" s="267">
        <f t="shared" si="40"/>
        <v>0.21399999999999997</v>
      </c>
      <c r="R204" s="267">
        <f t="shared" si="40"/>
        <v>0.20999999999999996</v>
      </c>
      <c r="S204" s="267">
        <f t="shared" si="40"/>
        <v>0.20599999999999996</v>
      </c>
      <c r="T204" s="267">
        <f t="shared" si="41"/>
        <v>0.20199999999999996</v>
      </c>
      <c r="U204" s="267">
        <f t="shared" si="41"/>
        <v>0.19799999999999995</v>
      </c>
      <c r="V204" s="267">
        <f t="shared" si="41"/>
        <v>0.19399999999999995</v>
      </c>
      <c r="W204" s="267">
        <f t="shared" si="41"/>
        <v>0.18999999999999995</v>
      </c>
      <c r="X204" s="267">
        <f t="shared" si="41"/>
        <v>0.18599999999999994</v>
      </c>
      <c r="Y204" s="267">
        <f t="shared" si="41"/>
        <v>0.18199999999999994</v>
      </c>
      <c r="Z204" s="267">
        <f t="shared" si="41"/>
        <v>0.17799999999999994</v>
      </c>
      <c r="AA204" s="267">
        <f t="shared" si="41"/>
        <v>0.17399999999999993</v>
      </c>
      <c r="AB204" s="267">
        <f t="shared" si="41"/>
        <v>0.16999999999999993</v>
      </c>
      <c r="AC204" s="267">
        <f t="shared" si="41"/>
        <v>0.16599999999999993</v>
      </c>
      <c r="AD204" s="267">
        <f t="shared" si="41"/>
        <v>0.16199999999999992</v>
      </c>
      <c r="AE204" s="267">
        <f t="shared" si="41"/>
        <v>0.15799999999999992</v>
      </c>
      <c r="AF204" s="267">
        <f t="shared" si="41"/>
        <v>0.15399999999999991</v>
      </c>
      <c r="AG204" s="246">
        <v>0.15</v>
      </c>
      <c r="AI204" s="266"/>
      <c r="AJ204" t="s">
        <v>1470</v>
      </c>
    </row>
    <row r="205" spans="1:36" s="61" customFormat="1" outlineLevel="1">
      <c r="A205" s="294" t="s">
        <v>657</v>
      </c>
      <c r="B205" s="258" t="s">
        <v>126</v>
      </c>
      <c r="C205" s="255">
        <f>1-SUM(C206:C210)</f>
        <v>0.97</v>
      </c>
      <c r="D205" s="287">
        <f t="shared" ref="D205:S206" si="42">-($C205-$AG205)/30+C205</f>
        <v>0.97033333333333327</v>
      </c>
      <c r="E205" s="287">
        <f t="shared" si="42"/>
        <v>0.97066666666666657</v>
      </c>
      <c r="F205" s="287">
        <f t="shared" si="42"/>
        <v>0.97099999999999986</v>
      </c>
      <c r="G205" s="287">
        <f t="shared" si="42"/>
        <v>0.97133333333333316</v>
      </c>
      <c r="H205" s="287">
        <f t="shared" si="42"/>
        <v>0.97166666666666646</v>
      </c>
      <c r="I205" s="287">
        <f t="shared" si="42"/>
        <v>0.97199999999999975</v>
      </c>
      <c r="J205" s="287">
        <f t="shared" si="42"/>
        <v>0.97233333333333305</v>
      </c>
      <c r="K205" s="287">
        <f t="shared" si="42"/>
        <v>0.97266666666666635</v>
      </c>
      <c r="L205" s="287">
        <f t="shared" si="42"/>
        <v>0.97299999999999964</v>
      </c>
      <c r="M205" s="287">
        <f t="shared" si="42"/>
        <v>0.97333333333333294</v>
      </c>
      <c r="N205" s="287">
        <f t="shared" si="42"/>
        <v>0.97366666666666624</v>
      </c>
      <c r="O205" s="287">
        <f t="shared" si="42"/>
        <v>0.97399999999999953</v>
      </c>
      <c r="P205" s="287">
        <f t="shared" si="42"/>
        <v>0.97433333333333283</v>
      </c>
      <c r="Q205" s="287">
        <f t="shared" si="42"/>
        <v>0.97466666666666613</v>
      </c>
      <c r="R205" s="287">
        <f t="shared" si="42"/>
        <v>0.97499999999999942</v>
      </c>
      <c r="S205" s="287">
        <f t="shared" si="42"/>
        <v>0.97533333333333272</v>
      </c>
      <c r="T205" s="287">
        <f t="shared" si="41"/>
        <v>0.97566666666666602</v>
      </c>
      <c r="U205" s="287">
        <f t="shared" si="41"/>
        <v>0.97599999999999931</v>
      </c>
      <c r="V205" s="287">
        <f t="shared" si="41"/>
        <v>0.97633333333333261</v>
      </c>
      <c r="W205" s="287">
        <f t="shared" si="41"/>
        <v>0.97666666666666591</v>
      </c>
      <c r="X205" s="287">
        <f t="shared" si="41"/>
        <v>0.9769999999999992</v>
      </c>
      <c r="Y205" s="287">
        <f t="shared" si="41"/>
        <v>0.9773333333333325</v>
      </c>
      <c r="Z205" s="287">
        <f t="shared" si="41"/>
        <v>0.9776666666666658</v>
      </c>
      <c r="AA205" s="287">
        <f t="shared" si="41"/>
        <v>0.97799999999999909</v>
      </c>
      <c r="AB205" s="287">
        <f t="shared" si="41"/>
        <v>0.97833333333333239</v>
      </c>
      <c r="AC205" s="287">
        <f t="shared" si="41"/>
        <v>0.97866666666666569</v>
      </c>
      <c r="AD205" s="287">
        <f t="shared" si="41"/>
        <v>0.97899999999999898</v>
      </c>
      <c r="AE205" s="287">
        <f t="shared" si="41"/>
        <v>0.97933333333333228</v>
      </c>
      <c r="AF205" s="287">
        <f t="shared" si="41"/>
        <v>0.97966666666666558</v>
      </c>
      <c r="AG205" s="255">
        <f>1-SUM(AG206:AG210)</f>
        <v>0.98</v>
      </c>
      <c r="AH205"/>
      <c r="AI205" s="188"/>
      <c r="AJ205" t="s">
        <v>1470</v>
      </c>
    </row>
    <row r="206" spans="1:36" outlineLevel="1">
      <c r="A206" s="295" t="s">
        <v>658</v>
      </c>
      <c r="B206" s="252" t="s">
        <v>126</v>
      </c>
      <c r="C206" s="266">
        <v>0.01</v>
      </c>
      <c r="D206" s="267">
        <f t="shared" si="42"/>
        <v>0.01</v>
      </c>
      <c r="E206" s="267">
        <f t="shared" si="42"/>
        <v>0.01</v>
      </c>
      <c r="F206" s="267">
        <f t="shared" si="42"/>
        <v>0.01</v>
      </c>
      <c r="G206" s="267">
        <f t="shared" si="42"/>
        <v>0.01</v>
      </c>
      <c r="H206" s="267">
        <f t="shared" si="42"/>
        <v>0.01</v>
      </c>
      <c r="I206" s="267">
        <f t="shared" si="42"/>
        <v>0.01</v>
      </c>
      <c r="J206" s="267">
        <f t="shared" si="42"/>
        <v>0.01</v>
      </c>
      <c r="K206" s="267">
        <f t="shared" si="42"/>
        <v>0.01</v>
      </c>
      <c r="L206" s="267">
        <f t="shared" si="42"/>
        <v>0.01</v>
      </c>
      <c r="M206" s="267">
        <f t="shared" si="42"/>
        <v>0.01</v>
      </c>
      <c r="N206" s="267">
        <f t="shared" si="42"/>
        <v>0.01</v>
      </c>
      <c r="O206" s="267">
        <f t="shared" si="42"/>
        <v>0.01</v>
      </c>
      <c r="P206" s="267">
        <f t="shared" si="42"/>
        <v>0.01</v>
      </c>
      <c r="Q206" s="267">
        <f t="shared" si="42"/>
        <v>0.01</v>
      </c>
      <c r="R206" s="267">
        <f t="shared" si="42"/>
        <v>0.01</v>
      </c>
      <c r="S206" s="267">
        <f t="shared" si="42"/>
        <v>0.01</v>
      </c>
      <c r="T206" s="267">
        <f t="shared" si="41"/>
        <v>0.01</v>
      </c>
      <c r="U206" s="267">
        <f t="shared" si="41"/>
        <v>0.01</v>
      </c>
      <c r="V206" s="267">
        <f t="shared" si="41"/>
        <v>0.01</v>
      </c>
      <c r="W206" s="267">
        <f t="shared" si="41"/>
        <v>0.01</v>
      </c>
      <c r="X206" s="267">
        <f t="shared" si="41"/>
        <v>0.01</v>
      </c>
      <c r="Y206" s="267">
        <f t="shared" si="41"/>
        <v>0.01</v>
      </c>
      <c r="Z206" s="267">
        <f t="shared" si="41"/>
        <v>0.01</v>
      </c>
      <c r="AA206" s="267">
        <f t="shared" si="41"/>
        <v>0.01</v>
      </c>
      <c r="AB206" s="267">
        <f t="shared" si="41"/>
        <v>0.01</v>
      </c>
      <c r="AC206" s="267">
        <f t="shared" si="41"/>
        <v>0.01</v>
      </c>
      <c r="AD206" s="267">
        <f t="shared" si="41"/>
        <v>0.01</v>
      </c>
      <c r="AE206" s="267">
        <f t="shared" si="41"/>
        <v>0.01</v>
      </c>
      <c r="AF206" s="267">
        <f t="shared" si="41"/>
        <v>0.01</v>
      </c>
      <c r="AG206" s="266">
        <v>0.01</v>
      </c>
      <c r="AI206" s="188"/>
      <c r="AJ206" s="271" t="s">
        <v>1469</v>
      </c>
    </row>
    <row r="207" spans="1:36" outlineLevel="1">
      <c r="A207" s="295" t="s">
        <v>659</v>
      </c>
      <c r="B207" s="252" t="s">
        <v>126</v>
      </c>
      <c r="C207" s="562">
        <v>0</v>
      </c>
      <c r="D207" s="267">
        <f t="shared" si="40"/>
        <v>0</v>
      </c>
      <c r="E207" s="267">
        <f t="shared" si="40"/>
        <v>0</v>
      </c>
      <c r="F207" s="267">
        <f t="shared" si="40"/>
        <v>0</v>
      </c>
      <c r="G207" s="267">
        <f t="shared" si="40"/>
        <v>0</v>
      </c>
      <c r="H207" s="267">
        <f t="shared" si="40"/>
        <v>0</v>
      </c>
      <c r="I207" s="267">
        <f t="shared" si="40"/>
        <v>0</v>
      </c>
      <c r="J207" s="267">
        <f t="shared" si="40"/>
        <v>0</v>
      </c>
      <c r="K207" s="267">
        <f t="shared" si="40"/>
        <v>0</v>
      </c>
      <c r="L207" s="267">
        <f t="shared" si="40"/>
        <v>0</v>
      </c>
      <c r="M207" s="267">
        <f t="shared" si="40"/>
        <v>0</v>
      </c>
      <c r="N207" s="267">
        <f t="shared" si="40"/>
        <v>0</v>
      </c>
      <c r="O207" s="267">
        <f t="shared" si="40"/>
        <v>0</v>
      </c>
      <c r="P207" s="267">
        <f t="shared" si="40"/>
        <v>0</v>
      </c>
      <c r="Q207" s="267">
        <f t="shared" si="40"/>
        <v>0</v>
      </c>
      <c r="R207" s="267">
        <f t="shared" si="40"/>
        <v>0</v>
      </c>
      <c r="S207" s="267">
        <f t="shared" si="40"/>
        <v>0</v>
      </c>
      <c r="T207" s="267">
        <f t="shared" si="41"/>
        <v>0</v>
      </c>
      <c r="U207" s="267">
        <f t="shared" si="41"/>
        <v>0</v>
      </c>
      <c r="V207" s="267">
        <f t="shared" si="41"/>
        <v>0</v>
      </c>
      <c r="W207" s="267">
        <f t="shared" si="41"/>
        <v>0</v>
      </c>
      <c r="X207" s="267">
        <f t="shared" si="41"/>
        <v>0</v>
      </c>
      <c r="Y207" s="267">
        <f t="shared" si="41"/>
        <v>0</v>
      </c>
      <c r="Z207" s="267">
        <f t="shared" si="41"/>
        <v>0</v>
      </c>
      <c r="AA207" s="267">
        <f t="shared" si="41"/>
        <v>0</v>
      </c>
      <c r="AB207" s="267">
        <f t="shared" si="41"/>
        <v>0</v>
      </c>
      <c r="AC207" s="267">
        <f t="shared" si="41"/>
        <v>0</v>
      </c>
      <c r="AD207" s="267">
        <f t="shared" si="41"/>
        <v>0</v>
      </c>
      <c r="AE207" s="267">
        <f t="shared" si="41"/>
        <v>0</v>
      </c>
      <c r="AF207" s="267">
        <f t="shared" si="41"/>
        <v>0</v>
      </c>
      <c r="AG207" s="562">
        <v>0</v>
      </c>
      <c r="AI207" s="246"/>
      <c r="AJ207" t="s">
        <v>1470</v>
      </c>
    </row>
    <row r="208" spans="1:36" outlineLevel="1">
      <c r="A208" s="295" t="s">
        <v>660</v>
      </c>
      <c r="B208" s="252" t="s">
        <v>126</v>
      </c>
      <c r="C208" s="562">
        <v>0</v>
      </c>
      <c r="D208" s="267">
        <f t="shared" si="40"/>
        <v>0</v>
      </c>
      <c r="E208" s="267">
        <f t="shared" si="40"/>
        <v>0</v>
      </c>
      <c r="F208" s="267">
        <f t="shared" si="40"/>
        <v>0</v>
      </c>
      <c r="G208" s="267">
        <f t="shared" si="40"/>
        <v>0</v>
      </c>
      <c r="H208" s="267">
        <f t="shared" si="40"/>
        <v>0</v>
      </c>
      <c r="I208" s="267">
        <f t="shared" si="40"/>
        <v>0</v>
      </c>
      <c r="J208" s="267">
        <f t="shared" si="40"/>
        <v>0</v>
      </c>
      <c r="K208" s="267">
        <f t="shared" si="40"/>
        <v>0</v>
      </c>
      <c r="L208" s="267">
        <f t="shared" si="40"/>
        <v>0</v>
      </c>
      <c r="M208" s="267">
        <f t="shared" si="40"/>
        <v>0</v>
      </c>
      <c r="N208" s="267">
        <f t="shared" si="40"/>
        <v>0</v>
      </c>
      <c r="O208" s="267">
        <f t="shared" si="40"/>
        <v>0</v>
      </c>
      <c r="P208" s="267">
        <f t="shared" si="40"/>
        <v>0</v>
      </c>
      <c r="Q208" s="267">
        <f t="shared" si="40"/>
        <v>0</v>
      </c>
      <c r="R208" s="267">
        <f t="shared" si="40"/>
        <v>0</v>
      </c>
      <c r="S208" s="267">
        <f t="shared" si="40"/>
        <v>0</v>
      </c>
      <c r="T208" s="267">
        <f t="shared" si="41"/>
        <v>0</v>
      </c>
      <c r="U208" s="267">
        <f t="shared" si="41"/>
        <v>0</v>
      </c>
      <c r="V208" s="267">
        <f t="shared" si="41"/>
        <v>0</v>
      </c>
      <c r="W208" s="267">
        <f t="shared" si="41"/>
        <v>0</v>
      </c>
      <c r="X208" s="267">
        <f t="shared" si="41"/>
        <v>0</v>
      </c>
      <c r="Y208" s="267">
        <f t="shared" si="41"/>
        <v>0</v>
      </c>
      <c r="Z208" s="267">
        <f t="shared" si="41"/>
        <v>0</v>
      </c>
      <c r="AA208" s="267">
        <f t="shared" si="41"/>
        <v>0</v>
      </c>
      <c r="AB208" s="267">
        <f t="shared" si="41"/>
        <v>0</v>
      </c>
      <c r="AC208" s="267">
        <f t="shared" si="41"/>
        <v>0</v>
      </c>
      <c r="AD208" s="267">
        <f t="shared" si="41"/>
        <v>0</v>
      </c>
      <c r="AE208" s="267">
        <f t="shared" si="41"/>
        <v>0</v>
      </c>
      <c r="AF208" s="267">
        <f t="shared" si="41"/>
        <v>0</v>
      </c>
      <c r="AG208" s="562">
        <v>0</v>
      </c>
      <c r="AI208" s="246"/>
      <c r="AJ208" t="s">
        <v>1470</v>
      </c>
    </row>
    <row r="209" spans="1:36" outlineLevel="1">
      <c r="A209" s="295" t="s">
        <v>661</v>
      </c>
      <c r="B209" s="252" t="s">
        <v>126</v>
      </c>
      <c r="C209" s="562">
        <v>1.4999999999999999E-2</v>
      </c>
      <c r="D209" s="267">
        <f t="shared" si="40"/>
        <v>1.4733333333333333E-2</v>
      </c>
      <c r="E209" s="267">
        <f t="shared" si="40"/>
        <v>1.4466666666666666E-2</v>
      </c>
      <c r="F209" s="267">
        <f t="shared" si="40"/>
        <v>1.4199999999999999E-2</v>
      </c>
      <c r="G209" s="267">
        <f t="shared" si="40"/>
        <v>1.3933333333333332E-2</v>
      </c>
      <c r="H209" s="267">
        <f t="shared" si="40"/>
        <v>1.3666666666666666E-2</v>
      </c>
      <c r="I209" s="267">
        <f t="shared" si="40"/>
        <v>1.3399999999999999E-2</v>
      </c>
      <c r="J209" s="267">
        <f t="shared" si="40"/>
        <v>1.3133333333333332E-2</v>
      </c>
      <c r="K209" s="267">
        <f t="shared" si="40"/>
        <v>1.2866666666666665E-2</v>
      </c>
      <c r="L209" s="267">
        <f t="shared" si="40"/>
        <v>1.2599999999999998E-2</v>
      </c>
      <c r="M209" s="267">
        <f t="shared" si="40"/>
        <v>1.2333333333333332E-2</v>
      </c>
      <c r="N209" s="267">
        <f t="shared" si="40"/>
        <v>1.2066666666666665E-2</v>
      </c>
      <c r="O209" s="267">
        <f t="shared" si="40"/>
        <v>1.1799999999999998E-2</v>
      </c>
      <c r="P209" s="267">
        <f t="shared" si="40"/>
        <v>1.1533333333333331E-2</v>
      </c>
      <c r="Q209" s="267">
        <f t="shared" si="40"/>
        <v>1.1266666666666664E-2</v>
      </c>
      <c r="R209" s="267">
        <f t="shared" si="40"/>
        <v>1.0999999999999998E-2</v>
      </c>
      <c r="S209" s="267">
        <f t="shared" ref="S209:AF209" si="43">-($C209-$AG209)/30+R209</f>
        <v>1.0733333333333331E-2</v>
      </c>
      <c r="T209" s="267">
        <f t="shared" si="43"/>
        <v>1.0466666666666664E-2</v>
      </c>
      <c r="U209" s="267">
        <f t="shared" si="43"/>
        <v>1.0199999999999997E-2</v>
      </c>
      <c r="V209" s="267">
        <f t="shared" si="43"/>
        <v>9.9333333333333305E-3</v>
      </c>
      <c r="W209" s="267">
        <f t="shared" si="43"/>
        <v>9.6666666666666637E-3</v>
      </c>
      <c r="X209" s="267">
        <f t="shared" si="43"/>
        <v>9.3999999999999969E-3</v>
      </c>
      <c r="Y209" s="267">
        <f t="shared" si="43"/>
        <v>9.1333333333333301E-3</v>
      </c>
      <c r="Z209" s="267">
        <f t="shared" si="43"/>
        <v>8.8666666666666633E-3</v>
      </c>
      <c r="AA209" s="267">
        <f t="shared" si="43"/>
        <v>8.5999999999999965E-3</v>
      </c>
      <c r="AB209" s="267">
        <f t="shared" si="43"/>
        <v>8.3333333333333297E-3</v>
      </c>
      <c r="AC209" s="267">
        <f t="shared" si="43"/>
        <v>8.066666666666663E-3</v>
      </c>
      <c r="AD209" s="267">
        <f t="shared" si="43"/>
        <v>7.7999999999999962E-3</v>
      </c>
      <c r="AE209" s="267">
        <f t="shared" si="43"/>
        <v>7.5333333333333294E-3</v>
      </c>
      <c r="AF209" s="267">
        <f t="shared" si="43"/>
        <v>7.2666666666666626E-3</v>
      </c>
      <c r="AG209" s="562">
        <v>7.0000000000000001E-3</v>
      </c>
      <c r="AI209" s="246"/>
      <c r="AJ209" t="s">
        <v>1470</v>
      </c>
    </row>
    <row r="210" spans="1:36" s="62" customFormat="1" outlineLevel="1">
      <c r="A210" s="296" t="s">
        <v>662</v>
      </c>
      <c r="B210" s="262" t="s">
        <v>126</v>
      </c>
      <c r="C210" s="564">
        <v>5.0000000000000001E-3</v>
      </c>
      <c r="D210" s="289">
        <f t="shared" ref="D210:AF210" si="44">-($C210-$AG210)/30+C210</f>
        <v>4.9333333333333338E-3</v>
      </c>
      <c r="E210" s="289">
        <f t="shared" si="44"/>
        <v>4.8666666666666676E-3</v>
      </c>
      <c r="F210" s="289">
        <f t="shared" si="44"/>
        <v>4.8000000000000013E-3</v>
      </c>
      <c r="G210" s="289">
        <f t="shared" si="44"/>
        <v>4.7333333333333351E-3</v>
      </c>
      <c r="H210" s="289">
        <f t="shared" si="44"/>
        <v>4.6666666666666688E-3</v>
      </c>
      <c r="I210" s="289">
        <f t="shared" si="44"/>
        <v>4.6000000000000025E-3</v>
      </c>
      <c r="J210" s="289">
        <f t="shared" si="44"/>
        <v>4.5333333333333363E-3</v>
      </c>
      <c r="K210" s="289">
        <f t="shared" si="44"/>
        <v>4.46666666666667E-3</v>
      </c>
      <c r="L210" s="289">
        <f t="shared" si="44"/>
        <v>4.4000000000000037E-3</v>
      </c>
      <c r="M210" s="289">
        <f t="shared" si="44"/>
        <v>4.3333333333333375E-3</v>
      </c>
      <c r="N210" s="289">
        <f t="shared" si="44"/>
        <v>4.2666666666666712E-3</v>
      </c>
      <c r="O210" s="289">
        <f t="shared" si="44"/>
        <v>4.2000000000000049E-3</v>
      </c>
      <c r="P210" s="289">
        <f t="shared" si="44"/>
        <v>4.1333333333333387E-3</v>
      </c>
      <c r="Q210" s="289">
        <f t="shared" si="44"/>
        <v>4.0666666666666724E-3</v>
      </c>
      <c r="R210" s="289">
        <f t="shared" si="44"/>
        <v>4.0000000000000062E-3</v>
      </c>
      <c r="S210" s="289">
        <f t="shared" si="44"/>
        <v>3.9333333333333399E-3</v>
      </c>
      <c r="T210" s="289">
        <f t="shared" si="44"/>
        <v>3.8666666666666732E-3</v>
      </c>
      <c r="U210" s="289">
        <f t="shared" si="44"/>
        <v>3.8000000000000065E-3</v>
      </c>
      <c r="V210" s="289">
        <f t="shared" si="44"/>
        <v>3.7333333333333398E-3</v>
      </c>
      <c r="W210" s="289">
        <f t="shared" si="44"/>
        <v>3.6666666666666731E-3</v>
      </c>
      <c r="X210" s="289">
        <f t="shared" si="44"/>
        <v>3.6000000000000064E-3</v>
      </c>
      <c r="Y210" s="289">
        <f t="shared" si="44"/>
        <v>3.5333333333333397E-3</v>
      </c>
      <c r="Z210" s="289">
        <f t="shared" si="44"/>
        <v>3.466666666666673E-3</v>
      </c>
      <c r="AA210" s="289">
        <f t="shared" si="44"/>
        <v>3.4000000000000063E-3</v>
      </c>
      <c r="AB210" s="289">
        <f t="shared" si="44"/>
        <v>3.3333333333333396E-3</v>
      </c>
      <c r="AC210" s="289">
        <f t="shared" si="44"/>
        <v>3.2666666666666729E-3</v>
      </c>
      <c r="AD210" s="289">
        <f t="shared" si="44"/>
        <v>3.2000000000000062E-3</v>
      </c>
      <c r="AE210" s="289">
        <f t="shared" si="44"/>
        <v>3.1333333333333395E-3</v>
      </c>
      <c r="AF210" s="289">
        <f t="shared" si="44"/>
        <v>3.0666666666666728E-3</v>
      </c>
      <c r="AG210" s="564">
        <v>3.0000000000000001E-3</v>
      </c>
      <c r="AI210" s="264"/>
      <c r="AJ210" t="s">
        <v>1470</v>
      </c>
    </row>
    <row r="211" spans="1:36" s="54" customFormat="1" outlineLevel="1">
      <c r="A211" s="54" t="s">
        <v>626</v>
      </c>
      <c r="B211" s="253"/>
      <c r="C211" s="545">
        <f>C29</f>
        <v>3024677.5902107381</v>
      </c>
      <c r="D211" s="545">
        <f t="shared" ref="D211:AG211" si="45">D29</f>
        <v>3018000.3881462808</v>
      </c>
      <c r="E211" s="545">
        <f t="shared" si="45"/>
        <v>3011337.9265049212</v>
      </c>
      <c r="F211" s="545">
        <f t="shared" si="45"/>
        <v>3004690.1727460716</v>
      </c>
      <c r="G211" s="545">
        <f t="shared" si="45"/>
        <v>2998057.0944009796</v>
      </c>
      <c r="H211" s="545">
        <f t="shared" si="45"/>
        <v>2991438.6590725724</v>
      </c>
      <c r="I211" s="545">
        <f t="shared" si="45"/>
        <v>2984834.8344352953</v>
      </c>
      <c r="J211" s="545">
        <f t="shared" si="45"/>
        <v>2978245.5882349545</v>
      </c>
      <c r="K211" s="545">
        <f t="shared" si="45"/>
        <v>2971670.8882885589</v>
      </c>
      <c r="L211" s="545">
        <f t="shared" si="45"/>
        <v>2965110.7024841662</v>
      </c>
      <c r="M211" s="545">
        <f t="shared" si="45"/>
        <v>2958564.9987807218</v>
      </c>
      <c r="N211" s="545">
        <f t="shared" si="45"/>
        <v>2952033.7452079039</v>
      </c>
      <c r="O211" s="545">
        <f t="shared" si="45"/>
        <v>2945516.9098659679</v>
      </c>
      <c r="P211" s="545">
        <f t="shared" si="45"/>
        <v>2939014.4609255912</v>
      </c>
      <c r="Q211" s="545">
        <f t="shared" si="45"/>
        <v>2932526.3666277155</v>
      </c>
      <c r="R211" s="545">
        <f t="shared" si="45"/>
        <v>2926052.5952833937</v>
      </c>
      <c r="S211" s="545">
        <f t="shared" si="45"/>
        <v>2919593.115273634</v>
      </c>
      <c r="T211" s="545">
        <f t="shared" si="45"/>
        <v>2913147.895049247</v>
      </c>
      <c r="U211" s="545">
        <f t="shared" si="45"/>
        <v>2906716.9031306887</v>
      </c>
      <c r="V211" s="545">
        <f t="shared" si="45"/>
        <v>2900300.1081079105</v>
      </c>
      <c r="W211" s="545">
        <f t="shared" si="45"/>
        <v>2893897.478640202</v>
      </c>
      <c r="X211" s="545">
        <f t="shared" si="45"/>
        <v>2887508.9834560407</v>
      </c>
      <c r="Y211" s="545">
        <f t="shared" si="45"/>
        <v>2881134.5913529391</v>
      </c>
      <c r="Z211" s="545">
        <f t="shared" si="45"/>
        <v>2874774.2711972892</v>
      </c>
      <c r="AA211" s="545">
        <f t="shared" si="45"/>
        <v>2868427.991924216</v>
      </c>
      <c r="AB211" s="545">
        <f t="shared" si="45"/>
        <v>2862095.7225374198</v>
      </c>
      <c r="AC211" s="545">
        <f t="shared" si="45"/>
        <v>2855777.432109029</v>
      </c>
      <c r="AD211" s="545">
        <f t="shared" si="45"/>
        <v>2849473.0897794459</v>
      </c>
      <c r="AE211" s="545">
        <f t="shared" si="45"/>
        <v>2843182.6647572005</v>
      </c>
      <c r="AF211" s="545">
        <f t="shared" si="45"/>
        <v>2836906.1263187942</v>
      </c>
      <c r="AG211" s="545">
        <f t="shared" si="45"/>
        <v>2830643.4438085551</v>
      </c>
      <c r="AI211" s="255"/>
      <c r="AJ211" s="256"/>
    </row>
    <row r="212" spans="1:36" s="54" customFormat="1" outlineLevel="1">
      <c r="A212" s="257" t="s">
        <v>178</v>
      </c>
      <c r="B212" s="258" t="s">
        <v>127</v>
      </c>
      <c r="C212" s="548">
        <v>0</v>
      </c>
      <c r="D212" s="548">
        <v>0</v>
      </c>
      <c r="E212" s="548">
        <v>0</v>
      </c>
      <c r="F212" s="548">
        <v>0</v>
      </c>
      <c r="G212" s="548">
        <v>0</v>
      </c>
      <c r="H212" s="548">
        <v>0</v>
      </c>
      <c r="I212" s="548">
        <v>0</v>
      </c>
      <c r="J212" s="548">
        <v>0</v>
      </c>
      <c r="K212" s="548">
        <v>0</v>
      </c>
      <c r="L212" s="548">
        <v>0</v>
      </c>
      <c r="M212" s="548">
        <v>0</v>
      </c>
      <c r="N212" s="548">
        <v>0</v>
      </c>
      <c r="O212" s="548">
        <v>0</v>
      </c>
      <c r="P212" s="548">
        <v>0</v>
      </c>
      <c r="Q212" s="548">
        <v>0</v>
      </c>
      <c r="R212" s="548">
        <v>0</v>
      </c>
      <c r="S212" s="548">
        <v>0</v>
      </c>
      <c r="T212" s="548">
        <v>0</v>
      </c>
      <c r="U212" s="548">
        <v>0</v>
      </c>
      <c r="V212" s="548">
        <v>0</v>
      </c>
      <c r="W212" s="548">
        <v>0</v>
      </c>
      <c r="X212" s="548">
        <v>0</v>
      </c>
      <c r="Y212" s="548">
        <v>0</v>
      </c>
      <c r="Z212" s="548">
        <v>0</v>
      </c>
      <c r="AA212" s="548">
        <v>0</v>
      </c>
      <c r="AB212" s="548">
        <v>0</v>
      </c>
      <c r="AC212" s="548">
        <v>0</v>
      </c>
      <c r="AD212" s="548">
        <v>0</v>
      </c>
      <c r="AE212" s="548">
        <v>0</v>
      </c>
      <c r="AF212" s="548">
        <v>0</v>
      </c>
      <c r="AG212" s="548">
        <v>0</v>
      </c>
      <c r="AI212" s="255"/>
      <c r="AJ212" s="256"/>
    </row>
    <row r="213" spans="1:36" outlineLevel="1">
      <c r="A213" s="260" t="s">
        <v>619</v>
      </c>
      <c r="B213" s="252" t="s">
        <v>127</v>
      </c>
      <c r="C213" s="547">
        <f>C180</f>
        <v>518007.61068966892</v>
      </c>
      <c r="D213" s="547">
        <f t="shared" ref="D213:AG213" si="46">D180</f>
        <v>526658.33778818639</v>
      </c>
      <c r="E213" s="547">
        <f t="shared" si="46"/>
        <v>535453.53202924901</v>
      </c>
      <c r="F213" s="547">
        <f t="shared" si="46"/>
        <v>544395.60601413739</v>
      </c>
      <c r="G213" s="547">
        <f t="shared" si="46"/>
        <v>553487.0126345735</v>
      </c>
      <c r="H213" s="547">
        <f t="shared" si="46"/>
        <v>562730.24574557086</v>
      </c>
      <c r="I213" s="547">
        <f t="shared" si="46"/>
        <v>572127.84084952192</v>
      </c>
      <c r="J213" s="547">
        <f t="shared" si="46"/>
        <v>581682.37579170894</v>
      </c>
      <c r="K213" s="547">
        <f t="shared" si="46"/>
        <v>591396.47146743047</v>
      </c>
      <c r="L213" s="547">
        <f t="shared" si="46"/>
        <v>601272.7925409365</v>
      </c>
      <c r="M213" s="547">
        <f t="shared" si="46"/>
        <v>611314.0481763701</v>
      </c>
      <c r="N213" s="547">
        <f t="shared" si="46"/>
        <v>621522.99278091546</v>
      </c>
      <c r="O213" s="547">
        <f t="shared" si="46"/>
        <v>631902.42676035676</v>
      </c>
      <c r="P213" s="547">
        <f t="shared" si="46"/>
        <v>642455.19728725462</v>
      </c>
      <c r="Q213" s="547">
        <f t="shared" si="46"/>
        <v>653184.19908195175</v>
      </c>
      <c r="R213" s="547">
        <f t="shared" si="46"/>
        <v>664092.37520662032</v>
      </c>
      <c r="S213" s="547">
        <f t="shared" si="46"/>
        <v>675182.71787257085</v>
      </c>
      <c r="T213" s="547">
        <f t="shared" si="46"/>
        <v>686458.2692610427</v>
      </c>
      <c r="U213" s="547">
        <f t="shared" si="46"/>
        <v>697922.12235770212</v>
      </c>
      <c r="V213" s="547">
        <f t="shared" si="46"/>
        <v>709577.42180107569</v>
      </c>
      <c r="W213" s="547">
        <f t="shared" si="46"/>
        <v>721427.36474515358</v>
      </c>
      <c r="X213" s="547">
        <f t="shared" si="46"/>
        <v>733475.20173639758</v>
      </c>
      <c r="Y213" s="547">
        <f t="shared" si="46"/>
        <v>745724.23760539538</v>
      </c>
      <c r="Z213" s="547">
        <f t="shared" si="46"/>
        <v>758177.83237340546</v>
      </c>
      <c r="AA213" s="547">
        <f t="shared" si="46"/>
        <v>770839.40217404126</v>
      </c>
      <c r="AB213" s="547">
        <f t="shared" si="46"/>
        <v>783712.42019034771</v>
      </c>
      <c r="AC213" s="547">
        <f t="shared" si="46"/>
        <v>796800.41760752641</v>
      </c>
      <c r="AD213" s="547">
        <f t="shared" si="46"/>
        <v>810106.984581572</v>
      </c>
      <c r="AE213" s="547">
        <f t="shared" si="46"/>
        <v>823635.77122408419</v>
      </c>
      <c r="AF213" s="547">
        <f t="shared" si="46"/>
        <v>837390.48860352638</v>
      </c>
      <c r="AG213" s="547">
        <f t="shared" si="46"/>
        <v>851374.90976320521</v>
      </c>
      <c r="AI213" s="246"/>
    </row>
    <row r="214" spans="1:36" s="62" customFormat="1" outlineLevel="1">
      <c r="A214" s="261" t="s">
        <v>628</v>
      </c>
      <c r="B214" s="262" t="s">
        <v>127</v>
      </c>
      <c r="C214" s="549">
        <f>C211-C212-C213</f>
        <v>2506669.9795210692</v>
      </c>
      <c r="D214" s="549">
        <f t="shared" ref="D214:AG214" si="47">D211-D212-D213</f>
        <v>2491342.0503580943</v>
      </c>
      <c r="E214" s="549">
        <f t="shared" si="47"/>
        <v>2475884.3944756724</v>
      </c>
      <c r="F214" s="549">
        <f t="shared" si="47"/>
        <v>2460294.5667319344</v>
      </c>
      <c r="G214" s="549">
        <f t="shared" si="47"/>
        <v>2444570.0817664061</v>
      </c>
      <c r="H214" s="549">
        <f t="shared" si="47"/>
        <v>2428708.4133270015</v>
      </c>
      <c r="I214" s="549">
        <f t="shared" si="47"/>
        <v>2412706.9935857733</v>
      </c>
      <c r="J214" s="549">
        <f t="shared" si="47"/>
        <v>2396563.2124432456</v>
      </c>
      <c r="K214" s="549">
        <f t="shared" si="47"/>
        <v>2380274.4168211287</v>
      </c>
      <c r="L214" s="549">
        <f t="shared" si="47"/>
        <v>2363837.9099432295</v>
      </c>
      <c r="M214" s="549">
        <f t="shared" si="47"/>
        <v>2347250.9506043517</v>
      </c>
      <c r="N214" s="549">
        <f t="shared" si="47"/>
        <v>2330510.7524269884</v>
      </c>
      <c r="O214" s="549">
        <f t="shared" si="47"/>
        <v>2313614.4831056111</v>
      </c>
      <c r="P214" s="549">
        <f t="shared" si="47"/>
        <v>2296559.2636383367</v>
      </c>
      <c r="Q214" s="549">
        <f t="shared" si="47"/>
        <v>2279342.1675457638</v>
      </c>
      <c r="R214" s="549">
        <f t="shared" si="47"/>
        <v>2261960.2200767733</v>
      </c>
      <c r="S214" s="549">
        <f t="shared" si="47"/>
        <v>2244410.3974010632</v>
      </c>
      <c r="T214" s="549">
        <f t="shared" si="47"/>
        <v>2226689.6257882044</v>
      </c>
      <c r="U214" s="549">
        <f t="shared" si="47"/>
        <v>2208794.7807729868</v>
      </c>
      <c r="V214" s="549">
        <f t="shared" si="47"/>
        <v>2190722.6863068347</v>
      </c>
      <c r="W214" s="549">
        <f t="shared" si="47"/>
        <v>2172470.1138950484</v>
      </c>
      <c r="X214" s="549">
        <f t="shared" si="47"/>
        <v>2154033.7817196432</v>
      </c>
      <c r="Y214" s="549">
        <f t="shared" si="47"/>
        <v>2135410.3537475439</v>
      </c>
      <c r="Z214" s="549">
        <f t="shared" si="47"/>
        <v>2116596.4388238839</v>
      </c>
      <c r="AA214" s="549">
        <f t="shared" si="47"/>
        <v>2097588.5897501749</v>
      </c>
      <c r="AB214" s="549">
        <f t="shared" si="47"/>
        <v>2078383.3023470719</v>
      </c>
      <c r="AC214" s="549">
        <f t="shared" si="47"/>
        <v>2058977.0145015027</v>
      </c>
      <c r="AD214" s="549">
        <f t="shared" si="47"/>
        <v>2039366.1051978739</v>
      </c>
      <c r="AE214" s="549">
        <f t="shared" si="47"/>
        <v>2019546.8935331162</v>
      </c>
      <c r="AF214" s="549">
        <f t="shared" si="47"/>
        <v>1999515.6377152679</v>
      </c>
      <c r="AG214" s="549">
        <f t="shared" si="47"/>
        <v>1979268.5340453498</v>
      </c>
      <c r="AI214" s="264"/>
      <c r="AJ214" s="265"/>
    </row>
    <row r="215" spans="1:36" outlineLevel="1">
      <c r="A215" s="104" t="s">
        <v>621</v>
      </c>
      <c r="B215" s="252" t="s">
        <v>127</v>
      </c>
      <c r="C215" s="120">
        <f>C184*C$214</f>
        <v>2431469.880135437</v>
      </c>
      <c r="D215" s="120">
        <f t="shared" ref="D215:AG215" si="48">D184*D$214</f>
        <v>2417432.2361974707</v>
      </c>
      <c r="E215" s="120">
        <f t="shared" si="48"/>
        <v>2403258.4522377192</v>
      </c>
      <c r="F215" s="120">
        <f t="shared" si="48"/>
        <v>2388946.0242967079</v>
      </c>
      <c r="G215" s="120">
        <f t="shared" si="48"/>
        <v>2374492.4060891019</v>
      </c>
      <c r="H215" s="120">
        <f t="shared" si="48"/>
        <v>2359895.0082827359</v>
      </c>
      <c r="I215" s="120">
        <f t="shared" si="48"/>
        <v>2345151.1977653708</v>
      </c>
      <c r="J215" s="120">
        <f t="shared" si="48"/>
        <v>2330258.2968989816</v>
      </c>
      <c r="K215" s="120">
        <f t="shared" si="48"/>
        <v>2315213.5827613506</v>
      </c>
      <c r="L215" s="120">
        <f t="shared" si="48"/>
        <v>2300014.2863747613</v>
      </c>
      <c r="M215" s="120">
        <f t="shared" si="48"/>
        <v>2284657.5919215679</v>
      </c>
      <c r="N215" s="120">
        <f t="shared" si="48"/>
        <v>2269140.6359464102</v>
      </c>
      <c r="O215" s="120">
        <f t="shared" si="48"/>
        <v>2253460.5065448643</v>
      </c>
      <c r="P215" s="120">
        <f t="shared" si="48"/>
        <v>2237614.242538285</v>
      </c>
      <c r="Q215" s="120">
        <f t="shared" si="48"/>
        <v>2221598.8326346031</v>
      </c>
      <c r="R215" s="120">
        <f t="shared" si="48"/>
        <v>2205411.2145748525</v>
      </c>
      <c r="S215" s="120">
        <f t="shared" si="48"/>
        <v>2189048.2742651692</v>
      </c>
      <c r="T215" s="120">
        <f t="shared" si="48"/>
        <v>2172506.8448940231</v>
      </c>
      <c r="U215" s="120">
        <f t="shared" si="48"/>
        <v>2155783.7060344336</v>
      </c>
      <c r="V215" s="120">
        <f t="shared" si="48"/>
        <v>2138875.5827309047</v>
      </c>
      <c r="W215" s="120">
        <f t="shared" si="48"/>
        <v>2121779.1445708289</v>
      </c>
      <c r="X215" s="120">
        <f t="shared" si="48"/>
        <v>2104491.0047400896</v>
      </c>
      <c r="Y215" s="120">
        <f t="shared" si="48"/>
        <v>2087007.7190625977</v>
      </c>
      <c r="Z215" s="120">
        <f t="shared" si="48"/>
        <v>2069325.7850234821</v>
      </c>
      <c r="AA215" s="120">
        <f t="shared" si="48"/>
        <v>2051441.6407756691</v>
      </c>
      <c r="AB215" s="120">
        <f t="shared" si="48"/>
        <v>2033351.6641295501</v>
      </c>
      <c r="AC215" s="120">
        <f t="shared" si="48"/>
        <v>2015052.1715254686</v>
      </c>
      <c r="AD215" s="120">
        <f t="shared" si="48"/>
        <v>1996539.4169887165</v>
      </c>
      <c r="AE215" s="120">
        <f t="shared" si="48"/>
        <v>1977809.591066763</v>
      </c>
      <c r="AF215" s="120">
        <f t="shared" si="48"/>
        <v>1958858.8197483886</v>
      </c>
      <c r="AG215" s="120">
        <f t="shared" si="48"/>
        <v>1939683.1633644428</v>
      </c>
      <c r="AI215" s="188"/>
    </row>
    <row r="216" spans="1:36" outlineLevel="1">
      <c r="A216" s="104" t="s">
        <v>620</v>
      </c>
      <c r="B216" s="252" t="s">
        <v>127</v>
      </c>
      <c r="C216" s="120">
        <f t="shared" ref="C216:AG216" si="49">C185*C$214</f>
        <v>25066.699795210694</v>
      </c>
      <c r="D216" s="120">
        <f t="shared" si="49"/>
        <v>24913.420503580943</v>
      </c>
      <c r="E216" s="120">
        <f t="shared" si="49"/>
        <v>24758.843944756725</v>
      </c>
      <c r="F216" s="120">
        <f t="shared" si="49"/>
        <v>24602.945667319345</v>
      </c>
      <c r="G216" s="120">
        <f t="shared" si="49"/>
        <v>24445.700817664063</v>
      </c>
      <c r="H216" s="120">
        <f t="shared" si="49"/>
        <v>24287.084133270015</v>
      </c>
      <c r="I216" s="120">
        <f t="shared" si="49"/>
        <v>24127.069935857733</v>
      </c>
      <c r="J216" s="120">
        <f t="shared" si="49"/>
        <v>23965.632124432457</v>
      </c>
      <c r="K216" s="120">
        <f t="shared" si="49"/>
        <v>23802.744168211288</v>
      </c>
      <c r="L216" s="120">
        <f t="shared" si="49"/>
        <v>23638.379099432295</v>
      </c>
      <c r="M216" s="120">
        <f t="shared" si="49"/>
        <v>23472.509506043516</v>
      </c>
      <c r="N216" s="120">
        <f t="shared" si="49"/>
        <v>23305.107524269886</v>
      </c>
      <c r="O216" s="120">
        <f t="shared" si="49"/>
        <v>23136.14483105611</v>
      </c>
      <c r="P216" s="120">
        <f t="shared" si="49"/>
        <v>22965.592636383368</v>
      </c>
      <c r="Q216" s="120">
        <f t="shared" si="49"/>
        <v>22793.421675457637</v>
      </c>
      <c r="R216" s="120">
        <f t="shared" si="49"/>
        <v>22619.602200767735</v>
      </c>
      <c r="S216" s="120">
        <f t="shared" si="49"/>
        <v>22444.103974010632</v>
      </c>
      <c r="T216" s="120">
        <f t="shared" si="49"/>
        <v>22266.896257882043</v>
      </c>
      <c r="U216" s="120">
        <f t="shared" si="49"/>
        <v>22087.94780772987</v>
      </c>
      <c r="V216" s="120">
        <f t="shared" si="49"/>
        <v>21907.226863068347</v>
      </c>
      <c r="W216" s="120">
        <f t="shared" si="49"/>
        <v>21724.701138950484</v>
      </c>
      <c r="X216" s="120">
        <f t="shared" si="49"/>
        <v>21540.337817196432</v>
      </c>
      <c r="Y216" s="120">
        <f t="shared" si="49"/>
        <v>21354.103537475439</v>
      </c>
      <c r="Z216" s="120">
        <f t="shared" si="49"/>
        <v>21165.964388238841</v>
      </c>
      <c r="AA216" s="120">
        <f t="shared" si="49"/>
        <v>20975.88589750175</v>
      </c>
      <c r="AB216" s="120">
        <f t="shared" si="49"/>
        <v>20783.833023470721</v>
      </c>
      <c r="AC216" s="120">
        <f t="shared" si="49"/>
        <v>20589.770145015027</v>
      </c>
      <c r="AD216" s="120">
        <f t="shared" si="49"/>
        <v>20393.661051978739</v>
      </c>
      <c r="AE216" s="120">
        <f t="shared" si="49"/>
        <v>20195.468935331162</v>
      </c>
      <c r="AF216" s="120">
        <f t="shared" si="49"/>
        <v>19995.156377152682</v>
      </c>
      <c r="AG216" s="120">
        <f t="shared" si="49"/>
        <v>19792.6853404535</v>
      </c>
      <c r="AI216" s="188"/>
    </row>
    <row r="217" spans="1:36" outlineLevel="1">
      <c r="A217" s="104" t="s">
        <v>622</v>
      </c>
      <c r="B217" s="252" t="s">
        <v>127</v>
      </c>
      <c r="C217" s="120">
        <f t="shared" ref="C217:AG217" si="50">C186*C$214</f>
        <v>0</v>
      </c>
      <c r="D217" s="120">
        <f t="shared" si="50"/>
        <v>0</v>
      </c>
      <c r="E217" s="120">
        <f t="shared" si="50"/>
        <v>0</v>
      </c>
      <c r="F217" s="120">
        <f t="shared" si="50"/>
        <v>0</v>
      </c>
      <c r="G217" s="120">
        <f t="shared" si="50"/>
        <v>0</v>
      </c>
      <c r="H217" s="120">
        <f t="shared" si="50"/>
        <v>0</v>
      </c>
      <c r="I217" s="120">
        <f t="shared" si="50"/>
        <v>0</v>
      </c>
      <c r="J217" s="120">
        <f t="shared" si="50"/>
        <v>0</v>
      </c>
      <c r="K217" s="120">
        <f t="shared" si="50"/>
        <v>0</v>
      </c>
      <c r="L217" s="120">
        <f t="shared" si="50"/>
        <v>0</v>
      </c>
      <c r="M217" s="120">
        <f t="shared" si="50"/>
        <v>0</v>
      </c>
      <c r="N217" s="120">
        <f t="shared" si="50"/>
        <v>0</v>
      </c>
      <c r="O217" s="120">
        <f t="shared" si="50"/>
        <v>0</v>
      </c>
      <c r="P217" s="120">
        <f t="shared" si="50"/>
        <v>0</v>
      </c>
      <c r="Q217" s="120">
        <f t="shared" si="50"/>
        <v>0</v>
      </c>
      <c r="R217" s="120">
        <f t="shared" si="50"/>
        <v>0</v>
      </c>
      <c r="S217" s="120">
        <f t="shared" si="50"/>
        <v>0</v>
      </c>
      <c r="T217" s="120">
        <f t="shared" si="50"/>
        <v>0</v>
      </c>
      <c r="U217" s="120">
        <f t="shared" si="50"/>
        <v>0</v>
      </c>
      <c r="V217" s="120">
        <f t="shared" si="50"/>
        <v>0</v>
      </c>
      <c r="W217" s="120">
        <f t="shared" si="50"/>
        <v>0</v>
      </c>
      <c r="X217" s="120">
        <f t="shared" si="50"/>
        <v>0</v>
      </c>
      <c r="Y217" s="120">
        <f t="shared" si="50"/>
        <v>0</v>
      </c>
      <c r="Z217" s="120">
        <f t="shared" si="50"/>
        <v>0</v>
      </c>
      <c r="AA217" s="120">
        <f t="shared" si="50"/>
        <v>0</v>
      </c>
      <c r="AB217" s="120">
        <f t="shared" si="50"/>
        <v>0</v>
      </c>
      <c r="AC217" s="120">
        <f t="shared" si="50"/>
        <v>0</v>
      </c>
      <c r="AD217" s="120">
        <f t="shared" si="50"/>
        <v>0</v>
      </c>
      <c r="AE217" s="120">
        <f t="shared" si="50"/>
        <v>0</v>
      </c>
      <c r="AF217" s="120">
        <f t="shared" si="50"/>
        <v>0</v>
      </c>
      <c r="AG217" s="120">
        <f t="shared" si="50"/>
        <v>0</v>
      </c>
      <c r="AI217" s="188"/>
    </row>
    <row r="218" spans="1:36" outlineLevel="1">
      <c r="A218" s="104" t="s">
        <v>623</v>
      </c>
      <c r="B218" s="252" t="s">
        <v>127</v>
      </c>
      <c r="C218" s="120">
        <f t="shared" ref="C218:AG218" si="51">C187*C$214</f>
        <v>0</v>
      </c>
      <c r="D218" s="120">
        <f t="shared" si="51"/>
        <v>0</v>
      </c>
      <c r="E218" s="120">
        <f t="shared" si="51"/>
        <v>0</v>
      </c>
      <c r="F218" s="120">
        <f t="shared" si="51"/>
        <v>0</v>
      </c>
      <c r="G218" s="120">
        <f t="shared" si="51"/>
        <v>0</v>
      </c>
      <c r="H218" s="120">
        <f t="shared" si="51"/>
        <v>0</v>
      </c>
      <c r="I218" s="120">
        <f t="shared" si="51"/>
        <v>0</v>
      </c>
      <c r="J218" s="120">
        <f t="shared" si="51"/>
        <v>0</v>
      </c>
      <c r="K218" s="120">
        <f t="shared" si="51"/>
        <v>0</v>
      </c>
      <c r="L218" s="120">
        <f t="shared" si="51"/>
        <v>0</v>
      </c>
      <c r="M218" s="120">
        <f t="shared" si="51"/>
        <v>0</v>
      </c>
      <c r="N218" s="120">
        <f t="shared" si="51"/>
        <v>0</v>
      </c>
      <c r="O218" s="120">
        <f t="shared" si="51"/>
        <v>0</v>
      </c>
      <c r="P218" s="120">
        <f t="shared" si="51"/>
        <v>0</v>
      </c>
      <c r="Q218" s="120">
        <f t="shared" si="51"/>
        <v>0</v>
      </c>
      <c r="R218" s="120">
        <f t="shared" si="51"/>
        <v>0</v>
      </c>
      <c r="S218" s="120">
        <f t="shared" si="51"/>
        <v>0</v>
      </c>
      <c r="T218" s="120">
        <f t="shared" si="51"/>
        <v>0</v>
      </c>
      <c r="U218" s="120">
        <f t="shared" si="51"/>
        <v>0</v>
      </c>
      <c r="V218" s="120">
        <f t="shared" si="51"/>
        <v>0</v>
      </c>
      <c r="W218" s="120">
        <f t="shared" si="51"/>
        <v>0</v>
      </c>
      <c r="X218" s="120">
        <f t="shared" si="51"/>
        <v>0</v>
      </c>
      <c r="Y218" s="120">
        <f t="shared" si="51"/>
        <v>0</v>
      </c>
      <c r="Z218" s="120">
        <f t="shared" si="51"/>
        <v>0</v>
      </c>
      <c r="AA218" s="120">
        <f t="shared" si="51"/>
        <v>0</v>
      </c>
      <c r="AB218" s="120">
        <f t="shared" si="51"/>
        <v>0</v>
      </c>
      <c r="AC218" s="120">
        <f t="shared" si="51"/>
        <v>0</v>
      </c>
      <c r="AD218" s="120">
        <f t="shared" si="51"/>
        <v>0</v>
      </c>
      <c r="AE218" s="120">
        <f t="shared" si="51"/>
        <v>0</v>
      </c>
      <c r="AF218" s="120">
        <f t="shared" si="51"/>
        <v>0</v>
      </c>
      <c r="AG218" s="120">
        <f t="shared" si="51"/>
        <v>0</v>
      </c>
      <c r="AI218" s="188"/>
    </row>
    <row r="219" spans="1:36" outlineLevel="1">
      <c r="A219" s="104" t="s">
        <v>624</v>
      </c>
      <c r="B219" s="252" t="s">
        <v>127</v>
      </c>
      <c r="C219" s="120">
        <f t="shared" ref="C219:AG219" si="52">C188*C$214</f>
        <v>37600.049692816036</v>
      </c>
      <c r="D219" s="120">
        <f t="shared" si="52"/>
        <v>36705.772875275921</v>
      </c>
      <c r="E219" s="120">
        <f t="shared" si="52"/>
        <v>35817.794240081392</v>
      </c>
      <c r="F219" s="120">
        <f t="shared" si="52"/>
        <v>34936.182847593467</v>
      </c>
      <c r="G219" s="120">
        <f t="shared" si="52"/>
        <v>34061.009805945258</v>
      </c>
      <c r="H219" s="120">
        <f t="shared" si="52"/>
        <v>33192.348315469018</v>
      </c>
      <c r="I219" s="120">
        <f t="shared" si="52"/>
        <v>32330.273714049359</v>
      </c>
      <c r="J219" s="120">
        <f t="shared" si="52"/>
        <v>31474.863523421289</v>
      </c>
      <c r="K219" s="120">
        <f t="shared" si="52"/>
        <v>30626.197496431851</v>
      </c>
      <c r="L219" s="120">
        <f t="shared" si="52"/>
        <v>29784.35766528469</v>
      </c>
      <c r="M219" s="120">
        <f t="shared" si="52"/>
        <v>28949.428390787001</v>
      </c>
      <c r="N219" s="120">
        <f t="shared" si="52"/>
        <v>28121.496412618988</v>
      </c>
      <c r="O219" s="120">
        <f t="shared" si="52"/>
        <v>27300.650900646207</v>
      </c>
      <c r="P219" s="120">
        <f t="shared" si="52"/>
        <v>26486.983507295477</v>
      </c>
      <c r="Q219" s="120">
        <f t="shared" si="52"/>
        <v>25680.5884210156</v>
      </c>
      <c r="R219" s="120">
        <f t="shared" si="52"/>
        <v>24881.562420844501</v>
      </c>
      <c r="S219" s="120">
        <f t="shared" si="52"/>
        <v>24090.004932104741</v>
      </c>
      <c r="T219" s="120">
        <f t="shared" si="52"/>
        <v>23306.018083249866</v>
      </c>
      <c r="U219" s="120">
        <f t="shared" si="52"/>
        <v>22529.70676388446</v>
      </c>
      <c r="V219" s="120">
        <f t="shared" si="52"/>
        <v>21761.178683981219</v>
      </c>
      <c r="W219" s="120">
        <f t="shared" si="52"/>
        <v>21000.544434318796</v>
      </c>
      <c r="X219" s="120">
        <f t="shared" si="52"/>
        <v>20247.917548164638</v>
      </c>
      <c r="Y219" s="120">
        <f t="shared" si="52"/>
        <v>19503.414564227562</v>
      </c>
      <c r="Z219" s="120">
        <f t="shared" si="52"/>
        <v>18767.155090905097</v>
      </c>
      <c r="AA219" s="120">
        <f t="shared" si="52"/>
        <v>18039.261871851497</v>
      </c>
      <c r="AB219" s="120">
        <f t="shared" si="52"/>
        <v>17319.86085289226</v>
      </c>
      <c r="AC219" s="120">
        <f t="shared" si="52"/>
        <v>16609.081250312116</v>
      </c>
      <c r="AD219" s="120">
        <f t="shared" si="52"/>
        <v>15907.055620543408</v>
      </c>
      <c r="AE219" s="120">
        <f t="shared" si="52"/>
        <v>15213.9199312828</v>
      </c>
      <c r="AF219" s="120">
        <f t="shared" si="52"/>
        <v>14529.813634064272</v>
      </c>
      <c r="AG219" s="120">
        <f t="shared" si="52"/>
        <v>13854.87973831745</v>
      </c>
      <c r="AI219" s="188"/>
    </row>
    <row r="220" spans="1:36" outlineLevel="1">
      <c r="A220" s="104" t="s">
        <v>625</v>
      </c>
      <c r="B220" s="252" t="s">
        <v>127</v>
      </c>
      <c r="C220" s="120">
        <f t="shared" ref="C220:AG220" si="53">C189*C$214</f>
        <v>12533.349897605347</v>
      </c>
      <c r="D220" s="120">
        <f t="shared" si="53"/>
        <v>12290.6207817666</v>
      </c>
      <c r="E220" s="120">
        <f t="shared" si="53"/>
        <v>12049.304053114942</v>
      </c>
      <c r="F220" s="120">
        <f t="shared" si="53"/>
        <v>11809.413920313289</v>
      </c>
      <c r="G220" s="120">
        <f t="shared" si="53"/>
        <v>11570.965053694326</v>
      </c>
      <c r="H220" s="120">
        <f t="shared" si="53"/>
        <v>11333.972595526013</v>
      </c>
      <c r="I220" s="120">
        <f t="shared" si="53"/>
        <v>11098.452170494564</v>
      </c>
      <c r="J220" s="120">
        <f t="shared" si="53"/>
        <v>10864.419896409387</v>
      </c>
      <c r="K220" s="120">
        <f t="shared" si="53"/>
        <v>10631.892395134382</v>
      </c>
      <c r="L220" s="120">
        <f t="shared" si="53"/>
        <v>10400.886803750218</v>
      </c>
      <c r="M220" s="120">
        <f t="shared" si="53"/>
        <v>10171.420785952201</v>
      </c>
      <c r="N220" s="120">
        <f t="shared" si="53"/>
        <v>9943.5125436884955</v>
      </c>
      <c r="O220" s="120">
        <f t="shared" si="53"/>
        <v>9717.1808290435783</v>
      </c>
      <c r="P220" s="120">
        <f t="shared" si="53"/>
        <v>9492.4449563718044</v>
      </c>
      <c r="Q220" s="120">
        <f t="shared" si="53"/>
        <v>9269.3248146861188</v>
      </c>
      <c r="R220" s="120">
        <f t="shared" si="53"/>
        <v>9047.840880307107</v>
      </c>
      <c r="S220" s="120">
        <f t="shared" si="53"/>
        <v>8828.014229777531</v>
      </c>
      <c r="T220" s="120">
        <f t="shared" si="53"/>
        <v>8609.8665530477374</v>
      </c>
      <c r="U220" s="120">
        <f t="shared" si="53"/>
        <v>8393.4201669373651</v>
      </c>
      <c r="V220" s="120">
        <f t="shared" si="53"/>
        <v>8178.6980288788636</v>
      </c>
      <c r="W220" s="120">
        <f t="shared" si="53"/>
        <v>7965.7237509485249</v>
      </c>
      <c r="X220" s="120">
        <f t="shared" si="53"/>
        <v>7754.5216141907295</v>
      </c>
      <c r="Y220" s="120">
        <f t="shared" si="53"/>
        <v>7545.1165832413353</v>
      </c>
      <c r="Z220" s="120">
        <f t="shared" si="53"/>
        <v>7337.5343212561438</v>
      </c>
      <c r="AA220" s="120">
        <f t="shared" si="53"/>
        <v>7131.8012051506075</v>
      </c>
      <c r="AB220" s="120">
        <f t="shared" si="53"/>
        <v>6927.9443411569191</v>
      </c>
      <c r="AC220" s="120">
        <f t="shared" si="53"/>
        <v>6725.9915807049219</v>
      </c>
      <c r="AD220" s="120">
        <f t="shared" si="53"/>
        <v>6525.9715366332093</v>
      </c>
      <c r="AE220" s="120">
        <f t="shared" si="53"/>
        <v>6327.9135997371095</v>
      </c>
      <c r="AF220" s="120">
        <f t="shared" si="53"/>
        <v>6131.8479556601669</v>
      </c>
      <c r="AG220" s="120">
        <f t="shared" si="53"/>
        <v>5937.8056021360499</v>
      </c>
      <c r="AI220" s="188"/>
    </row>
    <row r="221" spans="1:36" s="54" customFormat="1">
      <c r="A221" s="54" t="s">
        <v>627</v>
      </c>
      <c r="B221" s="253"/>
      <c r="C221" s="545">
        <f>C47</f>
        <v>3024677.5902107381</v>
      </c>
      <c r="D221" s="545">
        <f t="shared" ref="D221:AG221" si="54">D47</f>
        <v>2987878.1810046127</v>
      </c>
      <c r="E221" s="545">
        <f t="shared" si="54"/>
        <v>2951226.5062731584</v>
      </c>
      <c r="F221" s="545">
        <f t="shared" si="54"/>
        <v>2914722.0930843083</v>
      </c>
      <c r="G221" s="545">
        <f t="shared" si="54"/>
        <v>2878364.469874098</v>
      </c>
      <c r="H221" s="545">
        <f t="shared" si="54"/>
        <v>2842153.1664429237</v>
      </c>
      <c r="I221" s="545">
        <f t="shared" si="54"/>
        <v>2803044.6340000983</v>
      </c>
      <c r="J221" s="545">
        <f t="shared" si="54"/>
        <v>2764094.9206686085</v>
      </c>
      <c r="K221" s="545">
        <f t="shared" si="54"/>
        <v>2725303.5158293094</v>
      </c>
      <c r="L221" s="545">
        <f t="shared" si="54"/>
        <v>2686669.9103435311</v>
      </c>
      <c r="M221" s="545">
        <f t="shared" si="54"/>
        <v>2648193.5965490276</v>
      </c>
      <c r="N221" s="545">
        <f t="shared" si="54"/>
        <v>2596584.6207684278</v>
      </c>
      <c r="O221" s="545">
        <f t="shared" si="54"/>
        <v>2552655.4585438077</v>
      </c>
      <c r="P221" s="545">
        <f t="shared" si="54"/>
        <v>2502608.389345848</v>
      </c>
      <c r="Q221" s="545">
        <f t="shared" si="54"/>
        <v>2452769.7973108464</v>
      </c>
      <c r="R221" s="545">
        <f t="shared" si="54"/>
        <v>2403139.0062447423</v>
      </c>
      <c r="S221" s="545">
        <f t="shared" si="54"/>
        <v>2354082.497066508</v>
      </c>
      <c r="T221" s="545">
        <f t="shared" si="54"/>
        <v>2305230.8213231517</v>
      </c>
      <c r="U221" s="545">
        <f t="shared" si="54"/>
        <v>2256583.3140767133</v>
      </c>
      <c r="V221" s="545">
        <f t="shared" si="54"/>
        <v>2208139.3123254394</v>
      </c>
      <c r="W221" s="545">
        <f t="shared" si="54"/>
        <v>2159898.1549984734</v>
      </c>
      <c r="X221" s="545">
        <f t="shared" si="54"/>
        <v>2122478.6327701835</v>
      </c>
      <c r="Y221" s="545">
        <f t="shared" si="54"/>
        <v>2085745.1042544148</v>
      </c>
      <c r="Z221" s="545">
        <f t="shared" si="54"/>
        <v>2049102.6692935321</v>
      </c>
      <c r="AA221" s="545">
        <f t="shared" si="54"/>
        <v>2012611.0675440421</v>
      </c>
      <c r="AB221" s="545">
        <f t="shared" si="54"/>
        <v>1976269.8224783605</v>
      </c>
      <c r="AC221" s="545">
        <f t="shared" si="54"/>
        <v>1939849.5931863168</v>
      </c>
      <c r="AD221" s="545">
        <f t="shared" si="54"/>
        <v>1903579.7819702267</v>
      </c>
      <c r="AE221" s="545">
        <f t="shared" si="54"/>
        <v>1867459.9129206599</v>
      </c>
      <c r="AF221" s="545">
        <f t="shared" si="54"/>
        <v>1831489.5114526902</v>
      </c>
      <c r="AG221" s="545">
        <f t="shared" si="54"/>
        <v>1795668.1043025041</v>
      </c>
      <c r="AI221" s="255"/>
      <c r="AJ221" s="256"/>
    </row>
    <row r="222" spans="1:36" s="54" customFormat="1">
      <c r="A222" s="257" t="s">
        <v>178</v>
      </c>
      <c r="B222" s="258" t="s">
        <v>127</v>
      </c>
      <c r="C222" s="548">
        <f>C47-C29</f>
        <v>0</v>
      </c>
      <c r="D222" s="548">
        <f t="shared" ref="D222:AG222" si="55">D47-D29</f>
        <v>-30122.20714166807</v>
      </c>
      <c r="E222" s="548">
        <f t="shared" si="55"/>
        <v>-60111.420231762808</v>
      </c>
      <c r="F222" s="548">
        <f t="shared" si="55"/>
        <v>-89968.079661763273</v>
      </c>
      <c r="G222" s="548">
        <f t="shared" si="55"/>
        <v>-119692.62452688161</v>
      </c>
      <c r="H222" s="548">
        <f t="shared" si="55"/>
        <v>-149285.49262964865</v>
      </c>
      <c r="I222" s="548">
        <f t="shared" si="55"/>
        <v>-181790.20043519698</v>
      </c>
      <c r="J222" s="548">
        <f t="shared" si="55"/>
        <v>-214150.667566346</v>
      </c>
      <c r="K222" s="548">
        <f t="shared" si="55"/>
        <v>-246367.37245924957</v>
      </c>
      <c r="L222" s="548">
        <f t="shared" si="55"/>
        <v>-278440.7921406352</v>
      </c>
      <c r="M222" s="548">
        <f t="shared" si="55"/>
        <v>-310371.4022316942</v>
      </c>
      <c r="N222" s="548">
        <f t="shared" si="55"/>
        <v>-355449.12443947606</v>
      </c>
      <c r="O222" s="548">
        <f t="shared" si="55"/>
        <v>-392861.4513221602</v>
      </c>
      <c r="P222" s="548">
        <f t="shared" si="55"/>
        <v>-436406.07157974318</v>
      </c>
      <c r="Q222" s="548">
        <f t="shared" si="55"/>
        <v>-479756.56931686914</v>
      </c>
      <c r="R222" s="548">
        <f t="shared" si="55"/>
        <v>-522913.58903865144</v>
      </c>
      <c r="S222" s="548">
        <f t="shared" si="55"/>
        <v>-565510.61820712592</v>
      </c>
      <c r="T222" s="548">
        <f t="shared" si="55"/>
        <v>-607917.07372609526</v>
      </c>
      <c r="U222" s="548">
        <f t="shared" si="55"/>
        <v>-650133.58905397542</v>
      </c>
      <c r="V222" s="548">
        <f t="shared" si="55"/>
        <v>-692160.79578247108</v>
      </c>
      <c r="W222" s="548">
        <f t="shared" si="55"/>
        <v>-733999.32364172861</v>
      </c>
      <c r="X222" s="548">
        <f t="shared" si="55"/>
        <v>-765030.35068585724</v>
      </c>
      <c r="Y222" s="548">
        <f t="shared" si="55"/>
        <v>-795389.48709852435</v>
      </c>
      <c r="Z222" s="548">
        <f t="shared" si="55"/>
        <v>-825671.60190375708</v>
      </c>
      <c r="AA222" s="548">
        <f t="shared" si="55"/>
        <v>-855816.92438017391</v>
      </c>
      <c r="AB222" s="548">
        <f t="shared" si="55"/>
        <v>-885825.90005905926</v>
      </c>
      <c r="AC222" s="548">
        <f t="shared" si="55"/>
        <v>-915927.83892271225</v>
      </c>
      <c r="AD222" s="548">
        <f t="shared" si="55"/>
        <v>-945893.30780921923</v>
      </c>
      <c r="AE222" s="548">
        <f t="shared" si="55"/>
        <v>-975722.75183654064</v>
      </c>
      <c r="AF222" s="548">
        <f t="shared" si="55"/>
        <v>-1005416.614866104</v>
      </c>
      <c r="AG222" s="548">
        <f t="shared" si="55"/>
        <v>-1034975.339506051</v>
      </c>
      <c r="AI222" s="255"/>
      <c r="AJ222" s="256"/>
    </row>
    <row r="223" spans="1:36">
      <c r="A223" s="260" t="s">
        <v>619</v>
      </c>
      <c r="B223" s="252" t="s">
        <v>127</v>
      </c>
      <c r="C223" s="547">
        <f>C179</f>
        <v>518007.61068966892</v>
      </c>
      <c r="D223" s="547">
        <f t="shared" ref="D223:AG223" si="56">D179</f>
        <v>553324.6834720429</v>
      </c>
      <c r="E223" s="547">
        <f t="shared" si="56"/>
        <v>587712.70998960582</v>
      </c>
      <c r="F223" s="547">
        <f t="shared" si="56"/>
        <v>621166.32988635916</v>
      </c>
      <c r="G223" s="547">
        <f t="shared" si="56"/>
        <v>653680.2557733421</v>
      </c>
      <c r="H223" s="547">
        <f t="shared" si="56"/>
        <v>685249.2727801922</v>
      </c>
      <c r="I223" s="547">
        <f t="shared" si="56"/>
        <v>714672.88710136956</v>
      </c>
      <c r="J223" s="547">
        <f t="shared" si="56"/>
        <v>742913.78177552391</v>
      </c>
      <c r="K223" s="547">
        <f t="shared" si="56"/>
        <v>769968.4816052902</v>
      </c>
      <c r="L223" s="547">
        <f t="shared" si="56"/>
        <v>795833.57538096257</v>
      </c>
      <c r="M223" s="547">
        <f t="shared" si="56"/>
        <v>820505.71546727663</v>
      </c>
      <c r="N223" s="547">
        <f t="shared" si="56"/>
        <v>825740.76619597245</v>
      </c>
      <c r="O223" s="547">
        <f t="shared" si="56"/>
        <v>832902.90481738013</v>
      </c>
      <c r="P223" s="547">
        <f t="shared" si="56"/>
        <v>836399.99011735339</v>
      </c>
      <c r="Q223" s="547">
        <f t="shared" si="56"/>
        <v>838775.67076213751</v>
      </c>
      <c r="R223" s="547">
        <f t="shared" si="56"/>
        <v>840026.95743696438</v>
      </c>
      <c r="S223" s="547">
        <f t="shared" si="56"/>
        <v>840379.46013060375</v>
      </c>
      <c r="T223" s="547">
        <f t="shared" si="56"/>
        <v>839622.59607833833</v>
      </c>
      <c r="U223" s="547">
        <f t="shared" si="56"/>
        <v>837753.4113092192</v>
      </c>
      <c r="V223" s="547">
        <f t="shared" si="56"/>
        <v>834769.01057859254</v>
      </c>
      <c r="W223" s="547">
        <f t="shared" si="56"/>
        <v>830666.55698001571</v>
      </c>
      <c r="X223" s="547">
        <f t="shared" si="56"/>
        <v>841974.657445597</v>
      </c>
      <c r="Y223" s="547">
        <f t="shared" si="56"/>
        <v>852257.45279209712</v>
      </c>
      <c r="Z223" s="547">
        <f t="shared" si="56"/>
        <v>861133.2791298636</v>
      </c>
      <c r="AA223" s="547">
        <f t="shared" si="56"/>
        <v>868703.16053505149</v>
      </c>
      <c r="AB223" s="547">
        <f t="shared" si="56"/>
        <v>874964.40317646507</v>
      </c>
      <c r="AC223" s="547">
        <f t="shared" si="56"/>
        <v>879679.50360222603</v>
      </c>
      <c r="AD223" s="547">
        <f t="shared" si="56"/>
        <v>883061.97104390827</v>
      </c>
      <c r="AE223" s="547">
        <f t="shared" si="56"/>
        <v>885109.43314529001</v>
      </c>
      <c r="AF223" s="547">
        <f t="shared" si="56"/>
        <v>885819.58039284451</v>
      </c>
      <c r="AG223" s="547">
        <f t="shared" si="56"/>
        <v>885190.16557580873</v>
      </c>
      <c r="AI223" s="246"/>
    </row>
    <row r="224" spans="1:36" s="62" customFormat="1">
      <c r="A224" s="261" t="s">
        <v>628</v>
      </c>
      <c r="B224" s="262" t="s">
        <v>127</v>
      </c>
      <c r="C224" s="549">
        <f>C221+C222+C223</f>
        <v>3542685.200900407</v>
      </c>
      <c r="D224" s="549">
        <f t="shared" ref="D224:AG224" si="57">D221+D222+D223</f>
        <v>3511080.6573349875</v>
      </c>
      <c r="E224" s="549">
        <f t="shared" si="57"/>
        <v>3478827.7960310015</v>
      </c>
      <c r="F224" s="549">
        <f t="shared" si="57"/>
        <v>3445920.3433089042</v>
      </c>
      <c r="G224" s="549">
        <f t="shared" si="57"/>
        <v>3412352.1011205586</v>
      </c>
      <c r="H224" s="549">
        <f t="shared" si="57"/>
        <v>3378116.9465934671</v>
      </c>
      <c r="I224" s="549">
        <f t="shared" si="57"/>
        <v>3335927.3206662708</v>
      </c>
      <c r="J224" s="549">
        <f t="shared" si="57"/>
        <v>3292858.0348777864</v>
      </c>
      <c r="K224" s="549">
        <f t="shared" si="57"/>
        <v>3248904.6249753498</v>
      </c>
      <c r="L224" s="549">
        <f t="shared" si="57"/>
        <v>3204062.6935838582</v>
      </c>
      <c r="M224" s="549">
        <f t="shared" si="57"/>
        <v>3158327.9097846099</v>
      </c>
      <c r="N224" s="549">
        <f t="shared" si="57"/>
        <v>3066876.2625249242</v>
      </c>
      <c r="O224" s="549">
        <f t="shared" si="57"/>
        <v>2992696.9120390275</v>
      </c>
      <c r="P224" s="549">
        <f t="shared" si="57"/>
        <v>2902602.3078834582</v>
      </c>
      <c r="Q224" s="549">
        <f t="shared" si="57"/>
        <v>2811788.8987561148</v>
      </c>
      <c r="R224" s="549">
        <f t="shared" si="57"/>
        <v>2720252.3746430553</v>
      </c>
      <c r="S224" s="549">
        <f t="shared" si="57"/>
        <v>2628951.3389899861</v>
      </c>
      <c r="T224" s="549">
        <f t="shared" si="57"/>
        <v>2536936.3436753945</v>
      </c>
      <c r="U224" s="549">
        <f t="shared" si="57"/>
        <v>2444203.1363319568</v>
      </c>
      <c r="V224" s="549">
        <f t="shared" si="57"/>
        <v>2350747.5271215606</v>
      </c>
      <c r="W224" s="549">
        <f t="shared" si="57"/>
        <v>2256565.3883367605</v>
      </c>
      <c r="X224" s="549">
        <f t="shared" si="57"/>
        <v>2199422.9395299233</v>
      </c>
      <c r="Y224" s="549">
        <f t="shared" si="57"/>
        <v>2142613.0699479878</v>
      </c>
      <c r="Z224" s="549">
        <f t="shared" si="57"/>
        <v>2084564.3465196388</v>
      </c>
      <c r="AA224" s="549">
        <f t="shared" si="57"/>
        <v>2025497.3036989197</v>
      </c>
      <c r="AB224" s="549">
        <f t="shared" si="57"/>
        <v>1965408.3255957663</v>
      </c>
      <c r="AC224" s="549">
        <f t="shared" si="57"/>
        <v>1903601.2578658306</v>
      </c>
      <c r="AD224" s="549">
        <f t="shared" si="57"/>
        <v>1840748.4452049157</v>
      </c>
      <c r="AE224" s="549">
        <f t="shared" si="57"/>
        <v>1776846.5942294092</v>
      </c>
      <c r="AF224" s="549">
        <f t="shared" si="57"/>
        <v>1711892.4769794308</v>
      </c>
      <c r="AG224" s="549">
        <f t="shared" si="57"/>
        <v>1645882.9303722619</v>
      </c>
      <c r="AI224" s="264"/>
      <c r="AJ224" s="265"/>
    </row>
    <row r="225" spans="1:36" s="54" customFormat="1" outlineLevel="1">
      <c r="A225" s="257" t="s">
        <v>656</v>
      </c>
      <c r="B225" s="258" t="s">
        <v>126</v>
      </c>
      <c r="C225" s="548">
        <f>C47*C191</f>
        <v>2964184.0384065234</v>
      </c>
      <c r="D225" s="548">
        <f t="shared" ref="D225:AG225" si="58">D47*D191</f>
        <v>2929116.5767781883</v>
      </c>
      <c r="E225" s="548">
        <f t="shared" si="58"/>
        <v>2894169.4604852102</v>
      </c>
      <c r="F225" s="548">
        <f t="shared" si="58"/>
        <v>2859342.3733157059</v>
      </c>
      <c r="G225" s="548">
        <f t="shared" si="58"/>
        <v>2824634.9997697808</v>
      </c>
      <c r="H225" s="548">
        <f t="shared" si="58"/>
        <v>2790047.0250581363</v>
      </c>
      <c r="I225" s="548">
        <f t="shared" si="58"/>
        <v>2752589.8305880958</v>
      </c>
      <c r="J225" s="548">
        <f t="shared" si="58"/>
        <v>2715262.5770701291</v>
      </c>
      <c r="K225" s="548">
        <f t="shared" si="58"/>
        <v>2678064.9215549338</v>
      </c>
      <c r="L225" s="548">
        <f t="shared" si="58"/>
        <v>2640996.5218676901</v>
      </c>
      <c r="M225" s="548">
        <f t="shared" si="58"/>
        <v>2604057.0366065428</v>
      </c>
      <c r="N225" s="548">
        <f t="shared" si="58"/>
        <v>2554173.7386292089</v>
      </c>
      <c r="O225" s="548">
        <f t="shared" si="58"/>
        <v>2511812.9712071056</v>
      </c>
      <c r="P225" s="548">
        <f t="shared" si="58"/>
        <v>2463400.8579127616</v>
      </c>
      <c r="Q225" s="548">
        <f t="shared" si="58"/>
        <v>2415160.6604187456</v>
      </c>
      <c r="R225" s="548">
        <f t="shared" si="58"/>
        <v>2367091.9211510699</v>
      </c>
      <c r="S225" s="548">
        <f t="shared" si="58"/>
        <v>2319555.953776198</v>
      </c>
      <c r="T225" s="548">
        <f t="shared" si="58"/>
        <v>2272189.1795508517</v>
      </c>
      <c r="U225" s="548">
        <f t="shared" si="58"/>
        <v>2224991.1476796377</v>
      </c>
      <c r="V225" s="548">
        <f t="shared" si="58"/>
        <v>2177961.4083903236</v>
      </c>
      <c r="W225" s="548">
        <f t="shared" si="58"/>
        <v>2131099.5129318256</v>
      </c>
      <c r="X225" s="548">
        <f t="shared" si="58"/>
        <v>2094886.4105441694</v>
      </c>
      <c r="Y225" s="548">
        <f t="shared" si="58"/>
        <v>2059325.6662671906</v>
      </c>
      <c r="Z225" s="548">
        <f t="shared" si="58"/>
        <v>2023830.4030389101</v>
      </c>
      <c r="AA225" s="548">
        <f t="shared" si="58"/>
        <v>1988459.7347335119</v>
      </c>
      <c r="AB225" s="548">
        <f t="shared" si="58"/>
        <v>1953213.3412161111</v>
      </c>
      <c r="AC225" s="548">
        <f t="shared" si="58"/>
        <v>1917864.6311302034</v>
      </c>
      <c r="AD225" s="548">
        <f t="shared" si="58"/>
        <v>1882640.4043685521</v>
      </c>
      <c r="AE225" s="548">
        <f t="shared" si="58"/>
        <v>1847540.340516171</v>
      </c>
      <c r="AF225" s="548">
        <f t="shared" si="58"/>
        <v>1812564.1198343437</v>
      </c>
      <c r="AG225" s="548">
        <f t="shared" si="58"/>
        <v>1777711.423259479</v>
      </c>
      <c r="AI225" s="255"/>
      <c r="AJ225" s="288" t="s">
        <v>629</v>
      </c>
    </row>
    <row r="226" spans="1:36" s="54" customFormat="1" outlineLevel="1">
      <c r="A226" s="257" t="s">
        <v>667</v>
      </c>
      <c r="B226" s="258" t="s">
        <v>126</v>
      </c>
      <c r="C226" s="548">
        <f>C225*C192</f>
        <v>2964184.0384065234</v>
      </c>
      <c r="D226" s="548">
        <f t="shared" ref="D226:AG226" si="59">D225*D192</f>
        <v>2929116.5767781883</v>
      </c>
      <c r="E226" s="548">
        <f t="shared" si="59"/>
        <v>2894169.4604852102</v>
      </c>
      <c r="F226" s="548">
        <f t="shared" si="59"/>
        <v>2859342.3733157059</v>
      </c>
      <c r="G226" s="548">
        <f t="shared" si="59"/>
        <v>2824634.9997697808</v>
      </c>
      <c r="H226" s="548">
        <f t="shared" si="59"/>
        <v>2790047.0250581363</v>
      </c>
      <c r="I226" s="548">
        <f t="shared" si="59"/>
        <v>2752589.8305880958</v>
      </c>
      <c r="J226" s="548">
        <f t="shared" si="59"/>
        <v>2715262.5770701291</v>
      </c>
      <c r="K226" s="548">
        <f t="shared" si="59"/>
        <v>2678064.9215549338</v>
      </c>
      <c r="L226" s="548">
        <f t="shared" si="59"/>
        <v>2640996.5218676901</v>
      </c>
      <c r="M226" s="548">
        <f t="shared" si="59"/>
        <v>2604057.0366065428</v>
      </c>
      <c r="N226" s="548">
        <f t="shared" si="59"/>
        <v>2554173.7386292089</v>
      </c>
      <c r="O226" s="548">
        <f t="shared" si="59"/>
        <v>2511812.9712071056</v>
      </c>
      <c r="P226" s="548">
        <f t="shared" si="59"/>
        <v>2463400.8579127616</v>
      </c>
      <c r="Q226" s="548">
        <f t="shared" si="59"/>
        <v>2415160.6604187456</v>
      </c>
      <c r="R226" s="548">
        <f t="shared" si="59"/>
        <v>2367091.9211510699</v>
      </c>
      <c r="S226" s="548">
        <f t="shared" si="59"/>
        <v>2319555.953776198</v>
      </c>
      <c r="T226" s="548">
        <f t="shared" si="59"/>
        <v>2272189.1795508517</v>
      </c>
      <c r="U226" s="548">
        <f t="shared" si="59"/>
        <v>2224991.1476796377</v>
      </c>
      <c r="V226" s="548">
        <f t="shared" si="59"/>
        <v>2177961.4083903236</v>
      </c>
      <c r="W226" s="548">
        <f t="shared" si="59"/>
        <v>2131099.5129318256</v>
      </c>
      <c r="X226" s="548">
        <f t="shared" si="59"/>
        <v>2094886.4105441694</v>
      </c>
      <c r="Y226" s="548">
        <f t="shared" si="59"/>
        <v>2059325.6662671906</v>
      </c>
      <c r="Z226" s="548">
        <f t="shared" si="59"/>
        <v>2023830.4030389101</v>
      </c>
      <c r="AA226" s="548">
        <f t="shared" si="59"/>
        <v>1988459.7347335119</v>
      </c>
      <c r="AB226" s="548">
        <f t="shared" si="59"/>
        <v>1953213.3412161111</v>
      </c>
      <c r="AC226" s="548">
        <f t="shared" si="59"/>
        <v>1917864.6311302034</v>
      </c>
      <c r="AD226" s="548">
        <f t="shared" si="59"/>
        <v>1882640.4043685521</v>
      </c>
      <c r="AE226" s="548">
        <f t="shared" si="59"/>
        <v>1847540.340516171</v>
      </c>
      <c r="AF226" s="548">
        <f t="shared" si="59"/>
        <v>1812564.1198343437</v>
      </c>
      <c r="AG226" s="548">
        <f t="shared" si="59"/>
        <v>1777711.423259479</v>
      </c>
      <c r="AI226" s="255"/>
      <c r="AJ226" s="288" t="s">
        <v>629</v>
      </c>
    </row>
    <row r="227" spans="1:36" s="58" customFormat="1" outlineLevel="1">
      <c r="A227" s="261" t="s">
        <v>668</v>
      </c>
      <c r="B227" s="262" t="s">
        <v>126</v>
      </c>
      <c r="C227" s="549">
        <f>C225*C193</f>
        <v>0</v>
      </c>
      <c r="D227" s="549">
        <f t="shared" ref="D227:AG227" si="60">D225*D193</f>
        <v>0</v>
      </c>
      <c r="E227" s="549">
        <f t="shared" si="60"/>
        <v>0</v>
      </c>
      <c r="F227" s="549">
        <f t="shared" si="60"/>
        <v>0</v>
      </c>
      <c r="G227" s="549">
        <f t="shared" si="60"/>
        <v>0</v>
      </c>
      <c r="H227" s="549">
        <f t="shared" si="60"/>
        <v>0</v>
      </c>
      <c r="I227" s="549">
        <f t="shared" si="60"/>
        <v>0</v>
      </c>
      <c r="J227" s="549">
        <f t="shared" si="60"/>
        <v>0</v>
      </c>
      <c r="K227" s="549">
        <f t="shared" si="60"/>
        <v>0</v>
      </c>
      <c r="L227" s="549">
        <f t="shared" si="60"/>
        <v>0</v>
      </c>
      <c r="M227" s="549">
        <f t="shared" si="60"/>
        <v>0</v>
      </c>
      <c r="N227" s="549">
        <f t="shared" si="60"/>
        <v>0</v>
      </c>
      <c r="O227" s="549">
        <f t="shared" si="60"/>
        <v>0</v>
      </c>
      <c r="P227" s="549">
        <f t="shared" si="60"/>
        <v>0</v>
      </c>
      <c r="Q227" s="549">
        <f t="shared" si="60"/>
        <v>0</v>
      </c>
      <c r="R227" s="549">
        <f t="shared" si="60"/>
        <v>0</v>
      </c>
      <c r="S227" s="549">
        <f t="shared" si="60"/>
        <v>0</v>
      </c>
      <c r="T227" s="549">
        <f t="shared" si="60"/>
        <v>0</v>
      </c>
      <c r="U227" s="549">
        <f t="shared" si="60"/>
        <v>0</v>
      </c>
      <c r="V227" s="549">
        <f t="shared" si="60"/>
        <v>0</v>
      </c>
      <c r="W227" s="549">
        <f t="shared" si="60"/>
        <v>0</v>
      </c>
      <c r="X227" s="549">
        <f t="shared" si="60"/>
        <v>0</v>
      </c>
      <c r="Y227" s="549">
        <f t="shared" si="60"/>
        <v>0</v>
      </c>
      <c r="Z227" s="549">
        <f t="shared" si="60"/>
        <v>0</v>
      </c>
      <c r="AA227" s="549">
        <f t="shared" si="60"/>
        <v>0</v>
      </c>
      <c r="AB227" s="549">
        <f t="shared" si="60"/>
        <v>0</v>
      </c>
      <c r="AC227" s="549">
        <f t="shared" si="60"/>
        <v>0</v>
      </c>
      <c r="AD227" s="549">
        <f t="shared" si="60"/>
        <v>0</v>
      </c>
      <c r="AE227" s="549">
        <f t="shared" si="60"/>
        <v>0</v>
      </c>
      <c r="AF227" s="549">
        <f t="shared" si="60"/>
        <v>0</v>
      </c>
      <c r="AG227" s="549">
        <f t="shared" si="60"/>
        <v>0</v>
      </c>
      <c r="AI227" s="291"/>
      <c r="AJ227" s="290" t="s">
        <v>629</v>
      </c>
    </row>
    <row r="228" spans="1:36" s="1" customFormat="1" outlineLevel="1">
      <c r="A228" t="s">
        <v>649</v>
      </c>
      <c r="B228" s="252" t="s">
        <v>127</v>
      </c>
      <c r="C228" s="547">
        <f>C194*C225</f>
        <v>2964184.0384065234</v>
      </c>
      <c r="D228" s="547">
        <f t="shared" ref="D228:AG228" si="61">D194*D225</f>
        <v>2929116.5767781883</v>
      </c>
      <c r="E228" s="547">
        <f t="shared" si="61"/>
        <v>2894169.4604852102</v>
      </c>
      <c r="F228" s="547">
        <f t="shared" si="61"/>
        <v>2859342.3733157059</v>
      </c>
      <c r="G228" s="547">
        <f t="shared" si="61"/>
        <v>2824634.9997697808</v>
      </c>
      <c r="H228" s="547">
        <f t="shared" si="61"/>
        <v>2790047.0250581363</v>
      </c>
      <c r="I228" s="547">
        <f t="shared" si="61"/>
        <v>2752589.8305880958</v>
      </c>
      <c r="J228" s="547">
        <f t="shared" si="61"/>
        <v>2715262.5770701291</v>
      </c>
      <c r="K228" s="547">
        <f t="shared" si="61"/>
        <v>2678064.9215549338</v>
      </c>
      <c r="L228" s="547">
        <f t="shared" si="61"/>
        <v>2640996.5218676901</v>
      </c>
      <c r="M228" s="547">
        <f t="shared" si="61"/>
        <v>2604057.0366065428</v>
      </c>
      <c r="N228" s="547">
        <f t="shared" si="61"/>
        <v>2554173.7386292089</v>
      </c>
      <c r="O228" s="547">
        <f t="shared" si="61"/>
        <v>2511812.9712071056</v>
      </c>
      <c r="P228" s="547">
        <f t="shared" si="61"/>
        <v>2463400.8579127616</v>
      </c>
      <c r="Q228" s="547">
        <f t="shared" si="61"/>
        <v>2415160.6604187456</v>
      </c>
      <c r="R228" s="547">
        <f t="shared" si="61"/>
        <v>2367091.9211510699</v>
      </c>
      <c r="S228" s="547">
        <f t="shared" si="61"/>
        <v>2319555.953776198</v>
      </c>
      <c r="T228" s="547">
        <f t="shared" si="61"/>
        <v>2272189.1795508517</v>
      </c>
      <c r="U228" s="547">
        <f t="shared" si="61"/>
        <v>2224991.1476796377</v>
      </c>
      <c r="V228" s="547">
        <f t="shared" si="61"/>
        <v>2177961.4083903236</v>
      </c>
      <c r="W228" s="547">
        <f t="shared" si="61"/>
        <v>2131099.5129318256</v>
      </c>
      <c r="X228" s="547">
        <f t="shared" si="61"/>
        <v>2094886.4105441694</v>
      </c>
      <c r="Y228" s="547">
        <f t="shared" si="61"/>
        <v>2059325.6662671906</v>
      </c>
      <c r="Z228" s="547">
        <f t="shared" si="61"/>
        <v>2023830.4030389101</v>
      </c>
      <c r="AA228" s="547">
        <f t="shared" si="61"/>
        <v>1988459.7347335119</v>
      </c>
      <c r="AB228" s="547">
        <f t="shared" si="61"/>
        <v>1953213.3412161111</v>
      </c>
      <c r="AC228" s="547">
        <f t="shared" si="61"/>
        <v>1917864.6311302034</v>
      </c>
      <c r="AD228" s="547">
        <f t="shared" si="61"/>
        <v>1882640.4043685521</v>
      </c>
      <c r="AE228" s="547">
        <f t="shared" si="61"/>
        <v>1847540.340516171</v>
      </c>
      <c r="AF228" s="547">
        <f t="shared" si="61"/>
        <v>1812564.1198343437</v>
      </c>
      <c r="AG228" s="547">
        <f t="shared" si="61"/>
        <v>1777711.423259479</v>
      </c>
      <c r="AI228" s="266"/>
      <c r="AJ228" s="185" t="s">
        <v>629</v>
      </c>
    </row>
    <row r="229" spans="1:36" s="1" customFormat="1" outlineLevel="1">
      <c r="A229" t="s">
        <v>655</v>
      </c>
      <c r="B229" s="252" t="s">
        <v>127</v>
      </c>
      <c r="C229" s="547">
        <f>C195*C225</f>
        <v>0</v>
      </c>
      <c r="D229" s="547">
        <f t="shared" ref="D229:AG229" si="62">D195*D225</f>
        <v>0</v>
      </c>
      <c r="E229" s="547">
        <f t="shared" si="62"/>
        <v>0</v>
      </c>
      <c r="F229" s="547">
        <f t="shared" si="62"/>
        <v>0</v>
      </c>
      <c r="G229" s="547">
        <f t="shared" si="62"/>
        <v>0</v>
      </c>
      <c r="H229" s="547">
        <f t="shared" si="62"/>
        <v>0</v>
      </c>
      <c r="I229" s="547">
        <f t="shared" si="62"/>
        <v>0</v>
      </c>
      <c r="J229" s="547">
        <f t="shared" si="62"/>
        <v>0</v>
      </c>
      <c r="K229" s="547">
        <f t="shared" si="62"/>
        <v>0</v>
      </c>
      <c r="L229" s="547">
        <f t="shared" si="62"/>
        <v>0</v>
      </c>
      <c r="M229" s="547">
        <f t="shared" si="62"/>
        <v>0</v>
      </c>
      <c r="N229" s="547">
        <f t="shared" si="62"/>
        <v>0</v>
      </c>
      <c r="O229" s="547">
        <f t="shared" si="62"/>
        <v>0</v>
      </c>
      <c r="P229" s="547">
        <f t="shared" si="62"/>
        <v>0</v>
      </c>
      <c r="Q229" s="547">
        <f t="shared" si="62"/>
        <v>0</v>
      </c>
      <c r="R229" s="547">
        <f t="shared" si="62"/>
        <v>0</v>
      </c>
      <c r="S229" s="547">
        <f t="shared" si="62"/>
        <v>0</v>
      </c>
      <c r="T229" s="547">
        <f t="shared" si="62"/>
        <v>0</v>
      </c>
      <c r="U229" s="547">
        <f t="shared" si="62"/>
        <v>0</v>
      </c>
      <c r="V229" s="547">
        <f t="shared" si="62"/>
        <v>0</v>
      </c>
      <c r="W229" s="547">
        <f t="shared" si="62"/>
        <v>0</v>
      </c>
      <c r="X229" s="547">
        <f t="shared" si="62"/>
        <v>0</v>
      </c>
      <c r="Y229" s="547">
        <f t="shared" si="62"/>
        <v>0</v>
      </c>
      <c r="Z229" s="547">
        <f t="shared" si="62"/>
        <v>0</v>
      </c>
      <c r="AA229" s="547">
        <f t="shared" si="62"/>
        <v>0</v>
      </c>
      <c r="AB229" s="547">
        <f t="shared" si="62"/>
        <v>0</v>
      </c>
      <c r="AC229" s="547">
        <f t="shared" si="62"/>
        <v>0</v>
      </c>
      <c r="AD229" s="547">
        <f t="shared" si="62"/>
        <v>0</v>
      </c>
      <c r="AE229" s="547">
        <f t="shared" si="62"/>
        <v>0</v>
      </c>
      <c r="AF229" s="547">
        <f t="shared" si="62"/>
        <v>0</v>
      </c>
      <c r="AG229" s="547">
        <f t="shared" si="62"/>
        <v>0</v>
      </c>
      <c r="AI229" s="266"/>
      <c r="AJ229" s="185" t="s">
        <v>629</v>
      </c>
    </row>
    <row r="230" spans="1:36" s="1" customFormat="1" outlineLevel="1">
      <c r="A230" t="s">
        <v>650</v>
      </c>
      <c r="B230" s="252" t="s">
        <v>127</v>
      </c>
      <c r="C230" s="547">
        <f>C228*C196</f>
        <v>444627.60576097848</v>
      </c>
      <c r="D230" s="547">
        <f t="shared" ref="D230:AG230" si="63">D228*D196</f>
        <v>457918.55816965672</v>
      </c>
      <c r="E230" s="547">
        <f t="shared" si="63"/>
        <v>470784.89890559413</v>
      </c>
      <c r="F230" s="547">
        <f t="shared" si="63"/>
        <v>483228.86109035427</v>
      </c>
      <c r="G230" s="547">
        <f t="shared" si="63"/>
        <v>495252.66995963483</v>
      </c>
      <c r="H230" s="547">
        <f t="shared" si="63"/>
        <v>506858.54288556136</v>
      </c>
      <c r="I230" s="547">
        <f t="shared" si="63"/>
        <v>517486.88815056195</v>
      </c>
      <c r="J230" s="547">
        <f t="shared" si="63"/>
        <v>527666.02747729502</v>
      </c>
      <c r="K230" s="547">
        <f t="shared" si="63"/>
        <v>537398.36092535662</v>
      </c>
      <c r="L230" s="547">
        <f t="shared" si="63"/>
        <v>546686.28002661176</v>
      </c>
      <c r="M230" s="547">
        <f t="shared" si="63"/>
        <v>555532.1678093957</v>
      </c>
      <c r="N230" s="547">
        <f t="shared" si="63"/>
        <v>561066.83125221613</v>
      </c>
      <c r="O230" s="547">
        <f t="shared" si="63"/>
        <v>567669.73149280576</v>
      </c>
      <c r="P230" s="547">
        <f t="shared" si="63"/>
        <v>572330.13265506481</v>
      </c>
      <c r="Q230" s="547">
        <f t="shared" si="63"/>
        <v>576418.34428660711</v>
      </c>
      <c r="R230" s="547">
        <f t="shared" si="63"/>
        <v>579937.52068201196</v>
      </c>
      <c r="S230" s="547">
        <f t="shared" si="63"/>
        <v>582981.72971575102</v>
      </c>
      <c r="T230" s="547">
        <f t="shared" si="63"/>
        <v>585467.41193093604</v>
      </c>
      <c r="U230" s="547">
        <f t="shared" si="63"/>
        <v>587397.66298742441</v>
      </c>
      <c r="V230" s="547">
        <f t="shared" si="63"/>
        <v>588775.56740151753</v>
      </c>
      <c r="W230" s="547">
        <f t="shared" si="63"/>
        <v>589604.19857780519</v>
      </c>
      <c r="X230" s="547">
        <f t="shared" si="63"/>
        <v>592852.85418400005</v>
      </c>
      <c r="Y230" s="547">
        <f t="shared" si="63"/>
        <v>595831.55943997402</v>
      </c>
      <c r="Z230" s="547">
        <f t="shared" si="63"/>
        <v>598379.18916517135</v>
      </c>
      <c r="AA230" s="547">
        <f t="shared" si="63"/>
        <v>600514.8398895209</v>
      </c>
      <c r="AB230" s="547">
        <f t="shared" si="63"/>
        <v>602240.78020830126</v>
      </c>
      <c r="AC230" s="547">
        <f t="shared" si="63"/>
        <v>603488.07059563778</v>
      </c>
      <c r="AD230" s="547">
        <f t="shared" si="63"/>
        <v>604327.56980230566</v>
      </c>
      <c r="AE230" s="547">
        <f t="shared" si="63"/>
        <v>604761.53812896041</v>
      </c>
      <c r="AF230" s="547">
        <f t="shared" si="63"/>
        <v>604792.22798472655</v>
      </c>
      <c r="AG230" s="547">
        <f t="shared" si="63"/>
        <v>604421.8839082229</v>
      </c>
      <c r="AI230" s="266"/>
      <c r="AJ230" s="185" t="s">
        <v>629</v>
      </c>
    </row>
    <row r="231" spans="1:36" s="1" customFormat="1" outlineLevel="1">
      <c r="A231" t="s">
        <v>651</v>
      </c>
      <c r="B231" s="252" t="s">
        <v>127</v>
      </c>
      <c r="C231" s="547">
        <f>C228*C197</f>
        <v>2519556.4326455449</v>
      </c>
      <c r="D231" s="547">
        <f t="shared" ref="D231:AG231" si="64">D228*D197</f>
        <v>2471198.0186085314</v>
      </c>
      <c r="E231" s="547">
        <f t="shared" si="64"/>
        <v>2423384.5615796163</v>
      </c>
      <c r="F231" s="547">
        <f t="shared" si="64"/>
        <v>2376113.5122253518</v>
      </c>
      <c r="G231" s="547">
        <f t="shared" si="64"/>
        <v>2329382.3298101462</v>
      </c>
      <c r="H231" s="547">
        <f t="shared" si="64"/>
        <v>2283188.4821725753</v>
      </c>
      <c r="I231" s="547">
        <f t="shared" si="64"/>
        <v>2235102.9424375342</v>
      </c>
      <c r="J231" s="547">
        <f t="shared" si="64"/>
        <v>2187596.5495928344</v>
      </c>
      <c r="K231" s="547">
        <f t="shared" si="64"/>
        <v>2140666.5606295778</v>
      </c>
      <c r="L231" s="547">
        <f t="shared" si="64"/>
        <v>2094310.241841079</v>
      </c>
      <c r="M231" s="547">
        <f t="shared" si="64"/>
        <v>2048524.8687971476</v>
      </c>
      <c r="N231" s="547">
        <f t="shared" si="64"/>
        <v>1993106.9073769934</v>
      </c>
      <c r="O231" s="547">
        <f t="shared" si="64"/>
        <v>1944143.2397143005</v>
      </c>
      <c r="P231" s="547">
        <f t="shared" si="64"/>
        <v>1891070.7252576975</v>
      </c>
      <c r="Q231" s="547">
        <f t="shared" si="64"/>
        <v>1838742.3161321394</v>
      </c>
      <c r="R231" s="547">
        <f t="shared" si="64"/>
        <v>1787154.4004690589</v>
      </c>
      <c r="S231" s="547">
        <f t="shared" si="64"/>
        <v>1736574.2240604479</v>
      </c>
      <c r="T231" s="547">
        <f t="shared" si="64"/>
        <v>1686721.7676199167</v>
      </c>
      <c r="U231" s="547">
        <f t="shared" si="64"/>
        <v>1637593.4846922145</v>
      </c>
      <c r="V231" s="547">
        <f t="shared" si="64"/>
        <v>1589185.8409888074</v>
      </c>
      <c r="W231" s="547">
        <f t="shared" si="64"/>
        <v>1541495.3143540218</v>
      </c>
      <c r="X231" s="547">
        <f t="shared" si="64"/>
        <v>1502033.5563601707</v>
      </c>
      <c r="Y231" s="547">
        <f t="shared" si="64"/>
        <v>1463494.1068272181</v>
      </c>
      <c r="Z231" s="547">
        <f t="shared" si="64"/>
        <v>1425451.2138737405</v>
      </c>
      <c r="AA231" s="547">
        <f t="shared" si="64"/>
        <v>1387944.8948439928</v>
      </c>
      <c r="AB231" s="547">
        <f t="shared" si="64"/>
        <v>1350972.5610078117</v>
      </c>
      <c r="AC231" s="547">
        <f t="shared" si="64"/>
        <v>1314376.5605345676</v>
      </c>
      <c r="AD231" s="547">
        <f t="shared" si="64"/>
        <v>1278312.8345662483</v>
      </c>
      <c r="AE231" s="547">
        <f t="shared" si="64"/>
        <v>1242778.8023872126</v>
      </c>
      <c r="AF231" s="547">
        <f t="shared" si="64"/>
        <v>1207771.8918496193</v>
      </c>
      <c r="AG231" s="547">
        <f t="shared" si="64"/>
        <v>1173289.5393512561</v>
      </c>
      <c r="AI231" s="266"/>
      <c r="AJ231" s="185" t="s">
        <v>629</v>
      </c>
    </row>
    <row r="232" spans="1:36" s="1" customFormat="1" outlineLevel="1">
      <c r="A232" t="s">
        <v>654</v>
      </c>
      <c r="B232" s="252" t="s">
        <v>127</v>
      </c>
      <c r="C232" s="547">
        <f>C198*C231</f>
        <v>0</v>
      </c>
      <c r="D232" s="547">
        <f t="shared" ref="D232:AG232" si="65">D198*D231</f>
        <v>0</v>
      </c>
      <c r="E232" s="547">
        <f t="shared" si="65"/>
        <v>0</v>
      </c>
      <c r="F232" s="547">
        <f t="shared" si="65"/>
        <v>0</v>
      </c>
      <c r="G232" s="547">
        <f t="shared" si="65"/>
        <v>0</v>
      </c>
      <c r="H232" s="547">
        <f t="shared" si="65"/>
        <v>0</v>
      </c>
      <c r="I232" s="547">
        <f t="shared" si="65"/>
        <v>0</v>
      </c>
      <c r="J232" s="547">
        <f t="shared" si="65"/>
        <v>0</v>
      </c>
      <c r="K232" s="547">
        <f t="shared" si="65"/>
        <v>0</v>
      </c>
      <c r="L232" s="547">
        <f t="shared" si="65"/>
        <v>0</v>
      </c>
      <c r="M232" s="547">
        <f t="shared" si="65"/>
        <v>0</v>
      </c>
      <c r="N232" s="547">
        <f t="shared" si="65"/>
        <v>0</v>
      </c>
      <c r="O232" s="547">
        <f t="shared" si="65"/>
        <v>0</v>
      </c>
      <c r="P232" s="547">
        <f t="shared" si="65"/>
        <v>0</v>
      </c>
      <c r="Q232" s="547">
        <f t="shared" si="65"/>
        <v>0</v>
      </c>
      <c r="R232" s="547">
        <f t="shared" si="65"/>
        <v>0</v>
      </c>
      <c r="S232" s="547">
        <f t="shared" si="65"/>
        <v>0</v>
      </c>
      <c r="T232" s="547">
        <f t="shared" si="65"/>
        <v>0</v>
      </c>
      <c r="U232" s="547">
        <f t="shared" si="65"/>
        <v>0</v>
      </c>
      <c r="V232" s="547">
        <f t="shared" si="65"/>
        <v>0</v>
      </c>
      <c r="W232" s="547">
        <f t="shared" si="65"/>
        <v>0</v>
      </c>
      <c r="X232" s="547">
        <f t="shared" si="65"/>
        <v>0</v>
      </c>
      <c r="Y232" s="547">
        <f t="shared" si="65"/>
        <v>0</v>
      </c>
      <c r="Z232" s="547">
        <f t="shared" si="65"/>
        <v>0</v>
      </c>
      <c r="AA232" s="547">
        <f t="shared" si="65"/>
        <v>0</v>
      </c>
      <c r="AB232" s="547">
        <f t="shared" si="65"/>
        <v>0</v>
      </c>
      <c r="AC232" s="547">
        <f t="shared" si="65"/>
        <v>0</v>
      </c>
      <c r="AD232" s="547">
        <f t="shared" si="65"/>
        <v>0</v>
      </c>
      <c r="AE232" s="547">
        <f t="shared" si="65"/>
        <v>0</v>
      </c>
      <c r="AF232" s="547">
        <f t="shared" si="65"/>
        <v>0</v>
      </c>
      <c r="AG232" s="547">
        <f t="shared" si="65"/>
        <v>0</v>
      </c>
      <c r="AI232" s="266"/>
      <c r="AJ232" s="185" t="s">
        <v>629</v>
      </c>
    </row>
    <row r="233" spans="1:36" s="1" customFormat="1" outlineLevel="1">
      <c r="A233" t="s">
        <v>683</v>
      </c>
      <c r="B233" s="252" t="s">
        <v>127</v>
      </c>
      <c r="C233" s="547">
        <f>C199*C231</f>
        <v>2519556.4326455449</v>
      </c>
      <c r="D233" s="547">
        <f t="shared" ref="D233:AG233" si="66">D199*D231</f>
        <v>2471198.0186085314</v>
      </c>
      <c r="E233" s="547">
        <f t="shared" si="66"/>
        <v>2423384.5615796163</v>
      </c>
      <c r="F233" s="547">
        <f t="shared" si="66"/>
        <v>2376113.5122253518</v>
      </c>
      <c r="G233" s="547">
        <f t="shared" si="66"/>
        <v>2329382.3298101462</v>
      </c>
      <c r="H233" s="547">
        <f t="shared" si="66"/>
        <v>2283188.4821725753</v>
      </c>
      <c r="I233" s="547">
        <f t="shared" si="66"/>
        <v>2235102.9424375342</v>
      </c>
      <c r="J233" s="547">
        <f t="shared" si="66"/>
        <v>2187596.5495928344</v>
      </c>
      <c r="K233" s="547">
        <f t="shared" si="66"/>
        <v>2140666.5606295778</v>
      </c>
      <c r="L233" s="547">
        <f t="shared" si="66"/>
        <v>2094310.241841079</v>
      </c>
      <c r="M233" s="547">
        <f t="shared" si="66"/>
        <v>2048524.8687971476</v>
      </c>
      <c r="N233" s="547">
        <f t="shared" si="66"/>
        <v>1993106.9073769934</v>
      </c>
      <c r="O233" s="547">
        <f t="shared" si="66"/>
        <v>1944143.2397143005</v>
      </c>
      <c r="P233" s="547">
        <f t="shared" si="66"/>
        <v>1891070.7252576975</v>
      </c>
      <c r="Q233" s="547">
        <f t="shared" si="66"/>
        <v>1838742.3161321394</v>
      </c>
      <c r="R233" s="547">
        <f t="shared" si="66"/>
        <v>1787154.4004690589</v>
      </c>
      <c r="S233" s="547">
        <f t="shared" si="66"/>
        <v>1736574.2240604479</v>
      </c>
      <c r="T233" s="547">
        <f t="shared" si="66"/>
        <v>1686721.7676199167</v>
      </c>
      <c r="U233" s="547">
        <f t="shared" si="66"/>
        <v>1637593.4846922145</v>
      </c>
      <c r="V233" s="547">
        <f t="shared" si="66"/>
        <v>1589185.8409888074</v>
      </c>
      <c r="W233" s="547">
        <f t="shared" si="66"/>
        <v>1541495.3143540218</v>
      </c>
      <c r="X233" s="547">
        <f t="shared" si="66"/>
        <v>1502033.5563601707</v>
      </c>
      <c r="Y233" s="547">
        <f t="shared" si="66"/>
        <v>1463494.1068272181</v>
      </c>
      <c r="Z233" s="547">
        <f t="shared" si="66"/>
        <v>1425451.2138737405</v>
      </c>
      <c r="AA233" s="547">
        <f t="shared" si="66"/>
        <v>1387944.8948439928</v>
      </c>
      <c r="AB233" s="547">
        <f t="shared" si="66"/>
        <v>1350972.5610078117</v>
      </c>
      <c r="AC233" s="547">
        <f t="shared" si="66"/>
        <v>1314376.5605345676</v>
      </c>
      <c r="AD233" s="547">
        <f t="shared" si="66"/>
        <v>1278312.8345662483</v>
      </c>
      <c r="AE233" s="547">
        <f t="shared" si="66"/>
        <v>1242778.8023872126</v>
      </c>
      <c r="AF233" s="547">
        <f t="shared" si="66"/>
        <v>1207771.8918496193</v>
      </c>
      <c r="AG233" s="547">
        <f t="shared" si="66"/>
        <v>1173289.5393512561</v>
      </c>
      <c r="AI233" s="266"/>
      <c r="AJ233" s="185" t="s">
        <v>629</v>
      </c>
    </row>
    <row r="234" spans="1:36" s="1" customFormat="1" outlineLevel="1">
      <c r="A234" t="s">
        <v>652</v>
      </c>
      <c r="B234" s="252" t="s">
        <v>127</v>
      </c>
      <c r="C234" s="547">
        <f>C200*(C232+C230)</f>
        <v>355702.08460878278</v>
      </c>
      <c r="D234" s="547">
        <f t="shared" ref="D234:AG234" si="67">D200*(D232+D230)</f>
        <v>367861.24172962422</v>
      </c>
      <c r="E234" s="547">
        <f t="shared" si="67"/>
        <v>379766.48511717928</v>
      </c>
      <c r="F234" s="547">
        <f t="shared" si="67"/>
        <v>391415.37748318695</v>
      </c>
      <c r="G234" s="547">
        <f t="shared" si="67"/>
        <v>402805.50490050297</v>
      </c>
      <c r="H234" s="547">
        <f t="shared" si="67"/>
        <v>413934.47668987507</v>
      </c>
      <c r="I234" s="547">
        <f t="shared" si="67"/>
        <v>424339.24828346074</v>
      </c>
      <c r="J234" s="547">
        <f t="shared" si="67"/>
        <v>434445.02928963944</v>
      </c>
      <c r="K234" s="547">
        <f t="shared" si="67"/>
        <v>444249.31169829471</v>
      </c>
      <c r="L234" s="547">
        <f t="shared" si="67"/>
        <v>453749.61242208764</v>
      </c>
      <c r="M234" s="547">
        <f t="shared" si="67"/>
        <v>462943.47317449626</v>
      </c>
      <c r="N234" s="547">
        <f t="shared" si="67"/>
        <v>469425.91548102064</v>
      </c>
      <c r="O234" s="547">
        <f t="shared" si="67"/>
        <v>476842.57445395662</v>
      </c>
      <c r="P234" s="547">
        <f t="shared" si="67"/>
        <v>482665.07853910443</v>
      </c>
      <c r="Q234" s="547">
        <f t="shared" si="67"/>
        <v>488034.19816266047</v>
      </c>
      <c r="R234" s="547">
        <f t="shared" si="67"/>
        <v>492946.89257970988</v>
      </c>
      <c r="S234" s="547">
        <f t="shared" si="67"/>
        <v>497477.74269077391</v>
      </c>
      <c r="T234" s="547">
        <f t="shared" si="67"/>
        <v>501550.41622083489</v>
      </c>
      <c r="U234" s="547">
        <f t="shared" si="67"/>
        <v>505161.99016918463</v>
      </c>
      <c r="V234" s="547">
        <f t="shared" si="67"/>
        <v>508309.57318997645</v>
      </c>
      <c r="W234" s="547">
        <f t="shared" si="67"/>
        <v>510990.30543409748</v>
      </c>
      <c r="X234" s="547">
        <f t="shared" si="67"/>
        <v>515781.98314007965</v>
      </c>
      <c r="Y234" s="547">
        <f t="shared" si="67"/>
        <v>520359.56191091024</v>
      </c>
      <c r="Z234" s="547">
        <f t="shared" si="67"/>
        <v>524579.0891681331</v>
      </c>
      <c r="AA234" s="547">
        <f t="shared" si="67"/>
        <v>528453.05910277797</v>
      </c>
      <c r="AB234" s="547">
        <f t="shared" si="67"/>
        <v>531979.3558506656</v>
      </c>
      <c r="AC234" s="547">
        <f t="shared" si="67"/>
        <v>535092.75592813164</v>
      </c>
      <c r="AD234" s="547">
        <f t="shared" si="67"/>
        <v>537851.53712405148</v>
      </c>
      <c r="AE234" s="547">
        <f t="shared" si="67"/>
        <v>540253.64072853746</v>
      </c>
      <c r="AF234" s="547">
        <f t="shared" si="67"/>
        <v>542297.03109297086</v>
      </c>
      <c r="AG234" s="547">
        <f t="shared" si="67"/>
        <v>543979.69551740063</v>
      </c>
      <c r="AH234" s="218"/>
      <c r="AI234" s="266"/>
      <c r="AJ234" s="185" t="s">
        <v>629</v>
      </c>
    </row>
    <row r="235" spans="1:36" s="1" customFormat="1" outlineLevel="1">
      <c r="A235" t="s">
        <v>653</v>
      </c>
      <c r="B235" s="252" t="s">
        <v>127</v>
      </c>
      <c r="C235" s="547">
        <f>C201*(C232+C230)</f>
        <v>88925.521152195695</v>
      </c>
      <c r="D235" s="547">
        <f t="shared" ref="D235:AG235" si="68">D201*(D232+D230)</f>
        <v>90057.316440032504</v>
      </c>
      <c r="E235" s="547">
        <f t="shared" si="68"/>
        <v>91018.41378841488</v>
      </c>
      <c r="F235" s="547">
        <f t="shared" si="68"/>
        <v>91813.48360716732</v>
      </c>
      <c r="G235" s="547">
        <f t="shared" si="68"/>
        <v>92447.165059131847</v>
      </c>
      <c r="H235" s="547">
        <f t="shared" si="68"/>
        <v>92924.066195686275</v>
      </c>
      <c r="I235" s="547">
        <f t="shared" si="68"/>
        <v>93147.63986710117</v>
      </c>
      <c r="J235" s="547">
        <f t="shared" si="68"/>
        <v>93220.998187655481</v>
      </c>
      <c r="K235" s="547">
        <f t="shared" si="68"/>
        <v>93149.049227061842</v>
      </c>
      <c r="L235" s="547">
        <f t="shared" si="68"/>
        <v>92936.667604524031</v>
      </c>
      <c r="M235" s="547">
        <f t="shared" si="68"/>
        <v>92588.694634899322</v>
      </c>
      <c r="N235" s="547">
        <f t="shared" si="68"/>
        <v>91640.915771195345</v>
      </c>
      <c r="O235" s="547">
        <f t="shared" si="68"/>
        <v>90827.157038848964</v>
      </c>
      <c r="P235" s="547">
        <f t="shared" si="68"/>
        <v>89665.0541159602</v>
      </c>
      <c r="Q235" s="547">
        <f t="shared" si="68"/>
        <v>88384.146123946484</v>
      </c>
      <c r="R235" s="547">
        <f t="shared" si="68"/>
        <v>86990.628102301853</v>
      </c>
      <c r="S235" s="547">
        <f t="shared" si="68"/>
        <v>85503.987024976886</v>
      </c>
      <c r="T235" s="547">
        <f t="shared" si="68"/>
        <v>83916.995710100906</v>
      </c>
      <c r="U235" s="547">
        <f t="shared" si="68"/>
        <v>82235.672818239487</v>
      </c>
      <c r="V235" s="547">
        <f t="shared" si="68"/>
        <v>80465.994211540805</v>
      </c>
      <c r="W235" s="547">
        <f t="shared" si="68"/>
        <v>78613.893143707435</v>
      </c>
      <c r="X235" s="547">
        <f t="shared" si="68"/>
        <v>77070.871043920095</v>
      </c>
      <c r="Y235" s="547">
        <f t="shared" si="68"/>
        <v>75471.997529063461</v>
      </c>
      <c r="Z235" s="547">
        <f t="shared" si="68"/>
        <v>73800.099997037891</v>
      </c>
      <c r="AA235" s="547">
        <f t="shared" si="68"/>
        <v>72061.780786742602</v>
      </c>
      <c r="AB235" s="547">
        <f t="shared" si="68"/>
        <v>70261.424357635246</v>
      </c>
      <c r="AC235" s="547">
        <f t="shared" si="68"/>
        <v>68395.314667505721</v>
      </c>
      <c r="AD235" s="547">
        <f t="shared" si="68"/>
        <v>66476.03267825373</v>
      </c>
      <c r="AE235" s="547">
        <f t="shared" si="68"/>
        <v>64507.89740042256</v>
      </c>
      <c r="AF235" s="547">
        <f t="shared" si="68"/>
        <v>62495.196891755193</v>
      </c>
      <c r="AG235" s="547">
        <f t="shared" si="68"/>
        <v>60442.188390822295</v>
      </c>
      <c r="AI235" s="266"/>
      <c r="AJ235" s="185" t="s">
        <v>629</v>
      </c>
    </row>
    <row r="236" spans="1:36" s="1" customFormat="1" outlineLevel="1">
      <c r="A236" t="s">
        <v>663</v>
      </c>
      <c r="B236" s="252" t="s">
        <v>127</v>
      </c>
      <c r="C236" s="547">
        <f>C229*C202</f>
        <v>0</v>
      </c>
      <c r="D236" s="547">
        <f t="shared" ref="D236:AG236" si="69">D229*D202</f>
        <v>0</v>
      </c>
      <c r="E236" s="547">
        <f t="shared" si="69"/>
        <v>0</v>
      </c>
      <c r="F236" s="547">
        <f t="shared" si="69"/>
        <v>0</v>
      </c>
      <c r="G236" s="547">
        <f t="shared" si="69"/>
        <v>0</v>
      </c>
      <c r="H236" s="547">
        <f t="shared" si="69"/>
        <v>0</v>
      </c>
      <c r="I236" s="547">
        <f t="shared" si="69"/>
        <v>0</v>
      </c>
      <c r="J236" s="547">
        <f t="shared" si="69"/>
        <v>0</v>
      </c>
      <c r="K236" s="547">
        <f t="shared" si="69"/>
        <v>0</v>
      </c>
      <c r="L236" s="547">
        <f t="shared" si="69"/>
        <v>0</v>
      </c>
      <c r="M236" s="547">
        <f t="shared" si="69"/>
        <v>0</v>
      </c>
      <c r="N236" s="547">
        <f t="shared" si="69"/>
        <v>0</v>
      </c>
      <c r="O236" s="547">
        <f t="shared" si="69"/>
        <v>0</v>
      </c>
      <c r="P236" s="547">
        <f t="shared" si="69"/>
        <v>0</v>
      </c>
      <c r="Q236" s="547">
        <f t="shared" si="69"/>
        <v>0</v>
      </c>
      <c r="R236" s="547">
        <f t="shared" si="69"/>
        <v>0</v>
      </c>
      <c r="S236" s="547">
        <f t="shared" si="69"/>
        <v>0</v>
      </c>
      <c r="T236" s="547">
        <f t="shared" si="69"/>
        <v>0</v>
      </c>
      <c r="U236" s="547">
        <f t="shared" si="69"/>
        <v>0</v>
      </c>
      <c r="V236" s="547">
        <f t="shared" si="69"/>
        <v>0</v>
      </c>
      <c r="W236" s="547">
        <f t="shared" si="69"/>
        <v>0</v>
      </c>
      <c r="X236" s="547">
        <f t="shared" si="69"/>
        <v>0</v>
      </c>
      <c r="Y236" s="547">
        <f t="shared" si="69"/>
        <v>0</v>
      </c>
      <c r="Z236" s="547">
        <f t="shared" si="69"/>
        <v>0</v>
      </c>
      <c r="AA236" s="547">
        <f t="shared" si="69"/>
        <v>0</v>
      </c>
      <c r="AB236" s="547">
        <f t="shared" si="69"/>
        <v>0</v>
      </c>
      <c r="AC236" s="547">
        <f t="shared" si="69"/>
        <v>0</v>
      </c>
      <c r="AD236" s="547">
        <f t="shared" si="69"/>
        <v>0</v>
      </c>
      <c r="AE236" s="547">
        <f t="shared" si="69"/>
        <v>0</v>
      </c>
      <c r="AF236" s="547">
        <f t="shared" si="69"/>
        <v>0</v>
      </c>
      <c r="AG236" s="547">
        <f t="shared" si="69"/>
        <v>0</v>
      </c>
      <c r="AI236" s="266"/>
      <c r="AJ236" s="185" t="s">
        <v>629</v>
      </c>
    </row>
    <row r="237" spans="1:36" s="1" customFormat="1" outlineLevel="1">
      <c r="A237" t="s">
        <v>684</v>
      </c>
      <c r="B237" s="252" t="s">
        <v>127</v>
      </c>
      <c r="C237" s="547">
        <f>C229*C203</f>
        <v>0</v>
      </c>
      <c r="D237" s="547">
        <f t="shared" ref="D237:AG237" si="70">D229*D203</f>
        <v>0</v>
      </c>
      <c r="E237" s="547">
        <f t="shared" si="70"/>
        <v>0</v>
      </c>
      <c r="F237" s="547">
        <f t="shared" si="70"/>
        <v>0</v>
      </c>
      <c r="G237" s="547">
        <f t="shared" si="70"/>
        <v>0</v>
      </c>
      <c r="H237" s="547">
        <f t="shared" si="70"/>
        <v>0</v>
      </c>
      <c r="I237" s="547">
        <f t="shared" si="70"/>
        <v>0</v>
      </c>
      <c r="J237" s="547">
        <f t="shared" si="70"/>
        <v>0</v>
      </c>
      <c r="K237" s="547">
        <f t="shared" si="70"/>
        <v>0</v>
      </c>
      <c r="L237" s="547">
        <f t="shared" si="70"/>
        <v>0</v>
      </c>
      <c r="M237" s="547">
        <f t="shared" si="70"/>
        <v>0</v>
      </c>
      <c r="N237" s="547">
        <f t="shared" si="70"/>
        <v>0</v>
      </c>
      <c r="O237" s="547">
        <f t="shared" si="70"/>
        <v>0</v>
      </c>
      <c r="P237" s="547">
        <f t="shared" si="70"/>
        <v>0</v>
      </c>
      <c r="Q237" s="547">
        <f t="shared" si="70"/>
        <v>0</v>
      </c>
      <c r="R237" s="547">
        <f t="shared" si="70"/>
        <v>0</v>
      </c>
      <c r="S237" s="547">
        <f t="shared" si="70"/>
        <v>0</v>
      </c>
      <c r="T237" s="547">
        <f t="shared" si="70"/>
        <v>0</v>
      </c>
      <c r="U237" s="547">
        <f t="shared" si="70"/>
        <v>0</v>
      </c>
      <c r="V237" s="547">
        <f t="shared" si="70"/>
        <v>0</v>
      </c>
      <c r="W237" s="547">
        <f t="shared" si="70"/>
        <v>0</v>
      </c>
      <c r="X237" s="547">
        <f t="shared" si="70"/>
        <v>0</v>
      </c>
      <c r="Y237" s="547">
        <f t="shared" si="70"/>
        <v>0</v>
      </c>
      <c r="Z237" s="547">
        <f t="shared" si="70"/>
        <v>0</v>
      </c>
      <c r="AA237" s="547">
        <f t="shared" si="70"/>
        <v>0</v>
      </c>
      <c r="AB237" s="547">
        <f t="shared" si="70"/>
        <v>0</v>
      </c>
      <c r="AC237" s="547">
        <f t="shared" si="70"/>
        <v>0</v>
      </c>
      <c r="AD237" s="547">
        <f t="shared" si="70"/>
        <v>0</v>
      </c>
      <c r="AE237" s="547">
        <f t="shared" si="70"/>
        <v>0</v>
      </c>
      <c r="AF237" s="547">
        <f t="shared" si="70"/>
        <v>0</v>
      </c>
      <c r="AG237" s="547">
        <f t="shared" si="70"/>
        <v>0</v>
      </c>
      <c r="AI237" s="266"/>
      <c r="AJ237" s="185" t="s">
        <v>629</v>
      </c>
    </row>
    <row r="238" spans="1:36" s="1" customFormat="1" outlineLevel="1">
      <c r="A238" t="s">
        <v>666</v>
      </c>
      <c r="B238" s="252" t="s">
        <v>127</v>
      </c>
      <c r="C238" s="547">
        <f t="shared" ref="C238:AG238" si="71">C234*C204</f>
        <v>96039.56284437135</v>
      </c>
      <c r="D238" s="547">
        <f t="shared" si="71"/>
        <v>97851.090300080046</v>
      </c>
      <c r="E238" s="547">
        <f t="shared" si="71"/>
        <v>99498.819100700974</v>
      </c>
      <c r="F238" s="547">
        <f t="shared" si="71"/>
        <v>100985.16739066223</v>
      </c>
      <c r="G238" s="547">
        <f t="shared" si="71"/>
        <v>102312.59824472775</v>
      </c>
      <c r="H238" s="547">
        <f t="shared" si="71"/>
        <v>103483.61917246877</v>
      </c>
      <c r="I238" s="547">
        <f t="shared" si="71"/>
        <v>104387.45507773134</v>
      </c>
      <c r="J238" s="547">
        <f t="shared" si="71"/>
        <v>105135.69708809274</v>
      </c>
      <c r="K238" s="547">
        <f t="shared" si="71"/>
        <v>105731.33618419414</v>
      </c>
      <c r="L238" s="547">
        <f t="shared" si="71"/>
        <v>106177.4093067685</v>
      </c>
      <c r="M238" s="547">
        <f t="shared" si="71"/>
        <v>106476.99883013414</v>
      </c>
      <c r="N238" s="547">
        <f t="shared" si="71"/>
        <v>106090.25689871065</v>
      </c>
      <c r="O238" s="547">
        <f t="shared" si="71"/>
        <v>105859.05152877836</v>
      </c>
      <c r="P238" s="547">
        <f t="shared" si="71"/>
        <v>105220.98712152475</v>
      </c>
      <c r="Q238" s="547">
        <f t="shared" si="71"/>
        <v>104439.31840680933</v>
      </c>
      <c r="R238" s="547">
        <f t="shared" si="71"/>
        <v>103518.84744173905</v>
      </c>
      <c r="S238" s="547">
        <f t="shared" si="71"/>
        <v>102480.41499429941</v>
      </c>
      <c r="T238" s="547">
        <f t="shared" si="71"/>
        <v>101313.18407660862</v>
      </c>
      <c r="U238" s="547">
        <f t="shared" si="71"/>
        <v>100022.07405349854</v>
      </c>
      <c r="V238" s="547">
        <f t="shared" si="71"/>
        <v>98612.0571988554</v>
      </c>
      <c r="W238" s="547">
        <f t="shared" si="71"/>
        <v>97088.158032478488</v>
      </c>
      <c r="X238" s="547">
        <f t="shared" si="71"/>
        <v>95935.448864054793</v>
      </c>
      <c r="Y238" s="547">
        <f t="shared" si="71"/>
        <v>94705.440267785627</v>
      </c>
      <c r="Z238" s="547">
        <f t="shared" si="71"/>
        <v>93375.077871927657</v>
      </c>
      <c r="AA238" s="547">
        <f t="shared" si="71"/>
        <v>91950.832283883326</v>
      </c>
      <c r="AB238" s="547">
        <f t="shared" si="71"/>
        <v>90436.490494613114</v>
      </c>
      <c r="AC238" s="547">
        <f t="shared" si="71"/>
        <v>88825.397484069807</v>
      </c>
      <c r="AD238" s="547">
        <f t="shared" si="71"/>
        <v>87131.949014096303</v>
      </c>
      <c r="AE238" s="547">
        <f t="shared" si="71"/>
        <v>85360.075235108874</v>
      </c>
      <c r="AF238" s="547">
        <f t="shared" si="71"/>
        <v>83513.742788317468</v>
      </c>
      <c r="AG238" s="547">
        <f t="shared" si="71"/>
        <v>81596.954327610089</v>
      </c>
      <c r="AI238" s="266"/>
      <c r="AJ238" s="185"/>
    </row>
    <row r="239" spans="1:36" s="61" customFormat="1">
      <c r="A239" s="294" t="s">
        <v>657</v>
      </c>
      <c r="B239" s="258" t="s">
        <v>127</v>
      </c>
      <c r="C239" s="548">
        <f>C205*C$224</f>
        <v>3436404.6448733946</v>
      </c>
      <c r="D239" s="548">
        <f t="shared" ref="D239:AG244" si="72">D205*D$224</f>
        <v>3406918.5978340493</v>
      </c>
      <c r="E239" s="548">
        <f t="shared" si="72"/>
        <v>3376782.1806807583</v>
      </c>
      <c r="F239" s="548">
        <f t="shared" si="72"/>
        <v>3345988.6533529456</v>
      </c>
      <c r="G239" s="548">
        <f t="shared" si="72"/>
        <v>3314531.3408884355</v>
      </c>
      <c r="H239" s="548">
        <f t="shared" si="72"/>
        <v>3282403.6331066517</v>
      </c>
      <c r="I239" s="548">
        <f t="shared" si="72"/>
        <v>3242521.3556876145</v>
      </c>
      <c r="J239" s="548">
        <f t="shared" si="72"/>
        <v>3201755.6292461669</v>
      </c>
      <c r="K239" s="548">
        <f t="shared" si="72"/>
        <v>3160101.2318926891</v>
      </c>
      <c r="L239" s="548">
        <f t="shared" si="72"/>
        <v>3117553.0008570929</v>
      </c>
      <c r="M239" s="548">
        <f t="shared" si="72"/>
        <v>3074105.8321903525</v>
      </c>
      <c r="N239" s="548">
        <f t="shared" si="72"/>
        <v>2986115.1876117666</v>
      </c>
      <c r="O239" s="548">
        <f t="shared" si="72"/>
        <v>2914886.7923260112</v>
      </c>
      <c r="P239" s="548">
        <f t="shared" si="72"/>
        <v>2828102.1819811147</v>
      </c>
      <c r="Q239" s="548">
        <f t="shared" si="72"/>
        <v>2740556.9133209581</v>
      </c>
      <c r="R239" s="548">
        <f t="shared" si="72"/>
        <v>2652246.0652769771</v>
      </c>
      <c r="S239" s="548">
        <f t="shared" si="72"/>
        <v>2564103.8726282315</v>
      </c>
      <c r="T239" s="548">
        <f t="shared" si="72"/>
        <v>2475204.2259792918</v>
      </c>
      <c r="U239" s="548">
        <f t="shared" si="72"/>
        <v>2385542.2610599883</v>
      </c>
      <c r="V239" s="548">
        <f t="shared" si="72"/>
        <v>2295113.168979682</v>
      </c>
      <c r="W239" s="548">
        <f t="shared" si="72"/>
        <v>2203912.1959422342</v>
      </c>
      <c r="X239" s="548">
        <f t="shared" si="72"/>
        <v>2148836.2119207331</v>
      </c>
      <c r="Y239" s="548">
        <f t="shared" si="72"/>
        <v>2094047.1736958316</v>
      </c>
      <c r="Z239" s="548">
        <f t="shared" si="72"/>
        <v>2038009.0761140317</v>
      </c>
      <c r="AA239" s="548">
        <f t="shared" si="72"/>
        <v>1980936.3630175416</v>
      </c>
      <c r="AB239" s="548">
        <f t="shared" si="72"/>
        <v>1922824.4785411896</v>
      </c>
      <c r="AC239" s="548">
        <f t="shared" si="72"/>
        <v>1862991.0976980242</v>
      </c>
      <c r="AD239" s="548">
        <f t="shared" si="72"/>
        <v>1802092.7278556107</v>
      </c>
      <c r="AE239" s="548">
        <f t="shared" si="72"/>
        <v>1740125.0979486662</v>
      </c>
      <c r="AF239" s="548">
        <f t="shared" si="72"/>
        <v>1677083.9966141805</v>
      </c>
      <c r="AG239" s="548">
        <f>AG205*AG$224</f>
        <v>1612965.2717648167</v>
      </c>
      <c r="AI239" s="286"/>
      <c r="AJ239" s="297"/>
    </row>
    <row r="240" spans="1:36">
      <c r="A240" s="295" t="s">
        <v>658</v>
      </c>
      <c r="B240" s="252" t="s">
        <v>127</v>
      </c>
      <c r="C240" s="547">
        <f t="shared" ref="C240:R244" si="73">C206*C$224</f>
        <v>35426.852009004069</v>
      </c>
      <c r="D240" s="547">
        <f t="shared" si="73"/>
        <v>35110.806573349873</v>
      </c>
      <c r="E240" s="547">
        <f t="shared" si="73"/>
        <v>34788.277960310013</v>
      </c>
      <c r="F240" s="547">
        <f t="shared" si="73"/>
        <v>34459.203433089046</v>
      </c>
      <c r="G240" s="547">
        <f t="shared" si="73"/>
        <v>34123.521011205587</v>
      </c>
      <c r="H240" s="547">
        <f t="shared" si="73"/>
        <v>33781.169465934669</v>
      </c>
      <c r="I240" s="547">
        <f t="shared" si="73"/>
        <v>33359.273206662707</v>
      </c>
      <c r="J240" s="547">
        <f t="shared" si="73"/>
        <v>32928.580348777861</v>
      </c>
      <c r="K240" s="547">
        <f t="shared" si="73"/>
        <v>32489.046249753497</v>
      </c>
      <c r="L240" s="547">
        <f t="shared" si="73"/>
        <v>32040.626935838583</v>
      </c>
      <c r="M240" s="547">
        <f t="shared" si="73"/>
        <v>31583.279097846102</v>
      </c>
      <c r="N240" s="547">
        <f t="shared" si="73"/>
        <v>30668.762625249245</v>
      </c>
      <c r="O240" s="547">
        <f t="shared" si="73"/>
        <v>29926.969120390277</v>
      </c>
      <c r="P240" s="547">
        <f t="shared" si="73"/>
        <v>29026.023078834583</v>
      </c>
      <c r="Q240" s="547">
        <f t="shared" si="73"/>
        <v>28117.888987561149</v>
      </c>
      <c r="R240" s="547">
        <f t="shared" si="73"/>
        <v>27202.523746430554</v>
      </c>
      <c r="S240" s="547">
        <f t="shared" si="72"/>
        <v>26289.513389899861</v>
      </c>
      <c r="T240" s="547">
        <f t="shared" si="72"/>
        <v>25369.363436753945</v>
      </c>
      <c r="U240" s="547">
        <f t="shared" si="72"/>
        <v>24442.031363319569</v>
      </c>
      <c r="V240" s="547">
        <f t="shared" si="72"/>
        <v>23507.475271215608</v>
      </c>
      <c r="W240" s="547">
        <f t="shared" si="72"/>
        <v>22565.653883367606</v>
      </c>
      <c r="X240" s="547">
        <f t="shared" si="72"/>
        <v>21994.229395299233</v>
      </c>
      <c r="Y240" s="547">
        <f t="shared" si="72"/>
        <v>21426.13069947988</v>
      </c>
      <c r="Z240" s="547">
        <f t="shared" si="72"/>
        <v>20845.64346519639</v>
      </c>
      <c r="AA240" s="547">
        <f t="shared" si="72"/>
        <v>20254.973036989199</v>
      </c>
      <c r="AB240" s="547">
        <f t="shared" si="72"/>
        <v>19654.083255957663</v>
      </c>
      <c r="AC240" s="547">
        <f t="shared" si="72"/>
        <v>19036.012578658305</v>
      </c>
      <c r="AD240" s="547">
        <f t="shared" si="72"/>
        <v>18407.484452049157</v>
      </c>
      <c r="AE240" s="547">
        <f t="shared" si="72"/>
        <v>17768.465942294093</v>
      </c>
      <c r="AF240" s="547">
        <f t="shared" si="72"/>
        <v>17118.924769794306</v>
      </c>
      <c r="AG240" s="547">
        <f t="shared" si="72"/>
        <v>16458.829303722618</v>
      </c>
      <c r="AI240" s="246"/>
    </row>
    <row r="241" spans="1:36">
      <c r="A241" s="295" t="s">
        <v>659</v>
      </c>
      <c r="B241" s="252" t="s">
        <v>127</v>
      </c>
      <c r="C241" s="547">
        <f t="shared" si="73"/>
        <v>0</v>
      </c>
      <c r="D241" s="547">
        <f t="shared" si="72"/>
        <v>0</v>
      </c>
      <c r="E241" s="547">
        <f t="shared" si="72"/>
        <v>0</v>
      </c>
      <c r="F241" s="547">
        <f t="shared" si="72"/>
        <v>0</v>
      </c>
      <c r="G241" s="547">
        <f t="shared" si="72"/>
        <v>0</v>
      </c>
      <c r="H241" s="547">
        <f t="shared" si="72"/>
        <v>0</v>
      </c>
      <c r="I241" s="547">
        <f t="shared" si="72"/>
        <v>0</v>
      </c>
      <c r="J241" s="547">
        <f t="shared" si="72"/>
        <v>0</v>
      </c>
      <c r="K241" s="547">
        <f t="shared" si="72"/>
        <v>0</v>
      </c>
      <c r="L241" s="547">
        <f t="shared" si="72"/>
        <v>0</v>
      </c>
      <c r="M241" s="547">
        <f t="shared" si="72"/>
        <v>0</v>
      </c>
      <c r="N241" s="547">
        <f t="shared" si="72"/>
        <v>0</v>
      </c>
      <c r="O241" s="547">
        <f t="shared" si="72"/>
        <v>0</v>
      </c>
      <c r="P241" s="547">
        <f t="shared" si="72"/>
        <v>0</v>
      </c>
      <c r="Q241" s="547">
        <f t="shared" si="72"/>
        <v>0</v>
      </c>
      <c r="R241" s="547">
        <f t="shared" si="72"/>
        <v>0</v>
      </c>
      <c r="S241" s="547">
        <f t="shared" si="72"/>
        <v>0</v>
      </c>
      <c r="T241" s="547">
        <f t="shared" si="72"/>
        <v>0</v>
      </c>
      <c r="U241" s="547">
        <f t="shared" si="72"/>
        <v>0</v>
      </c>
      <c r="V241" s="547">
        <f t="shared" si="72"/>
        <v>0</v>
      </c>
      <c r="W241" s="547">
        <f t="shared" si="72"/>
        <v>0</v>
      </c>
      <c r="X241" s="547">
        <f t="shared" si="72"/>
        <v>0</v>
      </c>
      <c r="Y241" s="547">
        <f t="shared" si="72"/>
        <v>0</v>
      </c>
      <c r="Z241" s="547">
        <f t="shared" si="72"/>
        <v>0</v>
      </c>
      <c r="AA241" s="547">
        <f t="shared" si="72"/>
        <v>0</v>
      </c>
      <c r="AB241" s="547">
        <f t="shared" si="72"/>
        <v>0</v>
      </c>
      <c r="AC241" s="547">
        <f t="shared" si="72"/>
        <v>0</v>
      </c>
      <c r="AD241" s="547">
        <f t="shared" si="72"/>
        <v>0</v>
      </c>
      <c r="AE241" s="547">
        <f t="shared" si="72"/>
        <v>0</v>
      </c>
      <c r="AF241" s="547">
        <f t="shared" si="72"/>
        <v>0</v>
      </c>
      <c r="AG241" s="547">
        <f t="shared" si="72"/>
        <v>0</v>
      </c>
      <c r="AI241" s="246"/>
    </row>
    <row r="242" spans="1:36">
      <c r="A242" s="295" t="s">
        <v>660</v>
      </c>
      <c r="B242" s="252" t="s">
        <v>127</v>
      </c>
      <c r="C242" s="547">
        <f t="shared" si="73"/>
        <v>0</v>
      </c>
      <c r="D242" s="547">
        <f t="shared" si="72"/>
        <v>0</v>
      </c>
      <c r="E242" s="547">
        <f t="shared" si="72"/>
        <v>0</v>
      </c>
      <c r="F242" s="547">
        <f t="shared" si="72"/>
        <v>0</v>
      </c>
      <c r="G242" s="547">
        <f t="shared" si="72"/>
        <v>0</v>
      </c>
      <c r="H242" s="547">
        <f t="shared" si="72"/>
        <v>0</v>
      </c>
      <c r="I242" s="547">
        <f t="shared" si="72"/>
        <v>0</v>
      </c>
      <c r="J242" s="547">
        <f t="shared" si="72"/>
        <v>0</v>
      </c>
      <c r="K242" s="547">
        <f t="shared" si="72"/>
        <v>0</v>
      </c>
      <c r="L242" s="547">
        <f t="shared" si="72"/>
        <v>0</v>
      </c>
      <c r="M242" s="547">
        <f t="shared" si="72"/>
        <v>0</v>
      </c>
      <c r="N242" s="547">
        <f t="shared" si="72"/>
        <v>0</v>
      </c>
      <c r="O242" s="547">
        <f t="shared" si="72"/>
        <v>0</v>
      </c>
      <c r="P242" s="547">
        <f t="shared" si="72"/>
        <v>0</v>
      </c>
      <c r="Q242" s="547">
        <f t="shared" si="72"/>
        <v>0</v>
      </c>
      <c r="R242" s="547">
        <f t="shared" si="72"/>
        <v>0</v>
      </c>
      <c r="S242" s="547">
        <f t="shared" si="72"/>
        <v>0</v>
      </c>
      <c r="T242" s="547">
        <f t="shared" si="72"/>
        <v>0</v>
      </c>
      <c r="U242" s="547">
        <f t="shared" si="72"/>
        <v>0</v>
      </c>
      <c r="V242" s="547">
        <f t="shared" si="72"/>
        <v>0</v>
      </c>
      <c r="W242" s="547">
        <f t="shared" si="72"/>
        <v>0</v>
      </c>
      <c r="X242" s="547">
        <f t="shared" si="72"/>
        <v>0</v>
      </c>
      <c r="Y242" s="547">
        <f t="shared" si="72"/>
        <v>0</v>
      </c>
      <c r="Z242" s="547">
        <f t="shared" si="72"/>
        <v>0</v>
      </c>
      <c r="AA242" s="547">
        <f t="shared" si="72"/>
        <v>0</v>
      </c>
      <c r="AB242" s="547">
        <f t="shared" si="72"/>
        <v>0</v>
      </c>
      <c r="AC242" s="547">
        <f t="shared" si="72"/>
        <v>0</v>
      </c>
      <c r="AD242" s="547">
        <f t="shared" si="72"/>
        <v>0</v>
      </c>
      <c r="AE242" s="547">
        <f t="shared" si="72"/>
        <v>0</v>
      </c>
      <c r="AF242" s="547">
        <f t="shared" si="72"/>
        <v>0</v>
      </c>
      <c r="AG242" s="547">
        <f t="shared" si="72"/>
        <v>0</v>
      </c>
      <c r="AI242" s="246"/>
    </row>
    <row r="243" spans="1:36">
      <c r="A243" s="295" t="s">
        <v>661</v>
      </c>
      <c r="B243" s="252" t="s">
        <v>127</v>
      </c>
      <c r="C243" s="547">
        <f t="shared" si="73"/>
        <v>53140.278013506104</v>
      </c>
      <c r="D243" s="547">
        <f t="shared" si="72"/>
        <v>51729.921684735484</v>
      </c>
      <c r="E243" s="547">
        <f t="shared" si="72"/>
        <v>50327.042115915152</v>
      </c>
      <c r="F243" s="547">
        <f t="shared" si="72"/>
        <v>48932.068874986435</v>
      </c>
      <c r="G243" s="547">
        <f t="shared" si="72"/>
        <v>47545.439275613113</v>
      </c>
      <c r="H243" s="547">
        <f t="shared" si="72"/>
        <v>46167.598270110713</v>
      </c>
      <c r="I243" s="547">
        <f t="shared" si="72"/>
        <v>44701.426096928022</v>
      </c>
      <c r="J243" s="547">
        <f t="shared" si="72"/>
        <v>43246.202191394921</v>
      </c>
      <c r="K243" s="547">
        <f t="shared" si="72"/>
        <v>41802.572841349494</v>
      </c>
      <c r="L243" s="547">
        <f t="shared" si="72"/>
        <v>40371.189939156611</v>
      </c>
      <c r="M243" s="547">
        <f t="shared" si="72"/>
        <v>38952.710887343514</v>
      </c>
      <c r="N243" s="547">
        <f t="shared" si="72"/>
        <v>37006.973567800749</v>
      </c>
      <c r="O243" s="547">
        <f t="shared" si="72"/>
        <v>35313.823562060519</v>
      </c>
      <c r="P243" s="547">
        <f t="shared" si="72"/>
        <v>33476.679950922546</v>
      </c>
      <c r="Q243" s="547">
        <f t="shared" si="72"/>
        <v>31679.488259318885</v>
      </c>
      <c r="R243" s="547">
        <f t="shared" si="72"/>
        <v>29922.776121073603</v>
      </c>
      <c r="S243" s="547">
        <f t="shared" si="72"/>
        <v>28217.411038492512</v>
      </c>
      <c r="T243" s="547">
        <f t="shared" si="72"/>
        <v>26553.267063802457</v>
      </c>
      <c r="U243" s="547">
        <f t="shared" si="72"/>
        <v>24930.871990585954</v>
      </c>
      <c r="V243" s="547">
        <f t="shared" si="72"/>
        <v>23350.758769407497</v>
      </c>
      <c r="W243" s="547">
        <f t="shared" si="72"/>
        <v>21813.465420588676</v>
      </c>
      <c r="X243" s="547">
        <f t="shared" si="72"/>
        <v>20674.575631581272</v>
      </c>
      <c r="Y243" s="547">
        <f t="shared" si="72"/>
        <v>19569.199372191615</v>
      </c>
      <c r="Z243" s="547">
        <f t="shared" si="72"/>
        <v>18483.137205807456</v>
      </c>
      <c r="AA243" s="547">
        <f t="shared" si="72"/>
        <v>17419.276811810701</v>
      </c>
      <c r="AB243" s="547">
        <f t="shared" si="72"/>
        <v>16378.402713298046</v>
      </c>
      <c r="AC243" s="547">
        <f t="shared" si="72"/>
        <v>15355.716813451027</v>
      </c>
      <c r="AD243" s="547">
        <f t="shared" si="72"/>
        <v>14357.837872598335</v>
      </c>
      <c r="AE243" s="547">
        <f t="shared" si="72"/>
        <v>13385.57767652821</v>
      </c>
      <c r="AF243" s="547">
        <f t="shared" si="72"/>
        <v>12439.751999383856</v>
      </c>
      <c r="AG243" s="547">
        <f t="shared" si="72"/>
        <v>11521.180512605833</v>
      </c>
      <c r="AI243" s="246"/>
    </row>
    <row r="244" spans="1:36" s="62" customFormat="1">
      <c r="A244" s="296" t="s">
        <v>662</v>
      </c>
      <c r="B244" s="262" t="s">
        <v>127</v>
      </c>
      <c r="C244" s="549">
        <f t="shared" si="73"/>
        <v>17713.426004502035</v>
      </c>
      <c r="D244" s="549">
        <f t="shared" si="72"/>
        <v>17321.331242852608</v>
      </c>
      <c r="E244" s="549">
        <f t="shared" si="72"/>
        <v>16930.295274017542</v>
      </c>
      <c r="F244" s="549">
        <f t="shared" si="72"/>
        <v>16540.417647882743</v>
      </c>
      <c r="G244" s="549">
        <f t="shared" si="72"/>
        <v>16151.799945303983</v>
      </c>
      <c r="H244" s="549">
        <f t="shared" si="72"/>
        <v>15764.545750769521</v>
      </c>
      <c r="I244" s="549">
        <f t="shared" si="72"/>
        <v>15345.265675064855</v>
      </c>
      <c r="J244" s="549">
        <f t="shared" si="72"/>
        <v>14927.623091445974</v>
      </c>
      <c r="K244" s="549">
        <f t="shared" si="72"/>
        <v>14511.773991556573</v>
      </c>
      <c r="L244" s="549">
        <f t="shared" si="72"/>
        <v>14097.875851768988</v>
      </c>
      <c r="M244" s="549">
        <f t="shared" si="72"/>
        <v>13686.087609066655</v>
      </c>
      <c r="N244" s="549">
        <f t="shared" si="72"/>
        <v>13085.338720106358</v>
      </c>
      <c r="O244" s="549">
        <f t="shared" si="72"/>
        <v>12569.327030563931</v>
      </c>
      <c r="P244" s="549">
        <f t="shared" si="72"/>
        <v>11997.422872584975</v>
      </c>
      <c r="Q244" s="549">
        <f t="shared" si="72"/>
        <v>11434.608188274882</v>
      </c>
      <c r="R244" s="549">
        <f t="shared" si="72"/>
        <v>10881.009498572237</v>
      </c>
      <c r="S244" s="549">
        <f t="shared" si="72"/>
        <v>10340.54193336063</v>
      </c>
      <c r="T244" s="549">
        <f t="shared" si="72"/>
        <v>9809.4871955448762</v>
      </c>
      <c r="U244" s="549">
        <f t="shared" si="72"/>
        <v>9287.971918061452</v>
      </c>
      <c r="V244" s="549">
        <f t="shared" si="72"/>
        <v>8776.1241012538412</v>
      </c>
      <c r="W244" s="549">
        <f t="shared" si="72"/>
        <v>8274.0730905681357</v>
      </c>
      <c r="X244" s="549">
        <f t="shared" si="72"/>
        <v>7917.9225823077377</v>
      </c>
      <c r="Y244" s="549">
        <f t="shared" si="72"/>
        <v>7570.5661804829042</v>
      </c>
      <c r="Z244" s="549">
        <f t="shared" si="72"/>
        <v>7226.4897346014277</v>
      </c>
      <c r="AA244" s="549">
        <f t="shared" si="72"/>
        <v>6886.6908325763397</v>
      </c>
      <c r="AB244" s="549">
        <f t="shared" si="72"/>
        <v>6551.3610853192331</v>
      </c>
      <c r="AC244" s="549">
        <f t="shared" si="72"/>
        <v>6218.4307756950584</v>
      </c>
      <c r="AD244" s="549">
        <f t="shared" si="72"/>
        <v>5890.3950246557415</v>
      </c>
      <c r="AE244" s="549">
        <f t="shared" si="72"/>
        <v>5567.4526619188264</v>
      </c>
      <c r="AF244" s="549">
        <f t="shared" si="72"/>
        <v>5249.8035960702646</v>
      </c>
      <c r="AG244" s="549">
        <f t="shared" si="72"/>
        <v>4937.648791116786</v>
      </c>
      <c r="AI244" s="264"/>
      <c r="AJ244" s="265"/>
    </row>
    <row r="245" spans="1:36" s="160" customFormat="1">
      <c r="B245" s="156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J245" s="272"/>
    </row>
    <row r="246" spans="1:36" s="160" customFormat="1" ht="14.75" customHeight="1">
      <c r="A246" s="160" t="s">
        <v>676</v>
      </c>
      <c r="B246" s="299" t="s">
        <v>127</v>
      </c>
      <c r="C246" s="120">
        <f>C179</f>
        <v>518007.61068966892</v>
      </c>
      <c r="D246" s="120">
        <f t="shared" ref="D246:AG246" si="74">D179</f>
        <v>553324.6834720429</v>
      </c>
      <c r="E246" s="120">
        <f t="shared" si="74"/>
        <v>587712.70998960582</v>
      </c>
      <c r="F246" s="120">
        <f t="shared" si="74"/>
        <v>621166.32988635916</v>
      </c>
      <c r="G246" s="120">
        <f t="shared" si="74"/>
        <v>653680.2557733421</v>
      </c>
      <c r="H246" s="120">
        <f t="shared" si="74"/>
        <v>685249.2727801922</v>
      </c>
      <c r="I246" s="120">
        <f t="shared" si="74"/>
        <v>714672.88710136956</v>
      </c>
      <c r="J246" s="120">
        <f t="shared" si="74"/>
        <v>742913.78177552391</v>
      </c>
      <c r="K246" s="120">
        <f t="shared" si="74"/>
        <v>769968.4816052902</v>
      </c>
      <c r="L246" s="120">
        <f t="shared" si="74"/>
        <v>795833.57538096257</v>
      </c>
      <c r="M246" s="120">
        <f t="shared" si="74"/>
        <v>820505.71546727663</v>
      </c>
      <c r="N246" s="120">
        <f t="shared" si="74"/>
        <v>825740.76619597245</v>
      </c>
      <c r="O246" s="120">
        <f t="shared" si="74"/>
        <v>832902.90481738013</v>
      </c>
      <c r="P246" s="120">
        <f t="shared" si="74"/>
        <v>836399.99011735339</v>
      </c>
      <c r="Q246" s="120">
        <f t="shared" si="74"/>
        <v>838775.67076213751</v>
      </c>
      <c r="R246" s="120">
        <f t="shared" si="74"/>
        <v>840026.95743696438</v>
      </c>
      <c r="S246" s="120">
        <f t="shared" si="74"/>
        <v>840379.46013060375</v>
      </c>
      <c r="T246" s="120">
        <f t="shared" si="74"/>
        <v>839622.59607833833</v>
      </c>
      <c r="U246" s="120">
        <f t="shared" si="74"/>
        <v>837753.4113092192</v>
      </c>
      <c r="V246" s="120">
        <f t="shared" si="74"/>
        <v>834769.01057859254</v>
      </c>
      <c r="W246" s="120">
        <f t="shared" si="74"/>
        <v>830666.55698001571</v>
      </c>
      <c r="X246" s="120">
        <f t="shared" si="74"/>
        <v>841974.657445597</v>
      </c>
      <c r="Y246" s="120">
        <f t="shared" si="74"/>
        <v>852257.45279209712</v>
      </c>
      <c r="Z246" s="120">
        <f t="shared" si="74"/>
        <v>861133.2791298636</v>
      </c>
      <c r="AA246" s="120">
        <f t="shared" si="74"/>
        <v>868703.16053505149</v>
      </c>
      <c r="AB246" s="120">
        <f t="shared" si="74"/>
        <v>874964.40317646507</v>
      </c>
      <c r="AC246" s="120">
        <f t="shared" si="74"/>
        <v>879679.50360222603</v>
      </c>
      <c r="AD246" s="120">
        <f t="shared" si="74"/>
        <v>883061.97104390827</v>
      </c>
      <c r="AE246" s="120">
        <f t="shared" si="74"/>
        <v>885109.43314529001</v>
      </c>
      <c r="AF246" s="120">
        <f t="shared" si="74"/>
        <v>885819.58039284451</v>
      </c>
      <c r="AG246" s="120">
        <f t="shared" si="74"/>
        <v>885190.16557580873</v>
      </c>
      <c r="AI246" s="616" t="s">
        <v>682</v>
      </c>
      <c r="AJ246" s="272"/>
    </row>
    <row r="247" spans="1:36" s="160" customFormat="1">
      <c r="A247" s="160" t="s">
        <v>671</v>
      </c>
      <c r="B247" s="298" t="s">
        <v>127</v>
      </c>
      <c r="C247" s="547">
        <f>C246/(1-C204)</f>
        <v>709599.46669817658</v>
      </c>
      <c r="D247" s="547">
        <f t="shared" ref="D247:AG247" si="75">D246/(1-D204)</f>
        <v>753848.34260496311</v>
      </c>
      <c r="E247" s="547">
        <f t="shared" si="75"/>
        <v>796358.68562277209</v>
      </c>
      <c r="F247" s="547">
        <f t="shared" si="75"/>
        <v>837151.38798700692</v>
      </c>
      <c r="G247" s="547">
        <f t="shared" si="75"/>
        <v>876246.99165327358</v>
      </c>
      <c r="H247" s="547">
        <f t="shared" si="75"/>
        <v>913665.69704025623</v>
      </c>
      <c r="I247" s="547">
        <f t="shared" si="75"/>
        <v>947842.02533338137</v>
      </c>
      <c r="J247" s="547">
        <f t="shared" si="75"/>
        <v>980097.33743472805</v>
      </c>
      <c r="K247" s="547">
        <f t="shared" si="75"/>
        <v>1010457.3249413257</v>
      </c>
      <c r="L247" s="547">
        <f t="shared" si="75"/>
        <v>1038947.2263459042</v>
      </c>
      <c r="M247" s="547">
        <f t="shared" si="75"/>
        <v>1065591.8382691904</v>
      </c>
      <c r="N247" s="547">
        <f t="shared" si="75"/>
        <v>1066848.5351369153</v>
      </c>
      <c r="O247" s="547">
        <f t="shared" si="75"/>
        <v>1070569.2863976608</v>
      </c>
      <c r="P247" s="547">
        <f t="shared" si="75"/>
        <v>1069565.2047536487</v>
      </c>
      <c r="Q247" s="547">
        <f t="shared" si="75"/>
        <v>1067144.6192902513</v>
      </c>
      <c r="R247" s="547">
        <f t="shared" si="75"/>
        <v>1063325.2625784359</v>
      </c>
      <c r="S247" s="547">
        <f t="shared" si="75"/>
        <v>1058412.4183005085</v>
      </c>
      <c r="T247" s="547">
        <f t="shared" si="75"/>
        <v>1052158.6417021784</v>
      </c>
      <c r="U247" s="547">
        <f t="shared" si="75"/>
        <v>1044580.3133531411</v>
      </c>
      <c r="V247" s="547">
        <f t="shared" si="75"/>
        <v>1035693.5615119013</v>
      </c>
      <c r="W247" s="547">
        <f t="shared" si="75"/>
        <v>1025514.2678765625</v>
      </c>
      <c r="X247" s="547">
        <f t="shared" si="75"/>
        <v>1034366.9010388169</v>
      </c>
      <c r="Y247" s="547">
        <f t="shared" si="75"/>
        <v>1041879.5266407054</v>
      </c>
      <c r="Z247" s="547">
        <f t="shared" si="75"/>
        <v>1047607.3955351138</v>
      </c>
      <c r="AA247" s="547">
        <f t="shared" si="75"/>
        <v>1051698.741567859</v>
      </c>
      <c r="AB247" s="547">
        <f t="shared" si="75"/>
        <v>1054173.9797306808</v>
      </c>
      <c r="AC247" s="547">
        <f t="shared" si="75"/>
        <v>1054771.5870530286</v>
      </c>
      <c r="AD247" s="547">
        <f t="shared" si="75"/>
        <v>1053773.2351359287</v>
      </c>
      <c r="AE247" s="547">
        <f t="shared" si="75"/>
        <v>1051198.8517164963</v>
      </c>
      <c r="AF247" s="547">
        <f t="shared" si="75"/>
        <v>1047068.0619300761</v>
      </c>
      <c r="AG247" s="547">
        <f t="shared" si="75"/>
        <v>1041400.1947950692</v>
      </c>
      <c r="AI247" s="616"/>
      <c r="AJ247" s="272"/>
    </row>
    <row r="248" spans="1:36" s="160" customFormat="1">
      <c r="A248" s="160" t="s">
        <v>670</v>
      </c>
      <c r="B248" s="298" t="s">
        <v>127</v>
      </c>
      <c r="C248" s="547">
        <f>C236</f>
        <v>0</v>
      </c>
      <c r="D248" s="547">
        <f t="shared" ref="D248:AG248" si="76">D236</f>
        <v>0</v>
      </c>
      <c r="E248" s="547">
        <f t="shared" si="76"/>
        <v>0</v>
      </c>
      <c r="F248" s="547">
        <f t="shared" si="76"/>
        <v>0</v>
      </c>
      <c r="G248" s="547">
        <f t="shared" si="76"/>
        <v>0</v>
      </c>
      <c r="H248" s="547">
        <f t="shared" si="76"/>
        <v>0</v>
      </c>
      <c r="I248" s="547">
        <f t="shared" si="76"/>
        <v>0</v>
      </c>
      <c r="J248" s="547">
        <f t="shared" si="76"/>
        <v>0</v>
      </c>
      <c r="K248" s="547">
        <f t="shared" si="76"/>
        <v>0</v>
      </c>
      <c r="L248" s="547">
        <f t="shared" si="76"/>
        <v>0</v>
      </c>
      <c r="M248" s="547">
        <f t="shared" si="76"/>
        <v>0</v>
      </c>
      <c r="N248" s="547">
        <f t="shared" si="76"/>
        <v>0</v>
      </c>
      <c r="O248" s="547">
        <f t="shared" si="76"/>
        <v>0</v>
      </c>
      <c r="P248" s="547">
        <f t="shared" si="76"/>
        <v>0</v>
      </c>
      <c r="Q248" s="547">
        <f t="shared" si="76"/>
        <v>0</v>
      </c>
      <c r="R248" s="547">
        <f t="shared" si="76"/>
        <v>0</v>
      </c>
      <c r="S248" s="547">
        <f t="shared" si="76"/>
        <v>0</v>
      </c>
      <c r="T248" s="547">
        <f t="shared" si="76"/>
        <v>0</v>
      </c>
      <c r="U248" s="547">
        <f t="shared" si="76"/>
        <v>0</v>
      </c>
      <c r="V248" s="547">
        <f t="shared" si="76"/>
        <v>0</v>
      </c>
      <c r="W248" s="547">
        <f t="shared" si="76"/>
        <v>0</v>
      </c>
      <c r="X248" s="547">
        <f t="shared" si="76"/>
        <v>0</v>
      </c>
      <c r="Y248" s="547">
        <f t="shared" si="76"/>
        <v>0</v>
      </c>
      <c r="Z248" s="547">
        <f t="shared" si="76"/>
        <v>0</v>
      </c>
      <c r="AA248" s="547">
        <f t="shared" si="76"/>
        <v>0</v>
      </c>
      <c r="AB248" s="547">
        <f t="shared" si="76"/>
        <v>0</v>
      </c>
      <c r="AC248" s="547">
        <f t="shared" si="76"/>
        <v>0</v>
      </c>
      <c r="AD248" s="547">
        <f t="shared" si="76"/>
        <v>0</v>
      </c>
      <c r="AE248" s="547">
        <f t="shared" si="76"/>
        <v>0</v>
      </c>
      <c r="AF248" s="547">
        <f t="shared" si="76"/>
        <v>0</v>
      </c>
      <c r="AG248" s="547">
        <f t="shared" si="76"/>
        <v>0</v>
      </c>
      <c r="AI248" s="616"/>
      <c r="AJ248" s="272"/>
    </row>
    <row r="249" spans="1:36" s="160" customFormat="1">
      <c r="A249" s="160" t="s">
        <v>669</v>
      </c>
      <c r="B249" s="298" t="s">
        <v>127</v>
      </c>
      <c r="C249" s="547">
        <f>C247-C248</f>
        <v>709599.46669817658</v>
      </c>
      <c r="D249" s="547">
        <f t="shared" ref="D249:AG249" si="77">D247-D248</f>
        <v>753848.34260496311</v>
      </c>
      <c r="E249" s="547">
        <f t="shared" si="77"/>
        <v>796358.68562277209</v>
      </c>
      <c r="F249" s="547">
        <f t="shared" si="77"/>
        <v>837151.38798700692</v>
      </c>
      <c r="G249" s="547">
        <f t="shared" si="77"/>
        <v>876246.99165327358</v>
      </c>
      <c r="H249" s="547">
        <f t="shared" si="77"/>
        <v>913665.69704025623</v>
      </c>
      <c r="I249" s="547">
        <f t="shared" si="77"/>
        <v>947842.02533338137</v>
      </c>
      <c r="J249" s="547">
        <f t="shared" si="77"/>
        <v>980097.33743472805</v>
      </c>
      <c r="K249" s="547">
        <f t="shared" si="77"/>
        <v>1010457.3249413257</v>
      </c>
      <c r="L249" s="547">
        <f t="shared" si="77"/>
        <v>1038947.2263459042</v>
      </c>
      <c r="M249" s="547">
        <f t="shared" si="77"/>
        <v>1065591.8382691904</v>
      </c>
      <c r="N249" s="547">
        <f t="shared" si="77"/>
        <v>1066848.5351369153</v>
      </c>
      <c r="O249" s="547">
        <f t="shared" si="77"/>
        <v>1070569.2863976608</v>
      </c>
      <c r="P249" s="547">
        <f t="shared" si="77"/>
        <v>1069565.2047536487</v>
      </c>
      <c r="Q249" s="547">
        <f t="shared" si="77"/>
        <v>1067144.6192902513</v>
      </c>
      <c r="R249" s="547">
        <f t="shared" si="77"/>
        <v>1063325.2625784359</v>
      </c>
      <c r="S249" s="547">
        <f t="shared" si="77"/>
        <v>1058412.4183005085</v>
      </c>
      <c r="T249" s="547">
        <f t="shared" si="77"/>
        <v>1052158.6417021784</v>
      </c>
      <c r="U249" s="547">
        <f t="shared" si="77"/>
        <v>1044580.3133531411</v>
      </c>
      <c r="V249" s="547">
        <f t="shared" si="77"/>
        <v>1035693.5615119013</v>
      </c>
      <c r="W249" s="547">
        <f t="shared" si="77"/>
        <v>1025514.2678765625</v>
      </c>
      <c r="X249" s="547">
        <f t="shared" si="77"/>
        <v>1034366.9010388169</v>
      </c>
      <c r="Y249" s="547">
        <f t="shared" si="77"/>
        <v>1041879.5266407054</v>
      </c>
      <c r="Z249" s="547">
        <f t="shared" si="77"/>
        <v>1047607.3955351138</v>
      </c>
      <c r="AA249" s="547">
        <f t="shared" si="77"/>
        <v>1051698.741567859</v>
      </c>
      <c r="AB249" s="547">
        <f t="shared" si="77"/>
        <v>1054173.9797306808</v>
      </c>
      <c r="AC249" s="547">
        <f t="shared" si="77"/>
        <v>1054771.5870530286</v>
      </c>
      <c r="AD249" s="547">
        <f t="shared" si="77"/>
        <v>1053773.2351359287</v>
      </c>
      <c r="AE249" s="547">
        <f t="shared" si="77"/>
        <v>1051198.8517164963</v>
      </c>
      <c r="AF249" s="547">
        <f t="shared" si="77"/>
        <v>1047068.0619300761</v>
      </c>
      <c r="AG249" s="547">
        <f t="shared" si="77"/>
        <v>1041400.1947950692</v>
      </c>
      <c r="AI249" s="616"/>
      <c r="AJ249" s="272"/>
    </row>
    <row r="250" spans="1:36" s="160" customFormat="1">
      <c r="A250" s="160" t="s">
        <v>672</v>
      </c>
      <c r="B250" s="298" t="s">
        <v>127</v>
      </c>
      <c r="C250" s="547">
        <f>(C249)/(1-C201)</f>
        <v>886999.33337272063</v>
      </c>
      <c r="D250" s="547">
        <f t="shared" ref="D250:AG250" si="78">(D247-D236)/(1-D201)</f>
        <v>938400.42647920724</v>
      </c>
      <c r="E250" s="547">
        <f t="shared" si="78"/>
        <v>987221.51110261003</v>
      </c>
      <c r="F250" s="547">
        <f t="shared" si="78"/>
        <v>1033520.2320827247</v>
      </c>
      <c r="G250" s="547">
        <f t="shared" si="78"/>
        <v>1077352.8585900906</v>
      </c>
      <c r="H250" s="547">
        <f t="shared" si="78"/>
        <v>1118774.3229064362</v>
      </c>
      <c r="I250" s="547">
        <f t="shared" si="78"/>
        <v>1155904.9089431481</v>
      </c>
      <c r="J250" s="547">
        <f t="shared" si="78"/>
        <v>1190401.6244146496</v>
      </c>
      <c r="K250" s="547">
        <f t="shared" si="78"/>
        <v>1222327.4092032167</v>
      </c>
      <c r="L250" s="547">
        <f t="shared" si="78"/>
        <v>1251743.6461998846</v>
      </c>
      <c r="M250" s="547">
        <f t="shared" si="78"/>
        <v>1278710.2059230285</v>
      </c>
      <c r="N250" s="547">
        <f t="shared" si="78"/>
        <v>1275117.7710799787</v>
      </c>
      <c r="O250" s="547">
        <f t="shared" si="78"/>
        <v>1274487.2457115012</v>
      </c>
      <c r="P250" s="547">
        <f t="shared" si="78"/>
        <v>1268259.1360715204</v>
      </c>
      <c r="Q250" s="547">
        <f t="shared" si="78"/>
        <v>1260407.0306577773</v>
      </c>
      <c r="R250" s="547">
        <f t="shared" si="78"/>
        <v>1250970.8971511014</v>
      </c>
      <c r="S250" s="547">
        <f t="shared" si="78"/>
        <v>1240327.0526959086</v>
      </c>
      <c r="T250" s="547">
        <f t="shared" si="78"/>
        <v>1228200.7490686909</v>
      </c>
      <c r="U250" s="547">
        <f t="shared" si="78"/>
        <v>1214628.2713408619</v>
      </c>
      <c r="V250" s="547">
        <f t="shared" si="78"/>
        <v>1199645.0519442875</v>
      </c>
      <c r="W250" s="547">
        <f t="shared" si="78"/>
        <v>1183285.6937037262</v>
      </c>
      <c r="X250" s="547">
        <f t="shared" si="78"/>
        <v>1188927.4724584103</v>
      </c>
      <c r="Y250" s="547">
        <f t="shared" si="78"/>
        <v>1192991.8243977544</v>
      </c>
      <c r="Z250" s="547">
        <f t="shared" si="78"/>
        <v>1194989.4245647688</v>
      </c>
      <c r="AA250" s="547">
        <f t="shared" si="78"/>
        <v>1195112.2063271126</v>
      </c>
      <c r="AB250" s="547">
        <f t="shared" si="78"/>
        <v>1193404.5053554878</v>
      </c>
      <c r="AC250" s="547">
        <f t="shared" si="78"/>
        <v>1189592.0154733409</v>
      </c>
      <c r="AD250" s="547">
        <f t="shared" si="78"/>
        <v>1184014.8709392461</v>
      </c>
      <c r="AE250" s="547">
        <f t="shared" si="78"/>
        <v>1176715.1325184663</v>
      </c>
      <c r="AF250" s="547">
        <f t="shared" si="78"/>
        <v>1167733.898063282</v>
      </c>
      <c r="AG250" s="547">
        <f t="shared" si="78"/>
        <v>1157111.3275500769</v>
      </c>
      <c r="AI250" s="616"/>
      <c r="AJ250" s="272"/>
    </row>
    <row r="251" spans="1:36" s="160" customFormat="1">
      <c r="A251" s="160" t="s">
        <v>674</v>
      </c>
      <c r="B251" s="298" t="s">
        <v>127</v>
      </c>
      <c r="C251" s="547">
        <f>IF(C230&gt;C250,C250,C230)</f>
        <v>444627.60576097848</v>
      </c>
      <c r="D251" s="547">
        <f t="shared" ref="D251:AG251" si="79">IF(D230&gt;D250,D250,D230)</f>
        <v>457918.55816965672</v>
      </c>
      <c r="E251" s="547">
        <f t="shared" si="79"/>
        <v>470784.89890559413</v>
      </c>
      <c r="F251" s="547">
        <f t="shared" si="79"/>
        <v>483228.86109035427</v>
      </c>
      <c r="G251" s="547">
        <f t="shared" si="79"/>
        <v>495252.66995963483</v>
      </c>
      <c r="H251" s="547">
        <f t="shared" si="79"/>
        <v>506858.54288556136</v>
      </c>
      <c r="I251" s="547">
        <f t="shared" si="79"/>
        <v>517486.88815056195</v>
      </c>
      <c r="J251" s="547">
        <f t="shared" si="79"/>
        <v>527666.02747729502</v>
      </c>
      <c r="K251" s="547">
        <f t="shared" si="79"/>
        <v>537398.36092535662</v>
      </c>
      <c r="L251" s="547">
        <f t="shared" si="79"/>
        <v>546686.28002661176</v>
      </c>
      <c r="M251" s="547">
        <f t="shared" si="79"/>
        <v>555532.1678093957</v>
      </c>
      <c r="N251" s="547">
        <f t="shared" si="79"/>
        <v>561066.83125221613</v>
      </c>
      <c r="O251" s="547">
        <f t="shared" si="79"/>
        <v>567669.73149280576</v>
      </c>
      <c r="P251" s="547">
        <f t="shared" si="79"/>
        <v>572330.13265506481</v>
      </c>
      <c r="Q251" s="547">
        <f t="shared" si="79"/>
        <v>576418.34428660711</v>
      </c>
      <c r="R251" s="547">
        <f t="shared" si="79"/>
        <v>579937.52068201196</v>
      </c>
      <c r="S251" s="547">
        <f t="shared" si="79"/>
        <v>582981.72971575102</v>
      </c>
      <c r="T251" s="547">
        <f t="shared" si="79"/>
        <v>585467.41193093604</v>
      </c>
      <c r="U251" s="547">
        <f t="shared" si="79"/>
        <v>587397.66298742441</v>
      </c>
      <c r="V251" s="547">
        <f t="shared" si="79"/>
        <v>588775.56740151753</v>
      </c>
      <c r="W251" s="547">
        <f t="shared" si="79"/>
        <v>589604.19857780519</v>
      </c>
      <c r="X251" s="547">
        <f t="shared" si="79"/>
        <v>592852.85418400005</v>
      </c>
      <c r="Y251" s="547">
        <f t="shared" si="79"/>
        <v>595831.55943997402</v>
      </c>
      <c r="Z251" s="547">
        <f t="shared" si="79"/>
        <v>598379.18916517135</v>
      </c>
      <c r="AA251" s="547">
        <f t="shared" si="79"/>
        <v>600514.8398895209</v>
      </c>
      <c r="AB251" s="547">
        <f t="shared" si="79"/>
        <v>602240.78020830126</v>
      </c>
      <c r="AC251" s="547">
        <f t="shared" si="79"/>
        <v>603488.07059563778</v>
      </c>
      <c r="AD251" s="547">
        <f t="shared" si="79"/>
        <v>604327.56980230566</v>
      </c>
      <c r="AE251" s="547">
        <f t="shared" si="79"/>
        <v>604761.53812896041</v>
      </c>
      <c r="AF251" s="547">
        <f t="shared" si="79"/>
        <v>604792.22798472655</v>
      </c>
      <c r="AG251" s="547">
        <f t="shared" si="79"/>
        <v>604421.8839082229</v>
      </c>
      <c r="AI251" s="616"/>
      <c r="AJ251" s="272"/>
    </row>
    <row r="252" spans="1:36" s="160" customFormat="1">
      <c r="A252" s="160" t="s">
        <v>673</v>
      </c>
      <c r="B252" s="298" t="s">
        <v>127</v>
      </c>
      <c r="C252" s="547">
        <f>IF(C250-C251&lt;0,0,C250-C251)</f>
        <v>442371.72761174216</v>
      </c>
      <c r="D252" s="547">
        <f t="shared" ref="D252:AG252" si="80">IF(D250-D251&lt;0,0,D250-D251)</f>
        <v>480481.86830955051</v>
      </c>
      <c r="E252" s="547">
        <f t="shared" si="80"/>
        <v>516436.6121970159</v>
      </c>
      <c r="F252" s="547">
        <f t="shared" si="80"/>
        <v>550291.37099237042</v>
      </c>
      <c r="G252" s="547">
        <f t="shared" si="80"/>
        <v>582100.18863045587</v>
      </c>
      <c r="H252" s="547">
        <f t="shared" si="80"/>
        <v>611915.78002087481</v>
      </c>
      <c r="I252" s="547">
        <f t="shared" si="80"/>
        <v>638418.02079258615</v>
      </c>
      <c r="J252" s="547">
        <f t="shared" si="80"/>
        <v>662735.59693735454</v>
      </c>
      <c r="K252" s="547">
        <f t="shared" si="80"/>
        <v>684929.04827786004</v>
      </c>
      <c r="L252" s="547">
        <f t="shared" si="80"/>
        <v>705057.36617327284</v>
      </c>
      <c r="M252" s="547">
        <f t="shared" si="80"/>
        <v>723178.03811363282</v>
      </c>
      <c r="N252" s="547">
        <f t="shared" si="80"/>
        <v>714050.93982776254</v>
      </c>
      <c r="O252" s="547">
        <f t="shared" si="80"/>
        <v>706817.51421869546</v>
      </c>
      <c r="P252" s="547">
        <f t="shared" si="80"/>
        <v>695929.00341645558</v>
      </c>
      <c r="Q252" s="547">
        <f t="shared" si="80"/>
        <v>683988.68637117022</v>
      </c>
      <c r="R252" s="547">
        <f t="shared" si="80"/>
        <v>671033.37646908942</v>
      </c>
      <c r="S252" s="547">
        <f t="shared" si="80"/>
        <v>657345.32298015757</v>
      </c>
      <c r="T252" s="547">
        <f t="shared" si="80"/>
        <v>642733.33713775489</v>
      </c>
      <c r="U252" s="547">
        <f t="shared" si="80"/>
        <v>627230.60835343751</v>
      </c>
      <c r="V252" s="547">
        <f t="shared" si="80"/>
        <v>610869.48454276996</v>
      </c>
      <c r="W252" s="547">
        <f t="shared" si="80"/>
        <v>593681.49512592098</v>
      </c>
      <c r="X252" s="547">
        <f t="shared" si="80"/>
        <v>596074.61827441026</v>
      </c>
      <c r="Y252" s="547">
        <f t="shared" si="80"/>
        <v>597160.26495778037</v>
      </c>
      <c r="Z252" s="547">
        <f t="shared" si="80"/>
        <v>596610.23539959744</v>
      </c>
      <c r="AA252" s="547">
        <f t="shared" si="80"/>
        <v>594597.36643759173</v>
      </c>
      <c r="AB252" s="547">
        <f t="shared" si="80"/>
        <v>591163.72514718655</v>
      </c>
      <c r="AC252" s="547">
        <f t="shared" si="80"/>
        <v>586103.94487770309</v>
      </c>
      <c r="AD252" s="547">
        <f t="shared" si="80"/>
        <v>579687.30113694048</v>
      </c>
      <c r="AE252" s="547">
        <f t="shared" si="80"/>
        <v>571953.59438950592</v>
      </c>
      <c r="AF252" s="547">
        <f t="shared" si="80"/>
        <v>562941.67007855547</v>
      </c>
      <c r="AG252" s="547">
        <f t="shared" si="80"/>
        <v>552689.44364185398</v>
      </c>
      <c r="AI252" s="616"/>
      <c r="AJ252" s="272"/>
    </row>
    <row r="253" spans="1:36" s="160" customFormat="1">
      <c r="A253" s="160" t="s">
        <v>675</v>
      </c>
      <c r="B253" s="298" t="s">
        <v>127</v>
      </c>
      <c r="C253" s="547">
        <f>C247*C204+C201*C250+C237+IF(C230&gt;C250,C230-C250,0)</f>
        <v>368991.72268305183</v>
      </c>
      <c r="D253" s="547">
        <f t="shared" ref="D253:AG253" si="81">D247*D204+D201*D250+D237+IF(D230&gt;D250,D230-D250,0)</f>
        <v>385075.74300716433</v>
      </c>
      <c r="E253" s="547">
        <f t="shared" si="81"/>
        <v>399508.80111300421</v>
      </c>
      <c r="F253" s="547">
        <f t="shared" si="81"/>
        <v>412353.90219636553</v>
      </c>
      <c r="G253" s="547">
        <f t="shared" si="81"/>
        <v>423672.60281674843</v>
      </c>
      <c r="H253" s="547">
        <f t="shared" si="81"/>
        <v>433525.05012624408</v>
      </c>
      <c r="I253" s="547">
        <f t="shared" si="81"/>
        <v>441232.02184177854</v>
      </c>
      <c r="J253" s="547">
        <f t="shared" si="81"/>
        <v>447487.84263912565</v>
      </c>
      <c r="K253" s="547">
        <f t="shared" si="81"/>
        <v>452358.92759792646</v>
      </c>
      <c r="L253" s="547">
        <f t="shared" si="81"/>
        <v>455910.07081892202</v>
      </c>
      <c r="M253" s="547">
        <f t="shared" si="81"/>
        <v>458204.49045575195</v>
      </c>
      <c r="N253" s="547">
        <f t="shared" si="81"/>
        <v>449377.00488400611</v>
      </c>
      <c r="O253" s="547">
        <f t="shared" si="81"/>
        <v>441584.34089412098</v>
      </c>
      <c r="P253" s="547">
        <f t="shared" si="81"/>
        <v>431859.145954167</v>
      </c>
      <c r="Q253" s="547">
        <f t="shared" si="81"/>
        <v>421631.3598956397</v>
      </c>
      <c r="R253" s="547">
        <f t="shared" si="81"/>
        <v>410943.93971413688</v>
      </c>
      <c r="S253" s="547">
        <f t="shared" si="81"/>
        <v>399947.59256530477</v>
      </c>
      <c r="T253" s="547">
        <f t="shared" si="81"/>
        <v>388578.15299035248</v>
      </c>
      <c r="U253" s="547">
        <f t="shared" si="81"/>
        <v>376874.86003164272</v>
      </c>
      <c r="V253" s="547">
        <f t="shared" si="81"/>
        <v>364876.04136569495</v>
      </c>
      <c r="W253" s="547">
        <f t="shared" si="81"/>
        <v>352619.13672371046</v>
      </c>
      <c r="X253" s="547">
        <f t="shared" si="81"/>
        <v>346952.81501281337</v>
      </c>
      <c r="Y253" s="547">
        <f t="shared" si="81"/>
        <v>340734.37160565739</v>
      </c>
      <c r="Z253" s="547">
        <f t="shared" si="81"/>
        <v>333856.14543490519</v>
      </c>
      <c r="AA253" s="547">
        <f t="shared" si="81"/>
        <v>326409.04579206114</v>
      </c>
      <c r="AB253" s="547">
        <f t="shared" si="81"/>
        <v>318440.10217902274</v>
      </c>
      <c r="AC253" s="547">
        <f t="shared" si="81"/>
        <v>309912.51187111484</v>
      </c>
      <c r="AD253" s="547">
        <f t="shared" si="81"/>
        <v>300952.89989533764</v>
      </c>
      <c r="AE253" s="547">
        <f t="shared" si="81"/>
        <v>291605.69937317632</v>
      </c>
      <c r="AF253" s="547">
        <f t="shared" si="81"/>
        <v>281914.31767043762</v>
      </c>
      <c r="AG253" s="547">
        <f t="shared" si="81"/>
        <v>271921.16197426809</v>
      </c>
      <c r="AI253" s="616"/>
      <c r="AJ253" s="272"/>
    </row>
    <row r="254" spans="1:36" s="160" customFormat="1">
      <c r="A254" s="160" t="s">
        <v>685</v>
      </c>
      <c r="B254" s="298" t="s">
        <v>127</v>
      </c>
      <c r="C254" s="547">
        <f>C233-C252</f>
        <v>2077184.7050338027</v>
      </c>
      <c r="D254" s="547">
        <f t="shared" ref="D254:AG254" si="82">D233-D252</f>
        <v>1990716.150298981</v>
      </c>
      <c r="E254" s="547">
        <f t="shared" si="82"/>
        <v>1906947.9493826004</v>
      </c>
      <c r="F254" s="547">
        <f t="shared" si="82"/>
        <v>1825822.1412329813</v>
      </c>
      <c r="G254" s="547">
        <f t="shared" si="82"/>
        <v>1747282.1411796904</v>
      </c>
      <c r="H254" s="547">
        <f t="shared" si="82"/>
        <v>1671272.7021517004</v>
      </c>
      <c r="I254" s="547">
        <f t="shared" si="82"/>
        <v>1596684.921644948</v>
      </c>
      <c r="J254" s="547">
        <f t="shared" si="82"/>
        <v>1524860.9526554798</v>
      </c>
      <c r="K254" s="547">
        <f t="shared" si="82"/>
        <v>1455737.5123517178</v>
      </c>
      <c r="L254" s="547">
        <f t="shared" si="82"/>
        <v>1389252.8756678062</v>
      </c>
      <c r="M254" s="547">
        <f t="shared" si="82"/>
        <v>1325346.8306835149</v>
      </c>
      <c r="N254" s="547">
        <f t="shared" si="82"/>
        <v>1279055.9675492309</v>
      </c>
      <c r="O254" s="547">
        <f t="shared" si="82"/>
        <v>1237325.725495605</v>
      </c>
      <c r="P254" s="547">
        <f t="shared" si="82"/>
        <v>1195141.7218412419</v>
      </c>
      <c r="Q254" s="547">
        <f t="shared" si="82"/>
        <v>1154753.6297609692</v>
      </c>
      <c r="R254" s="547">
        <f t="shared" si="82"/>
        <v>1116121.0239999695</v>
      </c>
      <c r="S254" s="547">
        <f t="shared" si="82"/>
        <v>1079228.9010802903</v>
      </c>
      <c r="T254" s="547">
        <f t="shared" si="82"/>
        <v>1043988.4304821618</v>
      </c>
      <c r="U254" s="547">
        <f t="shared" si="82"/>
        <v>1010362.876338777</v>
      </c>
      <c r="V254" s="547">
        <f t="shared" si="82"/>
        <v>978316.35644603742</v>
      </c>
      <c r="W254" s="547">
        <f t="shared" si="82"/>
        <v>947813.81922810082</v>
      </c>
      <c r="X254" s="547">
        <f t="shared" si="82"/>
        <v>905958.93808576046</v>
      </c>
      <c r="Y254" s="547">
        <f t="shared" si="82"/>
        <v>866333.84186943772</v>
      </c>
      <c r="Z254" s="547">
        <f t="shared" si="82"/>
        <v>828840.97847414308</v>
      </c>
      <c r="AA254" s="547">
        <f t="shared" si="82"/>
        <v>793347.52840640105</v>
      </c>
      <c r="AB254" s="547">
        <f t="shared" si="82"/>
        <v>759808.83586062514</v>
      </c>
      <c r="AC254" s="547">
        <f t="shared" si="82"/>
        <v>728272.61565686448</v>
      </c>
      <c r="AD254" s="547">
        <f t="shared" si="82"/>
        <v>698625.53342930786</v>
      </c>
      <c r="AE254" s="547">
        <f t="shared" si="82"/>
        <v>670825.20799770672</v>
      </c>
      <c r="AF254" s="547">
        <f t="shared" si="82"/>
        <v>644830.22177106387</v>
      </c>
      <c r="AG254" s="547">
        <f t="shared" si="82"/>
        <v>620600.09570940211</v>
      </c>
      <c r="AI254" s="616"/>
      <c r="AJ254" s="272"/>
    </row>
    <row r="255" spans="1:36" s="160" customFormat="1">
      <c r="B255" s="299"/>
      <c r="C255" s="547"/>
      <c r="D255" s="547"/>
      <c r="E255" s="547"/>
      <c r="F255" s="547"/>
      <c r="G255" s="547"/>
      <c r="H255" s="547"/>
      <c r="I255" s="547"/>
      <c r="J255" s="547"/>
      <c r="K255" s="547"/>
      <c r="L255" s="547"/>
      <c r="M255" s="547"/>
      <c r="N255" s="547"/>
      <c r="O255" s="547"/>
      <c r="P255" s="547"/>
      <c r="Q255" s="547"/>
      <c r="R255" s="547"/>
      <c r="S255" s="547"/>
      <c r="T255" s="547"/>
      <c r="U255" s="547"/>
      <c r="V255" s="547"/>
      <c r="W255" s="547"/>
      <c r="X255" s="547"/>
      <c r="Y255" s="547"/>
      <c r="Z255" s="547"/>
      <c r="AA255" s="547"/>
      <c r="AB255" s="547"/>
      <c r="AC255" s="547"/>
      <c r="AD255" s="547"/>
      <c r="AE255" s="547"/>
      <c r="AF255" s="547"/>
      <c r="AG255" s="547"/>
      <c r="AJ255" s="272"/>
    </row>
    <row r="256" spans="1:36" s="160" customFormat="1">
      <c r="A256" s="160" t="s">
        <v>677</v>
      </c>
      <c r="B256" s="299" t="s">
        <v>126</v>
      </c>
      <c r="C256" s="546">
        <v>0.8</v>
      </c>
      <c r="D256" s="547">
        <f>C256</f>
        <v>0.8</v>
      </c>
      <c r="E256" s="547">
        <f t="shared" ref="E256:AG256" si="83">D256</f>
        <v>0.8</v>
      </c>
      <c r="F256" s="547">
        <f t="shared" si="83"/>
        <v>0.8</v>
      </c>
      <c r="G256" s="547">
        <f t="shared" si="83"/>
        <v>0.8</v>
      </c>
      <c r="H256" s="547">
        <f t="shared" si="83"/>
        <v>0.8</v>
      </c>
      <c r="I256" s="547">
        <f t="shared" si="83"/>
        <v>0.8</v>
      </c>
      <c r="J256" s="547">
        <f t="shared" si="83"/>
        <v>0.8</v>
      </c>
      <c r="K256" s="547">
        <f t="shared" si="83"/>
        <v>0.8</v>
      </c>
      <c r="L256" s="547">
        <f t="shared" si="83"/>
        <v>0.8</v>
      </c>
      <c r="M256" s="547">
        <f t="shared" si="83"/>
        <v>0.8</v>
      </c>
      <c r="N256" s="547">
        <f t="shared" si="83"/>
        <v>0.8</v>
      </c>
      <c r="O256" s="547">
        <f t="shared" si="83"/>
        <v>0.8</v>
      </c>
      <c r="P256" s="547">
        <f t="shared" si="83"/>
        <v>0.8</v>
      </c>
      <c r="Q256" s="547">
        <f t="shared" si="83"/>
        <v>0.8</v>
      </c>
      <c r="R256" s="547">
        <f t="shared" si="83"/>
        <v>0.8</v>
      </c>
      <c r="S256" s="547">
        <f t="shared" si="83"/>
        <v>0.8</v>
      </c>
      <c r="T256" s="547">
        <f t="shared" si="83"/>
        <v>0.8</v>
      </c>
      <c r="U256" s="547">
        <f t="shared" si="83"/>
        <v>0.8</v>
      </c>
      <c r="V256" s="547">
        <f t="shared" si="83"/>
        <v>0.8</v>
      </c>
      <c r="W256" s="547">
        <f t="shared" si="83"/>
        <v>0.8</v>
      </c>
      <c r="X256" s="547">
        <f t="shared" si="83"/>
        <v>0.8</v>
      </c>
      <c r="Y256" s="547">
        <f t="shared" si="83"/>
        <v>0.8</v>
      </c>
      <c r="Z256" s="547">
        <f t="shared" si="83"/>
        <v>0.8</v>
      </c>
      <c r="AA256" s="547">
        <f t="shared" si="83"/>
        <v>0.8</v>
      </c>
      <c r="AB256" s="547">
        <f t="shared" si="83"/>
        <v>0.8</v>
      </c>
      <c r="AC256" s="547">
        <f t="shared" si="83"/>
        <v>0.8</v>
      </c>
      <c r="AD256" s="547">
        <f t="shared" si="83"/>
        <v>0.8</v>
      </c>
      <c r="AE256" s="547">
        <f t="shared" si="83"/>
        <v>0.8</v>
      </c>
      <c r="AF256" s="547">
        <f t="shared" si="83"/>
        <v>0.8</v>
      </c>
      <c r="AG256" s="547">
        <f t="shared" si="83"/>
        <v>0.8</v>
      </c>
      <c r="AJ256" s="272" t="s">
        <v>678</v>
      </c>
    </row>
    <row r="257" spans="1:37" s="160" customFormat="1">
      <c r="B257" s="299"/>
      <c r="C257" s="547"/>
      <c r="D257" s="547"/>
      <c r="E257" s="547"/>
      <c r="F257" s="547"/>
      <c r="G257" s="547"/>
      <c r="H257" s="547"/>
      <c r="I257" s="547"/>
      <c r="J257" s="547"/>
      <c r="K257" s="547"/>
      <c r="L257" s="547"/>
      <c r="M257" s="547"/>
      <c r="N257" s="547"/>
      <c r="O257" s="547"/>
      <c r="P257" s="547"/>
      <c r="Q257" s="547"/>
      <c r="R257" s="547"/>
      <c r="S257" s="547"/>
      <c r="T257" s="547"/>
      <c r="U257" s="547"/>
      <c r="V257" s="547"/>
      <c r="W257" s="547"/>
      <c r="X257" s="547"/>
      <c r="Y257" s="547"/>
      <c r="Z257" s="547"/>
      <c r="AA257" s="547"/>
      <c r="AB257" s="547"/>
      <c r="AC257" s="547"/>
      <c r="AD257" s="547"/>
      <c r="AE257" s="547"/>
      <c r="AF257" s="547"/>
      <c r="AG257" s="547"/>
      <c r="AJ257" s="272"/>
    </row>
    <row r="258" spans="1:37" s="160" customFormat="1">
      <c r="A258" s="160" t="s">
        <v>634</v>
      </c>
      <c r="B258" s="299" t="s">
        <v>127</v>
      </c>
      <c r="C258" s="547">
        <f>C192*C253*C256</f>
        <v>295193.37814644148</v>
      </c>
      <c r="D258" s="547">
        <f t="shared" ref="D258:AF258" si="84">D192*D253*D256</f>
        <v>308060.59440573148</v>
      </c>
      <c r="E258" s="547">
        <f t="shared" si="84"/>
        <v>319607.04089040338</v>
      </c>
      <c r="F258" s="547">
        <f t="shared" si="84"/>
        <v>329883.12175709242</v>
      </c>
      <c r="G258" s="547">
        <f t="shared" si="84"/>
        <v>338938.08225339878</v>
      </c>
      <c r="H258" s="547">
        <f t="shared" si="84"/>
        <v>346820.04010099528</v>
      </c>
      <c r="I258" s="547">
        <f t="shared" si="84"/>
        <v>352985.61747342284</v>
      </c>
      <c r="J258" s="547">
        <f t="shared" si="84"/>
        <v>357990.27411130053</v>
      </c>
      <c r="K258" s="547">
        <f t="shared" si="84"/>
        <v>361887.14207834122</v>
      </c>
      <c r="L258" s="547">
        <f t="shared" si="84"/>
        <v>364728.05665513763</v>
      </c>
      <c r="M258" s="547">
        <f t="shared" si="84"/>
        <v>366563.59236460156</v>
      </c>
      <c r="N258" s="547">
        <f t="shared" si="84"/>
        <v>359501.60390720493</v>
      </c>
      <c r="O258" s="547">
        <f t="shared" si="84"/>
        <v>353267.47271529678</v>
      </c>
      <c r="P258" s="547">
        <f t="shared" si="84"/>
        <v>345487.31676333363</v>
      </c>
      <c r="Q258" s="547">
        <f t="shared" si="84"/>
        <v>337305.08791651181</v>
      </c>
      <c r="R258" s="547">
        <f t="shared" si="84"/>
        <v>328755.15177130955</v>
      </c>
      <c r="S258" s="547">
        <f t="shared" si="84"/>
        <v>319958.07405224384</v>
      </c>
      <c r="T258" s="547">
        <f t="shared" si="84"/>
        <v>310862.52239228197</v>
      </c>
      <c r="U258" s="547">
        <f t="shared" si="84"/>
        <v>301499.8880253142</v>
      </c>
      <c r="V258" s="547">
        <f t="shared" si="84"/>
        <v>291900.83309255599</v>
      </c>
      <c r="W258" s="547">
        <f t="shared" si="84"/>
        <v>282095.30937896838</v>
      </c>
      <c r="X258" s="547">
        <f t="shared" si="84"/>
        <v>277562.2520102507</v>
      </c>
      <c r="Y258" s="547">
        <f t="shared" si="84"/>
        <v>272587.49728452595</v>
      </c>
      <c r="Z258" s="547">
        <f t="shared" si="84"/>
        <v>267084.91634792415</v>
      </c>
      <c r="AA258" s="547">
        <f t="shared" si="84"/>
        <v>261127.23663364892</v>
      </c>
      <c r="AB258" s="547">
        <f t="shared" si="84"/>
        <v>254752.08174321821</v>
      </c>
      <c r="AC258" s="547">
        <f t="shared" si="84"/>
        <v>247930.00949689187</v>
      </c>
      <c r="AD258" s="547">
        <f t="shared" si="84"/>
        <v>240762.31991627012</v>
      </c>
      <c r="AE258" s="547">
        <f t="shared" si="84"/>
        <v>233284.55949854106</v>
      </c>
      <c r="AF258" s="547">
        <f t="shared" si="84"/>
        <v>225531.4541363501</v>
      </c>
      <c r="AG258" s="547">
        <f>AG192*AG253*AG256</f>
        <v>217536.92957941449</v>
      </c>
      <c r="AJ258" s="272"/>
    </row>
    <row r="259" spans="1:37" s="160" customFormat="1">
      <c r="A259" s="160" t="s">
        <v>639</v>
      </c>
      <c r="B259" s="299" t="s">
        <v>127</v>
      </c>
      <c r="C259" s="547">
        <f>C253*C256-C258</f>
        <v>0</v>
      </c>
      <c r="D259" s="547">
        <f t="shared" ref="D259:AG259" si="85">D253*D256-D258</f>
        <v>0</v>
      </c>
      <c r="E259" s="547">
        <f t="shared" si="85"/>
        <v>0</v>
      </c>
      <c r="F259" s="547">
        <f t="shared" si="85"/>
        <v>0</v>
      </c>
      <c r="G259" s="547">
        <f t="shared" si="85"/>
        <v>0</v>
      </c>
      <c r="H259" s="547">
        <f t="shared" si="85"/>
        <v>0</v>
      </c>
      <c r="I259" s="547">
        <f t="shared" si="85"/>
        <v>0</v>
      </c>
      <c r="J259" s="547">
        <f t="shared" si="85"/>
        <v>0</v>
      </c>
      <c r="K259" s="547">
        <f t="shared" si="85"/>
        <v>0</v>
      </c>
      <c r="L259" s="547">
        <f t="shared" si="85"/>
        <v>0</v>
      </c>
      <c r="M259" s="547">
        <f t="shared" si="85"/>
        <v>0</v>
      </c>
      <c r="N259" s="547">
        <f t="shared" si="85"/>
        <v>0</v>
      </c>
      <c r="O259" s="547">
        <f t="shared" si="85"/>
        <v>0</v>
      </c>
      <c r="P259" s="547">
        <f t="shared" si="85"/>
        <v>0</v>
      </c>
      <c r="Q259" s="547">
        <f t="shared" si="85"/>
        <v>0</v>
      </c>
      <c r="R259" s="547">
        <f t="shared" si="85"/>
        <v>0</v>
      </c>
      <c r="S259" s="547">
        <f t="shared" si="85"/>
        <v>0</v>
      </c>
      <c r="T259" s="547">
        <f t="shared" si="85"/>
        <v>0</v>
      </c>
      <c r="U259" s="547">
        <f t="shared" si="85"/>
        <v>0</v>
      </c>
      <c r="V259" s="547">
        <f t="shared" si="85"/>
        <v>0</v>
      </c>
      <c r="W259" s="547">
        <f t="shared" si="85"/>
        <v>0</v>
      </c>
      <c r="X259" s="547">
        <f t="shared" si="85"/>
        <v>0</v>
      </c>
      <c r="Y259" s="547">
        <f t="shared" si="85"/>
        <v>0</v>
      </c>
      <c r="Z259" s="547">
        <f t="shared" si="85"/>
        <v>0</v>
      </c>
      <c r="AA259" s="547">
        <f t="shared" si="85"/>
        <v>0</v>
      </c>
      <c r="AB259" s="547">
        <f t="shared" si="85"/>
        <v>0</v>
      </c>
      <c r="AC259" s="547">
        <f t="shared" si="85"/>
        <v>0</v>
      </c>
      <c r="AD259" s="547">
        <f t="shared" si="85"/>
        <v>0</v>
      </c>
      <c r="AE259" s="547">
        <f t="shared" si="85"/>
        <v>0</v>
      </c>
      <c r="AF259" s="547">
        <f t="shared" si="85"/>
        <v>0</v>
      </c>
      <c r="AG259" s="547">
        <f t="shared" si="85"/>
        <v>0</v>
      </c>
      <c r="AJ259" s="272"/>
    </row>
    <row r="260" spans="1:37" s="160" customFormat="1">
      <c r="B260" s="156"/>
      <c r="C260" s="547"/>
      <c r="D260" s="547"/>
      <c r="E260" s="547"/>
      <c r="F260" s="547"/>
      <c r="G260" s="547"/>
      <c r="H260" s="547"/>
      <c r="I260" s="547"/>
      <c r="J260" s="547"/>
      <c r="K260" s="547"/>
      <c r="L260" s="547"/>
      <c r="M260" s="547"/>
      <c r="N260" s="547"/>
      <c r="O260" s="547"/>
      <c r="P260" s="547"/>
      <c r="Q260" s="547"/>
      <c r="R260" s="547"/>
      <c r="S260" s="547"/>
      <c r="T260" s="547"/>
      <c r="U260" s="547"/>
      <c r="V260" s="547"/>
      <c r="W260" s="547"/>
      <c r="X260" s="547"/>
      <c r="Y260" s="547"/>
      <c r="Z260" s="547"/>
      <c r="AA260" s="547"/>
      <c r="AB260" s="547"/>
      <c r="AC260" s="547"/>
      <c r="AD260" s="547"/>
      <c r="AE260" s="547"/>
      <c r="AF260" s="547"/>
      <c r="AG260" s="547"/>
      <c r="AJ260" s="272"/>
    </row>
    <row r="261" spans="1:37" s="160" customFormat="1">
      <c r="B261" s="184" t="s">
        <v>633</v>
      </c>
      <c r="C261" s="550">
        <v>0</v>
      </c>
      <c r="D261" s="550">
        <f>C261+1</f>
        <v>1</v>
      </c>
      <c r="E261" s="550">
        <f t="shared" ref="E261:AG261" si="86">D261+1</f>
        <v>2</v>
      </c>
      <c r="F261" s="550">
        <f t="shared" si="86"/>
        <v>3</v>
      </c>
      <c r="G261" s="550">
        <f t="shared" si="86"/>
        <v>4</v>
      </c>
      <c r="H261" s="550">
        <f t="shared" si="86"/>
        <v>5</v>
      </c>
      <c r="I261" s="550">
        <f t="shared" si="86"/>
        <v>6</v>
      </c>
      <c r="J261" s="550">
        <f t="shared" si="86"/>
        <v>7</v>
      </c>
      <c r="K261" s="550">
        <f t="shared" si="86"/>
        <v>8</v>
      </c>
      <c r="L261" s="550">
        <f t="shared" si="86"/>
        <v>9</v>
      </c>
      <c r="M261" s="550">
        <f t="shared" si="86"/>
        <v>10</v>
      </c>
      <c r="N261" s="550">
        <f t="shared" si="86"/>
        <v>11</v>
      </c>
      <c r="O261" s="550">
        <f t="shared" si="86"/>
        <v>12</v>
      </c>
      <c r="P261" s="550">
        <f t="shared" si="86"/>
        <v>13</v>
      </c>
      <c r="Q261" s="550">
        <f t="shared" si="86"/>
        <v>14</v>
      </c>
      <c r="R261" s="550">
        <f t="shared" si="86"/>
        <v>15</v>
      </c>
      <c r="S261" s="550">
        <f t="shared" si="86"/>
        <v>16</v>
      </c>
      <c r="T261" s="550">
        <f t="shared" si="86"/>
        <v>17</v>
      </c>
      <c r="U261" s="550">
        <f t="shared" si="86"/>
        <v>18</v>
      </c>
      <c r="V261" s="550">
        <f t="shared" si="86"/>
        <v>19</v>
      </c>
      <c r="W261" s="550">
        <f t="shared" si="86"/>
        <v>20</v>
      </c>
      <c r="X261" s="550">
        <f t="shared" si="86"/>
        <v>21</v>
      </c>
      <c r="Y261" s="550">
        <f t="shared" si="86"/>
        <v>22</v>
      </c>
      <c r="Z261" s="550">
        <f t="shared" si="86"/>
        <v>23</v>
      </c>
      <c r="AA261" s="550">
        <f t="shared" si="86"/>
        <v>24</v>
      </c>
      <c r="AB261" s="550">
        <f t="shared" si="86"/>
        <v>25</v>
      </c>
      <c r="AC261" s="550">
        <f t="shared" si="86"/>
        <v>26</v>
      </c>
      <c r="AD261" s="550">
        <f t="shared" si="86"/>
        <v>27</v>
      </c>
      <c r="AE261" s="550">
        <f t="shared" si="86"/>
        <v>28</v>
      </c>
      <c r="AF261" s="550">
        <f t="shared" si="86"/>
        <v>29</v>
      </c>
      <c r="AG261" s="550">
        <f t="shared" si="86"/>
        <v>30</v>
      </c>
      <c r="AJ261" s="272" t="s">
        <v>641</v>
      </c>
      <c r="AK261" s="160">
        <f>'Ethylene Recycling HC'!AK303</f>
        <v>1.9</v>
      </c>
    </row>
    <row r="262" spans="1:37" s="160" customFormat="1">
      <c r="A262" s="160" t="s">
        <v>686</v>
      </c>
      <c r="B262" s="156"/>
      <c r="C262" s="551">
        <f>$AK$263/((1+EXP(-$AK$262*(C261-$AK$264)))^$AK$261)</f>
        <v>4.6088632748610021E-5</v>
      </c>
      <c r="D262" s="551">
        <f t="shared" ref="D262:AG262" si="87">$AK$263/((1+EXP(-$AK$262*(D261-$AK$264)))^$AK$261)</f>
        <v>8.924759460408035E-5</v>
      </c>
      <c r="E262" s="551">
        <f t="shared" si="87"/>
        <v>1.7252431976790472E-4</v>
      </c>
      <c r="F262" s="551">
        <f t="shared" si="87"/>
        <v>3.3269643715580369E-4</v>
      </c>
      <c r="G262" s="551">
        <f t="shared" si="87"/>
        <v>6.393827369910735E-4</v>
      </c>
      <c r="H262" s="551">
        <f t="shared" si="87"/>
        <v>1.2229053771654547E-3</v>
      </c>
      <c r="I262" s="551">
        <f t="shared" si="87"/>
        <v>2.3234018804222717E-3</v>
      </c>
      <c r="J262" s="551">
        <f t="shared" si="87"/>
        <v>4.3736281679830789E-3</v>
      </c>
      <c r="K262" s="551">
        <f t="shared" si="87"/>
        <v>8.1294184230466908E-3</v>
      </c>
      <c r="L262" s="551">
        <f t="shared" si="87"/>
        <v>1.4853985082038716E-2</v>
      </c>
      <c r="M262" s="551">
        <f t="shared" si="87"/>
        <v>2.6531412096832362E-2</v>
      </c>
      <c r="N262" s="551">
        <f t="shared" si="87"/>
        <v>4.6014759335105015E-2</v>
      </c>
      <c r="O262" s="551">
        <f t="shared" si="87"/>
        <v>7.6910635328419796E-2</v>
      </c>
      <c r="P262" s="551">
        <f t="shared" si="87"/>
        <v>0.12294065829885638</v>
      </c>
      <c r="Q262" s="551">
        <f t="shared" si="87"/>
        <v>0.18666754187878853</v>
      </c>
      <c r="R262" s="551">
        <f t="shared" si="87"/>
        <v>0.26794336563407328</v>
      </c>
      <c r="S262" s="551">
        <f t="shared" si="87"/>
        <v>0.36297326582455031</v>
      </c>
      <c r="T262" s="551">
        <f t="shared" si="87"/>
        <v>0.46484396312424381</v>
      </c>
      <c r="U262" s="551">
        <f t="shared" si="87"/>
        <v>0.56546260593861253</v>
      </c>
      <c r="V262" s="551">
        <f t="shared" si="87"/>
        <v>0.6578403022607352</v>
      </c>
      <c r="W262" s="551">
        <f t="shared" si="87"/>
        <v>0.73754668886795227</v>
      </c>
      <c r="X262" s="551">
        <f t="shared" si="87"/>
        <v>0.80293052021410605</v>
      </c>
      <c r="Y262" s="551">
        <f t="shared" si="87"/>
        <v>0.85447682949112158</v>
      </c>
      <c r="Z262" s="551">
        <f t="shared" si="87"/>
        <v>0.89389910336617451</v>
      </c>
      <c r="AA262" s="551">
        <f t="shared" si="87"/>
        <v>0.92337223319290385</v>
      </c>
      <c r="AB262" s="551">
        <f t="shared" si="87"/>
        <v>0.94504210708611314</v>
      </c>
      <c r="AC262" s="551">
        <f t="shared" si="87"/>
        <v>0.96078240575184182</v>
      </c>
      <c r="AD262" s="551">
        <f t="shared" si="87"/>
        <v>0.97211605463477313</v>
      </c>
      <c r="AE262" s="551">
        <f t="shared" si="87"/>
        <v>0.98022577885232642</v>
      </c>
      <c r="AF262" s="551">
        <f t="shared" si="87"/>
        <v>0.98600279580400285</v>
      </c>
      <c r="AG262" s="551">
        <f t="shared" si="87"/>
        <v>0.9901050637460882</v>
      </c>
      <c r="AI262" s="156" t="s">
        <v>640</v>
      </c>
      <c r="AJ262" s="272" t="s">
        <v>642</v>
      </c>
      <c r="AK262" s="160">
        <f>'Ethylene Recycling HC'!AK304</f>
        <v>0.35</v>
      </c>
    </row>
    <row r="263" spans="1:37" s="160" customFormat="1">
      <c r="B263" s="156"/>
      <c r="C263" s="547">
        <v>0</v>
      </c>
      <c r="D263" s="547">
        <v>0</v>
      </c>
      <c r="E263" s="547">
        <v>0</v>
      </c>
      <c r="F263" s="547">
        <v>0</v>
      </c>
      <c r="G263" s="547">
        <v>0</v>
      </c>
      <c r="H263" s="547">
        <v>0</v>
      </c>
      <c r="I263" s="547">
        <v>0</v>
      </c>
      <c r="J263" s="547">
        <v>0</v>
      </c>
      <c r="K263" s="547">
        <v>0</v>
      </c>
      <c r="L263" s="547">
        <v>0</v>
      </c>
      <c r="M263" s="547">
        <f>C262</f>
        <v>4.6088632748610021E-5</v>
      </c>
      <c r="N263" s="547">
        <v>0</v>
      </c>
      <c r="O263" s="547">
        <v>0</v>
      </c>
      <c r="P263" s="547">
        <v>0</v>
      </c>
      <c r="Q263" s="547">
        <v>0</v>
      </c>
      <c r="R263" s="547">
        <f t="shared" ref="R263:AG263" si="88">C262</f>
        <v>4.6088632748610021E-5</v>
      </c>
      <c r="S263" s="547">
        <f t="shared" si="88"/>
        <v>8.924759460408035E-5</v>
      </c>
      <c r="T263" s="547">
        <f t="shared" si="88"/>
        <v>1.7252431976790472E-4</v>
      </c>
      <c r="U263" s="547">
        <f t="shared" si="88"/>
        <v>3.3269643715580369E-4</v>
      </c>
      <c r="V263" s="547">
        <f t="shared" si="88"/>
        <v>6.393827369910735E-4</v>
      </c>
      <c r="W263" s="547">
        <f t="shared" si="88"/>
        <v>1.2229053771654547E-3</v>
      </c>
      <c r="X263" s="547">
        <f t="shared" si="88"/>
        <v>2.3234018804222717E-3</v>
      </c>
      <c r="Y263" s="547">
        <f t="shared" si="88"/>
        <v>4.3736281679830789E-3</v>
      </c>
      <c r="Z263" s="547">
        <f t="shared" si="88"/>
        <v>8.1294184230466908E-3</v>
      </c>
      <c r="AA263" s="547">
        <f t="shared" si="88"/>
        <v>1.4853985082038716E-2</v>
      </c>
      <c r="AB263" s="547">
        <f t="shared" si="88"/>
        <v>2.6531412096832362E-2</v>
      </c>
      <c r="AC263" s="547">
        <f t="shared" si="88"/>
        <v>4.6014759335105015E-2</v>
      </c>
      <c r="AD263" s="547">
        <f t="shared" si="88"/>
        <v>7.6910635328419796E-2</v>
      </c>
      <c r="AE263" s="547">
        <f t="shared" si="88"/>
        <v>0.12294065829885638</v>
      </c>
      <c r="AF263" s="547">
        <f t="shared" si="88"/>
        <v>0.18666754187878853</v>
      </c>
      <c r="AG263" s="547">
        <f t="shared" si="88"/>
        <v>0.26794336563407328</v>
      </c>
      <c r="AI263" s="156" t="s">
        <v>687</v>
      </c>
      <c r="AJ263" s="272" t="s">
        <v>643</v>
      </c>
      <c r="AK263" s="160">
        <f>'Ethylene Recycling HC'!AK305</f>
        <v>1</v>
      </c>
    </row>
    <row r="264" spans="1:37" s="160" customFormat="1">
      <c r="B264" s="156"/>
      <c r="C264" s="547"/>
      <c r="D264" s="547"/>
      <c r="E264" s="547"/>
      <c r="F264" s="547"/>
      <c r="G264" s="547"/>
      <c r="H264" s="547"/>
      <c r="I264" s="547"/>
      <c r="J264" s="547"/>
      <c r="K264" s="547"/>
      <c r="L264" s="547"/>
      <c r="M264" s="547"/>
      <c r="N264" s="547"/>
      <c r="O264" s="547"/>
      <c r="P264" s="547"/>
      <c r="Q264" s="547"/>
      <c r="R264" s="547"/>
      <c r="S264" s="547"/>
      <c r="T264" s="547"/>
      <c r="U264" s="547"/>
      <c r="V264" s="547"/>
      <c r="W264" s="547"/>
      <c r="X264" s="547"/>
      <c r="Y264" s="547"/>
      <c r="Z264" s="547"/>
      <c r="AA264" s="547"/>
      <c r="AB264" s="547"/>
      <c r="AC264" s="547"/>
      <c r="AD264" s="547"/>
      <c r="AE264" s="547"/>
      <c r="AF264" s="547"/>
      <c r="AG264" s="547"/>
      <c r="AJ264" s="272" t="s">
        <v>644</v>
      </c>
      <c r="AK264" s="160">
        <f>'Ethylene Recycling HC'!AK306</f>
        <v>15</v>
      </c>
    </row>
    <row r="265" spans="1:37" s="160" customFormat="1">
      <c r="A265" s="160" t="s">
        <v>636</v>
      </c>
      <c r="B265" s="156"/>
      <c r="C265" s="547">
        <f>'Ethylene Recycling HC'!C307</f>
        <v>5.5962026272778194E-2</v>
      </c>
      <c r="D265" s="547">
        <f>'Ethylene Recycling HC'!D307</f>
        <v>5.5962026272778194E-2</v>
      </c>
      <c r="E265" s="547">
        <f>'Ethylene Recycling HC'!E307</f>
        <v>5.5962026272778194E-2</v>
      </c>
      <c r="F265" s="547">
        <f>'Ethylene Recycling HC'!F307</f>
        <v>5.5962026272778194E-2</v>
      </c>
      <c r="G265" s="547">
        <f>'Ethylene Recycling HC'!G307</f>
        <v>5.5962026272778194E-2</v>
      </c>
      <c r="H265" s="547">
        <f>'Ethylene Recycling HC'!H307</f>
        <v>5.5962026272778194E-2</v>
      </c>
      <c r="I265" s="547">
        <f>'Ethylene Recycling HC'!I307</f>
        <v>5.5962026272778194E-2</v>
      </c>
      <c r="J265" s="547">
        <f>'Ethylene Recycling HC'!J307</f>
        <v>5.5962026272778194E-2</v>
      </c>
      <c r="K265" s="547">
        <f>'Ethylene Recycling HC'!K307</f>
        <v>5.5962026272778194E-2</v>
      </c>
      <c r="L265" s="547">
        <f>'Ethylene Recycling HC'!L307</f>
        <v>5.5962026272778194E-2</v>
      </c>
      <c r="M265" s="547">
        <f>'Ethylene Recycling HC'!M307</f>
        <v>5.5962026272778194E-2</v>
      </c>
      <c r="N265" s="547">
        <f>'Ethylene Recycling HC'!N307</f>
        <v>5.5962026272778194E-2</v>
      </c>
      <c r="O265" s="547">
        <f>'Ethylene Recycling HC'!O307</f>
        <v>5.5962026272778194E-2</v>
      </c>
      <c r="P265" s="547">
        <f>'Ethylene Recycling HC'!P307</f>
        <v>5.5962026272778194E-2</v>
      </c>
      <c r="Q265" s="547">
        <f>'Ethylene Recycling HC'!Q307</f>
        <v>5.5962026272778194E-2</v>
      </c>
      <c r="R265" s="547">
        <f>'Ethylene Recycling HC'!R307</f>
        <v>5.5962026272778194E-2</v>
      </c>
      <c r="S265" s="547">
        <f>'Ethylene Recycling HC'!S307</f>
        <v>5.5962026272778194E-2</v>
      </c>
      <c r="T265" s="547">
        <f>'Ethylene Recycling HC'!T307</f>
        <v>5.5962026272778194E-2</v>
      </c>
      <c r="U265" s="547">
        <f>'Ethylene Recycling HC'!U307</f>
        <v>5.5962026272778194E-2</v>
      </c>
      <c r="V265" s="547">
        <f>'Ethylene Recycling HC'!V307</f>
        <v>5.5962026272778194E-2</v>
      </c>
      <c r="W265" s="547">
        <f>'Ethylene Recycling HC'!W307</f>
        <v>5.5962026272778194E-2</v>
      </c>
      <c r="X265" s="547">
        <f>'Ethylene Recycling HC'!X307</f>
        <v>5.5962026272778194E-2</v>
      </c>
      <c r="Y265" s="547">
        <f>'Ethylene Recycling HC'!Y307</f>
        <v>5.5962026272778194E-2</v>
      </c>
      <c r="Z265" s="547">
        <f>'Ethylene Recycling HC'!Z307</f>
        <v>5.5962026272778194E-2</v>
      </c>
      <c r="AA265" s="547">
        <f>'Ethylene Recycling HC'!AA307</f>
        <v>5.5962026272778194E-2</v>
      </c>
      <c r="AB265" s="547">
        <f>'Ethylene Recycling HC'!AB307</f>
        <v>5.5962026272778194E-2</v>
      </c>
      <c r="AC265" s="547">
        <f>'Ethylene Recycling HC'!AC307</f>
        <v>5.5962026272778194E-2</v>
      </c>
      <c r="AD265" s="547">
        <f>'Ethylene Recycling HC'!AD307</f>
        <v>5.5962026272778194E-2</v>
      </c>
      <c r="AE265" s="547">
        <f>'Ethylene Recycling HC'!AE307</f>
        <v>5.5962026272778194E-2</v>
      </c>
      <c r="AF265" s="547">
        <f>'Ethylene Recycling HC'!AF307</f>
        <v>5.5962026272778194E-2</v>
      </c>
      <c r="AG265" s="547">
        <f>'Ethylene Recycling HC'!AG307</f>
        <v>5.5962026272778194E-2</v>
      </c>
      <c r="AI265" s="160" t="s">
        <v>638</v>
      </c>
      <c r="AJ265" s="272"/>
    </row>
    <row r="266" spans="1:37" s="250" customFormat="1" ht="15.5" thickBot="1">
      <c r="A266" s="283" t="s">
        <v>631</v>
      </c>
      <c r="B266" s="284"/>
      <c r="C266" s="552">
        <f>C265*(C258*C262+C259*C263)</f>
        <v>0.76136668012520714</v>
      </c>
      <c r="D266" s="552">
        <f t="shared" ref="D266:AG266" si="89">D265*(D258*D262+D259*D263)</f>
        <v>1.5386013173962072</v>
      </c>
      <c r="E266" s="552">
        <f t="shared" si="89"/>
        <v>3.0857454192307818</v>
      </c>
      <c r="F266" s="552">
        <f t="shared" si="89"/>
        <v>6.1418849478086557</v>
      </c>
      <c r="G266" s="552">
        <f t="shared" si="89"/>
        <v>12.127595556867828</v>
      </c>
      <c r="H266" s="552">
        <f t="shared" si="89"/>
        <v>23.735067424631016</v>
      </c>
      <c r="I266" s="552">
        <f t="shared" si="89"/>
        <v>45.895993758412295</v>
      </c>
      <c r="J266" s="552">
        <f t="shared" si="89"/>
        <v>87.620659330704427</v>
      </c>
      <c r="K266" s="552">
        <f t="shared" si="89"/>
        <v>164.63647586975304</v>
      </c>
      <c r="L266" s="552">
        <f t="shared" si="89"/>
        <v>303.18351736599431</v>
      </c>
      <c r="M266" s="552">
        <f t="shared" si="89"/>
        <v>544.25587323324112</v>
      </c>
      <c r="N266" s="552">
        <f t="shared" si="89"/>
        <v>925.74509210742849</v>
      </c>
      <c r="O266" s="552">
        <f t="shared" si="89"/>
        <v>1520.4896958272254</v>
      </c>
      <c r="P266" s="552">
        <f t="shared" si="89"/>
        <v>2376.9556240517609</v>
      </c>
      <c r="Q266" s="552">
        <f t="shared" si="89"/>
        <v>3523.5880765718493</v>
      </c>
      <c r="R266" s="552">
        <f t="shared" si="89"/>
        <v>4929.5696421286275</v>
      </c>
      <c r="S266" s="552">
        <f t="shared" si="89"/>
        <v>6499.2185902707088</v>
      </c>
      <c r="T266" s="552">
        <f t="shared" si="89"/>
        <v>8086.6564450969854</v>
      </c>
      <c r="U266" s="552">
        <f t="shared" si="89"/>
        <v>9540.7930693823255</v>
      </c>
      <c r="V266" s="552">
        <f t="shared" si="89"/>
        <v>10746.059535200086</v>
      </c>
      <c r="W266" s="552">
        <f t="shared" si="89"/>
        <v>11643.373081889227</v>
      </c>
      <c r="X266" s="552">
        <f t="shared" si="89"/>
        <v>12471.876443816178</v>
      </c>
      <c r="Y266" s="552">
        <f t="shared" si="89"/>
        <v>13034.65839539264</v>
      </c>
      <c r="Z266" s="552">
        <f t="shared" si="89"/>
        <v>13360.764053568957</v>
      </c>
      <c r="AA266" s="552">
        <f t="shared" si="89"/>
        <v>13493.431684246661</v>
      </c>
      <c r="AB266" s="552">
        <f t="shared" si="89"/>
        <v>13472.938640783255</v>
      </c>
      <c r="AC266" s="552">
        <f t="shared" si="89"/>
        <v>13330.534695316892</v>
      </c>
      <c r="AD266" s="552">
        <f t="shared" si="89"/>
        <v>13097.851616622982</v>
      </c>
      <c r="AE266" s="552">
        <f t="shared" si="89"/>
        <v>12796.922674959575</v>
      </c>
      <c r="AF266" s="552">
        <f t="shared" si="89"/>
        <v>12444.535687845811</v>
      </c>
      <c r="AG266" s="552">
        <f t="shared" si="89"/>
        <v>12053.348320544748</v>
      </c>
      <c r="AJ266" s="275"/>
    </row>
    <row r="267" spans="1:37" s="203" customFormat="1">
      <c r="A267" s="274" t="s">
        <v>637</v>
      </c>
      <c r="B267" s="273"/>
      <c r="C267" s="78">
        <v>0.25</v>
      </c>
      <c r="D267" s="78">
        <v>0.25</v>
      </c>
      <c r="E267" s="78">
        <v>0.25</v>
      </c>
      <c r="F267" s="78">
        <v>0.25</v>
      </c>
      <c r="G267" s="78">
        <v>0.25</v>
      </c>
      <c r="H267" s="78">
        <v>0.25</v>
      </c>
      <c r="I267" s="78">
        <v>0.25</v>
      </c>
      <c r="J267" s="78">
        <v>0.25</v>
      </c>
      <c r="K267" s="78">
        <v>0.25</v>
      </c>
      <c r="L267" s="78">
        <v>0.25</v>
      </c>
      <c r="M267" s="78">
        <v>0.25</v>
      </c>
      <c r="N267" s="78">
        <v>0.25</v>
      </c>
      <c r="O267" s="78">
        <v>0.25</v>
      </c>
      <c r="P267" s="78">
        <v>0.25</v>
      </c>
      <c r="Q267" s="78">
        <v>0.25</v>
      </c>
      <c r="R267" s="78">
        <v>0.25</v>
      </c>
      <c r="S267" s="78">
        <v>0.25</v>
      </c>
      <c r="T267" s="78">
        <v>0.25</v>
      </c>
      <c r="U267" s="78">
        <v>0.25</v>
      </c>
      <c r="V267" s="78">
        <v>0.25</v>
      </c>
      <c r="W267" s="78">
        <v>0.25</v>
      </c>
      <c r="X267" s="78">
        <v>0.25</v>
      </c>
      <c r="Y267" s="78">
        <v>0.25</v>
      </c>
      <c r="Z267" s="78">
        <v>0.25</v>
      </c>
      <c r="AA267" s="78">
        <v>0.25</v>
      </c>
      <c r="AB267" s="78">
        <v>0.25</v>
      </c>
      <c r="AC267" s="78">
        <v>0.25</v>
      </c>
      <c r="AD267" s="78">
        <v>0.25</v>
      </c>
      <c r="AE267" s="78">
        <v>0.25</v>
      </c>
      <c r="AF267" s="78">
        <v>0.25</v>
      </c>
      <c r="AG267" s="78">
        <v>0.25</v>
      </c>
      <c r="AI267" s="203" t="s">
        <v>767</v>
      </c>
      <c r="AJ267" s="203" t="s">
        <v>681</v>
      </c>
    </row>
    <row r="268" spans="1:37" s="203" customFormat="1" ht="15.5" thickBot="1">
      <c r="A268" s="251" t="s">
        <v>632</v>
      </c>
      <c r="B268" s="284"/>
      <c r="C268" s="552">
        <f>C267*(C258*C262+C259*C263)</f>
        <v>3.4012647988032261</v>
      </c>
      <c r="D268" s="552">
        <f t="shared" ref="D268:AF268" si="90">D267*(D258*D262+D259*D263)</f>
        <v>6.8734167607536865</v>
      </c>
      <c r="E268" s="552">
        <f t="shared" si="90"/>
        <v>13.784996830662438</v>
      </c>
      <c r="F268" s="552">
        <f t="shared" si="90"/>
        <v>27.43773482160471</v>
      </c>
      <c r="G268" s="552">
        <f t="shared" si="90"/>
        <v>54.177789675420925</v>
      </c>
      <c r="H268" s="552">
        <f t="shared" si="90"/>
        <v>106.03202298706144</v>
      </c>
      <c r="I268" s="552">
        <f t="shared" si="90"/>
        <v>205.03186184994183</v>
      </c>
      <c r="J268" s="552">
        <f t="shared" si="90"/>
        <v>391.42908667929191</v>
      </c>
      <c r="K268" s="552">
        <f t="shared" si="90"/>
        <v>735.48299996884555</v>
      </c>
      <c r="L268" s="552">
        <f t="shared" si="90"/>
        <v>1354.4162781390964</v>
      </c>
      <c r="M268" s="552">
        <f t="shared" si="90"/>
        <v>2431.362432180129</v>
      </c>
      <c r="N268" s="552">
        <f t="shared" si="90"/>
        <v>4135.5949460935708</v>
      </c>
      <c r="O268" s="552">
        <f t="shared" si="90"/>
        <v>6792.5064418496704</v>
      </c>
      <c r="P268" s="552">
        <f t="shared" si="90"/>
        <v>10618.60953919744</v>
      </c>
      <c r="Q268" s="552">
        <f t="shared" si="90"/>
        <v>15740.977906145979</v>
      </c>
      <c r="R268" s="552">
        <f t="shared" si="90"/>
        <v>22021.940458786314</v>
      </c>
      <c r="S268" s="552">
        <f t="shared" si="90"/>
        <v>29034.056766419064</v>
      </c>
      <c r="T268" s="552">
        <f t="shared" si="90"/>
        <v>36125.641723906832</v>
      </c>
      <c r="U268" s="552">
        <f t="shared" si="90"/>
        <v>42621.728093248508</v>
      </c>
      <c r="V268" s="552">
        <f t="shared" si="90"/>
        <v>48006.033067941862</v>
      </c>
      <c r="W268" s="552">
        <f t="shared" si="90"/>
        <v>52014.615344409685</v>
      </c>
      <c r="X268" s="552">
        <f t="shared" si="90"/>
        <v>55715.800849597348</v>
      </c>
      <c r="Y268" s="552">
        <f t="shared" si="90"/>
        <v>58229.925109650358</v>
      </c>
      <c r="Z268" s="552">
        <f t="shared" si="90"/>
        <v>59686.741811509783</v>
      </c>
      <c r="AA268" s="552">
        <f t="shared" si="90"/>
        <v>60279.40990947606</v>
      </c>
      <c r="AB268" s="552">
        <f t="shared" si="90"/>
        <v>60187.861028796164</v>
      </c>
      <c r="AC268" s="552">
        <f t="shared" si="90"/>
        <v>59551.697745625192</v>
      </c>
      <c r="AD268" s="552">
        <f t="shared" si="90"/>
        <v>58512.229135429894</v>
      </c>
      <c r="AE268" s="552">
        <f t="shared" si="90"/>
        <v>57167.884757169821</v>
      </c>
      <c r="AF268" s="552">
        <f t="shared" si="90"/>
        <v>55593.661080045858</v>
      </c>
      <c r="AG268" s="552">
        <f>AG267*(AG258*AG262+AG259*AG263)</f>
        <v>53846.103882088617</v>
      </c>
      <c r="AJ268" s="274"/>
    </row>
    <row r="269" spans="1:37" s="203" customFormat="1">
      <c r="A269" s="275"/>
      <c r="B269" s="273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J269" s="274"/>
    </row>
    <row r="270" spans="1:37" s="203" customFormat="1">
      <c r="A270" s="275" t="s">
        <v>635</v>
      </c>
      <c r="B270" s="273"/>
      <c r="C270" s="120">
        <f t="shared" ref="C270:AG270" si="91">SUM(C239:C240)-SUM(C266,C268)</f>
        <v>3471827.3342509195</v>
      </c>
      <c r="D270" s="120">
        <f t="shared" si="91"/>
        <v>3442020.9923893209</v>
      </c>
      <c r="E270" s="120">
        <f t="shared" si="91"/>
        <v>3411553.5878988188</v>
      </c>
      <c r="F270" s="120">
        <f t="shared" si="91"/>
        <v>3380414.2771662651</v>
      </c>
      <c r="G270" s="120">
        <f t="shared" si="91"/>
        <v>3348588.5565144084</v>
      </c>
      <c r="H270" s="120">
        <f t="shared" si="91"/>
        <v>3316055.0354821747</v>
      </c>
      <c r="I270" s="120">
        <f t="shared" si="91"/>
        <v>3275629.7010386689</v>
      </c>
      <c r="J270" s="120">
        <f t="shared" si="91"/>
        <v>3234205.159848935</v>
      </c>
      <c r="K270" s="120">
        <f t="shared" si="91"/>
        <v>3191690.1586666037</v>
      </c>
      <c r="L270" s="120">
        <f t="shared" si="91"/>
        <v>3147936.0279974267</v>
      </c>
      <c r="M270" s="120">
        <f t="shared" si="91"/>
        <v>3102713.4929827852</v>
      </c>
      <c r="N270" s="120">
        <f t="shared" si="91"/>
        <v>3011722.6101988149</v>
      </c>
      <c r="O270" s="120">
        <f t="shared" si="91"/>
        <v>2936500.7653087247</v>
      </c>
      <c r="P270" s="120">
        <f t="shared" si="91"/>
        <v>2844132.6398967002</v>
      </c>
      <c r="Q270" s="120">
        <f t="shared" si="91"/>
        <v>2749410.2363258014</v>
      </c>
      <c r="R270" s="120">
        <f t="shared" si="91"/>
        <v>2652497.0789224925</v>
      </c>
      <c r="S270" s="120">
        <f t="shared" si="91"/>
        <v>2554860.1106614415</v>
      </c>
      <c r="T270" s="120">
        <f t="shared" si="91"/>
        <v>2456361.2912470419</v>
      </c>
      <c r="U270" s="120">
        <f t="shared" si="91"/>
        <v>2357821.7712606769</v>
      </c>
      <c r="V270" s="120">
        <f t="shared" si="91"/>
        <v>2259868.5516477558</v>
      </c>
      <c r="W270" s="120">
        <f t="shared" si="91"/>
        <v>2162819.8613993032</v>
      </c>
      <c r="X270" s="120">
        <f t="shared" si="91"/>
        <v>2102642.764022619</v>
      </c>
      <c r="Y270" s="120">
        <f t="shared" si="91"/>
        <v>2044208.7208902685</v>
      </c>
      <c r="Z270" s="120">
        <f t="shared" si="91"/>
        <v>1985807.2137141495</v>
      </c>
      <c r="AA270" s="120">
        <f t="shared" si="91"/>
        <v>1927418.4944608079</v>
      </c>
      <c r="AB270" s="120">
        <f t="shared" si="91"/>
        <v>1868817.7621275678</v>
      </c>
      <c r="AC270" s="120">
        <f t="shared" si="91"/>
        <v>1809144.8778357403</v>
      </c>
      <c r="AD270" s="120">
        <f t="shared" si="91"/>
        <v>1748890.1315556071</v>
      </c>
      <c r="AE270" s="120">
        <f t="shared" si="91"/>
        <v>1687928.756458831</v>
      </c>
      <c r="AF270" s="120">
        <f t="shared" si="91"/>
        <v>1626164.7246160831</v>
      </c>
      <c r="AG270" s="120">
        <f t="shared" si="91"/>
        <v>1563524.6488659061</v>
      </c>
      <c r="AJ270" s="274"/>
    </row>
    <row r="271" spans="1:37" s="203" customFormat="1">
      <c r="A271" s="275"/>
      <c r="B271" s="273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J271" s="274"/>
    </row>
    <row r="272" spans="1:37" s="203" customFormat="1">
      <c r="A272" s="274" t="s">
        <v>646</v>
      </c>
      <c r="B272" s="273" t="s">
        <v>127</v>
      </c>
      <c r="C272" s="547">
        <f>C192*C191*C47</f>
        <v>2964184.0384065234</v>
      </c>
      <c r="D272" s="547">
        <f t="shared" ref="D272:AG272" si="92">D192*D191*D47</f>
        <v>2929116.5767781883</v>
      </c>
      <c r="E272" s="547">
        <f t="shared" si="92"/>
        <v>2894169.4604852102</v>
      </c>
      <c r="F272" s="547">
        <f t="shared" si="92"/>
        <v>2859342.3733157059</v>
      </c>
      <c r="G272" s="547">
        <f t="shared" si="92"/>
        <v>2824634.9997697808</v>
      </c>
      <c r="H272" s="547">
        <f t="shared" si="92"/>
        <v>2790047.0250581363</v>
      </c>
      <c r="I272" s="547">
        <f t="shared" si="92"/>
        <v>2752589.8305880958</v>
      </c>
      <c r="J272" s="547">
        <f t="shared" si="92"/>
        <v>2715262.5770701291</v>
      </c>
      <c r="K272" s="547">
        <f t="shared" si="92"/>
        <v>2678064.9215549338</v>
      </c>
      <c r="L272" s="547">
        <f t="shared" si="92"/>
        <v>2640996.5218676901</v>
      </c>
      <c r="M272" s="547">
        <f t="shared" si="92"/>
        <v>2604057.0366065428</v>
      </c>
      <c r="N272" s="547">
        <f t="shared" si="92"/>
        <v>2554173.7386292089</v>
      </c>
      <c r="O272" s="547">
        <f t="shared" si="92"/>
        <v>2511812.9712071056</v>
      </c>
      <c r="P272" s="547">
        <f t="shared" si="92"/>
        <v>2463400.8579127616</v>
      </c>
      <c r="Q272" s="547">
        <f t="shared" si="92"/>
        <v>2415160.6604187456</v>
      </c>
      <c r="R272" s="547">
        <f t="shared" si="92"/>
        <v>2367091.9211510699</v>
      </c>
      <c r="S272" s="547">
        <f t="shared" si="92"/>
        <v>2319555.953776198</v>
      </c>
      <c r="T272" s="547">
        <f t="shared" si="92"/>
        <v>2272189.1795508517</v>
      </c>
      <c r="U272" s="547">
        <f t="shared" si="92"/>
        <v>2224991.1476796377</v>
      </c>
      <c r="V272" s="547">
        <f t="shared" si="92"/>
        <v>2177961.4083903236</v>
      </c>
      <c r="W272" s="547">
        <f t="shared" si="92"/>
        <v>2131099.5129318256</v>
      </c>
      <c r="X272" s="547">
        <f t="shared" si="92"/>
        <v>2094886.4105441694</v>
      </c>
      <c r="Y272" s="547">
        <f t="shared" si="92"/>
        <v>2059325.6662671906</v>
      </c>
      <c r="Z272" s="547">
        <f t="shared" si="92"/>
        <v>2023830.4030389101</v>
      </c>
      <c r="AA272" s="547">
        <f t="shared" si="92"/>
        <v>1988459.7347335119</v>
      </c>
      <c r="AB272" s="547">
        <f t="shared" si="92"/>
        <v>1953213.3412161111</v>
      </c>
      <c r="AC272" s="547">
        <f t="shared" si="92"/>
        <v>1917864.6311302034</v>
      </c>
      <c r="AD272" s="547">
        <f t="shared" si="92"/>
        <v>1882640.4043685521</v>
      </c>
      <c r="AE272" s="547">
        <f t="shared" si="92"/>
        <v>1847540.340516171</v>
      </c>
      <c r="AF272" s="547">
        <f t="shared" si="92"/>
        <v>1812564.1198343437</v>
      </c>
      <c r="AG272" s="547">
        <f t="shared" si="92"/>
        <v>1777711.423259479</v>
      </c>
      <c r="AJ272" s="274"/>
    </row>
    <row r="273" spans="1:36" s="203" customFormat="1">
      <c r="A273" s="203" t="s">
        <v>645</v>
      </c>
      <c r="B273" s="273" t="s">
        <v>127</v>
      </c>
      <c r="C273" s="547">
        <f>C193*C191*C47</f>
        <v>0</v>
      </c>
      <c r="D273" s="547">
        <f t="shared" ref="D273:AG273" si="93">D193*D191*D47</f>
        <v>0</v>
      </c>
      <c r="E273" s="547">
        <f t="shared" si="93"/>
        <v>0</v>
      </c>
      <c r="F273" s="547">
        <f t="shared" si="93"/>
        <v>0</v>
      </c>
      <c r="G273" s="547">
        <f t="shared" si="93"/>
        <v>0</v>
      </c>
      <c r="H273" s="547">
        <f t="shared" si="93"/>
        <v>0</v>
      </c>
      <c r="I273" s="547">
        <f t="shared" si="93"/>
        <v>0</v>
      </c>
      <c r="J273" s="547">
        <f t="shared" si="93"/>
        <v>0</v>
      </c>
      <c r="K273" s="547">
        <f t="shared" si="93"/>
        <v>0</v>
      </c>
      <c r="L273" s="547">
        <f t="shared" si="93"/>
        <v>0</v>
      </c>
      <c r="M273" s="547">
        <f t="shared" si="93"/>
        <v>0</v>
      </c>
      <c r="N273" s="547">
        <f t="shared" si="93"/>
        <v>0</v>
      </c>
      <c r="O273" s="547">
        <f t="shared" si="93"/>
        <v>0</v>
      </c>
      <c r="P273" s="547">
        <f t="shared" si="93"/>
        <v>0</v>
      </c>
      <c r="Q273" s="547">
        <f t="shared" si="93"/>
        <v>0</v>
      </c>
      <c r="R273" s="547">
        <f t="shared" si="93"/>
        <v>0</v>
      </c>
      <c r="S273" s="547">
        <f t="shared" si="93"/>
        <v>0</v>
      </c>
      <c r="T273" s="547">
        <f t="shared" si="93"/>
        <v>0</v>
      </c>
      <c r="U273" s="547">
        <f t="shared" si="93"/>
        <v>0</v>
      </c>
      <c r="V273" s="547">
        <f t="shared" si="93"/>
        <v>0</v>
      </c>
      <c r="W273" s="547">
        <f t="shared" si="93"/>
        <v>0</v>
      </c>
      <c r="X273" s="547">
        <f t="shared" si="93"/>
        <v>0</v>
      </c>
      <c r="Y273" s="547">
        <f t="shared" si="93"/>
        <v>0</v>
      </c>
      <c r="Z273" s="547">
        <f t="shared" si="93"/>
        <v>0</v>
      </c>
      <c r="AA273" s="547">
        <f t="shared" si="93"/>
        <v>0</v>
      </c>
      <c r="AB273" s="547">
        <f t="shared" si="93"/>
        <v>0</v>
      </c>
      <c r="AC273" s="547">
        <f t="shared" si="93"/>
        <v>0</v>
      </c>
      <c r="AD273" s="547">
        <f t="shared" si="93"/>
        <v>0</v>
      </c>
      <c r="AE273" s="547">
        <f t="shared" si="93"/>
        <v>0</v>
      </c>
      <c r="AF273" s="547">
        <f t="shared" si="93"/>
        <v>0</v>
      </c>
      <c r="AG273" s="547">
        <f t="shared" si="93"/>
        <v>0</v>
      </c>
      <c r="AJ273" s="274"/>
    </row>
    <row r="274" spans="1:36" s="203" customFormat="1">
      <c r="B274" s="273"/>
      <c r="C274" s="547"/>
      <c r="D274" s="547"/>
      <c r="E274" s="547"/>
      <c r="F274" s="547"/>
      <c r="G274" s="547"/>
      <c r="H274" s="547"/>
      <c r="I274" s="547"/>
      <c r="J274" s="547"/>
      <c r="K274" s="547"/>
      <c r="L274" s="547"/>
      <c r="M274" s="547"/>
      <c r="N274" s="547"/>
      <c r="O274" s="547"/>
      <c r="P274" s="547"/>
      <c r="Q274" s="547"/>
      <c r="R274" s="547"/>
      <c r="S274" s="547"/>
      <c r="T274" s="547"/>
      <c r="U274" s="547"/>
      <c r="V274" s="547"/>
      <c r="W274" s="547"/>
      <c r="X274" s="547"/>
      <c r="Y274" s="547"/>
      <c r="Z274" s="547"/>
      <c r="AA274" s="547"/>
      <c r="AB274" s="547"/>
      <c r="AC274" s="547"/>
      <c r="AD274" s="547"/>
      <c r="AE274" s="547"/>
      <c r="AF274" s="547"/>
      <c r="AG274" s="547"/>
      <c r="AJ274" s="274"/>
    </row>
    <row r="275" spans="1:36" s="203" customFormat="1">
      <c r="A275" s="300" t="s">
        <v>647</v>
      </c>
      <c r="B275" s="301" t="s">
        <v>127</v>
      </c>
      <c r="C275" s="545">
        <f>C253-C266-C268</f>
        <v>368987.56005157286</v>
      </c>
      <c r="D275" s="545">
        <f t="shared" ref="D275:AG275" si="94">D253-D266-D268</f>
        <v>385067.33098908619</v>
      </c>
      <c r="E275" s="545">
        <f t="shared" si="94"/>
        <v>399491.93037075427</v>
      </c>
      <c r="F275" s="545">
        <f t="shared" si="94"/>
        <v>412320.32257659611</v>
      </c>
      <c r="G275" s="545">
        <f t="shared" si="94"/>
        <v>423606.29743151617</v>
      </c>
      <c r="H275" s="545">
        <f t="shared" si="94"/>
        <v>433395.28303583234</v>
      </c>
      <c r="I275" s="545">
        <f t="shared" si="94"/>
        <v>440981.09398617019</v>
      </c>
      <c r="J275" s="545">
        <f t="shared" si="94"/>
        <v>447008.79289311566</v>
      </c>
      <c r="K275" s="545">
        <f t="shared" si="94"/>
        <v>451458.80812208785</v>
      </c>
      <c r="L275" s="545">
        <f t="shared" si="94"/>
        <v>454252.4710234169</v>
      </c>
      <c r="M275" s="545">
        <f t="shared" si="94"/>
        <v>455228.87215033855</v>
      </c>
      <c r="N275" s="545">
        <f t="shared" si="94"/>
        <v>444315.66484580509</v>
      </c>
      <c r="O275" s="545">
        <f t="shared" si="94"/>
        <v>433271.34475644404</v>
      </c>
      <c r="P275" s="545">
        <f t="shared" si="94"/>
        <v>418863.5807909178</v>
      </c>
      <c r="Q275" s="545">
        <f t="shared" si="94"/>
        <v>402366.79391292186</v>
      </c>
      <c r="R275" s="545">
        <f t="shared" si="94"/>
        <v>383992.4296132219</v>
      </c>
      <c r="S275" s="545">
        <f t="shared" si="94"/>
        <v>364414.31720861496</v>
      </c>
      <c r="T275" s="545">
        <f t="shared" si="94"/>
        <v>344365.85482134862</v>
      </c>
      <c r="U275" s="545">
        <f t="shared" si="94"/>
        <v>324712.3388690119</v>
      </c>
      <c r="V275" s="545">
        <f t="shared" si="94"/>
        <v>306123.94876255305</v>
      </c>
      <c r="W275" s="545">
        <f t="shared" si="94"/>
        <v>288961.14829741151</v>
      </c>
      <c r="X275" s="545">
        <f t="shared" si="94"/>
        <v>278765.13771939988</v>
      </c>
      <c r="Y275" s="545">
        <f t="shared" si="94"/>
        <v>269469.78810061439</v>
      </c>
      <c r="Z275" s="545">
        <f t="shared" si="94"/>
        <v>260808.63956982648</v>
      </c>
      <c r="AA275" s="545">
        <f t="shared" si="94"/>
        <v>252636.20419833844</v>
      </c>
      <c r="AB275" s="545">
        <f t="shared" si="94"/>
        <v>244779.30250944331</v>
      </c>
      <c r="AC275" s="545">
        <f t="shared" si="94"/>
        <v>237030.27943017273</v>
      </c>
      <c r="AD275" s="545">
        <f t="shared" si="94"/>
        <v>229342.81914328475</v>
      </c>
      <c r="AE275" s="545">
        <f t="shared" si="94"/>
        <v>221640.89194104692</v>
      </c>
      <c r="AF275" s="545">
        <f t="shared" si="94"/>
        <v>213876.12090254598</v>
      </c>
      <c r="AG275" s="553">
        <f t="shared" si="94"/>
        <v>206021.70977163472</v>
      </c>
      <c r="AI275" s="203" t="s">
        <v>679</v>
      </c>
      <c r="AJ275" s="274"/>
    </row>
    <row r="276" spans="1:36" s="203" customFormat="1">
      <c r="A276" s="304" t="s">
        <v>648</v>
      </c>
      <c r="B276" s="305" t="s">
        <v>127</v>
      </c>
      <c r="C276" s="554">
        <f>C254+C275</f>
        <v>2446172.2650853754</v>
      </c>
      <c r="D276" s="554">
        <f t="shared" ref="D276:AF276" si="95">D254+D275</f>
        <v>2375783.4812880671</v>
      </c>
      <c r="E276" s="554">
        <f t="shared" si="95"/>
        <v>2306439.8797533545</v>
      </c>
      <c r="F276" s="554">
        <f t="shared" si="95"/>
        <v>2238142.4638095773</v>
      </c>
      <c r="G276" s="554">
        <f t="shared" si="95"/>
        <v>2170888.4386112066</v>
      </c>
      <c r="H276" s="554">
        <f t="shared" si="95"/>
        <v>2104667.9851875328</v>
      </c>
      <c r="I276" s="554">
        <f t="shared" si="95"/>
        <v>2037666.0156311181</v>
      </c>
      <c r="J276" s="554">
        <f t="shared" si="95"/>
        <v>1971869.7455485954</v>
      </c>
      <c r="K276" s="554">
        <f t="shared" si="95"/>
        <v>1907196.3204738055</v>
      </c>
      <c r="L276" s="554">
        <f t="shared" si="95"/>
        <v>1843505.3466912231</v>
      </c>
      <c r="M276" s="554">
        <f t="shared" si="95"/>
        <v>1780575.7028338534</v>
      </c>
      <c r="N276" s="554">
        <f t="shared" si="95"/>
        <v>1723371.6323950361</v>
      </c>
      <c r="O276" s="554">
        <f t="shared" si="95"/>
        <v>1670597.070252049</v>
      </c>
      <c r="P276" s="554">
        <f t="shared" si="95"/>
        <v>1614005.3026321598</v>
      </c>
      <c r="Q276" s="554">
        <f t="shared" si="95"/>
        <v>1557120.423673891</v>
      </c>
      <c r="R276" s="554">
        <f t="shared" si="95"/>
        <v>1500113.4536131914</v>
      </c>
      <c r="S276" s="554">
        <f t="shared" si="95"/>
        <v>1443643.2182889052</v>
      </c>
      <c r="T276" s="554">
        <f t="shared" si="95"/>
        <v>1388354.2853035105</v>
      </c>
      <c r="U276" s="554">
        <f t="shared" si="95"/>
        <v>1335075.2152077889</v>
      </c>
      <c r="V276" s="554">
        <f t="shared" si="95"/>
        <v>1284440.3052085903</v>
      </c>
      <c r="W276" s="554">
        <f t="shared" si="95"/>
        <v>1236774.9675255124</v>
      </c>
      <c r="X276" s="554">
        <f t="shared" si="95"/>
        <v>1184724.0758051602</v>
      </c>
      <c r="Y276" s="554">
        <f t="shared" si="95"/>
        <v>1135803.629970052</v>
      </c>
      <c r="Z276" s="554">
        <f t="shared" si="95"/>
        <v>1089649.6180439696</v>
      </c>
      <c r="AA276" s="554">
        <f t="shared" si="95"/>
        <v>1045983.7326047395</v>
      </c>
      <c r="AB276" s="554">
        <f t="shared" si="95"/>
        <v>1004588.1383700685</v>
      </c>
      <c r="AC276" s="554">
        <f t="shared" si="95"/>
        <v>965302.89508703724</v>
      </c>
      <c r="AD276" s="554">
        <f t="shared" si="95"/>
        <v>927968.35257259267</v>
      </c>
      <c r="AE276" s="554">
        <f t="shared" si="95"/>
        <v>892466.09993875364</v>
      </c>
      <c r="AF276" s="554">
        <f t="shared" si="95"/>
        <v>858706.34267360985</v>
      </c>
      <c r="AG276" s="555">
        <f>AG254+AG275</f>
        <v>826621.80548103689</v>
      </c>
      <c r="AI276" s="203" t="s">
        <v>680</v>
      </c>
      <c r="AJ276" s="274"/>
    </row>
    <row r="277" spans="1:36">
      <c r="B277" s="121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I277" s="22"/>
    </row>
    <row r="278" spans="1:36" s="624" customFormat="1" ht="15.5" thickBot="1">
      <c r="A278" s="766"/>
      <c r="B278" s="767"/>
      <c r="C278" s="768"/>
      <c r="D278" s="542"/>
      <c r="E278" s="542"/>
      <c r="F278" s="542"/>
      <c r="G278" s="542"/>
      <c r="H278" s="542"/>
      <c r="I278" s="542"/>
      <c r="J278" s="542"/>
      <c r="K278" s="542"/>
      <c r="L278" s="542"/>
      <c r="M278" s="769"/>
      <c r="N278" s="588"/>
      <c r="O278" s="588"/>
      <c r="P278" s="588"/>
      <c r="Q278" s="588"/>
      <c r="R278" s="588"/>
      <c r="S278" s="588"/>
      <c r="T278" s="588"/>
      <c r="U278" s="588"/>
      <c r="V278" s="588"/>
      <c r="W278" s="770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J278" s="771"/>
    </row>
    <row r="279" spans="1:36" s="624" customFormat="1" ht="15.5" hidden="1" customHeight="1" thickTop="1">
      <c r="A279" s="772"/>
      <c r="B279" s="773"/>
      <c r="C279" s="588"/>
      <c r="D279" s="588"/>
      <c r="E279" s="588"/>
      <c r="F279" s="588"/>
      <c r="G279" s="588"/>
      <c r="H279" s="588"/>
      <c r="I279" s="588"/>
      <c r="J279" s="588"/>
      <c r="K279" s="588"/>
      <c r="L279" s="588"/>
      <c r="M279" s="588"/>
      <c r="N279" s="588"/>
      <c r="O279" s="588"/>
      <c r="P279" s="588"/>
      <c r="Q279" s="588"/>
      <c r="R279" s="588"/>
      <c r="S279" s="588"/>
      <c r="T279" s="588"/>
      <c r="U279" s="588"/>
      <c r="V279" s="588"/>
      <c r="W279" s="774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775"/>
      <c r="AJ279" s="771"/>
    </row>
    <row r="280" spans="1:36" s="624" customFormat="1" ht="15.5" hidden="1" customHeight="1" thickTop="1">
      <c r="B280" s="776"/>
      <c r="C280" s="588"/>
      <c r="D280" s="588"/>
      <c r="E280" s="588"/>
      <c r="F280" s="588"/>
      <c r="G280" s="588"/>
      <c r="H280" s="588"/>
      <c r="I280" s="588"/>
      <c r="J280" s="588"/>
      <c r="K280" s="588"/>
      <c r="L280" s="588"/>
      <c r="M280" s="58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775"/>
      <c r="AJ280" s="771"/>
    </row>
    <row r="281" spans="1:36" s="624" customFormat="1" ht="15.5" hidden="1" customHeight="1" thickTop="1">
      <c r="B281" s="776"/>
      <c r="C281" s="588"/>
      <c r="D281" s="588"/>
      <c r="E281" s="588"/>
      <c r="F281" s="588"/>
      <c r="G281" s="588"/>
      <c r="H281" s="588"/>
      <c r="I281" s="588"/>
      <c r="J281" s="588"/>
      <c r="K281" s="588"/>
      <c r="L281" s="588"/>
      <c r="M281" s="58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775"/>
      <c r="AJ281" s="771"/>
    </row>
    <row r="282" spans="1:36" s="624" customFormat="1" ht="15.5" hidden="1" customHeight="1" thickTop="1">
      <c r="B282" s="776"/>
      <c r="C282" s="588"/>
      <c r="D282" s="588"/>
      <c r="E282" s="588"/>
      <c r="F282" s="588"/>
      <c r="G282" s="588"/>
      <c r="H282" s="588"/>
      <c r="I282" s="588"/>
      <c r="J282" s="588"/>
      <c r="K282" s="588"/>
      <c r="L282" s="588"/>
      <c r="M282" s="58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775"/>
      <c r="AJ282" s="771"/>
    </row>
    <row r="283" spans="1:36" s="624" customFormat="1" ht="15.5" hidden="1" customHeight="1" thickTop="1">
      <c r="C283" s="588"/>
      <c r="D283" s="588"/>
      <c r="E283" s="588"/>
      <c r="F283" s="588"/>
      <c r="G283" s="588"/>
      <c r="H283" s="588"/>
      <c r="I283" s="588"/>
      <c r="J283" s="588"/>
      <c r="K283" s="588"/>
      <c r="L283" s="588"/>
      <c r="M283" s="58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775"/>
      <c r="AJ283" s="771"/>
    </row>
    <row r="284" spans="1:36" s="624" customFormat="1" ht="15.5" hidden="1" customHeight="1" thickTop="1">
      <c r="B284" s="777"/>
      <c r="C284" s="588"/>
      <c r="D284" s="588"/>
      <c r="E284" s="588"/>
      <c r="F284" s="588"/>
      <c r="G284" s="588"/>
      <c r="H284" s="588"/>
      <c r="I284" s="588"/>
      <c r="J284" s="588"/>
      <c r="K284" s="588"/>
      <c r="L284" s="588"/>
      <c r="M284" s="58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J284" s="771"/>
    </row>
    <row r="285" spans="1:36" s="624" customFormat="1" ht="15.5" hidden="1" customHeight="1" thickTop="1">
      <c r="B285" s="772"/>
      <c r="C285" s="588"/>
      <c r="D285" s="588"/>
      <c r="E285" s="588"/>
      <c r="F285" s="588"/>
      <c r="G285" s="588"/>
      <c r="H285" s="588"/>
      <c r="I285" s="588"/>
      <c r="J285" s="588"/>
      <c r="K285" s="588"/>
      <c r="L285" s="588"/>
      <c r="M285" s="58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J285" s="771"/>
    </row>
    <row r="286" spans="1:36" s="624" customFormat="1" ht="15.5" thickTop="1">
      <c r="B286" s="777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J286" s="771"/>
    </row>
    <row r="287" spans="1:36" s="624" customFormat="1">
      <c r="B287" s="776"/>
      <c r="C287" s="584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584"/>
      <c r="AH287" s="778"/>
      <c r="AI287" s="778"/>
      <c r="AJ287" s="771"/>
    </row>
    <row r="288" spans="1:36" s="624" customFormat="1">
      <c r="B288" s="776"/>
      <c r="C288" s="584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584"/>
      <c r="AJ288" s="771"/>
    </row>
    <row r="289" spans="2:36" s="624" customFormat="1">
      <c r="B289" s="776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584"/>
      <c r="AJ289" s="771"/>
    </row>
    <row r="290" spans="2:36" s="624" customFormat="1">
      <c r="B290" s="776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584"/>
      <c r="AJ290" s="771"/>
    </row>
    <row r="291" spans="2:36" s="624" customFormat="1">
      <c r="B291" s="776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584"/>
      <c r="AJ291" s="771"/>
    </row>
    <row r="292" spans="2:36" s="624" customFormat="1">
      <c r="B292" s="776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584"/>
      <c r="AJ292" s="771"/>
    </row>
  </sheetData>
  <sortState xmlns:xlrd2="http://schemas.microsoft.com/office/spreadsheetml/2017/richdata2" ref="AZ4:BA19">
    <sortCondition ref="AZ4:AZ19"/>
  </sortState>
  <mergeCells count="2">
    <mergeCell ref="BD100:BE100"/>
    <mergeCell ref="AI246:AI254"/>
  </mergeCells>
  <phoneticPr fontId="20" type="noConversion"/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7577-3F00-4150-8F03-DDB32EF9A7CA}">
  <sheetPr>
    <tabColor theme="4"/>
  </sheetPr>
  <dimension ref="A1:BL339"/>
  <sheetViews>
    <sheetView tabSelected="1" topLeftCell="A206" zoomScale="60" zoomScaleNormal="60" workbookViewId="0">
      <selection activeCell="AJ228" sqref="AJ228"/>
    </sheetView>
  </sheetViews>
  <sheetFormatPr defaultRowHeight="14.75" outlineLevelRow="2" outlineLevelCol="1"/>
  <cols>
    <col min="1" max="1" width="77.7265625" customWidth="1"/>
    <col min="2" max="2" width="15.453125" style="50" customWidth="1"/>
    <col min="3" max="3" width="15.26953125" style="99" customWidth="1"/>
    <col min="4" max="7" width="8.81640625" style="99" hidden="1" customWidth="1" outlineLevel="1"/>
    <col min="8" max="8" width="16.54296875" style="99" hidden="1" customWidth="1" outlineLevel="1"/>
    <col min="9" max="12" width="8.81640625" style="99" hidden="1" customWidth="1" outlineLevel="1"/>
    <col min="13" max="13" width="15.26953125" style="99" customWidth="1" collapsed="1"/>
    <col min="14" max="22" width="8.81640625" style="99" hidden="1" customWidth="1" outlineLevel="1"/>
    <col min="23" max="23" width="12.7265625" style="99" bestFit="1" customWidth="1" collapsed="1"/>
    <col min="24" max="32" width="8.81640625" style="99" hidden="1" customWidth="1" outlineLevel="1"/>
    <col min="33" max="33" width="17.54296875" style="99" customWidth="1" collapsed="1"/>
    <col min="34" max="34" width="17.54296875" customWidth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">
        <v>271</v>
      </c>
      <c r="B2" s="193" t="s">
        <v>127</v>
      </c>
      <c r="C2" s="556">
        <f>850*1.008*10000</f>
        <v>8568000</v>
      </c>
      <c r="D2" s="190">
        <f>C2*(1+$AI$2)</f>
        <v>8549085.4990054406</v>
      </c>
      <c r="E2" s="190">
        <f t="shared" ref="E2:AG2" si="3">D2*(1+$AI$2)</f>
        <v>8530212.7531868704</v>
      </c>
      <c r="F2" s="190">
        <f t="shared" si="3"/>
        <v>8511381.6703666151</v>
      </c>
      <c r="G2" s="190">
        <f t="shared" si="3"/>
        <v>8492592.1585704871</v>
      </c>
      <c r="H2" s="190">
        <f t="shared" si="3"/>
        <v>8473844.1260273419</v>
      </c>
      <c r="I2" s="190">
        <f t="shared" si="3"/>
        <v>8455137.4811686259</v>
      </c>
      <c r="J2" s="190">
        <f t="shared" si="3"/>
        <v>8436472.1326279286</v>
      </c>
      <c r="K2" s="190">
        <f t="shared" si="3"/>
        <v>8417847.9892405383</v>
      </c>
      <c r="L2" s="190">
        <f t="shared" si="3"/>
        <v>8399264.9600429963</v>
      </c>
      <c r="M2" s="190">
        <f t="shared" si="3"/>
        <v>8380722.9542726539</v>
      </c>
      <c r="N2" s="190">
        <f t="shared" si="3"/>
        <v>8362221.8813672252</v>
      </c>
      <c r="O2" s="190">
        <f t="shared" si="3"/>
        <v>8343761.6509643495</v>
      </c>
      <c r="P2" s="190">
        <f t="shared" si="3"/>
        <v>8325342.1729011461</v>
      </c>
      <c r="Q2" s="190">
        <f t="shared" si="3"/>
        <v>8306963.3572137766</v>
      </c>
      <c r="R2" s="190">
        <f t="shared" si="3"/>
        <v>8288625.1141370041</v>
      </c>
      <c r="S2" s="190">
        <f t="shared" si="3"/>
        <v>8270327.3541037561</v>
      </c>
      <c r="T2" s="190">
        <f t="shared" si="3"/>
        <v>8252069.9877446853</v>
      </c>
      <c r="U2" s="190">
        <f t="shared" si="3"/>
        <v>8233852.9258877328</v>
      </c>
      <c r="V2" s="190">
        <f t="shared" si="3"/>
        <v>8215676.0795576964</v>
      </c>
      <c r="W2" s="190">
        <f t="shared" si="3"/>
        <v>8197539.3599757906</v>
      </c>
      <c r="X2" s="190">
        <f t="shared" si="3"/>
        <v>8179442.6785592176</v>
      </c>
      <c r="Y2" s="190">
        <f t="shared" si="3"/>
        <v>8161385.946920732</v>
      </c>
      <c r="Z2" s="190">
        <f t="shared" si="3"/>
        <v>8143369.07686821</v>
      </c>
      <c r="AA2" s="190">
        <f t="shared" si="3"/>
        <v>8125391.9804042177</v>
      </c>
      <c r="AB2" s="190">
        <f t="shared" si="3"/>
        <v>8107454.5697255842</v>
      </c>
      <c r="AC2" s="190">
        <f t="shared" si="3"/>
        <v>8089556.7572229682</v>
      </c>
      <c r="AD2" s="190">
        <f t="shared" si="3"/>
        <v>8071698.455480434</v>
      </c>
      <c r="AE2" s="190">
        <f t="shared" si="3"/>
        <v>8053879.5772750229</v>
      </c>
      <c r="AF2" s="190">
        <f t="shared" si="3"/>
        <v>8036100.0355763268</v>
      </c>
      <c r="AG2" s="190">
        <f t="shared" si="3"/>
        <v>8018359.7435460649</v>
      </c>
      <c r="AH2" s="79"/>
      <c r="AI2" s="540">
        <v>-2.2075748126235695E-3</v>
      </c>
      <c r="AJ2" s="186"/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4">D4</f>
        <v>0.52072263549415521</v>
      </c>
      <c r="F4" s="22">
        <f t="shared" si="4"/>
        <v>0.52072263549415521</v>
      </c>
      <c r="G4" s="22">
        <f t="shared" si="4"/>
        <v>0.52072263549415521</v>
      </c>
      <c r="H4" s="22">
        <f t="shared" si="4"/>
        <v>0.52072263549415521</v>
      </c>
      <c r="I4" s="22">
        <f t="shared" si="4"/>
        <v>0.52072263549415521</v>
      </c>
      <c r="J4" s="22">
        <f t="shared" si="4"/>
        <v>0.52072263549415521</v>
      </c>
      <c r="K4" s="22">
        <f t="shared" si="4"/>
        <v>0.52072263549415521</v>
      </c>
      <c r="L4" s="22">
        <f t="shared" si="4"/>
        <v>0.52072263549415521</v>
      </c>
      <c r="M4" s="22">
        <f t="shared" si="4"/>
        <v>0.52072263549415521</v>
      </c>
      <c r="N4" s="22">
        <f t="shared" si="4"/>
        <v>0.52072263549415521</v>
      </c>
      <c r="O4" s="22">
        <f t="shared" si="4"/>
        <v>0.52072263549415521</v>
      </c>
      <c r="P4" s="22">
        <f t="shared" si="4"/>
        <v>0.52072263549415521</v>
      </c>
      <c r="Q4" s="22">
        <f t="shared" si="4"/>
        <v>0.52072263549415521</v>
      </c>
      <c r="R4" s="22">
        <f t="shared" si="4"/>
        <v>0.52072263549415521</v>
      </c>
      <c r="S4" s="22">
        <f t="shared" si="4"/>
        <v>0.52072263549415521</v>
      </c>
      <c r="T4" s="22">
        <f t="shared" si="4"/>
        <v>0.52072263549415521</v>
      </c>
      <c r="U4" s="22">
        <f t="shared" ref="T4:AG8" si="5">T4</f>
        <v>0.52072263549415521</v>
      </c>
      <c r="V4" s="22">
        <f t="shared" si="5"/>
        <v>0.52072263549415521</v>
      </c>
      <c r="W4" s="22">
        <f t="shared" si="5"/>
        <v>0.52072263549415521</v>
      </c>
      <c r="X4" s="22">
        <f t="shared" si="5"/>
        <v>0.52072263549415521</v>
      </c>
      <c r="Y4" s="22">
        <f t="shared" si="5"/>
        <v>0.52072263549415521</v>
      </c>
      <c r="Z4" s="22">
        <f t="shared" si="5"/>
        <v>0.52072263549415521</v>
      </c>
      <c r="AA4" s="22">
        <f t="shared" si="5"/>
        <v>0.52072263549415521</v>
      </c>
      <c r="AB4" s="22">
        <f t="shared" si="5"/>
        <v>0.52072263549415521</v>
      </c>
      <c r="AC4" s="22">
        <f t="shared" si="5"/>
        <v>0.52072263549415521</v>
      </c>
      <c r="AD4" s="22">
        <f t="shared" si="5"/>
        <v>0.52072263549415521</v>
      </c>
      <c r="AE4" s="22">
        <f t="shared" si="5"/>
        <v>0.52072263549415521</v>
      </c>
      <c r="AF4" s="22">
        <f t="shared" si="5"/>
        <v>0.52072263549415521</v>
      </c>
      <c r="AG4" s="22">
        <f t="shared" si="5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4"/>
        <v>3.2943676939426139E-2</v>
      </c>
      <c r="F5" s="22">
        <f t="shared" si="4"/>
        <v>3.2943676939426139E-2</v>
      </c>
      <c r="G5" s="22">
        <f t="shared" si="4"/>
        <v>3.2943676939426139E-2</v>
      </c>
      <c r="H5" s="22">
        <f t="shared" si="4"/>
        <v>3.2943676939426139E-2</v>
      </c>
      <c r="I5" s="22">
        <f t="shared" si="4"/>
        <v>3.2943676939426139E-2</v>
      </c>
      <c r="J5" s="22">
        <f t="shared" si="4"/>
        <v>3.2943676939426139E-2</v>
      </c>
      <c r="K5" s="22">
        <f t="shared" si="4"/>
        <v>3.2943676939426139E-2</v>
      </c>
      <c r="L5" s="22">
        <f t="shared" si="4"/>
        <v>3.2943676939426139E-2</v>
      </c>
      <c r="M5" s="22">
        <f t="shared" si="4"/>
        <v>3.2943676939426139E-2</v>
      </c>
      <c r="N5" s="22">
        <f t="shared" si="4"/>
        <v>3.2943676939426139E-2</v>
      </c>
      <c r="O5" s="22">
        <f t="shared" si="4"/>
        <v>3.2943676939426139E-2</v>
      </c>
      <c r="P5" s="22">
        <f t="shared" si="4"/>
        <v>3.2943676939426139E-2</v>
      </c>
      <c r="Q5" s="22">
        <f t="shared" si="4"/>
        <v>3.2943676939426139E-2</v>
      </c>
      <c r="R5" s="22">
        <f t="shared" si="4"/>
        <v>3.2943676939426139E-2</v>
      </c>
      <c r="S5" s="22">
        <f t="shared" si="4"/>
        <v>3.2943676939426139E-2</v>
      </c>
      <c r="T5" s="22">
        <f t="shared" si="5"/>
        <v>3.2943676939426139E-2</v>
      </c>
      <c r="U5" s="22">
        <f t="shared" si="5"/>
        <v>3.2943676939426139E-2</v>
      </c>
      <c r="V5" s="22">
        <f t="shared" si="5"/>
        <v>3.2943676939426139E-2</v>
      </c>
      <c r="W5" s="22">
        <f t="shared" si="5"/>
        <v>3.2943676939426139E-2</v>
      </c>
      <c r="X5" s="22">
        <f t="shared" si="5"/>
        <v>3.2943676939426139E-2</v>
      </c>
      <c r="Y5" s="22">
        <f t="shared" si="5"/>
        <v>3.2943676939426139E-2</v>
      </c>
      <c r="Z5" s="22">
        <f t="shared" si="5"/>
        <v>3.2943676939426139E-2</v>
      </c>
      <c r="AA5" s="22">
        <f t="shared" si="5"/>
        <v>3.2943676939426139E-2</v>
      </c>
      <c r="AB5" s="22">
        <f t="shared" si="5"/>
        <v>3.2943676939426139E-2</v>
      </c>
      <c r="AC5" s="22">
        <f t="shared" si="5"/>
        <v>3.2943676939426139E-2</v>
      </c>
      <c r="AD5" s="22">
        <f t="shared" si="5"/>
        <v>3.2943676939426139E-2</v>
      </c>
      <c r="AE5" s="22">
        <f t="shared" si="5"/>
        <v>3.2943676939426139E-2</v>
      </c>
      <c r="AF5" s="22">
        <f t="shared" si="5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6">C6</f>
        <v>6.4824654622741756E-2</v>
      </c>
      <c r="E6" s="22">
        <f t="shared" si="4"/>
        <v>6.4824654622741756E-2</v>
      </c>
      <c r="F6" s="22">
        <f t="shared" si="4"/>
        <v>6.4824654622741756E-2</v>
      </c>
      <c r="G6" s="22">
        <f t="shared" si="4"/>
        <v>6.4824654622741756E-2</v>
      </c>
      <c r="H6" s="22">
        <f t="shared" si="4"/>
        <v>6.4824654622741756E-2</v>
      </c>
      <c r="I6" s="22">
        <f t="shared" si="4"/>
        <v>6.4824654622741756E-2</v>
      </c>
      <c r="J6" s="22">
        <f t="shared" si="4"/>
        <v>6.4824654622741756E-2</v>
      </c>
      <c r="K6" s="22">
        <f t="shared" si="4"/>
        <v>6.4824654622741756E-2</v>
      </c>
      <c r="L6" s="22">
        <f t="shared" si="4"/>
        <v>6.4824654622741756E-2</v>
      </c>
      <c r="M6" s="22">
        <f t="shared" si="4"/>
        <v>6.4824654622741756E-2</v>
      </c>
      <c r="N6" s="22">
        <f t="shared" si="4"/>
        <v>6.4824654622741756E-2</v>
      </c>
      <c r="O6" s="22">
        <f t="shared" si="4"/>
        <v>6.4824654622741756E-2</v>
      </c>
      <c r="P6" s="22">
        <f t="shared" si="4"/>
        <v>6.4824654622741756E-2</v>
      </c>
      <c r="Q6" s="22">
        <f t="shared" si="4"/>
        <v>6.4824654622741756E-2</v>
      </c>
      <c r="R6" s="22">
        <f t="shared" si="4"/>
        <v>6.4824654622741756E-2</v>
      </c>
      <c r="S6" s="22">
        <f t="shared" si="4"/>
        <v>6.4824654622741756E-2</v>
      </c>
      <c r="T6" s="22">
        <f t="shared" si="4"/>
        <v>6.4824654622741756E-2</v>
      </c>
      <c r="U6" s="22">
        <f t="shared" si="5"/>
        <v>6.4824654622741756E-2</v>
      </c>
      <c r="V6" s="22">
        <f t="shared" si="5"/>
        <v>6.4824654622741756E-2</v>
      </c>
      <c r="W6" s="22">
        <f t="shared" si="5"/>
        <v>6.4824654622741756E-2</v>
      </c>
      <c r="X6" s="22">
        <f t="shared" si="5"/>
        <v>6.4824654622741756E-2</v>
      </c>
      <c r="Y6" s="22">
        <f t="shared" si="5"/>
        <v>6.4824654622741756E-2</v>
      </c>
      <c r="Z6" s="22">
        <f t="shared" si="5"/>
        <v>6.4824654622741756E-2</v>
      </c>
      <c r="AA6" s="22">
        <f t="shared" si="5"/>
        <v>6.4824654622741756E-2</v>
      </c>
      <c r="AB6" s="22">
        <f t="shared" si="5"/>
        <v>6.4824654622741756E-2</v>
      </c>
      <c r="AC6" s="22">
        <f t="shared" si="5"/>
        <v>6.4824654622741756E-2</v>
      </c>
      <c r="AD6" s="22">
        <f t="shared" si="5"/>
        <v>6.4824654622741756E-2</v>
      </c>
      <c r="AE6" s="22">
        <f t="shared" si="5"/>
        <v>6.4824654622741756E-2</v>
      </c>
      <c r="AF6" s="22">
        <f t="shared" si="5"/>
        <v>6.4824654622741756E-2</v>
      </c>
      <c r="AG6" s="22">
        <f t="shared" si="5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6"/>
        <v>5.3134962805526036E-2</v>
      </c>
      <c r="E7" s="22">
        <f t="shared" si="4"/>
        <v>5.3134962805526036E-2</v>
      </c>
      <c r="F7" s="22">
        <f t="shared" si="4"/>
        <v>5.3134962805526036E-2</v>
      </c>
      <c r="G7" s="22">
        <f t="shared" si="4"/>
        <v>5.3134962805526036E-2</v>
      </c>
      <c r="H7" s="22">
        <f t="shared" si="4"/>
        <v>5.3134962805526036E-2</v>
      </c>
      <c r="I7" s="22">
        <f t="shared" si="4"/>
        <v>5.3134962805526036E-2</v>
      </c>
      <c r="J7" s="22">
        <f t="shared" si="4"/>
        <v>5.3134962805526036E-2</v>
      </c>
      <c r="K7" s="22">
        <f t="shared" si="4"/>
        <v>5.3134962805526036E-2</v>
      </c>
      <c r="L7" s="22">
        <f t="shared" si="4"/>
        <v>5.3134962805526036E-2</v>
      </c>
      <c r="M7" s="22">
        <f>L7</f>
        <v>5.3134962805526036E-2</v>
      </c>
      <c r="N7" s="22">
        <f t="shared" si="4"/>
        <v>5.3134962805526036E-2</v>
      </c>
      <c r="O7" s="22">
        <f t="shared" si="4"/>
        <v>5.3134962805526036E-2</v>
      </c>
      <c r="P7" s="22">
        <f t="shared" si="4"/>
        <v>5.3134962805526036E-2</v>
      </c>
      <c r="Q7" s="22">
        <f t="shared" si="4"/>
        <v>5.3134962805526036E-2</v>
      </c>
      <c r="R7" s="22">
        <f t="shared" si="4"/>
        <v>5.3134962805526036E-2</v>
      </c>
      <c r="S7" s="22">
        <f t="shared" si="4"/>
        <v>5.3134962805526036E-2</v>
      </c>
      <c r="T7" s="22">
        <f t="shared" si="4"/>
        <v>5.3134962805526036E-2</v>
      </c>
      <c r="U7" s="22">
        <f t="shared" si="5"/>
        <v>5.3134962805526036E-2</v>
      </c>
      <c r="V7" s="22">
        <f t="shared" si="5"/>
        <v>5.3134962805526036E-2</v>
      </c>
      <c r="W7" s="22">
        <f t="shared" si="5"/>
        <v>5.3134962805526036E-2</v>
      </c>
      <c r="X7" s="22">
        <f t="shared" si="5"/>
        <v>5.3134962805526036E-2</v>
      </c>
      <c r="Y7" s="22">
        <f t="shared" si="5"/>
        <v>5.3134962805526036E-2</v>
      </c>
      <c r="Z7" s="22">
        <f t="shared" si="5"/>
        <v>5.3134962805526036E-2</v>
      </c>
      <c r="AA7" s="22">
        <f t="shared" si="5"/>
        <v>5.3134962805526036E-2</v>
      </c>
      <c r="AB7" s="22">
        <f t="shared" si="5"/>
        <v>5.3134962805526036E-2</v>
      </c>
      <c r="AC7" s="22">
        <f t="shared" si="5"/>
        <v>5.3134962805526036E-2</v>
      </c>
      <c r="AD7" s="22">
        <f t="shared" si="5"/>
        <v>5.3134962805526036E-2</v>
      </c>
      <c r="AE7" s="22">
        <f t="shared" si="5"/>
        <v>5.3134962805526036E-2</v>
      </c>
      <c r="AF7" s="22">
        <f t="shared" si="5"/>
        <v>5.3134962805526036E-2</v>
      </c>
      <c r="AG7" s="22">
        <f t="shared" si="5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4"/>
        <v>0.3283740701381509</v>
      </c>
      <c r="F8" s="117">
        <f t="shared" si="4"/>
        <v>0.3283740701381509</v>
      </c>
      <c r="G8" s="117">
        <f t="shared" si="4"/>
        <v>0.3283740701381509</v>
      </c>
      <c r="H8" s="117">
        <f t="shared" si="4"/>
        <v>0.3283740701381509</v>
      </c>
      <c r="I8" s="117">
        <f t="shared" si="4"/>
        <v>0.3283740701381509</v>
      </c>
      <c r="J8" s="117">
        <f t="shared" si="4"/>
        <v>0.3283740701381509</v>
      </c>
      <c r="K8" s="117">
        <f t="shared" si="4"/>
        <v>0.3283740701381509</v>
      </c>
      <c r="L8" s="117">
        <f t="shared" si="4"/>
        <v>0.3283740701381509</v>
      </c>
      <c r="M8" s="119">
        <f t="shared" si="4"/>
        <v>0.3283740701381509</v>
      </c>
      <c r="N8" s="119">
        <f t="shared" si="4"/>
        <v>0.3283740701381509</v>
      </c>
      <c r="O8" s="119">
        <f t="shared" si="4"/>
        <v>0.3283740701381509</v>
      </c>
      <c r="P8" s="119">
        <f t="shared" si="4"/>
        <v>0.3283740701381509</v>
      </c>
      <c r="Q8" s="119">
        <f t="shared" si="4"/>
        <v>0.3283740701381509</v>
      </c>
      <c r="R8" s="119">
        <f t="shared" si="4"/>
        <v>0.3283740701381509</v>
      </c>
      <c r="S8" s="119">
        <f t="shared" si="4"/>
        <v>0.3283740701381509</v>
      </c>
      <c r="T8" s="119">
        <f t="shared" si="4"/>
        <v>0.3283740701381509</v>
      </c>
      <c r="U8" s="119">
        <f t="shared" si="5"/>
        <v>0.3283740701381509</v>
      </c>
      <c r="V8" s="119">
        <f t="shared" si="5"/>
        <v>0.3283740701381509</v>
      </c>
      <c r="W8" s="119">
        <f t="shared" si="5"/>
        <v>0.3283740701381509</v>
      </c>
      <c r="X8" s="119">
        <f t="shared" si="5"/>
        <v>0.3283740701381509</v>
      </c>
      <c r="Y8" s="119">
        <f t="shared" si="5"/>
        <v>0.3283740701381509</v>
      </c>
      <c r="Z8" s="119">
        <f t="shared" si="5"/>
        <v>0.3283740701381509</v>
      </c>
      <c r="AA8" s="119">
        <f t="shared" si="5"/>
        <v>0.3283740701381509</v>
      </c>
      <c r="AB8" s="119">
        <f t="shared" si="5"/>
        <v>0.3283740701381509</v>
      </c>
      <c r="AC8" s="119">
        <f t="shared" si="5"/>
        <v>0.3283740701381509</v>
      </c>
      <c r="AD8" s="119">
        <f t="shared" si="5"/>
        <v>0.3283740701381509</v>
      </c>
      <c r="AE8" s="119">
        <f t="shared" si="5"/>
        <v>0.3283740701381509</v>
      </c>
      <c r="AF8" s="119">
        <f t="shared" si="5"/>
        <v>0.3283740701381509</v>
      </c>
      <c r="AG8" s="119">
        <f t="shared" si="5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7">SUM(D4:D8)</f>
        <v>1</v>
      </c>
      <c r="E9" s="171">
        <f t="shared" si="7"/>
        <v>1</v>
      </c>
      <c r="F9" s="171">
        <f t="shared" si="7"/>
        <v>1</v>
      </c>
      <c r="G9" s="171">
        <f t="shared" si="7"/>
        <v>1</v>
      </c>
      <c r="H9" s="171">
        <f t="shared" si="7"/>
        <v>1</v>
      </c>
      <c r="I9" s="171">
        <f t="shared" si="7"/>
        <v>1</v>
      </c>
      <c r="J9" s="171">
        <f t="shared" si="7"/>
        <v>1</v>
      </c>
      <c r="K9" s="171">
        <f t="shared" si="7"/>
        <v>1</v>
      </c>
      <c r="L9" s="171">
        <f t="shared" si="7"/>
        <v>1</v>
      </c>
      <c r="M9" s="171">
        <f t="shared" si="7"/>
        <v>1</v>
      </c>
      <c r="N9" s="171">
        <f t="shared" si="7"/>
        <v>1</v>
      </c>
      <c r="O9" s="171">
        <f t="shared" si="7"/>
        <v>1</v>
      </c>
      <c r="P9" s="171">
        <f t="shared" si="7"/>
        <v>1</v>
      </c>
      <c r="Q9" s="171">
        <f t="shared" si="7"/>
        <v>1</v>
      </c>
      <c r="R9" s="171">
        <f t="shared" si="7"/>
        <v>1</v>
      </c>
      <c r="S9" s="171">
        <f t="shared" si="7"/>
        <v>1</v>
      </c>
      <c r="T9" s="171">
        <f t="shared" si="7"/>
        <v>1</v>
      </c>
      <c r="U9" s="171">
        <f t="shared" si="7"/>
        <v>1</v>
      </c>
      <c r="V9" s="171">
        <f t="shared" si="7"/>
        <v>1</v>
      </c>
      <c r="W9" s="171">
        <f t="shared" si="7"/>
        <v>1</v>
      </c>
      <c r="X9" s="171">
        <f t="shared" si="7"/>
        <v>1</v>
      </c>
      <c r="Y9" s="171">
        <f t="shared" si="7"/>
        <v>1</v>
      </c>
      <c r="Z9" s="171">
        <f t="shared" si="7"/>
        <v>1</v>
      </c>
      <c r="AA9" s="171">
        <f t="shared" si="7"/>
        <v>1</v>
      </c>
      <c r="AB9" s="171">
        <f t="shared" si="7"/>
        <v>1</v>
      </c>
      <c r="AC9" s="171">
        <f t="shared" si="7"/>
        <v>1</v>
      </c>
      <c r="AD9" s="171">
        <f t="shared" si="7"/>
        <v>1</v>
      </c>
      <c r="AE9" s="171">
        <f t="shared" si="7"/>
        <v>1</v>
      </c>
      <c r="AF9" s="171">
        <f t="shared" si="7"/>
        <v>1</v>
      </c>
      <c r="AG9" s="171">
        <f t="shared" si="7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1" si="8">C$2*C4</f>
        <v>4461551.5409139218</v>
      </c>
      <c r="D11" s="99">
        <f t="shared" si="8"/>
        <v>4451702.3321069777</v>
      </c>
      <c r="E11" s="99">
        <f t="shared" si="8"/>
        <v>4441874.8661653204</v>
      </c>
      <c r="F11" s="99">
        <f t="shared" si="8"/>
        <v>4432069.0950899487</v>
      </c>
      <c r="G11" s="99">
        <f t="shared" si="8"/>
        <v>4422284.9709878201</v>
      </c>
      <c r="H11" s="99">
        <f t="shared" si="8"/>
        <v>4412522.4460716238</v>
      </c>
      <c r="I11" s="99">
        <f t="shared" si="8"/>
        <v>4402781.4726595404</v>
      </c>
      <c r="J11" s="99">
        <f t="shared" si="8"/>
        <v>4393062.0031750109</v>
      </c>
      <c r="K11" s="99">
        <f t="shared" si="8"/>
        <v>4383363.9901465084</v>
      </c>
      <c r="L11" s="99">
        <f t="shared" si="8"/>
        <v>4373687.3862072993</v>
      </c>
      <c r="M11" s="99">
        <f t="shared" si="8"/>
        <v>4364032.1440952187</v>
      </c>
      <c r="N11" s="99">
        <f t="shared" si="8"/>
        <v>4354398.2166524343</v>
      </c>
      <c r="O11" s="99">
        <f t="shared" si="8"/>
        <v>4344785.5568252197</v>
      </c>
      <c r="P11" s="99">
        <f t="shared" si="8"/>
        <v>4335194.1176637216</v>
      </c>
      <c r="Q11" s="99">
        <f t="shared" si="8"/>
        <v>4325623.8523217328</v>
      </c>
      <c r="R11" s="99">
        <f t="shared" si="8"/>
        <v>4316074.7140564639</v>
      </c>
      <c r="S11" s="99">
        <f t="shared" si="8"/>
        <v>4306546.6562283114</v>
      </c>
      <c r="T11" s="99">
        <f t="shared" si="8"/>
        <v>4297039.6323006339</v>
      </c>
      <c r="U11" s="99">
        <f t="shared" si="8"/>
        <v>4287553.5958395209</v>
      </c>
      <c r="V11" s="99">
        <f t="shared" si="8"/>
        <v>4278088.5005135722</v>
      </c>
      <c r="W11" s="99">
        <f t="shared" si="8"/>
        <v>4268644.3000936639</v>
      </c>
      <c r="X11" s="99">
        <f t="shared" si="8"/>
        <v>4259220.9484527279</v>
      </c>
      <c r="Y11" s="99">
        <f t="shared" si="8"/>
        <v>4249818.3995655254</v>
      </c>
      <c r="Z11" s="99">
        <f t="shared" si="8"/>
        <v>4240436.60750842</v>
      </c>
      <c r="AA11" s="99">
        <f t="shared" si="8"/>
        <v>4231075.5264591575</v>
      </c>
      <c r="AB11" s="99">
        <f t="shared" si="8"/>
        <v>4221735.110696638</v>
      </c>
      <c r="AC11" s="99">
        <f t="shared" si="8"/>
        <v>4212415.3146006959</v>
      </c>
      <c r="AD11" s="99">
        <f t="shared" si="8"/>
        <v>4203116.0926518738</v>
      </c>
      <c r="AE11" s="99">
        <f t="shared" si="8"/>
        <v>4193837.3994312026</v>
      </c>
      <c r="AF11" s="99">
        <f t="shared" si="8"/>
        <v>4184579.1896199794</v>
      </c>
      <c r="AG11" s="99">
        <f t="shared" si="8"/>
        <v>4175341.4179995456</v>
      </c>
      <c r="AI11" s="23">
        <f>'Demand - Ethylene'!L63</f>
        <v>-6.9680618668425121E-3</v>
      </c>
      <c r="AJ11" s="185" t="s">
        <v>698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ref="C12:AG12" si="9">C$2*C5</f>
        <v>282261.42401700316</v>
      </c>
      <c r="D12" s="99">
        <f t="shared" si="9"/>
        <v>281638.31080676796</v>
      </c>
      <c r="E12" s="99">
        <f t="shared" si="9"/>
        <v>281016.57316556107</v>
      </c>
      <c r="F12" s="99">
        <f t="shared" si="9"/>
        <v>280396.20805671101</v>
      </c>
      <c r="G12" s="99">
        <f t="shared" si="9"/>
        <v>279777.21245024982</v>
      </c>
      <c r="H12" s="99">
        <f t="shared" si="9"/>
        <v>279159.5833228986</v>
      </c>
      <c r="I12" s="99">
        <f t="shared" si="9"/>
        <v>278543.31765805249</v>
      </c>
      <c r="J12" s="99">
        <f t="shared" si="9"/>
        <v>277928.41244576598</v>
      </c>
      <c r="K12" s="99">
        <f t="shared" si="9"/>
        <v>277314.8646827382</v>
      </c>
      <c r="L12" s="99">
        <f t="shared" si="9"/>
        <v>276702.67137229844</v>
      </c>
      <c r="M12" s="99">
        <f t="shared" si="9"/>
        <v>276091.82952439133</v>
      </c>
      <c r="N12" s="99">
        <f t="shared" si="9"/>
        <v>275482.33615556214</v>
      </c>
      <c r="O12" s="99">
        <f t="shared" si="9"/>
        <v>274874.18828894239</v>
      </c>
      <c r="P12" s="99">
        <f t="shared" si="9"/>
        <v>274267.38295423542</v>
      </c>
      <c r="Q12" s="99">
        <f t="shared" si="9"/>
        <v>273661.91718770145</v>
      </c>
      <c r="R12" s="99">
        <f t="shared" si="9"/>
        <v>273057.78803214355</v>
      </c>
      <c r="S12" s="99">
        <f t="shared" si="9"/>
        <v>272454.99253689311</v>
      </c>
      <c r="T12" s="99">
        <f t="shared" si="9"/>
        <v>271853.52775779512</v>
      </c>
      <c r="U12" s="99">
        <f t="shared" si="9"/>
        <v>271253.39075719414</v>
      </c>
      <c r="V12" s="99">
        <f t="shared" si="9"/>
        <v>270654.57860391983</v>
      </c>
      <c r="W12" s="99">
        <f t="shared" si="9"/>
        <v>270057.08837327256</v>
      </c>
      <c r="X12" s="99">
        <f t="shared" si="9"/>
        <v>269460.91714700928</v>
      </c>
      <c r="Y12" s="99">
        <f t="shared" si="9"/>
        <v>268866.06201332906</v>
      </c>
      <c r="Z12" s="99">
        <f t="shared" si="9"/>
        <v>268272.5200668592</v>
      </c>
      <c r="AA12" s="99">
        <f t="shared" si="9"/>
        <v>267680.28840864054</v>
      </c>
      <c r="AB12" s="99">
        <f t="shared" si="9"/>
        <v>267089.3641461138</v>
      </c>
      <c r="AC12" s="99">
        <f t="shared" si="9"/>
        <v>266499.74439310521</v>
      </c>
      <c r="AD12" s="99">
        <f t="shared" si="9"/>
        <v>265911.42626981233</v>
      </c>
      <c r="AE12" s="99">
        <f t="shared" si="9"/>
        <v>265324.4069027903</v>
      </c>
      <c r="AF12" s="99">
        <f t="shared" si="9"/>
        <v>264738.68342493742</v>
      </c>
      <c r="AG12" s="99">
        <f t="shared" si="9"/>
        <v>264154.25297548139</v>
      </c>
      <c r="AI12" s="23">
        <f>'Demand - Ethylene'!L64</f>
        <v>-6.9680618668425121E-3</v>
      </c>
      <c r="AJ12" s="185" t="s">
        <v>698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ref="C13:AG13" si="10">C$2*C6</f>
        <v>555417.64080765133</v>
      </c>
      <c r="D13" s="99">
        <f t="shared" si="10"/>
        <v>554191.51481331757</v>
      </c>
      <c r="E13" s="99">
        <f t="shared" si="10"/>
        <v>552968.09558384598</v>
      </c>
      <c r="F13" s="99">
        <f t="shared" si="10"/>
        <v>551747.37714385067</v>
      </c>
      <c r="G13" s="99">
        <f t="shared" si="10"/>
        <v>550529.35353113676</v>
      </c>
      <c r="H13" s="99">
        <f t="shared" si="10"/>
        <v>549314.01879667141</v>
      </c>
      <c r="I13" s="99">
        <f t="shared" si="10"/>
        <v>548101.36700455484</v>
      </c>
      <c r="J13" s="99">
        <f t="shared" si="10"/>
        <v>546891.39223199105</v>
      </c>
      <c r="K13" s="99">
        <f t="shared" si="10"/>
        <v>545684.08856925904</v>
      </c>
      <c r="L13" s="99">
        <f t="shared" si="10"/>
        <v>544479.4501196841</v>
      </c>
      <c r="M13" s="99">
        <f t="shared" si="10"/>
        <v>543277.47099960875</v>
      </c>
      <c r="N13" s="99">
        <f t="shared" si="10"/>
        <v>542078.14533836418</v>
      </c>
      <c r="O13" s="99">
        <f t="shared" si="10"/>
        <v>540881.46727824153</v>
      </c>
      <c r="P13" s="99">
        <f t="shared" si="10"/>
        <v>539687.43097446323</v>
      </c>
      <c r="Q13" s="99">
        <f t="shared" si="10"/>
        <v>538496.03059515439</v>
      </c>
      <c r="R13" s="99">
        <f t="shared" si="10"/>
        <v>537307.2603213148</v>
      </c>
      <c r="S13" s="99">
        <f t="shared" si="10"/>
        <v>536121.11434678966</v>
      </c>
      <c r="T13" s="99">
        <f t="shared" si="10"/>
        <v>534937.58687824197</v>
      </c>
      <c r="U13" s="99">
        <f t="shared" si="10"/>
        <v>533756.67213512398</v>
      </c>
      <c r="V13" s="99">
        <f t="shared" si="10"/>
        <v>532578.36434964871</v>
      </c>
      <c r="W13" s="99">
        <f t="shared" si="10"/>
        <v>531402.65776676219</v>
      </c>
      <c r="X13" s="99">
        <f t="shared" si="10"/>
        <v>530229.54664411501</v>
      </c>
      <c r="Y13" s="99">
        <f t="shared" si="10"/>
        <v>529059.02525203465</v>
      </c>
      <c r="Z13" s="99">
        <f t="shared" si="10"/>
        <v>527891.08787349705</v>
      </c>
      <c r="AA13" s="99">
        <f t="shared" si="10"/>
        <v>526725.72880409902</v>
      </c>
      <c r="AB13" s="99">
        <f t="shared" si="10"/>
        <v>525562.94235203043</v>
      </c>
      <c r="AC13" s="99">
        <f t="shared" si="10"/>
        <v>524402.72283804568</v>
      </c>
      <c r="AD13" s="99">
        <f t="shared" si="10"/>
        <v>523245.0645954372</v>
      </c>
      <c r="AE13" s="99">
        <f t="shared" si="10"/>
        <v>522089.96197000676</v>
      </c>
      <c r="AF13" s="99">
        <f t="shared" si="10"/>
        <v>520937.4093200381</v>
      </c>
      <c r="AG13" s="99">
        <f t="shared" si="10"/>
        <v>519787.40101626981</v>
      </c>
      <c r="AI13" s="23">
        <f>'Demand - Ethylene'!L65</f>
        <v>-6.9680618668425121E-3</v>
      </c>
      <c r="AJ13" s="185" t="s">
        <v>698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ref="C14:AG14" si="11">C$2*C7</f>
        <v>455260.3613177471</v>
      </c>
      <c r="D14" s="99">
        <f t="shared" si="11"/>
        <v>454255.34001091606</v>
      </c>
      <c r="E14" s="99">
        <f t="shared" si="11"/>
        <v>453252.53736380819</v>
      </c>
      <c r="F14" s="99">
        <f t="shared" si="11"/>
        <v>452251.94847856613</v>
      </c>
      <c r="G14" s="99">
        <f t="shared" si="11"/>
        <v>451253.56846814492</v>
      </c>
      <c r="H14" s="99">
        <f t="shared" si="11"/>
        <v>450257.3924562881</v>
      </c>
      <c r="I14" s="99">
        <f t="shared" si="11"/>
        <v>449263.41557750403</v>
      </c>
      <c r="J14" s="99">
        <f t="shared" si="11"/>
        <v>448271.63297704188</v>
      </c>
      <c r="K14" s="99">
        <f t="shared" si="11"/>
        <v>447282.03981086815</v>
      </c>
      <c r="L14" s="99">
        <f t="shared" si="11"/>
        <v>446294.63124564273</v>
      </c>
      <c r="M14" s="99">
        <f t="shared" si="11"/>
        <v>445309.40245869575</v>
      </c>
      <c r="N14" s="99">
        <f t="shared" si="11"/>
        <v>444326.34863800346</v>
      </c>
      <c r="O14" s="99">
        <f t="shared" si="11"/>
        <v>443345.4649821652</v>
      </c>
      <c r="P14" s="99">
        <f t="shared" si="11"/>
        <v>442366.74670037971</v>
      </c>
      <c r="Q14" s="99">
        <f t="shared" si="11"/>
        <v>441390.1890124217</v>
      </c>
      <c r="R14" s="99">
        <f t="shared" si="11"/>
        <v>440415.78714861872</v>
      </c>
      <c r="S14" s="99">
        <f t="shared" si="11"/>
        <v>439443.53634982766</v>
      </c>
      <c r="T14" s="99">
        <f t="shared" si="11"/>
        <v>438473.43186741153</v>
      </c>
      <c r="U14" s="99">
        <f t="shared" si="11"/>
        <v>437505.46896321641</v>
      </c>
      <c r="V14" s="99">
        <f t="shared" si="11"/>
        <v>436539.64290954813</v>
      </c>
      <c r="W14" s="99">
        <f t="shared" si="11"/>
        <v>435575.94898914936</v>
      </c>
      <c r="X14" s="99">
        <f t="shared" si="11"/>
        <v>434614.38249517628</v>
      </c>
      <c r="Y14" s="99">
        <f t="shared" si="11"/>
        <v>433654.93873117596</v>
      </c>
      <c r="Z14" s="99">
        <f t="shared" si="11"/>
        <v>432697.61301106325</v>
      </c>
      <c r="AA14" s="99">
        <f t="shared" si="11"/>
        <v>431742.40065909765</v>
      </c>
      <c r="AB14" s="99">
        <f t="shared" si="11"/>
        <v>430789.29700986098</v>
      </c>
      <c r="AC14" s="99">
        <f t="shared" si="11"/>
        <v>429838.29740823421</v>
      </c>
      <c r="AD14" s="99">
        <f t="shared" si="11"/>
        <v>428889.39720937482</v>
      </c>
      <c r="AE14" s="99">
        <f t="shared" si="11"/>
        <v>427942.59177869407</v>
      </c>
      <c r="AF14" s="99">
        <f t="shared" si="11"/>
        <v>426997.87649183458</v>
      </c>
      <c r="AG14" s="99">
        <f t="shared" si="11"/>
        <v>426055.24673464743</v>
      </c>
      <c r="AI14" s="23">
        <f>'Demand - Ethylene'!L69</f>
        <v>-6.9680618668425121E-3</v>
      </c>
      <c r="AJ14" s="185" t="s">
        <v>698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ref="C15:AG15" si="12">C$2*C8</f>
        <v>2813509.0329436767</v>
      </c>
      <c r="D15" s="120">
        <f t="shared" si="12"/>
        <v>2807298.0012674611</v>
      </c>
      <c r="E15" s="120">
        <f t="shared" si="12"/>
        <v>2801100.6809083344</v>
      </c>
      <c r="F15" s="120">
        <f t="shared" si="12"/>
        <v>2794917.0415975386</v>
      </c>
      <c r="G15" s="120">
        <f t="shared" si="12"/>
        <v>2788747.0531331357</v>
      </c>
      <c r="H15" s="120">
        <f t="shared" si="12"/>
        <v>2782590.6853798605</v>
      </c>
      <c r="I15" s="120">
        <f t="shared" si="12"/>
        <v>2776447.9082689751</v>
      </c>
      <c r="J15" s="120">
        <f t="shared" si="12"/>
        <v>2770318.6917981189</v>
      </c>
      <c r="K15" s="120">
        <f t="shared" si="12"/>
        <v>2764203.0060311649</v>
      </c>
      <c r="L15" s="120">
        <f t="shared" si="12"/>
        <v>2758100.821098072</v>
      </c>
      <c r="M15" s="120">
        <f t="shared" si="12"/>
        <v>2752012.1071947399</v>
      </c>
      <c r="N15" s="120">
        <f t="shared" si="12"/>
        <v>2745936.8345828615</v>
      </c>
      <c r="O15" s="120">
        <f t="shared" si="12"/>
        <v>2739874.9735897812</v>
      </c>
      <c r="P15" s="120">
        <f t="shared" si="12"/>
        <v>2733826.4946083464</v>
      </c>
      <c r="Q15" s="120">
        <f t="shared" si="12"/>
        <v>2727791.3680967661</v>
      </c>
      <c r="R15" s="120">
        <f t="shared" si="12"/>
        <v>2721769.5645784638</v>
      </c>
      <c r="S15" s="120">
        <f t="shared" si="12"/>
        <v>2715761.0546419346</v>
      </c>
      <c r="T15" s="120">
        <f t="shared" si="12"/>
        <v>2709765.8089406034</v>
      </c>
      <c r="U15" s="120">
        <f t="shared" si="12"/>
        <v>2703783.7981926776</v>
      </c>
      <c r="V15" s="120">
        <f t="shared" si="12"/>
        <v>2697814.9931810074</v>
      </c>
      <c r="W15" s="120">
        <f t="shared" si="12"/>
        <v>2691859.3647529427</v>
      </c>
      <c r="X15" s="120">
        <f t="shared" si="12"/>
        <v>2685916.8838201892</v>
      </c>
      <c r="Y15" s="120">
        <f t="shared" si="12"/>
        <v>2679987.5213586674</v>
      </c>
      <c r="Z15" s="120">
        <f t="shared" si="12"/>
        <v>2674071.2484083707</v>
      </c>
      <c r="AA15" s="120">
        <f t="shared" si="12"/>
        <v>2668168.0360732232</v>
      </c>
      <c r="AB15" s="120">
        <f t="shared" si="12"/>
        <v>2662277.8555209409</v>
      </c>
      <c r="AC15" s="120">
        <f t="shared" si="12"/>
        <v>2656400.6779828873</v>
      </c>
      <c r="AD15" s="120">
        <f t="shared" si="12"/>
        <v>2650536.4747539363</v>
      </c>
      <c r="AE15" s="120">
        <f t="shared" si="12"/>
        <v>2644685.2171923295</v>
      </c>
      <c r="AF15" s="120">
        <f t="shared" si="12"/>
        <v>2638846.8767195377</v>
      </c>
      <c r="AG15" s="120">
        <f t="shared" si="12"/>
        <v>2633021.4248201214</v>
      </c>
      <c r="AI15" s="23">
        <f>'Demand - Ethylene'!L68</f>
        <v>-6.9680618668425121E-3</v>
      </c>
      <c r="AJ15" s="185" t="s">
        <v>698</v>
      </c>
    </row>
    <row r="16" spans="1:47" ht="15.5" outlineLevel="1" thickBot="1">
      <c r="A16" s="174" t="s">
        <v>417</v>
      </c>
      <c r="B16" s="172"/>
      <c r="C16" s="173">
        <f t="shared" ref="C16:AG16" si="13">SUM(C11:C15)</f>
        <v>8568000</v>
      </c>
      <c r="D16" s="173">
        <f t="shared" si="13"/>
        <v>8549085.4990054406</v>
      </c>
      <c r="E16" s="173">
        <f t="shared" si="13"/>
        <v>8530212.7531868704</v>
      </c>
      <c r="F16" s="173">
        <f t="shared" si="13"/>
        <v>8511381.6703666151</v>
      </c>
      <c r="G16" s="173">
        <f t="shared" si="13"/>
        <v>8492592.1585704871</v>
      </c>
      <c r="H16" s="173">
        <f t="shared" si="13"/>
        <v>8473844.1260273419</v>
      </c>
      <c r="I16" s="173">
        <f t="shared" si="13"/>
        <v>8455137.4811686277</v>
      </c>
      <c r="J16" s="173">
        <f t="shared" si="13"/>
        <v>8436472.1326279286</v>
      </c>
      <c r="K16" s="173">
        <f t="shared" si="13"/>
        <v>8417847.9892405383</v>
      </c>
      <c r="L16" s="173">
        <f t="shared" si="13"/>
        <v>8399264.9600429963</v>
      </c>
      <c r="M16" s="173">
        <f t="shared" si="13"/>
        <v>8380722.9542726539</v>
      </c>
      <c r="N16" s="173">
        <f t="shared" si="13"/>
        <v>8362221.8813672252</v>
      </c>
      <c r="O16" s="173">
        <f t="shared" si="13"/>
        <v>8343761.6509643495</v>
      </c>
      <c r="P16" s="173">
        <f t="shared" si="13"/>
        <v>8325342.1729011461</v>
      </c>
      <c r="Q16" s="173">
        <f t="shared" si="13"/>
        <v>8306963.3572137766</v>
      </c>
      <c r="R16" s="173">
        <f t="shared" si="13"/>
        <v>8288625.1141370051</v>
      </c>
      <c r="S16" s="173">
        <f t="shared" si="13"/>
        <v>8270327.3541037552</v>
      </c>
      <c r="T16" s="173">
        <f t="shared" si="13"/>
        <v>8252069.9877446862</v>
      </c>
      <c r="U16" s="173">
        <f t="shared" si="13"/>
        <v>8233852.9258877318</v>
      </c>
      <c r="V16" s="173">
        <f t="shared" si="13"/>
        <v>8215676.0795576964</v>
      </c>
      <c r="W16" s="173">
        <f t="shared" si="13"/>
        <v>8197539.3599757906</v>
      </c>
      <c r="X16" s="173">
        <f t="shared" si="13"/>
        <v>8179442.6785592176</v>
      </c>
      <c r="Y16" s="173">
        <f t="shared" si="13"/>
        <v>8161385.946920732</v>
      </c>
      <c r="Z16" s="173">
        <f t="shared" si="13"/>
        <v>8143369.07686821</v>
      </c>
      <c r="AA16" s="173">
        <f t="shared" si="13"/>
        <v>8125391.9804042187</v>
      </c>
      <c r="AB16" s="173">
        <f t="shared" si="13"/>
        <v>8107454.5697255842</v>
      </c>
      <c r="AC16" s="173">
        <f t="shared" si="13"/>
        <v>8089556.7572229691</v>
      </c>
      <c r="AD16" s="173">
        <f t="shared" si="13"/>
        <v>8071698.4554804359</v>
      </c>
      <c r="AE16" s="173">
        <f t="shared" si="13"/>
        <v>8053879.5772750229</v>
      </c>
      <c r="AF16" s="173">
        <f t="shared" si="13"/>
        <v>8036100.0355763268</v>
      </c>
      <c r="AG16" s="173">
        <f t="shared" si="13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399</v>
      </c>
      <c r="B18" s="50" t="s">
        <v>126</v>
      </c>
      <c r="C18" s="102">
        <f>'Overall recycling rates'!C76</f>
        <v>0.48140062479090012</v>
      </c>
      <c r="D18" s="102">
        <f>C18</f>
        <v>0.48140062479090012</v>
      </c>
      <c r="E18" s="102">
        <f t="shared" ref="E18:T18" si="14">D18</f>
        <v>0.48140062479090012</v>
      </c>
      <c r="F18" s="102">
        <f t="shared" si="14"/>
        <v>0.48140062479090012</v>
      </c>
      <c r="G18" s="102">
        <f t="shared" si="14"/>
        <v>0.48140062479090012</v>
      </c>
      <c r="H18" s="102">
        <f t="shared" si="14"/>
        <v>0.48140062479090012</v>
      </c>
      <c r="I18" s="102">
        <f t="shared" si="14"/>
        <v>0.48140062479090012</v>
      </c>
      <c r="J18" s="102">
        <f t="shared" si="14"/>
        <v>0.48140062479090012</v>
      </c>
      <c r="K18" s="102">
        <f t="shared" si="14"/>
        <v>0.48140062479090012</v>
      </c>
      <c r="L18" s="102">
        <f t="shared" si="14"/>
        <v>0.48140062479090012</v>
      </c>
      <c r="M18" s="102">
        <f t="shared" si="14"/>
        <v>0.48140062479090012</v>
      </c>
      <c r="N18" s="102">
        <f t="shared" si="14"/>
        <v>0.48140062479090012</v>
      </c>
      <c r="O18" s="102">
        <f t="shared" si="14"/>
        <v>0.48140062479090012</v>
      </c>
      <c r="P18" s="102">
        <f t="shared" si="14"/>
        <v>0.48140062479090012</v>
      </c>
      <c r="Q18" s="102">
        <f t="shared" si="14"/>
        <v>0.48140062479090012</v>
      </c>
      <c r="R18" s="102">
        <f t="shared" si="14"/>
        <v>0.48140062479090012</v>
      </c>
      <c r="S18" s="102">
        <f t="shared" si="14"/>
        <v>0.48140062479090012</v>
      </c>
      <c r="T18" s="102">
        <f t="shared" si="14"/>
        <v>0.48140062479090012</v>
      </c>
      <c r="U18" s="102">
        <f t="shared" ref="T18:AG22" si="15">T18</f>
        <v>0.48140062479090012</v>
      </c>
      <c r="V18" s="102">
        <f t="shared" si="15"/>
        <v>0.48140062479090012</v>
      </c>
      <c r="W18" s="102">
        <f t="shared" si="15"/>
        <v>0.48140062479090012</v>
      </c>
      <c r="X18" s="102">
        <f t="shared" si="15"/>
        <v>0.48140062479090012</v>
      </c>
      <c r="Y18" s="102">
        <f t="shared" si="15"/>
        <v>0.48140062479090012</v>
      </c>
      <c r="Z18" s="102">
        <f t="shared" si="15"/>
        <v>0.48140062479090012</v>
      </c>
      <c r="AA18" s="102">
        <f t="shared" si="15"/>
        <v>0.48140062479090012</v>
      </c>
      <c r="AB18" s="102">
        <f t="shared" si="15"/>
        <v>0.48140062479090012</v>
      </c>
      <c r="AC18" s="102">
        <f t="shared" si="15"/>
        <v>0.48140062479090012</v>
      </c>
      <c r="AD18" s="102">
        <f t="shared" si="15"/>
        <v>0.48140062479090012</v>
      </c>
      <c r="AE18" s="102">
        <f t="shared" si="15"/>
        <v>0.48140062479090012</v>
      </c>
      <c r="AF18" s="102">
        <f t="shared" si="15"/>
        <v>0.48140062479090012</v>
      </c>
      <c r="AG18" s="102">
        <f>AF18</f>
        <v>0.48140062479090012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276</v>
      </c>
      <c r="B19" s="50" t="s">
        <v>126</v>
      </c>
      <c r="C19" s="102">
        <f>'Overall recycling rates'!C78</f>
        <v>9.1247164902777636E-2</v>
      </c>
      <c r="D19" s="102">
        <f t="shared" ref="D19:S22" si="16">C19</f>
        <v>9.1247164902777636E-2</v>
      </c>
      <c r="E19" s="102">
        <f t="shared" si="16"/>
        <v>9.1247164902777636E-2</v>
      </c>
      <c r="F19" s="102">
        <f t="shared" si="16"/>
        <v>9.1247164902777636E-2</v>
      </c>
      <c r="G19" s="102">
        <f t="shared" si="16"/>
        <v>9.1247164902777636E-2</v>
      </c>
      <c r="H19" s="102">
        <f t="shared" si="16"/>
        <v>9.1247164902777636E-2</v>
      </c>
      <c r="I19" s="102">
        <f t="shared" si="16"/>
        <v>9.1247164902777636E-2</v>
      </c>
      <c r="J19" s="102">
        <f t="shared" si="16"/>
        <v>9.1247164902777636E-2</v>
      </c>
      <c r="K19" s="102">
        <f t="shared" si="16"/>
        <v>9.1247164902777636E-2</v>
      </c>
      <c r="L19" s="102">
        <f t="shared" si="16"/>
        <v>9.1247164902777636E-2</v>
      </c>
      <c r="M19" s="102">
        <f t="shared" si="16"/>
        <v>9.1247164902777636E-2</v>
      </c>
      <c r="N19" s="102">
        <f t="shared" si="16"/>
        <v>9.1247164902777636E-2</v>
      </c>
      <c r="O19" s="102">
        <f t="shared" si="16"/>
        <v>9.1247164902777636E-2</v>
      </c>
      <c r="P19" s="102">
        <f t="shared" si="16"/>
        <v>9.1247164902777636E-2</v>
      </c>
      <c r="Q19" s="102">
        <f t="shared" si="16"/>
        <v>9.1247164902777636E-2</v>
      </c>
      <c r="R19" s="102">
        <f t="shared" si="16"/>
        <v>9.1247164902777636E-2</v>
      </c>
      <c r="S19" s="102">
        <f t="shared" si="16"/>
        <v>9.1247164902777636E-2</v>
      </c>
      <c r="T19" s="102">
        <f t="shared" si="15"/>
        <v>9.1247164902777636E-2</v>
      </c>
      <c r="U19" s="102">
        <f t="shared" si="15"/>
        <v>9.1247164902777636E-2</v>
      </c>
      <c r="V19" s="102">
        <f t="shared" si="15"/>
        <v>9.1247164902777636E-2</v>
      </c>
      <c r="W19" s="102">
        <f t="shared" si="15"/>
        <v>9.1247164902777636E-2</v>
      </c>
      <c r="X19" s="102">
        <f t="shared" si="15"/>
        <v>9.1247164902777636E-2</v>
      </c>
      <c r="Y19" s="102">
        <f t="shared" si="15"/>
        <v>9.1247164902777636E-2</v>
      </c>
      <c r="Z19" s="102">
        <f t="shared" si="15"/>
        <v>9.1247164902777636E-2</v>
      </c>
      <c r="AA19" s="102">
        <f t="shared" si="15"/>
        <v>9.1247164902777636E-2</v>
      </c>
      <c r="AB19" s="102">
        <f t="shared" si="15"/>
        <v>9.1247164902777636E-2</v>
      </c>
      <c r="AC19" s="102">
        <f t="shared" si="15"/>
        <v>9.1247164902777636E-2</v>
      </c>
      <c r="AD19" s="102">
        <f t="shared" si="15"/>
        <v>9.1247164902777636E-2</v>
      </c>
      <c r="AE19" s="102">
        <f t="shared" si="15"/>
        <v>9.1247164902777636E-2</v>
      </c>
      <c r="AF19" s="102">
        <f t="shared" si="15"/>
        <v>9.1247164902777636E-2</v>
      </c>
      <c r="AG19" s="102">
        <f t="shared" si="15"/>
        <v>9.1247164902777636E-2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277</v>
      </c>
      <c r="B20" s="50" t="s">
        <v>126</v>
      </c>
      <c r="C20" s="102">
        <f>'Overall recycling rates'!C77</f>
        <v>0.40413863472452932</v>
      </c>
      <c r="D20" s="102">
        <f t="shared" si="16"/>
        <v>0.40413863472452932</v>
      </c>
      <c r="E20" s="102">
        <f t="shared" si="16"/>
        <v>0.40413863472452932</v>
      </c>
      <c r="F20" s="102">
        <f t="shared" si="16"/>
        <v>0.40413863472452932</v>
      </c>
      <c r="G20" s="102">
        <f t="shared" si="16"/>
        <v>0.40413863472452932</v>
      </c>
      <c r="H20" s="102">
        <f t="shared" si="16"/>
        <v>0.40413863472452932</v>
      </c>
      <c r="I20" s="102">
        <f t="shared" si="16"/>
        <v>0.40413863472452932</v>
      </c>
      <c r="J20" s="102">
        <f t="shared" si="16"/>
        <v>0.40413863472452932</v>
      </c>
      <c r="K20" s="102">
        <f t="shared" si="16"/>
        <v>0.40413863472452932</v>
      </c>
      <c r="L20" s="102">
        <f t="shared" si="16"/>
        <v>0.40413863472452932</v>
      </c>
      <c r="M20" s="102">
        <f t="shared" si="16"/>
        <v>0.40413863472452932</v>
      </c>
      <c r="N20" s="102">
        <f t="shared" si="16"/>
        <v>0.40413863472452932</v>
      </c>
      <c r="O20" s="102">
        <f t="shared" si="16"/>
        <v>0.40413863472452932</v>
      </c>
      <c r="P20" s="102">
        <f t="shared" si="16"/>
        <v>0.40413863472452932</v>
      </c>
      <c r="Q20" s="102">
        <f t="shared" si="16"/>
        <v>0.40413863472452932</v>
      </c>
      <c r="R20" s="102">
        <f t="shared" si="16"/>
        <v>0.40413863472452932</v>
      </c>
      <c r="S20" s="102">
        <f t="shared" si="16"/>
        <v>0.40413863472452932</v>
      </c>
      <c r="T20" s="102">
        <f t="shared" si="15"/>
        <v>0.40413863472452932</v>
      </c>
      <c r="U20" s="102">
        <f t="shared" si="15"/>
        <v>0.40413863472452932</v>
      </c>
      <c r="V20" s="102">
        <f t="shared" si="15"/>
        <v>0.40413863472452932</v>
      </c>
      <c r="W20" s="102">
        <f t="shared" si="15"/>
        <v>0.40413863472452932</v>
      </c>
      <c r="X20" s="102">
        <f t="shared" si="15"/>
        <v>0.40413863472452932</v>
      </c>
      <c r="Y20" s="102">
        <f t="shared" si="15"/>
        <v>0.40413863472452932</v>
      </c>
      <c r="Z20" s="102">
        <f t="shared" si="15"/>
        <v>0.40413863472452932</v>
      </c>
      <c r="AA20" s="102">
        <f t="shared" si="15"/>
        <v>0.40413863472452932</v>
      </c>
      <c r="AB20" s="102">
        <f t="shared" si="15"/>
        <v>0.40413863472452932</v>
      </c>
      <c r="AC20" s="102">
        <f t="shared" si="15"/>
        <v>0.40413863472452932</v>
      </c>
      <c r="AD20" s="102">
        <f t="shared" si="15"/>
        <v>0.40413863472452932</v>
      </c>
      <c r="AE20" s="102">
        <f t="shared" si="15"/>
        <v>0.40413863472452932</v>
      </c>
      <c r="AF20" s="102">
        <f t="shared" si="15"/>
        <v>0.40413863472452932</v>
      </c>
      <c r="AG20" s="102">
        <f t="shared" si="15"/>
        <v>0.40413863472452932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394</v>
      </c>
      <c r="B21" s="50" t="s">
        <v>126</v>
      </c>
      <c r="C21" s="102">
        <f>'Overall recycling rates'!C79</f>
        <v>0.18362640877728367</v>
      </c>
      <c r="D21" s="102">
        <f t="shared" si="16"/>
        <v>0.18362640877728367</v>
      </c>
      <c r="E21" s="102">
        <f t="shared" si="16"/>
        <v>0.18362640877728367</v>
      </c>
      <c r="F21" s="102">
        <f t="shared" si="16"/>
        <v>0.18362640877728367</v>
      </c>
      <c r="G21" s="102">
        <f t="shared" si="16"/>
        <v>0.18362640877728367</v>
      </c>
      <c r="H21" s="102">
        <f t="shared" si="16"/>
        <v>0.18362640877728367</v>
      </c>
      <c r="I21" s="102">
        <f t="shared" si="16"/>
        <v>0.18362640877728367</v>
      </c>
      <c r="J21" s="102">
        <f t="shared" si="16"/>
        <v>0.18362640877728367</v>
      </c>
      <c r="K21" s="102">
        <f t="shared" si="16"/>
        <v>0.18362640877728367</v>
      </c>
      <c r="L21" s="102">
        <f t="shared" si="16"/>
        <v>0.18362640877728367</v>
      </c>
      <c r="M21" s="102">
        <f t="shared" si="16"/>
        <v>0.18362640877728367</v>
      </c>
      <c r="N21" s="102">
        <f t="shared" si="16"/>
        <v>0.18362640877728367</v>
      </c>
      <c r="O21" s="102">
        <f t="shared" si="16"/>
        <v>0.18362640877728367</v>
      </c>
      <c r="P21" s="102">
        <f t="shared" si="16"/>
        <v>0.18362640877728367</v>
      </c>
      <c r="Q21" s="102">
        <f t="shared" si="16"/>
        <v>0.18362640877728367</v>
      </c>
      <c r="R21" s="102">
        <f t="shared" si="16"/>
        <v>0.18362640877728367</v>
      </c>
      <c r="S21" s="102">
        <f t="shared" si="16"/>
        <v>0.18362640877728367</v>
      </c>
      <c r="T21" s="102">
        <f t="shared" si="15"/>
        <v>0.18362640877728367</v>
      </c>
      <c r="U21" s="102">
        <f t="shared" si="15"/>
        <v>0.18362640877728367</v>
      </c>
      <c r="V21" s="102">
        <f t="shared" si="15"/>
        <v>0.18362640877728367</v>
      </c>
      <c r="W21" s="102">
        <f t="shared" si="15"/>
        <v>0.18362640877728367</v>
      </c>
      <c r="X21" s="102">
        <f t="shared" si="15"/>
        <v>0.18362640877728367</v>
      </c>
      <c r="Y21" s="102">
        <f t="shared" si="15"/>
        <v>0.18362640877728367</v>
      </c>
      <c r="Z21" s="102">
        <f t="shared" si="15"/>
        <v>0.18362640877728367</v>
      </c>
      <c r="AA21" s="102">
        <f t="shared" si="15"/>
        <v>0.18362640877728367</v>
      </c>
      <c r="AB21" s="102">
        <f t="shared" si="15"/>
        <v>0.18362640877728367</v>
      </c>
      <c r="AC21" s="102">
        <f t="shared" si="15"/>
        <v>0.18362640877728367</v>
      </c>
      <c r="AD21" s="102">
        <f t="shared" si="15"/>
        <v>0.18362640877728367</v>
      </c>
      <c r="AE21" s="102">
        <f t="shared" si="15"/>
        <v>0.18362640877728367</v>
      </c>
      <c r="AF21" s="102">
        <f t="shared" si="15"/>
        <v>0.18362640877728367</v>
      </c>
      <c r="AG21" s="102">
        <f t="shared" si="15"/>
        <v>0.18362640877728367</v>
      </c>
      <c r="AI21" s="50" t="s">
        <v>392</v>
      </c>
      <c r="AJ21" s="185"/>
      <c r="AM21" s="112"/>
      <c r="AN21" s="107"/>
      <c r="AO21" s="108"/>
      <c r="AP21" s="109"/>
      <c r="AQ21" s="108"/>
    </row>
    <row r="22" spans="1:64" outlineLevel="1">
      <c r="A22" t="s">
        <v>299</v>
      </c>
      <c r="B22" s="50" t="s">
        <v>126</v>
      </c>
      <c r="C22" s="102">
        <f>'Overall recycling rates'!C80</f>
        <v>0.19302045152542507</v>
      </c>
      <c r="D22" s="102">
        <f>C22</f>
        <v>0.19302045152542507</v>
      </c>
      <c r="E22" s="102">
        <f t="shared" si="16"/>
        <v>0.19302045152542507</v>
      </c>
      <c r="F22" s="102">
        <f t="shared" si="16"/>
        <v>0.19302045152542507</v>
      </c>
      <c r="G22" s="102">
        <f t="shared" si="16"/>
        <v>0.19302045152542507</v>
      </c>
      <c r="H22" s="102">
        <f t="shared" si="16"/>
        <v>0.19302045152542507</v>
      </c>
      <c r="I22" s="102">
        <f t="shared" si="16"/>
        <v>0.19302045152542507</v>
      </c>
      <c r="J22" s="102">
        <f t="shared" si="16"/>
        <v>0.19302045152542507</v>
      </c>
      <c r="K22" s="102">
        <f t="shared" si="16"/>
        <v>0.19302045152542507</v>
      </c>
      <c r="L22" s="102">
        <f t="shared" si="16"/>
        <v>0.19302045152542507</v>
      </c>
      <c r="M22" s="102">
        <f t="shared" si="16"/>
        <v>0.19302045152542507</v>
      </c>
      <c r="N22" s="102">
        <f t="shared" si="16"/>
        <v>0.19302045152542507</v>
      </c>
      <c r="O22" s="102">
        <f t="shared" si="16"/>
        <v>0.19302045152542507</v>
      </c>
      <c r="P22" s="102">
        <f t="shared" si="16"/>
        <v>0.19302045152542507</v>
      </c>
      <c r="Q22" s="102">
        <f t="shared" si="16"/>
        <v>0.19302045152542507</v>
      </c>
      <c r="R22" s="102">
        <f t="shared" si="16"/>
        <v>0.19302045152542507</v>
      </c>
      <c r="S22" s="102">
        <f t="shared" si="16"/>
        <v>0.19302045152542507</v>
      </c>
      <c r="T22" s="102">
        <f t="shared" si="15"/>
        <v>0.19302045152542507</v>
      </c>
      <c r="U22" s="102">
        <f t="shared" si="15"/>
        <v>0.19302045152542507</v>
      </c>
      <c r="V22" s="102">
        <f t="shared" si="15"/>
        <v>0.19302045152542507</v>
      </c>
      <c r="W22" s="102">
        <f t="shared" si="15"/>
        <v>0.19302045152542507</v>
      </c>
      <c r="X22" s="102">
        <f t="shared" si="15"/>
        <v>0.19302045152542507</v>
      </c>
      <c r="Y22" s="102">
        <f t="shared" si="15"/>
        <v>0.19302045152542507</v>
      </c>
      <c r="Z22" s="102">
        <f t="shared" si="15"/>
        <v>0.19302045152542507</v>
      </c>
      <c r="AA22" s="102">
        <f t="shared" si="15"/>
        <v>0.19302045152542507</v>
      </c>
      <c r="AB22" s="102">
        <f t="shared" si="15"/>
        <v>0.19302045152542507</v>
      </c>
      <c r="AC22" s="102">
        <f t="shared" si="15"/>
        <v>0.19302045152542507</v>
      </c>
      <c r="AD22" s="102">
        <f t="shared" si="15"/>
        <v>0.19302045152542507</v>
      </c>
      <c r="AE22" s="102">
        <f t="shared" si="15"/>
        <v>0.19302045152542507</v>
      </c>
      <c r="AF22" s="102">
        <f t="shared" si="15"/>
        <v>0.19302045152542507</v>
      </c>
      <c r="AG22" s="102">
        <f t="shared" si="15"/>
        <v>0.19302045152542507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400</v>
      </c>
      <c r="B24" s="50" t="s">
        <v>301</v>
      </c>
      <c r="C24" s="178">
        <f>C11*C18</f>
        <v>2147793.6993327653</v>
      </c>
      <c r="D24" s="178">
        <f t="shared" ref="D24:AG24" si="17">D11*D18</f>
        <v>2143052.2840594063</v>
      </c>
      <c r="E24" s="178">
        <f t="shared" si="17"/>
        <v>2138321.3358149813</v>
      </c>
      <c r="F24" s="178">
        <f t="shared" si="17"/>
        <v>2133600.8314927407</v>
      </c>
      <c r="G24" s="178">
        <f t="shared" si="17"/>
        <v>2128890.7480369443</v>
      </c>
      <c r="H24" s="178">
        <f t="shared" si="17"/>
        <v>2124191.0624427507</v>
      </c>
      <c r="I24" s="178">
        <f t="shared" si="17"/>
        <v>2119501.7517561018</v>
      </c>
      <c r="J24" s="178">
        <f t="shared" si="17"/>
        <v>2114822.7930736137</v>
      </c>
      <c r="K24" s="178">
        <f t="shared" si="17"/>
        <v>2110154.163542462</v>
      </c>
      <c r="L24" s="178">
        <f t="shared" si="17"/>
        <v>2105495.8403602727</v>
      </c>
      <c r="M24" s="178">
        <f t="shared" si="17"/>
        <v>2100847.8007750097</v>
      </c>
      <c r="N24" s="178">
        <f t="shared" si="17"/>
        <v>2096210.0220848632</v>
      </c>
      <c r="O24" s="178">
        <f t="shared" si="17"/>
        <v>2091582.4816381396</v>
      </c>
      <c r="P24" s="178">
        <f t="shared" si="17"/>
        <v>2086965.1568331504</v>
      </c>
      <c r="Q24" s="178">
        <f t="shared" si="17"/>
        <v>2082358.0251181026</v>
      </c>
      <c r="R24" s="178">
        <f t="shared" si="17"/>
        <v>2077761.0639909874</v>
      </c>
      <c r="S24" s="178">
        <f t="shared" si="17"/>
        <v>2073174.2509994709</v>
      </c>
      <c r="T24" s="178">
        <f t="shared" si="17"/>
        <v>2068597.563740785</v>
      </c>
      <c r="U24" s="178">
        <f t="shared" si="17"/>
        <v>2064030.9798616159</v>
      </c>
      <c r="V24" s="178">
        <f t="shared" si="17"/>
        <v>2059474.4770579988</v>
      </c>
      <c r="W24" s="178">
        <f t="shared" si="17"/>
        <v>2054928.0330752044</v>
      </c>
      <c r="X24" s="178">
        <f t="shared" si="17"/>
        <v>2050391.6257076333</v>
      </c>
      <c r="Y24" s="178">
        <f t="shared" si="17"/>
        <v>2045865.2327987072</v>
      </c>
      <c r="Z24" s="178">
        <f t="shared" si="17"/>
        <v>2041348.8322407582</v>
      </c>
      <c r="AA24" s="178">
        <f t="shared" si="17"/>
        <v>2036842.4019749251</v>
      </c>
      <c r="AB24" s="178">
        <f t="shared" si="17"/>
        <v>2032345.9199910415</v>
      </c>
      <c r="AC24" s="178">
        <f t="shared" si="17"/>
        <v>2027859.3643275311</v>
      </c>
      <c r="AD24" s="178">
        <f t="shared" si="17"/>
        <v>2023382.713071299</v>
      </c>
      <c r="AE24" s="178">
        <f t="shared" si="17"/>
        <v>2018915.9443576247</v>
      </c>
      <c r="AF24" s="178">
        <f t="shared" si="17"/>
        <v>2014459.0363700567</v>
      </c>
      <c r="AG24" s="178">
        <f t="shared" si="17"/>
        <v>2010011.9673403041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302</v>
      </c>
      <c r="B25" s="50" t="s">
        <v>301</v>
      </c>
      <c r="C25" s="178">
        <f t="shared" ref="C25:AG25" si="18">C12*C19</f>
        <v>25755.554702972328</v>
      </c>
      <c r="D25" s="178">
        <f t="shared" si="18"/>
        <v>25698.697389124896</v>
      </c>
      <c r="E25" s="178">
        <f t="shared" si="18"/>
        <v>25641.965592051427</v>
      </c>
      <c r="F25" s="178">
        <f t="shared" si="18"/>
        <v>25585.359034664256</v>
      </c>
      <c r="G25" s="178">
        <f t="shared" si="18"/>
        <v>25528.877440487398</v>
      </c>
      <c r="H25" s="178">
        <f t="shared" si="18"/>
        <v>25472.520533655221</v>
      </c>
      <c r="I25" s="178">
        <f t="shared" si="18"/>
        <v>25416.288038911091</v>
      </c>
      <c r="J25" s="178">
        <f t="shared" si="18"/>
        <v>25360.179681606005</v>
      </c>
      <c r="K25" s="178">
        <f t="shared" si="18"/>
        <v>25304.195187697278</v>
      </c>
      <c r="L25" s="178">
        <f t="shared" si="18"/>
        <v>25248.334283747205</v>
      </c>
      <c r="M25" s="178">
        <f t="shared" si="18"/>
        <v>25192.596696921708</v>
      </c>
      <c r="N25" s="178">
        <f t="shared" si="18"/>
        <v>25136.982154989</v>
      </c>
      <c r="O25" s="178">
        <f t="shared" si="18"/>
        <v>25081.490386318274</v>
      </c>
      <c r="P25" s="178">
        <f t="shared" si="18"/>
        <v>25026.121119878382</v>
      </c>
      <c r="Q25" s="178">
        <f t="shared" si="18"/>
        <v>24970.874085236472</v>
      </c>
      <c r="R25" s="178">
        <f t="shared" si="18"/>
        <v>24915.749012556706</v>
      </c>
      <c r="S25" s="178">
        <f t="shared" si="18"/>
        <v>24860.745632598937</v>
      </c>
      <c r="T25" s="178">
        <f t="shared" si="18"/>
        <v>24805.86367671737</v>
      </c>
      <c r="U25" s="178">
        <f t="shared" si="18"/>
        <v>24751.102876859273</v>
      </c>
      <c r="V25" s="178">
        <f t="shared" si="18"/>
        <v>24696.462965563664</v>
      </c>
      <c r="W25" s="178">
        <f t="shared" si="18"/>
        <v>24641.943675959996</v>
      </c>
      <c r="X25" s="178">
        <f t="shared" si="18"/>
        <v>24587.544741766858</v>
      </c>
      <c r="Y25" s="178">
        <f t="shared" si="18"/>
        <v>24533.265897290676</v>
      </c>
      <c r="Z25" s="178">
        <f t="shared" si="18"/>
        <v>24479.106877424423</v>
      </c>
      <c r="AA25" s="178">
        <f t="shared" si="18"/>
        <v>24425.0674176463</v>
      </c>
      <c r="AB25" s="178">
        <f t="shared" si="18"/>
        <v>24371.14725401847</v>
      </c>
      <c r="AC25" s="178">
        <f t="shared" si="18"/>
        <v>24317.346123185762</v>
      </c>
      <c r="AD25" s="178">
        <f t="shared" si="18"/>
        <v>24263.663762374363</v>
      </c>
      <c r="AE25" s="178">
        <f t="shared" si="18"/>
        <v>24210.099909390581</v>
      </c>
      <c r="AF25" s="178">
        <f t="shared" si="18"/>
        <v>24156.65430261951</v>
      </c>
      <c r="AG25" s="178">
        <f t="shared" si="18"/>
        <v>24103.326681023791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303</v>
      </c>
      <c r="B26" s="50" t="s">
        <v>301</v>
      </c>
      <c r="C26" s="178">
        <f t="shared" ref="C26:AG26" si="19">C13*C20</f>
        <v>224465.72705792324</v>
      </c>
      <c r="D26" s="178">
        <f t="shared" si="19"/>
        <v>223970.20217257293</v>
      </c>
      <c r="E26" s="178">
        <f t="shared" si="19"/>
        <v>223475.77119547853</v>
      </c>
      <c r="F26" s="178">
        <f t="shared" si="19"/>
        <v>222982.43171175578</v>
      </c>
      <c r="G26" s="178">
        <f t="shared" si="19"/>
        <v>222490.18131185134</v>
      </c>
      <c r="H26" s="178">
        <f t="shared" si="19"/>
        <v>221999.01759153121</v>
      </c>
      <c r="I26" s="178">
        <f t="shared" si="19"/>
        <v>221508.93815186896</v>
      </c>
      <c r="J26" s="178">
        <f t="shared" si="19"/>
        <v>221019.94059923393</v>
      </c>
      <c r="K26" s="178">
        <f t="shared" si="19"/>
        <v>220532.0225452795</v>
      </c>
      <c r="L26" s="178">
        <f t="shared" si="19"/>
        <v>220045.18160693158</v>
      </c>
      <c r="M26" s="178">
        <f t="shared" si="19"/>
        <v>219559.41540637694</v>
      </c>
      <c r="N26" s="178">
        <f t="shared" si="19"/>
        <v>219074.72157105149</v>
      </c>
      <c r="O26" s="178">
        <f t="shared" si="19"/>
        <v>218591.0977336287</v>
      </c>
      <c r="P26" s="178">
        <f t="shared" si="19"/>
        <v>218108.54153200824</v>
      </c>
      <c r="Q26" s="178">
        <f t="shared" si="19"/>
        <v>217627.05060930407</v>
      </c>
      <c r="R26" s="178">
        <f t="shared" si="19"/>
        <v>217146.62261383343</v>
      </c>
      <c r="S26" s="178">
        <f t="shared" si="19"/>
        <v>216667.25519910484</v>
      </c>
      <c r="T26" s="178">
        <f t="shared" si="19"/>
        <v>216188.94602380699</v>
      </c>
      <c r="U26" s="178">
        <f t="shared" si="19"/>
        <v>215711.69275179724</v>
      </c>
      <c r="V26" s="178">
        <f t="shared" si="19"/>
        <v>215235.49305208997</v>
      </c>
      <c r="W26" s="178">
        <f t="shared" si="19"/>
        <v>214760.34459884558</v>
      </c>
      <c r="X26" s="178">
        <f t="shared" si="19"/>
        <v>214286.24507135878</v>
      </c>
      <c r="Y26" s="178">
        <f t="shared" si="19"/>
        <v>213813.19215404757</v>
      </c>
      <c r="Z26" s="178">
        <f t="shared" si="19"/>
        <v>213341.18353644165</v>
      </c>
      <c r="AA26" s="178">
        <f t="shared" si="19"/>
        <v>212870.21691317126</v>
      </c>
      <c r="AB26" s="178">
        <f t="shared" si="19"/>
        <v>212400.28998395609</v>
      </c>
      <c r="AC26" s="178">
        <f t="shared" si="19"/>
        <v>211931.40045359352</v>
      </c>
      <c r="AD26" s="178">
        <f t="shared" si="19"/>
        <v>211463.54603194815</v>
      </c>
      <c r="AE26" s="178">
        <f t="shared" si="19"/>
        <v>210996.72443393996</v>
      </c>
      <c r="AF26" s="178">
        <f t="shared" si="19"/>
        <v>210530.9333795335</v>
      </c>
      <c r="AG26" s="178">
        <f t="shared" si="19"/>
        <v>210066.17059372671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397</v>
      </c>
      <c r="B27" s="50" t="s">
        <v>301</v>
      </c>
      <c r="C27" s="178">
        <f t="shared" ref="C27:AG27" si="20">C14*C21</f>
        <v>83597.825207426489</v>
      </c>
      <c r="D27" s="178">
        <f t="shared" si="20"/>
        <v>83413.276754108461</v>
      </c>
      <c r="E27" s="178">
        <f t="shared" si="20"/>
        <v>83229.135705307679</v>
      </c>
      <c r="F27" s="178">
        <f t="shared" si="20"/>
        <v>83045.401161648217</v>
      </c>
      <c r="G27" s="178">
        <f t="shared" si="20"/>
        <v>82862.072225739539</v>
      </c>
      <c r="H27" s="178">
        <f t="shared" si="20"/>
        <v>82679.148002172195</v>
      </c>
      <c r="I27" s="178">
        <f t="shared" si="20"/>
        <v>82496.627597513434</v>
      </c>
      <c r="J27" s="178">
        <f t="shared" si="20"/>
        <v>82314.510120302773</v>
      </c>
      <c r="K27" s="178">
        <f t="shared" si="20"/>
        <v>82132.794681047744</v>
      </c>
      <c r="L27" s="178">
        <f t="shared" si="20"/>
        <v>81951.48039221947</v>
      </c>
      <c r="M27" s="178">
        <f t="shared" si="20"/>
        <v>81770.566368248401</v>
      </c>
      <c r="N27" s="178">
        <f t="shared" si="20"/>
        <v>81590.051725519879</v>
      </c>
      <c r="O27" s="178">
        <f t="shared" si="20"/>
        <v>81409.935582369973</v>
      </c>
      <c r="P27" s="178">
        <f t="shared" si="20"/>
        <v>81230.217059081027</v>
      </c>
      <c r="Q27" s="178">
        <f t="shared" si="20"/>
        <v>81050.895277877455</v>
      </c>
      <c r="R27" s="178">
        <f t="shared" si="20"/>
        <v>80871.969362921416</v>
      </c>
      <c r="S27" s="178">
        <f t="shared" si="20"/>
        <v>80693.438440308571</v>
      </c>
      <c r="T27" s="178">
        <f t="shared" si="20"/>
        <v>80515.301638063756</v>
      </c>
      <c r="U27" s="178">
        <f t="shared" si="20"/>
        <v>80337.558086136778</v>
      </c>
      <c r="V27" s="178">
        <f t="shared" si="20"/>
        <v>80160.206916398136</v>
      </c>
      <c r="W27" s="178">
        <f t="shared" si="20"/>
        <v>79983.247262634803</v>
      </c>
      <c r="X27" s="178">
        <f t="shared" si="20"/>
        <v>79806.678260545959</v>
      </c>
      <c r="Y27" s="178">
        <f t="shared" si="20"/>
        <v>79630.49904773882</v>
      </c>
      <c r="Z27" s="178">
        <f t="shared" si="20"/>
        <v>79454.708763724397</v>
      </c>
      <c r="AA27" s="178">
        <f t="shared" si="20"/>
        <v>79279.30654991325</v>
      </c>
      <c r="AB27" s="178">
        <f t="shared" si="20"/>
        <v>79104.2915496114</v>
      </c>
      <c r="AC27" s="178">
        <f t="shared" si="20"/>
        <v>78929.662908016049</v>
      </c>
      <c r="AD27" s="178">
        <f t="shared" si="20"/>
        <v>78755.419772211448</v>
      </c>
      <c r="AE27" s="178">
        <f t="shared" si="20"/>
        <v>78581.561291164719</v>
      </c>
      <c r="AF27" s="178">
        <f t="shared" si="20"/>
        <v>78408.08661572171</v>
      </c>
      <c r="AG27" s="178">
        <f t="shared" si="20"/>
        <v>78234.994898602818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304</v>
      </c>
      <c r="B28" s="156" t="s">
        <v>301</v>
      </c>
      <c r="C28" s="178">
        <f t="shared" ref="C28:AG28" si="21">C15*C22</f>
        <v>543064.78390965052</v>
      </c>
      <c r="D28" s="178">
        <f t="shared" si="21"/>
        <v>541865.92777106864</v>
      </c>
      <c r="E28" s="178">
        <f t="shared" si="21"/>
        <v>540669.71819710231</v>
      </c>
      <c r="F28" s="178">
        <f t="shared" si="21"/>
        <v>539476.14934526221</v>
      </c>
      <c r="G28" s="178">
        <f t="shared" si="21"/>
        <v>538285.21538595646</v>
      </c>
      <c r="H28" s="178">
        <f t="shared" si="21"/>
        <v>537096.91050246265</v>
      </c>
      <c r="I28" s="178">
        <f t="shared" si="21"/>
        <v>535911.22889089957</v>
      </c>
      <c r="J28" s="178">
        <f t="shared" si="21"/>
        <v>534728.16476019786</v>
      </c>
      <c r="K28" s="178">
        <f t="shared" si="21"/>
        <v>533547.71233207278</v>
      </c>
      <c r="L28" s="178">
        <f t="shared" si="21"/>
        <v>532369.86584099545</v>
      </c>
      <c r="M28" s="178">
        <f t="shared" si="21"/>
        <v>531194.61953416525</v>
      </c>
      <c r="N28" s="178">
        <f t="shared" si="21"/>
        <v>530021.96767148038</v>
      </c>
      <c r="O28" s="178">
        <f t="shared" si="21"/>
        <v>528851.90452551167</v>
      </c>
      <c r="P28" s="178">
        <f t="shared" si="21"/>
        <v>527684.4243814731</v>
      </c>
      <c r="Q28" s="178">
        <f t="shared" si="21"/>
        <v>526519.52153719473</v>
      </c>
      <c r="R28" s="178">
        <f t="shared" si="21"/>
        <v>525357.19030309469</v>
      </c>
      <c r="S28" s="178">
        <f t="shared" si="21"/>
        <v>524197.42500215082</v>
      </c>
      <c r="T28" s="178">
        <f t="shared" si="21"/>
        <v>523040.21996987402</v>
      </c>
      <c r="U28" s="178">
        <f t="shared" si="21"/>
        <v>521885.56955427938</v>
      </c>
      <c r="V28" s="178">
        <f t="shared" si="21"/>
        <v>520733.46811585961</v>
      </c>
      <c r="W28" s="178">
        <f t="shared" si="21"/>
        <v>519583.91002755694</v>
      </c>
      <c r="X28" s="178">
        <f t="shared" si="21"/>
        <v>518436.8896747356</v>
      </c>
      <c r="Y28" s="178">
        <f t="shared" si="21"/>
        <v>517292.40145515476</v>
      </c>
      <c r="Z28" s="178">
        <f t="shared" si="21"/>
        <v>516150.43977894081</v>
      </c>
      <c r="AA28" s="178">
        <f t="shared" si="21"/>
        <v>515010.9990685602</v>
      </c>
      <c r="AB28" s="178">
        <f t="shared" si="21"/>
        <v>513874.07375879236</v>
      </c>
      <c r="AC28" s="178">
        <f t="shared" si="21"/>
        <v>512739.6582967022</v>
      </c>
      <c r="AD28" s="178">
        <f t="shared" si="21"/>
        <v>511607.74714161322</v>
      </c>
      <c r="AE28" s="178">
        <f t="shared" si="21"/>
        <v>510478.3347650803</v>
      </c>
      <c r="AF28" s="178">
        <f t="shared" si="21"/>
        <v>509351.41565086285</v>
      </c>
      <c r="AG28" s="178">
        <f t="shared" si="21"/>
        <v>508226.98429489788</v>
      </c>
      <c r="AL28" s="100"/>
      <c r="AM28" s="181"/>
      <c r="AN28" s="181"/>
      <c r="AO28" s="181"/>
    </row>
    <row r="29" spans="1:64" s="1" customFormat="1" ht="15.5" thickBot="1">
      <c r="A29" s="174" t="s">
        <v>419</v>
      </c>
      <c r="B29" s="193" t="s">
        <v>301</v>
      </c>
      <c r="C29" s="190">
        <f>SUM(C24:C28)</f>
        <v>3024677.5902107381</v>
      </c>
      <c r="D29" s="190">
        <f t="shared" ref="D29:AG29" si="22">SUM(D24:D28)</f>
        <v>3018000.3881462808</v>
      </c>
      <c r="E29" s="190">
        <f t="shared" si="22"/>
        <v>3011337.9265049212</v>
      </c>
      <c r="F29" s="190">
        <f t="shared" si="22"/>
        <v>3004690.1727460716</v>
      </c>
      <c r="G29" s="190">
        <f t="shared" si="22"/>
        <v>2998057.0944009796</v>
      </c>
      <c r="H29" s="190">
        <f t="shared" si="22"/>
        <v>2991438.6590725724</v>
      </c>
      <c r="I29" s="190">
        <f t="shared" si="22"/>
        <v>2984834.8344352953</v>
      </c>
      <c r="J29" s="190">
        <f t="shared" si="22"/>
        <v>2978245.5882349545</v>
      </c>
      <c r="K29" s="190">
        <f t="shared" si="22"/>
        <v>2971670.8882885589</v>
      </c>
      <c r="L29" s="190">
        <f t="shared" si="22"/>
        <v>2965110.7024841662</v>
      </c>
      <c r="M29" s="190">
        <f t="shared" si="22"/>
        <v>2958564.9987807218</v>
      </c>
      <c r="N29" s="190">
        <f t="shared" si="22"/>
        <v>2952033.7452079039</v>
      </c>
      <c r="O29" s="190">
        <f t="shared" si="22"/>
        <v>2945516.9098659679</v>
      </c>
      <c r="P29" s="190">
        <f t="shared" si="22"/>
        <v>2939014.4609255912</v>
      </c>
      <c r="Q29" s="190">
        <f t="shared" si="22"/>
        <v>2932526.3666277155</v>
      </c>
      <c r="R29" s="190">
        <f t="shared" si="22"/>
        <v>2926052.5952833937</v>
      </c>
      <c r="S29" s="190">
        <f t="shared" si="22"/>
        <v>2919593.115273634</v>
      </c>
      <c r="T29" s="190">
        <f t="shared" si="22"/>
        <v>2913147.895049247</v>
      </c>
      <c r="U29" s="190">
        <f t="shared" si="22"/>
        <v>2906716.9031306887</v>
      </c>
      <c r="V29" s="190">
        <f t="shared" si="22"/>
        <v>2900300.1081079105</v>
      </c>
      <c r="W29" s="190">
        <f t="shared" si="22"/>
        <v>2893897.478640202</v>
      </c>
      <c r="X29" s="190">
        <f t="shared" si="22"/>
        <v>2887508.9834560407</v>
      </c>
      <c r="Y29" s="190">
        <f t="shared" si="22"/>
        <v>2881134.5913529391</v>
      </c>
      <c r="Z29" s="190">
        <f t="shared" si="22"/>
        <v>2874774.2711972892</v>
      </c>
      <c r="AA29" s="190">
        <f t="shared" si="22"/>
        <v>2868427.991924216</v>
      </c>
      <c r="AB29" s="190">
        <f t="shared" si="22"/>
        <v>2862095.7225374198</v>
      </c>
      <c r="AC29" s="190">
        <f t="shared" si="22"/>
        <v>2855777.432109029</v>
      </c>
      <c r="AD29" s="190">
        <f t="shared" si="22"/>
        <v>2849473.0897794459</v>
      </c>
      <c r="AE29" s="190">
        <f t="shared" si="22"/>
        <v>2843182.6647572005</v>
      </c>
      <c r="AF29" s="190">
        <f t="shared" si="22"/>
        <v>2836906.1263187942</v>
      </c>
      <c r="AG29" s="190">
        <f t="shared" si="22"/>
        <v>2830643.4438085551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505</v>
      </c>
      <c r="B31" s="156" t="s">
        <v>301</v>
      </c>
      <c r="C31" s="99">
        <f>C29</f>
        <v>3024677.5902107381</v>
      </c>
      <c r="D31" s="99">
        <f t="shared" ref="D31:AG31" si="23">D29</f>
        <v>3018000.3881462808</v>
      </c>
      <c r="E31" s="99">
        <f t="shared" si="23"/>
        <v>3011337.9265049212</v>
      </c>
      <c r="F31" s="99">
        <f t="shared" si="23"/>
        <v>3004690.1727460716</v>
      </c>
      <c r="G31" s="99">
        <f t="shared" si="23"/>
        <v>2998057.0944009796</v>
      </c>
      <c r="H31" s="99">
        <f t="shared" si="23"/>
        <v>2991438.6590725724</v>
      </c>
      <c r="I31" s="99">
        <f t="shared" si="23"/>
        <v>2984834.8344352953</v>
      </c>
      <c r="J31" s="99">
        <f t="shared" si="23"/>
        <v>2978245.5882349545</v>
      </c>
      <c r="K31" s="99">
        <f t="shared" si="23"/>
        <v>2971670.8882885589</v>
      </c>
      <c r="L31" s="99">
        <f t="shared" si="23"/>
        <v>2965110.7024841662</v>
      </c>
      <c r="M31" s="99">
        <f t="shared" si="23"/>
        <v>2958564.9987807218</v>
      </c>
      <c r="N31" s="99">
        <f t="shared" si="23"/>
        <v>2952033.7452079039</v>
      </c>
      <c r="O31" s="99">
        <f t="shared" si="23"/>
        <v>2945516.9098659679</v>
      </c>
      <c r="P31" s="99">
        <f t="shared" si="23"/>
        <v>2939014.4609255912</v>
      </c>
      <c r="Q31" s="99">
        <f t="shared" si="23"/>
        <v>2932526.3666277155</v>
      </c>
      <c r="R31" s="99">
        <f t="shared" si="23"/>
        <v>2926052.5952833937</v>
      </c>
      <c r="S31" s="99">
        <f t="shared" si="23"/>
        <v>2919593.115273634</v>
      </c>
      <c r="T31" s="99">
        <f t="shared" si="23"/>
        <v>2913147.895049247</v>
      </c>
      <c r="U31" s="99">
        <f t="shared" si="23"/>
        <v>2906716.9031306887</v>
      </c>
      <c r="V31" s="99">
        <f t="shared" si="23"/>
        <v>2900300.1081079105</v>
      </c>
      <c r="W31" s="99">
        <f t="shared" si="23"/>
        <v>2893897.478640202</v>
      </c>
      <c r="X31" s="99">
        <f t="shared" si="23"/>
        <v>2887508.9834560407</v>
      </c>
      <c r="Y31" s="99">
        <f t="shared" si="23"/>
        <v>2881134.5913529391</v>
      </c>
      <c r="Z31" s="99">
        <f t="shared" si="23"/>
        <v>2874774.2711972892</v>
      </c>
      <c r="AA31" s="99">
        <f t="shared" si="23"/>
        <v>2868427.991924216</v>
      </c>
      <c r="AB31" s="99">
        <f t="shared" si="23"/>
        <v>2862095.7225374198</v>
      </c>
      <c r="AC31" s="99">
        <f t="shared" si="23"/>
        <v>2855777.432109029</v>
      </c>
      <c r="AD31" s="99">
        <f t="shared" si="23"/>
        <v>2849473.0897794459</v>
      </c>
      <c r="AE31" s="99">
        <f t="shared" si="23"/>
        <v>2843182.6647572005</v>
      </c>
      <c r="AF31" s="99">
        <f t="shared" si="23"/>
        <v>2836906.1263187942</v>
      </c>
      <c r="AG31" s="99">
        <f t="shared" si="23"/>
        <v>2830643.4438085551</v>
      </c>
      <c r="AL31" s="100"/>
      <c r="AM31" s="2"/>
      <c r="AN31" s="2"/>
      <c r="AO31" s="2"/>
    </row>
    <row r="32" spans="1:64" outlineLevel="1">
      <c r="A32" t="s">
        <v>401</v>
      </c>
      <c r="B32" s="156" t="s">
        <v>301</v>
      </c>
      <c r="C32" s="99">
        <f>'Yearly Demand - Eth-Prop'!L3*SUM('Demand - Ethylene'!$C$34:$C$39)</f>
        <v>3461758.5854796702</v>
      </c>
      <c r="D32" s="99">
        <f>'Yearly Demand - Eth-Prop'!M3*SUM('Demand - Ethylene'!$C$34:$C$39)</f>
        <v>3444131.8564372784</v>
      </c>
      <c r="E32" s="99">
        <f>'Yearly Demand - Eth-Prop'!N3*SUM('Demand - Ethylene'!$C$34:$C$39)</f>
        <v>3426594.8799206801</v>
      </c>
      <c r="F32" s="99">
        <f>'Yearly Demand - Eth-Prop'!O3*SUM('Demand - Ethylene'!$C$34:$C$39)</f>
        <v>3409147.1989241606</v>
      </c>
      <c r="G32" s="99">
        <f>'Yearly Demand - Eth-Prop'!P3*SUM('Demand - Ethylene'!$C$34:$C$39)</f>
        <v>3391788.3587690089</v>
      </c>
      <c r="H32" s="99">
        <f>'Yearly Demand - Eth-Prop'!Q3*SUM('Demand - Ethylene'!$C$34:$C$39)</f>
        <v>3374517.9070916632</v>
      </c>
      <c r="I32" s="99">
        <f>'Yearly Demand - Eth-Prop'!R3*SUM('Demand - Ethylene'!$C$34:$C$39)</f>
        <v>3355524.3156012017</v>
      </c>
      <c r="J32" s="99">
        <f>'Yearly Demand - Eth-Prop'!S3*SUM('Demand - Ethylene'!$C$34:$C$39)</f>
        <v>3336637.6302015176</v>
      </c>
      <c r="K32" s="99">
        <f>'Yearly Demand - Eth-Prop'!T3*SUM('Demand - Ethylene'!$C$34:$C$39)</f>
        <v>3317857.2491679587</v>
      </c>
      <c r="L32" s="99">
        <f>'Yearly Demand - Eth-Prop'!U3*SUM('Demand - Ethylene'!$C$34:$C$39)</f>
        <v>3299182.5741626997</v>
      </c>
      <c r="M32" s="99">
        <f>'Yearly Demand - Eth-Prop'!V3*SUM('Demand - Ethylene'!$C$34:$C$39)</f>
        <v>3280613.0102156838</v>
      </c>
      <c r="N32" s="99">
        <f>'Yearly Demand - Eth-Prop'!W3*SUM('Demand - Ethylene'!$C$34:$C$39)</f>
        <v>3258789.8030233253</v>
      </c>
      <c r="O32" s="99">
        <f>'Yearly Demand - Eth-Prop'!X3*SUM('Demand - Ethylene'!$C$34:$C$39)</f>
        <v>3237111.7675932799</v>
      </c>
      <c r="P32" s="99">
        <f>'Yearly Demand - Eth-Prop'!Y3*SUM('Demand - Ethylene'!$C$34:$C$39)</f>
        <v>3215577.9382177861</v>
      </c>
      <c r="Q32" s="99">
        <f>'Yearly Demand - Eth-Prop'!Z3*SUM('Demand - Ethylene'!$C$34:$C$39)</f>
        <v>3194187.3556131371</v>
      </c>
      <c r="R32" s="99">
        <f>'Yearly Demand - Eth-Prop'!AA3*SUM('Demand - Ethylene'!$C$34:$C$39)</f>
        <v>3172939.0668769493</v>
      </c>
      <c r="S32" s="99">
        <f>'Yearly Demand - Eth-Prop'!AB3*SUM('Demand - Ethylene'!$C$34:$C$39)</f>
        <v>3148894.6423783689</v>
      </c>
      <c r="T32" s="99">
        <f>'Yearly Demand - Eth-Prop'!AC3*SUM('Demand - Ethylene'!$C$34:$C$39)</f>
        <v>3125032.4257121109</v>
      </c>
      <c r="U32" s="99">
        <f>'Yearly Demand - Eth-Prop'!AD3*SUM('Demand - Ethylene'!$C$34:$C$39)</f>
        <v>3101351.0361134103</v>
      </c>
      <c r="V32" s="99">
        <f>'Yearly Demand - Eth-Prop'!AE3*SUM('Demand - Ethylene'!$C$34:$C$39)</f>
        <v>3077849.1032808893</v>
      </c>
      <c r="W32" s="99">
        <f>'Yearly Demand - Eth-Prop'!AF3*SUM('Demand - Ethylene'!$C$34:$C$39)</f>
        <v>3054525.2672972684</v>
      </c>
      <c r="X32" s="99">
        <f>'Yearly Demand - Eth-Prop'!AG3*SUM('Demand - Ethylene'!$C$34:$C$39)</f>
        <v>3029328.7093680822</v>
      </c>
      <c r="Y32" s="99">
        <f>'Yearly Demand - Eth-Prop'!AH3*SUM('Demand - Ethylene'!$C$34:$C$39)</f>
        <v>3004339.9960222351</v>
      </c>
      <c r="Z32" s="99">
        <f>'Yearly Demand - Eth-Prop'!AI3*SUM('Demand - Ethylene'!$C$34:$C$39)</f>
        <v>2979557.412764797</v>
      </c>
      <c r="AA32" s="99">
        <f>'Yearly Demand - Eth-Prop'!AJ3*SUM('Demand - Ethylene'!$C$34:$C$39)</f>
        <v>2954979.2592435814</v>
      </c>
      <c r="AB32" s="99">
        <f>'Yearly Demand - Eth-Prop'!AK3*SUM('Demand - Ethylene'!$C$34:$C$39)</f>
        <v>2930603.8491324857</v>
      </c>
      <c r="AC32" s="99">
        <f>'Yearly Demand - Eth-Prop'!AL3*SUM('Demand - Ethylene'!$C$34:$C$39)</f>
        <v>2905389.4003169015</v>
      </c>
      <c r="AD32" s="99">
        <f>'Yearly Demand - Eth-Prop'!AM3*SUM('Demand - Ethylene'!$C$34:$C$39)</f>
        <v>2880391.8926034942</v>
      </c>
      <c r="AE32" s="99">
        <f>'Yearly Demand - Eth-Prop'!AN3*SUM('Demand - Ethylene'!$C$34:$C$39)</f>
        <v>2855609.4594655684</v>
      </c>
      <c r="AF32" s="99">
        <f>'Yearly Demand - Eth-Prop'!AO3*SUM('Demand - Ethylene'!$C$34:$C$39)</f>
        <v>2831040.2504357281</v>
      </c>
      <c r="AG32" s="99">
        <f>'Yearly Demand - Eth-Prop'!AP3*SUM('Demand - Ethylene'!$C$34:$C$39)</f>
        <v>2806682.430967703</v>
      </c>
      <c r="AL32" s="100"/>
      <c r="AM32" s="2"/>
      <c r="AN32" s="2"/>
      <c r="AO32" s="2"/>
    </row>
    <row r="33" spans="1:64" outlineLevel="1">
      <c r="A33" t="s">
        <v>402</v>
      </c>
      <c r="B33" s="156" t="s">
        <v>301</v>
      </c>
      <c r="C33" s="99">
        <f>C32-C31</f>
        <v>437080.99526893208</v>
      </c>
      <c r="D33" s="99">
        <f t="shared" ref="D33:AG33" si="24">D32-D31</f>
        <v>426131.46829099767</v>
      </c>
      <c r="E33" s="99">
        <f t="shared" si="24"/>
        <v>415256.95341575891</v>
      </c>
      <c r="F33" s="99">
        <f t="shared" si="24"/>
        <v>404457.02617808897</v>
      </c>
      <c r="G33" s="99">
        <f t="shared" si="24"/>
        <v>393731.26436802931</v>
      </c>
      <c r="H33" s="99">
        <f t="shared" si="24"/>
        <v>383079.24801909085</v>
      </c>
      <c r="I33" s="99">
        <f t="shared" si="24"/>
        <v>370689.48116590641</v>
      </c>
      <c r="J33" s="99">
        <f t="shared" si="24"/>
        <v>358392.04196656309</v>
      </c>
      <c r="K33" s="99">
        <f t="shared" si="24"/>
        <v>346186.36087939981</v>
      </c>
      <c r="L33" s="99">
        <f t="shared" si="24"/>
        <v>334071.8716785335</v>
      </c>
      <c r="M33" s="99">
        <f t="shared" si="24"/>
        <v>322048.01143496204</v>
      </c>
      <c r="N33" s="99">
        <f t="shared" si="24"/>
        <v>306756.05781542137</v>
      </c>
      <c r="O33" s="99">
        <f t="shared" si="24"/>
        <v>291594.85772731202</v>
      </c>
      <c r="P33" s="99">
        <f t="shared" si="24"/>
        <v>276563.47729219496</v>
      </c>
      <c r="Q33" s="99">
        <f t="shared" si="24"/>
        <v>261660.9889854216</v>
      </c>
      <c r="R33" s="99">
        <f t="shared" si="24"/>
        <v>246886.47159355553</v>
      </c>
      <c r="S33" s="99">
        <f t="shared" si="24"/>
        <v>229301.52710473491</v>
      </c>
      <c r="T33" s="99">
        <f t="shared" si="24"/>
        <v>211884.53066286398</v>
      </c>
      <c r="U33" s="99">
        <f t="shared" si="24"/>
        <v>194634.13298272155</v>
      </c>
      <c r="V33" s="99">
        <f t="shared" si="24"/>
        <v>177548.99517297884</v>
      </c>
      <c r="W33" s="99">
        <f t="shared" si="24"/>
        <v>160627.78865706641</v>
      </c>
      <c r="X33" s="99">
        <f t="shared" si="24"/>
        <v>141819.7259120415</v>
      </c>
      <c r="Y33" s="99">
        <f t="shared" si="24"/>
        <v>123205.404669296</v>
      </c>
      <c r="Z33" s="99">
        <f t="shared" si="24"/>
        <v>104783.14156750776</v>
      </c>
      <c r="AA33" s="99">
        <f t="shared" si="24"/>
        <v>86551.267319365405</v>
      </c>
      <c r="AB33" s="99">
        <f t="shared" si="24"/>
        <v>68508.126595065929</v>
      </c>
      <c r="AC33" s="99">
        <f t="shared" si="24"/>
        <v>49611.968207872473</v>
      </c>
      <c r="AD33" s="99">
        <f t="shared" si="24"/>
        <v>30918.802824048325</v>
      </c>
      <c r="AE33" s="99">
        <f t="shared" si="24"/>
        <v>12426.794708367903</v>
      </c>
      <c r="AF33" s="99">
        <f t="shared" si="24"/>
        <v>-5865.8758830660954</v>
      </c>
      <c r="AG33" s="99">
        <f t="shared" si="24"/>
        <v>-23961.012840852141</v>
      </c>
      <c r="AL33" s="100"/>
      <c r="AM33" s="2"/>
      <c r="AN33" s="2"/>
      <c r="AO33" s="2"/>
    </row>
    <row r="34" spans="1:64" outlineLevel="1">
      <c r="A34" t="s">
        <v>403</v>
      </c>
      <c r="B34" s="50" t="s">
        <v>126</v>
      </c>
      <c r="C34" s="2">
        <f>C31/C32</f>
        <v>0.87374018595569714</v>
      </c>
      <c r="D34" s="2">
        <f t="shared" ref="D34:AG34" si="25">D31/D32</f>
        <v>0.8762731840552116</v>
      </c>
      <c r="E34" s="2">
        <f t="shared" si="25"/>
        <v>0.87881352538956359</v>
      </c>
      <c r="F34" s="2">
        <f t="shared" si="25"/>
        <v>0.88136123124700361</v>
      </c>
      <c r="G34" s="2">
        <f t="shared" si="25"/>
        <v>0.88391632297749634</v>
      </c>
      <c r="H34" s="2">
        <f t="shared" si="25"/>
        <v>0.88647882199290251</v>
      </c>
      <c r="I34" s="2">
        <f t="shared" si="25"/>
        <v>0.88952859633815806</v>
      </c>
      <c r="J34" s="2">
        <f t="shared" si="25"/>
        <v>0.89258886289521411</v>
      </c>
      <c r="K34" s="2">
        <f t="shared" si="25"/>
        <v>0.89565965776067813</v>
      </c>
      <c r="L34" s="2">
        <f t="shared" si="25"/>
        <v>0.8987410171553426</v>
      </c>
      <c r="M34" s="2">
        <f t="shared" si="25"/>
        <v>0.90183297742460977</v>
      </c>
      <c r="N34" s="2">
        <f t="shared" si="25"/>
        <v>0.9058681055369604</v>
      </c>
      <c r="O34" s="2">
        <f t="shared" si="25"/>
        <v>0.90992128827726382</v>
      </c>
      <c r="P34" s="2">
        <f t="shared" si="25"/>
        <v>0.91399260642847968</v>
      </c>
      <c r="Q34" s="2">
        <f t="shared" si="25"/>
        <v>0.91808214113501974</v>
      </c>
      <c r="R34" s="2">
        <f t="shared" si="25"/>
        <v>0.92218997390436486</v>
      </c>
      <c r="S34" s="2">
        <f t="shared" si="25"/>
        <v>0.92718031145953395</v>
      </c>
      <c r="T34" s="2">
        <f t="shared" si="25"/>
        <v>0.93219765372047902</v>
      </c>
      <c r="U34" s="2">
        <f t="shared" si="25"/>
        <v>0.93724214682042717</v>
      </c>
      <c r="V34" s="2">
        <f t="shared" si="25"/>
        <v>0.94231393768339156</v>
      </c>
      <c r="W34" s="2">
        <f t="shared" si="25"/>
        <v>0.94741317402844916</v>
      </c>
      <c r="X34" s="2">
        <f t="shared" si="25"/>
        <v>0.9531844380329314</v>
      </c>
      <c r="Y34" s="2">
        <f t="shared" si="25"/>
        <v>0.95899085828088004</v>
      </c>
      <c r="Z34" s="2">
        <f t="shared" si="25"/>
        <v>0.96483264893013854</v>
      </c>
      <c r="AA34" s="2">
        <f t="shared" si="25"/>
        <v>0.97071002544311569</v>
      </c>
      <c r="AB34" s="2">
        <f t="shared" si="25"/>
        <v>0.97662320459473029</v>
      </c>
      <c r="AC34" s="2">
        <f t="shared" si="25"/>
        <v>0.98292415873670458</v>
      </c>
      <c r="AD34" s="2">
        <f t="shared" si="25"/>
        <v>0.9892657652233211</v>
      </c>
      <c r="AE34" s="2">
        <f t="shared" si="25"/>
        <v>0.99564828633440172</v>
      </c>
      <c r="AF34" s="2">
        <f t="shared" si="25"/>
        <v>1.0020719860419376</v>
      </c>
      <c r="AG34" s="2">
        <f t="shared" si="25"/>
        <v>1.0085371300210086</v>
      </c>
      <c r="AI34" s="182"/>
      <c r="AL34" s="100"/>
      <c r="AM34" s="2"/>
      <c r="AN34" s="2"/>
      <c r="AO34" s="2"/>
    </row>
    <row r="35" spans="1:64" outlineLevel="1">
      <c r="AL35" s="100"/>
      <c r="AM35" s="2"/>
      <c r="AN35" s="2"/>
      <c r="AO35" s="2"/>
    </row>
    <row r="36" spans="1:64" outlineLevel="1">
      <c r="A36" t="s">
        <v>282</v>
      </c>
      <c r="B36" s="50" t="s">
        <v>126</v>
      </c>
      <c r="C36" s="22">
        <f>'Yearly HC Ethylene'!D33/'Yearly HC Ethylene'!D26</f>
        <v>1</v>
      </c>
      <c r="D36" s="22">
        <f>'Yearly HC Ethylene'!E33/'Yearly HC Ethylene'!E26</f>
        <v>0.98249099999999989</v>
      </c>
      <c r="E36" s="22">
        <f>'Yearly HC Ethylene'!F33/'Yearly HC Ethylene'!F26</f>
        <v>0.96498200000000001</v>
      </c>
      <c r="F36" s="22">
        <f>'Yearly HC Ethylene'!G33/'Yearly HC Ethylene'!G26</f>
        <v>0.94747300000000001</v>
      </c>
      <c r="G36" s="22">
        <f>'Yearly HC Ethylene'!H33/'Yearly HC Ethylene'!H26</f>
        <v>0.9299639999999999</v>
      </c>
      <c r="H36" s="22">
        <f>'Yearly HC Ethylene'!I33/'Yearly HC Ethylene'!I26</f>
        <v>0.91245500000000002</v>
      </c>
      <c r="I36" s="22">
        <f>'Yearly HC Ethylene'!J33/'Yearly HC Ethylene'!J26</f>
        <v>0.89494600000000002</v>
      </c>
      <c r="J36" s="22">
        <f>'Yearly HC Ethylene'!K33/'Yearly HC Ethylene'!K26</f>
        <v>0.87743700000000002</v>
      </c>
      <c r="K36" s="22">
        <f>'Yearly HC Ethylene'!L33/'Yearly HC Ethylene'!L26</f>
        <v>0.85992799999999991</v>
      </c>
      <c r="L36" s="22">
        <f>'Yearly HC Ethylene'!M33/'Yearly HC Ethylene'!M26</f>
        <v>0.84241899999999992</v>
      </c>
      <c r="M36" s="22">
        <f>'Yearly HC Ethylene'!N33/'Yearly HC Ethylene'!N26</f>
        <v>0.82491000000000014</v>
      </c>
      <c r="N36" s="22">
        <f>'Yearly HC Ethylene'!O33/'Yearly HC Ethylene'!O26</f>
        <v>0.79894799999999988</v>
      </c>
      <c r="O36" s="22">
        <f>'Yearly HC Ethylene'!P33/'Yearly HC Ethylene'!P26</f>
        <v>0.77713600000000005</v>
      </c>
      <c r="P36" s="22">
        <f>'Yearly HC Ethylene'!Q33/'Yearly HC Ethylene'!Q26</f>
        <v>0.75183800000000001</v>
      </c>
      <c r="Q36" s="22">
        <f>'Yearly HC Ethylene'!R33/'Yearly HC Ethylene'!R26</f>
        <v>0.72654000000000007</v>
      </c>
      <c r="R36" s="22">
        <f>'Yearly HC Ethylene'!S33/'Yearly HC Ethylene'!S26</f>
        <v>0.70124200000000003</v>
      </c>
      <c r="S36" s="22">
        <f>'Yearly HC Ethylene'!T33/'Yearly HC Ethylene'!T26</f>
        <v>0.67594399999999988</v>
      </c>
      <c r="T36" s="22">
        <f>'Yearly HC Ethylene'!U33/'Yearly HC Ethylene'!U26</f>
        <v>0.65064600000000006</v>
      </c>
      <c r="U36" s="22">
        <f>'Yearly HC Ethylene'!V33/'Yearly HC Ethylene'!V26</f>
        <v>0.62534800000000013</v>
      </c>
      <c r="V36" s="22">
        <f>'Yearly HC Ethylene'!W33/'Yearly HC Ethylene'!W26</f>
        <v>0.60005000000000008</v>
      </c>
      <c r="W36" s="22">
        <f>'Yearly HC Ethylene'!X33/'Yearly HC Ethylene'!X26</f>
        <v>0.57475200000000004</v>
      </c>
      <c r="X36" s="22">
        <f>'Yearly HC Ethylene'!Y33/'Yearly HC Ethylene'!Y26</f>
        <v>0.55600499999999997</v>
      </c>
      <c r="Y36" s="22">
        <f>'Yearly HC Ethylene'!Z33/'Yearly HC Ethylene'!Z26</f>
        <v>0.53755999999999993</v>
      </c>
      <c r="Z36" s="22">
        <f>'Yearly HC Ethylene'!AA33/'Yearly HC Ethylene'!AA26</f>
        <v>0.51911499999999999</v>
      </c>
      <c r="AA36" s="22">
        <f>'Yearly HC Ethylene'!AB33/'Yearly HC Ethylene'!AB26</f>
        <v>0.50066999999999995</v>
      </c>
      <c r="AB36" s="22">
        <f>'Yearly HC Ethylene'!AC33/'Yearly HC Ethylene'!AC26</f>
        <v>0.48222499999999996</v>
      </c>
      <c r="AC36" s="22">
        <f>'Yearly HC Ethylene'!AD33/'Yearly HC Ethylene'!AD26</f>
        <v>0.46377999999999991</v>
      </c>
      <c r="AD36" s="22">
        <f>'Yearly HC Ethylene'!AE33/'Yearly HC Ethylene'!AE26</f>
        <v>0.44533499999999998</v>
      </c>
      <c r="AE36" s="22">
        <f>'Yearly HC Ethylene'!AF33/'Yearly HC Ethylene'!AF26</f>
        <v>0.42689000000000005</v>
      </c>
      <c r="AF36" s="22">
        <f>'Yearly HC Ethylene'!AG33/'Yearly HC Ethylene'!AG26</f>
        <v>0.40844499999999989</v>
      </c>
      <c r="AG36" s="22">
        <f>'Yearly HC Ethylene'!AH33/'Yearly HC Ethylene'!AH26</f>
        <v>0.38999999999999996</v>
      </c>
      <c r="AL36" s="100"/>
      <c r="AM36" s="2"/>
      <c r="AN36" s="2"/>
      <c r="AO36" s="2"/>
      <c r="BC36" s="1"/>
      <c r="BD36" s="114"/>
      <c r="BE36" s="114"/>
      <c r="BF36" s="114"/>
      <c r="BG36" s="114"/>
      <c r="BH36" s="114"/>
      <c r="BI36" s="114"/>
      <c r="BJ36" s="114"/>
      <c r="BK36" s="114"/>
    </row>
    <row r="37" spans="1:64" outlineLevel="1">
      <c r="A37" t="s">
        <v>283</v>
      </c>
      <c r="B37" s="50" t="s">
        <v>126</v>
      </c>
      <c r="C37" s="22">
        <f>'Yearly HC Ethylene'!D19/'Yearly HC Ethylene'!D12</f>
        <v>1</v>
      </c>
      <c r="D37" s="22">
        <f>'Yearly HC Ethylene'!E19/'Yearly HC Ethylene'!E12</f>
        <v>0.99659614385999995</v>
      </c>
      <c r="E37" s="22">
        <f>'Yearly HC Ethylene'!F19/'Yearly HC Ethylene'!F12</f>
        <v>0.99318463087999997</v>
      </c>
      <c r="F37" s="22">
        <f>'Yearly HC Ethylene'!G19/'Yearly HC Ethylene'!G12</f>
        <v>0.98976554421999996</v>
      </c>
      <c r="G37" s="22">
        <f>'Yearly HC Ethylene'!H19/'Yearly HC Ethylene'!H12</f>
        <v>0.98633896704000001</v>
      </c>
      <c r="H37" s="22">
        <f>'Yearly HC Ethylene'!I19/'Yearly HC Ethylene'!I12</f>
        <v>0.98290498249999991</v>
      </c>
      <c r="I37" s="22">
        <f>'Yearly HC Ethylene'!J19/'Yearly HC Ethylene'!J12</f>
        <v>0.9794636737600001</v>
      </c>
      <c r="J37" s="22">
        <f>'Yearly HC Ethylene'!K19/'Yearly HC Ethylene'!K12</f>
        <v>0.97601512398000001</v>
      </c>
      <c r="K37" s="22">
        <f>'Yearly HC Ethylene'!L19/'Yearly HC Ethylene'!L12</f>
        <v>0.97255941631999998</v>
      </c>
      <c r="L37" s="22">
        <f>'Yearly HC Ethylene'!M19/'Yearly HC Ethylene'!M12</f>
        <v>0.96909663394000001</v>
      </c>
      <c r="M37" s="22">
        <f>'Yearly HC Ethylene'!N19/'Yearly HC Ethylene'!N12</f>
        <v>0.96562686000000009</v>
      </c>
      <c r="N37" s="22">
        <f>'Yearly HC Ethylene'!O19/'Yearly HC Ethylene'!O12</f>
        <v>0.95424544924999999</v>
      </c>
      <c r="O37" s="22">
        <f>'Yearly HC Ethylene'!P19/'Yearly HC Ethylene'!P12</f>
        <v>0.94283530239999991</v>
      </c>
      <c r="P37" s="22">
        <f>'Yearly HC Ethylene'!Q19/'Yearly HC Ethylene'!Q12</f>
        <v>0.93139829055000012</v>
      </c>
      <c r="Q37" s="22">
        <f>'Yearly HC Ethylene'!R19/'Yearly HC Ethylene'!R12</f>
        <v>0.91993628479999989</v>
      </c>
      <c r="R37" s="22">
        <f>'Yearly HC Ethylene'!S19/'Yearly HC Ethylene'!S12</f>
        <v>0.90845115624999995</v>
      </c>
      <c r="S37" s="22">
        <f>'Yearly HC Ethylene'!T19/'Yearly HC Ethylene'!T12</f>
        <v>0.89694477600000011</v>
      </c>
      <c r="T37" s="22">
        <f>'Yearly HC Ethylene'!U19/'Yearly HC Ethylene'!U12</f>
        <v>0.88541901514999999</v>
      </c>
      <c r="U37" s="22">
        <f>'Yearly HC Ethylene'!V19/'Yearly HC Ethylene'!V12</f>
        <v>0.87387574479999997</v>
      </c>
      <c r="V37" s="22">
        <f>'Yearly HC Ethylene'!W19/'Yearly HC Ethylene'!W12</f>
        <v>0.86231683604999987</v>
      </c>
      <c r="W37" s="22">
        <f>'Yearly HC Ethylene'!X19/'Yearly HC Ethylene'!X12</f>
        <v>0.85074415999999997</v>
      </c>
      <c r="X37" s="22">
        <f>'Yearly HC Ethylene'!Y19/'Yearly HC Ethylene'!Y12</f>
        <v>0.82220114323999993</v>
      </c>
      <c r="Y37" s="22">
        <f>'Yearly HC Ethylene'!Z19/'Yearly HC Ethylene'!Z12</f>
        <v>0.79402206271999998</v>
      </c>
      <c r="Z37" s="22">
        <f>'Yearly HC Ethylene'!AA19/'Yearly HC Ethylene'!AA12</f>
        <v>0.76621140908000007</v>
      </c>
      <c r="AA37" s="22">
        <f>'Yearly HC Ethylene'!AB19/'Yearly HC Ethylene'!AB12</f>
        <v>0.73877367296000007</v>
      </c>
      <c r="AB37" s="22">
        <f>'Yearly HC Ethylene'!AC19/'Yearly HC Ethylene'!AC12</f>
        <v>0.71171334500000005</v>
      </c>
      <c r="AC37" s="22">
        <f>'Yearly HC Ethylene'!AD19/'Yearly HC Ethylene'!AD12</f>
        <v>0.68503491584000009</v>
      </c>
      <c r="AD37" s="22">
        <f>'Yearly HC Ethylene'!AE19/'Yearly HC Ethylene'!AE12</f>
        <v>0.65874287611999993</v>
      </c>
      <c r="AE37" s="22">
        <f>'Yearly HC Ethylene'!AF19/'Yearly HC Ethylene'!AF12</f>
        <v>0.63284171647999998</v>
      </c>
      <c r="AF37" s="22">
        <f>'Yearly HC Ethylene'!AG19/'Yearly HC Ethylene'!AG12</f>
        <v>0.60733592755999999</v>
      </c>
      <c r="AG37" s="22">
        <f>'Yearly HC Ethylene'!AH19/'Yearly HC Ethylene'!AH12</f>
        <v>0.58223000000000003</v>
      </c>
      <c r="AL37" s="100"/>
      <c r="AM37" s="2"/>
      <c r="AN37" s="2"/>
      <c r="AO37" s="2"/>
      <c r="BL37" s="1"/>
    </row>
    <row r="38" spans="1:64" outlineLevel="1">
      <c r="A38" t="s">
        <v>284</v>
      </c>
      <c r="B38" s="50" t="s">
        <v>126</v>
      </c>
      <c r="C38" s="22">
        <f>'Yearly HC Ethylene'!D43/'Yearly HC Ethylene'!D40</f>
        <v>1</v>
      </c>
      <c r="D38" s="22">
        <f>'Yearly HC Ethylene'!E43/'Yearly HC Ethylene'!E40</f>
        <v>0.97545683620044876</v>
      </c>
      <c r="E38" s="22">
        <f>'Yearly HC Ethylene'!F43/'Yearly HC Ethylene'!F40</f>
        <v>0.95091367240089752</v>
      </c>
      <c r="F38" s="22">
        <f>'Yearly HC Ethylene'!G43/'Yearly HC Ethylene'!G40</f>
        <v>0.92637050860134629</v>
      </c>
      <c r="G38" s="22">
        <f>'Yearly HC Ethylene'!H43/'Yearly HC Ethylene'!H40</f>
        <v>0.90182734480179516</v>
      </c>
      <c r="H38" s="22">
        <f>'Yearly HC Ethylene'!I43/'Yearly HC Ethylene'!I40</f>
        <v>0.87728418100224381</v>
      </c>
      <c r="I38" s="22">
        <f>'Yearly HC Ethylene'!J43/'Yearly HC Ethylene'!J40</f>
        <v>0.85274101720269269</v>
      </c>
      <c r="J38" s="22">
        <f>'Yearly HC Ethylene'!K43/'Yearly HC Ethylene'!K40</f>
        <v>0.82819785340314134</v>
      </c>
      <c r="K38" s="22">
        <f>'Yearly HC Ethylene'!L43/'Yearly HC Ethylene'!L40</f>
        <v>0.80365468960358999</v>
      </c>
      <c r="L38" s="22">
        <f>'Yearly HC Ethylene'!M43/'Yearly HC Ethylene'!M40</f>
        <v>0.77911152580403886</v>
      </c>
      <c r="M38" s="22">
        <f>'Yearly HC Ethylene'!N43/'Yearly HC Ethylene'!N40</f>
        <v>0.75456836200448751</v>
      </c>
      <c r="N38" s="22">
        <f>'Yearly HC Ethylene'!O43/'Yearly HC Ethylene'!O40</f>
        <v>0.7300251982049365</v>
      </c>
      <c r="O38" s="22">
        <f>'Yearly HC Ethylene'!P43/'Yearly HC Ethylene'!P40</f>
        <v>0.70548203440538515</v>
      </c>
      <c r="P38" s="22">
        <f>'Yearly HC Ethylene'!Q43/'Yearly HC Ethylene'!Q40</f>
        <v>0.68093887060583391</v>
      </c>
      <c r="Q38" s="22">
        <f>'Yearly HC Ethylene'!R43/'Yearly HC Ethylene'!R40</f>
        <v>0.65639570680628267</v>
      </c>
      <c r="R38" s="22">
        <f>'Yearly HC Ethylene'!S43/'Yearly HC Ethylene'!S40</f>
        <v>0.63185254300673144</v>
      </c>
      <c r="S38" s="22">
        <f>'Yearly HC Ethylene'!T43/'Yearly HC Ethylene'!T40</f>
        <v>0.6073093792071802</v>
      </c>
      <c r="T38" s="22">
        <f>'Yearly HC Ethylene'!U43/'Yearly HC Ethylene'!U40</f>
        <v>0.58276621540762896</v>
      </c>
      <c r="U38" s="22">
        <f>'Yearly HC Ethylene'!V43/'Yearly HC Ethylene'!V40</f>
        <v>0.55822305160807772</v>
      </c>
      <c r="V38" s="22">
        <f>'Yearly HC Ethylene'!W43/'Yearly HC Ethylene'!W40</f>
        <v>0.53367988780852649</v>
      </c>
      <c r="W38" s="22">
        <f>'Yearly HC Ethylene'!X43/'Yearly HC Ethylene'!X40</f>
        <v>0.50913672400897525</v>
      </c>
      <c r="X38" s="22">
        <f>'Yearly HC Ethylene'!Y43/'Yearly HC Ethylene'!Y40</f>
        <v>0.48384982797307396</v>
      </c>
      <c r="Y38" s="22">
        <f>'Yearly HC Ethylene'!Z43/'Yearly HC Ethylene'!Z40</f>
        <v>0.45856293193717279</v>
      </c>
      <c r="Z38" s="22">
        <f>'Yearly HC Ethylene'!AA43/'Yearly HC Ethylene'!AA40</f>
        <v>0.43327603590127151</v>
      </c>
      <c r="AA38" s="22">
        <f>'Yearly HC Ethylene'!AB43/'Yearly HC Ethylene'!AB40</f>
        <v>0.40798913986537017</v>
      </c>
      <c r="AB38" s="22">
        <f>'Yearly HC Ethylene'!AC43/'Yearly HC Ethylene'!AC40</f>
        <v>0.38270224382946894</v>
      </c>
      <c r="AC38" s="22">
        <f>'Yearly HC Ethylene'!AD43/'Yearly HC Ethylene'!AD40</f>
        <v>0.35741534779356759</v>
      </c>
      <c r="AD38" s="22">
        <f>'Yearly HC Ethylene'!AE43/'Yearly HC Ethylene'!AE40</f>
        <v>0.33212845175766637</v>
      </c>
      <c r="AE38" s="22">
        <f>'Yearly HC Ethylene'!AF43/'Yearly HC Ethylene'!AF40</f>
        <v>0.30684155572176514</v>
      </c>
      <c r="AF38" s="22">
        <f>'Yearly HC Ethylene'!AG43/'Yearly HC Ethylene'!AG40</f>
        <v>0.28155465968586385</v>
      </c>
      <c r="AG38" s="22">
        <f>'Yearly HC Ethylene'!AH43/'Yearly HC Ethylene'!AH40</f>
        <v>0.25626776364996257</v>
      </c>
      <c r="AL38" s="100"/>
      <c r="AM38" s="2"/>
      <c r="AN38" s="2"/>
      <c r="AO38" s="2"/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405</v>
      </c>
      <c r="B39" s="50" t="s">
        <v>126</v>
      </c>
      <c r="C39" s="22">
        <f>'Yearly HC Ethylene'!D55/'Yearly HC Ethylene'!D50</f>
        <v>1</v>
      </c>
      <c r="D39" s="22">
        <f>'Yearly HC Ethylene'!E55/'Yearly HC Ethylene'!E50</f>
        <v>0.96910000000000007</v>
      </c>
      <c r="E39" s="22">
        <f>'Yearly HC Ethylene'!F55/'Yearly HC Ethylene'!F50</f>
        <v>0.93820000000000003</v>
      </c>
      <c r="F39" s="22">
        <f>'Yearly HC Ethylene'!G55/'Yearly HC Ethylene'!G50</f>
        <v>0.90730000000000011</v>
      </c>
      <c r="G39" s="22">
        <f>'Yearly HC Ethylene'!H55/'Yearly HC Ethylene'!H50</f>
        <v>0.87640000000000007</v>
      </c>
      <c r="H39" s="22">
        <f>'Yearly HC Ethylene'!I55/'Yearly HC Ethylene'!I50</f>
        <v>0.84550000000000014</v>
      </c>
      <c r="I39" s="22">
        <f>'Yearly HC Ethylene'!J55/'Yearly HC Ethylene'!J50</f>
        <v>0.81459999999999999</v>
      </c>
      <c r="J39" s="22">
        <f>'Yearly HC Ethylene'!K55/'Yearly HC Ethylene'!K50</f>
        <v>0.78369999999999995</v>
      </c>
      <c r="K39" s="22">
        <f>'Yearly HC Ethylene'!L55/'Yearly HC Ethylene'!L50</f>
        <v>0.75279999999999991</v>
      </c>
      <c r="L39" s="22">
        <f>'Yearly HC Ethylene'!M55/'Yearly HC Ethylene'!M50</f>
        <v>0.7219000000000001</v>
      </c>
      <c r="M39" s="22">
        <f>'Yearly HC Ethylene'!N55/'Yearly HC Ethylene'!N50</f>
        <v>0.69099999999999995</v>
      </c>
      <c r="N39" s="22">
        <f>'Yearly HC Ethylene'!O55/'Yearly HC Ethylene'!O50</f>
        <v>0.66920000000000002</v>
      </c>
      <c r="O39" s="22">
        <f>'Yearly HC Ethylene'!P55/'Yearly HC Ethylene'!P50</f>
        <v>0.64739999999999998</v>
      </c>
      <c r="P39" s="22">
        <f>'Yearly HC Ethylene'!Q55/'Yearly HC Ethylene'!Q50</f>
        <v>0.62560000000000004</v>
      </c>
      <c r="Q39" s="22">
        <f>'Yearly HC Ethylene'!R55/'Yearly HC Ethylene'!R50</f>
        <v>0.60380000000000011</v>
      </c>
      <c r="R39" s="22">
        <f>'Yearly HC Ethylene'!S55/'Yearly HC Ethylene'!S50</f>
        <v>0.58200000000000007</v>
      </c>
      <c r="S39" s="22">
        <f>'Yearly HC Ethylene'!T55/'Yearly HC Ethylene'!T50</f>
        <v>0.56020000000000003</v>
      </c>
      <c r="T39" s="22">
        <f>'Yearly HC Ethylene'!U55/'Yearly HC Ethylene'!U50</f>
        <v>0.53839999999999999</v>
      </c>
      <c r="U39" s="22">
        <f>'Yearly HC Ethylene'!V55/'Yearly HC Ethylene'!V50</f>
        <v>0.51659999999999995</v>
      </c>
      <c r="V39" s="22">
        <f>'Yearly HC Ethylene'!W55/'Yearly HC Ethylene'!W50</f>
        <v>0.49480000000000002</v>
      </c>
      <c r="W39" s="22">
        <f>'Yearly HC Ethylene'!X55/'Yearly HC Ethylene'!X50</f>
        <v>0.47299999999999998</v>
      </c>
      <c r="X39" s="22">
        <f>'Yearly HC Ethylene'!Y55/'Yearly HC Ethylene'!Y50</f>
        <v>0.44669999999999987</v>
      </c>
      <c r="Y39" s="22">
        <f>'Yearly HC Ethylene'!Z55/'Yearly HC Ethylene'!Z50</f>
        <v>0.4204</v>
      </c>
      <c r="Z39" s="22">
        <f>'Yearly HC Ethylene'!AA55/'Yearly HC Ethylene'!AA50</f>
        <v>0.39409999999999995</v>
      </c>
      <c r="AA39" s="22">
        <f>'Yearly HC Ethylene'!AB55/'Yearly HC Ethylene'!AB50</f>
        <v>0.36779999999999996</v>
      </c>
      <c r="AB39" s="22">
        <f>'Yearly HC Ethylene'!AC55/'Yearly HC Ethylene'!AC50</f>
        <v>0.34149999999999997</v>
      </c>
      <c r="AC39" s="22">
        <f>'Yearly HC Ethylene'!AD55/'Yearly HC Ethylene'!AD50</f>
        <v>0.31519999999999992</v>
      </c>
      <c r="AD39" s="22">
        <f>'Yearly HC Ethylene'!AE55/'Yearly HC Ethylene'!AE50</f>
        <v>0.28889999999999999</v>
      </c>
      <c r="AE39" s="22">
        <f>'Yearly HC Ethylene'!AF55/'Yearly HC Ethylene'!AF50</f>
        <v>0.2626</v>
      </c>
      <c r="AF39" s="22">
        <f>'Yearly HC Ethylene'!AG55/'Yearly HC Ethylene'!AG50</f>
        <v>0.23629999999999998</v>
      </c>
      <c r="AG39" s="22">
        <f>'Yearly HC Ethylene'!AH55/'Yearly HC Ethylene'!AH50</f>
        <v>0.20999999999999996</v>
      </c>
      <c r="AL39" s="100"/>
      <c r="AM39" s="2"/>
      <c r="AN39" s="2"/>
      <c r="AO39" s="2"/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305</v>
      </c>
      <c r="B40" s="156" t="s">
        <v>126</v>
      </c>
      <c r="C40" s="102">
        <f>'Yearly HC Ethylene'!D65/'Yearly HC Ethylene'!D62</f>
        <v>1</v>
      </c>
      <c r="D40" s="102">
        <f>'Yearly HC Ethylene'!E65/'Yearly HC Ethylene'!E62</f>
        <v>0.99340000000000006</v>
      </c>
      <c r="E40" s="102">
        <f>'Yearly HC Ethylene'!F65/'Yearly HC Ethylene'!F62</f>
        <v>0.98680000000000001</v>
      </c>
      <c r="F40" s="102">
        <f>'Yearly HC Ethylene'!G65/'Yearly HC Ethylene'!G62</f>
        <v>0.98020000000000007</v>
      </c>
      <c r="G40" s="102">
        <f>'Yearly HC Ethylene'!H65/'Yearly HC Ethylene'!H62</f>
        <v>0.97359999999999991</v>
      </c>
      <c r="H40" s="102">
        <f>'Yearly HC Ethylene'!I65/'Yearly HC Ethylene'!I62</f>
        <v>0.96699999999999997</v>
      </c>
      <c r="I40" s="102">
        <f>'Yearly HC Ethylene'!J65/'Yearly HC Ethylene'!J62</f>
        <v>0.96040000000000003</v>
      </c>
      <c r="J40" s="102">
        <f>'Yearly HC Ethylene'!K65/'Yearly HC Ethylene'!K62</f>
        <v>0.95379999999999998</v>
      </c>
      <c r="K40" s="102">
        <f>'Yearly HC Ethylene'!L65/'Yearly HC Ethylene'!L62</f>
        <v>0.94720000000000015</v>
      </c>
      <c r="L40" s="102">
        <f>'Yearly HC Ethylene'!M65/'Yearly HC Ethylene'!M62</f>
        <v>0.94059999999999999</v>
      </c>
      <c r="M40" s="102">
        <f>'Yearly HC Ethylene'!N65/'Yearly HC Ethylene'!N62</f>
        <v>0.93400000000000005</v>
      </c>
      <c r="N40" s="102">
        <f>'Yearly HC Ethylene'!O65/'Yearly HC Ethylene'!O62</f>
        <v>0.9274</v>
      </c>
      <c r="O40" s="102">
        <f>'Yearly HC Ethylene'!P65/'Yearly HC Ethylene'!P62</f>
        <v>0.92080000000000006</v>
      </c>
      <c r="P40" s="102">
        <f>'Yearly HC Ethylene'!Q65/'Yearly HC Ethylene'!Q62</f>
        <v>0.91420000000000012</v>
      </c>
      <c r="Q40" s="102">
        <f>'Yearly HC Ethylene'!R65/'Yearly HC Ethylene'!R62</f>
        <v>0.90760000000000007</v>
      </c>
      <c r="R40" s="102">
        <f>'Yearly HC Ethylene'!S65/'Yearly HC Ethylene'!S62</f>
        <v>0.90100000000000002</v>
      </c>
      <c r="S40" s="102">
        <f>'Yearly HC Ethylene'!T65/'Yearly HC Ethylene'!T62</f>
        <v>0.89440000000000008</v>
      </c>
      <c r="T40" s="102">
        <f>'Yearly HC Ethylene'!U65/'Yearly HC Ethylene'!U62</f>
        <v>0.88780000000000014</v>
      </c>
      <c r="U40" s="102">
        <f>'Yearly HC Ethylene'!V65/'Yearly HC Ethylene'!V62</f>
        <v>0.88120000000000009</v>
      </c>
      <c r="V40" s="102">
        <f>'Yearly HC Ethylene'!W65/'Yearly HC Ethylene'!W62</f>
        <v>0.87459999999999993</v>
      </c>
      <c r="W40" s="102">
        <f>'Yearly HC Ethylene'!X65/'Yearly HC Ethylene'!X62</f>
        <v>0.86799999999999999</v>
      </c>
      <c r="X40" s="102">
        <f>'Yearly HC Ethylene'!Y65/'Yearly HC Ethylene'!Y62</f>
        <v>0.86119999999999997</v>
      </c>
      <c r="Y40" s="102">
        <f>'Yearly HC Ethylene'!Z65/'Yearly HC Ethylene'!Z62</f>
        <v>0.85440000000000005</v>
      </c>
      <c r="Z40" s="102">
        <f>'Yearly HC Ethylene'!AA65/'Yearly HC Ethylene'!AA62</f>
        <v>0.84760000000000002</v>
      </c>
      <c r="AA40" s="102">
        <f>'Yearly HC Ethylene'!AB65/'Yearly HC Ethylene'!AB62</f>
        <v>0.84079999999999988</v>
      </c>
      <c r="AB40" s="102">
        <f>'Yearly HC Ethylene'!AC65/'Yearly HC Ethylene'!AC62</f>
        <v>0.83400000000000007</v>
      </c>
      <c r="AC40" s="102">
        <f>'Yearly HC Ethylene'!AD65/'Yearly HC Ethylene'!AD62</f>
        <v>0.82720000000000005</v>
      </c>
      <c r="AD40" s="102">
        <f>'Yearly HC Ethylene'!AE65/'Yearly HC Ethylene'!AE62</f>
        <v>0.82039999999999991</v>
      </c>
      <c r="AE40" s="102">
        <f>'Yearly HC Ethylene'!AF65/'Yearly HC Ethylene'!AF62</f>
        <v>0.8136000000000001</v>
      </c>
      <c r="AF40" s="102">
        <f>'Yearly HC Ethylene'!AG65/'Yearly HC Ethylene'!AG62</f>
        <v>0.80680000000000018</v>
      </c>
      <c r="AG40" s="102">
        <f>'Yearly HC Ethylene'!AH65/'Yearly HC Ethylene'!AH62</f>
        <v>0.79999999999999993</v>
      </c>
      <c r="AI40" s="122"/>
      <c r="AL40" s="100"/>
      <c r="AM40" s="2"/>
      <c r="AN40" s="2"/>
      <c r="AO40" s="2"/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I41" t="s">
        <v>406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278</v>
      </c>
      <c r="B42" s="50" t="s">
        <v>301</v>
      </c>
      <c r="C42" s="99">
        <f>C24*C36</f>
        <v>2147793.6993327653</v>
      </c>
      <c r="D42" s="99">
        <f t="shared" ref="D42:AG42" si="26">D24*D36</f>
        <v>2105529.5816178098</v>
      </c>
      <c r="E42" s="99">
        <f t="shared" si="26"/>
        <v>2063441.5992774123</v>
      </c>
      <c r="F42" s="99">
        <f t="shared" si="26"/>
        <v>2021529.1806169215</v>
      </c>
      <c r="G42" s="99">
        <f t="shared" si="26"/>
        <v>1979791.7556074287</v>
      </c>
      <c r="H42" s="99">
        <f t="shared" si="26"/>
        <v>1938228.7558812001</v>
      </c>
      <c r="I42" s="99">
        <f t="shared" si="26"/>
        <v>1896839.6147271164</v>
      </c>
      <c r="J42" s="99">
        <f t="shared" si="26"/>
        <v>1855623.7670861324</v>
      </c>
      <c r="K42" s="99">
        <f t="shared" si="26"/>
        <v>1814580.6495467422</v>
      </c>
      <c r="L42" s="99">
        <f t="shared" si="26"/>
        <v>1773709.7003404603</v>
      </c>
      <c r="M42" s="99">
        <f t="shared" si="26"/>
        <v>1733010.3593373136</v>
      </c>
      <c r="N42" s="99">
        <f t="shared" si="26"/>
        <v>1674762.804724657</v>
      </c>
      <c r="O42" s="99">
        <f t="shared" si="26"/>
        <v>1625444.0434503374</v>
      </c>
      <c r="P42" s="99">
        <f t="shared" si="26"/>
        <v>1569059.7095831221</v>
      </c>
      <c r="Q42" s="99">
        <f t="shared" si="26"/>
        <v>1512916.3995693063</v>
      </c>
      <c r="R42" s="99">
        <f t="shared" si="26"/>
        <v>1457013.3240351679</v>
      </c>
      <c r="S42" s="99">
        <f t="shared" si="26"/>
        <v>1401349.6959175861</v>
      </c>
      <c r="T42" s="99">
        <f t="shared" si="26"/>
        <v>1345924.7304576868</v>
      </c>
      <c r="U42" s="99">
        <f t="shared" si="26"/>
        <v>1290737.6451945021</v>
      </c>
      <c r="V42" s="99">
        <f t="shared" si="26"/>
        <v>1235787.6599586522</v>
      </c>
      <c r="W42" s="99">
        <f t="shared" si="26"/>
        <v>1181073.9968660399</v>
      </c>
      <c r="X42" s="99">
        <f t="shared" si="26"/>
        <v>1140027.9958515726</v>
      </c>
      <c r="Y42" s="99">
        <f t="shared" si="26"/>
        <v>1099775.3145432728</v>
      </c>
      <c r="Z42" s="99">
        <f t="shared" si="26"/>
        <v>1059694.7990486613</v>
      </c>
      <c r="AA42" s="99">
        <f t="shared" si="26"/>
        <v>1019785.8853967857</v>
      </c>
      <c r="AB42" s="99">
        <f t="shared" si="26"/>
        <v>980048.01126767998</v>
      </c>
      <c r="AC42" s="99">
        <f t="shared" si="26"/>
        <v>940480.61598782218</v>
      </c>
      <c r="AD42" s="99">
        <f t="shared" si="26"/>
        <v>901083.14052560693</v>
      </c>
      <c r="AE42" s="99">
        <f t="shared" si="26"/>
        <v>861855.02748682653</v>
      </c>
      <c r="AF42" s="99">
        <f t="shared" si="26"/>
        <v>822795.72111016756</v>
      </c>
      <c r="AG42" s="99">
        <f t="shared" si="26"/>
        <v>783904.66726271855</v>
      </c>
      <c r="AI42" s="184" t="s">
        <v>285</v>
      </c>
      <c r="AJ42" s="185" t="s">
        <v>407</v>
      </c>
      <c r="BD42" s="37"/>
      <c r="BE42" s="37"/>
      <c r="BF42" s="37"/>
      <c r="BG42" s="37"/>
      <c r="BH42" s="37"/>
      <c r="BI42" s="37"/>
      <c r="BJ42" s="37"/>
      <c r="BK42" s="37"/>
      <c r="BL42" s="110"/>
    </row>
    <row r="43" spans="1:64" outlineLevel="1">
      <c r="A43" t="s">
        <v>279</v>
      </c>
      <c r="B43" s="50" t="s">
        <v>301</v>
      </c>
      <c r="C43" s="99">
        <f>C25*$C$37</f>
        <v>25755.554702972328</v>
      </c>
      <c r="D43" s="99">
        <f t="shared" ref="D43:O43" si="27">D25*$C$37</f>
        <v>25698.697389124896</v>
      </c>
      <c r="E43" s="99">
        <f t="shared" si="27"/>
        <v>25641.965592051427</v>
      </c>
      <c r="F43" s="99">
        <f t="shared" si="27"/>
        <v>25585.359034664256</v>
      </c>
      <c r="G43" s="99">
        <f t="shared" si="27"/>
        <v>25528.877440487398</v>
      </c>
      <c r="H43" s="99">
        <f t="shared" si="27"/>
        <v>25472.520533655221</v>
      </c>
      <c r="I43" s="99">
        <f t="shared" si="27"/>
        <v>25416.288038911091</v>
      </c>
      <c r="J43" s="99">
        <f t="shared" si="27"/>
        <v>25360.179681606005</v>
      </c>
      <c r="K43" s="99">
        <f t="shared" si="27"/>
        <v>25304.195187697278</v>
      </c>
      <c r="L43" s="99">
        <f t="shared" si="27"/>
        <v>25248.334283747205</v>
      </c>
      <c r="M43" s="99">
        <f t="shared" si="27"/>
        <v>25192.596696921708</v>
      </c>
      <c r="N43" s="99">
        <f t="shared" si="27"/>
        <v>25136.982154989</v>
      </c>
      <c r="O43" s="99">
        <f t="shared" si="27"/>
        <v>25081.490386318274</v>
      </c>
      <c r="P43" s="99">
        <f>D37*P25</f>
        <v>24940.935803844099</v>
      </c>
      <c r="Q43" s="99">
        <f t="shared" ref="Q43:AF43" si="28">E37*Q25</f>
        <v>24800.688361096541</v>
      </c>
      <c r="R43" s="99">
        <f t="shared" si="28"/>
        <v>24660.749881062115</v>
      </c>
      <c r="S43" s="99">
        <f t="shared" si="28"/>
        <v>24521.122167101828</v>
      </c>
      <c r="T43" s="99">
        <f t="shared" si="28"/>
        <v>24381.807003061269</v>
      </c>
      <c r="U43" s="99">
        <f t="shared" si="28"/>
        <v>24242.80615338029</v>
      </c>
      <c r="V43" s="99">
        <f t="shared" si="28"/>
        <v>24104.121363202099</v>
      </c>
      <c r="W43" s="99">
        <f t="shared" si="28"/>
        <v>23965.754358481969</v>
      </c>
      <c r="X43" s="99">
        <f t="shared" si="28"/>
        <v>23827.706846095411</v>
      </c>
      <c r="Y43" s="99">
        <f t="shared" si="28"/>
        <v>23689.98051394588</v>
      </c>
      <c r="Z43" s="99">
        <f t="shared" si="28"/>
        <v>23359.076339486634</v>
      </c>
      <c r="AA43" s="99">
        <f t="shared" si="28"/>
        <v>23028.815824856934</v>
      </c>
      <c r="AB43" s="99">
        <f t="shared" si="28"/>
        <v>22699.244891135131</v>
      </c>
      <c r="AC43" s="99">
        <f t="shared" si="28"/>
        <v>22370.409048759189</v>
      </c>
      <c r="AD43" s="99">
        <f t="shared" si="28"/>
        <v>22042.353399790212</v>
      </c>
      <c r="AE43" s="99">
        <f t="shared" si="28"/>
        <v>21715.122640165959</v>
      </c>
      <c r="AF43" s="99">
        <f t="shared" si="28"/>
        <v>21388.761061944377</v>
      </c>
      <c r="AG43" s="99">
        <f>U37*AG25</f>
        <v>21063.312555537377</v>
      </c>
      <c r="AI43" s="184" t="s">
        <v>286</v>
      </c>
      <c r="AJ43" s="185" t="s">
        <v>407</v>
      </c>
      <c r="BD43" s="37"/>
      <c r="BE43" s="37"/>
      <c r="BF43" s="37"/>
      <c r="BG43" s="37"/>
      <c r="BH43" s="37"/>
      <c r="BI43" s="37"/>
      <c r="BJ43" s="37"/>
      <c r="BK43" s="37"/>
      <c r="BL43" s="110"/>
    </row>
    <row r="44" spans="1:64" outlineLevel="1">
      <c r="A44" t="s">
        <v>280</v>
      </c>
      <c r="B44" s="50" t="s">
        <v>301</v>
      </c>
      <c r="C44" s="99">
        <f>C26</f>
        <v>224465.72705792324</v>
      </c>
      <c r="D44" s="99">
        <f t="shared" ref="D44:AG44" si="29">D26</f>
        <v>223970.20217257293</v>
      </c>
      <c r="E44" s="99">
        <f t="shared" si="29"/>
        <v>223475.77119547853</v>
      </c>
      <c r="F44" s="99">
        <f t="shared" si="29"/>
        <v>222982.43171175578</v>
      </c>
      <c r="G44" s="99">
        <f t="shared" si="29"/>
        <v>222490.18131185134</v>
      </c>
      <c r="H44" s="99">
        <f t="shared" si="29"/>
        <v>221999.01759153121</v>
      </c>
      <c r="I44" s="99">
        <f t="shared" si="29"/>
        <v>221508.93815186896</v>
      </c>
      <c r="J44" s="99">
        <f t="shared" si="29"/>
        <v>221019.94059923393</v>
      </c>
      <c r="K44" s="99">
        <f t="shared" si="29"/>
        <v>220532.0225452795</v>
      </c>
      <c r="L44" s="99">
        <f t="shared" si="29"/>
        <v>220045.18160693158</v>
      </c>
      <c r="M44" s="99">
        <f t="shared" si="29"/>
        <v>219559.41540637694</v>
      </c>
      <c r="N44" s="99">
        <f t="shared" si="29"/>
        <v>219074.72157105149</v>
      </c>
      <c r="O44" s="99">
        <f t="shared" si="29"/>
        <v>218591.0977336287</v>
      </c>
      <c r="P44" s="99">
        <f t="shared" si="29"/>
        <v>218108.54153200824</v>
      </c>
      <c r="Q44" s="99">
        <f t="shared" si="29"/>
        <v>217627.05060930407</v>
      </c>
      <c r="R44" s="99">
        <f t="shared" si="29"/>
        <v>217146.62261383343</v>
      </c>
      <c r="S44" s="99">
        <f t="shared" si="29"/>
        <v>216667.25519910484</v>
      </c>
      <c r="T44" s="99">
        <f t="shared" si="29"/>
        <v>216188.94602380699</v>
      </c>
      <c r="U44" s="99">
        <f t="shared" si="29"/>
        <v>215711.69275179724</v>
      </c>
      <c r="V44" s="99">
        <f t="shared" si="29"/>
        <v>215235.49305208997</v>
      </c>
      <c r="W44" s="99">
        <f t="shared" si="29"/>
        <v>214760.34459884558</v>
      </c>
      <c r="X44" s="99">
        <f t="shared" si="29"/>
        <v>214286.24507135878</v>
      </c>
      <c r="Y44" s="99">
        <f t="shared" si="29"/>
        <v>213813.19215404757</v>
      </c>
      <c r="Z44" s="99">
        <f t="shared" si="29"/>
        <v>213341.18353644165</v>
      </c>
      <c r="AA44" s="99">
        <f t="shared" si="29"/>
        <v>212870.21691317126</v>
      </c>
      <c r="AB44" s="99">
        <f t="shared" si="29"/>
        <v>212400.28998395609</v>
      </c>
      <c r="AC44" s="99">
        <f t="shared" si="29"/>
        <v>211931.40045359352</v>
      </c>
      <c r="AD44" s="99">
        <f t="shared" si="29"/>
        <v>211463.54603194815</v>
      </c>
      <c r="AE44" s="99">
        <f t="shared" si="29"/>
        <v>210996.72443393996</v>
      </c>
      <c r="AF44" s="99">
        <f t="shared" si="29"/>
        <v>210530.9333795335</v>
      </c>
      <c r="AG44" s="99">
        <f t="shared" si="29"/>
        <v>210066.17059372671</v>
      </c>
      <c r="AI44" s="184" t="s">
        <v>287</v>
      </c>
      <c r="AJ44" s="185" t="s">
        <v>407</v>
      </c>
      <c r="BD44" s="37"/>
      <c r="BE44" s="37"/>
      <c r="BF44" s="37"/>
      <c r="BG44" s="37"/>
      <c r="BH44" s="37"/>
      <c r="BI44" s="37"/>
      <c r="BJ44" s="37"/>
      <c r="BK44" s="37"/>
      <c r="BL44" s="110"/>
    </row>
    <row r="45" spans="1:64" outlineLevel="1">
      <c r="A45" t="s">
        <v>281</v>
      </c>
      <c r="B45" s="50" t="s">
        <v>301</v>
      </c>
      <c r="C45" s="99">
        <f>C27*$C$39</f>
        <v>83597.825207426489</v>
      </c>
      <c r="D45" s="99">
        <f t="shared" ref="D45:H45" si="30">D27*$C$39</f>
        <v>83413.276754108461</v>
      </c>
      <c r="E45" s="99">
        <f t="shared" si="30"/>
        <v>83229.135705307679</v>
      </c>
      <c r="F45" s="99">
        <f t="shared" si="30"/>
        <v>83045.401161648217</v>
      </c>
      <c r="G45" s="99">
        <f t="shared" si="30"/>
        <v>82862.072225739539</v>
      </c>
      <c r="H45" s="99">
        <f t="shared" si="30"/>
        <v>82679.148002172195</v>
      </c>
      <c r="I45" s="99">
        <f>I27*D39</f>
        <v>79947.481804750278</v>
      </c>
      <c r="J45" s="99">
        <f t="shared" ref="J45:AF45" si="31">J27*E39</f>
        <v>77227.473394868066</v>
      </c>
      <c r="K45" s="99">
        <f t="shared" si="31"/>
        <v>74519.084614114632</v>
      </c>
      <c r="L45" s="99">
        <f t="shared" si="31"/>
        <v>71822.277415741148</v>
      </c>
      <c r="M45" s="99">
        <f t="shared" si="31"/>
        <v>69137.013864354041</v>
      </c>
      <c r="N45" s="99">
        <f t="shared" si="31"/>
        <v>66463.256135608492</v>
      </c>
      <c r="O45" s="99">
        <f t="shared" si="31"/>
        <v>63800.966515903347</v>
      </c>
      <c r="P45" s="99">
        <f t="shared" si="31"/>
        <v>61150.107402076188</v>
      </c>
      <c r="Q45" s="99">
        <f t="shared" si="31"/>
        <v>58510.641301099742</v>
      </c>
      <c r="R45" s="99">
        <f t="shared" si="31"/>
        <v>55882.530829778698</v>
      </c>
      <c r="S45" s="99">
        <f t="shared" si="31"/>
        <v>54000.049004254499</v>
      </c>
      <c r="T45" s="99">
        <f t="shared" si="31"/>
        <v>52125.606280482476</v>
      </c>
      <c r="U45" s="99">
        <f t="shared" si="31"/>
        <v>50259.176338687175</v>
      </c>
      <c r="V45" s="99">
        <f t="shared" si="31"/>
        <v>48400.732936121203</v>
      </c>
      <c r="W45" s="99">
        <f t="shared" si="31"/>
        <v>46550.24990685346</v>
      </c>
      <c r="X45" s="99">
        <f t="shared" si="31"/>
        <v>44707.701161557852</v>
      </c>
      <c r="Y45" s="99">
        <f t="shared" si="31"/>
        <v>42873.060687302583</v>
      </c>
      <c r="Z45" s="99">
        <f t="shared" si="31"/>
        <v>41046.302547340019</v>
      </c>
      <c r="AA45" s="99">
        <f t="shared" si="31"/>
        <v>39227.400880897076</v>
      </c>
      <c r="AB45" s="99">
        <f t="shared" si="31"/>
        <v>37416.329902966194</v>
      </c>
      <c r="AC45" s="99">
        <f t="shared" si="31"/>
        <v>35257.880421010763</v>
      </c>
      <c r="AD45" s="99">
        <f t="shared" si="31"/>
        <v>33108.778472237689</v>
      </c>
      <c r="AE45" s="99">
        <f t="shared" si="31"/>
        <v>30968.993304848012</v>
      </c>
      <c r="AF45" s="99">
        <f t="shared" si="31"/>
        <v>28838.494257262442</v>
      </c>
      <c r="AG45" s="99">
        <f>AG27*AB39</f>
        <v>26717.250757872858</v>
      </c>
      <c r="AI45" s="184" t="s">
        <v>288</v>
      </c>
      <c r="AJ45" s="185" t="s">
        <v>407</v>
      </c>
      <c r="AL45" s="5"/>
      <c r="AM45" s="101"/>
      <c r="AN45" s="101"/>
      <c r="AO45" s="101"/>
      <c r="BC45" s="1"/>
      <c r="BD45" s="110"/>
      <c r="BE45" s="110"/>
      <c r="BF45" s="110"/>
      <c r="BG45" s="110"/>
      <c r="BH45" s="110"/>
      <c r="BI45" s="110"/>
      <c r="BJ45" s="110"/>
      <c r="BK45" s="110"/>
      <c r="BL45" s="110"/>
    </row>
    <row r="46" spans="1:64" outlineLevel="1">
      <c r="A46" s="160" t="s">
        <v>306</v>
      </c>
      <c r="B46" s="156" t="s">
        <v>301</v>
      </c>
      <c r="C46" s="99">
        <f>C28*$C$40</f>
        <v>543064.78390965052</v>
      </c>
      <c r="D46" s="99">
        <f t="shared" ref="D46:H46" si="32">D28*$C$40</f>
        <v>541865.92777106864</v>
      </c>
      <c r="E46" s="99">
        <f t="shared" si="32"/>
        <v>540669.71819710231</v>
      </c>
      <c r="F46" s="99">
        <f t="shared" si="32"/>
        <v>539476.14934526221</v>
      </c>
      <c r="G46" s="99">
        <f t="shared" si="32"/>
        <v>538285.21538595646</v>
      </c>
      <c r="H46" s="99">
        <f t="shared" si="32"/>
        <v>537096.91050246265</v>
      </c>
      <c r="I46" s="99">
        <f>I28*D40</f>
        <v>532374.21478021971</v>
      </c>
      <c r="J46" s="99">
        <f t="shared" ref="J46" si="33">J28*E40</f>
        <v>527669.75298536324</v>
      </c>
      <c r="K46" s="99">
        <f t="shared" ref="K46" si="34">K28*F40</f>
        <v>522983.4676278978</v>
      </c>
      <c r="L46" s="99">
        <f t="shared" ref="L46" si="35">L28*G40</f>
        <v>518315.30138279311</v>
      </c>
      <c r="M46" s="99">
        <f t="shared" ref="M46" si="36">M28*H40</f>
        <v>513665.1970895378</v>
      </c>
      <c r="N46" s="99">
        <f t="shared" ref="N46" si="37">N28*I40</f>
        <v>509033.09775168978</v>
      </c>
      <c r="O46" s="99">
        <f t="shared" ref="O46" si="38">O28*J40</f>
        <v>504418.94653643301</v>
      </c>
      <c r="P46" s="99">
        <f t="shared" ref="P46" si="39">P28*K40</f>
        <v>499822.68677413138</v>
      </c>
      <c r="Q46" s="99">
        <f t="shared" ref="Q46" si="40">Q28*L40</f>
        <v>495244.26195788535</v>
      </c>
      <c r="R46" s="99">
        <f t="shared" ref="R46" si="41">R28*M40</f>
        <v>490683.61574309046</v>
      </c>
      <c r="S46" s="99">
        <f t="shared" ref="S46" si="42">S28*N40</f>
        <v>486140.69194699469</v>
      </c>
      <c r="T46" s="99">
        <f t="shared" ref="T46" si="43">T28*O40</f>
        <v>481615.43454826</v>
      </c>
      <c r="U46" s="99">
        <f t="shared" ref="U46" si="44">U28*P40</f>
        <v>477107.78768652229</v>
      </c>
      <c r="V46" s="99">
        <f t="shared" ref="V46" si="45">V28*Q40</f>
        <v>472617.69566195423</v>
      </c>
      <c r="W46" s="99">
        <f t="shared" ref="W46" si="46">W28*R40</f>
        <v>468145.10293482878</v>
      </c>
      <c r="X46" s="99">
        <f t="shared" ref="X46" si="47">X28*S40</f>
        <v>463689.95412508358</v>
      </c>
      <c r="Y46" s="99">
        <f t="shared" ref="Y46" si="48">Y28*T40</f>
        <v>459252.19401188649</v>
      </c>
      <c r="Z46" s="99">
        <f t="shared" ref="Z46" si="49">Z28*U40</f>
        <v>454831.76753320271</v>
      </c>
      <c r="AA46" s="99">
        <f t="shared" ref="AA46" si="50">AA28*V40</f>
        <v>450428.61978536274</v>
      </c>
      <c r="AB46" s="99">
        <f t="shared" ref="AB46" si="51">AB28*W40</f>
        <v>446042.69602263178</v>
      </c>
      <c r="AC46" s="99">
        <f t="shared" ref="AC46" si="52">AC28*X40</f>
        <v>441571.39372511994</v>
      </c>
      <c r="AD46" s="99">
        <f t="shared" ref="AD46" si="53">AD28*Y40</f>
        <v>437117.65915779438</v>
      </c>
      <c r="AE46" s="99">
        <f t="shared" ref="AE46" si="54">AE28*Z40</f>
        <v>432681.43654688209</v>
      </c>
      <c r="AF46" s="99">
        <f t="shared" ref="AF46" si="55">AF28*AA40</f>
        <v>428262.67027924542</v>
      </c>
      <c r="AG46" s="99">
        <f t="shared" ref="AG46" si="56">AG28*AB40</f>
        <v>423861.30490194488</v>
      </c>
      <c r="AI46" s="184" t="s">
        <v>288</v>
      </c>
      <c r="AJ46" s="185" t="s">
        <v>407</v>
      </c>
      <c r="AL46" s="100"/>
      <c r="AM46" s="2"/>
      <c r="AN46" s="2"/>
      <c r="AO46" s="2"/>
    </row>
    <row r="47" spans="1:64" s="1" customFormat="1" ht="15.5" thickBot="1">
      <c r="A47" s="174" t="s">
        <v>420</v>
      </c>
      <c r="B47" s="189" t="s">
        <v>301</v>
      </c>
      <c r="C47" s="190">
        <f>SUM(C42:C46)</f>
        <v>3024677.5902107381</v>
      </c>
      <c r="D47" s="190">
        <f t="shared" ref="D47:AF47" si="57">SUM(D42:D46)</f>
        <v>2980477.6857046844</v>
      </c>
      <c r="E47" s="190">
        <f t="shared" si="57"/>
        <v>2936458.189967352</v>
      </c>
      <c r="F47" s="190">
        <f t="shared" si="57"/>
        <v>2892618.5218702517</v>
      </c>
      <c r="G47" s="190">
        <f t="shared" si="57"/>
        <v>2848958.1019714633</v>
      </c>
      <c r="H47" s="190">
        <f t="shared" si="57"/>
        <v>2805476.3525110218</v>
      </c>
      <c r="I47" s="190">
        <f t="shared" si="57"/>
        <v>2756086.5375028667</v>
      </c>
      <c r="J47" s="190">
        <f t="shared" si="57"/>
        <v>2706901.1137472037</v>
      </c>
      <c r="K47" s="190">
        <f t="shared" si="57"/>
        <v>2657919.4195217313</v>
      </c>
      <c r="L47" s="190">
        <f t="shared" si="57"/>
        <v>2609140.7950296737</v>
      </c>
      <c r="M47" s="190">
        <f t="shared" si="57"/>
        <v>2560564.582394504</v>
      </c>
      <c r="N47" s="190">
        <f t="shared" si="57"/>
        <v>2494470.8623379958</v>
      </c>
      <c r="O47" s="190">
        <f t="shared" si="57"/>
        <v>2437336.5446226206</v>
      </c>
      <c r="P47" s="190">
        <f t="shared" si="57"/>
        <v>2373081.9810951818</v>
      </c>
      <c r="Q47" s="190">
        <f t="shared" si="57"/>
        <v>2309099.0417986917</v>
      </c>
      <c r="R47" s="190">
        <f t="shared" si="57"/>
        <v>2245386.8431029329</v>
      </c>
      <c r="S47" s="190">
        <f t="shared" si="57"/>
        <v>2182678.8142350418</v>
      </c>
      <c r="T47" s="190">
        <f t="shared" si="57"/>
        <v>2120236.5243132976</v>
      </c>
      <c r="U47" s="190">
        <f t="shared" si="57"/>
        <v>2058059.108124889</v>
      </c>
      <c r="V47" s="190">
        <f t="shared" si="57"/>
        <v>1996145.70297202</v>
      </c>
      <c r="W47" s="190">
        <f t="shared" si="57"/>
        <v>1934495.4486650499</v>
      </c>
      <c r="X47" s="190">
        <f t="shared" si="57"/>
        <v>1886539.6030556681</v>
      </c>
      <c r="Y47" s="190">
        <f t="shared" si="57"/>
        <v>1839403.7419104553</v>
      </c>
      <c r="Z47" s="190">
        <f t="shared" si="57"/>
        <v>1792273.129005132</v>
      </c>
      <c r="AA47" s="190">
        <f t="shared" si="57"/>
        <v>1745340.9388010739</v>
      </c>
      <c r="AB47" s="190">
        <f t="shared" si="57"/>
        <v>1698606.5720683692</v>
      </c>
      <c r="AC47" s="190">
        <f t="shared" si="57"/>
        <v>1651611.6996363057</v>
      </c>
      <c r="AD47" s="190">
        <f t="shared" si="57"/>
        <v>1604815.4775873774</v>
      </c>
      <c r="AE47" s="190">
        <f t="shared" si="57"/>
        <v>1558217.3044126625</v>
      </c>
      <c r="AF47" s="190">
        <f t="shared" si="57"/>
        <v>1511816.5800881532</v>
      </c>
      <c r="AG47" s="190">
        <f>SUM(AG42:AG46)</f>
        <v>1465612.7060718003</v>
      </c>
      <c r="AJ47" s="142"/>
      <c r="AL47" s="194"/>
      <c r="AM47" s="116"/>
      <c r="AN47" s="116"/>
      <c r="AO47" s="116"/>
    </row>
    <row r="48" spans="1:64" ht="15.5" thickTop="1">
      <c r="B48" s="156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L48" s="100"/>
      <c r="AM48" s="2"/>
      <c r="AN48" s="2"/>
      <c r="AO48" s="2"/>
    </row>
    <row r="49" spans="1:63" s="174" customFormat="1" ht="15.5" thickBot="1">
      <c r="A49" s="174" t="s">
        <v>416</v>
      </c>
      <c r="B49" s="189" t="s">
        <v>126</v>
      </c>
      <c r="C49" s="195">
        <f>C52</f>
        <v>0.25</v>
      </c>
      <c r="D49" s="195">
        <f t="shared" ref="D49:AG49" si="58">D52</f>
        <v>0.26498239436619719</v>
      </c>
      <c r="E49" s="195">
        <f t="shared" si="58"/>
        <v>0.27996478873239439</v>
      </c>
      <c r="F49" s="195">
        <f t="shared" si="58"/>
        <v>0.29494718309859158</v>
      </c>
      <c r="G49" s="195">
        <f t="shared" si="58"/>
        <v>0.30992957746478877</v>
      </c>
      <c r="H49" s="195">
        <f t="shared" si="58"/>
        <v>0.32491197183098597</v>
      </c>
      <c r="I49" s="195">
        <f t="shared" si="58"/>
        <v>0.33989436619718311</v>
      </c>
      <c r="J49" s="195">
        <f t="shared" si="58"/>
        <v>0.3548767605633803</v>
      </c>
      <c r="K49" s="195">
        <f t="shared" si="58"/>
        <v>0.36985915492957749</v>
      </c>
      <c r="L49" s="195">
        <f t="shared" si="58"/>
        <v>0.38484154929577463</v>
      </c>
      <c r="M49" s="195">
        <f t="shared" si="58"/>
        <v>0.39982394366197183</v>
      </c>
      <c r="N49" s="195">
        <f t="shared" si="58"/>
        <v>0.40988952464788736</v>
      </c>
      <c r="O49" s="195">
        <f t="shared" si="58"/>
        <v>0.41995510563380289</v>
      </c>
      <c r="P49" s="195">
        <f t="shared" si="58"/>
        <v>0.43002068661971832</v>
      </c>
      <c r="Q49" s="195">
        <f t="shared" si="58"/>
        <v>0.4400862676056338</v>
      </c>
      <c r="R49" s="195">
        <f t="shared" si="58"/>
        <v>0.45015184859154933</v>
      </c>
      <c r="S49" s="195">
        <f t="shared" si="58"/>
        <v>0.46021742957746481</v>
      </c>
      <c r="T49" s="195">
        <f t="shared" si="58"/>
        <v>0.47028301056338029</v>
      </c>
      <c r="U49" s="195">
        <f t="shared" si="58"/>
        <v>0.48034859154929577</v>
      </c>
      <c r="V49" s="195">
        <f t="shared" si="58"/>
        <v>0.49041417253521125</v>
      </c>
      <c r="W49" s="195">
        <f t="shared" si="58"/>
        <v>0.50047975352112672</v>
      </c>
      <c r="X49" s="195">
        <f t="shared" si="58"/>
        <v>0.51595810959507049</v>
      </c>
      <c r="Y49" s="195">
        <f t="shared" si="58"/>
        <v>0.53143646566901404</v>
      </c>
      <c r="Z49" s="195">
        <f t="shared" si="58"/>
        <v>0.5469148217429578</v>
      </c>
      <c r="AA49" s="195">
        <f t="shared" si="58"/>
        <v>0.56239317781690135</v>
      </c>
      <c r="AB49" s="195">
        <f t="shared" si="58"/>
        <v>0.57787153389084511</v>
      </c>
      <c r="AC49" s="195">
        <f t="shared" si="58"/>
        <v>0.59334988996478877</v>
      </c>
      <c r="AD49" s="195">
        <f t="shared" si="58"/>
        <v>0.60882824603873242</v>
      </c>
      <c r="AE49" s="195">
        <f t="shared" si="58"/>
        <v>0.62430660211267608</v>
      </c>
      <c r="AF49" s="195">
        <f t="shared" si="58"/>
        <v>0.63978495818661973</v>
      </c>
      <c r="AG49" s="195">
        <f t="shared" si="58"/>
        <v>0.65526331426056339</v>
      </c>
      <c r="AJ49" s="204" t="s">
        <v>458</v>
      </c>
      <c r="AL49" s="191"/>
      <c r="AM49" s="192"/>
      <c r="AN49" s="192"/>
      <c r="AO49" s="192"/>
    </row>
    <row r="50" spans="1:63" ht="15.5" outlineLevel="1" thickTop="1">
      <c r="A50" t="s">
        <v>408</v>
      </c>
      <c r="B50" s="50" t="s">
        <v>126</v>
      </c>
      <c r="C50" s="558">
        <f>4.7%*0.25/0.142</f>
        <v>8.2746478873239437E-2</v>
      </c>
      <c r="D50" s="102">
        <f>$C50+($M50-$C50)/10*(D$1-$C$1)</f>
        <v>8.9366197183098586E-2</v>
      </c>
      <c r="E50" s="102">
        <f t="shared" ref="E50:L51" si="59">$C50+($M50-$C50)/10*(E$1-$C$1)</f>
        <v>9.5985915492957749E-2</v>
      </c>
      <c r="F50" s="102">
        <f t="shared" si="59"/>
        <v>0.1026056338028169</v>
      </c>
      <c r="G50" s="102">
        <f t="shared" si="59"/>
        <v>0.10922535211267606</v>
      </c>
      <c r="H50" s="102">
        <f t="shared" si="59"/>
        <v>0.11584507042253521</v>
      </c>
      <c r="I50" s="102">
        <f t="shared" si="59"/>
        <v>0.12246478873239436</v>
      </c>
      <c r="J50" s="102">
        <f t="shared" si="59"/>
        <v>0.12908450704225352</v>
      </c>
      <c r="K50" s="102">
        <f t="shared" si="59"/>
        <v>0.13570422535211268</v>
      </c>
      <c r="L50" s="102">
        <f t="shared" si="59"/>
        <v>0.14232394366197182</v>
      </c>
      <c r="M50" s="105">
        <f>C50*1.8</f>
        <v>0.14894366197183098</v>
      </c>
      <c r="N50" s="102">
        <f>$M50+($W50-$M50)/10*(N$1-$M$1)</f>
        <v>0.15788028169014084</v>
      </c>
      <c r="O50" s="102">
        <f t="shared" ref="O50:U51" si="60">$M50+($W50-$M50)/10*(O$1-$M$1)</f>
        <v>0.16681690140845071</v>
      </c>
      <c r="P50" s="102">
        <f t="shared" si="60"/>
        <v>0.17575352112676057</v>
      </c>
      <c r="Q50" s="102">
        <f t="shared" si="60"/>
        <v>0.18469014084507041</v>
      </c>
      <c r="R50" s="102">
        <f t="shared" si="60"/>
        <v>0.1936267605633803</v>
      </c>
      <c r="S50" s="102">
        <f t="shared" si="60"/>
        <v>0.20256338028169013</v>
      </c>
      <c r="T50" s="102">
        <f t="shared" si="60"/>
        <v>0.21149999999999999</v>
      </c>
      <c r="U50" s="102">
        <f t="shared" si="60"/>
        <v>0.22043661971830986</v>
      </c>
      <c r="V50" s="102">
        <f>$M50+($W50-$M50)/10*(V$1-$M$1)</f>
        <v>0.22937323943661972</v>
      </c>
      <c r="W50" s="105">
        <f>M50*1.6</f>
        <v>0.23830985915492958</v>
      </c>
      <c r="X50" s="102">
        <f>$W50+($AG50-$W50)/10*(X$1-$W$1)</f>
        <v>0.25260845070422533</v>
      </c>
      <c r="Y50" s="102">
        <f t="shared" ref="Y50:AF51" si="61">$W50+($AG50-$W50)/10*(Y$1-$W$1)</f>
        <v>0.26690704225352113</v>
      </c>
      <c r="Z50" s="102">
        <f t="shared" si="61"/>
        <v>0.28120563380281693</v>
      </c>
      <c r="AA50" s="102">
        <f t="shared" si="61"/>
        <v>0.29550422535211268</v>
      </c>
      <c r="AB50" s="102">
        <f t="shared" si="61"/>
        <v>0.30980281690140843</v>
      </c>
      <c r="AC50" s="102">
        <f t="shared" si="61"/>
        <v>0.32410140845070423</v>
      </c>
      <c r="AD50" s="102">
        <f t="shared" si="61"/>
        <v>0.33840000000000003</v>
      </c>
      <c r="AE50" s="102">
        <f t="shared" si="61"/>
        <v>0.35269859154929578</v>
      </c>
      <c r="AF50" s="102">
        <f t="shared" si="61"/>
        <v>0.36699718309859153</v>
      </c>
      <c r="AG50" s="102">
        <f>(W50/M50)*W50</f>
        <v>0.38129577464788733</v>
      </c>
      <c r="AI50" s="124"/>
      <c r="AJ50" s="185" t="s">
        <v>1469</v>
      </c>
      <c r="AL50" s="100"/>
      <c r="AM50" s="2"/>
      <c r="AN50" s="2"/>
      <c r="AO50" s="2"/>
      <c r="AV50" s="37"/>
    </row>
    <row r="51" spans="1:63" outlineLevel="1">
      <c r="A51" t="s">
        <v>410</v>
      </c>
      <c r="B51" s="50" t="s">
        <v>126</v>
      </c>
      <c r="C51" s="558">
        <f>9.5%*0.25/0.142</f>
        <v>0.16725352112676059</v>
      </c>
      <c r="D51" s="102">
        <f>$C51+($M51-$C51)/10*(D$1-$C$1)</f>
        <v>0.17561619718309862</v>
      </c>
      <c r="E51" s="102">
        <f t="shared" si="59"/>
        <v>0.18397887323943665</v>
      </c>
      <c r="F51" s="102">
        <f t="shared" si="59"/>
        <v>0.19234154929577468</v>
      </c>
      <c r="G51" s="102">
        <f t="shared" si="59"/>
        <v>0.20070422535211269</v>
      </c>
      <c r="H51" s="102">
        <f t="shared" si="59"/>
        <v>0.20906690140845074</v>
      </c>
      <c r="I51" s="102">
        <f t="shared" si="59"/>
        <v>0.21742957746478875</v>
      </c>
      <c r="J51" s="102">
        <f t="shared" si="59"/>
        <v>0.22579225352112678</v>
      </c>
      <c r="K51" s="102">
        <f t="shared" si="59"/>
        <v>0.23415492957746481</v>
      </c>
      <c r="L51" s="102">
        <f t="shared" si="59"/>
        <v>0.24251760563380284</v>
      </c>
      <c r="M51" s="105">
        <f>C51*1.5</f>
        <v>0.25088028169014087</v>
      </c>
      <c r="N51" s="102">
        <f>$M51+($W51-$M51)/10*(N$1-$M$1)</f>
        <v>0.25200924295774652</v>
      </c>
      <c r="O51" s="102">
        <f t="shared" si="60"/>
        <v>0.25313820422535216</v>
      </c>
      <c r="P51" s="102">
        <f t="shared" si="60"/>
        <v>0.25426716549295775</v>
      </c>
      <c r="Q51" s="102">
        <f t="shared" si="60"/>
        <v>0.25539612676056339</v>
      </c>
      <c r="R51" s="102">
        <f t="shared" si="60"/>
        <v>0.25652508802816903</v>
      </c>
      <c r="S51" s="102">
        <f t="shared" si="60"/>
        <v>0.25765404929577468</v>
      </c>
      <c r="T51" s="102">
        <f t="shared" si="60"/>
        <v>0.25878301056338032</v>
      </c>
      <c r="U51" s="102">
        <f t="shared" si="60"/>
        <v>0.25991197183098591</v>
      </c>
      <c r="V51" s="102">
        <f>$M51+($W51-$M51)/10*(V$1-$M$1)</f>
        <v>0.26104093309859155</v>
      </c>
      <c r="W51" s="105">
        <f>M51*1.045</f>
        <v>0.2621698943661972</v>
      </c>
      <c r="X51" s="102">
        <f>$W51+($AG51-$W51)/10*(X$1-$W$1)</f>
        <v>0.26334965889084511</v>
      </c>
      <c r="Y51" s="102">
        <f t="shared" si="61"/>
        <v>0.26452942341549296</v>
      </c>
      <c r="Z51" s="102">
        <f t="shared" si="61"/>
        <v>0.26570918794014087</v>
      </c>
      <c r="AA51" s="102">
        <f t="shared" si="61"/>
        <v>0.26688895246478872</v>
      </c>
      <c r="AB51" s="102">
        <f t="shared" si="61"/>
        <v>0.26806871698943663</v>
      </c>
      <c r="AC51" s="102">
        <f t="shared" si="61"/>
        <v>0.26924848151408454</v>
      </c>
      <c r="AD51" s="102">
        <f t="shared" si="61"/>
        <v>0.27042824603873239</v>
      </c>
      <c r="AE51" s="102">
        <f t="shared" si="61"/>
        <v>0.2716080105633803</v>
      </c>
      <c r="AF51" s="102">
        <f t="shared" si="61"/>
        <v>0.27278777508802815</v>
      </c>
      <c r="AG51" s="102">
        <f>(W51/M51)*W51</f>
        <v>0.27396753961267606</v>
      </c>
      <c r="AI51" s="124"/>
      <c r="AJ51" s="185" t="s">
        <v>469</v>
      </c>
      <c r="AL51" s="100"/>
      <c r="AM51" s="2"/>
      <c r="AN51" s="2"/>
      <c r="AO51" s="2"/>
      <c r="AV51" s="37"/>
    </row>
    <row r="52" spans="1:63" outlineLevel="1">
      <c r="A52" t="s">
        <v>409</v>
      </c>
      <c r="B52" s="156" t="s">
        <v>126</v>
      </c>
      <c r="C52" s="102">
        <f t="shared" ref="C52:AF52" si="62">C50+C51</f>
        <v>0.25</v>
      </c>
      <c r="D52" s="102">
        <f t="shared" si="62"/>
        <v>0.26498239436619719</v>
      </c>
      <c r="E52" s="102">
        <f t="shared" si="62"/>
        <v>0.27996478873239439</v>
      </c>
      <c r="F52" s="102">
        <f t="shared" si="62"/>
        <v>0.29494718309859158</v>
      </c>
      <c r="G52" s="102">
        <f t="shared" si="62"/>
        <v>0.30992957746478877</v>
      </c>
      <c r="H52" s="102">
        <f t="shared" si="62"/>
        <v>0.32491197183098597</v>
      </c>
      <c r="I52" s="102">
        <f t="shared" si="62"/>
        <v>0.33989436619718311</v>
      </c>
      <c r="J52" s="102">
        <f t="shared" si="62"/>
        <v>0.3548767605633803</v>
      </c>
      <c r="K52" s="102">
        <f t="shared" si="62"/>
        <v>0.36985915492957749</v>
      </c>
      <c r="L52" s="102">
        <f t="shared" si="62"/>
        <v>0.38484154929577463</v>
      </c>
      <c r="M52" s="102">
        <f t="shared" si="62"/>
        <v>0.39982394366197183</v>
      </c>
      <c r="N52" s="102">
        <f t="shared" si="62"/>
        <v>0.40988952464788736</v>
      </c>
      <c r="O52" s="102">
        <f t="shared" si="62"/>
        <v>0.41995510563380289</v>
      </c>
      <c r="P52" s="102">
        <f t="shared" si="62"/>
        <v>0.43002068661971832</v>
      </c>
      <c r="Q52" s="102">
        <f t="shared" si="62"/>
        <v>0.4400862676056338</v>
      </c>
      <c r="R52" s="102">
        <f t="shared" si="62"/>
        <v>0.45015184859154933</v>
      </c>
      <c r="S52" s="102">
        <f t="shared" si="62"/>
        <v>0.46021742957746481</v>
      </c>
      <c r="T52" s="102">
        <f t="shared" si="62"/>
        <v>0.47028301056338029</v>
      </c>
      <c r="U52" s="102">
        <f t="shared" si="62"/>
        <v>0.48034859154929577</v>
      </c>
      <c r="V52" s="102">
        <f t="shared" si="62"/>
        <v>0.49041417253521125</v>
      </c>
      <c r="W52" s="102">
        <f t="shared" si="62"/>
        <v>0.50047975352112672</v>
      </c>
      <c r="X52" s="102">
        <f t="shared" si="62"/>
        <v>0.51595810959507049</v>
      </c>
      <c r="Y52" s="102">
        <f t="shared" si="62"/>
        <v>0.53143646566901404</v>
      </c>
      <c r="Z52" s="102">
        <f t="shared" si="62"/>
        <v>0.5469148217429578</v>
      </c>
      <c r="AA52" s="102">
        <f t="shared" si="62"/>
        <v>0.56239317781690135</v>
      </c>
      <c r="AB52" s="102">
        <f t="shared" si="62"/>
        <v>0.57787153389084511</v>
      </c>
      <c r="AC52" s="102">
        <f t="shared" si="62"/>
        <v>0.59334988996478877</v>
      </c>
      <c r="AD52" s="102">
        <f t="shared" si="62"/>
        <v>0.60882824603873242</v>
      </c>
      <c r="AE52" s="102">
        <f t="shared" si="62"/>
        <v>0.62430660211267608</v>
      </c>
      <c r="AF52" s="102">
        <f t="shared" si="62"/>
        <v>0.63978495818661973</v>
      </c>
      <c r="AG52" s="102">
        <f>AG50+AG51</f>
        <v>0.65526331426056339</v>
      </c>
      <c r="AI52" s="124"/>
      <c r="AJ52" s="185"/>
      <c r="AL52" s="100"/>
      <c r="AM52" s="2"/>
      <c r="AN52" s="2"/>
      <c r="AO52" s="2"/>
    </row>
    <row r="53" spans="1:63" outlineLevel="1">
      <c r="C53" s="105"/>
      <c r="D53" s="102"/>
      <c r="E53" s="102"/>
      <c r="F53" s="102"/>
      <c r="G53" s="102"/>
      <c r="H53" s="102"/>
      <c r="I53" s="102"/>
      <c r="J53" s="102"/>
      <c r="K53" s="102"/>
      <c r="L53" s="102"/>
      <c r="M53" s="105"/>
      <c r="N53" s="102"/>
      <c r="O53" s="102"/>
      <c r="P53" s="102"/>
      <c r="Q53" s="102"/>
      <c r="R53" s="102"/>
      <c r="S53" s="102"/>
      <c r="T53" s="102"/>
      <c r="U53" s="102"/>
      <c r="V53" s="102"/>
      <c r="W53" s="105"/>
      <c r="X53" s="102"/>
      <c r="Y53" s="102"/>
      <c r="Z53" s="102"/>
      <c r="AA53" s="102"/>
      <c r="AB53" s="102"/>
      <c r="AC53" s="102"/>
      <c r="AD53" s="102"/>
      <c r="AE53" s="102"/>
      <c r="AF53" s="102"/>
      <c r="AG53" s="105"/>
      <c r="AI53" s="124"/>
      <c r="AJ53" s="185"/>
      <c r="AL53" s="100"/>
      <c r="AM53" s="2"/>
      <c r="AN53" s="2"/>
      <c r="AO53" s="2"/>
      <c r="AV53" s="37"/>
    </row>
    <row r="54" spans="1:63" outlineLevel="1">
      <c r="A54" t="s">
        <v>423</v>
      </c>
      <c r="B54" s="50" t="s">
        <v>126</v>
      </c>
      <c r="C54" s="102">
        <f>'Ethylene recycling rates'!W28</f>
        <v>0.11499935012302656</v>
      </c>
      <c r="D54" s="113">
        <f t="shared" ref="D54:AF54" si="63">C54-($C$54-$AG$54)/($AG$1-$C$1)</f>
        <v>0.11283270511892568</v>
      </c>
      <c r="E54" s="113">
        <f t="shared" si="63"/>
        <v>0.1106660601148248</v>
      </c>
      <c r="F54" s="113">
        <f t="shared" si="63"/>
        <v>0.10849941511072392</v>
      </c>
      <c r="G54" s="113">
        <f t="shared" si="63"/>
        <v>0.10633277010662304</v>
      </c>
      <c r="H54" s="113">
        <f t="shared" si="63"/>
        <v>0.10416612510252216</v>
      </c>
      <c r="I54" s="113">
        <f t="shared" si="63"/>
        <v>0.10199948009842127</v>
      </c>
      <c r="J54" s="113">
        <f t="shared" si="63"/>
        <v>9.9832835094320393E-2</v>
      </c>
      <c r="K54" s="113">
        <f t="shared" si="63"/>
        <v>9.7666190090219512E-2</v>
      </c>
      <c r="L54" s="113">
        <f t="shared" si="63"/>
        <v>9.5499545086118631E-2</v>
      </c>
      <c r="M54" s="113">
        <f t="shared" si="63"/>
        <v>9.333290008201775E-2</v>
      </c>
      <c r="N54" s="113">
        <f t="shared" si="63"/>
        <v>9.1166255077916869E-2</v>
      </c>
      <c r="O54" s="113">
        <f t="shared" si="63"/>
        <v>8.8999610073815988E-2</v>
      </c>
      <c r="P54" s="113">
        <f t="shared" si="63"/>
        <v>8.6832965069715107E-2</v>
      </c>
      <c r="Q54" s="113">
        <f t="shared" si="63"/>
        <v>8.4666320065614226E-2</v>
      </c>
      <c r="R54" s="113">
        <f t="shared" si="63"/>
        <v>8.2499675061513345E-2</v>
      </c>
      <c r="S54" s="113">
        <f t="shared" si="63"/>
        <v>8.0333030057412463E-2</v>
      </c>
      <c r="T54" s="113">
        <f t="shared" si="63"/>
        <v>7.8166385053311582E-2</v>
      </c>
      <c r="U54" s="113">
        <f t="shared" si="63"/>
        <v>7.5999740049210701E-2</v>
      </c>
      <c r="V54" s="113">
        <f t="shared" si="63"/>
        <v>7.383309504510982E-2</v>
      </c>
      <c r="W54" s="113">
        <f t="shared" si="63"/>
        <v>7.1666450041008939E-2</v>
      </c>
      <c r="X54" s="113">
        <f t="shared" si="63"/>
        <v>6.9499805036908058E-2</v>
      </c>
      <c r="Y54" s="113">
        <f t="shared" si="63"/>
        <v>6.7333160032807177E-2</v>
      </c>
      <c r="Z54" s="113">
        <f t="shared" si="63"/>
        <v>6.5166515028706296E-2</v>
      </c>
      <c r="AA54" s="113">
        <f t="shared" si="63"/>
        <v>6.2999870024605414E-2</v>
      </c>
      <c r="AB54" s="113">
        <f t="shared" si="63"/>
        <v>6.0833225020504526E-2</v>
      </c>
      <c r="AC54" s="113">
        <f t="shared" si="63"/>
        <v>5.8666580016403638E-2</v>
      </c>
      <c r="AD54" s="113">
        <f t="shared" si="63"/>
        <v>5.649993501230275E-2</v>
      </c>
      <c r="AE54" s="113">
        <f t="shared" si="63"/>
        <v>5.4333290008201862E-2</v>
      </c>
      <c r="AF54" s="113">
        <f t="shared" si="63"/>
        <v>5.2166645004100974E-2</v>
      </c>
      <c r="AG54" s="188">
        <v>0.05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424</v>
      </c>
      <c r="C55" s="102">
        <f>'Ethylene recycling rates'!Z28</f>
        <v>0.13791632052401978</v>
      </c>
      <c r="D55" s="102">
        <f t="shared" ref="D55:S56" si="64">C55</f>
        <v>0.13791632052401978</v>
      </c>
      <c r="E55" s="102">
        <f t="shared" si="64"/>
        <v>0.13791632052401978</v>
      </c>
      <c r="F55" s="102">
        <f t="shared" si="64"/>
        <v>0.13791632052401978</v>
      </c>
      <c r="G55" s="102">
        <f t="shared" si="64"/>
        <v>0.13791632052401978</v>
      </c>
      <c r="H55" s="102">
        <f t="shared" si="64"/>
        <v>0.13791632052401978</v>
      </c>
      <c r="I55" s="102">
        <f t="shared" si="64"/>
        <v>0.13791632052401978</v>
      </c>
      <c r="J55" s="102">
        <f t="shared" si="64"/>
        <v>0.13791632052401978</v>
      </c>
      <c r="K55" s="102">
        <f t="shared" si="64"/>
        <v>0.13791632052401978</v>
      </c>
      <c r="L55" s="102">
        <f t="shared" si="64"/>
        <v>0.13791632052401978</v>
      </c>
      <c r="M55" s="102">
        <f t="shared" si="64"/>
        <v>0.13791632052401978</v>
      </c>
      <c r="N55" s="102">
        <f t="shared" si="64"/>
        <v>0.13791632052401978</v>
      </c>
      <c r="O55" s="102">
        <f t="shared" si="64"/>
        <v>0.13791632052401978</v>
      </c>
      <c r="P55" s="102">
        <f t="shared" si="64"/>
        <v>0.13791632052401978</v>
      </c>
      <c r="Q55" s="102">
        <f t="shared" si="64"/>
        <v>0.13791632052401978</v>
      </c>
      <c r="R55" s="102">
        <f t="shared" si="64"/>
        <v>0.13791632052401978</v>
      </c>
      <c r="S55" s="102">
        <f t="shared" si="64"/>
        <v>0.13791632052401978</v>
      </c>
      <c r="T55" s="102">
        <f t="shared" ref="E55:AG56" si="65">S55</f>
        <v>0.13791632052401978</v>
      </c>
      <c r="U55" s="102">
        <f t="shared" si="65"/>
        <v>0.13791632052401978</v>
      </c>
      <c r="V55" s="102">
        <f t="shared" si="65"/>
        <v>0.13791632052401978</v>
      </c>
      <c r="W55" s="102">
        <f t="shared" si="65"/>
        <v>0.13791632052401978</v>
      </c>
      <c r="X55" s="102">
        <f t="shared" si="65"/>
        <v>0.13791632052401978</v>
      </c>
      <c r="Y55" s="102">
        <f t="shared" si="65"/>
        <v>0.13791632052401978</v>
      </c>
      <c r="Z55" s="102">
        <f t="shared" si="65"/>
        <v>0.13791632052401978</v>
      </c>
      <c r="AA55" s="102">
        <f t="shared" si="65"/>
        <v>0.13791632052401978</v>
      </c>
      <c r="AB55" s="102">
        <f t="shared" si="65"/>
        <v>0.13791632052401978</v>
      </c>
      <c r="AC55" s="102">
        <f t="shared" si="65"/>
        <v>0.13791632052401978</v>
      </c>
      <c r="AD55" s="102">
        <f t="shared" si="65"/>
        <v>0.13791632052401978</v>
      </c>
      <c r="AE55" s="102">
        <f t="shared" si="65"/>
        <v>0.13791632052401978</v>
      </c>
      <c r="AF55" s="102">
        <f t="shared" si="65"/>
        <v>0.13791632052401978</v>
      </c>
      <c r="AG55" s="102">
        <f t="shared" si="65"/>
        <v>0.13791632052401978</v>
      </c>
      <c r="AI55" s="124"/>
      <c r="AJ55" s="185" t="s">
        <v>752</v>
      </c>
      <c r="AL55" s="100"/>
      <c r="AM55" s="2"/>
      <c r="AN55" s="2"/>
      <c r="AO55" s="2"/>
      <c r="AV55" s="37"/>
    </row>
    <row r="56" spans="1:63" outlineLevel="1">
      <c r="A56" t="s">
        <v>751</v>
      </c>
      <c r="B56" s="50" t="s">
        <v>126</v>
      </c>
      <c r="C56" s="102">
        <f>'Ethylene recycling rates'!X28</f>
        <v>0.10855071452136934</v>
      </c>
      <c r="D56" s="102">
        <f t="shared" si="64"/>
        <v>0.10855071452136934</v>
      </c>
      <c r="E56" s="102">
        <f t="shared" si="65"/>
        <v>0.10855071452136934</v>
      </c>
      <c r="F56" s="102">
        <f t="shared" si="65"/>
        <v>0.10855071452136934</v>
      </c>
      <c r="G56" s="102">
        <f t="shared" si="65"/>
        <v>0.10855071452136934</v>
      </c>
      <c r="H56" s="102">
        <f t="shared" si="65"/>
        <v>0.10855071452136934</v>
      </c>
      <c r="I56" s="102">
        <f t="shared" si="65"/>
        <v>0.10855071452136934</v>
      </c>
      <c r="J56" s="102">
        <f t="shared" si="65"/>
        <v>0.10855071452136934</v>
      </c>
      <c r="K56" s="102">
        <f t="shared" si="65"/>
        <v>0.10855071452136934</v>
      </c>
      <c r="L56" s="102">
        <f t="shared" si="65"/>
        <v>0.10855071452136934</v>
      </c>
      <c r="M56" s="102">
        <f t="shared" si="65"/>
        <v>0.10855071452136934</v>
      </c>
      <c r="N56" s="102">
        <f t="shared" si="65"/>
        <v>0.10855071452136934</v>
      </c>
      <c r="O56" s="102">
        <f t="shared" si="65"/>
        <v>0.10855071452136934</v>
      </c>
      <c r="P56" s="102">
        <f t="shared" si="65"/>
        <v>0.10855071452136934</v>
      </c>
      <c r="Q56" s="102">
        <f t="shared" si="65"/>
        <v>0.10855071452136934</v>
      </c>
      <c r="R56" s="102">
        <f t="shared" si="65"/>
        <v>0.10855071452136934</v>
      </c>
      <c r="S56" s="102">
        <f t="shared" si="65"/>
        <v>0.10855071452136934</v>
      </c>
      <c r="T56" s="102">
        <f t="shared" si="65"/>
        <v>0.10855071452136934</v>
      </c>
      <c r="U56" s="102">
        <f t="shared" si="65"/>
        <v>0.10855071452136934</v>
      </c>
      <c r="V56" s="102">
        <f t="shared" si="65"/>
        <v>0.10855071452136934</v>
      </c>
      <c r="W56" s="102">
        <f t="shared" si="65"/>
        <v>0.10855071452136934</v>
      </c>
      <c r="X56" s="102">
        <f t="shared" si="65"/>
        <v>0.10855071452136934</v>
      </c>
      <c r="Y56" s="102">
        <f t="shared" si="65"/>
        <v>0.10855071452136934</v>
      </c>
      <c r="Z56" s="102">
        <f t="shared" si="65"/>
        <v>0.10855071452136934</v>
      </c>
      <c r="AA56" s="102">
        <f t="shared" si="65"/>
        <v>0.10855071452136934</v>
      </c>
      <c r="AB56" s="102">
        <f t="shared" si="65"/>
        <v>0.10855071452136934</v>
      </c>
      <c r="AC56" s="102">
        <f t="shared" si="65"/>
        <v>0.10855071452136934</v>
      </c>
      <c r="AD56" s="102">
        <f t="shared" si="65"/>
        <v>0.10855071452136934</v>
      </c>
      <c r="AE56" s="102">
        <f t="shared" si="65"/>
        <v>0.10855071452136934</v>
      </c>
      <c r="AF56" s="102">
        <f t="shared" si="65"/>
        <v>0.10855071452136934</v>
      </c>
      <c r="AG56" s="102">
        <f t="shared" si="65"/>
        <v>0.10855071452136934</v>
      </c>
      <c r="AI56" s="124"/>
      <c r="AJ56" s="185" t="s">
        <v>752</v>
      </c>
      <c r="AL56" s="100"/>
      <c r="AM56" s="2"/>
      <c r="AN56" s="2"/>
      <c r="AO56" s="2"/>
      <c r="AV56" s="37"/>
    </row>
    <row r="57" spans="1:63" outlineLevel="1">
      <c r="A57" t="s">
        <v>425</v>
      </c>
      <c r="B57" s="50" t="s">
        <v>126</v>
      </c>
      <c r="C57" s="102">
        <f>1-C56-C55-C54</f>
        <v>0.63853361483158433</v>
      </c>
      <c r="D57" s="102">
        <f t="shared" ref="D57:AG57" si="66">1-D56-D55-D54</f>
        <v>0.64070025983568524</v>
      </c>
      <c r="E57" s="102">
        <f t="shared" si="66"/>
        <v>0.64286690483978604</v>
      </c>
      <c r="F57" s="102">
        <f t="shared" si="66"/>
        <v>0.64503354984388694</v>
      </c>
      <c r="G57" s="102">
        <f t="shared" si="66"/>
        <v>0.64720019484798785</v>
      </c>
      <c r="H57" s="102">
        <f t="shared" si="66"/>
        <v>0.64936683985208865</v>
      </c>
      <c r="I57" s="102">
        <f t="shared" si="66"/>
        <v>0.65153348485618956</v>
      </c>
      <c r="J57" s="102">
        <f t="shared" si="66"/>
        <v>0.65370012986029047</v>
      </c>
      <c r="K57" s="102">
        <f t="shared" si="66"/>
        <v>0.65586677486439138</v>
      </c>
      <c r="L57" s="102">
        <f t="shared" si="66"/>
        <v>0.65803341986849229</v>
      </c>
      <c r="M57" s="102">
        <f t="shared" si="66"/>
        <v>0.66020006487259308</v>
      </c>
      <c r="N57" s="102">
        <f t="shared" si="66"/>
        <v>0.66236670987669399</v>
      </c>
      <c r="O57" s="102">
        <f t="shared" si="66"/>
        <v>0.6645333548807949</v>
      </c>
      <c r="P57" s="102">
        <f t="shared" si="66"/>
        <v>0.6666999998848957</v>
      </c>
      <c r="Q57" s="102">
        <f t="shared" si="66"/>
        <v>0.66886664488899661</v>
      </c>
      <c r="R57" s="102">
        <f t="shared" si="66"/>
        <v>0.67103328989309752</v>
      </c>
      <c r="S57" s="102">
        <f t="shared" si="66"/>
        <v>0.67319993489719843</v>
      </c>
      <c r="T57" s="102">
        <f t="shared" si="66"/>
        <v>0.67536657990129934</v>
      </c>
      <c r="U57" s="102">
        <f t="shared" si="66"/>
        <v>0.67753322490540013</v>
      </c>
      <c r="V57" s="102">
        <f t="shared" si="66"/>
        <v>0.67969986990950104</v>
      </c>
      <c r="W57" s="102">
        <f t="shared" si="66"/>
        <v>0.68186651491360195</v>
      </c>
      <c r="X57" s="102">
        <f t="shared" si="66"/>
        <v>0.68403315991770275</v>
      </c>
      <c r="Y57" s="102">
        <f t="shared" si="66"/>
        <v>0.68619980492180366</v>
      </c>
      <c r="Z57" s="102">
        <f t="shared" si="66"/>
        <v>0.68836644992590457</v>
      </c>
      <c r="AA57" s="102">
        <f t="shared" si="66"/>
        <v>0.69053309493000548</v>
      </c>
      <c r="AB57" s="102">
        <f t="shared" si="66"/>
        <v>0.69269973993410638</v>
      </c>
      <c r="AC57" s="102">
        <f t="shared" si="66"/>
        <v>0.69486638493820718</v>
      </c>
      <c r="AD57" s="102">
        <f t="shared" si="66"/>
        <v>0.69703302994230809</v>
      </c>
      <c r="AE57" s="102">
        <f t="shared" si="66"/>
        <v>0.699199674946409</v>
      </c>
      <c r="AF57" s="102">
        <f t="shared" si="66"/>
        <v>0.70136631995050991</v>
      </c>
      <c r="AG57" s="102">
        <f t="shared" si="66"/>
        <v>0.70353296495461082</v>
      </c>
      <c r="AI57" s="124"/>
      <c r="AJ57" s="185" t="s">
        <v>752</v>
      </c>
      <c r="AL57" s="100"/>
      <c r="AM57" s="2"/>
      <c r="AN57" s="2"/>
      <c r="AO57" s="2"/>
      <c r="AV57" s="37"/>
    </row>
    <row r="58" spans="1:63" outlineLevel="1">
      <c r="A58" t="s">
        <v>423</v>
      </c>
      <c r="B58" s="50" t="s">
        <v>126</v>
      </c>
      <c r="C58" s="102">
        <f>C$51*C54</f>
        <v>1.923404623536536E-2</v>
      </c>
      <c r="D58" s="102">
        <f t="shared" ref="D58:AG61" si="67">D$51*D54</f>
        <v>1.9815250590867674E-2</v>
      </c>
      <c r="E58" s="102">
        <f t="shared" si="67"/>
        <v>2.0360217045773229E-2</v>
      </c>
      <c r="F58" s="102">
        <f t="shared" si="67"/>
        <v>2.0868945600082026E-2</v>
      </c>
      <c r="G58" s="102">
        <f t="shared" si="67"/>
        <v>2.1341436253794061E-2</v>
      </c>
      <c r="H58" s="102">
        <f t="shared" si="67"/>
        <v>2.1777689006909347E-2</v>
      </c>
      <c r="I58" s="102">
        <f t="shared" si="67"/>
        <v>2.2177703859427866E-2</v>
      </c>
      <c r="J58" s="102">
        <f t="shared" si="67"/>
        <v>2.2541480811349632E-2</v>
      </c>
      <c r="K58" s="102">
        <f t="shared" si="67"/>
        <v>2.2869019862674641E-2</v>
      </c>
      <c r="L58" s="102">
        <f t="shared" si="67"/>
        <v>2.3160321013402891E-2</v>
      </c>
      <c r="M58" s="102">
        <f t="shared" si="67"/>
        <v>2.3415384263534386E-2</v>
      </c>
      <c r="N58" s="102">
        <f t="shared" si="67"/>
        <v>2.2974738925478643E-2</v>
      </c>
      <c r="O58" s="102">
        <f t="shared" si="67"/>
        <v>2.252920147084234E-2</v>
      </c>
      <c r="P58" s="102">
        <f t="shared" si="67"/>
        <v>2.2078771899625472E-2</v>
      </c>
      <c r="Q58" s="102">
        <f t="shared" si="67"/>
        <v>2.1623450211828044E-2</v>
      </c>
      <c r="R58" s="102">
        <f t="shared" si="67"/>
        <v>2.1163236407450051E-2</v>
      </c>
      <c r="S58" s="102">
        <f t="shared" si="67"/>
        <v>2.0698130486491498E-2</v>
      </c>
      <c r="T58" s="102">
        <f t="shared" si="67"/>
        <v>2.0228132448952385E-2</v>
      </c>
      <c r="U58" s="102">
        <f t="shared" si="67"/>
        <v>1.9753242294832704E-2</v>
      </c>
      <c r="V58" s="102">
        <f t="shared" si="67"/>
        <v>1.9273460024132463E-2</v>
      </c>
      <c r="W58" s="102">
        <f t="shared" si="67"/>
        <v>1.8788785636851664E-2</v>
      </c>
      <c r="X58" s="102">
        <f t="shared" si="67"/>
        <v>1.8302749949449977E-2</v>
      </c>
      <c r="Y58" s="102">
        <f t="shared" si="67"/>
        <v>1.7811602000221596E-2</v>
      </c>
      <c r="Z58" s="102">
        <f t="shared" si="67"/>
        <v>1.7315341789166536E-2</v>
      </c>
      <c r="AA58" s="102">
        <f t="shared" si="67"/>
        <v>1.6813969316284781E-2</v>
      </c>
      <c r="AB58" s="102">
        <f t="shared" si="67"/>
        <v>1.6307484581576343E-2</v>
      </c>
      <c r="AC58" s="102">
        <f t="shared" si="67"/>
        <v>1.5795887585041215E-2</v>
      </c>
      <c r="AD58" s="102">
        <f t="shared" si="67"/>
        <v>1.5279178326679398E-2</v>
      </c>
      <c r="AE58" s="102">
        <f t="shared" si="67"/>
        <v>1.4757356806490896E-2</v>
      </c>
      <c r="AF58" s="102">
        <f t="shared" si="67"/>
        <v>1.4230423024475703E-2</v>
      </c>
      <c r="AG58" s="102">
        <f>AG$51*AG54</f>
        <v>1.3698376980633803E-2</v>
      </c>
      <c r="AH58" s="224"/>
      <c r="AI58" s="124"/>
      <c r="AJ58" s="185"/>
      <c r="AL58" s="100"/>
      <c r="AM58" s="2"/>
      <c r="AN58" s="2"/>
      <c r="AO58" s="2"/>
    </row>
    <row r="59" spans="1:63" outlineLevel="1">
      <c r="A59" t="s">
        <v>424</v>
      </c>
      <c r="B59" s="50" t="s">
        <v>126</v>
      </c>
      <c r="C59" s="102">
        <f>C$51*C55</f>
        <v>2.3066990228489227E-2</v>
      </c>
      <c r="D59" s="102">
        <f t="shared" ref="C59:R61" si="68">D$51*D55</f>
        <v>2.422033973991369E-2</v>
      </c>
      <c r="E59" s="102">
        <f t="shared" si="68"/>
        <v>2.537368925133815E-2</v>
      </c>
      <c r="F59" s="102">
        <f t="shared" si="68"/>
        <v>2.6527038762762613E-2</v>
      </c>
      <c r="G59" s="102">
        <f t="shared" si="68"/>
        <v>2.7680388274187069E-2</v>
      </c>
      <c r="H59" s="102">
        <f t="shared" si="68"/>
        <v>2.8833737785611536E-2</v>
      </c>
      <c r="I59" s="102">
        <f t="shared" si="68"/>
        <v>2.9987087297035992E-2</v>
      </c>
      <c r="J59" s="102">
        <f t="shared" si="68"/>
        <v>3.1140436808460455E-2</v>
      </c>
      <c r="K59" s="102">
        <f t="shared" si="68"/>
        <v>3.2293786319884915E-2</v>
      </c>
      <c r="L59" s="102">
        <f t="shared" si="68"/>
        <v>3.3447135831309378E-2</v>
      </c>
      <c r="M59" s="102">
        <f t="shared" si="68"/>
        <v>3.4600485342733842E-2</v>
      </c>
      <c r="N59" s="102">
        <f t="shared" si="68"/>
        <v>3.4756187526776144E-2</v>
      </c>
      <c r="O59" s="102">
        <f t="shared" si="68"/>
        <v>3.4911889710818447E-2</v>
      </c>
      <c r="P59" s="102">
        <f t="shared" si="68"/>
        <v>3.5067591894860743E-2</v>
      </c>
      <c r="Q59" s="102">
        <f t="shared" si="68"/>
        <v>3.5223294078903046E-2</v>
      </c>
      <c r="R59" s="102">
        <f t="shared" si="68"/>
        <v>3.5378996262945349E-2</v>
      </c>
      <c r="S59" s="102">
        <f t="shared" si="67"/>
        <v>3.5534698446987652E-2</v>
      </c>
      <c r="T59" s="102">
        <f t="shared" si="67"/>
        <v>3.5690400631029955E-2</v>
      </c>
      <c r="U59" s="102">
        <f t="shared" si="67"/>
        <v>3.584610281507225E-2</v>
      </c>
      <c r="V59" s="102">
        <f t="shared" si="67"/>
        <v>3.600180499911456E-2</v>
      </c>
      <c r="W59" s="102">
        <f t="shared" si="67"/>
        <v>3.6157507183156863E-2</v>
      </c>
      <c r="X59" s="102">
        <f t="shared" si="67"/>
        <v>3.6320215965481066E-2</v>
      </c>
      <c r="Y59" s="102">
        <f t="shared" si="67"/>
        <v>3.6482924747805269E-2</v>
      </c>
      <c r="Z59" s="102">
        <f t="shared" si="67"/>
        <v>3.6645633530129479E-2</v>
      </c>
      <c r="AA59" s="102">
        <f t="shared" si="67"/>
        <v>3.6808342312453682E-2</v>
      </c>
      <c r="AB59" s="102">
        <f t="shared" si="67"/>
        <v>3.6971051094777892E-2</v>
      </c>
      <c r="AC59" s="102">
        <f t="shared" si="67"/>
        <v>3.7133759877102095E-2</v>
      </c>
      <c r="AD59" s="102">
        <f t="shared" si="67"/>
        <v>3.7296468659426298E-2</v>
      </c>
      <c r="AE59" s="102">
        <f t="shared" si="67"/>
        <v>3.7459177441750507E-2</v>
      </c>
      <c r="AF59" s="102">
        <f t="shared" si="67"/>
        <v>3.762188622407471E-2</v>
      </c>
      <c r="AG59" s="102">
        <f t="shared" si="67"/>
        <v>3.778459500639892E-2</v>
      </c>
      <c r="AH59" s="2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751</v>
      </c>
      <c r="C60" s="102">
        <f t="shared" si="68"/>
        <v>1.8155489224524805E-2</v>
      </c>
      <c r="D60" s="102">
        <f t="shared" si="67"/>
        <v>1.9063263685751047E-2</v>
      </c>
      <c r="E60" s="102">
        <f t="shared" si="67"/>
        <v>1.9971038146977284E-2</v>
      </c>
      <c r="F60" s="102">
        <f t="shared" si="67"/>
        <v>2.0878812608203526E-2</v>
      </c>
      <c r="G60" s="102">
        <f t="shared" si="67"/>
        <v>2.1786587069429764E-2</v>
      </c>
      <c r="H60" s="102">
        <f t="shared" si="67"/>
        <v>2.2694361530656008E-2</v>
      </c>
      <c r="I60" s="102">
        <f t="shared" si="67"/>
        <v>2.3602135991882243E-2</v>
      </c>
      <c r="J60" s="102">
        <f t="shared" si="67"/>
        <v>2.4509910453108484E-2</v>
      </c>
      <c r="K60" s="102">
        <f t="shared" si="67"/>
        <v>2.5417684914334725E-2</v>
      </c>
      <c r="L60" s="102">
        <f t="shared" si="67"/>
        <v>2.6325459375560967E-2</v>
      </c>
      <c r="M60" s="102">
        <f t="shared" si="67"/>
        <v>2.7233233836787205E-2</v>
      </c>
      <c r="N60" s="102">
        <f t="shared" si="67"/>
        <v>2.735578338905275E-2</v>
      </c>
      <c r="O60" s="102">
        <f t="shared" si="67"/>
        <v>2.7478332941318292E-2</v>
      </c>
      <c r="P60" s="102">
        <f t="shared" si="67"/>
        <v>2.760088249358383E-2</v>
      </c>
      <c r="Q60" s="102">
        <f t="shared" si="67"/>
        <v>2.7723432045849376E-2</v>
      </c>
      <c r="R60" s="102">
        <f t="shared" si="67"/>
        <v>2.7845981598114918E-2</v>
      </c>
      <c r="S60" s="102">
        <f t="shared" si="67"/>
        <v>2.7968531150380459E-2</v>
      </c>
      <c r="T60" s="102">
        <f t="shared" si="67"/>
        <v>2.8091080702646005E-2</v>
      </c>
      <c r="U60" s="102">
        <f t="shared" si="67"/>
        <v>2.8213630254911543E-2</v>
      </c>
      <c r="V60" s="102">
        <f t="shared" si="67"/>
        <v>2.8336179807177085E-2</v>
      </c>
      <c r="W60" s="102">
        <f t="shared" si="67"/>
        <v>2.845872935944263E-2</v>
      </c>
      <c r="X60" s="102">
        <f t="shared" si="67"/>
        <v>2.8586793641560124E-2</v>
      </c>
      <c r="Y60" s="102">
        <f t="shared" si="67"/>
        <v>2.871485792367761E-2</v>
      </c>
      <c r="Z60" s="102">
        <f t="shared" si="67"/>
        <v>2.8842922205795107E-2</v>
      </c>
      <c r="AA60" s="102">
        <f t="shared" si="67"/>
        <v>2.8970986487912593E-2</v>
      </c>
      <c r="AB60" s="102">
        <f t="shared" si="67"/>
        <v>2.9099050770030086E-2</v>
      </c>
      <c r="AC60" s="102">
        <f t="shared" si="67"/>
        <v>2.9227115052147583E-2</v>
      </c>
      <c r="AD60" s="102">
        <f t="shared" si="67"/>
        <v>2.9355179334265069E-2</v>
      </c>
      <c r="AE60" s="102">
        <f t="shared" si="67"/>
        <v>2.9483243616382562E-2</v>
      </c>
      <c r="AF60" s="102">
        <f t="shared" si="67"/>
        <v>2.9611307898500052E-2</v>
      </c>
      <c r="AG60" s="102">
        <f t="shared" si="67"/>
        <v>2.9739372180617545E-2</v>
      </c>
      <c r="AH60" s="2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425</v>
      </c>
      <c r="B61" s="50" t="s">
        <v>126</v>
      </c>
      <c r="C61" s="102">
        <f t="shared" si="68"/>
        <v>0.1067969954383812</v>
      </c>
      <c r="D61" s="102">
        <f t="shared" si="67"/>
        <v>0.11251734316656622</v>
      </c>
      <c r="E61" s="102">
        <f t="shared" si="67"/>
        <v>0.11827392879534798</v>
      </c>
      <c r="F61" s="102">
        <f t="shared" si="67"/>
        <v>0.12406675232472651</v>
      </c>
      <c r="G61" s="102">
        <f t="shared" si="67"/>
        <v>0.1298958137547018</v>
      </c>
      <c r="H61" s="102">
        <f t="shared" si="67"/>
        <v>0.13576111308527383</v>
      </c>
      <c r="I61" s="102">
        <f t="shared" si="67"/>
        <v>0.14166265031644262</v>
      </c>
      <c r="J61" s="102">
        <f t="shared" si="67"/>
        <v>0.1476004254482082</v>
      </c>
      <c r="K61" s="102">
        <f t="shared" si="67"/>
        <v>0.15357443848057054</v>
      </c>
      <c r="L61" s="102">
        <f t="shared" si="67"/>
        <v>0.1595846894135296</v>
      </c>
      <c r="M61" s="102">
        <f t="shared" si="67"/>
        <v>0.16563117824708543</v>
      </c>
      <c r="N61" s="102">
        <f t="shared" si="67"/>
        <v>0.16692253311643898</v>
      </c>
      <c r="O61" s="102">
        <f t="shared" si="67"/>
        <v>0.16821878010237309</v>
      </c>
      <c r="P61" s="102">
        <f t="shared" si="67"/>
        <v>0.16951991920488768</v>
      </c>
      <c r="Q61" s="102">
        <f t="shared" si="67"/>
        <v>0.17082595042398291</v>
      </c>
      <c r="R61" s="102">
        <f t="shared" si="67"/>
        <v>0.17213687375965872</v>
      </c>
      <c r="S61" s="102">
        <f t="shared" si="67"/>
        <v>0.17345268921191506</v>
      </c>
      <c r="T61" s="102">
        <f t="shared" si="67"/>
        <v>0.17477339678075199</v>
      </c>
      <c r="U61" s="102">
        <f t="shared" si="67"/>
        <v>0.17609899646616939</v>
      </c>
      <c r="V61" s="102">
        <f t="shared" si="67"/>
        <v>0.17742948826816746</v>
      </c>
      <c r="W61" s="102">
        <f t="shared" si="67"/>
        <v>0.17876487218674605</v>
      </c>
      <c r="X61" s="102">
        <f t="shared" si="67"/>
        <v>0.18013989933435393</v>
      </c>
      <c r="Y61" s="102">
        <f t="shared" si="67"/>
        <v>0.18152003874378847</v>
      </c>
      <c r="Z61" s="102">
        <f t="shared" si="67"/>
        <v>0.18290529041504974</v>
      </c>
      <c r="AA61" s="102">
        <f t="shared" si="67"/>
        <v>0.18429565434813766</v>
      </c>
      <c r="AB61" s="102">
        <f t="shared" si="67"/>
        <v>0.18569113054305231</v>
      </c>
      <c r="AC61" s="102">
        <f t="shared" si="67"/>
        <v>0.18709171899979363</v>
      </c>
      <c r="AD61" s="102">
        <f t="shared" si="67"/>
        <v>0.18849741971836162</v>
      </c>
      <c r="AE61" s="102">
        <f t="shared" si="67"/>
        <v>0.18990823269875631</v>
      </c>
      <c r="AF61" s="102">
        <f t="shared" si="67"/>
        <v>0.19132415794097768</v>
      </c>
      <c r="AG61" s="102">
        <f t="shared" si="67"/>
        <v>0.19274519544502577</v>
      </c>
      <c r="AH61" s="224"/>
      <c r="AI61" s="124"/>
      <c r="AJ61" s="185"/>
      <c r="AL61" s="100"/>
      <c r="AM61" s="2"/>
      <c r="AN61" s="2"/>
      <c r="AO61" s="2"/>
      <c r="BC61" s="1"/>
      <c r="BD61" s="2"/>
      <c r="BE61" s="2"/>
      <c r="BF61" s="2"/>
      <c r="BG61" s="2"/>
      <c r="BH61" s="2"/>
      <c r="BI61" s="2"/>
      <c r="BJ61" s="2"/>
      <c r="BK61" s="2"/>
    </row>
    <row r="62" spans="1:63" outlineLevel="1"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I62" s="124"/>
      <c r="AJ62" s="185"/>
      <c r="AL62" s="100"/>
      <c r="AM62" s="2"/>
      <c r="AN62" s="2"/>
      <c r="AO62" s="2"/>
      <c r="BC62" s="1"/>
      <c r="BD62" s="2"/>
      <c r="BE62" s="2"/>
      <c r="BF62" s="2"/>
      <c r="BG62" s="2"/>
      <c r="BH62" s="2"/>
      <c r="BI62" s="2"/>
      <c r="BJ62" s="2"/>
      <c r="BK62" s="2"/>
    </row>
    <row r="63" spans="1:63" outlineLevel="1">
      <c r="A63" t="s">
        <v>453</v>
      </c>
      <c r="C63" s="329">
        <f>'Overall recycling rates'!C84</f>
        <v>0.80181125329177827</v>
      </c>
      <c r="D63" s="329">
        <f t="shared" ref="D63:AF63" si="69">C63-($C$63-$AG$63)/($AG$1-$C$1)</f>
        <v>0.80508421151538567</v>
      </c>
      <c r="E63" s="329">
        <f t="shared" si="69"/>
        <v>0.80835716973899308</v>
      </c>
      <c r="F63" s="329">
        <f t="shared" si="69"/>
        <v>0.81163012796260048</v>
      </c>
      <c r="G63" s="329">
        <f t="shared" si="69"/>
        <v>0.81490308618620788</v>
      </c>
      <c r="H63" s="329">
        <f t="shared" si="69"/>
        <v>0.81817604440981528</v>
      </c>
      <c r="I63" s="329">
        <f t="shared" si="69"/>
        <v>0.82144900263342269</v>
      </c>
      <c r="J63" s="329">
        <f t="shared" si="69"/>
        <v>0.82472196085703009</v>
      </c>
      <c r="K63" s="329">
        <f t="shared" si="69"/>
        <v>0.82799491908063749</v>
      </c>
      <c r="L63" s="329">
        <f t="shared" si="69"/>
        <v>0.8312678773042449</v>
      </c>
      <c r="M63" s="329">
        <f t="shared" si="69"/>
        <v>0.8345408355278523</v>
      </c>
      <c r="N63" s="329">
        <f t="shared" si="69"/>
        <v>0.8378137937514597</v>
      </c>
      <c r="O63" s="329">
        <f t="shared" si="69"/>
        <v>0.8410867519750671</v>
      </c>
      <c r="P63" s="329">
        <f t="shared" si="69"/>
        <v>0.84435971019867451</v>
      </c>
      <c r="Q63" s="329">
        <f t="shared" si="69"/>
        <v>0.84763266842228191</v>
      </c>
      <c r="R63" s="329">
        <f t="shared" si="69"/>
        <v>0.85090562664588931</v>
      </c>
      <c r="S63" s="329">
        <f t="shared" si="69"/>
        <v>0.85417858486949672</v>
      </c>
      <c r="T63" s="329">
        <f t="shared" si="69"/>
        <v>0.85745154309310412</v>
      </c>
      <c r="U63" s="329">
        <f t="shared" si="69"/>
        <v>0.86072450131671152</v>
      </c>
      <c r="V63" s="329">
        <f t="shared" si="69"/>
        <v>0.86399745954031892</v>
      </c>
      <c r="W63" s="329">
        <f t="shared" si="69"/>
        <v>0.86727041776392633</v>
      </c>
      <c r="X63" s="329">
        <f t="shared" si="69"/>
        <v>0.87054337598753373</v>
      </c>
      <c r="Y63" s="329">
        <f t="shared" si="69"/>
        <v>0.87381633421114113</v>
      </c>
      <c r="Z63" s="329">
        <f t="shared" si="69"/>
        <v>0.87708929243474854</v>
      </c>
      <c r="AA63" s="329">
        <f t="shared" si="69"/>
        <v>0.88036225065835594</v>
      </c>
      <c r="AB63" s="329">
        <f t="shared" si="69"/>
        <v>0.88363520888196334</v>
      </c>
      <c r="AC63" s="329">
        <f t="shared" si="69"/>
        <v>0.88690816710557074</v>
      </c>
      <c r="AD63" s="329">
        <f t="shared" si="69"/>
        <v>0.89018112532917815</v>
      </c>
      <c r="AE63" s="329">
        <f t="shared" si="69"/>
        <v>0.89345408355278555</v>
      </c>
      <c r="AF63" s="329">
        <f t="shared" si="69"/>
        <v>0.89672704177639295</v>
      </c>
      <c r="AG63" s="329">
        <f>'Overall recycling rates'!C93</f>
        <v>0.9</v>
      </c>
      <c r="AI63" s="124"/>
      <c r="AJ63" s="185"/>
      <c r="AL63" s="100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outlineLevel="1">
      <c r="A64" t="s">
        <v>470</v>
      </c>
      <c r="B64" s="50" t="s">
        <v>126</v>
      </c>
      <c r="C64" s="102">
        <f t="shared" ref="C64:AG64" si="70">C50*C$63</f>
        <v>6.6347057930833772E-2</v>
      </c>
      <c r="D64" s="102">
        <f t="shared" si="70"/>
        <v>7.1947314395283402E-2</v>
      </c>
      <c r="E64" s="102">
        <f t="shared" si="70"/>
        <v>7.7590902982693499E-2</v>
      </c>
      <c r="F64" s="102">
        <f t="shared" si="70"/>
        <v>8.327782369306401E-2</v>
      </c>
      <c r="G64" s="102">
        <f t="shared" si="70"/>
        <v>8.9008076526394961E-2</v>
      </c>
      <c r="H64" s="102">
        <f t="shared" si="70"/>
        <v>9.4781661482686352E-2</v>
      </c>
      <c r="I64" s="102">
        <f t="shared" si="70"/>
        <v>0.10059857856193817</v>
      </c>
      <c r="J64" s="102">
        <f t="shared" si="70"/>
        <v>0.10645882776415043</v>
      </c>
      <c r="K64" s="102">
        <f t="shared" si="70"/>
        <v>0.11236240908932314</v>
      </c>
      <c r="L64" s="102">
        <f t="shared" si="70"/>
        <v>0.11830932253745625</v>
      </c>
      <c r="M64" s="102">
        <f t="shared" si="70"/>
        <v>0.12429956810854983</v>
      </c>
      <c r="N64" s="102">
        <f t="shared" si="70"/>
        <v>0.13227427776136602</v>
      </c>
      <c r="O64" s="102">
        <f t="shared" si="70"/>
        <v>0.14030748578017879</v>
      </c>
      <c r="P64" s="102">
        <f t="shared" si="70"/>
        <v>0.14839919216498818</v>
      </c>
      <c r="Q64" s="102">
        <f t="shared" si="70"/>
        <v>0.15654939691579411</v>
      </c>
      <c r="R64" s="102">
        <f t="shared" si="70"/>
        <v>0.16475810003259667</v>
      </c>
      <c r="S64" s="102">
        <f t="shared" si="70"/>
        <v>0.1730253015153958</v>
      </c>
      <c r="T64" s="102">
        <f t="shared" si="70"/>
        <v>0.18135100136419152</v>
      </c>
      <c r="U64" s="102">
        <f t="shared" si="70"/>
        <v>0.18973519957898383</v>
      </c>
      <c r="V64" s="102">
        <f t="shared" si="70"/>
        <v>0.19817789615977274</v>
      </c>
      <c r="W64" s="102">
        <f t="shared" si="70"/>
        <v>0.20667909110655822</v>
      </c>
      <c r="X64" s="102">
        <f t="shared" si="70"/>
        <v>0.21990661347903681</v>
      </c>
      <c r="Y64" s="102">
        <f t="shared" si="70"/>
        <v>0.23322773323710999</v>
      </c>
      <c r="Z64" s="102">
        <f t="shared" si="70"/>
        <v>0.2466424503807777</v>
      </c>
      <c r="AA64" s="102">
        <f t="shared" si="70"/>
        <v>0.26015076491003991</v>
      </c>
      <c r="AB64" s="102">
        <f t="shared" si="70"/>
        <v>0.27375267682489668</v>
      </c>
      <c r="AC64" s="102">
        <f t="shared" si="70"/>
        <v>0.287448186125348</v>
      </c>
      <c r="AD64" s="102">
        <f t="shared" si="70"/>
        <v>0.30123729281139394</v>
      </c>
      <c r="AE64" s="102">
        <f t="shared" si="70"/>
        <v>0.31511999688303427</v>
      </c>
      <c r="AF64" s="102">
        <f t="shared" si="70"/>
        <v>0.32909629834026921</v>
      </c>
      <c r="AG64" s="102">
        <f t="shared" si="70"/>
        <v>0.3431661971830986</v>
      </c>
      <c r="AI64" s="124"/>
      <c r="AJ64" s="185"/>
      <c r="AL64" s="100"/>
      <c r="AM64" s="2"/>
      <c r="AN64" s="2"/>
      <c r="AO64" s="2"/>
      <c r="AV64" s="37"/>
    </row>
    <row r="65" spans="1:63" outlineLevel="1">
      <c r="A65" t="s">
        <v>471</v>
      </c>
      <c r="B65" s="50" t="s">
        <v>126</v>
      </c>
      <c r="C65" s="102">
        <f t="shared" ref="C65:AG65" si="71">C51*C$63</f>
        <v>0.13410575539211084</v>
      </c>
      <c r="D65" s="102">
        <f t="shared" si="71"/>
        <v>0.14138582763848545</v>
      </c>
      <c r="E65" s="102">
        <f t="shared" si="71"/>
        <v>0.14872064126359999</v>
      </c>
      <c r="F65" s="102">
        <f t="shared" si="71"/>
        <v>0.15611019626745443</v>
      </c>
      <c r="G65" s="102">
        <f t="shared" si="71"/>
        <v>0.16355449265004876</v>
      </c>
      <c r="H65" s="102">
        <f t="shared" si="71"/>
        <v>0.17105353041138308</v>
      </c>
      <c r="I65" s="102">
        <f t="shared" si="71"/>
        <v>0.17860730955145723</v>
      </c>
      <c r="J65" s="102">
        <f t="shared" si="71"/>
        <v>0.18621583007027134</v>
      </c>
      <c r="K65" s="102">
        <f t="shared" si="71"/>
        <v>0.19387909196782535</v>
      </c>
      <c r="L65" s="102">
        <f t="shared" si="71"/>
        <v>0.20159709524411928</v>
      </c>
      <c r="M65" s="102">
        <f t="shared" si="71"/>
        <v>0.20936983989915312</v>
      </c>
      <c r="N65" s="102">
        <f t="shared" si="71"/>
        <v>0.21113681990286293</v>
      </c>
      <c r="O65" s="102">
        <f t="shared" si="71"/>
        <v>0.21291118999270264</v>
      </c>
      <c r="P65" s="102">
        <f t="shared" si="71"/>
        <v>0.21469295016867221</v>
      </c>
      <c r="Q65" s="102">
        <f t="shared" si="71"/>
        <v>0.21648210043077171</v>
      </c>
      <c r="R65" s="102">
        <f t="shared" si="71"/>
        <v>0.21827864077900108</v>
      </c>
      <c r="S65" s="102">
        <f t="shared" si="71"/>
        <v>0.22008257121336036</v>
      </c>
      <c r="T65" s="102">
        <f t="shared" si="71"/>
        <v>0.22189389173384952</v>
      </c>
      <c r="U65" s="102">
        <f t="shared" si="71"/>
        <v>0.22371260234046852</v>
      </c>
      <c r="V65" s="102">
        <f t="shared" si="71"/>
        <v>0.22553870303321746</v>
      </c>
      <c r="W65" s="102">
        <f t="shared" si="71"/>
        <v>0.22737219381209628</v>
      </c>
      <c r="X65" s="102">
        <f t="shared" si="71"/>
        <v>0.22925730111600173</v>
      </c>
      <c r="Y65" s="102">
        <f t="shared" si="71"/>
        <v>0.23115013105991286</v>
      </c>
      <c r="Z65" s="102">
        <f t="shared" si="71"/>
        <v>0.23305068364382978</v>
      </c>
      <c r="AA65" s="102">
        <f t="shared" si="71"/>
        <v>0.23495895886775237</v>
      </c>
      <c r="AB65" s="102">
        <f t="shared" si="71"/>
        <v>0.23687495673168074</v>
      </c>
      <c r="AC65" s="102">
        <f t="shared" si="71"/>
        <v>0.23879867723561488</v>
      </c>
      <c r="AD65" s="102">
        <f t="shared" si="71"/>
        <v>0.24073012037955466</v>
      </c>
      <c r="AE65" s="102">
        <f t="shared" si="71"/>
        <v>0.24266928616350025</v>
      </c>
      <c r="AF65" s="102">
        <f t="shared" si="71"/>
        <v>0.2446161745874515</v>
      </c>
      <c r="AG65" s="102">
        <f t="shared" si="71"/>
        <v>0.24657078565140847</v>
      </c>
      <c r="AH65" s="217"/>
      <c r="AI65" s="124"/>
      <c r="AJ65" s="185"/>
      <c r="AL65" s="100"/>
      <c r="AM65" s="2"/>
      <c r="AN65" s="2"/>
      <c r="AO65" s="2"/>
      <c r="AV65" s="37"/>
    </row>
    <row r="66" spans="1:63" outlineLevel="1">
      <c r="A66" t="s">
        <v>472</v>
      </c>
      <c r="B66" s="156" t="s">
        <v>126</v>
      </c>
      <c r="C66" s="102">
        <f>SUM(C64:C65)</f>
        <v>0.20045281332294462</v>
      </c>
      <c r="D66" s="102">
        <f t="shared" ref="D66:AG66" si="72">SUM(D64:D65)</f>
        <v>0.21333314203376885</v>
      </c>
      <c r="E66" s="102">
        <f t="shared" si="72"/>
        <v>0.22631154424629349</v>
      </c>
      <c r="F66" s="102">
        <f t="shared" si="72"/>
        <v>0.23938801996051845</v>
      </c>
      <c r="G66" s="102">
        <f t="shared" si="72"/>
        <v>0.25256256917644371</v>
      </c>
      <c r="H66" s="102">
        <f t="shared" si="72"/>
        <v>0.26583519189406946</v>
      </c>
      <c r="I66" s="102">
        <f t="shared" si="72"/>
        <v>0.27920588811339542</v>
      </c>
      <c r="J66" s="102">
        <f t="shared" si="72"/>
        <v>0.29267465783442176</v>
      </c>
      <c r="K66" s="102">
        <f t="shared" si="72"/>
        <v>0.30624150105714848</v>
      </c>
      <c r="L66" s="102">
        <f t="shared" si="72"/>
        <v>0.31990641778157552</v>
      </c>
      <c r="M66" s="102">
        <f t="shared" si="72"/>
        <v>0.33366940800770295</v>
      </c>
      <c r="N66" s="102">
        <f t="shared" si="72"/>
        <v>0.34341109766422895</v>
      </c>
      <c r="O66" s="102">
        <f t="shared" si="72"/>
        <v>0.35321867577288146</v>
      </c>
      <c r="P66" s="102">
        <f t="shared" si="72"/>
        <v>0.36309214233366038</v>
      </c>
      <c r="Q66" s="102">
        <f t="shared" si="72"/>
        <v>0.37303149734656582</v>
      </c>
      <c r="R66" s="102">
        <f t="shared" si="72"/>
        <v>0.38303674081159778</v>
      </c>
      <c r="S66" s="102">
        <f t="shared" si="72"/>
        <v>0.39310787272875614</v>
      </c>
      <c r="T66" s="102">
        <f t="shared" si="72"/>
        <v>0.40324489309804101</v>
      </c>
      <c r="U66" s="102">
        <f t="shared" si="72"/>
        <v>0.41344780191945235</v>
      </c>
      <c r="V66" s="102">
        <f t="shared" si="72"/>
        <v>0.42371659919299021</v>
      </c>
      <c r="W66" s="102">
        <f t="shared" si="72"/>
        <v>0.43405128491865452</v>
      </c>
      <c r="X66" s="102">
        <f t="shared" si="72"/>
        <v>0.44916391459503857</v>
      </c>
      <c r="Y66" s="102">
        <f t="shared" si="72"/>
        <v>0.46437786429702288</v>
      </c>
      <c r="Z66" s="102">
        <f t="shared" si="72"/>
        <v>0.47969313402460745</v>
      </c>
      <c r="AA66" s="102">
        <f t="shared" si="72"/>
        <v>0.49510972377779228</v>
      </c>
      <c r="AB66" s="102">
        <f t="shared" si="72"/>
        <v>0.51062763355657736</v>
      </c>
      <c r="AC66" s="102">
        <f t="shared" si="72"/>
        <v>0.52624686336096294</v>
      </c>
      <c r="AD66" s="102">
        <f t="shared" si="72"/>
        <v>0.54196741319094865</v>
      </c>
      <c r="AE66" s="102">
        <f t="shared" si="72"/>
        <v>0.55778928304653452</v>
      </c>
      <c r="AF66" s="102">
        <f t="shared" si="72"/>
        <v>0.57371247292772076</v>
      </c>
      <c r="AG66" s="102">
        <f t="shared" si="72"/>
        <v>0.58973698283450704</v>
      </c>
      <c r="AI66" s="124"/>
      <c r="AJ66" s="185"/>
      <c r="AL66" s="100"/>
      <c r="AM66" s="2"/>
      <c r="AN66" s="2"/>
      <c r="AO66" s="2"/>
    </row>
    <row r="67" spans="1:63" outlineLevel="1">
      <c r="A67" t="s">
        <v>473</v>
      </c>
      <c r="B67" s="50" t="s">
        <v>126</v>
      </c>
      <c r="C67" s="102">
        <f>C$65*C54</f>
        <v>1.5422074717850311E-2</v>
      </c>
      <c r="D67" s="102">
        <f t="shared" ref="D67:AG70" si="73">D$65*D54</f>
        <v>1.5952945397928481E-2</v>
      </c>
      <c r="E67" s="102">
        <f t="shared" si="73"/>
        <v>1.645832742639285E-2</v>
      </c>
      <c r="F67" s="102">
        <f t="shared" si="73"/>
        <v>1.693786498783912E-2</v>
      </c>
      <c r="G67" s="102">
        <f t="shared" si="73"/>
        <v>1.7391202266863002E-2</v>
      </c>
      <c r="H67" s="102">
        <f t="shared" si="73"/>
        <v>1.7817983448060206E-2</v>
      </c>
      <c r="I67" s="102">
        <f t="shared" si="73"/>
        <v>1.8217852716026429E-2</v>
      </c>
      <c r="J67" s="102">
        <f t="shared" si="73"/>
        <v>1.8590454255357387E-2</v>
      </c>
      <c r="K67" s="102">
        <f t="shared" si="73"/>
        <v>1.8935432250648782E-2</v>
      </c>
      <c r="L67" s="102">
        <f t="shared" si="73"/>
        <v>1.9252430886496322E-2</v>
      </c>
      <c r="M67" s="102">
        <f t="shared" si="73"/>
        <v>1.9541094347495711E-2</v>
      </c>
      <c r="N67" s="102">
        <f t="shared" si="73"/>
        <v>1.9248553179604597E-2</v>
      </c>
      <c r="O67" s="102">
        <f t="shared" si="73"/>
        <v>1.8949012889702688E-2</v>
      </c>
      <c r="P67" s="102">
        <f t="shared" si="73"/>
        <v>1.86424254427104E-2</v>
      </c>
      <c r="Q67" s="102">
        <f t="shared" si="73"/>
        <v>1.8328742803548161E-2</v>
      </c>
      <c r="R67" s="102">
        <f t="shared" si="73"/>
        <v>1.8007916937136385E-2</v>
      </c>
      <c r="S67" s="102">
        <f t="shared" si="73"/>
        <v>1.7679899808395495E-2</v>
      </c>
      <c r="T67" s="102">
        <f t="shared" si="73"/>
        <v>1.7344643382245912E-2</v>
      </c>
      <c r="U67" s="102">
        <f t="shared" si="73"/>
        <v>1.7002099623608054E-2</v>
      </c>
      <c r="V67" s="102">
        <f t="shared" si="73"/>
        <v>1.6652220497402344E-2</v>
      </c>
      <c r="W67" s="102">
        <f t="shared" si="73"/>
        <v>1.6294957968549201E-2</v>
      </c>
      <c r="X67" s="102">
        <f t="shared" si="73"/>
        <v>1.5933337730849845E-2</v>
      </c>
      <c r="Y67" s="102">
        <f t="shared" si="73"/>
        <v>1.5564068766261466E-2</v>
      </c>
      <c r="Z67" s="102">
        <f t="shared" si="73"/>
        <v>1.5187100878125909E-2</v>
      </c>
      <c r="AA67" s="102">
        <f t="shared" si="73"/>
        <v>1.4802383869785008E-2</v>
      </c>
      <c r="AB67" s="102">
        <f t="shared" si="73"/>
        <v>1.4409867544580608E-2</v>
      </c>
      <c r="AC67" s="102">
        <f t="shared" si="73"/>
        <v>1.4009501705854546E-2</v>
      </c>
      <c r="AD67" s="102">
        <f t="shared" si="73"/>
        <v>1.3601236156948656E-2</v>
      </c>
      <c r="AE67" s="102">
        <f t="shared" si="73"/>
        <v>1.3185020701204787E-2</v>
      </c>
      <c r="AF67" s="102">
        <f t="shared" si="73"/>
        <v>1.2760805141964768E-2</v>
      </c>
      <c r="AG67" s="102">
        <f t="shared" si="73"/>
        <v>1.2328539282570425E-2</v>
      </c>
      <c r="AI67" s="124"/>
      <c r="AJ67" s="185"/>
      <c r="AL67" s="100"/>
      <c r="AM67" s="2"/>
      <c r="AN67" s="2"/>
      <c r="AO67" s="2"/>
    </row>
    <row r="68" spans="1:63" outlineLevel="1">
      <c r="A68" t="s">
        <v>474</v>
      </c>
      <c r="B68" s="50" t="s">
        <v>126</v>
      </c>
      <c r="C68" s="102">
        <f t="shared" ref="C68:R70" si="74">C$65*C55</f>
        <v>1.8495372344774153E-2</v>
      </c>
      <c r="D68" s="102">
        <f t="shared" si="74"/>
        <v>1.9499413122143174E-2</v>
      </c>
      <c r="E68" s="102">
        <f t="shared" si="74"/>
        <v>2.0511003629048417E-2</v>
      </c>
      <c r="F68" s="102">
        <f t="shared" si="74"/>
        <v>2.1530143865489883E-2</v>
      </c>
      <c r="G68" s="102">
        <f t="shared" si="74"/>
        <v>2.2556833831467563E-2</v>
      </c>
      <c r="H68" s="102">
        <f t="shared" si="74"/>
        <v>2.3591073526981473E-2</v>
      </c>
      <c r="I68" s="102">
        <f t="shared" si="74"/>
        <v>2.4632862952031594E-2</v>
      </c>
      <c r="J68" s="102">
        <f t="shared" si="74"/>
        <v>2.5682202106617945E-2</v>
      </c>
      <c r="K68" s="102">
        <f t="shared" si="74"/>
        <v>2.6739090990740511E-2</v>
      </c>
      <c r="L68" s="102">
        <f t="shared" si="74"/>
        <v>2.7803529604399298E-2</v>
      </c>
      <c r="M68" s="102">
        <f t="shared" si="74"/>
        <v>2.8875517947594305E-2</v>
      </c>
      <c r="N68" s="102">
        <f t="shared" si="74"/>
        <v>2.9119213328145481E-2</v>
      </c>
      <c r="O68" s="102">
        <f t="shared" si="74"/>
        <v>2.9363927922184049E-2</v>
      </c>
      <c r="P68" s="102">
        <f t="shared" si="74"/>
        <v>2.9609661729710003E-2</v>
      </c>
      <c r="Q68" s="102">
        <f t="shared" si="74"/>
        <v>2.9856414750723353E-2</v>
      </c>
      <c r="R68" s="102">
        <f t="shared" si="74"/>
        <v>3.0104186985224088E-2</v>
      </c>
      <c r="S68" s="102">
        <f t="shared" si="73"/>
        <v>3.0352978433212215E-2</v>
      </c>
      <c r="T68" s="102">
        <f t="shared" si="73"/>
        <v>3.0602789094687735E-2</v>
      </c>
      <c r="U68" s="102">
        <f t="shared" si="73"/>
        <v>3.0853618969650633E-2</v>
      </c>
      <c r="V68" s="102">
        <f t="shared" si="73"/>
        <v>3.1105468058100931E-2</v>
      </c>
      <c r="W68" s="102">
        <f t="shared" si="73"/>
        <v>3.1358336360038618E-2</v>
      </c>
      <c r="X68" s="102">
        <f t="shared" si="73"/>
        <v>3.1618323423186212E-2</v>
      </c>
      <c r="Y68" s="102">
        <f t="shared" si="73"/>
        <v>3.1879375564428124E-2</v>
      </c>
      <c r="Z68" s="102">
        <f t="shared" si="73"/>
        <v>3.214149278376436E-2</v>
      </c>
      <c r="AA68" s="102">
        <f t="shared" si="73"/>
        <v>3.2404675081194913E-2</v>
      </c>
      <c r="AB68" s="102">
        <f t="shared" si="73"/>
        <v>3.2668922456719797E-2</v>
      </c>
      <c r="AC68" s="102">
        <f t="shared" si="73"/>
        <v>3.2934234910339005E-2</v>
      </c>
      <c r="AD68" s="102">
        <f t="shared" si="73"/>
        <v>3.3200612442052524E-2</v>
      </c>
      <c r="AE68" s="102">
        <f t="shared" si="73"/>
        <v>3.3468055051860381E-2</v>
      </c>
      <c r="AF68" s="102">
        <f t="shared" si="73"/>
        <v>3.3736562739762541E-2</v>
      </c>
      <c r="AG68" s="102">
        <f t="shared" si="73"/>
        <v>3.4006135505759025E-2</v>
      </c>
      <c r="AI68" s="124"/>
      <c r="AJ68" s="185"/>
      <c r="AL68" s="100"/>
      <c r="AM68" s="2"/>
      <c r="AN68" s="2"/>
      <c r="AO68" s="2"/>
      <c r="BC68" s="1"/>
      <c r="BD68" s="2"/>
      <c r="BE68" s="2"/>
      <c r="BF68" s="2"/>
      <c r="BG68" s="2"/>
      <c r="BH68" s="2"/>
      <c r="BI68" s="2"/>
      <c r="BJ68" s="2"/>
      <c r="BK68" s="2"/>
    </row>
    <row r="69" spans="1:63" outlineLevel="1">
      <c r="A69" t="s">
        <v>753</v>
      </c>
      <c r="C69" s="102">
        <f t="shared" si="74"/>
        <v>1.455727556924161E-2</v>
      </c>
      <c r="D69" s="102">
        <f t="shared" si="73"/>
        <v>1.5347532613352765E-2</v>
      </c>
      <c r="E69" s="102">
        <f t="shared" si="73"/>
        <v>1.6143731873240023E-2</v>
      </c>
      <c r="F69" s="102">
        <f t="shared" si="73"/>
        <v>1.6945873348903382E-2</v>
      </c>
      <c r="G69" s="102">
        <f t="shared" si="73"/>
        <v>1.7753957040342844E-2</v>
      </c>
      <c r="H69" s="102">
        <f t="shared" si="73"/>
        <v>1.8567982947558414E-2</v>
      </c>
      <c r="I69" s="102">
        <f t="shared" si="73"/>
        <v>1.9387951070550077E-2</v>
      </c>
      <c r="J69" s="102">
        <f t="shared" si="73"/>
        <v>2.021386140931785E-2</v>
      </c>
      <c r="K69" s="102">
        <f t="shared" si="73"/>
        <v>2.104571396386172E-2</v>
      </c>
      <c r="L69" s="102">
        <f t="shared" si="73"/>
        <v>2.1883508734181698E-2</v>
      </c>
      <c r="M69" s="102">
        <f t="shared" si="73"/>
        <v>2.2727245720277775E-2</v>
      </c>
      <c r="N69" s="102">
        <f t="shared" si="73"/>
        <v>2.2919052662225447E-2</v>
      </c>
      <c r="O69" s="102">
        <f t="shared" si="73"/>
        <v>2.3111661803302895E-2</v>
      </c>
      <c r="P69" s="102">
        <f t="shared" si="73"/>
        <v>2.3305073143510113E-2</v>
      </c>
      <c r="Q69" s="102">
        <f t="shared" si="73"/>
        <v>2.3499286682847106E-2</v>
      </c>
      <c r="R69" s="102">
        <f t="shared" si="73"/>
        <v>2.3694302421313877E-2</v>
      </c>
      <c r="S69" s="102">
        <f t="shared" si="73"/>
        <v>2.389012035891042E-2</v>
      </c>
      <c r="T69" s="102">
        <f t="shared" si="73"/>
        <v>2.4086740495636735E-2</v>
      </c>
      <c r="U69" s="102">
        <f t="shared" si="73"/>
        <v>2.4284162831492821E-2</v>
      </c>
      <c r="V69" s="102">
        <f t="shared" si="73"/>
        <v>2.4482387366478685E-2</v>
      </c>
      <c r="W69" s="102">
        <f t="shared" si="73"/>
        <v>2.4681414100594323E-2</v>
      </c>
      <c r="X69" s="102">
        <f t="shared" si="73"/>
        <v>2.4886043845382712E-2</v>
      </c>
      <c r="Y69" s="102">
        <f t="shared" si="73"/>
        <v>2.5091511888261711E-2</v>
      </c>
      <c r="Z69" s="102">
        <f t="shared" si="73"/>
        <v>2.5297818229231325E-2</v>
      </c>
      <c r="AA69" s="102">
        <f t="shared" si="73"/>
        <v>2.5504962868291549E-2</v>
      </c>
      <c r="AB69" s="102">
        <f t="shared" si="73"/>
        <v>2.5712945805442391E-2</v>
      </c>
      <c r="AC69" s="102">
        <f t="shared" si="73"/>
        <v>2.592176704068385E-2</v>
      </c>
      <c r="AD69" s="102">
        <f t="shared" si="73"/>
        <v>2.6131426574015914E-2</v>
      </c>
      <c r="AE69" s="102">
        <f t="shared" si="73"/>
        <v>2.6341924405438599E-2</v>
      </c>
      <c r="AF69" s="102">
        <f t="shared" si="73"/>
        <v>2.655326053495189E-2</v>
      </c>
      <c r="AG69" s="102">
        <f t="shared" si="73"/>
        <v>2.6765434962555793E-2</v>
      </c>
      <c r="AI69" s="124"/>
      <c r="AJ69" s="185"/>
      <c r="AL69" s="100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outlineLevel="1">
      <c r="A70" t="s">
        <v>475</v>
      </c>
      <c r="B70" s="50" t="s">
        <v>126</v>
      </c>
      <c r="C70" s="102">
        <f t="shared" si="74"/>
        <v>8.5631032760244766E-2</v>
      </c>
      <c r="D70" s="102">
        <f t="shared" si="73"/>
        <v>9.058593650506104E-2</v>
      </c>
      <c r="E70" s="102">
        <f t="shared" si="73"/>
        <v>9.5607578334918689E-2</v>
      </c>
      <c r="F70" s="102">
        <f t="shared" si="73"/>
        <v>0.10069631406522205</v>
      </c>
      <c r="G70" s="102">
        <f t="shared" si="73"/>
        <v>0.10585249951137536</v>
      </c>
      <c r="H70" s="102">
        <f t="shared" si="73"/>
        <v>0.11107649048878297</v>
      </c>
      <c r="I70" s="102">
        <f t="shared" si="73"/>
        <v>0.11636864281284912</v>
      </c>
      <c r="J70" s="102">
        <f t="shared" si="73"/>
        <v>0.12172931229897815</v>
      </c>
      <c r="K70" s="102">
        <f t="shared" si="73"/>
        <v>0.12715885476257435</v>
      </c>
      <c r="L70" s="102">
        <f t="shared" si="73"/>
        <v>0.13265762601904196</v>
      </c>
      <c r="M70" s="102">
        <f t="shared" si="73"/>
        <v>0.13822598188378532</v>
      </c>
      <c r="N70" s="102">
        <f t="shared" si="73"/>
        <v>0.13985000073288739</v>
      </c>
      <c r="O70" s="102">
        <f t="shared" si="73"/>
        <v>0.14148658737751302</v>
      </c>
      <c r="P70" s="102">
        <f t="shared" si="73"/>
        <v>0.14313578985274167</v>
      </c>
      <c r="Q70" s="102">
        <f t="shared" si="73"/>
        <v>0.14479765619365309</v>
      </c>
      <c r="R70" s="102">
        <f t="shared" si="73"/>
        <v>0.14647223443532673</v>
      </c>
      <c r="S70" s="102">
        <f t="shared" si="73"/>
        <v>0.14815957261284224</v>
      </c>
      <c r="T70" s="102">
        <f t="shared" si="73"/>
        <v>0.14985971876127915</v>
      </c>
      <c r="U70" s="102">
        <f t="shared" si="73"/>
        <v>0.151572720915717</v>
      </c>
      <c r="V70" s="102">
        <f t="shared" si="73"/>
        <v>0.15329862711123549</v>
      </c>
      <c r="W70" s="102">
        <f t="shared" si="73"/>
        <v>0.15503748538291415</v>
      </c>
      <c r="X70" s="102">
        <f t="shared" si="73"/>
        <v>0.15681959611658294</v>
      </c>
      <c r="Y70" s="102">
        <f t="shared" si="73"/>
        <v>0.15861517484096155</v>
      </c>
      <c r="Z70" s="102">
        <f t="shared" si="73"/>
        <v>0.16042427175270818</v>
      </c>
      <c r="AA70" s="102">
        <f t="shared" si="73"/>
        <v>0.16224693704848089</v>
      </c>
      <c r="AB70" s="102">
        <f t="shared" si="73"/>
        <v>0.16408322092493796</v>
      </c>
      <c r="AC70" s="102">
        <f t="shared" si="73"/>
        <v>0.16593317357873746</v>
      </c>
      <c r="AD70" s="102">
        <f t="shared" si="73"/>
        <v>0.16779684520653756</v>
      </c>
      <c r="AE70" s="102">
        <f t="shared" si="73"/>
        <v>0.16967428600499648</v>
      </c>
      <c r="AF70" s="102">
        <f t="shared" si="73"/>
        <v>0.1715655461707723</v>
      </c>
      <c r="AG70" s="102">
        <f t="shared" si="73"/>
        <v>0.1734706759005232</v>
      </c>
      <c r="AH70" s="217"/>
      <c r="AI70" s="124"/>
      <c r="AJ70" s="185"/>
      <c r="AL70" s="100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s="1" customFormat="1" outlineLevel="1">
      <c r="A72" s="1" t="s">
        <v>265</v>
      </c>
      <c r="B72" s="60"/>
      <c r="C72" s="250">
        <f>C64*C42</f>
        <v>142499.79299311075</v>
      </c>
      <c r="D72" s="250">
        <f t="shared" ref="D72:AG72" si="75">D64*D42</f>
        <v>151487.19877722609</v>
      </c>
      <c r="E72" s="250">
        <f t="shared" si="75"/>
        <v>160104.2969399876</v>
      </c>
      <c r="F72" s="250">
        <f t="shared" si="75"/>
        <v>168348.55069380015</v>
      </c>
      <c r="G72" s="250">
        <f t="shared" si="75"/>
        <v>176217.45608943186</v>
      </c>
      <c r="H72" s="250">
        <f t="shared" si="75"/>
        <v>183708.54181594023</v>
      </c>
      <c r="I72" s="250">
        <f t="shared" si="75"/>
        <v>190819.36900152234</v>
      </c>
      <c r="J72" s="250">
        <f t="shared" si="75"/>
        <v>197547.53101528657</v>
      </c>
      <c r="K72" s="250">
        <f t="shared" si="75"/>
        <v>203890.65326994075</v>
      </c>
      <c r="L72" s="250">
        <f t="shared" si="75"/>
        <v>209846.39302539438</v>
      </c>
      <c r="M72" s="250">
        <f t="shared" si="75"/>
        <v>215412.43919327084</v>
      </c>
      <c r="N72" s="250">
        <f t="shared" si="75"/>
        <v>221528.04041655367</v>
      </c>
      <c r="O72" s="250">
        <f t="shared" si="75"/>
        <v>228061.96701288453</v>
      </c>
      <c r="P72" s="250">
        <f t="shared" si="75"/>
        <v>232847.19336076628</v>
      </c>
      <c r="Q72" s="250">
        <f t="shared" si="75"/>
        <v>236846.1499365895</v>
      </c>
      <c r="R72" s="250">
        <f t="shared" si="75"/>
        <v>240054.74699021238</v>
      </c>
      <c r="S72" s="250">
        <f t="shared" si="75"/>
        <v>242468.95366464855</v>
      </c>
      <c r="T72" s="250">
        <f t="shared" si="75"/>
        <v>244084.79762933106</v>
      </c>
      <c r="U72" s="250">
        <f t="shared" si="75"/>
        <v>244898.36471508647</v>
      </c>
      <c r="V72" s="250">
        <f t="shared" si="75"/>
        <v>244905.79855081433</v>
      </c>
      <c r="W72" s="250">
        <f t="shared" si="75"/>
        <v>244103.30020186311</v>
      </c>
      <c r="X72" s="250">
        <f t="shared" si="75"/>
        <v>250699.69583901277</v>
      </c>
      <c r="Y72" s="250">
        <f t="shared" si="75"/>
        <v>256498.10368105717</v>
      </c>
      <c r="Z72" s="250">
        <f t="shared" si="75"/>
        <v>261365.72189312763</v>
      </c>
      <c r="AA72" s="250">
        <f t="shared" si="75"/>
        <v>265298.07813043607</v>
      </c>
      <c r="AB72" s="250">
        <f t="shared" si="75"/>
        <v>268290.76650144387</v>
      </c>
      <c r="AC72" s="250">
        <f t="shared" si="75"/>
        <v>270339.44715174945</v>
      </c>
      <c r="AD72" s="250">
        <f t="shared" si="75"/>
        <v>271439.84584992268</v>
      </c>
      <c r="AE72" s="250">
        <f t="shared" si="75"/>
        <v>271587.75357527618</v>
      </c>
      <c r="AF72" s="250">
        <f t="shared" si="75"/>
        <v>270779.02610756864</v>
      </c>
      <c r="AG72" s="250">
        <f t="shared" si="75"/>
        <v>269009.58361862937</v>
      </c>
      <c r="AH72" s="217">
        <f>AG72-C72</f>
        <v>126509.79062551862</v>
      </c>
      <c r="AI72" s="368"/>
      <c r="AJ72" s="369"/>
      <c r="AL72" s="194"/>
      <c r="AM72" s="116"/>
      <c r="AN72" s="116"/>
      <c r="AO72" s="116"/>
      <c r="BD72" s="116"/>
      <c r="BE72" s="116"/>
      <c r="BF72" s="116"/>
      <c r="BG72" s="116"/>
      <c r="BH72" s="116"/>
      <c r="BI72" s="116"/>
      <c r="BJ72" s="116"/>
      <c r="BK72" s="116"/>
    </row>
    <row r="73" spans="1:63" outlineLevel="1">
      <c r="A73" s="4" t="s">
        <v>141</v>
      </c>
      <c r="C73" s="203">
        <f>C$72*'Ethylene recycling rates'!E43</f>
        <v>132195.87366449193</v>
      </c>
      <c r="D73" s="203">
        <f>D$72*'Ethylene recycling rates'!F43</f>
        <v>140346.83127769476</v>
      </c>
      <c r="E73" s="203">
        <f>E$72*'Ethylene recycling rates'!G43</f>
        <v>148133.0305405939</v>
      </c>
      <c r="F73" s="203">
        <f>F$72*'Ethylene recycling rates'!H43</f>
        <v>155553.49577354194</v>
      </c>
      <c r="G73" s="203">
        <f>G$72*'Ethylene recycling rates'!I43</f>
        <v>162607.29409704392</v>
      </c>
      <c r="H73" s="203">
        <f>H$72*'Ethylene recycling rates'!J43</f>
        <v>169293.53504515035</v>
      </c>
      <c r="I73" s="203">
        <f>I$72*'Ethylene recycling rates'!K43</f>
        <v>175611.37018117955</v>
      </c>
      <c r="J73" s="203">
        <f>J$72*'Ethylene recycling rates'!L43</f>
        <v>181559.99271575845</v>
      </c>
      <c r="K73" s="203">
        <f>K$72*'Ethylene recycling rates'!M43</f>
        <v>187138.63712716938</v>
      </c>
      <c r="L73" s="203">
        <f>L$72*'Ethylene recycling rates'!N43</f>
        <v>192346.57878399317</v>
      </c>
      <c r="M73" s="203">
        <f>M$72*'Ethylene recycling rates'!O43</f>
        <v>197183.13357003627</v>
      </c>
      <c r="N73" s="203">
        <f>N$72*'Ethylene recycling rates'!P43</f>
        <v>202508.34917003306</v>
      </c>
      <c r="O73" s="203">
        <f>O$72*'Ethylene recycling rates'!Q43</f>
        <v>208200.39386594089</v>
      </c>
      <c r="P73" s="203">
        <f>P$72*'Ethylene recycling rates'!R43</f>
        <v>212282.08838801572</v>
      </c>
      <c r="Q73" s="203">
        <f>Q$72*'Ethylene recycling rates'!S43</f>
        <v>215636.13730321027</v>
      </c>
      <c r="R73" s="203">
        <f>R$72*'Ethylene recycling rates'!T43</f>
        <v>218261.72744609797</v>
      </c>
      <c r="S73" s="203">
        <f>S$72*'Ethylene recycling rates'!U43</f>
        <v>220158.1192744257</v>
      </c>
      <c r="T73" s="203">
        <f>T$72*'Ethylene recycling rates'!V43</f>
        <v>221324.64617388669</v>
      </c>
      <c r="U73" s="203">
        <f>U$72*'Ethylene recycling rates'!W43</f>
        <v>221760.71376715208</v>
      </c>
      <c r="V73" s="203">
        <f>V$72*'Ethylene recycling rates'!X43</f>
        <v>221465.79922714212</v>
      </c>
      <c r="W73" s="203">
        <f>W$72*'Ethylene recycling rates'!Y43</f>
        <v>220439.45059451458</v>
      </c>
      <c r="X73" s="203">
        <f>X$72*'Ethylene recycling rates'!Z43</f>
        <v>226087.59650832249</v>
      </c>
      <c r="Y73" s="203">
        <f>Y$72*'Ethylene recycling rates'!AA43</f>
        <v>231000.82953103751</v>
      </c>
      <c r="Z73" s="203">
        <f>Z$72*'Ethylene recycling rates'!AB43</f>
        <v>235062.66120665404</v>
      </c>
      <c r="AA73" s="203">
        <f>AA$72*'Ethylene recycling rates'!AC43</f>
        <v>238272.51409242649</v>
      </c>
      <c r="AB73" s="203">
        <f>AB$72*'Ethylene recycling rates'!AD43</f>
        <v>240629.89238152927</v>
      </c>
      <c r="AC73" s="203">
        <f>AC$72*'Ethylene recycling rates'!AE43</f>
        <v>242134.38112111189</v>
      </c>
      <c r="AD73" s="203">
        <f>AD$72*'Ethylene recycling rates'!AF43</f>
        <v>242785.64543517056</v>
      </c>
      <c r="AE73" s="203">
        <f>AE$72*'Ethylene recycling rates'!AG43</f>
        <v>242583.42975221048</v>
      </c>
      <c r="AF73" s="203">
        <f>AF$72*'Ethylene recycling rates'!AH43</f>
        <v>241527.55703767779</v>
      </c>
      <c r="AG73" s="203">
        <f>AG$72*'Ethylene recycling rates'!AI43</f>
        <v>239617.928031135</v>
      </c>
      <c r="AH73" s="217">
        <f>AG73-C73</f>
        <v>107422.05436664307</v>
      </c>
      <c r="AI73" s="124"/>
      <c r="AJ73" s="185"/>
      <c r="AL73" s="100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s="4" t="s">
        <v>74</v>
      </c>
      <c r="C74" s="203">
        <f>C$72*'Ethylene recycling rates'!E44</f>
        <v>0</v>
      </c>
      <c r="D74" s="203">
        <f>D$72*'Ethylene recycling rates'!F44</f>
        <v>136.49091967356901</v>
      </c>
      <c r="E74" s="203">
        <f>E$72*'Ethylene recycling rates'!G44</f>
        <v>288.50995872153311</v>
      </c>
      <c r="F74" s="203">
        <f>F$72*'Ethylene recycling rates'!H44</f>
        <v>455.04931166560698</v>
      </c>
      <c r="G74" s="203">
        <f>G$72*'Ethylene recycling rates'!I44</f>
        <v>635.09214873142673</v>
      </c>
      <c r="H74" s="203">
        <f>H$72*'Ethylene recycling rates'!J44</f>
        <v>827.61276288507054</v>
      </c>
      <c r="I74" s="203">
        <f>I$72*'Ethylene recycling rates'!K44</f>
        <v>1031.5767157929683</v>
      </c>
      <c r="J74" s="203">
        <f>J$72*'Ethylene recycling rates'!L44</f>
        <v>1245.9409827110121</v>
      </c>
      <c r="K74" s="203">
        <f>K$72*'Ethylene recycling rates'!M44</f>
        <v>1469.6540963086427</v>
      </c>
      <c r="L74" s="203">
        <f>L$72*'Ethylene recycling rates'!N44</f>
        <v>1701.6562894336719</v>
      </c>
      <c r="M74" s="203">
        <f>M$72*'Ethylene recycling rates'!O44</f>
        <v>1940.8796368235726</v>
      </c>
      <c r="N74" s="203">
        <f>N$72*'Ethylene recycling rates'!P44</f>
        <v>2195.5797476884272</v>
      </c>
      <c r="O74" s="203">
        <f>O$72*'Ethylene recycling rates'!Q44</f>
        <v>2465.8232144825797</v>
      </c>
      <c r="P74" s="203">
        <f>P$72*'Ethylene recycling rates'!R44</f>
        <v>2727.3582301528236</v>
      </c>
      <c r="Q74" s="203">
        <f>Q$72*'Ethylene recycling rates'!S44</f>
        <v>2987.5982077495964</v>
      </c>
      <c r="R74" s="203">
        <f>R$72*'Ethylene recycling rates'!T44</f>
        <v>3244.3625718715634</v>
      </c>
      <c r="S74" s="203">
        <f>S$72*'Ethylene recycling rates'!U44</f>
        <v>3495.4568565645627</v>
      </c>
      <c r="T74" s="203">
        <f>T$72*'Ethylene recycling rates'!V44</f>
        <v>3738.6729650197899</v>
      </c>
      <c r="U74" s="203">
        <f>U$72*'Ethylene recycling rates'!W44</f>
        <v>3971.7894273171287</v>
      </c>
      <c r="V74" s="203">
        <f>V$72*'Ethylene recycling rates'!X44</f>
        <v>4192.5716562243288</v>
      </c>
      <c r="W74" s="203">
        <f>W$72*'Ethylene recycling rates'!Y44</f>
        <v>4398.7722010626358</v>
      </c>
      <c r="X74" s="203">
        <f>X$72*'Ethylene recycling rates'!Z44</f>
        <v>4743.5220849433035</v>
      </c>
      <c r="Y74" s="203">
        <f>Y$72*'Ethylene recycling rates'!AA44</f>
        <v>5084.3409322238849</v>
      </c>
      <c r="Z74" s="203">
        <f>Z$72*'Ethylene recycling rates'!AB44</f>
        <v>5416.319695173831</v>
      </c>
      <c r="AA74" s="203">
        <f>AA$72*'Ethylene recycling rates'!AC44</f>
        <v>5736.8457211866817</v>
      </c>
      <c r="AB74" s="203">
        <f>AB$72*'Ethylene recycling rates'!AD44</f>
        <v>6043.2917360826532</v>
      </c>
      <c r="AC74" s="203">
        <f>AC$72*'Ethylene recycling rates'!AE44</f>
        <v>6333.0161337347008</v>
      </c>
      <c r="AD74" s="203">
        <f>AD$72*'Ethylene recycling rates'!AF44</f>
        <v>6603.3632634924224</v>
      </c>
      <c r="AE74" s="203">
        <f>AE$72*'Ethylene recycling rates'!AG44</f>
        <v>6851.6637154158334</v>
      </c>
      <c r="AF74" s="203">
        <f>AF$72*'Ethylene recycling rates'!AH44</f>
        <v>7075.2346033310969</v>
      </c>
      <c r="AG74" s="203">
        <f>AG$72*'Ethylene recycling rates'!AI44</f>
        <v>7271.3798457201092</v>
      </c>
      <c r="AH74" s="217">
        <f t="shared" ref="AH74:AH83" si="76">AG74-C74</f>
        <v>7271.3798457201092</v>
      </c>
      <c r="AI74" s="124"/>
      <c r="AJ74" s="185"/>
      <c r="AL74" s="100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34</v>
      </c>
      <c r="C75" s="203">
        <f>C$72*'Ethylene recycling rates'!E45</f>
        <v>0</v>
      </c>
      <c r="D75" s="203">
        <f>D$72*'Ethylene recycling rates'!F45</f>
        <v>234.09428809508765</v>
      </c>
      <c r="E75" s="203">
        <f>E$72*'Ethylene recycling rates'!G45</f>
        <v>494.82070717074237</v>
      </c>
      <c r="F75" s="203">
        <f>F$72*'Ethylene recycling rates'!H45</f>
        <v>780.45077956308933</v>
      </c>
      <c r="G75" s="203">
        <f>G$72*'Ethylene recycling rates'!I45</f>
        <v>1089.2405501232222</v>
      </c>
      <c r="H75" s="203">
        <f>H$72*'Ethylene recycling rates'!J45</f>
        <v>1419.4308383981538</v>
      </c>
      <c r="I75" s="203">
        <f>I$72*'Ethylene recycling rates'!K45</f>
        <v>1769.2474889652781</v>
      </c>
      <c r="J75" s="203">
        <f>J$72*'Ethylene recycling rates'!L45</f>
        <v>2136.9016199303164</v>
      </c>
      <c r="K75" s="203">
        <f>K$72*'Ethylene recycling rates'!M45</f>
        <v>2520.5898695986498</v>
      </c>
      <c r="L75" s="203">
        <f>L$72*'Ethylene recycling rates'!N45</f>
        <v>2918.4946413299208</v>
      </c>
      <c r="M75" s="203">
        <f>M$72*'Ethylene recycling rates'!O45</f>
        <v>3328.7843465857281</v>
      </c>
      <c r="N75" s="203">
        <f>N$72*'Ethylene recycling rates'!P45</f>
        <v>3765.6181028036813</v>
      </c>
      <c r="O75" s="203">
        <f>O$72*'Ethylene recycling rates'!Q45</f>
        <v>4229.1101220737082</v>
      </c>
      <c r="P75" s="203">
        <f>P$72*'Ethylene recycling rates'!R45</f>
        <v>4677.6663590137632</v>
      </c>
      <c r="Q75" s="203">
        <f>Q$72*'Ethylene recycling rates'!S45</f>
        <v>5124.0014883769154</v>
      </c>
      <c r="R75" s="203">
        <f>R$72*'Ethylene recycling rates'!T45</f>
        <v>5564.3756258731792</v>
      </c>
      <c r="S75" s="203">
        <f>S$72*'Ethylene recycling rates'!U45</f>
        <v>5995.0250636565152</v>
      </c>
      <c r="T75" s="203">
        <f>T$72*'Ethylene recycling rates'!V45</f>
        <v>6412.1627157307385</v>
      </c>
      <c r="U75" s="203">
        <f>U$72*'Ethylene recycling rates'!W45</f>
        <v>6811.9785600026726</v>
      </c>
      <c r="V75" s="203">
        <f>V$72*'Ethylene recycling rates'!X45</f>
        <v>7190.6400770009059</v>
      </c>
      <c r="W75" s="203">
        <f>W$72*'Ethylene recycling rates'!Y45</f>
        <v>7544.2926852783348</v>
      </c>
      <c r="X75" s="203">
        <f>X$72*'Ethylene recycling rates'!Z45</f>
        <v>8135.5699572823651</v>
      </c>
      <c r="Y75" s="203">
        <f>Y$72*'Ethylene recycling rates'!AA45</f>
        <v>8720.1051455157412</v>
      </c>
      <c r="Z75" s="203">
        <f>Z$72*'Ethylene recycling rates'!AB45</f>
        <v>9289.4787885486749</v>
      </c>
      <c r="AA75" s="203">
        <f>AA$72*'Ethylene recycling rates'!AC45</f>
        <v>9839.2099505547285</v>
      </c>
      <c r="AB75" s="203">
        <f>AB$72*'Ethylene recycling rates'!AD45</f>
        <v>10364.792618385054</v>
      </c>
      <c r="AC75" s="203">
        <f>AC$72*'Ethylene recycling rates'!AE45</f>
        <v>10861.696198303331</v>
      </c>
      <c r="AD75" s="203">
        <f>AD$72*'Ethylene recycling rates'!AF45</f>
        <v>11325.36600894378</v>
      </c>
      <c r="AE75" s="203">
        <f>AE$72*'Ethylene recycling rates'!AG45</f>
        <v>11751.223770512921</v>
      </c>
      <c r="AF75" s="203">
        <f>AF$72*'Ethylene recycling rates'!AH45</f>
        <v>12134.668090255789</v>
      </c>
      <c r="AG75" s="203">
        <f>AG$72*'Ethylene recycling rates'!AI45</f>
        <v>12471.074944207001</v>
      </c>
      <c r="AH75" s="217">
        <f t="shared" si="76"/>
        <v>12471.074944207001</v>
      </c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35</v>
      </c>
      <c r="C76" s="203">
        <f>C$72*'Ethylene recycling rates'!E46</f>
        <v>10303.919328618815</v>
      </c>
      <c r="D76" s="203">
        <f>D$72*'Ethylene recycling rates'!F46</f>
        <v>10727.702765342148</v>
      </c>
      <c r="E76" s="203">
        <f>E$72*'Ethylene recycling rates'!G46</f>
        <v>11098.989432460736</v>
      </c>
      <c r="F76" s="203">
        <f>F$72*'Ethylene recycling rates'!H46</f>
        <v>11419.265206989689</v>
      </c>
      <c r="G76" s="203">
        <f>G$72*'Ethylene recycling rates'!I46</f>
        <v>11690.033288085309</v>
      </c>
      <c r="H76" s="203">
        <f>H$72*'Ethylene recycling rates'!J46</f>
        <v>11912.813939029884</v>
      </c>
      <c r="I76" s="203">
        <f>I$72*'Ethylene recycling rates'!K46</f>
        <v>12089.144231066552</v>
      </c>
      <c r="J76" s="203">
        <f>J$72*'Ethylene recycling rates'!L46</f>
        <v>12220.577789074487</v>
      </c>
      <c r="K76" s="203">
        <f>K$72*'Ethylene recycling rates'!M46</f>
        <v>12308.684539074409</v>
      </c>
      <c r="L76" s="203">
        <f>L$72*'Ethylene recycling rates'!N46</f>
        <v>12355.050457554729</v>
      </c>
      <c r="M76" s="203">
        <f>M$72*'Ethylene recycling rates'!O46</f>
        <v>12361.277322608561</v>
      </c>
      <c r="N76" s="203">
        <f>N$72*'Ethylene recycling rates'!P46</f>
        <v>12381.606199267289</v>
      </c>
      <c r="O76" s="203">
        <f>O$72*'Ethylene recycling rates'!Q46</f>
        <v>12406.437788521805</v>
      </c>
      <c r="P76" s="203">
        <f>P$72*'Ethylene recycling rates'!R46</f>
        <v>12319.24831227552</v>
      </c>
      <c r="Q76" s="203">
        <f>Q$72*'Ethylene recycling rates'!S46</f>
        <v>12177.350070817765</v>
      </c>
      <c r="R76" s="203">
        <f>R$72*'Ethylene recycling rates'!T46</f>
        <v>11984.059200550018</v>
      </c>
      <c r="S76" s="203">
        <f>S$72*'Ethylene recycling rates'!U46</f>
        <v>11742.719104358504</v>
      </c>
      <c r="T76" s="203">
        <f>T$72*'Ethylene recycling rates'!V46</f>
        <v>11456.6999949375</v>
      </c>
      <c r="U76" s="203">
        <f>U$72*'Ethylene recycling rates'!W46</f>
        <v>11129.398441474292</v>
      </c>
      <c r="V76" s="203">
        <f>V$72*'Ethylene recycling rates'!X46</f>
        <v>10764.236919677689</v>
      </c>
      <c r="W76" s="203">
        <f>W$72*'Ethylene recycling rates'!Y46</f>
        <v>10364.663365131899</v>
      </c>
      <c r="X76" s="203">
        <f>X$72*'Ethylene recycling rates'!Z46</f>
        <v>10270.601119782947</v>
      </c>
      <c r="Y76" s="203">
        <f>Y$72*'Ethylene recycling rates'!AA46</f>
        <v>10125.349011401213</v>
      </c>
      <c r="Z76" s="203">
        <f>Z$72*'Ethylene recycling rates'!AB46</f>
        <v>9927.4356072522969</v>
      </c>
      <c r="AA76" s="203">
        <f>AA$72*'Ethylene recycling rates'!AC46</f>
        <v>9680.8650625786431</v>
      </c>
      <c r="AB76" s="203">
        <f>AB$72*'Ethylene recycling rates'!AD46</f>
        <v>9389.6705566120727</v>
      </c>
      <c r="AC76" s="203">
        <f>AC$72*'Ethylene recycling rates'!AE46</f>
        <v>9057.9137827548711</v>
      </c>
      <c r="AD76" s="203">
        <f>AD$72*'Ethylene recycling rates'!AF46</f>
        <v>8689.6844425492382</v>
      </c>
      <c r="AE76" s="203">
        <f>AE$72*'Ethylene recycling rates'!AG46</f>
        <v>8289.0997434145065</v>
      </c>
      <c r="AF76" s="203">
        <f>AF$72*'Ethylene recycling rates'!AH46</f>
        <v>7860.3039001317011</v>
      </c>
      <c r="AG76" s="203">
        <f>AG$72*'Ethylene recycling rates'!AI46</f>
        <v>7407.4676400549852</v>
      </c>
      <c r="AH76" s="217">
        <f t="shared" si="76"/>
        <v>-2896.4516885638295</v>
      </c>
      <c r="AI76" s="124"/>
      <c r="AJ76" s="185"/>
      <c r="AL76" s="100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27</v>
      </c>
      <c r="C77" s="203">
        <f>C$72*'Ethylene recycling rates'!E47</f>
        <v>0</v>
      </c>
      <c r="D77" s="203">
        <f>D$72*'Ethylene recycling rates'!F47</f>
        <v>42.079526420516949</v>
      </c>
      <c r="E77" s="203">
        <f>E$72*'Ethylene recycling rates'!G47</f>
        <v>88.946301040683394</v>
      </c>
      <c r="F77" s="203">
        <f>F$72*'Ethylene recycling rates'!H47</f>
        <v>140.28962203980925</v>
      </c>
      <c r="G77" s="203">
        <f>G$72*'Ethylene recycling rates'!I47</f>
        <v>195.79600544798754</v>
      </c>
      <c r="H77" s="203">
        <f>H$72*'Ethylene recycling rates'!J47</f>
        <v>255.14923047678164</v>
      </c>
      <c r="I77" s="203">
        <f>I$72*'Ethylene recycling rates'!K47</f>
        <v>318.03038451799785</v>
      </c>
      <c r="J77" s="203">
        <f>J$72*'Ethylene recycling rates'!L47</f>
        <v>384.1179078123356</v>
      </c>
      <c r="K77" s="203">
        <f>K$72*'Ethylene recycling rates'!M47</f>
        <v>453.08763778969575</v>
      </c>
      <c r="L77" s="203">
        <f>L$72*'Ethylene recycling rates'!N47</f>
        <v>524.61285308292258</v>
      </c>
      <c r="M77" s="203">
        <f>M$72*'Ethylene recycling rates'!O47</f>
        <v>598.36431721674626</v>
      </c>
      <c r="N77" s="203">
        <f>N$72*'Ethylene recycling rates'!P47</f>
        <v>676.88719676125049</v>
      </c>
      <c r="O77" s="203">
        <f>O$72*'Ethylene recycling rates'!Q47</f>
        <v>760.20202186561039</v>
      </c>
      <c r="P77" s="203">
        <f>P$72*'Ethylene recycling rates'!R47</f>
        <v>840.83207130850747</v>
      </c>
      <c r="Q77" s="203">
        <f>Q$72*'Ethylene recycling rates'!S47</f>
        <v>921.06286643501085</v>
      </c>
      <c r="R77" s="203">
        <f>R$72*'Ethylene recycling rates'!T47</f>
        <v>1000.2221458197318</v>
      </c>
      <c r="S77" s="203">
        <f>S$72*'Ethylene recycling rates'!U47</f>
        <v>1077.6333656433603</v>
      </c>
      <c r="T77" s="203">
        <f>T$72*'Ethylene recycling rates'!V47</f>
        <v>1152.6157797564283</v>
      </c>
      <c r="U77" s="203">
        <f>U$72*'Ethylene recycling rates'!W47</f>
        <v>1224.4845191403995</v>
      </c>
      <c r="V77" s="203">
        <f>V$72*'Ethylene recycling rates'!X47</f>
        <v>1292.5506707693871</v>
      </c>
      <c r="W77" s="203">
        <f>W$72*'Ethylene recycling rates'!Y47</f>
        <v>1356.1213558757663</v>
      </c>
      <c r="X77" s="203">
        <f>X$72*'Ethylene recycling rates'!Z47</f>
        <v>1462.4061686817856</v>
      </c>
      <c r="Y77" s="203">
        <f>Y$72*'Ethylene recycling rates'!AA47</f>
        <v>1567.4790608789544</v>
      </c>
      <c r="Z77" s="203">
        <f>Z$72*'Ethylene recycling rates'!AB47</f>
        <v>1669.826595498929</v>
      </c>
      <c r="AA77" s="203">
        <f>AA$72*'Ethylene recycling rates'!AC47</f>
        <v>1768.6433036896856</v>
      </c>
      <c r="AB77" s="203">
        <f>AB$72*'Ethylene recycling rates'!AD47</f>
        <v>1863.1192088350022</v>
      </c>
      <c r="AC77" s="203">
        <f>AC$72*'Ethylene recycling rates'!AE47</f>
        <v>1952.4399158448512</v>
      </c>
      <c r="AD77" s="203">
        <f>AD$72*'Ethylene recycling rates'!AF47</f>
        <v>2035.786699766873</v>
      </c>
      <c r="AE77" s="203">
        <f>AE$72*'Ethylene recycling rates'!AG47</f>
        <v>2112.3365937226445</v>
      </c>
      <c r="AF77" s="203">
        <f>AF$72*'Ethylene recycling rates'!AH47</f>
        <v>2181.2624761724683</v>
      </c>
      <c r="AG77" s="203">
        <f>AG$72*'Ethylene recycling rates'!AI47</f>
        <v>2241.7331575123453</v>
      </c>
      <c r="AH77" s="217">
        <f t="shared" si="76"/>
        <v>2241.7331575123453</v>
      </c>
      <c r="AI77" s="124"/>
      <c r="AJ77" s="185"/>
      <c r="AL77" s="100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s="1" customFormat="1" outlineLevel="1">
      <c r="A78" s="1" t="s">
        <v>734</v>
      </c>
      <c r="B78" s="60"/>
      <c r="C78" s="250">
        <f>C67*C42</f>
        <v>33123.434909638032</v>
      </c>
      <c r="D78" s="250">
        <f t="shared" ref="D78:AG78" si="77">D67*D42</f>
        <v>33589.398449272121</v>
      </c>
      <c r="E78" s="250">
        <f t="shared" si="77"/>
        <v>33960.797466147356</v>
      </c>
      <c r="F78" s="250">
        <f t="shared" si="77"/>
        <v>34240.388330266462</v>
      </c>
      <c r="G78" s="250">
        <f t="shared" si="77"/>
        <v>34430.9588680366</v>
      </c>
      <c r="H78" s="250">
        <f t="shared" si="77"/>
        <v>34535.327890845547</v>
      </c>
      <c r="I78" s="250">
        <f t="shared" si="77"/>
        <v>34556.344727022923</v>
      </c>
      <c r="J78" s="250">
        <f t="shared" si="77"/>
        <v>34496.888757168694</v>
      </c>
      <c r="K78" s="250">
        <f t="shared" si="77"/>
        <v>34359.868952830599</v>
      </c>
      <c r="L78" s="250">
        <f t="shared" si="77"/>
        <v>34148.223418512811</v>
      </c>
      <c r="M78" s="250">
        <f t="shared" si="77"/>
        <v>33864.918936997892</v>
      </c>
      <c r="N78" s="250">
        <f t="shared" si="77"/>
        <v>32236.76090996631</v>
      </c>
      <c r="O78" s="250">
        <f t="shared" si="77"/>
        <v>30800.560130830898</v>
      </c>
      <c r="P78" s="250">
        <f t="shared" si="77"/>
        <v>29251.078651064185</v>
      </c>
      <c r="Q78" s="250">
        <f t="shared" si="77"/>
        <v>27729.855570975917</v>
      </c>
      <c r="R78" s="250">
        <f t="shared" si="77"/>
        <v>26237.774915526283</v>
      </c>
      <c r="S78" s="250">
        <f t="shared" si="77"/>
        <v>24775.722220348416</v>
      </c>
      <c r="T78" s="250">
        <f t="shared" si="77"/>
        <v>23344.584469134032</v>
      </c>
      <c r="U78" s="250">
        <f t="shared" si="77"/>
        <v>21945.250031538191</v>
      </c>
      <c r="V78" s="250">
        <f t="shared" si="77"/>
        <v>20578.608601600346</v>
      </c>
      <c r="W78" s="250">
        <f t="shared" si="77"/>
        <v>19245.551136678532</v>
      </c>
      <c r="X78" s="250">
        <f t="shared" si="77"/>
        <v>18164.451080526993</v>
      </c>
      <c r="Y78" s="250">
        <f t="shared" si="77"/>
        <v>17116.978622988332</v>
      </c>
      <c r="Z78" s="250">
        <f t="shared" si="77"/>
        <v>16093.691813177382</v>
      </c>
      <c r="AA78" s="250">
        <f t="shared" si="77"/>
        <v>15095.262140631803</v>
      </c>
      <c r="AB78" s="250">
        <f t="shared" si="77"/>
        <v>14122.362029696911</v>
      </c>
      <c r="AC78" s="250">
        <f t="shared" si="77"/>
        <v>13175.664794004528</v>
      </c>
      <c r="AD78" s="250">
        <f t="shared" si="77"/>
        <v>12255.844591333733</v>
      </c>
      <c r="AE78" s="250">
        <f t="shared" si="77"/>
        <v>11363.576378851229</v>
      </c>
      <c r="AF78" s="250">
        <f t="shared" si="77"/>
        <v>10499.535868729236</v>
      </c>
      <c r="AG78" s="250">
        <f t="shared" si="77"/>
        <v>9664.399484138723</v>
      </c>
      <c r="AH78" s="217">
        <f t="shared" si="76"/>
        <v>-23459.035425499307</v>
      </c>
      <c r="AI78" s="368"/>
      <c r="AJ78" s="369"/>
      <c r="AL78" s="194"/>
      <c r="AM78" s="116"/>
      <c r="AN78" s="116"/>
      <c r="AO78" s="116"/>
      <c r="BD78" s="116"/>
      <c r="BE78" s="116"/>
      <c r="BF78" s="116"/>
      <c r="BG78" s="116"/>
      <c r="BH78" s="116"/>
      <c r="BI78" s="116"/>
      <c r="BJ78" s="116"/>
      <c r="BK78" s="116"/>
    </row>
    <row r="79" spans="1:63" outlineLevel="1">
      <c r="A79" s="4" t="s">
        <v>141</v>
      </c>
      <c r="C79" s="203">
        <f>C$78*'Ethylene recycling rates'!E48</f>
        <v>0</v>
      </c>
      <c r="D79" s="203">
        <f>D$78*'Ethylene recycling rates'!F48</f>
        <v>0</v>
      </c>
      <c r="E79" s="203">
        <f>E$78*'Ethylene recycling rates'!G48</f>
        <v>0</v>
      </c>
      <c r="F79" s="203">
        <f>F$78*'Ethylene recycling rates'!H48</f>
        <v>0</v>
      </c>
      <c r="G79" s="203">
        <f>G$78*'Ethylene recycling rates'!I48</f>
        <v>0</v>
      </c>
      <c r="H79" s="203">
        <f>H$78*'Ethylene recycling rates'!J48</f>
        <v>0</v>
      </c>
      <c r="I79" s="203">
        <f>I$78*'Ethylene recycling rates'!K48</f>
        <v>0</v>
      </c>
      <c r="J79" s="203">
        <f>J$78*'Ethylene recycling rates'!L48</f>
        <v>0</v>
      </c>
      <c r="K79" s="203">
        <f>K$78*'Ethylene recycling rates'!M48</f>
        <v>0</v>
      </c>
      <c r="L79" s="203">
        <f>L$78*'Ethylene recycling rates'!N48</f>
        <v>0</v>
      </c>
      <c r="M79" s="203">
        <f>M$78*'Ethylene recycling rates'!O48</f>
        <v>0</v>
      </c>
      <c r="N79" s="203">
        <f>N$78*'Ethylene recycling rates'!P48</f>
        <v>0</v>
      </c>
      <c r="O79" s="203">
        <f>O$78*'Ethylene recycling rates'!Q48</f>
        <v>0</v>
      </c>
      <c r="P79" s="203">
        <f>P$78*'Ethylene recycling rates'!R48</f>
        <v>0</v>
      </c>
      <c r="Q79" s="203">
        <f>Q$78*'Ethylene recycling rates'!S48</f>
        <v>0</v>
      </c>
      <c r="R79" s="203">
        <f>R$78*'Ethylene recycling rates'!T48</f>
        <v>0</v>
      </c>
      <c r="S79" s="203">
        <f>S$78*'Ethylene recycling rates'!U48</f>
        <v>0</v>
      </c>
      <c r="T79" s="203">
        <f>T$78*'Ethylene recycling rates'!V48</f>
        <v>0</v>
      </c>
      <c r="U79" s="203">
        <f>U$78*'Ethylene recycling rates'!W48</f>
        <v>0</v>
      </c>
      <c r="V79" s="203">
        <f>V$78*'Ethylene recycling rates'!X48</f>
        <v>0</v>
      </c>
      <c r="W79" s="203">
        <f>W$78*'Ethylene recycling rates'!Y48</f>
        <v>0</v>
      </c>
      <c r="X79" s="203">
        <f>X$78*'Ethylene recycling rates'!Z48</f>
        <v>0</v>
      </c>
      <c r="Y79" s="203">
        <f>Y$78*'Ethylene recycling rates'!AA48</f>
        <v>0</v>
      </c>
      <c r="Z79" s="203">
        <f>Z$78*'Ethylene recycling rates'!AB48</f>
        <v>0</v>
      </c>
      <c r="AA79" s="203">
        <f>AA$78*'Ethylene recycling rates'!AC48</f>
        <v>0</v>
      </c>
      <c r="AB79" s="203">
        <f>AB$78*'Ethylene recycling rates'!AD48</f>
        <v>0</v>
      </c>
      <c r="AC79" s="203">
        <f>AC$78*'Ethylene recycling rates'!AE48</f>
        <v>0</v>
      </c>
      <c r="AD79" s="203">
        <f>AD$78*'Ethylene recycling rates'!AF48</f>
        <v>0</v>
      </c>
      <c r="AE79" s="203">
        <f>AE$78*'Ethylene recycling rates'!AG48</f>
        <v>0</v>
      </c>
      <c r="AF79" s="203">
        <f>AF$78*'Ethylene recycling rates'!AH48</f>
        <v>0</v>
      </c>
      <c r="AG79" s="203">
        <f>AG$78*'Ethylene recycling rates'!AI48</f>
        <v>0</v>
      </c>
      <c r="AH79" s="217">
        <f t="shared" si="76"/>
        <v>0</v>
      </c>
      <c r="AI79" s="124"/>
      <c r="AJ79" s="185"/>
      <c r="AL79" s="100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74</v>
      </c>
      <c r="C80" s="203">
        <f>C$78*'Ethylene recycling rates'!E49</f>
        <v>0</v>
      </c>
      <c r="D80" s="203">
        <f>D$78*'Ethylene recycling rates'!F49</f>
        <v>0</v>
      </c>
      <c r="E80" s="203">
        <f>E$78*'Ethylene recycling rates'!G49</f>
        <v>0</v>
      </c>
      <c r="F80" s="203">
        <f>F$78*'Ethylene recycling rates'!H49</f>
        <v>0</v>
      </c>
      <c r="G80" s="203">
        <f>G$78*'Ethylene recycling rates'!I49</f>
        <v>0</v>
      </c>
      <c r="H80" s="203">
        <f>H$78*'Ethylene recycling rates'!J49</f>
        <v>0</v>
      </c>
      <c r="I80" s="203">
        <f>I$78*'Ethylene recycling rates'!K49</f>
        <v>0</v>
      </c>
      <c r="J80" s="203">
        <f>J$78*'Ethylene recycling rates'!L49</f>
        <v>0</v>
      </c>
      <c r="K80" s="203">
        <f>K$78*'Ethylene recycling rates'!M49</f>
        <v>0</v>
      </c>
      <c r="L80" s="203">
        <f>L$78*'Ethylene recycling rates'!N49</f>
        <v>0</v>
      </c>
      <c r="M80" s="203">
        <f>M$78*'Ethylene recycling rates'!O49</f>
        <v>0</v>
      </c>
      <c r="N80" s="203">
        <f>N$78*'Ethylene recycling rates'!P49</f>
        <v>0</v>
      </c>
      <c r="O80" s="203">
        <f>O$78*'Ethylene recycling rates'!Q49</f>
        <v>0</v>
      </c>
      <c r="P80" s="203">
        <f>P$78*'Ethylene recycling rates'!R49</f>
        <v>0</v>
      </c>
      <c r="Q80" s="203">
        <f>Q$78*'Ethylene recycling rates'!S49</f>
        <v>0</v>
      </c>
      <c r="R80" s="203">
        <f>R$78*'Ethylene recycling rates'!T49</f>
        <v>0</v>
      </c>
      <c r="S80" s="203">
        <f>S$78*'Ethylene recycling rates'!U49</f>
        <v>0</v>
      </c>
      <c r="T80" s="203">
        <f>T$78*'Ethylene recycling rates'!V49</f>
        <v>0</v>
      </c>
      <c r="U80" s="203">
        <f>U$78*'Ethylene recycling rates'!W49</f>
        <v>0</v>
      </c>
      <c r="V80" s="203">
        <f>V$78*'Ethylene recycling rates'!X49</f>
        <v>0</v>
      </c>
      <c r="W80" s="203">
        <f>W$78*'Ethylene recycling rates'!Y49</f>
        <v>0</v>
      </c>
      <c r="X80" s="203">
        <f>X$78*'Ethylene recycling rates'!Z49</f>
        <v>0</v>
      </c>
      <c r="Y80" s="203">
        <f>Y$78*'Ethylene recycling rates'!AA49</f>
        <v>0</v>
      </c>
      <c r="Z80" s="203">
        <f>Z$78*'Ethylene recycling rates'!AB49</f>
        <v>0</v>
      </c>
      <c r="AA80" s="203">
        <f>AA$78*'Ethylene recycling rates'!AC49</f>
        <v>0</v>
      </c>
      <c r="AB80" s="203">
        <f>AB$78*'Ethylene recycling rates'!AD49</f>
        <v>0</v>
      </c>
      <c r="AC80" s="203">
        <f>AC$78*'Ethylene recycling rates'!AE49</f>
        <v>0</v>
      </c>
      <c r="AD80" s="203">
        <f>AD$78*'Ethylene recycling rates'!AF49</f>
        <v>0</v>
      </c>
      <c r="AE80" s="203">
        <f>AE$78*'Ethylene recycling rates'!AG49</f>
        <v>0</v>
      </c>
      <c r="AF80" s="203">
        <f>AF$78*'Ethylene recycling rates'!AH49</f>
        <v>0</v>
      </c>
      <c r="AG80" s="203">
        <f>AG$78*'Ethylene recycling rates'!AI49</f>
        <v>0</v>
      </c>
      <c r="AH80" s="217">
        <f t="shared" si="76"/>
        <v>0</v>
      </c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34</v>
      </c>
      <c r="C81" s="203">
        <f>C$78*'Ethylene recycling rates'!E50</f>
        <v>0</v>
      </c>
      <c r="D81" s="203">
        <f>D$78*'Ethylene recycling rates'!F50</f>
        <v>0</v>
      </c>
      <c r="E81" s="203">
        <f>E$78*'Ethylene recycling rates'!G50</f>
        <v>0</v>
      </c>
      <c r="F81" s="203">
        <f>F$78*'Ethylene recycling rates'!H50</f>
        <v>0</v>
      </c>
      <c r="G81" s="203">
        <f>G$78*'Ethylene recycling rates'!I50</f>
        <v>0</v>
      </c>
      <c r="H81" s="203">
        <f>H$78*'Ethylene recycling rates'!J50</f>
        <v>0</v>
      </c>
      <c r="I81" s="203">
        <f>I$78*'Ethylene recycling rates'!K50</f>
        <v>0</v>
      </c>
      <c r="J81" s="203">
        <f>J$78*'Ethylene recycling rates'!L50</f>
        <v>0</v>
      </c>
      <c r="K81" s="203">
        <f>K$78*'Ethylene recycling rates'!M50</f>
        <v>0</v>
      </c>
      <c r="L81" s="203">
        <f>L$78*'Ethylene recycling rates'!N50</f>
        <v>0</v>
      </c>
      <c r="M81" s="203">
        <f>M$78*'Ethylene recycling rates'!O50</f>
        <v>0</v>
      </c>
      <c r="N81" s="203">
        <f>N$78*'Ethylene recycling rates'!P50</f>
        <v>0</v>
      </c>
      <c r="O81" s="203">
        <f>O$78*'Ethylene recycling rates'!Q50</f>
        <v>0</v>
      </c>
      <c r="P81" s="203">
        <f>P$78*'Ethylene recycling rates'!R50</f>
        <v>0</v>
      </c>
      <c r="Q81" s="203">
        <f>Q$78*'Ethylene recycling rates'!S50</f>
        <v>0</v>
      </c>
      <c r="R81" s="203">
        <f>R$78*'Ethylene recycling rates'!T50</f>
        <v>0</v>
      </c>
      <c r="S81" s="203">
        <f>S$78*'Ethylene recycling rates'!U50</f>
        <v>0</v>
      </c>
      <c r="T81" s="203">
        <f>T$78*'Ethylene recycling rates'!V50</f>
        <v>0</v>
      </c>
      <c r="U81" s="203">
        <f>U$78*'Ethylene recycling rates'!W50</f>
        <v>0</v>
      </c>
      <c r="V81" s="203">
        <f>V$78*'Ethylene recycling rates'!X50</f>
        <v>0</v>
      </c>
      <c r="W81" s="203">
        <f>W$78*'Ethylene recycling rates'!Y50</f>
        <v>0</v>
      </c>
      <c r="X81" s="203">
        <f>X$78*'Ethylene recycling rates'!Z50</f>
        <v>0</v>
      </c>
      <c r="Y81" s="203">
        <f>Y$78*'Ethylene recycling rates'!AA50</f>
        <v>0</v>
      </c>
      <c r="Z81" s="203">
        <f>Z$78*'Ethylene recycling rates'!AB50</f>
        <v>0</v>
      </c>
      <c r="AA81" s="203">
        <f>AA$78*'Ethylene recycling rates'!AC50</f>
        <v>0</v>
      </c>
      <c r="AB81" s="203">
        <f>AB$78*'Ethylene recycling rates'!AD50</f>
        <v>0</v>
      </c>
      <c r="AC81" s="203">
        <f>AC$78*'Ethylene recycling rates'!AE50</f>
        <v>0</v>
      </c>
      <c r="AD81" s="203">
        <f>AD$78*'Ethylene recycling rates'!AF50</f>
        <v>0</v>
      </c>
      <c r="AE81" s="203">
        <f>AE$78*'Ethylene recycling rates'!AG50</f>
        <v>0</v>
      </c>
      <c r="AF81" s="203">
        <f>AF$78*'Ethylene recycling rates'!AH50</f>
        <v>0</v>
      </c>
      <c r="AG81" s="203">
        <f>AG$78*'Ethylene recycling rates'!AI50</f>
        <v>0</v>
      </c>
      <c r="AH81" s="217">
        <f t="shared" si="76"/>
        <v>0</v>
      </c>
      <c r="AI81" s="124"/>
      <c r="AJ81" s="185"/>
      <c r="AL81" s="100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35</v>
      </c>
      <c r="C82" s="203">
        <f>C$78*'Ethylene recycling rates'!E51</f>
        <v>33123.434909638032</v>
      </c>
      <c r="D82" s="203">
        <f>D$78*'Ethylene recycling rates'!F51</f>
        <v>33589.398449272121</v>
      </c>
      <c r="E82" s="203">
        <f>E$78*'Ethylene recycling rates'!G51</f>
        <v>33960.797466147356</v>
      </c>
      <c r="F82" s="203">
        <f>F$78*'Ethylene recycling rates'!H51</f>
        <v>34240.388330266462</v>
      </c>
      <c r="G82" s="203">
        <f>G$78*'Ethylene recycling rates'!I51</f>
        <v>34430.9588680366</v>
      </c>
      <c r="H82" s="203">
        <f>H$78*'Ethylene recycling rates'!J51</f>
        <v>34535.327890845547</v>
      </c>
      <c r="I82" s="203">
        <f>I$78*'Ethylene recycling rates'!K51</f>
        <v>34556.344727022923</v>
      </c>
      <c r="J82" s="203">
        <f>J$78*'Ethylene recycling rates'!L51</f>
        <v>34496.888757168694</v>
      </c>
      <c r="K82" s="203">
        <f>K$78*'Ethylene recycling rates'!M51</f>
        <v>34359.868952830599</v>
      </c>
      <c r="L82" s="203">
        <f>L$78*'Ethylene recycling rates'!N51</f>
        <v>34148.223418512811</v>
      </c>
      <c r="M82" s="203">
        <f>M$78*'Ethylene recycling rates'!O51</f>
        <v>33864.918936997892</v>
      </c>
      <c r="N82" s="203">
        <f>N$78*'Ethylene recycling rates'!P51</f>
        <v>32236.76090996631</v>
      </c>
      <c r="O82" s="203">
        <f>O$78*'Ethylene recycling rates'!Q51</f>
        <v>30800.560130830898</v>
      </c>
      <c r="P82" s="203">
        <f>P$78*'Ethylene recycling rates'!R51</f>
        <v>29251.078651064185</v>
      </c>
      <c r="Q82" s="203">
        <f>Q$78*'Ethylene recycling rates'!S51</f>
        <v>27729.855570975917</v>
      </c>
      <c r="R82" s="203">
        <f>R$78*'Ethylene recycling rates'!T51</f>
        <v>26237.774915526283</v>
      </c>
      <c r="S82" s="203">
        <f>S$78*'Ethylene recycling rates'!U51</f>
        <v>24775.722220348416</v>
      </c>
      <c r="T82" s="203">
        <f>T$78*'Ethylene recycling rates'!V51</f>
        <v>23344.584469134032</v>
      </c>
      <c r="U82" s="203">
        <f>U$78*'Ethylene recycling rates'!W51</f>
        <v>21945.250031538191</v>
      </c>
      <c r="V82" s="203">
        <f>V$78*'Ethylene recycling rates'!X51</f>
        <v>20578.608601600346</v>
      </c>
      <c r="W82" s="203">
        <f>W$78*'Ethylene recycling rates'!Y51</f>
        <v>19245.551136678532</v>
      </c>
      <c r="X82" s="203">
        <f>X$78*'Ethylene recycling rates'!Z51</f>
        <v>18164.451080526993</v>
      </c>
      <c r="Y82" s="203">
        <f>Y$78*'Ethylene recycling rates'!AA51</f>
        <v>17116.978622988332</v>
      </c>
      <c r="Z82" s="203">
        <f>Z$78*'Ethylene recycling rates'!AB51</f>
        <v>16093.691813177382</v>
      </c>
      <c r="AA82" s="203">
        <f>AA$78*'Ethylene recycling rates'!AC51</f>
        <v>15095.262140631803</v>
      </c>
      <c r="AB82" s="203">
        <f>AB$78*'Ethylene recycling rates'!AD51</f>
        <v>14122.362029696911</v>
      </c>
      <c r="AC82" s="203">
        <f>AC$78*'Ethylene recycling rates'!AE51</f>
        <v>13175.664794004528</v>
      </c>
      <c r="AD82" s="203">
        <f>AD$78*'Ethylene recycling rates'!AF51</f>
        <v>12255.844591333733</v>
      </c>
      <c r="AE82" s="203">
        <f>AE$78*'Ethylene recycling rates'!AG51</f>
        <v>11363.576378851229</v>
      </c>
      <c r="AF82" s="203">
        <f>AF$78*'Ethylene recycling rates'!AH51</f>
        <v>10499.535868729236</v>
      </c>
      <c r="AG82" s="203">
        <f>AG$78*'Ethylene recycling rates'!AI51</f>
        <v>9664.399484138723</v>
      </c>
      <c r="AH82" s="217">
        <f t="shared" si="76"/>
        <v>-23459.035425499307</v>
      </c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27</v>
      </c>
      <c r="C83" s="203">
        <f>C$78*'Ethylene recycling rates'!E52</f>
        <v>0</v>
      </c>
      <c r="D83" s="203">
        <f>D$78*'Ethylene recycling rates'!F52</f>
        <v>9.3303327997633119</v>
      </c>
      <c r="E83" s="203">
        <f>E$78*'Ethylene recycling rates'!G52</f>
        <v>18.866997155846946</v>
      </c>
      <c r="F83" s="203">
        <f>F$78*'Ethylene recycling rates'!H52</f>
        <v>28.533486730671811</v>
      </c>
      <c r="G83" s="203">
        <f>G$78*'Ethylene recycling rates'!I52</f>
        <v>38.256392753077698</v>
      </c>
      <c r="H83" s="203">
        <f>H$78*'Ethylene recycling rates'!J52</f>
        <v>47.965447052761895</v>
      </c>
      <c r="I83" s="203">
        <f>I$78*'Ethylene recycling rates'!K52</f>
        <v>57.593564314657755</v>
      </c>
      <c r="J83" s="203">
        <f>J$78*'Ethylene recycling rates'!L52</f>
        <v>67.076883559800834</v>
      </c>
      <c r="K83" s="203">
        <f>K$78*'Ethylene recycling rates'!M52</f>
        <v>76.354808859189092</v>
      </c>
      <c r="L83" s="203">
        <f>L$78*'Ethylene recycling rates'!N52</f>
        <v>85.370049287104777</v>
      </c>
      <c r="M83" s="203">
        <f>M$78*'Ethylene recycling rates'!O52</f>
        <v>94.068658120325523</v>
      </c>
      <c r="N83" s="203">
        <f>N$78*'Ethylene recycling rates'!P52</f>
        <v>98.500626304367401</v>
      </c>
      <c r="O83" s="203">
        <f>O$78*'Ethylene recycling rates'!Q52</f>
        <v>102.66792132301538</v>
      </c>
      <c r="P83" s="203">
        <f>P$78*'Ethylene recycling rates'!R52</f>
        <v>105.62826502304128</v>
      </c>
      <c r="Q83" s="203">
        <f>Q$78*'Ethylene recycling rates'!S52</f>
        <v>107.83768393478204</v>
      </c>
      <c r="R83" s="203">
        <f>R$78*'Ethylene recycling rates'!T52</f>
        <v>109.32340999952335</v>
      </c>
      <c r="S83" s="203">
        <f>S$78*'Ethylene recycling rates'!U52</f>
        <v>110.11366411670926</v>
      </c>
      <c r="T83" s="203">
        <f>T$78*'Ethylene recycling rates'!V52</f>
        <v>110.23765794640927</v>
      </c>
      <c r="U83" s="203">
        <f>U$78*'Ethylene recycling rates'!W52</f>
        <v>109.72559561002453</v>
      </c>
      <c r="V83" s="203">
        <f>V$78*'Ethylene recycling rates'!X52</f>
        <v>108.60867529022727</v>
      </c>
      <c r="W83" s="203">
        <f>W$78*'Ethylene recycling rates'!Y52</f>
        <v>106.91909073112025</v>
      </c>
      <c r="X83" s="203">
        <f>X$78*'Ethylene recycling rates'!Z52</f>
        <v>105.95866589299412</v>
      </c>
      <c r="Y83" s="203">
        <f>Y$78*'Ethylene recycling rates'!AA52</f>
        <v>104.60313426102093</v>
      </c>
      <c r="Z83" s="203">
        <f>Z$78*'Ethylene recycling rates'!AB52</f>
        <v>102.82019545162703</v>
      </c>
      <c r="AA83" s="203">
        <f>AA$78*'Ethylene recycling rates'!AC52</f>
        <v>100.63448062123729</v>
      </c>
      <c r="AB83" s="203">
        <f>AB$78*'Ethylene recycling rates'!AD52</f>
        <v>98.071373512993347</v>
      </c>
      <c r="AC83" s="203">
        <f>AC$78*'Ethylene recycling rates'!AE52</f>
        <v>95.157011426327827</v>
      </c>
      <c r="AD83" s="203">
        <f>AD$78*'Ethylene recycling rates'!AF52</f>
        <v>91.918286113534819</v>
      </c>
      <c r="AE83" s="203">
        <f>AE$78*'Ethylene recycling rates'!AG52</f>
        <v>88.382844604061233</v>
      </c>
      <c r="AF83" s="203">
        <f>AF$78*'Ethylene recycling rates'!AH52</f>
        <v>84.579089957240342</v>
      </c>
      <c r="AG83" s="203">
        <f>AG$78*'Ethylene recycling rates'!AI52</f>
        <v>80.536181944183497</v>
      </c>
      <c r="AH83" s="217">
        <f t="shared" si="76"/>
        <v>80.536181944183497</v>
      </c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748</v>
      </c>
      <c r="B84" s="60"/>
      <c r="C84" s="250">
        <f>C68*C42</f>
        <v>39724.244188919401</v>
      </c>
      <c r="D84" s="250">
        <f t="shared" ref="D84:AG84" si="78">D68*D42</f>
        <v>41056.591152858949</v>
      </c>
      <c r="E84" s="250">
        <f t="shared" si="78"/>
        <v>42323.258131108472</v>
      </c>
      <c r="F84" s="250">
        <f t="shared" si="78"/>
        <v>43523.814086968203</v>
      </c>
      <c r="G84" s="250">
        <f t="shared" si="78"/>
        <v>44657.833652146212</v>
      </c>
      <c r="H84" s="250">
        <f t="shared" si="78"/>
        <v>45724.897092103216</v>
      </c>
      <c r="I84" s="250">
        <f t="shared" si="78"/>
        <v>46724.59027155747</v>
      </c>
      <c r="J84" s="250">
        <f t="shared" si="78"/>
        <v>47656.504620149797</v>
      </c>
      <c r="K84" s="250">
        <f t="shared" si="78"/>
        <v>48520.23709826736</v>
      </c>
      <c r="L84" s="250">
        <f t="shared" si="78"/>
        <v>49315.390163026197</v>
      </c>
      <c r="M84" s="250">
        <f t="shared" si="78"/>
        <v>50041.571734411453</v>
      </c>
      <c r="N84" s="250">
        <f t="shared" si="78"/>
        <v>48767.775384820539</v>
      </c>
      <c r="O84" s="250">
        <f t="shared" si="78"/>
        <v>47729.421733419105</v>
      </c>
      <c r="P84" s="250">
        <f t="shared" si="78"/>
        <v>46459.327234473261</v>
      </c>
      <c r="Q84" s="250">
        <f t="shared" si="78"/>
        <v>45170.259508712305</v>
      </c>
      <c r="R84" s="250">
        <f t="shared" si="78"/>
        <v>43862.201546717588</v>
      </c>
      <c r="S84" s="250">
        <f t="shared" si="78"/>
        <v>42535.137097574989</v>
      </c>
      <c r="T84" s="250">
        <f t="shared" si="78"/>
        <v>41189.050663521026</v>
      </c>
      <c r="U84" s="250">
        <f t="shared" si="78"/>
        <v>39823.92749461528</v>
      </c>
      <c r="V84" s="250">
        <f t="shared" si="78"/>
        <v>38439.753583439153</v>
      </c>
      <c r="W84" s="250">
        <f t="shared" si="78"/>
        <v>37036.515659820478</v>
      </c>
      <c r="X84" s="250">
        <f t="shared" si="78"/>
        <v>36045.77388432181</v>
      </c>
      <c r="Y84" s="250">
        <f t="shared" si="78"/>
        <v>35060.150288812067</v>
      </c>
      <c r="Z84" s="250">
        <f t="shared" si="78"/>
        <v>34060.172736615168</v>
      </c>
      <c r="AA84" s="250">
        <f t="shared" si="78"/>
        <v>33045.830268671511</v>
      </c>
      <c r="AB84" s="250">
        <f t="shared" si="78"/>
        <v>32017.112483966288</v>
      </c>
      <c r="AC84" s="250">
        <f t="shared" si="78"/>
        <v>30974.009535563266</v>
      </c>
      <c r="AD84" s="250">
        <f t="shared" si="78"/>
        <v>29916.512126658228</v>
      </c>
      <c r="AE84" s="250">
        <f t="shared" si="78"/>
        <v>28844.611506651752</v>
      </c>
      <c r="AF84" s="250">
        <f t="shared" si="78"/>
        <v>27758.29946724133</v>
      </c>
      <c r="AG84" s="250">
        <f t="shared" si="78"/>
        <v>26657.568338532947</v>
      </c>
      <c r="AH84" s="217">
        <f>AG84-C84</f>
        <v>-13066.675850386455</v>
      </c>
      <c r="AI84" s="368"/>
      <c r="AJ84" s="369"/>
      <c r="AL84" s="194"/>
      <c r="AM84" s="116"/>
      <c r="AN84" s="116"/>
      <c r="AO84" s="116"/>
      <c r="BD84" s="116"/>
      <c r="BE84" s="116"/>
      <c r="BF84" s="116"/>
      <c r="BG84" s="116"/>
      <c r="BH84" s="116"/>
      <c r="BI84" s="116"/>
      <c r="BJ84" s="116"/>
      <c r="BK84" s="116"/>
    </row>
    <row r="85" spans="1:63" outlineLevel="1">
      <c r="A85" s="4" t="s">
        <v>141</v>
      </c>
      <c r="C85" s="203">
        <f>C$84*'Ethylene recycling rates'!E53</f>
        <v>39724.244188919401</v>
      </c>
      <c r="D85" s="203">
        <f>D$84*'Ethylene recycling rates'!F53</f>
        <v>41056.591152858949</v>
      </c>
      <c r="E85" s="203">
        <f>E$84*'Ethylene recycling rates'!G53</f>
        <v>42323.258131108472</v>
      </c>
      <c r="F85" s="203">
        <f>F$84*'Ethylene recycling rates'!H53</f>
        <v>43523.814086968203</v>
      </c>
      <c r="G85" s="203">
        <f>G$84*'Ethylene recycling rates'!I53</f>
        <v>44657.833652146212</v>
      </c>
      <c r="H85" s="203">
        <f>H$84*'Ethylene recycling rates'!J53</f>
        <v>45724.897092103216</v>
      </c>
      <c r="I85" s="203">
        <f>I$84*'Ethylene recycling rates'!K53</f>
        <v>46724.59027155747</v>
      </c>
      <c r="J85" s="203">
        <f>J$84*'Ethylene recycling rates'!L53</f>
        <v>47656.504620149797</v>
      </c>
      <c r="K85" s="203">
        <f>K$84*'Ethylene recycling rates'!M53</f>
        <v>48520.23709826736</v>
      </c>
      <c r="L85" s="203">
        <f>L$84*'Ethylene recycling rates'!N53</f>
        <v>49315.390163026197</v>
      </c>
      <c r="M85" s="203">
        <f>M$84*'Ethylene recycling rates'!O53</f>
        <v>50041.571734411453</v>
      </c>
      <c r="N85" s="203">
        <f>N$84*'Ethylene recycling rates'!P53</f>
        <v>48767.775384820539</v>
      </c>
      <c r="O85" s="203">
        <f>O$84*'Ethylene recycling rates'!Q53</f>
        <v>47729.421733419105</v>
      </c>
      <c r="P85" s="203">
        <f>P$84*'Ethylene recycling rates'!R53</f>
        <v>46459.327234473261</v>
      </c>
      <c r="Q85" s="203">
        <f>Q$84*'Ethylene recycling rates'!S53</f>
        <v>45170.259508712305</v>
      </c>
      <c r="R85" s="203">
        <f>R$84*'Ethylene recycling rates'!T53</f>
        <v>43862.201546717588</v>
      </c>
      <c r="S85" s="203">
        <f>S$84*'Ethylene recycling rates'!U53</f>
        <v>42535.137097574989</v>
      </c>
      <c r="T85" s="203">
        <f>T$84*'Ethylene recycling rates'!V53</f>
        <v>41189.050663521026</v>
      </c>
      <c r="U85" s="203">
        <f>U$84*'Ethylene recycling rates'!W53</f>
        <v>39823.92749461528</v>
      </c>
      <c r="V85" s="203">
        <f>V$84*'Ethylene recycling rates'!X53</f>
        <v>38439.753583439153</v>
      </c>
      <c r="W85" s="203">
        <f>W$84*'Ethylene recycling rates'!Y53</f>
        <v>37036.515659820478</v>
      </c>
      <c r="X85" s="203">
        <f>X$84*'Ethylene recycling rates'!Z53</f>
        <v>36045.77388432181</v>
      </c>
      <c r="Y85" s="203">
        <f>Y$84*'Ethylene recycling rates'!AA53</f>
        <v>35060.150288812067</v>
      </c>
      <c r="Z85" s="203">
        <f>Z$84*'Ethylene recycling rates'!AB53</f>
        <v>34060.172736615168</v>
      </c>
      <c r="AA85" s="203">
        <f>AA$84*'Ethylene recycling rates'!AC53</f>
        <v>33045.830268671511</v>
      </c>
      <c r="AB85" s="203">
        <f>AB$84*'Ethylene recycling rates'!AD53</f>
        <v>32017.112483966288</v>
      </c>
      <c r="AC85" s="203">
        <f>AC$84*'Ethylene recycling rates'!AE53</f>
        <v>30974.009535563266</v>
      </c>
      <c r="AD85" s="203">
        <f>AD$84*'Ethylene recycling rates'!AF53</f>
        <v>29916.512126658228</v>
      </c>
      <c r="AE85" s="203">
        <f>AE$84*'Ethylene recycling rates'!AG53</f>
        <v>28844.611506651752</v>
      </c>
      <c r="AF85" s="203">
        <f>AF$84*'Ethylene recycling rates'!AH53</f>
        <v>27758.29946724133</v>
      </c>
      <c r="AG85" s="203">
        <f>AG$84*'Ethylene recycling rates'!AI53</f>
        <v>26657.568338532947</v>
      </c>
      <c r="AH85" s="217">
        <f>AG85-C85</f>
        <v>-13066.675850386455</v>
      </c>
      <c r="AI85" s="124"/>
      <c r="AJ85" s="185"/>
      <c r="AL85" s="100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03">
        <f>C$84*'Ethylene recycling rates'!E54</f>
        <v>0</v>
      </c>
      <c r="D86" s="203">
        <f>D$84*'Ethylene recycling rates'!F54</f>
        <v>0</v>
      </c>
      <c r="E86" s="203">
        <f>E$84*'Ethylene recycling rates'!G54</f>
        <v>0</v>
      </c>
      <c r="F86" s="203">
        <f>F$84*'Ethylene recycling rates'!H54</f>
        <v>0</v>
      </c>
      <c r="G86" s="203">
        <f>G$84*'Ethylene recycling rates'!I54</f>
        <v>0</v>
      </c>
      <c r="H86" s="203">
        <f>H$84*'Ethylene recycling rates'!J54</f>
        <v>0</v>
      </c>
      <c r="I86" s="203">
        <f>I$84*'Ethylene recycling rates'!K54</f>
        <v>0</v>
      </c>
      <c r="J86" s="203">
        <f>J$84*'Ethylene recycling rates'!L54</f>
        <v>0</v>
      </c>
      <c r="K86" s="203">
        <f>K$84*'Ethylene recycling rates'!M54</f>
        <v>0</v>
      </c>
      <c r="L86" s="203">
        <f>L$84*'Ethylene recycling rates'!N54</f>
        <v>0</v>
      </c>
      <c r="M86" s="203">
        <f>M$84*'Ethylene recycling rates'!O54</f>
        <v>0</v>
      </c>
      <c r="N86" s="203">
        <f>N$84*'Ethylene recycling rates'!P54</f>
        <v>0</v>
      </c>
      <c r="O86" s="203">
        <f>O$84*'Ethylene recycling rates'!Q54</f>
        <v>0</v>
      </c>
      <c r="P86" s="203">
        <f>P$84*'Ethylene recycling rates'!R54</f>
        <v>0</v>
      </c>
      <c r="Q86" s="203">
        <f>Q$84*'Ethylene recycling rates'!S54</f>
        <v>0</v>
      </c>
      <c r="R86" s="203">
        <f>R$84*'Ethylene recycling rates'!T54</f>
        <v>0</v>
      </c>
      <c r="S86" s="203">
        <f>S$84*'Ethylene recycling rates'!U54</f>
        <v>0</v>
      </c>
      <c r="T86" s="203">
        <f>T$84*'Ethylene recycling rates'!V54</f>
        <v>0</v>
      </c>
      <c r="U86" s="203">
        <f>U$84*'Ethylene recycling rates'!W54</f>
        <v>0</v>
      </c>
      <c r="V86" s="203">
        <f>V$84*'Ethylene recycling rates'!X54</f>
        <v>0</v>
      </c>
      <c r="W86" s="203">
        <f>W$84*'Ethylene recycling rates'!Y54</f>
        <v>0</v>
      </c>
      <c r="X86" s="203">
        <f>X$84*'Ethylene recycling rates'!Z54</f>
        <v>0</v>
      </c>
      <c r="Y86" s="203">
        <f>Y$84*'Ethylene recycling rates'!AA54</f>
        <v>0</v>
      </c>
      <c r="Z86" s="203">
        <f>Z$84*'Ethylene recycling rates'!AB54</f>
        <v>0</v>
      </c>
      <c r="AA86" s="203">
        <f>AA$84*'Ethylene recycling rates'!AC54</f>
        <v>0</v>
      </c>
      <c r="AB86" s="203">
        <f>AB$84*'Ethylene recycling rates'!AD54</f>
        <v>0</v>
      </c>
      <c r="AC86" s="203">
        <f>AC$84*'Ethylene recycling rates'!AE54</f>
        <v>0</v>
      </c>
      <c r="AD86" s="203">
        <f>AD$84*'Ethylene recycling rates'!AF54</f>
        <v>0</v>
      </c>
      <c r="AE86" s="203">
        <f>AE$84*'Ethylene recycling rates'!AG54</f>
        <v>0</v>
      </c>
      <c r="AF86" s="203">
        <f>AF$84*'Ethylene recycling rates'!AH54</f>
        <v>0</v>
      </c>
      <c r="AG86" s="203">
        <f>AG$84*'Ethylene recycling rates'!AI54</f>
        <v>0</v>
      </c>
      <c r="AH86" s="217">
        <f t="shared" ref="AH86:AH89" si="79">AG86-C86</f>
        <v>0</v>
      </c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34</v>
      </c>
      <c r="C87" s="203">
        <f>C$84*'Ethylene recycling rates'!E55</f>
        <v>0</v>
      </c>
      <c r="D87" s="203">
        <f>D$84*'Ethylene recycling rates'!F55</f>
        <v>0</v>
      </c>
      <c r="E87" s="203">
        <f>E$84*'Ethylene recycling rates'!G55</f>
        <v>0</v>
      </c>
      <c r="F87" s="203">
        <f>F$84*'Ethylene recycling rates'!H55</f>
        <v>0</v>
      </c>
      <c r="G87" s="203">
        <f>G$84*'Ethylene recycling rates'!I55</f>
        <v>0</v>
      </c>
      <c r="H87" s="203">
        <f>H$84*'Ethylene recycling rates'!J55</f>
        <v>0</v>
      </c>
      <c r="I87" s="203">
        <f>I$84*'Ethylene recycling rates'!K55</f>
        <v>0</v>
      </c>
      <c r="J87" s="203">
        <f>J$84*'Ethylene recycling rates'!L55</f>
        <v>0</v>
      </c>
      <c r="K87" s="203">
        <f>K$84*'Ethylene recycling rates'!M55</f>
        <v>0</v>
      </c>
      <c r="L87" s="203">
        <f>L$84*'Ethylene recycling rates'!N55</f>
        <v>0</v>
      </c>
      <c r="M87" s="203">
        <f>M$84*'Ethylene recycling rates'!O55</f>
        <v>0</v>
      </c>
      <c r="N87" s="203">
        <f>N$84*'Ethylene recycling rates'!P55</f>
        <v>0</v>
      </c>
      <c r="O87" s="203">
        <f>O$84*'Ethylene recycling rates'!Q55</f>
        <v>0</v>
      </c>
      <c r="P87" s="203">
        <f>P$84*'Ethylene recycling rates'!R55</f>
        <v>0</v>
      </c>
      <c r="Q87" s="203">
        <f>Q$84*'Ethylene recycling rates'!S55</f>
        <v>0</v>
      </c>
      <c r="R87" s="203">
        <f>R$84*'Ethylene recycling rates'!T55</f>
        <v>0</v>
      </c>
      <c r="S87" s="203">
        <f>S$84*'Ethylene recycling rates'!U55</f>
        <v>0</v>
      </c>
      <c r="T87" s="203">
        <f>T$84*'Ethylene recycling rates'!V55</f>
        <v>0</v>
      </c>
      <c r="U87" s="203">
        <f>U$84*'Ethylene recycling rates'!W55</f>
        <v>0</v>
      </c>
      <c r="V87" s="203">
        <f>V$84*'Ethylene recycling rates'!X55</f>
        <v>0</v>
      </c>
      <c r="W87" s="203">
        <f>W$84*'Ethylene recycling rates'!Y55</f>
        <v>0</v>
      </c>
      <c r="X87" s="203">
        <f>X$84*'Ethylene recycling rates'!Z55</f>
        <v>0</v>
      </c>
      <c r="Y87" s="203">
        <f>Y$84*'Ethylene recycling rates'!AA55</f>
        <v>0</v>
      </c>
      <c r="Z87" s="203">
        <f>Z$84*'Ethylene recycling rates'!AB55</f>
        <v>0</v>
      </c>
      <c r="AA87" s="203">
        <f>AA$84*'Ethylene recycling rates'!AC55</f>
        <v>0</v>
      </c>
      <c r="AB87" s="203">
        <f>AB$84*'Ethylene recycling rates'!AD55</f>
        <v>0</v>
      </c>
      <c r="AC87" s="203">
        <f>AC$84*'Ethylene recycling rates'!AE55</f>
        <v>0</v>
      </c>
      <c r="AD87" s="203">
        <f>AD$84*'Ethylene recycling rates'!AF55</f>
        <v>0</v>
      </c>
      <c r="AE87" s="203">
        <f>AE$84*'Ethylene recycling rates'!AG55</f>
        <v>0</v>
      </c>
      <c r="AF87" s="203">
        <f>AF$84*'Ethylene recycling rates'!AH55</f>
        <v>0</v>
      </c>
      <c r="AG87" s="203">
        <f>AG$84*'Ethylene recycling rates'!AI55</f>
        <v>0</v>
      </c>
      <c r="AH87" s="217">
        <f t="shared" si="79"/>
        <v>0</v>
      </c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35</v>
      </c>
      <c r="C88" s="203">
        <f>C$84*'Ethylene recycling rates'!E56</f>
        <v>0</v>
      </c>
      <c r="D88" s="203">
        <f>D$84*'Ethylene recycling rates'!F56</f>
        <v>0</v>
      </c>
      <c r="E88" s="203">
        <f>E$84*'Ethylene recycling rates'!G56</f>
        <v>0</v>
      </c>
      <c r="F88" s="203">
        <f>F$84*'Ethylene recycling rates'!H56</f>
        <v>0</v>
      </c>
      <c r="G88" s="203">
        <f>G$84*'Ethylene recycling rates'!I56</f>
        <v>0</v>
      </c>
      <c r="H88" s="203">
        <f>H$84*'Ethylene recycling rates'!J56</f>
        <v>0</v>
      </c>
      <c r="I88" s="203">
        <f>I$84*'Ethylene recycling rates'!K56</f>
        <v>0</v>
      </c>
      <c r="J88" s="203">
        <f>J$84*'Ethylene recycling rates'!L56</f>
        <v>0</v>
      </c>
      <c r="K88" s="203">
        <f>K$84*'Ethylene recycling rates'!M56</f>
        <v>0</v>
      </c>
      <c r="L88" s="203">
        <f>L$84*'Ethylene recycling rates'!N56</f>
        <v>0</v>
      </c>
      <c r="M88" s="203">
        <f>M$84*'Ethylene recycling rates'!O56</f>
        <v>0</v>
      </c>
      <c r="N88" s="203">
        <f>N$84*'Ethylene recycling rates'!P56</f>
        <v>0</v>
      </c>
      <c r="O88" s="203">
        <f>O$84*'Ethylene recycling rates'!Q56</f>
        <v>0</v>
      </c>
      <c r="P88" s="203">
        <f>P$84*'Ethylene recycling rates'!R56</f>
        <v>0</v>
      </c>
      <c r="Q88" s="203">
        <f>Q$84*'Ethylene recycling rates'!S56</f>
        <v>0</v>
      </c>
      <c r="R88" s="203">
        <f>R$84*'Ethylene recycling rates'!T56</f>
        <v>0</v>
      </c>
      <c r="S88" s="203">
        <f>S$84*'Ethylene recycling rates'!U56</f>
        <v>0</v>
      </c>
      <c r="T88" s="203">
        <f>T$84*'Ethylene recycling rates'!V56</f>
        <v>0</v>
      </c>
      <c r="U88" s="203">
        <f>U$84*'Ethylene recycling rates'!W56</f>
        <v>0</v>
      </c>
      <c r="V88" s="203">
        <f>V$84*'Ethylene recycling rates'!X56</f>
        <v>0</v>
      </c>
      <c r="W88" s="203">
        <f>W$84*'Ethylene recycling rates'!Y56</f>
        <v>0</v>
      </c>
      <c r="X88" s="203">
        <f>X$84*'Ethylene recycling rates'!Z56</f>
        <v>0</v>
      </c>
      <c r="Y88" s="203">
        <f>Y$84*'Ethylene recycling rates'!AA56</f>
        <v>0</v>
      </c>
      <c r="Z88" s="203">
        <f>Z$84*'Ethylene recycling rates'!AB56</f>
        <v>0</v>
      </c>
      <c r="AA88" s="203">
        <f>AA$84*'Ethylene recycling rates'!AC56</f>
        <v>0</v>
      </c>
      <c r="AB88" s="203">
        <f>AB$84*'Ethylene recycling rates'!AD56</f>
        <v>0</v>
      </c>
      <c r="AC88" s="203">
        <f>AC$84*'Ethylene recycling rates'!AE56</f>
        <v>0</v>
      </c>
      <c r="AD88" s="203">
        <f>AD$84*'Ethylene recycling rates'!AF56</f>
        <v>0</v>
      </c>
      <c r="AE88" s="203">
        <f>AE$84*'Ethylene recycling rates'!AG56</f>
        <v>0</v>
      </c>
      <c r="AF88" s="203">
        <f>AF$84*'Ethylene recycling rates'!AH56</f>
        <v>0</v>
      </c>
      <c r="AG88" s="203">
        <f>AG$84*'Ethylene recycling rates'!AI56</f>
        <v>0</v>
      </c>
      <c r="AH88" s="217">
        <f t="shared" si="79"/>
        <v>0</v>
      </c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outlineLevel="1">
      <c r="A89" s="4" t="s">
        <v>27</v>
      </c>
      <c r="C89" s="203">
        <f>C$84*'Ethylene recycling rates'!E57</f>
        <v>0</v>
      </c>
      <c r="D89" s="203">
        <f>D$84*'Ethylene recycling rates'!F57</f>
        <v>0</v>
      </c>
      <c r="E89" s="203">
        <f>E$84*'Ethylene recycling rates'!G57</f>
        <v>0</v>
      </c>
      <c r="F89" s="203">
        <f>F$84*'Ethylene recycling rates'!H57</f>
        <v>0</v>
      </c>
      <c r="G89" s="203">
        <f>G$84*'Ethylene recycling rates'!I57</f>
        <v>0</v>
      </c>
      <c r="H89" s="203">
        <f>H$84*'Ethylene recycling rates'!J57</f>
        <v>0</v>
      </c>
      <c r="I89" s="203">
        <f>I$84*'Ethylene recycling rates'!K57</f>
        <v>0</v>
      </c>
      <c r="J89" s="203">
        <f>J$84*'Ethylene recycling rates'!L57</f>
        <v>0</v>
      </c>
      <c r="K89" s="203">
        <f>K$84*'Ethylene recycling rates'!M57</f>
        <v>0</v>
      </c>
      <c r="L89" s="203">
        <f>L$84*'Ethylene recycling rates'!N57</f>
        <v>0</v>
      </c>
      <c r="M89" s="203">
        <f>M$84*'Ethylene recycling rates'!O57</f>
        <v>0</v>
      </c>
      <c r="N89" s="203">
        <f>N$84*'Ethylene recycling rates'!P57</f>
        <v>0</v>
      </c>
      <c r="O89" s="203">
        <f>O$84*'Ethylene recycling rates'!Q57</f>
        <v>0</v>
      </c>
      <c r="P89" s="203">
        <f>P$84*'Ethylene recycling rates'!R57</f>
        <v>0</v>
      </c>
      <c r="Q89" s="203">
        <f>Q$84*'Ethylene recycling rates'!S57</f>
        <v>0</v>
      </c>
      <c r="R89" s="203">
        <f>R$84*'Ethylene recycling rates'!T57</f>
        <v>0</v>
      </c>
      <c r="S89" s="203">
        <f>S$84*'Ethylene recycling rates'!U57</f>
        <v>0</v>
      </c>
      <c r="T89" s="203">
        <f>T$84*'Ethylene recycling rates'!V57</f>
        <v>0</v>
      </c>
      <c r="U89" s="203">
        <f>U$84*'Ethylene recycling rates'!W57</f>
        <v>0</v>
      </c>
      <c r="V89" s="203">
        <f>V$84*'Ethylene recycling rates'!X57</f>
        <v>0</v>
      </c>
      <c r="W89" s="203">
        <f>W$84*'Ethylene recycling rates'!Y57</f>
        <v>0</v>
      </c>
      <c r="X89" s="203">
        <f>X$84*'Ethylene recycling rates'!Z57</f>
        <v>0</v>
      </c>
      <c r="Y89" s="203">
        <f>Y$84*'Ethylene recycling rates'!AA57</f>
        <v>0</v>
      </c>
      <c r="Z89" s="203">
        <f>Z$84*'Ethylene recycling rates'!AB57</f>
        <v>0</v>
      </c>
      <c r="AA89" s="203">
        <f>AA$84*'Ethylene recycling rates'!AC57</f>
        <v>0</v>
      </c>
      <c r="AB89" s="203">
        <f>AB$84*'Ethylene recycling rates'!AD57</f>
        <v>0</v>
      </c>
      <c r="AC89" s="203">
        <f>AC$84*'Ethylene recycling rates'!AE57</f>
        <v>0</v>
      </c>
      <c r="AD89" s="203">
        <f>AD$84*'Ethylene recycling rates'!AF57</f>
        <v>0</v>
      </c>
      <c r="AE89" s="203">
        <f>AE$84*'Ethylene recycling rates'!AG57</f>
        <v>0</v>
      </c>
      <c r="AF89" s="203">
        <f>AF$84*'Ethylene recycling rates'!AH57</f>
        <v>0</v>
      </c>
      <c r="AG89" s="203">
        <f>AG$84*'Ethylene recycling rates'!AI57</f>
        <v>0</v>
      </c>
      <c r="AH89" s="217">
        <f t="shared" si="79"/>
        <v>0</v>
      </c>
      <c r="AI89" s="124"/>
      <c r="AJ89" s="185"/>
      <c r="AL89" s="100"/>
      <c r="AM89" s="2"/>
      <c r="AN89" s="2"/>
      <c r="AO89" s="2"/>
      <c r="BC89" s="1"/>
      <c r="BD89" s="2"/>
      <c r="BE89" s="2"/>
      <c r="BF89" s="2"/>
      <c r="BG89" s="2"/>
      <c r="BH89" s="2"/>
      <c r="BI89" s="2"/>
      <c r="BJ89" s="2"/>
      <c r="BK89" s="2"/>
    </row>
    <row r="90" spans="1:63" s="1" customFormat="1" outlineLevel="1">
      <c r="A90" s="1" t="s">
        <v>749</v>
      </c>
      <c r="B90" s="60"/>
      <c r="C90" s="250">
        <f>C70*C42</f>
        <v>183917.79262981133</v>
      </c>
      <c r="D90" s="250">
        <f t="shared" ref="D90:AG90" si="80">D70*D42</f>
        <v>190731.36898995866</v>
      </c>
      <c r="E90" s="250">
        <f t="shared" si="80"/>
        <v>197280.65434244508</v>
      </c>
      <c r="F90" s="250">
        <f t="shared" si="80"/>
        <v>203560.53726341252</v>
      </c>
      <c r="G90" s="250">
        <f t="shared" si="80"/>
        <v>209565.90584306032</v>
      </c>
      <c r="H90" s="250">
        <f t="shared" si="80"/>
        <v>215291.64796772378</v>
      </c>
      <c r="I90" s="250">
        <f t="shared" si="80"/>
        <v>220732.65159944215</v>
      </c>
      <c r="J90" s="250">
        <f t="shared" si="80"/>
        <v>225883.80505303413</v>
      </c>
      <c r="K90" s="250">
        <f t="shared" si="80"/>
        <v>230739.99727069202</v>
      </c>
      <c r="L90" s="250">
        <f t="shared" si="80"/>
        <v>235296.11809411176</v>
      </c>
      <c r="M90" s="250">
        <f t="shared" si="80"/>
        <v>239547.05853417178</v>
      </c>
      <c r="N90" s="250">
        <f t="shared" si="80"/>
        <v>234215.57946815583</v>
      </c>
      <c r="O90" s="250">
        <f t="shared" si="80"/>
        <v>229978.53068089421</v>
      </c>
      <c r="P90" s="250">
        <f t="shared" si="80"/>
        <v>224588.60085729364</v>
      </c>
      <c r="Q90" s="250">
        <f t="shared" si="80"/>
        <v>219066.74867457591</v>
      </c>
      <c r="R90" s="250">
        <f t="shared" si="80"/>
        <v>213411.99717347379</v>
      </c>
      <c r="S90" s="250">
        <f t="shared" si="80"/>
        <v>207623.37202828599</v>
      </c>
      <c r="T90" s="250">
        <f t="shared" si="80"/>
        <v>201699.90158023938</v>
      </c>
      <c r="U90" s="250">
        <f t="shared" si="80"/>
        <v>195640.61687047602</v>
      </c>
      <c r="V90" s="250">
        <f t="shared" si="80"/>
        <v>189444.5516726677</v>
      </c>
      <c r="W90" s="250">
        <f t="shared" si="80"/>
        <v>183110.74252525865</v>
      </c>
      <c r="X90" s="250">
        <f t="shared" si="80"/>
        <v>178778.72987104111</v>
      </c>
      <c r="Y90" s="250">
        <f t="shared" si="80"/>
        <v>174441.0538020547</v>
      </c>
      <c r="Z90" s="250">
        <f t="shared" si="80"/>
        <v>170000.76641751392</v>
      </c>
      <c r="AA90" s="250">
        <f t="shared" si="80"/>
        <v>165457.13635090165</v>
      </c>
      <c r="AB90" s="250">
        <f t="shared" si="80"/>
        <v>160809.43434988082</v>
      </c>
      <c r="AC90" s="250">
        <f t="shared" si="80"/>
        <v>156056.93330014523</v>
      </c>
      <c r="AD90" s="250">
        <f t="shared" si="80"/>
        <v>151198.90824899601</v>
      </c>
      <c r="AE90" s="250">
        <f t="shared" si="80"/>
        <v>146234.63642864392</v>
      </c>
      <c r="AF90" s="250">
        <f t="shared" si="80"/>
        <v>141163.39727924034</v>
      </c>
      <c r="AG90" s="250">
        <f t="shared" si="80"/>
        <v>135984.47247163852</v>
      </c>
      <c r="AH90" s="367"/>
      <c r="AI90" s="368"/>
      <c r="AJ90" s="369"/>
      <c r="AL90" s="194"/>
      <c r="AM90" s="116"/>
      <c r="AN90" s="116"/>
      <c r="AO90" s="116"/>
      <c r="BD90" s="116"/>
      <c r="BE90" s="116"/>
      <c r="BF90" s="116"/>
      <c r="BG90" s="116"/>
      <c r="BH90" s="116"/>
      <c r="BI90" s="116"/>
      <c r="BJ90" s="116"/>
      <c r="BK90" s="116"/>
    </row>
    <row r="91" spans="1:63" outlineLevel="1">
      <c r="A91" s="4" t="s">
        <v>141</v>
      </c>
      <c r="C91" s="203">
        <f>C$90*'Ethylene recycling rates'!E58</f>
        <v>183917.79262981133</v>
      </c>
      <c r="D91" s="203">
        <f>D$90*'Ethylene recycling rates'!F58</f>
        <v>188506.16968507579</v>
      </c>
      <c r="E91" s="203">
        <f>E$90*'Ethylene recycling rates'!G58</f>
        <v>192677.43907445468</v>
      </c>
      <c r="F91" s="203">
        <f>F$90*'Ethylene recycling rates'!H58</f>
        <v>196435.91845919305</v>
      </c>
      <c r="G91" s="203">
        <f>G$90*'Ethylene recycling rates'!I58</f>
        <v>199786.16357038412</v>
      </c>
      <c r="H91" s="203">
        <f>H$90*'Ethylene recycling rates'!J58</f>
        <v>202732.96850293985</v>
      </c>
      <c r="I91" s="203">
        <f>I$90*'Ethylene recycling rates'!K58</f>
        <v>205281.36598748114</v>
      </c>
      <c r="J91" s="203">
        <f>J$90*'Ethylene recycling rates'!L58</f>
        <v>207436.62764036961</v>
      </c>
      <c r="K91" s="203">
        <f>K$90*'Ethylene recycling rates'!M58</f>
        <v>209204.26419209401</v>
      </c>
      <c r="L91" s="203">
        <f>L$90*'Ethylene recycling rates'!N58</f>
        <v>210590.02569422993</v>
      </c>
      <c r="M91" s="203">
        <f>M$90*'Ethylene recycling rates'!O58</f>
        <v>211599.90170518495</v>
      </c>
      <c r="N91" s="203">
        <f>N$90*'Ethylene recycling rates'!P58</f>
        <v>204157.91343640906</v>
      </c>
      <c r="O91" s="203">
        <f>O$90*'Ethylene recycling rates'!Q58</f>
        <v>197781.53638556888</v>
      </c>
      <c r="P91" s="203">
        <f>P$90*'Ethylene recycling rates'!R58</f>
        <v>190525.9963939373</v>
      </c>
      <c r="Q91" s="203">
        <f>Q$90*'Ethylene recycling rates'!S58</f>
        <v>183285.8463910617</v>
      </c>
      <c r="R91" s="203">
        <f>R$90*'Ethylene recycling rates'!T58</f>
        <v>176064.89766811574</v>
      </c>
      <c r="S91" s="203">
        <f>S$90*'Ethylene recycling rates'!U58</f>
        <v>168867.00924967244</v>
      </c>
      <c r="T91" s="203">
        <f>T$90*'Ethylene recycling rates'!V58</f>
        <v>161696.08776682508</v>
      </c>
      <c r="U91" s="203">
        <f>U$90*'Ethylene recycling rates'!W58</f>
        <v>154556.08732767589</v>
      </c>
      <c r="V91" s="203">
        <f>V$90*'Ethylene recycling rates'!X58</f>
        <v>147451.00938522618</v>
      </c>
      <c r="W91" s="203">
        <f>W$90*'Ethylene recycling rates'!Y58</f>
        <v>140384.90260269813</v>
      </c>
      <c r="X91" s="203">
        <f>X$90*'Ethylene recycling rates'!Z58</f>
        <v>134977.94105263587</v>
      </c>
      <c r="Y91" s="203">
        <f>Y$90*'Ethylene recycling rates'!AA58</f>
        <v>129667.84999286047</v>
      </c>
      <c r="Z91" s="203">
        <f>Z$90*'Ethylene recycling rates'!AB58</f>
        <v>124383.89409548083</v>
      </c>
      <c r="AA91" s="203">
        <f>AA$90*'Ethylene recycling rates'!AC58</f>
        <v>119129.13817264901</v>
      </c>
      <c r="AB91" s="203">
        <f>AB$90*'Ethylene recycling rates'!AD58</f>
        <v>113906.68266449872</v>
      </c>
      <c r="AC91" s="203">
        <f>AC$90*'Ethylene recycling rates'!AE58</f>
        <v>108719.66353243432</v>
      </c>
      <c r="AD91" s="203">
        <f>AD$90*'Ethylene recycling rates'!AF58</f>
        <v>103571.25215056208</v>
      </c>
      <c r="AE91" s="203">
        <f>AE$90*'Ethylene recycling rates'!AG58</f>
        <v>98464.655195286716</v>
      </c>
      <c r="AF91" s="203">
        <f>AF$90*'Ethylene recycling rates'!AH58</f>
        <v>93403.114533097163</v>
      </c>
      <c r="AG91" s="203">
        <f>AG$90*'Ethylene recycling rates'!AI58</f>
        <v>88389.90710656505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74</v>
      </c>
      <c r="C92" s="203">
        <f>C$90*'Ethylene recycling rates'!E59</f>
        <v>0</v>
      </c>
      <c r="D92" s="203">
        <f>D$90*'Ethylene recycling rates'!F59</f>
        <v>635.77122996652895</v>
      </c>
      <c r="E92" s="203">
        <f>E$90*'Ethylene recycling rates'!G59</f>
        <v>1315.2043622829672</v>
      </c>
      <c r="F92" s="203">
        <f>F$90*'Ethylene recycling rates'!H59</f>
        <v>2035.6053726341254</v>
      </c>
      <c r="G92" s="203">
        <f>G$90*'Ethylene recycling rates'!I59</f>
        <v>2794.2120779074712</v>
      </c>
      <c r="H92" s="203">
        <f>H$90*'Ethylene recycling rates'!J59</f>
        <v>3588.1941327953964</v>
      </c>
      <c r="I92" s="203">
        <f>I$90*'Ethylene recycling rates'!K59</f>
        <v>4414.6530319888434</v>
      </c>
      <c r="J92" s="203">
        <f>J$90*'Ethylene recycling rates'!L59</f>
        <v>5270.6221179041295</v>
      </c>
      <c r="K92" s="203">
        <f>K$90*'Ethylene recycling rates'!M59</f>
        <v>6153.0665938851207</v>
      </c>
      <c r="L92" s="203">
        <f>L$90*'Ethylene recycling rates'!N59</f>
        <v>7058.8835428233533</v>
      </c>
      <c r="M92" s="203">
        <f>M$90*'Ethylene recycling rates'!O59</f>
        <v>7984.9019511390588</v>
      </c>
      <c r="N92" s="203">
        <f>N$90*'Ethylene recycling rates'!P59</f>
        <v>8587.9045804990474</v>
      </c>
      <c r="O92" s="203">
        <f>O$90*'Ethylene recycling rates'!Q59</f>
        <v>9199.1412272357684</v>
      </c>
      <c r="P92" s="203">
        <f>P$90*'Ethylene recycling rates'!R59</f>
        <v>9732.1727038160589</v>
      </c>
      <c r="Q92" s="203">
        <f>Q$90*'Ethylene recycling rates'!S59</f>
        <v>10223.114938146877</v>
      </c>
      <c r="R92" s="203">
        <f>R$90*'Ethylene recycling rates'!T59</f>
        <v>10670.59985867369</v>
      </c>
      <c r="S92" s="203">
        <f>S$90*'Ethylene recycling rates'!U59</f>
        <v>11073.246508175253</v>
      </c>
      <c r="T92" s="203">
        <f>T$90*'Ethylene recycling rates'!V59</f>
        <v>11429.661089546898</v>
      </c>
      <c r="U92" s="203">
        <f>U$90*'Ethylene recycling rates'!W59</f>
        <v>11738.437012228562</v>
      </c>
      <c r="V92" s="203">
        <f>V$90*'Ethylene recycling rates'!X59</f>
        <v>11998.154939268956</v>
      </c>
      <c r="W92" s="203">
        <f>W$90*'Ethylene recycling rates'!Y59</f>
        <v>12207.382835017244</v>
      </c>
      <c r="X92" s="203">
        <f>X$90*'Ethylene recycling rates'!Z59</f>
        <v>12514.511090972877</v>
      </c>
      <c r="Y92" s="203">
        <f>Y$90*'Ethylene recycling rates'!AA59</f>
        <v>12792.343945484008</v>
      </c>
      <c r="Z92" s="203">
        <f>Z$90*'Ethylene recycling rates'!AB59</f>
        <v>13033.392092009397</v>
      </c>
      <c r="AA92" s="203">
        <f>AA$90*'Ethylene recycling rates'!AC59</f>
        <v>13236.570908072128</v>
      </c>
      <c r="AB92" s="203">
        <f>AB$90*'Ethylene recycling rates'!AD59</f>
        <v>13400.786195823395</v>
      </c>
      <c r="AC92" s="203">
        <f>AC$90*'Ethylene recycling rates'!AE59</f>
        <v>13524.934219345914</v>
      </c>
      <c r="AD92" s="203">
        <f>AD$90*'Ethylene recycling rates'!AF59</f>
        <v>13607.901742409635</v>
      </c>
      <c r="AE92" s="203">
        <f>AE$90*'Ethylene recycling rates'!AG59</f>
        <v>13648.566066673426</v>
      </c>
      <c r="AF92" s="203">
        <f>AF$90*'Ethylene recycling rates'!AH59</f>
        <v>13645.795070326558</v>
      </c>
      <c r="AG92" s="203">
        <f>AG$90*'Ethylene recycling rates'!AI59</f>
        <v>13598.447247163853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34</v>
      </c>
      <c r="C93" s="203">
        <f>C$90*'Ethylene recycling rates'!E60</f>
        <v>0</v>
      </c>
      <c r="D93" s="203">
        <f>D$90*'Ethylene recycling rates'!F60</f>
        <v>953.65684494979337</v>
      </c>
      <c r="E93" s="203">
        <f>E$90*'Ethylene recycling rates'!G60</f>
        <v>1972.8065434244509</v>
      </c>
      <c r="F93" s="203">
        <f>F$90*'Ethylene recycling rates'!H60</f>
        <v>3053.4080589511877</v>
      </c>
      <c r="G93" s="203">
        <f>G$90*'Ethylene recycling rates'!I60</f>
        <v>4191.3181168612064</v>
      </c>
      <c r="H93" s="203">
        <f>H$90*'Ethylene recycling rates'!J60</f>
        <v>5382.2911991930951</v>
      </c>
      <c r="I93" s="203">
        <f>I$90*'Ethylene recycling rates'!K60</f>
        <v>6621.9795479832646</v>
      </c>
      <c r="J93" s="203">
        <f>J$90*'Ethylene recycling rates'!L60</f>
        <v>7905.9331768561951</v>
      </c>
      <c r="K93" s="203">
        <f>K$90*'Ethylene recycling rates'!M60</f>
        <v>9229.5998908276815</v>
      </c>
      <c r="L93" s="203">
        <f>L$90*'Ethylene recycling rates'!N60</f>
        <v>10588.32531423503</v>
      </c>
      <c r="M93" s="203">
        <f>M$90*'Ethylene recycling rates'!O60</f>
        <v>11977.352926708589</v>
      </c>
      <c r="N93" s="203">
        <f>N$90*'Ethylene recycling rates'!P60</f>
        <v>12881.85687074857</v>
      </c>
      <c r="O93" s="203">
        <f>O$90*'Ethylene recycling rates'!Q60</f>
        <v>13798.71184085365</v>
      </c>
      <c r="P93" s="203">
        <f>P$90*'Ethylene recycling rates'!R60</f>
        <v>14598.259055724084</v>
      </c>
      <c r="Q93" s="203">
        <f>Q$90*'Ethylene recycling rates'!S60</f>
        <v>15334.672407220312</v>
      </c>
      <c r="R93" s="203">
        <f>R$90*'Ethylene recycling rates'!T60</f>
        <v>16005.899788010534</v>
      </c>
      <c r="S93" s="203">
        <f>S$90*'Ethylene recycling rates'!U60</f>
        <v>16609.869762262879</v>
      </c>
      <c r="T93" s="203">
        <f>T$90*'Ethylene recycling rates'!V60</f>
        <v>17144.491634320348</v>
      </c>
      <c r="U93" s="203">
        <f>U$90*'Ethylene recycling rates'!W60</f>
        <v>17607.655518342843</v>
      </c>
      <c r="V93" s="203">
        <f>V$90*'Ethylene recycling rates'!X60</f>
        <v>17997.232408903434</v>
      </c>
      <c r="W93" s="203">
        <f>W$90*'Ethylene recycling rates'!Y60</f>
        <v>18311.074252525868</v>
      </c>
      <c r="X93" s="203">
        <f>X$90*'Ethylene recycling rates'!Z60</f>
        <v>18771.766636459321</v>
      </c>
      <c r="Y93" s="203">
        <f>Y$90*'Ethylene recycling rates'!AA60</f>
        <v>19188.515918226021</v>
      </c>
      <c r="Z93" s="203">
        <f>Z$90*'Ethylene recycling rates'!AB60</f>
        <v>19550.088138014107</v>
      </c>
      <c r="AA93" s="203">
        <f>AA$90*'Ethylene recycling rates'!AC60</f>
        <v>19854.856362108203</v>
      </c>
      <c r="AB93" s="203">
        <f>AB$90*'Ethylene recycling rates'!AD60</f>
        <v>20101.179293735106</v>
      </c>
      <c r="AC93" s="203">
        <f>AC$90*'Ethylene recycling rates'!AE60</f>
        <v>20287.401329018885</v>
      </c>
      <c r="AD93" s="203">
        <f>AD$90*'Ethylene recycling rates'!AF60</f>
        <v>20411.852613614468</v>
      </c>
      <c r="AE93" s="203">
        <f>AE$90*'Ethylene recycling rates'!AG60</f>
        <v>20472.849100010153</v>
      </c>
      <c r="AF93" s="203">
        <f>AF$90*'Ethylene recycling rates'!AH60</f>
        <v>20468.692605489854</v>
      </c>
      <c r="AG93" s="203">
        <f>AG$90*'Ethylene recycling rates'!AI60</f>
        <v>20397.670870745776</v>
      </c>
      <c r="AH93" s="217"/>
      <c r="AI93" s="124"/>
      <c r="AJ93" s="185"/>
      <c r="AL93" s="100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outlineLevel="1">
      <c r="A94" s="4" t="s">
        <v>35</v>
      </c>
      <c r="C94" s="203">
        <f>C$90*'Ethylene recycling rates'!E61</f>
        <v>0</v>
      </c>
      <c r="D94" s="203">
        <f>D$90*'Ethylene recycling rates'!F61</f>
        <v>317.88561498326447</v>
      </c>
      <c r="E94" s="203">
        <f>E$90*'Ethylene recycling rates'!G61</f>
        <v>657.60218114148358</v>
      </c>
      <c r="F94" s="203">
        <f>F$90*'Ethylene recycling rates'!H61</f>
        <v>1017.8026863170627</v>
      </c>
      <c r="G94" s="203">
        <f>G$90*'Ethylene recycling rates'!I61</f>
        <v>1397.1060389537356</v>
      </c>
      <c r="H94" s="203">
        <f>H$90*'Ethylene recycling rates'!J61</f>
        <v>1794.0970663976982</v>
      </c>
      <c r="I94" s="203">
        <f>I$90*'Ethylene recycling rates'!K61</f>
        <v>2207.3265159944217</v>
      </c>
      <c r="J94" s="203">
        <f>J$90*'Ethylene recycling rates'!L61</f>
        <v>2635.3110589520647</v>
      </c>
      <c r="K94" s="203">
        <f>K$90*'Ethylene recycling rates'!M61</f>
        <v>3076.5332969425604</v>
      </c>
      <c r="L94" s="203">
        <f>L$90*'Ethylene recycling rates'!N61</f>
        <v>3529.4417714116767</v>
      </c>
      <c r="M94" s="203">
        <f>M$90*'Ethylene recycling rates'!O61</f>
        <v>3992.4509755695294</v>
      </c>
      <c r="N94" s="203">
        <f>N$90*'Ethylene recycling rates'!P61</f>
        <v>4293.9522902495237</v>
      </c>
      <c r="O94" s="203">
        <f>O$90*'Ethylene recycling rates'!Q61</f>
        <v>4599.5706136178842</v>
      </c>
      <c r="P94" s="203">
        <f>P$90*'Ethylene recycling rates'!R61</f>
        <v>4866.0863519080294</v>
      </c>
      <c r="Q94" s="203">
        <f>Q$90*'Ethylene recycling rates'!S61</f>
        <v>5111.5574690734384</v>
      </c>
      <c r="R94" s="203">
        <f>R$90*'Ethylene recycling rates'!T61</f>
        <v>5335.2999293368448</v>
      </c>
      <c r="S94" s="203">
        <f>S$90*'Ethylene recycling rates'!U61</f>
        <v>5536.6232540876263</v>
      </c>
      <c r="T94" s="203">
        <f>T$90*'Ethylene recycling rates'!V61</f>
        <v>5714.8305447734492</v>
      </c>
      <c r="U94" s="203">
        <f>U$90*'Ethylene recycling rates'!W61</f>
        <v>5869.2185061142809</v>
      </c>
      <c r="V94" s="203">
        <f>V$90*'Ethylene recycling rates'!X61</f>
        <v>5999.0774696344779</v>
      </c>
      <c r="W94" s="203">
        <f>W$90*'Ethylene recycling rates'!Y61</f>
        <v>6103.6914175086222</v>
      </c>
      <c r="X94" s="203">
        <f>X$90*'Ethylene recycling rates'!Z61</f>
        <v>6257.2555454864387</v>
      </c>
      <c r="Y94" s="203">
        <f>Y$90*'Ethylene recycling rates'!AA61</f>
        <v>6396.1719727420041</v>
      </c>
      <c r="Z94" s="203">
        <f>Z$90*'Ethylene recycling rates'!AB61</f>
        <v>6516.6960460046985</v>
      </c>
      <c r="AA94" s="203">
        <f>AA$90*'Ethylene recycling rates'!AC61</f>
        <v>6618.285454036064</v>
      </c>
      <c r="AB94" s="203">
        <f>AB$90*'Ethylene recycling rates'!AD61</f>
        <v>6700.3930979116976</v>
      </c>
      <c r="AC94" s="203">
        <f>AC$90*'Ethylene recycling rates'!AE61</f>
        <v>6762.4671096729571</v>
      </c>
      <c r="AD94" s="203">
        <f>AD$90*'Ethylene recycling rates'!AF61</f>
        <v>6803.9508712048173</v>
      </c>
      <c r="AE94" s="203">
        <f>AE$90*'Ethylene recycling rates'!AG61</f>
        <v>6824.2830333367128</v>
      </c>
      <c r="AF94" s="203">
        <f>AF$90*'Ethylene recycling rates'!AH61</f>
        <v>6822.8975351632789</v>
      </c>
      <c r="AG94" s="203">
        <f>AG$90*'Ethylene recycling rates'!AI61</f>
        <v>6799.2236235819264</v>
      </c>
      <c r="AH94" s="217"/>
      <c r="AI94" s="124"/>
      <c r="AJ94" s="185"/>
      <c r="AL94" s="100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27</v>
      </c>
      <c r="C95" s="203">
        <f>C$90*'Ethylene recycling rates'!E62</f>
        <v>0</v>
      </c>
      <c r="D95" s="203">
        <f>D$90*'Ethylene recycling rates'!F62</f>
        <v>317.88561498326447</v>
      </c>
      <c r="E95" s="203">
        <f>E$90*'Ethylene recycling rates'!G62</f>
        <v>657.60218114148358</v>
      </c>
      <c r="F95" s="203">
        <f>F$90*'Ethylene recycling rates'!H62</f>
        <v>1017.8026863170627</v>
      </c>
      <c r="G95" s="203">
        <f>G$90*'Ethylene recycling rates'!I62</f>
        <v>1397.1060389537356</v>
      </c>
      <c r="H95" s="203">
        <f>H$90*'Ethylene recycling rates'!J62</f>
        <v>1794.0970663976982</v>
      </c>
      <c r="I95" s="203">
        <f>I$90*'Ethylene recycling rates'!K62</f>
        <v>2207.3265159944217</v>
      </c>
      <c r="J95" s="203">
        <f>J$90*'Ethylene recycling rates'!L62</f>
        <v>2635.3110589520647</v>
      </c>
      <c r="K95" s="203">
        <f>K$90*'Ethylene recycling rates'!M62</f>
        <v>3076.5332969425604</v>
      </c>
      <c r="L95" s="203">
        <f>L$90*'Ethylene recycling rates'!N62</f>
        <v>3529.4417714116767</v>
      </c>
      <c r="M95" s="203">
        <f>M$90*'Ethylene recycling rates'!O62</f>
        <v>3992.4509755695294</v>
      </c>
      <c r="N95" s="203">
        <f>N$90*'Ethylene recycling rates'!P62</f>
        <v>4293.9522902495237</v>
      </c>
      <c r="O95" s="203">
        <f>O$90*'Ethylene recycling rates'!Q62</f>
        <v>4599.5706136178842</v>
      </c>
      <c r="P95" s="203">
        <f>P$90*'Ethylene recycling rates'!R62</f>
        <v>4866.0863519080294</v>
      </c>
      <c r="Q95" s="203">
        <f>Q$90*'Ethylene recycling rates'!S62</f>
        <v>5111.5574690734384</v>
      </c>
      <c r="R95" s="203">
        <f>R$90*'Ethylene recycling rates'!T62</f>
        <v>5335.2999293368448</v>
      </c>
      <c r="S95" s="203">
        <f>S$90*'Ethylene recycling rates'!U62</f>
        <v>5536.6232540876263</v>
      </c>
      <c r="T95" s="203">
        <f>T$90*'Ethylene recycling rates'!V62</f>
        <v>5714.8305447734492</v>
      </c>
      <c r="U95" s="203">
        <f>U$90*'Ethylene recycling rates'!W62</f>
        <v>5869.2185061142809</v>
      </c>
      <c r="V95" s="203">
        <f>V$90*'Ethylene recycling rates'!X62</f>
        <v>5999.0774696344779</v>
      </c>
      <c r="W95" s="203">
        <f>W$90*'Ethylene recycling rates'!Y62</f>
        <v>6103.6914175086222</v>
      </c>
      <c r="X95" s="203">
        <f>X$90*'Ethylene recycling rates'!Z62</f>
        <v>6257.2555454864387</v>
      </c>
      <c r="Y95" s="203">
        <f>Y$90*'Ethylene recycling rates'!AA62</f>
        <v>6396.1719727420041</v>
      </c>
      <c r="Z95" s="203">
        <f>Z$90*'Ethylene recycling rates'!AB62</f>
        <v>6516.6960460046985</v>
      </c>
      <c r="AA95" s="203">
        <f>AA$90*'Ethylene recycling rates'!AC62</f>
        <v>6618.285454036064</v>
      </c>
      <c r="AB95" s="203">
        <f>AB$90*'Ethylene recycling rates'!AD62</f>
        <v>6700.3930979116976</v>
      </c>
      <c r="AC95" s="203">
        <f>AC$90*'Ethylene recycling rates'!AE62</f>
        <v>6762.4671096729571</v>
      </c>
      <c r="AD95" s="203">
        <f>AD$90*'Ethylene recycling rates'!AF62</f>
        <v>6803.9508712048173</v>
      </c>
      <c r="AE95" s="203">
        <f>AE$90*'Ethylene recycling rates'!AG62</f>
        <v>6824.2830333367128</v>
      </c>
      <c r="AF95" s="203">
        <f>AF$90*'Ethylene recycling rates'!AH62</f>
        <v>6822.8975351632789</v>
      </c>
      <c r="AG95" s="203">
        <f>AG$90*'Ethylene recycling rates'!AI62</f>
        <v>6799.2236235819264</v>
      </c>
      <c r="AH95" s="217"/>
      <c r="AI95" s="124"/>
      <c r="AJ95" s="185"/>
      <c r="AL95" s="100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s="1" customFormat="1" outlineLevel="1">
      <c r="A96" s="1" t="s">
        <v>750</v>
      </c>
      <c r="B96" s="60"/>
      <c r="C96" s="250">
        <f>C69*C42</f>
        <v>31266.024747067924</v>
      </c>
      <c r="D96" s="250">
        <f t="shared" ref="D96:AG96" si="81">D69*D42</f>
        <v>32314.68392225834</v>
      </c>
      <c r="E96" s="250">
        <f t="shared" si="81"/>
        <v>33311.647914824127</v>
      </c>
      <c r="F96" s="250">
        <f t="shared" si="81"/>
        <v>34256.577465846778</v>
      </c>
      <c r="G96" s="250">
        <f t="shared" si="81"/>
        <v>35149.13777787923</v>
      </c>
      <c r="H96" s="250">
        <f t="shared" si="81"/>
        <v>35988.99848766948</v>
      </c>
      <c r="I96" s="250">
        <f t="shared" si="81"/>
        <v>36775.833639010394</v>
      </c>
      <c r="J96" s="250">
        <f t="shared" si="81"/>
        <v>37509.321655715386</v>
      </c>
      <c r="K96" s="250">
        <f t="shared" si="81"/>
        <v>38189.145314719142</v>
      </c>
      <c r="L96" s="250">
        <f t="shared" si="81"/>
        <v>38814.991719303267</v>
      </c>
      <c r="M96" s="250">
        <f t="shared" si="81"/>
        <v>39386.55227244601</v>
      </c>
      <c r="N96" s="250">
        <f t="shared" si="81"/>
        <v>38383.976918220804</v>
      </c>
      <c r="O96" s="250">
        <f t="shared" si="81"/>
        <v>37566.713012417371</v>
      </c>
      <c r="P96" s="250">
        <f t="shared" si="81"/>
        <v>36567.051298369392</v>
      </c>
      <c r="Q96" s="250">
        <f t="shared" si="81"/>
        <v>35552.456200659988</v>
      </c>
      <c r="R96" s="250">
        <f t="shared" si="81"/>
        <v>34522.914331573062</v>
      </c>
      <c r="S96" s="250">
        <f t="shared" si="81"/>
        <v>33478.412900393647</v>
      </c>
      <c r="T96" s="250">
        <f t="shared" si="81"/>
        <v>32418.939709194125</v>
      </c>
      <c r="U96" s="250">
        <f t="shared" si="81"/>
        <v>31344.483148640895</v>
      </c>
      <c r="V96" s="250">
        <f t="shared" si="81"/>
        <v>30255.032193821964</v>
      </c>
      <c r="W96" s="250">
        <f t="shared" si="81"/>
        <v>29150.576400094775</v>
      </c>
      <c r="X96" s="250">
        <f t="shared" si="81"/>
        <v>28370.786689726017</v>
      </c>
      <c r="Y96" s="250">
        <f t="shared" si="81"/>
        <v>27595.025379279294</v>
      </c>
      <c r="Z96" s="250">
        <f t="shared" si="81"/>
        <v>26807.966404794846</v>
      </c>
      <c r="AA96" s="250">
        <f t="shared" si="81"/>
        <v>26009.601140652841</v>
      </c>
      <c r="AB96" s="250">
        <f t="shared" si="81"/>
        <v>25199.92140045745</v>
      </c>
      <c r="AC96" s="250">
        <f t="shared" si="81"/>
        <v>24378.919433915173</v>
      </c>
      <c r="AD96" s="250">
        <f t="shared" si="81"/>
        <v>23546.587923728563</v>
      </c>
      <c r="AE96" s="250">
        <f t="shared" si="81"/>
        <v>22702.919982505191</v>
      </c>
      <c r="AF96" s="250">
        <f t="shared" si="81"/>
        <v>21847.909149681895</v>
      </c>
      <c r="AG96" s="250">
        <f t="shared" si="81"/>
        <v>20981.549388464231</v>
      </c>
      <c r="AH96" s="367"/>
      <c r="AI96" s="368"/>
      <c r="AJ96" s="369"/>
      <c r="AL96" s="194"/>
      <c r="AM96" s="116"/>
      <c r="AN96" s="116"/>
      <c r="AO96" s="116"/>
      <c r="BD96" s="116"/>
      <c r="BE96" s="116"/>
      <c r="BF96" s="116"/>
      <c r="BG96" s="116"/>
      <c r="BH96" s="116"/>
      <c r="BI96" s="116"/>
      <c r="BJ96" s="116"/>
      <c r="BK96" s="116"/>
    </row>
    <row r="97" spans="1:63" outlineLevel="1">
      <c r="A97" s="4" t="s">
        <v>141</v>
      </c>
      <c r="C97" s="203">
        <f>C$96*'Ethylene recycling rates'!E63</f>
        <v>22437.396805048265</v>
      </c>
      <c r="D97" s="203">
        <f>D$96*'Ethylene recycling rates'!F63</f>
        <v>23376.413951129434</v>
      </c>
      <c r="E97" s="203">
        <f>E$96*'Ethylene recycling rates'!G63</f>
        <v>24289.838947514334</v>
      </c>
      <c r="F97" s="203">
        <f>F$96*'Ethylene recycling rates'!H63</f>
        <v>25176.527550889099</v>
      </c>
      <c r="G97" s="203">
        <f>G$96*'Ethylene recycling rates'!I63</f>
        <v>26035.330991935461</v>
      </c>
      <c r="H97" s="203">
        <f>H$96*'Ethylene recycling rates'!J63</f>
        <v>26865.09608369225</v>
      </c>
      <c r="I97" s="203">
        <f>I$96*'Ethylene recycling rates'!K63</f>
        <v>27664.665329067378</v>
      </c>
      <c r="J97" s="203">
        <f>J$96*'Ethylene recycling rates'!L63</f>
        <v>28432.877027505303</v>
      </c>
      <c r="K97" s="203">
        <f>K$96*'Ethylene recycling rates'!M63</f>
        <v>29168.565380814285</v>
      </c>
      <c r="L97" s="203">
        <f>L$96*'Ethylene recycling rates'!N63</f>
        <v>29870.56059815851</v>
      </c>
      <c r="M97" s="203">
        <f>M$96*'Ethylene recycling rates'!O63</f>
        <v>30537.689000219387</v>
      </c>
      <c r="N97" s="203">
        <f>N$96*'Ethylene recycling rates'!P63</f>
        <v>29981.850940561435</v>
      </c>
      <c r="O97" s="203">
        <f>O$96*'Ethylene recycling rates'!Q63</f>
        <v>29560.259031779773</v>
      </c>
      <c r="P97" s="203">
        <f>P$96*'Ethylene recycling rates'!R63</f>
        <v>28984.658662377617</v>
      </c>
      <c r="Q97" s="203">
        <f>Q$96*'Ethylene recycling rates'!S63</f>
        <v>28385.598331023652</v>
      </c>
      <c r="R97" s="203">
        <f>R$96*'Ethylene recycling rates'!T63</f>
        <v>27762.80875593692</v>
      </c>
      <c r="S97" s="203">
        <f>S$96*'Ethylene recycling rates'!U63</f>
        <v>27116.020829869904</v>
      </c>
      <c r="T97" s="203">
        <f>T$96*'Ethylene recycling rates'!V63</f>
        <v>26444.965633895943</v>
      </c>
      <c r="U97" s="203">
        <f>U$96*'Ethylene recycling rates'!W63</f>
        <v>25749.374451067597</v>
      </c>
      <c r="V97" s="203">
        <f>V$96*'Ethylene recycling rates'!X63</f>
        <v>25028.978779947109</v>
      </c>
      <c r="W97" s="203">
        <f>W$96*'Ethylene recycling rates'!Y63</f>
        <v>24283.510348009284</v>
      </c>
      <c r="X97" s="203">
        <f>X$96*'Ethylene recycling rates'!Z63</f>
        <v>23797.627910898904</v>
      </c>
      <c r="Y97" s="203">
        <f>Y$96*'Ethylene recycling rates'!AA63</f>
        <v>23306.148346720769</v>
      </c>
      <c r="Z97" s="203">
        <f>Z$96*'Ethylene recycling rates'!AB63</f>
        <v>22796.108899553099</v>
      </c>
      <c r="AA97" s="203">
        <f>AA$96*'Ethylene recycling rates'!AC63</f>
        <v>22267.306608122122</v>
      </c>
      <c r="AB97" s="203">
        <f>AB$96*'Ethylene recycling rates'!AD63</f>
        <v>21719.53869062275</v>
      </c>
      <c r="AC97" s="203">
        <f>AC$96*'Ethylene recycling rates'!AE63</f>
        <v>21152.602554682562</v>
      </c>
      <c r="AD97" s="203">
        <f>AD$96*'Ethylene recycling rates'!AF63</f>
        <v>20566.295807231145</v>
      </c>
      <c r="AE97" s="203">
        <f>AE$96*'Ethylene recycling rates'!AG63</f>
        <v>19960.4162642753</v>
      </c>
      <c r="AF97" s="203">
        <f>AF$96*'Ethylene recycling rates'!AH63</f>
        <v>19334.761960580752</v>
      </c>
      <c r="AG97" s="203">
        <f>AG$96*'Ethylene recycling rates'!AI63</f>
        <v>18689.131159260898</v>
      </c>
      <c r="AH97" s="217"/>
      <c r="AI97" s="124"/>
      <c r="AJ97" s="185"/>
      <c r="AL97" s="100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74</v>
      </c>
      <c r="C98" s="203">
        <f>C$96*'Ethylene recycling rates'!E64</f>
        <v>8147.0414860479732</v>
      </c>
      <c r="D98" s="203">
        <f>D$96*'Ethylene recycling rates'!F64</f>
        <v>8168.7317192802111</v>
      </c>
      <c r="E98" s="203">
        <f>E$96*'Ethylene recycling rates'!G64</f>
        <v>8161.4294847313686</v>
      </c>
      <c r="F98" s="203">
        <f>F$96*'Ethylene recycling rates'!H64</f>
        <v>8126.2616013806291</v>
      </c>
      <c r="G98" s="203">
        <f>G$96*'Ethylene recycling rates'!I64</f>
        <v>8064.3664759543535</v>
      </c>
      <c r="H98" s="203">
        <f>H$96*'Ethylene recycling rates'!J64</f>
        <v>7976.8939232238554</v>
      </c>
      <c r="I98" s="203">
        <f>I$96*'Ethylene recycling rates'!K64</f>
        <v>7865.004987604184</v>
      </c>
      <c r="J98" s="203">
        <f>J$96*'Ethylene recycling rates'!L64</f>
        <v>7729.8717660470047</v>
      </c>
      <c r="K98" s="203">
        <f>K$96*'Ethylene recycling rates'!M64</f>
        <v>7572.6772322205188</v>
      </c>
      <c r="L98" s="203">
        <f>L$96*'Ethylene recycling rates'!N64</f>
        <v>7394.6150619696109</v>
      </c>
      <c r="M98" s="203">
        <f>M$96*'Ethylene recycling rates'!O64</f>
        <v>7196.8894600492513</v>
      </c>
      <c r="N98" s="203">
        <f>N$96*'Ethylene recycling rates'!P64</f>
        <v>6714.8859343839586</v>
      </c>
      <c r="O98" s="203">
        <f>O$96*'Ethylene recycling rates'!Q64</f>
        <v>6279.4676939802239</v>
      </c>
      <c r="P98" s="203">
        <f>P$96*'Ethylene recycling rates'!R64</f>
        <v>5827.7049819293288</v>
      </c>
      <c r="Q98" s="203">
        <f>Q$96*'Ethylene recycling rates'!S64</f>
        <v>5389.2427506928188</v>
      </c>
      <c r="R98" s="203">
        <f>R$96*'Ethylene recycling rates'!T64</f>
        <v>4964.4278316157961</v>
      </c>
      <c r="S98" s="203">
        <f>S$96*'Ethylene recycling rates'!U64</f>
        <v>4553.6075541235468</v>
      </c>
      <c r="T98" s="203">
        <f>T$96*'Ethylene recycling rates'!V64</f>
        <v>4157.1297219437802</v>
      </c>
      <c r="U98" s="203">
        <f>U$96*'Ethylene recycling rates'!W64</f>
        <v>3775.3425895281407</v>
      </c>
      <c r="V98" s="203">
        <f>V$96*'Ethylene recycling rates'!X64</f>
        <v>3408.5948386719492</v>
      </c>
      <c r="W98" s="203">
        <f>W$96*'Ethylene recycling rates'!Y64</f>
        <v>3057.235555330948</v>
      </c>
      <c r="X98" s="203">
        <f>X$96*'Ethylene recycling rates'!Z64</f>
        <v>2754.5947129763549</v>
      </c>
      <c r="Y98" s="203">
        <f>Y$96*'Ethylene recycling rates'!AA64</f>
        <v>2464.4545236006102</v>
      </c>
      <c r="Z98" s="203">
        <f>Z$96*'Ethylene recycling rates'!AB64</f>
        <v>2185.4714774076556</v>
      </c>
      <c r="AA98" s="203">
        <f>AA$96*'Ethylene recycling rates'!AC64</f>
        <v>1917.9087857200695</v>
      </c>
      <c r="AB98" s="203">
        <f>AB$96*'Ethylene recycling rates'!AD64</f>
        <v>1662.02995742096</v>
      </c>
      <c r="AC98" s="203">
        <f>AC$96*'Ethylene recycling rates'!AE64</f>
        <v>1418.0987816762067</v>
      </c>
      <c r="AD98" s="203">
        <f>AD$96*'Ethylene recycling rates'!AF64</f>
        <v>1186.3793108032855</v>
      </c>
      <c r="AE98" s="203">
        <f>AE$96*'Ethylene recycling rates'!AG64</f>
        <v>967.13584328583397</v>
      </c>
      <c r="AF98" s="203">
        <f>AF$96*'Ethylene recycling rates'!AH64</f>
        <v>760.63290693312206</v>
      </c>
      <c r="AG98" s="203">
        <f>AG$96*'Ethylene recycling rates'!AI64</f>
        <v>567.1352421835968</v>
      </c>
      <c r="AH98" s="217"/>
      <c r="AI98" s="124"/>
      <c r="AJ98" s="185"/>
      <c r="AL98" s="100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34</v>
      </c>
      <c r="C99" s="203">
        <f>C$96*'Ethylene recycling rates'!E65</f>
        <v>0</v>
      </c>
      <c r="D99" s="203">
        <f>D$96*'Ethylene recycling rates'!F65</f>
        <v>49.936119941879085</v>
      </c>
      <c r="E99" s="203">
        <f>E$96*'Ethylene recycling rates'!G65</f>
        <v>102.95347153870919</v>
      </c>
      <c r="F99" s="203">
        <f>F$96*'Ethylene recycling rates'!H65</f>
        <v>158.81082716899255</v>
      </c>
      <c r="G99" s="203">
        <f>G$96*'Ethylene recycling rates'!I65</f>
        <v>217.26488975135189</v>
      </c>
      <c r="H99" s="203">
        <f>H$96*'Ethylene recycling rates'!J65</f>
        <v>278.0703270055028</v>
      </c>
      <c r="I99" s="203">
        <f>I$96*'Ethylene recycling rates'!K65</f>
        <v>340.97980546149307</v>
      </c>
      <c r="J99" s="203">
        <f>J$96*'Ethylene recycling rates'!L65</f>
        <v>405.74402421857184</v>
      </c>
      <c r="K99" s="203">
        <f>K$96*'Ethylene recycling rates'!M65</f>
        <v>472.11174845503882</v>
      </c>
      <c r="L99" s="203">
        <f>L$96*'Ethylene recycling rates'!N65</f>
        <v>539.82984269042538</v>
      </c>
      <c r="M99" s="203">
        <f>M$96*'Ethylene recycling rates'!O65</f>
        <v>608.6433038013455</v>
      </c>
      <c r="N99" s="203">
        <f>N$96*'Ethylene recycling rates'!P65</f>
        <v>652.4654760140703</v>
      </c>
      <c r="O99" s="203">
        <f>O$96*'Ethylene recycling rates'!Q65</f>
        <v>696.62543182781849</v>
      </c>
      <c r="P99" s="203">
        <f>P$96*'Ethylene recycling rates'!R65</f>
        <v>734.59535087329061</v>
      </c>
      <c r="Q99" s="203">
        <f>Q$96*'Ethylene recycling rates'!S65</f>
        <v>769.15262729163737</v>
      </c>
      <c r="R99" s="203">
        <f>R$96*'Ethylene recycling rates'!T65</f>
        <v>800.22772075632122</v>
      </c>
      <c r="S99" s="203">
        <f>S$96*'Ethylene recycling rates'!U65</f>
        <v>827.75102294906185</v>
      </c>
      <c r="T99" s="203">
        <f>T$96*'Ethylene recycling rates'!V65</f>
        <v>851.65286206189103</v>
      </c>
      <c r="U99" s="203">
        <f>U$96*'Ethylene recycling rates'!W65</f>
        <v>871.86350726070611</v>
      </c>
      <c r="V99" s="203">
        <f>V$96*'Ethylene recycling rates'!X65</f>
        <v>888.3131731105575</v>
      </c>
      <c r="W99" s="203">
        <f>W$96*'Ethylene recycling rates'!Y65</f>
        <v>900.93202396287688</v>
      </c>
      <c r="X99" s="203">
        <f>X$96*'Ethylene recycling rates'!Z65</f>
        <v>920.67331428123487</v>
      </c>
      <c r="Y99" s="203">
        <f>Y$96*'Ethylene recycling rates'!AA65</f>
        <v>938.14152754791655</v>
      </c>
      <c r="Z99" s="203">
        <f>Z$96*'Ethylene recycling rates'!AB65</f>
        <v>952.81061907305639</v>
      </c>
      <c r="AA99" s="203">
        <f>AA$96*'Ethylene recycling rates'!AC65</f>
        <v>964.62789386377983</v>
      </c>
      <c r="AB99" s="203">
        <f>AB$96*'Ethylene recycling rates'!AD65</f>
        <v>973.54062057867839</v>
      </c>
      <c r="AC99" s="203">
        <f>AC$96*'Ethylene recycling rates'!AE65</f>
        <v>979.49603479606753</v>
      </c>
      <c r="AD99" s="203">
        <f>AD$96*'Ethylene recycling rates'!AF65</f>
        <v>982.44134225394339</v>
      </c>
      <c r="AE99" s="203">
        <f>AE$96*'Ethylene recycling rates'!AG65</f>
        <v>982.32372206179832</v>
      </c>
      <c r="AF99" s="203">
        <f>AF$96*'Ethylene recycling rates'!AH65</f>
        <v>979.09032988446074</v>
      </c>
      <c r="AG99" s="203">
        <f>AG$96*'Ethylene recycling rates'!AI65</f>
        <v>972.68830109812279</v>
      </c>
      <c r="AH99" s="217"/>
      <c r="AI99" s="124"/>
      <c r="AJ99" s="185"/>
      <c r="AL99" s="100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35</v>
      </c>
      <c r="C100" s="203">
        <f>C$96*'Ethylene recycling rates'!E66</f>
        <v>681.58645597168515</v>
      </c>
      <c r="D100" s="203">
        <f>D$96*'Ethylene recycling rates'!F66</f>
        <v>710.62588436343731</v>
      </c>
      <c r="E100" s="203">
        <f>E$96*'Ethylene recycling rates'!G66</f>
        <v>738.9196503721829</v>
      </c>
      <c r="F100" s="203">
        <f>F$96*'Ethylene recycling rates'!H66</f>
        <v>766.43050881155023</v>
      </c>
      <c r="G100" s="203">
        <f>G$96*'Ethylene recycling rates'!I66</f>
        <v>793.1210556786483</v>
      </c>
      <c r="H100" s="203">
        <f>H$96*'Ethylene recycling rates'!J66</f>
        <v>818.95373179890225</v>
      </c>
      <c r="I100" s="203">
        <f>I$96*'Ethylene recycling rates'!K66</f>
        <v>843.89082644249038</v>
      </c>
      <c r="J100" s="203">
        <f>J$96*'Ethylene recycling rates'!L66</f>
        <v>867.89448091254337</v>
      </c>
      <c r="K100" s="203">
        <f>K$96*'Ethylene recycling rates'!M66</f>
        <v>890.92669210525764</v>
      </c>
      <c r="L100" s="203">
        <f>L$96*'Ethylene recycling rates'!N66</f>
        <v>912.94931604208375</v>
      </c>
      <c r="M100" s="203">
        <f>M$96*'Ethylene recycling rates'!O66</f>
        <v>933.92407137413977</v>
      </c>
      <c r="N100" s="203">
        <f>N$96*'Ethylene recycling rates'!P66</f>
        <v>917.4908929785488</v>
      </c>
      <c r="O100" s="203">
        <f>O$96*'Ethylene recycling rates'!Q66</f>
        <v>905.13922510788962</v>
      </c>
      <c r="P100" s="203">
        <f>P$96*'Ethylene recycling rates'!R66</f>
        <v>888.04540564630497</v>
      </c>
      <c r="Q100" s="203">
        <f>Q$96*'Ethylene recycling rates'!S66</f>
        <v>870.20376451720392</v>
      </c>
      <c r="R100" s="203">
        <f>R$96*'Ethylene recycling rates'!T66</f>
        <v>851.60540496084548</v>
      </c>
      <c r="S100" s="203">
        <f>S$96*'Ethylene recycling rates'!U66</f>
        <v>832.24143481857584</v>
      </c>
      <c r="T100" s="203">
        <f>T$96*'Ethylene recycling rates'!V66</f>
        <v>812.1029669980536</v>
      </c>
      <c r="U100" s="203">
        <f>U$96*'Ethylene recycling rates'!W66</f>
        <v>791.1811199341563</v>
      </c>
      <c r="V100" s="203">
        <f>V$96*'Ethylene recycling rates'!X66</f>
        <v>769.4670180456086</v>
      </c>
      <c r="W100" s="203">
        <f>W$96*'Ethylene recycling rates'!Y66</f>
        <v>746.95179218734143</v>
      </c>
      <c r="X100" s="203">
        <f>X$96*'Ethylene recycling rates'!Z66</f>
        <v>732.39548311076419</v>
      </c>
      <c r="Y100" s="203">
        <f>Y$96*'Ethylene recycling rates'!AA66</f>
        <v>717.64572116564091</v>
      </c>
      <c r="Z100" s="203">
        <f>Z$96*'Ethylene recycling rates'!AB66</f>
        <v>702.30331175564379</v>
      </c>
      <c r="AA100" s="203">
        <f>AA$96*'Ethylene recycling rates'!AC66</f>
        <v>686.36154637266998</v>
      </c>
      <c r="AB100" s="203">
        <f>AB$96*'Ethylene recycling rates'!AD66</f>
        <v>669.81372158575471</v>
      </c>
      <c r="AC100" s="203">
        <f>AC$96*'Ethylene recycling rates'!AE66</f>
        <v>652.6531393774344</v>
      </c>
      <c r="AD100" s="203">
        <f>AD$96*'Ethylene recycling rates'!AF66</f>
        <v>634.87310747694289</v>
      </c>
      <c r="AE100" s="203">
        <f>AE$96*'Ethylene recycling rates'!AG66</f>
        <v>616.46693969025773</v>
      </c>
      <c r="AF100" s="203">
        <f>AF$96*'Ethylene recycling rates'!AH66</f>
        <v>597.4279562270184</v>
      </c>
      <c r="AG100" s="203">
        <f>AG$96*'Ethylene recycling rates'!AI66</f>
        <v>577.74948402433472</v>
      </c>
      <c r="AH100" s="217"/>
      <c r="AI100" s="124"/>
      <c r="AJ100" s="185"/>
      <c r="AL100" s="100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27</v>
      </c>
      <c r="C101" s="203">
        <f>C$96*'Ethylene recycling rates'!E67</f>
        <v>0</v>
      </c>
      <c r="D101" s="203">
        <f>D$96*'Ethylene recycling rates'!F67</f>
        <v>8.9762475433782214</v>
      </c>
      <c r="E101" s="203">
        <f>E$96*'Ethylene recycling rates'!G67</f>
        <v>18.506360667532935</v>
      </c>
      <c r="F101" s="203">
        <f>F$96*'Ethylene recycling rates'!H67</f>
        <v>28.546977596511486</v>
      </c>
      <c r="G101" s="203">
        <f>G$96*'Ethylene recycling rates'!I67</f>
        <v>39.054364559416875</v>
      </c>
      <c r="H101" s="203">
        <f>H$96*'Ethylene recycling rates'!J67</f>
        <v>49.984421948975282</v>
      </c>
      <c r="I101" s="203">
        <f>I$96*'Ethylene recycling rates'!K67</f>
        <v>61.29269043485354</v>
      </c>
      <c r="J101" s="203">
        <f>J$96*'Ethylene recycling rates'!L67</f>
        <v>72.93435703197126</v>
      </c>
      <c r="K101" s="203">
        <f>K$96*'Ethylene recycling rates'!M67</f>
        <v>84.864261124050643</v>
      </c>
      <c r="L101" s="203">
        <f>L$96*'Ethylene recycling rates'!N67</f>
        <v>97.036900442646683</v>
      </c>
      <c r="M101" s="203">
        <f>M$96*'Ethylene recycling rates'!O67</f>
        <v>109.40643700189834</v>
      </c>
      <c r="N101" s="203">
        <f>N$96*'Ethylene recycling rates'!P67</f>
        <v>117.28367428280445</v>
      </c>
      <c r="O101" s="203">
        <f>O$96*'Ethylene recycling rates'!Q67</f>
        <v>125.22162972167735</v>
      </c>
      <c r="P101" s="203">
        <f>P$96*'Ethylene recycling rates'!R67</f>
        <v>132.04689754286329</v>
      </c>
      <c r="Q101" s="203">
        <f>Q$96*'Ethylene recycling rates'!S67</f>
        <v>138.2587271346911</v>
      </c>
      <c r="R101" s="203">
        <f>R$96*'Ethylene recycling rates'!T67</f>
        <v>143.84461830319347</v>
      </c>
      <c r="S101" s="203">
        <f>S$96*'Ethylene recycling rates'!U67</f>
        <v>148.79205863257417</v>
      </c>
      <c r="T101" s="203">
        <f>T$96*'Ethylene recycling rates'!V67</f>
        <v>153.08852429447319</v>
      </c>
      <c r="U101" s="203">
        <f>U$96*'Ethylene recycling rates'!W67</f>
        <v>156.72148085031097</v>
      </c>
      <c r="V101" s="203">
        <f>V$96*'Ethylene recycling rates'!X67</f>
        <v>159.67838404675433</v>
      </c>
      <c r="W101" s="203">
        <f>W$96*'Ethylene recycling rates'!Y67</f>
        <v>161.94668060434077</v>
      </c>
      <c r="X101" s="203">
        <f>X$96*'Ethylene recycling rates'!Z67</f>
        <v>165.49526845877406</v>
      </c>
      <c r="Y101" s="203">
        <f>Y$96*'Ethylene recycling rates'!AA67</f>
        <v>168.63526024437448</v>
      </c>
      <c r="Z101" s="203">
        <f>Z$96*'Ethylene recycling rates'!AB67</f>
        <v>171.272097005408</v>
      </c>
      <c r="AA101" s="203">
        <f>AA$96*'Ethylene recycling rates'!AC67</f>
        <v>173.39630657421543</v>
      </c>
      <c r="AB101" s="203">
        <f>AB$96*'Ethylene recycling rates'!AD67</f>
        <v>174.99841024932124</v>
      </c>
      <c r="AC101" s="203">
        <f>AC$96*'Ethylene recycling rates'!AE67</f>
        <v>176.06892338291786</v>
      </c>
      <c r="AD101" s="203">
        <f>AD$96*'Ethylene recycling rates'!AF67</f>
        <v>176.59835596326297</v>
      </c>
      <c r="AE101" s="203">
        <f>AE$96*'Ethylene recycling rates'!AG67</f>
        <v>176.57721319201795</v>
      </c>
      <c r="AF101" s="203">
        <f>AF$96*'Ethylene recycling rates'!AH67</f>
        <v>175.99599605655797</v>
      </c>
      <c r="AG101" s="203">
        <f>AG$96*'Ethylene recycling rates'!AI67</f>
        <v>174.84520189728246</v>
      </c>
      <c r="AH101" s="217"/>
      <c r="AI101" s="124"/>
      <c r="AJ101" s="185"/>
      <c r="AL101" s="100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I102" s="125"/>
      <c r="AJ102" s="185"/>
      <c r="AL102" s="100"/>
      <c r="AM102" s="123"/>
      <c r="AN102" s="2"/>
      <c r="AO102" s="2"/>
    </row>
    <row r="103" spans="1:63" s="174" customFormat="1" ht="15.5" thickBot="1">
      <c r="A103" s="174" t="s">
        <v>421</v>
      </c>
      <c r="B103" s="189"/>
      <c r="C103" s="195">
        <f>C104</f>
        <v>0.19</v>
      </c>
      <c r="D103" s="195">
        <f t="shared" ref="D103:AG103" si="82">D104</f>
        <v>0.20515750741304789</v>
      </c>
      <c r="E103" s="195">
        <f t="shared" si="82"/>
        <v>0.22031501482609578</v>
      </c>
      <c r="F103" s="195">
        <f t="shared" si="82"/>
        <v>0.23547252223914367</v>
      </c>
      <c r="G103" s="195">
        <f t="shared" si="82"/>
        <v>0.25063002965219155</v>
      </c>
      <c r="H103" s="195">
        <f t="shared" si="82"/>
        <v>0.26578753706523939</v>
      </c>
      <c r="I103" s="195">
        <f t="shared" si="82"/>
        <v>0.28094504447828728</v>
      </c>
      <c r="J103" s="195">
        <f t="shared" si="82"/>
        <v>0.29610255189133516</v>
      </c>
      <c r="K103" s="195">
        <f t="shared" si="82"/>
        <v>0.31126005930438305</v>
      </c>
      <c r="L103" s="195">
        <f t="shared" si="82"/>
        <v>0.32641756671743094</v>
      </c>
      <c r="M103" s="195">
        <f t="shared" si="82"/>
        <v>0.34157507413047883</v>
      </c>
      <c r="N103" s="195">
        <f t="shared" si="82"/>
        <v>0.35175830083520832</v>
      </c>
      <c r="O103" s="195">
        <f t="shared" si="82"/>
        <v>0.3619415275399378</v>
      </c>
      <c r="P103" s="195">
        <f t="shared" si="82"/>
        <v>0.37212475424466734</v>
      </c>
      <c r="Q103" s="195">
        <f t="shared" si="82"/>
        <v>0.38230798094939683</v>
      </c>
      <c r="R103" s="195">
        <f t="shared" si="82"/>
        <v>0.39249120765412632</v>
      </c>
      <c r="S103" s="195">
        <f t="shared" si="82"/>
        <v>0.4026744343588558</v>
      </c>
      <c r="T103" s="195">
        <f t="shared" si="82"/>
        <v>0.41285766106358529</v>
      </c>
      <c r="U103" s="195">
        <f t="shared" si="82"/>
        <v>0.42304088776831483</v>
      </c>
      <c r="V103" s="195">
        <f t="shared" si="82"/>
        <v>0.43322411447304432</v>
      </c>
      <c r="W103" s="195">
        <f t="shared" si="82"/>
        <v>0.44340734117777381</v>
      </c>
      <c r="X103" s="195">
        <f t="shared" si="82"/>
        <v>0.45906660705999641</v>
      </c>
      <c r="Y103" s="195">
        <f t="shared" si="82"/>
        <v>0.47472587294221902</v>
      </c>
      <c r="Z103" s="195">
        <f t="shared" si="82"/>
        <v>0.49038513882444168</v>
      </c>
      <c r="AA103" s="195">
        <f t="shared" si="82"/>
        <v>0.50604440470666423</v>
      </c>
      <c r="AB103" s="195">
        <f t="shared" si="82"/>
        <v>0.52170367058888689</v>
      </c>
      <c r="AC103" s="195">
        <f t="shared" si="82"/>
        <v>0.53736293647110944</v>
      </c>
      <c r="AD103" s="195">
        <f t="shared" si="82"/>
        <v>0.5530222023533321</v>
      </c>
      <c r="AE103" s="195">
        <f t="shared" si="82"/>
        <v>0.56868146823555477</v>
      </c>
      <c r="AF103" s="195">
        <f t="shared" si="82"/>
        <v>0.58434073411777732</v>
      </c>
      <c r="AG103" s="195">
        <f t="shared" si="82"/>
        <v>0.6</v>
      </c>
      <c r="AJ103" s="204" t="s">
        <v>457</v>
      </c>
      <c r="AL103" s="191"/>
      <c r="AM103" s="192"/>
      <c r="AN103" s="192"/>
      <c r="AO103" s="192"/>
    </row>
    <row r="104" spans="1:63" ht="15.5" outlineLevel="1" thickTop="1">
      <c r="A104" t="s">
        <v>413</v>
      </c>
      <c r="B104" s="50" t="s">
        <v>126</v>
      </c>
      <c r="C104" s="558">
        <v>0.19</v>
      </c>
      <c r="D104" s="102">
        <f>$C104+($M104-$C104)/10*(D$1-$C$1)</f>
        <v>0.20515750741304789</v>
      </c>
      <c r="E104" s="102">
        <f t="shared" ref="E104:L104" si="83">$C104+($M104-$C104)/10*(E$1-$C$1)</f>
        <v>0.22031501482609578</v>
      </c>
      <c r="F104" s="102">
        <f t="shared" si="83"/>
        <v>0.23547252223914367</v>
      </c>
      <c r="G104" s="102">
        <f t="shared" si="83"/>
        <v>0.25063002965219155</v>
      </c>
      <c r="H104" s="102">
        <f t="shared" si="83"/>
        <v>0.26578753706523939</v>
      </c>
      <c r="I104" s="102">
        <f t="shared" si="83"/>
        <v>0.28094504447828728</v>
      </c>
      <c r="J104" s="102">
        <f t="shared" si="83"/>
        <v>0.29610255189133516</v>
      </c>
      <c r="K104" s="102">
        <f t="shared" si="83"/>
        <v>0.31126005930438305</v>
      </c>
      <c r="L104" s="102">
        <f t="shared" si="83"/>
        <v>0.32641756671743094</v>
      </c>
      <c r="M104" s="113">
        <f>(M$52-$C$52)/($AG$52-$C$52)*($AG104-$C104)+$C104</f>
        <v>0.34157507413047883</v>
      </c>
      <c r="N104" s="113">
        <f>$M104+($W104-$M104)/10*(N$1-$M$1)</f>
        <v>0.35175830083520832</v>
      </c>
      <c r="O104" s="113">
        <f t="shared" ref="O104:U104" si="84">$M104+($W104-$M104)/10*(O$1-$M$1)</f>
        <v>0.3619415275399378</v>
      </c>
      <c r="P104" s="113">
        <f t="shared" si="84"/>
        <v>0.37212475424466734</v>
      </c>
      <c r="Q104" s="113">
        <f t="shared" si="84"/>
        <v>0.38230798094939683</v>
      </c>
      <c r="R104" s="113">
        <f t="shared" si="84"/>
        <v>0.39249120765412632</v>
      </c>
      <c r="S104" s="113">
        <f t="shared" si="84"/>
        <v>0.4026744343588558</v>
      </c>
      <c r="T104" s="113">
        <f t="shared" si="84"/>
        <v>0.41285766106358529</v>
      </c>
      <c r="U104" s="113">
        <f t="shared" si="84"/>
        <v>0.42304088776831483</v>
      </c>
      <c r="V104" s="113">
        <f>$M104+($W104-$M104)/10*(V$1-$M$1)</f>
        <v>0.43322411447304432</v>
      </c>
      <c r="W104" s="113">
        <f>(W$52-$C$52)/($AG$52-$C$52)*($AG104-$C104)+$C104</f>
        <v>0.44340734117777381</v>
      </c>
      <c r="X104" s="102">
        <f>$W104+($AG104-$W104)/10*(X$1-$W$1)</f>
        <v>0.45906660705999641</v>
      </c>
      <c r="Y104" s="102">
        <f t="shared" ref="Y104:AF104" si="85">$W104+($AG104-$W104)/10*(Y$1-$W$1)</f>
        <v>0.47472587294221902</v>
      </c>
      <c r="Z104" s="102">
        <f t="shared" si="85"/>
        <v>0.49038513882444168</v>
      </c>
      <c r="AA104" s="102">
        <f t="shared" si="85"/>
        <v>0.50604440470666423</v>
      </c>
      <c r="AB104" s="102">
        <f t="shared" si="85"/>
        <v>0.52170367058888689</v>
      </c>
      <c r="AC104" s="102">
        <f t="shared" si="85"/>
        <v>0.53736293647110944</v>
      </c>
      <c r="AD104" s="102">
        <f t="shared" si="85"/>
        <v>0.5530222023533321</v>
      </c>
      <c r="AE104" s="102">
        <f t="shared" si="85"/>
        <v>0.56868146823555477</v>
      </c>
      <c r="AF104" s="102">
        <f t="shared" si="85"/>
        <v>0.58434073411777732</v>
      </c>
      <c r="AG104" s="559">
        <v>0.6</v>
      </c>
      <c r="AJ104" s="185" t="s">
        <v>1469</v>
      </c>
    </row>
    <row r="105" spans="1:63" outlineLevel="1">
      <c r="A105" t="s">
        <v>414</v>
      </c>
      <c r="B105" s="50" t="s">
        <v>126</v>
      </c>
      <c r="C105" s="188">
        <v>0.08</v>
      </c>
      <c r="D105" s="102">
        <f t="shared" ref="D105:AF105" si="86">C105-($C$105-$AG$105)/($AG$1-$C$1)</f>
        <v>0.10400000000000001</v>
      </c>
      <c r="E105" s="102">
        <f t="shared" si="86"/>
        <v>0.128</v>
      </c>
      <c r="F105" s="102">
        <f t="shared" si="86"/>
        <v>0.152</v>
      </c>
      <c r="G105" s="102">
        <f t="shared" si="86"/>
        <v>0.17599999999999999</v>
      </c>
      <c r="H105" s="102">
        <f t="shared" si="86"/>
        <v>0.19999999999999998</v>
      </c>
      <c r="I105" s="102">
        <f t="shared" si="86"/>
        <v>0.22399999999999998</v>
      </c>
      <c r="J105" s="102">
        <f t="shared" si="86"/>
        <v>0.24799999999999997</v>
      </c>
      <c r="K105" s="102">
        <f t="shared" si="86"/>
        <v>0.27199999999999996</v>
      </c>
      <c r="L105" s="102">
        <f t="shared" si="86"/>
        <v>0.29599999999999999</v>
      </c>
      <c r="M105" s="102">
        <f t="shared" si="86"/>
        <v>0.32</v>
      </c>
      <c r="N105" s="102">
        <f t="shared" si="86"/>
        <v>0.34400000000000003</v>
      </c>
      <c r="O105" s="102">
        <f t="shared" si="86"/>
        <v>0.36800000000000005</v>
      </c>
      <c r="P105" s="102">
        <f t="shared" si="86"/>
        <v>0.39200000000000007</v>
      </c>
      <c r="Q105" s="102">
        <f t="shared" si="86"/>
        <v>0.41600000000000009</v>
      </c>
      <c r="R105" s="102">
        <f t="shared" si="86"/>
        <v>0.44000000000000011</v>
      </c>
      <c r="S105" s="102">
        <f t="shared" si="86"/>
        <v>0.46400000000000013</v>
      </c>
      <c r="T105" s="102">
        <f t="shared" si="86"/>
        <v>0.48800000000000016</v>
      </c>
      <c r="U105" s="102">
        <f t="shared" si="86"/>
        <v>0.51200000000000012</v>
      </c>
      <c r="V105" s="102">
        <f t="shared" si="86"/>
        <v>0.53600000000000014</v>
      </c>
      <c r="W105" s="102">
        <f t="shared" si="86"/>
        <v>0.56000000000000016</v>
      </c>
      <c r="X105" s="102">
        <f t="shared" si="86"/>
        <v>0.58400000000000019</v>
      </c>
      <c r="Y105" s="102">
        <f t="shared" si="86"/>
        <v>0.60800000000000021</v>
      </c>
      <c r="Z105" s="102">
        <f t="shared" si="86"/>
        <v>0.63200000000000023</v>
      </c>
      <c r="AA105" s="102">
        <f t="shared" si="86"/>
        <v>0.65600000000000025</v>
      </c>
      <c r="AB105" s="102">
        <f t="shared" si="86"/>
        <v>0.68000000000000027</v>
      </c>
      <c r="AC105" s="102">
        <f t="shared" si="86"/>
        <v>0.70400000000000029</v>
      </c>
      <c r="AD105" s="102">
        <f t="shared" si="86"/>
        <v>0.72800000000000031</v>
      </c>
      <c r="AE105" s="102">
        <f t="shared" si="86"/>
        <v>0.75200000000000033</v>
      </c>
      <c r="AF105" s="102">
        <f t="shared" si="86"/>
        <v>0.77600000000000036</v>
      </c>
      <c r="AG105" s="188">
        <v>0.8</v>
      </c>
      <c r="AI105" s="125"/>
      <c r="AJ105" s="185" t="s">
        <v>444</v>
      </c>
      <c r="AL105" s="50" t="s">
        <v>298</v>
      </c>
    </row>
    <row r="106" spans="1:63" outlineLevel="1">
      <c r="A106" t="s">
        <v>415</v>
      </c>
      <c r="B106" s="156" t="s">
        <v>126</v>
      </c>
      <c r="C106" s="102">
        <f>1-C105</f>
        <v>0.92</v>
      </c>
      <c r="D106" s="102">
        <f t="shared" ref="D106:AG106" si="87">1-D105</f>
        <v>0.89600000000000002</v>
      </c>
      <c r="E106" s="102">
        <f t="shared" si="87"/>
        <v>0.872</v>
      </c>
      <c r="F106" s="102">
        <f t="shared" si="87"/>
        <v>0.84799999999999998</v>
      </c>
      <c r="G106" s="102">
        <f t="shared" si="87"/>
        <v>0.82400000000000007</v>
      </c>
      <c r="H106" s="102">
        <f t="shared" si="87"/>
        <v>0.8</v>
      </c>
      <c r="I106" s="102">
        <f t="shared" si="87"/>
        <v>0.77600000000000002</v>
      </c>
      <c r="J106" s="102">
        <f t="shared" si="87"/>
        <v>0.752</v>
      </c>
      <c r="K106" s="102">
        <f t="shared" si="87"/>
        <v>0.72799999999999998</v>
      </c>
      <c r="L106" s="102">
        <f t="shared" si="87"/>
        <v>0.70399999999999996</v>
      </c>
      <c r="M106" s="102">
        <f t="shared" si="87"/>
        <v>0.67999999999999994</v>
      </c>
      <c r="N106" s="102">
        <f t="shared" si="87"/>
        <v>0.65599999999999992</v>
      </c>
      <c r="O106" s="102">
        <f t="shared" si="87"/>
        <v>0.6319999999999999</v>
      </c>
      <c r="P106" s="102">
        <f t="shared" si="87"/>
        <v>0.60799999999999987</v>
      </c>
      <c r="Q106" s="102">
        <f t="shared" si="87"/>
        <v>0.58399999999999985</v>
      </c>
      <c r="R106" s="102">
        <f t="shared" si="87"/>
        <v>0.55999999999999983</v>
      </c>
      <c r="S106" s="102">
        <f t="shared" si="87"/>
        <v>0.53599999999999981</v>
      </c>
      <c r="T106" s="102">
        <f t="shared" si="87"/>
        <v>0.51199999999999979</v>
      </c>
      <c r="U106" s="102">
        <f t="shared" si="87"/>
        <v>0.48799999999999988</v>
      </c>
      <c r="V106" s="102">
        <f t="shared" si="87"/>
        <v>0.46399999999999986</v>
      </c>
      <c r="W106" s="102">
        <f t="shared" si="87"/>
        <v>0.43999999999999984</v>
      </c>
      <c r="X106" s="102">
        <f t="shared" si="87"/>
        <v>0.41599999999999981</v>
      </c>
      <c r="Y106" s="102">
        <f t="shared" si="87"/>
        <v>0.39199999999999979</v>
      </c>
      <c r="Z106" s="102">
        <f t="shared" si="87"/>
        <v>0.36799999999999977</v>
      </c>
      <c r="AA106" s="102">
        <f t="shared" si="87"/>
        <v>0.34399999999999975</v>
      </c>
      <c r="AB106" s="102">
        <f t="shared" si="87"/>
        <v>0.31999999999999973</v>
      </c>
      <c r="AC106" s="102">
        <f t="shared" si="87"/>
        <v>0.29599999999999971</v>
      </c>
      <c r="AD106" s="102">
        <f t="shared" si="87"/>
        <v>0.27199999999999969</v>
      </c>
      <c r="AE106" s="102">
        <f t="shared" si="87"/>
        <v>0.24799999999999967</v>
      </c>
      <c r="AF106" s="102">
        <f t="shared" si="87"/>
        <v>0.22399999999999964</v>
      </c>
      <c r="AG106" s="102">
        <f t="shared" si="87"/>
        <v>0.19999999999999996</v>
      </c>
      <c r="AI106" s="125"/>
      <c r="AJ106" s="185"/>
      <c r="BD106" s="605"/>
      <c r="BE106" s="605"/>
    </row>
    <row r="107" spans="1:63" outlineLevel="1">
      <c r="A107" t="s">
        <v>480</v>
      </c>
      <c r="B107" s="50" t="s">
        <v>126</v>
      </c>
      <c r="C107" s="102">
        <f>C104*C105</f>
        <v>1.52E-2</v>
      </c>
      <c r="D107" s="102">
        <f t="shared" ref="D107:AG107" si="88">D104*D105</f>
        <v>2.1336380770956981E-2</v>
      </c>
      <c r="E107" s="102">
        <f t="shared" si="88"/>
        <v>2.8200321897740261E-2</v>
      </c>
      <c r="F107" s="102">
        <f t="shared" si="88"/>
        <v>3.5791823380349835E-2</v>
      </c>
      <c r="G107" s="102">
        <f t="shared" si="88"/>
        <v>4.4110885218785714E-2</v>
      </c>
      <c r="H107" s="102">
        <f t="shared" si="88"/>
        <v>5.3157507413047873E-2</v>
      </c>
      <c r="I107" s="102">
        <f t="shared" si="88"/>
        <v>6.2931689963136347E-2</v>
      </c>
      <c r="J107" s="102">
        <f t="shared" si="88"/>
        <v>7.3433432869051116E-2</v>
      </c>
      <c r="K107" s="102">
        <f t="shared" si="88"/>
        <v>8.4662736130792185E-2</v>
      </c>
      <c r="L107" s="102">
        <f t="shared" si="88"/>
        <v>9.6619599748359555E-2</v>
      </c>
      <c r="M107" s="102">
        <f t="shared" si="88"/>
        <v>0.10930402372175323</v>
      </c>
      <c r="N107" s="102">
        <f t="shared" si="88"/>
        <v>0.12100485548731167</v>
      </c>
      <c r="O107" s="102">
        <f t="shared" si="88"/>
        <v>0.13319448213469712</v>
      </c>
      <c r="P107" s="102">
        <f t="shared" si="88"/>
        <v>0.14587290366390962</v>
      </c>
      <c r="Q107" s="102">
        <f t="shared" si="88"/>
        <v>0.15904012007494911</v>
      </c>
      <c r="R107" s="102">
        <f t="shared" si="88"/>
        <v>0.17269613136781561</v>
      </c>
      <c r="S107" s="102">
        <f t="shared" si="88"/>
        <v>0.18684093754250913</v>
      </c>
      <c r="T107" s="102">
        <f t="shared" si="88"/>
        <v>0.2014745385990297</v>
      </c>
      <c r="U107" s="102">
        <f t="shared" si="88"/>
        <v>0.21659693453737724</v>
      </c>
      <c r="V107" s="102">
        <f t="shared" si="88"/>
        <v>0.23220812535755181</v>
      </c>
      <c r="W107" s="102">
        <f t="shared" si="88"/>
        <v>0.24830811105955342</v>
      </c>
      <c r="X107" s="102">
        <f t="shared" si="88"/>
        <v>0.26809489852303797</v>
      </c>
      <c r="Y107" s="102">
        <f t="shared" si="88"/>
        <v>0.28863333074886927</v>
      </c>
      <c r="Z107" s="102">
        <f t="shared" si="88"/>
        <v>0.30992340773704724</v>
      </c>
      <c r="AA107" s="102">
        <f t="shared" si="88"/>
        <v>0.33196512948757184</v>
      </c>
      <c r="AB107" s="102">
        <f t="shared" si="88"/>
        <v>0.35475849600044324</v>
      </c>
      <c r="AC107" s="102">
        <f t="shared" si="88"/>
        <v>0.3783035072756612</v>
      </c>
      <c r="AD107" s="102">
        <f t="shared" si="88"/>
        <v>0.40260016331322596</v>
      </c>
      <c r="AE107" s="102">
        <f t="shared" si="88"/>
        <v>0.42764846411313739</v>
      </c>
      <c r="AF107" s="102">
        <f t="shared" si="88"/>
        <v>0.4534484096753954</v>
      </c>
      <c r="AG107" s="102">
        <f t="shared" si="88"/>
        <v>0.48</v>
      </c>
      <c r="AI107" s="125"/>
      <c r="AJ107" s="185"/>
      <c r="BD107" s="177"/>
      <c r="BE107" s="177"/>
    </row>
    <row r="108" spans="1:63" outlineLevel="1">
      <c r="A108" t="s">
        <v>481</v>
      </c>
      <c r="B108" s="50" t="s">
        <v>126</v>
      </c>
      <c r="C108" s="102">
        <f>C104*C106</f>
        <v>0.17480000000000001</v>
      </c>
      <c r="D108" s="102">
        <f t="shared" ref="D108:AG108" si="89">D104*D106</f>
        <v>0.18382112664209091</v>
      </c>
      <c r="E108" s="102">
        <f t="shared" si="89"/>
        <v>0.19211469292835551</v>
      </c>
      <c r="F108" s="102">
        <f t="shared" si="89"/>
        <v>0.19968069885879383</v>
      </c>
      <c r="G108" s="102">
        <f t="shared" si="89"/>
        <v>0.20651914443340585</v>
      </c>
      <c r="H108" s="102">
        <f t="shared" si="89"/>
        <v>0.21263002965219152</v>
      </c>
      <c r="I108" s="102">
        <f t="shared" si="89"/>
        <v>0.21801335451515094</v>
      </c>
      <c r="J108" s="102">
        <f t="shared" si="89"/>
        <v>0.22266911902228403</v>
      </c>
      <c r="K108" s="102">
        <f t="shared" si="89"/>
        <v>0.22659732317359085</v>
      </c>
      <c r="L108" s="102">
        <f t="shared" si="89"/>
        <v>0.22979796696907137</v>
      </c>
      <c r="M108" s="102">
        <f t="shared" si="89"/>
        <v>0.23227105040872559</v>
      </c>
      <c r="N108" s="102">
        <f t="shared" si="89"/>
        <v>0.23075344534789663</v>
      </c>
      <c r="O108" s="102">
        <f t="shared" si="89"/>
        <v>0.22874704540524066</v>
      </c>
      <c r="P108" s="102">
        <f t="shared" si="89"/>
        <v>0.2262518505807577</v>
      </c>
      <c r="Q108" s="102">
        <f t="shared" si="89"/>
        <v>0.22326786087444769</v>
      </c>
      <c r="R108" s="102">
        <f t="shared" si="89"/>
        <v>0.21979507628631068</v>
      </c>
      <c r="S108" s="102">
        <f t="shared" si="89"/>
        <v>0.21583349681634664</v>
      </c>
      <c r="T108" s="102">
        <f t="shared" si="89"/>
        <v>0.2113831224645556</v>
      </c>
      <c r="U108" s="102">
        <f t="shared" si="89"/>
        <v>0.20644395323093759</v>
      </c>
      <c r="V108" s="102">
        <f t="shared" si="89"/>
        <v>0.20101598911549251</v>
      </c>
      <c r="W108" s="102">
        <f t="shared" si="89"/>
        <v>0.19509923011822039</v>
      </c>
      <c r="X108" s="102">
        <f t="shared" si="89"/>
        <v>0.19097170853695841</v>
      </c>
      <c r="Y108" s="102">
        <f t="shared" si="89"/>
        <v>0.18609254219334975</v>
      </c>
      <c r="Z108" s="102">
        <f t="shared" si="89"/>
        <v>0.18046173108739444</v>
      </c>
      <c r="AA108" s="102">
        <f t="shared" si="89"/>
        <v>0.17407927521909236</v>
      </c>
      <c r="AB108" s="102">
        <f t="shared" si="89"/>
        <v>0.16694517458844366</v>
      </c>
      <c r="AC108" s="102">
        <f t="shared" si="89"/>
        <v>0.15905942919544824</v>
      </c>
      <c r="AD108" s="102">
        <f t="shared" si="89"/>
        <v>0.15042203904010615</v>
      </c>
      <c r="AE108" s="102">
        <f t="shared" si="89"/>
        <v>0.1410330041224174</v>
      </c>
      <c r="AF108" s="102">
        <f t="shared" si="89"/>
        <v>0.13089232444238191</v>
      </c>
      <c r="AG108" s="102">
        <f t="shared" si="89"/>
        <v>0.11999999999999997</v>
      </c>
      <c r="AI108" s="125"/>
      <c r="AJ108" s="185"/>
      <c r="BD108" s="177"/>
      <c r="BE108" s="177"/>
    </row>
    <row r="109" spans="1:63" outlineLevel="1">
      <c r="B109" s="156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I109" s="125"/>
      <c r="AJ109" s="185"/>
      <c r="BD109" s="177"/>
      <c r="BE109" s="177"/>
    </row>
    <row r="110" spans="1:63" outlineLevel="1">
      <c r="A110" t="s">
        <v>422</v>
      </c>
      <c r="B110" s="50" t="s">
        <v>126</v>
      </c>
      <c r="C110" s="188">
        <v>0.52</v>
      </c>
      <c r="D110" s="102">
        <f>C110</f>
        <v>0.52</v>
      </c>
      <c r="E110" s="102">
        <f t="shared" ref="E110:AG112" si="90">D110</f>
        <v>0.52</v>
      </c>
      <c r="F110" s="102">
        <f t="shared" si="90"/>
        <v>0.52</v>
      </c>
      <c r="G110" s="102">
        <f t="shared" si="90"/>
        <v>0.52</v>
      </c>
      <c r="H110" s="102">
        <f t="shared" si="90"/>
        <v>0.52</v>
      </c>
      <c r="I110" s="102">
        <f t="shared" si="90"/>
        <v>0.52</v>
      </c>
      <c r="J110" s="102">
        <f t="shared" si="90"/>
        <v>0.52</v>
      </c>
      <c r="K110" s="102">
        <f t="shared" si="90"/>
        <v>0.52</v>
      </c>
      <c r="L110" s="102">
        <f t="shared" si="90"/>
        <v>0.52</v>
      </c>
      <c r="M110" s="102">
        <f t="shared" si="90"/>
        <v>0.52</v>
      </c>
      <c r="N110" s="102">
        <f t="shared" si="90"/>
        <v>0.52</v>
      </c>
      <c r="O110" s="102">
        <f t="shared" si="90"/>
        <v>0.52</v>
      </c>
      <c r="P110" s="102">
        <f t="shared" si="90"/>
        <v>0.52</v>
      </c>
      <c r="Q110" s="102">
        <f t="shared" si="90"/>
        <v>0.52</v>
      </c>
      <c r="R110" s="102">
        <f t="shared" si="90"/>
        <v>0.52</v>
      </c>
      <c r="S110" s="102">
        <f t="shared" si="90"/>
        <v>0.52</v>
      </c>
      <c r="T110" s="102">
        <f t="shared" si="90"/>
        <v>0.52</v>
      </c>
      <c r="U110" s="102">
        <f t="shared" si="90"/>
        <v>0.52</v>
      </c>
      <c r="V110" s="102">
        <f t="shared" si="90"/>
        <v>0.52</v>
      </c>
      <c r="W110" s="102">
        <f t="shared" si="90"/>
        <v>0.52</v>
      </c>
      <c r="X110" s="102">
        <f t="shared" si="90"/>
        <v>0.52</v>
      </c>
      <c r="Y110" s="102">
        <f t="shared" si="90"/>
        <v>0.52</v>
      </c>
      <c r="Z110" s="102">
        <f t="shared" si="90"/>
        <v>0.52</v>
      </c>
      <c r="AA110" s="102">
        <f t="shared" si="90"/>
        <v>0.52</v>
      </c>
      <c r="AB110" s="102">
        <f t="shared" si="90"/>
        <v>0.52</v>
      </c>
      <c r="AC110" s="102">
        <f t="shared" si="90"/>
        <v>0.52</v>
      </c>
      <c r="AD110" s="102">
        <f t="shared" si="90"/>
        <v>0.52</v>
      </c>
      <c r="AE110" s="102">
        <f t="shared" si="90"/>
        <v>0.52</v>
      </c>
      <c r="AF110" s="102">
        <f t="shared" si="90"/>
        <v>0.52</v>
      </c>
      <c r="AG110" s="102">
        <f t="shared" si="90"/>
        <v>0.52</v>
      </c>
      <c r="AI110" s="124" t="s">
        <v>431</v>
      </c>
      <c r="AJ110" s="205" t="s">
        <v>443</v>
      </c>
      <c r="BD110" s="177"/>
      <c r="BE110" s="177"/>
    </row>
    <row r="111" spans="1:63" outlineLevel="1">
      <c r="A111" t="s">
        <v>429</v>
      </c>
      <c r="B111" s="50" t="s">
        <v>126</v>
      </c>
      <c r="C111" s="188">
        <v>0.12</v>
      </c>
      <c r="D111" s="102">
        <f t="shared" ref="D111:S112" si="91">C111</f>
        <v>0.12</v>
      </c>
      <c r="E111" s="102">
        <f t="shared" si="91"/>
        <v>0.12</v>
      </c>
      <c r="F111" s="102">
        <f t="shared" si="91"/>
        <v>0.12</v>
      </c>
      <c r="G111" s="102">
        <f t="shared" si="91"/>
        <v>0.12</v>
      </c>
      <c r="H111" s="102">
        <f t="shared" si="91"/>
        <v>0.12</v>
      </c>
      <c r="I111" s="102">
        <f t="shared" si="91"/>
        <v>0.12</v>
      </c>
      <c r="J111" s="102">
        <f t="shared" si="91"/>
        <v>0.12</v>
      </c>
      <c r="K111" s="102">
        <f t="shared" si="91"/>
        <v>0.12</v>
      </c>
      <c r="L111" s="102">
        <f t="shared" si="91"/>
        <v>0.12</v>
      </c>
      <c r="M111" s="102">
        <f t="shared" si="91"/>
        <v>0.12</v>
      </c>
      <c r="N111" s="102">
        <f t="shared" si="91"/>
        <v>0.12</v>
      </c>
      <c r="O111" s="102">
        <f t="shared" si="91"/>
        <v>0.12</v>
      </c>
      <c r="P111" s="102">
        <f t="shared" si="91"/>
        <v>0.12</v>
      </c>
      <c r="Q111" s="102">
        <f t="shared" si="91"/>
        <v>0.12</v>
      </c>
      <c r="R111" s="102">
        <f t="shared" si="91"/>
        <v>0.12</v>
      </c>
      <c r="S111" s="102">
        <f t="shared" si="91"/>
        <v>0.12</v>
      </c>
      <c r="T111" s="102">
        <f t="shared" si="90"/>
        <v>0.12</v>
      </c>
      <c r="U111" s="102">
        <f t="shared" si="90"/>
        <v>0.12</v>
      </c>
      <c r="V111" s="102">
        <f t="shared" si="90"/>
        <v>0.12</v>
      </c>
      <c r="W111" s="102">
        <f t="shared" si="90"/>
        <v>0.12</v>
      </c>
      <c r="X111" s="102">
        <f t="shared" si="90"/>
        <v>0.12</v>
      </c>
      <c r="Y111" s="102">
        <f t="shared" si="90"/>
        <v>0.12</v>
      </c>
      <c r="Z111" s="102">
        <f t="shared" si="90"/>
        <v>0.12</v>
      </c>
      <c r="AA111" s="102">
        <f t="shared" si="90"/>
        <v>0.12</v>
      </c>
      <c r="AB111" s="102">
        <f t="shared" si="90"/>
        <v>0.12</v>
      </c>
      <c r="AC111" s="102">
        <f t="shared" si="90"/>
        <v>0.12</v>
      </c>
      <c r="AD111" s="102">
        <f t="shared" si="90"/>
        <v>0.12</v>
      </c>
      <c r="AE111" s="102">
        <f t="shared" si="90"/>
        <v>0.12</v>
      </c>
      <c r="AF111" s="102">
        <f t="shared" si="90"/>
        <v>0.12</v>
      </c>
      <c r="AG111" s="102">
        <f t="shared" si="90"/>
        <v>0.12</v>
      </c>
      <c r="AI111" s="124" t="s">
        <v>431</v>
      </c>
      <c r="AJ111" s="205" t="s">
        <v>443</v>
      </c>
      <c r="AL111" s="1"/>
      <c r="BC111" s="1"/>
      <c r="BD111" s="615"/>
      <c r="BE111" s="605"/>
      <c r="BF111" s="6"/>
      <c r="BG111" s="6"/>
      <c r="BH111" s="6"/>
      <c r="BI111" s="6"/>
      <c r="BJ111" s="6"/>
    </row>
    <row r="112" spans="1:63" outlineLevel="1">
      <c r="A112" t="s">
        <v>430</v>
      </c>
      <c r="B112" s="50" t="s">
        <v>126</v>
      </c>
      <c r="C112" s="113">
        <f>1-C110-C111</f>
        <v>0.36</v>
      </c>
      <c r="D112" s="102">
        <f t="shared" si="91"/>
        <v>0.36</v>
      </c>
      <c r="E112" s="102">
        <f t="shared" si="90"/>
        <v>0.36</v>
      </c>
      <c r="F112" s="102">
        <f t="shared" si="90"/>
        <v>0.36</v>
      </c>
      <c r="G112" s="102">
        <f t="shared" si="90"/>
        <v>0.36</v>
      </c>
      <c r="H112" s="102">
        <f t="shared" si="90"/>
        <v>0.36</v>
      </c>
      <c r="I112" s="102">
        <f t="shared" si="90"/>
        <v>0.36</v>
      </c>
      <c r="J112" s="102">
        <f t="shared" si="90"/>
        <v>0.36</v>
      </c>
      <c r="K112" s="102">
        <f t="shared" si="90"/>
        <v>0.36</v>
      </c>
      <c r="L112" s="102">
        <f t="shared" si="90"/>
        <v>0.36</v>
      </c>
      <c r="M112" s="102">
        <f t="shared" si="90"/>
        <v>0.36</v>
      </c>
      <c r="N112" s="102">
        <f t="shared" si="90"/>
        <v>0.36</v>
      </c>
      <c r="O112" s="102">
        <f t="shared" si="90"/>
        <v>0.36</v>
      </c>
      <c r="P112" s="102">
        <f t="shared" si="90"/>
        <v>0.36</v>
      </c>
      <c r="Q112" s="102">
        <f t="shared" si="90"/>
        <v>0.36</v>
      </c>
      <c r="R112" s="102">
        <f t="shared" si="90"/>
        <v>0.36</v>
      </c>
      <c r="S112" s="102">
        <f t="shared" si="90"/>
        <v>0.36</v>
      </c>
      <c r="T112" s="102">
        <f t="shared" si="90"/>
        <v>0.36</v>
      </c>
      <c r="U112" s="102">
        <f t="shared" si="90"/>
        <v>0.36</v>
      </c>
      <c r="V112" s="102">
        <f t="shared" si="90"/>
        <v>0.36</v>
      </c>
      <c r="W112" s="102">
        <f t="shared" si="90"/>
        <v>0.36</v>
      </c>
      <c r="X112" s="102">
        <f t="shared" si="90"/>
        <v>0.36</v>
      </c>
      <c r="Y112" s="102">
        <f t="shared" si="90"/>
        <v>0.36</v>
      </c>
      <c r="Z112" s="102">
        <f t="shared" si="90"/>
        <v>0.36</v>
      </c>
      <c r="AA112" s="102">
        <f t="shared" si="90"/>
        <v>0.36</v>
      </c>
      <c r="AB112" s="102">
        <f t="shared" si="90"/>
        <v>0.36</v>
      </c>
      <c r="AC112" s="102">
        <f t="shared" si="90"/>
        <v>0.36</v>
      </c>
      <c r="AD112" s="102">
        <f t="shared" si="90"/>
        <v>0.36</v>
      </c>
      <c r="AE112" s="102">
        <f t="shared" si="90"/>
        <v>0.36</v>
      </c>
      <c r="AF112" s="102">
        <f t="shared" si="90"/>
        <v>0.36</v>
      </c>
      <c r="AG112" s="102">
        <f t="shared" si="90"/>
        <v>0.36</v>
      </c>
      <c r="AI112" s="124"/>
      <c r="AJ112" s="196"/>
      <c r="BC112" s="1"/>
      <c r="BD112" s="37"/>
      <c r="BF112" s="6"/>
      <c r="BG112" s="6"/>
      <c r="BH112" s="6"/>
      <c r="BI112" s="6"/>
      <c r="BJ112" s="6"/>
    </row>
    <row r="113" spans="1:63" outlineLevel="1">
      <c r="A113" t="s">
        <v>418</v>
      </c>
      <c r="B113" s="50" t="s">
        <v>126</v>
      </c>
      <c r="C113" s="102">
        <f>SUM(C110:C112)</f>
        <v>1</v>
      </c>
      <c r="D113" s="102">
        <f t="shared" ref="D113:AG113" si="92">SUM(D110:D112)</f>
        <v>1</v>
      </c>
      <c r="E113" s="102">
        <f t="shared" si="92"/>
        <v>1</v>
      </c>
      <c r="F113" s="102">
        <f t="shared" si="92"/>
        <v>1</v>
      </c>
      <c r="G113" s="102">
        <f t="shared" si="92"/>
        <v>1</v>
      </c>
      <c r="H113" s="102">
        <f t="shared" si="92"/>
        <v>1</v>
      </c>
      <c r="I113" s="102">
        <f t="shared" si="92"/>
        <v>1</v>
      </c>
      <c r="J113" s="102">
        <f t="shared" si="92"/>
        <v>1</v>
      </c>
      <c r="K113" s="102">
        <f t="shared" si="92"/>
        <v>1</v>
      </c>
      <c r="L113" s="102">
        <f t="shared" si="92"/>
        <v>1</v>
      </c>
      <c r="M113" s="102">
        <f t="shared" si="92"/>
        <v>1</v>
      </c>
      <c r="N113" s="102">
        <f t="shared" si="92"/>
        <v>1</v>
      </c>
      <c r="O113" s="102">
        <f t="shared" si="92"/>
        <v>1</v>
      </c>
      <c r="P113" s="102">
        <f t="shared" si="92"/>
        <v>1</v>
      </c>
      <c r="Q113" s="102">
        <f t="shared" si="92"/>
        <v>1</v>
      </c>
      <c r="R113" s="102">
        <f t="shared" si="92"/>
        <v>1</v>
      </c>
      <c r="S113" s="102">
        <f t="shared" si="92"/>
        <v>1</v>
      </c>
      <c r="T113" s="102">
        <f t="shared" si="92"/>
        <v>1</v>
      </c>
      <c r="U113" s="102">
        <f t="shared" si="92"/>
        <v>1</v>
      </c>
      <c r="V113" s="102">
        <f t="shared" si="92"/>
        <v>1</v>
      </c>
      <c r="W113" s="102">
        <f t="shared" si="92"/>
        <v>1</v>
      </c>
      <c r="X113" s="102">
        <f t="shared" si="92"/>
        <v>1</v>
      </c>
      <c r="Y113" s="102">
        <f t="shared" si="92"/>
        <v>1</v>
      </c>
      <c r="Z113" s="102">
        <f t="shared" si="92"/>
        <v>1</v>
      </c>
      <c r="AA113" s="102">
        <f t="shared" si="92"/>
        <v>1</v>
      </c>
      <c r="AB113" s="102">
        <f t="shared" si="92"/>
        <v>1</v>
      </c>
      <c r="AC113" s="102">
        <f t="shared" si="92"/>
        <v>1</v>
      </c>
      <c r="AD113" s="102">
        <f t="shared" si="92"/>
        <v>1</v>
      </c>
      <c r="AE113" s="102">
        <f t="shared" si="92"/>
        <v>1</v>
      </c>
      <c r="AF113" s="102">
        <f t="shared" si="92"/>
        <v>1</v>
      </c>
      <c r="AG113" s="102">
        <f t="shared" si="92"/>
        <v>1</v>
      </c>
      <c r="AI113" s="124"/>
      <c r="AJ113" s="185"/>
      <c r="BC113" s="1"/>
      <c r="BD113" s="37"/>
      <c r="BF113" s="6"/>
      <c r="BG113" s="6"/>
      <c r="BH113" s="6"/>
      <c r="BI113" s="6"/>
      <c r="BJ113" s="6"/>
    </row>
    <row r="114" spans="1:63" outlineLevel="1">
      <c r="C114" s="188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I114" s="124"/>
      <c r="AJ114" s="185"/>
      <c r="BC114" s="1"/>
      <c r="BD114" s="37"/>
      <c r="BF114" s="6"/>
      <c r="BG114" s="6"/>
      <c r="BH114" s="6"/>
      <c r="BI114" s="6"/>
      <c r="BJ114" s="6"/>
    </row>
    <row r="115" spans="1:63" outlineLevel="1">
      <c r="A115" t="s">
        <v>426</v>
      </c>
      <c r="B115" s="50" t="s">
        <v>126</v>
      </c>
      <c r="C115" s="102">
        <f>C110*C108</f>
        <v>9.0896000000000005E-2</v>
      </c>
      <c r="D115" s="102">
        <f t="shared" ref="D115:AG115" si="93">D110*D108</f>
        <v>9.558698585388728E-2</v>
      </c>
      <c r="E115" s="102">
        <f t="shared" si="93"/>
        <v>9.989964032274487E-2</v>
      </c>
      <c r="F115" s="102">
        <f t="shared" si="93"/>
        <v>0.10383396340657279</v>
      </c>
      <c r="G115" s="102">
        <f t="shared" si="93"/>
        <v>0.10738995510537105</v>
      </c>
      <c r="H115" s="102">
        <f t="shared" si="93"/>
        <v>0.11056761541913959</v>
      </c>
      <c r="I115" s="102">
        <f t="shared" si="93"/>
        <v>0.11336694434787849</v>
      </c>
      <c r="J115" s="102">
        <f t="shared" si="93"/>
        <v>0.1157879418915877</v>
      </c>
      <c r="K115" s="102">
        <f t="shared" si="93"/>
        <v>0.11783060805026725</v>
      </c>
      <c r="L115" s="102">
        <f t="shared" si="93"/>
        <v>0.11949494282391712</v>
      </c>
      <c r="M115" s="102">
        <f t="shared" si="93"/>
        <v>0.12078094621253731</v>
      </c>
      <c r="N115" s="102">
        <f t="shared" si="93"/>
        <v>0.11999179158090625</v>
      </c>
      <c r="O115" s="102">
        <f t="shared" si="93"/>
        <v>0.11894846361072514</v>
      </c>
      <c r="P115" s="102">
        <f t="shared" si="93"/>
        <v>0.11765096230199401</v>
      </c>
      <c r="Q115" s="102">
        <f t="shared" si="93"/>
        <v>0.11609928765471281</v>
      </c>
      <c r="R115" s="102">
        <f t="shared" si="93"/>
        <v>0.11429343966888156</v>
      </c>
      <c r="S115" s="102">
        <f t="shared" si="93"/>
        <v>0.11223341834450026</v>
      </c>
      <c r="T115" s="102">
        <f t="shared" si="93"/>
        <v>0.10991922368156891</v>
      </c>
      <c r="U115" s="102">
        <f t="shared" si="93"/>
        <v>0.10735085568008755</v>
      </c>
      <c r="V115" s="102">
        <f t="shared" si="93"/>
        <v>0.10452831434005611</v>
      </c>
      <c r="W115" s="102">
        <f t="shared" si="93"/>
        <v>0.1014515996614746</v>
      </c>
      <c r="X115" s="102">
        <f t="shared" si="93"/>
        <v>9.9305288439218375E-2</v>
      </c>
      <c r="Y115" s="102">
        <f t="shared" si="93"/>
        <v>9.6768121940541879E-2</v>
      </c>
      <c r="Z115" s="102">
        <f t="shared" si="93"/>
        <v>9.3840100165445112E-2</v>
      </c>
      <c r="AA115" s="102">
        <f t="shared" si="93"/>
        <v>9.0521223113928032E-2</v>
      </c>
      <c r="AB115" s="102">
        <f t="shared" si="93"/>
        <v>8.6811490785990708E-2</v>
      </c>
      <c r="AC115" s="102">
        <f t="shared" si="93"/>
        <v>8.2710903181633086E-2</v>
      </c>
      <c r="AD115" s="102">
        <f t="shared" si="93"/>
        <v>7.8219460300855206E-2</v>
      </c>
      <c r="AE115" s="102">
        <f t="shared" si="93"/>
        <v>7.3337162143657056E-2</v>
      </c>
      <c r="AF115" s="102">
        <f t="shared" si="93"/>
        <v>6.8064008710038593E-2</v>
      </c>
      <c r="AG115" s="102">
        <f t="shared" si="93"/>
        <v>6.2399999999999983E-2</v>
      </c>
      <c r="AI115" s="124"/>
      <c r="AJ115" s="185"/>
      <c r="BD115" s="177"/>
      <c r="BE115" s="177"/>
    </row>
    <row r="116" spans="1:63" outlineLevel="1">
      <c r="A116" t="s">
        <v>427</v>
      </c>
      <c r="B116" s="50" t="s">
        <v>126</v>
      </c>
      <c r="C116" s="102">
        <f>C108*C111</f>
        <v>2.0976000000000002E-2</v>
      </c>
      <c r="D116" s="102">
        <f t="shared" ref="D116:AG116" si="94">D108*D111</f>
        <v>2.2058535197050907E-2</v>
      </c>
      <c r="E116" s="102">
        <f t="shared" si="94"/>
        <v>2.3053763151402659E-2</v>
      </c>
      <c r="F116" s="102">
        <f t="shared" si="94"/>
        <v>2.396168386305526E-2</v>
      </c>
      <c r="G116" s="102">
        <f t="shared" si="94"/>
        <v>2.47822973320087E-2</v>
      </c>
      <c r="H116" s="102">
        <f t="shared" si="94"/>
        <v>2.5515603558262982E-2</v>
      </c>
      <c r="I116" s="102">
        <f t="shared" si="94"/>
        <v>2.6161602541818114E-2</v>
      </c>
      <c r="J116" s="102">
        <f t="shared" si="94"/>
        <v>2.6720294282674084E-2</v>
      </c>
      <c r="K116" s="102">
        <f t="shared" si="94"/>
        <v>2.71916787808309E-2</v>
      </c>
      <c r="L116" s="102">
        <f t="shared" si="94"/>
        <v>2.7575756036288562E-2</v>
      </c>
      <c r="M116" s="102">
        <f t="shared" si="94"/>
        <v>2.787252604904707E-2</v>
      </c>
      <c r="N116" s="102">
        <f t="shared" si="94"/>
        <v>2.7690413441747594E-2</v>
      </c>
      <c r="O116" s="102">
        <f t="shared" si="94"/>
        <v>2.7449645448628879E-2</v>
      </c>
      <c r="P116" s="102">
        <f t="shared" si="94"/>
        <v>2.7150222069690921E-2</v>
      </c>
      <c r="Q116" s="102">
        <f t="shared" si="94"/>
        <v>2.6792143304933722E-2</v>
      </c>
      <c r="R116" s="102">
        <f t="shared" si="94"/>
        <v>2.6375409154357279E-2</v>
      </c>
      <c r="S116" s="102">
        <f t="shared" si="94"/>
        <v>2.5900019617961595E-2</v>
      </c>
      <c r="T116" s="102">
        <f t="shared" si="94"/>
        <v>2.5365974695746672E-2</v>
      </c>
      <c r="U116" s="102">
        <f t="shared" si="94"/>
        <v>2.4773274387712509E-2</v>
      </c>
      <c r="V116" s="102">
        <f t="shared" si="94"/>
        <v>2.4121918693859101E-2</v>
      </c>
      <c r="W116" s="102">
        <f t="shared" si="94"/>
        <v>2.3411907614186447E-2</v>
      </c>
      <c r="X116" s="102">
        <f t="shared" si="94"/>
        <v>2.2916605024435009E-2</v>
      </c>
      <c r="Y116" s="102">
        <f t="shared" si="94"/>
        <v>2.2331105063201968E-2</v>
      </c>
      <c r="Z116" s="102">
        <f t="shared" si="94"/>
        <v>2.1655407730487332E-2</v>
      </c>
      <c r="AA116" s="102">
        <f t="shared" si="94"/>
        <v>2.0889513026291082E-2</v>
      </c>
      <c r="AB116" s="102">
        <f t="shared" si="94"/>
        <v>2.0033420950613237E-2</v>
      </c>
      <c r="AC116" s="102">
        <f t="shared" si="94"/>
        <v>1.9087131503453789E-2</v>
      </c>
      <c r="AD116" s="102">
        <f t="shared" si="94"/>
        <v>1.8050644684812735E-2</v>
      </c>
      <c r="AE116" s="102">
        <f t="shared" si="94"/>
        <v>1.6923960494690086E-2</v>
      </c>
      <c r="AF116" s="102">
        <f t="shared" si="94"/>
        <v>1.570707893308583E-2</v>
      </c>
      <c r="AG116" s="102">
        <f t="shared" si="94"/>
        <v>1.4399999999999996E-2</v>
      </c>
      <c r="AI116" s="124"/>
      <c r="AJ116" s="185"/>
      <c r="AL116" s="1"/>
      <c r="BC116" s="1"/>
      <c r="BD116" s="615"/>
      <c r="BE116" s="605"/>
      <c r="BF116" s="6"/>
      <c r="BG116" s="6"/>
      <c r="BH116" s="6"/>
      <c r="BI116" s="6"/>
      <c r="BJ116" s="6"/>
    </row>
    <row r="117" spans="1:63" outlineLevel="1">
      <c r="A117" t="s">
        <v>428</v>
      </c>
      <c r="B117" s="50" t="s">
        <v>126</v>
      </c>
      <c r="C117" s="102">
        <f>C108*C112</f>
        <v>6.2927999999999998E-2</v>
      </c>
      <c r="D117" s="102">
        <f t="shared" ref="D117:AG117" si="95">D108*D112</f>
        <v>6.6175605591152722E-2</v>
      </c>
      <c r="E117" s="102">
        <f t="shared" si="95"/>
        <v>6.9161289454207978E-2</v>
      </c>
      <c r="F117" s="102">
        <f t="shared" si="95"/>
        <v>7.1885051589165777E-2</v>
      </c>
      <c r="G117" s="102">
        <f t="shared" si="95"/>
        <v>7.4346891996026107E-2</v>
      </c>
      <c r="H117" s="102">
        <f t="shared" si="95"/>
        <v>7.654681067478894E-2</v>
      </c>
      <c r="I117" s="102">
        <f t="shared" si="95"/>
        <v>7.8484807625454331E-2</v>
      </c>
      <c r="J117" s="102">
        <f t="shared" si="95"/>
        <v>8.0160882848022252E-2</v>
      </c>
      <c r="K117" s="102">
        <f t="shared" si="95"/>
        <v>8.1575036342492704E-2</v>
      </c>
      <c r="L117" s="102">
        <f t="shared" si="95"/>
        <v>8.2727268108865687E-2</v>
      </c>
      <c r="M117" s="102">
        <f t="shared" si="95"/>
        <v>8.3617578147141214E-2</v>
      </c>
      <c r="N117" s="102">
        <f t="shared" si="95"/>
        <v>8.3071240325242782E-2</v>
      </c>
      <c r="O117" s="102">
        <f t="shared" si="95"/>
        <v>8.2348936345886636E-2</v>
      </c>
      <c r="P117" s="102">
        <f t="shared" si="95"/>
        <v>8.1450666209072764E-2</v>
      </c>
      <c r="Q117" s="102">
        <f t="shared" si="95"/>
        <v>8.0376429914801165E-2</v>
      </c>
      <c r="R117" s="102">
        <f t="shared" si="95"/>
        <v>7.9126227463071838E-2</v>
      </c>
      <c r="S117" s="102">
        <f t="shared" si="95"/>
        <v>7.7700058853884785E-2</v>
      </c>
      <c r="T117" s="102">
        <f t="shared" si="95"/>
        <v>7.6097924087240018E-2</v>
      </c>
      <c r="U117" s="102">
        <f t="shared" si="95"/>
        <v>7.4319823163137524E-2</v>
      </c>
      <c r="V117" s="102">
        <f t="shared" si="95"/>
        <v>7.2365756081577304E-2</v>
      </c>
      <c r="W117" s="102">
        <f t="shared" si="95"/>
        <v>7.0235722842559342E-2</v>
      </c>
      <c r="X117" s="102">
        <f t="shared" si="95"/>
        <v>6.8749815073305021E-2</v>
      </c>
      <c r="Y117" s="102">
        <f t="shared" si="95"/>
        <v>6.6993315189605912E-2</v>
      </c>
      <c r="Z117" s="102">
        <f t="shared" si="95"/>
        <v>6.4966223191462003E-2</v>
      </c>
      <c r="AA117" s="102">
        <f t="shared" si="95"/>
        <v>6.266853907887325E-2</v>
      </c>
      <c r="AB117" s="102">
        <f t="shared" si="95"/>
        <v>6.0100262851839711E-2</v>
      </c>
      <c r="AC117" s="102">
        <f t="shared" si="95"/>
        <v>5.7261394510361364E-2</v>
      </c>
      <c r="AD117" s="102">
        <f t="shared" si="95"/>
        <v>5.415193405443821E-2</v>
      </c>
      <c r="AE117" s="102">
        <f t="shared" si="95"/>
        <v>5.0771881484070261E-2</v>
      </c>
      <c r="AF117" s="102">
        <f t="shared" si="95"/>
        <v>4.712123679925749E-2</v>
      </c>
      <c r="AG117" s="102">
        <f t="shared" si="95"/>
        <v>4.3199999999999988E-2</v>
      </c>
      <c r="AI117" s="125"/>
      <c r="AJ117" s="185"/>
      <c r="BC117" s="1"/>
      <c r="BD117" s="37"/>
      <c r="BF117" s="6"/>
      <c r="BG117" s="6"/>
      <c r="BH117" s="6"/>
      <c r="BI117" s="6"/>
      <c r="BJ117" s="6"/>
    </row>
    <row r="118" spans="1:63" outlineLevel="1"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I118" s="125"/>
      <c r="AJ118" s="185"/>
      <c r="BC118" s="1"/>
      <c r="BD118" s="37"/>
      <c r="BF118" s="6"/>
      <c r="BG118" s="6"/>
      <c r="BH118" s="6"/>
      <c r="BI118" s="6"/>
      <c r="BJ118" s="6"/>
    </row>
    <row r="119" spans="1:63" outlineLevel="1">
      <c r="A119" t="s">
        <v>755</v>
      </c>
      <c r="C119" s="329">
        <f>'Overall recycling rates'!C86</f>
        <v>1.3222920538803327</v>
      </c>
      <c r="D119" s="329">
        <f t="shared" ref="D119:AF119" si="96">C119-($C119-$AG119)/($AG1-$C1)</f>
        <v>1.3148823187509882</v>
      </c>
      <c r="E119" s="329">
        <f t="shared" si="96"/>
        <v>1.3074725836216436</v>
      </c>
      <c r="F119" s="329">
        <f t="shared" si="96"/>
        <v>1.3000628484922991</v>
      </c>
      <c r="G119" s="329">
        <f t="shared" si="96"/>
        <v>1.2926531133629546</v>
      </c>
      <c r="H119" s="329">
        <f t="shared" si="96"/>
        <v>1.2852433782336101</v>
      </c>
      <c r="I119" s="329">
        <f t="shared" si="96"/>
        <v>1.2778336431042656</v>
      </c>
      <c r="J119" s="329">
        <f t="shared" si="96"/>
        <v>1.2704239079749211</v>
      </c>
      <c r="K119" s="329">
        <f t="shared" si="96"/>
        <v>1.2630141728455766</v>
      </c>
      <c r="L119" s="329">
        <f t="shared" si="96"/>
        <v>1.2556044377162321</v>
      </c>
      <c r="M119" s="329">
        <f t="shared" si="96"/>
        <v>1.2481947025868876</v>
      </c>
      <c r="N119" s="329">
        <f t="shared" si="96"/>
        <v>1.2407849674575431</v>
      </c>
      <c r="O119" s="329">
        <f t="shared" si="96"/>
        <v>1.2333752323281986</v>
      </c>
      <c r="P119" s="329">
        <f t="shared" si="96"/>
        <v>1.2259654971988541</v>
      </c>
      <c r="Q119" s="329">
        <f t="shared" si="96"/>
        <v>1.2185557620695096</v>
      </c>
      <c r="R119" s="329">
        <f t="shared" si="96"/>
        <v>1.211146026940165</v>
      </c>
      <c r="S119" s="329">
        <f t="shared" si="96"/>
        <v>1.2037362918108205</v>
      </c>
      <c r="T119" s="329">
        <f t="shared" si="96"/>
        <v>1.196326556681476</v>
      </c>
      <c r="U119" s="329">
        <f t="shared" si="96"/>
        <v>1.1889168215521315</v>
      </c>
      <c r="V119" s="329">
        <f t="shared" si="96"/>
        <v>1.181507086422787</v>
      </c>
      <c r="W119" s="329">
        <f t="shared" si="96"/>
        <v>1.1740973512934425</v>
      </c>
      <c r="X119" s="329">
        <f t="shared" si="96"/>
        <v>1.166687616164098</v>
      </c>
      <c r="Y119" s="329">
        <f t="shared" si="96"/>
        <v>1.1592778810347535</v>
      </c>
      <c r="Z119" s="329">
        <f t="shared" si="96"/>
        <v>1.151868145905409</v>
      </c>
      <c r="AA119" s="329">
        <f t="shared" si="96"/>
        <v>1.1444584107760645</v>
      </c>
      <c r="AB119" s="329">
        <f t="shared" si="96"/>
        <v>1.13704867564672</v>
      </c>
      <c r="AC119" s="329">
        <f t="shared" si="96"/>
        <v>1.1296389405173755</v>
      </c>
      <c r="AD119" s="329">
        <f t="shared" si="96"/>
        <v>1.1222292053880309</v>
      </c>
      <c r="AE119" s="329">
        <f t="shared" si="96"/>
        <v>1.1148194702586864</v>
      </c>
      <c r="AF119" s="329">
        <f t="shared" si="96"/>
        <v>1.1074097351293419</v>
      </c>
      <c r="AG119" s="329">
        <f>'Overall recycling rates'!C95</f>
        <v>1.1000000000000001</v>
      </c>
      <c r="AI119" s="125"/>
      <c r="AJ119" s="185"/>
      <c r="BC119" s="1"/>
      <c r="BD119" s="37"/>
      <c r="BF119" s="6"/>
      <c r="BG119" s="6"/>
      <c r="BH119" s="6"/>
      <c r="BI119" s="6"/>
      <c r="BJ119" s="6"/>
    </row>
    <row r="120" spans="1:63" outlineLevel="1">
      <c r="A120" t="s">
        <v>756</v>
      </c>
      <c r="B120" s="50" t="s">
        <v>126</v>
      </c>
      <c r="C120" s="102">
        <f>C107*C119</f>
        <v>2.0098839218981056E-2</v>
      </c>
      <c r="D120" s="102">
        <f t="shared" ref="D120:AG120" si="97">D107*D119</f>
        <v>2.8054829821869912E-2</v>
      </c>
      <c r="E120" s="102">
        <f t="shared" si="97"/>
        <v>3.6871147730600469E-2</v>
      </c>
      <c r="F120" s="102">
        <f t="shared" si="97"/>
        <v>4.6531619856590878E-2</v>
      </c>
      <c r="G120" s="102">
        <f t="shared" si="97"/>
        <v>5.7020073111259291E-2</v>
      </c>
      <c r="H120" s="102">
        <f t="shared" si="97"/>
        <v>6.8320334406023822E-2</v>
      </c>
      <c r="I120" s="102">
        <f t="shared" si="97"/>
        <v>8.0416230652302662E-2</v>
      </c>
      <c r="J120" s="102">
        <f t="shared" si="97"/>
        <v>9.3291588761513944E-2</v>
      </c>
      <c r="K120" s="102">
        <f t="shared" si="97"/>
        <v>0.1069302356450758</v>
      </c>
      <c r="L120" s="102">
        <f t="shared" si="97"/>
        <v>0.1213159982144064</v>
      </c>
      <c r="M120" s="102">
        <f t="shared" si="97"/>
        <v>0.13643270338092386</v>
      </c>
      <c r="N120" s="102">
        <f t="shared" si="97"/>
        <v>0.15014100567802871</v>
      </c>
      <c r="O120" s="102">
        <f t="shared" si="97"/>
        <v>0.16427877534771615</v>
      </c>
      <c r="P120" s="102">
        <f t="shared" si="97"/>
        <v>0.17883514686816548</v>
      </c>
      <c r="Q120" s="102">
        <f t="shared" si="97"/>
        <v>0.19379925471755591</v>
      </c>
      <c r="R120" s="102">
        <f t="shared" si="97"/>
        <v>0.2091602333740667</v>
      </c>
      <c r="S120" s="102">
        <f t="shared" si="97"/>
        <v>0.22490721731587707</v>
      </c>
      <c r="T120" s="102">
        <f t="shared" si="97"/>
        <v>0.24102934102116633</v>
      </c>
      <c r="U120" s="102">
        <f t="shared" si="97"/>
        <v>0.25751573896811364</v>
      </c>
      <c r="V120" s="102">
        <f t="shared" si="97"/>
        <v>0.27435554563489833</v>
      </c>
      <c r="W120" s="102">
        <f t="shared" si="97"/>
        <v>0.29153789549969961</v>
      </c>
      <c r="X120" s="102">
        <f t="shared" si="97"/>
        <v>0.31278299806359894</v>
      </c>
      <c r="Y120" s="102">
        <f t="shared" si="97"/>
        <v>0.33460623606655232</v>
      </c>
      <c r="Z120" s="102">
        <f t="shared" si="97"/>
        <v>0.35699090104275871</v>
      </c>
      <c r="AA120" s="102">
        <f t="shared" si="97"/>
        <v>0.37992028452641691</v>
      </c>
      <c r="AB120" s="102">
        <f t="shared" si="97"/>
        <v>0.4033776780517262</v>
      </c>
      <c r="AC120" s="102">
        <f t="shared" si="97"/>
        <v>0.42734637315288515</v>
      </c>
      <c r="AD120" s="102">
        <f t="shared" si="97"/>
        <v>0.45180966136409306</v>
      </c>
      <c r="AE120" s="102">
        <f t="shared" si="97"/>
        <v>0.47675083421954872</v>
      </c>
      <c r="AF120" s="102">
        <f t="shared" si="97"/>
        <v>0.50215318325345093</v>
      </c>
      <c r="AG120" s="102">
        <f t="shared" si="97"/>
        <v>0.52800000000000002</v>
      </c>
      <c r="AI120" s="125"/>
      <c r="AJ120" s="185"/>
      <c r="BC120" s="1"/>
      <c r="BD120" s="37"/>
      <c r="BF120" s="6"/>
      <c r="BG120" s="6"/>
      <c r="BH120" s="6"/>
      <c r="BI120" s="6"/>
      <c r="BJ120" s="6"/>
    </row>
    <row r="121" spans="1:63" outlineLevel="1">
      <c r="A121" t="s">
        <v>757</v>
      </c>
      <c r="B121" s="50" t="s">
        <v>126</v>
      </c>
      <c r="C121" s="102">
        <f>C108*C119</f>
        <v>0.23113665101828215</v>
      </c>
      <c r="D121" s="102">
        <f t="shared" ref="D121:AG121" si="98">D108*D119</f>
        <v>0.24170314923457153</v>
      </c>
      <c r="E121" s="102">
        <f t="shared" si="98"/>
        <v>0.25118469391471571</v>
      </c>
      <c r="F121" s="102">
        <f t="shared" si="98"/>
        <v>0.25959745814729651</v>
      </c>
      <c r="G121" s="102">
        <f t="shared" si="98"/>
        <v>0.26695761502089577</v>
      </c>
      <c r="H121" s="102">
        <f t="shared" si="98"/>
        <v>0.27328133762409534</v>
      </c>
      <c r="I121" s="102">
        <f t="shared" si="98"/>
        <v>0.27858479904547712</v>
      </c>
      <c r="J121" s="102">
        <f t="shared" si="98"/>
        <v>0.2828841723736229</v>
      </c>
      <c r="K121" s="102">
        <f t="shared" si="98"/>
        <v>0.28619563069711468</v>
      </c>
      <c r="L121" s="102">
        <f t="shared" si="98"/>
        <v>0.28853534710453416</v>
      </c>
      <c r="M121" s="102">
        <f t="shared" si="98"/>
        <v>0.28991949468446321</v>
      </c>
      <c r="N121" s="102">
        <f t="shared" si="98"/>
        <v>0.28631540617670587</v>
      </c>
      <c r="O121" s="102">
        <f t="shared" si="98"/>
        <v>0.28213094027107766</v>
      </c>
      <c r="P121" s="102">
        <f t="shared" si="98"/>
        <v>0.27737696248939947</v>
      </c>
      <c r="Q121" s="102">
        <f t="shared" si="98"/>
        <v>0.27206433835349186</v>
      </c>
      <c r="R121" s="102">
        <f t="shared" si="98"/>
        <v>0.26620393338517567</v>
      </c>
      <c r="S121" s="102">
        <f t="shared" si="98"/>
        <v>0.25980661310627162</v>
      </c>
      <c r="T121" s="102">
        <f t="shared" si="98"/>
        <v>0.25288324303860055</v>
      </c>
      <c r="U121" s="102">
        <f t="shared" si="98"/>
        <v>0.2454446887039832</v>
      </c>
      <c r="V121" s="102">
        <f t="shared" si="98"/>
        <v>0.23750181562424022</v>
      </c>
      <c r="W121" s="102">
        <f t="shared" si="98"/>
        <v>0.22906548932119239</v>
      </c>
      <c r="X121" s="102">
        <f t="shared" si="98"/>
        <v>0.22280432738776892</v>
      </c>
      <c r="Y121" s="102">
        <f t="shared" si="98"/>
        <v>0.21573296799027697</v>
      </c>
      <c r="Z121" s="102">
        <f t="shared" si="98"/>
        <v>0.20786811959451754</v>
      </c>
      <c r="AA121" s="102">
        <f t="shared" si="98"/>
        <v>0.19922649066629158</v>
      </c>
      <c r="AB121" s="102">
        <f t="shared" si="98"/>
        <v>0.18982478967140032</v>
      </c>
      <c r="AC121" s="102">
        <f t="shared" si="98"/>
        <v>0.17967972507564464</v>
      </c>
      <c r="AD121" s="102">
        <f t="shared" si="98"/>
        <v>0.16880800534482568</v>
      </c>
      <c r="AE121" s="102">
        <f t="shared" si="98"/>
        <v>0.1572263389447445</v>
      </c>
      <c r="AF121" s="102">
        <f t="shared" si="98"/>
        <v>0.14495143434120206</v>
      </c>
      <c r="AG121" s="102">
        <f t="shared" si="98"/>
        <v>0.13199999999999998</v>
      </c>
      <c r="AI121" s="125"/>
      <c r="AJ121" s="185"/>
      <c r="BC121" s="1"/>
      <c r="BD121" s="37"/>
      <c r="BF121" s="6"/>
      <c r="BG121" s="6"/>
      <c r="BH121" s="6"/>
      <c r="BI121" s="6"/>
      <c r="BJ121" s="6"/>
    </row>
    <row r="122" spans="1:63" outlineLevel="1">
      <c r="A122" t="s">
        <v>758</v>
      </c>
      <c r="B122" s="50" t="s">
        <v>126</v>
      </c>
      <c r="C122" s="102">
        <f>C104*C119</f>
        <v>0.25123549023726321</v>
      </c>
      <c r="D122" s="102">
        <f t="shared" ref="D122:AG122" si="99">D104*D119</f>
        <v>0.26975797905644144</v>
      </c>
      <c r="E122" s="102">
        <f t="shared" si="99"/>
        <v>0.28805584164531617</v>
      </c>
      <c r="F122" s="102">
        <f t="shared" si="99"/>
        <v>0.30612907800388739</v>
      </c>
      <c r="G122" s="102">
        <f t="shared" si="99"/>
        <v>0.32397768813215505</v>
      </c>
      <c r="H122" s="102">
        <f t="shared" si="99"/>
        <v>0.34160167203011915</v>
      </c>
      <c r="I122" s="102">
        <f t="shared" si="99"/>
        <v>0.35900102969777975</v>
      </c>
      <c r="J122" s="102">
        <f t="shared" si="99"/>
        <v>0.3761757611351369</v>
      </c>
      <c r="K122" s="102">
        <f t="shared" si="99"/>
        <v>0.39312586634219049</v>
      </c>
      <c r="L122" s="102">
        <f t="shared" si="99"/>
        <v>0.40985134531894057</v>
      </c>
      <c r="M122" s="102">
        <f t="shared" si="99"/>
        <v>0.4263521980653871</v>
      </c>
      <c r="N122" s="102">
        <f t="shared" si="99"/>
        <v>0.4364564118547346</v>
      </c>
      <c r="O122" s="102">
        <f t="shared" si="99"/>
        <v>0.44640971561879389</v>
      </c>
      <c r="P122" s="102">
        <f t="shared" si="99"/>
        <v>0.45621210935756495</v>
      </c>
      <c r="Q122" s="102">
        <f t="shared" si="99"/>
        <v>0.4658635930710478</v>
      </c>
      <c r="R122" s="102">
        <f t="shared" si="99"/>
        <v>0.47536416675924237</v>
      </c>
      <c r="S122" s="102">
        <f t="shared" si="99"/>
        <v>0.48471383042214877</v>
      </c>
      <c r="T122" s="102">
        <f t="shared" si="99"/>
        <v>0.4939125840597669</v>
      </c>
      <c r="U122" s="102">
        <f t="shared" si="99"/>
        <v>0.50296042767209681</v>
      </c>
      <c r="V122" s="102">
        <f t="shared" si="99"/>
        <v>0.5118573612591385</v>
      </c>
      <c r="W122" s="102">
        <f t="shared" si="99"/>
        <v>0.52060338482089197</v>
      </c>
      <c r="X122" s="102">
        <f t="shared" si="99"/>
        <v>0.53558732545136789</v>
      </c>
      <c r="Y122" s="102">
        <f t="shared" si="99"/>
        <v>0.55033920405682923</v>
      </c>
      <c r="Z122" s="102">
        <f t="shared" si="99"/>
        <v>0.56485902063727622</v>
      </c>
      <c r="AA122" s="102">
        <f t="shared" si="99"/>
        <v>0.57914677519270852</v>
      </c>
      <c r="AB122" s="102">
        <f t="shared" si="99"/>
        <v>0.59320246772312646</v>
      </c>
      <c r="AC122" s="102">
        <f t="shared" si="99"/>
        <v>0.60702609822852982</v>
      </c>
      <c r="AD122" s="102">
        <f t="shared" si="99"/>
        <v>0.62061766670891871</v>
      </c>
      <c r="AE122" s="102">
        <f t="shared" si="99"/>
        <v>0.63397717316429314</v>
      </c>
      <c r="AF122" s="102">
        <f t="shared" si="99"/>
        <v>0.64710461759465299</v>
      </c>
      <c r="AG122" s="102">
        <f t="shared" si="99"/>
        <v>0.66</v>
      </c>
      <c r="AI122" s="125"/>
      <c r="AJ122" s="185"/>
      <c r="BC122" s="1"/>
      <c r="BD122" s="37"/>
      <c r="BF122" s="6"/>
      <c r="BG122" s="6"/>
      <c r="BH122" s="6"/>
      <c r="BI122" s="6"/>
      <c r="BJ122" s="6"/>
    </row>
    <row r="123" spans="1:63" outlineLevel="1">
      <c r="A123" t="s">
        <v>759</v>
      </c>
      <c r="B123" s="50" t="s">
        <v>126</v>
      </c>
      <c r="C123" s="102">
        <f>C115*C119</f>
        <v>0.12019105852950672</v>
      </c>
      <c r="D123" s="102">
        <f t="shared" ref="D123:AG123" si="100">D115*D119</f>
        <v>0.12568563760197721</v>
      </c>
      <c r="E123" s="102">
        <f t="shared" si="100"/>
        <v>0.13061604083565218</v>
      </c>
      <c r="F123" s="102">
        <f t="shared" si="100"/>
        <v>0.13499067823659416</v>
      </c>
      <c r="G123" s="102">
        <f t="shared" si="100"/>
        <v>0.13881795981086581</v>
      </c>
      <c r="H123" s="102">
        <f t="shared" si="100"/>
        <v>0.14210629556452958</v>
      </c>
      <c r="I123" s="102">
        <f t="shared" si="100"/>
        <v>0.14486409550364809</v>
      </c>
      <c r="J123" s="102">
        <f t="shared" si="100"/>
        <v>0.14709976963428392</v>
      </c>
      <c r="K123" s="102">
        <f t="shared" si="100"/>
        <v>0.14882172796249962</v>
      </c>
      <c r="L123" s="102">
        <f t="shared" si="100"/>
        <v>0.15003838049435775</v>
      </c>
      <c r="M123" s="102">
        <f t="shared" si="100"/>
        <v>0.15075813723592088</v>
      </c>
      <c r="N123" s="102">
        <f t="shared" si="100"/>
        <v>0.14888401121188705</v>
      </c>
      <c r="O123" s="102">
        <f t="shared" si="100"/>
        <v>0.14670808894096041</v>
      </c>
      <c r="P123" s="102">
        <f t="shared" si="100"/>
        <v>0.14423602049448772</v>
      </c>
      <c r="Q123" s="102">
        <f t="shared" si="100"/>
        <v>0.14147345594381577</v>
      </c>
      <c r="R123" s="102">
        <f t="shared" si="100"/>
        <v>0.13842604536029135</v>
      </c>
      <c r="S123" s="102">
        <f t="shared" si="100"/>
        <v>0.13509943881526126</v>
      </c>
      <c r="T123" s="102">
        <f t="shared" si="100"/>
        <v>0.1314992863800723</v>
      </c>
      <c r="U123" s="102">
        <f t="shared" si="100"/>
        <v>0.12763123812607127</v>
      </c>
      <c r="V123" s="102">
        <f t="shared" si="100"/>
        <v>0.12350094412460491</v>
      </c>
      <c r="W123" s="102">
        <f t="shared" si="100"/>
        <v>0.11911405444702004</v>
      </c>
      <c r="X123" s="102">
        <f t="shared" si="100"/>
        <v>0.11585825024163984</v>
      </c>
      <c r="Y123" s="102">
        <f t="shared" si="100"/>
        <v>0.11218114335494403</v>
      </c>
      <c r="Z123" s="102">
        <f t="shared" si="100"/>
        <v>0.10809142218914912</v>
      </c>
      <c r="AA123" s="102">
        <f t="shared" si="100"/>
        <v>0.10359777514647163</v>
      </c>
      <c r="AB123" s="102">
        <f t="shared" si="100"/>
        <v>9.8708890629128174E-2</v>
      </c>
      <c r="AC123" s="102">
        <f t="shared" si="100"/>
        <v>9.3433457039335213E-2</v>
      </c>
      <c r="AD123" s="102">
        <f t="shared" si="100"/>
        <v>8.7780162779309376E-2</v>
      </c>
      <c r="AE123" s="102">
        <f t="shared" si="100"/>
        <v>8.1757696251267151E-2</v>
      </c>
      <c r="AF123" s="102">
        <f t="shared" si="100"/>
        <v>7.5374745857425055E-2</v>
      </c>
      <c r="AG123" s="102">
        <f t="shared" si="100"/>
        <v>6.8639999999999993E-2</v>
      </c>
      <c r="AI123" s="125"/>
      <c r="AJ123" s="185"/>
      <c r="BC123" s="1"/>
      <c r="BD123" s="37"/>
      <c r="BF123" s="6"/>
      <c r="BG123" s="6"/>
      <c r="BH123" s="6"/>
      <c r="BI123" s="6"/>
      <c r="BJ123" s="6"/>
    </row>
    <row r="124" spans="1:63" outlineLevel="1">
      <c r="A124" t="s">
        <v>760</v>
      </c>
      <c r="B124" s="50" t="s">
        <v>126</v>
      </c>
      <c r="C124" s="102">
        <f>C116*C119</f>
        <v>2.7736398122193862E-2</v>
      </c>
      <c r="D124" s="102">
        <f t="shared" ref="D124:AG124" si="101">D116*D119</f>
        <v>2.9004377908148582E-2</v>
      </c>
      <c r="E124" s="102">
        <f t="shared" si="101"/>
        <v>3.0142163269765879E-2</v>
      </c>
      <c r="F124" s="102">
        <f t="shared" si="101"/>
        <v>3.115169497767558E-2</v>
      </c>
      <c r="G124" s="102">
        <f t="shared" si="101"/>
        <v>3.2034913802507489E-2</v>
      </c>
      <c r="H124" s="102">
        <f t="shared" si="101"/>
        <v>3.279376051489144E-2</v>
      </c>
      <c r="I124" s="102">
        <f t="shared" si="101"/>
        <v>3.3430175885457256E-2</v>
      </c>
      <c r="J124" s="102">
        <f t="shared" si="101"/>
        <v>3.3946100684834751E-2</v>
      </c>
      <c r="K124" s="102">
        <f t="shared" si="101"/>
        <v>3.4343475683653757E-2</v>
      </c>
      <c r="L124" s="102">
        <f t="shared" si="101"/>
        <v>3.4624241652544095E-2</v>
      </c>
      <c r="M124" s="102">
        <f t="shared" si="101"/>
        <v>3.4790339362135582E-2</v>
      </c>
      <c r="N124" s="102">
        <f t="shared" si="101"/>
        <v>3.4357848741204698E-2</v>
      </c>
      <c r="O124" s="102">
        <f t="shared" si="101"/>
        <v>3.3855712832529319E-2</v>
      </c>
      <c r="P124" s="102">
        <f t="shared" si="101"/>
        <v>3.328523549872793E-2</v>
      </c>
      <c r="Q124" s="102">
        <f t="shared" si="101"/>
        <v>3.2647720602419023E-2</v>
      </c>
      <c r="R124" s="102">
        <f t="shared" si="101"/>
        <v>3.1944472006221074E-2</v>
      </c>
      <c r="S124" s="102">
        <f t="shared" si="101"/>
        <v>3.1176793572752597E-2</v>
      </c>
      <c r="T124" s="102">
        <f t="shared" si="101"/>
        <v>3.0345989164632069E-2</v>
      </c>
      <c r="U124" s="102">
        <f t="shared" si="101"/>
        <v>2.9453362644477985E-2</v>
      </c>
      <c r="V124" s="102">
        <f t="shared" si="101"/>
        <v>2.8500217874908827E-2</v>
      </c>
      <c r="W124" s="102">
        <f t="shared" si="101"/>
        <v>2.7487858718543087E-2</v>
      </c>
      <c r="X124" s="102">
        <f t="shared" si="101"/>
        <v>2.673651928653227E-2</v>
      </c>
      <c r="Y124" s="102">
        <f t="shared" si="101"/>
        <v>2.5887956158833231E-2</v>
      </c>
      <c r="Z124" s="102">
        <f t="shared" si="101"/>
        <v>2.4944174351342104E-2</v>
      </c>
      <c r="AA124" s="102">
        <f t="shared" si="101"/>
        <v>2.3907178879954988E-2</v>
      </c>
      <c r="AB124" s="102">
        <f t="shared" si="101"/>
        <v>2.2778974760568036E-2</v>
      </c>
      <c r="AC124" s="102">
        <f t="shared" si="101"/>
        <v>2.1561567009077357E-2</v>
      </c>
      <c r="AD124" s="102">
        <f t="shared" si="101"/>
        <v>2.0256960641379079E-2</v>
      </c>
      <c r="AE124" s="102">
        <f t="shared" si="101"/>
        <v>1.8867160673369337E-2</v>
      </c>
      <c r="AF124" s="102">
        <f t="shared" si="101"/>
        <v>1.7394172120944247E-2</v>
      </c>
      <c r="AG124" s="102">
        <f t="shared" si="101"/>
        <v>1.5839999999999996E-2</v>
      </c>
      <c r="AI124" s="125"/>
      <c r="AJ124" s="185"/>
      <c r="BC124" s="1"/>
      <c r="BD124" s="37"/>
      <c r="BF124" s="6"/>
      <c r="BG124" s="6"/>
      <c r="BH124" s="6"/>
      <c r="BI124" s="6"/>
      <c r="BJ124" s="6"/>
    </row>
    <row r="125" spans="1:63" outlineLevel="1">
      <c r="A125" t="s">
        <v>761</v>
      </c>
      <c r="B125" s="50" t="s">
        <v>126</v>
      </c>
      <c r="C125" s="102">
        <f>C117*C119</f>
        <v>8.3209194366581571E-2</v>
      </c>
      <c r="D125" s="102">
        <f t="shared" ref="D125:AG125" si="102">D117*D119</f>
        <v>8.7013133724445746E-2</v>
      </c>
      <c r="E125" s="102">
        <f t="shared" si="102"/>
        <v>9.0426489809297642E-2</v>
      </c>
      <c r="F125" s="102">
        <f t="shared" si="102"/>
        <v>9.3455084933026733E-2</v>
      </c>
      <c r="G125" s="102">
        <f t="shared" si="102"/>
        <v>9.6104741407522482E-2</v>
      </c>
      <c r="H125" s="102">
        <f t="shared" si="102"/>
        <v>9.8381281544674307E-2</v>
      </c>
      <c r="I125" s="102">
        <f t="shared" si="102"/>
        <v>0.10029052765637175</v>
      </c>
      <c r="J125" s="102">
        <f t="shared" si="102"/>
        <v>0.10183830205450425</v>
      </c>
      <c r="K125" s="102">
        <f t="shared" si="102"/>
        <v>0.10303042705096127</v>
      </c>
      <c r="L125" s="102">
        <f t="shared" si="102"/>
        <v>0.10387272495763228</v>
      </c>
      <c r="M125" s="102">
        <f t="shared" si="102"/>
        <v>0.10437101808640675</v>
      </c>
      <c r="N125" s="102">
        <f t="shared" si="102"/>
        <v>0.1030735462236141</v>
      </c>
      <c r="O125" s="102">
        <f t="shared" si="102"/>
        <v>0.10156713849758797</v>
      </c>
      <c r="P125" s="102">
        <f t="shared" si="102"/>
        <v>9.9855706496183791E-2</v>
      </c>
      <c r="Q125" s="102">
        <f t="shared" si="102"/>
        <v>9.7943161807257054E-2</v>
      </c>
      <c r="R125" s="102">
        <f t="shared" si="102"/>
        <v>9.5833416018663228E-2</v>
      </c>
      <c r="S125" s="102">
        <f t="shared" si="102"/>
        <v>9.3530380718257783E-2</v>
      </c>
      <c r="T125" s="102">
        <f t="shared" si="102"/>
        <v>9.1037967493896199E-2</v>
      </c>
      <c r="U125" s="102">
        <f t="shared" si="102"/>
        <v>8.8360087933433945E-2</v>
      </c>
      <c r="V125" s="102">
        <f t="shared" si="102"/>
        <v>8.5500653624726475E-2</v>
      </c>
      <c r="W125" s="102">
        <f t="shared" si="102"/>
        <v>8.2463576155629256E-2</v>
      </c>
      <c r="X125" s="102">
        <f t="shared" si="102"/>
        <v>8.0209557859596811E-2</v>
      </c>
      <c r="Y125" s="102">
        <f t="shared" si="102"/>
        <v>7.7663868476499712E-2</v>
      </c>
      <c r="Z125" s="102">
        <f t="shared" si="102"/>
        <v>7.4832523054026323E-2</v>
      </c>
      <c r="AA125" s="102">
        <f t="shared" si="102"/>
        <v>7.1721536639864969E-2</v>
      </c>
      <c r="AB125" s="102">
        <f t="shared" si="102"/>
        <v>6.8336924281704112E-2</v>
      </c>
      <c r="AC125" s="102">
        <f t="shared" si="102"/>
        <v>6.4684701027232075E-2</v>
      </c>
      <c r="AD125" s="102">
        <f t="shared" si="102"/>
        <v>6.0770881924137245E-2</v>
      </c>
      <c r="AE125" s="102">
        <f t="shared" si="102"/>
        <v>5.6601482020108021E-2</v>
      </c>
      <c r="AF125" s="102">
        <f t="shared" si="102"/>
        <v>5.2182516362832734E-2</v>
      </c>
      <c r="AG125" s="102">
        <f t="shared" si="102"/>
        <v>4.7519999999999993E-2</v>
      </c>
      <c r="AI125" s="125"/>
      <c r="AJ125" s="185"/>
      <c r="BC125" s="1"/>
      <c r="BD125" s="37"/>
      <c r="BF125" s="6"/>
      <c r="BG125" s="6"/>
      <c r="BH125" s="6"/>
      <c r="BI125" s="6"/>
      <c r="BJ125" s="6"/>
    </row>
    <row r="126" spans="1:63" outlineLevel="1"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I126" s="125"/>
      <c r="AJ126" s="185"/>
      <c r="BC126" s="1"/>
      <c r="BD126" s="37"/>
      <c r="BF126" s="6"/>
      <c r="BG126" s="6"/>
      <c r="BH126" s="6"/>
      <c r="BI126" s="6"/>
      <c r="BJ126" s="6"/>
    </row>
    <row r="127" spans="1:63" s="1" customFormat="1" outlineLevel="1">
      <c r="A127" s="1" t="s">
        <v>265</v>
      </c>
      <c r="B127" s="60"/>
      <c r="C127" s="250">
        <f>C120*C43</f>
        <v>517.6567529707122</v>
      </c>
      <c r="D127" s="250">
        <f t="shared" ref="D127:AF127" si="103">D120*D43</f>
        <v>720.97258189563161</v>
      </c>
      <c r="E127" s="250">
        <f t="shared" si="103"/>
        <v>945.44870144750223</v>
      </c>
      <c r="F127" s="250">
        <f t="shared" si="103"/>
        <v>1190.5282004953901</v>
      </c>
      <c r="G127" s="250">
        <f t="shared" si="103"/>
        <v>1455.6584581049694</v>
      </c>
      <c r="H127" s="250">
        <f t="shared" si="103"/>
        <v>1740.291121023633</v>
      </c>
      <c r="I127" s="250">
        <f t="shared" si="103"/>
        <v>2043.8820812624356</v>
      </c>
      <c r="J127" s="250">
        <f t="shared" si="103"/>
        <v>2365.891453774489</v>
      </c>
      <c r="K127" s="250">
        <f t="shared" si="103"/>
        <v>2705.7835542294629</v>
      </c>
      <c r="L127" s="250">
        <f t="shared" si="103"/>
        <v>3063.0268768838118</v>
      </c>
      <c r="M127" s="250">
        <f t="shared" si="103"/>
        <v>3437.0940725463615</v>
      </c>
      <c r="N127" s="250">
        <f t="shared" si="103"/>
        <v>3774.0917804607097</v>
      </c>
      <c r="O127" s="250">
        <f t="shared" si="103"/>
        <v>4120.356524559882</v>
      </c>
      <c r="P127" s="250">
        <f t="shared" si="103"/>
        <v>4460.3159175099463</v>
      </c>
      <c r="Q127" s="250">
        <f t="shared" si="103"/>
        <v>4806.3549208628729</v>
      </c>
      <c r="R127" s="250">
        <f t="shared" si="103"/>
        <v>5158.048200302439</v>
      </c>
      <c r="S127" s="250">
        <f t="shared" si="103"/>
        <v>5514.9773520655417</v>
      </c>
      <c r="T127" s="250">
        <f t="shared" si="103"/>
        <v>5876.7308748531159</v>
      </c>
      <c r="U127" s="250">
        <f t="shared" si="103"/>
        <v>6242.9041412484576</v>
      </c>
      <c r="V127" s="250">
        <f t="shared" si="103"/>
        <v>6613.099368651121</v>
      </c>
      <c r="W127" s="250">
        <f t="shared" si="103"/>
        <v>6986.9255897345865</v>
      </c>
      <c r="X127" s="250">
        <f t="shared" si="103"/>
        <v>7452.9015843022644</v>
      </c>
      <c r="Y127" s="250">
        <f t="shared" si="103"/>
        <v>7926.8152122614001</v>
      </c>
      <c r="Z127" s="250">
        <f t="shared" si="103"/>
        <v>8338.9777099599196</v>
      </c>
      <c r="AA127" s="250">
        <f t="shared" si="103"/>
        <v>8749.1142604860979</v>
      </c>
      <c r="AB127" s="250">
        <f t="shared" si="103"/>
        <v>9156.3686977135967</v>
      </c>
      <c r="AC127" s="250">
        <f t="shared" si="103"/>
        <v>9559.9131729337223</v>
      </c>
      <c r="AD127" s="250">
        <f t="shared" si="103"/>
        <v>9958.9482252268808</v>
      </c>
      <c r="AE127" s="250">
        <f t="shared" si="103"/>
        <v>10352.70283387893</v>
      </c>
      <c r="AF127" s="250">
        <f t="shared" si="103"/>
        <v>10740.434453102831</v>
      </c>
      <c r="AG127" s="250">
        <f>AG120*AG43</f>
        <v>11121.429029323735</v>
      </c>
      <c r="AH127" s="217">
        <f>AG127-C127</f>
        <v>10603.772276353024</v>
      </c>
      <c r="AI127" s="368"/>
      <c r="AJ127" s="369"/>
      <c r="AL127" s="194"/>
      <c r="AM127" s="116"/>
      <c r="AN127" s="116"/>
      <c r="AO127" s="116"/>
      <c r="BD127" s="116"/>
      <c r="BE127" s="116"/>
      <c r="BF127" s="116"/>
      <c r="BG127" s="116"/>
      <c r="BH127" s="116"/>
      <c r="BI127" s="116"/>
      <c r="BJ127" s="116"/>
      <c r="BK127" s="116"/>
    </row>
    <row r="128" spans="1:63" outlineLevel="1">
      <c r="A128" s="4" t="s">
        <v>141</v>
      </c>
      <c r="C128" s="203">
        <f>C$127*'Ethylene recycling rates'!E68</f>
        <v>417.66504114249017</v>
      </c>
      <c r="D128" s="203">
        <f>D$127*'Ethylene recycling rates'!F68</f>
        <v>571.39999194394557</v>
      </c>
      <c r="E128" s="203">
        <f>E$127*'Ethylene recycling rates'!G68</f>
        <v>735.78906908176225</v>
      </c>
      <c r="F128" s="203">
        <f>F$127*'Ethylene recycling rates'!H68</f>
        <v>909.49921869303807</v>
      </c>
      <c r="G128" s="203">
        <f>G$127*'Ethylene recycling rates'!I68</f>
        <v>1091.2324523143743</v>
      </c>
      <c r="H128" s="203">
        <f>H$127*'Ethylene recycling rates'!J68</f>
        <v>1279.7255236347919</v>
      </c>
      <c r="I128" s="203">
        <f>I$127*'Ethylene recycling rates'!K68</f>
        <v>1473.74960724988</v>
      </c>
      <c r="J128" s="203">
        <f>J$127*'Ethylene recycling rates'!L68</f>
        <v>1672.1099794072163</v>
      </c>
      <c r="K128" s="203">
        <f>K$127*'Ethylene recycling rates'!M68</f>
        <v>1873.645700733166</v>
      </c>
      <c r="L128" s="203">
        <f>L$127*'Ethylene recycling rates'!N68</f>
        <v>2077.2293009311829</v>
      </c>
      <c r="M128" s="203">
        <f>M$127*'Ethylene recycling rates'!O68</f>
        <v>2281.7664654417918</v>
      </c>
      <c r="N128" s="203">
        <f>N$127*'Ethylene recycling rates'!P68</f>
        <v>2451.5281997880993</v>
      </c>
      <c r="O128" s="203">
        <f>O$127*'Ethylene recycling rates'!Q68</f>
        <v>2617.5407065899963</v>
      </c>
      <c r="P128" s="203">
        <f>P$127*'Ethylene recycling rates'!R68</f>
        <v>2769.736471016899</v>
      </c>
      <c r="Q128" s="203">
        <f>Q$127*'Ethylene recycling rates'!S68</f>
        <v>2915.8995986379978</v>
      </c>
      <c r="R128" s="203">
        <f>R$127*'Ethylene recycling rates'!T68</f>
        <v>3055.5173648160785</v>
      </c>
      <c r="S128" s="203">
        <f>S$127*'Ethylene recycling rates'!U68</f>
        <v>3188.1053758337966</v>
      </c>
      <c r="T128" s="203">
        <f>T$127*'Ethylene recycling rates'!V68</f>
        <v>3313.2070576171809</v>
      </c>
      <c r="U128" s="203">
        <f>U$127*'Ethylene recycling rates'!W68</f>
        <v>3430.3931465980477</v>
      </c>
      <c r="V128" s="203">
        <f>V$127*'Ethylene recycling rates'!X68</f>
        <v>3539.2611827689993</v>
      </c>
      <c r="W128" s="203">
        <f>W$127*'Ethylene recycling rates'!Y68</f>
        <v>3639.4350049837522</v>
      </c>
      <c r="X128" s="203">
        <f>X$127*'Ethylene recycling rates'!Z68</f>
        <v>3775.6020368723407</v>
      </c>
      <c r="Y128" s="203">
        <f>Y$127*'Ethylene recycling rates'!AA68</f>
        <v>3902.352367624721</v>
      </c>
      <c r="Z128" s="203">
        <f>Z$127*'Ethylene recycling rates'!AB68</f>
        <v>3986.0342839374189</v>
      </c>
      <c r="AA128" s="203">
        <f>AA$127*'Ethylene recycling rates'!AC68</f>
        <v>4056.9911564051899</v>
      </c>
      <c r="AB128" s="203">
        <f>AB$127*'Ethylene recycling rates'!AD68</f>
        <v>4114.925115619697</v>
      </c>
      <c r="AC128" s="203">
        <f>AC$127*'Ethylene recycling rates'!AE68</f>
        <v>4159.5995767120357</v>
      </c>
      <c r="AD128" s="203">
        <f>AD$127*'Ethylene recycling rates'!AF68</f>
        <v>4190.8372446554713</v>
      </c>
      <c r="AE128" s="203">
        <f>AE$127*'Ethylene recycling rates'!AG68</f>
        <v>4208.5181062324655</v>
      </c>
      <c r="AF128" s="203">
        <f>AF$127*'Ethylene recycling rates'!AH68</f>
        <v>4212.5774105650671</v>
      </c>
      <c r="AG128" s="203">
        <f>AG$127*'Ethylene recycling rates'!AI68</f>
        <v>4203.0036400771469</v>
      </c>
      <c r="AH128" s="217">
        <f>AG128-C128</f>
        <v>3785.3385989346566</v>
      </c>
      <c r="AI128" s="124"/>
      <c r="AJ128" s="185"/>
      <c r="AL128" s="100"/>
      <c r="AM128" s="2"/>
      <c r="AN128" s="2"/>
      <c r="AO128" s="2"/>
      <c r="BC128" s="1"/>
      <c r="BD128" s="2"/>
      <c r="BE128" s="2"/>
      <c r="BF128" s="2"/>
      <c r="BG128" s="2"/>
      <c r="BH128" s="2"/>
      <c r="BI128" s="2"/>
      <c r="BJ128" s="2"/>
      <c r="BK128" s="2"/>
    </row>
    <row r="129" spans="1:63" outlineLevel="1">
      <c r="A129" s="4" t="s">
        <v>74</v>
      </c>
      <c r="C129" s="203">
        <f>C$127*'Ethylene recycling rates'!E69</f>
        <v>51.799591696396234</v>
      </c>
      <c r="D129" s="203">
        <f>D$127*'Ethylene recycling rates'!F69</f>
        <v>69.739679135058992</v>
      </c>
      <c r="E129" s="203">
        <f>E$127*'Ethylene recycling rates'!G69</f>
        <v>88.299694077651026</v>
      </c>
      <c r="F129" s="203">
        <f>F$127*'Ethylene recycling rates'!H69</f>
        <v>107.21774013634102</v>
      </c>
      <c r="G129" s="203">
        <f>G$127*'Ethylene recycling rates'!I69</f>
        <v>126.23972333080199</v>
      </c>
      <c r="H129" s="203">
        <f>H$127*'Ethylene recycling rates'!J69</f>
        <v>145.11927866061617</v>
      </c>
      <c r="I129" s="203">
        <f>I$127*'Ethylene recycling rates'!K69</f>
        <v>163.6176971360243</v>
      </c>
      <c r="J129" s="203">
        <f>J$127*'Ethylene recycling rates'!L69</f>
        <v>181.50385326472929</v>
      </c>
      <c r="K129" s="203">
        <f>K$127*'Ethylene recycling rates'!M69</f>
        <v>198.55413299247698</v>
      </c>
      <c r="L129" s="203">
        <f>L$127*'Ethylene recycling rates'!N69</f>
        <v>214.55236209514325</v>
      </c>
      <c r="M129" s="203">
        <f>M$127*'Ethylene recycling rates'!O69</f>
        <v>229.28973502006801</v>
      </c>
      <c r="N129" s="203">
        <f>N$127*'Ethylene recycling rates'!P69</f>
        <v>239.18242029961232</v>
      </c>
      <c r="O129" s="203">
        <f>O$127*'Ethylene recycling rates'!Q69</f>
        <v>247.38336867927555</v>
      </c>
      <c r="P129" s="203">
        <f>P$127*'Ethylene recycling rates'!R69</f>
        <v>252.91683563460984</v>
      </c>
      <c r="Q129" s="203">
        <f>Q$127*'Ethylene recycling rates'!S69</f>
        <v>256.50688004604979</v>
      </c>
      <c r="R129" s="203">
        <f>R$127*'Ethylene recycling rates'!T69</f>
        <v>258.0713853269429</v>
      </c>
      <c r="S129" s="203">
        <f>S$127*'Ethylene recycling rates'!U69</f>
        <v>257.53423336823994</v>
      </c>
      <c r="T129" s="203">
        <f>T$127*'Ethylene recycling rates'!V69</f>
        <v>254.82518773560452</v>
      </c>
      <c r="U129" s="203">
        <f>U$127*'Ethylene recycling rates'!W69</f>
        <v>249.87977740895582</v>
      </c>
      <c r="V129" s="203">
        <f>V$127*'Ethylene recycling rates'!X69</f>
        <v>242.63918107624553</v>
      </c>
      <c r="W129" s="203">
        <f>W$127*'Ethylene recycling rates'!Y69</f>
        <v>233.05011199305284</v>
      </c>
      <c r="X129" s="203">
        <f>X$127*'Ethylene recycling rates'!Z69</f>
        <v>223.73353972769888</v>
      </c>
      <c r="Y129" s="203">
        <f>Y$127*'Ethylene recycling rates'!AA69</f>
        <v>211.52023438519879</v>
      </c>
      <c r="Z129" s="203">
        <f>Z$127*'Ethylene recycling rates'!AB69</f>
        <v>194.70363108608512</v>
      </c>
      <c r="AA129" s="203">
        <f>AA$127*'Ethylene recycling rates'!AC69</f>
        <v>175.09693201044274</v>
      </c>
      <c r="AB129" s="203">
        <f>AB$127*'Ethylene recycling rates'!AD69</f>
        <v>152.70613111917334</v>
      </c>
      <c r="AC129" s="203">
        <f>AC$127*'Ethylene recycling rates'!AE69</f>
        <v>127.54902321383929</v>
      </c>
      <c r="AD129" s="203">
        <f>AD$127*'Ethylene recycling rates'!AF69</f>
        <v>99.654732374656618</v>
      </c>
      <c r="AE129" s="203">
        <f>AE$127*'Ethylene recycling rates'!AG69</f>
        <v>69.063238870357608</v>
      </c>
      <c r="AF129" s="203">
        <f>AF$127*'Ethylene recycling rates'!AH69</f>
        <v>35.8249049600186</v>
      </c>
      <c r="AG129" s="203">
        <f>AG$127*'Ethylene recycling rates'!AI69</f>
        <v>0</v>
      </c>
      <c r="AH129" s="217">
        <f t="shared" ref="AH129:AH132" si="104">AG129-C129</f>
        <v>-51.799591696396234</v>
      </c>
      <c r="AI129" s="124"/>
      <c r="AJ129" s="185"/>
      <c r="AL129" s="100"/>
      <c r="AM129" s="2"/>
      <c r="AN129" s="2"/>
      <c r="AO129" s="2"/>
      <c r="BC129" s="1"/>
      <c r="BD129" s="2"/>
      <c r="BE129" s="2"/>
      <c r="BF129" s="2"/>
      <c r="BG129" s="2"/>
      <c r="BH129" s="2"/>
      <c r="BI129" s="2"/>
      <c r="BJ129" s="2"/>
      <c r="BK129" s="2"/>
    </row>
    <row r="130" spans="1:63" outlineLevel="1">
      <c r="A130" s="4" t="s">
        <v>34</v>
      </c>
      <c r="C130" s="203">
        <f>C$127*'Ethylene recycling rates'!E70</f>
        <v>0</v>
      </c>
      <c r="D130" s="203">
        <f>D$127*'Ethylene recycling rates'!F70</f>
        <v>2.8781889094267519</v>
      </c>
      <c r="E130" s="203">
        <f>E$127*'Ethylene recycling rates'!G70</f>
        <v>7.5486364815244666</v>
      </c>
      <c r="F130" s="203">
        <f>F$127*'Ethylene recycling rates'!H70</f>
        <v>14.258094478501203</v>
      </c>
      <c r="G130" s="203">
        <f>G$127*'Ethylene recycling rates'!I70</f>
        <v>23.244490208019961</v>
      </c>
      <c r="H130" s="203">
        <f>H$127*'Ethylene recycling rates'!J70</f>
        <v>34.737011708089888</v>
      </c>
      <c r="I130" s="203">
        <f>I$127*'Ethylene recycling rates'!K70</f>
        <v>48.956192394987823</v>
      </c>
      <c r="J130" s="203">
        <f>J$127*'Ethylene recycling rates'!L70</f>
        <v>66.11399517690549</v>
      </c>
      <c r="K130" s="203">
        <f>K$127*'Ethylene recycling rates'!M70</f>
        <v>86.41389603600652</v>
      </c>
      <c r="L130" s="203">
        <f>L$127*'Ethylene recycling rates'!N70</f>
        <v>110.0509670815655</v>
      </c>
      <c r="M130" s="203">
        <f>M$127*'Ethylene recycling rates'!O70</f>
        <v>137.21195907684915</v>
      </c>
      <c r="N130" s="203">
        <f>N$127*'Ethylene recycling rates'!P70</f>
        <v>165.73173954593554</v>
      </c>
      <c r="O130" s="203">
        <f>O$127*'Ethylene recycling rates'!Q70</f>
        <v>197.38611009075768</v>
      </c>
      <c r="P130" s="203">
        <f>P$127*'Ethylene recycling rates'!R70</f>
        <v>231.4778920487112</v>
      </c>
      <c r="Q130" s="203">
        <f>Q$127*'Ethylene recycling rates'!S70</f>
        <v>268.62375748427962</v>
      </c>
      <c r="R130" s="203">
        <f>R$127*'Ethylene recycling rates'!T70</f>
        <v>308.87104788434652</v>
      </c>
      <c r="S130" s="203">
        <f>S$127*'Ethylene recycling rates'!U70</f>
        <v>352.26075551932865</v>
      </c>
      <c r="T130" s="203">
        <f>T$127*'Ethylene recycling rates'!V70</f>
        <v>398.8276598739248</v>
      </c>
      <c r="U130" s="203">
        <f>U$127*'Ethylene recycling rates'!W70</f>
        <v>448.60046336966195</v>
      </c>
      <c r="V130" s="203">
        <f>V$127*'Ethylene recycling rates'!X70</f>
        <v>501.60192636609463</v>
      </c>
      <c r="W130" s="203">
        <f>W$127*'Ethylene recycling rates'!Y70</f>
        <v>557.84900142777292</v>
      </c>
      <c r="X130" s="203">
        <f>X$127*'Ethylene recycling rates'!Z70</f>
        <v>624.80605178957421</v>
      </c>
      <c r="Y130" s="203">
        <f>Y$127*'Ethylene recycling rates'!AA70</f>
        <v>696.18067106301157</v>
      </c>
      <c r="Z130" s="203">
        <f>Z$127*'Ethylene recycling rates'!AB70</f>
        <v>765.66923147914281</v>
      </c>
      <c r="AA130" s="203">
        <f>AA$127*'Ethylene recycling rates'!AC70</f>
        <v>838.25446673034821</v>
      </c>
      <c r="AB130" s="203">
        <f>AB$127*'Ethylene recycling rates'!AD70</f>
        <v>913.82666616428094</v>
      </c>
      <c r="AC130" s="203">
        <f>AC$127*'Ethylene recycling rates'!AE70</f>
        <v>992.26538674184405</v>
      </c>
      <c r="AD130" s="203">
        <f>AD$127*'Ethylene recycling rates'!AF70</f>
        <v>1073.4400258509709</v>
      </c>
      <c r="AE130" s="203">
        <f>AE$127*'Ethylene recycling rates'!AG70</f>
        <v>1157.2103937989857</v>
      </c>
      <c r="AF130" s="203">
        <f>AF$127*'Ethylene recycling rates'!AH70</f>
        <v>1243.427285511942</v>
      </c>
      <c r="AG130" s="203">
        <f>AG$127*'Ethylene recycling rates'!AI70</f>
        <v>1331.933050977382</v>
      </c>
      <c r="AH130" s="217">
        <f t="shared" si="104"/>
        <v>1331.933050977382</v>
      </c>
      <c r="AI130" s="124"/>
      <c r="AJ130" s="185"/>
      <c r="AL130" s="100"/>
      <c r="AM130" s="2"/>
      <c r="AN130" s="2"/>
      <c r="AO130" s="2"/>
      <c r="BC130" s="1"/>
      <c r="BD130" s="2"/>
      <c r="BE130" s="2"/>
      <c r="BF130" s="2"/>
      <c r="BG130" s="2"/>
      <c r="BH130" s="2"/>
      <c r="BI130" s="2"/>
      <c r="BJ130" s="2"/>
      <c r="BK130" s="2"/>
    </row>
    <row r="131" spans="1:63" outlineLevel="1">
      <c r="A131" s="4" t="s">
        <v>35</v>
      </c>
      <c r="C131" s="203">
        <f>C$127*'Ethylene recycling rates'!E71</f>
        <v>0</v>
      </c>
      <c r="D131" s="203">
        <f>D$127*'Ethylene recycling rates'!F71</f>
        <v>0</v>
      </c>
      <c r="E131" s="203">
        <f>E$127*'Ethylene recycling rates'!G71</f>
        <v>0</v>
      </c>
      <c r="F131" s="203">
        <f>F$127*'Ethylene recycling rates'!H71</f>
        <v>0</v>
      </c>
      <c r="G131" s="203">
        <f>G$127*'Ethylene recycling rates'!I71</f>
        <v>0</v>
      </c>
      <c r="H131" s="203">
        <f>H$127*'Ethylene recycling rates'!J71</f>
        <v>0</v>
      </c>
      <c r="I131" s="203">
        <f>I$127*'Ethylene recycling rates'!K71</f>
        <v>0</v>
      </c>
      <c r="J131" s="203">
        <f>J$127*'Ethylene recycling rates'!L71</f>
        <v>0</v>
      </c>
      <c r="K131" s="203">
        <f>K$127*'Ethylene recycling rates'!M71</f>
        <v>0</v>
      </c>
      <c r="L131" s="203">
        <f>L$127*'Ethylene recycling rates'!N71</f>
        <v>0</v>
      </c>
      <c r="M131" s="203">
        <f>M$127*'Ethylene recycling rates'!O71</f>
        <v>0</v>
      </c>
      <c r="N131" s="203">
        <f>N$127*'Ethylene recycling rates'!P71</f>
        <v>0</v>
      </c>
      <c r="O131" s="203">
        <f>O$127*'Ethylene recycling rates'!Q71</f>
        <v>0</v>
      </c>
      <c r="P131" s="203">
        <f>P$127*'Ethylene recycling rates'!R71</f>
        <v>0</v>
      </c>
      <c r="Q131" s="203">
        <f>Q$127*'Ethylene recycling rates'!S71</f>
        <v>0</v>
      </c>
      <c r="R131" s="203">
        <f>R$127*'Ethylene recycling rates'!T71</f>
        <v>0</v>
      </c>
      <c r="S131" s="203">
        <f>S$127*'Ethylene recycling rates'!U71</f>
        <v>0</v>
      </c>
      <c r="T131" s="203">
        <f>T$127*'Ethylene recycling rates'!V71</f>
        <v>0</v>
      </c>
      <c r="U131" s="203">
        <f>U$127*'Ethylene recycling rates'!W71</f>
        <v>0</v>
      </c>
      <c r="V131" s="203">
        <f>V$127*'Ethylene recycling rates'!X71</f>
        <v>0</v>
      </c>
      <c r="W131" s="203">
        <f>W$127*'Ethylene recycling rates'!Y71</f>
        <v>0</v>
      </c>
      <c r="X131" s="203">
        <f>X$127*'Ethylene recycling rates'!Z71</f>
        <v>0</v>
      </c>
      <c r="Y131" s="203">
        <f>Y$127*'Ethylene recycling rates'!AA71</f>
        <v>0</v>
      </c>
      <c r="Z131" s="203">
        <f>Z$127*'Ethylene recycling rates'!AB71</f>
        <v>0</v>
      </c>
      <c r="AA131" s="203">
        <f>AA$127*'Ethylene recycling rates'!AC71</f>
        <v>0</v>
      </c>
      <c r="AB131" s="203">
        <f>AB$127*'Ethylene recycling rates'!AD71</f>
        <v>0</v>
      </c>
      <c r="AC131" s="203">
        <f>AC$127*'Ethylene recycling rates'!AE71</f>
        <v>0</v>
      </c>
      <c r="AD131" s="203">
        <f>AD$127*'Ethylene recycling rates'!AF71</f>
        <v>0</v>
      </c>
      <c r="AE131" s="203">
        <f>AE$127*'Ethylene recycling rates'!AG71</f>
        <v>0</v>
      </c>
      <c r="AF131" s="203">
        <f>AF$127*'Ethylene recycling rates'!AH71</f>
        <v>0</v>
      </c>
      <c r="AG131" s="203">
        <f>AG$127*'Ethylene recycling rates'!AI71</f>
        <v>0</v>
      </c>
      <c r="AH131" s="217">
        <f t="shared" si="104"/>
        <v>0</v>
      </c>
      <c r="AI131" s="124"/>
      <c r="AJ131" s="185"/>
      <c r="AL131" s="100"/>
      <c r="AM131" s="2"/>
      <c r="AN131" s="2"/>
      <c r="AO131" s="2"/>
      <c r="BC131" s="1"/>
      <c r="BD131" s="2"/>
      <c r="BE131" s="2"/>
      <c r="BF131" s="2"/>
      <c r="BG131" s="2"/>
      <c r="BH131" s="2"/>
      <c r="BI131" s="2"/>
      <c r="BJ131" s="2"/>
      <c r="BK131" s="2"/>
    </row>
    <row r="132" spans="1:63" outlineLevel="1">
      <c r="A132" s="4" t="s">
        <v>27</v>
      </c>
      <c r="C132" s="203">
        <f>C$127*'Ethylene recycling rates'!E72</f>
        <v>48.192120131825774</v>
      </c>
      <c r="D132" s="203">
        <f>D$127*'Ethylene recycling rates'!F72</f>
        <v>76.954721907200266</v>
      </c>
      <c r="E132" s="203">
        <f>E$127*'Ethylene recycling rates'!G72</f>
        <v>113.81130180656443</v>
      </c>
      <c r="F132" s="203">
        <f>F$127*'Ethylene recycling rates'!H72</f>
        <v>159.55314718750964</v>
      </c>
      <c r="G132" s="203">
        <f>G$127*'Ethylene recycling rates'!I72</f>
        <v>214.94179225177294</v>
      </c>
      <c r="H132" s="203">
        <f>H$127*'Ethylene recycling rates'!J72</f>
        <v>280.70930702013482</v>
      </c>
      <c r="I132" s="203">
        <f>I$127*'Ethylene recycling rates'!K72</f>
        <v>357.55858448154322</v>
      </c>
      <c r="J132" s="203">
        <f>J$127*'Ethylene recycling rates'!L72</f>
        <v>446.16362592563758</v>
      </c>
      <c r="K132" s="203">
        <f>K$127*'Ethylene recycling rates'!M72</f>
        <v>547.1698244678131</v>
      </c>
      <c r="L132" s="203">
        <f>L$127*'Ethylene recycling rates'!N72</f>
        <v>661.19424677591974</v>
      </c>
      <c r="M132" s="203">
        <f>M$127*'Ethylene recycling rates'!O72</f>
        <v>788.82591300765205</v>
      </c>
      <c r="N132" s="203">
        <f>N$127*'Ethylene recycling rates'!P72</f>
        <v>917.64942082706204</v>
      </c>
      <c r="O132" s="203">
        <f>O$127*'Ethylene recycling rates'!Q72</f>
        <v>1058.0463391998521</v>
      </c>
      <c r="P132" s="203">
        <f>P$127*'Ethylene recycling rates'!R72</f>
        <v>1206.1847188097256</v>
      </c>
      <c r="Q132" s="203">
        <f>Q$127*'Ethylene recycling rates'!S72</f>
        <v>1365.3246846945449</v>
      </c>
      <c r="R132" s="203">
        <f>R$127*'Ethylene recycling rates'!T72</f>
        <v>1535.5884022750699</v>
      </c>
      <c r="S132" s="203">
        <f>S$127*'Ethylene recycling rates'!U72</f>
        <v>1717.0769873441752</v>
      </c>
      <c r="T132" s="203">
        <f>T$127*'Ethylene recycling rates'!V72</f>
        <v>1909.8709696264045</v>
      </c>
      <c r="U132" s="203">
        <f>U$127*'Ethylene recycling rates'!W72</f>
        <v>2114.0307538717907</v>
      </c>
      <c r="V132" s="203">
        <f>V$127*'Ethylene recycling rates'!X72</f>
        <v>2329.5970784397796</v>
      </c>
      <c r="W132" s="203">
        <f>W$127*'Ethylene recycling rates'!Y72</f>
        <v>2556.5914713300062</v>
      </c>
      <c r="X132" s="203">
        <f>X$127*'Ethylene recycling rates'!Z72</f>
        <v>2828.7599559126484</v>
      </c>
      <c r="Y132" s="203">
        <f>Y$127*'Ethylene recycling rates'!AA72</f>
        <v>3116.7619391884659</v>
      </c>
      <c r="Z132" s="203">
        <f>Z$127*'Ethylene recycling rates'!AB72</f>
        <v>3392.5705634572696</v>
      </c>
      <c r="AA132" s="203">
        <f>AA$127*'Ethylene recycling rates'!AC72</f>
        <v>3678.7717053401138</v>
      </c>
      <c r="AB132" s="203">
        <f>AB$127*'Ethylene recycling rates'!AD72</f>
        <v>3974.9107848104413</v>
      </c>
      <c r="AC132" s="203">
        <f>AC$127*'Ethylene recycling rates'!AE72</f>
        <v>4280.499186265999</v>
      </c>
      <c r="AD132" s="203">
        <f>AD$127*'Ethylene recycling rates'!AF72</f>
        <v>4595.0162223457774</v>
      </c>
      <c r="AE132" s="203">
        <f>AE$127*'Ethylene recycling rates'!AG72</f>
        <v>4917.9110949771157</v>
      </c>
      <c r="AF132" s="203">
        <f>AF$127*'Ethylene recycling rates'!AH72</f>
        <v>5248.6048520657978</v>
      </c>
      <c r="AG132" s="203">
        <f>AG$127*'Ethylene recycling rates'!AI72</f>
        <v>5586.4923382692068</v>
      </c>
      <c r="AH132" s="217">
        <f t="shared" si="104"/>
        <v>5538.3002181373813</v>
      </c>
      <c r="AI132" s="124"/>
      <c r="AJ132" s="185"/>
      <c r="AL132" s="100"/>
      <c r="AM132" s="2"/>
      <c r="AN132" s="2"/>
      <c r="AO132" s="2"/>
      <c r="BC132" s="1"/>
      <c r="BD132" s="2"/>
      <c r="BE132" s="2"/>
      <c r="BF132" s="2"/>
      <c r="BG132" s="2"/>
      <c r="BH132" s="2"/>
      <c r="BI132" s="2"/>
      <c r="BJ132" s="2"/>
      <c r="BK132" s="2"/>
    </row>
    <row r="133" spans="1:63" s="1" customFormat="1" outlineLevel="1">
      <c r="A133" s="1" t="s">
        <v>749</v>
      </c>
      <c r="B133" s="60"/>
      <c r="C133" s="250">
        <f>C123*C43</f>
        <v>3095.5873827648593</v>
      </c>
      <c r="D133" s="250">
        <f t="shared" ref="D133:AG133" si="105">D123*D43</f>
        <v>3229.9571668924295</v>
      </c>
      <c r="E133" s="250">
        <f t="shared" si="105"/>
        <v>3349.2520248777773</v>
      </c>
      <c r="F133" s="250">
        <f t="shared" si="105"/>
        <v>3453.7849690161001</v>
      </c>
      <c r="G133" s="250">
        <f t="shared" si="105"/>
        <v>3543.8666825500986</v>
      </c>
      <c r="H133" s="250">
        <f t="shared" si="105"/>
        <v>3619.8055317291578</v>
      </c>
      <c r="I133" s="250">
        <f t="shared" si="105"/>
        <v>3681.907577817045</v>
      </c>
      <c r="J133" s="250">
        <f t="shared" si="105"/>
        <v>3730.4765890482913</v>
      </c>
      <c r="K133" s="250">
        <f t="shared" si="105"/>
        <v>3765.8140525334766</v>
      </c>
      <c r="L133" s="250">
        <f t="shared" si="105"/>
        <v>3788.2191861136007</v>
      </c>
      <c r="M133" s="250">
        <f t="shared" si="105"/>
        <v>3797.9889501637299</v>
      </c>
      <c r="N133" s="250">
        <f t="shared" si="105"/>
        <v>3742.494732996387</v>
      </c>
      <c r="O133" s="250">
        <f t="shared" si="105"/>
        <v>3679.6575223678246</v>
      </c>
      <c r="P133" s="250">
        <f t="shared" si="105"/>
        <v>3597.3813277549598</v>
      </c>
      <c r="Q133" s="250">
        <f t="shared" si="105"/>
        <v>3508.6390922298961</v>
      </c>
      <c r="R133" s="250">
        <f t="shared" si="105"/>
        <v>3413.6900816547036</v>
      </c>
      <c r="S133" s="250">
        <f t="shared" si="105"/>
        <v>3312.7898438959201</v>
      </c>
      <c r="T133" s="250">
        <f t="shared" si="105"/>
        <v>3206.1902215592063</v>
      </c>
      <c r="U133" s="250">
        <f t="shared" si="105"/>
        <v>3094.139365006266</v>
      </c>
      <c r="V133" s="250">
        <f t="shared" si="105"/>
        <v>2976.8817456495181</v>
      </c>
      <c r="W133" s="250">
        <f t="shared" si="105"/>
        <v>2854.6581695201289</v>
      </c>
      <c r="X133" s="250">
        <f t="shared" si="105"/>
        <v>2760.6364224593572</v>
      </c>
      <c r="Y133" s="250">
        <f t="shared" si="105"/>
        <v>2657.5691001107934</v>
      </c>
      <c r="Z133" s="250">
        <f t="shared" si="105"/>
        <v>2524.9157825600137</v>
      </c>
      <c r="AA133" s="250">
        <f t="shared" si="105"/>
        <v>2385.7340837130364</v>
      </c>
      <c r="AB133" s="250">
        <f t="shared" si="105"/>
        <v>2240.6172813228541</v>
      </c>
      <c r="AC133" s="250">
        <f t="shared" si="105"/>
        <v>2090.1446528095976</v>
      </c>
      <c r="AD133" s="250">
        <f t="shared" si="105"/>
        <v>1934.8813694726482</v>
      </c>
      <c r="AE133" s="250">
        <f t="shared" si="105"/>
        <v>1775.3784008737027</v>
      </c>
      <c r="AF133" s="250">
        <f t="shared" si="105"/>
        <v>1612.1724292492463</v>
      </c>
      <c r="AG133" s="250">
        <f t="shared" si="105"/>
        <v>1445.7857738120854</v>
      </c>
      <c r="AH133" s="367"/>
      <c r="AI133" s="368"/>
      <c r="AJ133" s="369"/>
      <c r="AL133" s="194"/>
      <c r="AM133" s="116"/>
      <c r="AN133" s="116"/>
      <c r="AO133" s="116"/>
      <c r="BD133" s="116"/>
      <c r="BE133" s="116"/>
      <c r="BF133" s="116"/>
      <c r="BG133" s="116"/>
      <c r="BH133" s="116"/>
      <c r="BI133" s="116"/>
      <c r="BJ133" s="116"/>
      <c r="BK133" s="116"/>
    </row>
    <row r="134" spans="1:63" outlineLevel="1">
      <c r="A134" s="4" t="s">
        <v>141</v>
      </c>
      <c r="C134" s="203">
        <f>C$133*'Ethylene recycling rates'!E73</f>
        <v>2497.6369460320911</v>
      </c>
      <c r="D134" s="203">
        <f>D$133*'Ethylene recycling rates'!F73</f>
        <v>2559.8719639088758</v>
      </c>
      <c r="E134" s="203">
        <f>E$133*'Ethylene recycling rates'!G73</f>
        <v>2606.5327772221431</v>
      </c>
      <c r="F134" s="203">
        <f>F$133*'Ethylene recycling rates'!H73</f>
        <v>2638.5051018084346</v>
      </c>
      <c r="G134" s="203">
        <f>G$133*'Ethylene recycling rates'!I73</f>
        <v>2656.6550066344498</v>
      </c>
      <c r="H134" s="203">
        <f>H$133*'Ethylene recycling rates'!J73</f>
        <v>2661.8290891603679</v>
      </c>
      <c r="I134" s="203">
        <f>I$133*'Ethylene recycling rates'!K73</f>
        <v>2654.8546496315698</v>
      </c>
      <c r="J134" s="203">
        <f>J$133*'Ethylene recycling rates'!L73</f>
        <v>2636.5398643040239</v>
      </c>
      <c r="K134" s="203">
        <f>K$133*'Ethylene recycling rates'!M73</f>
        <v>2607.6739576086302</v>
      </c>
      <c r="L134" s="203">
        <f>L$133*'Ethylene recycling rates'!N73</f>
        <v>2569.0273732597548</v>
      </c>
      <c r="M134" s="203">
        <f>M$133*'Ethylene recycling rates'!O73</f>
        <v>2521.3519443131804</v>
      </c>
      <c r="N134" s="203">
        <f>N$133*'Ethylene recycling rates'!P73</f>
        <v>2431.0037776503382</v>
      </c>
      <c r="O134" s="203">
        <f>O$133*'Ethylene recycling rates'!Q73</f>
        <v>2337.577657102544</v>
      </c>
      <c r="P134" s="203">
        <f>P$133*'Ethylene recycling rates'!R73</f>
        <v>2233.8772517262819</v>
      </c>
      <c r="Q134" s="203">
        <f>Q$133*'Ethylene recycling rates'!S73</f>
        <v>2128.6067070057375</v>
      </c>
      <c r="R134" s="203">
        <f>R$133*'Ethylene recycling rates'!T73</f>
        <v>2022.1969468964585</v>
      </c>
      <c r="S134" s="203">
        <f>S$133*'Ethylene recycling rates'!U73</f>
        <v>1915.0619188629209</v>
      </c>
      <c r="T134" s="203">
        <f>T$133*'Ethylene recycling rates'!V73</f>
        <v>1807.5988668442576</v>
      </c>
      <c r="U134" s="203">
        <f>U$133*'Ethylene recycling rates'!W73</f>
        <v>1700.1886032826569</v>
      </c>
      <c r="V134" s="203">
        <f>V$133*'Ethylene recycling rates'!X73</f>
        <v>1593.1957801837757</v>
      </c>
      <c r="W134" s="203">
        <f>W$133*'Ethylene recycling rates'!Y73</f>
        <v>1486.9691591790749</v>
      </c>
      <c r="X134" s="203">
        <f>X$133*'Ethylene recycling rates'!Z73</f>
        <v>1398.5243709181918</v>
      </c>
      <c r="Y134" s="203">
        <f>Y$133*'Ethylene recycling rates'!AA73</f>
        <v>1308.3149779878659</v>
      </c>
      <c r="Z134" s="203">
        <f>Z$133*'Ethylene recycling rates'!AB73</f>
        <v>1206.9106338200374</v>
      </c>
      <c r="AA134" s="203">
        <f>AA$133*'Ethylene recycling rates'!AC73</f>
        <v>1106.2722226490239</v>
      </c>
      <c r="AB134" s="203">
        <f>AB$133*'Ethylene recycling rates'!AD73</f>
        <v>1006.9463812339953</v>
      </c>
      <c r="AC134" s="203">
        <f>AC$133*'Ethylene recycling rates'!AE73</f>
        <v>909.4397256356757</v>
      </c>
      <c r="AD134" s="203">
        <f>AD$133*'Ethylene recycling rates'!AF73</f>
        <v>814.21980753306184</v>
      </c>
      <c r="AE134" s="203">
        <f>AE$133*'Ethylene recycling rates'!AG73</f>
        <v>721.71608374965138</v>
      </c>
      <c r="AF134" s="203">
        <f>AF$133*'Ethylene recycling rates'!AH73</f>
        <v>632.32089791574481</v>
      </c>
      <c r="AG134" s="203">
        <f>AG$133*'Ethylene recycling rates'!AI73</f>
        <v>546.39047321002909</v>
      </c>
      <c r="AH134" s="217"/>
      <c r="AI134" s="124"/>
      <c r="AJ134" s="185"/>
      <c r="AL134" s="100"/>
      <c r="AM134" s="2"/>
      <c r="AN134" s="2"/>
      <c r="AO134" s="2"/>
      <c r="BC134" s="1"/>
      <c r="BD134" s="2"/>
      <c r="BE134" s="2"/>
      <c r="BF134" s="2"/>
      <c r="BG134" s="2"/>
      <c r="BH134" s="2"/>
      <c r="BI134" s="2"/>
      <c r="BJ134" s="2"/>
      <c r="BK134" s="2"/>
    </row>
    <row r="135" spans="1:63" outlineLevel="1">
      <c r="A135" s="4" t="s">
        <v>74</v>
      </c>
      <c r="C135" s="203">
        <f>C$133*'Ethylene recycling rates'!E74</f>
        <v>309.7615583444495</v>
      </c>
      <c r="D135" s="203">
        <f>D$133*'Ethylene recycling rates'!F74</f>
        <v>312.43376252506431</v>
      </c>
      <c r="E135" s="203">
        <f>E$133*'Ethylene recycling rates'!G74</f>
        <v>312.80166627007884</v>
      </c>
      <c r="F135" s="203">
        <f>F$133*'Ethylene recycling rates'!H74</f>
        <v>311.0443071744798</v>
      </c>
      <c r="G135" s="203">
        <f>G$133*'Ethylene recycling rates'!I74</f>
        <v>307.33634461807981</v>
      </c>
      <c r="H135" s="203">
        <f>H$133*'Ethylene recycling rates'!J74</f>
        <v>301.84809961408178</v>
      </c>
      <c r="I135" s="203">
        <f>I$133*'Ethylene recycling rates'!K74</f>
        <v>294.74559441218094</v>
      </c>
      <c r="J135" s="203">
        <f>J$133*'Ethylene recycling rates'!L74</f>
        <v>286.19059185741833</v>
      </c>
      <c r="K135" s="203">
        <f>K$133*'Ethylene recycling rates'!M74</f>
        <v>276.34063450600036</v>
      </c>
      <c r="L135" s="203">
        <f>L$133*'Ethylene recycling rates'!N74</f>
        <v>265.34908349929066</v>
      </c>
      <c r="M135" s="203">
        <f>M$133*'Ethylene recycling rates'!O74</f>
        <v>253.36515719717517</v>
      </c>
      <c r="N135" s="203">
        <f>N$133*'Ethylene recycling rates'!P74</f>
        <v>237.17996282733645</v>
      </c>
      <c r="O135" s="203">
        <f>O$133*'Ethylene recycling rates'!Q74</f>
        <v>220.92410402923124</v>
      </c>
      <c r="P135" s="203">
        <f>P$133*'Ethylene recycling rates'!R74</f>
        <v>203.98517029142405</v>
      </c>
      <c r="Q135" s="203">
        <f>Q$133*'Ethylene recycling rates'!S74</f>
        <v>187.25002243361629</v>
      </c>
      <c r="R135" s="203">
        <f>R$133*'Ethylene recycling rates'!T74</f>
        <v>170.79633501637667</v>
      </c>
      <c r="S135" s="203">
        <f>S$133*'Ethylene recycling rates'!U74</f>
        <v>154.6981498370599</v>
      </c>
      <c r="T135" s="203">
        <f>T$133*'Ethylene recycling rates'!V74</f>
        <v>139.02593848919528</v>
      </c>
      <c r="U135" s="203">
        <f>U$133*'Ethylene recycling rates'!W74</f>
        <v>123.84666467831369</v>
      </c>
      <c r="V135" s="203">
        <f>V$133*'Ethylene recycling rates'!X74</f>
        <v>109.22384628745614</v>
      </c>
      <c r="W135" s="203">
        <f>W$133*'Ethylene recycling rates'!Y74</f>
        <v>95.217617185732948</v>
      </c>
      <c r="X135" s="203">
        <f>X$133*'Ethylene recycling rates'!Z74</f>
        <v>82.873354989547579</v>
      </c>
      <c r="Y135" s="203">
        <f>Y$133*'Ethylene recycling rates'!AA74</f>
        <v>70.914941738616577</v>
      </c>
      <c r="Z135" s="203">
        <f>Z$133*'Ethylene recycling rates'!AB74</f>
        <v>58.953301969356353</v>
      </c>
      <c r="AA135" s="203">
        <f>AA$133*'Ethylene recycling rates'!AC74</f>
        <v>47.745943899432888</v>
      </c>
      <c r="AB135" s="203">
        <f>AB$133*'Ethylene recycling rates'!AD74</f>
        <v>37.368088556221196</v>
      </c>
      <c r="AC135" s="203">
        <f>AC$133*'Ethylene recycling rates'!AE74</f>
        <v>27.886854620843916</v>
      </c>
      <c r="AD135" s="203">
        <f>AD$133*'Ethylene recycling rates'!AF74</f>
        <v>19.361490861361826</v>
      </c>
      <c r="AE135" s="203">
        <f>AE$133*'Ethylene recycling rates'!AG74</f>
        <v>11.843610750959179</v>
      </c>
      <c r="AF135" s="203">
        <f>AF$133*'Ethylene recycling rates'!AH74</f>
        <v>5.3774290331739145</v>
      </c>
      <c r="AG135" s="203">
        <f>AG$133*'Ethylene recycling rates'!AI74</f>
        <v>0</v>
      </c>
      <c r="AH135" s="217"/>
      <c r="AI135" s="124"/>
      <c r="AJ135" s="185"/>
      <c r="AL135" s="100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34</v>
      </c>
      <c r="C136" s="203">
        <f>C$133*'Ethylene recycling rates'!E75</f>
        <v>0</v>
      </c>
      <c r="D136" s="203">
        <f>D$133*'Ethylene recycling rates'!F75</f>
        <v>12.894286314231849</v>
      </c>
      <c r="E136" s="203">
        <f>E$133*'Ethylene recycling rates'!G75</f>
        <v>26.741044735800429</v>
      </c>
      <c r="F136" s="203">
        <f>F$133*'Ethylene recycling rates'!H75</f>
        <v>41.363482508157176</v>
      </c>
      <c r="G136" s="203">
        <f>G$133*'Ethylene recycling rates'!I75</f>
        <v>56.58976797916133</v>
      </c>
      <c r="H136" s="203">
        <f>H$133*'Ethylene recycling rates'!J75</f>
        <v>72.252984352826985</v>
      </c>
      <c r="I136" s="203">
        <f>I$133*'Ethylene recycling rates'!K75</f>
        <v>88.191083728685214</v>
      </c>
      <c r="J136" s="203">
        <f>J$133*'Ethylene recycling rates'!L75</f>
        <v>104.24684142732711</v>
      </c>
      <c r="K136" s="203">
        <f>K$133*'Ethylene recycling rates'!M75</f>
        <v>120.26781060070087</v>
      </c>
      <c r="L136" s="203">
        <f>L$133*'Ethylene recycling rates'!N75</f>
        <v>136.10627712574154</v>
      </c>
      <c r="M136" s="203">
        <f>M$133*'Ethylene recycling rates'!O75</f>
        <v>151.61921477991834</v>
      </c>
      <c r="N136" s="203">
        <f>N$133*'Ethylene recycling rates'!P75</f>
        <v>164.34421800555094</v>
      </c>
      <c r="O136" s="203">
        <f>O$133*'Ethylene recycling rates'!Q75</f>
        <v>176.27437831583316</v>
      </c>
      <c r="P136" s="203">
        <f>P$133*'Ethylene recycling rates'!R75</f>
        <v>186.6940059952054</v>
      </c>
      <c r="Q136" s="203">
        <f>Q$133*'Ethylene recycling rates'!S75</f>
        <v>196.09534296352408</v>
      </c>
      <c r="R136" s="203">
        <f>R$133*'Ethylene recycling rates'!T75</f>
        <v>204.4164753270947</v>
      </c>
      <c r="S136" s="203">
        <f>S$133*'Ethylene recycling rates'!U75</f>
        <v>211.59939176367936</v>
      </c>
      <c r="T136" s="203">
        <f>T$133*'Ethylene recycling rates'!V75</f>
        <v>217.58991017383948</v>
      </c>
      <c r="U136" s="203">
        <f>U$133*'Ethylene recycling rates'!W75</f>
        <v>222.33760465758866</v>
      </c>
      <c r="V136" s="203">
        <f>V$133*'Ethylene recycling rates'!X75</f>
        <v>225.79573282390157</v>
      </c>
      <c r="W136" s="203">
        <f>W$133*'Ethylene recycling rates'!Y75</f>
        <v>227.92116344048992</v>
      </c>
      <c r="X136" s="203">
        <f>X$133*'Ethylene recycling rates'!Z75</f>
        <v>231.43500877246677</v>
      </c>
      <c r="Y136" s="203">
        <f>Y$133*'Ethylene recycling rates'!AA75</f>
        <v>233.40373024586211</v>
      </c>
      <c r="Z136" s="203">
        <f>Z$133*'Ethylene recycling rates'!AB75</f>
        <v>231.83301287317821</v>
      </c>
      <c r="AA136" s="203">
        <f>AA$133*'Ethylene recycling rates'!AC75</f>
        <v>228.57768141573865</v>
      </c>
      <c r="AB136" s="203">
        <f>AB$133*'Ethylene recycling rates'!AD75</f>
        <v>223.61876066137674</v>
      </c>
      <c r="AC136" s="203">
        <f>AC$133*'Ethylene recycling rates'!AE75</f>
        <v>216.94529591946656</v>
      </c>
      <c r="AD136" s="203">
        <f>AD$133*'Ethylene recycling rates'!AF75</f>
        <v>208.55406216533117</v>
      </c>
      <c r="AE136" s="203">
        <f>AE$133*'Ethylene recycling rates'!AG75</f>
        <v>198.4492717876555</v>
      </c>
      <c r="AF136" s="203">
        <f>AF$133*'Ethylene recycling rates'!AH75</f>
        <v>186.64228120674059</v>
      </c>
      <c r="AG136" s="203">
        <f>AG$133*'Ethylene recycling rates'!AI75</f>
        <v>173.15129662705965</v>
      </c>
      <c r="AH136" s="217"/>
      <c r="AI136" s="124"/>
      <c r="AJ136" s="185"/>
      <c r="AL136" s="100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35</v>
      </c>
      <c r="C137" s="203">
        <f>C$133*'Ethylene recycling rates'!E76</f>
        <v>0</v>
      </c>
      <c r="D137" s="203">
        <f>D$133*'Ethylene recycling rates'!F76</f>
        <v>0</v>
      </c>
      <c r="E137" s="203">
        <f>E$133*'Ethylene recycling rates'!G76</f>
        <v>0</v>
      </c>
      <c r="F137" s="203">
        <f>F$133*'Ethylene recycling rates'!H76</f>
        <v>0</v>
      </c>
      <c r="G137" s="203">
        <f>G$133*'Ethylene recycling rates'!I76</f>
        <v>0</v>
      </c>
      <c r="H137" s="203">
        <f>H$133*'Ethylene recycling rates'!J76</f>
        <v>0</v>
      </c>
      <c r="I137" s="203">
        <f>I$133*'Ethylene recycling rates'!K76</f>
        <v>0</v>
      </c>
      <c r="J137" s="203">
        <f>J$133*'Ethylene recycling rates'!L76</f>
        <v>0</v>
      </c>
      <c r="K137" s="203">
        <f>K$133*'Ethylene recycling rates'!M76</f>
        <v>0</v>
      </c>
      <c r="L137" s="203">
        <f>L$133*'Ethylene recycling rates'!N76</f>
        <v>0</v>
      </c>
      <c r="M137" s="203">
        <f>M$133*'Ethylene recycling rates'!O76</f>
        <v>0</v>
      </c>
      <c r="N137" s="203">
        <f>N$133*'Ethylene recycling rates'!P76</f>
        <v>0</v>
      </c>
      <c r="O137" s="203">
        <f>O$133*'Ethylene recycling rates'!Q76</f>
        <v>0</v>
      </c>
      <c r="P137" s="203">
        <f>P$133*'Ethylene recycling rates'!R76</f>
        <v>0</v>
      </c>
      <c r="Q137" s="203">
        <f>Q$133*'Ethylene recycling rates'!S76</f>
        <v>0</v>
      </c>
      <c r="R137" s="203">
        <f>R$133*'Ethylene recycling rates'!T76</f>
        <v>0</v>
      </c>
      <c r="S137" s="203">
        <f>S$133*'Ethylene recycling rates'!U76</f>
        <v>0</v>
      </c>
      <c r="T137" s="203">
        <f>T$133*'Ethylene recycling rates'!V76</f>
        <v>0</v>
      </c>
      <c r="U137" s="203">
        <f>U$133*'Ethylene recycling rates'!W76</f>
        <v>0</v>
      </c>
      <c r="V137" s="203">
        <f>V$133*'Ethylene recycling rates'!X76</f>
        <v>0</v>
      </c>
      <c r="W137" s="203">
        <f>W$133*'Ethylene recycling rates'!Y76</f>
        <v>0</v>
      </c>
      <c r="X137" s="203">
        <f>X$133*'Ethylene recycling rates'!Z76</f>
        <v>0</v>
      </c>
      <c r="Y137" s="203">
        <f>Y$133*'Ethylene recycling rates'!AA76</f>
        <v>0</v>
      </c>
      <c r="Z137" s="203">
        <f>Z$133*'Ethylene recycling rates'!AB76</f>
        <v>0</v>
      </c>
      <c r="AA137" s="203">
        <f>AA$133*'Ethylene recycling rates'!AC76</f>
        <v>0</v>
      </c>
      <c r="AB137" s="203">
        <f>AB$133*'Ethylene recycling rates'!AD76</f>
        <v>0</v>
      </c>
      <c r="AC137" s="203">
        <f>AC$133*'Ethylene recycling rates'!AE76</f>
        <v>0</v>
      </c>
      <c r="AD137" s="203">
        <f>AD$133*'Ethylene recycling rates'!AF76</f>
        <v>0</v>
      </c>
      <c r="AE137" s="203">
        <f>AE$133*'Ethylene recycling rates'!AG76</f>
        <v>0</v>
      </c>
      <c r="AF137" s="203">
        <f>AF$133*'Ethylene recycling rates'!AH76</f>
        <v>0</v>
      </c>
      <c r="AG137" s="203">
        <f>AG$133*'Ethylene recycling rates'!AI76</f>
        <v>0</v>
      </c>
      <c r="AH137" s="217"/>
      <c r="AI137" s="124"/>
      <c r="AJ137" s="185"/>
      <c r="AL137" s="100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outlineLevel="1">
      <c r="A138" s="4" t="s">
        <v>27</v>
      </c>
      <c r="C138" s="203">
        <f>C$133*'Ethylene recycling rates'!E77</f>
        <v>288.18887838831819</v>
      </c>
      <c r="D138" s="203">
        <f>D$133*'Ethylene recycling rates'!F77</f>
        <v>344.75715414425719</v>
      </c>
      <c r="E138" s="203">
        <f>E$133*'Ethylene recycling rates'!G77</f>
        <v>403.17653664975455</v>
      </c>
      <c r="F138" s="203">
        <f>F$133*'Ethylene recycling rates'!H77</f>
        <v>462.87207752502798</v>
      </c>
      <c r="G138" s="203">
        <f>G$133*'Ethylene recycling rates'!I77</f>
        <v>523.2855633184073</v>
      </c>
      <c r="H138" s="203">
        <f>H$133*'Ethylene recycling rates'!J77</f>
        <v>583.87535860188063</v>
      </c>
      <c r="I138" s="203">
        <f>I$133*'Ethylene recycling rates'!K77</f>
        <v>644.11625004460871</v>
      </c>
      <c r="J138" s="203">
        <f>J$133*'Ethylene recycling rates'!L77</f>
        <v>703.49929145952149</v>
      </c>
      <c r="K138" s="203">
        <f>K$133*'Ethylene recycling rates'!M77</f>
        <v>761.53164981814473</v>
      </c>
      <c r="L138" s="203">
        <f>L$133*'Ethylene recycling rates'!N77</f>
        <v>817.73645222881316</v>
      </c>
      <c r="M138" s="203">
        <f>M$133*'Ethylene recycling rates'!O77</f>
        <v>871.65263387345567</v>
      </c>
      <c r="N138" s="203">
        <f>N$133*'Ethylene recycling rates'!P77</f>
        <v>909.96677451316089</v>
      </c>
      <c r="O138" s="203">
        <f>O$133*'Ethylene recycling rates'!Q77</f>
        <v>944.88138292021574</v>
      </c>
      <c r="P138" s="203">
        <f>P$133*'Ethylene recycling rates'!R77</f>
        <v>972.82489974204793</v>
      </c>
      <c r="Q138" s="203">
        <f>Q$133*'Ethylene recycling rates'!S77</f>
        <v>996.68701982701748</v>
      </c>
      <c r="R138" s="203">
        <f>R$133*'Ethylene recycling rates'!T77</f>
        <v>1016.2803244147732</v>
      </c>
      <c r="S138" s="203">
        <f>S$133*'Ethylene recycling rates'!U77</f>
        <v>1031.4303834322591</v>
      </c>
      <c r="T138" s="203">
        <f>T$133*'Ethylene recycling rates'!V77</f>
        <v>1041.9755060519133</v>
      </c>
      <c r="U138" s="203">
        <f>U$133*'Ethylene recycling rates'!W77</f>
        <v>1047.766492387706</v>
      </c>
      <c r="V138" s="203">
        <f>V$133*'Ethylene recycling rates'!X77</f>
        <v>1048.6663863543838</v>
      </c>
      <c r="W138" s="203">
        <f>W$133*'Ethylene recycling rates'!Y77</f>
        <v>1044.5502297148303</v>
      </c>
      <c r="X138" s="203">
        <f>X$133*'Ethylene recycling rates'!Z77</f>
        <v>1047.8036877791501</v>
      </c>
      <c r="Y138" s="203">
        <f>Y$133*'Ethylene recycling rates'!AA77</f>
        <v>1044.935450138448</v>
      </c>
      <c r="Z138" s="203">
        <f>Z$133*'Ethylene recycling rates'!AB77</f>
        <v>1027.2188338974406</v>
      </c>
      <c r="AA138" s="203">
        <f>AA$133*'Ethylene recycling rates'!AC77</f>
        <v>1003.1382357488399</v>
      </c>
      <c r="AB138" s="203">
        <f>AB$133*'Ethylene recycling rates'!AD77</f>
        <v>972.68405087125984</v>
      </c>
      <c r="AC138" s="203">
        <f>AC$133*'Ethylene recycling rates'!AE77</f>
        <v>935.87277663361044</v>
      </c>
      <c r="AD138" s="203">
        <f>AD$133*'Ethylene recycling rates'!AF77</f>
        <v>892.74600891289253</v>
      </c>
      <c r="AE138" s="203">
        <f>AE$133*'Ethylene recycling rates'!AG77</f>
        <v>843.3694345854359</v>
      </c>
      <c r="AF138" s="203">
        <f>AF$133*'Ethylene recycling rates'!AH77</f>
        <v>787.8318210935862</v>
      </c>
      <c r="AG138" s="203">
        <f>AG$133*'Ethylene recycling rates'!AI77</f>
        <v>726.24400397499676</v>
      </c>
      <c r="AH138" s="217"/>
      <c r="AI138" s="124"/>
      <c r="AJ138" s="185"/>
      <c r="AL138" s="100"/>
      <c r="AM138" s="2"/>
      <c r="AN138" s="2"/>
      <c r="AO138" s="2"/>
      <c r="BC138" s="1"/>
      <c r="BD138" s="2"/>
      <c r="BE138" s="2"/>
      <c r="BF138" s="2"/>
      <c r="BG138" s="2"/>
      <c r="BH138" s="2"/>
      <c r="BI138" s="2"/>
      <c r="BJ138" s="2"/>
      <c r="BK138" s="2"/>
    </row>
    <row r="139" spans="1:63" s="1" customFormat="1" outlineLevel="1">
      <c r="A139" s="1" t="s">
        <v>754</v>
      </c>
      <c r="B139" s="60"/>
      <c r="C139" s="250">
        <f>C124*C43</f>
        <v>714.36631909958294</v>
      </c>
      <c r="D139" s="250">
        <f t="shared" ref="D139:AF139" si="106">D124*D43</f>
        <v>745.37473082132976</v>
      </c>
      <c r="E139" s="250">
        <f t="shared" si="106"/>
        <v>772.90431343333296</v>
      </c>
      <c r="F139" s="250">
        <f t="shared" si="106"/>
        <v>797.02730054217704</v>
      </c>
      <c r="G139" s="250">
        <f t="shared" si="106"/>
        <v>817.81538828079181</v>
      </c>
      <c r="H139" s="250">
        <f t="shared" si="106"/>
        <v>835.33973809134397</v>
      </c>
      <c r="I139" s="250">
        <f t="shared" si="106"/>
        <v>849.67097949624122</v>
      </c>
      <c r="J139" s="250">
        <f t="shared" si="106"/>
        <v>860.87921285729794</v>
      </c>
      <c r="K139" s="250">
        <f t="shared" si="106"/>
        <v>869.03401212310985</v>
      </c>
      <c r="L139" s="250">
        <f t="shared" si="106"/>
        <v>874.20442756467708</v>
      </c>
      <c r="M139" s="250">
        <f t="shared" si="106"/>
        <v>876.45898849932212</v>
      </c>
      <c r="N139" s="250">
        <f t="shared" si="106"/>
        <v>863.65263069147375</v>
      </c>
      <c r="O139" s="250">
        <f t="shared" si="106"/>
        <v>849.15173593103634</v>
      </c>
      <c r="P139" s="250">
        <f t="shared" si="106"/>
        <v>830.16492178960607</v>
      </c>
      <c r="Q139" s="250">
        <f t="shared" si="106"/>
        <v>809.68594436074522</v>
      </c>
      <c r="R139" s="250">
        <f t="shared" si="106"/>
        <v>787.77463422800838</v>
      </c>
      <c r="S139" s="250">
        <f t="shared" si="106"/>
        <v>764.48996397598148</v>
      </c>
      <c r="T139" s="250">
        <f t="shared" si="106"/>
        <v>739.89005112904761</v>
      </c>
      <c r="U139" s="250">
        <f t="shared" si="106"/>
        <v>714.0321611552921</v>
      </c>
      <c r="V139" s="250">
        <f t="shared" si="106"/>
        <v>686.97271053450424</v>
      </c>
      <c r="W139" s="250">
        <f t="shared" si="106"/>
        <v>658.76726988926055</v>
      </c>
      <c r="X139" s="250">
        <f t="shared" si="106"/>
        <v>637.069943644467</v>
      </c>
      <c r="Y139" s="250">
        <f t="shared" si="106"/>
        <v>613.28517694864445</v>
      </c>
      <c r="Z139" s="250">
        <f t="shared" si="106"/>
        <v>582.67287289846468</v>
      </c>
      <c r="AA139" s="250">
        <f t="shared" si="106"/>
        <v>550.55401931839287</v>
      </c>
      <c r="AB139" s="250">
        <f t="shared" si="106"/>
        <v>517.06552645912006</v>
      </c>
      <c r="AC139" s="250">
        <f t="shared" si="106"/>
        <v>482.34107372529172</v>
      </c>
      <c r="AD139" s="250">
        <f t="shared" si="106"/>
        <v>446.51108526291864</v>
      </c>
      <c r="AE139" s="250">
        <f t="shared" si="106"/>
        <v>409.70270789393129</v>
      </c>
      <c r="AF139" s="250">
        <f t="shared" si="106"/>
        <v>372.03979136521076</v>
      </c>
      <c r="AG139" s="250">
        <f>AG124*AG43</f>
        <v>333.64287087971201</v>
      </c>
      <c r="AH139" s="367"/>
      <c r="AI139" s="368"/>
      <c r="AJ139" s="369"/>
      <c r="AL139" s="194"/>
      <c r="AM139" s="116"/>
      <c r="AN139" s="116"/>
      <c r="AO139" s="116"/>
      <c r="BD139" s="116"/>
      <c r="BE139" s="116"/>
      <c r="BF139" s="116"/>
      <c r="BG139" s="116"/>
      <c r="BH139" s="116"/>
      <c r="BI139" s="116"/>
      <c r="BJ139" s="116"/>
      <c r="BK139" s="116"/>
    </row>
    <row r="140" spans="1:63" outlineLevel="1">
      <c r="A140" s="4" t="s">
        <v>141</v>
      </c>
      <c r="C140" s="203">
        <f>C$139*'Ethylene recycling rates'!E78</f>
        <v>576.37775677663649</v>
      </c>
      <c r="D140" s="203">
        <f>D$139*'Ethylene recycling rates'!F78</f>
        <v>590.73968397897124</v>
      </c>
      <c r="E140" s="203">
        <f>E$139*'Ethylene recycling rates'!G78</f>
        <v>601.50756397434054</v>
      </c>
      <c r="F140" s="203">
        <f>F$139*'Ethylene recycling rates'!H78</f>
        <v>608.88579272502352</v>
      </c>
      <c r="G140" s="203">
        <f>G$139*'Ethylene recycling rates'!I78</f>
        <v>613.07423230025756</v>
      </c>
      <c r="H140" s="203">
        <f>H$139*'Ethylene recycling rates'!J78</f>
        <v>614.26825134470016</v>
      </c>
      <c r="I140" s="203">
        <f>I$139*'Ethylene recycling rates'!K78</f>
        <v>612.65876529959303</v>
      </c>
      <c r="J140" s="203">
        <f>J$139*'Ethylene recycling rates'!L78</f>
        <v>608.43227637785162</v>
      </c>
      <c r="K140" s="203">
        <f>K$139*'Ethylene recycling rates'!M78</f>
        <v>601.77091329429913</v>
      </c>
      <c r="L140" s="203">
        <f>L$139*'Ethylene recycling rates'!N78</f>
        <v>592.85247075225107</v>
      </c>
      <c r="M140" s="203">
        <f>M$139*'Ethylene recycling rates'!O78</f>
        <v>581.85044868765692</v>
      </c>
      <c r="N140" s="203">
        <f>N$139*'Ethylene recycling rates'!P78</f>
        <v>561.00087176546253</v>
      </c>
      <c r="O140" s="203">
        <f>O$139*'Ethylene recycling rates'!Q78</f>
        <v>539.44099779289468</v>
      </c>
      <c r="P140" s="203">
        <f>P$139*'Ethylene recycling rates'!R78</f>
        <v>515.51013501375735</v>
      </c>
      <c r="Q140" s="203">
        <f>Q$139*'Ethylene recycling rates'!S78</f>
        <v>491.21693238593946</v>
      </c>
      <c r="R140" s="203">
        <f>R$139*'Ethylene recycling rates'!T78</f>
        <v>466.66083389918259</v>
      </c>
      <c r="S140" s="203">
        <f>S$139*'Ethylene recycling rates'!U78</f>
        <v>441.93736589144322</v>
      </c>
      <c r="T140" s="203">
        <f>T$139*'Ethylene recycling rates'!V78</f>
        <v>417.1382000409825</v>
      </c>
      <c r="U140" s="203">
        <f>U$139*'Ethylene recycling rates'!W78</f>
        <v>392.3512161421516</v>
      </c>
      <c r="V140" s="203">
        <f>V$139*'Ethylene recycling rates'!X78</f>
        <v>367.6605646577944</v>
      </c>
      <c r="W140" s="203">
        <f>W$139*'Ethylene recycling rates'!Y78</f>
        <v>343.14672904132499</v>
      </c>
      <c r="X140" s="203">
        <f>X$139*'Ethylene recycling rates'!Z78</f>
        <v>322.73639328881353</v>
      </c>
      <c r="Y140" s="203">
        <f>Y$139*'Ethylene recycling rates'!AA78</f>
        <v>301.91884107412278</v>
      </c>
      <c r="Z140" s="203">
        <f>Z$139*'Ethylene recycling rates'!AB78</f>
        <v>278.51783857385482</v>
      </c>
      <c r="AA140" s="203">
        <f>AA$139*'Ethylene recycling rates'!AC78</f>
        <v>255.29358984208238</v>
      </c>
      <c r="AB140" s="203">
        <f>AB$139*'Ethylene recycling rates'!AD78</f>
        <v>232.37224182322964</v>
      </c>
      <c r="AC140" s="203">
        <f>AC$139*'Ethylene recycling rates'!AE78</f>
        <v>209.87070591592516</v>
      </c>
      <c r="AD140" s="203">
        <f>AD$139*'Ethylene recycling rates'!AF78</f>
        <v>187.89687866147574</v>
      </c>
      <c r="AE140" s="203">
        <f>AE$139*'Ethylene recycling rates'!AG78</f>
        <v>166.54986548068874</v>
      </c>
      <c r="AF140" s="203">
        <f>AF$139*'Ethylene recycling rates'!AH78</f>
        <v>145.92020721132576</v>
      </c>
      <c r="AG140" s="203">
        <f>AG$139*'Ethylene recycling rates'!AI78</f>
        <v>126.09010920231439</v>
      </c>
      <c r="AH140" s="217"/>
      <c r="AI140" s="592">
        <f>C139-AG139</f>
        <v>380.72344821987093</v>
      </c>
      <c r="AJ140" s="185"/>
      <c r="AL140" s="100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74</v>
      </c>
      <c r="C141" s="203">
        <f>C$139*'Ethylene recycling rates'!E79</f>
        <v>71.483436541026805</v>
      </c>
      <c r="D141" s="203">
        <f>D$139*'Ethylene recycling rates'!F79</f>
        <v>72.100099044245596</v>
      </c>
      <c r="E141" s="203">
        <f>E$139*'Ethylene recycling rates'!G79</f>
        <v>72.18499990847971</v>
      </c>
      <c r="F141" s="203">
        <f>F$139*'Ethylene recycling rates'!H79</f>
        <v>71.779455501803042</v>
      </c>
      <c r="G141" s="203">
        <f>G$139*'Ethylene recycling rates'!I79</f>
        <v>70.923771834941476</v>
      </c>
      <c r="H141" s="203">
        <f>H$139*'Ethylene recycling rates'!J79</f>
        <v>69.657253757095773</v>
      </c>
      <c r="I141" s="203">
        <f>I$139*'Ethylene recycling rates'!K79</f>
        <v>68.01821409511868</v>
      </c>
      <c r="J141" s="203">
        <f>J$139*'Ethylene recycling rates'!L79</f>
        <v>66.043982736327308</v>
      </c>
      <c r="K141" s="203">
        <f>K$139*'Ethylene recycling rates'!M79</f>
        <v>63.770915655230844</v>
      </c>
      <c r="L141" s="203">
        <f>L$139*'Ethylene recycling rates'!N79</f>
        <v>61.234403884451694</v>
      </c>
      <c r="M141" s="203">
        <f>M$139*'Ethylene recycling rates'!O79</f>
        <v>58.468882430117333</v>
      </c>
      <c r="N141" s="203">
        <f>N$139*'Ethylene recycling rates'!P79</f>
        <v>54.73383757553917</v>
      </c>
      <c r="O141" s="203">
        <f>O$139*'Ethylene recycling rates'!Q79</f>
        <v>50.982485545207204</v>
      </c>
      <c r="P141" s="203">
        <f>P$139*'Ethylene recycling rates'!R79</f>
        <v>47.073500836482474</v>
      </c>
      <c r="Q141" s="203">
        <f>Q$139*'Ethylene recycling rates'!S79</f>
        <v>43.211543638526834</v>
      </c>
      <c r="R141" s="203">
        <f>R$139*'Ethylene recycling rates'!T79</f>
        <v>39.414538849933074</v>
      </c>
      <c r="S141" s="203">
        <f>S$139*'Ethylene recycling rates'!U79</f>
        <v>35.699573039321514</v>
      </c>
      <c r="T141" s="203">
        <f>T$139*'Ethylene recycling rates'!V79</f>
        <v>32.082908882121991</v>
      </c>
      <c r="U141" s="203">
        <f>U$139*'Ethylene recycling rates'!W79</f>
        <v>28.579999541149313</v>
      </c>
      <c r="V141" s="203">
        <f>V$139*'Ethylene recycling rates'!X79</f>
        <v>25.20550298941296</v>
      </c>
      <c r="W141" s="203">
        <f>W$139*'Ethylene recycling rates'!Y79</f>
        <v>21.97329627363068</v>
      </c>
      <c r="X141" s="203">
        <f>X$139*'Ethylene recycling rates'!Z79</f>
        <v>19.124620382203286</v>
      </c>
      <c r="Y141" s="203">
        <f>Y$139*'Ethylene recycling rates'!AA79</f>
        <v>16.364986555065361</v>
      </c>
      <c r="Z141" s="203">
        <f>Z$139*'Ethylene recycling rates'!AB79</f>
        <v>13.604608146774542</v>
      </c>
      <c r="AA141" s="203">
        <f>AA$139*'Ethylene recycling rates'!AC79</f>
        <v>11.018294746022971</v>
      </c>
      <c r="AB141" s="203">
        <f>AB$139*'Ethylene recycling rates'!AD79</f>
        <v>8.6234050514356593</v>
      </c>
      <c r="AC141" s="203">
        <f>AC$139*'Ethylene recycling rates'!AE79</f>
        <v>6.4354279894255191</v>
      </c>
      <c r="AD141" s="203">
        <f>AD$139*'Ethylene recycling rates'!AF79</f>
        <v>4.468036352621958</v>
      </c>
      <c r="AE141" s="203">
        <f>AE$139*'Ethylene recycling rates'!AG79</f>
        <v>2.7331409425290407</v>
      </c>
      <c r="AF141" s="203">
        <f>AF$139*'Ethylene recycling rates'!AH79</f>
        <v>1.2409451615016729</v>
      </c>
      <c r="AG141" s="203">
        <f>AG$139*'Ethylene recycling rates'!AI79</f>
        <v>0</v>
      </c>
      <c r="AH141" s="217"/>
      <c r="AI141" s="124"/>
      <c r="AJ141" s="185"/>
      <c r="AL141" s="100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outlineLevel="1">
      <c r="A142" s="4" t="s">
        <v>34</v>
      </c>
      <c r="C142" s="203">
        <f>C$139*'Ethylene recycling rates'!E80</f>
        <v>0</v>
      </c>
      <c r="D142" s="203">
        <f>D$139*'Ethylene recycling rates'!F80</f>
        <v>2.9756045340535029</v>
      </c>
      <c r="E142" s="203">
        <f>E$139*'Ethylene recycling rates'!G80</f>
        <v>6.1710103236462501</v>
      </c>
      <c r="F142" s="203">
        <f>F$139*'Ethylene recycling rates'!H80</f>
        <v>9.5454190403439636</v>
      </c>
      <c r="G142" s="203">
        <f>G$139*'Ethylene recycling rates'!I80</f>
        <v>13.059177225960303</v>
      </c>
      <c r="H142" s="203">
        <f>H$139*'Ethylene recycling rates'!J80</f>
        <v>16.673765619883149</v>
      </c>
      <c r="I142" s="203">
        <f>I$139*'Ethylene recycling rates'!K80</f>
        <v>20.351788552773513</v>
      </c>
      <c r="J142" s="203">
        <f>J$139*'Ethylene recycling rates'!L80</f>
        <v>24.056963406306256</v>
      </c>
      <c r="K142" s="203">
        <f>K$139*'Ethylene recycling rates'!M80</f>
        <v>27.754110138623272</v>
      </c>
      <c r="L142" s="203">
        <f>L$139*'Ethylene recycling rates'!N80</f>
        <v>31.409140875171129</v>
      </c>
      <c r="M142" s="203">
        <f>M$139*'Ethylene recycling rates'!O80</f>
        <v>34.989049564596534</v>
      </c>
      <c r="N142" s="203">
        <f>N$139*'Ethylene recycling rates'!P80</f>
        <v>37.925588770511744</v>
      </c>
      <c r="O142" s="203">
        <f>O$139*'Ethylene recycling rates'!Q80</f>
        <v>40.678702688269183</v>
      </c>
      <c r="P142" s="203">
        <f>P$139*'Ethylene recycling rates'!R80</f>
        <v>43.083232152739704</v>
      </c>
      <c r="Q142" s="203">
        <f>Q$139*'Ethylene recycling rates'!S80</f>
        <v>45.252771453120943</v>
      </c>
      <c r="R142" s="203">
        <f>R$139*'Ethylene recycling rates'!T80</f>
        <v>47.173032767791071</v>
      </c>
      <c r="S142" s="203">
        <f>S$139*'Ethylene recycling rates'!U80</f>
        <v>48.830628868541389</v>
      </c>
      <c r="T142" s="203">
        <f>T$139*'Ethylene recycling rates'!V80</f>
        <v>50.213056193962963</v>
      </c>
      <c r="U142" s="203">
        <f>U$139*'Ethylene recycling rates'!W80</f>
        <v>51.308677997905072</v>
      </c>
      <c r="V142" s="203">
        <f>V$139*'Ethylene recycling rates'!X80</f>
        <v>52.106707574746522</v>
      </c>
      <c r="W142" s="203">
        <f>W$139*'Ethylene recycling rates'!Y80</f>
        <v>52.59719156318998</v>
      </c>
      <c r="X142" s="203">
        <f>X$139*'Ethylene recycling rates'!Z80</f>
        <v>53.408078947492328</v>
      </c>
      <c r="Y142" s="203">
        <f>Y$139*'Ethylene recycling rates'!AA80</f>
        <v>53.862399287506619</v>
      </c>
      <c r="Z142" s="203">
        <f>Z$139*'Ethylene recycling rates'!AB80</f>
        <v>53.499926047656508</v>
      </c>
      <c r="AA142" s="203">
        <f>AA$139*'Ethylene recycling rates'!AC80</f>
        <v>52.748695711324295</v>
      </c>
      <c r="AB142" s="203">
        <f>AB$139*'Ethylene recycling rates'!AD80</f>
        <v>51.604329383394621</v>
      </c>
      <c r="AC142" s="203">
        <f>AC$139*'Ethylene recycling rates'!AE80</f>
        <v>50.064299058338435</v>
      </c>
      <c r="AD142" s="203">
        <f>AD$139*'Ethylene recycling rates'!AF80</f>
        <v>48.127860499691792</v>
      </c>
      <c r="AE142" s="203">
        <f>AE$139*'Ethylene recycling rates'!AG80</f>
        <v>45.795985797151253</v>
      </c>
      <c r="AF142" s="203">
        <f>AF$139*'Ethylene recycling rates'!AH80</f>
        <v>43.071295663093991</v>
      </c>
      <c r="AG142" s="203">
        <f>AG$139*'Ethylene recycling rates'!AI80</f>
        <v>39.957991529321454</v>
      </c>
      <c r="AH142" s="217"/>
      <c r="AI142" s="124"/>
      <c r="AJ142" s="185"/>
      <c r="AL142" s="100"/>
      <c r="AM142" s="2"/>
      <c r="AN142" s="2"/>
      <c r="AO142" s="2"/>
      <c r="BC142" s="1"/>
      <c r="BD142" s="2"/>
      <c r="BE142" s="2"/>
      <c r="BF142" s="2"/>
      <c r="BG142" s="2"/>
      <c r="BH142" s="2"/>
      <c r="BI142" s="2"/>
      <c r="BJ142" s="2"/>
      <c r="BK142" s="2"/>
    </row>
    <row r="143" spans="1:63" outlineLevel="1">
      <c r="A143" s="4" t="s">
        <v>35</v>
      </c>
      <c r="C143" s="203">
        <f>C$139*'Ethylene recycling rates'!E81</f>
        <v>0</v>
      </c>
      <c r="D143" s="203">
        <f>D$139*'Ethylene recycling rates'!F81</f>
        <v>0</v>
      </c>
      <c r="E143" s="203">
        <f>E$139*'Ethylene recycling rates'!G81</f>
        <v>0</v>
      </c>
      <c r="F143" s="203">
        <f>F$139*'Ethylene recycling rates'!H81</f>
        <v>0</v>
      </c>
      <c r="G143" s="203">
        <f>G$139*'Ethylene recycling rates'!I81</f>
        <v>0</v>
      </c>
      <c r="H143" s="203">
        <f>H$139*'Ethylene recycling rates'!J81</f>
        <v>0</v>
      </c>
      <c r="I143" s="203">
        <f>I$139*'Ethylene recycling rates'!K81</f>
        <v>0</v>
      </c>
      <c r="J143" s="203">
        <f>J$139*'Ethylene recycling rates'!L81</f>
        <v>0</v>
      </c>
      <c r="K143" s="203">
        <f>K$139*'Ethylene recycling rates'!M81</f>
        <v>0</v>
      </c>
      <c r="L143" s="203">
        <f>L$139*'Ethylene recycling rates'!N81</f>
        <v>0</v>
      </c>
      <c r="M143" s="203">
        <f>M$139*'Ethylene recycling rates'!O81</f>
        <v>0</v>
      </c>
      <c r="N143" s="203">
        <f>N$139*'Ethylene recycling rates'!P81</f>
        <v>0</v>
      </c>
      <c r="O143" s="203">
        <f>O$139*'Ethylene recycling rates'!Q81</f>
        <v>0</v>
      </c>
      <c r="P143" s="203">
        <f>P$139*'Ethylene recycling rates'!R81</f>
        <v>0</v>
      </c>
      <c r="Q143" s="203">
        <f>Q$139*'Ethylene recycling rates'!S81</f>
        <v>0</v>
      </c>
      <c r="R143" s="203">
        <f>R$139*'Ethylene recycling rates'!T81</f>
        <v>0</v>
      </c>
      <c r="S143" s="203">
        <f>S$139*'Ethylene recycling rates'!U81</f>
        <v>0</v>
      </c>
      <c r="T143" s="203">
        <f>T$139*'Ethylene recycling rates'!V81</f>
        <v>0</v>
      </c>
      <c r="U143" s="203">
        <f>U$139*'Ethylene recycling rates'!W81</f>
        <v>0</v>
      </c>
      <c r="V143" s="203">
        <f>V$139*'Ethylene recycling rates'!X81</f>
        <v>0</v>
      </c>
      <c r="W143" s="203">
        <f>W$139*'Ethylene recycling rates'!Y81</f>
        <v>0</v>
      </c>
      <c r="X143" s="203">
        <f>X$139*'Ethylene recycling rates'!Z81</f>
        <v>0</v>
      </c>
      <c r="Y143" s="203">
        <f>Y$139*'Ethylene recycling rates'!AA81</f>
        <v>0</v>
      </c>
      <c r="Z143" s="203">
        <f>Z$139*'Ethylene recycling rates'!AB81</f>
        <v>0</v>
      </c>
      <c r="AA143" s="203">
        <f>AA$139*'Ethylene recycling rates'!AC81</f>
        <v>0</v>
      </c>
      <c r="AB143" s="203">
        <f>AB$139*'Ethylene recycling rates'!AD81</f>
        <v>0</v>
      </c>
      <c r="AC143" s="203">
        <f>AC$139*'Ethylene recycling rates'!AE81</f>
        <v>0</v>
      </c>
      <c r="AD143" s="203">
        <f>AD$139*'Ethylene recycling rates'!AF81</f>
        <v>0</v>
      </c>
      <c r="AE143" s="203">
        <f>AE$139*'Ethylene recycling rates'!AG81</f>
        <v>0</v>
      </c>
      <c r="AF143" s="203">
        <f>AF$139*'Ethylene recycling rates'!AH81</f>
        <v>0</v>
      </c>
      <c r="AG143" s="203">
        <f>AG$139*'Ethylene recycling rates'!AI81</f>
        <v>0</v>
      </c>
      <c r="AH143" s="217"/>
      <c r="AI143" s="124"/>
      <c r="AJ143" s="185"/>
      <c r="AL143" s="100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27</v>
      </c>
      <c r="C144" s="203">
        <f>C$139*'Ethylene recycling rates'!E82</f>
        <v>66.505125781919574</v>
      </c>
      <c r="D144" s="203">
        <f>D$139*'Ethylene recycling rates'!F82</f>
        <v>79.559343264059336</v>
      </c>
      <c r="E144" s="203">
        <f>E$139*'Ethylene recycling rates'!G82</f>
        <v>93.040739226866407</v>
      </c>
      <c r="F144" s="203">
        <f>F$139*'Ethylene recycling rates'!H82</f>
        <v>106.81663327500647</v>
      </c>
      <c r="G144" s="203">
        <f>G$139*'Ethylene recycling rates'!I82</f>
        <v>120.75820691963241</v>
      </c>
      <c r="H144" s="203">
        <f>H$139*'Ethylene recycling rates'!J82</f>
        <v>134.74046736966474</v>
      </c>
      <c r="I144" s="203">
        <f>I$139*'Ethylene recycling rates'!K82</f>
        <v>148.64221154875585</v>
      </c>
      <c r="J144" s="203">
        <f>J$139*'Ethylene recycling rates'!L82</f>
        <v>162.34599033681266</v>
      </c>
      <c r="K144" s="203">
        <f>K$139*'Ethylene recycling rates'!M82</f>
        <v>175.73807303495644</v>
      </c>
      <c r="L144" s="203">
        <f>L$139*'Ethylene recycling rates'!N82</f>
        <v>188.70841205280303</v>
      </c>
      <c r="M144" s="203">
        <f>M$139*'Ethylene recycling rates'!O82</f>
        <v>201.15060781695126</v>
      </c>
      <c r="N144" s="203">
        <f>N$139*'Ethylene recycling rates'!P82</f>
        <v>209.99233257996016</v>
      </c>
      <c r="O144" s="203">
        <f>O$139*'Ethylene recycling rates'!Q82</f>
        <v>218.04954990466513</v>
      </c>
      <c r="P144" s="203">
        <f>P$139*'Ethylene recycling rates'!R82</f>
        <v>224.49805378662643</v>
      </c>
      <c r="Q144" s="203">
        <f>Q$139*'Ethylene recycling rates'!S82</f>
        <v>230.00469688315786</v>
      </c>
      <c r="R144" s="203">
        <f>R$139*'Ethylene recycling rates'!T82</f>
        <v>234.52622871110145</v>
      </c>
      <c r="S144" s="203">
        <f>S$139*'Ethylene recycling rates'!U82</f>
        <v>238.02239617667516</v>
      </c>
      <c r="T144" s="203">
        <f>T$139*'Ethylene recycling rates'!V82</f>
        <v>240.45588601197997</v>
      </c>
      <c r="U144" s="203">
        <f>U$139*'Ethylene recycling rates'!W82</f>
        <v>241.79226747408597</v>
      </c>
      <c r="V144" s="203">
        <f>V$139*'Ethylene recycling rates'!X82</f>
        <v>241.99993531255015</v>
      </c>
      <c r="W144" s="203">
        <f>W$139*'Ethylene recycling rates'!Y82</f>
        <v>241.0500530111147</v>
      </c>
      <c r="X144" s="203">
        <f>X$139*'Ethylene recycling rates'!Z82</f>
        <v>241.80085102595768</v>
      </c>
      <c r="Y144" s="203">
        <f>Y$139*'Ethylene recycling rates'!AA82</f>
        <v>241.13895003194946</v>
      </c>
      <c r="Z144" s="203">
        <f>Z$139*'Ethylene recycling rates'!AB82</f>
        <v>237.05050013017859</v>
      </c>
      <c r="AA144" s="203">
        <f>AA$139*'Ethylene recycling rates'!AC82</f>
        <v>231.49343901896299</v>
      </c>
      <c r="AB144" s="203">
        <f>AB$139*'Ethylene recycling rates'!AD82</f>
        <v>224.4655502010599</v>
      </c>
      <c r="AC144" s="203">
        <f>AC$139*'Ethylene recycling rates'!AE82</f>
        <v>215.9706407616024</v>
      </c>
      <c r="AD144" s="203">
        <f>AD$139*'Ethylene recycling rates'!AF82</f>
        <v>206.01830974912895</v>
      </c>
      <c r="AE144" s="203">
        <f>AE$139*'Ethylene recycling rates'!AG82</f>
        <v>194.62371567356206</v>
      </c>
      <c r="AF144" s="203">
        <f>AF$139*'Ethylene recycling rates'!AH82</f>
        <v>181.80734332928915</v>
      </c>
      <c r="AG144" s="203">
        <f>AG$139*'Ethylene recycling rates'!AI82</f>
        <v>167.59477014807618</v>
      </c>
      <c r="AH144" s="217"/>
      <c r="AI144" s="124"/>
      <c r="AJ144" s="185"/>
      <c r="AL144" s="100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s="1" customFormat="1" outlineLevel="1">
      <c r="A145" s="1" t="s">
        <v>750</v>
      </c>
      <c r="B145" s="60"/>
      <c r="C145" s="250">
        <f>C43*C125</f>
        <v>2143.0989572987487</v>
      </c>
      <c r="D145" s="250">
        <f t="shared" ref="D145:AG145" si="107">D43*D125</f>
        <v>2236.1241924639894</v>
      </c>
      <c r="E145" s="250">
        <f t="shared" si="107"/>
        <v>2318.712940299999</v>
      </c>
      <c r="F145" s="250">
        <f t="shared" si="107"/>
        <v>2391.0819016265309</v>
      </c>
      <c r="G145" s="250">
        <f t="shared" si="107"/>
        <v>2453.4461648423758</v>
      </c>
      <c r="H145" s="250">
        <f t="shared" si="107"/>
        <v>2506.0192142740316</v>
      </c>
      <c r="I145" s="250">
        <f t="shared" si="107"/>
        <v>2549.0129384887232</v>
      </c>
      <c r="J145" s="250">
        <f t="shared" si="107"/>
        <v>2582.6376385718941</v>
      </c>
      <c r="K145" s="250">
        <f t="shared" si="107"/>
        <v>2607.1020363693297</v>
      </c>
      <c r="L145" s="250">
        <f t="shared" si="107"/>
        <v>2622.6132826940311</v>
      </c>
      <c r="M145" s="250">
        <f t="shared" si="107"/>
        <v>2629.3769654979665</v>
      </c>
      <c r="N145" s="250">
        <f t="shared" si="107"/>
        <v>2590.9578920744216</v>
      </c>
      <c r="O145" s="250">
        <f t="shared" si="107"/>
        <v>2547.4552077931094</v>
      </c>
      <c r="P145" s="250">
        <f t="shared" si="107"/>
        <v>2490.4947653688182</v>
      </c>
      <c r="Q145" s="250">
        <f t="shared" si="107"/>
        <v>2429.0578330822354</v>
      </c>
      <c r="R145" s="250">
        <f t="shared" si="107"/>
        <v>2363.3239026840251</v>
      </c>
      <c r="S145" s="250">
        <f t="shared" si="107"/>
        <v>2293.4698919279444</v>
      </c>
      <c r="T145" s="250">
        <f t="shared" si="107"/>
        <v>2219.6701533871424</v>
      </c>
      <c r="U145" s="250">
        <f t="shared" si="107"/>
        <v>2142.0964834658762</v>
      </c>
      <c r="V145" s="250">
        <f t="shared" si="107"/>
        <v>2060.9181316035124</v>
      </c>
      <c r="W145" s="250">
        <f t="shared" si="107"/>
        <v>1976.3018096677815</v>
      </c>
      <c r="X145" s="250">
        <f t="shared" si="107"/>
        <v>1911.2098309334008</v>
      </c>
      <c r="Y145" s="250">
        <f t="shared" si="107"/>
        <v>1839.8555308459338</v>
      </c>
      <c r="Z145" s="250">
        <f t="shared" si="107"/>
        <v>1748.0186186953943</v>
      </c>
      <c r="AA145" s="250">
        <f t="shared" si="107"/>
        <v>1651.6620579551789</v>
      </c>
      <c r="AB145" s="250">
        <f t="shared" si="107"/>
        <v>1551.1965793773604</v>
      </c>
      <c r="AC145" s="250">
        <f t="shared" si="107"/>
        <v>1447.0232211758753</v>
      </c>
      <c r="AD145" s="250">
        <f t="shared" si="107"/>
        <v>1339.5332557887562</v>
      </c>
      <c r="AE145" s="250">
        <f t="shared" si="107"/>
        <v>1229.108123681794</v>
      </c>
      <c r="AF145" s="250">
        <f t="shared" si="107"/>
        <v>1116.1193740956321</v>
      </c>
      <c r="AG145" s="250">
        <f t="shared" si="107"/>
        <v>1000.928612639136</v>
      </c>
      <c r="AH145" s="367"/>
      <c r="AI145" s="368"/>
      <c r="AJ145" s="369"/>
      <c r="AL145" s="194"/>
      <c r="AM145" s="116"/>
      <c r="AN145" s="116"/>
      <c r="AO145" s="116"/>
      <c r="BD145" s="116"/>
      <c r="BE145" s="116"/>
      <c r="BF145" s="116"/>
      <c r="BG145" s="116"/>
      <c r="BH145" s="116"/>
      <c r="BI145" s="116"/>
      <c r="BJ145" s="116"/>
      <c r="BK145" s="116"/>
    </row>
    <row r="146" spans="1:63" outlineLevel="1">
      <c r="A146" s="4" t="s">
        <v>141</v>
      </c>
      <c r="C146" s="203">
        <f>C$145*'Ethylene recycling rates'!E83</f>
        <v>1729.1332703299095</v>
      </c>
      <c r="D146" s="203">
        <f>D$145*'Ethylene recycling rates'!F83</f>
        <v>1772.219051936914</v>
      </c>
      <c r="E146" s="203">
        <f>E$145*'Ethylene recycling rates'!G83</f>
        <v>1804.5226919230215</v>
      </c>
      <c r="F146" s="203">
        <f>F$145*'Ethylene recycling rates'!H83</f>
        <v>1826.6573781750703</v>
      </c>
      <c r="G146" s="203">
        <f>G$145*'Ethylene recycling rates'!I83</f>
        <v>1839.2226969007727</v>
      </c>
      <c r="H146" s="203">
        <f>H$145*'Ethylene recycling rates'!J83</f>
        <v>1842.8047540341004</v>
      </c>
      <c r="I146" s="203">
        <f>I$145*'Ethylene recycling rates'!K83</f>
        <v>1837.9762958987787</v>
      </c>
      <c r="J146" s="203">
        <f>J$145*'Ethylene recycling rates'!L83</f>
        <v>1825.2968291335551</v>
      </c>
      <c r="K146" s="203">
        <f>K$145*'Ethylene recycling rates'!M83</f>
        <v>1805.3127398828976</v>
      </c>
      <c r="L146" s="203">
        <f>L$145*'Ethylene recycling rates'!N83</f>
        <v>1778.5574122567532</v>
      </c>
      <c r="M146" s="203">
        <f>M$145*'Ethylene recycling rates'!O83</f>
        <v>1745.5513460629707</v>
      </c>
      <c r="N146" s="203">
        <f>N$145*'Ethylene recycling rates'!P83</f>
        <v>1683.0026152963878</v>
      </c>
      <c r="O146" s="203">
        <f>O$145*'Ethylene recycling rates'!Q83</f>
        <v>1618.3229933786843</v>
      </c>
      <c r="P146" s="203">
        <f>P$145*'Ethylene recycling rates'!R83</f>
        <v>1546.5304050412719</v>
      </c>
      <c r="Q146" s="203">
        <f>Q$145*'Ethylene recycling rates'!S83</f>
        <v>1473.6507971578183</v>
      </c>
      <c r="R146" s="203">
        <f>R$145*'Ethylene recycling rates'!T83</f>
        <v>1399.9825016975478</v>
      </c>
      <c r="S146" s="203">
        <f>S$145*'Ethylene recycling rates'!U83</f>
        <v>1325.8120976743298</v>
      </c>
      <c r="T146" s="203">
        <f>T$145*'Ethylene recycling rates'!V83</f>
        <v>1251.4146001229474</v>
      </c>
      <c r="U146" s="203">
        <f>U$145*'Ethylene recycling rates'!W83</f>
        <v>1177.0536484264546</v>
      </c>
      <c r="V146" s="203">
        <f>V$145*'Ethylene recycling rates'!X83</f>
        <v>1102.981693973383</v>
      </c>
      <c r="W146" s="203">
        <f>W$145*'Ethylene recycling rates'!Y83</f>
        <v>1029.440187123975</v>
      </c>
      <c r="X146" s="203">
        <f>X$145*'Ethylene recycling rates'!Z83</f>
        <v>968.20917986644042</v>
      </c>
      <c r="Y146" s="203">
        <f>Y$145*'Ethylene recycling rates'!AA83</f>
        <v>905.75652322236863</v>
      </c>
      <c r="Z146" s="203">
        <f>Z$145*'Ethylene recycling rates'!AB83</f>
        <v>835.55351572156451</v>
      </c>
      <c r="AA146" s="203">
        <f>AA$145*'Ethylene recycling rates'!AC83</f>
        <v>765.88076952624726</v>
      </c>
      <c r="AB146" s="203">
        <f>AB$145*'Ethylene recycling rates'!AD83</f>
        <v>697.11672546968907</v>
      </c>
      <c r="AC146" s="203">
        <f>AC$145*'Ethylene recycling rates'!AE83</f>
        <v>629.61211774777553</v>
      </c>
      <c r="AD146" s="203">
        <f>AD$145*'Ethylene recycling rates'!AF83</f>
        <v>563.69063598442733</v>
      </c>
      <c r="AE146" s="203">
        <f>AE$145*'Ethylene recycling rates'!AG83</f>
        <v>499.64959644206624</v>
      </c>
      <c r="AF146" s="203">
        <f>AF$145*'Ethylene recycling rates'!AH83</f>
        <v>437.76062163397717</v>
      </c>
      <c r="AG146" s="203">
        <f>AG$145*'Ethylene recycling rates'!AI83</f>
        <v>378.27032760694317</v>
      </c>
      <c r="AH146" s="217"/>
      <c r="AI146" s="124"/>
      <c r="AJ146" s="185"/>
      <c r="AL146" s="100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74</v>
      </c>
      <c r="C147" s="203">
        <f>C$145*'Ethylene recycling rates'!E84</f>
        <v>214.45030962308041</v>
      </c>
      <c r="D147" s="203">
        <f>D$145*'Ethylene recycling rates'!F84</f>
        <v>216.3002971327368</v>
      </c>
      <c r="E147" s="203">
        <f>E$145*'Ethylene recycling rates'!G84</f>
        <v>216.55499972543913</v>
      </c>
      <c r="F147" s="203">
        <f>F$145*'Ethylene recycling rates'!H84</f>
        <v>215.33836650540911</v>
      </c>
      <c r="G147" s="203">
        <f>G$145*'Ethylene recycling rates'!I84</f>
        <v>212.77131550482446</v>
      </c>
      <c r="H147" s="203">
        <f>H$145*'Ethylene recycling rates'!J84</f>
        <v>208.97176127128731</v>
      </c>
      <c r="I147" s="203">
        <f>I$145*'Ethylene recycling rates'!K84</f>
        <v>204.05464228535601</v>
      </c>
      <c r="J147" s="203">
        <f>J$145*'Ethylene recycling rates'!L84</f>
        <v>198.13194820898192</v>
      </c>
      <c r="K147" s="203">
        <f>K$145*'Ethylene recycling rates'!M84</f>
        <v>191.31274696569253</v>
      </c>
      <c r="L147" s="203">
        <f>L$145*'Ethylene recycling rates'!N84</f>
        <v>183.70321165335505</v>
      </c>
      <c r="M147" s="203">
        <f>M$145*'Ethylene recycling rates'!O84</f>
        <v>175.406647290352</v>
      </c>
      <c r="N147" s="203">
        <f>N$145*'Ethylene recycling rates'!P84</f>
        <v>164.20151272661755</v>
      </c>
      <c r="O147" s="203">
        <f>O$145*'Ethylene recycling rates'!Q84</f>
        <v>152.94745663562165</v>
      </c>
      <c r="P147" s="203">
        <f>P$145*'Ethylene recycling rates'!R84</f>
        <v>141.22050250944741</v>
      </c>
      <c r="Q147" s="203">
        <f>Q$145*'Ethylene recycling rates'!S84</f>
        <v>129.63463091558049</v>
      </c>
      <c r="R147" s="203">
        <f>R$145*'Ethylene recycling rates'!T84</f>
        <v>118.24361654979923</v>
      </c>
      <c r="S147" s="203">
        <f>S$145*'Ethylene recycling rates'!U84</f>
        <v>107.09871911796454</v>
      </c>
      <c r="T147" s="203">
        <f>T$145*'Ethylene recycling rates'!V84</f>
        <v>96.248726646365952</v>
      </c>
      <c r="U147" s="203">
        <f>U$145*'Ethylene recycling rates'!W84</f>
        <v>85.739998623447931</v>
      </c>
      <c r="V147" s="203">
        <f>V$145*'Ethylene recycling rates'!X84</f>
        <v>75.616508968238861</v>
      </c>
      <c r="W147" s="203">
        <f>W$145*'Ethylene recycling rates'!Y84</f>
        <v>65.919888820892041</v>
      </c>
      <c r="X147" s="203">
        <f>X$145*'Ethylene recycling rates'!Z84</f>
        <v>57.373861146609855</v>
      </c>
      <c r="Y147" s="203">
        <f>Y$145*'Ethylene recycling rates'!AA84</f>
        <v>49.094959665196093</v>
      </c>
      <c r="Z147" s="203">
        <f>Z$145*'Ethylene recycling rates'!AB84</f>
        <v>40.813824440323629</v>
      </c>
      <c r="AA147" s="203">
        <f>AA$145*'Ethylene recycling rates'!AC84</f>
        <v>33.054884238068915</v>
      </c>
      <c r="AB147" s="203">
        <f>AB$145*'Ethylene recycling rates'!AD84</f>
        <v>25.87021515430698</v>
      </c>
      <c r="AC147" s="203">
        <f>AC$145*'Ethylene recycling rates'!AE84</f>
        <v>19.30628396827656</v>
      </c>
      <c r="AD147" s="203">
        <f>AD$145*'Ethylene recycling rates'!AF84</f>
        <v>13.404109057865877</v>
      </c>
      <c r="AE147" s="203">
        <f>AE$145*'Ethylene recycling rates'!AG84</f>
        <v>8.1994228275871226</v>
      </c>
      <c r="AF147" s="203">
        <f>AF$145*'Ethylene recycling rates'!AH84</f>
        <v>3.7228354845050182</v>
      </c>
      <c r="AG147" s="203">
        <f>AG$145*'Ethylene recycling rates'!AI84</f>
        <v>0</v>
      </c>
      <c r="AH147" s="217"/>
      <c r="AI147" s="124"/>
      <c r="AJ147" s="185"/>
      <c r="AL147" s="100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34</v>
      </c>
      <c r="C148" s="203">
        <f>C$145*'Ethylene recycling rates'!E85</f>
        <v>0</v>
      </c>
      <c r="D148" s="203">
        <f>D$145*'Ethylene recycling rates'!F85</f>
        <v>8.9268136021605091</v>
      </c>
      <c r="E148" s="203">
        <f>E$145*'Ethylene recycling rates'!G85</f>
        <v>18.51303097093875</v>
      </c>
      <c r="F148" s="203">
        <f>F$145*'Ethylene recycling rates'!H85</f>
        <v>28.636257121031889</v>
      </c>
      <c r="G148" s="203">
        <f>G$145*'Ethylene recycling rates'!I85</f>
        <v>39.177531677880914</v>
      </c>
      <c r="H148" s="203">
        <f>H$145*'Ethylene recycling rates'!J85</f>
        <v>50.021296859649439</v>
      </c>
      <c r="I148" s="203">
        <f>I$145*'Ethylene recycling rates'!K85</f>
        <v>61.055365658320532</v>
      </c>
      <c r="J148" s="203">
        <f>J$145*'Ethylene recycling rates'!L85</f>
        <v>72.170890218918771</v>
      </c>
      <c r="K148" s="203">
        <f>K$145*'Ethylene recycling rates'!M85</f>
        <v>83.262330415869826</v>
      </c>
      <c r="L148" s="203">
        <f>L$145*'Ethylene recycling rates'!N85</f>
        <v>94.227422625513384</v>
      </c>
      <c r="M148" s="203">
        <f>M$145*'Ethylene recycling rates'!O85</f>
        <v>104.9671486937896</v>
      </c>
      <c r="N148" s="203">
        <f>N$145*'Ethylene recycling rates'!P85</f>
        <v>113.77676631153525</v>
      </c>
      <c r="O148" s="203">
        <f>O$145*'Ethylene recycling rates'!Q85</f>
        <v>122.03610806480756</v>
      </c>
      <c r="P148" s="203">
        <f>P$145*'Ethylene recycling rates'!R85</f>
        <v>129.24969645821912</v>
      </c>
      <c r="Q148" s="203">
        <f>Q$145*'Ethylene recycling rates'!S85</f>
        <v>135.7583143593628</v>
      </c>
      <c r="R148" s="203">
        <f>R$145*'Ethylene recycling rates'!T85</f>
        <v>141.51909830337323</v>
      </c>
      <c r="S148" s="203">
        <f>S$145*'Ethylene recycling rates'!U85</f>
        <v>146.49188660562416</v>
      </c>
      <c r="T148" s="203">
        <f>T$145*'Ethylene recycling rates'!V85</f>
        <v>150.63916858188884</v>
      </c>
      <c r="U148" s="203">
        <f>U$145*'Ethylene recycling rates'!W85</f>
        <v>153.92603399371521</v>
      </c>
      <c r="V148" s="203">
        <f>V$145*'Ethylene recycling rates'!X85</f>
        <v>156.32012272423955</v>
      </c>
      <c r="W148" s="203">
        <f>W$145*'Ethylene recycling rates'!Y85</f>
        <v>157.79157468956993</v>
      </c>
      <c r="X148" s="203">
        <f>X$145*'Ethylene recycling rates'!Z85</f>
        <v>160.22423684247696</v>
      </c>
      <c r="Y148" s="203">
        <f>Y$145*'Ethylene recycling rates'!AA85</f>
        <v>161.5871978625199</v>
      </c>
      <c r="Z148" s="203">
        <f>Z$145*'Ethylene recycling rates'!AB85</f>
        <v>160.49977814296955</v>
      </c>
      <c r="AA148" s="203">
        <f>AA$145*'Ethylene recycling rates'!AC85</f>
        <v>158.24608713397291</v>
      </c>
      <c r="AB148" s="203">
        <f>AB$145*'Ethylene recycling rates'!AD85</f>
        <v>154.81298815018388</v>
      </c>
      <c r="AC148" s="203">
        <f>AC$145*'Ethylene recycling rates'!AE85</f>
        <v>150.1928971750153</v>
      </c>
      <c r="AD148" s="203">
        <f>AD$145*'Ethylene recycling rates'!AF85</f>
        <v>144.3835814990754</v>
      </c>
      <c r="AE148" s="203">
        <f>AE$145*'Ethylene recycling rates'!AG85</f>
        <v>137.3879573914538</v>
      </c>
      <c r="AF148" s="203">
        <f>AF$145*'Ethylene recycling rates'!AH85</f>
        <v>129.21388698928197</v>
      </c>
      <c r="AG148" s="203">
        <f>AG$145*'Ethylene recycling rates'!AI85</f>
        <v>119.87397458796436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35</v>
      </c>
      <c r="C149" s="203">
        <f>C$145*'Ethylene recycling rates'!E86</f>
        <v>0</v>
      </c>
      <c r="D149" s="203">
        <f>D$145*'Ethylene recycling rates'!F86</f>
        <v>0</v>
      </c>
      <c r="E149" s="203">
        <f>E$145*'Ethylene recycling rates'!G86</f>
        <v>0</v>
      </c>
      <c r="F149" s="203">
        <f>F$145*'Ethylene recycling rates'!H86</f>
        <v>0</v>
      </c>
      <c r="G149" s="203">
        <f>G$145*'Ethylene recycling rates'!I86</f>
        <v>0</v>
      </c>
      <c r="H149" s="203">
        <f>H$145*'Ethylene recycling rates'!J86</f>
        <v>0</v>
      </c>
      <c r="I149" s="203">
        <f>I$145*'Ethylene recycling rates'!K86</f>
        <v>0</v>
      </c>
      <c r="J149" s="203">
        <f>J$145*'Ethylene recycling rates'!L86</f>
        <v>0</v>
      </c>
      <c r="K149" s="203">
        <f>K$145*'Ethylene recycling rates'!M86</f>
        <v>0</v>
      </c>
      <c r="L149" s="203">
        <f>L$145*'Ethylene recycling rates'!N86</f>
        <v>0</v>
      </c>
      <c r="M149" s="203">
        <f>M$145*'Ethylene recycling rates'!O86</f>
        <v>0</v>
      </c>
      <c r="N149" s="203">
        <f>N$145*'Ethylene recycling rates'!P86</f>
        <v>0</v>
      </c>
      <c r="O149" s="203">
        <f>O$145*'Ethylene recycling rates'!Q86</f>
        <v>0</v>
      </c>
      <c r="P149" s="203">
        <f>P$145*'Ethylene recycling rates'!R86</f>
        <v>0</v>
      </c>
      <c r="Q149" s="203">
        <f>Q$145*'Ethylene recycling rates'!S86</f>
        <v>0</v>
      </c>
      <c r="R149" s="203">
        <f>R$145*'Ethylene recycling rates'!T86</f>
        <v>0</v>
      </c>
      <c r="S149" s="203">
        <f>S$145*'Ethylene recycling rates'!U86</f>
        <v>0</v>
      </c>
      <c r="T149" s="203">
        <f>T$145*'Ethylene recycling rates'!V86</f>
        <v>0</v>
      </c>
      <c r="U149" s="203">
        <f>U$145*'Ethylene recycling rates'!W86</f>
        <v>0</v>
      </c>
      <c r="V149" s="203">
        <f>V$145*'Ethylene recycling rates'!X86</f>
        <v>0</v>
      </c>
      <c r="W149" s="203">
        <f>W$145*'Ethylene recycling rates'!Y86</f>
        <v>0</v>
      </c>
      <c r="X149" s="203">
        <f>X$145*'Ethylene recycling rates'!Z86</f>
        <v>0</v>
      </c>
      <c r="Y149" s="203">
        <f>Y$145*'Ethylene recycling rates'!AA86</f>
        <v>0</v>
      </c>
      <c r="Z149" s="203">
        <f>Z$145*'Ethylene recycling rates'!AB86</f>
        <v>0</v>
      </c>
      <c r="AA149" s="203">
        <f>AA$145*'Ethylene recycling rates'!AC86</f>
        <v>0</v>
      </c>
      <c r="AB149" s="203">
        <f>AB$145*'Ethylene recycling rates'!AD86</f>
        <v>0</v>
      </c>
      <c r="AC149" s="203">
        <f>AC$145*'Ethylene recycling rates'!AE86</f>
        <v>0</v>
      </c>
      <c r="AD149" s="203">
        <f>AD$145*'Ethylene recycling rates'!AF86</f>
        <v>0</v>
      </c>
      <c r="AE149" s="203">
        <f>AE$145*'Ethylene recycling rates'!AG86</f>
        <v>0</v>
      </c>
      <c r="AF149" s="203">
        <f>AF$145*'Ethylene recycling rates'!AH86</f>
        <v>0</v>
      </c>
      <c r="AG149" s="203">
        <f>AG$145*'Ethylene recycling rates'!AI86</f>
        <v>0</v>
      </c>
      <c r="AH149" s="217"/>
      <c r="AI149" s="124"/>
      <c r="AJ149" s="185"/>
      <c r="AL149" s="100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outlineLevel="1">
      <c r="A150" s="4" t="s">
        <v>27</v>
      </c>
      <c r="C150" s="203">
        <f>C$145*'Ethylene recycling rates'!E87</f>
        <v>199.51537734575874</v>
      </c>
      <c r="D150" s="203">
        <f>D$145*'Ethylene recycling rates'!F87</f>
        <v>238.67802979217802</v>
      </c>
      <c r="E150" s="203">
        <f>E$145*'Ethylene recycling rates'!G87</f>
        <v>279.12221768059925</v>
      </c>
      <c r="F150" s="203">
        <f>F$145*'Ethylene recycling rates'!H87</f>
        <v>320.44989982501937</v>
      </c>
      <c r="G150" s="203">
        <f>G$145*'Ethylene recycling rates'!I87</f>
        <v>362.2746207588973</v>
      </c>
      <c r="H150" s="203">
        <f>H$145*'Ethylene recycling rates'!J87</f>
        <v>404.2214021089942</v>
      </c>
      <c r="I150" s="203">
        <f>I$145*'Ethylene recycling rates'!K87</f>
        <v>445.92663464626747</v>
      </c>
      <c r="J150" s="203">
        <f>J$145*'Ethylene recycling rates'!L87</f>
        <v>487.03797101043801</v>
      </c>
      <c r="K150" s="203">
        <f>K$145*'Ethylene recycling rates'!M87</f>
        <v>527.21421910486936</v>
      </c>
      <c r="L150" s="203">
        <f>L$145*'Ethylene recycling rates'!N87</f>
        <v>566.12523615840905</v>
      </c>
      <c r="M150" s="203">
        <f>M$145*'Ethylene recycling rates'!O87</f>
        <v>603.45182345085379</v>
      </c>
      <c r="N150" s="203">
        <f>N$145*'Ethylene recycling rates'!P87</f>
        <v>629.97699773988063</v>
      </c>
      <c r="O150" s="203">
        <f>O$145*'Ethylene recycling rates'!Q87</f>
        <v>654.1486497139955</v>
      </c>
      <c r="P150" s="203">
        <f>P$145*'Ethylene recycling rates'!R87</f>
        <v>673.49416135987929</v>
      </c>
      <c r="Q150" s="203">
        <f>Q$145*'Ethylene recycling rates'!S87</f>
        <v>690.01409064947359</v>
      </c>
      <c r="R150" s="203">
        <f>R$145*'Ethylene recycling rates'!T87</f>
        <v>703.57868613330436</v>
      </c>
      <c r="S150" s="203">
        <f>S$145*'Ethylene recycling rates'!U87</f>
        <v>714.06718853002553</v>
      </c>
      <c r="T150" s="203">
        <f>T$145*'Ethylene recycling rates'!V87</f>
        <v>721.36765803593971</v>
      </c>
      <c r="U150" s="203">
        <f>U$145*'Ethylene recycling rates'!W87</f>
        <v>725.37680242225781</v>
      </c>
      <c r="V150" s="203">
        <f>V$145*'Ethylene recycling rates'!X87</f>
        <v>725.99980593765031</v>
      </c>
      <c r="W150" s="203">
        <f>W$145*'Ethylene recycling rates'!Y87</f>
        <v>723.15015903334404</v>
      </c>
      <c r="X150" s="203">
        <f>X$145*'Ethylene recycling rates'!Z87</f>
        <v>725.40255307787299</v>
      </c>
      <c r="Y150" s="203">
        <f>Y$145*'Ethylene recycling rates'!AA87</f>
        <v>723.41685009584853</v>
      </c>
      <c r="Z150" s="203">
        <f>Z$145*'Ethylene recycling rates'!AB87</f>
        <v>711.15150039053594</v>
      </c>
      <c r="AA150" s="203">
        <f>AA$145*'Ethylene recycling rates'!AC87</f>
        <v>694.48031705688913</v>
      </c>
      <c r="AB150" s="203">
        <f>AB$145*'Ethylene recycling rates'!AD87</f>
        <v>673.39665060317986</v>
      </c>
      <c r="AC150" s="203">
        <f>AC$145*'Ethylene recycling rates'!AE87</f>
        <v>647.91192228480725</v>
      </c>
      <c r="AD150" s="203">
        <f>AD$145*'Ethylene recycling rates'!AF87</f>
        <v>618.05492924738701</v>
      </c>
      <c r="AE150" s="203">
        <f>AE$145*'Ethylene recycling rates'!AG87</f>
        <v>583.87114702068629</v>
      </c>
      <c r="AF150" s="203">
        <f>AF$145*'Ethylene recycling rates'!AH87</f>
        <v>545.4220299878674</v>
      </c>
      <c r="AG150" s="203">
        <f>AG$145*'Ethylene recycling rates'!AI87</f>
        <v>502.78431044422848</v>
      </c>
      <c r="AH150" s="217"/>
      <c r="AI150" s="124"/>
      <c r="AJ150" s="185"/>
      <c r="AL150" s="100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C151" s="10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J151" s="185"/>
      <c r="AM151" s="115"/>
      <c r="AN151" s="115"/>
    </row>
    <row r="152" spans="1:63" s="174" customFormat="1" ht="15.5" thickBot="1">
      <c r="A152" s="174" t="s">
        <v>432</v>
      </c>
      <c r="B152" s="189"/>
      <c r="C152" s="197">
        <f>C153</f>
        <v>0</v>
      </c>
      <c r="D152" s="197">
        <f t="shared" ref="D152:AG152" si="108">D153</f>
        <v>2.2181718165435932E-2</v>
      </c>
      <c r="E152" s="197">
        <f t="shared" si="108"/>
        <v>4.4363436330871864E-2</v>
      </c>
      <c r="F152" s="197">
        <f t="shared" si="108"/>
        <v>6.6545154496307796E-2</v>
      </c>
      <c r="G152" s="197">
        <f t="shared" si="108"/>
        <v>8.8726872661743728E-2</v>
      </c>
      <c r="H152" s="197">
        <f t="shared" si="108"/>
        <v>0.11090859082717966</v>
      </c>
      <c r="I152" s="197">
        <f t="shared" si="108"/>
        <v>0.13309030899261559</v>
      </c>
      <c r="J152" s="197">
        <f t="shared" si="108"/>
        <v>0.15527202715805152</v>
      </c>
      <c r="K152" s="197">
        <f t="shared" si="108"/>
        <v>0.17745374532348746</v>
      </c>
      <c r="L152" s="197">
        <f t="shared" si="108"/>
        <v>0.19963546348892339</v>
      </c>
      <c r="M152" s="197">
        <f t="shared" si="108"/>
        <v>0.22181718165435932</v>
      </c>
      <c r="N152" s="197">
        <f t="shared" si="108"/>
        <v>0.23671946463689028</v>
      </c>
      <c r="O152" s="197">
        <f t="shared" si="108"/>
        <v>0.25162174761942124</v>
      </c>
      <c r="P152" s="197">
        <f t="shared" si="108"/>
        <v>0.26652403060195223</v>
      </c>
      <c r="Q152" s="197">
        <f t="shared" si="108"/>
        <v>0.28142631358448317</v>
      </c>
      <c r="R152" s="197">
        <f t="shared" si="108"/>
        <v>0.29632859656701416</v>
      </c>
      <c r="S152" s="197">
        <f t="shared" si="108"/>
        <v>0.31123087954954509</v>
      </c>
      <c r="T152" s="197">
        <f t="shared" si="108"/>
        <v>0.32613316253207608</v>
      </c>
      <c r="U152" s="197">
        <f t="shared" si="108"/>
        <v>0.34103544551460707</v>
      </c>
      <c r="V152" s="197">
        <f t="shared" si="108"/>
        <v>0.35593772849713801</v>
      </c>
      <c r="W152" s="197">
        <f t="shared" si="108"/>
        <v>0.370840011479669</v>
      </c>
      <c r="X152" s="197">
        <f t="shared" si="108"/>
        <v>0.3937560103317021</v>
      </c>
      <c r="Y152" s="197">
        <f t="shared" si="108"/>
        <v>0.4166720091837352</v>
      </c>
      <c r="Z152" s="197">
        <f t="shared" si="108"/>
        <v>0.43958800803576825</v>
      </c>
      <c r="AA152" s="197">
        <f t="shared" si="108"/>
        <v>0.46250400688780136</v>
      </c>
      <c r="AB152" s="197">
        <f t="shared" si="108"/>
        <v>0.48542000573983446</v>
      </c>
      <c r="AC152" s="197">
        <f t="shared" si="108"/>
        <v>0.50833600459186756</v>
      </c>
      <c r="AD152" s="197">
        <f t="shared" si="108"/>
        <v>0.53125200344390067</v>
      </c>
      <c r="AE152" s="197">
        <f t="shared" si="108"/>
        <v>0.55416800229593377</v>
      </c>
      <c r="AF152" s="197">
        <f t="shared" si="108"/>
        <v>0.57708400114796687</v>
      </c>
      <c r="AG152" s="197">
        <f t="shared" si="108"/>
        <v>0.6</v>
      </c>
      <c r="AJ152" s="204" t="s">
        <v>456</v>
      </c>
      <c r="AL152" s="191"/>
      <c r="AM152" s="198"/>
      <c r="AN152" s="198"/>
      <c r="AO152" s="198"/>
    </row>
    <row r="153" spans="1:63" ht="15.5" outlineLevel="1" thickTop="1">
      <c r="A153" t="s">
        <v>433</v>
      </c>
      <c r="B153" s="50" t="s">
        <v>126</v>
      </c>
      <c r="C153" s="558">
        <v>0</v>
      </c>
      <c r="D153" s="102">
        <f>$C153+($M153-$C153)/10*(D$1-$C$1)</f>
        <v>2.2181718165435932E-2</v>
      </c>
      <c r="E153" s="102">
        <f t="shared" ref="E153:L153" si="109">$C153+($M153-$C153)/10*(E$1-$C$1)</f>
        <v>4.4363436330871864E-2</v>
      </c>
      <c r="F153" s="102">
        <f t="shared" si="109"/>
        <v>6.6545154496307796E-2</v>
      </c>
      <c r="G153" s="102">
        <f t="shared" si="109"/>
        <v>8.8726872661743728E-2</v>
      </c>
      <c r="H153" s="102">
        <f t="shared" si="109"/>
        <v>0.11090859082717966</v>
      </c>
      <c r="I153" s="102">
        <f t="shared" si="109"/>
        <v>0.13309030899261559</v>
      </c>
      <c r="J153" s="102">
        <f t="shared" si="109"/>
        <v>0.15527202715805152</v>
      </c>
      <c r="K153" s="102">
        <f t="shared" si="109"/>
        <v>0.17745374532348746</v>
      </c>
      <c r="L153" s="102">
        <f t="shared" si="109"/>
        <v>0.19963546348892339</v>
      </c>
      <c r="M153" s="113">
        <f>(M$52-$C$52)/($AG$52-$C$52)*($AG153-$C153)+$C153</f>
        <v>0.22181718165435932</v>
      </c>
      <c r="N153" s="113">
        <f>$M153+($W153-$M153)/10*(N$1-$M$1)</f>
        <v>0.23671946463689028</v>
      </c>
      <c r="O153" s="113">
        <f t="shared" ref="O153:U153" si="110">$M153+($W153-$M153)/10*(O$1-$M$1)</f>
        <v>0.25162174761942124</v>
      </c>
      <c r="P153" s="113">
        <f t="shared" si="110"/>
        <v>0.26652403060195223</v>
      </c>
      <c r="Q153" s="113">
        <f t="shared" si="110"/>
        <v>0.28142631358448317</v>
      </c>
      <c r="R153" s="113">
        <f t="shared" si="110"/>
        <v>0.29632859656701416</v>
      </c>
      <c r="S153" s="113">
        <f t="shared" si="110"/>
        <v>0.31123087954954509</v>
      </c>
      <c r="T153" s="113">
        <f t="shared" si="110"/>
        <v>0.32613316253207608</v>
      </c>
      <c r="U153" s="113">
        <f t="shared" si="110"/>
        <v>0.34103544551460707</v>
      </c>
      <c r="V153" s="113">
        <f>$M153+($W153-$M153)/10*(V$1-$M$1)</f>
        <v>0.35593772849713801</v>
      </c>
      <c r="W153" s="113">
        <f>(W$52-$C$52)/($AG$52-$C$52)*($AG153-$C153)+$C153</f>
        <v>0.370840011479669</v>
      </c>
      <c r="X153" s="102">
        <f>$W153+($AG153-$W153)/10*(X$1-$W$1)</f>
        <v>0.3937560103317021</v>
      </c>
      <c r="Y153" s="102">
        <f t="shared" ref="Y153:AF153" si="111">$W153+($AG153-$W153)/10*(Y$1-$W$1)</f>
        <v>0.4166720091837352</v>
      </c>
      <c r="Z153" s="102">
        <f t="shared" si="111"/>
        <v>0.43958800803576825</v>
      </c>
      <c r="AA153" s="102">
        <f t="shared" si="111"/>
        <v>0.46250400688780136</v>
      </c>
      <c r="AB153" s="102">
        <f t="shared" si="111"/>
        <v>0.48542000573983446</v>
      </c>
      <c r="AC153" s="102">
        <f t="shared" si="111"/>
        <v>0.50833600459186756</v>
      </c>
      <c r="AD153" s="102">
        <f t="shared" si="111"/>
        <v>0.53125200344390067</v>
      </c>
      <c r="AE153" s="102">
        <f t="shared" si="111"/>
        <v>0.55416800229593377</v>
      </c>
      <c r="AF153" s="102">
        <f t="shared" si="111"/>
        <v>0.57708400114796687</v>
      </c>
      <c r="AG153" s="558">
        <v>0.6</v>
      </c>
      <c r="AJ153" s="185" t="s">
        <v>1469</v>
      </c>
    </row>
    <row r="154" spans="1:63" outlineLevel="1">
      <c r="A154" t="s">
        <v>434</v>
      </c>
      <c r="B154" s="50" t="s">
        <v>126</v>
      </c>
      <c r="C154" s="188">
        <v>0.05</v>
      </c>
      <c r="D154" s="102">
        <f t="shared" ref="D154:AF154" si="112">C154-($C$154-$AG$154)/($AG$1-$C$1)</f>
        <v>5.8333333333333334E-2</v>
      </c>
      <c r="E154" s="102">
        <f t="shared" si="112"/>
        <v>6.6666666666666666E-2</v>
      </c>
      <c r="F154" s="102">
        <f t="shared" si="112"/>
        <v>7.4999999999999997E-2</v>
      </c>
      <c r="G154" s="102">
        <f t="shared" si="112"/>
        <v>8.3333333333333329E-2</v>
      </c>
      <c r="H154" s="102">
        <f t="shared" si="112"/>
        <v>9.166666666666666E-2</v>
      </c>
      <c r="I154" s="102">
        <f t="shared" si="112"/>
        <v>9.9999999999999992E-2</v>
      </c>
      <c r="J154" s="102">
        <f t="shared" si="112"/>
        <v>0.10833333333333332</v>
      </c>
      <c r="K154" s="102">
        <f t="shared" si="112"/>
        <v>0.11666666666666665</v>
      </c>
      <c r="L154" s="102">
        <f t="shared" si="112"/>
        <v>0.12499999999999999</v>
      </c>
      <c r="M154" s="102">
        <f t="shared" si="112"/>
        <v>0.13333333333333333</v>
      </c>
      <c r="N154" s="102">
        <f t="shared" si="112"/>
        <v>0.14166666666666666</v>
      </c>
      <c r="O154" s="102">
        <f t="shared" si="112"/>
        <v>0.15</v>
      </c>
      <c r="P154" s="102">
        <f t="shared" si="112"/>
        <v>0.15833333333333333</v>
      </c>
      <c r="Q154" s="102">
        <f t="shared" si="112"/>
        <v>0.16666666666666666</v>
      </c>
      <c r="R154" s="102">
        <f t="shared" si="112"/>
        <v>0.17499999999999999</v>
      </c>
      <c r="S154" s="102">
        <f t="shared" si="112"/>
        <v>0.18333333333333332</v>
      </c>
      <c r="T154" s="102">
        <f t="shared" si="112"/>
        <v>0.19166666666666665</v>
      </c>
      <c r="U154" s="102">
        <f t="shared" si="112"/>
        <v>0.19999999999999998</v>
      </c>
      <c r="V154" s="102">
        <f t="shared" si="112"/>
        <v>0.20833333333333331</v>
      </c>
      <c r="W154" s="102">
        <f t="shared" si="112"/>
        <v>0.21666666666666665</v>
      </c>
      <c r="X154" s="102">
        <f t="shared" si="112"/>
        <v>0.22499999999999998</v>
      </c>
      <c r="Y154" s="102">
        <f t="shared" si="112"/>
        <v>0.23333333333333331</v>
      </c>
      <c r="Z154" s="102">
        <f t="shared" si="112"/>
        <v>0.24166666666666664</v>
      </c>
      <c r="AA154" s="102">
        <f t="shared" si="112"/>
        <v>0.24999999999999997</v>
      </c>
      <c r="AB154" s="102">
        <f t="shared" si="112"/>
        <v>0.2583333333333333</v>
      </c>
      <c r="AC154" s="102">
        <f t="shared" si="112"/>
        <v>0.26666666666666666</v>
      </c>
      <c r="AD154" s="102">
        <f t="shared" si="112"/>
        <v>0.27500000000000002</v>
      </c>
      <c r="AE154" s="102">
        <f t="shared" si="112"/>
        <v>0.28333333333333338</v>
      </c>
      <c r="AF154" s="102">
        <f t="shared" si="112"/>
        <v>0.29166666666666674</v>
      </c>
      <c r="AG154" s="188">
        <v>0.3</v>
      </c>
      <c r="AI154" s="126"/>
      <c r="AJ154" s="185" t="s">
        <v>568</v>
      </c>
      <c r="AM154" s="115"/>
      <c r="AN154" s="115"/>
    </row>
    <row r="155" spans="1:63" ht="14.5" customHeight="1" outlineLevel="1">
      <c r="A155" t="s">
        <v>435</v>
      </c>
      <c r="B155" s="156" t="s">
        <v>126</v>
      </c>
      <c r="C155" s="102">
        <f>1-C154</f>
        <v>0.95</v>
      </c>
      <c r="D155" s="102">
        <f t="shared" ref="D155" si="113">1-D154</f>
        <v>0.94166666666666665</v>
      </c>
      <c r="E155" s="102">
        <f t="shared" ref="E155" si="114">1-E154</f>
        <v>0.93333333333333335</v>
      </c>
      <c r="F155" s="102">
        <f t="shared" ref="F155" si="115">1-F154</f>
        <v>0.92500000000000004</v>
      </c>
      <c r="G155" s="102">
        <f t="shared" ref="G155" si="116">1-G154</f>
        <v>0.91666666666666663</v>
      </c>
      <c r="H155" s="102">
        <f t="shared" ref="H155" si="117">1-H154</f>
        <v>0.90833333333333333</v>
      </c>
      <c r="I155" s="102">
        <f t="shared" ref="I155" si="118">1-I154</f>
        <v>0.9</v>
      </c>
      <c r="J155" s="102">
        <f t="shared" ref="J155" si="119">1-J154</f>
        <v>0.89166666666666672</v>
      </c>
      <c r="K155" s="102">
        <f t="shared" ref="K155" si="120">1-K154</f>
        <v>0.8833333333333333</v>
      </c>
      <c r="L155" s="102">
        <f t="shared" ref="L155" si="121">1-L154</f>
        <v>0.875</v>
      </c>
      <c r="M155" s="102">
        <f t="shared" ref="M155" si="122">1-M154</f>
        <v>0.8666666666666667</v>
      </c>
      <c r="N155" s="102">
        <f t="shared" ref="N155" si="123">1-N154</f>
        <v>0.85833333333333339</v>
      </c>
      <c r="O155" s="102">
        <f t="shared" ref="O155" si="124">1-O154</f>
        <v>0.85</v>
      </c>
      <c r="P155" s="102">
        <f t="shared" ref="P155" si="125">1-P154</f>
        <v>0.84166666666666667</v>
      </c>
      <c r="Q155" s="102">
        <f t="shared" ref="Q155" si="126">1-Q154</f>
        <v>0.83333333333333337</v>
      </c>
      <c r="R155" s="102">
        <f t="shared" ref="R155" si="127">1-R154</f>
        <v>0.82499999999999996</v>
      </c>
      <c r="S155" s="102">
        <f t="shared" ref="S155" si="128">1-S154</f>
        <v>0.81666666666666665</v>
      </c>
      <c r="T155" s="102">
        <f t="shared" ref="T155" si="129">1-T154</f>
        <v>0.80833333333333335</v>
      </c>
      <c r="U155" s="102">
        <f t="shared" ref="U155" si="130">1-U154</f>
        <v>0.8</v>
      </c>
      <c r="V155" s="102">
        <f t="shared" ref="V155" si="131">1-V154</f>
        <v>0.79166666666666674</v>
      </c>
      <c r="W155" s="102">
        <f t="shared" ref="W155" si="132">1-W154</f>
        <v>0.78333333333333333</v>
      </c>
      <c r="X155" s="102">
        <f t="shared" ref="X155" si="133">1-X154</f>
        <v>0.77500000000000002</v>
      </c>
      <c r="Y155" s="102">
        <f t="shared" ref="Y155" si="134">1-Y154</f>
        <v>0.76666666666666672</v>
      </c>
      <c r="Z155" s="102">
        <f t="shared" ref="Z155" si="135">1-Z154</f>
        <v>0.7583333333333333</v>
      </c>
      <c r="AA155" s="102">
        <f t="shared" ref="AA155" si="136">1-AA154</f>
        <v>0.75</v>
      </c>
      <c r="AB155" s="102">
        <f t="shared" ref="AB155" si="137">1-AB154</f>
        <v>0.7416666666666667</v>
      </c>
      <c r="AC155" s="102">
        <f t="shared" ref="AC155" si="138">1-AC154</f>
        <v>0.73333333333333339</v>
      </c>
      <c r="AD155" s="102">
        <f t="shared" ref="AD155" si="139">1-AD154</f>
        <v>0.72499999999999998</v>
      </c>
      <c r="AE155" s="102">
        <f t="shared" ref="AE155" si="140">1-AE154</f>
        <v>0.71666666666666656</v>
      </c>
      <c r="AF155" s="102">
        <f t="shared" ref="AF155" si="141">1-AF154</f>
        <v>0.70833333333333326</v>
      </c>
      <c r="AG155" s="102">
        <f t="shared" ref="AG155" si="142">1-AG154</f>
        <v>0.7</v>
      </c>
      <c r="AI155" s="126" t="s">
        <v>289</v>
      </c>
      <c r="AJ155" s="185"/>
    </row>
    <row r="156" spans="1:63" outlineLevel="1">
      <c r="A156" t="s">
        <v>436</v>
      </c>
      <c r="B156" s="50" t="s">
        <v>126</v>
      </c>
      <c r="C156" s="102">
        <f>C153*C154</f>
        <v>0</v>
      </c>
      <c r="D156" s="102">
        <f t="shared" ref="D156:AG156" si="143">D153*D154</f>
        <v>1.2939335596504294E-3</v>
      </c>
      <c r="E156" s="102">
        <f t="shared" si="143"/>
        <v>2.9575624220581241E-3</v>
      </c>
      <c r="F156" s="102">
        <f t="shared" si="143"/>
        <v>4.9908865872230843E-3</v>
      </c>
      <c r="G156" s="102">
        <f t="shared" si="143"/>
        <v>7.3939060551453106E-3</v>
      </c>
      <c r="H156" s="102">
        <f t="shared" si="143"/>
        <v>1.0166620825824802E-2</v>
      </c>
      <c r="I156" s="102">
        <f t="shared" si="143"/>
        <v>1.3309030899261559E-2</v>
      </c>
      <c r="J156" s="102">
        <f t="shared" si="143"/>
        <v>1.6821136275455579E-2</v>
      </c>
      <c r="K156" s="102">
        <f t="shared" si="143"/>
        <v>2.0702936954406868E-2</v>
      </c>
      <c r="L156" s="102">
        <f t="shared" si="143"/>
        <v>2.495443293611542E-2</v>
      </c>
      <c r="M156" s="102">
        <f t="shared" si="143"/>
        <v>2.9575624220581243E-2</v>
      </c>
      <c r="N156" s="102">
        <f t="shared" si="143"/>
        <v>3.3535257490226122E-2</v>
      </c>
      <c r="O156" s="102">
        <f t="shared" si="143"/>
        <v>3.7743262142913188E-2</v>
      </c>
      <c r="P156" s="102">
        <f t="shared" si="143"/>
        <v>4.2199638178642432E-2</v>
      </c>
      <c r="Q156" s="102">
        <f t="shared" si="143"/>
        <v>4.6904385597413861E-2</v>
      </c>
      <c r="R156" s="102">
        <f t="shared" si="143"/>
        <v>5.1857504399227476E-2</v>
      </c>
      <c r="S156" s="102">
        <f t="shared" si="143"/>
        <v>5.7058994584083263E-2</v>
      </c>
      <c r="T156" s="102">
        <f t="shared" si="143"/>
        <v>6.2508856151981249E-2</v>
      </c>
      <c r="U156" s="102">
        <f t="shared" si="143"/>
        <v>6.8207089102921406E-2</v>
      </c>
      <c r="V156" s="102">
        <f t="shared" si="143"/>
        <v>7.4153693436903742E-2</v>
      </c>
      <c r="W156" s="102">
        <f t="shared" si="143"/>
        <v>8.034866915392827E-2</v>
      </c>
      <c r="X156" s="102">
        <f t="shared" si="143"/>
        <v>8.8595102324632968E-2</v>
      </c>
      <c r="Y156" s="102">
        <f t="shared" si="143"/>
        <v>9.7223468809538208E-2</v>
      </c>
      <c r="Z156" s="102">
        <f t="shared" si="143"/>
        <v>0.10623376860864399</v>
      </c>
      <c r="AA156" s="102">
        <f t="shared" si="143"/>
        <v>0.11562600172195032</v>
      </c>
      <c r="AB156" s="102">
        <f t="shared" si="143"/>
        <v>0.12540016814945723</v>
      </c>
      <c r="AC156" s="102">
        <f t="shared" si="143"/>
        <v>0.13555626789116468</v>
      </c>
      <c r="AD156" s="102">
        <f t="shared" si="143"/>
        <v>0.14609430094707271</v>
      </c>
      <c r="AE156" s="102">
        <f t="shared" si="143"/>
        <v>0.15701426731718127</v>
      </c>
      <c r="AF156" s="102">
        <f t="shared" si="143"/>
        <v>0.16831616700149038</v>
      </c>
      <c r="AG156" s="102">
        <f t="shared" si="143"/>
        <v>0.18</v>
      </c>
      <c r="AI156" s="125"/>
      <c r="AJ156" s="185"/>
      <c r="BD156" s="177"/>
      <c r="BE156" s="177"/>
    </row>
    <row r="157" spans="1:63" outlineLevel="1">
      <c r="A157" t="s">
        <v>437</v>
      </c>
      <c r="B157" s="50" t="s">
        <v>126</v>
      </c>
      <c r="C157" s="102">
        <f>C153*C155</f>
        <v>0</v>
      </c>
      <c r="D157" s="102">
        <f t="shared" ref="D157:AG157" si="144">D153*D155</f>
        <v>2.0887784605785501E-2</v>
      </c>
      <c r="E157" s="102">
        <f t="shared" si="144"/>
        <v>4.1405873908813742E-2</v>
      </c>
      <c r="F157" s="102">
        <f t="shared" si="144"/>
        <v>6.1554267909084713E-2</v>
      </c>
      <c r="G157" s="102">
        <f t="shared" si="144"/>
        <v>8.1332966606598417E-2</v>
      </c>
      <c r="H157" s="102">
        <f t="shared" si="144"/>
        <v>0.10074197000135486</v>
      </c>
      <c r="I157" s="102">
        <f t="shared" si="144"/>
        <v>0.11978127809335404</v>
      </c>
      <c r="J157" s="102">
        <f t="shared" si="144"/>
        <v>0.13845089088259596</v>
      </c>
      <c r="K157" s="102">
        <f t="shared" si="144"/>
        <v>0.15675080836908059</v>
      </c>
      <c r="L157" s="102">
        <f t="shared" si="144"/>
        <v>0.17468103055280795</v>
      </c>
      <c r="M157" s="102">
        <f t="shared" si="144"/>
        <v>0.19224155743377808</v>
      </c>
      <c r="N157" s="102">
        <f t="shared" si="144"/>
        <v>0.20318420714666416</v>
      </c>
      <c r="O157" s="102">
        <f t="shared" si="144"/>
        <v>0.21387848547650806</v>
      </c>
      <c r="P157" s="102">
        <f t="shared" si="144"/>
        <v>0.22432439242330979</v>
      </c>
      <c r="Q157" s="102">
        <f t="shared" si="144"/>
        <v>0.23452192798706931</v>
      </c>
      <c r="R157" s="102">
        <f t="shared" si="144"/>
        <v>0.24447109216778667</v>
      </c>
      <c r="S157" s="102">
        <f t="shared" si="144"/>
        <v>0.25417188496546184</v>
      </c>
      <c r="T157" s="102">
        <f t="shared" si="144"/>
        <v>0.26362430638009482</v>
      </c>
      <c r="U157" s="102">
        <f t="shared" si="144"/>
        <v>0.27282835641168568</v>
      </c>
      <c r="V157" s="102">
        <f t="shared" si="144"/>
        <v>0.28178403506023431</v>
      </c>
      <c r="W157" s="102">
        <f t="shared" si="144"/>
        <v>0.2904913423257407</v>
      </c>
      <c r="X157" s="102">
        <f t="shared" si="144"/>
        <v>0.30516090800706913</v>
      </c>
      <c r="Y157" s="102">
        <f t="shared" si="144"/>
        <v>0.31944854037419701</v>
      </c>
      <c r="Z157" s="102">
        <f t="shared" si="144"/>
        <v>0.33335423942712422</v>
      </c>
      <c r="AA157" s="102">
        <f t="shared" si="144"/>
        <v>0.34687800516585099</v>
      </c>
      <c r="AB157" s="102">
        <f t="shared" si="144"/>
        <v>0.36001983759037726</v>
      </c>
      <c r="AC157" s="102">
        <f t="shared" si="144"/>
        <v>0.37277973670070291</v>
      </c>
      <c r="AD157" s="102">
        <f t="shared" si="144"/>
        <v>0.38515770249682796</v>
      </c>
      <c r="AE157" s="102">
        <f t="shared" si="144"/>
        <v>0.3971537349787525</v>
      </c>
      <c r="AF157" s="102">
        <f t="shared" si="144"/>
        <v>0.40876783414647649</v>
      </c>
      <c r="AG157" s="102">
        <f t="shared" si="144"/>
        <v>0.42</v>
      </c>
      <c r="AI157" s="125"/>
      <c r="AJ157" s="185"/>
      <c r="BD157" s="177"/>
      <c r="BE157" s="177"/>
    </row>
    <row r="158" spans="1:63" outlineLevel="1">
      <c r="C158" s="10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J158" s="185"/>
    </row>
    <row r="159" spans="1:63" outlineLevel="1">
      <c r="A159" t="s">
        <v>422</v>
      </c>
      <c r="B159" s="50" t="s">
        <v>126</v>
      </c>
      <c r="C159" s="188">
        <v>0.5</v>
      </c>
      <c r="D159" s="102">
        <f>C159</f>
        <v>0.5</v>
      </c>
      <c r="E159" s="102">
        <f t="shared" ref="E159:AG159" si="145">D159</f>
        <v>0.5</v>
      </c>
      <c r="F159" s="102">
        <f t="shared" si="145"/>
        <v>0.5</v>
      </c>
      <c r="G159" s="102">
        <f t="shared" si="145"/>
        <v>0.5</v>
      </c>
      <c r="H159" s="102">
        <f t="shared" si="145"/>
        <v>0.5</v>
      </c>
      <c r="I159" s="102">
        <f t="shared" si="145"/>
        <v>0.5</v>
      </c>
      <c r="J159" s="102">
        <f t="shared" si="145"/>
        <v>0.5</v>
      </c>
      <c r="K159" s="102">
        <f t="shared" si="145"/>
        <v>0.5</v>
      </c>
      <c r="L159" s="102">
        <f t="shared" si="145"/>
        <v>0.5</v>
      </c>
      <c r="M159" s="102">
        <f t="shared" si="145"/>
        <v>0.5</v>
      </c>
      <c r="N159" s="102">
        <f t="shared" si="145"/>
        <v>0.5</v>
      </c>
      <c r="O159" s="102">
        <f t="shared" si="145"/>
        <v>0.5</v>
      </c>
      <c r="P159" s="102">
        <f t="shared" si="145"/>
        <v>0.5</v>
      </c>
      <c r="Q159" s="102">
        <f t="shared" si="145"/>
        <v>0.5</v>
      </c>
      <c r="R159" s="102">
        <f t="shared" si="145"/>
        <v>0.5</v>
      </c>
      <c r="S159" s="102">
        <f t="shared" si="145"/>
        <v>0.5</v>
      </c>
      <c r="T159" s="102">
        <f t="shared" si="145"/>
        <v>0.5</v>
      </c>
      <c r="U159" s="102">
        <f t="shared" si="145"/>
        <v>0.5</v>
      </c>
      <c r="V159" s="102">
        <f t="shared" si="145"/>
        <v>0.5</v>
      </c>
      <c r="W159" s="102">
        <f t="shared" si="145"/>
        <v>0.5</v>
      </c>
      <c r="X159" s="102">
        <f t="shared" si="145"/>
        <v>0.5</v>
      </c>
      <c r="Y159" s="102">
        <f t="shared" si="145"/>
        <v>0.5</v>
      </c>
      <c r="Z159" s="102">
        <f t="shared" si="145"/>
        <v>0.5</v>
      </c>
      <c r="AA159" s="102">
        <f t="shared" si="145"/>
        <v>0.5</v>
      </c>
      <c r="AB159" s="102">
        <f t="shared" si="145"/>
        <v>0.5</v>
      </c>
      <c r="AC159" s="102">
        <f t="shared" si="145"/>
        <v>0.5</v>
      </c>
      <c r="AD159" s="102">
        <f t="shared" si="145"/>
        <v>0.5</v>
      </c>
      <c r="AE159" s="102">
        <f t="shared" si="145"/>
        <v>0.5</v>
      </c>
      <c r="AF159" s="102">
        <f t="shared" si="145"/>
        <v>0.5</v>
      </c>
      <c r="AG159" s="102">
        <f t="shared" si="145"/>
        <v>0.5</v>
      </c>
      <c r="AI159" s="50"/>
      <c r="AJ159" s="185" t="s">
        <v>445</v>
      </c>
    </row>
    <row r="160" spans="1:63" outlineLevel="1">
      <c r="A160" t="s">
        <v>430</v>
      </c>
      <c r="B160" s="50" t="s">
        <v>126</v>
      </c>
      <c r="C160" s="113">
        <f>1-C159</f>
        <v>0.5</v>
      </c>
      <c r="D160" s="102">
        <f t="shared" ref="D160:AG160" si="146">C160</f>
        <v>0.5</v>
      </c>
      <c r="E160" s="102">
        <f t="shared" si="146"/>
        <v>0.5</v>
      </c>
      <c r="F160" s="102">
        <f t="shared" si="146"/>
        <v>0.5</v>
      </c>
      <c r="G160" s="102">
        <f t="shared" si="146"/>
        <v>0.5</v>
      </c>
      <c r="H160" s="102">
        <f t="shared" si="146"/>
        <v>0.5</v>
      </c>
      <c r="I160" s="102">
        <f t="shared" si="146"/>
        <v>0.5</v>
      </c>
      <c r="J160" s="102">
        <f t="shared" si="146"/>
        <v>0.5</v>
      </c>
      <c r="K160" s="102">
        <f t="shared" si="146"/>
        <v>0.5</v>
      </c>
      <c r="L160" s="102">
        <f t="shared" si="146"/>
        <v>0.5</v>
      </c>
      <c r="M160" s="102">
        <f t="shared" si="146"/>
        <v>0.5</v>
      </c>
      <c r="N160" s="102">
        <f t="shared" si="146"/>
        <v>0.5</v>
      </c>
      <c r="O160" s="102">
        <f t="shared" si="146"/>
        <v>0.5</v>
      </c>
      <c r="P160" s="102">
        <f t="shared" si="146"/>
        <v>0.5</v>
      </c>
      <c r="Q160" s="102">
        <f t="shared" si="146"/>
        <v>0.5</v>
      </c>
      <c r="R160" s="102">
        <f t="shared" si="146"/>
        <v>0.5</v>
      </c>
      <c r="S160" s="102">
        <f t="shared" si="146"/>
        <v>0.5</v>
      </c>
      <c r="T160" s="102">
        <f t="shared" si="146"/>
        <v>0.5</v>
      </c>
      <c r="U160" s="102">
        <f t="shared" si="146"/>
        <v>0.5</v>
      </c>
      <c r="V160" s="102">
        <f t="shared" si="146"/>
        <v>0.5</v>
      </c>
      <c r="W160" s="102">
        <f t="shared" si="146"/>
        <v>0.5</v>
      </c>
      <c r="X160" s="102">
        <f t="shared" si="146"/>
        <v>0.5</v>
      </c>
      <c r="Y160" s="102">
        <f t="shared" si="146"/>
        <v>0.5</v>
      </c>
      <c r="Z160" s="102">
        <f t="shared" si="146"/>
        <v>0.5</v>
      </c>
      <c r="AA160" s="102">
        <f t="shared" si="146"/>
        <v>0.5</v>
      </c>
      <c r="AB160" s="102">
        <f t="shared" si="146"/>
        <v>0.5</v>
      </c>
      <c r="AC160" s="102">
        <f t="shared" si="146"/>
        <v>0.5</v>
      </c>
      <c r="AD160" s="102">
        <f t="shared" si="146"/>
        <v>0.5</v>
      </c>
      <c r="AE160" s="102">
        <f t="shared" si="146"/>
        <v>0.5</v>
      </c>
      <c r="AF160" s="102">
        <f t="shared" si="146"/>
        <v>0.5</v>
      </c>
      <c r="AG160" s="102">
        <f t="shared" si="146"/>
        <v>0.5</v>
      </c>
      <c r="AJ160" s="196"/>
    </row>
    <row r="161" spans="1:63" outlineLevel="1">
      <c r="A161" t="s">
        <v>418</v>
      </c>
      <c r="B161" s="50" t="s">
        <v>126</v>
      </c>
      <c r="C161" s="102">
        <f t="shared" ref="C161:AG161" si="147">SUM(C159:C160)</f>
        <v>1</v>
      </c>
      <c r="D161" s="102">
        <f t="shared" si="147"/>
        <v>1</v>
      </c>
      <c r="E161" s="102">
        <f t="shared" si="147"/>
        <v>1</v>
      </c>
      <c r="F161" s="102">
        <f t="shared" si="147"/>
        <v>1</v>
      </c>
      <c r="G161" s="102">
        <f t="shared" si="147"/>
        <v>1</v>
      </c>
      <c r="H161" s="102">
        <f t="shared" si="147"/>
        <v>1</v>
      </c>
      <c r="I161" s="102">
        <f t="shared" si="147"/>
        <v>1</v>
      </c>
      <c r="J161" s="102">
        <f t="shared" si="147"/>
        <v>1</v>
      </c>
      <c r="K161" s="102">
        <f t="shared" si="147"/>
        <v>1</v>
      </c>
      <c r="L161" s="102">
        <f t="shared" si="147"/>
        <v>1</v>
      </c>
      <c r="M161" s="102">
        <f t="shared" si="147"/>
        <v>1</v>
      </c>
      <c r="N161" s="102">
        <f t="shared" si="147"/>
        <v>1</v>
      </c>
      <c r="O161" s="102">
        <f t="shared" si="147"/>
        <v>1</v>
      </c>
      <c r="P161" s="102">
        <f t="shared" si="147"/>
        <v>1</v>
      </c>
      <c r="Q161" s="102">
        <f t="shared" si="147"/>
        <v>1</v>
      </c>
      <c r="R161" s="102">
        <f t="shared" si="147"/>
        <v>1</v>
      </c>
      <c r="S161" s="102">
        <f t="shared" si="147"/>
        <v>1</v>
      </c>
      <c r="T161" s="102">
        <f t="shared" si="147"/>
        <v>1</v>
      </c>
      <c r="U161" s="102">
        <f t="shared" si="147"/>
        <v>1</v>
      </c>
      <c r="V161" s="102">
        <f t="shared" si="147"/>
        <v>1</v>
      </c>
      <c r="W161" s="102">
        <f t="shared" si="147"/>
        <v>1</v>
      </c>
      <c r="X161" s="102">
        <f t="shared" si="147"/>
        <v>1</v>
      </c>
      <c r="Y161" s="102">
        <f t="shared" si="147"/>
        <v>1</v>
      </c>
      <c r="Z161" s="102">
        <f t="shared" si="147"/>
        <v>1</v>
      </c>
      <c r="AA161" s="102">
        <f t="shared" si="147"/>
        <v>1</v>
      </c>
      <c r="AB161" s="102">
        <f t="shared" si="147"/>
        <v>1</v>
      </c>
      <c r="AC161" s="102">
        <f t="shared" si="147"/>
        <v>1</v>
      </c>
      <c r="AD161" s="102">
        <f t="shared" si="147"/>
        <v>1</v>
      </c>
      <c r="AE161" s="102">
        <f t="shared" si="147"/>
        <v>1</v>
      </c>
      <c r="AF161" s="102">
        <f t="shared" si="147"/>
        <v>1</v>
      </c>
      <c r="AG161" s="102">
        <f t="shared" si="147"/>
        <v>1</v>
      </c>
      <c r="AH161" s="122"/>
      <c r="AI161" s="50"/>
      <c r="AJ161" s="196"/>
    </row>
    <row r="162" spans="1:63" outlineLevel="1">
      <c r="C162" s="188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22"/>
      <c r="AI162" s="122"/>
      <c r="AJ162" s="196"/>
    </row>
    <row r="163" spans="1:63" outlineLevel="1">
      <c r="A163" t="s">
        <v>440</v>
      </c>
      <c r="B163" s="50" t="s">
        <v>126</v>
      </c>
      <c r="C163" s="102">
        <f>C159*C157</f>
        <v>0</v>
      </c>
      <c r="D163" s="102">
        <f t="shared" ref="D163:AG163" si="148">D159*D157</f>
        <v>1.0443892302892751E-2</v>
      </c>
      <c r="E163" s="102">
        <f t="shared" si="148"/>
        <v>2.0702936954406871E-2</v>
      </c>
      <c r="F163" s="102">
        <f t="shared" si="148"/>
        <v>3.0777133954542357E-2</v>
      </c>
      <c r="G163" s="102">
        <f t="shared" si="148"/>
        <v>4.0666483303299208E-2</v>
      </c>
      <c r="H163" s="102">
        <f t="shared" si="148"/>
        <v>5.037098500067743E-2</v>
      </c>
      <c r="I163" s="102">
        <f t="shared" si="148"/>
        <v>5.9890639046677019E-2</v>
      </c>
      <c r="J163" s="102">
        <f t="shared" si="148"/>
        <v>6.9225445441297981E-2</v>
      </c>
      <c r="K163" s="102">
        <f t="shared" si="148"/>
        <v>7.8375404184540295E-2</v>
      </c>
      <c r="L163" s="102">
        <f t="shared" si="148"/>
        <v>8.7340515276403977E-2</v>
      </c>
      <c r="M163" s="102">
        <f t="shared" si="148"/>
        <v>9.6120778716889038E-2</v>
      </c>
      <c r="N163" s="102">
        <f t="shared" si="148"/>
        <v>0.10159210357333208</v>
      </c>
      <c r="O163" s="102">
        <f t="shared" si="148"/>
        <v>0.10693924273825403</v>
      </c>
      <c r="P163" s="102">
        <f t="shared" si="148"/>
        <v>0.11216219621165489</v>
      </c>
      <c r="Q163" s="102">
        <f t="shared" si="148"/>
        <v>0.11726096399353465</v>
      </c>
      <c r="R163" s="102">
        <f t="shared" si="148"/>
        <v>0.12223554608389334</v>
      </c>
      <c r="S163" s="102">
        <f t="shared" si="148"/>
        <v>0.12708594248273092</v>
      </c>
      <c r="T163" s="102">
        <f t="shared" si="148"/>
        <v>0.13181215319004741</v>
      </c>
      <c r="U163" s="102">
        <f t="shared" si="148"/>
        <v>0.13641417820584284</v>
      </c>
      <c r="V163" s="102">
        <f t="shared" si="148"/>
        <v>0.14089201753011715</v>
      </c>
      <c r="W163" s="102">
        <f t="shared" si="148"/>
        <v>0.14524567116287035</v>
      </c>
      <c r="X163" s="102">
        <f t="shared" si="148"/>
        <v>0.15258045400353457</v>
      </c>
      <c r="Y163" s="102">
        <f t="shared" si="148"/>
        <v>0.1597242701870985</v>
      </c>
      <c r="Z163" s="102">
        <f t="shared" si="148"/>
        <v>0.16667711971356211</v>
      </c>
      <c r="AA163" s="102">
        <f t="shared" si="148"/>
        <v>0.17343900258292549</v>
      </c>
      <c r="AB163" s="102">
        <f t="shared" si="148"/>
        <v>0.18000991879518863</v>
      </c>
      <c r="AC163" s="102">
        <f t="shared" si="148"/>
        <v>0.18638986835035146</v>
      </c>
      <c r="AD163" s="102">
        <f t="shared" si="148"/>
        <v>0.19257885124841398</v>
      </c>
      <c r="AE163" s="102">
        <f t="shared" si="148"/>
        <v>0.19857686748937625</v>
      </c>
      <c r="AF163" s="102">
        <f t="shared" si="148"/>
        <v>0.20438391707323825</v>
      </c>
      <c r="AG163" s="102">
        <f t="shared" si="148"/>
        <v>0.21</v>
      </c>
      <c r="AH163" s="122"/>
      <c r="AI163" s="122"/>
      <c r="AJ163" s="185"/>
    </row>
    <row r="164" spans="1:63" outlineLevel="1">
      <c r="A164" t="s">
        <v>518</v>
      </c>
      <c r="B164" s="50" t="s">
        <v>126</v>
      </c>
      <c r="C164" s="102">
        <f>C157*C160</f>
        <v>0</v>
      </c>
      <c r="D164" s="102">
        <f t="shared" ref="D164:AG164" si="149">D157*D160</f>
        <v>1.0443892302892751E-2</v>
      </c>
      <c r="E164" s="102">
        <f t="shared" si="149"/>
        <v>2.0702936954406871E-2</v>
      </c>
      <c r="F164" s="102">
        <f t="shared" si="149"/>
        <v>3.0777133954542357E-2</v>
      </c>
      <c r="G164" s="102">
        <f t="shared" si="149"/>
        <v>4.0666483303299208E-2</v>
      </c>
      <c r="H164" s="102">
        <f t="shared" si="149"/>
        <v>5.037098500067743E-2</v>
      </c>
      <c r="I164" s="102">
        <f t="shared" si="149"/>
        <v>5.9890639046677019E-2</v>
      </c>
      <c r="J164" s="102">
        <f t="shared" si="149"/>
        <v>6.9225445441297981E-2</v>
      </c>
      <c r="K164" s="102">
        <f t="shared" si="149"/>
        <v>7.8375404184540295E-2</v>
      </c>
      <c r="L164" s="102">
        <f t="shared" si="149"/>
        <v>8.7340515276403977E-2</v>
      </c>
      <c r="M164" s="102">
        <f t="shared" si="149"/>
        <v>9.6120778716889038E-2</v>
      </c>
      <c r="N164" s="102">
        <f t="shared" si="149"/>
        <v>0.10159210357333208</v>
      </c>
      <c r="O164" s="102">
        <f t="shared" si="149"/>
        <v>0.10693924273825403</v>
      </c>
      <c r="P164" s="102">
        <f t="shared" si="149"/>
        <v>0.11216219621165489</v>
      </c>
      <c r="Q164" s="102">
        <f t="shared" si="149"/>
        <v>0.11726096399353465</v>
      </c>
      <c r="R164" s="102">
        <f t="shared" si="149"/>
        <v>0.12223554608389334</v>
      </c>
      <c r="S164" s="102">
        <f t="shared" si="149"/>
        <v>0.12708594248273092</v>
      </c>
      <c r="T164" s="102">
        <f t="shared" si="149"/>
        <v>0.13181215319004741</v>
      </c>
      <c r="U164" s="102">
        <f t="shared" si="149"/>
        <v>0.13641417820584284</v>
      </c>
      <c r="V164" s="102">
        <f t="shared" si="149"/>
        <v>0.14089201753011715</v>
      </c>
      <c r="W164" s="102">
        <f t="shared" si="149"/>
        <v>0.14524567116287035</v>
      </c>
      <c r="X164" s="102">
        <f t="shared" si="149"/>
        <v>0.15258045400353457</v>
      </c>
      <c r="Y164" s="102">
        <f t="shared" si="149"/>
        <v>0.1597242701870985</v>
      </c>
      <c r="Z164" s="102">
        <f t="shared" si="149"/>
        <v>0.16667711971356211</v>
      </c>
      <c r="AA164" s="102">
        <f t="shared" si="149"/>
        <v>0.17343900258292549</v>
      </c>
      <c r="AB164" s="102">
        <f t="shared" si="149"/>
        <v>0.18000991879518863</v>
      </c>
      <c r="AC164" s="102">
        <f t="shared" si="149"/>
        <v>0.18638986835035146</v>
      </c>
      <c r="AD164" s="102">
        <f t="shared" si="149"/>
        <v>0.19257885124841398</v>
      </c>
      <c r="AE164" s="102">
        <f t="shared" si="149"/>
        <v>0.19857686748937625</v>
      </c>
      <c r="AF164" s="102">
        <f t="shared" si="149"/>
        <v>0.20438391707323825</v>
      </c>
      <c r="AG164" s="102">
        <f t="shared" si="149"/>
        <v>0.21</v>
      </c>
      <c r="AJ164" s="185"/>
    </row>
    <row r="165" spans="1:63" outlineLevel="1"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I165" s="125"/>
      <c r="AJ165" s="185"/>
      <c r="BC165" s="1"/>
      <c r="BD165" s="37"/>
      <c r="BF165" s="6"/>
      <c r="BG165" s="6"/>
      <c r="BH165" s="6"/>
      <c r="BI165" s="6"/>
      <c r="BJ165" s="6"/>
    </row>
    <row r="166" spans="1:63" outlineLevel="1">
      <c r="A166" t="s">
        <v>755</v>
      </c>
      <c r="C166" s="329">
        <f>'Overall recycling rates'!C87</f>
        <v>1</v>
      </c>
      <c r="D166" s="329">
        <f t="shared" ref="D166:AF166" si="150">C166-($C166-$AG166)/($AG1-$C1)</f>
        <v>1</v>
      </c>
      <c r="E166" s="329">
        <f t="shared" si="150"/>
        <v>1</v>
      </c>
      <c r="F166" s="329">
        <f t="shared" si="150"/>
        <v>1</v>
      </c>
      <c r="G166" s="329">
        <f t="shared" si="150"/>
        <v>1</v>
      </c>
      <c r="H166" s="329">
        <f t="shared" si="150"/>
        <v>1</v>
      </c>
      <c r="I166" s="329">
        <f t="shared" si="150"/>
        <v>1</v>
      </c>
      <c r="J166" s="329">
        <f t="shared" si="150"/>
        <v>1</v>
      </c>
      <c r="K166" s="329">
        <f t="shared" si="150"/>
        <v>1</v>
      </c>
      <c r="L166" s="329">
        <f t="shared" si="150"/>
        <v>1</v>
      </c>
      <c r="M166" s="329">
        <f t="shared" si="150"/>
        <v>1</v>
      </c>
      <c r="N166" s="329">
        <f t="shared" si="150"/>
        <v>1</v>
      </c>
      <c r="O166" s="329">
        <f t="shared" si="150"/>
        <v>1</v>
      </c>
      <c r="P166" s="329">
        <f t="shared" si="150"/>
        <v>1</v>
      </c>
      <c r="Q166" s="329">
        <f t="shared" si="150"/>
        <v>1</v>
      </c>
      <c r="R166" s="329">
        <f t="shared" si="150"/>
        <v>1</v>
      </c>
      <c r="S166" s="329">
        <f t="shared" si="150"/>
        <v>1</v>
      </c>
      <c r="T166" s="329">
        <f t="shared" si="150"/>
        <v>1</v>
      </c>
      <c r="U166" s="329">
        <f t="shared" si="150"/>
        <v>1</v>
      </c>
      <c r="V166" s="329">
        <f t="shared" si="150"/>
        <v>1</v>
      </c>
      <c r="W166" s="329">
        <f t="shared" si="150"/>
        <v>1</v>
      </c>
      <c r="X166" s="329">
        <f t="shared" si="150"/>
        <v>1</v>
      </c>
      <c r="Y166" s="329">
        <f t="shared" si="150"/>
        <v>1</v>
      </c>
      <c r="Z166" s="329">
        <f t="shared" si="150"/>
        <v>1</v>
      </c>
      <c r="AA166" s="329">
        <f t="shared" si="150"/>
        <v>1</v>
      </c>
      <c r="AB166" s="329">
        <f t="shared" si="150"/>
        <v>1</v>
      </c>
      <c r="AC166" s="329">
        <f t="shared" si="150"/>
        <v>1</v>
      </c>
      <c r="AD166" s="329">
        <f t="shared" si="150"/>
        <v>1</v>
      </c>
      <c r="AE166" s="329">
        <f t="shared" si="150"/>
        <v>1</v>
      </c>
      <c r="AF166" s="329">
        <f t="shared" si="150"/>
        <v>1</v>
      </c>
      <c r="AG166" s="329">
        <f>'Overall recycling rates'!C96</f>
        <v>1</v>
      </c>
      <c r="AI166" s="125"/>
      <c r="AJ166" s="185"/>
      <c r="BC166" s="1"/>
      <c r="BD166" s="37"/>
      <c r="BF166" s="6"/>
      <c r="BG166" s="6"/>
      <c r="BH166" s="6"/>
      <c r="BI166" s="6"/>
      <c r="BJ166" s="6"/>
    </row>
    <row r="167" spans="1:63" outlineLevel="1">
      <c r="A167" t="s">
        <v>756</v>
      </c>
      <c r="B167" s="50" t="s">
        <v>126</v>
      </c>
      <c r="C167" s="102">
        <f>C156*C166</f>
        <v>0</v>
      </c>
      <c r="D167" s="102">
        <f t="shared" ref="D167:AG167" si="151">D156*D166</f>
        <v>1.2939335596504294E-3</v>
      </c>
      <c r="E167" s="102">
        <f t="shared" si="151"/>
        <v>2.9575624220581241E-3</v>
      </c>
      <c r="F167" s="102">
        <f t="shared" si="151"/>
        <v>4.9908865872230843E-3</v>
      </c>
      <c r="G167" s="102">
        <f t="shared" si="151"/>
        <v>7.3939060551453106E-3</v>
      </c>
      <c r="H167" s="102">
        <f t="shared" si="151"/>
        <v>1.0166620825824802E-2</v>
      </c>
      <c r="I167" s="102">
        <f t="shared" si="151"/>
        <v>1.3309030899261559E-2</v>
      </c>
      <c r="J167" s="102">
        <f t="shared" si="151"/>
        <v>1.6821136275455579E-2</v>
      </c>
      <c r="K167" s="102">
        <f t="shared" si="151"/>
        <v>2.0702936954406868E-2</v>
      </c>
      <c r="L167" s="102">
        <f t="shared" si="151"/>
        <v>2.495443293611542E-2</v>
      </c>
      <c r="M167" s="102">
        <f t="shared" si="151"/>
        <v>2.9575624220581243E-2</v>
      </c>
      <c r="N167" s="102">
        <f t="shared" si="151"/>
        <v>3.3535257490226122E-2</v>
      </c>
      <c r="O167" s="102">
        <f t="shared" si="151"/>
        <v>3.7743262142913188E-2</v>
      </c>
      <c r="P167" s="102">
        <f t="shared" si="151"/>
        <v>4.2199638178642432E-2</v>
      </c>
      <c r="Q167" s="102">
        <f t="shared" si="151"/>
        <v>4.6904385597413861E-2</v>
      </c>
      <c r="R167" s="102">
        <f t="shared" si="151"/>
        <v>5.1857504399227476E-2</v>
      </c>
      <c r="S167" s="102">
        <f t="shared" si="151"/>
        <v>5.7058994584083263E-2</v>
      </c>
      <c r="T167" s="102">
        <f t="shared" si="151"/>
        <v>6.2508856151981249E-2</v>
      </c>
      <c r="U167" s="102">
        <f t="shared" si="151"/>
        <v>6.8207089102921406E-2</v>
      </c>
      <c r="V167" s="102">
        <f t="shared" si="151"/>
        <v>7.4153693436903742E-2</v>
      </c>
      <c r="W167" s="102">
        <f t="shared" si="151"/>
        <v>8.034866915392827E-2</v>
      </c>
      <c r="X167" s="102">
        <f t="shared" si="151"/>
        <v>8.8595102324632968E-2</v>
      </c>
      <c r="Y167" s="102">
        <f t="shared" si="151"/>
        <v>9.7223468809538208E-2</v>
      </c>
      <c r="Z167" s="102">
        <f t="shared" si="151"/>
        <v>0.10623376860864399</v>
      </c>
      <c r="AA167" s="102">
        <f t="shared" si="151"/>
        <v>0.11562600172195032</v>
      </c>
      <c r="AB167" s="102">
        <f t="shared" si="151"/>
        <v>0.12540016814945723</v>
      </c>
      <c r="AC167" s="102">
        <f t="shared" si="151"/>
        <v>0.13555626789116468</v>
      </c>
      <c r="AD167" s="102">
        <f t="shared" si="151"/>
        <v>0.14609430094707271</v>
      </c>
      <c r="AE167" s="102">
        <f t="shared" si="151"/>
        <v>0.15701426731718127</v>
      </c>
      <c r="AF167" s="102">
        <f t="shared" si="151"/>
        <v>0.16831616700149038</v>
      </c>
      <c r="AG167" s="102">
        <f t="shared" si="151"/>
        <v>0.18</v>
      </c>
      <c r="AI167" s="125"/>
      <c r="AJ167" s="185"/>
      <c r="BC167" s="1"/>
      <c r="BD167" s="37"/>
      <c r="BF167" s="6"/>
      <c r="BG167" s="6"/>
      <c r="BH167" s="6"/>
      <c r="BI167" s="6"/>
      <c r="BJ167" s="6"/>
    </row>
    <row r="168" spans="1:63" outlineLevel="1">
      <c r="A168" t="s">
        <v>757</v>
      </c>
      <c r="B168" s="50" t="s">
        <v>126</v>
      </c>
      <c r="C168" s="102">
        <f>C157*C166</f>
        <v>0</v>
      </c>
      <c r="D168" s="102">
        <f t="shared" ref="D168:AG168" si="152">D157*D166</f>
        <v>2.0887784605785501E-2</v>
      </c>
      <c r="E168" s="102">
        <f t="shared" si="152"/>
        <v>4.1405873908813742E-2</v>
      </c>
      <c r="F168" s="102">
        <f t="shared" si="152"/>
        <v>6.1554267909084713E-2</v>
      </c>
      <c r="G168" s="102">
        <f t="shared" si="152"/>
        <v>8.1332966606598417E-2</v>
      </c>
      <c r="H168" s="102">
        <f t="shared" si="152"/>
        <v>0.10074197000135486</v>
      </c>
      <c r="I168" s="102">
        <f t="shared" si="152"/>
        <v>0.11978127809335404</v>
      </c>
      <c r="J168" s="102">
        <f t="shared" si="152"/>
        <v>0.13845089088259596</v>
      </c>
      <c r="K168" s="102">
        <f t="shared" si="152"/>
        <v>0.15675080836908059</v>
      </c>
      <c r="L168" s="102">
        <f t="shared" si="152"/>
        <v>0.17468103055280795</v>
      </c>
      <c r="M168" s="102">
        <f t="shared" si="152"/>
        <v>0.19224155743377808</v>
      </c>
      <c r="N168" s="102">
        <f t="shared" si="152"/>
        <v>0.20318420714666416</v>
      </c>
      <c r="O168" s="102">
        <f t="shared" si="152"/>
        <v>0.21387848547650806</v>
      </c>
      <c r="P168" s="102">
        <f t="shared" si="152"/>
        <v>0.22432439242330979</v>
      </c>
      <c r="Q168" s="102">
        <f t="shared" si="152"/>
        <v>0.23452192798706931</v>
      </c>
      <c r="R168" s="102">
        <f t="shared" si="152"/>
        <v>0.24447109216778667</v>
      </c>
      <c r="S168" s="102">
        <f t="shared" si="152"/>
        <v>0.25417188496546184</v>
      </c>
      <c r="T168" s="102">
        <f t="shared" si="152"/>
        <v>0.26362430638009482</v>
      </c>
      <c r="U168" s="102">
        <f t="shared" si="152"/>
        <v>0.27282835641168568</v>
      </c>
      <c r="V168" s="102">
        <f t="shared" si="152"/>
        <v>0.28178403506023431</v>
      </c>
      <c r="W168" s="102">
        <f t="shared" si="152"/>
        <v>0.2904913423257407</v>
      </c>
      <c r="X168" s="102">
        <f t="shared" si="152"/>
        <v>0.30516090800706913</v>
      </c>
      <c r="Y168" s="102">
        <f t="shared" si="152"/>
        <v>0.31944854037419701</v>
      </c>
      <c r="Z168" s="102">
        <f t="shared" si="152"/>
        <v>0.33335423942712422</v>
      </c>
      <c r="AA168" s="102">
        <f t="shared" si="152"/>
        <v>0.34687800516585099</v>
      </c>
      <c r="AB168" s="102">
        <f t="shared" si="152"/>
        <v>0.36001983759037726</v>
      </c>
      <c r="AC168" s="102">
        <f t="shared" si="152"/>
        <v>0.37277973670070291</v>
      </c>
      <c r="AD168" s="102">
        <f t="shared" si="152"/>
        <v>0.38515770249682796</v>
      </c>
      <c r="AE168" s="102">
        <f t="shared" si="152"/>
        <v>0.3971537349787525</v>
      </c>
      <c r="AF168" s="102">
        <f t="shared" si="152"/>
        <v>0.40876783414647649</v>
      </c>
      <c r="AG168" s="102">
        <f t="shared" si="152"/>
        <v>0.42</v>
      </c>
      <c r="AI168" s="125"/>
      <c r="AJ168" s="185"/>
      <c r="BC168" s="1"/>
      <c r="BD168" s="37"/>
      <c r="BF168" s="6"/>
      <c r="BG168" s="6"/>
      <c r="BH168" s="6"/>
      <c r="BI168" s="6"/>
      <c r="BJ168" s="6"/>
    </row>
    <row r="169" spans="1:63" outlineLevel="1">
      <c r="A169" t="s">
        <v>758</v>
      </c>
      <c r="B169" s="50" t="s">
        <v>126</v>
      </c>
      <c r="C169" s="102">
        <f>C153*C166</f>
        <v>0</v>
      </c>
      <c r="D169" s="102">
        <f t="shared" ref="D169:AG169" si="153">D153*D166</f>
        <v>2.2181718165435932E-2</v>
      </c>
      <c r="E169" s="102">
        <f t="shared" si="153"/>
        <v>4.4363436330871864E-2</v>
      </c>
      <c r="F169" s="102">
        <f t="shared" si="153"/>
        <v>6.6545154496307796E-2</v>
      </c>
      <c r="G169" s="102">
        <f t="shared" si="153"/>
        <v>8.8726872661743728E-2</v>
      </c>
      <c r="H169" s="102">
        <f t="shared" si="153"/>
        <v>0.11090859082717966</v>
      </c>
      <c r="I169" s="102">
        <f t="shared" si="153"/>
        <v>0.13309030899261559</v>
      </c>
      <c r="J169" s="102">
        <f t="shared" si="153"/>
        <v>0.15527202715805152</v>
      </c>
      <c r="K169" s="102">
        <f t="shared" si="153"/>
        <v>0.17745374532348746</v>
      </c>
      <c r="L169" s="102">
        <f t="shared" si="153"/>
        <v>0.19963546348892339</v>
      </c>
      <c r="M169" s="102">
        <f t="shared" si="153"/>
        <v>0.22181718165435932</v>
      </c>
      <c r="N169" s="102">
        <f t="shared" si="153"/>
        <v>0.23671946463689028</v>
      </c>
      <c r="O169" s="102">
        <f t="shared" si="153"/>
        <v>0.25162174761942124</v>
      </c>
      <c r="P169" s="102">
        <f t="shared" si="153"/>
        <v>0.26652403060195223</v>
      </c>
      <c r="Q169" s="102">
        <f t="shared" si="153"/>
        <v>0.28142631358448317</v>
      </c>
      <c r="R169" s="102">
        <f t="shared" si="153"/>
        <v>0.29632859656701416</v>
      </c>
      <c r="S169" s="102">
        <f t="shared" si="153"/>
        <v>0.31123087954954509</v>
      </c>
      <c r="T169" s="102">
        <f t="shared" si="153"/>
        <v>0.32613316253207608</v>
      </c>
      <c r="U169" s="102">
        <f t="shared" si="153"/>
        <v>0.34103544551460707</v>
      </c>
      <c r="V169" s="102">
        <f t="shared" si="153"/>
        <v>0.35593772849713801</v>
      </c>
      <c r="W169" s="102">
        <f t="shared" si="153"/>
        <v>0.370840011479669</v>
      </c>
      <c r="X169" s="102">
        <f t="shared" si="153"/>
        <v>0.3937560103317021</v>
      </c>
      <c r="Y169" s="102">
        <f t="shared" si="153"/>
        <v>0.4166720091837352</v>
      </c>
      <c r="Z169" s="102">
        <f t="shared" si="153"/>
        <v>0.43958800803576825</v>
      </c>
      <c r="AA169" s="102">
        <f t="shared" si="153"/>
        <v>0.46250400688780136</v>
      </c>
      <c r="AB169" s="102">
        <f t="shared" si="153"/>
        <v>0.48542000573983446</v>
      </c>
      <c r="AC169" s="102">
        <f t="shared" si="153"/>
        <v>0.50833600459186756</v>
      </c>
      <c r="AD169" s="102">
        <f t="shared" si="153"/>
        <v>0.53125200344390067</v>
      </c>
      <c r="AE169" s="102">
        <f t="shared" si="153"/>
        <v>0.55416800229593377</v>
      </c>
      <c r="AF169" s="102">
        <f t="shared" si="153"/>
        <v>0.57708400114796687</v>
      </c>
      <c r="AG169" s="102">
        <f t="shared" si="153"/>
        <v>0.6</v>
      </c>
      <c r="AI169" s="125"/>
      <c r="AJ169" s="185"/>
      <c r="BC169" s="1"/>
      <c r="BD169" s="37"/>
      <c r="BF169" s="6"/>
      <c r="BG169" s="6"/>
      <c r="BH169" s="6"/>
      <c r="BI169" s="6"/>
      <c r="BJ169" s="6"/>
    </row>
    <row r="170" spans="1:63" outlineLevel="1">
      <c r="A170" t="s">
        <v>759</v>
      </c>
      <c r="B170" s="50" t="s">
        <v>126</v>
      </c>
      <c r="C170" s="102">
        <f>C163*C166</f>
        <v>0</v>
      </c>
      <c r="D170" s="102">
        <f t="shared" ref="D170:AG170" si="154">D163*D166</f>
        <v>1.0443892302892751E-2</v>
      </c>
      <c r="E170" s="102">
        <f t="shared" si="154"/>
        <v>2.0702936954406871E-2</v>
      </c>
      <c r="F170" s="102">
        <f t="shared" si="154"/>
        <v>3.0777133954542357E-2</v>
      </c>
      <c r="G170" s="102">
        <f t="shared" si="154"/>
        <v>4.0666483303299208E-2</v>
      </c>
      <c r="H170" s="102">
        <f t="shared" si="154"/>
        <v>5.037098500067743E-2</v>
      </c>
      <c r="I170" s="102">
        <f t="shared" si="154"/>
        <v>5.9890639046677019E-2</v>
      </c>
      <c r="J170" s="102">
        <f t="shared" si="154"/>
        <v>6.9225445441297981E-2</v>
      </c>
      <c r="K170" s="102">
        <f t="shared" si="154"/>
        <v>7.8375404184540295E-2</v>
      </c>
      <c r="L170" s="102">
        <f t="shared" si="154"/>
        <v>8.7340515276403977E-2</v>
      </c>
      <c r="M170" s="102">
        <f t="shared" si="154"/>
        <v>9.6120778716889038E-2</v>
      </c>
      <c r="N170" s="102">
        <f t="shared" si="154"/>
        <v>0.10159210357333208</v>
      </c>
      <c r="O170" s="102">
        <f t="shared" si="154"/>
        <v>0.10693924273825403</v>
      </c>
      <c r="P170" s="102">
        <f t="shared" si="154"/>
        <v>0.11216219621165489</v>
      </c>
      <c r="Q170" s="102">
        <f t="shared" si="154"/>
        <v>0.11726096399353465</v>
      </c>
      <c r="R170" s="102">
        <f t="shared" si="154"/>
        <v>0.12223554608389334</v>
      </c>
      <c r="S170" s="102">
        <f t="shared" si="154"/>
        <v>0.12708594248273092</v>
      </c>
      <c r="T170" s="102">
        <f t="shared" si="154"/>
        <v>0.13181215319004741</v>
      </c>
      <c r="U170" s="102">
        <f t="shared" si="154"/>
        <v>0.13641417820584284</v>
      </c>
      <c r="V170" s="102">
        <f t="shared" si="154"/>
        <v>0.14089201753011715</v>
      </c>
      <c r="W170" s="102">
        <f t="shared" si="154"/>
        <v>0.14524567116287035</v>
      </c>
      <c r="X170" s="102">
        <f t="shared" si="154"/>
        <v>0.15258045400353457</v>
      </c>
      <c r="Y170" s="102">
        <f t="shared" si="154"/>
        <v>0.1597242701870985</v>
      </c>
      <c r="Z170" s="102">
        <f t="shared" si="154"/>
        <v>0.16667711971356211</v>
      </c>
      <c r="AA170" s="102">
        <f t="shared" si="154"/>
        <v>0.17343900258292549</v>
      </c>
      <c r="AB170" s="102">
        <f t="shared" si="154"/>
        <v>0.18000991879518863</v>
      </c>
      <c r="AC170" s="102">
        <f t="shared" si="154"/>
        <v>0.18638986835035146</v>
      </c>
      <c r="AD170" s="102">
        <f t="shared" si="154"/>
        <v>0.19257885124841398</v>
      </c>
      <c r="AE170" s="102">
        <f t="shared" si="154"/>
        <v>0.19857686748937625</v>
      </c>
      <c r="AF170" s="102">
        <f t="shared" si="154"/>
        <v>0.20438391707323825</v>
      </c>
      <c r="AG170" s="102">
        <f t="shared" si="154"/>
        <v>0.21</v>
      </c>
      <c r="AI170" s="125"/>
      <c r="AJ170" s="185"/>
      <c r="BC170" s="1"/>
      <c r="BD170" s="37"/>
      <c r="BF170" s="6"/>
      <c r="BG170" s="6"/>
      <c r="BH170" s="6"/>
      <c r="BI170" s="6"/>
      <c r="BJ170" s="6"/>
    </row>
    <row r="171" spans="1:63" outlineLevel="1">
      <c r="A171" t="s">
        <v>761</v>
      </c>
      <c r="B171" s="50" t="s">
        <v>126</v>
      </c>
      <c r="C171" s="102">
        <f>C164*C166</f>
        <v>0</v>
      </c>
      <c r="D171" s="102">
        <f t="shared" ref="D171:AG171" si="155">D164*D166</f>
        <v>1.0443892302892751E-2</v>
      </c>
      <c r="E171" s="102">
        <f t="shared" si="155"/>
        <v>2.0702936954406871E-2</v>
      </c>
      <c r="F171" s="102">
        <f t="shared" si="155"/>
        <v>3.0777133954542357E-2</v>
      </c>
      <c r="G171" s="102">
        <f t="shared" si="155"/>
        <v>4.0666483303299208E-2</v>
      </c>
      <c r="H171" s="102">
        <f t="shared" si="155"/>
        <v>5.037098500067743E-2</v>
      </c>
      <c r="I171" s="102">
        <f t="shared" si="155"/>
        <v>5.9890639046677019E-2</v>
      </c>
      <c r="J171" s="102">
        <f t="shared" si="155"/>
        <v>6.9225445441297981E-2</v>
      </c>
      <c r="K171" s="102">
        <f t="shared" si="155"/>
        <v>7.8375404184540295E-2</v>
      </c>
      <c r="L171" s="102">
        <f t="shared" si="155"/>
        <v>8.7340515276403977E-2</v>
      </c>
      <c r="M171" s="102">
        <f t="shared" si="155"/>
        <v>9.6120778716889038E-2</v>
      </c>
      <c r="N171" s="102">
        <f t="shared" si="155"/>
        <v>0.10159210357333208</v>
      </c>
      <c r="O171" s="102">
        <f t="shared" si="155"/>
        <v>0.10693924273825403</v>
      </c>
      <c r="P171" s="102">
        <f t="shared" si="155"/>
        <v>0.11216219621165489</v>
      </c>
      <c r="Q171" s="102">
        <f t="shared" si="155"/>
        <v>0.11726096399353465</v>
      </c>
      <c r="R171" s="102">
        <f t="shared" si="155"/>
        <v>0.12223554608389334</v>
      </c>
      <c r="S171" s="102">
        <f t="shared" si="155"/>
        <v>0.12708594248273092</v>
      </c>
      <c r="T171" s="102">
        <f t="shared" si="155"/>
        <v>0.13181215319004741</v>
      </c>
      <c r="U171" s="102">
        <f t="shared" si="155"/>
        <v>0.13641417820584284</v>
      </c>
      <c r="V171" s="102">
        <f t="shared" si="155"/>
        <v>0.14089201753011715</v>
      </c>
      <c r="W171" s="102">
        <f t="shared" si="155"/>
        <v>0.14524567116287035</v>
      </c>
      <c r="X171" s="102">
        <f t="shared" si="155"/>
        <v>0.15258045400353457</v>
      </c>
      <c r="Y171" s="102">
        <f t="shared" si="155"/>
        <v>0.1597242701870985</v>
      </c>
      <c r="Z171" s="102">
        <f t="shared" si="155"/>
        <v>0.16667711971356211</v>
      </c>
      <c r="AA171" s="102">
        <f t="shared" si="155"/>
        <v>0.17343900258292549</v>
      </c>
      <c r="AB171" s="102">
        <f t="shared" si="155"/>
        <v>0.18000991879518863</v>
      </c>
      <c r="AC171" s="102">
        <f t="shared" si="155"/>
        <v>0.18638986835035146</v>
      </c>
      <c r="AD171" s="102">
        <f t="shared" si="155"/>
        <v>0.19257885124841398</v>
      </c>
      <c r="AE171" s="102">
        <f t="shared" si="155"/>
        <v>0.19857686748937625</v>
      </c>
      <c r="AF171" s="102">
        <f t="shared" si="155"/>
        <v>0.20438391707323825</v>
      </c>
      <c r="AG171" s="102">
        <f t="shared" si="155"/>
        <v>0.21</v>
      </c>
      <c r="AI171" s="125"/>
      <c r="AJ171" s="185"/>
      <c r="BC171" s="1"/>
      <c r="BD171" s="37"/>
      <c r="BF171" s="6"/>
      <c r="BG171" s="6"/>
      <c r="BH171" s="6"/>
      <c r="BI171" s="6"/>
      <c r="BJ171" s="6"/>
    </row>
    <row r="172" spans="1:63" outlineLevel="1"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I172" s="125"/>
      <c r="AJ172" s="185"/>
      <c r="BC172" s="1"/>
      <c r="BD172" s="37"/>
      <c r="BF172" s="6"/>
      <c r="BG172" s="6"/>
      <c r="BH172" s="6"/>
      <c r="BI172" s="6"/>
      <c r="BJ172" s="6"/>
    </row>
    <row r="173" spans="1:63" s="1" customFormat="1" outlineLevel="1">
      <c r="A173" s="1" t="s">
        <v>265</v>
      </c>
      <c r="B173" s="60"/>
      <c r="C173" s="250">
        <f>C167*C45</f>
        <v>0</v>
      </c>
      <c r="D173" s="250">
        <f t="shared" ref="D173:AF173" si="156">D167*D45</f>
        <v>107.93123811254998</v>
      </c>
      <c r="E173" s="250">
        <f t="shared" si="156"/>
        <v>246.15536418239407</v>
      </c>
      <c r="F173" s="250">
        <f t="shared" si="156"/>
        <v>414.47017878823044</v>
      </c>
      <c r="G173" s="250">
        <f t="shared" si="156"/>
        <v>612.67437757178368</v>
      </c>
      <c r="H173" s="250">
        <f t="shared" si="156"/>
        <v>840.56754794033486</v>
      </c>
      <c r="I173" s="250">
        <f t="shared" si="156"/>
        <v>1064.0235056575727</v>
      </c>
      <c r="J173" s="250">
        <f t="shared" si="156"/>
        <v>1299.0538541841959</v>
      </c>
      <c r="K173" s="250">
        <f t="shared" si="156"/>
        <v>1542.7639106661261</v>
      </c>
      <c r="L173" s="250">
        <f t="shared" si="156"/>
        <v>1792.2842050901895</v>
      </c>
      <c r="M173" s="250">
        <f t="shared" si="156"/>
        <v>2044.7703417852506</v>
      </c>
      <c r="N173" s="250">
        <f t="shared" si="156"/>
        <v>2228.8624081464818</v>
      </c>
      <c r="O173" s="250">
        <f t="shared" si="156"/>
        <v>2408.0566041809666</v>
      </c>
      <c r="P173" s="250">
        <f t="shared" si="156"/>
        <v>2580.5124069527396</v>
      </c>
      <c r="Q173" s="250">
        <f t="shared" si="156"/>
        <v>2744.4056811387513</v>
      </c>
      <c r="R173" s="250">
        <f t="shared" si="156"/>
        <v>2897.9285883452139</v>
      </c>
      <c r="S173" s="250">
        <f t="shared" si="156"/>
        <v>3081.1885036739882</v>
      </c>
      <c r="T173" s="250">
        <f t="shared" si="156"/>
        <v>3258.3120248214896</v>
      </c>
      <c r="U173" s="250">
        <f t="shared" si="156"/>
        <v>3428.0321187722752</v>
      </c>
      <c r="V173" s="250">
        <f t="shared" si="156"/>
        <v>3589.0931122665816</v>
      </c>
      <c r="W173" s="250">
        <f t="shared" si="156"/>
        <v>3740.2506287984488</v>
      </c>
      <c r="X173" s="250">
        <f t="shared" si="156"/>
        <v>3960.8833591073303</v>
      </c>
      <c r="Y173" s="250">
        <f t="shared" si="156"/>
        <v>4168.267678501401</v>
      </c>
      <c r="Z173" s="250">
        <f t="shared" si="156"/>
        <v>4360.5034070545144</v>
      </c>
      <c r="AA173" s="250">
        <f t="shared" si="156"/>
        <v>4535.707521802241</v>
      </c>
      <c r="AB173" s="250">
        <f t="shared" si="156"/>
        <v>4692.0140613675258</v>
      </c>
      <c r="AC173" s="250">
        <f t="shared" si="156"/>
        <v>4779.4266836251854</v>
      </c>
      <c r="AD173" s="250">
        <f t="shared" si="156"/>
        <v>4837.0038461130553</v>
      </c>
      <c r="AE173" s="250">
        <f t="shared" si="156"/>
        <v>4862.5737933114024</v>
      </c>
      <c r="AF173" s="250">
        <f t="shared" si="156"/>
        <v>4853.9848154769061</v>
      </c>
      <c r="AG173" s="250">
        <f>AG167*AG45</f>
        <v>4809.1051364171144</v>
      </c>
      <c r="AH173" s="367">
        <f>AG173-C173</f>
        <v>4809.1051364171144</v>
      </c>
      <c r="AI173" s="368"/>
      <c r="AJ173" s="369"/>
      <c r="AL173" s="194"/>
      <c r="AM173" s="116"/>
      <c r="AN173" s="116"/>
      <c r="AO173" s="116"/>
      <c r="BD173" s="116"/>
      <c r="BE173" s="116"/>
      <c r="BF173" s="116"/>
      <c r="BG173" s="116"/>
      <c r="BH173" s="116"/>
      <c r="BI173" s="116"/>
      <c r="BJ173" s="116"/>
      <c r="BK173" s="116"/>
    </row>
    <row r="174" spans="1:63" outlineLevel="1">
      <c r="A174" s="4" t="s">
        <v>141</v>
      </c>
      <c r="C174" s="203">
        <f>C$173*'Ethylene recycling rates'!E88</f>
        <v>0</v>
      </c>
      <c r="D174" s="203">
        <f>D$173*'Ethylene recycling rates'!F88</f>
        <v>0</v>
      </c>
      <c r="E174" s="203">
        <f>E$173*'Ethylene recycling rates'!G88</f>
        <v>0</v>
      </c>
      <c r="F174" s="203">
        <f>F$173*'Ethylene recycling rates'!H88</f>
        <v>0</v>
      </c>
      <c r="G174" s="203">
        <f>G$173*'Ethylene recycling rates'!I88</f>
        <v>0</v>
      </c>
      <c r="H174" s="203">
        <f>H$173*'Ethylene recycling rates'!J88</f>
        <v>0</v>
      </c>
      <c r="I174" s="203">
        <f>I$173*'Ethylene recycling rates'!K88</f>
        <v>0</v>
      </c>
      <c r="J174" s="203">
        <f>J$173*'Ethylene recycling rates'!L88</f>
        <v>0</v>
      </c>
      <c r="K174" s="203">
        <f>K$173*'Ethylene recycling rates'!M88</f>
        <v>0</v>
      </c>
      <c r="L174" s="203">
        <f>L$173*'Ethylene recycling rates'!N88</f>
        <v>0</v>
      </c>
      <c r="M174" s="203">
        <f>M$173*'Ethylene recycling rates'!O88</f>
        <v>0</v>
      </c>
      <c r="N174" s="203">
        <f>N$173*'Ethylene recycling rates'!P88</f>
        <v>0</v>
      </c>
      <c r="O174" s="203">
        <f>O$173*'Ethylene recycling rates'!Q88</f>
        <v>0</v>
      </c>
      <c r="P174" s="203">
        <f>P$173*'Ethylene recycling rates'!R88</f>
        <v>0</v>
      </c>
      <c r="Q174" s="203">
        <f>Q$173*'Ethylene recycling rates'!S88</f>
        <v>0</v>
      </c>
      <c r="R174" s="203">
        <f>R$173*'Ethylene recycling rates'!T88</f>
        <v>0</v>
      </c>
      <c r="S174" s="203">
        <f>S$173*'Ethylene recycling rates'!U88</f>
        <v>0</v>
      </c>
      <c r="T174" s="203">
        <f>T$173*'Ethylene recycling rates'!V88</f>
        <v>0</v>
      </c>
      <c r="U174" s="203">
        <f>U$173*'Ethylene recycling rates'!W88</f>
        <v>0</v>
      </c>
      <c r="V174" s="203">
        <f>V$173*'Ethylene recycling rates'!X88</f>
        <v>0</v>
      </c>
      <c r="W174" s="203">
        <f>W$173*'Ethylene recycling rates'!Y88</f>
        <v>0</v>
      </c>
      <c r="X174" s="203">
        <f>X$173*'Ethylene recycling rates'!Z88</f>
        <v>0</v>
      </c>
      <c r="Y174" s="203">
        <f>Y$173*'Ethylene recycling rates'!AA88</f>
        <v>0</v>
      </c>
      <c r="Z174" s="203">
        <f>Z$173*'Ethylene recycling rates'!AB88</f>
        <v>0</v>
      </c>
      <c r="AA174" s="203">
        <f>AA$173*'Ethylene recycling rates'!AC88</f>
        <v>0</v>
      </c>
      <c r="AB174" s="203">
        <f>AB$173*'Ethylene recycling rates'!AD88</f>
        <v>0</v>
      </c>
      <c r="AC174" s="203">
        <f>AC$173*'Ethylene recycling rates'!AE88</f>
        <v>0</v>
      </c>
      <c r="AD174" s="203">
        <f>AD$173*'Ethylene recycling rates'!AF88</f>
        <v>0</v>
      </c>
      <c r="AE174" s="203">
        <f>AE$173*'Ethylene recycling rates'!AG88</f>
        <v>0</v>
      </c>
      <c r="AF174" s="203">
        <f>AF$173*'Ethylene recycling rates'!AH88</f>
        <v>0</v>
      </c>
      <c r="AG174" s="203">
        <f>AG$173*'Ethylene recycling rates'!AI88</f>
        <v>0</v>
      </c>
      <c r="AH174" s="367">
        <f t="shared" ref="AH174:AH178" si="157">AG174-C174</f>
        <v>0</v>
      </c>
      <c r="AI174" s="124"/>
      <c r="AJ174" s="185"/>
      <c r="AL174" s="100"/>
      <c r="AM174" s="2"/>
      <c r="AN174" s="2"/>
      <c r="AO174" s="2"/>
      <c r="BC174" s="1"/>
      <c r="BD174" s="2"/>
      <c r="BE174" s="2"/>
      <c r="BF174" s="2"/>
      <c r="BG174" s="2"/>
      <c r="BH174" s="2"/>
      <c r="BI174" s="2"/>
      <c r="BJ174" s="2"/>
      <c r="BK174" s="2"/>
    </row>
    <row r="175" spans="1:63" outlineLevel="1">
      <c r="A175" s="4" t="s">
        <v>74</v>
      </c>
      <c r="C175" s="203">
        <f>C$173*'Ethylene recycling rates'!E89</f>
        <v>0</v>
      </c>
      <c r="D175" s="203">
        <f>D$173*'Ethylene recycling rates'!F89</f>
        <v>0</v>
      </c>
      <c r="E175" s="203">
        <f>E$173*'Ethylene recycling rates'!G89</f>
        <v>0</v>
      </c>
      <c r="F175" s="203">
        <f>F$173*'Ethylene recycling rates'!H89</f>
        <v>0</v>
      </c>
      <c r="G175" s="203">
        <f>G$173*'Ethylene recycling rates'!I89</f>
        <v>0</v>
      </c>
      <c r="H175" s="203">
        <f>H$173*'Ethylene recycling rates'!J89</f>
        <v>0</v>
      </c>
      <c r="I175" s="203">
        <f>I$173*'Ethylene recycling rates'!K89</f>
        <v>0</v>
      </c>
      <c r="J175" s="203">
        <f>J$173*'Ethylene recycling rates'!L89</f>
        <v>0</v>
      </c>
      <c r="K175" s="203">
        <f>K$173*'Ethylene recycling rates'!M89</f>
        <v>0</v>
      </c>
      <c r="L175" s="203">
        <f>L$173*'Ethylene recycling rates'!N89</f>
        <v>0</v>
      </c>
      <c r="M175" s="203">
        <f>M$173*'Ethylene recycling rates'!O89</f>
        <v>0</v>
      </c>
      <c r="N175" s="203">
        <f>N$173*'Ethylene recycling rates'!P89</f>
        <v>0</v>
      </c>
      <c r="O175" s="203">
        <f>O$173*'Ethylene recycling rates'!Q89</f>
        <v>0</v>
      </c>
      <c r="P175" s="203">
        <f>P$173*'Ethylene recycling rates'!R89</f>
        <v>0</v>
      </c>
      <c r="Q175" s="203">
        <f>Q$173*'Ethylene recycling rates'!S89</f>
        <v>0</v>
      </c>
      <c r="R175" s="203">
        <f>R$173*'Ethylene recycling rates'!T89</f>
        <v>0</v>
      </c>
      <c r="S175" s="203">
        <f>S$173*'Ethylene recycling rates'!U89</f>
        <v>0</v>
      </c>
      <c r="T175" s="203">
        <f>T$173*'Ethylene recycling rates'!V89</f>
        <v>0</v>
      </c>
      <c r="U175" s="203">
        <f>U$173*'Ethylene recycling rates'!W89</f>
        <v>0</v>
      </c>
      <c r="V175" s="203">
        <f>V$173*'Ethylene recycling rates'!X89</f>
        <v>0</v>
      </c>
      <c r="W175" s="203">
        <f>W$173*'Ethylene recycling rates'!Y89</f>
        <v>0</v>
      </c>
      <c r="X175" s="203">
        <f>X$173*'Ethylene recycling rates'!Z89</f>
        <v>0</v>
      </c>
      <c r="Y175" s="203">
        <f>Y$173*'Ethylene recycling rates'!AA89</f>
        <v>0</v>
      </c>
      <c r="Z175" s="203">
        <f>Z$173*'Ethylene recycling rates'!AB89</f>
        <v>0</v>
      </c>
      <c r="AA175" s="203">
        <f>AA$173*'Ethylene recycling rates'!AC89</f>
        <v>0</v>
      </c>
      <c r="AB175" s="203">
        <f>AB$173*'Ethylene recycling rates'!AD89</f>
        <v>0</v>
      </c>
      <c r="AC175" s="203">
        <f>AC$173*'Ethylene recycling rates'!AE89</f>
        <v>0</v>
      </c>
      <c r="AD175" s="203">
        <f>AD$173*'Ethylene recycling rates'!AF89</f>
        <v>0</v>
      </c>
      <c r="AE175" s="203">
        <f>AE$173*'Ethylene recycling rates'!AG89</f>
        <v>0</v>
      </c>
      <c r="AF175" s="203">
        <f>AF$173*'Ethylene recycling rates'!AH89</f>
        <v>0</v>
      </c>
      <c r="AG175" s="203">
        <f>AG$173*'Ethylene recycling rates'!AI89</f>
        <v>0</v>
      </c>
      <c r="AH175" s="367">
        <f t="shared" si="157"/>
        <v>0</v>
      </c>
      <c r="AI175" s="124"/>
      <c r="AJ175" s="185"/>
      <c r="AL175" s="100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34</v>
      </c>
      <c r="C176" s="203">
        <f>C$173*'Ethylene recycling rates'!E90</f>
        <v>0</v>
      </c>
      <c r="D176" s="203">
        <f>D$173*'Ethylene recycling rates'!F90</f>
        <v>0</v>
      </c>
      <c r="E176" s="203">
        <f>E$173*'Ethylene recycling rates'!G90</f>
        <v>0</v>
      </c>
      <c r="F176" s="203">
        <f>F$173*'Ethylene recycling rates'!H90</f>
        <v>0</v>
      </c>
      <c r="G176" s="203">
        <f>G$173*'Ethylene recycling rates'!I90</f>
        <v>0</v>
      </c>
      <c r="H176" s="203">
        <f>H$173*'Ethylene recycling rates'!J90</f>
        <v>0</v>
      </c>
      <c r="I176" s="203">
        <f>I$173*'Ethylene recycling rates'!K90</f>
        <v>0</v>
      </c>
      <c r="J176" s="203">
        <f>J$173*'Ethylene recycling rates'!L90</f>
        <v>0</v>
      </c>
      <c r="K176" s="203">
        <f>K$173*'Ethylene recycling rates'!M90</f>
        <v>0</v>
      </c>
      <c r="L176" s="203">
        <f>L$173*'Ethylene recycling rates'!N90</f>
        <v>0</v>
      </c>
      <c r="M176" s="203">
        <f>M$173*'Ethylene recycling rates'!O90</f>
        <v>0</v>
      </c>
      <c r="N176" s="203">
        <f>N$173*'Ethylene recycling rates'!P90</f>
        <v>0</v>
      </c>
      <c r="O176" s="203">
        <f>O$173*'Ethylene recycling rates'!Q90</f>
        <v>0</v>
      </c>
      <c r="P176" s="203">
        <f>P$173*'Ethylene recycling rates'!R90</f>
        <v>0</v>
      </c>
      <c r="Q176" s="203">
        <f>Q$173*'Ethylene recycling rates'!S90</f>
        <v>0</v>
      </c>
      <c r="R176" s="203">
        <f>R$173*'Ethylene recycling rates'!T90</f>
        <v>0</v>
      </c>
      <c r="S176" s="203">
        <f>S$173*'Ethylene recycling rates'!U90</f>
        <v>0</v>
      </c>
      <c r="T176" s="203">
        <f>T$173*'Ethylene recycling rates'!V90</f>
        <v>0</v>
      </c>
      <c r="U176" s="203">
        <f>U$173*'Ethylene recycling rates'!W90</f>
        <v>0</v>
      </c>
      <c r="V176" s="203">
        <f>V$173*'Ethylene recycling rates'!X90</f>
        <v>0</v>
      </c>
      <c r="W176" s="203">
        <f>W$173*'Ethylene recycling rates'!Y90</f>
        <v>0</v>
      </c>
      <c r="X176" s="203">
        <f>X$173*'Ethylene recycling rates'!Z90</f>
        <v>0</v>
      </c>
      <c r="Y176" s="203">
        <f>Y$173*'Ethylene recycling rates'!AA90</f>
        <v>0</v>
      </c>
      <c r="Z176" s="203">
        <f>Z$173*'Ethylene recycling rates'!AB90</f>
        <v>0</v>
      </c>
      <c r="AA176" s="203">
        <f>AA$173*'Ethylene recycling rates'!AC90</f>
        <v>0</v>
      </c>
      <c r="AB176" s="203">
        <f>AB$173*'Ethylene recycling rates'!AD90</f>
        <v>0</v>
      </c>
      <c r="AC176" s="203">
        <f>AC$173*'Ethylene recycling rates'!AE90</f>
        <v>0</v>
      </c>
      <c r="AD176" s="203">
        <f>AD$173*'Ethylene recycling rates'!AF90</f>
        <v>0</v>
      </c>
      <c r="AE176" s="203">
        <f>AE$173*'Ethylene recycling rates'!AG90</f>
        <v>0</v>
      </c>
      <c r="AF176" s="203">
        <f>AF$173*'Ethylene recycling rates'!AH90</f>
        <v>0</v>
      </c>
      <c r="AG176" s="203">
        <f>AG$173*'Ethylene recycling rates'!AI90</f>
        <v>0</v>
      </c>
      <c r="AH176" s="367">
        <f t="shared" si="157"/>
        <v>0</v>
      </c>
      <c r="AI176" s="124"/>
      <c r="AJ176" s="185"/>
      <c r="AL176" s="100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35</v>
      </c>
      <c r="C177" s="560">
        <f>C$173*'Ethylene recycling rates'!E91</f>
        <v>0</v>
      </c>
      <c r="D177" s="203">
        <f>D$173*'Ethylene recycling rates'!F91</f>
        <v>3.5976376601507618</v>
      </c>
      <c r="E177" s="203">
        <f>E$173*'Ethylene recycling rates'!G91</f>
        <v>16.410037055393214</v>
      </c>
      <c r="F177" s="203">
        <f>F$173*'Ethylene recycling rates'!H91</f>
        <v>41.446208260754887</v>
      </c>
      <c r="G177" s="203">
        <f>G$173*'Ethylene recycling rates'!I91</f>
        <v>81.68832129445866</v>
      </c>
      <c r="H177" s="203">
        <f>H$173*'Ethylene recycling rates'!J91</f>
        <v>140.09185474261227</v>
      </c>
      <c r="I177" s="203">
        <f>I$173*'Ethylene recycling rates'!K91</f>
        <v>212.80054424545034</v>
      </c>
      <c r="J177" s="203">
        <f>J$173*'Ethylene recycling rates'!L91</f>
        <v>303.10664503380173</v>
      </c>
      <c r="K177" s="203">
        <f>K$173*'Ethylene recycling rates'!M91</f>
        <v>411.39567323010596</v>
      </c>
      <c r="L177" s="203">
        <f>L$173*'Ethylene recycling rates'!N91</f>
        <v>537.67475848666959</v>
      </c>
      <c r="M177" s="203">
        <f>M$173*'Ethylene recycling rates'!O91</f>
        <v>681.57679987834638</v>
      </c>
      <c r="N177" s="203">
        <f>N$173*'Ethylene recycling rates'!P91</f>
        <v>817.23358565833826</v>
      </c>
      <c r="O177" s="203">
        <f>O$173*'Ethylene recycling rates'!Q91</f>
        <v>963.20382626673722</v>
      </c>
      <c r="P177" s="203">
        <f>P$173*'Ethylene recycling rates'!R91</f>
        <v>1118.200199878738</v>
      </c>
      <c r="Q177" s="203">
        <f>Q$173*'Ethylene recycling rates'!S91</f>
        <v>1280.6976338083714</v>
      </c>
      <c r="R177" s="203">
        <f>R$173*'Ethylene recycling rates'!T91</f>
        <v>1448.9359903830293</v>
      </c>
      <c r="S177" s="203">
        <f>S$173*'Ethylene recycling rates'!U91</f>
        <v>1643.2684353764942</v>
      </c>
      <c r="T177" s="203">
        <f>T$173*'Ethylene recycling rates'!V91</f>
        <v>1846.3407472962763</v>
      </c>
      <c r="U177" s="203">
        <f>U$173*'Ethylene recycling rates'!W91</f>
        <v>2056.7790937516843</v>
      </c>
      <c r="V177" s="203">
        <f>V$173*'Ethylene recycling rates'!X91</f>
        <v>2273.0479022880263</v>
      </c>
      <c r="W177" s="203">
        <f>W$173*'Ethylene recycling rates'!Y91</f>
        <v>2493.4517116418078</v>
      </c>
      <c r="X177" s="203">
        <f>X$173*'Ethylene recycling rates'!Z91</f>
        <v>2772.5641915820197</v>
      </c>
      <c r="Y177" s="203">
        <f>Y$173*'Ethylene recycling rates'!AA91</f>
        <v>3056.6699213328766</v>
      </c>
      <c r="Z177" s="203">
        <f>Z$173*'Ethylene recycling rates'!AB91</f>
        <v>3342.9873095289831</v>
      </c>
      <c r="AA177" s="203">
        <f>AA$173*'Ethylene recycling rates'!AC91</f>
        <v>3628.4951377317525</v>
      </c>
      <c r="AB177" s="203">
        <f>AB$173*'Ethylene recycling rates'!AD91</f>
        <v>3909.9353403901018</v>
      </c>
      <c r="AC177" s="203">
        <f>AC$173*'Ethylene recycling rates'!AE91</f>
        <v>4142.0888801278543</v>
      </c>
      <c r="AD177" s="203">
        <f>AD$173*'Ethylene recycling rates'!AF91</f>
        <v>4353.2184249099982</v>
      </c>
      <c r="AE177" s="203">
        <f>AE$173*'Ethylene recycling rates'!AG91</f>
        <v>4538.3135548156279</v>
      </c>
      <c r="AF177" s="203">
        <f>AF$173*'Ethylene recycling rates'!AH91</f>
        <v>4692.0936653829067</v>
      </c>
      <c r="AG177" s="203">
        <f>AG$173*'Ethylene recycling rates'!AI91</f>
        <v>4809.0111962831952</v>
      </c>
      <c r="AH177" s="367">
        <f t="shared" si="157"/>
        <v>4809.0111962831952</v>
      </c>
      <c r="AI177" s="124"/>
      <c r="AJ177" s="185"/>
      <c r="AL177" s="100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27</v>
      </c>
      <c r="C178" s="203">
        <f>C$173*'Ethylene recycling rates'!E92</f>
        <v>0</v>
      </c>
      <c r="D178" s="203">
        <f>D$173*'Ethylene recycling rates'!F92</f>
        <v>7.0276934236934059E-5</v>
      </c>
      <c r="E178" s="203">
        <f>E$173*'Ethylene recycling rates'!G92</f>
        <v>3.2055676638630479E-4</v>
      </c>
      <c r="F178" s="203">
        <f>F$173*'Ethylene recycling rates'!H92</f>
        <v>8.0961806814899894E-4</v>
      </c>
      <c r="G178" s="203">
        <f>G$173*'Ethylene recycling rates'!I92</f>
        <v>1.595715112481794E-3</v>
      </c>
      <c r="H178" s="203">
        <f>H$173*'Ethylene recycling rates'!J92</f>
        <v>2.7365807768601432E-3</v>
      </c>
      <c r="I178" s="203">
        <f>I$173*'Ethylene recycling rates'!K92</f>
        <v>4.1568860641998584E-3</v>
      </c>
      <c r="J178" s="203">
        <f>J$173*'Ethylene recycling rates'!L92</f>
        <v>5.9209425106266948E-3</v>
      </c>
      <c r="K178" s="203">
        <f>K$173*'Ethylene recycling rates'!M92</f>
        <v>8.0362808609635815E-3</v>
      </c>
      <c r="L178" s="203">
        <f>L$173*'Ethylene recycling rates'!N92</f>
        <v>1.0503040387186637E-2</v>
      </c>
      <c r="M178" s="203">
        <f>M$173*'Ethylene recycling rates'!O92</f>
        <v>1.3314050070418505E-2</v>
      </c>
      <c r="N178" s="203">
        <f>N$173*'Ethylene recycling rates'!P92</f>
        <v>1.5963995371651215E-2</v>
      </c>
      <c r="O178" s="203">
        <f>O$173*'Ethylene recycling rates'!Q92</f>
        <v>1.8815405649404423E-2</v>
      </c>
      <c r="P178" s="203">
        <f>P$173*'Ethylene recycling rates'!R92</f>
        <v>2.1843134115766258E-2</v>
      </c>
      <c r="Q178" s="203">
        <f>Q$173*'Ethylene recycling rates'!S92</f>
        <v>2.501738971255274E-2</v>
      </c>
      <c r="R178" s="203">
        <f>R$173*'Ethylene recycling rates'!T92</f>
        <v>2.8303789577688584E-2</v>
      </c>
      <c r="S178" s="203">
        <f>S$173*'Ethylene recycling rates'!U92</f>
        <v>3.2099916299448562E-2</v>
      </c>
      <c r="T178" s="203">
        <f>T$173*'Ethylene recycling rates'!V92</f>
        <v>3.6066769234140893E-2</v>
      </c>
      <c r="U178" s="203">
        <f>U$173*'Ethylene recycling rates'!W92</f>
        <v>4.0177511680103653E-2</v>
      </c>
      <c r="V178" s="203">
        <f>V$173*'Ethylene recycling rates'!X92</f>
        <v>4.4402147474685502E-2</v>
      </c>
      <c r="W178" s="203">
        <f>W$173*'Ethylene recycling rates'!Y92</f>
        <v>4.8707557157014768E-2</v>
      </c>
      <c r="X178" s="203">
        <f>X$173*'Ethylene recycling rates'!Z92</f>
        <v>5.41597931102719E-2</v>
      </c>
      <c r="Y178" s="203">
        <f>Y$173*'Ethylene recycling rates'!AA92</f>
        <v>5.9709568149373657E-2</v>
      </c>
      <c r="Z178" s="203">
        <f>Z$173*'Ethylene recycling rates'!AB92</f>
        <v>6.530254614268978E-2</v>
      </c>
      <c r="AA178" s="203">
        <f>AA$173*'Ethylene recycling rates'!AC92</f>
        <v>7.0879710038037461E-2</v>
      </c>
      <c r="AB178" s="203">
        <f>AB$173*'Ethylene recycling rates'!AD92</f>
        <v>7.6377416166959117E-2</v>
      </c>
      <c r="AC178" s="203">
        <f>AC$173*'Ethylene recycling rates'!AE92</f>
        <v>8.0912347304059176E-2</v>
      </c>
      <c r="AD178" s="203">
        <f>AD$173*'Ethylene recycling rates'!AF92</f>
        <v>8.5036591748817073E-2</v>
      </c>
      <c r="AE178" s="203">
        <f>AE$173*'Ethylene recycling rates'!AG92</f>
        <v>8.8652275011208106E-2</v>
      </c>
      <c r="AF178" s="203">
        <f>AF$173*'Ethylene recycling rates'!AH92</f>
        <v>9.1656244765302861E-2</v>
      </c>
      <c r="AG178" s="203">
        <f>AG$173*'Ethylene recycling rates'!AI92</f>
        <v>9.3940133918797991E-2</v>
      </c>
      <c r="AH178" s="367">
        <f t="shared" si="157"/>
        <v>9.3940133918797991E-2</v>
      </c>
      <c r="AI178" s="124"/>
      <c r="AJ178" s="185"/>
      <c r="AL178" s="100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749</v>
      </c>
      <c r="B179" s="60"/>
      <c r="C179" s="250">
        <f>C170*C45</f>
        <v>0</v>
      </c>
      <c r="D179" s="250">
        <f t="shared" ref="D179:AG179" si="158">D170*D45</f>
        <v>871.15927905129615</v>
      </c>
      <c r="E179" s="250">
        <f t="shared" si="158"/>
        <v>1723.0875492767586</v>
      </c>
      <c r="F179" s="250">
        <f t="shared" si="158"/>
        <v>2555.8994358607547</v>
      </c>
      <c r="G179" s="250">
        <f t="shared" si="158"/>
        <v>3369.70907664481</v>
      </c>
      <c r="H179" s="250">
        <f t="shared" si="158"/>
        <v>4164.6301238862052</v>
      </c>
      <c r="I179" s="250">
        <f t="shared" si="158"/>
        <v>4788.1057754590774</v>
      </c>
      <c r="J179" s="250">
        <f t="shared" si="158"/>
        <v>5346.1062460657304</v>
      </c>
      <c r="K179" s="250">
        <f t="shared" si="158"/>
        <v>5840.463376093192</v>
      </c>
      <c r="L179" s="250">
        <f t="shared" si="158"/>
        <v>6272.9947178156644</v>
      </c>
      <c r="M179" s="250">
        <f t="shared" si="158"/>
        <v>6645.503610802064</v>
      </c>
      <c r="N179" s="250">
        <f t="shared" si="158"/>
        <v>6752.1420011496366</v>
      </c>
      <c r="O179" s="250">
        <f t="shared" si="158"/>
        <v>6822.8270451794051</v>
      </c>
      <c r="P179" s="250">
        <f t="shared" si="158"/>
        <v>6858.73034479544</v>
      </c>
      <c r="Q179" s="250">
        <f t="shared" si="158"/>
        <v>6861.0142028468781</v>
      </c>
      <c r="R179" s="250">
        <f t="shared" si="158"/>
        <v>6830.8316725280038</v>
      </c>
      <c r="S179" s="250">
        <f t="shared" si="158"/>
        <v>6862.6471218193383</v>
      </c>
      <c r="T179" s="250">
        <f t="shared" si="158"/>
        <v>6870.7884001670536</v>
      </c>
      <c r="U179" s="250">
        <f t="shared" si="158"/>
        <v>6856.0642375445523</v>
      </c>
      <c r="V179" s="250">
        <f t="shared" si="158"/>
        <v>6819.2769133065076</v>
      </c>
      <c r="W179" s="250">
        <f t="shared" si="158"/>
        <v>6761.2222905202734</v>
      </c>
      <c r="X179" s="250">
        <f t="shared" si="158"/>
        <v>6821.521340684847</v>
      </c>
      <c r="Y179" s="250">
        <f t="shared" si="158"/>
        <v>6847.8683289665887</v>
      </c>
      <c r="Z179" s="250">
        <f t="shared" si="158"/>
        <v>6841.4794834820814</v>
      </c>
      <c r="AA179" s="250">
        <f t="shared" si="158"/>
        <v>6803.5612827033619</v>
      </c>
      <c r="AB179" s="250">
        <f t="shared" si="158"/>
        <v>6735.3105074469322</v>
      </c>
      <c r="AC179" s="250">
        <f t="shared" si="158"/>
        <v>6571.7116899846305</v>
      </c>
      <c r="AD179" s="250">
        <f t="shared" si="158"/>
        <v>6376.0505244217529</v>
      </c>
      <c r="AE179" s="250">
        <f t="shared" si="158"/>
        <v>6149.7256797761838</v>
      </c>
      <c r="AF179" s="250">
        <f t="shared" si="158"/>
        <v>5894.1244187933844</v>
      </c>
      <c r="AG179" s="250">
        <f t="shared" si="158"/>
        <v>5610.6226591533004</v>
      </c>
      <c r="AH179" s="367"/>
      <c r="AI179" s="368"/>
      <c r="AJ179" s="369"/>
      <c r="AL179" s="194"/>
      <c r="AM179" s="116"/>
      <c r="AN179" s="116"/>
      <c r="AO179" s="116"/>
      <c r="BD179" s="116"/>
      <c r="BE179" s="116"/>
      <c r="BF179" s="116"/>
      <c r="BG179" s="116"/>
      <c r="BH179" s="116"/>
      <c r="BI179" s="116"/>
      <c r="BJ179" s="116"/>
      <c r="BK179" s="116"/>
    </row>
    <row r="180" spans="1:63" outlineLevel="1">
      <c r="A180" s="4" t="s">
        <v>141</v>
      </c>
      <c r="C180" s="203">
        <f>C$179*'Ethylene recycling rates'!E93</f>
        <v>0</v>
      </c>
      <c r="D180" s="203">
        <f>D$179*'Ethylene recycling rates'!F93</f>
        <v>0</v>
      </c>
      <c r="E180" s="203">
        <f>E$179*'Ethylene recycling rates'!G93</f>
        <v>0</v>
      </c>
      <c r="F180" s="203">
        <f>F$179*'Ethylene recycling rates'!H93</f>
        <v>0</v>
      </c>
      <c r="G180" s="203">
        <f>G$179*'Ethylene recycling rates'!I93</f>
        <v>0</v>
      </c>
      <c r="H180" s="203">
        <f>H$179*'Ethylene recycling rates'!J93</f>
        <v>0</v>
      </c>
      <c r="I180" s="203">
        <f>I$179*'Ethylene recycling rates'!K93</f>
        <v>0</v>
      </c>
      <c r="J180" s="203">
        <f>J$179*'Ethylene recycling rates'!L93</f>
        <v>0</v>
      </c>
      <c r="K180" s="203">
        <f>K$179*'Ethylene recycling rates'!M93</f>
        <v>0</v>
      </c>
      <c r="L180" s="203">
        <f>L$179*'Ethylene recycling rates'!N93</f>
        <v>0</v>
      </c>
      <c r="M180" s="203">
        <f>M$179*'Ethylene recycling rates'!O93</f>
        <v>0</v>
      </c>
      <c r="N180" s="203">
        <f>N$179*'Ethylene recycling rates'!P93</f>
        <v>0</v>
      </c>
      <c r="O180" s="203">
        <f>O$179*'Ethylene recycling rates'!Q93</f>
        <v>0</v>
      </c>
      <c r="P180" s="203">
        <f>P$179*'Ethylene recycling rates'!R93</f>
        <v>0</v>
      </c>
      <c r="Q180" s="203">
        <f>Q$179*'Ethylene recycling rates'!S93</f>
        <v>0</v>
      </c>
      <c r="R180" s="203">
        <f>R$179*'Ethylene recycling rates'!T93</f>
        <v>0</v>
      </c>
      <c r="S180" s="203">
        <f>S$179*'Ethylene recycling rates'!U93</f>
        <v>0</v>
      </c>
      <c r="T180" s="203">
        <f>T$179*'Ethylene recycling rates'!V93</f>
        <v>0</v>
      </c>
      <c r="U180" s="203">
        <f>U$179*'Ethylene recycling rates'!W93</f>
        <v>0</v>
      </c>
      <c r="V180" s="203">
        <f>V$179*'Ethylene recycling rates'!X93</f>
        <v>0</v>
      </c>
      <c r="W180" s="203">
        <f>W$179*'Ethylene recycling rates'!Y93</f>
        <v>0</v>
      </c>
      <c r="X180" s="203">
        <f>X$179*'Ethylene recycling rates'!Z93</f>
        <v>0</v>
      </c>
      <c r="Y180" s="203">
        <f>Y$179*'Ethylene recycling rates'!AA93</f>
        <v>0</v>
      </c>
      <c r="Z180" s="203">
        <f>Z$179*'Ethylene recycling rates'!AB93</f>
        <v>0</v>
      </c>
      <c r="AA180" s="203">
        <f>AA$179*'Ethylene recycling rates'!AC93</f>
        <v>0</v>
      </c>
      <c r="AB180" s="203">
        <f>AB$179*'Ethylene recycling rates'!AD93</f>
        <v>0</v>
      </c>
      <c r="AC180" s="203">
        <f>AC$179*'Ethylene recycling rates'!AE93</f>
        <v>0</v>
      </c>
      <c r="AD180" s="203">
        <f>AD$179*'Ethylene recycling rates'!AF93</f>
        <v>0</v>
      </c>
      <c r="AE180" s="203">
        <f>AE$179*'Ethylene recycling rates'!AG93</f>
        <v>0</v>
      </c>
      <c r="AF180" s="203">
        <f>AF$179*'Ethylene recycling rates'!AH93</f>
        <v>0</v>
      </c>
      <c r="AG180" s="203">
        <f>AG$179*'Ethylene recycling rates'!AI93</f>
        <v>0</v>
      </c>
      <c r="AH180" s="217"/>
      <c r="AI180" s="124"/>
      <c r="AJ180" s="185"/>
      <c r="AL180" s="100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03">
        <f>C$179*'Ethylene recycling rates'!E94</f>
        <v>0</v>
      </c>
      <c r="D181" s="203">
        <f>D$179*'Ethylene recycling rates'!F94</f>
        <v>0</v>
      </c>
      <c r="E181" s="203">
        <f>E$179*'Ethylene recycling rates'!G94</f>
        <v>0</v>
      </c>
      <c r="F181" s="203">
        <f>F$179*'Ethylene recycling rates'!H94</f>
        <v>0</v>
      </c>
      <c r="G181" s="203">
        <f>G$179*'Ethylene recycling rates'!I94</f>
        <v>0</v>
      </c>
      <c r="H181" s="203">
        <f>H$179*'Ethylene recycling rates'!J94</f>
        <v>0</v>
      </c>
      <c r="I181" s="203">
        <f>I$179*'Ethylene recycling rates'!K94</f>
        <v>0</v>
      </c>
      <c r="J181" s="203">
        <f>J$179*'Ethylene recycling rates'!L94</f>
        <v>0</v>
      </c>
      <c r="K181" s="203">
        <f>K$179*'Ethylene recycling rates'!M94</f>
        <v>0</v>
      </c>
      <c r="L181" s="203">
        <f>L$179*'Ethylene recycling rates'!N94</f>
        <v>0</v>
      </c>
      <c r="M181" s="203">
        <f>M$179*'Ethylene recycling rates'!O94</f>
        <v>0</v>
      </c>
      <c r="N181" s="203">
        <f>N$179*'Ethylene recycling rates'!P94</f>
        <v>0</v>
      </c>
      <c r="O181" s="203">
        <f>O$179*'Ethylene recycling rates'!Q94</f>
        <v>0</v>
      </c>
      <c r="P181" s="203">
        <f>P$179*'Ethylene recycling rates'!R94</f>
        <v>0</v>
      </c>
      <c r="Q181" s="203">
        <f>Q$179*'Ethylene recycling rates'!S94</f>
        <v>0</v>
      </c>
      <c r="R181" s="203">
        <f>R$179*'Ethylene recycling rates'!T94</f>
        <v>0</v>
      </c>
      <c r="S181" s="203">
        <f>S$179*'Ethylene recycling rates'!U94</f>
        <v>0</v>
      </c>
      <c r="T181" s="203">
        <f>T$179*'Ethylene recycling rates'!V94</f>
        <v>0</v>
      </c>
      <c r="U181" s="203">
        <f>U$179*'Ethylene recycling rates'!W94</f>
        <v>0</v>
      </c>
      <c r="V181" s="203">
        <f>V$179*'Ethylene recycling rates'!X94</f>
        <v>0</v>
      </c>
      <c r="W181" s="203">
        <f>W$179*'Ethylene recycling rates'!Y94</f>
        <v>0</v>
      </c>
      <c r="X181" s="203">
        <f>X$179*'Ethylene recycling rates'!Z94</f>
        <v>0</v>
      </c>
      <c r="Y181" s="203">
        <f>Y$179*'Ethylene recycling rates'!AA94</f>
        <v>0</v>
      </c>
      <c r="Z181" s="203">
        <f>Z$179*'Ethylene recycling rates'!AB94</f>
        <v>0</v>
      </c>
      <c r="AA181" s="203">
        <f>AA$179*'Ethylene recycling rates'!AC94</f>
        <v>0</v>
      </c>
      <c r="AB181" s="203">
        <f>AB$179*'Ethylene recycling rates'!AD94</f>
        <v>0</v>
      </c>
      <c r="AC181" s="203">
        <f>AC$179*'Ethylene recycling rates'!AE94</f>
        <v>0</v>
      </c>
      <c r="AD181" s="203">
        <f>AD$179*'Ethylene recycling rates'!AF94</f>
        <v>0</v>
      </c>
      <c r="AE181" s="203">
        <f>AE$179*'Ethylene recycling rates'!AG94</f>
        <v>0</v>
      </c>
      <c r="AF181" s="203">
        <f>AF$179*'Ethylene recycling rates'!AH94</f>
        <v>0</v>
      </c>
      <c r="AG181" s="203">
        <f>AG$179*'Ethylene recycling rates'!AI94</f>
        <v>0</v>
      </c>
      <c r="AH181" s="217"/>
      <c r="AI181" s="124"/>
      <c r="AJ181" s="185"/>
      <c r="AL181" s="100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34</v>
      </c>
      <c r="C182" s="203">
        <f>C$179*'Ethylene recycling rates'!E95</f>
        <v>0</v>
      </c>
      <c r="D182" s="203">
        <f>D$179*'Ethylene recycling rates'!F95</f>
        <v>0</v>
      </c>
      <c r="E182" s="203">
        <f>E$179*'Ethylene recycling rates'!G95</f>
        <v>0</v>
      </c>
      <c r="F182" s="203">
        <f>F$179*'Ethylene recycling rates'!H95</f>
        <v>0</v>
      </c>
      <c r="G182" s="203">
        <f>G$179*'Ethylene recycling rates'!I95</f>
        <v>0</v>
      </c>
      <c r="H182" s="203">
        <f>H$179*'Ethylene recycling rates'!J95</f>
        <v>0</v>
      </c>
      <c r="I182" s="203">
        <f>I$179*'Ethylene recycling rates'!K95</f>
        <v>0</v>
      </c>
      <c r="J182" s="203">
        <f>J$179*'Ethylene recycling rates'!L95</f>
        <v>0</v>
      </c>
      <c r="K182" s="203">
        <f>K$179*'Ethylene recycling rates'!M95</f>
        <v>0</v>
      </c>
      <c r="L182" s="203">
        <f>L$179*'Ethylene recycling rates'!N95</f>
        <v>0</v>
      </c>
      <c r="M182" s="203">
        <f>M$179*'Ethylene recycling rates'!O95</f>
        <v>0</v>
      </c>
      <c r="N182" s="203">
        <f>N$179*'Ethylene recycling rates'!P95</f>
        <v>0</v>
      </c>
      <c r="O182" s="203">
        <f>O$179*'Ethylene recycling rates'!Q95</f>
        <v>0</v>
      </c>
      <c r="P182" s="203">
        <f>P$179*'Ethylene recycling rates'!R95</f>
        <v>0</v>
      </c>
      <c r="Q182" s="203">
        <f>Q$179*'Ethylene recycling rates'!S95</f>
        <v>0</v>
      </c>
      <c r="R182" s="203">
        <f>R$179*'Ethylene recycling rates'!T95</f>
        <v>0</v>
      </c>
      <c r="S182" s="203">
        <f>S$179*'Ethylene recycling rates'!U95</f>
        <v>0</v>
      </c>
      <c r="T182" s="203">
        <f>T$179*'Ethylene recycling rates'!V95</f>
        <v>0</v>
      </c>
      <c r="U182" s="203">
        <f>U$179*'Ethylene recycling rates'!W95</f>
        <v>0</v>
      </c>
      <c r="V182" s="203">
        <f>V$179*'Ethylene recycling rates'!X95</f>
        <v>0</v>
      </c>
      <c r="W182" s="203">
        <f>W$179*'Ethylene recycling rates'!Y95</f>
        <v>0</v>
      </c>
      <c r="X182" s="203">
        <f>X$179*'Ethylene recycling rates'!Z95</f>
        <v>0</v>
      </c>
      <c r="Y182" s="203">
        <f>Y$179*'Ethylene recycling rates'!AA95</f>
        <v>0</v>
      </c>
      <c r="Z182" s="203">
        <f>Z$179*'Ethylene recycling rates'!AB95</f>
        <v>0</v>
      </c>
      <c r="AA182" s="203">
        <f>AA$179*'Ethylene recycling rates'!AC95</f>
        <v>0</v>
      </c>
      <c r="AB182" s="203">
        <f>AB$179*'Ethylene recycling rates'!AD95</f>
        <v>0</v>
      </c>
      <c r="AC182" s="203">
        <f>AC$179*'Ethylene recycling rates'!AE95</f>
        <v>0</v>
      </c>
      <c r="AD182" s="203">
        <f>AD$179*'Ethylene recycling rates'!AF95</f>
        <v>0</v>
      </c>
      <c r="AE182" s="203">
        <f>AE$179*'Ethylene recycling rates'!AG95</f>
        <v>0</v>
      </c>
      <c r="AF182" s="203">
        <f>AF$179*'Ethylene recycling rates'!AH95</f>
        <v>0</v>
      </c>
      <c r="AG182" s="203">
        <f>AG$179*'Ethylene recycling rates'!AI95</f>
        <v>0</v>
      </c>
      <c r="AH182" s="217"/>
      <c r="AI182" s="124"/>
      <c r="AJ182" s="185"/>
      <c r="AL182" s="100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35</v>
      </c>
      <c r="C183" s="203">
        <f>C$179*'Ethylene recycling rates'!E96</f>
        <v>0</v>
      </c>
      <c r="D183" s="203">
        <f>D$179*'Ethylene recycling rates'!F96</f>
        <v>29.038075399788291</v>
      </c>
      <c r="E183" s="203">
        <f>E$179*'Ethylene recycling rates'!G96</f>
        <v>114.87025938775253</v>
      </c>
      <c r="F183" s="203">
        <f>F$179*'Ethylene recycling rates'!H96</f>
        <v>255.58495094132184</v>
      </c>
      <c r="G183" s="203">
        <f>G$179*'Ethylene recycling rates'!I96</f>
        <v>449.28576711952263</v>
      </c>
      <c r="H183" s="203">
        <f>H$179*'Ethylene recycling rates'!J96</f>
        <v>694.09146213385179</v>
      </c>
      <c r="I183" s="203">
        <f>I$179*'Ethylene recycling rates'!K96</f>
        <v>957.6024491045265</v>
      </c>
      <c r="J183" s="203">
        <f>J$179*'Ethylene recycling rates'!L96</f>
        <v>1247.4004237929537</v>
      </c>
      <c r="K183" s="203">
        <f>K$179*'Ethylene recycling rates'!M96</f>
        <v>1557.4264772282584</v>
      </c>
      <c r="L183" s="203">
        <f>L$179*'Ethylene recycling rates'!N96</f>
        <v>1881.8616547033439</v>
      </c>
      <c r="M183" s="203">
        <f>M$179*'Ethylene recycling rates'!O96</f>
        <v>2215.1245996046255</v>
      </c>
      <c r="N183" s="203">
        <f>N$179*'Ethylene recycling rates'!P96</f>
        <v>2475.7370389061425</v>
      </c>
      <c r="O183" s="203">
        <f>O$179*'Ethylene recycling rates'!Q96</f>
        <v>2729.0775077557551</v>
      </c>
      <c r="P183" s="203">
        <f>P$179*'Ethylene recycling rates'!R96</f>
        <v>2972.0584259934881</v>
      </c>
      <c r="Q183" s="203">
        <f>Q$179*'Ethylene recycling rates'!S96</f>
        <v>3201.7440845209285</v>
      </c>
      <c r="R183" s="203">
        <f>R$179*'Ethylene recycling rates'!T96</f>
        <v>3415.3491201885686</v>
      </c>
      <c r="S183" s="203">
        <f>S$179*'Ethylene recycling rates'!U96</f>
        <v>3660.0069697021918</v>
      </c>
      <c r="T183" s="203">
        <f>T$179*'Ethylene recycling rates'!V96</f>
        <v>3893.3707062551907</v>
      </c>
      <c r="U183" s="203">
        <f>U$179*'Ethylene recycling rates'!W96</f>
        <v>4113.5581875033704</v>
      </c>
      <c r="V183" s="203">
        <f>V$179*'Ethylene recycling rates'!X96</f>
        <v>4318.7910143472518</v>
      </c>
      <c r="W183" s="203">
        <f>W$179*'Ethylene recycling rates'!Y96</f>
        <v>4507.3934787371145</v>
      </c>
      <c r="X183" s="203">
        <f>X$179*'Ethylene recycling rates'!Z96</f>
        <v>4774.9716632801455</v>
      </c>
      <c r="Y183" s="203">
        <f>Y$179*'Ethylene recycling rates'!AA96</f>
        <v>5021.6720136182976</v>
      </c>
      <c r="Z183" s="203">
        <f>Z$179*'Ethylene recycling rates'!AB96</f>
        <v>5245.0318132265065</v>
      </c>
      <c r="AA183" s="203">
        <f>AA$179*'Ethylene recycling rates'!AC96</f>
        <v>5442.742706597629</v>
      </c>
      <c r="AB183" s="203">
        <f>AB$179*'Ethylene recycling rates'!AD96</f>
        <v>5612.6491176567597</v>
      </c>
      <c r="AC183" s="203">
        <f>AC$179*'Ethylene recycling rates'!AE96</f>
        <v>5695.3722101757994</v>
      </c>
      <c r="AD183" s="203">
        <f>AD$179*'Ethylene recycling rates'!AF96</f>
        <v>5738.3333782904501</v>
      </c>
      <c r="AE183" s="203">
        <f>AE$179*'Ethylene recycling rates'!AG96</f>
        <v>5739.6318487374101</v>
      </c>
      <c r="AF183" s="203">
        <f>AF$179*'Ethylene recycling rates'!AH96</f>
        <v>5697.5423079649572</v>
      </c>
      <c r="AG183" s="203">
        <f>AG$179*'Ethylene recycling rates'!AI96</f>
        <v>5610.5130623303949</v>
      </c>
      <c r="AH183" s="217"/>
      <c r="AI183" s="124"/>
      <c r="AJ183" s="185"/>
      <c r="AL183" s="100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A184" s="4" t="s">
        <v>27</v>
      </c>
      <c r="C184" s="203">
        <f>C$179*'Ethylene recycling rates'!E97</f>
        <v>0</v>
      </c>
      <c r="D184" s="203">
        <f>D$179*'Ethylene recycling rates'!F97</f>
        <v>5.6723525491239623E-4</v>
      </c>
      <c r="E184" s="203">
        <f>E$179*'Ethylene recycling rates'!G97</f>
        <v>2.243897364704134E-3</v>
      </c>
      <c r="F184" s="203">
        <f>F$179*'Ethylene recycling rates'!H97</f>
        <v>4.9926447535854936E-3</v>
      </c>
      <c r="G184" s="203">
        <f>G$179*'Ethylene recycling rates'!I97</f>
        <v>8.7764331186498661E-3</v>
      </c>
      <c r="H184" s="203">
        <f>H$179*'Ethylene recycling rates'!J97</f>
        <v>1.3558513848988894E-2</v>
      </c>
      <c r="I184" s="203">
        <f>I$179*'Ethylene recycling rates'!K97</f>
        <v>1.8705987288899363E-2</v>
      </c>
      <c r="J184" s="203">
        <f>J$179*'Ethylene recycling rates'!L97</f>
        <v>2.4366955716809864E-2</v>
      </c>
      <c r="K184" s="203">
        <f>K$179*'Ethylene recycling rates'!M97</f>
        <v>3.0423063259362133E-2</v>
      </c>
      <c r="L184" s="203">
        <f>L$179*'Ethylene recycling rates'!N97</f>
        <v>3.6760641355153237E-2</v>
      </c>
      <c r="M184" s="203">
        <f>M$179*'Ethylene recycling rates'!O97</f>
        <v>4.327066272886014E-2</v>
      </c>
      <c r="N184" s="203">
        <f>N$179*'Ethylene recycling rates'!P97</f>
        <v>4.8361515390590443E-2</v>
      </c>
      <c r="O184" s="203">
        <f>O$179*'Ethylene recycling rates'!Q97</f>
        <v>5.3310316006645861E-2</v>
      </c>
      <c r="P184" s="203">
        <f>P$179*'Ethylene recycling rates'!R97</f>
        <v>5.8056751202431374E-2</v>
      </c>
      <c r="Q184" s="203">
        <f>Q$179*'Ethylene recycling rates'!S97</f>
        <v>6.254347428138185E-2</v>
      </c>
      <c r="R184" s="203">
        <f>R$179*'Ethylene recycling rates'!T97</f>
        <v>6.6716075433123093E-2</v>
      </c>
      <c r="S184" s="203">
        <f>S$179*'Ethylene recycling rates'!U97</f>
        <v>7.1495268121499075E-2</v>
      </c>
      <c r="T184" s="203">
        <f>T$179*'Ethylene recycling rates'!V97</f>
        <v>7.6053839471992749E-2</v>
      </c>
      <c r="U184" s="203">
        <f>U$179*'Ethylene recycling rates'!W97</f>
        <v>8.0355023360207334E-2</v>
      </c>
      <c r="V184" s="203">
        <f>V$179*'Ethylene recycling rates'!X97</f>
        <v>8.4364080201902489E-2</v>
      </c>
      <c r="W184" s="203">
        <f>W$179*'Ethylene recycling rates'!Y97</f>
        <v>8.8048276399219E-2</v>
      </c>
      <c r="X184" s="203">
        <f>X$179*'Ethylene recycling rates'!Z97</f>
        <v>9.3275199245468288E-2</v>
      </c>
      <c r="Y184" s="203">
        <f>Y$179*'Ethylene recycling rates'!AA97</f>
        <v>9.809429053111389E-2</v>
      </c>
      <c r="Z184" s="203">
        <f>Z$179*'Ethylene recycling rates'!AB97</f>
        <v>0.1024574430859443</v>
      </c>
      <c r="AA184" s="203">
        <f>AA$179*'Ethylene recycling rates'!AC97</f>
        <v>0.10631956505705618</v>
      </c>
      <c r="AB184" s="203">
        <f>AB$179*'Ethylene recycling rates'!AD97</f>
        <v>0.10963854901386068</v>
      </c>
      <c r="AC184" s="203">
        <f>AC$179*'Ethylene recycling rates'!AE97</f>
        <v>0.11125447754308138</v>
      </c>
      <c r="AD184" s="203">
        <f>AD$179*'Ethylene recycling rates'!AF97</f>
        <v>0.11209368912344066</v>
      </c>
      <c r="AE184" s="203">
        <f>AE$179*'Ethylene recycling rates'!AG97</f>
        <v>0.11211905369064551</v>
      </c>
      <c r="AF184" s="203">
        <f>AF$179*'Ethylene recycling rates'!AH97</f>
        <v>0.11129686864358203</v>
      </c>
      <c r="AG184" s="203">
        <f>AG$179*'Ethylene recycling rates'!AI97</f>
        <v>0.10959682290526433</v>
      </c>
      <c r="AH184" s="217"/>
      <c r="AI184" s="124"/>
      <c r="AJ184" s="185"/>
      <c r="AL184" s="100"/>
      <c r="AM184" s="2"/>
      <c r="AN184" s="2"/>
      <c r="AO184" s="2"/>
      <c r="BC184" s="1"/>
      <c r="BD184" s="2"/>
      <c r="BE184" s="2"/>
      <c r="BF184" s="2"/>
      <c r="BG184" s="2"/>
      <c r="BH184" s="2"/>
      <c r="BI184" s="2"/>
      <c r="BJ184" s="2"/>
      <c r="BK184" s="2"/>
    </row>
    <row r="185" spans="1:63" s="1" customFormat="1" outlineLevel="1">
      <c r="A185" s="1" t="s">
        <v>750</v>
      </c>
      <c r="B185" s="60"/>
      <c r="C185" s="250">
        <f>C171*C45</f>
        <v>0</v>
      </c>
      <c r="D185" s="250">
        <f t="shared" ref="D185:AG185" si="159">D171*D45</f>
        <v>871.15927905129615</v>
      </c>
      <c r="E185" s="250">
        <f t="shared" si="159"/>
        <v>1723.0875492767586</v>
      </c>
      <c r="F185" s="250">
        <f t="shared" si="159"/>
        <v>2555.8994358607547</v>
      </c>
      <c r="G185" s="250">
        <f t="shared" si="159"/>
        <v>3369.70907664481</v>
      </c>
      <c r="H185" s="250">
        <f t="shared" si="159"/>
        <v>4164.6301238862052</v>
      </c>
      <c r="I185" s="250">
        <f t="shared" si="159"/>
        <v>4788.1057754590774</v>
      </c>
      <c r="J185" s="250">
        <f t="shared" si="159"/>
        <v>5346.1062460657304</v>
      </c>
      <c r="K185" s="250">
        <f t="shared" si="159"/>
        <v>5840.463376093192</v>
      </c>
      <c r="L185" s="250">
        <f t="shared" si="159"/>
        <v>6272.9947178156644</v>
      </c>
      <c r="M185" s="250">
        <f t="shared" si="159"/>
        <v>6645.503610802064</v>
      </c>
      <c r="N185" s="250">
        <f t="shared" si="159"/>
        <v>6752.1420011496366</v>
      </c>
      <c r="O185" s="250">
        <f t="shared" si="159"/>
        <v>6822.8270451794051</v>
      </c>
      <c r="P185" s="250">
        <f t="shared" si="159"/>
        <v>6858.73034479544</v>
      </c>
      <c r="Q185" s="250">
        <f t="shared" si="159"/>
        <v>6861.0142028468781</v>
      </c>
      <c r="R185" s="250">
        <f t="shared" si="159"/>
        <v>6830.8316725280038</v>
      </c>
      <c r="S185" s="250">
        <f t="shared" si="159"/>
        <v>6862.6471218193383</v>
      </c>
      <c r="T185" s="250">
        <f t="shared" si="159"/>
        <v>6870.7884001670536</v>
      </c>
      <c r="U185" s="250">
        <f t="shared" si="159"/>
        <v>6856.0642375445523</v>
      </c>
      <c r="V185" s="250">
        <f t="shared" si="159"/>
        <v>6819.2769133065076</v>
      </c>
      <c r="W185" s="250">
        <f t="shared" si="159"/>
        <v>6761.2222905202734</v>
      </c>
      <c r="X185" s="250">
        <f t="shared" si="159"/>
        <v>6821.521340684847</v>
      </c>
      <c r="Y185" s="250">
        <f t="shared" si="159"/>
        <v>6847.8683289665887</v>
      </c>
      <c r="Z185" s="250">
        <f t="shared" si="159"/>
        <v>6841.4794834820814</v>
      </c>
      <c r="AA185" s="250">
        <f t="shared" si="159"/>
        <v>6803.5612827033619</v>
      </c>
      <c r="AB185" s="250">
        <f t="shared" si="159"/>
        <v>6735.3105074469322</v>
      </c>
      <c r="AC185" s="250">
        <f t="shared" si="159"/>
        <v>6571.7116899846305</v>
      </c>
      <c r="AD185" s="250">
        <f t="shared" si="159"/>
        <v>6376.0505244217529</v>
      </c>
      <c r="AE185" s="250">
        <f t="shared" si="159"/>
        <v>6149.7256797761838</v>
      </c>
      <c r="AF185" s="250">
        <f t="shared" si="159"/>
        <v>5894.1244187933844</v>
      </c>
      <c r="AG185" s="250">
        <f t="shared" si="159"/>
        <v>5610.6226591533004</v>
      </c>
      <c r="AH185" s="367"/>
      <c r="AI185" s="368"/>
      <c r="AJ185" s="369"/>
      <c r="AL185" s="194"/>
      <c r="AM185" s="116"/>
      <c r="AN185" s="116"/>
      <c r="AO185" s="116"/>
      <c r="BD185" s="116"/>
      <c r="BE185" s="116"/>
      <c r="BF185" s="116"/>
      <c r="BG185" s="116"/>
      <c r="BH185" s="116"/>
      <c r="BI185" s="116"/>
      <c r="BJ185" s="116"/>
      <c r="BK185" s="116"/>
    </row>
    <row r="186" spans="1:63" outlineLevel="1">
      <c r="A186" s="4" t="s">
        <v>141</v>
      </c>
      <c r="C186" s="203">
        <f>C$185*'Ethylene recycling rates'!E98</f>
        <v>0</v>
      </c>
      <c r="D186" s="203">
        <f>D$185*'Ethylene recycling rates'!F98</f>
        <v>0</v>
      </c>
      <c r="E186" s="203">
        <f>E$185*'Ethylene recycling rates'!G98</f>
        <v>0</v>
      </c>
      <c r="F186" s="203">
        <f>F$185*'Ethylene recycling rates'!H98</f>
        <v>0</v>
      </c>
      <c r="G186" s="203">
        <f>G$185*'Ethylene recycling rates'!I98</f>
        <v>0</v>
      </c>
      <c r="H186" s="203">
        <f>H$185*'Ethylene recycling rates'!J98</f>
        <v>0</v>
      </c>
      <c r="I186" s="203">
        <f>I$185*'Ethylene recycling rates'!K98</f>
        <v>0</v>
      </c>
      <c r="J186" s="203">
        <f>J$185*'Ethylene recycling rates'!L98</f>
        <v>0</v>
      </c>
      <c r="K186" s="203">
        <f>K$185*'Ethylene recycling rates'!M98</f>
        <v>0</v>
      </c>
      <c r="L186" s="203">
        <f>L$185*'Ethylene recycling rates'!N98</f>
        <v>0</v>
      </c>
      <c r="M186" s="203">
        <f>M$185*'Ethylene recycling rates'!O98</f>
        <v>0</v>
      </c>
      <c r="N186" s="203">
        <f>N$185*'Ethylene recycling rates'!P98</f>
        <v>0</v>
      </c>
      <c r="O186" s="203">
        <f>O$185*'Ethylene recycling rates'!Q98</f>
        <v>0</v>
      </c>
      <c r="P186" s="203">
        <f>P$185*'Ethylene recycling rates'!R98</f>
        <v>0</v>
      </c>
      <c r="Q186" s="203">
        <f>Q$185*'Ethylene recycling rates'!S98</f>
        <v>0</v>
      </c>
      <c r="R186" s="203">
        <f>R$185*'Ethylene recycling rates'!T98</f>
        <v>0</v>
      </c>
      <c r="S186" s="203">
        <f>S$185*'Ethylene recycling rates'!U98</f>
        <v>0</v>
      </c>
      <c r="T186" s="203">
        <f>T$185*'Ethylene recycling rates'!V98</f>
        <v>0</v>
      </c>
      <c r="U186" s="203">
        <f>U$185*'Ethylene recycling rates'!W98</f>
        <v>0</v>
      </c>
      <c r="V186" s="203">
        <f>V$185*'Ethylene recycling rates'!X98</f>
        <v>0</v>
      </c>
      <c r="W186" s="203">
        <f>W$185*'Ethylene recycling rates'!Y98</f>
        <v>0</v>
      </c>
      <c r="X186" s="203">
        <f>X$185*'Ethylene recycling rates'!Z98</f>
        <v>0</v>
      </c>
      <c r="Y186" s="203">
        <f>Y$185*'Ethylene recycling rates'!AA98</f>
        <v>0</v>
      </c>
      <c r="Z186" s="203">
        <f>Z$185*'Ethylene recycling rates'!AB98</f>
        <v>0</v>
      </c>
      <c r="AA186" s="203">
        <f>AA$185*'Ethylene recycling rates'!AC98</f>
        <v>0</v>
      </c>
      <c r="AB186" s="203">
        <f>AB$185*'Ethylene recycling rates'!AD98</f>
        <v>0</v>
      </c>
      <c r="AC186" s="203">
        <f>AC$185*'Ethylene recycling rates'!AE98</f>
        <v>0</v>
      </c>
      <c r="AD186" s="203">
        <f>AD$185*'Ethylene recycling rates'!AF98</f>
        <v>0</v>
      </c>
      <c r="AE186" s="203">
        <f>AE$185*'Ethylene recycling rates'!AG98</f>
        <v>0</v>
      </c>
      <c r="AF186" s="203">
        <f>AF$185*'Ethylene recycling rates'!AH98</f>
        <v>0</v>
      </c>
      <c r="AG186" s="203">
        <f>AG$185*'Ethylene recycling rates'!AI98</f>
        <v>0</v>
      </c>
      <c r="AH186" s="217"/>
      <c r="AI186" s="124"/>
      <c r="AJ186" s="185"/>
      <c r="AL186" s="100"/>
      <c r="AM186" s="2"/>
      <c r="AN186" s="2"/>
      <c r="AO186" s="2"/>
      <c r="BC186" s="1"/>
      <c r="BD186" s="2"/>
      <c r="BE186" s="2"/>
      <c r="BF186" s="2"/>
      <c r="BG186" s="2"/>
      <c r="BH186" s="2"/>
      <c r="BI186" s="2"/>
      <c r="BJ186" s="2"/>
      <c r="BK186" s="2"/>
    </row>
    <row r="187" spans="1:63" outlineLevel="1">
      <c r="A187" s="4" t="s">
        <v>74</v>
      </c>
      <c r="C187" s="203">
        <f>C$185*'Ethylene recycling rates'!E99</f>
        <v>0</v>
      </c>
      <c r="D187" s="203">
        <f>D$185*'Ethylene recycling rates'!F99</f>
        <v>0</v>
      </c>
      <c r="E187" s="203">
        <f>E$185*'Ethylene recycling rates'!G99</f>
        <v>0</v>
      </c>
      <c r="F187" s="203">
        <f>F$185*'Ethylene recycling rates'!H99</f>
        <v>0</v>
      </c>
      <c r="G187" s="203">
        <f>G$185*'Ethylene recycling rates'!I99</f>
        <v>0</v>
      </c>
      <c r="H187" s="203">
        <f>H$185*'Ethylene recycling rates'!J99</f>
        <v>0</v>
      </c>
      <c r="I187" s="203">
        <f>I$185*'Ethylene recycling rates'!K99</f>
        <v>0</v>
      </c>
      <c r="J187" s="203">
        <f>J$185*'Ethylene recycling rates'!L99</f>
        <v>0</v>
      </c>
      <c r="K187" s="203">
        <f>K$185*'Ethylene recycling rates'!M99</f>
        <v>0</v>
      </c>
      <c r="L187" s="203">
        <f>L$185*'Ethylene recycling rates'!N99</f>
        <v>0</v>
      </c>
      <c r="M187" s="203">
        <f>M$185*'Ethylene recycling rates'!O99</f>
        <v>0</v>
      </c>
      <c r="N187" s="203">
        <f>N$185*'Ethylene recycling rates'!P99</f>
        <v>0</v>
      </c>
      <c r="O187" s="203">
        <f>O$185*'Ethylene recycling rates'!Q99</f>
        <v>0</v>
      </c>
      <c r="P187" s="203">
        <f>P$185*'Ethylene recycling rates'!R99</f>
        <v>0</v>
      </c>
      <c r="Q187" s="203">
        <f>Q$185*'Ethylene recycling rates'!S99</f>
        <v>0</v>
      </c>
      <c r="R187" s="203">
        <f>R$185*'Ethylene recycling rates'!T99</f>
        <v>0</v>
      </c>
      <c r="S187" s="203">
        <f>S$185*'Ethylene recycling rates'!U99</f>
        <v>0</v>
      </c>
      <c r="T187" s="203">
        <f>T$185*'Ethylene recycling rates'!V99</f>
        <v>0</v>
      </c>
      <c r="U187" s="203">
        <f>U$185*'Ethylene recycling rates'!W99</f>
        <v>0</v>
      </c>
      <c r="V187" s="203">
        <f>V$185*'Ethylene recycling rates'!X99</f>
        <v>0</v>
      </c>
      <c r="W187" s="203">
        <f>W$185*'Ethylene recycling rates'!Y99</f>
        <v>0</v>
      </c>
      <c r="X187" s="203">
        <f>X$185*'Ethylene recycling rates'!Z99</f>
        <v>0</v>
      </c>
      <c r="Y187" s="203">
        <f>Y$185*'Ethylene recycling rates'!AA99</f>
        <v>0</v>
      </c>
      <c r="Z187" s="203">
        <f>Z$185*'Ethylene recycling rates'!AB99</f>
        <v>0</v>
      </c>
      <c r="AA187" s="203">
        <f>AA$185*'Ethylene recycling rates'!AC99</f>
        <v>0</v>
      </c>
      <c r="AB187" s="203">
        <f>AB$185*'Ethylene recycling rates'!AD99</f>
        <v>0</v>
      </c>
      <c r="AC187" s="203">
        <f>AC$185*'Ethylene recycling rates'!AE99</f>
        <v>0</v>
      </c>
      <c r="AD187" s="203">
        <f>AD$185*'Ethylene recycling rates'!AF99</f>
        <v>0</v>
      </c>
      <c r="AE187" s="203">
        <f>AE$185*'Ethylene recycling rates'!AG99</f>
        <v>0</v>
      </c>
      <c r="AF187" s="203">
        <f>AF$185*'Ethylene recycling rates'!AH99</f>
        <v>0</v>
      </c>
      <c r="AG187" s="203">
        <f>AG$185*'Ethylene recycling rates'!AI99</f>
        <v>0</v>
      </c>
      <c r="AH187" s="217"/>
      <c r="AI187" s="124"/>
      <c r="AJ187" s="185"/>
      <c r="AL187" s="100"/>
      <c r="AM187" s="2"/>
      <c r="AN187" s="2"/>
      <c r="AO187" s="2"/>
      <c r="BC187" s="1"/>
      <c r="BD187" s="2"/>
      <c r="BE187" s="2"/>
      <c r="BF187" s="2"/>
      <c r="BG187" s="2"/>
      <c r="BH187" s="2"/>
      <c r="BI187" s="2"/>
      <c r="BJ187" s="2"/>
      <c r="BK187" s="2"/>
    </row>
    <row r="188" spans="1:63" outlineLevel="1">
      <c r="A188" s="4" t="s">
        <v>34</v>
      </c>
      <c r="C188" s="203">
        <f>C$185*'Ethylene recycling rates'!E100</f>
        <v>0</v>
      </c>
      <c r="D188" s="203">
        <f>D$185*'Ethylene recycling rates'!F100</f>
        <v>0</v>
      </c>
      <c r="E188" s="203">
        <f>E$185*'Ethylene recycling rates'!G100</f>
        <v>0</v>
      </c>
      <c r="F188" s="203">
        <f>F$185*'Ethylene recycling rates'!H100</f>
        <v>0</v>
      </c>
      <c r="G188" s="203">
        <f>G$185*'Ethylene recycling rates'!I100</f>
        <v>0</v>
      </c>
      <c r="H188" s="203">
        <f>H$185*'Ethylene recycling rates'!J100</f>
        <v>0</v>
      </c>
      <c r="I188" s="203">
        <f>I$185*'Ethylene recycling rates'!K100</f>
        <v>0</v>
      </c>
      <c r="J188" s="203">
        <f>J$185*'Ethylene recycling rates'!L100</f>
        <v>0</v>
      </c>
      <c r="K188" s="203">
        <f>K$185*'Ethylene recycling rates'!M100</f>
        <v>0</v>
      </c>
      <c r="L188" s="203">
        <f>L$185*'Ethylene recycling rates'!N100</f>
        <v>0</v>
      </c>
      <c r="M188" s="203">
        <f>M$185*'Ethylene recycling rates'!O100</f>
        <v>0</v>
      </c>
      <c r="N188" s="203">
        <f>N$185*'Ethylene recycling rates'!P100</f>
        <v>0</v>
      </c>
      <c r="O188" s="203">
        <f>O$185*'Ethylene recycling rates'!Q100</f>
        <v>0</v>
      </c>
      <c r="P188" s="203">
        <f>P$185*'Ethylene recycling rates'!R100</f>
        <v>0</v>
      </c>
      <c r="Q188" s="203">
        <f>Q$185*'Ethylene recycling rates'!S100</f>
        <v>0</v>
      </c>
      <c r="R188" s="203">
        <f>R$185*'Ethylene recycling rates'!T100</f>
        <v>0</v>
      </c>
      <c r="S188" s="203">
        <f>S$185*'Ethylene recycling rates'!U100</f>
        <v>0</v>
      </c>
      <c r="T188" s="203">
        <f>T$185*'Ethylene recycling rates'!V100</f>
        <v>0</v>
      </c>
      <c r="U188" s="203">
        <f>U$185*'Ethylene recycling rates'!W100</f>
        <v>0</v>
      </c>
      <c r="V188" s="203">
        <f>V$185*'Ethylene recycling rates'!X100</f>
        <v>0</v>
      </c>
      <c r="W188" s="203">
        <f>W$185*'Ethylene recycling rates'!Y100</f>
        <v>0</v>
      </c>
      <c r="X188" s="203">
        <f>X$185*'Ethylene recycling rates'!Z100</f>
        <v>0</v>
      </c>
      <c r="Y188" s="203">
        <f>Y$185*'Ethylene recycling rates'!AA100</f>
        <v>0</v>
      </c>
      <c r="Z188" s="203">
        <f>Z$185*'Ethylene recycling rates'!AB100</f>
        <v>0</v>
      </c>
      <c r="AA188" s="203">
        <f>AA$185*'Ethylene recycling rates'!AC100</f>
        <v>0</v>
      </c>
      <c r="AB188" s="203">
        <f>AB$185*'Ethylene recycling rates'!AD100</f>
        <v>0</v>
      </c>
      <c r="AC188" s="203">
        <f>AC$185*'Ethylene recycling rates'!AE100</f>
        <v>0</v>
      </c>
      <c r="AD188" s="203">
        <f>AD$185*'Ethylene recycling rates'!AF100</f>
        <v>0</v>
      </c>
      <c r="AE188" s="203">
        <f>AE$185*'Ethylene recycling rates'!AG100</f>
        <v>0</v>
      </c>
      <c r="AF188" s="203">
        <f>AF$185*'Ethylene recycling rates'!AH100</f>
        <v>0</v>
      </c>
      <c r="AG188" s="203">
        <f>AG$185*'Ethylene recycling rates'!AI100</f>
        <v>0</v>
      </c>
      <c r="AH188" s="217"/>
      <c r="AI188" s="124"/>
      <c r="AJ188" s="185"/>
      <c r="AL188" s="100"/>
      <c r="AM188" s="2"/>
      <c r="AN188" s="2"/>
      <c r="AO188" s="2"/>
      <c r="BC188" s="1"/>
      <c r="BD188" s="2"/>
      <c r="BE188" s="2"/>
      <c r="BF188" s="2"/>
      <c r="BG188" s="2"/>
      <c r="BH188" s="2"/>
      <c r="BI188" s="2"/>
      <c r="BJ188" s="2"/>
      <c r="BK188" s="2"/>
    </row>
    <row r="189" spans="1:63" outlineLevel="1">
      <c r="A189" s="4" t="s">
        <v>35</v>
      </c>
      <c r="C189" s="203">
        <f>C$185*'Ethylene recycling rates'!E101</f>
        <v>0</v>
      </c>
      <c r="D189" s="203">
        <f>D$185*'Ethylene recycling rates'!F101</f>
        <v>29.038075399788291</v>
      </c>
      <c r="E189" s="203">
        <f>E$185*'Ethylene recycling rates'!G101</f>
        <v>114.87025938775253</v>
      </c>
      <c r="F189" s="203">
        <f>F$185*'Ethylene recycling rates'!H101</f>
        <v>255.58495094132184</v>
      </c>
      <c r="G189" s="203">
        <f>G$185*'Ethylene recycling rates'!I101</f>
        <v>449.28576711952263</v>
      </c>
      <c r="H189" s="203">
        <f>H$185*'Ethylene recycling rates'!J101</f>
        <v>694.09146213385179</v>
      </c>
      <c r="I189" s="203">
        <f>I$185*'Ethylene recycling rates'!K101</f>
        <v>957.6024491045265</v>
      </c>
      <c r="J189" s="203">
        <f>J$185*'Ethylene recycling rates'!L101</f>
        <v>1247.4004237929537</v>
      </c>
      <c r="K189" s="203">
        <f>K$185*'Ethylene recycling rates'!M101</f>
        <v>1557.4264772282584</v>
      </c>
      <c r="L189" s="203">
        <f>L$185*'Ethylene recycling rates'!N101</f>
        <v>1881.8616547033439</v>
      </c>
      <c r="M189" s="203">
        <f>M$185*'Ethylene recycling rates'!O101</f>
        <v>2215.1245996046255</v>
      </c>
      <c r="N189" s="203">
        <f>N$185*'Ethylene recycling rates'!P101</f>
        <v>2475.7370389061425</v>
      </c>
      <c r="O189" s="203">
        <f>O$185*'Ethylene recycling rates'!Q101</f>
        <v>2729.0775077557551</v>
      </c>
      <c r="P189" s="203">
        <f>P$185*'Ethylene recycling rates'!R101</f>
        <v>2972.0584259934881</v>
      </c>
      <c r="Q189" s="203">
        <f>Q$185*'Ethylene recycling rates'!S101</f>
        <v>3201.7440845209285</v>
      </c>
      <c r="R189" s="203">
        <f>R$185*'Ethylene recycling rates'!T101</f>
        <v>3415.3491201885686</v>
      </c>
      <c r="S189" s="203">
        <f>S$185*'Ethylene recycling rates'!U101</f>
        <v>3660.0069697021918</v>
      </c>
      <c r="T189" s="203">
        <f>T$185*'Ethylene recycling rates'!V101</f>
        <v>3893.3707062551907</v>
      </c>
      <c r="U189" s="203">
        <f>U$185*'Ethylene recycling rates'!W101</f>
        <v>4113.5581875033704</v>
      </c>
      <c r="V189" s="203">
        <f>V$185*'Ethylene recycling rates'!X101</f>
        <v>4318.7910143472518</v>
      </c>
      <c r="W189" s="203">
        <f>W$185*'Ethylene recycling rates'!Y101</f>
        <v>4507.3934787371145</v>
      </c>
      <c r="X189" s="203">
        <f>X$185*'Ethylene recycling rates'!Z101</f>
        <v>4774.9716632801455</v>
      </c>
      <c r="Y189" s="203">
        <f>Y$185*'Ethylene recycling rates'!AA101</f>
        <v>5021.6720136182976</v>
      </c>
      <c r="Z189" s="203">
        <f>Z$185*'Ethylene recycling rates'!AB101</f>
        <v>5245.0318132265065</v>
      </c>
      <c r="AA189" s="203">
        <f>AA$185*'Ethylene recycling rates'!AC101</f>
        <v>5442.742706597629</v>
      </c>
      <c r="AB189" s="203">
        <f>AB$185*'Ethylene recycling rates'!AD101</f>
        <v>5612.6491176567597</v>
      </c>
      <c r="AC189" s="203">
        <f>AC$185*'Ethylene recycling rates'!AE101</f>
        <v>5695.3722101757994</v>
      </c>
      <c r="AD189" s="203">
        <f>AD$185*'Ethylene recycling rates'!AF101</f>
        <v>5738.3333782904501</v>
      </c>
      <c r="AE189" s="203">
        <f>AE$185*'Ethylene recycling rates'!AG101</f>
        <v>5739.6318487374101</v>
      </c>
      <c r="AF189" s="203">
        <f>AF$185*'Ethylene recycling rates'!AH101</f>
        <v>5697.5423079649572</v>
      </c>
      <c r="AG189" s="203">
        <f>AG$185*'Ethylene recycling rates'!AI101</f>
        <v>5610.5130623303949</v>
      </c>
      <c r="AH189" s="217"/>
      <c r="AI189" s="124"/>
      <c r="AJ189" s="185"/>
      <c r="AL189" s="100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27</v>
      </c>
      <c r="C190" s="203">
        <f>C$185*'Ethylene recycling rates'!E102</f>
        <v>0</v>
      </c>
      <c r="D190" s="203">
        <f>D$185*'Ethylene recycling rates'!F102</f>
        <v>5.6723525491239623E-4</v>
      </c>
      <c r="E190" s="203">
        <f>E$185*'Ethylene recycling rates'!G102</f>
        <v>2.243897364704134E-3</v>
      </c>
      <c r="F190" s="203">
        <f>F$185*'Ethylene recycling rates'!H102</f>
        <v>4.9926447535854936E-3</v>
      </c>
      <c r="G190" s="203">
        <f>G$185*'Ethylene recycling rates'!I102</f>
        <v>8.7764331186498661E-3</v>
      </c>
      <c r="H190" s="203">
        <f>H$185*'Ethylene recycling rates'!J102</f>
        <v>1.3558513848988894E-2</v>
      </c>
      <c r="I190" s="203">
        <f>I$185*'Ethylene recycling rates'!K102</f>
        <v>1.8705987288899363E-2</v>
      </c>
      <c r="J190" s="203">
        <f>J$185*'Ethylene recycling rates'!L102</f>
        <v>2.4366955716809864E-2</v>
      </c>
      <c r="K190" s="203">
        <f>K$185*'Ethylene recycling rates'!M102</f>
        <v>3.0423063259362133E-2</v>
      </c>
      <c r="L190" s="203">
        <f>L$185*'Ethylene recycling rates'!N102</f>
        <v>3.6760641355153237E-2</v>
      </c>
      <c r="M190" s="203">
        <f>M$185*'Ethylene recycling rates'!O102</f>
        <v>4.327066272886014E-2</v>
      </c>
      <c r="N190" s="203">
        <f>N$185*'Ethylene recycling rates'!P102</f>
        <v>4.8361515390590443E-2</v>
      </c>
      <c r="O190" s="203">
        <f>O$185*'Ethylene recycling rates'!Q102</f>
        <v>5.3310316006645861E-2</v>
      </c>
      <c r="P190" s="203">
        <f>P$185*'Ethylene recycling rates'!R102</f>
        <v>5.8056751202431374E-2</v>
      </c>
      <c r="Q190" s="203">
        <f>Q$185*'Ethylene recycling rates'!S102</f>
        <v>6.254347428138185E-2</v>
      </c>
      <c r="R190" s="203">
        <f>R$185*'Ethylene recycling rates'!T102</f>
        <v>6.6716075433123093E-2</v>
      </c>
      <c r="S190" s="203">
        <f>S$185*'Ethylene recycling rates'!U102</f>
        <v>7.1495268121499075E-2</v>
      </c>
      <c r="T190" s="203">
        <f>T$185*'Ethylene recycling rates'!V102</f>
        <v>7.6053839471992749E-2</v>
      </c>
      <c r="U190" s="203">
        <f>U$185*'Ethylene recycling rates'!W102</f>
        <v>8.0355023360207334E-2</v>
      </c>
      <c r="V190" s="203">
        <f>V$185*'Ethylene recycling rates'!X102</f>
        <v>8.4364080201902489E-2</v>
      </c>
      <c r="W190" s="203">
        <f>W$185*'Ethylene recycling rates'!Y102</f>
        <v>8.8048276399219E-2</v>
      </c>
      <c r="X190" s="203">
        <f>X$185*'Ethylene recycling rates'!Z102</f>
        <v>9.3275199245468288E-2</v>
      </c>
      <c r="Y190" s="203">
        <f>Y$185*'Ethylene recycling rates'!AA102</f>
        <v>9.809429053111389E-2</v>
      </c>
      <c r="Z190" s="203">
        <f>Z$185*'Ethylene recycling rates'!AB102</f>
        <v>0.1024574430859443</v>
      </c>
      <c r="AA190" s="203">
        <f>AA$185*'Ethylene recycling rates'!AC102</f>
        <v>0.10631956505705618</v>
      </c>
      <c r="AB190" s="203">
        <f>AB$185*'Ethylene recycling rates'!AD102</f>
        <v>0.10963854901386068</v>
      </c>
      <c r="AC190" s="203">
        <f>AC$185*'Ethylene recycling rates'!AE102</f>
        <v>0.11125447754308138</v>
      </c>
      <c r="AD190" s="203">
        <f>AD$185*'Ethylene recycling rates'!AF102</f>
        <v>0.11209368912344066</v>
      </c>
      <c r="AE190" s="203">
        <f>AE$185*'Ethylene recycling rates'!AG102</f>
        <v>0.11211905369064551</v>
      </c>
      <c r="AF190" s="203">
        <f>AF$185*'Ethylene recycling rates'!AH102</f>
        <v>0.11129686864358203</v>
      </c>
      <c r="AG190" s="203">
        <f>AG$185*'Ethylene recycling rates'!AI102</f>
        <v>0.10959682290526433</v>
      </c>
      <c r="AH190" s="217"/>
      <c r="AI190" s="124"/>
      <c r="AJ190" s="185"/>
      <c r="AL190" s="100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J191" s="185"/>
    </row>
    <row r="192" spans="1:63" s="174" customFormat="1" ht="15.5" thickBot="1">
      <c r="A192" s="174" t="s">
        <v>446</v>
      </c>
      <c r="B192" s="189"/>
      <c r="C192" s="197">
        <f>C193</f>
        <v>0.02</v>
      </c>
      <c r="D192" s="197">
        <f t="shared" ref="D192" si="160">D193</f>
        <v>4.1442327559921402E-2</v>
      </c>
      <c r="E192" s="197">
        <f t="shared" ref="E192" si="161">E193</f>
        <v>6.28846551198428E-2</v>
      </c>
      <c r="F192" s="197">
        <f t="shared" ref="F192" si="162">F193</f>
        <v>8.4326982679764198E-2</v>
      </c>
      <c r="G192" s="197">
        <f t="shared" ref="G192" si="163">G193</f>
        <v>0.1057693102396856</v>
      </c>
      <c r="H192" s="197">
        <f t="shared" ref="H192" si="164">H193</f>
        <v>0.12721163779960698</v>
      </c>
      <c r="I192" s="197">
        <f t="shared" ref="I192" si="165">I193</f>
        <v>0.14865396535952838</v>
      </c>
      <c r="J192" s="197">
        <f t="shared" ref="J192" si="166">J193</f>
        <v>0.17009629291944978</v>
      </c>
      <c r="K192" s="197">
        <f t="shared" ref="K192" si="167">K193</f>
        <v>0.19153862047937117</v>
      </c>
      <c r="L192" s="197">
        <f t="shared" ref="L192" si="168">L193</f>
        <v>0.21298094803929257</v>
      </c>
      <c r="M192" s="197">
        <f t="shared" ref="M192" si="169">M193</f>
        <v>0.23442327559921397</v>
      </c>
      <c r="N192" s="197">
        <f t="shared" ref="N192" si="170">N193</f>
        <v>0.24882881581566058</v>
      </c>
      <c r="O192" s="197">
        <f t="shared" ref="O192" si="171">O193</f>
        <v>0.26323435603210721</v>
      </c>
      <c r="P192" s="197">
        <f t="shared" ref="P192" si="172">P193</f>
        <v>0.27763989624855379</v>
      </c>
      <c r="Q192" s="197">
        <f t="shared" ref="Q192" si="173">Q193</f>
        <v>0.29204543646500042</v>
      </c>
      <c r="R192" s="197">
        <f t="shared" ref="R192" si="174">R193</f>
        <v>0.306450976681447</v>
      </c>
      <c r="S192" s="197">
        <f t="shared" ref="S192" si="175">S193</f>
        <v>0.32085651689789363</v>
      </c>
      <c r="T192" s="197">
        <f t="shared" ref="T192" si="176">T193</f>
        <v>0.33526205711434021</v>
      </c>
      <c r="U192" s="197">
        <f t="shared" ref="U192" si="177">U193</f>
        <v>0.34966759733078684</v>
      </c>
      <c r="V192" s="197">
        <f t="shared" ref="V192" si="178">V193</f>
        <v>0.36407313754723347</v>
      </c>
      <c r="W192" s="197">
        <f t="shared" ref="W192" si="179">W193</f>
        <v>0.37847867776368005</v>
      </c>
      <c r="X192" s="197">
        <f t="shared" ref="X192" si="180">X193</f>
        <v>0.40063080998731204</v>
      </c>
      <c r="Y192" s="197">
        <f t="shared" ref="Y192" si="181">Y193</f>
        <v>0.42278294221094403</v>
      </c>
      <c r="Z192" s="197">
        <f t="shared" ref="Z192" si="182">Z193</f>
        <v>0.44493507443457603</v>
      </c>
      <c r="AA192" s="197">
        <f t="shared" ref="AA192" si="183">AA193</f>
        <v>0.46708720665820802</v>
      </c>
      <c r="AB192" s="197">
        <f t="shared" ref="AB192" si="184">AB193</f>
        <v>0.48923933888184001</v>
      </c>
      <c r="AC192" s="197">
        <f t="shared" ref="AC192" si="185">AC193</f>
        <v>0.51139147110547201</v>
      </c>
      <c r="AD192" s="197">
        <f t="shared" ref="AD192" si="186">AD193</f>
        <v>0.533543603329104</v>
      </c>
      <c r="AE192" s="197">
        <f t="shared" ref="AE192" si="187">AE193</f>
        <v>0.55569573555273599</v>
      </c>
      <c r="AF192" s="197">
        <f t="shared" ref="AF192" si="188">AF193</f>
        <v>0.57784786777636798</v>
      </c>
      <c r="AG192" s="197">
        <f t="shared" ref="AG192" si="189">AG193</f>
        <v>0.6</v>
      </c>
      <c r="AJ192" s="204" t="s">
        <v>458</v>
      </c>
      <c r="AL192" s="191"/>
      <c r="AM192" s="198"/>
      <c r="AN192" s="198"/>
      <c r="AO192" s="198"/>
    </row>
    <row r="193" spans="1:63" ht="15.5" outlineLevel="1" thickTop="1">
      <c r="A193" t="s">
        <v>454</v>
      </c>
      <c r="B193" s="50" t="s">
        <v>126</v>
      </c>
      <c r="C193" s="558">
        <v>0.02</v>
      </c>
      <c r="D193" s="102">
        <f>$C193+($M193-$C193)/10*(D$1-$C$1)</f>
        <v>4.1442327559921402E-2</v>
      </c>
      <c r="E193" s="102">
        <f t="shared" ref="E193:L193" si="190">$C193+($M193-$C193)/10*(E$1-$C$1)</f>
        <v>6.28846551198428E-2</v>
      </c>
      <c r="F193" s="102">
        <f t="shared" si="190"/>
        <v>8.4326982679764198E-2</v>
      </c>
      <c r="G193" s="102">
        <f t="shared" si="190"/>
        <v>0.1057693102396856</v>
      </c>
      <c r="H193" s="102">
        <f t="shared" si="190"/>
        <v>0.12721163779960698</v>
      </c>
      <c r="I193" s="102">
        <f t="shared" si="190"/>
        <v>0.14865396535952838</v>
      </c>
      <c r="J193" s="102">
        <f t="shared" si="190"/>
        <v>0.17009629291944978</v>
      </c>
      <c r="K193" s="102">
        <f t="shared" si="190"/>
        <v>0.19153862047937117</v>
      </c>
      <c r="L193" s="102">
        <f t="shared" si="190"/>
        <v>0.21298094803929257</v>
      </c>
      <c r="M193" s="113">
        <f>(M$52-$C$52)/($AG$52-$C$52)*($AG193-$C193)+$C193</f>
        <v>0.23442327559921397</v>
      </c>
      <c r="N193" s="113">
        <f>$M193+($W193-$M193)/10*(N$1-$M$1)</f>
        <v>0.24882881581566058</v>
      </c>
      <c r="O193" s="113">
        <f t="shared" ref="O193:U193" si="191">$M193+($W193-$M193)/10*(O$1-$M$1)</f>
        <v>0.26323435603210721</v>
      </c>
      <c r="P193" s="113">
        <f t="shared" si="191"/>
        <v>0.27763989624855379</v>
      </c>
      <c r="Q193" s="113">
        <f t="shared" si="191"/>
        <v>0.29204543646500042</v>
      </c>
      <c r="R193" s="113">
        <f t="shared" si="191"/>
        <v>0.306450976681447</v>
      </c>
      <c r="S193" s="113">
        <f t="shared" si="191"/>
        <v>0.32085651689789363</v>
      </c>
      <c r="T193" s="113">
        <f t="shared" si="191"/>
        <v>0.33526205711434021</v>
      </c>
      <c r="U193" s="113">
        <f t="shared" si="191"/>
        <v>0.34966759733078684</v>
      </c>
      <c r="V193" s="113">
        <f>$M193+($W193-$M193)/10*(V$1-$M$1)</f>
        <v>0.36407313754723347</v>
      </c>
      <c r="W193" s="113">
        <f>(W$52-$C$52)/($AG$52-$C$52)*($AG193-$C193)+$C193</f>
        <v>0.37847867776368005</v>
      </c>
      <c r="X193" s="22">
        <f t="shared" ref="X193:AF193" si="192">$W193+($AG193-$W193)/10*(X$1-$W$1)</f>
        <v>0.40063080998731204</v>
      </c>
      <c r="Y193" s="22">
        <f t="shared" si="192"/>
        <v>0.42278294221094403</v>
      </c>
      <c r="Z193" s="22">
        <f t="shared" si="192"/>
        <v>0.44493507443457603</v>
      </c>
      <c r="AA193" s="22">
        <f t="shared" si="192"/>
        <v>0.46708720665820802</v>
      </c>
      <c r="AB193" s="22">
        <f t="shared" si="192"/>
        <v>0.48923933888184001</v>
      </c>
      <c r="AC193" s="22">
        <f t="shared" si="192"/>
        <v>0.51139147110547201</v>
      </c>
      <c r="AD193" s="22">
        <f t="shared" si="192"/>
        <v>0.533543603329104</v>
      </c>
      <c r="AE193" s="22">
        <f t="shared" si="192"/>
        <v>0.55569573555273599</v>
      </c>
      <c r="AF193" s="22">
        <f t="shared" si="192"/>
        <v>0.57784786777636798</v>
      </c>
      <c r="AG193" s="188">
        <v>0.6</v>
      </c>
      <c r="AJ193" s="185" t="s">
        <v>1469</v>
      </c>
    </row>
    <row r="194" spans="1:63" outlineLevel="1">
      <c r="C194" s="105"/>
      <c r="D194" s="102"/>
      <c r="E194" s="102"/>
      <c r="F194" s="102"/>
      <c r="G194" s="102"/>
      <c r="H194" s="102"/>
      <c r="I194" s="102"/>
      <c r="J194" s="102"/>
      <c r="K194" s="102"/>
      <c r="L194" s="102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22"/>
      <c r="Y194" s="22"/>
      <c r="Z194" s="22"/>
      <c r="AA194" s="22"/>
      <c r="AB194" s="22"/>
      <c r="AC194" s="22"/>
      <c r="AD194" s="22"/>
      <c r="AE194" s="22"/>
      <c r="AF194" s="22"/>
      <c r="AG194" s="98"/>
      <c r="AJ194" s="185"/>
    </row>
    <row r="195" spans="1:63" outlineLevel="1">
      <c r="A195" t="s">
        <v>453</v>
      </c>
      <c r="C195" s="329">
        <f>'Overall recycling rates'!C85</f>
        <v>1.1085304930209596</v>
      </c>
      <c r="D195" s="329">
        <f t="shared" ref="D195:AF195" si="193">C195-($C195-$AG195)/($AG1-$C1)</f>
        <v>1.1082461432535944</v>
      </c>
      <c r="E195" s="329">
        <f t="shared" si="193"/>
        <v>1.1079617934862291</v>
      </c>
      <c r="F195" s="329">
        <f t="shared" si="193"/>
        <v>1.1076774437188639</v>
      </c>
      <c r="G195" s="329">
        <f t="shared" si="193"/>
        <v>1.1073930939514987</v>
      </c>
      <c r="H195" s="329">
        <f t="shared" si="193"/>
        <v>1.1071087441841334</v>
      </c>
      <c r="I195" s="329">
        <f t="shared" si="193"/>
        <v>1.1068243944167682</v>
      </c>
      <c r="J195" s="329">
        <f t="shared" si="193"/>
        <v>1.1065400446494029</v>
      </c>
      <c r="K195" s="329">
        <f t="shared" si="193"/>
        <v>1.1062556948820377</v>
      </c>
      <c r="L195" s="329">
        <f t="shared" si="193"/>
        <v>1.1059713451146724</v>
      </c>
      <c r="M195" s="329">
        <f t="shared" si="193"/>
        <v>1.1056869953473072</v>
      </c>
      <c r="N195" s="329">
        <f t="shared" si="193"/>
        <v>1.1054026455799419</v>
      </c>
      <c r="O195" s="329">
        <f t="shared" si="193"/>
        <v>1.1051182958125767</v>
      </c>
      <c r="P195" s="329">
        <f t="shared" si="193"/>
        <v>1.1048339460452115</v>
      </c>
      <c r="Q195" s="329">
        <f t="shared" si="193"/>
        <v>1.1045495962778462</v>
      </c>
      <c r="R195" s="329">
        <f t="shared" si="193"/>
        <v>1.104265246510481</v>
      </c>
      <c r="S195" s="329">
        <f t="shared" si="193"/>
        <v>1.1039808967431157</v>
      </c>
      <c r="T195" s="329">
        <f t="shared" si="193"/>
        <v>1.1036965469757505</v>
      </c>
      <c r="U195" s="329">
        <f t="shared" si="193"/>
        <v>1.1034121972083852</v>
      </c>
      <c r="V195" s="329">
        <f t="shared" si="193"/>
        <v>1.10312784744102</v>
      </c>
      <c r="W195" s="329">
        <f t="shared" si="193"/>
        <v>1.1028434976736547</v>
      </c>
      <c r="X195" s="329">
        <f t="shared" si="193"/>
        <v>1.1025591479062895</v>
      </c>
      <c r="Y195" s="329">
        <f t="shared" si="193"/>
        <v>1.1022747981389243</v>
      </c>
      <c r="Z195" s="329">
        <f t="shared" si="193"/>
        <v>1.101990448371559</v>
      </c>
      <c r="AA195" s="329">
        <f t="shared" si="193"/>
        <v>1.1017060986041938</v>
      </c>
      <c r="AB195" s="329">
        <f t="shared" si="193"/>
        <v>1.1014217488368285</v>
      </c>
      <c r="AC195" s="329">
        <f t="shared" si="193"/>
        <v>1.1011373990694633</v>
      </c>
      <c r="AD195" s="329">
        <f t="shared" si="193"/>
        <v>1.100853049302098</v>
      </c>
      <c r="AE195" s="329">
        <f t="shared" si="193"/>
        <v>1.1005686995347328</v>
      </c>
      <c r="AF195" s="329">
        <f t="shared" si="193"/>
        <v>1.1002843497673676</v>
      </c>
      <c r="AG195" s="329">
        <f>'Overall recycling rates'!C94</f>
        <v>1.1000000000000001</v>
      </c>
      <c r="AI195" s="124"/>
      <c r="AJ195" s="185" t="s">
        <v>477</v>
      </c>
      <c r="AL195" s="100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outlineLevel="1">
      <c r="A196" t="s">
        <v>455</v>
      </c>
      <c r="B196" s="50" t="s">
        <v>126</v>
      </c>
      <c r="C196" s="102">
        <f>C193*C195</f>
        <v>2.2170609860419192E-2</v>
      </c>
      <c r="D196" s="102">
        <f t="shared" ref="D196:AG196" si="194">D193*D195</f>
        <v>4.5928299685735037E-2</v>
      </c>
      <c r="E196" s="102">
        <f t="shared" si="194"/>
        <v>6.9673795269344016E-2</v>
      </c>
      <c r="F196" s="102">
        <f t="shared" si="194"/>
        <v>9.3407096611246118E-2</v>
      </c>
      <c r="G196" s="102">
        <f t="shared" si="194"/>
        <v>0.11712820371144136</v>
      </c>
      <c r="H196" s="102">
        <f t="shared" si="194"/>
        <v>0.14083711656992973</v>
      </c>
      <c r="I196" s="102">
        <f t="shared" si="194"/>
        <v>0.16453383518671122</v>
      </c>
      <c r="J196" s="102">
        <f t="shared" si="194"/>
        <v>0.18821835956178587</v>
      </c>
      <c r="K196" s="102">
        <f t="shared" si="194"/>
        <v>0.21189068969515365</v>
      </c>
      <c r="L196" s="102">
        <f t="shared" si="194"/>
        <v>0.23555082558681456</v>
      </c>
      <c r="M196" s="102">
        <f t="shared" si="194"/>
        <v>0.2591987672367686</v>
      </c>
      <c r="N196" s="102">
        <f t="shared" si="194"/>
        <v>0.27505603129915529</v>
      </c>
      <c r="O196" s="102">
        <f t="shared" si="194"/>
        <v>0.29090510293752336</v>
      </c>
      <c r="P196" s="102">
        <f t="shared" si="194"/>
        <v>0.30674598215187276</v>
      </c>
      <c r="Q196" s="102">
        <f t="shared" si="194"/>
        <v>0.32257866894220361</v>
      </c>
      <c r="R196" s="102">
        <f t="shared" si="194"/>
        <v>0.33840316330851572</v>
      </c>
      <c r="S196" s="102">
        <f t="shared" si="194"/>
        <v>0.35421946525080927</v>
      </c>
      <c r="T196" s="102">
        <f t="shared" si="194"/>
        <v>0.3700275747690841</v>
      </c>
      <c r="U196" s="102">
        <f t="shared" si="194"/>
        <v>0.38582749186334042</v>
      </c>
      <c r="V196" s="102">
        <f t="shared" si="194"/>
        <v>0.40161921653357807</v>
      </c>
      <c r="W196" s="102">
        <f t="shared" si="194"/>
        <v>0.41740274877979699</v>
      </c>
      <c r="X196" s="102">
        <f t="shared" si="194"/>
        <v>0.44171916448461734</v>
      </c>
      <c r="Y196" s="102">
        <f t="shared" si="194"/>
        <v>0.46602298228214883</v>
      </c>
      <c r="Z196" s="102">
        <f t="shared" si="194"/>
        <v>0.49031420217239141</v>
      </c>
      <c r="AA196" s="102">
        <f t="shared" si="194"/>
        <v>0.51459282415534513</v>
      </c>
      <c r="AB196" s="102">
        <f t="shared" si="194"/>
        <v>0.53885884823101005</v>
      </c>
      <c r="AC196" s="102">
        <f t="shared" si="194"/>
        <v>0.56311227439938605</v>
      </c>
      <c r="AD196" s="102">
        <f t="shared" si="194"/>
        <v>0.58735310266047314</v>
      </c>
      <c r="AE196" s="102">
        <f t="shared" si="194"/>
        <v>0.61158133301427142</v>
      </c>
      <c r="AF196" s="102">
        <f t="shared" si="194"/>
        <v>0.63579696546078079</v>
      </c>
      <c r="AG196" s="102">
        <f t="shared" si="194"/>
        <v>0.66</v>
      </c>
      <c r="AJ196" s="185" t="s">
        <v>447</v>
      </c>
    </row>
    <row r="197" spans="1:63" outlineLevel="1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I197" s="125"/>
      <c r="AJ197" s="185"/>
      <c r="BC197" s="1"/>
      <c r="BD197" s="37"/>
      <c r="BF197" s="6"/>
      <c r="BG197" s="6"/>
      <c r="BH197" s="6"/>
      <c r="BI197" s="6"/>
      <c r="BJ197" s="6"/>
    </row>
    <row r="198" spans="1:63" s="1" customFormat="1" outlineLevel="1">
      <c r="A198" s="1" t="s">
        <v>265</v>
      </c>
      <c r="B198" s="60"/>
      <c r="C198" s="250">
        <f>C196*C44</f>
        <v>4976.5420616365564</v>
      </c>
      <c r="D198" s="250">
        <f t="shared" ref="D198:AG198" si="195">D196*D44</f>
        <v>10286.570566056595</v>
      </c>
      <c r="E198" s="250">
        <f t="shared" si="195"/>
        <v>15570.405129932538</v>
      </c>
      <c r="F198" s="250">
        <f t="shared" si="195"/>
        <v>20828.141541510562</v>
      </c>
      <c r="G198" s="250">
        <f t="shared" si="195"/>
        <v>26059.875280490047</v>
      </c>
      <c r="H198" s="250">
        <f t="shared" si="195"/>
        <v>31265.701518948361</v>
      </c>
      <c r="I198" s="250">
        <f t="shared" si="195"/>
        <v>36445.71512226302</v>
      </c>
      <c r="J198" s="250">
        <f t="shared" si="195"/>
        <v>41600.010650031167</v>
      </c>
      <c r="K198" s="250">
        <f t="shared" si="195"/>
        <v>46728.68235698645</v>
      </c>
      <c r="L198" s="250">
        <f t="shared" si="195"/>
        <v>51831.824193913279</v>
      </c>
      <c r="M198" s="250">
        <f t="shared" si="195"/>
        <v>56909.52980855848</v>
      </c>
      <c r="N198" s="250">
        <f t="shared" si="195"/>
        <v>60257.823473300865</v>
      </c>
      <c r="O198" s="250">
        <f t="shared" si="195"/>
        <v>63589.265787427488</v>
      </c>
      <c r="P198" s="250">
        <f t="shared" si="195"/>
        <v>66903.918787948394</v>
      </c>
      <c r="Q198" s="250">
        <f t="shared" si="195"/>
        <v>70201.844311366891</v>
      </c>
      <c r="R198" s="250">
        <f t="shared" si="195"/>
        <v>73483.103994281701</v>
      </c>
      <c r="S198" s="250">
        <f t="shared" si="195"/>
        <v>76747.75927398754</v>
      </c>
      <c r="T198" s="250">
        <f t="shared" si="195"/>
        <v>79995.871389073727</v>
      </c>
      <c r="U198" s="250">
        <f t="shared" si="195"/>
        <v>83227.501380021436</v>
      </c>
      <c r="V198" s="250">
        <f t="shared" si="195"/>
        <v>86442.710089798755</v>
      </c>
      <c r="W198" s="250">
        <f t="shared" si="195"/>
        <v>89641.558164454575</v>
      </c>
      <c r="X198" s="250">
        <f t="shared" si="195"/>
        <v>94654.341133466543</v>
      </c>
      <c r="Y198" s="250">
        <f t="shared" si="195"/>
        <v>99641.861458895393</v>
      </c>
      <c r="Z198" s="250">
        <f t="shared" si="195"/>
        <v>104604.21219618412</v>
      </c>
      <c r="AA198" s="250">
        <f t="shared" si="195"/>
        <v>109541.48609990971</v>
      </c>
      <c r="AB198" s="250">
        <f t="shared" si="195"/>
        <v>114453.77562468711</v>
      </c>
      <c r="AC198" s="250">
        <f t="shared" si="195"/>
        <v>119341.17292607012</v>
      </c>
      <c r="AD198" s="250">
        <f t="shared" si="195"/>
        <v>124203.76986145054</v>
      </c>
      <c r="AE198" s="250">
        <f t="shared" si="195"/>
        <v>129041.6579909539</v>
      </c>
      <c r="AF198" s="250">
        <f t="shared" si="195"/>
        <v>133854.9285783332</v>
      </c>
      <c r="AG198" s="250">
        <f t="shared" si="195"/>
        <v>138643.67259185965</v>
      </c>
      <c r="AH198" s="367"/>
      <c r="AI198" s="368"/>
      <c r="AJ198" s="369"/>
      <c r="AL198" s="194"/>
      <c r="AM198" s="116"/>
      <c r="AN198" s="116"/>
      <c r="AO198" s="116"/>
      <c r="BD198" s="116"/>
      <c r="BE198" s="116"/>
      <c r="BF198" s="116"/>
      <c r="BG198" s="116"/>
      <c r="BH198" s="116"/>
      <c r="BI198" s="116"/>
      <c r="BJ198" s="116"/>
      <c r="BK198" s="116"/>
    </row>
    <row r="199" spans="1:63" outlineLevel="1">
      <c r="A199" s="4" t="s">
        <v>141</v>
      </c>
      <c r="C199" s="203">
        <f>C$198*'Ethylene recycling rates'!E103</f>
        <v>0</v>
      </c>
      <c r="D199" s="203">
        <f>D$198*'Ethylene recycling rates'!F103</f>
        <v>112.41968139407344</v>
      </c>
      <c r="E199" s="203">
        <f>E$198*'Ethylene recycling rates'!G103</f>
        <v>340.3311089236409</v>
      </c>
      <c r="F199" s="203">
        <f>F$198*'Ethylene recycling rates'!H103</f>
        <v>682.87861958202814</v>
      </c>
      <c r="G199" s="203">
        <f>G$198*'Ethylene recycling rates'!I103</f>
        <v>1139.2107242696236</v>
      </c>
      <c r="H199" s="203">
        <f>H$198*'Ethylene recycling rates'!J103</f>
        <v>1708.4800909842097</v>
      </c>
      <c r="I199" s="203">
        <f>I$198*'Ethylene recycling rates'!K103</f>
        <v>2389.8435280717622</v>
      </c>
      <c r="J199" s="203">
        <f>J$198*'Ethylene recycling rates'!L103</f>
        <v>3182.4619675375147</v>
      </c>
      <c r="K199" s="203">
        <f>K$198*'Ethylene recycling rates'!M103</f>
        <v>4085.5004484170859</v>
      </c>
      <c r="L199" s="203">
        <f>L$198*'Ethylene recycling rates'!N103</f>
        <v>5098.1281002074729</v>
      </c>
      <c r="M199" s="203">
        <f>M$198*'Ethylene recycling rates'!O103</f>
        <v>6219.5181263577097</v>
      </c>
      <c r="N199" s="203">
        <f>N$198*'Ethylene recycling rates'!P103</f>
        <v>7243.9904049210063</v>
      </c>
      <c r="O199" s="203">
        <f>O$198*'Ethylene recycling rates'!Q103</f>
        <v>8339.4382460114302</v>
      </c>
      <c r="P199" s="203">
        <f>P$198*'Ethylene recycling rates'!R103</f>
        <v>9505.317969301881</v>
      </c>
      <c r="Q199" s="203">
        <f>Q$198*'Ethylene recycling rates'!S103</f>
        <v>10741.088575742831</v>
      </c>
      <c r="R199" s="203">
        <f>R$198*'Ethylene recycling rates'!T103</f>
        <v>12046.211736704568</v>
      </c>
      <c r="S199" s="203">
        <f>S$198*'Ethylene recycling rates'!U103</f>
        <v>13420.151783158641</v>
      </c>
      <c r="T199" s="203">
        <f>T$198*'Ethylene recycling rates'!V103</f>
        <v>14862.375694898326</v>
      </c>
      <c r="U199" s="203">
        <f>U$198*'Ethylene recycling rates'!W103</f>
        <v>16372.353089798085</v>
      </c>
      <c r="V199" s="203">
        <f>V$198*'Ethylene recycling rates'!X103</f>
        <v>17949.556213111715</v>
      </c>
      <c r="W199" s="203">
        <f>W$198*'Ethylene recycling rates'!Y103</f>
        <v>19593.459926809282</v>
      </c>
      <c r="X199" s="203">
        <f>X$198*'Ethylene recycling rates'!Z103</f>
        <v>21723.588721198088</v>
      </c>
      <c r="Y199" s="203">
        <f>Y$198*'Ethylene recycling rates'!AA103</f>
        <v>23957.210756426513</v>
      </c>
      <c r="Z199" s="203">
        <f>Z$198*'Ethylene recycling rates'!AB103</f>
        <v>26293.521153364007</v>
      </c>
      <c r="AA199" s="203">
        <f>AA$198*'Ethylene recycling rates'!AC103</f>
        <v>28731.719021896046</v>
      </c>
      <c r="AB199" s="203">
        <f>AB$198*'Ethylene recycling rates'!AD103</f>
        <v>31271.007444730596</v>
      </c>
      <c r="AC199" s="203">
        <f>AC$198*'Ethylene recycling rates'!AE103</f>
        <v>33910.593461263037</v>
      </c>
      <c r="AD199" s="203">
        <f>AD$198*'Ethylene recycling rates'!AF103</f>
        <v>36649.688051499565</v>
      </c>
      <c r="AE199" s="203">
        <f>AE$198*'Ethylene recycling rates'!AG103</f>
        <v>39487.506120038619</v>
      </c>
      <c r="AF199" s="203">
        <f>AF$198*'Ethylene recycling rates'!AH103</f>
        <v>42423.266480110273</v>
      </c>
      <c r="AG199" s="203">
        <f>AG$198*'Ethylene recycling rates'!AI103</f>
        <v>45456.191837673359</v>
      </c>
      <c r="AH199" s="217"/>
      <c r="AI199" s="124"/>
      <c r="AJ199" s="185"/>
      <c r="AL199" s="100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outlineLevel="1">
      <c r="A200" s="4" t="s">
        <v>74</v>
      </c>
      <c r="C200" s="203">
        <f>C$198*'Ethylene recycling rates'!E104</f>
        <v>0</v>
      </c>
      <c r="D200" s="203">
        <f>D$198*'Ethylene recycling rates'!F104</f>
        <v>22.798516051985295</v>
      </c>
      <c r="E200" s="203">
        <f>E$198*'Ethylene recycling rates'!G104</f>
        <v>69.018557547652193</v>
      </c>
      <c r="F200" s="203">
        <f>F$198*'Ethylene recycling rates'!H104</f>
        <v>138.4865975160038</v>
      </c>
      <c r="G200" s="203">
        <f>G$198*'Ethylene recycling rates'!I104</f>
        <v>231.0299554471431</v>
      </c>
      <c r="H200" s="203">
        <f>H$198*'Ethylene recycling rates'!J104</f>
        <v>346.47679388330141</v>
      </c>
      <c r="I200" s="203">
        <f>I$198*'Ethylene recycling rates'!K104</f>
        <v>484.65611502212977</v>
      </c>
      <c r="J200" s="203">
        <f>J$198*'Ethylene recycling rates'!L104</f>
        <v>645.39775733221143</v>
      </c>
      <c r="K200" s="203">
        <f>K$198*'Ethylene recycling rates'!M104</f>
        <v>828.53239218075578</v>
      </c>
      <c r="L200" s="203">
        <f>L$198*'Ethylene recycling rates'!N104</f>
        <v>1033.8915204734319</v>
      </c>
      <c r="M200" s="203">
        <f>M$198*'Ethylene recycling rates'!O104</f>
        <v>1261.3074693063043</v>
      </c>
      <c r="N200" s="203">
        <f>N$198*'Ethylene recycling rates'!P104</f>
        <v>1469.0686673279042</v>
      </c>
      <c r="O200" s="203">
        <f>O$198*'Ethylene recycling rates'!Q104</f>
        <v>1691.2235861064703</v>
      </c>
      <c r="P200" s="203">
        <f>P$198*'Ethylene recycling rates'!R104</f>
        <v>1927.661968216338</v>
      </c>
      <c r="Q200" s="203">
        <f>Q$198*'Ethylene recycling rates'!S104</f>
        <v>2178.2740999902753</v>
      </c>
      <c r="R200" s="203">
        <f>R$198*'Ethylene recycling rates'!T104</f>
        <v>2442.9508093175496</v>
      </c>
      <c r="S200" s="203">
        <f>S$198*'Ethylene recycling rates'!U104</f>
        <v>2721.5834634499415</v>
      </c>
      <c r="T200" s="203">
        <f>T$198*'Ethylene recycling rates'!V104</f>
        <v>3014.0639668156773</v>
      </c>
      <c r="U200" s="203">
        <f>U$198*'Ethylene recycling rates'!W104</f>
        <v>3320.2847588412619</v>
      </c>
      <c r="V200" s="203">
        <f>V$198*'Ethylene recycling rates'!X104</f>
        <v>3640.1388117811666</v>
      </c>
      <c r="W200" s="203">
        <f>W$198*'Ethylene recycling rates'!Y104</f>
        <v>3973.5196285553716</v>
      </c>
      <c r="X200" s="203">
        <f>X$198*'Ethylene recycling rates'!Z104</f>
        <v>4405.5060468537376</v>
      </c>
      <c r="Y200" s="203">
        <f>Y$198*'Ethylene recycling rates'!AA104</f>
        <v>4858.480714569776</v>
      </c>
      <c r="Z200" s="203">
        <f>Z$198*'Ethylene recycling rates'!AB104</f>
        <v>5332.280403614328</v>
      </c>
      <c r="AA200" s="203">
        <f>AA$198*'Ethylene recycling rates'!AC104</f>
        <v>5826.742694863754</v>
      </c>
      <c r="AB200" s="203">
        <f>AB$198*'Ethylene recycling rates'!AD104</f>
        <v>6341.7059748759129</v>
      </c>
      <c r="AC200" s="203">
        <f>AC$198*'Ethylene recycling rates'!AE104</f>
        <v>6877.0094326179942</v>
      </c>
      <c r="AD200" s="203">
        <f>AD$198*'Ethylene recycling rates'!AF104</f>
        <v>7432.4930562062191</v>
      </c>
      <c r="AE200" s="203">
        <f>AE$198*'Ethylene recycling rates'!AG104</f>
        <v>8007.9976296572886</v>
      </c>
      <c r="AF200" s="203">
        <f>AF$198*'Ethylene recycling rates'!AH104</f>
        <v>8603.3647296516156</v>
      </c>
      <c r="AG200" s="203">
        <f>AG$198*'Ethylene recycling rates'!AI104</f>
        <v>9218.4367223082409</v>
      </c>
      <c r="AH200" s="217"/>
      <c r="AI200" s="124"/>
      <c r="AJ200" s="185"/>
      <c r="AL200" s="100"/>
      <c r="AM200" s="2"/>
      <c r="AN200" s="2"/>
      <c r="AO200" s="2"/>
      <c r="BC200" s="1"/>
      <c r="BD200" s="2"/>
      <c r="BE200" s="2"/>
      <c r="BF200" s="2"/>
      <c r="BG200" s="2"/>
      <c r="BH200" s="2"/>
      <c r="BI200" s="2"/>
      <c r="BJ200" s="2"/>
      <c r="BK200" s="2"/>
    </row>
    <row r="201" spans="1:63" outlineLevel="1">
      <c r="A201" s="4" t="s">
        <v>34</v>
      </c>
      <c r="C201" s="203">
        <f>C$198*'Ethylene recycling rates'!E105</f>
        <v>4976.5420616365564</v>
      </c>
      <c r="D201" s="203">
        <f>D$198*'Ethylene recycling rates'!F105</f>
        <v>10140.436618296602</v>
      </c>
      <c r="E201" s="203">
        <f>E$198*'Ethylene recycling rates'!G105</f>
        <v>15128.009920518882</v>
      </c>
      <c r="F201" s="203">
        <f>F$198*'Ethylene recycling rates'!H105</f>
        <v>19940.470029877219</v>
      </c>
      <c r="G201" s="203">
        <f>G$198*'Ethylene recycling rates'!I105</f>
        <v>24579.019273751561</v>
      </c>
      <c r="H201" s="203">
        <f>H$198*'Ethylene recycling rates'!J105</f>
        <v>29044.854268103583</v>
      </c>
      <c r="I201" s="203">
        <f>I$198*'Ethylene recycling rates'!K105</f>
        <v>33339.165940171079</v>
      </c>
      <c r="J201" s="203">
        <f>J$198*'Ethylene recycling rates'!L105</f>
        <v>37463.139551081338</v>
      </c>
      <c r="K201" s="203">
        <f>K$198*'Ethylene recycling rates'!M105</f>
        <v>41417.954718383815</v>
      </c>
      <c r="L201" s="203">
        <f>L$198*'Ethylene recycling rates'!N105</f>
        <v>45204.785438502389</v>
      </c>
      <c r="M201" s="203">
        <f>M$198*'Ethylene recycling rates'!O105</f>
        <v>48824.800109107484</v>
      </c>
      <c r="N201" s="203">
        <f>N$198*'Ethylene recycling rates'!P105</f>
        <v>50841.385868431258</v>
      </c>
      <c r="O201" s="203">
        <f>O$198*'Ethylene recycling rates'!Q105</f>
        <v>52748.859393475861</v>
      </c>
      <c r="P201" s="203">
        <f>P$198*'Ethylene recycling rates'!R105</f>
        <v>54547.989449393026</v>
      </c>
      <c r="Q201" s="203">
        <f>Q$198*'Ethylene recycling rates'!S105</f>
        <v>56239.541115444437</v>
      </c>
      <c r="R201" s="203">
        <f>R$198*'Ethylene recycling rates'!T105</f>
        <v>57824.275799717921</v>
      </c>
      <c r="S201" s="203">
        <f>S$198*'Ethylene recycling rates'!U105</f>
        <v>59302.951253790976</v>
      </c>
      <c r="T201" s="203">
        <f>T$198*'Ethylene recycling rates'!V105</f>
        <v>60676.321587341656</v>
      </c>
      <c r="U201" s="203">
        <f>U$198*'Ethylene recycling rates'!W105</f>
        <v>61945.137282707452</v>
      </c>
      <c r="V201" s="203">
        <f>V$198*'Ethylene recycling rates'!X105</f>
        <v>63110.14520939163</v>
      </c>
      <c r="W201" s="203">
        <f>W$198*'Ethylene recycling rates'!Y105</f>
        <v>64172.088638517991</v>
      </c>
      <c r="X201" s="203">
        <f>X$198*'Ethylene recycling rates'!Z105</f>
        <v>66415.924692709043</v>
      </c>
      <c r="Y201" s="203">
        <f>Y$198*'Ethylene recycling rates'!AA105</f>
        <v>68499.967604183519</v>
      </c>
      <c r="Z201" s="203">
        <f>Z$198*'Ethylene recycling rates'!AB105</f>
        <v>70425.356687930413</v>
      </c>
      <c r="AA201" s="203">
        <f>AA$198*'Ethylene recycling rates'!AC105</f>
        <v>72193.225772764854</v>
      </c>
      <c r="AB201" s="203">
        <f>AB$198*'Ethylene recycling rates'!AD105</f>
        <v>73804.703223281904</v>
      </c>
      <c r="AC201" s="203">
        <f>AC$198*'Ethylene recycling rates'!AE105</f>
        <v>75260.911961731545</v>
      </c>
      <c r="AD201" s="203">
        <f>AD$198*'Ethylene recycling rates'!AF105</f>
        <v>76562.969489815572</v>
      </c>
      <c r="AE201" s="203">
        <f>AE$198*'Ethylene recycling rates'!AG105</f>
        <v>77711.987910405936</v>
      </c>
      <c r="AF201" s="203">
        <f>AF$198*'Ethylene recycling rates'!AH105</f>
        <v>78709.073949185506</v>
      </c>
      <c r="AG201" s="203">
        <f>AG$198*'Ethylene recycling rates'!AI105</f>
        <v>79555.328976211124</v>
      </c>
      <c r="AH201" s="217"/>
      <c r="AI201" s="124"/>
      <c r="AJ201" s="185"/>
      <c r="AL201" s="100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35</v>
      </c>
      <c r="C202" s="203">
        <f>C$198*'Ethylene recycling rates'!E106</f>
        <v>0</v>
      </c>
      <c r="D202" s="203">
        <f>D$198*'Ethylene recycling rates'!F106</f>
        <v>0</v>
      </c>
      <c r="E202" s="203">
        <f>E$198*'Ethylene recycling rates'!G106</f>
        <v>0</v>
      </c>
      <c r="F202" s="203">
        <f>F$198*'Ethylene recycling rates'!H106</f>
        <v>0</v>
      </c>
      <c r="G202" s="203">
        <f>G$198*'Ethylene recycling rates'!I106</f>
        <v>0</v>
      </c>
      <c r="H202" s="203">
        <f>H$198*'Ethylene recycling rates'!J106</f>
        <v>0</v>
      </c>
      <c r="I202" s="203">
        <f>I$198*'Ethylene recycling rates'!K106</f>
        <v>0</v>
      </c>
      <c r="J202" s="203">
        <f>J$198*'Ethylene recycling rates'!L106</f>
        <v>0</v>
      </c>
      <c r="K202" s="203">
        <f>K$198*'Ethylene recycling rates'!M106</f>
        <v>0</v>
      </c>
      <c r="L202" s="203">
        <f>L$198*'Ethylene recycling rates'!N106</f>
        <v>0</v>
      </c>
      <c r="M202" s="203">
        <f>M$198*'Ethylene recycling rates'!O106</f>
        <v>0</v>
      </c>
      <c r="N202" s="203">
        <f>N$198*'Ethylene recycling rates'!P106</f>
        <v>0</v>
      </c>
      <c r="O202" s="203">
        <f>O$198*'Ethylene recycling rates'!Q106</f>
        <v>0</v>
      </c>
      <c r="P202" s="203">
        <f>P$198*'Ethylene recycling rates'!R106</f>
        <v>0</v>
      </c>
      <c r="Q202" s="203">
        <f>Q$198*'Ethylene recycling rates'!S106</f>
        <v>0</v>
      </c>
      <c r="R202" s="203">
        <f>R$198*'Ethylene recycling rates'!T106</f>
        <v>0</v>
      </c>
      <c r="S202" s="203">
        <f>S$198*'Ethylene recycling rates'!U106</f>
        <v>0</v>
      </c>
      <c r="T202" s="203">
        <f>T$198*'Ethylene recycling rates'!V106</f>
        <v>0</v>
      </c>
      <c r="U202" s="203">
        <f>U$198*'Ethylene recycling rates'!W106</f>
        <v>0</v>
      </c>
      <c r="V202" s="203">
        <f>V$198*'Ethylene recycling rates'!X106</f>
        <v>0</v>
      </c>
      <c r="W202" s="203">
        <f>W$198*'Ethylene recycling rates'!Y106</f>
        <v>0</v>
      </c>
      <c r="X202" s="203">
        <f>X$198*'Ethylene recycling rates'!Z106</f>
        <v>0</v>
      </c>
      <c r="Y202" s="203">
        <f>Y$198*'Ethylene recycling rates'!AA106</f>
        <v>0</v>
      </c>
      <c r="Z202" s="203">
        <f>Z$198*'Ethylene recycling rates'!AB106</f>
        <v>0</v>
      </c>
      <c r="AA202" s="203">
        <f>AA$198*'Ethylene recycling rates'!AC106</f>
        <v>0</v>
      </c>
      <c r="AB202" s="203">
        <f>AB$198*'Ethylene recycling rates'!AD106</f>
        <v>0</v>
      </c>
      <c r="AC202" s="203">
        <f>AC$198*'Ethylene recycling rates'!AE106</f>
        <v>0</v>
      </c>
      <c r="AD202" s="203">
        <f>AD$198*'Ethylene recycling rates'!AF106</f>
        <v>0</v>
      </c>
      <c r="AE202" s="203">
        <f>AE$198*'Ethylene recycling rates'!AG106</f>
        <v>0</v>
      </c>
      <c r="AF202" s="203">
        <f>AF$198*'Ethylene recycling rates'!AH106</f>
        <v>0</v>
      </c>
      <c r="AG202" s="203">
        <f>AG$198*'Ethylene recycling rates'!AI106</f>
        <v>0</v>
      </c>
      <c r="AH202" s="217"/>
      <c r="AI202" s="124"/>
      <c r="AJ202" s="185"/>
      <c r="AL202" s="100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27</v>
      </c>
      <c r="C203" s="203">
        <f>C$198*'Ethylene recycling rates'!E107</f>
        <v>0</v>
      </c>
      <c r="D203" s="203">
        <f>D$198*'Ethylene recycling rates'!F107</f>
        <v>10.915750313933472</v>
      </c>
      <c r="E203" s="203">
        <f>E$198*'Ethylene recycling rates'!G107</f>
        <v>33.045542942362459</v>
      </c>
      <c r="F203" s="203">
        <f>F$198*'Ethylene recycling rates'!H107</f>
        <v>66.306294535308538</v>
      </c>
      <c r="G203" s="203">
        <f>G$198*'Ethylene recycling rates'!I107</f>
        <v>110.6153270217157</v>
      </c>
      <c r="H203" s="203">
        <f>H$198*'Ethylene recycling rates'!J107</f>
        <v>165.89036597726147</v>
      </c>
      <c r="I203" s="203">
        <f>I$198*'Ethylene recycling rates'!K107</f>
        <v>232.04953899803948</v>
      </c>
      <c r="J203" s="203">
        <f>J$198*'Ethylene recycling rates'!L107</f>
        <v>309.01137408009362</v>
      </c>
      <c r="K203" s="203">
        <f>K$198*'Ethylene recycling rates'!M107</f>
        <v>396.69479800478422</v>
      </c>
      <c r="L203" s="203">
        <f>L$198*'Ethylene recycling rates'!N107</f>
        <v>495.01913472996694</v>
      </c>
      <c r="M203" s="203">
        <f>M$198*'Ethylene recycling rates'!O107</f>
        <v>603.90410378696549</v>
      </c>
      <c r="N203" s="203">
        <f>N$198*'Ethylene recycling rates'!P107</f>
        <v>703.37853262067847</v>
      </c>
      <c r="O203" s="203">
        <f>O$198*'Ethylene recycling rates'!Q107</f>
        <v>809.74456183369966</v>
      </c>
      <c r="P203" s="203">
        <f>P$198*'Ethylene recycling rates'!R107</f>
        <v>922.9494010371252</v>
      </c>
      <c r="Q203" s="203">
        <f>Q$198*'Ethylene recycling rates'!S107</f>
        <v>1042.9405201893157</v>
      </c>
      <c r="R203" s="203">
        <f>R$198*'Ethylene recycling rates'!T107</f>
        <v>1169.665648541627</v>
      </c>
      <c r="S203" s="203">
        <f>S$198*'Ethylene recycling rates'!U107</f>
        <v>1303.0727735879489</v>
      </c>
      <c r="T203" s="203">
        <f>T$198*'Ethylene recycling rates'!V107</f>
        <v>1443.1101400180298</v>
      </c>
      <c r="U203" s="203">
        <f>U$198*'Ethylene recycling rates'!W107</f>
        <v>1589.7262486745913</v>
      </c>
      <c r="V203" s="203">
        <f>V$198*'Ethylene recycling rates'!X107</f>
        <v>1742.8698555141962</v>
      </c>
      <c r="W203" s="203">
        <f>W$198*'Ethylene recycling rates'!Y107</f>
        <v>1902.4899705718838</v>
      </c>
      <c r="X203" s="203">
        <f>X$198*'Ethylene recycling rates'!Z107</f>
        <v>2109.3216727056183</v>
      </c>
      <c r="Y203" s="203">
        <f>Y$198*'Ethylene recycling rates'!AA107</f>
        <v>2326.2023837155211</v>
      </c>
      <c r="Z203" s="203">
        <f>Z$198*'Ethylene recycling rates'!AB107</f>
        <v>2553.0539512753003</v>
      </c>
      <c r="AA203" s="203">
        <f>AA$198*'Ethylene recycling rates'!AC107</f>
        <v>2789.7986103849962</v>
      </c>
      <c r="AB203" s="203">
        <f>AB$198*'Ethylene recycling rates'!AD107</f>
        <v>3036.358981798619</v>
      </c>
      <c r="AC203" s="203">
        <f>AC$198*'Ethylene recycling rates'!AE107</f>
        <v>3292.6580704574608</v>
      </c>
      <c r="AD203" s="203">
        <f>AD$198*'Ethylene recycling rates'!AF107</f>
        <v>3558.619263929088</v>
      </c>
      <c r="AE203" s="203">
        <f>AE$198*'Ethylene recycling rates'!AG107</f>
        <v>3834.1663308519646</v>
      </c>
      <c r="AF203" s="203">
        <f>AF$198*'Ethylene recycling rates'!AH107</f>
        <v>4119.2234193857075</v>
      </c>
      <c r="AG203" s="203">
        <f>AG$198*'Ethylene recycling rates'!AI107</f>
        <v>4413.7150556669449</v>
      </c>
      <c r="AH203" s="217"/>
      <c r="AI203" s="124"/>
      <c r="AJ203" s="185"/>
      <c r="AL203" s="100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outlineLevel="1">
      <c r="AJ204" s="185"/>
    </row>
    <row r="205" spans="1:63" s="174" customFormat="1" ht="15.5" thickBot="1">
      <c r="A205" s="174" t="s">
        <v>448</v>
      </c>
      <c r="B205" s="189"/>
      <c r="C205" s="197">
        <f>C206</f>
        <v>0.14000000000000001</v>
      </c>
      <c r="D205" s="197">
        <f t="shared" ref="D205:AG205" si="196">D206</f>
        <v>0.15700598392683424</v>
      </c>
      <c r="E205" s="197">
        <f t="shared" si="196"/>
        <v>0.17401196785366843</v>
      </c>
      <c r="F205" s="197">
        <f t="shared" si="196"/>
        <v>0.19101795178050265</v>
      </c>
      <c r="G205" s="197">
        <f t="shared" si="196"/>
        <v>0.20802393570733685</v>
      </c>
      <c r="H205" s="197">
        <f t="shared" si="196"/>
        <v>0.22502991963417107</v>
      </c>
      <c r="I205" s="197">
        <f t="shared" si="196"/>
        <v>0.24203590356100529</v>
      </c>
      <c r="J205" s="197">
        <f t="shared" si="196"/>
        <v>0.25904188748783952</v>
      </c>
      <c r="K205" s="197">
        <f t="shared" si="196"/>
        <v>0.27604787141467368</v>
      </c>
      <c r="L205" s="197">
        <f t="shared" si="196"/>
        <v>0.29305385534150796</v>
      </c>
      <c r="M205" s="197">
        <f t="shared" si="196"/>
        <v>0.31005983926834213</v>
      </c>
      <c r="N205" s="197">
        <f t="shared" si="196"/>
        <v>0.32148492288828256</v>
      </c>
      <c r="O205" s="197">
        <f t="shared" si="196"/>
        <v>0.33291000650822294</v>
      </c>
      <c r="P205" s="197">
        <f t="shared" si="196"/>
        <v>0.34433509012816338</v>
      </c>
      <c r="Q205" s="197">
        <f t="shared" si="196"/>
        <v>0.35576017374810376</v>
      </c>
      <c r="R205" s="197">
        <f t="shared" si="196"/>
        <v>0.36718525736804419</v>
      </c>
      <c r="S205" s="197">
        <f t="shared" si="196"/>
        <v>0.37861034098798463</v>
      </c>
      <c r="T205" s="197">
        <f t="shared" si="196"/>
        <v>0.39003542460792501</v>
      </c>
      <c r="U205" s="197">
        <f t="shared" si="196"/>
        <v>0.40146050822786544</v>
      </c>
      <c r="V205" s="197">
        <f t="shared" si="196"/>
        <v>0.41288559184780582</v>
      </c>
      <c r="W205" s="197">
        <f t="shared" si="196"/>
        <v>0.42431067546774626</v>
      </c>
      <c r="X205" s="197">
        <f t="shared" si="196"/>
        <v>0.44187960792097164</v>
      </c>
      <c r="Y205" s="197">
        <f t="shared" si="196"/>
        <v>0.45944854037419702</v>
      </c>
      <c r="Z205" s="197">
        <f t="shared" si="196"/>
        <v>0.47701747282742235</v>
      </c>
      <c r="AA205" s="197">
        <f t="shared" si="196"/>
        <v>0.49458640528064773</v>
      </c>
      <c r="AB205" s="197">
        <f t="shared" si="196"/>
        <v>0.51215533773387312</v>
      </c>
      <c r="AC205" s="197">
        <f t="shared" si="196"/>
        <v>0.52972427018709856</v>
      </c>
      <c r="AD205" s="197">
        <f t="shared" si="196"/>
        <v>0.54729320264032388</v>
      </c>
      <c r="AE205" s="197">
        <f t="shared" si="196"/>
        <v>0.56486213509354921</v>
      </c>
      <c r="AF205" s="197">
        <f t="shared" si="196"/>
        <v>0.58243106754677465</v>
      </c>
      <c r="AG205" s="197">
        <f t="shared" si="196"/>
        <v>0.6</v>
      </c>
      <c r="AJ205" s="204" t="s">
        <v>457</v>
      </c>
      <c r="AL205" s="191"/>
      <c r="AM205" s="198"/>
      <c r="AN205" s="198"/>
      <c r="AO205" s="198"/>
    </row>
    <row r="206" spans="1:63" ht="15.5" outlineLevel="2" thickTop="1">
      <c r="A206" t="s">
        <v>449</v>
      </c>
      <c r="B206" s="50" t="s">
        <v>126</v>
      </c>
      <c r="C206" s="558">
        <v>0.14000000000000001</v>
      </c>
      <c r="D206" s="102">
        <f>$C206+($M206-$C206)/10*(D$1-$C$1)</f>
        <v>0.15700598392683424</v>
      </c>
      <c r="E206" s="102">
        <f t="shared" ref="E206:L206" si="197">$C206+($M206-$C206)/10*(E$1-$C$1)</f>
        <v>0.17401196785366843</v>
      </c>
      <c r="F206" s="102">
        <f t="shared" si="197"/>
        <v>0.19101795178050265</v>
      </c>
      <c r="G206" s="102">
        <f t="shared" si="197"/>
        <v>0.20802393570733685</v>
      </c>
      <c r="H206" s="102">
        <f t="shared" si="197"/>
        <v>0.22502991963417107</v>
      </c>
      <c r="I206" s="102">
        <f t="shared" si="197"/>
        <v>0.24203590356100529</v>
      </c>
      <c r="J206" s="102">
        <f t="shared" si="197"/>
        <v>0.25904188748783952</v>
      </c>
      <c r="K206" s="102">
        <f t="shared" si="197"/>
        <v>0.27604787141467368</v>
      </c>
      <c r="L206" s="102">
        <f t="shared" si="197"/>
        <v>0.29305385534150796</v>
      </c>
      <c r="M206" s="113">
        <f>(M$52-$C$52)/($AG$52-$C$52)*($AG206-$C206)+$C206</f>
        <v>0.31005983926834213</v>
      </c>
      <c r="N206" s="113">
        <f>$M206+($W206-$M206)/10*(N$1-$M$1)</f>
        <v>0.32148492288828256</v>
      </c>
      <c r="O206" s="113">
        <f t="shared" ref="O206:U206" si="198">$M206+($W206-$M206)/10*(O$1-$M$1)</f>
        <v>0.33291000650822294</v>
      </c>
      <c r="P206" s="113">
        <f t="shared" si="198"/>
        <v>0.34433509012816338</v>
      </c>
      <c r="Q206" s="113">
        <f t="shared" si="198"/>
        <v>0.35576017374810376</v>
      </c>
      <c r="R206" s="113">
        <f t="shared" si="198"/>
        <v>0.36718525736804419</v>
      </c>
      <c r="S206" s="113">
        <f t="shared" si="198"/>
        <v>0.37861034098798463</v>
      </c>
      <c r="T206" s="113">
        <f t="shared" si="198"/>
        <v>0.39003542460792501</v>
      </c>
      <c r="U206" s="113">
        <f t="shared" si="198"/>
        <v>0.40146050822786544</v>
      </c>
      <c r="V206" s="113">
        <f>$M206+($W206-$M206)/10*(V$1-$M$1)</f>
        <v>0.41288559184780582</v>
      </c>
      <c r="W206" s="113">
        <f>(W$52-$C$52)/($AG$52-$C$52)*($AG206-$C206)+$C206</f>
        <v>0.42431067546774626</v>
      </c>
      <c r="X206" s="22">
        <f t="shared" ref="X206:AF206" si="199">$W206+($AG206-$W206)/10*(X$1-$W$1)</f>
        <v>0.44187960792097164</v>
      </c>
      <c r="Y206" s="22">
        <f t="shared" si="199"/>
        <v>0.45944854037419702</v>
      </c>
      <c r="Z206" s="22">
        <f t="shared" si="199"/>
        <v>0.47701747282742235</v>
      </c>
      <c r="AA206" s="22">
        <f t="shared" si="199"/>
        <v>0.49458640528064773</v>
      </c>
      <c r="AB206" s="22">
        <f t="shared" si="199"/>
        <v>0.51215533773387312</v>
      </c>
      <c r="AC206" s="22">
        <f t="shared" si="199"/>
        <v>0.52972427018709856</v>
      </c>
      <c r="AD206" s="22">
        <f t="shared" si="199"/>
        <v>0.54729320264032388</v>
      </c>
      <c r="AE206" s="22">
        <f t="shared" si="199"/>
        <v>0.56486213509354921</v>
      </c>
      <c r="AF206" s="22">
        <f t="shared" si="199"/>
        <v>0.58243106754677465</v>
      </c>
      <c r="AG206" s="188">
        <v>0.6</v>
      </c>
      <c r="AJ206" s="185" t="s">
        <v>1473</v>
      </c>
    </row>
    <row r="207" spans="1:63" outlineLevel="1">
      <c r="C207" s="105"/>
      <c r="D207" s="102"/>
      <c r="E207" s="102"/>
      <c r="F207" s="102"/>
      <c r="G207" s="102"/>
      <c r="H207" s="102"/>
      <c r="I207" s="102"/>
      <c r="J207" s="102"/>
      <c r="K207" s="102"/>
      <c r="L207" s="102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22"/>
      <c r="Y207" s="22"/>
      <c r="Z207" s="22"/>
      <c r="AA207" s="22"/>
      <c r="AB207" s="22"/>
      <c r="AC207" s="22"/>
      <c r="AD207" s="22"/>
      <c r="AE207" s="22"/>
      <c r="AF207" s="22"/>
      <c r="AG207" s="98"/>
      <c r="AJ207" s="185"/>
    </row>
    <row r="208" spans="1:63" outlineLevel="1">
      <c r="A208" t="s">
        <v>453</v>
      </c>
      <c r="C208" s="329">
        <f>'Overall recycling rates'!C88</f>
        <v>1</v>
      </c>
      <c r="D208" s="329">
        <f t="shared" ref="D208:AF208" si="200">C208-($C208-$AG208)/($AG1-$C1)</f>
        <v>1</v>
      </c>
      <c r="E208" s="329">
        <f t="shared" si="200"/>
        <v>1</v>
      </c>
      <c r="F208" s="329">
        <f t="shared" si="200"/>
        <v>1</v>
      </c>
      <c r="G208" s="329">
        <f t="shared" si="200"/>
        <v>1</v>
      </c>
      <c r="H208" s="329">
        <f t="shared" si="200"/>
        <v>1</v>
      </c>
      <c r="I208" s="329">
        <f t="shared" si="200"/>
        <v>1</v>
      </c>
      <c r="J208" s="329">
        <f t="shared" si="200"/>
        <v>1</v>
      </c>
      <c r="K208" s="329">
        <f t="shared" si="200"/>
        <v>1</v>
      </c>
      <c r="L208" s="329">
        <f t="shared" si="200"/>
        <v>1</v>
      </c>
      <c r="M208" s="329">
        <f t="shared" si="200"/>
        <v>1</v>
      </c>
      <c r="N208" s="329">
        <f t="shared" si="200"/>
        <v>1</v>
      </c>
      <c r="O208" s="329">
        <f t="shared" si="200"/>
        <v>1</v>
      </c>
      <c r="P208" s="329">
        <f t="shared" si="200"/>
        <v>1</v>
      </c>
      <c r="Q208" s="329">
        <f t="shared" si="200"/>
        <v>1</v>
      </c>
      <c r="R208" s="329">
        <f t="shared" si="200"/>
        <v>1</v>
      </c>
      <c r="S208" s="329">
        <f t="shared" si="200"/>
        <v>1</v>
      </c>
      <c r="T208" s="329">
        <f t="shared" si="200"/>
        <v>1</v>
      </c>
      <c r="U208" s="329">
        <f t="shared" si="200"/>
        <v>1</v>
      </c>
      <c r="V208" s="329">
        <f t="shared" si="200"/>
        <v>1</v>
      </c>
      <c r="W208" s="329">
        <f t="shared" si="200"/>
        <v>1</v>
      </c>
      <c r="X208" s="329">
        <f t="shared" si="200"/>
        <v>1</v>
      </c>
      <c r="Y208" s="329">
        <f t="shared" si="200"/>
        <v>1</v>
      </c>
      <c r="Z208" s="329">
        <f t="shared" si="200"/>
        <v>1</v>
      </c>
      <c r="AA208" s="329">
        <f t="shared" si="200"/>
        <v>1</v>
      </c>
      <c r="AB208" s="329">
        <f t="shared" si="200"/>
        <v>1</v>
      </c>
      <c r="AC208" s="329">
        <f t="shared" si="200"/>
        <v>1</v>
      </c>
      <c r="AD208" s="329">
        <f t="shared" si="200"/>
        <v>1</v>
      </c>
      <c r="AE208" s="329">
        <f t="shared" si="200"/>
        <v>1</v>
      </c>
      <c r="AF208" s="329">
        <f t="shared" si="200"/>
        <v>1</v>
      </c>
      <c r="AG208" s="329">
        <f>'Overall recycling rates'!C97</f>
        <v>1</v>
      </c>
      <c r="AI208" s="124"/>
      <c r="AJ208" s="185" t="s">
        <v>477</v>
      </c>
      <c r="AL208" s="100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t="s">
        <v>455</v>
      </c>
      <c r="B209" s="50" t="s">
        <v>126</v>
      </c>
      <c r="C209" s="102">
        <f>C206*C208</f>
        <v>0.14000000000000001</v>
      </c>
      <c r="D209" s="102">
        <f t="shared" ref="D209:AG209" si="201">D206*D208</f>
        <v>0.15700598392683424</v>
      </c>
      <c r="E209" s="102">
        <f t="shared" si="201"/>
        <v>0.17401196785366843</v>
      </c>
      <c r="F209" s="102">
        <f t="shared" si="201"/>
        <v>0.19101795178050265</v>
      </c>
      <c r="G209" s="102">
        <f t="shared" si="201"/>
        <v>0.20802393570733685</v>
      </c>
      <c r="H209" s="102">
        <f t="shared" si="201"/>
        <v>0.22502991963417107</v>
      </c>
      <c r="I209" s="102">
        <f t="shared" si="201"/>
        <v>0.24203590356100529</v>
      </c>
      <c r="J209" s="102">
        <f t="shared" si="201"/>
        <v>0.25904188748783952</v>
      </c>
      <c r="K209" s="102">
        <f t="shared" si="201"/>
        <v>0.27604787141467368</v>
      </c>
      <c r="L209" s="102">
        <f t="shared" si="201"/>
        <v>0.29305385534150796</v>
      </c>
      <c r="M209" s="102">
        <f t="shared" si="201"/>
        <v>0.31005983926834213</v>
      </c>
      <c r="N209" s="102">
        <f t="shared" si="201"/>
        <v>0.32148492288828256</v>
      </c>
      <c r="O209" s="102">
        <f t="shared" si="201"/>
        <v>0.33291000650822294</v>
      </c>
      <c r="P209" s="102">
        <f t="shared" si="201"/>
        <v>0.34433509012816338</v>
      </c>
      <c r="Q209" s="102">
        <f t="shared" si="201"/>
        <v>0.35576017374810376</v>
      </c>
      <c r="R209" s="102">
        <f t="shared" si="201"/>
        <v>0.36718525736804419</v>
      </c>
      <c r="S209" s="102">
        <f t="shared" si="201"/>
        <v>0.37861034098798463</v>
      </c>
      <c r="T209" s="102">
        <f t="shared" si="201"/>
        <v>0.39003542460792501</v>
      </c>
      <c r="U209" s="102">
        <f t="shared" si="201"/>
        <v>0.40146050822786544</v>
      </c>
      <c r="V209" s="102">
        <f t="shared" si="201"/>
        <v>0.41288559184780582</v>
      </c>
      <c r="W209" s="102">
        <f t="shared" si="201"/>
        <v>0.42431067546774626</v>
      </c>
      <c r="X209" s="102">
        <f t="shared" si="201"/>
        <v>0.44187960792097164</v>
      </c>
      <c r="Y209" s="102">
        <f t="shared" si="201"/>
        <v>0.45944854037419702</v>
      </c>
      <c r="Z209" s="102">
        <f t="shared" si="201"/>
        <v>0.47701747282742235</v>
      </c>
      <c r="AA209" s="102">
        <f t="shared" si="201"/>
        <v>0.49458640528064773</v>
      </c>
      <c r="AB209" s="102">
        <f t="shared" si="201"/>
        <v>0.51215533773387312</v>
      </c>
      <c r="AC209" s="102">
        <f t="shared" si="201"/>
        <v>0.52972427018709856</v>
      </c>
      <c r="AD209" s="102">
        <f t="shared" si="201"/>
        <v>0.54729320264032388</v>
      </c>
      <c r="AE209" s="102">
        <f t="shared" si="201"/>
        <v>0.56486213509354921</v>
      </c>
      <c r="AF209" s="102">
        <f t="shared" si="201"/>
        <v>0.58243106754677465</v>
      </c>
      <c r="AG209" s="102">
        <f t="shared" si="201"/>
        <v>0.6</v>
      </c>
      <c r="AJ209" s="185" t="s">
        <v>447</v>
      </c>
    </row>
    <row r="210" spans="1:63" outlineLevel="2">
      <c r="C210" s="105"/>
      <c r="D210" s="102"/>
      <c r="E210" s="102"/>
      <c r="F210" s="102"/>
      <c r="G210" s="102"/>
      <c r="H210" s="102"/>
      <c r="I210" s="102"/>
      <c r="J210" s="102"/>
      <c r="K210" s="102"/>
      <c r="L210" s="102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22"/>
      <c r="Y210" s="22"/>
      <c r="Z210" s="22"/>
      <c r="AA210" s="22"/>
      <c r="AB210" s="22"/>
      <c r="AC210" s="22"/>
      <c r="AD210" s="22"/>
      <c r="AE210" s="22"/>
      <c r="AF210" s="22"/>
      <c r="AG210" s="98"/>
      <c r="AJ210" s="185"/>
    </row>
    <row r="211" spans="1:63" s="1" customFormat="1" outlineLevel="1">
      <c r="A211" s="1" t="s">
        <v>265</v>
      </c>
      <c r="B211" s="60"/>
      <c r="C211" s="250">
        <f>C209*C46</f>
        <v>76029.069747351081</v>
      </c>
      <c r="D211" s="250">
        <f t="shared" ref="D211:AF211" si="202">D209*D46</f>
        <v>85076.193146123522</v>
      </c>
      <c r="E211" s="250">
        <f t="shared" si="202"/>
        <v>94083.001622366137</v>
      </c>
      <c r="F211" s="250">
        <f t="shared" si="202"/>
        <v>103049.62908236454</v>
      </c>
      <c r="G211" s="250">
        <f t="shared" si="202"/>
        <v>111976.20903765818</v>
      </c>
      <c r="H211" s="250">
        <f t="shared" si="202"/>
        <v>120862.87460613075</v>
      </c>
      <c r="I211" s="250">
        <f t="shared" si="202"/>
        <v>128853.67410691117</v>
      </c>
      <c r="J211" s="250">
        <f t="shared" si="202"/>
        <v>136688.56878357055</v>
      </c>
      <c r="K211" s="250">
        <f t="shared" si="202"/>
        <v>144368.47302374608</v>
      </c>
      <c r="L211" s="250">
        <f t="shared" si="202"/>
        <v>151894.29735272317</v>
      </c>
      <c r="M211" s="250">
        <f t="shared" si="202"/>
        <v>159266.94844732338</v>
      </c>
      <c r="N211" s="250">
        <f t="shared" si="202"/>
        <v>163646.4661782856</v>
      </c>
      <c r="O211" s="250">
        <f t="shared" si="202"/>
        <v>167926.11477431486</v>
      </c>
      <c r="P211" s="250">
        <f t="shared" si="202"/>
        <v>172106.48989847131</v>
      </c>
      <c r="Q211" s="250">
        <f t="shared" si="202"/>
        <v>176188.1846818887</v>
      </c>
      <c r="R211" s="250">
        <f t="shared" si="202"/>
        <v>180171.78973290918</v>
      </c>
      <c r="S211" s="250">
        <f t="shared" si="202"/>
        <v>184057.89314618646</v>
      </c>
      <c r="T211" s="250">
        <f t="shared" si="202"/>
        <v>187847.0805117609</v>
      </c>
      <c r="U211" s="250">
        <f t="shared" si="202"/>
        <v>191539.93492410376</v>
      </c>
      <c r="V211" s="250">
        <f t="shared" si="202"/>
        <v>195137.03699113213</v>
      </c>
      <c r="W211" s="250">
        <f t="shared" si="202"/>
        <v>198638.96484319482</v>
      </c>
      <c r="X211" s="250">
        <f t="shared" si="202"/>
        <v>204895.13512568525</v>
      </c>
      <c r="Y211" s="250">
        <f t="shared" si="202"/>
        <v>211002.75020240879</v>
      </c>
      <c r="Z211" s="250">
        <f t="shared" si="202"/>
        <v>216962.700310318</v>
      </c>
      <c r="AA211" s="250">
        <f t="shared" si="202"/>
        <v>222775.8718951662</v>
      </c>
      <c r="AB211" s="250">
        <f t="shared" si="202"/>
        <v>228443.14762519827</v>
      </c>
      <c r="AC211" s="250">
        <f t="shared" si="202"/>
        <v>233911.0842765391</v>
      </c>
      <c r="AD211" s="250">
        <f t="shared" si="202"/>
        <v>239231.52361111078</v>
      </c>
      <c r="AE211" s="250">
        <f t="shared" si="202"/>
        <v>244405.36006321586</v>
      </c>
      <c r="AF211" s="250">
        <f t="shared" si="202"/>
        <v>249433.48424117325</v>
      </c>
      <c r="AG211" s="250">
        <f>AG209*AG46</f>
        <v>254316.78294116692</v>
      </c>
      <c r="AH211" s="367"/>
      <c r="AI211" s="368"/>
      <c r="AJ211" s="369"/>
      <c r="AL211" s="194"/>
      <c r="AM211" s="116"/>
      <c r="AN211" s="116"/>
      <c r="AO211" s="116"/>
      <c r="BD211" s="116"/>
      <c r="BE211" s="116"/>
      <c r="BF211" s="116"/>
      <c r="BG211" s="116"/>
      <c r="BH211" s="116"/>
      <c r="BI211" s="116"/>
      <c r="BJ211" s="116"/>
      <c r="BK211" s="116"/>
    </row>
    <row r="212" spans="1:63" outlineLevel="1">
      <c r="A212" s="4" t="s">
        <v>141</v>
      </c>
      <c r="C212" s="203">
        <f>C$211*'Ethylene recycling rates'!E108</f>
        <v>33957.786055918135</v>
      </c>
      <c r="D212" s="203">
        <f>D$211*'Ethylene recycling rates'!F108</f>
        <v>37998.612568960001</v>
      </c>
      <c r="E212" s="203">
        <f>E$211*'Ethylene recycling rates'!G108</f>
        <v>42021.432738919175</v>
      </c>
      <c r="F212" s="203">
        <f>F$211*'Ethylene recycling rates'!H108</f>
        <v>46026.306373984989</v>
      </c>
      <c r="G212" s="203">
        <f>G$211*'Ethylene recycling rates'!I108</f>
        <v>50013.293106036515</v>
      </c>
      <c r="H212" s="203">
        <f>H$211*'Ethylene recycling rates'!J108</f>
        <v>53982.452391129569</v>
      </c>
      <c r="I212" s="203">
        <f>I$211*'Ethylene recycling rates'!K108</f>
        <v>57551.480142816523</v>
      </c>
      <c r="J212" s="203">
        <f>J$211*'Ethylene recycling rates'!L108</f>
        <v>61050.874230956346</v>
      </c>
      <c r="K212" s="203">
        <f>K$211*'Ethylene recycling rates'!M108</f>
        <v>64481.04305959581</v>
      </c>
      <c r="L212" s="203">
        <f>L$211*'Ethylene recycling rates'!N108</f>
        <v>67842.393307692619</v>
      </c>
      <c r="M212" s="203">
        <f>M$211*'Ethylene recycling rates'!O108</f>
        <v>71135.329935318354</v>
      </c>
      <c r="N212" s="203">
        <f>N$211*'Ethylene recycling rates'!P108</f>
        <v>73091.407086207037</v>
      </c>
      <c r="O212" s="203">
        <f>O$211*'Ethylene recycling rates'!Q108</f>
        <v>75002.878473419885</v>
      </c>
      <c r="P212" s="203">
        <f>P$211*'Ethylene recycling rates'!R108</f>
        <v>76870.010145178021</v>
      </c>
      <c r="Q212" s="203">
        <f>Q$211*'Ethylene recycling rates'!S108</f>
        <v>78693.067018837508</v>
      </c>
      <c r="R212" s="203">
        <f>R$211*'Ethylene recycling rates'!T108</f>
        <v>80472.312884969404</v>
      </c>
      <c r="S212" s="203">
        <f>S$211*'Ethylene recycling rates'!U108</f>
        <v>82208.010411425596</v>
      </c>
      <c r="T212" s="203">
        <f>T$211*'Ethylene recycling rates'!V108</f>
        <v>83900.421147392131</v>
      </c>
      <c r="U212" s="203">
        <f>U$211*'Ethylene recycling rates'!W108</f>
        <v>85549.805527428703</v>
      </c>
      <c r="V212" s="203">
        <f>V$211*'Ethylene recycling rates'!X108</f>
        <v>87156.422875495176</v>
      </c>
      <c r="W212" s="203">
        <f>W$211*'Ethylene recycling rates'!Y108</f>
        <v>88720.53140896502</v>
      </c>
      <c r="X212" s="203">
        <f>X$211*'Ethylene recycling rates'!Z108</f>
        <v>91514.800662661961</v>
      </c>
      <c r="Y212" s="203">
        <f>Y$211*'Ethylene recycling rates'!AA108</f>
        <v>94242.718902047025</v>
      </c>
      <c r="Z212" s="203">
        <f>Z$211*'Ethylene recycling rates'!AB108</f>
        <v>96904.683744453607</v>
      </c>
      <c r="AA212" s="203">
        <f>AA$211*'Ethylene recycling rates'!AC108</f>
        <v>99501.091113905815</v>
      </c>
      <c r="AB212" s="203">
        <f>AB$211*'Ethylene recycling rates'!AD108</f>
        <v>102032.33524723326</v>
      </c>
      <c r="AC212" s="203">
        <f>AC$211*'Ethylene recycling rates'!AE108</f>
        <v>104474.54614880773</v>
      </c>
      <c r="AD212" s="203">
        <f>AD$211*'Ethylene recycling rates'!AF108</f>
        <v>106850.87853387115</v>
      </c>
      <c r="AE212" s="203">
        <f>AE$211*'Ethylene recycling rates'!AG108</f>
        <v>109161.73189447031</v>
      </c>
      <c r="AF212" s="203">
        <f>AF$211*'Ethylene recycling rates'!AH108</f>
        <v>111407.50401380649</v>
      </c>
      <c r="AG212" s="203">
        <f>AG$211*'Ethylene recycling rates'!AI108</f>
        <v>113588.59097242085</v>
      </c>
      <c r="AH212" s="217"/>
      <c r="AI212" s="124"/>
      <c r="AJ212" s="185"/>
      <c r="AL212" s="100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03">
        <f>C$211*'Ethylene recycling rates'!E109</f>
        <v>4973.6411174772056</v>
      </c>
      <c r="D213" s="203">
        <f>D$211*'Ethylene recycling rates'!F109</f>
        <v>5565.482436600967</v>
      </c>
      <c r="E213" s="203">
        <f>E$211*'Ethylene recycling rates'!G109</f>
        <v>6154.6864492706509</v>
      </c>
      <c r="F213" s="203">
        <f>F$211*'Ethylene recycling rates'!H109</f>
        <v>6741.2619153173337</v>
      </c>
      <c r="G213" s="203">
        <f>G$211*'Ethylene recycling rates'!I109</f>
        <v>7325.2175687487388</v>
      </c>
      <c r="H213" s="203">
        <f>H$211*'Ethylene recycling rates'!J109</f>
        <v>7906.5621178205638</v>
      </c>
      <c r="I213" s="203">
        <f>I$211*'Ethylene recycling rates'!K109</f>
        <v>8429.3012370899087</v>
      </c>
      <c r="J213" s="203">
        <f>J$211*'Ethylene recycling rates'!L109</f>
        <v>8941.8414331547701</v>
      </c>
      <c r="K213" s="203">
        <f>K$211*'Ethylene recycling rates'!M109</f>
        <v>9444.2425230820245</v>
      </c>
      <c r="L213" s="203">
        <f>L$211*'Ethylene recycling rates'!N109</f>
        <v>9936.5640712726745</v>
      </c>
      <c r="M213" s="203">
        <f>M$211*'Ethylene recycling rates'!O109</f>
        <v>10418.865390370354</v>
      </c>
      <c r="N213" s="203">
        <f>N$211*'Ethylene recycling rates'!P109</f>
        <v>10705.363035729129</v>
      </c>
      <c r="O213" s="203">
        <f>O$211*'Ethylene recycling rates'!Q109</f>
        <v>10985.327479543812</v>
      </c>
      <c r="P213" s="203">
        <f>P$211*'Ethylene recycling rates'!R109</f>
        <v>11258.797688676652</v>
      </c>
      <c r="Q213" s="203">
        <f>Q$211*'Ethylene recycling rates'!S109</f>
        <v>11525.812464357296</v>
      </c>
      <c r="R213" s="203">
        <f>R$211*'Ethylene recycling rates'!T109</f>
        <v>11786.410442780352</v>
      </c>
      <c r="S213" s="203">
        <f>S$211*'Ethylene recycling rates'!U109</f>
        <v>12040.63009570091</v>
      </c>
      <c r="T213" s="203">
        <f>T$211*'Ethylene recycling rates'!V109</f>
        <v>12288.509731028194</v>
      </c>
      <c r="U213" s="203">
        <f>U$211*'Ethylene recycling rates'!W109</f>
        <v>12530.087493417239</v>
      </c>
      <c r="V213" s="203">
        <f>V$211*'Ethylene recycling rates'!X109</f>
        <v>12765.401364858601</v>
      </c>
      <c r="W213" s="203">
        <f>W$211*'Ethylene recycling rates'!Y109</f>
        <v>12994.489165266214</v>
      </c>
      <c r="X213" s="203">
        <f>X$211*'Ethylene recycling rates'!Z109</f>
        <v>13403.752962105153</v>
      </c>
      <c r="Y213" s="203">
        <f>Y$211*'Ethylene recycling rates'!AA109</f>
        <v>13803.298630311545</v>
      </c>
      <c r="Z213" s="203">
        <f>Z$211*'Ethylene recycling rates'!AB109</f>
        <v>14193.184407071858</v>
      </c>
      <c r="AA213" s="203">
        <f>AA$211*'Ethylene recycling rates'!AC109</f>
        <v>14573.468281561307</v>
      </c>
      <c r="AB213" s="203">
        <f>AB$211*'Ethylene recycling rates'!AD109</f>
        <v>14944.207995839479</v>
      </c>
      <c r="AC213" s="203">
        <f>AC$211*'Ethylene recycling rates'!AE109</f>
        <v>15301.907421167734</v>
      </c>
      <c r="AD213" s="203">
        <f>AD$211*'Ethylene recycling rates'!AF109</f>
        <v>15649.957922448408</v>
      </c>
      <c r="AE213" s="203">
        <f>AE$211*'Ethylene recycling rates'!AG109</f>
        <v>15988.418011448624</v>
      </c>
      <c r="AF213" s="203">
        <f>AF$211*'Ethylene recycling rates'!AH109</f>
        <v>16317.345949648756</v>
      </c>
      <c r="AG213" s="203">
        <f>AG$211*'Ethylene recycling rates'!AI109</f>
        <v>16636.799749148358</v>
      </c>
      <c r="AH213" s="217"/>
      <c r="AI213" s="124"/>
      <c r="AJ213" s="185"/>
      <c r="AL213" s="100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34</v>
      </c>
      <c r="C214" s="203">
        <f>C$211*'Ethylene recycling rates'!E110</f>
        <v>16141.848113555061</v>
      </c>
      <c r="D214" s="203">
        <f>D$211*'Ethylene recycling rates'!F110</f>
        <v>18062.656723378448</v>
      </c>
      <c r="E214" s="203">
        <f>E$211*'Ethylene recycling rates'!G110</f>
        <v>19974.906010322458</v>
      </c>
      <c r="F214" s="203">
        <f>F$211*'Ethylene recycling rates'!H110</f>
        <v>21878.624404235456</v>
      </c>
      <c r="G214" s="203">
        <f>G$211*'Ethylene recycling rates'!I110</f>
        <v>23773.840251156627</v>
      </c>
      <c r="H214" s="203">
        <f>H$211*'Ethylene recycling rates'!J110</f>
        <v>25660.581813547527</v>
      </c>
      <c r="I214" s="203">
        <f>I$211*'Ethylene recycling rates'!K110</f>
        <v>27357.120680537453</v>
      </c>
      <c r="J214" s="203">
        <f>J$211*'Ethylene recycling rates'!L110</f>
        <v>29020.559155802279</v>
      </c>
      <c r="K214" s="203">
        <f>K$211*'Ethylene recycling rates'!M110</f>
        <v>30651.091374380161</v>
      </c>
      <c r="L214" s="203">
        <f>L$211*'Ethylene recycling rates'!N110</f>
        <v>32248.910651287442</v>
      </c>
      <c r="M214" s="203">
        <f>M$211*'Ethylene recycling rates'!O110</f>
        <v>33814.20948446721</v>
      </c>
      <c r="N214" s="203">
        <f>N$211*'Ethylene recycling rates'!P110</f>
        <v>34744.031594072549</v>
      </c>
      <c r="O214" s="203">
        <f>O$211*'Ethylene recycling rates'!Q110</f>
        <v>35652.650334852297</v>
      </c>
      <c r="P214" s="203">
        <f>P$211*'Ethylene recycling rates'!R110</f>
        <v>36540.192172942036</v>
      </c>
      <c r="Q214" s="203">
        <f>Q$211*'Ethylene recycling rates'!S110</f>
        <v>37406.783036920213</v>
      </c>
      <c r="R214" s="203">
        <f>R$211*'Ethylene recycling rates'!T110</f>
        <v>38252.54831974749</v>
      </c>
      <c r="S214" s="203">
        <f>S$211*'Ethylene recycling rates'!U110</f>
        <v>39077.612880699518</v>
      </c>
      <c r="T214" s="203">
        <f>T$211*'Ethylene recycling rates'!V110</f>
        <v>39882.101047293661</v>
      </c>
      <c r="U214" s="203">
        <f>U$211*'Ethylene recycling rates'!W110</f>
        <v>40666.136617209166</v>
      </c>
      <c r="V214" s="203">
        <f>V$211*'Ethylene recycling rates'!X110</f>
        <v>41429.842860201177</v>
      </c>
      <c r="W214" s="203">
        <f>W$211*'Ethylene recycling rates'!Y110</f>
        <v>42173.342520008518</v>
      </c>
      <c r="X214" s="203">
        <f>X$211*'Ethylene recycling rates'!Z110</f>
        <v>43501.599603885516</v>
      </c>
      <c r="Y214" s="203">
        <f>Y$211*'Ethylene recycling rates'!AA110</f>
        <v>44798.31670475423</v>
      </c>
      <c r="Z214" s="203">
        <f>Z$211*'Ethylene recycling rates'!AB110</f>
        <v>46063.682830184014</v>
      </c>
      <c r="AA214" s="203">
        <f>AA$211*'Ethylene recycling rates'!AC110</f>
        <v>47297.886182828915</v>
      </c>
      <c r="AB214" s="203">
        <f>AB$211*'Ethylene recycling rates'!AD110</f>
        <v>48501.11416333438</v>
      </c>
      <c r="AC214" s="203">
        <f>AC$211*'Ethylene recycling rates'!AE110</f>
        <v>49662.020159077671</v>
      </c>
      <c r="AD214" s="203">
        <f>AD$211*'Ethylene recycling rates'!AF110</f>
        <v>50791.61077384423</v>
      </c>
      <c r="AE214" s="203">
        <f>AE$211*'Ethylene recycling rates'!AG110</f>
        <v>51890.075906349215</v>
      </c>
      <c r="AF214" s="203">
        <f>AF$211*'Ethylene recycling rates'!AH110</f>
        <v>52957.60464300734</v>
      </c>
      <c r="AG214" s="203">
        <f>AG$211*'Ethylene recycling rates'!AI110</f>
        <v>53994.385260873132</v>
      </c>
      <c r="AH214" s="217"/>
      <c r="AI214" s="124"/>
      <c r="AJ214" s="185"/>
      <c r="AL214" s="100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35</v>
      </c>
      <c r="C215" s="203">
        <f>C$211*'Ethylene recycling rates'!E111</f>
        <v>0</v>
      </c>
      <c r="D215" s="203">
        <f>D$211*'Ethylene recycling rates'!F111</f>
        <v>0</v>
      </c>
      <c r="E215" s="203">
        <f>E$211*'Ethylene recycling rates'!G111</f>
        <v>0</v>
      </c>
      <c r="F215" s="203">
        <f>F$211*'Ethylene recycling rates'!H111</f>
        <v>0</v>
      </c>
      <c r="G215" s="203">
        <f>G$211*'Ethylene recycling rates'!I111</f>
        <v>0</v>
      </c>
      <c r="H215" s="203">
        <f>H$211*'Ethylene recycling rates'!J111</f>
        <v>0</v>
      </c>
      <c r="I215" s="203">
        <f>I$211*'Ethylene recycling rates'!K111</f>
        <v>0</v>
      </c>
      <c r="J215" s="203">
        <f>J$211*'Ethylene recycling rates'!L111</f>
        <v>0</v>
      </c>
      <c r="K215" s="203">
        <f>K$211*'Ethylene recycling rates'!M111</f>
        <v>0</v>
      </c>
      <c r="L215" s="203">
        <f>L$211*'Ethylene recycling rates'!N111</f>
        <v>0</v>
      </c>
      <c r="M215" s="203">
        <f>M$211*'Ethylene recycling rates'!O111</f>
        <v>0</v>
      </c>
      <c r="N215" s="203">
        <f>N$211*'Ethylene recycling rates'!P111</f>
        <v>0</v>
      </c>
      <c r="O215" s="203">
        <f>O$211*'Ethylene recycling rates'!Q111</f>
        <v>0</v>
      </c>
      <c r="P215" s="203">
        <f>P$211*'Ethylene recycling rates'!R111</f>
        <v>0</v>
      </c>
      <c r="Q215" s="203">
        <f>Q$211*'Ethylene recycling rates'!S111</f>
        <v>0</v>
      </c>
      <c r="R215" s="203">
        <f>R$211*'Ethylene recycling rates'!T111</f>
        <v>0</v>
      </c>
      <c r="S215" s="203">
        <f>S$211*'Ethylene recycling rates'!U111</f>
        <v>0</v>
      </c>
      <c r="T215" s="203">
        <f>T$211*'Ethylene recycling rates'!V111</f>
        <v>0</v>
      </c>
      <c r="U215" s="203">
        <f>U$211*'Ethylene recycling rates'!W111</f>
        <v>0</v>
      </c>
      <c r="V215" s="203">
        <f>V$211*'Ethylene recycling rates'!X111</f>
        <v>0</v>
      </c>
      <c r="W215" s="203">
        <f>W$211*'Ethylene recycling rates'!Y111</f>
        <v>0</v>
      </c>
      <c r="X215" s="203">
        <f>X$211*'Ethylene recycling rates'!Z111</f>
        <v>0</v>
      </c>
      <c r="Y215" s="203">
        <f>Y$211*'Ethylene recycling rates'!AA111</f>
        <v>0</v>
      </c>
      <c r="Z215" s="203">
        <f>Z$211*'Ethylene recycling rates'!AB111</f>
        <v>0</v>
      </c>
      <c r="AA215" s="203">
        <f>AA$211*'Ethylene recycling rates'!AC111</f>
        <v>0</v>
      </c>
      <c r="AB215" s="203">
        <f>AB$211*'Ethylene recycling rates'!AD111</f>
        <v>0</v>
      </c>
      <c r="AC215" s="203">
        <f>AC$211*'Ethylene recycling rates'!AE111</f>
        <v>0</v>
      </c>
      <c r="AD215" s="203">
        <f>AD$211*'Ethylene recycling rates'!AF111</f>
        <v>0</v>
      </c>
      <c r="AE215" s="203">
        <f>AE$211*'Ethylene recycling rates'!AG111</f>
        <v>0</v>
      </c>
      <c r="AF215" s="203">
        <f>AF$211*'Ethylene recycling rates'!AH111</f>
        <v>0</v>
      </c>
      <c r="AG215" s="203">
        <f>AG$211*'Ethylene recycling rates'!AI111</f>
        <v>0</v>
      </c>
      <c r="AH215" s="217"/>
      <c r="AI215" s="124"/>
      <c r="AJ215" s="185"/>
      <c r="AL215" s="100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outlineLevel="1">
      <c r="A216" s="4" t="s">
        <v>27</v>
      </c>
      <c r="C216" s="203">
        <f>C$211*'Ethylene recycling rates'!E112</f>
        <v>20955.794460400673</v>
      </c>
      <c r="D216" s="203">
        <f>D$211*'Ethylene recycling rates'!F112</f>
        <v>23449.441417184098</v>
      </c>
      <c r="E216" s="203">
        <f>E$211*'Ethylene recycling rates'!G112</f>
        <v>25931.976423853845</v>
      </c>
      <c r="F216" s="203">
        <f>F$211*'Ethylene recycling rates'!H112</f>
        <v>28403.436388826754</v>
      </c>
      <c r="G216" s="203">
        <f>G$211*'Ethylene recycling rates'!I112</f>
        <v>30863.858111716287</v>
      </c>
      <c r="H216" s="203">
        <f>H$211*'Ethylene recycling rates'!J112</f>
        <v>33313.278283633088</v>
      </c>
      <c r="I216" s="203">
        <f>I$211*'Ethylene recycling rates'!K112</f>
        <v>35515.772046467282</v>
      </c>
      <c r="J216" s="203">
        <f>J$211*'Ethylene recycling rates'!L112</f>
        <v>37675.293963657146</v>
      </c>
      <c r="K216" s="203">
        <f>K$211*'Ethylene recycling rates'!M112</f>
        <v>39792.096066688071</v>
      </c>
      <c r="L216" s="203">
        <f>L$211*'Ethylene recycling rates'!N112</f>
        <v>41866.429322470431</v>
      </c>
      <c r="M216" s="203">
        <f>M$211*'Ethylene recycling rates'!O112</f>
        <v>43898.543637167451</v>
      </c>
      <c r="N216" s="203">
        <f>N$211*'Ethylene recycling rates'!P112</f>
        <v>45105.664462276873</v>
      </c>
      <c r="O216" s="203">
        <f>O$211*'Ethylene recycling rates'!Q112</f>
        <v>46285.25848649886</v>
      </c>
      <c r="P216" s="203">
        <f>P$211*'Ethylene recycling rates'!R112</f>
        <v>47437.489891674595</v>
      </c>
      <c r="Q216" s="203">
        <f>Q$211*'Ethylene recycling rates'!S112</f>
        <v>48562.522161773682</v>
      </c>
      <c r="R216" s="203">
        <f>R$211*'Ethylene recycling rates'!T112</f>
        <v>49660.518085411924</v>
      </c>
      <c r="S216" s="203">
        <f>S$211*'Ethylene recycling rates'!U112</f>
        <v>50731.639758360419</v>
      </c>
      <c r="T216" s="203">
        <f>T$211*'Ethylene recycling rates'!V112</f>
        <v>51776.048586046905</v>
      </c>
      <c r="U216" s="203">
        <f>U$211*'Ethylene recycling rates'!W112</f>
        <v>52793.905286048641</v>
      </c>
      <c r="V216" s="203">
        <f>V$211*'Ethylene recycling rates'!X112</f>
        <v>53785.369890577167</v>
      </c>
      <c r="W216" s="203">
        <f>W$211*'Ethylene recycling rates'!Y112</f>
        <v>54750.601748955058</v>
      </c>
      <c r="X216" s="203">
        <f>X$211*'Ethylene recycling rates'!Z112</f>
        <v>56474.981897032616</v>
      </c>
      <c r="Y216" s="203">
        <f>Y$211*'Ethylene recycling rates'!AA112</f>
        <v>58158.415965295986</v>
      </c>
      <c r="Z216" s="203">
        <f>Z$211*'Ethylene recycling rates'!AB112</f>
        <v>59801.14932860851</v>
      </c>
      <c r="AA216" s="203">
        <f>AA$211*'Ethylene recycling rates'!AC112</f>
        <v>61403.426316870158</v>
      </c>
      <c r="AB216" s="203">
        <f>AB$211*'Ethylene recycling rates'!AD112</f>
        <v>62965.490218791128</v>
      </c>
      <c r="AC216" s="203">
        <f>AC$211*'Ethylene recycling rates'!AE112</f>
        <v>64472.610547485965</v>
      </c>
      <c r="AD216" s="203">
        <f>AD$211*'Ethylene recycling rates'!AF112</f>
        <v>65939.076380946979</v>
      </c>
      <c r="AE216" s="203">
        <f>AE$211*'Ethylene recycling rates'!AG112</f>
        <v>67365.134250947696</v>
      </c>
      <c r="AF216" s="203">
        <f>AF$211*'Ethylene recycling rates'!AH112</f>
        <v>68751.029634710649</v>
      </c>
      <c r="AG216" s="203">
        <f>AG$211*'Ethylene recycling rates'!AI112</f>
        <v>70097.006958724596</v>
      </c>
      <c r="AH216" s="217"/>
      <c r="AI216" s="124"/>
      <c r="AJ216" s="185"/>
      <c r="AL216" s="100"/>
      <c r="AM216" s="2"/>
      <c r="AN216" s="2"/>
      <c r="AO216" s="2"/>
      <c r="BC216" s="1"/>
      <c r="BD216" s="2"/>
      <c r="BE216" s="2"/>
      <c r="BF216" s="2"/>
      <c r="BG216" s="2"/>
      <c r="BH216" s="2"/>
      <c r="BI216" s="2"/>
      <c r="BJ216" s="2"/>
      <c r="BK216" s="2"/>
    </row>
    <row r="217" spans="1:63" outlineLevel="2">
      <c r="C217" s="105"/>
      <c r="D217" s="102"/>
      <c r="E217" s="102"/>
      <c r="F217" s="102"/>
      <c r="G217" s="102"/>
      <c r="H217" s="102"/>
      <c r="I217" s="102"/>
      <c r="J217" s="102"/>
      <c r="K217" s="102"/>
      <c r="L217" s="102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22"/>
      <c r="Y217" s="22"/>
      <c r="Z217" s="22"/>
      <c r="AA217" s="22"/>
      <c r="AB217" s="22"/>
      <c r="AC217" s="22"/>
      <c r="AD217" s="22"/>
      <c r="AE217" s="22"/>
      <c r="AF217" s="22"/>
      <c r="AG217" s="98"/>
      <c r="AJ217" s="185"/>
    </row>
    <row r="218" spans="1:63" s="174" customFormat="1" ht="15.5" thickBot="1">
      <c r="A218" s="200" t="s">
        <v>451</v>
      </c>
      <c r="B218" s="201"/>
      <c r="C218" s="202">
        <f t="shared" ref="C218:AG218" si="203">(C42*C66+C43*C103+C45*C152+C44*C196+C46*C205)/C47</f>
        <v>0.17073900978488046</v>
      </c>
      <c r="D218" s="202">
        <f t="shared" si="203"/>
        <v>0.18509265751125817</v>
      </c>
      <c r="E218" s="202">
        <f t="shared" si="203"/>
        <v>0.19955186286702936</v>
      </c>
      <c r="F218" s="202">
        <f t="shared" si="203"/>
        <v>0.21411691581733802</v>
      </c>
      <c r="G218" s="202">
        <f t="shared" si="203"/>
        <v>0.22878812150252853</v>
      </c>
      <c r="H218" s="202">
        <f t="shared" si="203"/>
        <v>0.24356580124404154</v>
      </c>
      <c r="I218" s="202">
        <f t="shared" si="203"/>
        <v>0.25858730631281163</v>
      </c>
      <c r="J218" s="202">
        <f t="shared" si="203"/>
        <v>0.27370157965460462</v>
      </c>
      <c r="K218" s="202">
        <f t="shared" si="203"/>
        <v>0.28890903448945915</v>
      </c>
      <c r="L218" s="202">
        <f t="shared" si="203"/>
        <v>0.30421011122140246</v>
      </c>
      <c r="M218" s="202">
        <f t="shared" si="203"/>
        <v>0.31960527971122815</v>
      </c>
      <c r="N218" s="202">
        <f t="shared" si="203"/>
        <v>0.3301749175449441</v>
      </c>
      <c r="O218" s="202">
        <f t="shared" si="203"/>
        <v>0.34085744892433939</v>
      </c>
      <c r="P218" s="202">
        <f t="shared" si="203"/>
        <v>0.3515693007818193</v>
      </c>
      <c r="Q218" s="202">
        <f t="shared" si="203"/>
        <v>0.36235060468143909</v>
      </c>
      <c r="R218" s="202">
        <f t="shared" si="203"/>
        <v>0.37320217257644051</v>
      </c>
      <c r="S218" s="202">
        <f t="shared" si="203"/>
        <v>0.3841003800511259</v>
      </c>
      <c r="T218" s="202">
        <f t="shared" si="203"/>
        <v>0.39507211623971733</v>
      </c>
      <c r="U218" s="202">
        <f t="shared" si="203"/>
        <v>0.40611852890706435</v>
      </c>
      <c r="V218" s="202">
        <f t="shared" si="203"/>
        <v>0.41724089780361712</v>
      </c>
      <c r="W218" s="202">
        <f t="shared" si="203"/>
        <v>0.4284406541936116</v>
      </c>
      <c r="X218" s="202">
        <f t="shared" si="203"/>
        <v>0.44533989259451745</v>
      </c>
      <c r="Y218" s="202">
        <f t="shared" si="203"/>
        <v>0.46235970661236114</v>
      </c>
      <c r="Z218" s="202">
        <f t="shared" si="203"/>
        <v>0.47949925942165861</v>
      </c>
      <c r="AA218" s="202">
        <f t="shared" si="203"/>
        <v>0.49676236902134974</v>
      </c>
      <c r="AB218" s="202">
        <f t="shared" si="203"/>
        <v>0.51415168693680358</v>
      </c>
      <c r="AC218" s="202">
        <f t="shared" si="203"/>
        <v>0.53167527837896145</v>
      </c>
      <c r="AD218" s="202">
        <f t="shared" si="203"/>
        <v>0.54932920341451563</v>
      </c>
      <c r="AE218" s="202">
        <f t="shared" si="203"/>
        <v>0.56711700377244589</v>
      </c>
      <c r="AF218" s="202">
        <f t="shared" si="203"/>
        <v>0.58504262377798799</v>
      </c>
      <c r="AG218" s="202">
        <f t="shared" si="203"/>
        <v>0.60311046919865663</v>
      </c>
      <c r="AJ218" s="204"/>
      <c r="AL218" s="191"/>
      <c r="AM218" s="198"/>
      <c r="AN218" s="198"/>
      <c r="AO218" s="198"/>
    </row>
    <row r="219" spans="1:63" s="174" customFormat="1" ht="16.25" thickTop="1" thickBot="1">
      <c r="A219" s="200" t="s">
        <v>452</v>
      </c>
      <c r="B219" s="201"/>
      <c r="C219" s="202">
        <f>(C11*C49+C103*C12+C14*C152+C192*C13+C205*C15)/C16</f>
        <v>0.18370882040382572</v>
      </c>
      <c r="D219" s="202">
        <f t="shared" ref="D219:AG219" si="204">(D11*D49+D103*D12+D14*D152+D192*D13+D205*D15)/D16</f>
        <v>0.20016277671844832</v>
      </c>
      <c r="E219" s="202">
        <f t="shared" si="204"/>
        <v>0.21661673303307094</v>
      </c>
      <c r="F219" s="202">
        <f t="shared" si="204"/>
        <v>0.23307068934769359</v>
      </c>
      <c r="G219" s="202">
        <f t="shared" si="204"/>
        <v>0.24952464566231622</v>
      </c>
      <c r="H219" s="202">
        <f t="shared" si="204"/>
        <v>0.26597860197693879</v>
      </c>
      <c r="I219" s="202">
        <f t="shared" si="204"/>
        <v>0.28243255829156144</v>
      </c>
      <c r="J219" s="202">
        <f t="shared" si="204"/>
        <v>0.29888651460618398</v>
      </c>
      <c r="K219" s="202">
        <f t="shared" si="204"/>
        <v>0.31534047092080664</v>
      </c>
      <c r="L219" s="202">
        <f t="shared" si="204"/>
        <v>0.33179442723542923</v>
      </c>
      <c r="M219" s="202">
        <f t="shared" si="204"/>
        <v>0.34824838355005183</v>
      </c>
      <c r="N219" s="202">
        <f t="shared" si="204"/>
        <v>0.35930259997070713</v>
      </c>
      <c r="O219" s="202">
        <f t="shared" si="204"/>
        <v>0.37035681639136236</v>
      </c>
      <c r="P219" s="202">
        <f t="shared" si="204"/>
        <v>0.38141103281201755</v>
      </c>
      <c r="Q219" s="202">
        <f t="shared" si="204"/>
        <v>0.39246524923267279</v>
      </c>
      <c r="R219" s="202">
        <f t="shared" si="204"/>
        <v>0.40351946565332808</v>
      </c>
      <c r="S219" s="202">
        <f t="shared" si="204"/>
        <v>0.41457368207398337</v>
      </c>
      <c r="T219" s="202">
        <f t="shared" si="204"/>
        <v>0.42562789849463861</v>
      </c>
      <c r="U219" s="202">
        <f t="shared" si="204"/>
        <v>0.4366821149152938</v>
      </c>
      <c r="V219" s="202">
        <f t="shared" si="204"/>
        <v>0.44773633133594903</v>
      </c>
      <c r="W219" s="202">
        <f t="shared" si="204"/>
        <v>0.45879054775660427</v>
      </c>
      <c r="X219" s="202">
        <f t="shared" si="204"/>
        <v>0.47578917884573413</v>
      </c>
      <c r="Y219" s="202">
        <f t="shared" si="204"/>
        <v>0.49278780993486387</v>
      </c>
      <c r="Z219" s="202">
        <f t="shared" si="204"/>
        <v>0.50978644102399373</v>
      </c>
      <c r="AA219" s="202">
        <f t="shared" si="204"/>
        <v>0.52678507211312331</v>
      </c>
      <c r="AB219" s="202">
        <f t="shared" si="204"/>
        <v>0.54378370320225333</v>
      </c>
      <c r="AC219" s="202">
        <f t="shared" si="204"/>
        <v>0.56078233429138302</v>
      </c>
      <c r="AD219" s="202">
        <f t="shared" si="204"/>
        <v>0.57778096538051282</v>
      </c>
      <c r="AE219" s="202">
        <f t="shared" si="204"/>
        <v>0.59477959646964262</v>
      </c>
      <c r="AF219" s="202">
        <f t="shared" si="204"/>
        <v>0.61177822755877254</v>
      </c>
      <c r="AG219" s="202">
        <f t="shared" si="204"/>
        <v>0.62877685864790223</v>
      </c>
      <c r="AJ219" s="199"/>
      <c r="AL219" s="191"/>
      <c r="AM219" s="198"/>
      <c r="AN219" s="198"/>
      <c r="AO219" s="198"/>
    </row>
    <row r="220" spans="1:63" ht="15.5" thickTop="1">
      <c r="A220" t="s">
        <v>237</v>
      </c>
      <c r="B220" s="121"/>
      <c r="C220" s="203">
        <f>C211+C198+C185+C179+C173+C145+C139+C133+C127+C96+C90+C84+C78+C72</f>
        <v>518007.61068966892</v>
      </c>
      <c r="D220" s="203">
        <f t="shared" ref="D220:AG220" si="205">D211+D198+D185+D179+D173+D145+D139+D133+D127+D96+D90+D84+D78+D72</f>
        <v>553324.6834720429</v>
      </c>
      <c r="E220" s="203">
        <f t="shared" si="205"/>
        <v>587712.70998960582</v>
      </c>
      <c r="F220" s="203">
        <f t="shared" si="205"/>
        <v>621166.32988635916</v>
      </c>
      <c r="G220" s="203">
        <f t="shared" si="205"/>
        <v>653680.2557733421</v>
      </c>
      <c r="H220" s="203">
        <f t="shared" si="205"/>
        <v>685249.2727801922</v>
      </c>
      <c r="I220" s="203">
        <f t="shared" si="205"/>
        <v>714672.88710136956</v>
      </c>
      <c r="J220" s="203">
        <f t="shared" si="205"/>
        <v>742913.78177552391</v>
      </c>
      <c r="K220" s="203">
        <f t="shared" si="205"/>
        <v>769968.4816052902</v>
      </c>
      <c r="L220" s="203">
        <f t="shared" si="205"/>
        <v>795833.57538096257</v>
      </c>
      <c r="M220" s="203">
        <f t="shared" si="205"/>
        <v>820505.71546727663</v>
      </c>
      <c r="N220" s="203">
        <f t="shared" si="205"/>
        <v>825740.76619597245</v>
      </c>
      <c r="O220" s="203">
        <f t="shared" si="205"/>
        <v>832902.90481738013</v>
      </c>
      <c r="P220" s="203">
        <f t="shared" si="205"/>
        <v>836399.99011735339</v>
      </c>
      <c r="Q220" s="203">
        <f t="shared" si="205"/>
        <v>838775.67076213751</v>
      </c>
      <c r="R220" s="203">
        <f t="shared" si="205"/>
        <v>840026.95743696438</v>
      </c>
      <c r="S220" s="203">
        <f t="shared" si="205"/>
        <v>840379.46013060375</v>
      </c>
      <c r="T220" s="203">
        <f t="shared" si="205"/>
        <v>839622.59607833833</v>
      </c>
      <c r="U220" s="203">
        <f t="shared" si="205"/>
        <v>837753.4113092192</v>
      </c>
      <c r="V220" s="203">
        <f t="shared" si="205"/>
        <v>834769.01057859254</v>
      </c>
      <c r="W220" s="203">
        <f t="shared" si="205"/>
        <v>830666.55698001571</v>
      </c>
      <c r="X220" s="203">
        <f t="shared" si="205"/>
        <v>841974.657445597</v>
      </c>
      <c r="Y220" s="203">
        <f t="shared" si="205"/>
        <v>852257.45279209712</v>
      </c>
      <c r="Z220" s="203">
        <f t="shared" si="205"/>
        <v>861133.2791298636</v>
      </c>
      <c r="AA220" s="203">
        <f t="shared" si="205"/>
        <v>868703.16053505149</v>
      </c>
      <c r="AB220" s="203">
        <f t="shared" si="205"/>
        <v>874964.40317646507</v>
      </c>
      <c r="AC220" s="203">
        <f t="shared" si="205"/>
        <v>879679.50360222603</v>
      </c>
      <c r="AD220" s="203">
        <f t="shared" si="205"/>
        <v>883061.97104390827</v>
      </c>
      <c r="AE220" s="203">
        <f t="shared" si="205"/>
        <v>885109.43314529001</v>
      </c>
      <c r="AF220" s="203">
        <f t="shared" si="205"/>
        <v>885819.58039284451</v>
      </c>
      <c r="AG220" s="203">
        <f t="shared" si="205"/>
        <v>885190.16557580873</v>
      </c>
    </row>
    <row r="221" spans="1:63">
      <c r="A221" t="s">
        <v>597</v>
      </c>
      <c r="B221" s="121"/>
      <c r="C221" s="203">
        <f>(C42*C66+C43*C122+C44*C196+C45*C169+C46*C209)</f>
        <v>518007.61068966903</v>
      </c>
      <c r="D221" s="203">
        <f t="shared" ref="D221:AG221" si="206">(D42*D66+D43*D122+D44*D196+D45*D169+D46*D209)</f>
        <v>553324.68347204279</v>
      </c>
      <c r="E221" s="203">
        <f t="shared" si="206"/>
        <v>587712.70998960594</v>
      </c>
      <c r="F221" s="203">
        <f t="shared" si="206"/>
        <v>621166.32988635916</v>
      </c>
      <c r="G221" s="203">
        <f t="shared" si="206"/>
        <v>653680.25577334198</v>
      </c>
      <c r="H221" s="203">
        <f t="shared" si="206"/>
        <v>685249.27278019232</v>
      </c>
      <c r="I221" s="203">
        <f t="shared" si="206"/>
        <v>714672.88710136979</v>
      </c>
      <c r="J221" s="203">
        <f t="shared" si="206"/>
        <v>742913.78177552379</v>
      </c>
      <c r="K221" s="203">
        <f t="shared" si="206"/>
        <v>769968.4816052902</v>
      </c>
      <c r="L221" s="203">
        <f t="shared" si="206"/>
        <v>795833.57538096257</v>
      </c>
      <c r="M221" s="203">
        <f t="shared" si="206"/>
        <v>820505.71546727663</v>
      </c>
      <c r="N221" s="203">
        <f t="shared" si="206"/>
        <v>825740.76619597245</v>
      </c>
      <c r="O221" s="203">
        <f t="shared" si="206"/>
        <v>832902.90481738024</v>
      </c>
      <c r="P221" s="203">
        <f t="shared" si="206"/>
        <v>836399.99011735339</v>
      </c>
      <c r="Q221" s="203">
        <f t="shared" si="206"/>
        <v>838775.67076213751</v>
      </c>
      <c r="R221" s="203">
        <f t="shared" si="206"/>
        <v>840026.9574369645</v>
      </c>
      <c r="S221" s="203">
        <f t="shared" si="206"/>
        <v>840379.46013060363</v>
      </c>
      <c r="T221" s="203">
        <f t="shared" si="206"/>
        <v>839622.59607833833</v>
      </c>
      <c r="U221" s="203">
        <f t="shared" si="206"/>
        <v>837753.41130921943</v>
      </c>
      <c r="V221" s="203">
        <f t="shared" si="206"/>
        <v>834769.01057859277</v>
      </c>
      <c r="W221" s="203">
        <f t="shared" si="206"/>
        <v>830666.55698001571</v>
      </c>
      <c r="X221" s="203">
        <f t="shared" si="206"/>
        <v>841974.65744559711</v>
      </c>
      <c r="Y221" s="203">
        <f t="shared" si="206"/>
        <v>852257.45279209712</v>
      </c>
      <c r="Z221" s="203">
        <f t="shared" si="206"/>
        <v>861133.27912986348</v>
      </c>
      <c r="AA221" s="203">
        <f t="shared" si="206"/>
        <v>868703.1605350516</v>
      </c>
      <c r="AB221" s="203">
        <f t="shared" si="206"/>
        <v>874964.40317646496</v>
      </c>
      <c r="AC221" s="203">
        <f t="shared" si="206"/>
        <v>879679.5036022258</v>
      </c>
      <c r="AD221" s="203">
        <f t="shared" si="206"/>
        <v>883061.97104390839</v>
      </c>
      <c r="AE221" s="203">
        <f t="shared" si="206"/>
        <v>885109.43314529024</v>
      </c>
      <c r="AF221" s="203">
        <f t="shared" si="206"/>
        <v>885819.58039284451</v>
      </c>
      <c r="AG221" s="203">
        <f t="shared" si="206"/>
        <v>885190.16557580873</v>
      </c>
      <c r="AI221" s="22">
        <f>(AG221/C221)^(1/30)-1</f>
        <v>1.802086988680629E-2</v>
      </c>
    </row>
    <row r="222" spans="1:63">
      <c r="A222" t="s">
        <v>598</v>
      </c>
      <c r="B222" s="121"/>
      <c r="C222" s="203">
        <f>C221</f>
        <v>518007.61068966903</v>
      </c>
      <c r="D222" s="203">
        <f>C222*(1+$AI$222)</f>
        <v>526658.3377881865</v>
      </c>
      <c r="E222" s="203">
        <f t="shared" ref="E222:AG222" si="207">D222*(1+$AI$222)</f>
        <v>535453.53202924924</v>
      </c>
      <c r="F222" s="203">
        <f t="shared" si="207"/>
        <v>544395.60601413762</v>
      </c>
      <c r="G222" s="203">
        <f t="shared" si="207"/>
        <v>553487.01263457374</v>
      </c>
      <c r="H222" s="203">
        <f t="shared" si="207"/>
        <v>562730.2457455711</v>
      </c>
      <c r="I222" s="203">
        <f t="shared" si="207"/>
        <v>572127.84084952215</v>
      </c>
      <c r="J222" s="203">
        <f t="shared" si="207"/>
        <v>581682.37579170917</v>
      </c>
      <c r="K222" s="203">
        <f t="shared" si="207"/>
        <v>591396.4714674307</v>
      </c>
      <c r="L222" s="203">
        <f t="shared" si="207"/>
        <v>601272.79254093673</v>
      </c>
      <c r="M222" s="203">
        <f>L222*(1+$AI$222)</f>
        <v>611314.04817637033</v>
      </c>
      <c r="N222" s="203">
        <f t="shared" si="207"/>
        <v>621522.99278091569</v>
      </c>
      <c r="O222" s="203">
        <f t="shared" si="207"/>
        <v>631902.42676035699</v>
      </c>
      <c r="P222" s="203">
        <f t="shared" si="207"/>
        <v>642455.19728725497</v>
      </c>
      <c r="Q222" s="203">
        <f t="shared" si="207"/>
        <v>653184.1990819521</v>
      </c>
      <c r="R222" s="203">
        <f t="shared" si="207"/>
        <v>664092.37520662067</v>
      </c>
      <c r="S222" s="203">
        <f t="shared" si="207"/>
        <v>675182.7178725712</v>
      </c>
      <c r="T222" s="203">
        <f t="shared" si="207"/>
        <v>686458.26926104305</v>
      </c>
      <c r="U222" s="203">
        <f t="shared" si="207"/>
        <v>697922.12235770246</v>
      </c>
      <c r="V222" s="203">
        <f t="shared" si="207"/>
        <v>709577.42180107604</v>
      </c>
      <c r="W222" s="203">
        <f t="shared" si="207"/>
        <v>721427.36474515393</v>
      </c>
      <c r="X222" s="203">
        <f t="shared" si="207"/>
        <v>733475.20173639792</v>
      </c>
      <c r="Y222" s="203">
        <f t="shared" si="207"/>
        <v>745724.23760539573</v>
      </c>
      <c r="Z222" s="203">
        <f t="shared" si="207"/>
        <v>758177.83237340581</v>
      </c>
      <c r="AA222" s="203">
        <f t="shared" si="207"/>
        <v>770839.40217404161</v>
      </c>
      <c r="AB222" s="203">
        <f t="shared" si="207"/>
        <v>783712.42019034806</v>
      </c>
      <c r="AC222" s="203">
        <f t="shared" si="207"/>
        <v>796800.41760752688</v>
      </c>
      <c r="AD222" s="203">
        <f t="shared" si="207"/>
        <v>810106.98458157247</v>
      </c>
      <c r="AE222" s="203">
        <f t="shared" si="207"/>
        <v>823635.77122408466</v>
      </c>
      <c r="AF222" s="203">
        <f t="shared" si="207"/>
        <v>837390.48860352684</v>
      </c>
      <c r="AG222" s="203">
        <f t="shared" si="207"/>
        <v>851374.90976320568</v>
      </c>
      <c r="AI222" s="188">
        <v>1.67E-2</v>
      </c>
      <c r="AJ222" s="3" t="s">
        <v>599</v>
      </c>
    </row>
    <row r="223" spans="1:63">
      <c r="B223" s="121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  <c r="AB223" s="203"/>
      <c r="AC223" s="203"/>
      <c r="AD223" s="203"/>
      <c r="AE223" s="203"/>
      <c r="AF223" s="203"/>
      <c r="AG223" s="203"/>
      <c r="AI223" s="188"/>
    </row>
    <row r="224" spans="1:63" s="54" customFormat="1">
      <c r="A224" s="54" t="s">
        <v>626</v>
      </c>
      <c r="B224" s="253"/>
      <c r="C224" s="254"/>
      <c r="D224" s="254"/>
      <c r="E224" s="254"/>
      <c r="F224" s="254"/>
      <c r="G224" s="254"/>
      <c r="H224" s="254"/>
      <c r="I224" s="254"/>
      <c r="J224" s="254"/>
      <c r="K224" s="254"/>
      <c r="L224" s="254"/>
      <c r="M224" s="254"/>
      <c r="N224" s="254"/>
      <c r="O224" s="254"/>
      <c r="P224" s="254"/>
      <c r="Q224" s="254"/>
      <c r="R224" s="254"/>
      <c r="S224" s="254"/>
      <c r="T224" s="254"/>
      <c r="U224" s="254"/>
      <c r="V224" s="254"/>
      <c r="W224" s="254"/>
      <c r="X224" s="254"/>
      <c r="Y224" s="254"/>
      <c r="Z224" s="254"/>
      <c r="AA224" s="254"/>
      <c r="AB224" s="254"/>
      <c r="AC224" s="254"/>
      <c r="AD224" s="254"/>
      <c r="AE224" s="254"/>
      <c r="AF224" s="254"/>
      <c r="AG224" s="254"/>
      <c r="AI224" s="255"/>
      <c r="AJ224" s="256"/>
    </row>
    <row r="225" spans="1:36" s="166" customFormat="1" outlineLevel="1">
      <c r="A225" s="293" t="s">
        <v>630</v>
      </c>
      <c r="B225" s="268" t="s">
        <v>126</v>
      </c>
      <c r="C225" s="561">
        <v>0.98</v>
      </c>
      <c r="D225" s="269">
        <f>-($C225-$AG225)/30+C225</f>
        <v>0.98033333333333328</v>
      </c>
      <c r="E225" s="269">
        <f t="shared" ref="E225:AF227" si="208">-($C225-$AG225)/30+D225</f>
        <v>0.98066666666666658</v>
      </c>
      <c r="F225" s="269">
        <f t="shared" si="208"/>
        <v>0.98099999999999987</v>
      </c>
      <c r="G225" s="269">
        <f t="shared" si="208"/>
        <v>0.98133333333333317</v>
      </c>
      <c r="H225" s="269">
        <f t="shared" si="208"/>
        <v>0.98166666666666647</v>
      </c>
      <c r="I225" s="269">
        <f t="shared" si="208"/>
        <v>0.98199999999999976</v>
      </c>
      <c r="J225" s="269">
        <f t="shared" si="208"/>
        <v>0.98233333333333306</v>
      </c>
      <c r="K225" s="269">
        <f t="shared" si="208"/>
        <v>0.98266666666666636</v>
      </c>
      <c r="L225" s="269">
        <f t="shared" si="208"/>
        <v>0.98299999999999965</v>
      </c>
      <c r="M225" s="269">
        <f t="shared" si="208"/>
        <v>0.98333333333333295</v>
      </c>
      <c r="N225" s="269">
        <f t="shared" si="208"/>
        <v>0.98366666666666625</v>
      </c>
      <c r="O225" s="269">
        <f t="shared" si="208"/>
        <v>0.98399999999999954</v>
      </c>
      <c r="P225" s="269">
        <f t="shared" si="208"/>
        <v>0.98433333333333284</v>
      </c>
      <c r="Q225" s="269">
        <f t="shared" si="208"/>
        <v>0.98466666666666613</v>
      </c>
      <c r="R225" s="269">
        <f t="shared" si="208"/>
        <v>0.98499999999999943</v>
      </c>
      <c r="S225" s="269">
        <f t="shared" si="208"/>
        <v>0.98533333333333273</v>
      </c>
      <c r="T225" s="269">
        <f t="shared" si="208"/>
        <v>0.98566666666666602</v>
      </c>
      <c r="U225" s="269">
        <f t="shared" si="208"/>
        <v>0.98599999999999932</v>
      </c>
      <c r="V225" s="269">
        <f t="shared" si="208"/>
        <v>0.98633333333333262</v>
      </c>
      <c r="W225" s="269">
        <f t="shared" si="208"/>
        <v>0.98666666666666591</v>
      </c>
      <c r="X225" s="269">
        <f t="shared" si="208"/>
        <v>0.98699999999999921</v>
      </c>
      <c r="Y225" s="269">
        <f t="shared" si="208"/>
        <v>0.98733333333333251</v>
      </c>
      <c r="Z225" s="269">
        <f t="shared" si="208"/>
        <v>0.9876666666666658</v>
      </c>
      <c r="AA225" s="269">
        <f t="shared" si="208"/>
        <v>0.9879999999999991</v>
      </c>
      <c r="AB225" s="269">
        <f t="shared" si="208"/>
        <v>0.9883333333333324</v>
      </c>
      <c r="AC225" s="269">
        <f t="shared" si="208"/>
        <v>0.98866666666666569</v>
      </c>
      <c r="AD225" s="269">
        <f t="shared" si="208"/>
        <v>0.98899999999999899</v>
      </c>
      <c r="AE225" s="269">
        <f t="shared" si="208"/>
        <v>0.98933333333333229</v>
      </c>
      <c r="AF225" s="269">
        <f t="shared" si="208"/>
        <v>0.98966666666666558</v>
      </c>
      <c r="AG225" s="561">
        <v>0.99</v>
      </c>
      <c r="AI225" s="270"/>
      <c r="AJ225" s="271" t="s">
        <v>1469</v>
      </c>
    </row>
    <row r="226" spans="1:36" outlineLevel="1">
      <c r="A226" s="3" t="s">
        <v>621</v>
      </c>
      <c r="B226" s="252" t="s">
        <v>126</v>
      </c>
      <c r="C226" s="255">
        <f>1-SUM(C227:C231)</f>
        <v>0.97</v>
      </c>
      <c r="D226" s="287">
        <f t="shared" ref="D226:S227" si="209">-($C226-$AG226)/30+C226</f>
        <v>0.97033333333333327</v>
      </c>
      <c r="E226" s="287">
        <f t="shared" si="209"/>
        <v>0.97066666666666657</v>
      </c>
      <c r="F226" s="287">
        <f t="shared" si="209"/>
        <v>0.97099999999999986</v>
      </c>
      <c r="G226" s="287">
        <f t="shared" si="209"/>
        <v>0.97133333333333316</v>
      </c>
      <c r="H226" s="287">
        <f t="shared" si="209"/>
        <v>0.97166666666666646</v>
      </c>
      <c r="I226" s="287">
        <f t="shared" si="209"/>
        <v>0.97199999999999975</v>
      </c>
      <c r="J226" s="287">
        <f t="shared" si="209"/>
        <v>0.97233333333333305</v>
      </c>
      <c r="K226" s="287">
        <f t="shared" si="209"/>
        <v>0.97266666666666635</v>
      </c>
      <c r="L226" s="287">
        <f t="shared" si="209"/>
        <v>0.97299999999999964</v>
      </c>
      <c r="M226" s="287">
        <f t="shared" si="209"/>
        <v>0.97333333333333294</v>
      </c>
      <c r="N226" s="287">
        <f t="shared" si="209"/>
        <v>0.97366666666666624</v>
      </c>
      <c r="O226" s="287">
        <f t="shared" si="209"/>
        <v>0.97399999999999953</v>
      </c>
      <c r="P226" s="287">
        <f t="shared" si="209"/>
        <v>0.97433333333333283</v>
      </c>
      <c r="Q226" s="287">
        <f t="shared" si="209"/>
        <v>0.97466666666666613</v>
      </c>
      <c r="R226" s="287">
        <f t="shared" si="209"/>
        <v>0.97499999999999942</v>
      </c>
      <c r="S226" s="287">
        <f t="shared" si="209"/>
        <v>0.97533333333333272</v>
      </c>
      <c r="T226" s="287">
        <f t="shared" si="208"/>
        <v>0.97566666666666602</v>
      </c>
      <c r="U226" s="287">
        <f t="shared" si="208"/>
        <v>0.97599999999999931</v>
      </c>
      <c r="V226" s="287">
        <f t="shared" si="208"/>
        <v>0.97633333333333261</v>
      </c>
      <c r="W226" s="287">
        <f t="shared" si="208"/>
        <v>0.97666666666666591</v>
      </c>
      <c r="X226" s="287">
        <f t="shared" si="208"/>
        <v>0.9769999999999992</v>
      </c>
      <c r="Y226" s="287">
        <f t="shared" si="208"/>
        <v>0.9773333333333325</v>
      </c>
      <c r="Z226" s="287">
        <f t="shared" si="208"/>
        <v>0.9776666666666658</v>
      </c>
      <c r="AA226" s="287">
        <f t="shared" si="208"/>
        <v>0.97799999999999909</v>
      </c>
      <c r="AB226" s="287">
        <f t="shared" si="208"/>
        <v>0.97833333333333239</v>
      </c>
      <c r="AC226" s="287">
        <f t="shared" si="208"/>
        <v>0.97866666666666569</v>
      </c>
      <c r="AD226" s="287">
        <f t="shared" si="208"/>
        <v>0.97899999999999898</v>
      </c>
      <c r="AE226" s="287">
        <f t="shared" si="208"/>
        <v>0.97933333333333228</v>
      </c>
      <c r="AF226" s="287">
        <f t="shared" si="208"/>
        <v>0.97966666666666558</v>
      </c>
      <c r="AG226" s="255">
        <f>1-SUM(AG227:AG231)</f>
        <v>0.98</v>
      </c>
      <c r="AI226" s="188"/>
      <c r="AJ226" s="271"/>
    </row>
    <row r="227" spans="1:36" outlineLevel="1">
      <c r="A227" s="3" t="s">
        <v>620</v>
      </c>
      <c r="B227" s="252" t="s">
        <v>126</v>
      </c>
      <c r="C227" s="266">
        <v>0.01</v>
      </c>
      <c r="D227" s="267">
        <f t="shared" si="209"/>
        <v>0.01</v>
      </c>
      <c r="E227" s="267">
        <f t="shared" si="209"/>
        <v>0.01</v>
      </c>
      <c r="F227" s="267">
        <f t="shared" si="209"/>
        <v>0.01</v>
      </c>
      <c r="G227" s="267">
        <f t="shared" si="209"/>
        <v>0.01</v>
      </c>
      <c r="H227" s="267">
        <f t="shared" si="209"/>
        <v>0.01</v>
      </c>
      <c r="I227" s="267">
        <f t="shared" si="209"/>
        <v>0.01</v>
      </c>
      <c r="J227" s="267">
        <f t="shared" si="209"/>
        <v>0.01</v>
      </c>
      <c r="K227" s="267">
        <f t="shared" si="209"/>
        <v>0.01</v>
      </c>
      <c r="L227" s="267">
        <f t="shared" si="209"/>
        <v>0.01</v>
      </c>
      <c r="M227" s="267">
        <f t="shared" si="209"/>
        <v>0.01</v>
      </c>
      <c r="N227" s="267">
        <f t="shared" si="209"/>
        <v>0.01</v>
      </c>
      <c r="O227" s="267">
        <f t="shared" si="209"/>
        <v>0.01</v>
      </c>
      <c r="P227" s="267">
        <f t="shared" si="209"/>
        <v>0.01</v>
      </c>
      <c r="Q227" s="267">
        <f t="shared" si="209"/>
        <v>0.01</v>
      </c>
      <c r="R227" s="267">
        <f t="shared" si="209"/>
        <v>0.01</v>
      </c>
      <c r="S227" s="267">
        <f t="shared" si="209"/>
        <v>0.01</v>
      </c>
      <c r="T227" s="267">
        <f t="shared" si="208"/>
        <v>0.01</v>
      </c>
      <c r="U227" s="267">
        <f t="shared" si="208"/>
        <v>0.01</v>
      </c>
      <c r="V227" s="267">
        <f t="shared" si="208"/>
        <v>0.01</v>
      </c>
      <c r="W227" s="267">
        <f t="shared" si="208"/>
        <v>0.01</v>
      </c>
      <c r="X227" s="267">
        <f t="shared" si="208"/>
        <v>0.01</v>
      </c>
      <c r="Y227" s="267">
        <f t="shared" si="208"/>
        <v>0.01</v>
      </c>
      <c r="Z227" s="267">
        <f t="shared" si="208"/>
        <v>0.01</v>
      </c>
      <c r="AA227" s="267">
        <f t="shared" si="208"/>
        <v>0.01</v>
      </c>
      <c r="AB227" s="267">
        <f t="shared" si="208"/>
        <v>0.01</v>
      </c>
      <c r="AC227" s="267">
        <f t="shared" si="208"/>
        <v>0.01</v>
      </c>
      <c r="AD227" s="267">
        <f t="shared" si="208"/>
        <v>0.01</v>
      </c>
      <c r="AE227" s="267">
        <f t="shared" si="208"/>
        <v>0.01</v>
      </c>
      <c r="AF227" s="267">
        <f t="shared" si="208"/>
        <v>0.01</v>
      </c>
      <c r="AG227" s="266">
        <v>0.01</v>
      </c>
      <c r="AI227" s="188"/>
      <c r="AJ227" s="271" t="s">
        <v>1469</v>
      </c>
    </row>
    <row r="228" spans="1:36" outlineLevel="1">
      <c r="A228" s="3" t="s">
        <v>622</v>
      </c>
      <c r="B228" s="252" t="s">
        <v>126</v>
      </c>
      <c r="C228" s="562">
        <v>0</v>
      </c>
      <c r="D228" s="267">
        <f t="shared" ref="D228:AF231" si="210">-($C228-$AG228)/30+C228</f>
        <v>0</v>
      </c>
      <c r="E228" s="267">
        <f t="shared" si="210"/>
        <v>0</v>
      </c>
      <c r="F228" s="267">
        <f t="shared" si="210"/>
        <v>0</v>
      </c>
      <c r="G228" s="267">
        <f t="shared" si="210"/>
        <v>0</v>
      </c>
      <c r="H228" s="267">
        <f t="shared" si="210"/>
        <v>0</v>
      </c>
      <c r="I228" s="267">
        <f t="shared" si="210"/>
        <v>0</v>
      </c>
      <c r="J228" s="267">
        <f t="shared" si="210"/>
        <v>0</v>
      </c>
      <c r="K228" s="267">
        <f t="shared" si="210"/>
        <v>0</v>
      </c>
      <c r="L228" s="267">
        <f t="shared" si="210"/>
        <v>0</v>
      </c>
      <c r="M228" s="267">
        <f t="shared" si="210"/>
        <v>0</v>
      </c>
      <c r="N228" s="267">
        <f t="shared" si="210"/>
        <v>0</v>
      </c>
      <c r="O228" s="267">
        <f t="shared" si="210"/>
        <v>0</v>
      </c>
      <c r="P228" s="267">
        <f t="shared" si="210"/>
        <v>0</v>
      </c>
      <c r="Q228" s="267">
        <f t="shared" si="210"/>
        <v>0</v>
      </c>
      <c r="R228" s="267">
        <f t="shared" si="210"/>
        <v>0</v>
      </c>
      <c r="S228" s="267">
        <f t="shared" si="210"/>
        <v>0</v>
      </c>
      <c r="T228" s="267">
        <f t="shared" si="210"/>
        <v>0</v>
      </c>
      <c r="U228" s="267">
        <f t="shared" si="210"/>
        <v>0</v>
      </c>
      <c r="V228" s="267">
        <f t="shared" si="210"/>
        <v>0</v>
      </c>
      <c r="W228" s="267">
        <f t="shared" si="210"/>
        <v>0</v>
      </c>
      <c r="X228" s="267">
        <f t="shared" si="210"/>
        <v>0</v>
      </c>
      <c r="Y228" s="267">
        <f t="shared" si="210"/>
        <v>0</v>
      </c>
      <c r="Z228" s="267">
        <f t="shared" si="210"/>
        <v>0</v>
      </c>
      <c r="AA228" s="267">
        <f t="shared" si="210"/>
        <v>0</v>
      </c>
      <c r="AB228" s="267">
        <f t="shared" si="210"/>
        <v>0</v>
      </c>
      <c r="AC228" s="267">
        <f t="shared" si="210"/>
        <v>0</v>
      </c>
      <c r="AD228" s="267">
        <f t="shared" si="210"/>
        <v>0</v>
      </c>
      <c r="AE228" s="267">
        <f t="shared" si="210"/>
        <v>0</v>
      </c>
      <c r="AF228" s="267">
        <f t="shared" si="210"/>
        <v>0</v>
      </c>
      <c r="AG228" s="562">
        <v>0</v>
      </c>
      <c r="AI228" s="188"/>
      <c r="AJ228" t="s">
        <v>1470</v>
      </c>
    </row>
    <row r="229" spans="1:36" outlineLevel="1">
      <c r="A229" s="3" t="s">
        <v>623</v>
      </c>
      <c r="B229" s="252" t="s">
        <v>126</v>
      </c>
      <c r="C229" s="562">
        <v>0</v>
      </c>
      <c r="D229" s="267">
        <f t="shared" si="210"/>
        <v>0</v>
      </c>
      <c r="E229" s="267">
        <f t="shared" si="210"/>
        <v>0</v>
      </c>
      <c r="F229" s="267">
        <f t="shared" si="210"/>
        <v>0</v>
      </c>
      <c r="G229" s="267">
        <f t="shared" si="210"/>
        <v>0</v>
      </c>
      <c r="H229" s="267">
        <f t="shared" si="210"/>
        <v>0</v>
      </c>
      <c r="I229" s="267">
        <f t="shared" si="210"/>
        <v>0</v>
      </c>
      <c r="J229" s="267">
        <f t="shared" si="210"/>
        <v>0</v>
      </c>
      <c r="K229" s="267">
        <f t="shared" si="210"/>
        <v>0</v>
      </c>
      <c r="L229" s="267">
        <f t="shared" si="210"/>
        <v>0</v>
      </c>
      <c r="M229" s="267">
        <f t="shared" si="210"/>
        <v>0</v>
      </c>
      <c r="N229" s="267">
        <f t="shared" si="210"/>
        <v>0</v>
      </c>
      <c r="O229" s="267">
        <f t="shared" si="210"/>
        <v>0</v>
      </c>
      <c r="P229" s="267">
        <f t="shared" si="210"/>
        <v>0</v>
      </c>
      <c r="Q229" s="267">
        <f t="shared" si="210"/>
        <v>0</v>
      </c>
      <c r="R229" s="267">
        <f t="shared" si="210"/>
        <v>0</v>
      </c>
      <c r="S229" s="267">
        <f t="shared" si="210"/>
        <v>0</v>
      </c>
      <c r="T229" s="267">
        <f t="shared" si="210"/>
        <v>0</v>
      </c>
      <c r="U229" s="267">
        <f t="shared" si="210"/>
        <v>0</v>
      </c>
      <c r="V229" s="267">
        <f t="shared" si="210"/>
        <v>0</v>
      </c>
      <c r="W229" s="267">
        <f t="shared" si="210"/>
        <v>0</v>
      </c>
      <c r="X229" s="267">
        <f t="shared" si="210"/>
        <v>0</v>
      </c>
      <c r="Y229" s="267">
        <f t="shared" si="210"/>
        <v>0</v>
      </c>
      <c r="Z229" s="267">
        <f t="shared" si="210"/>
        <v>0</v>
      </c>
      <c r="AA229" s="267">
        <f t="shared" si="210"/>
        <v>0</v>
      </c>
      <c r="AB229" s="267">
        <f t="shared" si="210"/>
        <v>0</v>
      </c>
      <c r="AC229" s="267">
        <f t="shared" si="210"/>
        <v>0</v>
      </c>
      <c r="AD229" s="267">
        <f t="shared" si="210"/>
        <v>0</v>
      </c>
      <c r="AE229" s="267">
        <f t="shared" si="210"/>
        <v>0</v>
      </c>
      <c r="AF229" s="267">
        <f t="shared" si="210"/>
        <v>0</v>
      </c>
      <c r="AG229" s="562">
        <v>0</v>
      </c>
      <c r="AI229" s="188"/>
      <c r="AJ229" t="s">
        <v>1470</v>
      </c>
    </row>
    <row r="230" spans="1:36" outlineLevel="1">
      <c r="A230" s="3" t="s">
        <v>624</v>
      </c>
      <c r="B230" s="252" t="s">
        <v>126</v>
      </c>
      <c r="C230" s="562">
        <v>1.4999999999999999E-2</v>
      </c>
      <c r="D230" s="267">
        <f t="shared" si="210"/>
        <v>1.4733333333333333E-2</v>
      </c>
      <c r="E230" s="267">
        <f t="shared" si="210"/>
        <v>1.4466666666666666E-2</v>
      </c>
      <c r="F230" s="267">
        <f t="shared" si="210"/>
        <v>1.4199999999999999E-2</v>
      </c>
      <c r="G230" s="267">
        <f t="shared" si="210"/>
        <v>1.3933333333333332E-2</v>
      </c>
      <c r="H230" s="267">
        <f t="shared" si="210"/>
        <v>1.3666666666666666E-2</v>
      </c>
      <c r="I230" s="267">
        <f t="shared" si="210"/>
        <v>1.3399999999999999E-2</v>
      </c>
      <c r="J230" s="267">
        <f t="shared" si="210"/>
        <v>1.3133333333333332E-2</v>
      </c>
      <c r="K230" s="267">
        <f t="shared" si="210"/>
        <v>1.2866666666666665E-2</v>
      </c>
      <c r="L230" s="267">
        <f t="shared" si="210"/>
        <v>1.2599999999999998E-2</v>
      </c>
      <c r="M230" s="267">
        <f t="shared" si="210"/>
        <v>1.2333333333333332E-2</v>
      </c>
      <c r="N230" s="267">
        <f t="shared" si="210"/>
        <v>1.2066666666666665E-2</v>
      </c>
      <c r="O230" s="267">
        <f t="shared" si="210"/>
        <v>1.1799999999999998E-2</v>
      </c>
      <c r="P230" s="267">
        <f t="shared" si="210"/>
        <v>1.1533333333333331E-2</v>
      </c>
      <c r="Q230" s="267">
        <f t="shared" si="210"/>
        <v>1.1266666666666664E-2</v>
      </c>
      <c r="R230" s="267">
        <f t="shared" si="210"/>
        <v>1.0999999999999998E-2</v>
      </c>
      <c r="S230" s="267">
        <f t="shared" si="210"/>
        <v>1.0733333333333331E-2</v>
      </c>
      <c r="T230" s="267">
        <f t="shared" si="210"/>
        <v>1.0466666666666664E-2</v>
      </c>
      <c r="U230" s="267">
        <f t="shared" si="210"/>
        <v>1.0199999999999997E-2</v>
      </c>
      <c r="V230" s="267">
        <f t="shared" si="210"/>
        <v>9.9333333333333305E-3</v>
      </c>
      <c r="W230" s="267">
        <f t="shared" si="210"/>
        <v>9.6666666666666637E-3</v>
      </c>
      <c r="X230" s="267">
        <f t="shared" si="210"/>
        <v>9.3999999999999969E-3</v>
      </c>
      <c r="Y230" s="267">
        <f t="shared" si="210"/>
        <v>9.1333333333333301E-3</v>
      </c>
      <c r="Z230" s="267">
        <f t="shared" si="210"/>
        <v>8.8666666666666633E-3</v>
      </c>
      <c r="AA230" s="267">
        <f t="shared" si="210"/>
        <v>8.5999999999999965E-3</v>
      </c>
      <c r="AB230" s="267">
        <f t="shared" si="210"/>
        <v>8.3333333333333297E-3</v>
      </c>
      <c r="AC230" s="267">
        <f t="shared" si="210"/>
        <v>8.066666666666663E-3</v>
      </c>
      <c r="AD230" s="267">
        <f t="shared" si="210"/>
        <v>7.7999999999999962E-3</v>
      </c>
      <c r="AE230" s="267">
        <f t="shared" si="210"/>
        <v>7.5333333333333294E-3</v>
      </c>
      <c r="AF230" s="267">
        <f t="shared" si="210"/>
        <v>7.2666666666666626E-3</v>
      </c>
      <c r="AG230" s="562">
        <v>7.0000000000000001E-3</v>
      </c>
      <c r="AI230" s="188"/>
      <c r="AJ230" t="s">
        <v>1470</v>
      </c>
    </row>
    <row r="231" spans="1:36" outlineLevel="1">
      <c r="A231" s="3" t="s">
        <v>625</v>
      </c>
      <c r="B231" s="252" t="s">
        <v>126</v>
      </c>
      <c r="C231" s="562">
        <v>5.0000000000000001E-3</v>
      </c>
      <c r="D231" s="267">
        <f t="shared" si="210"/>
        <v>4.9333333333333338E-3</v>
      </c>
      <c r="E231" s="267">
        <f t="shared" si="210"/>
        <v>4.8666666666666676E-3</v>
      </c>
      <c r="F231" s="267">
        <f t="shared" si="210"/>
        <v>4.8000000000000013E-3</v>
      </c>
      <c r="G231" s="267">
        <f t="shared" si="210"/>
        <v>4.7333333333333351E-3</v>
      </c>
      <c r="H231" s="267">
        <f t="shared" si="210"/>
        <v>4.6666666666666688E-3</v>
      </c>
      <c r="I231" s="267">
        <f t="shared" si="210"/>
        <v>4.6000000000000025E-3</v>
      </c>
      <c r="J231" s="267">
        <f t="shared" si="210"/>
        <v>4.5333333333333363E-3</v>
      </c>
      <c r="K231" s="267">
        <f t="shared" si="210"/>
        <v>4.46666666666667E-3</v>
      </c>
      <c r="L231" s="267">
        <f t="shared" si="210"/>
        <v>4.4000000000000037E-3</v>
      </c>
      <c r="M231" s="267">
        <f t="shared" si="210"/>
        <v>4.3333333333333375E-3</v>
      </c>
      <c r="N231" s="267">
        <f t="shared" si="210"/>
        <v>4.2666666666666712E-3</v>
      </c>
      <c r="O231" s="267">
        <f t="shared" si="210"/>
        <v>4.2000000000000049E-3</v>
      </c>
      <c r="P231" s="267">
        <f t="shared" si="210"/>
        <v>4.1333333333333387E-3</v>
      </c>
      <c r="Q231" s="267">
        <f t="shared" si="210"/>
        <v>4.0666666666666724E-3</v>
      </c>
      <c r="R231" s="267">
        <f t="shared" si="210"/>
        <v>4.0000000000000062E-3</v>
      </c>
      <c r="S231" s="267">
        <f t="shared" si="210"/>
        <v>3.9333333333333399E-3</v>
      </c>
      <c r="T231" s="267">
        <f t="shared" si="210"/>
        <v>3.8666666666666732E-3</v>
      </c>
      <c r="U231" s="267">
        <f t="shared" si="210"/>
        <v>3.8000000000000065E-3</v>
      </c>
      <c r="V231" s="267">
        <f t="shared" si="210"/>
        <v>3.7333333333333398E-3</v>
      </c>
      <c r="W231" s="267">
        <f t="shared" si="210"/>
        <v>3.6666666666666731E-3</v>
      </c>
      <c r="X231" s="267">
        <f t="shared" si="210"/>
        <v>3.6000000000000064E-3</v>
      </c>
      <c r="Y231" s="267">
        <f t="shared" si="210"/>
        <v>3.5333333333333397E-3</v>
      </c>
      <c r="Z231" s="267">
        <f t="shared" si="210"/>
        <v>3.466666666666673E-3</v>
      </c>
      <c r="AA231" s="267">
        <f t="shared" si="210"/>
        <v>3.4000000000000063E-3</v>
      </c>
      <c r="AB231" s="267">
        <f t="shared" si="210"/>
        <v>3.3333333333333396E-3</v>
      </c>
      <c r="AC231" s="267">
        <f t="shared" si="210"/>
        <v>3.2666666666666729E-3</v>
      </c>
      <c r="AD231" s="267">
        <f t="shared" si="210"/>
        <v>3.2000000000000062E-3</v>
      </c>
      <c r="AE231" s="267">
        <f t="shared" si="210"/>
        <v>3.1333333333333395E-3</v>
      </c>
      <c r="AF231" s="267">
        <f t="shared" si="210"/>
        <v>3.0666666666666728E-3</v>
      </c>
      <c r="AG231" s="562">
        <v>3.0000000000000001E-3</v>
      </c>
      <c r="AI231" s="188"/>
      <c r="AJ231" t="s">
        <v>1470</v>
      </c>
    </row>
    <row r="232" spans="1:36" s="54" customFormat="1" outlineLevel="1">
      <c r="A232" s="256" t="s">
        <v>627</v>
      </c>
      <c r="B232" s="253"/>
      <c r="C232" s="254"/>
      <c r="D232" s="254"/>
      <c r="E232" s="254"/>
      <c r="F232" s="254"/>
      <c r="G232" s="254"/>
      <c r="H232" s="254"/>
      <c r="I232" s="254"/>
      <c r="J232" s="254"/>
      <c r="K232" s="254"/>
      <c r="L232" s="254"/>
      <c r="M232" s="254"/>
      <c r="N232" s="254"/>
      <c r="O232" s="254"/>
      <c r="P232" s="254"/>
      <c r="Q232" s="254"/>
      <c r="R232" s="254"/>
      <c r="S232" s="254"/>
      <c r="T232" s="254"/>
      <c r="U232" s="254"/>
      <c r="V232" s="254"/>
      <c r="W232" s="254"/>
      <c r="X232" s="254"/>
      <c r="Y232" s="254"/>
      <c r="Z232" s="254"/>
      <c r="AA232" s="254"/>
      <c r="AB232" s="254"/>
      <c r="AC232" s="254"/>
      <c r="AD232" s="254"/>
      <c r="AE232" s="254"/>
      <c r="AF232" s="254"/>
      <c r="AG232" s="254"/>
      <c r="AI232" s="255"/>
      <c r="AJ232" s="256"/>
    </row>
    <row r="233" spans="1:36" s="54" customFormat="1" outlineLevel="1">
      <c r="A233" s="257" t="s">
        <v>656</v>
      </c>
      <c r="B233" s="258" t="s">
        <v>126</v>
      </c>
      <c r="C233" s="563">
        <f>C225</f>
        <v>0.98</v>
      </c>
      <c r="D233" s="287">
        <f>-($C233-$AG233)/30+C233</f>
        <v>0.98033333333333328</v>
      </c>
      <c r="E233" s="287">
        <f t="shared" ref="E233:AF234" si="211">-($C233-$AG233)/30+D233</f>
        <v>0.98066666666666658</v>
      </c>
      <c r="F233" s="287">
        <f t="shared" si="211"/>
        <v>0.98099999999999987</v>
      </c>
      <c r="G233" s="287">
        <f t="shared" si="211"/>
        <v>0.98133333333333317</v>
      </c>
      <c r="H233" s="287">
        <f t="shared" si="211"/>
        <v>0.98166666666666647</v>
      </c>
      <c r="I233" s="287">
        <f t="shared" si="211"/>
        <v>0.98199999999999976</v>
      </c>
      <c r="J233" s="287">
        <f t="shared" si="211"/>
        <v>0.98233333333333306</v>
      </c>
      <c r="K233" s="287">
        <f t="shared" si="211"/>
        <v>0.98266666666666636</v>
      </c>
      <c r="L233" s="287">
        <f t="shared" si="211"/>
        <v>0.98299999999999965</v>
      </c>
      <c r="M233" s="287">
        <f t="shared" si="211"/>
        <v>0.98333333333333295</v>
      </c>
      <c r="N233" s="287">
        <f t="shared" si="211"/>
        <v>0.98366666666666625</v>
      </c>
      <c r="O233" s="287">
        <f t="shared" si="211"/>
        <v>0.98399999999999954</v>
      </c>
      <c r="P233" s="287">
        <f t="shared" si="211"/>
        <v>0.98433333333333284</v>
      </c>
      <c r="Q233" s="287">
        <f t="shared" si="211"/>
        <v>0.98466666666666613</v>
      </c>
      <c r="R233" s="287">
        <f t="shared" si="211"/>
        <v>0.98499999999999943</v>
      </c>
      <c r="S233" s="287">
        <f t="shared" si="211"/>
        <v>0.98533333333333273</v>
      </c>
      <c r="T233" s="287">
        <f t="shared" si="211"/>
        <v>0.98566666666666602</v>
      </c>
      <c r="U233" s="287">
        <f t="shared" si="211"/>
        <v>0.98599999999999932</v>
      </c>
      <c r="V233" s="287">
        <f t="shared" si="211"/>
        <v>0.98633333333333262</v>
      </c>
      <c r="W233" s="287">
        <f t="shared" si="211"/>
        <v>0.98666666666666591</v>
      </c>
      <c r="X233" s="287">
        <f t="shared" si="211"/>
        <v>0.98699999999999921</v>
      </c>
      <c r="Y233" s="287">
        <f t="shared" si="211"/>
        <v>0.98733333333333251</v>
      </c>
      <c r="Z233" s="287">
        <f t="shared" si="211"/>
        <v>0.9876666666666658</v>
      </c>
      <c r="AA233" s="287">
        <f t="shared" si="211"/>
        <v>0.9879999999999991</v>
      </c>
      <c r="AB233" s="287">
        <f t="shared" si="211"/>
        <v>0.9883333333333324</v>
      </c>
      <c r="AC233" s="287">
        <f t="shared" si="211"/>
        <v>0.98866666666666569</v>
      </c>
      <c r="AD233" s="287">
        <f t="shared" si="211"/>
        <v>0.98899999999999899</v>
      </c>
      <c r="AE233" s="287">
        <f t="shared" si="211"/>
        <v>0.98933333333333229</v>
      </c>
      <c r="AF233" s="287">
        <f t="shared" si="211"/>
        <v>0.98966666666666558</v>
      </c>
      <c r="AG233" s="563">
        <f>AG225</f>
        <v>0.99</v>
      </c>
      <c r="AI233" s="255"/>
      <c r="AJ233" s="271" t="s">
        <v>1469</v>
      </c>
    </row>
    <row r="234" spans="1:36" s="54" customFormat="1" outlineLevel="1">
      <c r="A234" s="257" t="s">
        <v>667</v>
      </c>
      <c r="B234" s="258" t="s">
        <v>126</v>
      </c>
      <c r="C234" s="563">
        <v>1</v>
      </c>
      <c r="D234" s="287">
        <f>-($C234-$AG234)/30+C234</f>
        <v>1</v>
      </c>
      <c r="E234" s="287">
        <f t="shared" si="211"/>
        <v>1</v>
      </c>
      <c r="F234" s="287">
        <f t="shared" si="211"/>
        <v>1</v>
      </c>
      <c r="G234" s="287">
        <f t="shared" si="211"/>
        <v>1</v>
      </c>
      <c r="H234" s="287">
        <f t="shared" si="211"/>
        <v>1</v>
      </c>
      <c r="I234" s="287">
        <f t="shared" si="211"/>
        <v>1</v>
      </c>
      <c r="J234" s="287">
        <f t="shared" si="211"/>
        <v>1</v>
      </c>
      <c r="K234" s="287">
        <f t="shared" si="211"/>
        <v>1</v>
      </c>
      <c r="L234" s="287">
        <f t="shared" si="211"/>
        <v>1</v>
      </c>
      <c r="M234" s="287">
        <f t="shared" si="211"/>
        <v>1</v>
      </c>
      <c r="N234" s="287">
        <f t="shared" si="211"/>
        <v>1</v>
      </c>
      <c r="O234" s="287">
        <f t="shared" si="211"/>
        <v>1</v>
      </c>
      <c r="P234" s="287">
        <f t="shared" si="211"/>
        <v>1</v>
      </c>
      <c r="Q234" s="287">
        <f t="shared" si="211"/>
        <v>1</v>
      </c>
      <c r="R234" s="287">
        <f t="shared" si="211"/>
        <v>1</v>
      </c>
      <c r="S234" s="287">
        <f t="shared" si="211"/>
        <v>1</v>
      </c>
      <c r="T234" s="287">
        <f t="shared" si="211"/>
        <v>1</v>
      </c>
      <c r="U234" s="287">
        <f t="shared" si="211"/>
        <v>1</v>
      </c>
      <c r="V234" s="287">
        <f t="shared" si="211"/>
        <v>1</v>
      </c>
      <c r="W234" s="287">
        <f t="shared" si="211"/>
        <v>1</v>
      </c>
      <c r="X234" s="287">
        <f t="shared" si="211"/>
        <v>1</v>
      </c>
      <c r="Y234" s="287">
        <f t="shared" si="211"/>
        <v>1</v>
      </c>
      <c r="Z234" s="287">
        <f t="shared" si="211"/>
        <v>1</v>
      </c>
      <c r="AA234" s="287">
        <f t="shared" si="211"/>
        <v>1</v>
      </c>
      <c r="AB234" s="287">
        <f t="shared" si="211"/>
        <v>1</v>
      </c>
      <c r="AC234" s="287">
        <f t="shared" si="211"/>
        <v>1</v>
      </c>
      <c r="AD234" s="287">
        <f t="shared" si="211"/>
        <v>1</v>
      </c>
      <c r="AE234" s="287">
        <f t="shared" si="211"/>
        <v>1</v>
      </c>
      <c r="AF234" s="287">
        <f t="shared" si="211"/>
        <v>1</v>
      </c>
      <c r="AG234" s="563">
        <v>1</v>
      </c>
      <c r="AI234" s="255"/>
      <c r="AJ234" t="s">
        <v>1470</v>
      </c>
    </row>
    <row r="235" spans="1:36" s="58" customFormat="1" outlineLevel="1">
      <c r="A235" s="261" t="s">
        <v>668</v>
      </c>
      <c r="B235" s="262" t="s">
        <v>126</v>
      </c>
      <c r="C235" s="289">
        <f>1-C234</f>
        <v>0</v>
      </c>
      <c r="D235" s="289">
        <f t="shared" ref="D235:AG235" si="212">1-D234</f>
        <v>0</v>
      </c>
      <c r="E235" s="289">
        <f t="shared" si="212"/>
        <v>0</v>
      </c>
      <c r="F235" s="289">
        <f t="shared" si="212"/>
        <v>0</v>
      </c>
      <c r="G235" s="289">
        <f t="shared" si="212"/>
        <v>0</v>
      </c>
      <c r="H235" s="289">
        <f t="shared" si="212"/>
        <v>0</v>
      </c>
      <c r="I235" s="289">
        <f t="shared" si="212"/>
        <v>0</v>
      </c>
      <c r="J235" s="289">
        <f t="shared" si="212"/>
        <v>0</v>
      </c>
      <c r="K235" s="289">
        <f t="shared" si="212"/>
        <v>0</v>
      </c>
      <c r="L235" s="289">
        <f t="shared" si="212"/>
        <v>0</v>
      </c>
      <c r="M235" s="289">
        <f t="shared" si="212"/>
        <v>0</v>
      </c>
      <c r="N235" s="289">
        <f t="shared" si="212"/>
        <v>0</v>
      </c>
      <c r="O235" s="289">
        <f t="shared" si="212"/>
        <v>0</v>
      </c>
      <c r="P235" s="289">
        <f t="shared" si="212"/>
        <v>0</v>
      </c>
      <c r="Q235" s="289">
        <f t="shared" si="212"/>
        <v>0</v>
      </c>
      <c r="R235" s="289">
        <f t="shared" si="212"/>
        <v>0</v>
      </c>
      <c r="S235" s="289">
        <f t="shared" si="212"/>
        <v>0</v>
      </c>
      <c r="T235" s="289">
        <f t="shared" si="212"/>
        <v>0</v>
      </c>
      <c r="U235" s="289">
        <f t="shared" si="212"/>
        <v>0</v>
      </c>
      <c r="V235" s="289">
        <f t="shared" si="212"/>
        <v>0</v>
      </c>
      <c r="W235" s="289">
        <f t="shared" si="212"/>
        <v>0</v>
      </c>
      <c r="X235" s="289">
        <f t="shared" si="212"/>
        <v>0</v>
      </c>
      <c r="Y235" s="289">
        <f t="shared" si="212"/>
        <v>0</v>
      </c>
      <c r="Z235" s="289">
        <f t="shared" si="212"/>
        <v>0</v>
      </c>
      <c r="AA235" s="289">
        <f t="shared" si="212"/>
        <v>0</v>
      </c>
      <c r="AB235" s="289">
        <f t="shared" si="212"/>
        <v>0</v>
      </c>
      <c r="AC235" s="289">
        <f t="shared" si="212"/>
        <v>0</v>
      </c>
      <c r="AD235" s="289">
        <f t="shared" si="212"/>
        <v>0</v>
      </c>
      <c r="AE235" s="289">
        <f t="shared" si="212"/>
        <v>0</v>
      </c>
      <c r="AF235" s="289">
        <f t="shared" si="212"/>
        <v>0</v>
      </c>
      <c r="AG235" s="289">
        <f t="shared" si="212"/>
        <v>0</v>
      </c>
      <c r="AI235" s="291"/>
      <c r="AJ235" s="290"/>
    </row>
    <row r="236" spans="1:36" s="1" customFormat="1" outlineLevel="1">
      <c r="A236" t="s">
        <v>649</v>
      </c>
      <c r="B236" s="252" t="s">
        <v>126</v>
      </c>
      <c r="C236" s="562">
        <v>1</v>
      </c>
      <c r="D236" s="267">
        <f t="shared" ref="D236:S251" si="213">-($C236-$AG236)/30+C236</f>
        <v>1</v>
      </c>
      <c r="E236" s="267">
        <f t="shared" si="213"/>
        <v>1</v>
      </c>
      <c r="F236" s="267">
        <f t="shared" si="213"/>
        <v>1</v>
      </c>
      <c r="G236" s="267">
        <f t="shared" si="213"/>
        <v>1</v>
      </c>
      <c r="H236" s="267">
        <f t="shared" si="213"/>
        <v>1</v>
      </c>
      <c r="I236" s="267">
        <f t="shared" si="213"/>
        <v>1</v>
      </c>
      <c r="J236" s="267">
        <f t="shared" si="213"/>
        <v>1</v>
      </c>
      <c r="K236" s="267">
        <f t="shared" si="213"/>
        <v>1</v>
      </c>
      <c r="L236" s="267">
        <f t="shared" si="213"/>
        <v>1</v>
      </c>
      <c r="M236" s="267">
        <f t="shared" si="213"/>
        <v>1</v>
      </c>
      <c r="N236" s="267">
        <f t="shared" si="213"/>
        <v>1</v>
      </c>
      <c r="O236" s="267">
        <f t="shared" si="213"/>
        <v>1</v>
      </c>
      <c r="P236" s="267">
        <f t="shared" si="213"/>
        <v>1</v>
      </c>
      <c r="Q236" s="267">
        <f t="shared" si="213"/>
        <v>1</v>
      </c>
      <c r="R236" s="267">
        <f t="shared" si="213"/>
        <v>1</v>
      </c>
      <c r="S236" s="267">
        <f t="shared" si="213"/>
        <v>1</v>
      </c>
      <c r="T236" s="267">
        <f t="shared" ref="T236:AF250" si="214">-($C236-$AG236)/30+S236</f>
        <v>1</v>
      </c>
      <c r="U236" s="267">
        <f t="shared" si="214"/>
        <v>1</v>
      </c>
      <c r="V236" s="267">
        <f t="shared" si="214"/>
        <v>1</v>
      </c>
      <c r="W236" s="267">
        <f t="shared" si="214"/>
        <v>1</v>
      </c>
      <c r="X236" s="267">
        <f t="shared" si="214"/>
        <v>1</v>
      </c>
      <c r="Y236" s="267">
        <f t="shared" si="214"/>
        <v>1</v>
      </c>
      <c r="Z236" s="267">
        <f t="shared" si="214"/>
        <v>1</v>
      </c>
      <c r="AA236" s="267">
        <f t="shared" si="214"/>
        <v>1</v>
      </c>
      <c r="AB236" s="267">
        <f t="shared" si="214"/>
        <v>1</v>
      </c>
      <c r="AC236" s="267">
        <f t="shared" si="214"/>
        <v>1</v>
      </c>
      <c r="AD236" s="267">
        <f t="shared" si="214"/>
        <v>1</v>
      </c>
      <c r="AE236" s="267">
        <f t="shared" si="214"/>
        <v>1</v>
      </c>
      <c r="AF236" s="267">
        <f t="shared" si="214"/>
        <v>1</v>
      </c>
      <c r="AG236" s="562">
        <v>1</v>
      </c>
      <c r="AI236" s="266"/>
      <c r="AJ236" s="185"/>
    </row>
    <row r="237" spans="1:36" s="1" customFormat="1" outlineLevel="1">
      <c r="A237" t="s">
        <v>655</v>
      </c>
      <c r="B237" s="252" t="s">
        <v>126</v>
      </c>
      <c r="C237" s="562">
        <v>0</v>
      </c>
      <c r="D237" s="267">
        <f t="shared" si="213"/>
        <v>0</v>
      </c>
      <c r="E237" s="267">
        <f t="shared" si="213"/>
        <v>0</v>
      </c>
      <c r="F237" s="267">
        <f t="shared" si="213"/>
        <v>0</v>
      </c>
      <c r="G237" s="267">
        <f t="shared" si="213"/>
        <v>0</v>
      </c>
      <c r="H237" s="267">
        <f t="shared" si="213"/>
        <v>0</v>
      </c>
      <c r="I237" s="267">
        <f t="shared" si="213"/>
        <v>0</v>
      </c>
      <c r="J237" s="267">
        <f t="shared" si="213"/>
        <v>0</v>
      </c>
      <c r="K237" s="267">
        <f t="shared" si="213"/>
        <v>0</v>
      </c>
      <c r="L237" s="267">
        <f t="shared" si="213"/>
        <v>0</v>
      </c>
      <c r="M237" s="267">
        <f t="shared" si="213"/>
        <v>0</v>
      </c>
      <c r="N237" s="267">
        <f t="shared" si="213"/>
        <v>0</v>
      </c>
      <c r="O237" s="267">
        <f t="shared" si="213"/>
        <v>0</v>
      </c>
      <c r="P237" s="267">
        <f t="shared" si="213"/>
        <v>0</v>
      </c>
      <c r="Q237" s="267">
        <f t="shared" si="213"/>
        <v>0</v>
      </c>
      <c r="R237" s="267">
        <f t="shared" si="213"/>
        <v>0</v>
      </c>
      <c r="S237" s="267">
        <f t="shared" si="213"/>
        <v>0</v>
      </c>
      <c r="T237" s="267">
        <f t="shared" si="214"/>
        <v>0</v>
      </c>
      <c r="U237" s="267">
        <f t="shared" si="214"/>
        <v>0</v>
      </c>
      <c r="V237" s="267">
        <f t="shared" si="214"/>
        <v>0</v>
      </c>
      <c r="W237" s="267">
        <f t="shared" si="214"/>
        <v>0</v>
      </c>
      <c r="X237" s="267">
        <f t="shared" si="214"/>
        <v>0</v>
      </c>
      <c r="Y237" s="267">
        <f t="shared" si="214"/>
        <v>0</v>
      </c>
      <c r="Z237" s="267">
        <f t="shared" si="214"/>
        <v>0</v>
      </c>
      <c r="AA237" s="267">
        <f t="shared" si="214"/>
        <v>0</v>
      </c>
      <c r="AB237" s="267">
        <f t="shared" si="214"/>
        <v>0</v>
      </c>
      <c r="AC237" s="267">
        <f t="shared" si="214"/>
        <v>0</v>
      </c>
      <c r="AD237" s="267">
        <f t="shared" si="214"/>
        <v>0</v>
      </c>
      <c r="AE237" s="267">
        <f t="shared" si="214"/>
        <v>0</v>
      </c>
      <c r="AF237" s="267">
        <f t="shared" si="214"/>
        <v>0</v>
      </c>
      <c r="AG237" s="562">
        <v>0</v>
      </c>
      <c r="AI237" s="266"/>
      <c r="AJ237" s="185" t="s">
        <v>1471</v>
      </c>
    </row>
    <row r="238" spans="1:36" s="1" customFormat="1" outlineLevel="1">
      <c r="A238" t="s">
        <v>650</v>
      </c>
      <c r="B238" s="252" t="s">
        <v>126</v>
      </c>
      <c r="C238" s="246">
        <v>0.15</v>
      </c>
      <c r="D238" s="267">
        <f t="shared" si="213"/>
        <v>0.15633333333333332</v>
      </c>
      <c r="E238" s="267">
        <f t="shared" si="213"/>
        <v>0.16266666666666665</v>
      </c>
      <c r="F238" s="267">
        <f t="shared" si="213"/>
        <v>0.16899999999999998</v>
      </c>
      <c r="G238" s="267">
        <f t="shared" si="213"/>
        <v>0.17533333333333331</v>
      </c>
      <c r="H238" s="267">
        <f t="shared" si="213"/>
        <v>0.18166666666666664</v>
      </c>
      <c r="I238" s="267">
        <f t="shared" si="213"/>
        <v>0.18799999999999997</v>
      </c>
      <c r="J238" s="267">
        <f t="shared" si="213"/>
        <v>0.1943333333333333</v>
      </c>
      <c r="K238" s="267">
        <f t="shared" si="213"/>
        <v>0.20066666666666663</v>
      </c>
      <c r="L238" s="267">
        <f t="shared" si="213"/>
        <v>0.20699999999999996</v>
      </c>
      <c r="M238" s="267">
        <f t="shared" si="213"/>
        <v>0.21333333333333329</v>
      </c>
      <c r="N238" s="267">
        <f t="shared" si="213"/>
        <v>0.21966666666666662</v>
      </c>
      <c r="O238" s="267">
        <f t="shared" si="213"/>
        <v>0.22599999999999995</v>
      </c>
      <c r="P238" s="267">
        <f t="shared" si="213"/>
        <v>0.23233333333333328</v>
      </c>
      <c r="Q238" s="267">
        <f t="shared" si="213"/>
        <v>0.23866666666666661</v>
      </c>
      <c r="R238" s="267">
        <f t="shared" si="213"/>
        <v>0.24499999999999994</v>
      </c>
      <c r="S238" s="267">
        <f t="shared" si="213"/>
        <v>0.2513333333333333</v>
      </c>
      <c r="T238" s="267">
        <f t="shared" si="214"/>
        <v>0.25766666666666665</v>
      </c>
      <c r="U238" s="267">
        <f t="shared" si="214"/>
        <v>0.26400000000000001</v>
      </c>
      <c r="V238" s="267">
        <f t="shared" si="214"/>
        <v>0.27033333333333337</v>
      </c>
      <c r="W238" s="267">
        <f t="shared" si="214"/>
        <v>0.27666666666666673</v>
      </c>
      <c r="X238" s="267">
        <f t="shared" si="214"/>
        <v>0.28300000000000008</v>
      </c>
      <c r="Y238" s="267">
        <f t="shared" si="214"/>
        <v>0.28933333333333344</v>
      </c>
      <c r="Z238" s="267">
        <f t="shared" si="214"/>
        <v>0.2956666666666668</v>
      </c>
      <c r="AA238" s="267">
        <f t="shared" si="214"/>
        <v>0.30200000000000016</v>
      </c>
      <c r="AB238" s="267">
        <f t="shared" si="214"/>
        <v>0.30833333333333351</v>
      </c>
      <c r="AC238" s="267">
        <f t="shared" si="214"/>
        <v>0.31466666666666687</v>
      </c>
      <c r="AD238" s="267">
        <f t="shared" si="214"/>
        <v>0.32100000000000023</v>
      </c>
      <c r="AE238" s="267">
        <f t="shared" si="214"/>
        <v>0.32733333333333359</v>
      </c>
      <c r="AF238" s="267">
        <f t="shared" si="214"/>
        <v>0.33366666666666694</v>
      </c>
      <c r="AG238" s="246">
        <v>0.34</v>
      </c>
      <c r="AI238" s="266"/>
      <c r="AJ238" t="s">
        <v>1470</v>
      </c>
    </row>
    <row r="239" spans="1:36" s="1" customFormat="1" outlineLevel="1">
      <c r="A239" t="s">
        <v>651</v>
      </c>
      <c r="B239" s="252" t="s">
        <v>126</v>
      </c>
      <c r="C239" s="267">
        <f>1-C238</f>
        <v>0.85</v>
      </c>
      <c r="D239" s="267">
        <f t="shared" si="213"/>
        <v>0.84366666666666668</v>
      </c>
      <c r="E239" s="267">
        <f t="shared" si="213"/>
        <v>0.83733333333333337</v>
      </c>
      <c r="F239" s="267">
        <f t="shared" si="213"/>
        <v>0.83100000000000007</v>
      </c>
      <c r="G239" s="267">
        <f t="shared" si="213"/>
        <v>0.82466666666666677</v>
      </c>
      <c r="H239" s="267">
        <f t="shared" si="213"/>
        <v>0.81833333333333347</v>
      </c>
      <c r="I239" s="267">
        <f t="shared" si="213"/>
        <v>0.81200000000000017</v>
      </c>
      <c r="J239" s="267">
        <f t="shared" si="213"/>
        <v>0.80566666666666686</v>
      </c>
      <c r="K239" s="267">
        <f t="shared" si="213"/>
        <v>0.79933333333333356</v>
      </c>
      <c r="L239" s="267">
        <f t="shared" si="213"/>
        <v>0.79300000000000026</v>
      </c>
      <c r="M239" s="267">
        <f t="shared" si="213"/>
        <v>0.78666666666666696</v>
      </c>
      <c r="N239" s="267">
        <f t="shared" si="213"/>
        <v>0.78033333333333366</v>
      </c>
      <c r="O239" s="267">
        <f t="shared" si="213"/>
        <v>0.77400000000000035</v>
      </c>
      <c r="P239" s="267">
        <f t="shared" si="213"/>
        <v>0.76766666666666705</v>
      </c>
      <c r="Q239" s="267">
        <f t="shared" si="213"/>
        <v>0.76133333333333375</v>
      </c>
      <c r="R239" s="267">
        <f t="shared" si="213"/>
        <v>0.75500000000000045</v>
      </c>
      <c r="S239" s="267">
        <f t="shared" si="213"/>
        <v>0.74866666666666715</v>
      </c>
      <c r="T239" s="267">
        <f t="shared" si="214"/>
        <v>0.74233333333333384</v>
      </c>
      <c r="U239" s="267">
        <f t="shared" si="214"/>
        <v>0.73600000000000054</v>
      </c>
      <c r="V239" s="267">
        <f t="shared" si="214"/>
        <v>0.72966666666666724</v>
      </c>
      <c r="W239" s="267">
        <f t="shared" si="214"/>
        <v>0.72333333333333394</v>
      </c>
      <c r="X239" s="267">
        <f t="shared" si="214"/>
        <v>0.71700000000000064</v>
      </c>
      <c r="Y239" s="267">
        <f t="shared" si="214"/>
        <v>0.71066666666666733</v>
      </c>
      <c r="Z239" s="267">
        <f t="shared" si="214"/>
        <v>0.70433333333333403</v>
      </c>
      <c r="AA239" s="267">
        <f t="shared" si="214"/>
        <v>0.69800000000000073</v>
      </c>
      <c r="AB239" s="267">
        <f t="shared" si="214"/>
        <v>0.69166666666666743</v>
      </c>
      <c r="AC239" s="267">
        <f t="shared" si="214"/>
        <v>0.68533333333333413</v>
      </c>
      <c r="AD239" s="267">
        <f t="shared" si="214"/>
        <v>0.67900000000000083</v>
      </c>
      <c r="AE239" s="267">
        <f t="shared" si="214"/>
        <v>0.67266666666666752</v>
      </c>
      <c r="AF239" s="267">
        <f t="shared" si="214"/>
        <v>0.66633333333333422</v>
      </c>
      <c r="AG239" s="267">
        <f>1-AG238</f>
        <v>0.65999999999999992</v>
      </c>
      <c r="AI239" s="266"/>
      <c r="AJ239" t="s">
        <v>1470</v>
      </c>
    </row>
    <row r="240" spans="1:36" s="1" customFormat="1" outlineLevel="1">
      <c r="A240" t="s">
        <v>654</v>
      </c>
      <c r="B240" s="252" t="s">
        <v>126</v>
      </c>
      <c r="C240" s="246">
        <v>0</v>
      </c>
      <c r="D240" s="267">
        <f t="shared" si="213"/>
        <v>0</v>
      </c>
      <c r="E240" s="267">
        <f t="shared" si="213"/>
        <v>0</v>
      </c>
      <c r="F240" s="267">
        <f t="shared" si="213"/>
        <v>0</v>
      </c>
      <c r="G240" s="267">
        <f t="shared" si="213"/>
        <v>0</v>
      </c>
      <c r="H240" s="267">
        <f t="shared" si="213"/>
        <v>0</v>
      </c>
      <c r="I240" s="267">
        <f t="shared" si="213"/>
        <v>0</v>
      </c>
      <c r="J240" s="267">
        <f t="shared" si="213"/>
        <v>0</v>
      </c>
      <c r="K240" s="267">
        <f t="shared" si="213"/>
        <v>0</v>
      </c>
      <c r="L240" s="267">
        <f t="shared" si="213"/>
        <v>0</v>
      </c>
      <c r="M240" s="267">
        <f t="shared" si="213"/>
        <v>0</v>
      </c>
      <c r="N240" s="267">
        <f t="shared" si="213"/>
        <v>0</v>
      </c>
      <c r="O240" s="267">
        <f t="shared" si="213"/>
        <v>0</v>
      </c>
      <c r="P240" s="267">
        <f t="shared" si="213"/>
        <v>0</v>
      </c>
      <c r="Q240" s="267">
        <f t="shared" si="213"/>
        <v>0</v>
      </c>
      <c r="R240" s="267">
        <f t="shared" si="213"/>
        <v>0</v>
      </c>
      <c r="S240" s="267">
        <f t="shared" si="213"/>
        <v>0</v>
      </c>
      <c r="T240" s="267">
        <f t="shared" si="214"/>
        <v>0</v>
      </c>
      <c r="U240" s="267">
        <f t="shared" si="214"/>
        <v>0</v>
      </c>
      <c r="V240" s="267">
        <f t="shared" si="214"/>
        <v>0</v>
      </c>
      <c r="W240" s="267">
        <f t="shared" si="214"/>
        <v>0</v>
      </c>
      <c r="X240" s="267">
        <f t="shared" si="214"/>
        <v>0</v>
      </c>
      <c r="Y240" s="267">
        <f t="shared" si="214"/>
        <v>0</v>
      </c>
      <c r="Z240" s="267">
        <f t="shared" si="214"/>
        <v>0</v>
      </c>
      <c r="AA240" s="267">
        <f t="shared" si="214"/>
        <v>0</v>
      </c>
      <c r="AB240" s="267">
        <f t="shared" si="214"/>
        <v>0</v>
      </c>
      <c r="AC240" s="267">
        <f t="shared" si="214"/>
        <v>0</v>
      </c>
      <c r="AD240" s="267">
        <f t="shared" si="214"/>
        <v>0</v>
      </c>
      <c r="AE240" s="267">
        <f t="shared" si="214"/>
        <v>0</v>
      </c>
      <c r="AF240" s="267">
        <f t="shared" si="214"/>
        <v>0</v>
      </c>
      <c r="AG240" s="246">
        <v>0</v>
      </c>
      <c r="AI240" s="266"/>
      <c r="AJ240" t="s">
        <v>1470</v>
      </c>
    </row>
    <row r="241" spans="1:36" s="1" customFormat="1" outlineLevel="1">
      <c r="A241" t="s">
        <v>665</v>
      </c>
      <c r="B241" s="252" t="s">
        <v>126</v>
      </c>
      <c r="C241" s="246">
        <v>1</v>
      </c>
      <c r="D241" s="267">
        <f t="shared" si="213"/>
        <v>1</v>
      </c>
      <c r="E241" s="267">
        <f t="shared" si="213"/>
        <v>1</v>
      </c>
      <c r="F241" s="267">
        <f t="shared" si="213"/>
        <v>1</v>
      </c>
      <c r="G241" s="267">
        <f t="shared" si="213"/>
        <v>1</v>
      </c>
      <c r="H241" s="267">
        <f t="shared" si="213"/>
        <v>1</v>
      </c>
      <c r="I241" s="267">
        <f t="shared" si="213"/>
        <v>1</v>
      </c>
      <c r="J241" s="267">
        <f t="shared" si="213"/>
        <v>1</v>
      </c>
      <c r="K241" s="267">
        <f t="shared" si="213"/>
        <v>1</v>
      </c>
      <c r="L241" s="267">
        <f t="shared" si="213"/>
        <v>1</v>
      </c>
      <c r="M241" s="267">
        <f t="shared" si="213"/>
        <v>1</v>
      </c>
      <c r="N241" s="267">
        <f t="shared" si="213"/>
        <v>1</v>
      </c>
      <c r="O241" s="267">
        <f t="shared" si="213"/>
        <v>1</v>
      </c>
      <c r="P241" s="267">
        <f t="shared" si="213"/>
        <v>1</v>
      </c>
      <c r="Q241" s="267">
        <f t="shared" si="213"/>
        <v>1</v>
      </c>
      <c r="R241" s="267">
        <f t="shared" si="213"/>
        <v>1</v>
      </c>
      <c r="S241" s="267">
        <f t="shared" si="213"/>
        <v>1</v>
      </c>
      <c r="T241" s="267">
        <f t="shared" si="214"/>
        <v>1</v>
      </c>
      <c r="U241" s="267">
        <f t="shared" si="214"/>
        <v>1</v>
      </c>
      <c r="V241" s="267">
        <f t="shared" si="214"/>
        <v>1</v>
      </c>
      <c r="W241" s="267">
        <f t="shared" si="214"/>
        <v>1</v>
      </c>
      <c r="X241" s="267">
        <f t="shared" si="214"/>
        <v>1</v>
      </c>
      <c r="Y241" s="267">
        <f t="shared" si="214"/>
        <v>1</v>
      </c>
      <c r="Z241" s="267">
        <f t="shared" si="214"/>
        <v>1</v>
      </c>
      <c r="AA241" s="267">
        <f t="shared" si="214"/>
        <v>1</v>
      </c>
      <c r="AB241" s="267">
        <f t="shared" si="214"/>
        <v>1</v>
      </c>
      <c r="AC241" s="267">
        <f t="shared" si="214"/>
        <v>1</v>
      </c>
      <c r="AD241" s="267">
        <f t="shared" si="214"/>
        <v>1</v>
      </c>
      <c r="AE241" s="267">
        <f t="shared" si="214"/>
        <v>1</v>
      </c>
      <c r="AF241" s="267">
        <f t="shared" si="214"/>
        <v>1</v>
      </c>
      <c r="AG241" s="246">
        <v>1</v>
      </c>
      <c r="AI241" s="266"/>
      <c r="AJ241" t="s">
        <v>1470</v>
      </c>
    </row>
    <row r="242" spans="1:36" s="1" customFormat="1" outlineLevel="1">
      <c r="A242" t="s">
        <v>652</v>
      </c>
      <c r="B242" s="252" t="s">
        <v>126</v>
      </c>
      <c r="C242" s="246">
        <v>0.8</v>
      </c>
      <c r="D242" s="267">
        <f t="shared" si="213"/>
        <v>0.80333333333333334</v>
      </c>
      <c r="E242" s="267">
        <f t="shared" si="213"/>
        <v>0.80666666666666664</v>
      </c>
      <c r="F242" s="267">
        <f t="shared" si="213"/>
        <v>0.80999999999999994</v>
      </c>
      <c r="G242" s="267">
        <f t="shared" si="213"/>
        <v>0.81333333333333324</v>
      </c>
      <c r="H242" s="267">
        <f t="shared" si="213"/>
        <v>0.81666666666666654</v>
      </c>
      <c r="I242" s="267">
        <f t="shared" si="213"/>
        <v>0.81999999999999984</v>
      </c>
      <c r="J242" s="267">
        <f t="shared" si="213"/>
        <v>0.82333333333333314</v>
      </c>
      <c r="K242" s="267">
        <f t="shared" si="213"/>
        <v>0.82666666666666644</v>
      </c>
      <c r="L242" s="267">
        <f t="shared" si="213"/>
        <v>0.82999999999999974</v>
      </c>
      <c r="M242" s="267">
        <f t="shared" si="213"/>
        <v>0.83333333333333304</v>
      </c>
      <c r="N242" s="267">
        <f t="shared" si="213"/>
        <v>0.83666666666666634</v>
      </c>
      <c r="O242" s="267">
        <f t="shared" si="213"/>
        <v>0.83999999999999964</v>
      </c>
      <c r="P242" s="267">
        <f t="shared" si="213"/>
        <v>0.84333333333333294</v>
      </c>
      <c r="Q242" s="267">
        <f t="shared" si="213"/>
        <v>0.84666666666666623</v>
      </c>
      <c r="R242" s="267">
        <f t="shared" si="213"/>
        <v>0.84999999999999953</v>
      </c>
      <c r="S242" s="267">
        <f t="shared" si="213"/>
        <v>0.85333333333333283</v>
      </c>
      <c r="T242" s="267">
        <f t="shared" si="214"/>
        <v>0.85666666666666613</v>
      </c>
      <c r="U242" s="267">
        <f t="shared" si="214"/>
        <v>0.85999999999999943</v>
      </c>
      <c r="V242" s="267">
        <f t="shared" si="214"/>
        <v>0.86333333333333273</v>
      </c>
      <c r="W242" s="267">
        <f t="shared" si="214"/>
        <v>0.86666666666666603</v>
      </c>
      <c r="X242" s="267">
        <f t="shared" si="214"/>
        <v>0.86999999999999933</v>
      </c>
      <c r="Y242" s="267">
        <f t="shared" si="214"/>
        <v>0.87333333333333263</v>
      </c>
      <c r="Z242" s="267">
        <f t="shared" si="214"/>
        <v>0.87666666666666593</v>
      </c>
      <c r="AA242" s="267">
        <f t="shared" si="214"/>
        <v>0.87999999999999923</v>
      </c>
      <c r="AB242" s="267">
        <f t="shared" si="214"/>
        <v>0.88333333333333253</v>
      </c>
      <c r="AC242" s="267">
        <f t="shared" si="214"/>
        <v>0.88666666666666583</v>
      </c>
      <c r="AD242" s="267">
        <f t="shared" si="214"/>
        <v>0.88999999999999913</v>
      </c>
      <c r="AE242" s="267">
        <f t="shared" si="214"/>
        <v>0.89333333333333242</v>
      </c>
      <c r="AF242" s="267">
        <f t="shared" si="214"/>
        <v>0.89666666666666572</v>
      </c>
      <c r="AG242" s="246">
        <v>0.9</v>
      </c>
      <c r="AI242" s="266"/>
      <c r="AJ242" t="s">
        <v>1470</v>
      </c>
    </row>
    <row r="243" spans="1:36" s="1" customFormat="1" outlineLevel="1">
      <c r="A243" t="s">
        <v>653</v>
      </c>
      <c r="B243" s="252" t="s">
        <v>126</v>
      </c>
      <c r="C243" s="246">
        <v>0.2</v>
      </c>
      <c r="D243" s="267">
        <f t="shared" si="213"/>
        <v>0.19666666666666668</v>
      </c>
      <c r="E243" s="267">
        <f t="shared" si="213"/>
        <v>0.19333333333333336</v>
      </c>
      <c r="F243" s="267">
        <f t="shared" si="213"/>
        <v>0.19000000000000003</v>
      </c>
      <c r="G243" s="267">
        <f t="shared" si="213"/>
        <v>0.1866666666666667</v>
      </c>
      <c r="H243" s="267">
        <f t="shared" si="213"/>
        <v>0.18333333333333338</v>
      </c>
      <c r="I243" s="267">
        <f t="shared" si="213"/>
        <v>0.18000000000000005</v>
      </c>
      <c r="J243" s="267">
        <f t="shared" si="213"/>
        <v>0.17666666666666672</v>
      </c>
      <c r="K243" s="267">
        <f t="shared" si="213"/>
        <v>0.17333333333333339</v>
      </c>
      <c r="L243" s="267">
        <f t="shared" si="213"/>
        <v>0.17000000000000007</v>
      </c>
      <c r="M243" s="267">
        <f t="shared" si="213"/>
        <v>0.16666666666666674</v>
      </c>
      <c r="N243" s="267">
        <f t="shared" si="213"/>
        <v>0.16333333333333341</v>
      </c>
      <c r="O243" s="267">
        <f t="shared" si="213"/>
        <v>0.16000000000000009</v>
      </c>
      <c r="P243" s="267">
        <f t="shared" si="213"/>
        <v>0.15666666666666676</v>
      </c>
      <c r="Q243" s="267">
        <f t="shared" si="213"/>
        <v>0.15333333333333343</v>
      </c>
      <c r="R243" s="267">
        <f t="shared" si="213"/>
        <v>0.15000000000000011</v>
      </c>
      <c r="S243" s="267">
        <f t="shared" si="213"/>
        <v>0.14666666666666678</v>
      </c>
      <c r="T243" s="267">
        <f t="shared" si="214"/>
        <v>0.14333333333333345</v>
      </c>
      <c r="U243" s="267">
        <f t="shared" si="214"/>
        <v>0.14000000000000012</v>
      </c>
      <c r="V243" s="267">
        <f t="shared" si="214"/>
        <v>0.1366666666666668</v>
      </c>
      <c r="W243" s="267">
        <f t="shared" si="214"/>
        <v>0.13333333333333347</v>
      </c>
      <c r="X243" s="267">
        <f t="shared" si="214"/>
        <v>0.13000000000000014</v>
      </c>
      <c r="Y243" s="267">
        <f t="shared" si="214"/>
        <v>0.12666666666666682</v>
      </c>
      <c r="Z243" s="267">
        <f t="shared" si="214"/>
        <v>0.12333333333333349</v>
      </c>
      <c r="AA243" s="267">
        <f t="shared" si="214"/>
        <v>0.12000000000000016</v>
      </c>
      <c r="AB243" s="267">
        <f t="shared" si="214"/>
        <v>0.11666666666666684</v>
      </c>
      <c r="AC243" s="267">
        <f t="shared" si="214"/>
        <v>0.11333333333333351</v>
      </c>
      <c r="AD243" s="267">
        <f t="shared" si="214"/>
        <v>0.11000000000000018</v>
      </c>
      <c r="AE243" s="267">
        <f t="shared" si="214"/>
        <v>0.10666666666666685</v>
      </c>
      <c r="AF243" s="267">
        <f t="shared" si="214"/>
        <v>0.10333333333333353</v>
      </c>
      <c r="AG243" s="246">
        <v>0.1</v>
      </c>
      <c r="AI243" s="266"/>
      <c r="AJ243" t="s">
        <v>1470</v>
      </c>
    </row>
    <row r="244" spans="1:36" s="1" customFormat="1" outlineLevel="1">
      <c r="A244" t="s">
        <v>663</v>
      </c>
      <c r="B244" s="252" t="s">
        <v>126</v>
      </c>
      <c r="C244" s="246">
        <v>0.95</v>
      </c>
      <c r="D244" s="267">
        <f t="shared" si="213"/>
        <v>0.94866666666666666</v>
      </c>
      <c r="E244" s="267">
        <f t="shared" si="213"/>
        <v>0.94733333333333336</v>
      </c>
      <c r="F244" s="267">
        <f t="shared" si="213"/>
        <v>0.94600000000000006</v>
      </c>
      <c r="G244" s="267">
        <f t="shared" si="213"/>
        <v>0.94466666666666677</v>
      </c>
      <c r="H244" s="267">
        <f t="shared" si="213"/>
        <v>0.94333333333333347</v>
      </c>
      <c r="I244" s="267">
        <f t="shared" si="213"/>
        <v>0.94200000000000017</v>
      </c>
      <c r="J244" s="267">
        <f t="shared" si="213"/>
        <v>0.94066666666666687</v>
      </c>
      <c r="K244" s="267">
        <f t="shared" si="213"/>
        <v>0.93933333333333358</v>
      </c>
      <c r="L244" s="267">
        <f t="shared" si="213"/>
        <v>0.93800000000000028</v>
      </c>
      <c r="M244" s="267">
        <f t="shared" si="213"/>
        <v>0.93666666666666698</v>
      </c>
      <c r="N244" s="267">
        <f t="shared" si="213"/>
        <v>0.93533333333333368</v>
      </c>
      <c r="O244" s="267">
        <f t="shared" si="213"/>
        <v>0.93400000000000039</v>
      </c>
      <c r="P244" s="267">
        <f t="shared" si="213"/>
        <v>0.93266666666666709</v>
      </c>
      <c r="Q244" s="267">
        <f t="shared" si="213"/>
        <v>0.93133333333333379</v>
      </c>
      <c r="R244" s="267">
        <f t="shared" si="213"/>
        <v>0.93000000000000049</v>
      </c>
      <c r="S244" s="267">
        <f t="shared" si="213"/>
        <v>0.9286666666666672</v>
      </c>
      <c r="T244" s="267">
        <f t="shared" si="214"/>
        <v>0.9273333333333339</v>
      </c>
      <c r="U244" s="267">
        <f t="shared" si="214"/>
        <v>0.9260000000000006</v>
      </c>
      <c r="V244" s="267">
        <f t="shared" si="214"/>
        <v>0.9246666666666673</v>
      </c>
      <c r="W244" s="267">
        <f t="shared" si="214"/>
        <v>0.92333333333333401</v>
      </c>
      <c r="X244" s="267">
        <f t="shared" si="214"/>
        <v>0.92200000000000071</v>
      </c>
      <c r="Y244" s="267">
        <f t="shared" si="214"/>
        <v>0.92066666666666741</v>
      </c>
      <c r="Z244" s="267">
        <f t="shared" si="214"/>
        <v>0.91933333333333411</v>
      </c>
      <c r="AA244" s="267">
        <f t="shared" si="214"/>
        <v>0.91800000000000082</v>
      </c>
      <c r="AB244" s="267">
        <f t="shared" si="214"/>
        <v>0.91666666666666752</v>
      </c>
      <c r="AC244" s="267">
        <f t="shared" si="214"/>
        <v>0.91533333333333422</v>
      </c>
      <c r="AD244" s="267">
        <f t="shared" si="214"/>
        <v>0.91400000000000092</v>
      </c>
      <c r="AE244" s="267">
        <f t="shared" si="214"/>
        <v>0.91266666666666763</v>
      </c>
      <c r="AF244" s="267">
        <f t="shared" si="214"/>
        <v>0.91133333333333433</v>
      </c>
      <c r="AG244" s="246">
        <v>0.91</v>
      </c>
      <c r="AI244" s="266"/>
      <c r="AJ244" t="s">
        <v>1470</v>
      </c>
    </row>
    <row r="245" spans="1:36" s="1" customFormat="1" outlineLevel="1">
      <c r="A245" t="s">
        <v>664</v>
      </c>
      <c r="B245" s="252" t="s">
        <v>126</v>
      </c>
      <c r="C245" s="246">
        <v>0.05</v>
      </c>
      <c r="D245" s="267">
        <f t="shared" si="213"/>
        <v>5.1333333333333335E-2</v>
      </c>
      <c r="E245" s="267">
        <f t="shared" si="213"/>
        <v>5.2666666666666667E-2</v>
      </c>
      <c r="F245" s="267">
        <f t="shared" si="213"/>
        <v>5.3999999999999999E-2</v>
      </c>
      <c r="G245" s="267">
        <f t="shared" si="213"/>
        <v>5.5333333333333332E-2</v>
      </c>
      <c r="H245" s="267">
        <f t="shared" si="213"/>
        <v>5.6666666666666664E-2</v>
      </c>
      <c r="I245" s="267">
        <f t="shared" si="213"/>
        <v>5.7999999999999996E-2</v>
      </c>
      <c r="J245" s="267">
        <f t="shared" si="213"/>
        <v>5.9333333333333328E-2</v>
      </c>
      <c r="K245" s="267">
        <f t="shared" si="213"/>
        <v>6.066666666666666E-2</v>
      </c>
      <c r="L245" s="267">
        <f t="shared" si="213"/>
        <v>6.1999999999999993E-2</v>
      </c>
      <c r="M245" s="267">
        <f t="shared" si="213"/>
        <v>6.3333333333333325E-2</v>
      </c>
      <c r="N245" s="267">
        <f t="shared" si="213"/>
        <v>6.4666666666666664E-2</v>
      </c>
      <c r="O245" s="267">
        <f t="shared" si="213"/>
        <v>6.6000000000000003E-2</v>
      </c>
      <c r="P245" s="267">
        <f t="shared" si="213"/>
        <v>6.7333333333333342E-2</v>
      </c>
      <c r="Q245" s="267">
        <f t="shared" si="213"/>
        <v>6.8666666666666681E-2</v>
      </c>
      <c r="R245" s="267">
        <f t="shared" si="213"/>
        <v>7.0000000000000021E-2</v>
      </c>
      <c r="S245" s="267">
        <f t="shared" si="213"/>
        <v>7.133333333333336E-2</v>
      </c>
      <c r="T245" s="267">
        <f t="shared" si="214"/>
        <v>7.2666666666666699E-2</v>
      </c>
      <c r="U245" s="267">
        <f t="shared" si="214"/>
        <v>7.4000000000000038E-2</v>
      </c>
      <c r="V245" s="267">
        <f t="shared" si="214"/>
        <v>7.5333333333333377E-2</v>
      </c>
      <c r="W245" s="267">
        <f t="shared" si="214"/>
        <v>7.6666666666666716E-2</v>
      </c>
      <c r="X245" s="267">
        <f t="shared" si="214"/>
        <v>7.8000000000000055E-2</v>
      </c>
      <c r="Y245" s="267">
        <f t="shared" si="214"/>
        <v>7.9333333333333395E-2</v>
      </c>
      <c r="Z245" s="267">
        <f t="shared" si="214"/>
        <v>8.0666666666666734E-2</v>
      </c>
      <c r="AA245" s="267">
        <f t="shared" si="214"/>
        <v>8.2000000000000073E-2</v>
      </c>
      <c r="AB245" s="267">
        <f t="shared" si="214"/>
        <v>8.3333333333333412E-2</v>
      </c>
      <c r="AC245" s="267">
        <f t="shared" si="214"/>
        <v>8.4666666666666751E-2</v>
      </c>
      <c r="AD245" s="267">
        <f t="shared" si="214"/>
        <v>8.600000000000009E-2</v>
      </c>
      <c r="AE245" s="267">
        <f t="shared" si="214"/>
        <v>8.7333333333333429E-2</v>
      </c>
      <c r="AF245" s="267">
        <f t="shared" si="214"/>
        <v>8.8666666666666769E-2</v>
      </c>
      <c r="AG245" s="246">
        <v>0.09</v>
      </c>
      <c r="AI245" s="266"/>
      <c r="AJ245" t="s">
        <v>1470</v>
      </c>
    </row>
    <row r="246" spans="1:36" s="1" customFormat="1" outlineLevel="1">
      <c r="A246" t="s">
        <v>666</v>
      </c>
      <c r="B246" s="252"/>
      <c r="C246" s="246">
        <v>0.27</v>
      </c>
      <c r="D246" s="267">
        <f t="shared" si="213"/>
        <v>0.26600000000000001</v>
      </c>
      <c r="E246" s="267">
        <f t="shared" si="213"/>
        <v>0.26200000000000001</v>
      </c>
      <c r="F246" s="267">
        <f t="shared" si="213"/>
        <v>0.25800000000000001</v>
      </c>
      <c r="G246" s="267">
        <f t="shared" si="213"/>
        <v>0.254</v>
      </c>
      <c r="H246" s="267">
        <f t="shared" si="213"/>
        <v>0.25</v>
      </c>
      <c r="I246" s="267">
        <f t="shared" si="213"/>
        <v>0.246</v>
      </c>
      <c r="J246" s="267">
        <f t="shared" si="213"/>
        <v>0.24199999999999999</v>
      </c>
      <c r="K246" s="267">
        <f t="shared" si="213"/>
        <v>0.23799999999999999</v>
      </c>
      <c r="L246" s="267">
        <f t="shared" si="213"/>
        <v>0.23399999999999999</v>
      </c>
      <c r="M246" s="267">
        <f t="shared" si="213"/>
        <v>0.22999999999999998</v>
      </c>
      <c r="N246" s="267">
        <f t="shared" si="213"/>
        <v>0.22599999999999998</v>
      </c>
      <c r="O246" s="267">
        <f t="shared" si="213"/>
        <v>0.22199999999999998</v>
      </c>
      <c r="P246" s="267">
        <f t="shared" si="213"/>
        <v>0.21799999999999997</v>
      </c>
      <c r="Q246" s="267">
        <f t="shared" si="213"/>
        <v>0.21399999999999997</v>
      </c>
      <c r="R246" s="267">
        <f t="shared" si="213"/>
        <v>0.20999999999999996</v>
      </c>
      <c r="S246" s="267">
        <f t="shared" si="213"/>
        <v>0.20599999999999996</v>
      </c>
      <c r="T246" s="267">
        <f t="shared" si="214"/>
        <v>0.20199999999999996</v>
      </c>
      <c r="U246" s="267">
        <f t="shared" si="214"/>
        <v>0.19799999999999995</v>
      </c>
      <c r="V246" s="267">
        <f t="shared" si="214"/>
        <v>0.19399999999999995</v>
      </c>
      <c r="W246" s="267">
        <f t="shared" si="214"/>
        <v>0.18999999999999995</v>
      </c>
      <c r="X246" s="267">
        <f t="shared" si="214"/>
        <v>0.18599999999999994</v>
      </c>
      <c r="Y246" s="267">
        <f t="shared" si="214"/>
        <v>0.18199999999999994</v>
      </c>
      <c r="Z246" s="267">
        <f t="shared" si="214"/>
        <v>0.17799999999999994</v>
      </c>
      <c r="AA246" s="267">
        <f t="shared" si="214"/>
        <v>0.17399999999999993</v>
      </c>
      <c r="AB246" s="267">
        <f t="shared" si="214"/>
        <v>0.16999999999999993</v>
      </c>
      <c r="AC246" s="267">
        <f t="shared" si="214"/>
        <v>0.16599999999999993</v>
      </c>
      <c r="AD246" s="267">
        <f t="shared" si="214"/>
        <v>0.16199999999999992</v>
      </c>
      <c r="AE246" s="267">
        <f t="shared" si="214"/>
        <v>0.15799999999999992</v>
      </c>
      <c r="AF246" s="267">
        <f t="shared" si="214"/>
        <v>0.15399999999999991</v>
      </c>
      <c r="AG246" s="246">
        <v>0.15</v>
      </c>
      <c r="AI246" s="266"/>
      <c r="AJ246" t="s">
        <v>1470</v>
      </c>
    </row>
    <row r="247" spans="1:36" s="61" customFormat="1" outlineLevel="1">
      <c r="A247" s="294" t="s">
        <v>657</v>
      </c>
      <c r="B247" s="258" t="s">
        <v>126</v>
      </c>
      <c r="C247" s="255">
        <f>1-SUM(C248:C252)</f>
        <v>0.97</v>
      </c>
      <c r="D247" s="287">
        <f t="shared" si="213"/>
        <v>0.97033333333333327</v>
      </c>
      <c r="E247" s="287">
        <f t="shared" si="213"/>
        <v>0.97066666666666657</v>
      </c>
      <c r="F247" s="287">
        <f t="shared" si="213"/>
        <v>0.97099999999999986</v>
      </c>
      <c r="G247" s="287">
        <f t="shared" si="213"/>
        <v>0.97133333333333316</v>
      </c>
      <c r="H247" s="287">
        <f t="shared" si="213"/>
        <v>0.97166666666666646</v>
      </c>
      <c r="I247" s="287">
        <f t="shared" si="213"/>
        <v>0.97199999999999975</v>
      </c>
      <c r="J247" s="287">
        <f t="shared" si="213"/>
        <v>0.97233333333333305</v>
      </c>
      <c r="K247" s="287">
        <f t="shared" si="213"/>
        <v>0.97266666666666635</v>
      </c>
      <c r="L247" s="287">
        <f t="shared" si="213"/>
        <v>0.97299999999999964</v>
      </c>
      <c r="M247" s="287">
        <f t="shared" si="213"/>
        <v>0.97333333333333294</v>
      </c>
      <c r="N247" s="287">
        <f t="shared" si="213"/>
        <v>0.97366666666666624</v>
      </c>
      <c r="O247" s="287">
        <f t="shared" si="213"/>
        <v>0.97399999999999953</v>
      </c>
      <c r="P247" s="287">
        <f t="shared" si="213"/>
        <v>0.97433333333333283</v>
      </c>
      <c r="Q247" s="287">
        <f t="shared" si="213"/>
        <v>0.97466666666666613</v>
      </c>
      <c r="R247" s="287">
        <f t="shared" si="213"/>
        <v>0.97499999999999942</v>
      </c>
      <c r="S247" s="287">
        <f t="shared" si="213"/>
        <v>0.97533333333333272</v>
      </c>
      <c r="T247" s="287">
        <f t="shared" si="214"/>
        <v>0.97566666666666602</v>
      </c>
      <c r="U247" s="287">
        <f t="shared" si="214"/>
        <v>0.97599999999999931</v>
      </c>
      <c r="V247" s="287">
        <f t="shared" si="214"/>
        <v>0.97633333333333261</v>
      </c>
      <c r="W247" s="287">
        <f t="shared" si="214"/>
        <v>0.97666666666666591</v>
      </c>
      <c r="X247" s="287">
        <f t="shared" si="214"/>
        <v>0.9769999999999992</v>
      </c>
      <c r="Y247" s="287">
        <f t="shared" si="214"/>
        <v>0.9773333333333325</v>
      </c>
      <c r="Z247" s="287">
        <f t="shared" si="214"/>
        <v>0.9776666666666658</v>
      </c>
      <c r="AA247" s="287">
        <f t="shared" si="214"/>
        <v>0.97799999999999909</v>
      </c>
      <c r="AB247" s="287">
        <f t="shared" si="214"/>
        <v>0.97833333333333239</v>
      </c>
      <c r="AC247" s="287">
        <f t="shared" si="214"/>
        <v>0.97866666666666569</v>
      </c>
      <c r="AD247" s="287">
        <f t="shared" si="214"/>
        <v>0.97899999999999898</v>
      </c>
      <c r="AE247" s="287">
        <f t="shared" si="214"/>
        <v>0.97933333333333228</v>
      </c>
      <c r="AF247" s="287">
        <f t="shared" si="214"/>
        <v>0.97966666666666558</v>
      </c>
      <c r="AG247" s="255">
        <f>1-SUM(AG248:AG252)</f>
        <v>0.98</v>
      </c>
      <c r="AI247" s="286"/>
      <c r="AJ247" t="s">
        <v>1470</v>
      </c>
    </row>
    <row r="248" spans="1:36" outlineLevel="1">
      <c r="A248" s="295" t="s">
        <v>658</v>
      </c>
      <c r="B248" s="252" t="s">
        <v>126</v>
      </c>
      <c r="C248" s="266">
        <v>0.01</v>
      </c>
      <c r="D248" s="267">
        <f t="shared" si="213"/>
        <v>0.01</v>
      </c>
      <c r="E248" s="267">
        <f t="shared" si="213"/>
        <v>0.01</v>
      </c>
      <c r="F248" s="267">
        <f t="shared" si="213"/>
        <v>0.01</v>
      </c>
      <c r="G248" s="267">
        <f t="shared" si="213"/>
        <v>0.01</v>
      </c>
      <c r="H248" s="267">
        <f t="shared" si="213"/>
        <v>0.01</v>
      </c>
      <c r="I248" s="267">
        <f t="shared" si="213"/>
        <v>0.01</v>
      </c>
      <c r="J248" s="267">
        <f t="shared" si="213"/>
        <v>0.01</v>
      </c>
      <c r="K248" s="267">
        <f t="shared" si="213"/>
        <v>0.01</v>
      </c>
      <c r="L248" s="267">
        <f t="shared" si="213"/>
        <v>0.01</v>
      </c>
      <c r="M248" s="267">
        <f t="shared" si="213"/>
        <v>0.01</v>
      </c>
      <c r="N248" s="267">
        <f t="shared" si="213"/>
        <v>0.01</v>
      </c>
      <c r="O248" s="267">
        <f t="shared" si="213"/>
        <v>0.01</v>
      </c>
      <c r="P248" s="267">
        <f t="shared" si="213"/>
        <v>0.01</v>
      </c>
      <c r="Q248" s="267">
        <f t="shared" si="213"/>
        <v>0.01</v>
      </c>
      <c r="R248" s="267">
        <f t="shared" si="213"/>
        <v>0.01</v>
      </c>
      <c r="S248" s="267">
        <f t="shared" si="213"/>
        <v>0.01</v>
      </c>
      <c r="T248" s="267">
        <f t="shared" si="214"/>
        <v>0.01</v>
      </c>
      <c r="U248" s="267">
        <f t="shared" si="214"/>
        <v>0.01</v>
      </c>
      <c r="V248" s="267">
        <f t="shared" si="214"/>
        <v>0.01</v>
      </c>
      <c r="W248" s="267">
        <f t="shared" si="214"/>
        <v>0.01</v>
      </c>
      <c r="X248" s="267">
        <f t="shared" si="214"/>
        <v>0.01</v>
      </c>
      <c r="Y248" s="267">
        <f t="shared" si="214"/>
        <v>0.01</v>
      </c>
      <c r="Z248" s="267">
        <f t="shared" si="214"/>
        <v>0.01</v>
      </c>
      <c r="AA248" s="267">
        <f t="shared" si="214"/>
        <v>0.01</v>
      </c>
      <c r="AB248" s="267">
        <f t="shared" si="214"/>
        <v>0.01</v>
      </c>
      <c r="AC248" s="267">
        <f t="shared" si="214"/>
        <v>0.01</v>
      </c>
      <c r="AD248" s="267">
        <f t="shared" si="214"/>
        <v>0.01</v>
      </c>
      <c r="AE248" s="267">
        <f t="shared" si="214"/>
        <v>0.01</v>
      </c>
      <c r="AF248" s="267">
        <f t="shared" si="214"/>
        <v>0.01</v>
      </c>
      <c r="AG248" s="266">
        <v>0.01</v>
      </c>
      <c r="AI248" s="246"/>
      <c r="AJ248" s="271" t="s">
        <v>1469</v>
      </c>
    </row>
    <row r="249" spans="1:36" outlineLevel="1">
      <c r="A249" s="295" t="s">
        <v>659</v>
      </c>
      <c r="B249" s="252" t="s">
        <v>126</v>
      </c>
      <c r="C249" s="562">
        <v>0</v>
      </c>
      <c r="D249" s="267">
        <f t="shared" si="213"/>
        <v>0</v>
      </c>
      <c r="E249" s="267">
        <f t="shared" si="213"/>
        <v>0</v>
      </c>
      <c r="F249" s="267">
        <f t="shared" si="213"/>
        <v>0</v>
      </c>
      <c r="G249" s="267">
        <f t="shared" si="213"/>
        <v>0</v>
      </c>
      <c r="H249" s="267">
        <f t="shared" si="213"/>
        <v>0</v>
      </c>
      <c r="I249" s="267">
        <f t="shared" si="213"/>
        <v>0</v>
      </c>
      <c r="J249" s="267">
        <f t="shared" si="213"/>
        <v>0</v>
      </c>
      <c r="K249" s="267">
        <f t="shared" si="213"/>
        <v>0</v>
      </c>
      <c r="L249" s="267">
        <f t="shared" si="213"/>
        <v>0</v>
      </c>
      <c r="M249" s="267">
        <f t="shared" si="213"/>
        <v>0</v>
      </c>
      <c r="N249" s="267">
        <f t="shared" si="213"/>
        <v>0</v>
      </c>
      <c r="O249" s="267">
        <f t="shared" si="213"/>
        <v>0</v>
      </c>
      <c r="P249" s="267">
        <f t="shared" si="213"/>
        <v>0</v>
      </c>
      <c r="Q249" s="267">
        <f t="shared" si="213"/>
        <v>0</v>
      </c>
      <c r="R249" s="267">
        <f t="shared" si="213"/>
        <v>0</v>
      </c>
      <c r="S249" s="267">
        <f t="shared" si="213"/>
        <v>0</v>
      </c>
      <c r="T249" s="267">
        <f t="shared" si="214"/>
        <v>0</v>
      </c>
      <c r="U249" s="267">
        <f t="shared" si="214"/>
        <v>0</v>
      </c>
      <c r="V249" s="267">
        <f t="shared" si="214"/>
        <v>0</v>
      </c>
      <c r="W249" s="267">
        <f t="shared" si="214"/>
        <v>0</v>
      </c>
      <c r="X249" s="267">
        <f t="shared" si="214"/>
        <v>0</v>
      </c>
      <c r="Y249" s="267">
        <f t="shared" si="214"/>
        <v>0</v>
      </c>
      <c r="Z249" s="267">
        <f t="shared" si="214"/>
        <v>0</v>
      </c>
      <c r="AA249" s="267">
        <f t="shared" si="214"/>
        <v>0</v>
      </c>
      <c r="AB249" s="267">
        <f t="shared" si="214"/>
        <v>0</v>
      </c>
      <c r="AC249" s="267">
        <f t="shared" si="214"/>
        <v>0</v>
      </c>
      <c r="AD249" s="267">
        <f t="shared" si="214"/>
        <v>0</v>
      </c>
      <c r="AE249" s="267">
        <f t="shared" si="214"/>
        <v>0</v>
      </c>
      <c r="AF249" s="267">
        <f t="shared" si="214"/>
        <v>0</v>
      </c>
      <c r="AG249" s="562">
        <v>0</v>
      </c>
      <c r="AI249" s="246"/>
      <c r="AJ249" t="s">
        <v>1470</v>
      </c>
    </row>
    <row r="250" spans="1:36" outlineLevel="1">
      <c r="A250" s="295" t="s">
        <v>660</v>
      </c>
      <c r="B250" s="252" t="s">
        <v>126</v>
      </c>
      <c r="C250" s="562">
        <v>0</v>
      </c>
      <c r="D250" s="267">
        <f t="shared" si="213"/>
        <v>0</v>
      </c>
      <c r="E250" s="267">
        <f t="shared" si="213"/>
        <v>0</v>
      </c>
      <c r="F250" s="267">
        <f t="shared" si="213"/>
        <v>0</v>
      </c>
      <c r="G250" s="267">
        <f t="shared" si="213"/>
        <v>0</v>
      </c>
      <c r="H250" s="267">
        <f t="shared" si="213"/>
        <v>0</v>
      </c>
      <c r="I250" s="267">
        <f t="shared" si="213"/>
        <v>0</v>
      </c>
      <c r="J250" s="267">
        <f t="shared" si="213"/>
        <v>0</v>
      </c>
      <c r="K250" s="267">
        <f t="shared" si="213"/>
        <v>0</v>
      </c>
      <c r="L250" s="267">
        <f t="shared" si="213"/>
        <v>0</v>
      </c>
      <c r="M250" s="267">
        <f t="shared" si="213"/>
        <v>0</v>
      </c>
      <c r="N250" s="267">
        <f t="shared" si="213"/>
        <v>0</v>
      </c>
      <c r="O250" s="267">
        <f t="shared" si="213"/>
        <v>0</v>
      </c>
      <c r="P250" s="267">
        <f t="shared" si="213"/>
        <v>0</v>
      </c>
      <c r="Q250" s="267">
        <f t="shared" si="213"/>
        <v>0</v>
      </c>
      <c r="R250" s="267">
        <f t="shared" si="213"/>
        <v>0</v>
      </c>
      <c r="S250" s="267">
        <f t="shared" si="213"/>
        <v>0</v>
      </c>
      <c r="T250" s="267">
        <f t="shared" si="214"/>
        <v>0</v>
      </c>
      <c r="U250" s="267">
        <f t="shared" si="214"/>
        <v>0</v>
      </c>
      <c r="V250" s="267">
        <f t="shared" si="214"/>
        <v>0</v>
      </c>
      <c r="W250" s="267">
        <f t="shared" si="214"/>
        <v>0</v>
      </c>
      <c r="X250" s="267">
        <f t="shared" si="214"/>
        <v>0</v>
      </c>
      <c r="Y250" s="267">
        <f t="shared" si="214"/>
        <v>0</v>
      </c>
      <c r="Z250" s="267">
        <f t="shared" si="214"/>
        <v>0</v>
      </c>
      <c r="AA250" s="267">
        <f t="shared" si="214"/>
        <v>0</v>
      </c>
      <c r="AB250" s="267">
        <f t="shared" si="214"/>
        <v>0</v>
      </c>
      <c r="AC250" s="267">
        <f t="shared" si="214"/>
        <v>0</v>
      </c>
      <c r="AD250" s="267">
        <f t="shared" si="214"/>
        <v>0</v>
      </c>
      <c r="AE250" s="267">
        <f t="shared" si="214"/>
        <v>0</v>
      </c>
      <c r="AF250" s="267">
        <f t="shared" si="214"/>
        <v>0</v>
      </c>
      <c r="AG250" s="562">
        <v>0</v>
      </c>
      <c r="AI250" s="246"/>
      <c r="AJ250" t="s">
        <v>1470</v>
      </c>
    </row>
    <row r="251" spans="1:36" outlineLevel="1">
      <c r="A251" s="295" t="s">
        <v>661</v>
      </c>
      <c r="B251" s="252" t="s">
        <v>126</v>
      </c>
      <c r="C251" s="562">
        <v>1.4999999999999999E-2</v>
      </c>
      <c r="D251" s="267">
        <f t="shared" si="213"/>
        <v>1.4733333333333333E-2</v>
      </c>
      <c r="E251" s="267">
        <f t="shared" si="213"/>
        <v>1.4466666666666666E-2</v>
      </c>
      <c r="F251" s="267">
        <f t="shared" si="213"/>
        <v>1.4199999999999999E-2</v>
      </c>
      <c r="G251" s="267">
        <f t="shared" si="213"/>
        <v>1.3933333333333332E-2</v>
      </c>
      <c r="H251" s="267">
        <f t="shared" si="213"/>
        <v>1.3666666666666666E-2</v>
      </c>
      <c r="I251" s="267">
        <f t="shared" si="213"/>
        <v>1.3399999999999999E-2</v>
      </c>
      <c r="J251" s="267">
        <f t="shared" si="213"/>
        <v>1.3133333333333332E-2</v>
      </c>
      <c r="K251" s="267">
        <f t="shared" si="213"/>
        <v>1.2866666666666665E-2</v>
      </c>
      <c r="L251" s="267">
        <f t="shared" si="213"/>
        <v>1.2599999999999998E-2</v>
      </c>
      <c r="M251" s="267">
        <f t="shared" si="213"/>
        <v>1.2333333333333332E-2</v>
      </c>
      <c r="N251" s="267">
        <f t="shared" si="213"/>
        <v>1.2066666666666665E-2</v>
      </c>
      <c r="O251" s="267">
        <f t="shared" si="213"/>
        <v>1.1799999999999998E-2</v>
      </c>
      <c r="P251" s="267">
        <f t="shared" si="213"/>
        <v>1.1533333333333331E-2</v>
      </c>
      <c r="Q251" s="267">
        <f t="shared" si="213"/>
        <v>1.1266666666666664E-2</v>
      </c>
      <c r="R251" s="267">
        <f t="shared" si="213"/>
        <v>1.0999999999999998E-2</v>
      </c>
      <c r="S251" s="267">
        <f t="shared" ref="S251:AF251" si="215">-($C251-$AG251)/30+R251</f>
        <v>1.0733333333333331E-2</v>
      </c>
      <c r="T251" s="267">
        <f t="shared" si="215"/>
        <v>1.0466666666666664E-2</v>
      </c>
      <c r="U251" s="267">
        <f t="shared" si="215"/>
        <v>1.0199999999999997E-2</v>
      </c>
      <c r="V251" s="267">
        <f t="shared" si="215"/>
        <v>9.9333333333333305E-3</v>
      </c>
      <c r="W251" s="267">
        <f t="shared" si="215"/>
        <v>9.6666666666666637E-3</v>
      </c>
      <c r="X251" s="267">
        <f t="shared" si="215"/>
        <v>9.3999999999999969E-3</v>
      </c>
      <c r="Y251" s="267">
        <f t="shared" si="215"/>
        <v>9.1333333333333301E-3</v>
      </c>
      <c r="Z251" s="267">
        <f t="shared" si="215"/>
        <v>8.8666666666666633E-3</v>
      </c>
      <c r="AA251" s="267">
        <f t="shared" si="215"/>
        <v>8.5999999999999965E-3</v>
      </c>
      <c r="AB251" s="267">
        <f t="shared" si="215"/>
        <v>8.3333333333333297E-3</v>
      </c>
      <c r="AC251" s="267">
        <f t="shared" si="215"/>
        <v>8.066666666666663E-3</v>
      </c>
      <c r="AD251" s="267">
        <f t="shared" si="215"/>
        <v>7.7999999999999962E-3</v>
      </c>
      <c r="AE251" s="267">
        <f t="shared" si="215"/>
        <v>7.5333333333333294E-3</v>
      </c>
      <c r="AF251" s="267">
        <f t="shared" si="215"/>
        <v>7.2666666666666626E-3</v>
      </c>
      <c r="AG251" s="562">
        <v>7.0000000000000001E-3</v>
      </c>
      <c r="AI251" s="246"/>
      <c r="AJ251" t="s">
        <v>1470</v>
      </c>
    </row>
    <row r="252" spans="1:36" s="62" customFormat="1" outlineLevel="1">
      <c r="A252" s="296" t="s">
        <v>662</v>
      </c>
      <c r="B252" s="262" t="s">
        <v>126</v>
      </c>
      <c r="C252" s="564">
        <v>5.0000000000000001E-3</v>
      </c>
      <c r="D252" s="289">
        <f t="shared" ref="D252:AF252" si="216">-($C252-$AG252)/30+C252</f>
        <v>4.9333333333333338E-3</v>
      </c>
      <c r="E252" s="289">
        <f t="shared" si="216"/>
        <v>4.8666666666666676E-3</v>
      </c>
      <c r="F252" s="289">
        <f t="shared" si="216"/>
        <v>4.8000000000000013E-3</v>
      </c>
      <c r="G252" s="289">
        <f t="shared" si="216"/>
        <v>4.7333333333333351E-3</v>
      </c>
      <c r="H252" s="289">
        <f t="shared" si="216"/>
        <v>4.6666666666666688E-3</v>
      </c>
      <c r="I252" s="289">
        <f t="shared" si="216"/>
        <v>4.6000000000000025E-3</v>
      </c>
      <c r="J252" s="289">
        <f t="shared" si="216"/>
        <v>4.5333333333333363E-3</v>
      </c>
      <c r="K252" s="289">
        <f t="shared" si="216"/>
        <v>4.46666666666667E-3</v>
      </c>
      <c r="L252" s="289">
        <f t="shared" si="216"/>
        <v>4.4000000000000037E-3</v>
      </c>
      <c r="M252" s="289">
        <f t="shared" si="216"/>
        <v>4.3333333333333375E-3</v>
      </c>
      <c r="N252" s="289">
        <f t="shared" si="216"/>
        <v>4.2666666666666712E-3</v>
      </c>
      <c r="O252" s="289">
        <f t="shared" si="216"/>
        <v>4.2000000000000049E-3</v>
      </c>
      <c r="P252" s="289">
        <f t="shared" si="216"/>
        <v>4.1333333333333387E-3</v>
      </c>
      <c r="Q252" s="289">
        <f t="shared" si="216"/>
        <v>4.0666666666666724E-3</v>
      </c>
      <c r="R252" s="289">
        <f t="shared" si="216"/>
        <v>4.0000000000000062E-3</v>
      </c>
      <c r="S252" s="289">
        <f t="shared" si="216"/>
        <v>3.9333333333333399E-3</v>
      </c>
      <c r="T252" s="289">
        <f t="shared" si="216"/>
        <v>3.8666666666666732E-3</v>
      </c>
      <c r="U252" s="289">
        <f t="shared" si="216"/>
        <v>3.8000000000000065E-3</v>
      </c>
      <c r="V252" s="289">
        <f t="shared" si="216"/>
        <v>3.7333333333333398E-3</v>
      </c>
      <c r="W252" s="289">
        <f t="shared" si="216"/>
        <v>3.6666666666666731E-3</v>
      </c>
      <c r="X252" s="289">
        <f t="shared" si="216"/>
        <v>3.6000000000000064E-3</v>
      </c>
      <c r="Y252" s="289">
        <f t="shared" si="216"/>
        <v>3.5333333333333397E-3</v>
      </c>
      <c r="Z252" s="289">
        <f t="shared" si="216"/>
        <v>3.466666666666673E-3</v>
      </c>
      <c r="AA252" s="289">
        <f t="shared" si="216"/>
        <v>3.4000000000000063E-3</v>
      </c>
      <c r="AB252" s="289">
        <f t="shared" si="216"/>
        <v>3.3333333333333396E-3</v>
      </c>
      <c r="AC252" s="289">
        <f t="shared" si="216"/>
        <v>3.2666666666666729E-3</v>
      </c>
      <c r="AD252" s="289">
        <f t="shared" si="216"/>
        <v>3.2000000000000062E-3</v>
      </c>
      <c r="AE252" s="289">
        <f t="shared" si="216"/>
        <v>3.1333333333333395E-3</v>
      </c>
      <c r="AF252" s="289">
        <f t="shared" si="216"/>
        <v>3.0666666666666728E-3</v>
      </c>
      <c r="AG252" s="564">
        <v>3.0000000000000001E-3</v>
      </c>
      <c r="AI252" s="264"/>
      <c r="AJ252" t="s">
        <v>1470</v>
      </c>
    </row>
    <row r="253" spans="1:36" s="54" customFormat="1" outlineLevel="1">
      <c r="A253" s="54" t="s">
        <v>626</v>
      </c>
      <c r="B253" s="253"/>
      <c r="C253" s="545">
        <f t="shared" ref="C253:AG253" si="217">C29</f>
        <v>3024677.5902107381</v>
      </c>
      <c r="D253" s="545">
        <f t="shared" si="217"/>
        <v>3018000.3881462808</v>
      </c>
      <c r="E253" s="545">
        <f t="shared" si="217"/>
        <v>3011337.9265049212</v>
      </c>
      <c r="F253" s="545">
        <f t="shared" si="217"/>
        <v>3004690.1727460716</v>
      </c>
      <c r="G253" s="545">
        <f t="shared" si="217"/>
        <v>2998057.0944009796</v>
      </c>
      <c r="H253" s="545">
        <f t="shared" si="217"/>
        <v>2991438.6590725724</v>
      </c>
      <c r="I253" s="545">
        <f t="shared" si="217"/>
        <v>2984834.8344352953</v>
      </c>
      <c r="J253" s="545">
        <f t="shared" si="217"/>
        <v>2978245.5882349545</v>
      </c>
      <c r="K253" s="545">
        <f t="shared" si="217"/>
        <v>2971670.8882885589</v>
      </c>
      <c r="L253" s="545">
        <f t="shared" si="217"/>
        <v>2965110.7024841662</v>
      </c>
      <c r="M253" s="545">
        <f t="shared" si="217"/>
        <v>2958564.9987807218</v>
      </c>
      <c r="N253" s="545">
        <f t="shared" si="217"/>
        <v>2952033.7452079039</v>
      </c>
      <c r="O253" s="545">
        <f t="shared" si="217"/>
        <v>2945516.9098659679</v>
      </c>
      <c r="P253" s="545">
        <f t="shared" si="217"/>
        <v>2939014.4609255912</v>
      </c>
      <c r="Q253" s="545">
        <f t="shared" si="217"/>
        <v>2932526.3666277155</v>
      </c>
      <c r="R253" s="545">
        <f t="shared" si="217"/>
        <v>2926052.5952833937</v>
      </c>
      <c r="S253" s="545">
        <f t="shared" si="217"/>
        <v>2919593.115273634</v>
      </c>
      <c r="T253" s="545">
        <f t="shared" si="217"/>
        <v>2913147.895049247</v>
      </c>
      <c r="U253" s="545">
        <f t="shared" si="217"/>
        <v>2906716.9031306887</v>
      </c>
      <c r="V253" s="545">
        <f t="shared" si="217"/>
        <v>2900300.1081079105</v>
      </c>
      <c r="W253" s="545">
        <f t="shared" si="217"/>
        <v>2893897.478640202</v>
      </c>
      <c r="X253" s="545">
        <f t="shared" si="217"/>
        <v>2887508.9834560407</v>
      </c>
      <c r="Y253" s="545">
        <f t="shared" si="217"/>
        <v>2881134.5913529391</v>
      </c>
      <c r="Z253" s="545">
        <f t="shared" si="217"/>
        <v>2874774.2711972892</v>
      </c>
      <c r="AA253" s="545">
        <f t="shared" si="217"/>
        <v>2868427.991924216</v>
      </c>
      <c r="AB253" s="545">
        <f t="shared" si="217"/>
        <v>2862095.7225374198</v>
      </c>
      <c r="AC253" s="545">
        <f t="shared" si="217"/>
        <v>2855777.432109029</v>
      </c>
      <c r="AD253" s="545">
        <f t="shared" si="217"/>
        <v>2849473.0897794459</v>
      </c>
      <c r="AE253" s="545">
        <f t="shared" si="217"/>
        <v>2843182.6647572005</v>
      </c>
      <c r="AF253" s="545">
        <f t="shared" si="217"/>
        <v>2836906.1263187942</v>
      </c>
      <c r="AG253" s="545">
        <f t="shared" si="217"/>
        <v>2830643.4438085551</v>
      </c>
      <c r="AI253" s="255"/>
      <c r="AJ253" s="256"/>
    </row>
    <row r="254" spans="1:36" s="54" customFormat="1" outlineLevel="1">
      <c r="A254" s="257" t="s">
        <v>178</v>
      </c>
      <c r="B254" s="258" t="s">
        <v>127</v>
      </c>
      <c r="C254" s="548">
        <v>0</v>
      </c>
      <c r="D254" s="548">
        <v>0</v>
      </c>
      <c r="E254" s="548">
        <v>0</v>
      </c>
      <c r="F254" s="548">
        <v>0</v>
      </c>
      <c r="G254" s="548">
        <v>0</v>
      </c>
      <c r="H254" s="548">
        <v>0</v>
      </c>
      <c r="I254" s="548">
        <v>0</v>
      </c>
      <c r="J254" s="548">
        <v>0</v>
      </c>
      <c r="K254" s="548">
        <v>0</v>
      </c>
      <c r="L254" s="548">
        <v>0</v>
      </c>
      <c r="M254" s="548">
        <v>0</v>
      </c>
      <c r="N254" s="548">
        <v>0</v>
      </c>
      <c r="O254" s="548">
        <v>0</v>
      </c>
      <c r="P254" s="548">
        <v>0</v>
      </c>
      <c r="Q254" s="548">
        <v>0</v>
      </c>
      <c r="R254" s="548">
        <v>0</v>
      </c>
      <c r="S254" s="548">
        <v>0</v>
      </c>
      <c r="T254" s="548">
        <v>0</v>
      </c>
      <c r="U254" s="548">
        <v>0</v>
      </c>
      <c r="V254" s="548">
        <v>0</v>
      </c>
      <c r="W254" s="548">
        <v>0</v>
      </c>
      <c r="X254" s="548">
        <v>0</v>
      </c>
      <c r="Y254" s="548">
        <v>0</v>
      </c>
      <c r="Z254" s="548">
        <v>0</v>
      </c>
      <c r="AA254" s="548">
        <v>0</v>
      </c>
      <c r="AB254" s="548">
        <v>0</v>
      </c>
      <c r="AC254" s="548">
        <v>0</v>
      </c>
      <c r="AD254" s="548">
        <v>0</v>
      </c>
      <c r="AE254" s="548">
        <v>0</v>
      </c>
      <c r="AF254" s="548">
        <v>0</v>
      </c>
      <c r="AG254" s="548">
        <v>0</v>
      </c>
      <c r="AI254" s="255"/>
      <c r="AJ254" s="256"/>
    </row>
    <row r="255" spans="1:36" outlineLevel="1">
      <c r="A255" s="260" t="s">
        <v>619</v>
      </c>
      <c r="B255" s="252" t="s">
        <v>127</v>
      </c>
      <c r="C255" s="547">
        <f t="shared" ref="C255:AG255" si="218">C222</f>
        <v>518007.61068966903</v>
      </c>
      <c r="D255" s="547">
        <f t="shared" si="218"/>
        <v>526658.3377881865</v>
      </c>
      <c r="E255" s="547">
        <f t="shared" si="218"/>
        <v>535453.53202924924</v>
      </c>
      <c r="F255" s="547">
        <f t="shared" si="218"/>
        <v>544395.60601413762</v>
      </c>
      <c r="G255" s="547">
        <f t="shared" si="218"/>
        <v>553487.01263457374</v>
      </c>
      <c r="H255" s="547">
        <f t="shared" si="218"/>
        <v>562730.2457455711</v>
      </c>
      <c r="I255" s="547">
        <f t="shared" si="218"/>
        <v>572127.84084952215</v>
      </c>
      <c r="J255" s="547">
        <f t="shared" si="218"/>
        <v>581682.37579170917</v>
      </c>
      <c r="K255" s="547">
        <f t="shared" si="218"/>
        <v>591396.4714674307</v>
      </c>
      <c r="L255" s="547">
        <f t="shared" si="218"/>
        <v>601272.79254093673</v>
      </c>
      <c r="M255" s="547">
        <f t="shared" si="218"/>
        <v>611314.04817637033</v>
      </c>
      <c r="N255" s="547">
        <f t="shared" si="218"/>
        <v>621522.99278091569</v>
      </c>
      <c r="O255" s="547">
        <f t="shared" si="218"/>
        <v>631902.42676035699</v>
      </c>
      <c r="P255" s="547">
        <f t="shared" si="218"/>
        <v>642455.19728725497</v>
      </c>
      <c r="Q255" s="547">
        <f t="shared" si="218"/>
        <v>653184.1990819521</v>
      </c>
      <c r="R255" s="547">
        <f t="shared" si="218"/>
        <v>664092.37520662067</v>
      </c>
      <c r="S255" s="547">
        <f t="shared" si="218"/>
        <v>675182.7178725712</v>
      </c>
      <c r="T255" s="547">
        <f t="shared" si="218"/>
        <v>686458.26926104305</v>
      </c>
      <c r="U255" s="547">
        <f t="shared" si="218"/>
        <v>697922.12235770246</v>
      </c>
      <c r="V255" s="547">
        <f t="shared" si="218"/>
        <v>709577.42180107604</v>
      </c>
      <c r="W255" s="547">
        <f t="shared" si="218"/>
        <v>721427.36474515393</v>
      </c>
      <c r="X255" s="547">
        <f t="shared" si="218"/>
        <v>733475.20173639792</v>
      </c>
      <c r="Y255" s="547">
        <f t="shared" si="218"/>
        <v>745724.23760539573</v>
      </c>
      <c r="Z255" s="547">
        <f t="shared" si="218"/>
        <v>758177.83237340581</v>
      </c>
      <c r="AA255" s="547">
        <f t="shared" si="218"/>
        <v>770839.40217404161</v>
      </c>
      <c r="AB255" s="547">
        <f t="shared" si="218"/>
        <v>783712.42019034806</v>
      </c>
      <c r="AC255" s="547">
        <f t="shared" si="218"/>
        <v>796800.41760752688</v>
      </c>
      <c r="AD255" s="547">
        <f t="shared" si="218"/>
        <v>810106.98458157247</v>
      </c>
      <c r="AE255" s="547">
        <f t="shared" si="218"/>
        <v>823635.77122408466</v>
      </c>
      <c r="AF255" s="547">
        <f t="shared" si="218"/>
        <v>837390.48860352684</v>
      </c>
      <c r="AG255" s="547">
        <f t="shared" si="218"/>
        <v>851374.90976320568</v>
      </c>
      <c r="AI255" s="246"/>
    </row>
    <row r="256" spans="1:36" s="62" customFormat="1" outlineLevel="1">
      <c r="A256" s="261" t="s">
        <v>628</v>
      </c>
      <c r="B256" s="262" t="s">
        <v>127</v>
      </c>
      <c r="C256" s="549">
        <f>C253-C254-C255</f>
        <v>2506669.9795210692</v>
      </c>
      <c r="D256" s="549">
        <f t="shared" ref="D256:AG256" si="219">D253-D254-D255</f>
        <v>2491342.0503580943</v>
      </c>
      <c r="E256" s="549">
        <f t="shared" si="219"/>
        <v>2475884.3944756719</v>
      </c>
      <c r="F256" s="549">
        <f t="shared" si="219"/>
        <v>2460294.566731934</v>
      </c>
      <c r="G256" s="549">
        <f t="shared" si="219"/>
        <v>2444570.0817664061</v>
      </c>
      <c r="H256" s="549">
        <f t="shared" si="219"/>
        <v>2428708.413327001</v>
      </c>
      <c r="I256" s="549">
        <f t="shared" si="219"/>
        <v>2412706.9935857733</v>
      </c>
      <c r="J256" s="549">
        <f t="shared" si="219"/>
        <v>2396563.2124432456</v>
      </c>
      <c r="K256" s="549">
        <f t="shared" si="219"/>
        <v>2380274.4168211282</v>
      </c>
      <c r="L256" s="549">
        <f t="shared" si="219"/>
        <v>2363837.9099432295</v>
      </c>
      <c r="M256" s="549">
        <f t="shared" si="219"/>
        <v>2347250.9506043512</v>
      </c>
      <c r="N256" s="549">
        <f t="shared" si="219"/>
        <v>2330510.7524269884</v>
      </c>
      <c r="O256" s="549">
        <f t="shared" si="219"/>
        <v>2313614.4831056111</v>
      </c>
      <c r="P256" s="549">
        <f t="shared" si="219"/>
        <v>2296559.2636383362</v>
      </c>
      <c r="Q256" s="549">
        <f t="shared" si="219"/>
        <v>2279342.1675457633</v>
      </c>
      <c r="R256" s="549">
        <f t="shared" si="219"/>
        <v>2261960.2200767733</v>
      </c>
      <c r="S256" s="549">
        <f t="shared" si="219"/>
        <v>2244410.3974010628</v>
      </c>
      <c r="T256" s="549">
        <f t="shared" si="219"/>
        <v>2226689.6257882039</v>
      </c>
      <c r="U256" s="549">
        <f t="shared" si="219"/>
        <v>2208794.7807729864</v>
      </c>
      <c r="V256" s="549">
        <f t="shared" si="219"/>
        <v>2190722.6863068342</v>
      </c>
      <c r="W256" s="549">
        <f t="shared" si="219"/>
        <v>2172470.1138950479</v>
      </c>
      <c r="X256" s="549">
        <f t="shared" si="219"/>
        <v>2154033.7817196427</v>
      </c>
      <c r="Y256" s="549">
        <f t="shared" si="219"/>
        <v>2135410.3537475434</v>
      </c>
      <c r="Z256" s="549">
        <f t="shared" si="219"/>
        <v>2116596.4388238834</v>
      </c>
      <c r="AA256" s="549">
        <f t="shared" si="219"/>
        <v>2097588.5897501744</v>
      </c>
      <c r="AB256" s="549">
        <f t="shared" si="219"/>
        <v>2078383.3023470717</v>
      </c>
      <c r="AC256" s="549">
        <f t="shared" si="219"/>
        <v>2058977.0145015023</v>
      </c>
      <c r="AD256" s="549">
        <f t="shared" si="219"/>
        <v>2039366.1051978734</v>
      </c>
      <c r="AE256" s="549">
        <f t="shared" si="219"/>
        <v>2019546.8935331157</v>
      </c>
      <c r="AF256" s="549">
        <f t="shared" si="219"/>
        <v>1999515.6377152675</v>
      </c>
      <c r="AG256" s="549">
        <f t="shared" si="219"/>
        <v>1979268.5340453493</v>
      </c>
      <c r="AI256" s="264"/>
      <c r="AJ256" s="265"/>
    </row>
    <row r="257" spans="1:36" outlineLevel="1">
      <c r="A257" s="104" t="s">
        <v>621</v>
      </c>
      <c r="B257" s="252" t="s">
        <v>127</v>
      </c>
      <c r="C257" s="120">
        <f t="shared" ref="C257:AG257" si="220">C226*C$256</f>
        <v>2431469.880135437</v>
      </c>
      <c r="D257" s="120">
        <f t="shared" si="220"/>
        <v>2417432.2361974707</v>
      </c>
      <c r="E257" s="120">
        <f t="shared" si="220"/>
        <v>2403258.4522377187</v>
      </c>
      <c r="F257" s="120">
        <f t="shared" si="220"/>
        <v>2388946.0242967075</v>
      </c>
      <c r="G257" s="120">
        <f t="shared" si="220"/>
        <v>2374492.4060891019</v>
      </c>
      <c r="H257" s="120">
        <f t="shared" si="220"/>
        <v>2359895.0082827355</v>
      </c>
      <c r="I257" s="120">
        <f t="shared" si="220"/>
        <v>2345151.1977653708</v>
      </c>
      <c r="J257" s="120">
        <f t="shared" si="220"/>
        <v>2330258.2968989816</v>
      </c>
      <c r="K257" s="120">
        <f t="shared" si="220"/>
        <v>2315213.5827613501</v>
      </c>
      <c r="L257" s="120">
        <f t="shared" si="220"/>
        <v>2300014.2863747613</v>
      </c>
      <c r="M257" s="120">
        <f t="shared" si="220"/>
        <v>2284657.5919215675</v>
      </c>
      <c r="N257" s="120">
        <f t="shared" si="220"/>
        <v>2269140.6359464102</v>
      </c>
      <c r="O257" s="120">
        <f t="shared" si="220"/>
        <v>2253460.5065448643</v>
      </c>
      <c r="P257" s="120">
        <f t="shared" si="220"/>
        <v>2237614.2425382845</v>
      </c>
      <c r="Q257" s="120">
        <f t="shared" si="220"/>
        <v>2221598.8326346027</v>
      </c>
      <c r="R257" s="120">
        <f t="shared" si="220"/>
        <v>2205411.2145748525</v>
      </c>
      <c r="S257" s="120">
        <f t="shared" si="220"/>
        <v>2189048.2742651687</v>
      </c>
      <c r="T257" s="120">
        <f t="shared" si="220"/>
        <v>2172506.8448940227</v>
      </c>
      <c r="U257" s="120">
        <f t="shared" si="220"/>
        <v>2155783.7060344331</v>
      </c>
      <c r="V257" s="120">
        <f t="shared" si="220"/>
        <v>2138875.5827309042</v>
      </c>
      <c r="W257" s="120">
        <f t="shared" si="220"/>
        <v>2121779.1445708284</v>
      </c>
      <c r="X257" s="120">
        <f t="shared" si="220"/>
        <v>2104491.0047400892</v>
      </c>
      <c r="Y257" s="120">
        <f t="shared" si="220"/>
        <v>2087007.7190625973</v>
      </c>
      <c r="Z257" s="120">
        <f t="shared" si="220"/>
        <v>2069325.7850234816</v>
      </c>
      <c r="AA257" s="120">
        <f t="shared" si="220"/>
        <v>2051441.6407756687</v>
      </c>
      <c r="AB257" s="120">
        <f t="shared" si="220"/>
        <v>2033351.6641295499</v>
      </c>
      <c r="AC257" s="120">
        <f t="shared" si="220"/>
        <v>2015052.1715254681</v>
      </c>
      <c r="AD257" s="120">
        <f t="shared" si="220"/>
        <v>1996539.416988716</v>
      </c>
      <c r="AE257" s="120">
        <f t="shared" si="220"/>
        <v>1977809.5910667626</v>
      </c>
      <c r="AF257" s="120">
        <f t="shared" si="220"/>
        <v>1958858.8197483881</v>
      </c>
      <c r="AG257" s="120">
        <f t="shared" si="220"/>
        <v>1939683.1633644423</v>
      </c>
      <c r="AI257" s="188"/>
    </row>
    <row r="258" spans="1:36" outlineLevel="1">
      <c r="A258" s="104" t="s">
        <v>620</v>
      </c>
      <c r="B258" s="252" t="s">
        <v>127</v>
      </c>
      <c r="C258" s="120">
        <f t="shared" ref="C258:AG258" si="221">C227*C$256</f>
        <v>25066.699795210694</v>
      </c>
      <c r="D258" s="120">
        <f t="shared" si="221"/>
        <v>24913.420503580943</v>
      </c>
      <c r="E258" s="120">
        <f t="shared" si="221"/>
        <v>24758.843944756722</v>
      </c>
      <c r="F258" s="120">
        <f t="shared" si="221"/>
        <v>24602.945667319342</v>
      </c>
      <c r="G258" s="120">
        <f t="shared" si="221"/>
        <v>24445.700817664063</v>
      </c>
      <c r="H258" s="120">
        <f t="shared" si="221"/>
        <v>24287.084133270011</v>
      </c>
      <c r="I258" s="120">
        <f t="shared" si="221"/>
        <v>24127.069935857733</v>
      </c>
      <c r="J258" s="120">
        <f t="shared" si="221"/>
        <v>23965.632124432457</v>
      </c>
      <c r="K258" s="120">
        <f t="shared" si="221"/>
        <v>23802.744168211284</v>
      </c>
      <c r="L258" s="120">
        <f t="shared" si="221"/>
        <v>23638.379099432295</v>
      </c>
      <c r="M258" s="120">
        <f t="shared" si="221"/>
        <v>23472.509506043512</v>
      </c>
      <c r="N258" s="120">
        <f t="shared" si="221"/>
        <v>23305.107524269886</v>
      </c>
      <c r="O258" s="120">
        <f t="shared" si="221"/>
        <v>23136.14483105611</v>
      </c>
      <c r="P258" s="120">
        <f t="shared" si="221"/>
        <v>22965.592636383364</v>
      </c>
      <c r="Q258" s="120">
        <f t="shared" si="221"/>
        <v>22793.421675457634</v>
      </c>
      <c r="R258" s="120">
        <f t="shared" si="221"/>
        <v>22619.602200767735</v>
      </c>
      <c r="S258" s="120">
        <f t="shared" si="221"/>
        <v>22444.103974010628</v>
      </c>
      <c r="T258" s="120">
        <f t="shared" si="221"/>
        <v>22266.896257882039</v>
      </c>
      <c r="U258" s="120">
        <f t="shared" si="221"/>
        <v>22087.947807729863</v>
      </c>
      <c r="V258" s="120">
        <f t="shared" si="221"/>
        <v>21907.226863068343</v>
      </c>
      <c r="W258" s="120">
        <f t="shared" si="221"/>
        <v>21724.701138950481</v>
      </c>
      <c r="X258" s="120">
        <f t="shared" si="221"/>
        <v>21540.337817196429</v>
      </c>
      <c r="Y258" s="120">
        <f t="shared" si="221"/>
        <v>21354.103537475436</v>
      </c>
      <c r="Z258" s="120">
        <f t="shared" si="221"/>
        <v>21165.964388238834</v>
      </c>
      <c r="AA258" s="120">
        <f t="shared" si="221"/>
        <v>20975.885897501747</v>
      </c>
      <c r="AB258" s="120">
        <f t="shared" si="221"/>
        <v>20783.833023470717</v>
      </c>
      <c r="AC258" s="120">
        <f t="shared" si="221"/>
        <v>20589.770145015023</v>
      </c>
      <c r="AD258" s="120">
        <f t="shared" si="221"/>
        <v>20393.661051978735</v>
      </c>
      <c r="AE258" s="120">
        <f t="shared" si="221"/>
        <v>20195.468935331159</v>
      </c>
      <c r="AF258" s="120">
        <f t="shared" si="221"/>
        <v>19995.156377152674</v>
      </c>
      <c r="AG258" s="120">
        <f t="shared" si="221"/>
        <v>19792.685340453492</v>
      </c>
      <c r="AI258" s="188"/>
    </row>
    <row r="259" spans="1:36" outlineLevel="1">
      <c r="A259" s="104" t="s">
        <v>622</v>
      </c>
      <c r="B259" s="252" t="s">
        <v>127</v>
      </c>
      <c r="C259" s="120">
        <f t="shared" ref="C259:AG259" si="222">C228*C$256</f>
        <v>0</v>
      </c>
      <c r="D259" s="120">
        <f t="shared" si="222"/>
        <v>0</v>
      </c>
      <c r="E259" s="120">
        <f t="shared" si="222"/>
        <v>0</v>
      </c>
      <c r="F259" s="120">
        <f t="shared" si="222"/>
        <v>0</v>
      </c>
      <c r="G259" s="120">
        <f t="shared" si="222"/>
        <v>0</v>
      </c>
      <c r="H259" s="120">
        <f t="shared" si="222"/>
        <v>0</v>
      </c>
      <c r="I259" s="120">
        <f t="shared" si="222"/>
        <v>0</v>
      </c>
      <c r="J259" s="120">
        <f t="shared" si="222"/>
        <v>0</v>
      </c>
      <c r="K259" s="120">
        <f t="shared" si="222"/>
        <v>0</v>
      </c>
      <c r="L259" s="120">
        <f t="shared" si="222"/>
        <v>0</v>
      </c>
      <c r="M259" s="120">
        <f t="shared" si="222"/>
        <v>0</v>
      </c>
      <c r="N259" s="120">
        <f t="shared" si="222"/>
        <v>0</v>
      </c>
      <c r="O259" s="120">
        <f t="shared" si="222"/>
        <v>0</v>
      </c>
      <c r="P259" s="120">
        <f t="shared" si="222"/>
        <v>0</v>
      </c>
      <c r="Q259" s="120">
        <f t="shared" si="222"/>
        <v>0</v>
      </c>
      <c r="R259" s="120">
        <f t="shared" si="222"/>
        <v>0</v>
      </c>
      <c r="S259" s="120">
        <f t="shared" si="222"/>
        <v>0</v>
      </c>
      <c r="T259" s="120">
        <f t="shared" si="222"/>
        <v>0</v>
      </c>
      <c r="U259" s="120">
        <f t="shared" si="222"/>
        <v>0</v>
      </c>
      <c r="V259" s="120">
        <f t="shared" si="222"/>
        <v>0</v>
      </c>
      <c r="W259" s="120">
        <f t="shared" si="222"/>
        <v>0</v>
      </c>
      <c r="X259" s="120">
        <f t="shared" si="222"/>
        <v>0</v>
      </c>
      <c r="Y259" s="120">
        <f t="shared" si="222"/>
        <v>0</v>
      </c>
      <c r="Z259" s="120">
        <f t="shared" si="222"/>
        <v>0</v>
      </c>
      <c r="AA259" s="120">
        <f t="shared" si="222"/>
        <v>0</v>
      </c>
      <c r="AB259" s="120">
        <f t="shared" si="222"/>
        <v>0</v>
      </c>
      <c r="AC259" s="120">
        <f t="shared" si="222"/>
        <v>0</v>
      </c>
      <c r="AD259" s="120">
        <f t="shared" si="222"/>
        <v>0</v>
      </c>
      <c r="AE259" s="120">
        <f t="shared" si="222"/>
        <v>0</v>
      </c>
      <c r="AF259" s="120">
        <f t="shared" si="222"/>
        <v>0</v>
      </c>
      <c r="AG259" s="120">
        <f t="shared" si="222"/>
        <v>0</v>
      </c>
      <c r="AI259" s="188"/>
    </row>
    <row r="260" spans="1:36" outlineLevel="1">
      <c r="A260" s="104" t="s">
        <v>623</v>
      </c>
      <c r="B260" s="252" t="s">
        <v>127</v>
      </c>
      <c r="C260" s="120">
        <f t="shared" ref="C260:AG260" si="223">C229*C$256</f>
        <v>0</v>
      </c>
      <c r="D260" s="120">
        <f t="shared" si="223"/>
        <v>0</v>
      </c>
      <c r="E260" s="120">
        <f t="shared" si="223"/>
        <v>0</v>
      </c>
      <c r="F260" s="120">
        <f t="shared" si="223"/>
        <v>0</v>
      </c>
      <c r="G260" s="120">
        <f t="shared" si="223"/>
        <v>0</v>
      </c>
      <c r="H260" s="120">
        <f t="shared" si="223"/>
        <v>0</v>
      </c>
      <c r="I260" s="120">
        <f t="shared" si="223"/>
        <v>0</v>
      </c>
      <c r="J260" s="120">
        <f t="shared" si="223"/>
        <v>0</v>
      </c>
      <c r="K260" s="120">
        <f t="shared" si="223"/>
        <v>0</v>
      </c>
      <c r="L260" s="120">
        <f t="shared" si="223"/>
        <v>0</v>
      </c>
      <c r="M260" s="120">
        <f t="shared" si="223"/>
        <v>0</v>
      </c>
      <c r="N260" s="120">
        <f t="shared" si="223"/>
        <v>0</v>
      </c>
      <c r="O260" s="120">
        <f t="shared" si="223"/>
        <v>0</v>
      </c>
      <c r="P260" s="120">
        <f t="shared" si="223"/>
        <v>0</v>
      </c>
      <c r="Q260" s="120">
        <f t="shared" si="223"/>
        <v>0</v>
      </c>
      <c r="R260" s="120">
        <f t="shared" si="223"/>
        <v>0</v>
      </c>
      <c r="S260" s="120">
        <f t="shared" si="223"/>
        <v>0</v>
      </c>
      <c r="T260" s="120">
        <f t="shared" si="223"/>
        <v>0</v>
      </c>
      <c r="U260" s="120">
        <f t="shared" si="223"/>
        <v>0</v>
      </c>
      <c r="V260" s="120">
        <f t="shared" si="223"/>
        <v>0</v>
      </c>
      <c r="W260" s="120">
        <f t="shared" si="223"/>
        <v>0</v>
      </c>
      <c r="X260" s="120">
        <f t="shared" si="223"/>
        <v>0</v>
      </c>
      <c r="Y260" s="120">
        <f t="shared" si="223"/>
        <v>0</v>
      </c>
      <c r="Z260" s="120">
        <f t="shared" si="223"/>
        <v>0</v>
      </c>
      <c r="AA260" s="120">
        <f t="shared" si="223"/>
        <v>0</v>
      </c>
      <c r="AB260" s="120">
        <f t="shared" si="223"/>
        <v>0</v>
      </c>
      <c r="AC260" s="120">
        <f t="shared" si="223"/>
        <v>0</v>
      </c>
      <c r="AD260" s="120">
        <f t="shared" si="223"/>
        <v>0</v>
      </c>
      <c r="AE260" s="120">
        <f t="shared" si="223"/>
        <v>0</v>
      </c>
      <c r="AF260" s="120">
        <f t="shared" si="223"/>
        <v>0</v>
      </c>
      <c r="AG260" s="120">
        <f t="shared" si="223"/>
        <v>0</v>
      </c>
      <c r="AI260" s="188"/>
    </row>
    <row r="261" spans="1:36" outlineLevel="1">
      <c r="A261" s="104" t="s">
        <v>624</v>
      </c>
      <c r="B261" s="252" t="s">
        <v>127</v>
      </c>
      <c r="C261" s="120">
        <f t="shared" ref="C261:AG261" si="224">C230*C$256</f>
        <v>37600.049692816036</v>
      </c>
      <c r="D261" s="120">
        <f t="shared" si="224"/>
        <v>36705.772875275921</v>
      </c>
      <c r="E261" s="120">
        <f t="shared" si="224"/>
        <v>35817.794240081384</v>
      </c>
      <c r="F261" s="120">
        <f t="shared" si="224"/>
        <v>34936.18284759346</v>
      </c>
      <c r="G261" s="120">
        <f t="shared" si="224"/>
        <v>34061.009805945258</v>
      </c>
      <c r="H261" s="120">
        <f t="shared" si="224"/>
        <v>33192.348315469011</v>
      </c>
      <c r="I261" s="120">
        <f t="shared" si="224"/>
        <v>32330.273714049359</v>
      </c>
      <c r="J261" s="120">
        <f t="shared" si="224"/>
        <v>31474.863523421289</v>
      </c>
      <c r="K261" s="120">
        <f t="shared" si="224"/>
        <v>30626.197496431847</v>
      </c>
      <c r="L261" s="120">
        <f t="shared" si="224"/>
        <v>29784.35766528469</v>
      </c>
      <c r="M261" s="120">
        <f t="shared" si="224"/>
        <v>28949.428390786994</v>
      </c>
      <c r="N261" s="120">
        <f t="shared" si="224"/>
        <v>28121.496412618988</v>
      </c>
      <c r="O261" s="120">
        <f t="shared" si="224"/>
        <v>27300.650900646207</v>
      </c>
      <c r="P261" s="120">
        <f t="shared" si="224"/>
        <v>26486.983507295474</v>
      </c>
      <c r="Q261" s="120">
        <f t="shared" si="224"/>
        <v>25680.588421015596</v>
      </c>
      <c r="R261" s="120">
        <f t="shared" si="224"/>
        <v>24881.562420844501</v>
      </c>
      <c r="S261" s="120">
        <f t="shared" si="224"/>
        <v>24090.004932104734</v>
      </c>
      <c r="T261" s="120">
        <f t="shared" si="224"/>
        <v>23306.018083249863</v>
      </c>
      <c r="U261" s="120">
        <f t="shared" si="224"/>
        <v>22529.706763884456</v>
      </c>
      <c r="V261" s="120">
        <f t="shared" si="224"/>
        <v>21761.178683981212</v>
      </c>
      <c r="W261" s="120">
        <f t="shared" si="224"/>
        <v>21000.544434318792</v>
      </c>
      <c r="X261" s="120">
        <f t="shared" si="224"/>
        <v>20247.917548164634</v>
      </c>
      <c r="Y261" s="120">
        <f t="shared" si="224"/>
        <v>19503.414564227558</v>
      </c>
      <c r="Z261" s="120">
        <f t="shared" si="224"/>
        <v>18767.155090905093</v>
      </c>
      <c r="AA261" s="120">
        <f t="shared" si="224"/>
        <v>18039.261871851493</v>
      </c>
      <c r="AB261" s="120">
        <f t="shared" si="224"/>
        <v>17319.860852892256</v>
      </c>
      <c r="AC261" s="120">
        <f t="shared" si="224"/>
        <v>16609.081250312112</v>
      </c>
      <c r="AD261" s="120">
        <f t="shared" si="224"/>
        <v>15907.055620543404</v>
      </c>
      <c r="AE261" s="120">
        <f t="shared" si="224"/>
        <v>15213.919931282797</v>
      </c>
      <c r="AF261" s="120">
        <f t="shared" si="224"/>
        <v>14529.813634064269</v>
      </c>
      <c r="AG261" s="120">
        <f t="shared" si="224"/>
        <v>13854.879738317446</v>
      </c>
      <c r="AI261" s="188"/>
    </row>
    <row r="262" spans="1:36" outlineLevel="1">
      <c r="A262" s="104" t="s">
        <v>625</v>
      </c>
      <c r="B262" s="252" t="s">
        <v>127</v>
      </c>
      <c r="C262" s="120">
        <f t="shared" ref="C262:AG262" si="225">C231*C$256</f>
        <v>12533.349897605347</v>
      </c>
      <c r="D262" s="120">
        <f t="shared" si="225"/>
        <v>12290.6207817666</v>
      </c>
      <c r="E262" s="120">
        <f t="shared" si="225"/>
        <v>12049.304053114938</v>
      </c>
      <c r="F262" s="120">
        <f t="shared" si="225"/>
        <v>11809.413920313285</v>
      </c>
      <c r="G262" s="120">
        <f t="shared" si="225"/>
        <v>11570.965053694326</v>
      </c>
      <c r="H262" s="120">
        <f t="shared" si="225"/>
        <v>11333.972595526009</v>
      </c>
      <c r="I262" s="120">
        <f t="shared" si="225"/>
        <v>11098.452170494564</v>
      </c>
      <c r="J262" s="120">
        <f t="shared" si="225"/>
        <v>10864.419896409387</v>
      </c>
      <c r="K262" s="120">
        <f t="shared" si="225"/>
        <v>10631.89239513438</v>
      </c>
      <c r="L262" s="120">
        <f t="shared" si="225"/>
        <v>10400.886803750218</v>
      </c>
      <c r="M262" s="120">
        <f t="shared" si="225"/>
        <v>10171.420785952198</v>
      </c>
      <c r="N262" s="120">
        <f t="shared" si="225"/>
        <v>9943.5125436884955</v>
      </c>
      <c r="O262" s="120">
        <f t="shared" si="225"/>
        <v>9717.1808290435783</v>
      </c>
      <c r="P262" s="120">
        <f t="shared" si="225"/>
        <v>9492.4449563718026</v>
      </c>
      <c r="Q262" s="120">
        <f t="shared" si="225"/>
        <v>9269.324814686117</v>
      </c>
      <c r="R262" s="120">
        <f t="shared" si="225"/>
        <v>9047.840880307107</v>
      </c>
      <c r="S262" s="120">
        <f t="shared" si="225"/>
        <v>8828.0142297775292</v>
      </c>
      <c r="T262" s="120">
        <f t="shared" si="225"/>
        <v>8609.8665530477356</v>
      </c>
      <c r="U262" s="120">
        <f t="shared" si="225"/>
        <v>8393.4201669373633</v>
      </c>
      <c r="V262" s="120">
        <f t="shared" si="225"/>
        <v>8178.6980288788618</v>
      </c>
      <c r="W262" s="120">
        <f t="shared" si="225"/>
        <v>7965.723750948523</v>
      </c>
      <c r="X262" s="120">
        <f t="shared" si="225"/>
        <v>7754.5216141907276</v>
      </c>
      <c r="Y262" s="120">
        <f t="shared" si="225"/>
        <v>7545.1165832413335</v>
      </c>
      <c r="Z262" s="120">
        <f t="shared" si="225"/>
        <v>7337.5343212561429</v>
      </c>
      <c r="AA262" s="120">
        <f t="shared" si="225"/>
        <v>7131.8012051506066</v>
      </c>
      <c r="AB262" s="120">
        <f t="shared" si="225"/>
        <v>6927.9443411569191</v>
      </c>
      <c r="AC262" s="120">
        <f t="shared" si="225"/>
        <v>6725.9915807049201</v>
      </c>
      <c r="AD262" s="120">
        <f t="shared" si="225"/>
        <v>6525.9715366332075</v>
      </c>
      <c r="AE262" s="120">
        <f t="shared" si="225"/>
        <v>6327.9135997371086</v>
      </c>
      <c r="AF262" s="120">
        <f t="shared" si="225"/>
        <v>6131.847955660166</v>
      </c>
      <c r="AG262" s="120">
        <f t="shared" si="225"/>
        <v>5937.805602136048</v>
      </c>
      <c r="AI262" s="188"/>
    </row>
    <row r="263" spans="1:36" s="54" customFormat="1">
      <c r="A263" s="54" t="s">
        <v>627</v>
      </c>
      <c r="B263" s="253"/>
      <c r="C263" s="545">
        <f t="shared" ref="C263:AG263" si="226">C47</f>
        <v>3024677.5902107381</v>
      </c>
      <c r="D263" s="545">
        <f t="shared" si="226"/>
        <v>2980477.6857046844</v>
      </c>
      <c r="E263" s="545">
        <f t="shared" si="226"/>
        <v>2936458.189967352</v>
      </c>
      <c r="F263" s="545">
        <f t="shared" si="226"/>
        <v>2892618.5218702517</v>
      </c>
      <c r="G263" s="545">
        <f t="shared" si="226"/>
        <v>2848958.1019714633</v>
      </c>
      <c r="H263" s="545">
        <f t="shared" si="226"/>
        <v>2805476.3525110218</v>
      </c>
      <c r="I263" s="545">
        <f t="shared" si="226"/>
        <v>2756086.5375028667</v>
      </c>
      <c r="J263" s="545">
        <f t="shared" si="226"/>
        <v>2706901.1137472037</v>
      </c>
      <c r="K263" s="545">
        <f t="shared" si="226"/>
        <v>2657919.4195217313</v>
      </c>
      <c r="L263" s="545">
        <f t="shared" si="226"/>
        <v>2609140.7950296737</v>
      </c>
      <c r="M263" s="545">
        <f t="shared" si="226"/>
        <v>2560564.582394504</v>
      </c>
      <c r="N263" s="545">
        <f t="shared" si="226"/>
        <v>2494470.8623379958</v>
      </c>
      <c r="O263" s="545">
        <f t="shared" si="226"/>
        <v>2437336.5446226206</v>
      </c>
      <c r="P263" s="545">
        <f t="shared" si="226"/>
        <v>2373081.9810951818</v>
      </c>
      <c r="Q263" s="545">
        <f t="shared" si="226"/>
        <v>2309099.0417986917</v>
      </c>
      <c r="R263" s="545">
        <f t="shared" si="226"/>
        <v>2245386.8431029329</v>
      </c>
      <c r="S263" s="545">
        <f t="shared" si="226"/>
        <v>2182678.8142350418</v>
      </c>
      <c r="T263" s="545">
        <f t="shared" si="226"/>
        <v>2120236.5243132976</v>
      </c>
      <c r="U263" s="545">
        <f t="shared" si="226"/>
        <v>2058059.108124889</v>
      </c>
      <c r="V263" s="545">
        <f t="shared" si="226"/>
        <v>1996145.70297202</v>
      </c>
      <c r="W263" s="545">
        <f t="shared" si="226"/>
        <v>1934495.4486650499</v>
      </c>
      <c r="X263" s="545">
        <f t="shared" si="226"/>
        <v>1886539.6030556681</v>
      </c>
      <c r="Y263" s="545">
        <f t="shared" si="226"/>
        <v>1839403.7419104553</v>
      </c>
      <c r="Z263" s="545">
        <f t="shared" si="226"/>
        <v>1792273.129005132</v>
      </c>
      <c r="AA263" s="545">
        <f t="shared" si="226"/>
        <v>1745340.9388010739</v>
      </c>
      <c r="AB263" s="545">
        <f t="shared" si="226"/>
        <v>1698606.5720683692</v>
      </c>
      <c r="AC263" s="545">
        <f t="shared" si="226"/>
        <v>1651611.6996363057</v>
      </c>
      <c r="AD263" s="545">
        <f t="shared" si="226"/>
        <v>1604815.4775873774</v>
      </c>
      <c r="AE263" s="545">
        <f t="shared" si="226"/>
        <v>1558217.3044126625</v>
      </c>
      <c r="AF263" s="545">
        <f t="shared" si="226"/>
        <v>1511816.5800881532</v>
      </c>
      <c r="AG263" s="545">
        <f t="shared" si="226"/>
        <v>1465612.7060718003</v>
      </c>
      <c r="AI263" s="255"/>
      <c r="AJ263" s="256"/>
    </row>
    <row r="264" spans="1:36" s="54" customFormat="1">
      <c r="A264" s="257" t="s">
        <v>178</v>
      </c>
      <c r="B264" s="258" t="s">
        <v>127</v>
      </c>
      <c r="C264" s="548">
        <f t="shared" ref="C264:AG264" si="227">C47-C29</f>
        <v>0</v>
      </c>
      <c r="D264" s="548">
        <f t="shared" si="227"/>
        <v>-37522.702441596426</v>
      </c>
      <c r="E264" s="548">
        <f t="shared" si="227"/>
        <v>-74879.736537569202</v>
      </c>
      <c r="F264" s="548">
        <f t="shared" si="227"/>
        <v>-112071.65087581985</v>
      </c>
      <c r="G264" s="548">
        <f t="shared" si="227"/>
        <v>-149098.99242951628</v>
      </c>
      <c r="H264" s="548">
        <f t="shared" si="227"/>
        <v>-185962.30656155059</v>
      </c>
      <c r="I264" s="548">
        <f t="shared" si="227"/>
        <v>-228748.29693242861</v>
      </c>
      <c r="J264" s="548">
        <f t="shared" si="227"/>
        <v>-271344.47448775079</v>
      </c>
      <c r="K264" s="548">
        <f t="shared" si="227"/>
        <v>-313751.4687668276</v>
      </c>
      <c r="L264" s="548">
        <f t="shared" si="227"/>
        <v>-355969.90745449252</v>
      </c>
      <c r="M264" s="548">
        <f t="shared" si="227"/>
        <v>-398000.41638621781</v>
      </c>
      <c r="N264" s="548">
        <f t="shared" si="227"/>
        <v>-457562.88286990812</v>
      </c>
      <c r="O264" s="548">
        <f t="shared" si="227"/>
        <v>-508180.36524334736</v>
      </c>
      <c r="P264" s="548">
        <f t="shared" si="227"/>
        <v>-565932.4798304094</v>
      </c>
      <c r="Q264" s="548">
        <f t="shared" si="227"/>
        <v>-623427.3248290238</v>
      </c>
      <c r="R264" s="548">
        <f t="shared" si="227"/>
        <v>-680665.75218046084</v>
      </c>
      <c r="S264" s="548">
        <f t="shared" si="227"/>
        <v>-736914.30103859212</v>
      </c>
      <c r="T264" s="548">
        <f t="shared" si="227"/>
        <v>-792911.37073594937</v>
      </c>
      <c r="U264" s="548">
        <f t="shared" si="227"/>
        <v>-848657.79500579974</v>
      </c>
      <c r="V264" s="548">
        <f t="shared" si="227"/>
        <v>-904154.40513589047</v>
      </c>
      <c r="W264" s="548">
        <f t="shared" si="227"/>
        <v>-959402.02997515211</v>
      </c>
      <c r="X264" s="548">
        <f t="shared" si="227"/>
        <v>-1000969.3804003727</v>
      </c>
      <c r="Y264" s="548">
        <f t="shared" si="227"/>
        <v>-1041730.8494424839</v>
      </c>
      <c r="Z264" s="548">
        <f t="shared" si="227"/>
        <v>-1082501.1421921572</v>
      </c>
      <c r="AA264" s="548">
        <f t="shared" si="227"/>
        <v>-1123087.0531231421</v>
      </c>
      <c r="AB264" s="548">
        <f t="shared" si="227"/>
        <v>-1163489.1504690505</v>
      </c>
      <c r="AC264" s="548">
        <f t="shared" si="227"/>
        <v>-1204165.7324727233</v>
      </c>
      <c r="AD264" s="548">
        <f t="shared" si="227"/>
        <v>-1244657.6121920685</v>
      </c>
      <c r="AE264" s="548">
        <f t="shared" si="227"/>
        <v>-1284965.360344538</v>
      </c>
      <c r="AF264" s="548">
        <f t="shared" si="227"/>
        <v>-1325089.546230641</v>
      </c>
      <c r="AG264" s="548">
        <f t="shared" si="227"/>
        <v>-1365030.7377367548</v>
      </c>
      <c r="AI264" s="255"/>
      <c r="AJ264" s="256"/>
    </row>
    <row r="265" spans="1:36">
      <c r="A265" s="260" t="s">
        <v>619</v>
      </c>
      <c r="B265" s="252" t="s">
        <v>127</v>
      </c>
      <c r="C265" s="547">
        <f t="shared" ref="C265:AG265" si="228">C221</f>
        <v>518007.61068966903</v>
      </c>
      <c r="D265" s="547">
        <f t="shared" si="228"/>
        <v>553324.68347204279</v>
      </c>
      <c r="E265" s="547">
        <f t="shared" si="228"/>
        <v>587712.70998960594</v>
      </c>
      <c r="F265" s="547">
        <f t="shared" si="228"/>
        <v>621166.32988635916</v>
      </c>
      <c r="G265" s="547">
        <f t="shared" si="228"/>
        <v>653680.25577334198</v>
      </c>
      <c r="H265" s="547">
        <f t="shared" si="228"/>
        <v>685249.27278019232</v>
      </c>
      <c r="I265" s="547">
        <f t="shared" si="228"/>
        <v>714672.88710136979</v>
      </c>
      <c r="J265" s="547">
        <f t="shared" si="228"/>
        <v>742913.78177552379</v>
      </c>
      <c r="K265" s="547">
        <f t="shared" si="228"/>
        <v>769968.4816052902</v>
      </c>
      <c r="L265" s="547">
        <f t="shared" si="228"/>
        <v>795833.57538096257</v>
      </c>
      <c r="M265" s="547">
        <f t="shared" si="228"/>
        <v>820505.71546727663</v>
      </c>
      <c r="N265" s="547">
        <f t="shared" si="228"/>
        <v>825740.76619597245</v>
      </c>
      <c r="O265" s="547">
        <f t="shared" si="228"/>
        <v>832902.90481738024</v>
      </c>
      <c r="P265" s="547">
        <f t="shared" si="228"/>
        <v>836399.99011735339</v>
      </c>
      <c r="Q265" s="547">
        <f t="shared" si="228"/>
        <v>838775.67076213751</v>
      </c>
      <c r="R265" s="547">
        <f t="shared" si="228"/>
        <v>840026.9574369645</v>
      </c>
      <c r="S265" s="547">
        <f t="shared" si="228"/>
        <v>840379.46013060363</v>
      </c>
      <c r="T265" s="547">
        <f t="shared" si="228"/>
        <v>839622.59607833833</v>
      </c>
      <c r="U265" s="547">
        <f t="shared" si="228"/>
        <v>837753.41130921943</v>
      </c>
      <c r="V265" s="547">
        <f t="shared" si="228"/>
        <v>834769.01057859277</v>
      </c>
      <c r="W265" s="547">
        <f t="shared" si="228"/>
        <v>830666.55698001571</v>
      </c>
      <c r="X265" s="547">
        <f t="shared" si="228"/>
        <v>841974.65744559711</v>
      </c>
      <c r="Y265" s="547">
        <f t="shared" si="228"/>
        <v>852257.45279209712</v>
      </c>
      <c r="Z265" s="547">
        <f t="shared" si="228"/>
        <v>861133.27912986348</v>
      </c>
      <c r="AA265" s="547">
        <f t="shared" si="228"/>
        <v>868703.1605350516</v>
      </c>
      <c r="AB265" s="547">
        <f t="shared" si="228"/>
        <v>874964.40317646496</v>
      </c>
      <c r="AC265" s="547">
        <f t="shared" si="228"/>
        <v>879679.5036022258</v>
      </c>
      <c r="AD265" s="547">
        <f t="shared" si="228"/>
        <v>883061.97104390839</v>
      </c>
      <c r="AE265" s="547">
        <f t="shared" si="228"/>
        <v>885109.43314529024</v>
      </c>
      <c r="AF265" s="547">
        <f t="shared" si="228"/>
        <v>885819.58039284451</v>
      </c>
      <c r="AG265" s="547">
        <f t="shared" si="228"/>
        <v>885190.16557580873</v>
      </c>
      <c r="AI265" s="246"/>
    </row>
    <row r="266" spans="1:36" s="62" customFormat="1">
      <c r="A266" s="261" t="s">
        <v>628</v>
      </c>
      <c r="B266" s="262" t="s">
        <v>127</v>
      </c>
      <c r="C266" s="549">
        <f>C263-C265</f>
        <v>2506669.9795210692</v>
      </c>
      <c r="D266" s="549">
        <f t="shared" ref="D266:AG266" si="229">D263-D265</f>
        <v>2427153.0022326414</v>
      </c>
      <c r="E266" s="549">
        <f t="shared" si="229"/>
        <v>2348745.479977746</v>
      </c>
      <c r="F266" s="549">
        <f t="shared" si="229"/>
        <v>2271452.1919838926</v>
      </c>
      <c r="G266" s="549">
        <f t="shared" si="229"/>
        <v>2195277.8461981211</v>
      </c>
      <c r="H266" s="549">
        <f t="shared" si="229"/>
        <v>2120227.0797308292</v>
      </c>
      <c r="I266" s="549">
        <f t="shared" si="229"/>
        <v>2041413.6504014968</v>
      </c>
      <c r="J266" s="549">
        <f t="shared" si="229"/>
        <v>1963987.3319716798</v>
      </c>
      <c r="K266" s="549">
        <f t="shared" si="229"/>
        <v>1887950.9379164411</v>
      </c>
      <c r="L266" s="549">
        <f t="shared" si="229"/>
        <v>1813307.2196487112</v>
      </c>
      <c r="M266" s="549">
        <f t="shared" si="229"/>
        <v>1740058.8669272275</v>
      </c>
      <c r="N266" s="549">
        <f t="shared" si="229"/>
        <v>1668730.0961420233</v>
      </c>
      <c r="O266" s="549">
        <f t="shared" si="229"/>
        <v>1604433.6398052403</v>
      </c>
      <c r="P266" s="549">
        <f t="shared" si="229"/>
        <v>1536681.9909778284</v>
      </c>
      <c r="Q266" s="549">
        <f t="shared" si="229"/>
        <v>1470323.3710365542</v>
      </c>
      <c r="R266" s="549">
        <f t="shared" si="229"/>
        <v>1405359.8856659685</v>
      </c>
      <c r="S266" s="549">
        <f t="shared" si="229"/>
        <v>1342299.3541044383</v>
      </c>
      <c r="T266" s="549">
        <f t="shared" si="229"/>
        <v>1280613.9282349593</v>
      </c>
      <c r="U266" s="549">
        <f t="shared" si="229"/>
        <v>1220305.6968156695</v>
      </c>
      <c r="V266" s="549">
        <f t="shared" si="229"/>
        <v>1161376.6923934272</v>
      </c>
      <c r="W266" s="549">
        <f t="shared" si="229"/>
        <v>1103828.8916850341</v>
      </c>
      <c r="X266" s="549">
        <f t="shared" si="229"/>
        <v>1044564.945610071</v>
      </c>
      <c r="Y266" s="549">
        <f t="shared" si="229"/>
        <v>987146.28911835817</v>
      </c>
      <c r="Z266" s="549">
        <f t="shared" si="229"/>
        <v>931139.84987526853</v>
      </c>
      <c r="AA266" s="549">
        <f t="shared" si="229"/>
        <v>876637.77826602233</v>
      </c>
      <c r="AB266" s="549">
        <f t="shared" si="229"/>
        <v>823642.16889190429</v>
      </c>
      <c r="AC266" s="549">
        <f t="shared" si="229"/>
        <v>771932.19603407988</v>
      </c>
      <c r="AD266" s="549">
        <f t="shared" si="229"/>
        <v>721753.50654346903</v>
      </c>
      <c r="AE266" s="549">
        <f t="shared" si="229"/>
        <v>673107.87126737228</v>
      </c>
      <c r="AF266" s="549">
        <f t="shared" si="229"/>
        <v>625996.99969530874</v>
      </c>
      <c r="AG266" s="549">
        <f t="shared" si="229"/>
        <v>580422.54049599159</v>
      </c>
      <c r="AI266" s="264"/>
      <c r="AJ266" s="265"/>
    </row>
    <row r="267" spans="1:36" s="54" customFormat="1" outlineLevel="1">
      <c r="A267" s="257" t="s">
        <v>656</v>
      </c>
      <c r="B267" s="258" t="s">
        <v>126</v>
      </c>
      <c r="C267" s="548">
        <f t="shared" ref="C267:AF267" si="230">C47*C233</f>
        <v>2964184.0384065234</v>
      </c>
      <c r="D267" s="548">
        <f t="shared" si="230"/>
        <v>2921861.6245524921</v>
      </c>
      <c r="E267" s="548">
        <f t="shared" si="230"/>
        <v>2879686.6649613162</v>
      </c>
      <c r="F267" s="548">
        <f t="shared" si="230"/>
        <v>2837658.7699547168</v>
      </c>
      <c r="G267" s="548">
        <f t="shared" si="230"/>
        <v>2795777.550734662</v>
      </c>
      <c r="H267" s="548">
        <f t="shared" si="230"/>
        <v>2754042.6193816527</v>
      </c>
      <c r="I267" s="548">
        <f t="shared" si="230"/>
        <v>2706476.9798278143</v>
      </c>
      <c r="J267" s="548">
        <f t="shared" si="230"/>
        <v>2659079.1940710023</v>
      </c>
      <c r="K267" s="548">
        <f t="shared" si="230"/>
        <v>2611848.8162500206</v>
      </c>
      <c r="L267" s="548">
        <f t="shared" si="230"/>
        <v>2564785.4015141684</v>
      </c>
      <c r="M267" s="548">
        <f t="shared" si="230"/>
        <v>2517888.5060212612</v>
      </c>
      <c r="N267" s="548">
        <f t="shared" si="230"/>
        <v>2453727.8382531409</v>
      </c>
      <c r="O267" s="548">
        <f t="shared" si="230"/>
        <v>2398339.1599086574</v>
      </c>
      <c r="P267" s="548">
        <f t="shared" si="230"/>
        <v>2335903.6967246896</v>
      </c>
      <c r="Q267" s="548">
        <f t="shared" si="230"/>
        <v>2273692.8564911108</v>
      </c>
      <c r="R267" s="548">
        <f t="shared" si="230"/>
        <v>2211706.0404563877</v>
      </c>
      <c r="S267" s="548">
        <f t="shared" si="230"/>
        <v>2150666.1916262601</v>
      </c>
      <c r="T267" s="548">
        <f t="shared" si="230"/>
        <v>2089846.4674648056</v>
      </c>
      <c r="U267" s="548">
        <f t="shared" si="230"/>
        <v>2029246.280611139</v>
      </c>
      <c r="V267" s="548">
        <f t="shared" si="230"/>
        <v>1968865.0450314011</v>
      </c>
      <c r="W267" s="548">
        <f t="shared" si="230"/>
        <v>1908702.176016181</v>
      </c>
      <c r="X267" s="548">
        <f t="shared" si="230"/>
        <v>1862014.588215943</v>
      </c>
      <c r="Y267" s="548">
        <f t="shared" si="230"/>
        <v>1816104.6278462547</v>
      </c>
      <c r="Z267" s="548">
        <f t="shared" si="230"/>
        <v>1770168.4270807339</v>
      </c>
      <c r="AA267" s="548">
        <f t="shared" si="230"/>
        <v>1724396.8475354596</v>
      </c>
      <c r="AB267" s="548">
        <f t="shared" si="230"/>
        <v>1678789.4953942366</v>
      </c>
      <c r="AC267" s="548">
        <f t="shared" si="230"/>
        <v>1632893.4337070927</v>
      </c>
      <c r="AD267" s="548">
        <f t="shared" si="230"/>
        <v>1587162.5073339147</v>
      </c>
      <c r="AE267" s="548">
        <f t="shared" si="230"/>
        <v>1541596.3198322591</v>
      </c>
      <c r="AF267" s="548">
        <f t="shared" si="230"/>
        <v>1496194.4754272406</v>
      </c>
      <c r="AG267" s="548">
        <f>AG47*AG233</f>
        <v>1450956.5790110824</v>
      </c>
      <c r="AI267" s="255"/>
      <c r="AJ267" s="288" t="s">
        <v>629</v>
      </c>
    </row>
    <row r="268" spans="1:36" s="54" customFormat="1" outlineLevel="1">
      <c r="A268" s="257" t="s">
        <v>667</v>
      </c>
      <c r="B268" s="258" t="s">
        <v>126</v>
      </c>
      <c r="C268" s="548">
        <f>C267*C234</f>
        <v>2964184.0384065234</v>
      </c>
      <c r="D268" s="548">
        <f t="shared" ref="D268:AG268" si="231">D267*D234</f>
        <v>2921861.6245524921</v>
      </c>
      <c r="E268" s="548">
        <f t="shared" si="231"/>
        <v>2879686.6649613162</v>
      </c>
      <c r="F268" s="548">
        <f t="shared" si="231"/>
        <v>2837658.7699547168</v>
      </c>
      <c r="G268" s="548">
        <f t="shared" si="231"/>
        <v>2795777.550734662</v>
      </c>
      <c r="H268" s="548">
        <f t="shared" si="231"/>
        <v>2754042.6193816527</v>
      </c>
      <c r="I268" s="548">
        <f t="shared" si="231"/>
        <v>2706476.9798278143</v>
      </c>
      <c r="J268" s="548">
        <f t="shared" si="231"/>
        <v>2659079.1940710023</v>
      </c>
      <c r="K268" s="548">
        <f t="shared" si="231"/>
        <v>2611848.8162500206</v>
      </c>
      <c r="L268" s="548">
        <f t="shared" si="231"/>
        <v>2564785.4015141684</v>
      </c>
      <c r="M268" s="548">
        <f t="shared" si="231"/>
        <v>2517888.5060212612</v>
      </c>
      <c r="N268" s="548">
        <f t="shared" si="231"/>
        <v>2453727.8382531409</v>
      </c>
      <c r="O268" s="548">
        <f t="shared" si="231"/>
        <v>2398339.1599086574</v>
      </c>
      <c r="P268" s="548">
        <f t="shared" si="231"/>
        <v>2335903.6967246896</v>
      </c>
      <c r="Q268" s="548">
        <f t="shared" si="231"/>
        <v>2273692.8564911108</v>
      </c>
      <c r="R268" s="548">
        <f t="shared" si="231"/>
        <v>2211706.0404563877</v>
      </c>
      <c r="S268" s="548">
        <f t="shared" si="231"/>
        <v>2150666.1916262601</v>
      </c>
      <c r="T268" s="548">
        <f t="shared" si="231"/>
        <v>2089846.4674648056</v>
      </c>
      <c r="U268" s="548">
        <f t="shared" si="231"/>
        <v>2029246.280611139</v>
      </c>
      <c r="V268" s="548">
        <f t="shared" si="231"/>
        <v>1968865.0450314011</v>
      </c>
      <c r="W268" s="548">
        <f t="shared" si="231"/>
        <v>1908702.176016181</v>
      </c>
      <c r="X268" s="548">
        <f t="shared" si="231"/>
        <v>1862014.588215943</v>
      </c>
      <c r="Y268" s="548">
        <f t="shared" si="231"/>
        <v>1816104.6278462547</v>
      </c>
      <c r="Z268" s="548">
        <f t="shared" si="231"/>
        <v>1770168.4270807339</v>
      </c>
      <c r="AA268" s="548">
        <f t="shared" si="231"/>
        <v>1724396.8475354596</v>
      </c>
      <c r="AB268" s="548">
        <f t="shared" si="231"/>
        <v>1678789.4953942366</v>
      </c>
      <c r="AC268" s="548">
        <f t="shared" si="231"/>
        <v>1632893.4337070927</v>
      </c>
      <c r="AD268" s="548">
        <f t="shared" si="231"/>
        <v>1587162.5073339147</v>
      </c>
      <c r="AE268" s="548">
        <f t="shared" si="231"/>
        <v>1541596.3198322591</v>
      </c>
      <c r="AF268" s="548">
        <f t="shared" si="231"/>
        <v>1496194.4754272406</v>
      </c>
      <c r="AG268" s="548">
        <f t="shared" si="231"/>
        <v>1450956.5790110824</v>
      </c>
      <c r="AI268" s="255"/>
      <c r="AJ268" s="288" t="s">
        <v>629</v>
      </c>
    </row>
    <row r="269" spans="1:36" s="58" customFormat="1" outlineLevel="1">
      <c r="A269" s="261" t="s">
        <v>668</v>
      </c>
      <c r="B269" s="262" t="s">
        <v>126</v>
      </c>
      <c r="C269" s="549">
        <f>C267*C235</f>
        <v>0</v>
      </c>
      <c r="D269" s="549">
        <f t="shared" ref="D269:AG269" si="232">D267*D235</f>
        <v>0</v>
      </c>
      <c r="E269" s="549">
        <f t="shared" si="232"/>
        <v>0</v>
      </c>
      <c r="F269" s="549">
        <f t="shared" si="232"/>
        <v>0</v>
      </c>
      <c r="G269" s="549">
        <f t="shared" si="232"/>
        <v>0</v>
      </c>
      <c r="H269" s="549">
        <f t="shared" si="232"/>
        <v>0</v>
      </c>
      <c r="I269" s="549">
        <f t="shared" si="232"/>
        <v>0</v>
      </c>
      <c r="J269" s="549">
        <f t="shared" si="232"/>
        <v>0</v>
      </c>
      <c r="K269" s="549">
        <f t="shared" si="232"/>
        <v>0</v>
      </c>
      <c r="L269" s="549">
        <f t="shared" si="232"/>
        <v>0</v>
      </c>
      <c r="M269" s="549">
        <f t="shared" si="232"/>
        <v>0</v>
      </c>
      <c r="N269" s="549">
        <f t="shared" si="232"/>
        <v>0</v>
      </c>
      <c r="O269" s="549">
        <f t="shared" si="232"/>
        <v>0</v>
      </c>
      <c r="P269" s="549">
        <f t="shared" si="232"/>
        <v>0</v>
      </c>
      <c r="Q269" s="549">
        <f t="shared" si="232"/>
        <v>0</v>
      </c>
      <c r="R269" s="549">
        <f t="shared" si="232"/>
        <v>0</v>
      </c>
      <c r="S269" s="549">
        <f t="shared" si="232"/>
        <v>0</v>
      </c>
      <c r="T269" s="549">
        <f t="shared" si="232"/>
        <v>0</v>
      </c>
      <c r="U269" s="549">
        <f t="shared" si="232"/>
        <v>0</v>
      </c>
      <c r="V269" s="549">
        <f t="shared" si="232"/>
        <v>0</v>
      </c>
      <c r="W269" s="549">
        <f t="shared" si="232"/>
        <v>0</v>
      </c>
      <c r="X269" s="549">
        <f t="shared" si="232"/>
        <v>0</v>
      </c>
      <c r="Y269" s="549">
        <f t="shared" si="232"/>
        <v>0</v>
      </c>
      <c r="Z269" s="549">
        <f t="shared" si="232"/>
        <v>0</v>
      </c>
      <c r="AA269" s="549">
        <f t="shared" si="232"/>
        <v>0</v>
      </c>
      <c r="AB269" s="549">
        <f t="shared" si="232"/>
        <v>0</v>
      </c>
      <c r="AC269" s="549">
        <f t="shared" si="232"/>
        <v>0</v>
      </c>
      <c r="AD269" s="549">
        <f t="shared" si="232"/>
        <v>0</v>
      </c>
      <c r="AE269" s="549">
        <f t="shared" si="232"/>
        <v>0</v>
      </c>
      <c r="AF269" s="549">
        <f t="shared" si="232"/>
        <v>0</v>
      </c>
      <c r="AG269" s="549">
        <f t="shared" si="232"/>
        <v>0</v>
      </c>
      <c r="AI269" s="291"/>
      <c r="AJ269" s="290" t="s">
        <v>629</v>
      </c>
    </row>
    <row r="270" spans="1:36" s="1" customFormat="1" outlineLevel="1">
      <c r="A270" t="s">
        <v>649</v>
      </c>
      <c r="B270" s="252" t="s">
        <v>127</v>
      </c>
      <c r="C270" s="547">
        <f>C236*C267</f>
        <v>2964184.0384065234</v>
      </c>
      <c r="D270" s="547">
        <f t="shared" ref="D270:AG270" si="233">D236*D267</f>
        <v>2921861.6245524921</v>
      </c>
      <c r="E270" s="547">
        <f t="shared" si="233"/>
        <v>2879686.6649613162</v>
      </c>
      <c r="F270" s="547">
        <f t="shared" si="233"/>
        <v>2837658.7699547168</v>
      </c>
      <c r="G270" s="547">
        <f t="shared" si="233"/>
        <v>2795777.550734662</v>
      </c>
      <c r="H270" s="547">
        <f t="shared" si="233"/>
        <v>2754042.6193816527</v>
      </c>
      <c r="I270" s="547">
        <f t="shared" si="233"/>
        <v>2706476.9798278143</v>
      </c>
      <c r="J270" s="547">
        <f t="shared" si="233"/>
        <v>2659079.1940710023</v>
      </c>
      <c r="K270" s="547">
        <f t="shared" si="233"/>
        <v>2611848.8162500206</v>
      </c>
      <c r="L270" s="547">
        <f t="shared" si="233"/>
        <v>2564785.4015141684</v>
      </c>
      <c r="M270" s="547">
        <f t="shared" si="233"/>
        <v>2517888.5060212612</v>
      </c>
      <c r="N270" s="547">
        <f t="shared" si="233"/>
        <v>2453727.8382531409</v>
      </c>
      <c r="O270" s="547">
        <f t="shared" si="233"/>
        <v>2398339.1599086574</v>
      </c>
      <c r="P270" s="547">
        <f t="shared" si="233"/>
        <v>2335903.6967246896</v>
      </c>
      <c r="Q270" s="547">
        <f t="shared" si="233"/>
        <v>2273692.8564911108</v>
      </c>
      <c r="R270" s="547">
        <f t="shared" si="233"/>
        <v>2211706.0404563877</v>
      </c>
      <c r="S270" s="547">
        <f t="shared" si="233"/>
        <v>2150666.1916262601</v>
      </c>
      <c r="T270" s="547">
        <f t="shared" si="233"/>
        <v>2089846.4674648056</v>
      </c>
      <c r="U270" s="547">
        <f t="shared" si="233"/>
        <v>2029246.280611139</v>
      </c>
      <c r="V270" s="547">
        <f t="shared" si="233"/>
        <v>1968865.0450314011</v>
      </c>
      <c r="W270" s="547">
        <f t="shared" si="233"/>
        <v>1908702.176016181</v>
      </c>
      <c r="X270" s="547">
        <f t="shared" si="233"/>
        <v>1862014.588215943</v>
      </c>
      <c r="Y270" s="547">
        <f t="shared" si="233"/>
        <v>1816104.6278462547</v>
      </c>
      <c r="Z270" s="547">
        <f t="shared" si="233"/>
        <v>1770168.4270807339</v>
      </c>
      <c r="AA270" s="547">
        <f t="shared" si="233"/>
        <v>1724396.8475354596</v>
      </c>
      <c r="AB270" s="547">
        <f t="shared" si="233"/>
        <v>1678789.4953942366</v>
      </c>
      <c r="AC270" s="547">
        <f t="shared" si="233"/>
        <v>1632893.4337070927</v>
      </c>
      <c r="AD270" s="547">
        <f t="shared" si="233"/>
        <v>1587162.5073339147</v>
      </c>
      <c r="AE270" s="547">
        <f t="shared" si="233"/>
        <v>1541596.3198322591</v>
      </c>
      <c r="AF270" s="547">
        <f t="shared" si="233"/>
        <v>1496194.4754272406</v>
      </c>
      <c r="AG270" s="547">
        <f t="shared" si="233"/>
        <v>1450956.5790110824</v>
      </c>
      <c r="AI270" s="266"/>
      <c r="AJ270" s="185" t="s">
        <v>629</v>
      </c>
    </row>
    <row r="271" spans="1:36" s="1" customFormat="1" outlineLevel="1">
      <c r="A271" t="s">
        <v>655</v>
      </c>
      <c r="B271" s="252" t="s">
        <v>127</v>
      </c>
      <c r="C271" s="547">
        <f>C237*C267</f>
        <v>0</v>
      </c>
      <c r="D271" s="547">
        <f t="shared" ref="D271:AG271" si="234">D237*D267</f>
        <v>0</v>
      </c>
      <c r="E271" s="547">
        <f t="shared" si="234"/>
        <v>0</v>
      </c>
      <c r="F271" s="547">
        <f t="shared" si="234"/>
        <v>0</v>
      </c>
      <c r="G271" s="547">
        <f t="shared" si="234"/>
        <v>0</v>
      </c>
      <c r="H271" s="547">
        <f t="shared" si="234"/>
        <v>0</v>
      </c>
      <c r="I271" s="547">
        <f t="shared" si="234"/>
        <v>0</v>
      </c>
      <c r="J271" s="547">
        <f t="shared" si="234"/>
        <v>0</v>
      </c>
      <c r="K271" s="547">
        <f t="shared" si="234"/>
        <v>0</v>
      </c>
      <c r="L271" s="547">
        <f t="shared" si="234"/>
        <v>0</v>
      </c>
      <c r="M271" s="547">
        <f t="shared" si="234"/>
        <v>0</v>
      </c>
      <c r="N271" s="547">
        <f t="shared" si="234"/>
        <v>0</v>
      </c>
      <c r="O271" s="547">
        <f t="shared" si="234"/>
        <v>0</v>
      </c>
      <c r="P271" s="547">
        <f t="shared" si="234"/>
        <v>0</v>
      </c>
      <c r="Q271" s="547">
        <f t="shared" si="234"/>
        <v>0</v>
      </c>
      <c r="R271" s="547">
        <f t="shared" si="234"/>
        <v>0</v>
      </c>
      <c r="S271" s="547">
        <f t="shared" si="234"/>
        <v>0</v>
      </c>
      <c r="T271" s="547">
        <f t="shared" si="234"/>
        <v>0</v>
      </c>
      <c r="U271" s="547">
        <f t="shared" si="234"/>
        <v>0</v>
      </c>
      <c r="V271" s="547">
        <f t="shared" si="234"/>
        <v>0</v>
      </c>
      <c r="W271" s="547">
        <f t="shared" si="234"/>
        <v>0</v>
      </c>
      <c r="X271" s="547">
        <f t="shared" si="234"/>
        <v>0</v>
      </c>
      <c r="Y271" s="547">
        <f t="shared" si="234"/>
        <v>0</v>
      </c>
      <c r="Z271" s="547">
        <f t="shared" si="234"/>
        <v>0</v>
      </c>
      <c r="AA271" s="547">
        <f t="shared" si="234"/>
        <v>0</v>
      </c>
      <c r="AB271" s="547">
        <f t="shared" si="234"/>
        <v>0</v>
      </c>
      <c r="AC271" s="547">
        <f t="shared" si="234"/>
        <v>0</v>
      </c>
      <c r="AD271" s="547">
        <f t="shared" si="234"/>
        <v>0</v>
      </c>
      <c r="AE271" s="547">
        <f t="shared" si="234"/>
        <v>0</v>
      </c>
      <c r="AF271" s="547">
        <f t="shared" si="234"/>
        <v>0</v>
      </c>
      <c r="AG271" s="547">
        <f t="shared" si="234"/>
        <v>0</v>
      </c>
      <c r="AI271" s="266"/>
      <c r="AJ271" s="185" t="s">
        <v>629</v>
      </c>
    </row>
    <row r="272" spans="1:36" s="1" customFormat="1" outlineLevel="1">
      <c r="A272" t="s">
        <v>650</v>
      </c>
      <c r="B272" s="252" t="s">
        <v>127</v>
      </c>
      <c r="C272" s="547">
        <f>C270*C238</f>
        <v>444627.60576097848</v>
      </c>
      <c r="D272" s="547">
        <f t="shared" ref="D272:AG272" si="235">D270*D238</f>
        <v>456784.36730503954</v>
      </c>
      <c r="E272" s="547">
        <f t="shared" si="235"/>
        <v>468429.03083370737</v>
      </c>
      <c r="F272" s="547">
        <f t="shared" si="235"/>
        <v>479564.33212234708</v>
      </c>
      <c r="G272" s="547">
        <f t="shared" si="235"/>
        <v>490192.99722881068</v>
      </c>
      <c r="H272" s="547">
        <f t="shared" si="235"/>
        <v>500317.74252100015</v>
      </c>
      <c r="I272" s="547">
        <f t="shared" si="235"/>
        <v>508817.67220762902</v>
      </c>
      <c r="J272" s="547">
        <f t="shared" si="235"/>
        <v>516747.72338113136</v>
      </c>
      <c r="K272" s="547">
        <f t="shared" si="235"/>
        <v>524110.99579417071</v>
      </c>
      <c r="L272" s="547">
        <f t="shared" si="235"/>
        <v>530910.57811343274</v>
      </c>
      <c r="M272" s="547">
        <f t="shared" si="235"/>
        <v>537149.54795120226</v>
      </c>
      <c r="N272" s="547">
        <f t="shared" si="235"/>
        <v>539002.21513627318</v>
      </c>
      <c r="O272" s="547">
        <f t="shared" si="235"/>
        <v>542024.6501393565</v>
      </c>
      <c r="P272" s="547">
        <f t="shared" si="235"/>
        <v>542708.29220570275</v>
      </c>
      <c r="Q272" s="547">
        <f t="shared" si="235"/>
        <v>542654.69508254493</v>
      </c>
      <c r="R272" s="547">
        <f t="shared" si="235"/>
        <v>541867.97991181479</v>
      </c>
      <c r="S272" s="547">
        <f t="shared" si="235"/>
        <v>540534.10282873327</v>
      </c>
      <c r="T272" s="547">
        <f t="shared" si="235"/>
        <v>538483.77311676485</v>
      </c>
      <c r="U272" s="547">
        <f t="shared" si="235"/>
        <v>535721.01808134071</v>
      </c>
      <c r="V272" s="547">
        <f t="shared" si="235"/>
        <v>532249.85050682211</v>
      </c>
      <c r="W272" s="547">
        <f t="shared" si="235"/>
        <v>528074.26869781024</v>
      </c>
      <c r="X272" s="547">
        <f t="shared" si="235"/>
        <v>526950.12846511207</v>
      </c>
      <c r="Y272" s="547">
        <f t="shared" si="235"/>
        <v>525459.60565684992</v>
      </c>
      <c r="Z272" s="547">
        <f t="shared" si="235"/>
        <v>523379.79827353725</v>
      </c>
      <c r="AA272" s="547">
        <f t="shared" si="235"/>
        <v>520767.84795570903</v>
      </c>
      <c r="AB272" s="547">
        <f t="shared" si="235"/>
        <v>517626.76107988995</v>
      </c>
      <c r="AC272" s="547">
        <f t="shared" si="235"/>
        <v>513817.13380649884</v>
      </c>
      <c r="AD272" s="547">
        <f t="shared" si="235"/>
        <v>509479.16485418699</v>
      </c>
      <c r="AE272" s="547">
        <f t="shared" si="235"/>
        <v>504615.86202509323</v>
      </c>
      <c r="AF272" s="547">
        <f t="shared" si="235"/>
        <v>499230.22330088972</v>
      </c>
      <c r="AG272" s="547">
        <f t="shared" si="235"/>
        <v>493325.23686376808</v>
      </c>
      <c r="AI272" s="266"/>
      <c r="AJ272" s="185" t="s">
        <v>629</v>
      </c>
    </row>
    <row r="273" spans="1:36" s="1" customFormat="1" outlineLevel="1">
      <c r="A273" t="s">
        <v>651</v>
      </c>
      <c r="B273" s="252" t="s">
        <v>127</v>
      </c>
      <c r="C273" s="547">
        <f>C270*C239</f>
        <v>2519556.4326455449</v>
      </c>
      <c r="D273" s="547">
        <f t="shared" ref="D273:AG273" si="236">D270*D239</f>
        <v>2465077.2572474526</v>
      </c>
      <c r="E273" s="547">
        <f t="shared" si="236"/>
        <v>2411257.634127609</v>
      </c>
      <c r="F273" s="547">
        <f t="shared" si="236"/>
        <v>2358094.4378323699</v>
      </c>
      <c r="G273" s="547">
        <f t="shared" si="236"/>
        <v>2305584.5535058514</v>
      </c>
      <c r="H273" s="547">
        <f t="shared" si="236"/>
        <v>2253724.8768606526</v>
      </c>
      <c r="I273" s="547">
        <f t="shared" si="236"/>
        <v>2197659.3076201854</v>
      </c>
      <c r="J273" s="547">
        <f t="shared" si="236"/>
        <v>2142331.4706898713</v>
      </c>
      <c r="K273" s="547">
        <f t="shared" si="236"/>
        <v>2087737.8204558503</v>
      </c>
      <c r="L273" s="547">
        <f t="shared" si="236"/>
        <v>2033874.8234007361</v>
      </c>
      <c r="M273" s="547">
        <f t="shared" si="236"/>
        <v>1980738.9580700595</v>
      </c>
      <c r="N273" s="547">
        <f t="shared" si="236"/>
        <v>1914725.6231168683</v>
      </c>
      <c r="O273" s="547">
        <f t="shared" si="236"/>
        <v>1856314.5097693016</v>
      </c>
      <c r="P273" s="547">
        <f t="shared" si="236"/>
        <v>1793195.4045189875</v>
      </c>
      <c r="Q273" s="547">
        <f t="shared" si="236"/>
        <v>1731038.1614085666</v>
      </c>
      <c r="R273" s="547">
        <f t="shared" si="236"/>
        <v>1669838.0605445737</v>
      </c>
      <c r="S273" s="547">
        <f t="shared" si="236"/>
        <v>1610132.0887975278</v>
      </c>
      <c r="T273" s="547">
        <f t="shared" si="236"/>
        <v>1551362.6943480417</v>
      </c>
      <c r="U273" s="547">
        <f t="shared" si="236"/>
        <v>1493525.2625297995</v>
      </c>
      <c r="V273" s="547">
        <f t="shared" si="236"/>
        <v>1436615.1945245801</v>
      </c>
      <c r="W273" s="547">
        <f t="shared" si="236"/>
        <v>1380627.907318372</v>
      </c>
      <c r="X273" s="547">
        <f t="shared" si="236"/>
        <v>1335064.4597508323</v>
      </c>
      <c r="Y273" s="547">
        <f t="shared" si="236"/>
        <v>1290645.0221894062</v>
      </c>
      <c r="Z273" s="547">
        <f t="shared" si="236"/>
        <v>1246788.6288071983</v>
      </c>
      <c r="AA273" s="547">
        <f t="shared" si="236"/>
        <v>1203628.9995797521</v>
      </c>
      <c r="AB273" s="547">
        <f t="shared" si="236"/>
        <v>1161162.7343143483</v>
      </c>
      <c r="AC273" s="547">
        <f t="shared" si="236"/>
        <v>1119076.2999005956</v>
      </c>
      <c r="AD273" s="547">
        <f t="shared" si="236"/>
        <v>1077683.3424797293</v>
      </c>
      <c r="AE273" s="547">
        <f t="shared" si="236"/>
        <v>1036980.4578071675</v>
      </c>
      <c r="AF273" s="547">
        <f t="shared" si="236"/>
        <v>996964.25212635263</v>
      </c>
      <c r="AG273" s="547">
        <f t="shared" si="236"/>
        <v>957631.34214731422</v>
      </c>
      <c r="AI273" s="266"/>
      <c r="AJ273" s="185" t="s">
        <v>629</v>
      </c>
    </row>
    <row r="274" spans="1:36" s="1" customFormat="1" outlineLevel="1">
      <c r="A274" t="s">
        <v>654</v>
      </c>
      <c r="B274" s="252" t="s">
        <v>127</v>
      </c>
      <c r="C274" s="547">
        <f>C240*C273</f>
        <v>0</v>
      </c>
      <c r="D274" s="547">
        <f t="shared" ref="D274:AG274" si="237">D240*D273</f>
        <v>0</v>
      </c>
      <c r="E274" s="547">
        <f t="shared" si="237"/>
        <v>0</v>
      </c>
      <c r="F274" s="547">
        <f t="shared" si="237"/>
        <v>0</v>
      </c>
      <c r="G274" s="547">
        <f t="shared" si="237"/>
        <v>0</v>
      </c>
      <c r="H274" s="547">
        <f t="shared" si="237"/>
        <v>0</v>
      </c>
      <c r="I274" s="547">
        <f t="shared" si="237"/>
        <v>0</v>
      </c>
      <c r="J274" s="547">
        <f t="shared" si="237"/>
        <v>0</v>
      </c>
      <c r="K274" s="547">
        <f t="shared" si="237"/>
        <v>0</v>
      </c>
      <c r="L274" s="547">
        <f t="shared" si="237"/>
        <v>0</v>
      </c>
      <c r="M274" s="547">
        <f t="shared" si="237"/>
        <v>0</v>
      </c>
      <c r="N274" s="547">
        <f t="shared" si="237"/>
        <v>0</v>
      </c>
      <c r="O274" s="547">
        <f t="shared" si="237"/>
        <v>0</v>
      </c>
      <c r="P274" s="547">
        <f t="shared" si="237"/>
        <v>0</v>
      </c>
      <c r="Q274" s="547">
        <f t="shared" si="237"/>
        <v>0</v>
      </c>
      <c r="R274" s="547">
        <f t="shared" si="237"/>
        <v>0</v>
      </c>
      <c r="S274" s="547">
        <f t="shared" si="237"/>
        <v>0</v>
      </c>
      <c r="T274" s="547">
        <f t="shared" si="237"/>
        <v>0</v>
      </c>
      <c r="U274" s="547">
        <f t="shared" si="237"/>
        <v>0</v>
      </c>
      <c r="V274" s="547">
        <f t="shared" si="237"/>
        <v>0</v>
      </c>
      <c r="W274" s="547">
        <f t="shared" si="237"/>
        <v>0</v>
      </c>
      <c r="X274" s="547">
        <f t="shared" si="237"/>
        <v>0</v>
      </c>
      <c r="Y274" s="547">
        <f t="shared" si="237"/>
        <v>0</v>
      </c>
      <c r="Z274" s="547">
        <f t="shared" si="237"/>
        <v>0</v>
      </c>
      <c r="AA274" s="547">
        <f t="shared" si="237"/>
        <v>0</v>
      </c>
      <c r="AB274" s="547">
        <f t="shared" si="237"/>
        <v>0</v>
      </c>
      <c r="AC274" s="547">
        <f t="shared" si="237"/>
        <v>0</v>
      </c>
      <c r="AD274" s="547">
        <f t="shared" si="237"/>
        <v>0</v>
      </c>
      <c r="AE274" s="547">
        <f t="shared" si="237"/>
        <v>0</v>
      </c>
      <c r="AF274" s="547">
        <f t="shared" si="237"/>
        <v>0</v>
      </c>
      <c r="AG274" s="547">
        <f t="shared" si="237"/>
        <v>0</v>
      </c>
      <c r="AI274" s="266"/>
      <c r="AJ274" s="185" t="s">
        <v>629</v>
      </c>
    </row>
    <row r="275" spans="1:36" s="1" customFormat="1" outlineLevel="1">
      <c r="A275" t="s">
        <v>683</v>
      </c>
      <c r="B275" s="252" t="s">
        <v>127</v>
      </c>
      <c r="C275" s="547">
        <f>C241*C273</f>
        <v>2519556.4326455449</v>
      </c>
      <c r="D275" s="547">
        <f t="shared" ref="D275:AG275" si="238">D241*D273</f>
        <v>2465077.2572474526</v>
      </c>
      <c r="E275" s="547">
        <f t="shared" si="238"/>
        <v>2411257.634127609</v>
      </c>
      <c r="F275" s="547">
        <f t="shared" si="238"/>
        <v>2358094.4378323699</v>
      </c>
      <c r="G275" s="547">
        <f t="shared" si="238"/>
        <v>2305584.5535058514</v>
      </c>
      <c r="H275" s="547">
        <f t="shared" si="238"/>
        <v>2253724.8768606526</v>
      </c>
      <c r="I275" s="547">
        <f t="shared" si="238"/>
        <v>2197659.3076201854</v>
      </c>
      <c r="J275" s="547">
        <f t="shared" si="238"/>
        <v>2142331.4706898713</v>
      </c>
      <c r="K275" s="547">
        <f t="shared" si="238"/>
        <v>2087737.8204558503</v>
      </c>
      <c r="L275" s="547">
        <f t="shared" si="238"/>
        <v>2033874.8234007361</v>
      </c>
      <c r="M275" s="547">
        <f t="shared" si="238"/>
        <v>1980738.9580700595</v>
      </c>
      <c r="N275" s="547">
        <f t="shared" si="238"/>
        <v>1914725.6231168683</v>
      </c>
      <c r="O275" s="547">
        <f t="shared" si="238"/>
        <v>1856314.5097693016</v>
      </c>
      <c r="P275" s="547">
        <f t="shared" si="238"/>
        <v>1793195.4045189875</v>
      </c>
      <c r="Q275" s="547">
        <f t="shared" si="238"/>
        <v>1731038.1614085666</v>
      </c>
      <c r="R275" s="547">
        <f t="shared" si="238"/>
        <v>1669838.0605445737</v>
      </c>
      <c r="S275" s="547">
        <f t="shared" si="238"/>
        <v>1610132.0887975278</v>
      </c>
      <c r="T275" s="547">
        <f t="shared" si="238"/>
        <v>1551362.6943480417</v>
      </c>
      <c r="U275" s="547">
        <f t="shared" si="238"/>
        <v>1493525.2625297995</v>
      </c>
      <c r="V275" s="547">
        <f t="shared" si="238"/>
        <v>1436615.1945245801</v>
      </c>
      <c r="W275" s="547">
        <f t="shared" si="238"/>
        <v>1380627.907318372</v>
      </c>
      <c r="X275" s="547">
        <f t="shared" si="238"/>
        <v>1335064.4597508323</v>
      </c>
      <c r="Y275" s="547">
        <f t="shared" si="238"/>
        <v>1290645.0221894062</v>
      </c>
      <c r="Z275" s="547">
        <f t="shared" si="238"/>
        <v>1246788.6288071983</v>
      </c>
      <c r="AA275" s="547">
        <f t="shared" si="238"/>
        <v>1203628.9995797521</v>
      </c>
      <c r="AB275" s="547">
        <f t="shared" si="238"/>
        <v>1161162.7343143483</v>
      </c>
      <c r="AC275" s="547">
        <f t="shared" si="238"/>
        <v>1119076.2999005956</v>
      </c>
      <c r="AD275" s="547">
        <f t="shared" si="238"/>
        <v>1077683.3424797293</v>
      </c>
      <c r="AE275" s="547">
        <f t="shared" si="238"/>
        <v>1036980.4578071675</v>
      </c>
      <c r="AF275" s="547">
        <f t="shared" si="238"/>
        <v>996964.25212635263</v>
      </c>
      <c r="AG275" s="547">
        <f t="shared" si="238"/>
        <v>957631.34214731422</v>
      </c>
      <c r="AI275" s="266"/>
      <c r="AJ275" s="185" t="s">
        <v>629</v>
      </c>
    </row>
    <row r="276" spans="1:36" s="1" customFormat="1" outlineLevel="1">
      <c r="A276" t="s">
        <v>652</v>
      </c>
      <c r="B276" s="252" t="s">
        <v>127</v>
      </c>
      <c r="C276" s="547">
        <f>C242*(C274+C272)</f>
        <v>355702.08460878278</v>
      </c>
      <c r="D276" s="547">
        <f t="shared" ref="D276:AG276" si="239">D242*(D274+D272)</f>
        <v>366950.10840171512</v>
      </c>
      <c r="E276" s="547">
        <f t="shared" si="239"/>
        <v>377866.0848725239</v>
      </c>
      <c r="F276" s="547">
        <f t="shared" si="239"/>
        <v>388447.10901910113</v>
      </c>
      <c r="G276" s="547">
        <f t="shared" si="239"/>
        <v>398690.30441276595</v>
      </c>
      <c r="H276" s="547">
        <f t="shared" si="239"/>
        <v>408592.82305881672</v>
      </c>
      <c r="I276" s="547">
        <f t="shared" si="239"/>
        <v>417230.49121025571</v>
      </c>
      <c r="J276" s="547">
        <f t="shared" si="239"/>
        <v>425455.62558379804</v>
      </c>
      <c r="K276" s="547">
        <f t="shared" si="239"/>
        <v>433265.08985651436</v>
      </c>
      <c r="L276" s="547">
        <f t="shared" si="239"/>
        <v>440655.77983414906</v>
      </c>
      <c r="M276" s="547">
        <f t="shared" si="239"/>
        <v>447624.62329266837</v>
      </c>
      <c r="N276" s="547">
        <f t="shared" si="239"/>
        <v>450965.18666401505</v>
      </c>
      <c r="O276" s="547">
        <f t="shared" si="239"/>
        <v>455300.70611705928</v>
      </c>
      <c r="P276" s="547">
        <f t="shared" si="239"/>
        <v>457683.99309347576</v>
      </c>
      <c r="Q276" s="547">
        <f t="shared" si="239"/>
        <v>459447.64183655445</v>
      </c>
      <c r="R276" s="547">
        <f t="shared" si="239"/>
        <v>460587.78292504232</v>
      </c>
      <c r="S276" s="547">
        <f t="shared" si="239"/>
        <v>461255.76774718548</v>
      </c>
      <c r="T276" s="547">
        <f t="shared" si="239"/>
        <v>461301.09897002828</v>
      </c>
      <c r="U276" s="547">
        <f t="shared" si="239"/>
        <v>460720.07554995269</v>
      </c>
      <c r="V276" s="547">
        <f t="shared" si="239"/>
        <v>459509.03760422277</v>
      </c>
      <c r="W276" s="547">
        <f t="shared" si="239"/>
        <v>457664.36620476854</v>
      </c>
      <c r="X276" s="547">
        <f t="shared" si="239"/>
        <v>458446.61176464712</v>
      </c>
      <c r="Y276" s="547">
        <f t="shared" si="239"/>
        <v>458901.38894031523</v>
      </c>
      <c r="Z276" s="547">
        <f t="shared" si="239"/>
        <v>458829.62315313396</v>
      </c>
      <c r="AA276" s="547">
        <f t="shared" si="239"/>
        <v>458275.70620102354</v>
      </c>
      <c r="AB276" s="547">
        <f t="shared" si="239"/>
        <v>457236.97228723572</v>
      </c>
      <c r="AC276" s="547">
        <f t="shared" si="239"/>
        <v>455584.52530842857</v>
      </c>
      <c r="AD276" s="547">
        <f t="shared" si="239"/>
        <v>453436.45672022598</v>
      </c>
      <c r="AE276" s="547">
        <f t="shared" si="239"/>
        <v>450790.17007574951</v>
      </c>
      <c r="AF276" s="547">
        <f t="shared" si="239"/>
        <v>447643.10022646398</v>
      </c>
      <c r="AG276" s="547">
        <f t="shared" si="239"/>
        <v>443992.71317739127</v>
      </c>
      <c r="AH276" s="218"/>
      <c r="AI276" s="266"/>
      <c r="AJ276" s="185" t="s">
        <v>629</v>
      </c>
    </row>
    <row r="277" spans="1:36" s="1" customFormat="1" outlineLevel="1">
      <c r="A277" t="s">
        <v>653</v>
      </c>
      <c r="B277" s="252" t="s">
        <v>127</v>
      </c>
      <c r="C277" s="547">
        <f>C243*(C274+C272)</f>
        <v>88925.521152195695</v>
      </c>
      <c r="D277" s="547">
        <f t="shared" ref="D277:AG277" si="240">D243*(D274+D272)</f>
        <v>89834.258903324459</v>
      </c>
      <c r="E277" s="547">
        <f t="shared" si="240"/>
        <v>90562.945961183432</v>
      </c>
      <c r="F277" s="547">
        <f t="shared" si="240"/>
        <v>91117.223103245968</v>
      </c>
      <c r="G277" s="547">
        <f t="shared" si="240"/>
        <v>91502.692816044684</v>
      </c>
      <c r="H277" s="547">
        <f t="shared" si="240"/>
        <v>91724.919462183389</v>
      </c>
      <c r="I277" s="547">
        <f t="shared" si="240"/>
        <v>91587.180997373245</v>
      </c>
      <c r="J277" s="547">
        <f t="shared" si="240"/>
        <v>91292.097797333234</v>
      </c>
      <c r="K277" s="547">
        <f t="shared" si="240"/>
        <v>90845.905937656295</v>
      </c>
      <c r="L277" s="547">
        <f t="shared" si="240"/>
        <v>90254.798279283597</v>
      </c>
      <c r="M277" s="547">
        <f t="shared" si="240"/>
        <v>89524.924658533753</v>
      </c>
      <c r="N277" s="547">
        <f t="shared" si="240"/>
        <v>88037.028472257996</v>
      </c>
      <c r="O277" s="547">
        <f t="shared" si="240"/>
        <v>86723.944022297088</v>
      </c>
      <c r="P277" s="547">
        <f t="shared" si="240"/>
        <v>85024.299112226814</v>
      </c>
      <c r="Q277" s="547">
        <f t="shared" si="240"/>
        <v>83207.053245990275</v>
      </c>
      <c r="R277" s="547">
        <f t="shared" si="240"/>
        <v>81280.19698677228</v>
      </c>
      <c r="S277" s="547">
        <f t="shared" si="240"/>
        <v>79278.335081547601</v>
      </c>
      <c r="T277" s="547">
        <f t="shared" si="240"/>
        <v>77182.674146736361</v>
      </c>
      <c r="U277" s="547">
        <f t="shared" si="240"/>
        <v>75000.942531387758</v>
      </c>
      <c r="V277" s="547">
        <f t="shared" si="240"/>
        <v>72740.812902599093</v>
      </c>
      <c r="W277" s="547">
        <f t="shared" si="240"/>
        <v>70409.902493041445</v>
      </c>
      <c r="X277" s="547">
        <f t="shared" si="240"/>
        <v>68503.51670046465</v>
      </c>
      <c r="Y277" s="547">
        <f t="shared" si="240"/>
        <v>66558.2167165344</v>
      </c>
      <c r="Z277" s="547">
        <f t="shared" si="240"/>
        <v>64550.175120403008</v>
      </c>
      <c r="AA277" s="547">
        <f t="shared" si="240"/>
        <v>62492.141754685166</v>
      </c>
      <c r="AB277" s="547">
        <f t="shared" si="240"/>
        <v>60389.788792653919</v>
      </c>
      <c r="AC277" s="547">
        <f t="shared" si="240"/>
        <v>58232.60849806996</v>
      </c>
      <c r="AD277" s="547">
        <f t="shared" si="240"/>
        <v>56042.708133960659</v>
      </c>
      <c r="AE277" s="547">
        <f t="shared" si="240"/>
        <v>53825.691949343374</v>
      </c>
      <c r="AF277" s="547">
        <f t="shared" si="240"/>
        <v>51587.12307442537</v>
      </c>
      <c r="AG277" s="547">
        <f t="shared" si="240"/>
        <v>49332.523686376808</v>
      </c>
      <c r="AI277" s="266"/>
      <c r="AJ277" s="185" t="s">
        <v>629</v>
      </c>
    </row>
    <row r="278" spans="1:36" s="1" customFormat="1" outlineLevel="1">
      <c r="A278" t="s">
        <v>663</v>
      </c>
      <c r="B278" s="252" t="s">
        <v>127</v>
      </c>
      <c r="C278" s="547">
        <f>C271*C244</f>
        <v>0</v>
      </c>
      <c r="D278" s="547">
        <f t="shared" ref="D278:AG278" si="241">D271*D244</f>
        <v>0</v>
      </c>
      <c r="E278" s="547">
        <f t="shared" si="241"/>
        <v>0</v>
      </c>
      <c r="F278" s="547">
        <f t="shared" si="241"/>
        <v>0</v>
      </c>
      <c r="G278" s="547">
        <f t="shared" si="241"/>
        <v>0</v>
      </c>
      <c r="H278" s="547">
        <f t="shared" si="241"/>
        <v>0</v>
      </c>
      <c r="I278" s="547">
        <f t="shared" si="241"/>
        <v>0</v>
      </c>
      <c r="J278" s="547">
        <f t="shared" si="241"/>
        <v>0</v>
      </c>
      <c r="K278" s="547">
        <f t="shared" si="241"/>
        <v>0</v>
      </c>
      <c r="L278" s="547">
        <f t="shared" si="241"/>
        <v>0</v>
      </c>
      <c r="M278" s="547">
        <f t="shared" si="241"/>
        <v>0</v>
      </c>
      <c r="N278" s="547">
        <f t="shared" si="241"/>
        <v>0</v>
      </c>
      <c r="O278" s="547">
        <f t="shared" si="241"/>
        <v>0</v>
      </c>
      <c r="P278" s="547">
        <f t="shared" si="241"/>
        <v>0</v>
      </c>
      <c r="Q278" s="547">
        <f t="shared" si="241"/>
        <v>0</v>
      </c>
      <c r="R278" s="547">
        <f t="shared" si="241"/>
        <v>0</v>
      </c>
      <c r="S278" s="547">
        <f t="shared" si="241"/>
        <v>0</v>
      </c>
      <c r="T278" s="547">
        <f t="shared" si="241"/>
        <v>0</v>
      </c>
      <c r="U278" s="547">
        <f t="shared" si="241"/>
        <v>0</v>
      </c>
      <c r="V278" s="547">
        <f t="shared" si="241"/>
        <v>0</v>
      </c>
      <c r="W278" s="547">
        <f t="shared" si="241"/>
        <v>0</v>
      </c>
      <c r="X278" s="547">
        <f t="shared" si="241"/>
        <v>0</v>
      </c>
      <c r="Y278" s="547">
        <f t="shared" si="241"/>
        <v>0</v>
      </c>
      <c r="Z278" s="547">
        <f t="shared" si="241"/>
        <v>0</v>
      </c>
      <c r="AA278" s="547">
        <f t="shared" si="241"/>
        <v>0</v>
      </c>
      <c r="AB278" s="547">
        <f t="shared" si="241"/>
        <v>0</v>
      </c>
      <c r="AC278" s="547">
        <f t="shared" si="241"/>
        <v>0</v>
      </c>
      <c r="AD278" s="547">
        <f t="shared" si="241"/>
        <v>0</v>
      </c>
      <c r="AE278" s="547">
        <f t="shared" si="241"/>
        <v>0</v>
      </c>
      <c r="AF278" s="547">
        <f t="shared" si="241"/>
        <v>0</v>
      </c>
      <c r="AG278" s="547">
        <f t="shared" si="241"/>
        <v>0</v>
      </c>
      <c r="AI278" s="266"/>
      <c r="AJ278" s="185" t="s">
        <v>629</v>
      </c>
    </row>
    <row r="279" spans="1:36" s="1" customFormat="1" outlineLevel="1">
      <c r="A279" t="s">
        <v>684</v>
      </c>
      <c r="B279" s="252" t="s">
        <v>127</v>
      </c>
      <c r="C279" s="547">
        <f>C271*C245</f>
        <v>0</v>
      </c>
      <c r="D279" s="547">
        <f t="shared" ref="D279:AG279" si="242">D271*D245</f>
        <v>0</v>
      </c>
      <c r="E279" s="547">
        <f t="shared" si="242"/>
        <v>0</v>
      </c>
      <c r="F279" s="547">
        <f t="shared" si="242"/>
        <v>0</v>
      </c>
      <c r="G279" s="547">
        <f t="shared" si="242"/>
        <v>0</v>
      </c>
      <c r="H279" s="547">
        <f t="shared" si="242"/>
        <v>0</v>
      </c>
      <c r="I279" s="547">
        <f t="shared" si="242"/>
        <v>0</v>
      </c>
      <c r="J279" s="547">
        <f t="shared" si="242"/>
        <v>0</v>
      </c>
      <c r="K279" s="547">
        <f t="shared" si="242"/>
        <v>0</v>
      </c>
      <c r="L279" s="547">
        <f t="shared" si="242"/>
        <v>0</v>
      </c>
      <c r="M279" s="547">
        <f t="shared" si="242"/>
        <v>0</v>
      </c>
      <c r="N279" s="547">
        <f t="shared" si="242"/>
        <v>0</v>
      </c>
      <c r="O279" s="547">
        <f t="shared" si="242"/>
        <v>0</v>
      </c>
      <c r="P279" s="547">
        <f t="shared" si="242"/>
        <v>0</v>
      </c>
      <c r="Q279" s="547">
        <f t="shared" si="242"/>
        <v>0</v>
      </c>
      <c r="R279" s="547">
        <f t="shared" si="242"/>
        <v>0</v>
      </c>
      <c r="S279" s="547">
        <f t="shared" si="242"/>
        <v>0</v>
      </c>
      <c r="T279" s="547">
        <f t="shared" si="242"/>
        <v>0</v>
      </c>
      <c r="U279" s="547">
        <f t="shared" si="242"/>
        <v>0</v>
      </c>
      <c r="V279" s="547">
        <f t="shared" si="242"/>
        <v>0</v>
      </c>
      <c r="W279" s="547">
        <f t="shared" si="242"/>
        <v>0</v>
      </c>
      <c r="X279" s="547">
        <f t="shared" si="242"/>
        <v>0</v>
      </c>
      <c r="Y279" s="547">
        <f t="shared" si="242"/>
        <v>0</v>
      </c>
      <c r="Z279" s="547">
        <f t="shared" si="242"/>
        <v>0</v>
      </c>
      <c r="AA279" s="547">
        <f t="shared" si="242"/>
        <v>0</v>
      </c>
      <c r="AB279" s="547">
        <f t="shared" si="242"/>
        <v>0</v>
      </c>
      <c r="AC279" s="547">
        <f t="shared" si="242"/>
        <v>0</v>
      </c>
      <c r="AD279" s="547">
        <f t="shared" si="242"/>
        <v>0</v>
      </c>
      <c r="AE279" s="547">
        <f t="shared" si="242"/>
        <v>0</v>
      </c>
      <c r="AF279" s="547">
        <f t="shared" si="242"/>
        <v>0</v>
      </c>
      <c r="AG279" s="547">
        <f t="shared" si="242"/>
        <v>0</v>
      </c>
      <c r="AI279" s="266"/>
      <c r="AJ279" s="185" t="s">
        <v>629</v>
      </c>
    </row>
    <row r="280" spans="1:36" s="1" customFormat="1" outlineLevel="1">
      <c r="A280" t="s">
        <v>666</v>
      </c>
      <c r="B280" s="252" t="s">
        <v>127</v>
      </c>
      <c r="C280" s="547">
        <f t="shared" ref="C280:AG280" si="243">C276*C246</f>
        <v>96039.56284437135</v>
      </c>
      <c r="D280" s="547">
        <f t="shared" si="243"/>
        <v>97608.728834856229</v>
      </c>
      <c r="E280" s="547">
        <f t="shared" si="243"/>
        <v>99000.914236601267</v>
      </c>
      <c r="F280" s="547">
        <f t="shared" si="243"/>
        <v>100219.3541269281</v>
      </c>
      <c r="G280" s="547">
        <f t="shared" si="243"/>
        <v>101267.33732084255</v>
      </c>
      <c r="H280" s="547">
        <f t="shared" si="243"/>
        <v>102148.20576470418</v>
      </c>
      <c r="I280" s="547">
        <f t="shared" si="243"/>
        <v>102638.70083772291</v>
      </c>
      <c r="J280" s="547">
        <f t="shared" si="243"/>
        <v>102960.26139127913</v>
      </c>
      <c r="K280" s="547">
        <f t="shared" si="243"/>
        <v>103117.09138585041</v>
      </c>
      <c r="L280" s="547">
        <f t="shared" si="243"/>
        <v>103113.45248119088</v>
      </c>
      <c r="M280" s="547">
        <f t="shared" si="243"/>
        <v>102953.66335731372</v>
      </c>
      <c r="N280" s="547">
        <f t="shared" si="243"/>
        <v>101918.13218606739</v>
      </c>
      <c r="O280" s="547">
        <f t="shared" si="243"/>
        <v>101076.75675798715</v>
      </c>
      <c r="P280" s="547">
        <f t="shared" si="243"/>
        <v>99775.110494377703</v>
      </c>
      <c r="Q280" s="547">
        <f t="shared" si="243"/>
        <v>98321.795353022637</v>
      </c>
      <c r="R280" s="547">
        <f t="shared" si="243"/>
        <v>96723.434414258867</v>
      </c>
      <c r="S280" s="547">
        <f t="shared" si="243"/>
        <v>95018.688155920187</v>
      </c>
      <c r="T280" s="547">
        <f t="shared" si="243"/>
        <v>93182.82199194569</v>
      </c>
      <c r="U280" s="547">
        <f t="shared" si="243"/>
        <v>91222.574958890604</v>
      </c>
      <c r="V280" s="547">
        <f t="shared" si="243"/>
        <v>89144.753295219198</v>
      </c>
      <c r="W280" s="547">
        <f t="shared" si="243"/>
        <v>86956.229578906001</v>
      </c>
      <c r="X280" s="547">
        <f t="shared" si="243"/>
        <v>85271.06978822434</v>
      </c>
      <c r="Y280" s="547">
        <f t="shared" si="243"/>
        <v>83520.052787137349</v>
      </c>
      <c r="Z280" s="547">
        <f t="shared" si="243"/>
        <v>81671.672921257821</v>
      </c>
      <c r="AA280" s="547">
        <f t="shared" si="243"/>
        <v>79739.972878978064</v>
      </c>
      <c r="AB280" s="547">
        <f t="shared" si="243"/>
        <v>77730.28528883004</v>
      </c>
      <c r="AC280" s="547">
        <f t="shared" si="243"/>
        <v>75627.031201199105</v>
      </c>
      <c r="AD280" s="547">
        <f t="shared" si="243"/>
        <v>73456.705988676578</v>
      </c>
      <c r="AE280" s="547">
        <f t="shared" si="243"/>
        <v>71224.846871968388</v>
      </c>
      <c r="AF280" s="547">
        <f t="shared" si="243"/>
        <v>68937.037434875412</v>
      </c>
      <c r="AG280" s="547">
        <f t="shared" si="243"/>
        <v>66598.90697660869</v>
      </c>
      <c r="AI280" s="266"/>
      <c r="AJ280" s="185"/>
    </row>
    <row r="281" spans="1:36" s="61" customFormat="1">
      <c r="A281" s="294" t="s">
        <v>657</v>
      </c>
      <c r="B281" s="258" t="s">
        <v>127</v>
      </c>
      <c r="C281" s="548">
        <f>C247*C$266</f>
        <v>2431469.880135437</v>
      </c>
      <c r="D281" s="548">
        <f t="shared" ref="D281:AG281" si="244">D247*D$266</f>
        <v>2355147.4631664064</v>
      </c>
      <c r="E281" s="548">
        <f t="shared" si="244"/>
        <v>2279848.9458983988</v>
      </c>
      <c r="F281" s="548">
        <f t="shared" si="244"/>
        <v>2205580.0784163596</v>
      </c>
      <c r="G281" s="548">
        <f t="shared" si="244"/>
        <v>2132346.5479404414</v>
      </c>
      <c r="H281" s="548">
        <f t="shared" si="244"/>
        <v>2060153.9791384554</v>
      </c>
      <c r="I281" s="548">
        <f t="shared" si="244"/>
        <v>1984254.0681902543</v>
      </c>
      <c r="J281" s="548">
        <f t="shared" si="244"/>
        <v>1909650.3491204628</v>
      </c>
      <c r="K281" s="548">
        <f t="shared" si="244"/>
        <v>1836346.9456133912</v>
      </c>
      <c r="L281" s="548">
        <f t="shared" si="244"/>
        <v>1764347.9247181953</v>
      </c>
      <c r="M281" s="548">
        <f t="shared" si="244"/>
        <v>1693657.2971425008</v>
      </c>
      <c r="N281" s="548">
        <f t="shared" si="244"/>
        <v>1624786.8702769494</v>
      </c>
      <c r="O281" s="548">
        <f t="shared" si="244"/>
        <v>1562718.3651703033</v>
      </c>
      <c r="P281" s="548">
        <f t="shared" si="244"/>
        <v>1497240.4865427301</v>
      </c>
      <c r="Q281" s="548">
        <f t="shared" si="244"/>
        <v>1433075.1789702941</v>
      </c>
      <c r="R281" s="548">
        <f t="shared" si="244"/>
        <v>1370225.8885243186</v>
      </c>
      <c r="S281" s="548">
        <f t="shared" si="244"/>
        <v>1309189.3033698613</v>
      </c>
      <c r="T281" s="548">
        <f t="shared" si="244"/>
        <v>1249452.3226479078</v>
      </c>
      <c r="U281" s="548">
        <f t="shared" si="244"/>
        <v>1191018.3600920925</v>
      </c>
      <c r="V281" s="548">
        <f t="shared" si="244"/>
        <v>1133890.7773401153</v>
      </c>
      <c r="W281" s="548">
        <f t="shared" si="244"/>
        <v>1078072.8842123826</v>
      </c>
      <c r="X281" s="548">
        <f t="shared" si="244"/>
        <v>1020539.9518610385</v>
      </c>
      <c r="Y281" s="548">
        <f t="shared" si="244"/>
        <v>964770.97323167452</v>
      </c>
      <c r="Z281" s="548">
        <f t="shared" si="244"/>
        <v>910344.39322805335</v>
      </c>
      <c r="AA281" s="548">
        <f t="shared" si="244"/>
        <v>857351.74714416906</v>
      </c>
      <c r="AB281" s="548">
        <f t="shared" si="244"/>
        <v>805796.58856591221</v>
      </c>
      <c r="AC281" s="548">
        <f t="shared" si="244"/>
        <v>755464.30918535206</v>
      </c>
      <c r="AD281" s="548">
        <f t="shared" si="244"/>
        <v>706596.68290605547</v>
      </c>
      <c r="AE281" s="548">
        <f t="shared" si="244"/>
        <v>659196.97526117926</v>
      </c>
      <c r="AF281" s="548">
        <f t="shared" si="244"/>
        <v>613268.39403483679</v>
      </c>
      <c r="AG281" s="548">
        <f t="shared" si="244"/>
        <v>568814.08968607173</v>
      </c>
      <c r="AI281" s="286"/>
      <c r="AJ281" s="297"/>
    </row>
    <row r="282" spans="1:36">
      <c r="A282" s="295" t="s">
        <v>658</v>
      </c>
      <c r="B282" s="252" t="s">
        <v>127</v>
      </c>
      <c r="C282" s="547">
        <f t="shared" ref="C282:AG282" si="245">C248*C$266</f>
        <v>25066.699795210694</v>
      </c>
      <c r="D282" s="547">
        <f t="shared" si="245"/>
        <v>24271.530022326417</v>
      </c>
      <c r="E282" s="547">
        <f t="shared" si="245"/>
        <v>23487.454799777461</v>
      </c>
      <c r="F282" s="547">
        <f t="shared" si="245"/>
        <v>22714.521919838928</v>
      </c>
      <c r="G282" s="547">
        <f t="shared" si="245"/>
        <v>21952.778461981212</v>
      </c>
      <c r="H282" s="547">
        <f t="shared" si="245"/>
        <v>21202.270797308294</v>
      </c>
      <c r="I282" s="547">
        <f t="shared" si="245"/>
        <v>20414.136504014969</v>
      </c>
      <c r="J282" s="547">
        <f t="shared" si="245"/>
        <v>19639.8733197168</v>
      </c>
      <c r="K282" s="547">
        <f t="shared" si="245"/>
        <v>18879.50937916441</v>
      </c>
      <c r="L282" s="547">
        <f t="shared" si="245"/>
        <v>18133.072196487112</v>
      </c>
      <c r="M282" s="547">
        <f t="shared" si="245"/>
        <v>17400.588669272274</v>
      </c>
      <c r="N282" s="547">
        <f t="shared" si="245"/>
        <v>16687.300961420235</v>
      </c>
      <c r="O282" s="547">
        <f t="shared" si="245"/>
        <v>16044.336398052403</v>
      </c>
      <c r="P282" s="547">
        <f t="shared" si="245"/>
        <v>15366.819909778284</v>
      </c>
      <c r="Q282" s="547">
        <f t="shared" si="245"/>
        <v>14703.233710365543</v>
      </c>
      <c r="R282" s="547">
        <f t="shared" si="245"/>
        <v>14053.598856659686</v>
      </c>
      <c r="S282" s="547">
        <f t="shared" si="245"/>
        <v>13422.993541044383</v>
      </c>
      <c r="T282" s="547">
        <f t="shared" si="245"/>
        <v>12806.139282349593</v>
      </c>
      <c r="U282" s="547">
        <f t="shared" si="245"/>
        <v>12203.056968156696</v>
      </c>
      <c r="V282" s="547">
        <f t="shared" si="245"/>
        <v>11613.766923934272</v>
      </c>
      <c r="W282" s="547">
        <f t="shared" si="245"/>
        <v>11038.288916850343</v>
      </c>
      <c r="X282" s="547">
        <f t="shared" si="245"/>
        <v>10445.649456100709</v>
      </c>
      <c r="Y282" s="547">
        <f t="shared" si="245"/>
        <v>9871.4628911835825</v>
      </c>
      <c r="Z282" s="547">
        <f t="shared" si="245"/>
        <v>9311.3984987526856</v>
      </c>
      <c r="AA282" s="547">
        <f t="shared" si="245"/>
        <v>8766.3777826602236</v>
      </c>
      <c r="AB282" s="547">
        <f t="shared" si="245"/>
        <v>8236.4216889190429</v>
      </c>
      <c r="AC282" s="547">
        <f t="shared" si="245"/>
        <v>7719.3219603407988</v>
      </c>
      <c r="AD282" s="547">
        <f t="shared" si="245"/>
        <v>7217.5350654346903</v>
      </c>
      <c r="AE282" s="547">
        <f t="shared" si="245"/>
        <v>6731.0787126737232</v>
      </c>
      <c r="AF282" s="547">
        <f t="shared" si="245"/>
        <v>6259.9699969530875</v>
      </c>
      <c r="AG282" s="547">
        <f t="shared" si="245"/>
        <v>5804.225404959916</v>
      </c>
      <c r="AI282" s="246"/>
    </row>
    <row r="283" spans="1:36">
      <c r="A283" s="295" t="s">
        <v>659</v>
      </c>
      <c r="B283" s="252" t="s">
        <v>127</v>
      </c>
      <c r="C283" s="547">
        <f t="shared" ref="C283:AG283" si="246">C249*C$266</f>
        <v>0</v>
      </c>
      <c r="D283" s="547">
        <f t="shared" si="246"/>
        <v>0</v>
      </c>
      <c r="E283" s="547">
        <f t="shared" si="246"/>
        <v>0</v>
      </c>
      <c r="F283" s="547">
        <f t="shared" si="246"/>
        <v>0</v>
      </c>
      <c r="G283" s="547">
        <f t="shared" si="246"/>
        <v>0</v>
      </c>
      <c r="H283" s="547">
        <f t="shared" si="246"/>
        <v>0</v>
      </c>
      <c r="I283" s="547">
        <f t="shared" si="246"/>
        <v>0</v>
      </c>
      <c r="J283" s="547">
        <f t="shared" si="246"/>
        <v>0</v>
      </c>
      <c r="K283" s="547">
        <f t="shared" si="246"/>
        <v>0</v>
      </c>
      <c r="L283" s="547">
        <f t="shared" si="246"/>
        <v>0</v>
      </c>
      <c r="M283" s="547">
        <f t="shared" si="246"/>
        <v>0</v>
      </c>
      <c r="N283" s="547">
        <f t="shared" si="246"/>
        <v>0</v>
      </c>
      <c r="O283" s="547">
        <f t="shared" si="246"/>
        <v>0</v>
      </c>
      <c r="P283" s="547">
        <f t="shared" si="246"/>
        <v>0</v>
      </c>
      <c r="Q283" s="547">
        <f t="shared" si="246"/>
        <v>0</v>
      </c>
      <c r="R283" s="547">
        <f t="shared" si="246"/>
        <v>0</v>
      </c>
      <c r="S283" s="547">
        <f t="shared" si="246"/>
        <v>0</v>
      </c>
      <c r="T283" s="547">
        <f t="shared" si="246"/>
        <v>0</v>
      </c>
      <c r="U283" s="547">
        <f t="shared" si="246"/>
        <v>0</v>
      </c>
      <c r="V283" s="547">
        <f t="shared" si="246"/>
        <v>0</v>
      </c>
      <c r="W283" s="547">
        <f t="shared" si="246"/>
        <v>0</v>
      </c>
      <c r="X283" s="547">
        <f t="shared" si="246"/>
        <v>0</v>
      </c>
      <c r="Y283" s="547">
        <f t="shared" si="246"/>
        <v>0</v>
      </c>
      <c r="Z283" s="547">
        <f t="shared" si="246"/>
        <v>0</v>
      </c>
      <c r="AA283" s="547">
        <f t="shared" si="246"/>
        <v>0</v>
      </c>
      <c r="AB283" s="547">
        <f t="shared" si="246"/>
        <v>0</v>
      </c>
      <c r="AC283" s="547">
        <f t="shared" si="246"/>
        <v>0</v>
      </c>
      <c r="AD283" s="547">
        <f t="shared" si="246"/>
        <v>0</v>
      </c>
      <c r="AE283" s="547">
        <f t="shared" si="246"/>
        <v>0</v>
      </c>
      <c r="AF283" s="547">
        <f t="shared" si="246"/>
        <v>0</v>
      </c>
      <c r="AG283" s="547">
        <f t="shared" si="246"/>
        <v>0</v>
      </c>
      <c r="AI283" s="246"/>
    </row>
    <row r="284" spans="1:36">
      <c r="A284" s="295" t="s">
        <v>660</v>
      </c>
      <c r="B284" s="252" t="s">
        <v>127</v>
      </c>
      <c r="C284" s="547">
        <f t="shared" ref="C284:AG284" si="247">C250*C$266</f>
        <v>0</v>
      </c>
      <c r="D284" s="547">
        <f t="shared" si="247"/>
        <v>0</v>
      </c>
      <c r="E284" s="547">
        <f t="shared" si="247"/>
        <v>0</v>
      </c>
      <c r="F284" s="547">
        <f t="shared" si="247"/>
        <v>0</v>
      </c>
      <c r="G284" s="547">
        <f t="shared" si="247"/>
        <v>0</v>
      </c>
      <c r="H284" s="547">
        <f t="shared" si="247"/>
        <v>0</v>
      </c>
      <c r="I284" s="547">
        <f t="shared" si="247"/>
        <v>0</v>
      </c>
      <c r="J284" s="547">
        <f t="shared" si="247"/>
        <v>0</v>
      </c>
      <c r="K284" s="547">
        <f t="shared" si="247"/>
        <v>0</v>
      </c>
      <c r="L284" s="547">
        <f t="shared" si="247"/>
        <v>0</v>
      </c>
      <c r="M284" s="547">
        <f t="shared" si="247"/>
        <v>0</v>
      </c>
      <c r="N284" s="547">
        <f t="shared" si="247"/>
        <v>0</v>
      </c>
      <c r="O284" s="547">
        <f t="shared" si="247"/>
        <v>0</v>
      </c>
      <c r="P284" s="547">
        <f t="shared" si="247"/>
        <v>0</v>
      </c>
      <c r="Q284" s="547">
        <f t="shared" si="247"/>
        <v>0</v>
      </c>
      <c r="R284" s="547">
        <f t="shared" si="247"/>
        <v>0</v>
      </c>
      <c r="S284" s="547">
        <f t="shared" si="247"/>
        <v>0</v>
      </c>
      <c r="T284" s="547">
        <f t="shared" si="247"/>
        <v>0</v>
      </c>
      <c r="U284" s="547">
        <f t="shared" si="247"/>
        <v>0</v>
      </c>
      <c r="V284" s="547">
        <f t="shared" si="247"/>
        <v>0</v>
      </c>
      <c r="W284" s="547">
        <f t="shared" si="247"/>
        <v>0</v>
      </c>
      <c r="X284" s="547">
        <f t="shared" si="247"/>
        <v>0</v>
      </c>
      <c r="Y284" s="547">
        <f t="shared" si="247"/>
        <v>0</v>
      </c>
      <c r="Z284" s="547">
        <f t="shared" si="247"/>
        <v>0</v>
      </c>
      <c r="AA284" s="547">
        <f t="shared" si="247"/>
        <v>0</v>
      </c>
      <c r="AB284" s="547">
        <f t="shared" si="247"/>
        <v>0</v>
      </c>
      <c r="AC284" s="547">
        <f t="shared" si="247"/>
        <v>0</v>
      </c>
      <c r="AD284" s="547">
        <f t="shared" si="247"/>
        <v>0</v>
      </c>
      <c r="AE284" s="547">
        <f t="shared" si="247"/>
        <v>0</v>
      </c>
      <c r="AF284" s="547">
        <f t="shared" si="247"/>
        <v>0</v>
      </c>
      <c r="AG284" s="547">
        <f t="shared" si="247"/>
        <v>0</v>
      </c>
      <c r="AI284" s="246"/>
    </row>
    <row r="285" spans="1:36">
      <c r="A285" s="295" t="s">
        <v>661</v>
      </c>
      <c r="B285" s="252" t="s">
        <v>127</v>
      </c>
      <c r="C285" s="547">
        <f t="shared" ref="C285:AG285" si="248">C251*C$266</f>
        <v>37600.049692816036</v>
      </c>
      <c r="D285" s="547">
        <f t="shared" si="248"/>
        <v>35760.054232894247</v>
      </c>
      <c r="E285" s="547">
        <f t="shared" si="248"/>
        <v>33978.51794367806</v>
      </c>
      <c r="F285" s="547">
        <f t="shared" si="248"/>
        <v>32254.621126171274</v>
      </c>
      <c r="G285" s="547">
        <f t="shared" si="248"/>
        <v>30587.537990360484</v>
      </c>
      <c r="H285" s="547">
        <f t="shared" si="248"/>
        <v>28976.436756321331</v>
      </c>
      <c r="I285" s="547">
        <f t="shared" si="248"/>
        <v>27354.942915380056</v>
      </c>
      <c r="J285" s="547">
        <f t="shared" si="248"/>
        <v>25793.700293228059</v>
      </c>
      <c r="K285" s="547">
        <f t="shared" si="248"/>
        <v>24291.635401191539</v>
      </c>
      <c r="L285" s="547">
        <f t="shared" si="248"/>
        <v>22847.670967573758</v>
      </c>
      <c r="M285" s="547">
        <f t="shared" si="248"/>
        <v>21460.726025435801</v>
      </c>
      <c r="N285" s="547">
        <f t="shared" si="248"/>
        <v>20136.009826780413</v>
      </c>
      <c r="O285" s="547">
        <f t="shared" si="248"/>
        <v>18932.316949701832</v>
      </c>
      <c r="P285" s="547">
        <f t="shared" si="248"/>
        <v>17723.065629277618</v>
      </c>
      <c r="Q285" s="547">
        <f t="shared" si="248"/>
        <v>16565.643313678509</v>
      </c>
      <c r="R285" s="547">
        <f t="shared" si="248"/>
        <v>15458.958742325651</v>
      </c>
      <c r="S285" s="547">
        <f t="shared" si="248"/>
        <v>14407.346400720968</v>
      </c>
      <c r="T285" s="547">
        <f t="shared" si="248"/>
        <v>13403.759115525903</v>
      </c>
      <c r="U285" s="547">
        <f t="shared" si="248"/>
        <v>12447.118107519826</v>
      </c>
      <c r="V285" s="547">
        <f t="shared" si="248"/>
        <v>11536.341811108041</v>
      </c>
      <c r="W285" s="547">
        <f t="shared" si="248"/>
        <v>10670.345952955327</v>
      </c>
      <c r="X285" s="547">
        <f t="shared" si="248"/>
        <v>9818.9104887346639</v>
      </c>
      <c r="Y285" s="547">
        <f t="shared" si="248"/>
        <v>9015.9361072810007</v>
      </c>
      <c r="Z285" s="547">
        <f t="shared" si="248"/>
        <v>8256.1066688940446</v>
      </c>
      <c r="AA285" s="547">
        <f t="shared" si="248"/>
        <v>7539.0848930877892</v>
      </c>
      <c r="AB285" s="547">
        <f t="shared" si="248"/>
        <v>6863.6847407658661</v>
      </c>
      <c r="AC285" s="547">
        <f t="shared" si="248"/>
        <v>6226.9197146749084</v>
      </c>
      <c r="AD285" s="547">
        <f t="shared" si="248"/>
        <v>5629.6773510390558</v>
      </c>
      <c r="AE285" s="547">
        <f t="shared" si="248"/>
        <v>5070.7459635475352</v>
      </c>
      <c r="AF285" s="547">
        <f t="shared" si="248"/>
        <v>4548.9115311192409</v>
      </c>
      <c r="AG285" s="547">
        <f t="shared" si="248"/>
        <v>4062.9577834719412</v>
      </c>
      <c r="AI285" s="246"/>
    </row>
    <row r="286" spans="1:36" s="62" customFormat="1">
      <c r="A286" s="296" t="s">
        <v>662</v>
      </c>
      <c r="B286" s="262" t="s">
        <v>127</v>
      </c>
      <c r="C286" s="549">
        <f t="shared" ref="C286:AG286" si="249">C252*C$266</f>
        <v>12533.349897605347</v>
      </c>
      <c r="D286" s="549">
        <f t="shared" si="249"/>
        <v>11973.954811014366</v>
      </c>
      <c r="E286" s="549">
        <f t="shared" si="249"/>
        <v>11430.5613358917</v>
      </c>
      <c r="F286" s="549">
        <f t="shared" si="249"/>
        <v>10902.970521522688</v>
      </c>
      <c r="G286" s="549">
        <f t="shared" si="249"/>
        <v>10390.981805337777</v>
      </c>
      <c r="H286" s="549">
        <f t="shared" si="249"/>
        <v>9894.3930387438741</v>
      </c>
      <c r="I286" s="549">
        <f t="shared" si="249"/>
        <v>9390.5027918468895</v>
      </c>
      <c r="J286" s="549">
        <f t="shared" si="249"/>
        <v>8903.4092382716208</v>
      </c>
      <c r="K286" s="549">
        <f t="shared" si="249"/>
        <v>8432.8475226934424</v>
      </c>
      <c r="L286" s="549">
        <f t="shared" si="249"/>
        <v>7978.5517664543358</v>
      </c>
      <c r="M286" s="549">
        <f t="shared" si="249"/>
        <v>7540.2550900179931</v>
      </c>
      <c r="N286" s="549">
        <f t="shared" si="249"/>
        <v>7119.9150768726404</v>
      </c>
      <c r="O286" s="549">
        <f t="shared" si="249"/>
        <v>6738.6212871820171</v>
      </c>
      <c r="P286" s="549">
        <f t="shared" si="249"/>
        <v>6351.6188960416985</v>
      </c>
      <c r="Q286" s="549">
        <f t="shared" si="249"/>
        <v>5979.3150422153285</v>
      </c>
      <c r="R286" s="549">
        <f t="shared" si="249"/>
        <v>5621.439542663883</v>
      </c>
      <c r="S286" s="549">
        <f t="shared" si="249"/>
        <v>5279.7107928107998</v>
      </c>
      <c r="T286" s="549">
        <f t="shared" si="249"/>
        <v>4951.7071891751839</v>
      </c>
      <c r="U286" s="549">
        <f t="shared" si="249"/>
        <v>4637.161647899552</v>
      </c>
      <c r="V286" s="549">
        <f t="shared" si="249"/>
        <v>4335.8063182688029</v>
      </c>
      <c r="W286" s="549">
        <f t="shared" si="249"/>
        <v>4047.3726028451324</v>
      </c>
      <c r="X286" s="549">
        <f t="shared" si="249"/>
        <v>3760.4338041962619</v>
      </c>
      <c r="Y286" s="549">
        <f t="shared" si="249"/>
        <v>3487.9168882182053</v>
      </c>
      <c r="Z286" s="549">
        <f t="shared" si="249"/>
        <v>3227.9514795676037</v>
      </c>
      <c r="AA286" s="549">
        <f t="shared" si="249"/>
        <v>2980.5684461044816</v>
      </c>
      <c r="AB286" s="549">
        <f t="shared" si="249"/>
        <v>2745.4738963063528</v>
      </c>
      <c r="AC286" s="549">
        <f t="shared" si="249"/>
        <v>2521.6451737113325</v>
      </c>
      <c r="AD286" s="549">
        <f t="shared" si="249"/>
        <v>2309.6112209391054</v>
      </c>
      <c r="AE286" s="549">
        <f t="shared" si="249"/>
        <v>2109.0713299711038</v>
      </c>
      <c r="AF286" s="549">
        <f t="shared" si="249"/>
        <v>1919.7241323989506</v>
      </c>
      <c r="AG286" s="549">
        <f t="shared" si="249"/>
        <v>1741.2676214879748</v>
      </c>
      <c r="AI286" s="264"/>
      <c r="AJ286" s="265"/>
    </row>
    <row r="287" spans="1:36" s="160" customFormat="1">
      <c r="B287" s="156"/>
      <c r="C287" s="565"/>
      <c r="D287" s="565"/>
      <c r="E287" s="565"/>
      <c r="F287" s="565"/>
      <c r="G287" s="565"/>
      <c r="H287" s="565"/>
      <c r="I287" s="565"/>
      <c r="J287" s="565"/>
      <c r="K287" s="565"/>
      <c r="L287" s="565"/>
      <c r="M287" s="565"/>
      <c r="N287" s="565"/>
      <c r="O287" s="565"/>
      <c r="P287" s="565"/>
      <c r="Q287" s="565"/>
      <c r="R287" s="565"/>
      <c r="S287" s="565"/>
      <c r="T287" s="565"/>
      <c r="U287" s="565"/>
      <c r="V287" s="565"/>
      <c r="W287" s="565"/>
      <c r="X287" s="565"/>
      <c r="Y287" s="565"/>
      <c r="Z287" s="565"/>
      <c r="AA287" s="565"/>
      <c r="AB287" s="565"/>
      <c r="AC287" s="565"/>
      <c r="AD287" s="565"/>
      <c r="AE287" s="565"/>
      <c r="AF287" s="565"/>
      <c r="AG287" s="565"/>
      <c r="AJ287" s="272"/>
    </row>
    <row r="288" spans="1:36" s="160" customFormat="1">
      <c r="A288" s="160" t="s">
        <v>676</v>
      </c>
      <c r="B288" s="299" t="s">
        <v>127</v>
      </c>
      <c r="C288" s="120">
        <f>C221</f>
        <v>518007.61068966903</v>
      </c>
      <c r="D288" s="120">
        <f t="shared" ref="D288:AG288" si="250">D221</f>
        <v>553324.68347204279</v>
      </c>
      <c r="E288" s="120">
        <f t="shared" si="250"/>
        <v>587712.70998960594</v>
      </c>
      <c r="F288" s="120">
        <f t="shared" si="250"/>
        <v>621166.32988635916</v>
      </c>
      <c r="G288" s="120">
        <f t="shared" si="250"/>
        <v>653680.25577334198</v>
      </c>
      <c r="H288" s="120">
        <f t="shared" si="250"/>
        <v>685249.27278019232</v>
      </c>
      <c r="I288" s="120">
        <f t="shared" si="250"/>
        <v>714672.88710136979</v>
      </c>
      <c r="J288" s="120">
        <f t="shared" si="250"/>
        <v>742913.78177552379</v>
      </c>
      <c r="K288" s="120">
        <f t="shared" si="250"/>
        <v>769968.4816052902</v>
      </c>
      <c r="L288" s="120">
        <f t="shared" si="250"/>
        <v>795833.57538096257</v>
      </c>
      <c r="M288" s="120">
        <f t="shared" si="250"/>
        <v>820505.71546727663</v>
      </c>
      <c r="N288" s="120">
        <f t="shared" si="250"/>
        <v>825740.76619597245</v>
      </c>
      <c r="O288" s="120">
        <f t="shared" si="250"/>
        <v>832902.90481738024</v>
      </c>
      <c r="P288" s="120">
        <f t="shared" si="250"/>
        <v>836399.99011735339</v>
      </c>
      <c r="Q288" s="120">
        <f t="shared" si="250"/>
        <v>838775.67076213751</v>
      </c>
      <c r="R288" s="120">
        <f t="shared" si="250"/>
        <v>840026.9574369645</v>
      </c>
      <c r="S288" s="120">
        <f t="shared" si="250"/>
        <v>840379.46013060363</v>
      </c>
      <c r="T288" s="120">
        <f t="shared" si="250"/>
        <v>839622.59607833833</v>
      </c>
      <c r="U288" s="120">
        <f t="shared" si="250"/>
        <v>837753.41130921943</v>
      </c>
      <c r="V288" s="120">
        <f t="shared" si="250"/>
        <v>834769.01057859277</v>
      </c>
      <c r="W288" s="120">
        <f t="shared" si="250"/>
        <v>830666.55698001571</v>
      </c>
      <c r="X288" s="120">
        <f t="shared" si="250"/>
        <v>841974.65744559711</v>
      </c>
      <c r="Y288" s="120">
        <f t="shared" si="250"/>
        <v>852257.45279209712</v>
      </c>
      <c r="Z288" s="120">
        <f t="shared" si="250"/>
        <v>861133.27912986348</v>
      </c>
      <c r="AA288" s="120">
        <f t="shared" si="250"/>
        <v>868703.1605350516</v>
      </c>
      <c r="AB288" s="120">
        <f t="shared" si="250"/>
        <v>874964.40317646496</v>
      </c>
      <c r="AC288" s="120">
        <f t="shared" si="250"/>
        <v>879679.5036022258</v>
      </c>
      <c r="AD288" s="120">
        <f t="shared" si="250"/>
        <v>883061.97104390839</v>
      </c>
      <c r="AE288" s="120">
        <f t="shared" si="250"/>
        <v>885109.43314529024</v>
      </c>
      <c r="AF288" s="120">
        <f t="shared" si="250"/>
        <v>885819.58039284451</v>
      </c>
      <c r="AG288" s="120">
        <f t="shared" si="250"/>
        <v>885190.16557580873</v>
      </c>
      <c r="AI288" s="616"/>
      <c r="AJ288" s="272"/>
    </row>
    <row r="289" spans="1:37" s="160" customFormat="1">
      <c r="A289" s="160" t="s">
        <v>671</v>
      </c>
      <c r="B289" s="298" t="s">
        <v>127</v>
      </c>
      <c r="C289" s="547">
        <f>C288/(1-C246)</f>
        <v>709599.46669817681</v>
      </c>
      <c r="D289" s="547">
        <f t="shared" ref="D289:AG289" si="251">D288/(1-D246)</f>
        <v>753848.34260496299</v>
      </c>
      <c r="E289" s="547">
        <f t="shared" si="251"/>
        <v>796358.68562277232</v>
      </c>
      <c r="F289" s="547">
        <f t="shared" si="251"/>
        <v>837151.38798700692</v>
      </c>
      <c r="G289" s="547">
        <f t="shared" si="251"/>
        <v>876246.99165327346</v>
      </c>
      <c r="H289" s="547">
        <f t="shared" si="251"/>
        <v>913665.69704025646</v>
      </c>
      <c r="I289" s="547">
        <f t="shared" si="251"/>
        <v>947842.02533338172</v>
      </c>
      <c r="J289" s="547">
        <f t="shared" si="251"/>
        <v>980097.33743472793</v>
      </c>
      <c r="K289" s="547">
        <f t="shared" si="251"/>
        <v>1010457.3249413257</v>
      </c>
      <c r="L289" s="547">
        <f t="shared" si="251"/>
        <v>1038947.2263459042</v>
      </c>
      <c r="M289" s="547">
        <f t="shared" si="251"/>
        <v>1065591.8382691904</v>
      </c>
      <c r="N289" s="547">
        <f t="shared" si="251"/>
        <v>1066848.5351369153</v>
      </c>
      <c r="O289" s="547">
        <f t="shared" si="251"/>
        <v>1070569.2863976608</v>
      </c>
      <c r="P289" s="547">
        <f t="shared" si="251"/>
        <v>1069565.2047536487</v>
      </c>
      <c r="Q289" s="547">
        <f t="shared" si="251"/>
        <v>1067144.6192902513</v>
      </c>
      <c r="R289" s="547">
        <f t="shared" si="251"/>
        <v>1063325.2625784359</v>
      </c>
      <c r="S289" s="547">
        <f t="shared" si="251"/>
        <v>1058412.4183005083</v>
      </c>
      <c r="T289" s="547">
        <f t="shared" si="251"/>
        <v>1052158.6417021784</v>
      </c>
      <c r="U289" s="547">
        <f t="shared" si="251"/>
        <v>1044580.3133531414</v>
      </c>
      <c r="V289" s="547">
        <f t="shared" si="251"/>
        <v>1035693.5615119017</v>
      </c>
      <c r="W289" s="547">
        <f t="shared" si="251"/>
        <v>1025514.2678765625</v>
      </c>
      <c r="X289" s="547">
        <f t="shared" si="251"/>
        <v>1034366.901038817</v>
      </c>
      <c r="Y289" s="547">
        <f t="shared" si="251"/>
        <v>1041879.5266407054</v>
      </c>
      <c r="Z289" s="547">
        <f t="shared" si="251"/>
        <v>1047607.3955351136</v>
      </c>
      <c r="AA289" s="547">
        <f t="shared" si="251"/>
        <v>1051698.741567859</v>
      </c>
      <c r="AB289" s="547">
        <f t="shared" si="251"/>
        <v>1054173.9797306806</v>
      </c>
      <c r="AC289" s="547">
        <f t="shared" si="251"/>
        <v>1054771.5870530284</v>
      </c>
      <c r="AD289" s="547">
        <f t="shared" si="251"/>
        <v>1053773.2351359287</v>
      </c>
      <c r="AE289" s="547">
        <f t="shared" si="251"/>
        <v>1051198.8517164965</v>
      </c>
      <c r="AF289" s="547">
        <f t="shared" si="251"/>
        <v>1047068.0619300761</v>
      </c>
      <c r="AG289" s="547">
        <f t="shared" si="251"/>
        <v>1041400.1947950692</v>
      </c>
      <c r="AI289" s="616"/>
      <c r="AJ289" s="272"/>
    </row>
    <row r="290" spans="1:37" s="160" customFormat="1">
      <c r="A290" s="160" t="s">
        <v>670</v>
      </c>
      <c r="B290" s="298" t="s">
        <v>127</v>
      </c>
      <c r="C290" s="547">
        <f>C278</f>
        <v>0</v>
      </c>
      <c r="D290" s="547">
        <f t="shared" ref="D290:AG290" si="252">D278</f>
        <v>0</v>
      </c>
      <c r="E290" s="547">
        <f t="shared" si="252"/>
        <v>0</v>
      </c>
      <c r="F290" s="547">
        <f t="shared" si="252"/>
        <v>0</v>
      </c>
      <c r="G290" s="547">
        <f t="shared" si="252"/>
        <v>0</v>
      </c>
      <c r="H290" s="547">
        <f t="shared" si="252"/>
        <v>0</v>
      </c>
      <c r="I290" s="547">
        <f t="shared" si="252"/>
        <v>0</v>
      </c>
      <c r="J290" s="547">
        <f t="shared" si="252"/>
        <v>0</v>
      </c>
      <c r="K290" s="547">
        <f t="shared" si="252"/>
        <v>0</v>
      </c>
      <c r="L290" s="547">
        <f t="shared" si="252"/>
        <v>0</v>
      </c>
      <c r="M290" s="547">
        <f t="shared" si="252"/>
        <v>0</v>
      </c>
      <c r="N290" s="547">
        <f t="shared" si="252"/>
        <v>0</v>
      </c>
      <c r="O290" s="547">
        <f t="shared" si="252"/>
        <v>0</v>
      </c>
      <c r="P290" s="547">
        <f t="shared" si="252"/>
        <v>0</v>
      </c>
      <c r="Q290" s="547">
        <f t="shared" si="252"/>
        <v>0</v>
      </c>
      <c r="R290" s="547">
        <f t="shared" si="252"/>
        <v>0</v>
      </c>
      <c r="S290" s="547">
        <f t="shared" si="252"/>
        <v>0</v>
      </c>
      <c r="T290" s="547">
        <f t="shared" si="252"/>
        <v>0</v>
      </c>
      <c r="U290" s="547">
        <f t="shared" si="252"/>
        <v>0</v>
      </c>
      <c r="V290" s="547">
        <f t="shared" si="252"/>
        <v>0</v>
      </c>
      <c r="W290" s="547">
        <f t="shared" si="252"/>
        <v>0</v>
      </c>
      <c r="X290" s="547">
        <f t="shared" si="252"/>
        <v>0</v>
      </c>
      <c r="Y290" s="547">
        <f t="shared" si="252"/>
        <v>0</v>
      </c>
      <c r="Z290" s="547">
        <f t="shared" si="252"/>
        <v>0</v>
      </c>
      <c r="AA290" s="547">
        <f t="shared" si="252"/>
        <v>0</v>
      </c>
      <c r="AB290" s="547">
        <f t="shared" si="252"/>
        <v>0</v>
      </c>
      <c r="AC290" s="547">
        <f t="shared" si="252"/>
        <v>0</v>
      </c>
      <c r="AD290" s="547">
        <f t="shared" si="252"/>
        <v>0</v>
      </c>
      <c r="AE290" s="547">
        <f t="shared" si="252"/>
        <v>0</v>
      </c>
      <c r="AF290" s="547">
        <f t="shared" si="252"/>
        <v>0</v>
      </c>
      <c r="AG290" s="547">
        <f t="shared" si="252"/>
        <v>0</v>
      </c>
      <c r="AI290" s="616"/>
      <c r="AJ290" s="272"/>
    </row>
    <row r="291" spans="1:37" s="160" customFormat="1">
      <c r="A291" s="160" t="s">
        <v>669</v>
      </c>
      <c r="B291" s="298" t="s">
        <v>127</v>
      </c>
      <c r="C291" s="547">
        <f>C289-C290</f>
        <v>709599.46669817681</v>
      </c>
      <c r="D291" s="547">
        <f t="shared" ref="D291:AG291" si="253">D289-D290</f>
        <v>753848.34260496299</v>
      </c>
      <c r="E291" s="547">
        <f t="shared" si="253"/>
        <v>796358.68562277232</v>
      </c>
      <c r="F291" s="547">
        <f t="shared" si="253"/>
        <v>837151.38798700692</v>
      </c>
      <c r="G291" s="547">
        <f t="shared" si="253"/>
        <v>876246.99165327346</v>
      </c>
      <c r="H291" s="547">
        <f t="shared" si="253"/>
        <v>913665.69704025646</v>
      </c>
      <c r="I291" s="547">
        <f t="shared" si="253"/>
        <v>947842.02533338172</v>
      </c>
      <c r="J291" s="547">
        <f t="shared" si="253"/>
        <v>980097.33743472793</v>
      </c>
      <c r="K291" s="547">
        <f t="shared" si="253"/>
        <v>1010457.3249413257</v>
      </c>
      <c r="L291" s="547">
        <f t="shared" si="253"/>
        <v>1038947.2263459042</v>
      </c>
      <c r="M291" s="547">
        <f t="shared" si="253"/>
        <v>1065591.8382691904</v>
      </c>
      <c r="N291" s="547">
        <f t="shared" si="253"/>
        <v>1066848.5351369153</v>
      </c>
      <c r="O291" s="547">
        <f t="shared" si="253"/>
        <v>1070569.2863976608</v>
      </c>
      <c r="P291" s="547">
        <f t="shared" si="253"/>
        <v>1069565.2047536487</v>
      </c>
      <c r="Q291" s="547">
        <f t="shared" si="253"/>
        <v>1067144.6192902513</v>
      </c>
      <c r="R291" s="547">
        <f t="shared" si="253"/>
        <v>1063325.2625784359</v>
      </c>
      <c r="S291" s="547">
        <f t="shared" si="253"/>
        <v>1058412.4183005083</v>
      </c>
      <c r="T291" s="547">
        <f t="shared" si="253"/>
        <v>1052158.6417021784</v>
      </c>
      <c r="U291" s="547">
        <f t="shared" si="253"/>
        <v>1044580.3133531414</v>
      </c>
      <c r="V291" s="547">
        <f t="shared" si="253"/>
        <v>1035693.5615119017</v>
      </c>
      <c r="W291" s="547">
        <f t="shared" si="253"/>
        <v>1025514.2678765625</v>
      </c>
      <c r="X291" s="547">
        <f t="shared" si="253"/>
        <v>1034366.901038817</v>
      </c>
      <c r="Y291" s="547">
        <f t="shared" si="253"/>
        <v>1041879.5266407054</v>
      </c>
      <c r="Z291" s="547">
        <f t="shared" si="253"/>
        <v>1047607.3955351136</v>
      </c>
      <c r="AA291" s="547">
        <f t="shared" si="253"/>
        <v>1051698.741567859</v>
      </c>
      <c r="AB291" s="547">
        <f t="shared" si="253"/>
        <v>1054173.9797306806</v>
      </c>
      <c r="AC291" s="547">
        <f t="shared" si="253"/>
        <v>1054771.5870530284</v>
      </c>
      <c r="AD291" s="547">
        <f t="shared" si="253"/>
        <v>1053773.2351359287</v>
      </c>
      <c r="AE291" s="547">
        <f t="shared" si="253"/>
        <v>1051198.8517164965</v>
      </c>
      <c r="AF291" s="547">
        <f t="shared" si="253"/>
        <v>1047068.0619300761</v>
      </c>
      <c r="AG291" s="547">
        <f t="shared" si="253"/>
        <v>1041400.1947950692</v>
      </c>
      <c r="AI291" s="616"/>
      <c r="AJ291" s="272"/>
    </row>
    <row r="292" spans="1:37" s="160" customFormat="1">
      <c r="A292" s="160" t="s">
        <v>672</v>
      </c>
      <c r="B292" s="298" t="s">
        <v>127</v>
      </c>
      <c r="C292" s="547">
        <f>(C291)/(1-C243)</f>
        <v>886999.33337272098</v>
      </c>
      <c r="D292" s="547">
        <f t="shared" ref="D292:AG292" si="254">(D289-D278)/(1-D243)</f>
        <v>938400.426479207</v>
      </c>
      <c r="E292" s="547">
        <f t="shared" si="254"/>
        <v>987221.51110261038</v>
      </c>
      <c r="F292" s="547">
        <f t="shared" si="254"/>
        <v>1033520.2320827247</v>
      </c>
      <c r="G292" s="547">
        <f t="shared" si="254"/>
        <v>1077352.8585900904</v>
      </c>
      <c r="H292" s="547">
        <f t="shared" si="254"/>
        <v>1118774.3229064364</v>
      </c>
      <c r="I292" s="547">
        <f t="shared" si="254"/>
        <v>1155904.9089431486</v>
      </c>
      <c r="J292" s="547">
        <f t="shared" si="254"/>
        <v>1190401.6244146493</v>
      </c>
      <c r="K292" s="547">
        <f t="shared" si="254"/>
        <v>1222327.4092032167</v>
      </c>
      <c r="L292" s="547">
        <f t="shared" si="254"/>
        <v>1251743.6461998846</v>
      </c>
      <c r="M292" s="547">
        <f t="shared" si="254"/>
        <v>1278710.2059230285</v>
      </c>
      <c r="N292" s="547">
        <f t="shared" si="254"/>
        <v>1275117.7710799787</v>
      </c>
      <c r="O292" s="547">
        <f t="shared" si="254"/>
        <v>1274487.2457115012</v>
      </c>
      <c r="P292" s="547">
        <f t="shared" si="254"/>
        <v>1268259.1360715204</v>
      </c>
      <c r="Q292" s="547">
        <f t="shared" si="254"/>
        <v>1260407.0306577773</v>
      </c>
      <c r="R292" s="547">
        <f t="shared" si="254"/>
        <v>1250970.8971511014</v>
      </c>
      <c r="S292" s="547">
        <f t="shared" si="254"/>
        <v>1240327.0526959081</v>
      </c>
      <c r="T292" s="547">
        <f t="shared" si="254"/>
        <v>1228200.7490686909</v>
      </c>
      <c r="U292" s="547">
        <f t="shared" si="254"/>
        <v>1214628.2713408624</v>
      </c>
      <c r="V292" s="547">
        <f t="shared" si="254"/>
        <v>1199645.051944288</v>
      </c>
      <c r="W292" s="547">
        <f t="shared" si="254"/>
        <v>1183285.6937037262</v>
      </c>
      <c r="X292" s="547">
        <f t="shared" si="254"/>
        <v>1188927.4724584105</v>
      </c>
      <c r="Y292" s="547">
        <f t="shared" si="254"/>
        <v>1192991.8243977544</v>
      </c>
      <c r="Z292" s="547">
        <f t="shared" si="254"/>
        <v>1194989.4245647686</v>
      </c>
      <c r="AA292" s="547">
        <f t="shared" si="254"/>
        <v>1195112.2063271126</v>
      </c>
      <c r="AB292" s="547">
        <f t="shared" si="254"/>
        <v>1193404.5053554876</v>
      </c>
      <c r="AC292" s="547">
        <f t="shared" si="254"/>
        <v>1189592.0154733406</v>
      </c>
      <c r="AD292" s="547">
        <f t="shared" si="254"/>
        <v>1184014.8709392461</v>
      </c>
      <c r="AE292" s="547">
        <f t="shared" si="254"/>
        <v>1176715.1325184666</v>
      </c>
      <c r="AF292" s="547">
        <f t="shared" si="254"/>
        <v>1167733.898063282</v>
      </c>
      <c r="AG292" s="547">
        <f t="shared" si="254"/>
        <v>1157111.3275500769</v>
      </c>
      <c r="AI292" s="616"/>
      <c r="AJ292" s="272"/>
    </row>
    <row r="293" spans="1:37" s="160" customFormat="1">
      <c r="A293" s="160" t="s">
        <v>674</v>
      </c>
      <c r="B293" s="298" t="s">
        <v>127</v>
      </c>
      <c r="C293" s="547">
        <f>IF(C272&gt;C292,C292,C272)</f>
        <v>444627.60576097848</v>
      </c>
      <c r="D293" s="547">
        <f t="shared" ref="D293:AG293" si="255">IF(D272&gt;D292,D292,D272)</f>
        <v>456784.36730503954</v>
      </c>
      <c r="E293" s="547">
        <f t="shared" si="255"/>
        <v>468429.03083370737</v>
      </c>
      <c r="F293" s="547">
        <f t="shared" si="255"/>
        <v>479564.33212234708</v>
      </c>
      <c r="G293" s="547">
        <f t="shared" si="255"/>
        <v>490192.99722881068</v>
      </c>
      <c r="H293" s="547">
        <f t="shared" si="255"/>
        <v>500317.74252100015</v>
      </c>
      <c r="I293" s="547">
        <f t="shared" si="255"/>
        <v>508817.67220762902</v>
      </c>
      <c r="J293" s="547">
        <f t="shared" si="255"/>
        <v>516747.72338113136</v>
      </c>
      <c r="K293" s="547">
        <f t="shared" si="255"/>
        <v>524110.99579417071</v>
      </c>
      <c r="L293" s="547">
        <f t="shared" si="255"/>
        <v>530910.57811343274</v>
      </c>
      <c r="M293" s="547">
        <f t="shared" si="255"/>
        <v>537149.54795120226</v>
      </c>
      <c r="N293" s="547">
        <f t="shared" si="255"/>
        <v>539002.21513627318</v>
      </c>
      <c r="O293" s="547">
        <f t="shared" si="255"/>
        <v>542024.6501393565</v>
      </c>
      <c r="P293" s="547">
        <f t="shared" si="255"/>
        <v>542708.29220570275</v>
      </c>
      <c r="Q293" s="547">
        <f t="shared" si="255"/>
        <v>542654.69508254493</v>
      </c>
      <c r="R293" s="547">
        <f t="shared" si="255"/>
        <v>541867.97991181479</v>
      </c>
      <c r="S293" s="547">
        <f t="shared" si="255"/>
        <v>540534.10282873327</v>
      </c>
      <c r="T293" s="547">
        <f t="shared" si="255"/>
        <v>538483.77311676485</v>
      </c>
      <c r="U293" s="547">
        <f t="shared" si="255"/>
        <v>535721.01808134071</v>
      </c>
      <c r="V293" s="547">
        <f t="shared" si="255"/>
        <v>532249.85050682211</v>
      </c>
      <c r="W293" s="547">
        <f t="shared" si="255"/>
        <v>528074.26869781024</v>
      </c>
      <c r="X293" s="547">
        <f t="shared" si="255"/>
        <v>526950.12846511207</v>
      </c>
      <c r="Y293" s="547">
        <f t="shared" si="255"/>
        <v>525459.60565684992</v>
      </c>
      <c r="Z293" s="547">
        <f t="shared" si="255"/>
        <v>523379.79827353725</v>
      </c>
      <c r="AA293" s="547">
        <f t="shared" si="255"/>
        <v>520767.84795570903</v>
      </c>
      <c r="AB293" s="547">
        <f t="shared" si="255"/>
        <v>517626.76107988995</v>
      </c>
      <c r="AC293" s="547">
        <f t="shared" si="255"/>
        <v>513817.13380649884</v>
      </c>
      <c r="AD293" s="547">
        <f t="shared" si="255"/>
        <v>509479.16485418699</v>
      </c>
      <c r="AE293" s="547">
        <f t="shared" si="255"/>
        <v>504615.86202509323</v>
      </c>
      <c r="AF293" s="547">
        <f t="shared" si="255"/>
        <v>499230.22330088972</v>
      </c>
      <c r="AG293" s="547">
        <f t="shared" si="255"/>
        <v>493325.23686376808</v>
      </c>
      <c r="AI293" s="616"/>
      <c r="AJ293" s="272"/>
    </row>
    <row r="294" spans="1:37" s="160" customFormat="1">
      <c r="A294" s="160" t="s">
        <v>673</v>
      </c>
      <c r="B294" s="298" t="s">
        <v>127</v>
      </c>
      <c r="C294" s="547">
        <f>IF(C292-C293&lt;0,0,C292-C293)</f>
        <v>442371.72761174251</v>
      </c>
      <c r="D294" s="547">
        <f t="shared" ref="D294:AG294" si="256">IF(D292-D293&lt;0,0,D292-D293)</f>
        <v>481616.05917416746</v>
      </c>
      <c r="E294" s="547">
        <f t="shared" si="256"/>
        <v>518792.48026890302</v>
      </c>
      <c r="F294" s="547">
        <f t="shared" si="256"/>
        <v>553955.8999603776</v>
      </c>
      <c r="G294" s="547">
        <f t="shared" si="256"/>
        <v>587159.86136127973</v>
      </c>
      <c r="H294" s="547">
        <f t="shared" si="256"/>
        <v>618456.5803854363</v>
      </c>
      <c r="I294" s="547">
        <f t="shared" si="256"/>
        <v>647087.23673551949</v>
      </c>
      <c r="J294" s="547">
        <f t="shared" si="256"/>
        <v>673653.9010335179</v>
      </c>
      <c r="K294" s="547">
        <f t="shared" si="256"/>
        <v>698216.4134090459</v>
      </c>
      <c r="L294" s="547">
        <f t="shared" si="256"/>
        <v>720833.06808645185</v>
      </c>
      <c r="M294" s="547">
        <f t="shared" si="256"/>
        <v>741560.65797182627</v>
      </c>
      <c r="N294" s="547">
        <f t="shared" si="256"/>
        <v>736115.55594370549</v>
      </c>
      <c r="O294" s="547">
        <f t="shared" si="256"/>
        <v>732462.59557214472</v>
      </c>
      <c r="P294" s="547">
        <f t="shared" si="256"/>
        <v>725550.84386581765</v>
      </c>
      <c r="Q294" s="547">
        <f t="shared" si="256"/>
        <v>717752.3355752324</v>
      </c>
      <c r="R294" s="547">
        <f t="shared" si="256"/>
        <v>709102.91723928659</v>
      </c>
      <c r="S294" s="547">
        <f t="shared" si="256"/>
        <v>699792.94986717484</v>
      </c>
      <c r="T294" s="547">
        <f t="shared" si="256"/>
        <v>689716.97595192608</v>
      </c>
      <c r="U294" s="547">
        <f t="shared" si="256"/>
        <v>678907.25325952168</v>
      </c>
      <c r="V294" s="547">
        <f t="shared" si="256"/>
        <v>667395.20143746585</v>
      </c>
      <c r="W294" s="547">
        <f t="shared" si="256"/>
        <v>655211.42500591592</v>
      </c>
      <c r="X294" s="547">
        <f t="shared" si="256"/>
        <v>661977.34399329848</v>
      </c>
      <c r="Y294" s="547">
        <f t="shared" si="256"/>
        <v>667532.21874090447</v>
      </c>
      <c r="Z294" s="547">
        <f t="shared" si="256"/>
        <v>671609.62629123125</v>
      </c>
      <c r="AA294" s="547">
        <f t="shared" si="256"/>
        <v>674344.35837140353</v>
      </c>
      <c r="AB294" s="547">
        <f t="shared" si="256"/>
        <v>675777.74427559762</v>
      </c>
      <c r="AC294" s="547">
        <f t="shared" si="256"/>
        <v>675774.8816668418</v>
      </c>
      <c r="AD294" s="547">
        <f t="shared" si="256"/>
        <v>674535.70608505909</v>
      </c>
      <c r="AE294" s="547">
        <f t="shared" si="256"/>
        <v>672099.27049337327</v>
      </c>
      <c r="AF294" s="547">
        <f t="shared" si="256"/>
        <v>668503.6747623923</v>
      </c>
      <c r="AG294" s="547">
        <f t="shared" si="256"/>
        <v>663786.0906863088</v>
      </c>
      <c r="AI294" s="616"/>
      <c r="AJ294" s="272"/>
    </row>
    <row r="295" spans="1:37" s="160" customFormat="1">
      <c r="A295" s="160" t="s">
        <v>675</v>
      </c>
      <c r="B295" s="298" t="s">
        <v>127</v>
      </c>
      <c r="C295" s="547">
        <f>C289*C246+C243*C292+C279+IF(C272&gt;C292,C272-C292,0)</f>
        <v>368991.72268305195</v>
      </c>
      <c r="D295" s="547">
        <f t="shared" ref="D295:AG295" si="257">D289*D246+D243*D292+D279+IF(D272&gt;D292,D272-D292,0)</f>
        <v>385075.74300716422</v>
      </c>
      <c r="E295" s="547">
        <f t="shared" si="257"/>
        <v>399508.80111300439</v>
      </c>
      <c r="F295" s="547">
        <f t="shared" si="257"/>
        <v>412353.90219636553</v>
      </c>
      <c r="G295" s="547">
        <f t="shared" si="257"/>
        <v>423672.60281674837</v>
      </c>
      <c r="H295" s="547">
        <f t="shared" si="257"/>
        <v>433525.0501262442</v>
      </c>
      <c r="I295" s="547">
        <f t="shared" si="257"/>
        <v>441232.02184177871</v>
      </c>
      <c r="J295" s="547">
        <f t="shared" si="257"/>
        <v>447487.84263912559</v>
      </c>
      <c r="K295" s="547">
        <f t="shared" si="257"/>
        <v>452358.92759792646</v>
      </c>
      <c r="L295" s="547">
        <f t="shared" si="257"/>
        <v>455910.07081892202</v>
      </c>
      <c r="M295" s="547">
        <f t="shared" si="257"/>
        <v>458204.49045575195</v>
      </c>
      <c r="N295" s="547">
        <f t="shared" si="257"/>
        <v>449377.00488400611</v>
      </c>
      <c r="O295" s="547">
        <f t="shared" si="257"/>
        <v>441584.34089412098</v>
      </c>
      <c r="P295" s="547">
        <f t="shared" si="257"/>
        <v>431859.145954167</v>
      </c>
      <c r="Q295" s="547">
        <f t="shared" si="257"/>
        <v>421631.3598956397</v>
      </c>
      <c r="R295" s="547">
        <f t="shared" si="257"/>
        <v>410943.93971413688</v>
      </c>
      <c r="S295" s="547">
        <f t="shared" si="257"/>
        <v>399947.59256530466</v>
      </c>
      <c r="T295" s="547">
        <f t="shared" si="257"/>
        <v>388578.15299035248</v>
      </c>
      <c r="U295" s="547">
        <f t="shared" si="257"/>
        <v>376874.86003164283</v>
      </c>
      <c r="V295" s="547">
        <f t="shared" si="257"/>
        <v>364876.04136569507</v>
      </c>
      <c r="W295" s="547">
        <f t="shared" si="257"/>
        <v>352619.13672371046</v>
      </c>
      <c r="X295" s="547">
        <f t="shared" si="257"/>
        <v>346952.81501281343</v>
      </c>
      <c r="Y295" s="547">
        <f t="shared" si="257"/>
        <v>340734.37160565739</v>
      </c>
      <c r="Z295" s="547">
        <f t="shared" si="257"/>
        <v>333856.14543490513</v>
      </c>
      <c r="AA295" s="547">
        <f t="shared" si="257"/>
        <v>326409.04579206114</v>
      </c>
      <c r="AB295" s="547">
        <f t="shared" si="257"/>
        <v>318440.10217902274</v>
      </c>
      <c r="AC295" s="547">
        <f t="shared" si="257"/>
        <v>309912.51187111478</v>
      </c>
      <c r="AD295" s="547">
        <f t="shared" si="257"/>
        <v>300952.89989533764</v>
      </c>
      <c r="AE295" s="547">
        <f t="shared" si="257"/>
        <v>291605.69937317632</v>
      </c>
      <c r="AF295" s="547">
        <f t="shared" si="257"/>
        <v>281914.31767043762</v>
      </c>
      <c r="AG295" s="547">
        <f t="shared" si="257"/>
        <v>271921.16197426809</v>
      </c>
      <c r="AI295" s="616"/>
      <c r="AJ295" s="272"/>
    </row>
    <row r="296" spans="1:37" s="160" customFormat="1">
      <c r="A296" s="160" t="s">
        <v>685</v>
      </c>
      <c r="B296" s="298" t="s">
        <v>127</v>
      </c>
      <c r="C296" s="547">
        <f>C275-C294</f>
        <v>2077184.7050338024</v>
      </c>
      <c r="D296" s="547">
        <f t="shared" ref="D296:AG296" si="258">D275-D294</f>
        <v>1983461.1980732852</v>
      </c>
      <c r="E296" s="547">
        <f t="shared" si="258"/>
        <v>1892465.1538587059</v>
      </c>
      <c r="F296" s="547">
        <f t="shared" si="258"/>
        <v>1804138.5378719922</v>
      </c>
      <c r="G296" s="547">
        <f t="shared" si="258"/>
        <v>1718424.6921445718</v>
      </c>
      <c r="H296" s="547">
        <f t="shared" si="258"/>
        <v>1635268.2964752163</v>
      </c>
      <c r="I296" s="547">
        <f t="shared" si="258"/>
        <v>1550572.0708846659</v>
      </c>
      <c r="J296" s="547">
        <f t="shared" si="258"/>
        <v>1468677.5696563534</v>
      </c>
      <c r="K296" s="547">
        <f t="shared" si="258"/>
        <v>1389521.4070468044</v>
      </c>
      <c r="L296" s="547">
        <f t="shared" si="258"/>
        <v>1313041.7553142842</v>
      </c>
      <c r="M296" s="547">
        <f t="shared" si="258"/>
        <v>1239178.3000982334</v>
      </c>
      <c r="N296" s="547">
        <f t="shared" si="258"/>
        <v>1178610.0671731629</v>
      </c>
      <c r="O296" s="547">
        <f t="shared" si="258"/>
        <v>1123851.9141971569</v>
      </c>
      <c r="P296" s="547">
        <f t="shared" si="258"/>
        <v>1067644.5606531699</v>
      </c>
      <c r="Q296" s="547">
        <f t="shared" si="258"/>
        <v>1013285.8258333342</v>
      </c>
      <c r="R296" s="547">
        <f t="shared" si="258"/>
        <v>960735.14330528711</v>
      </c>
      <c r="S296" s="547">
        <f t="shared" si="258"/>
        <v>910339.13893035299</v>
      </c>
      <c r="T296" s="547">
        <f t="shared" si="258"/>
        <v>861645.71839611558</v>
      </c>
      <c r="U296" s="547">
        <f t="shared" si="258"/>
        <v>814618.00927027781</v>
      </c>
      <c r="V296" s="547">
        <f t="shared" si="258"/>
        <v>769219.9930871143</v>
      </c>
      <c r="W296" s="547">
        <f t="shared" si="258"/>
        <v>725416.48231245612</v>
      </c>
      <c r="X296" s="547">
        <f t="shared" si="258"/>
        <v>673087.11575753381</v>
      </c>
      <c r="Y296" s="547">
        <f t="shared" si="258"/>
        <v>623112.80344850174</v>
      </c>
      <c r="Z296" s="547">
        <f t="shared" si="258"/>
        <v>575179.002515967</v>
      </c>
      <c r="AA296" s="547">
        <f t="shared" si="258"/>
        <v>529284.64120834856</v>
      </c>
      <c r="AB296" s="547">
        <f t="shared" si="258"/>
        <v>485384.99003875069</v>
      </c>
      <c r="AC296" s="547">
        <f t="shared" si="258"/>
        <v>443301.41823375376</v>
      </c>
      <c r="AD296" s="547">
        <f t="shared" si="258"/>
        <v>403147.63639467023</v>
      </c>
      <c r="AE296" s="547">
        <f t="shared" si="258"/>
        <v>364881.18731379427</v>
      </c>
      <c r="AF296" s="547">
        <f t="shared" si="258"/>
        <v>328460.57736396033</v>
      </c>
      <c r="AG296" s="547">
        <f t="shared" si="258"/>
        <v>293845.25146100542</v>
      </c>
      <c r="AI296" s="616"/>
      <c r="AJ296" s="272"/>
    </row>
    <row r="297" spans="1:37" s="160" customFormat="1">
      <c r="B297" s="299"/>
      <c r="C297" s="547"/>
      <c r="D297" s="547"/>
      <c r="E297" s="547"/>
      <c r="F297" s="547"/>
      <c r="G297" s="547"/>
      <c r="H297" s="547"/>
      <c r="I297" s="547"/>
      <c r="J297" s="547"/>
      <c r="K297" s="547"/>
      <c r="L297" s="547"/>
      <c r="M297" s="547"/>
      <c r="N297" s="547"/>
      <c r="O297" s="547"/>
      <c r="P297" s="547"/>
      <c r="Q297" s="547"/>
      <c r="R297" s="547"/>
      <c r="S297" s="547"/>
      <c r="T297" s="547"/>
      <c r="U297" s="547"/>
      <c r="V297" s="547"/>
      <c r="W297" s="547"/>
      <c r="X297" s="547"/>
      <c r="Y297" s="547"/>
      <c r="Z297" s="547"/>
      <c r="AA297" s="547"/>
      <c r="AB297" s="547"/>
      <c r="AC297" s="547"/>
      <c r="AD297" s="547"/>
      <c r="AE297" s="547"/>
      <c r="AF297" s="547"/>
      <c r="AG297" s="547"/>
      <c r="AJ297" s="272"/>
    </row>
    <row r="298" spans="1:37" s="160" customFormat="1">
      <c r="A298" s="160" t="s">
        <v>677</v>
      </c>
      <c r="B298" s="299" t="s">
        <v>126</v>
      </c>
      <c r="C298" s="281">
        <v>0.8</v>
      </c>
      <c r="D298" s="278">
        <f>C298</f>
        <v>0.8</v>
      </c>
      <c r="E298" s="278">
        <f t="shared" ref="E298:AG298" si="259">D298</f>
        <v>0.8</v>
      </c>
      <c r="F298" s="278">
        <f t="shared" si="259"/>
        <v>0.8</v>
      </c>
      <c r="G298" s="278">
        <f t="shared" si="259"/>
        <v>0.8</v>
      </c>
      <c r="H298" s="278">
        <f t="shared" si="259"/>
        <v>0.8</v>
      </c>
      <c r="I298" s="278">
        <f t="shared" si="259"/>
        <v>0.8</v>
      </c>
      <c r="J298" s="278">
        <f t="shared" si="259"/>
        <v>0.8</v>
      </c>
      <c r="K298" s="278">
        <f t="shared" si="259"/>
        <v>0.8</v>
      </c>
      <c r="L298" s="278">
        <f t="shared" si="259"/>
        <v>0.8</v>
      </c>
      <c r="M298" s="278">
        <f t="shared" si="259"/>
        <v>0.8</v>
      </c>
      <c r="N298" s="278">
        <f t="shared" si="259"/>
        <v>0.8</v>
      </c>
      <c r="O298" s="278">
        <f t="shared" si="259"/>
        <v>0.8</v>
      </c>
      <c r="P298" s="278">
        <f t="shared" si="259"/>
        <v>0.8</v>
      </c>
      <c r="Q298" s="278">
        <f t="shared" si="259"/>
        <v>0.8</v>
      </c>
      <c r="R298" s="278">
        <f t="shared" si="259"/>
        <v>0.8</v>
      </c>
      <c r="S298" s="278">
        <f t="shared" si="259"/>
        <v>0.8</v>
      </c>
      <c r="T298" s="278">
        <f t="shared" si="259"/>
        <v>0.8</v>
      </c>
      <c r="U298" s="278">
        <f t="shared" si="259"/>
        <v>0.8</v>
      </c>
      <c r="V298" s="278">
        <f t="shared" si="259"/>
        <v>0.8</v>
      </c>
      <c r="W298" s="278">
        <f t="shared" si="259"/>
        <v>0.8</v>
      </c>
      <c r="X298" s="278">
        <f t="shared" si="259"/>
        <v>0.8</v>
      </c>
      <c r="Y298" s="278">
        <f t="shared" si="259"/>
        <v>0.8</v>
      </c>
      <c r="Z298" s="278">
        <f t="shared" si="259"/>
        <v>0.8</v>
      </c>
      <c r="AA298" s="278">
        <f t="shared" si="259"/>
        <v>0.8</v>
      </c>
      <c r="AB298" s="278">
        <f t="shared" si="259"/>
        <v>0.8</v>
      </c>
      <c r="AC298" s="278">
        <f t="shared" si="259"/>
        <v>0.8</v>
      </c>
      <c r="AD298" s="278">
        <f t="shared" si="259"/>
        <v>0.8</v>
      </c>
      <c r="AE298" s="278">
        <f t="shared" si="259"/>
        <v>0.8</v>
      </c>
      <c r="AF298" s="278">
        <f t="shared" si="259"/>
        <v>0.8</v>
      </c>
      <c r="AG298" s="278">
        <f t="shared" si="259"/>
        <v>0.8</v>
      </c>
      <c r="AJ298" s="272" t="s">
        <v>678</v>
      </c>
    </row>
    <row r="299" spans="1:37" s="160" customFormat="1">
      <c r="B299" s="299"/>
      <c r="C299" s="547"/>
      <c r="D299" s="547"/>
      <c r="E299" s="547"/>
      <c r="F299" s="547"/>
      <c r="G299" s="547"/>
      <c r="H299" s="547"/>
      <c r="I299" s="547"/>
      <c r="J299" s="547"/>
      <c r="K299" s="547"/>
      <c r="L299" s="547"/>
      <c r="M299" s="547"/>
      <c r="N299" s="547"/>
      <c r="O299" s="547"/>
      <c r="P299" s="547"/>
      <c r="Q299" s="547"/>
      <c r="R299" s="547"/>
      <c r="S299" s="547"/>
      <c r="T299" s="547"/>
      <c r="U299" s="547"/>
      <c r="V299" s="547"/>
      <c r="W299" s="547"/>
      <c r="X299" s="547"/>
      <c r="Y299" s="547"/>
      <c r="Z299" s="547"/>
      <c r="AA299" s="547"/>
      <c r="AB299" s="547"/>
      <c r="AC299" s="547"/>
      <c r="AD299" s="547"/>
      <c r="AE299" s="547"/>
      <c r="AF299" s="547"/>
      <c r="AG299" s="547"/>
      <c r="AJ299" s="272"/>
    </row>
    <row r="300" spans="1:37" s="160" customFormat="1">
      <c r="A300" s="160" t="s">
        <v>634</v>
      </c>
      <c r="B300" s="299" t="s">
        <v>127</v>
      </c>
      <c r="C300" s="547">
        <f>C234*C295*C298</f>
        <v>295193.3781464416</v>
      </c>
      <c r="D300" s="547">
        <f t="shared" ref="D300:AG300" si="260">D234*D295*D298</f>
        <v>308060.59440573136</v>
      </c>
      <c r="E300" s="547">
        <f t="shared" si="260"/>
        <v>319607.04089040356</v>
      </c>
      <c r="F300" s="547">
        <f t="shared" si="260"/>
        <v>329883.12175709242</v>
      </c>
      <c r="G300" s="547">
        <f t="shared" si="260"/>
        <v>338938.08225339872</v>
      </c>
      <c r="H300" s="547">
        <f t="shared" si="260"/>
        <v>346820.04010099539</v>
      </c>
      <c r="I300" s="547">
        <f t="shared" si="260"/>
        <v>352985.61747342302</v>
      </c>
      <c r="J300" s="547">
        <f t="shared" si="260"/>
        <v>357990.27411130047</v>
      </c>
      <c r="K300" s="547">
        <f t="shared" si="260"/>
        <v>361887.14207834122</v>
      </c>
      <c r="L300" s="547">
        <f t="shared" si="260"/>
        <v>364728.05665513763</v>
      </c>
      <c r="M300" s="547">
        <f t="shared" si="260"/>
        <v>366563.59236460156</v>
      </c>
      <c r="N300" s="547">
        <f t="shared" si="260"/>
        <v>359501.60390720493</v>
      </c>
      <c r="O300" s="547">
        <f t="shared" si="260"/>
        <v>353267.47271529678</v>
      </c>
      <c r="P300" s="547">
        <f t="shared" si="260"/>
        <v>345487.31676333363</v>
      </c>
      <c r="Q300" s="547">
        <f t="shared" si="260"/>
        <v>337305.08791651181</v>
      </c>
      <c r="R300" s="547">
        <f t="shared" si="260"/>
        <v>328755.15177130955</v>
      </c>
      <c r="S300" s="547">
        <f t="shared" si="260"/>
        <v>319958.07405224373</v>
      </c>
      <c r="T300" s="547">
        <f t="shared" si="260"/>
        <v>310862.52239228197</v>
      </c>
      <c r="U300" s="547">
        <f t="shared" si="260"/>
        <v>301499.88802531426</v>
      </c>
      <c r="V300" s="547">
        <f t="shared" si="260"/>
        <v>291900.83309255604</v>
      </c>
      <c r="W300" s="547">
        <f t="shared" si="260"/>
        <v>282095.30937896838</v>
      </c>
      <c r="X300" s="547">
        <f t="shared" si="260"/>
        <v>277562.25201025076</v>
      </c>
      <c r="Y300" s="547">
        <f t="shared" si="260"/>
        <v>272587.49728452595</v>
      </c>
      <c r="Z300" s="547">
        <f t="shared" si="260"/>
        <v>267084.9163479241</v>
      </c>
      <c r="AA300" s="547">
        <f t="shared" si="260"/>
        <v>261127.23663364892</v>
      </c>
      <c r="AB300" s="547">
        <f t="shared" si="260"/>
        <v>254752.08174321821</v>
      </c>
      <c r="AC300" s="547">
        <f t="shared" si="260"/>
        <v>247930.00949689184</v>
      </c>
      <c r="AD300" s="547">
        <f t="shared" si="260"/>
        <v>240762.31991627012</v>
      </c>
      <c r="AE300" s="547">
        <f t="shared" si="260"/>
        <v>233284.55949854106</v>
      </c>
      <c r="AF300" s="547">
        <f t="shared" si="260"/>
        <v>225531.4541363501</v>
      </c>
      <c r="AG300" s="547">
        <f t="shared" si="260"/>
        <v>217536.92957941449</v>
      </c>
      <c r="AJ300" s="272"/>
    </row>
    <row r="301" spans="1:37" s="160" customFormat="1">
      <c r="A301" s="160" t="s">
        <v>639</v>
      </c>
      <c r="B301" s="299" t="s">
        <v>127</v>
      </c>
      <c r="C301" s="547">
        <f>C295*C298-C300</f>
        <v>0</v>
      </c>
      <c r="D301" s="547">
        <f t="shared" ref="D301:AG301" si="261">D295*D298-D300</f>
        <v>0</v>
      </c>
      <c r="E301" s="547">
        <f t="shared" si="261"/>
        <v>0</v>
      </c>
      <c r="F301" s="547">
        <f t="shared" si="261"/>
        <v>0</v>
      </c>
      <c r="G301" s="547">
        <f t="shared" si="261"/>
        <v>0</v>
      </c>
      <c r="H301" s="547">
        <f t="shared" si="261"/>
        <v>0</v>
      </c>
      <c r="I301" s="547">
        <f t="shared" si="261"/>
        <v>0</v>
      </c>
      <c r="J301" s="547">
        <f t="shared" si="261"/>
        <v>0</v>
      </c>
      <c r="K301" s="547">
        <f t="shared" si="261"/>
        <v>0</v>
      </c>
      <c r="L301" s="547">
        <f t="shared" si="261"/>
        <v>0</v>
      </c>
      <c r="M301" s="547">
        <f t="shared" si="261"/>
        <v>0</v>
      </c>
      <c r="N301" s="547">
        <f t="shared" si="261"/>
        <v>0</v>
      </c>
      <c r="O301" s="547">
        <f t="shared" si="261"/>
        <v>0</v>
      </c>
      <c r="P301" s="547">
        <f t="shared" si="261"/>
        <v>0</v>
      </c>
      <c r="Q301" s="547">
        <f t="shared" si="261"/>
        <v>0</v>
      </c>
      <c r="R301" s="547">
        <f t="shared" si="261"/>
        <v>0</v>
      </c>
      <c r="S301" s="547">
        <f t="shared" si="261"/>
        <v>0</v>
      </c>
      <c r="T301" s="547">
        <f t="shared" si="261"/>
        <v>0</v>
      </c>
      <c r="U301" s="547">
        <f t="shared" si="261"/>
        <v>0</v>
      </c>
      <c r="V301" s="547">
        <f t="shared" si="261"/>
        <v>0</v>
      </c>
      <c r="W301" s="547">
        <f t="shared" si="261"/>
        <v>0</v>
      </c>
      <c r="X301" s="547">
        <f t="shared" si="261"/>
        <v>0</v>
      </c>
      <c r="Y301" s="547">
        <f t="shared" si="261"/>
        <v>0</v>
      </c>
      <c r="Z301" s="547">
        <f t="shared" si="261"/>
        <v>0</v>
      </c>
      <c r="AA301" s="547">
        <f t="shared" si="261"/>
        <v>0</v>
      </c>
      <c r="AB301" s="547">
        <f t="shared" si="261"/>
        <v>0</v>
      </c>
      <c r="AC301" s="547">
        <f t="shared" si="261"/>
        <v>0</v>
      </c>
      <c r="AD301" s="547">
        <f t="shared" si="261"/>
        <v>0</v>
      </c>
      <c r="AE301" s="547">
        <f t="shared" si="261"/>
        <v>0</v>
      </c>
      <c r="AF301" s="547">
        <f t="shared" si="261"/>
        <v>0</v>
      </c>
      <c r="AG301" s="547">
        <f t="shared" si="261"/>
        <v>0</v>
      </c>
      <c r="AJ301" s="272"/>
    </row>
    <row r="302" spans="1:37" s="160" customFormat="1">
      <c r="B302" s="156"/>
      <c r="C302" s="547"/>
      <c r="D302" s="547"/>
      <c r="E302" s="547"/>
      <c r="F302" s="547"/>
      <c r="G302" s="547"/>
      <c r="H302" s="547"/>
      <c r="I302" s="547"/>
      <c r="J302" s="547"/>
      <c r="K302" s="547"/>
      <c r="L302" s="547"/>
      <c r="M302" s="547"/>
      <c r="N302" s="547"/>
      <c r="O302" s="547"/>
      <c r="P302" s="547"/>
      <c r="Q302" s="547"/>
      <c r="R302" s="547"/>
      <c r="S302" s="547"/>
      <c r="T302" s="547"/>
      <c r="U302" s="547"/>
      <c r="V302" s="547"/>
      <c r="W302" s="547"/>
      <c r="X302" s="547"/>
      <c r="Y302" s="547"/>
      <c r="Z302" s="547"/>
      <c r="AA302" s="547"/>
      <c r="AB302" s="547"/>
      <c r="AC302" s="547"/>
      <c r="AD302" s="547"/>
      <c r="AE302" s="547"/>
      <c r="AF302" s="547"/>
      <c r="AG302" s="547"/>
      <c r="AJ302" s="272"/>
    </row>
    <row r="303" spans="1:37" s="160" customFormat="1">
      <c r="B303" s="184" t="s">
        <v>633</v>
      </c>
      <c r="C303" s="550">
        <v>0</v>
      </c>
      <c r="D303" s="550">
        <f>C303+1</f>
        <v>1</v>
      </c>
      <c r="E303" s="550">
        <f t="shared" ref="E303:AG303" si="262">D303+1</f>
        <v>2</v>
      </c>
      <c r="F303" s="550">
        <f t="shared" si="262"/>
        <v>3</v>
      </c>
      <c r="G303" s="550">
        <f t="shared" si="262"/>
        <v>4</v>
      </c>
      <c r="H303" s="550">
        <f t="shared" si="262"/>
        <v>5</v>
      </c>
      <c r="I303" s="550">
        <f t="shared" si="262"/>
        <v>6</v>
      </c>
      <c r="J303" s="550">
        <f t="shared" si="262"/>
        <v>7</v>
      </c>
      <c r="K303" s="550">
        <f t="shared" si="262"/>
        <v>8</v>
      </c>
      <c r="L303" s="550">
        <f t="shared" si="262"/>
        <v>9</v>
      </c>
      <c r="M303" s="550">
        <f t="shared" si="262"/>
        <v>10</v>
      </c>
      <c r="N303" s="550">
        <f t="shared" si="262"/>
        <v>11</v>
      </c>
      <c r="O303" s="550">
        <f t="shared" si="262"/>
        <v>12</v>
      </c>
      <c r="P303" s="550">
        <f t="shared" si="262"/>
        <v>13</v>
      </c>
      <c r="Q303" s="550">
        <f t="shared" si="262"/>
        <v>14</v>
      </c>
      <c r="R303" s="550">
        <f t="shared" si="262"/>
        <v>15</v>
      </c>
      <c r="S303" s="550">
        <f t="shared" si="262"/>
        <v>16</v>
      </c>
      <c r="T303" s="550">
        <f t="shared" si="262"/>
        <v>17</v>
      </c>
      <c r="U303" s="550">
        <f t="shared" si="262"/>
        <v>18</v>
      </c>
      <c r="V303" s="550">
        <f t="shared" si="262"/>
        <v>19</v>
      </c>
      <c r="W303" s="550">
        <f t="shared" si="262"/>
        <v>20</v>
      </c>
      <c r="X303" s="550">
        <f t="shared" si="262"/>
        <v>21</v>
      </c>
      <c r="Y303" s="550">
        <f t="shared" si="262"/>
        <v>22</v>
      </c>
      <c r="Z303" s="550">
        <f t="shared" si="262"/>
        <v>23</v>
      </c>
      <c r="AA303" s="550">
        <f t="shared" si="262"/>
        <v>24</v>
      </c>
      <c r="AB303" s="550">
        <f t="shared" si="262"/>
        <v>25</v>
      </c>
      <c r="AC303" s="550">
        <f t="shared" si="262"/>
        <v>26</v>
      </c>
      <c r="AD303" s="550">
        <f t="shared" si="262"/>
        <v>27</v>
      </c>
      <c r="AE303" s="550">
        <f t="shared" si="262"/>
        <v>28</v>
      </c>
      <c r="AF303" s="550">
        <f t="shared" si="262"/>
        <v>29</v>
      </c>
      <c r="AG303" s="550">
        <f t="shared" si="262"/>
        <v>30</v>
      </c>
      <c r="AJ303" s="272" t="s">
        <v>641</v>
      </c>
      <c r="AK303" s="47">
        <v>1.9</v>
      </c>
    </row>
    <row r="304" spans="1:37" s="160" customFormat="1">
      <c r="A304" s="160" t="s">
        <v>686</v>
      </c>
      <c r="B304" s="156"/>
      <c r="C304" s="567">
        <f>$AK$305/((1+EXP(-$AK$304*(C303-$AK$306)))^$AK$303)</f>
        <v>4.6088632748610021E-5</v>
      </c>
      <c r="D304" s="567">
        <f t="shared" ref="D304:AG304" si="263">$AK$305/((1+EXP(-$AK$304*(D303-$AK$306)))^$AK$303)</f>
        <v>8.924759460408035E-5</v>
      </c>
      <c r="E304" s="567">
        <f t="shared" si="263"/>
        <v>1.7252431976790472E-4</v>
      </c>
      <c r="F304" s="567">
        <f t="shared" si="263"/>
        <v>3.3269643715580369E-4</v>
      </c>
      <c r="G304" s="567">
        <f t="shared" si="263"/>
        <v>6.393827369910735E-4</v>
      </c>
      <c r="H304" s="567">
        <f t="shared" si="263"/>
        <v>1.2229053771654547E-3</v>
      </c>
      <c r="I304" s="567">
        <f t="shared" si="263"/>
        <v>2.3234018804222717E-3</v>
      </c>
      <c r="J304" s="567">
        <f t="shared" si="263"/>
        <v>4.3736281679830789E-3</v>
      </c>
      <c r="K304" s="567">
        <f t="shared" si="263"/>
        <v>8.1294184230466908E-3</v>
      </c>
      <c r="L304" s="567">
        <f t="shared" si="263"/>
        <v>1.4853985082038716E-2</v>
      </c>
      <c r="M304" s="567">
        <f t="shared" si="263"/>
        <v>2.6531412096832362E-2</v>
      </c>
      <c r="N304" s="567">
        <f t="shared" si="263"/>
        <v>4.6014759335105015E-2</v>
      </c>
      <c r="O304" s="567">
        <f t="shared" si="263"/>
        <v>7.6910635328419796E-2</v>
      </c>
      <c r="P304" s="567">
        <f t="shared" si="263"/>
        <v>0.12294065829885638</v>
      </c>
      <c r="Q304" s="567">
        <f t="shared" si="263"/>
        <v>0.18666754187878853</v>
      </c>
      <c r="R304" s="567">
        <f t="shared" si="263"/>
        <v>0.26794336563407328</v>
      </c>
      <c r="S304" s="567">
        <f t="shared" si="263"/>
        <v>0.36297326582455031</v>
      </c>
      <c r="T304" s="567">
        <f t="shared" si="263"/>
        <v>0.46484396312424381</v>
      </c>
      <c r="U304" s="567">
        <f t="shared" si="263"/>
        <v>0.56546260593861253</v>
      </c>
      <c r="V304" s="567">
        <f t="shared" si="263"/>
        <v>0.6578403022607352</v>
      </c>
      <c r="W304" s="567">
        <f t="shared" si="263"/>
        <v>0.73754668886795227</v>
      </c>
      <c r="X304" s="567">
        <f t="shared" si="263"/>
        <v>0.80293052021410605</v>
      </c>
      <c r="Y304" s="567">
        <f t="shared" si="263"/>
        <v>0.85447682949112158</v>
      </c>
      <c r="Z304" s="567">
        <f t="shared" si="263"/>
        <v>0.89389910336617451</v>
      </c>
      <c r="AA304" s="567">
        <f t="shared" si="263"/>
        <v>0.92337223319290385</v>
      </c>
      <c r="AB304" s="567">
        <f t="shared" si="263"/>
        <v>0.94504210708611314</v>
      </c>
      <c r="AC304" s="567">
        <f t="shared" si="263"/>
        <v>0.96078240575184182</v>
      </c>
      <c r="AD304" s="567">
        <f t="shared" si="263"/>
        <v>0.97211605463477313</v>
      </c>
      <c r="AE304" s="567">
        <f t="shared" si="263"/>
        <v>0.98022577885232642</v>
      </c>
      <c r="AF304" s="567">
        <f t="shared" si="263"/>
        <v>0.98600279580400285</v>
      </c>
      <c r="AG304" s="567">
        <f t="shared" si="263"/>
        <v>0.9901050637460882</v>
      </c>
      <c r="AI304" s="156" t="s">
        <v>640</v>
      </c>
      <c r="AJ304" s="272" t="s">
        <v>642</v>
      </c>
      <c r="AK304" s="47">
        <v>0.35</v>
      </c>
    </row>
    <row r="305" spans="1:37" s="160" customFormat="1">
      <c r="B305" s="156"/>
      <c r="C305" s="566">
        <v>0</v>
      </c>
      <c r="D305" s="566">
        <v>0</v>
      </c>
      <c r="E305" s="566">
        <v>0</v>
      </c>
      <c r="F305" s="566">
        <v>0</v>
      </c>
      <c r="G305" s="566">
        <v>0</v>
      </c>
      <c r="H305" s="566">
        <v>0</v>
      </c>
      <c r="I305" s="566">
        <v>0</v>
      </c>
      <c r="J305" s="566">
        <v>0</v>
      </c>
      <c r="K305" s="566">
        <v>0</v>
      </c>
      <c r="L305" s="566">
        <v>0</v>
      </c>
      <c r="M305" s="566">
        <f>C304</f>
        <v>4.6088632748610021E-5</v>
      </c>
      <c r="N305" s="566">
        <v>0</v>
      </c>
      <c r="O305" s="566">
        <v>0</v>
      </c>
      <c r="P305" s="566">
        <v>0</v>
      </c>
      <c r="Q305" s="566">
        <v>0</v>
      </c>
      <c r="R305" s="566">
        <f t="shared" ref="R305:AG305" si="264">C304</f>
        <v>4.6088632748610021E-5</v>
      </c>
      <c r="S305" s="566">
        <f t="shared" si="264"/>
        <v>8.924759460408035E-5</v>
      </c>
      <c r="T305" s="566">
        <f t="shared" si="264"/>
        <v>1.7252431976790472E-4</v>
      </c>
      <c r="U305" s="566">
        <f t="shared" si="264"/>
        <v>3.3269643715580369E-4</v>
      </c>
      <c r="V305" s="566">
        <f t="shared" si="264"/>
        <v>6.393827369910735E-4</v>
      </c>
      <c r="W305" s="566">
        <f t="shared" si="264"/>
        <v>1.2229053771654547E-3</v>
      </c>
      <c r="X305" s="566">
        <f t="shared" si="264"/>
        <v>2.3234018804222717E-3</v>
      </c>
      <c r="Y305" s="566">
        <f t="shared" si="264"/>
        <v>4.3736281679830789E-3</v>
      </c>
      <c r="Z305" s="566">
        <f t="shared" si="264"/>
        <v>8.1294184230466908E-3</v>
      </c>
      <c r="AA305" s="566">
        <f t="shared" si="264"/>
        <v>1.4853985082038716E-2</v>
      </c>
      <c r="AB305" s="566">
        <f t="shared" si="264"/>
        <v>2.6531412096832362E-2</v>
      </c>
      <c r="AC305" s="566">
        <f t="shared" si="264"/>
        <v>4.6014759335105015E-2</v>
      </c>
      <c r="AD305" s="566">
        <f t="shared" si="264"/>
        <v>7.6910635328419796E-2</v>
      </c>
      <c r="AE305" s="566">
        <f t="shared" si="264"/>
        <v>0.12294065829885638</v>
      </c>
      <c r="AF305" s="566">
        <f t="shared" si="264"/>
        <v>0.18666754187878853</v>
      </c>
      <c r="AG305" s="566">
        <f t="shared" si="264"/>
        <v>0.26794336563407328</v>
      </c>
      <c r="AI305" s="156" t="s">
        <v>687</v>
      </c>
      <c r="AJ305" s="272" t="s">
        <v>643</v>
      </c>
      <c r="AK305" s="47">
        <v>1</v>
      </c>
    </row>
    <row r="306" spans="1:37" s="160" customFormat="1">
      <c r="B306" s="156"/>
      <c r="C306" s="547"/>
      <c r="D306" s="547"/>
      <c r="E306" s="547"/>
      <c r="F306" s="547"/>
      <c r="G306" s="547"/>
      <c r="H306" s="547"/>
      <c r="I306" s="547"/>
      <c r="J306" s="547"/>
      <c r="K306" s="547"/>
      <c r="L306" s="547"/>
      <c r="M306" s="547"/>
      <c r="N306" s="547"/>
      <c r="O306" s="547"/>
      <c r="P306" s="547"/>
      <c r="Q306" s="547"/>
      <c r="R306" s="547"/>
      <c r="S306" s="547"/>
      <c r="T306" s="547"/>
      <c r="U306" s="547"/>
      <c r="V306" s="547"/>
      <c r="W306" s="547"/>
      <c r="X306" s="547"/>
      <c r="Y306" s="547"/>
      <c r="Z306" s="547"/>
      <c r="AA306" s="547"/>
      <c r="AB306" s="547"/>
      <c r="AC306" s="547"/>
      <c r="AD306" s="547"/>
      <c r="AE306" s="547"/>
      <c r="AF306" s="547"/>
      <c r="AG306" s="547"/>
      <c r="AJ306" s="272" t="s">
        <v>644</v>
      </c>
      <c r="AK306" s="47">
        <v>15</v>
      </c>
    </row>
    <row r="307" spans="1:37" s="160" customFormat="1">
      <c r="A307" s="160" t="s">
        <v>762</v>
      </c>
      <c r="B307" s="156" t="s">
        <v>126</v>
      </c>
      <c r="C307" s="547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5.5962026272778194E-2</v>
      </c>
      <c r="D307" s="547">
        <f>C307</f>
        <v>5.5962026272778194E-2</v>
      </c>
      <c r="E307" s="547">
        <f t="shared" ref="E307:AG307" si="265">D307</f>
        <v>5.5962026272778194E-2</v>
      </c>
      <c r="F307" s="547">
        <f t="shared" si="265"/>
        <v>5.5962026272778194E-2</v>
      </c>
      <c r="G307" s="547">
        <f t="shared" si="265"/>
        <v>5.5962026272778194E-2</v>
      </c>
      <c r="H307" s="547">
        <f t="shared" si="265"/>
        <v>5.5962026272778194E-2</v>
      </c>
      <c r="I307" s="547">
        <f t="shared" si="265"/>
        <v>5.5962026272778194E-2</v>
      </c>
      <c r="J307" s="547">
        <f t="shared" si="265"/>
        <v>5.5962026272778194E-2</v>
      </c>
      <c r="K307" s="547">
        <f t="shared" si="265"/>
        <v>5.5962026272778194E-2</v>
      </c>
      <c r="L307" s="547">
        <f t="shared" si="265"/>
        <v>5.5962026272778194E-2</v>
      </c>
      <c r="M307" s="547">
        <f t="shared" si="265"/>
        <v>5.5962026272778194E-2</v>
      </c>
      <c r="N307" s="547">
        <f t="shared" si="265"/>
        <v>5.5962026272778194E-2</v>
      </c>
      <c r="O307" s="547">
        <f t="shared" si="265"/>
        <v>5.5962026272778194E-2</v>
      </c>
      <c r="P307" s="547">
        <f t="shared" si="265"/>
        <v>5.5962026272778194E-2</v>
      </c>
      <c r="Q307" s="547">
        <f t="shared" si="265"/>
        <v>5.5962026272778194E-2</v>
      </c>
      <c r="R307" s="547">
        <f t="shared" si="265"/>
        <v>5.5962026272778194E-2</v>
      </c>
      <c r="S307" s="547">
        <f t="shared" si="265"/>
        <v>5.5962026272778194E-2</v>
      </c>
      <c r="T307" s="547">
        <f t="shared" si="265"/>
        <v>5.5962026272778194E-2</v>
      </c>
      <c r="U307" s="547">
        <f t="shared" si="265"/>
        <v>5.5962026272778194E-2</v>
      </c>
      <c r="V307" s="547">
        <f t="shared" si="265"/>
        <v>5.5962026272778194E-2</v>
      </c>
      <c r="W307" s="547">
        <f t="shared" si="265"/>
        <v>5.5962026272778194E-2</v>
      </c>
      <c r="X307" s="547">
        <f t="shared" si="265"/>
        <v>5.5962026272778194E-2</v>
      </c>
      <c r="Y307" s="547">
        <f t="shared" si="265"/>
        <v>5.5962026272778194E-2</v>
      </c>
      <c r="Z307" s="547">
        <f t="shared" si="265"/>
        <v>5.5962026272778194E-2</v>
      </c>
      <c r="AA307" s="547">
        <f t="shared" si="265"/>
        <v>5.5962026272778194E-2</v>
      </c>
      <c r="AB307" s="547">
        <f t="shared" si="265"/>
        <v>5.5962026272778194E-2</v>
      </c>
      <c r="AC307" s="547">
        <f t="shared" si="265"/>
        <v>5.5962026272778194E-2</v>
      </c>
      <c r="AD307" s="547">
        <f t="shared" si="265"/>
        <v>5.5962026272778194E-2</v>
      </c>
      <c r="AE307" s="547">
        <f t="shared" si="265"/>
        <v>5.5962026272778194E-2</v>
      </c>
      <c r="AF307" s="547">
        <f t="shared" si="265"/>
        <v>5.5962026272778194E-2</v>
      </c>
      <c r="AG307" s="547">
        <f t="shared" si="265"/>
        <v>5.5962026272778194E-2</v>
      </c>
      <c r="AJ307" s="272"/>
    </row>
    <row r="308" spans="1:37" s="250" customFormat="1" ht="15.5" thickBot="1">
      <c r="A308" s="283" t="s">
        <v>631</v>
      </c>
      <c r="B308" s="284" t="s">
        <v>127</v>
      </c>
      <c r="C308" s="552">
        <f>C307*(C300*C304+C301*C305)</f>
        <v>0.76136668012520736</v>
      </c>
      <c r="D308" s="552">
        <f t="shared" ref="D308:AG308" si="266">D307*(D300*D304+D301*D305)</f>
        <v>1.5386013173962065</v>
      </c>
      <c r="E308" s="552">
        <f t="shared" si="266"/>
        <v>3.0857454192307836</v>
      </c>
      <c r="F308" s="552">
        <f t="shared" si="266"/>
        <v>6.1418849478086557</v>
      </c>
      <c r="G308" s="552">
        <f t="shared" si="266"/>
        <v>12.127595556867826</v>
      </c>
      <c r="H308" s="552">
        <f t="shared" si="266"/>
        <v>23.735067424631023</v>
      </c>
      <c r="I308" s="552">
        <f t="shared" si="266"/>
        <v>45.895993758412317</v>
      </c>
      <c r="J308" s="552">
        <f t="shared" si="266"/>
        <v>87.620659330704413</v>
      </c>
      <c r="K308" s="552">
        <f t="shared" si="266"/>
        <v>164.63647586975304</v>
      </c>
      <c r="L308" s="552">
        <f t="shared" si="266"/>
        <v>303.18351736599431</v>
      </c>
      <c r="M308" s="552">
        <f t="shared" si="266"/>
        <v>544.25587323324112</v>
      </c>
      <c r="N308" s="552">
        <f t="shared" si="266"/>
        <v>925.74509210742849</v>
      </c>
      <c r="O308" s="552">
        <f t="shared" si="266"/>
        <v>1520.4896958272254</v>
      </c>
      <c r="P308" s="552">
        <f t="shared" si="266"/>
        <v>2376.9556240517609</v>
      </c>
      <c r="Q308" s="552">
        <f t="shared" si="266"/>
        <v>3523.5880765718493</v>
      </c>
      <c r="R308" s="552">
        <f t="shared" si="266"/>
        <v>4929.5696421286275</v>
      </c>
      <c r="S308" s="552">
        <f t="shared" si="266"/>
        <v>6499.218590270706</v>
      </c>
      <c r="T308" s="552">
        <f t="shared" si="266"/>
        <v>8086.6564450969854</v>
      </c>
      <c r="U308" s="552">
        <f t="shared" si="266"/>
        <v>9540.7930693823291</v>
      </c>
      <c r="V308" s="552">
        <f t="shared" si="266"/>
        <v>10746.059535200087</v>
      </c>
      <c r="W308" s="552">
        <f t="shared" si="266"/>
        <v>11643.373081889227</v>
      </c>
      <c r="X308" s="552">
        <f t="shared" si="266"/>
        <v>12471.876443816182</v>
      </c>
      <c r="Y308" s="552">
        <f t="shared" si="266"/>
        <v>13034.65839539264</v>
      </c>
      <c r="Z308" s="552">
        <f t="shared" si="266"/>
        <v>13360.764053568953</v>
      </c>
      <c r="AA308" s="552">
        <f t="shared" si="266"/>
        <v>13493.431684246661</v>
      </c>
      <c r="AB308" s="552">
        <f t="shared" si="266"/>
        <v>13472.938640783255</v>
      </c>
      <c r="AC308" s="552">
        <f t="shared" si="266"/>
        <v>13330.53469531689</v>
      </c>
      <c r="AD308" s="552">
        <f t="shared" si="266"/>
        <v>13097.851616622982</v>
      </c>
      <c r="AE308" s="552">
        <f t="shared" si="266"/>
        <v>12796.922674959575</v>
      </c>
      <c r="AF308" s="552">
        <f t="shared" si="266"/>
        <v>12444.535687845811</v>
      </c>
      <c r="AG308" s="552">
        <f t="shared" si="266"/>
        <v>12053.348320544748</v>
      </c>
      <c r="AJ308" s="275"/>
    </row>
    <row r="309" spans="1:37" s="203" customFormat="1">
      <c r="A309" s="274" t="s">
        <v>637</v>
      </c>
      <c r="B309" s="273" t="s">
        <v>126</v>
      </c>
      <c r="C309" s="52">
        <v>0.5</v>
      </c>
      <c r="D309" s="52">
        <v>0.5</v>
      </c>
      <c r="E309" s="52">
        <v>0.5</v>
      </c>
      <c r="F309" s="52">
        <v>0.5</v>
      </c>
      <c r="G309" s="52">
        <v>0.5</v>
      </c>
      <c r="H309" s="52">
        <v>0.5</v>
      </c>
      <c r="I309" s="52">
        <v>0.5</v>
      </c>
      <c r="J309" s="52">
        <v>0.5</v>
      </c>
      <c r="K309" s="52">
        <v>0.5</v>
      </c>
      <c r="L309" s="52">
        <v>0.5</v>
      </c>
      <c r="M309" s="52">
        <v>0.5</v>
      </c>
      <c r="N309" s="52">
        <v>0.5</v>
      </c>
      <c r="O309" s="52">
        <v>0.5</v>
      </c>
      <c r="P309" s="52">
        <v>0.5</v>
      </c>
      <c r="Q309" s="52">
        <v>0.5</v>
      </c>
      <c r="R309" s="52">
        <v>0.5</v>
      </c>
      <c r="S309" s="52">
        <v>0.5</v>
      </c>
      <c r="T309" s="52">
        <v>0.5</v>
      </c>
      <c r="U309" s="52">
        <v>0.5</v>
      </c>
      <c r="V309" s="52">
        <v>0.5</v>
      </c>
      <c r="W309" s="52">
        <v>0.5</v>
      </c>
      <c r="X309" s="52">
        <v>0.5</v>
      </c>
      <c r="Y309" s="52">
        <v>0.5</v>
      </c>
      <c r="Z309" s="52">
        <v>0.5</v>
      </c>
      <c r="AA309" s="52">
        <v>0.5</v>
      </c>
      <c r="AB309" s="52">
        <v>0.5</v>
      </c>
      <c r="AC309" s="52">
        <v>0.5</v>
      </c>
      <c r="AD309" s="52">
        <v>0.5</v>
      </c>
      <c r="AE309" s="52">
        <v>0.5</v>
      </c>
      <c r="AF309" s="52">
        <v>0.5</v>
      </c>
      <c r="AG309" s="52">
        <v>0.5</v>
      </c>
      <c r="AJ309" s="203" t="s">
        <v>681</v>
      </c>
    </row>
    <row r="310" spans="1:37" s="203" customFormat="1" ht="15.5" thickBot="1">
      <c r="A310" s="251" t="s">
        <v>632</v>
      </c>
      <c r="B310" s="284" t="s">
        <v>127</v>
      </c>
      <c r="C310" s="552">
        <f>C309*(C300*C304+C301*C305)</f>
        <v>6.8025295976064548</v>
      </c>
      <c r="D310" s="552">
        <f t="shared" ref="D310:AG310" si="267">D309*(D300*D304+D301*D305)</f>
        <v>13.746833521507368</v>
      </c>
      <c r="E310" s="552">
        <f t="shared" si="267"/>
        <v>27.56999366132489</v>
      </c>
      <c r="F310" s="552">
        <f t="shared" si="267"/>
        <v>54.875469643209421</v>
      </c>
      <c r="G310" s="552">
        <f t="shared" si="267"/>
        <v>108.35557935084184</v>
      </c>
      <c r="H310" s="552">
        <f t="shared" si="267"/>
        <v>212.06404597412296</v>
      </c>
      <c r="I310" s="552">
        <f t="shared" si="267"/>
        <v>410.06372369988384</v>
      </c>
      <c r="J310" s="552">
        <f t="shared" si="267"/>
        <v>782.85817335858371</v>
      </c>
      <c r="K310" s="552">
        <f t="shared" si="267"/>
        <v>1470.9659999376911</v>
      </c>
      <c r="L310" s="552">
        <f t="shared" si="267"/>
        <v>2708.8325562781929</v>
      </c>
      <c r="M310" s="552">
        <f t="shared" si="267"/>
        <v>4862.7248643602579</v>
      </c>
      <c r="N310" s="552">
        <f t="shared" si="267"/>
        <v>8271.1898921871416</v>
      </c>
      <c r="O310" s="552">
        <f t="shared" si="267"/>
        <v>13585.012883699341</v>
      </c>
      <c r="P310" s="552">
        <f t="shared" si="267"/>
        <v>21237.219078394879</v>
      </c>
      <c r="Q310" s="552">
        <f t="shared" si="267"/>
        <v>31481.955812291959</v>
      </c>
      <c r="R310" s="552">
        <f t="shared" si="267"/>
        <v>44043.880917572627</v>
      </c>
      <c r="S310" s="552">
        <f t="shared" si="267"/>
        <v>58068.113532838106</v>
      </c>
      <c r="T310" s="552">
        <f t="shared" si="267"/>
        <v>72251.283447813665</v>
      </c>
      <c r="U310" s="552">
        <f t="shared" si="267"/>
        <v>85243.456186497046</v>
      </c>
      <c r="V310" s="552">
        <f t="shared" si="267"/>
        <v>96012.066135883739</v>
      </c>
      <c r="W310" s="552">
        <f t="shared" si="267"/>
        <v>104029.23068881937</v>
      </c>
      <c r="X310" s="552">
        <f t="shared" si="267"/>
        <v>111431.60169919473</v>
      </c>
      <c r="Y310" s="552">
        <f t="shared" si="267"/>
        <v>116459.85021930072</v>
      </c>
      <c r="Z310" s="552">
        <f t="shared" si="267"/>
        <v>119373.48362301954</v>
      </c>
      <c r="AA310" s="552">
        <f t="shared" si="267"/>
        <v>120558.81981895212</v>
      </c>
      <c r="AB310" s="552">
        <f t="shared" si="267"/>
        <v>120375.72205759233</v>
      </c>
      <c r="AC310" s="552">
        <f t="shared" si="267"/>
        <v>119103.39549125037</v>
      </c>
      <c r="AD310" s="552">
        <f t="shared" si="267"/>
        <v>117024.45827085979</v>
      </c>
      <c r="AE310" s="552">
        <f t="shared" si="267"/>
        <v>114335.76951433964</v>
      </c>
      <c r="AF310" s="552">
        <f t="shared" si="267"/>
        <v>111187.32216009172</v>
      </c>
      <c r="AG310" s="552">
        <f t="shared" si="267"/>
        <v>107692.20776417723</v>
      </c>
      <c r="AJ310" s="274"/>
    </row>
    <row r="311" spans="1:37" s="203" customFormat="1">
      <c r="A311" s="275"/>
      <c r="B311" s="273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J311" s="274"/>
    </row>
    <row r="312" spans="1:37" s="203" customFormat="1">
      <c r="A312" s="275" t="s">
        <v>635</v>
      </c>
      <c r="B312" s="273" t="s">
        <v>127</v>
      </c>
      <c r="C312" s="120">
        <f t="shared" ref="C312:AF312" si="268">SUM(C281:C282)-SUM(C308,C310)</f>
        <v>2456529.0160343698</v>
      </c>
      <c r="D312" s="120">
        <f t="shared" si="268"/>
        <v>2379403.7077538939</v>
      </c>
      <c r="E312" s="120">
        <f t="shared" si="268"/>
        <v>2303305.7449590955</v>
      </c>
      <c r="F312" s="120">
        <f t="shared" si="268"/>
        <v>2228233.5829816079</v>
      </c>
      <c r="G312" s="120">
        <f t="shared" si="268"/>
        <v>2154178.843227515</v>
      </c>
      <c r="H312" s="120">
        <f t="shared" si="268"/>
        <v>2081120.450822365</v>
      </c>
      <c r="I312" s="120">
        <f t="shared" si="268"/>
        <v>2004212.2449768109</v>
      </c>
      <c r="J312" s="120">
        <f t="shared" si="268"/>
        <v>1928419.7436074903</v>
      </c>
      <c r="K312" s="120">
        <f t="shared" si="268"/>
        <v>1853590.852516748</v>
      </c>
      <c r="L312" s="120">
        <f t="shared" si="268"/>
        <v>1779468.9808410383</v>
      </c>
      <c r="M312" s="120">
        <f t="shared" si="268"/>
        <v>1705650.9050741796</v>
      </c>
      <c r="N312" s="120">
        <f t="shared" si="268"/>
        <v>1632277.2362540751</v>
      </c>
      <c r="O312" s="120">
        <f t="shared" si="268"/>
        <v>1563657.1989888293</v>
      </c>
      <c r="P312" s="120">
        <f t="shared" si="268"/>
        <v>1488993.1317500616</v>
      </c>
      <c r="Q312" s="120">
        <f t="shared" si="268"/>
        <v>1412772.8687917958</v>
      </c>
      <c r="R312" s="120">
        <f t="shared" si="268"/>
        <v>1335306.0368212769</v>
      </c>
      <c r="S312" s="120">
        <f t="shared" si="268"/>
        <v>1258044.9647877968</v>
      </c>
      <c r="T312" s="120">
        <f t="shared" si="268"/>
        <v>1181920.5220373466</v>
      </c>
      <c r="U312" s="120">
        <f t="shared" si="268"/>
        <v>1108437.1678043699</v>
      </c>
      <c r="V312" s="120">
        <f t="shared" si="268"/>
        <v>1038746.4185929657</v>
      </c>
      <c r="W312" s="120">
        <f t="shared" si="268"/>
        <v>973438.56935852428</v>
      </c>
      <c r="X312" s="120">
        <f t="shared" si="268"/>
        <v>907082.12317412824</v>
      </c>
      <c r="Y312" s="120">
        <f t="shared" si="268"/>
        <v>845147.92750816466</v>
      </c>
      <c r="Z312" s="120">
        <f t="shared" si="268"/>
        <v>786921.54405021761</v>
      </c>
      <c r="AA312" s="120">
        <f t="shared" si="268"/>
        <v>732065.87342363049</v>
      </c>
      <c r="AB312" s="120">
        <f t="shared" si="268"/>
        <v>680184.34955645574</v>
      </c>
      <c r="AC312" s="120">
        <f t="shared" si="268"/>
        <v>630749.70095912565</v>
      </c>
      <c r="AD312" s="120">
        <f t="shared" si="268"/>
        <v>583691.90808400733</v>
      </c>
      <c r="AE312" s="120">
        <f t="shared" si="268"/>
        <v>538795.36178455385</v>
      </c>
      <c r="AF312" s="120">
        <f t="shared" si="268"/>
        <v>495896.50618385233</v>
      </c>
      <c r="AG312" s="120">
        <f>SUM(AG281:AG282)-SUM(AG308,AG310)</f>
        <v>454872.75900630961</v>
      </c>
      <c r="AJ312" s="274"/>
    </row>
    <row r="313" spans="1:37" s="203" customFormat="1">
      <c r="A313" s="275"/>
      <c r="B313" s="273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J313" s="274"/>
    </row>
    <row r="314" spans="1:37" s="203" customFormat="1">
      <c r="A314" s="274" t="s">
        <v>646</v>
      </c>
      <c r="B314" s="273" t="s">
        <v>127</v>
      </c>
      <c r="C314" s="547">
        <f>C234*C233*C47</f>
        <v>2964184.0384065234</v>
      </c>
      <c r="D314" s="547">
        <f t="shared" ref="D314:AG314" si="269">D234*D233*D47</f>
        <v>2921861.6245524921</v>
      </c>
      <c r="E314" s="547">
        <f t="shared" si="269"/>
        <v>2879686.6649613162</v>
      </c>
      <c r="F314" s="547">
        <f t="shared" si="269"/>
        <v>2837658.7699547168</v>
      </c>
      <c r="G314" s="547">
        <f t="shared" si="269"/>
        <v>2795777.550734662</v>
      </c>
      <c r="H314" s="547">
        <f t="shared" si="269"/>
        <v>2754042.6193816527</v>
      </c>
      <c r="I314" s="547">
        <f t="shared" si="269"/>
        <v>2706476.9798278143</v>
      </c>
      <c r="J314" s="547">
        <f t="shared" si="269"/>
        <v>2659079.1940710023</v>
      </c>
      <c r="K314" s="547">
        <f t="shared" si="269"/>
        <v>2611848.8162500206</v>
      </c>
      <c r="L314" s="547">
        <f t="shared" si="269"/>
        <v>2564785.4015141684</v>
      </c>
      <c r="M314" s="547">
        <f t="shared" si="269"/>
        <v>2517888.5060212612</v>
      </c>
      <c r="N314" s="547">
        <f t="shared" si="269"/>
        <v>2453727.8382531409</v>
      </c>
      <c r="O314" s="547">
        <f t="shared" si="269"/>
        <v>2398339.1599086574</v>
      </c>
      <c r="P314" s="547">
        <f t="shared" si="269"/>
        <v>2335903.6967246896</v>
      </c>
      <c r="Q314" s="547">
        <f t="shared" si="269"/>
        <v>2273692.8564911108</v>
      </c>
      <c r="R314" s="547">
        <f t="shared" si="269"/>
        <v>2211706.0404563877</v>
      </c>
      <c r="S314" s="547">
        <f t="shared" si="269"/>
        <v>2150666.1916262601</v>
      </c>
      <c r="T314" s="547">
        <f t="shared" si="269"/>
        <v>2089846.4674648056</v>
      </c>
      <c r="U314" s="547">
        <f t="shared" si="269"/>
        <v>2029246.280611139</v>
      </c>
      <c r="V314" s="547">
        <f t="shared" si="269"/>
        <v>1968865.0450314011</v>
      </c>
      <c r="W314" s="547">
        <f t="shared" si="269"/>
        <v>1908702.176016181</v>
      </c>
      <c r="X314" s="547">
        <f t="shared" si="269"/>
        <v>1862014.588215943</v>
      </c>
      <c r="Y314" s="547">
        <f t="shared" si="269"/>
        <v>1816104.6278462547</v>
      </c>
      <c r="Z314" s="547">
        <f t="shared" si="269"/>
        <v>1770168.4270807339</v>
      </c>
      <c r="AA314" s="547">
        <f t="shared" si="269"/>
        <v>1724396.8475354596</v>
      </c>
      <c r="AB314" s="547">
        <f t="shared" si="269"/>
        <v>1678789.4953942366</v>
      </c>
      <c r="AC314" s="547">
        <f t="shared" si="269"/>
        <v>1632893.4337070927</v>
      </c>
      <c r="AD314" s="547">
        <f t="shared" si="269"/>
        <v>1587162.5073339147</v>
      </c>
      <c r="AE314" s="547">
        <f t="shared" si="269"/>
        <v>1541596.3198322591</v>
      </c>
      <c r="AF314" s="547">
        <f t="shared" si="269"/>
        <v>1496194.4754272406</v>
      </c>
      <c r="AG314" s="547">
        <f t="shared" si="269"/>
        <v>1450956.5790110824</v>
      </c>
      <c r="AJ314" s="274"/>
    </row>
    <row r="315" spans="1:37" s="203" customFormat="1">
      <c r="A315" s="203" t="s">
        <v>645</v>
      </c>
      <c r="B315" s="273" t="s">
        <v>127</v>
      </c>
      <c r="C315" s="547">
        <f t="shared" ref="C315:AG315" si="270">C235*C233*C47</f>
        <v>0</v>
      </c>
      <c r="D315" s="547">
        <f t="shared" si="270"/>
        <v>0</v>
      </c>
      <c r="E315" s="547">
        <f t="shared" si="270"/>
        <v>0</v>
      </c>
      <c r="F315" s="547">
        <f t="shared" si="270"/>
        <v>0</v>
      </c>
      <c r="G315" s="547">
        <f t="shared" si="270"/>
        <v>0</v>
      </c>
      <c r="H315" s="547">
        <f t="shared" si="270"/>
        <v>0</v>
      </c>
      <c r="I315" s="547">
        <f t="shared" si="270"/>
        <v>0</v>
      </c>
      <c r="J315" s="547">
        <f t="shared" si="270"/>
        <v>0</v>
      </c>
      <c r="K315" s="547">
        <f t="shared" si="270"/>
        <v>0</v>
      </c>
      <c r="L315" s="547">
        <f t="shared" si="270"/>
        <v>0</v>
      </c>
      <c r="M315" s="547">
        <f t="shared" si="270"/>
        <v>0</v>
      </c>
      <c r="N315" s="547">
        <f t="shared" si="270"/>
        <v>0</v>
      </c>
      <c r="O315" s="547">
        <f t="shared" si="270"/>
        <v>0</v>
      </c>
      <c r="P315" s="547">
        <f t="shared" si="270"/>
        <v>0</v>
      </c>
      <c r="Q315" s="547">
        <f t="shared" si="270"/>
        <v>0</v>
      </c>
      <c r="R315" s="547">
        <f t="shared" si="270"/>
        <v>0</v>
      </c>
      <c r="S315" s="547">
        <f t="shared" si="270"/>
        <v>0</v>
      </c>
      <c r="T315" s="547">
        <f t="shared" si="270"/>
        <v>0</v>
      </c>
      <c r="U315" s="547">
        <f t="shared" si="270"/>
        <v>0</v>
      </c>
      <c r="V315" s="547">
        <f t="shared" si="270"/>
        <v>0</v>
      </c>
      <c r="W315" s="547">
        <f t="shared" si="270"/>
        <v>0</v>
      </c>
      <c r="X315" s="547">
        <f t="shared" si="270"/>
        <v>0</v>
      </c>
      <c r="Y315" s="547">
        <f t="shared" si="270"/>
        <v>0</v>
      </c>
      <c r="Z315" s="547">
        <f t="shared" si="270"/>
        <v>0</v>
      </c>
      <c r="AA315" s="547">
        <f t="shared" si="270"/>
        <v>0</v>
      </c>
      <c r="AB315" s="547">
        <f t="shared" si="270"/>
        <v>0</v>
      </c>
      <c r="AC315" s="547">
        <f t="shared" si="270"/>
        <v>0</v>
      </c>
      <c r="AD315" s="547">
        <f t="shared" si="270"/>
        <v>0</v>
      </c>
      <c r="AE315" s="547">
        <f t="shared" si="270"/>
        <v>0</v>
      </c>
      <c r="AF315" s="547">
        <f t="shared" si="270"/>
        <v>0</v>
      </c>
      <c r="AG315" s="547">
        <f t="shared" si="270"/>
        <v>0</v>
      </c>
      <c r="AJ315" s="274"/>
    </row>
    <row r="316" spans="1:37" s="203" customFormat="1">
      <c r="B316" s="273"/>
      <c r="C316" s="566"/>
      <c r="D316" s="566"/>
      <c r="E316" s="566"/>
      <c r="F316" s="566"/>
      <c r="G316" s="566"/>
      <c r="H316" s="566"/>
      <c r="I316" s="566"/>
      <c r="J316" s="566"/>
      <c r="K316" s="566"/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J316" s="274"/>
    </row>
    <row r="317" spans="1:37" s="203" customFormat="1">
      <c r="A317" s="300" t="s">
        <v>647</v>
      </c>
      <c r="B317" s="301" t="s">
        <v>127</v>
      </c>
      <c r="C317" s="545">
        <f t="shared" ref="C317:AG317" si="271">C295-C308-C310</f>
        <v>368984.15878677421</v>
      </c>
      <c r="D317" s="545">
        <f t="shared" si="271"/>
        <v>385060.45757232531</v>
      </c>
      <c r="E317" s="545">
        <f t="shared" si="271"/>
        <v>399478.14537392382</v>
      </c>
      <c r="F317" s="545">
        <f t="shared" si="271"/>
        <v>412292.88484177447</v>
      </c>
      <c r="G317" s="545">
        <f t="shared" si="271"/>
        <v>423552.11964184069</v>
      </c>
      <c r="H317" s="545">
        <f t="shared" si="271"/>
        <v>433289.25101284543</v>
      </c>
      <c r="I317" s="545">
        <f t="shared" si="271"/>
        <v>440776.06212432042</v>
      </c>
      <c r="J317" s="545">
        <f t="shared" si="271"/>
        <v>446617.3638064363</v>
      </c>
      <c r="K317" s="545">
        <f t="shared" si="271"/>
        <v>450723.32512211904</v>
      </c>
      <c r="L317" s="545">
        <f t="shared" si="271"/>
        <v>452898.0547452778</v>
      </c>
      <c r="M317" s="545">
        <f t="shared" si="271"/>
        <v>452797.50971815846</v>
      </c>
      <c r="N317" s="545">
        <f t="shared" si="271"/>
        <v>440180.06989971153</v>
      </c>
      <c r="O317" s="545">
        <f t="shared" si="271"/>
        <v>426478.83831459441</v>
      </c>
      <c r="P317" s="545">
        <f t="shared" si="271"/>
        <v>408244.97125172039</v>
      </c>
      <c r="Q317" s="545">
        <f t="shared" si="271"/>
        <v>386625.81600677589</v>
      </c>
      <c r="R317" s="545">
        <f t="shared" si="271"/>
        <v>361970.48915443558</v>
      </c>
      <c r="S317" s="545">
        <f t="shared" si="271"/>
        <v>335380.26044219581</v>
      </c>
      <c r="T317" s="545">
        <f t="shared" si="271"/>
        <v>308240.21309744183</v>
      </c>
      <c r="U317" s="545">
        <f t="shared" si="271"/>
        <v>282090.61077576346</v>
      </c>
      <c r="V317" s="545">
        <f t="shared" si="271"/>
        <v>258117.91569461126</v>
      </c>
      <c r="W317" s="545">
        <f t="shared" si="271"/>
        <v>236946.53295300185</v>
      </c>
      <c r="X317" s="545">
        <f t="shared" si="271"/>
        <v>223049.33686980253</v>
      </c>
      <c r="Y317" s="545">
        <f t="shared" si="271"/>
        <v>211239.86299096403</v>
      </c>
      <c r="Z317" s="545">
        <f t="shared" si="271"/>
        <v>201121.89775831666</v>
      </c>
      <c r="AA317" s="545">
        <f t="shared" si="271"/>
        <v>192356.79428886238</v>
      </c>
      <c r="AB317" s="545">
        <f t="shared" si="271"/>
        <v>184591.44148064716</v>
      </c>
      <c r="AC317" s="545">
        <f t="shared" si="271"/>
        <v>177478.58168454753</v>
      </c>
      <c r="AD317" s="545">
        <f t="shared" si="271"/>
        <v>170830.59000785486</v>
      </c>
      <c r="AE317" s="545">
        <f t="shared" si="271"/>
        <v>164473.00718387711</v>
      </c>
      <c r="AF317" s="545">
        <f t="shared" si="271"/>
        <v>158282.45982250012</v>
      </c>
      <c r="AG317" s="553">
        <f t="shared" si="271"/>
        <v>152175.6058895461</v>
      </c>
      <c r="AI317" s="203" t="s">
        <v>679</v>
      </c>
      <c r="AJ317" s="274"/>
    </row>
    <row r="318" spans="1:37" s="203" customFormat="1">
      <c r="A318" s="304" t="s">
        <v>648</v>
      </c>
      <c r="B318" s="305" t="s">
        <v>127</v>
      </c>
      <c r="C318" s="554">
        <f>C296+C317</f>
        <v>2446168.8638205766</v>
      </c>
      <c r="D318" s="554">
        <f t="shared" ref="D318:AF318" si="272">D296+D317</f>
        <v>2368521.6556456103</v>
      </c>
      <c r="E318" s="554">
        <f t="shared" si="272"/>
        <v>2291943.2992326296</v>
      </c>
      <c r="F318" s="554">
        <f t="shared" si="272"/>
        <v>2216431.4227137668</v>
      </c>
      <c r="G318" s="554">
        <f t="shared" si="272"/>
        <v>2141976.8117864123</v>
      </c>
      <c r="H318" s="554">
        <f t="shared" si="272"/>
        <v>2068557.5474880617</v>
      </c>
      <c r="I318" s="554">
        <f t="shared" si="272"/>
        <v>1991348.1330089862</v>
      </c>
      <c r="J318" s="554">
        <f t="shared" si="272"/>
        <v>1915294.9334627897</v>
      </c>
      <c r="K318" s="554">
        <f t="shared" si="272"/>
        <v>1840244.7321689236</v>
      </c>
      <c r="L318" s="554">
        <f t="shared" si="272"/>
        <v>1765939.8100595621</v>
      </c>
      <c r="M318" s="554">
        <f t="shared" si="272"/>
        <v>1691975.8098163919</v>
      </c>
      <c r="N318" s="554">
        <f t="shared" si="272"/>
        <v>1618790.1370728745</v>
      </c>
      <c r="O318" s="554">
        <f t="shared" si="272"/>
        <v>1550330.7525117514</v>
      </c>
      <c r="P318" s="554">
        <f t="shared" si="272"/>
        <v>1475889.5319048902</v>
      </c>
      <c r="Q318" s="554">
        <f t="shared" si="272"/>
        <v>1399911.6418401101</v>
      </c>
      <c r="R318" s="554">
        <f t="shared" si="272"/>
        <v>1322705.6324597227</v>
      </c>
      <c r="S318" s="554">
        <f t="shared" si="272"/>
        <v>1245719.3993725488</v>
      </c>
      <c r="T318" s="554">
        <f t="shared" si="272"/>
        <v>1169885.9314935575</v>
      </c>
      <c r="U318" s="554">
        <f t="shared" si="272"/>
        <v>1096708.6200460412</v>
      </c>
      <c r="V318" s="554">
        <f t="shared" si="272"/>
        <v>1027337.9087817256</v>
      </c>
      <c r="W318" s="554">
        <f t="shared" si="272"/>
        <v>962363.01526545803</v>
      </c>
      <c r="X318" s="554">
        <f t="shared" si="272"/>
        <v>896136.45262733637</v>
      </c>
      <c r="Y318" s="554">
        <f t="shared" si="272"/>
        <v>834352.66643946571</v>
      </c>
      <c r="Z318" s="554">
        <f t="shared" si="272"/>
        <v>776300.90027428372</v>
      </c>
      <c r="AA318" s="554">
        <f t="shared" si="272"/>
        <v>721641.43549721094</v>
      </c>
      <c r="AB318" s="554">
        <f t="shared" si="272"/>
        <v>669976.43151939788</v>
      </c>
      <c r="AC318" s="554">
        <f t="shared" si="272"/>
        <v>620779.99991830136</v>
      </c>
      <c r="AD318" s="554">
        <f t="shared" si="272"/>
        <v>573978.22640252509</v>
      </c>
      <c r="AE318" s="554">
        <f t="shared" si="272"/>
        <v>529354.19449767144</v>
      </c>
      <c r="AF318" s="554">
        <f t="shared" si="272"/>
        <v>486743.03718646045</v>
      </c>
      <c r="AG318" s="555">
        <f>AG296+AG317</f>
        <v>446020.85735055152</v>
      </c>
      <c r="AI318" s="203" t="s">
        <v>680</v>
      </c>
      <c r="AJ318" s="274"/>
    </row>
    <row r="319" spans="1:37" s="203" customFormat="1">
      <c r="B319" s="273"/>
      <c r="C319" s="267"/>
      <c r="D319" s="267"/>
      <c r="E319" s="267"/>
      <c r="F319" s="267"/>
      <c r="G319" s="267"/>
      <c r="H319" s="267"/>
      <c r="I319" s="267"/>
      <c r="J319" s="267"/>
      <c r="K319" s="267"/>
      <c r="L319" s="267"/>
      <c r="M319" s="267"/>
      <c r="N319" s="267"/>
      <c r="O319" s="267"/>
      <c r="P319" s="267"/>
      <c r="Q319" s="267"/>
      <c r="R319" s="267"/>
      <c r="S319" s="267"/>
      <c r="T319" s="267"/>
      <c r="U319" s="267"/>
      <c r="V319" s="267"/>
      <c r="W319" s="267"/>
      <c r="X319" s="267"/>
      <c r="Y319" s="267"/>
      <c r="Z319" s="267"/>
      <c r="AA319" s="267"/>
      <c r="AB319" s="267"/>
      <c r="AC319" s="267"/>
      <c r="AD319" s="267"/>
      <c r="AE319" s="267"/>
      <c r="AF319" s="267"/>
      <c r="AG319" s="267"/>
      <c r="AJ319" s="274"/>
    </row>
    <row r="320" spans="1:37" s="160" customFormat="1">
      <c r="B320" s="156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207"/>
      <c r="AJ320" s="272"/>
    </row>
    <row r="321" spans="1:36" s="677" customFormat="1">
      <c r="A321" s="679"/>
      <c r="B321" s="779"/>
      <c r="C321" s="780"/>
      <c r="D321" s="247"/>
      <c r="E321" s="247"/>
      <c r="F321" s="247"/>
      <c r="G321" s="247"/>
      <c r="H321" s="247"/>
      <c r="I321" s="247"/>
      <c r="J321" s="247"/>
      <c r="K321" s="247"/>
      <c r="L321" s="247"/>
      <c r="M321" s="562"/>
      <c r="N321" s="267"/>
      <c r="O321" s="267"/>
      <c r="P321" s="267"/>
      <c r="Q321" s="267"/>
      <c r="R321" s="267"/>
      <c r="S321" s="267"/>
      <c r="T321" s="267"/>
      <c r="U321" s="267"/>
      <c r="V321" s="267"/>
      <c r="W321" s="781"/>
      <c r="X321" s="267"/>
      <c r="Y321" s="267"/>
      <c r="Z321" s="267"/>
      <c r="AA321" s="267"/>
      <c r="AB321" s="267"/>
      <c r="AC321" s="267"/>
      <c r="AD321" s="267"/>
      <c r="AE321" s="267"/>
      <c r="AF321" s="267"/>
      <c r="AG321" s="267"/>
      <c r="AJ321" s="782"/>
    </row>
    <row r="322" spans="1:36" s="677" customFormat="1" hidden="1">
      <c r="A322" s="783"/>
      <c r="B322" s="784"/>
      <c r="C322" s="276"/>
      <c r="D322" s="785"/>
      <c r="E322" s="785"/>
      <c r="F322" s="785"/>
      <c r="G322" s="785"/>
      <c r="H322" s="785"/>
      <c r="I322" s="785"/>
      <c r="J322" s="785"/>
      <c r="K322" s="785"/>
      <c r="L322" s="785"/>
      <c r="M322" s="278"/>
      <c r="N322" s="267"/>
      <c r="O322" s="267"/>
      <c r="P322" s="267"/>
      <c r="Q322" s="267"/>
      <c r="R322" s="267"/>
      <c r="S322" s="267"/>
      <c r="T322" s="267"/>
      <c r="U322" s="267"/>
      <c r="V322" s="267"/>
      <c r="W322" s="786"/>
      <c r="X322" s="267"/>
      <c r="Y322" s="267"/>
      <c r="Z322" s="267"/>
      <c r="AA322" s="267"/>
      <c r="AB322" s="267"/>
      <c r="AC322" s="267"/>
      <c r="AD322" s="267"/>
      <c r="AE322" s="267"/>
      <c r="AF322" s="267"/>
      <c r="AG322" s="281"/>
      <c r="AJ322" s="782"/>
    </row>
    <row r="323" spans="1:36" s="677" customFormat="1" hidden="1">
      <c r="B323" s="678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8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281"/>
      <c r="AJ323" s="782"/>
    </row>
    <row r="324" spans="1:36" s="677" customFormat="1" hidden="1">
      <c r="B324" s="678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8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281"/>
      <c r="AJ324" s="782"/>
    </row>
    <row r="325" spans="1:36" s="677" customFormat="1" hidden="1">
      <c r="B325" s="678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8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281"/>
      <c r="AJ325" s="782"/>
    </row>
    <row r="326" spans="1:36" s="677" customFormat="1" hidden="1"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8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281"/>
      <c r="AJ326" s="782"/>
    </row>
    <row r="327" spans="1:36" s="677" customFormat="1" hidden="1">
      <c r="B327" s="787"/>
      <c r="C327" s="785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J327" s="782"/>
    </row>
    <row r="328" spans="1:36" s="677" customFormat="1" hidden="1">
      <c r="B328" s="783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J328" s="782"/>
    </row>
    <row r="329" spans="1:36" s="677" customFormat="1">
      <c r="B329" s="787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J329" s="782"/>
    </row>
    <row r="330" spans="1:36" s="677" customFormat="1">
      <c r="B330" s="787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J330" s="782"/>
    </row>
    <row r="331" spans="1:36" s="677" customFormat="1">
      <c r="B331" s="787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J331" s="782"/>
    </row>
    <row r="332" spans="1:36" s="677" customFormat="1">
      <c r="A332" s="788"/>
      <c r="B332" s="789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J332" s="782"/>
    </row>
    <row r="333" spans="1:36" s="677" customFormat="1">
      <c r="A333" s="790"/>
      <c r="C333" s="149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49"/>
      <c r="AJ333" s="782"/>
    </row>
    <row r="334" spans="1:36" s="677" customFormat="1">
      <c r="B334" s="678"/>
      <c r="C334" s="149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49"/>
      <c r="AH334" s="788"/>
      <c r="AJ334" s="782"/>
    </row>
    <row r="335" spans="1:36" s="677" customFormat="1">
      <c r="B335" s="678"/>
      <c r="C335" s="149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49"/>
      <c r="AJ335" s="782"/>
    </row>
    <row r="336" spans="1:36" s="677" customFormat="1">
      <c r="B336" s="678"/>
      <c r="C336" s="149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49"/>
      <c r="AJ336" s="782"/>
    </row>
    <row r="337" spans="2:36" s="677" customFormat="1">
      <c r="B337" s="678"/>
      <c r="C337" s="149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49"/>
      <c r="AJ337" s="782"/>
    </row>
    <row r="338" spans="2:36" s="677" customFormat="1">
      <c r="B338" s="678"/>
      <c r="C338" s="149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49"/>
      <c r="AJ338" s="782"/>
    </row>
    <row r="339" spans="2:36" s="677" customFormat="1">
      <c r="B339" s="678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J339" s="782"/>
    </row>
  </sheetData>
  <mergeCells count="4">
    <mergeCell ref="BD116:BE116"/>
    <mergeCell ref="BD106:BE106"/>
    <mergeCell ref="BD111:BE111"/>
    <mergeCell ref="AI288:AI296"/>
  </mergeCells>
  <hyperlinks>
    <hyperlink ref="AJ110" r:id="rId1" xr:uid="{D8AB2709-857C-422C-A3AC-7C781BC300EC}"/>
    <hyperlink ref="AJ111" r:id="rId2" xr:uid="{D7778EEE-F00F-459A-AB60-035BCA437FBE}"/>
  </hyperlinks>
  <pageMargins left="0.7" right="0.7" top="0.75" bottom="0.75" header="0.3" footer="0.3"/>
  <pageSetup orientation="portrait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28A3-6961-4768-9D36-6787C1C64686}">
  <sheetPr>
    <tabColor theme="4"/>
  </sheetPr>
  <dimension ref="A1:BL200"/>
  <sheetViews>
    <sheetView topLeftCell="A70" zoomScale="70" zoomScaleNormal="70" workbookViewId="0">
      <selection activeCell="AJ81" sqref="AJ81"/>
    </sheetView>
  </sheetViews>
  <sheetFormatPr defaultRowHeight="14.75" outlineLevelRow="2" outlineLevelCol="1"/>
  <cols>
    <col min="1" max="1" width="56.7265625" customWidth="1"/>
    <col min="2" max="2" width="15.453125" style="50" bestFit="1" customWidth="1"/>
    <col min="3" max="3" width="12.7265625" style="99" bestFit="1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2.7265625" style="99" bestFit="1" customWidth="1" collapsed="1"/>
    <col min="24" max="32" width="8.81640625" style="99" hidden="1" customWidth="1" outlineLevel="1"/>
    <col min="33" max="33" width="12.72656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174"/>
      <c r="AI2" s="321">
        <f>(AG2/C2)^(1/30)-1</f>
        <v>-2.2075748126235695E-3</v>
      </c>
      <c r="AJ2" s="186"/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 t="shared" ref="C9:AG9" si="6">SUM(C4:C8)</f>
        <v>1</v>
      </c>
      <c r="D9" s="171">
        <f t="shared" si="6"/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482</v>
      </c>
      <c r="B18" s="50" t="s">
        <v>126</v>
      </c>
      <c r="C18" s="102">
        <f>'Overall recycling rates'!D76</f>
        <v>0.30942625972317245</v>
      </c>
      <c r="D18" s="102">
        <f>C18</f>
        <v>0.30942625972317245</v>
      </c>
      <c r="E18" s="102">
        <f t="shared" ref="E18:T18" si="9">D18</f>
        <v>0.30942625972317245</v>
      </c>
      <c r="F18" s="102">
        <f t="shared" si="9"/>
        <v>0.30942625972317245</v>
      </c>
      <c r="G18" s="102">
        <f t="shared" si="9"/>
        <v>0.30942625972317245</v>
      </c>
      <c r="H18" s="102">
        <f t="shared" si="9"/>
        <v>0.30942625972317245</v>
      </c>
      <c r="I18" s="102">
        <f t="shared" si="9"/>
        <v>0.30942625972317245</v>
      </c>
      <c r="J18" s="102">
        <f t="shared" si="9"/>
        <v>0.30942625972317245</v>
      </c>
      <c r="K18" s="102">
        <f t="shared" si="9"/>
        <v>0.30942625972317245</v>
      </c>
      <c r="L18" s="102">
        <f t="shared" si="9"/>
        <v>0.30942625972317245</v>
      </c>
      <c r="M18" s="102">
        <f t="shared" si="9"/>
        <v>0.30942625972317245</v>
      </c>
      <c r="N18" s="102">
        <f t="shared" si="9"/>
        <v>0.30942625972317245</v>
      </c>
      <c r="O18" s="102">
        <f t="shared" si="9"/>
        <v>0.30942625972317245</v>
      </c>
      <c r="P18" s="102">
        <f t="shared" si="9"/>
        <v>0.30942625972317245</v>
      </c>
      <c r="Q18" s="102">
        <f t="shared" si="9"/>
        <v>0.30942625972317245</v>
      </c>
      <c r="R18" s="102">
        <f t="shared" si="9"/>
        <v>0.30942625972317245</v>
      </c>
      <c r="S18" s="102">
        <f t="shared" si="9"/>
        <v>0.30942625972317245</v>
      </c>
      <c r="T18" s="102">
        <f t="shared" si="9"/>
        <v>0.30942625972317245</v>
      </c>
      <c r="U18" s="102">
        <f t="shared" ref="T18:AG22" si="10">T18</f>
        <v>0.30942625972317245</v>
      </c>
      <c r="V18" s="102">
        <f t="shared" si="10"/>
        <v>0.30942625972317245</v>
      </c>
      <c r="W18" s="102">
        <f t="shared" si="10"/>
        <v>0.30942625972317245</v>
      </c>
      <c r="X18" s="102">
        <f t="shared" si="10"/>
        <v>0.30942625972317245</v>
      </c>
      <c r="Y18" s="102">
        <f t="shared" si="10"/>
        <v>0.30942625972317245</v>
      </c>
      <c r="Z18" s="102">
        <f t="shared" si="10"/>
        <v>0.30942625972317245</v>
      </c>
      <c r="AA18" s="102">
        <f t="shared" si="10"/>
        <v>0.30942625972317245</v>
      </c>
      <c r="AB18" s="102">
        <f t="shared" si="10"/>
        <v>0.30942625972317245</v>
      </c>
      <c r="AC18" s="102">
        <f t="shared" si="10"/>
        <v>0.30942625972317245</v>
      </c>
      <c r="AD18" s="102">
        <f t="shared" si="10"/>
        <v>0.30942625972317245</v>
      </c>
      <c r="AE18" s="102">
        <f t="shared" si="10"/>
        <v>0.30942625972317245</v>
      </c>
      <c r="AF18" s="102">
        <f t="shared" si="10"/>
        <v>0.30942625972317245</v>
      </c>
      <c r="AG18" s="102">
        <f>AF18</f>
        <v>0.30942625972317245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309</v>
      </c>
      <c r="B19" s="50" t="s">
        <v>126</v>
      </c>
      <c r="C19" s="102">
        <f>'Overall recycling rates'!D78</f>
        <v>0.31080088555804264</v>
      </c>
      <c r="D19" s="102">
        <f t="shared" ref="D19:S22" si="11">C19</f>
        <v>0.31080088555804264</v>
      </c>
      <c r="E19" s="102">
        <f t="shared" si="11"/>
        <v>0.31080088555804264</v>
      </c>
      <c r="F19" s="102">
        <f t="shared" si="11"/>
        <v>0.31080088555804264</v>
      </c>
      <c r="G19" s="102">
        <f t="shared" si="11"/>
        <v>0.31080088555804264</v>
      </c>
      <c r="H19" s="102">
        <f t="shared" si="11"/>
        <v>0.31080088555804264</v>
      </c>
      <c r="I19" s="102">
        <f t="shared" si="11"/>
        <v>0.31080088555804264</v>
      </c>
      <c r="J19" s="102">
        <f t="shared" si="11"/>
        <v>0.31080088555804264</v>
      </c>
      <c r="K19" s="102">
        <f t="shared" si="11"/>
        <v>0.31080088555804264</v>
      </c>
      <c r="L19" s="102">
        <f t="shared" si="11"/>
        <v>0.31080088555804264</v>
      </c>
      <c r="M19" s="102">
        <f t="shared" si="11"/>
        <v>0.31080088555804264</v>
      </c>
      <c r="N19" s="102">
        <f t="shared" si="11"/>
        <v>0.31080088555804264</v>
      </c>
      <c r="O19" s="102">
        <f t="shared" si="11"/>
        <v>0.31080088555804264</v>
      </c>
      <c r="P19" s="102">
        <f t="shared" si="11"/>
        <v>0.31080088555804264</v>
      </c>
      <c r="Q19" s="102">
        <f t="shared" si="11"/>
        <v>0.31080088555804264</v>
      </c>
      <c r="R19" s="102">
        <f t="shared" si="11"/>
        <v>0.31080088555804264</v>
      </c>
      <c r="S19" s="102">
        <f t="shared" si="11"/>
        <v>0.31080088555804264</v>
      </c>
      <c r="T19" s="102">
        <f t="shared" si="10"/>
        <v>0.31080088555804264</v>
      </c>
      <c r="U19" s="102">
        <f t="shared" si="10"/>
        <v>0.31080088555804264</v>
      </c>
      <c r="V19" s="102">
        <f t="shared" si="10"/>
        <v>0.31080088555804264</v>
      </c>
      <c r="W19" s="102">
        <f t="shared" si="10"/>
        <v>0.31080088555804264</v>
      </c>
      <c r="X19" s="102">
        <f t="shared" si="10"/>
        <v>0.31080088555804264</v>
      </c>
      <c r="Y19" s="102">
        <f t="shared" si="10"/>
        <v>0.31080088555804264</v>
      </c>
      <c r="Z19" s="102">
        <f t="shared" si="10"/>
        <v>0.31080088555804264</v>
      </c>
      <c r="AA19" s="102">
        <f t="shared" si="10"/>
        <v>0.31080088555804264</v>
      </c>
      <c r="AB19" s="102">
        <f t="shared" si="10"/>
        <v>0.31080088555804264</v>
      </c>
      <c r="AC19" s="102">
        <f t="shared" si="10"/>
        <v>0.31080088555804264</v>
      </c>
      <c r="AD19" s="102">
        <f t="shared" si="10"/>
        <v>0.31080088555804264</v>
      </c>
      <c r="AE19" s="102">
        <f t="shared" si="10"/>
        <v>0.31080088555804264</v>
      </c>
      <c r="AF19" s="102">
        <f t="shared" si="10"/>
        <v>0.31080088555804264</v>
      </c>
      <c r="AG19" s="102">
        <f t="shared" si="10"/>
        <v>0.31080088555804264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310</v>
      </c>
      <c r="B20" s="50" t="s">
        <v>126</v>
      </c>
      <c r="C20" s="102">
        <f>'Overall recycling rates'!D77</f>
        <v>0.10838495666240483</v>
      </c>
      <c r="D20" s="102">
        <f t="shared" si="11"/>
        <v>0.10838495666240483</v>
      </c>
      <c r="E20" s="102">
        <f t="shared" si="11"/>
        <v>0.10838495666240483</v>
      </c>
      <c r="F20" s="102">
        <f t="shared" si="11"/>
        <v>0.10838495666240483</v>
      </c>
      <c r="G20" s="102">
        <f t="shared" si="11"/>
        <v>0.10838495666240483</v>
      </c>
      <c r="H20" s="102">
        <f t="shared" si="11"/>
        <v>0.10838495666240483</v>
      </c>
      <c r="I20" s="102">
        <f t="shared" si="11"/>
        <v>0.10838495666240483</v>
      </c>
      <c r="J20" s="102">
        <f t="shared" si="11"/>
        <v>0.10838495666240483</v>
      </c>
      <c r="K20" s="102">
        <f t="shared" si="11"/>
        <v>0.10838495666240483</v>
      </c>
      <c r="L20" s="102">
        <f t="shared" si="11"/>
        <v>0.10838495666240483</v>
      </c>
      <c r="M20" s="102">
        <f t="shared" si="11"/>
        <v>0.10838495666240483</v>
      </c>
      <c r="N20" s="102">
        <f t="shared" si="11"/>
        <v>0.10838495666240483</v>
      </c>
      <c r="O20" s="102">
        <f t="shared" si="11"/>
        <v>0.10838495666240483</v>
      </c>
      <c r="P20" s="102">
        <f t="shared" si="11"/>
        <v>0.10838495666240483</v>
      </c>
      <c r="Q20" s="102">
        <f t="shared" si="11"/>
        <v>0.10838495666240483</v>
      </c>
      <c r="R20" s="102">
        <f t="shared" si="11"/>
        <v>0.10838495666240483</v>
      </c>
      <c r="S20" s="102">
        <f t="shared" si="11"/>
        <v>0.10838495666240483</v>
      </c>
      <c r="T20" s="102">
        <f t="shared" si="10"/>
        <v>0.10838495666240483</v>
      </c>
      <c r="U20" s="102">
        <f t="shared" si="10"/>
        <v>0.10838495666240483</v>
      </c>
      <c r="V20" s="102">
        <f t="shared" si="10"/>
        <v>0.10838495666240483</v>
      </c>
      <c r="W20" s="102">
        <f t="shared" si="10"/>
        <v>0.10838495666240483</v>
      </c>
      <c r="X20" s="102">
        <f t="shared" si="10"/>
        <v>0.10838495666240483</v>
      </c>
      <c r="Y20" s="102">
        <f t="shared" si="10"/>
        <v>0.10838495666240483</v>
      </c>
      <c r="Z20" s="102">
        <f t="shared" si="10"/>
        <v>0.10838495666240483</v>
      </c>
      <c r="AA20" s="102">
        <f t="shared" si="10"/>
        <v>0.10838495666240483</v>
      </c>
      <c r="AB20" s="102">
        <f t="shared" si="10"/>
        <v>0.10838495666240483</v>
      </c>
      <c r="AC20" s="102">
        <f t="shared" si="10"/>
        <v>0.10838495666240483</v>
      </c>
      <c r="AD20" s="102">
        <f t="shared" si="10"/>
        <v>0.10838495666240483</v>
      </c>
      <c r="AE20" s="102">
        <f t="shared" si="10"/>
        <v>0.10838495666240483</v>
      </c>
      <c r="AF20" s="102">
        <f t="shared" si="10"/>
        <v>0.10838495666240483</v>
      </c>
      <c r="AG20" s="102">
        <f t="shared" si="10"/>
        <v>0.10838495666240483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483</v>
      </c>
      <c r="B21" s="50" t="s">
        <v>126</v>
      </c>
      <c r="C21" s="102">
        <f>'Overall recycling rates'!D79</f>
        <v>2.8456905779299292E-6</v>
      </c>
      <c r="D21" s="102">
        <f t="shared" si="11"/>
        <v>2.8456905779299292E-6</v>
      </c>
      <c r="E21" s="102">
        <f t="shared" si="11"/>
        <v>2.8456905779299292E-6</v>
      </c>
      <c r="F21" s="102">
        <f t="shared" si="11"/>
        <v>2.8456905779299292E-6</v>
      </c>
      <c r="G21" s="102">
        <f t="shared" si="11"/>
        <v>2.8456905779299292E-6</v>
      </c>
      <c r="H21" s="102">
        <f t="shared" si="11"/>
        <v>2.8456905779299292E-6</v>
      </c>
      <c r="I21" s="102">
        <f t="shared" si="11"/>
        <v>2.8456905779299292E-6</v>
      </c>
      <c r="J21" s="102">
        <f t="shared" si="11"/>
        <v>2.8456905779299292E-6</v>
      </c>
      <c r="K21" s="102">
        <f t="shared" si="11"/>
        <v>2.8456905779299292E-6</v>
      </c>
      <c r="L21" s="102">
        <f t="shared" si="11"/>
        <v>2.8456905779299292E-6</v>
      </c>
      <c r="M21" s="102">
        <f t="shared" si="11"/>
        <v>2.8456905779299292E-6</v>
      </c>
      <c r="N21" s="102">
        <f t="shared" si="11"/>
        <v>2.8456905779299292E-6</v>
      </c>
      <c r="O21" s="102">
        <f t="shared" si="11"/>
        <v>2.8456905779299292E-6</v>
      </c>
      <c r="P21" s="102">
        <f t="shared" si="11"/>
        <v>2.8456905779299292E-6</v>
      </c>
      <c r="Q21" s="102">
        <f t="shared" si="11"/>
        <v>2.8456905779299292E-6</v>
      </c>
      <c r="R21" s="102">
        <f t="shared" si="11"/>
        <v>2.8456905779299292E-6</v>
      </c>
      <c r="S21" s="102">
        <f t="shared" si="11"/>
        <v>2.8456905779299292E-6</v>
      </c>
      <c r="T21" s="102">
        <f t="shared" si="10"/>
        <v>2.8456905779299292E-6</v>
      </c>
      <c r="U21" s="102">
        <f t="shared" si="10"/>
        <v>2.8456905779299292E-6</v>
      </c>
      <c r="V21" s="102">
        <f t="shared" si="10"/>
        <v>2.8456905779299292E-6</v>
      </c>
      <c r="W21" s="102">
        <f t="shared" si="10"/>
        <v>2.8456905779299292E-6</v>
      </c>
      <c r="X21" s="102">
        <f t="shared" si="10"/>
        <v>2.8456905779299292E-6</v>
      </c>
      <c r="Y21" s="102">
        <f t="shared" si="10"/>
        <v>2.8456905779299292E-6</v>
      </c>
      <c r="Z21" s="102">
        <f t="shared" si="10"/>
        <v>2.8456905779299292E-6</v>
      </c>
      <c r="AA21" s="102">
        <f t="shared" si="10"/>
        <v>2.8456905779299292E-6</v>
      </c>
      <c r="AB21" s="102">
        <f t="shared" si="10"/>
        <v>2.8456905779299292E-6</v>
      </c>
      <c r="AC21" s="102">
        <f t="shared" si="10"/>
        <v>2.8456905779299292E-6</v>
      </c>
      <c r="AD21" s="102">
        <f t="shared" si="10"/>
        <v>2.8456905779299292E-6</v>
      </c>
      <c r="AE21" s="102">
        <f t="shared" si="10"/>
        <v>2.8456905779299292E-6</v>
      </c>
      <c r="AF21" s="102">
        <f t="shared" si="10"/>
        <v>2.8456905779299292E-6</v>
      </c>
      <c r="AG21" s="102">
        <f t="shared" si="10"/>
        <v>2.8456905779299292E-6</v>
      </c>
      <c r="AI21" s="50" t="s">
        <v>502</v>
      </c>
      <c r="AJ21" s="185"/>
      <c r="AM21" s="112"/>
      <c r="AN21" s="107"/>
      <c r="AO21" s="108"/>
      <c r="AP21" s="109"/>
      <c r="AQ21" s="108"/>
    </row>
    <row r="22" spans="1:64" outlineLevel="1">
      <c r="A22" t="s">
        <v>311</v>
      </c>
      <c r="B22" s="50" t="s">
        <v>126</v>
      </c>
      <c r="C22" s="102">
        <f>'Overall recycling rates'!D80</f>
        <v>0.26926835346483913</v>
      </c>
      <c r="D22" s="102">
        <f>C22</f>
        <v>0.26926835346483913</v>
      </c>
      <c r="E22" s="102">
        <f t="shared" si="11"/>
        <v>0.26926835346483913</v>
      </c>
      <c r="F22" s="102">
        <f t="shared" si="11"/>
        <v>0.26926835346483913</v>
      </c>
      <c r="G22" s="102">
        <f t="shared" si="11"/>
        <v>0.26926835346483913</v>
      </c>
      <c r="H22" s="102">
        <f t="shared" si="11"/>
        <v>0.26926835346483913</v>
      </c>
      <c r="I22" s="102">
        <f t="shared" si="11"/>
        <v>0.26926835346483913</v>
      </c>
      <c r="J22" s="102">
        <f t="shared" si="11"/>
        <v>0.26926835346483913</v>
      </c>
      <c r="K22" s="102">
        <f t="shared" si="11"/>
        <v>0.26926835346483913</v>
      </c>
      <c r="L22" s="102">
        <f t="shared" si="11"/>
        <v>0.26926835346483913</v>
      </c>
      <c r="M22" s="102">
        <f t="shared" si="11"/>
        <v>0.26926835346483913</v>
      </c>
      <c r="N22" s="102">
        <f t="shared" si="11"/>
        <v>0.26926835346483913</v>
      </c>
      <c r="O22" s="102">
        <f t="shared" si="11"/>
        <v>0.26926835346483913</v>
      </c>
      <c r="P22" s="102">
        <f t="shared" si="11"/>
        <v>0.26926835346483913</v>
      </c>
      <c r="Q22" s="102">
        <f t="shared" si="11"/>
        <v>0.26926835346483913</v>
      </c>
      <c r="R22" s="102">
        <f t="shared" si="11"/>
        <v>0.26926835346483913</v>
      </c>
      <c r="S22" s="102">
        <f t="shared" si="11"/>
        <v>0.26926835346483913</v>
      </c>
      <c r="T22" s="102">
        <f t="shared" si="10"/>
        <v>0.26926835346483913</v>
      </c>
      <c r="U22" s="102">
        <f t="shared" si="10"/>
        <v>0.26926835346483913</v>
      </c>
      <c r="V22" s="102">
        <f t="shared" si="10"/>
        <v>0.26926835346483913</v>
      </c>
      <c r="W22" s="102">
        <f t="shared" si="10"/>
        <v>0.26926835346483913</v>
      </c>
      <c r="X22" s="102">
        <f t="shared" si="10"/>
        <v>0.26926835346483913</v>
      </c>
      <c r="Y22" s="102">
        <f t="shared" si="10"/>
        <v>0.26926835346483913</v>
      </c>
      <c r="Z22" s="102">
        <f t="shared" si="10"/>
        <v>0.26926835346483913</v>
      </c>
      <c r="AA22" s="102">
        <f t="shared" si="10"/>
        <v>0.26926835346483913</v>
      </c>
      <c r="AB22" s="102">
        <f t="shared" si="10"/>
        <v>0.26926835346483913</v>
      </c>
      <c r="AC22" s="102">
        <f t="shared" si="10"/>
        <v>0.26926835346483913</v>
      </c>
      <c r="AD22" s="102">
        <f t="shared" si="10"/>
        <v>0.26926835346483913</v>
      </c>
      <c r="AE22" s="102">
        <f t="shared" si="10"/>
        <v>0.26926835346483913</v>
      </c>
      <c r="AF22" s="102">
        <f t="shared" si="10"/>
        <v>0.26926835346483913</v>
      </c>
      <c r="AG22" s="102">
        <f t="shared" si="10"/>
        <v>0.26926835346483913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484</v>
      </c>
      <c r="B24" s="50" t="s">
        <v>312</v>
      </c>
      <c r="C24" s="178">
        <f>C11*C18</f>
        <v>1380521.2058671515</v>
      </c>
      <c r="D24" s="178">
        <f t="shared" ref="D24:AF24" si="12">D11*D18</f>
        <v>1377473.6020247862</v>
      </c>
      <c r="E24" s="178">
        <f t="shared" si="12"/>
        <v>1374432.7259959022</v>
      </c>
      <c r="F24" s="178">
        <f t="shared" si="12"/>
        <v>1371398.5629283483</v>
      </c>
      <c r="G24" s="178">
        <f t="shared" si="12"/>
        <v>1368371.0980027593</v>
      </c>
      <c r="H24" s="178">
        <f t="shared" si="12"/>
        <v>1365350.3164324865</v>
      </c>
      <c r="I24" s="178">
        <f t="shared" si="12"/>
        <v>1362336.2034635227</v>
      </c>
      <c r="J24" s="178">
        <f t="shared" si="12"/>
        <v>1359328.7443744312</v>
      </c>
      <c r="K24" s="178">
        <f t="shared" si="12"/>
        <v>1356327.924476275</v>
      </c>
      <c r="L24" s="178">
        <f t="shared" si="12"/>
        <v>1353333.7291125429</v>
      </c>
      <c r="M24" s="178">
        <f t="shared" si="12"/>
        <v>1350346.1436590804</v>
      </c>
      <c r="N24" s="178">
        <f t="shared" si="12"/>
        <v>1347365.1535240151</v>
      </c>
      <c r="O24" s="178">
        <f t="shared" si="12"/>
        <v>1344390.7441476888</v>
      </c>
      <c r="P24" s="178">
        <f t="shared" si="12"/>
        <v>1341422.901002584</v>
      </c>
      <c r="Q24" s="178">
        <f t="shared" si="12"/>
        <v>1338461.6095932543</v>
      </c>
      <c r="R24" s="178">
        <f t="shared" si="12"/>
        <v>1335506.8554562526</v>
      </c>
      <c r="S24" s="178">
        <f t="shared" si="12"/>
        <v>1332558.6241600614</v>
      </c>
      <c r="T24" s="178">
        <f t="shared" si="12"/>
        <v>1329616.9013050215</v>
      </c>
      <c r="U24" s="178">
        <f t="shared" si="12"/>
        <v>1326681.6725232615</v>
      </c>
      <c r="V24" s="178">
        <f t="shared" si="12"/>
        <v>1323752.9234786299</v>
      </c>
      <c r="W24" s="178">
        <f t="shared" si="12"/>
        <v>1320830.6398666217</v>
      </c>
      <c r="X24" s="178">
        <f t="shared" si="12"/>
        <v>1317914.8074143108</v>
      </c>
      <c r="Y24" s="178">
        <f t="shared" si="12"/>
        <v>1315005.4118802794</v>
      </c>
      <c r="Z24" s="178">
        <f t="shared" si="12"/>
        <v>1312102.4390545487</v>
      </c>
      <c r="AA24" s="178">
        <f t="shared" si="12"/>
        <v>1309205.8747585099</v>
      </c>
      <c r="AB24" s="178">
        <f t="shared" si="12"/>
        <v>1306315.7048448541</v>
      </c>
      <c r="AC24" s="178">
        <f t="shared" si="12"/>
        <v>1303431.915197504</v>
      </c>
      <c r="AD24" s="178">
        <f t="shared" si="12"/>
        <v>1300554.4917315445</v>
      </c>
      <c r="AE24" s="178">
        <f t="shared" si="12"/>
        <v>1297683.4203931533</v>
      </c>
      <c r="AF24" s="178">
        <f t="shared" si="12"/>
        <v>1294818.6871595343</v>
      </c>
      <c r="AG24" s="178">
        <f>AG11*AG18</f>
        <v>1291960.2780388466</v>
      </c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313</v>
      </c>
      <c r="B25" s="50" t="s">
        <v>312</v>
      </c>
      <c r="C25" s="178">
        <f t="shared" ref="C25:AG28" si="13">C12*C19</f>
        <v>87727.100543358742</v>
      </c>
      <c r="D25" s="178">
        <f t="shared" si="13"/>
        <v>87533.436405814733</v>
      </c>
      <c r="E25" s="178">
        <f t="shared" si="13"/>
        <v>87340.199796342858</v>
      </c>
      <c r="F25" s="178">
        <f t="shared" si="13"/>
        <v>87147.389771142945</v>
      </c>
      <c r="G25" s="178">
        <f t="shared" si="13"/>
        <v>86955.005388498277</v>
      </c>
      <c r="H25" s="178">
        <f t="shared" si="13"/>
        <v>86763.045708771082</v>
      </c>
      <c r="I25" s="178">
        <f t="shared" si="13"/>
        <v>86571.509794397891</v>
      </c>
      <c r="J25" s="178">
        <f t="shared" si="13"/>
        <v>86380.396709884983</v>
      </c>
      <c r="K25" s="178">
        <f t="shared" si="13"/>
        <v>86189.7055218038</v>
      </c>
      <c r="L25" s="178">
        <f t="shared" si="13"/>
        <v>85999.435298786411</v>
      </c>
      <c r="M25" s="178">
        <f t="shared" si="13"/>
        <v>85809.585111520966</v>
      </c>
      <c r="N25" s="178">
        <f t="shared" si="13"/>
        <v>85620.154032747101</v>
      </c>
      <c r="O25" s="178">
        <f t="shared" si="13"/>
        <v>85431.141137251441</v>
      </c>
      <c r="P25" s="178">
        <f t="shared" si="13"/>
        <v>85242.545501863176</v>
      </c>
      <c r="Q25" s="178">
        <f t="shared" si="13"/>
        <v>85054.366205449332</v>
      </c>
      <c r="R25" s="178">
        <f t="shared" si="13"/>
        <v>84866.602328910507</v>
      </c>
      <c r="S25" s="178">
        <f t="shared" si="13"/>
        <v>84679.252955176271</v>
      </c>
      <c r="T25" s="178">
        <f t="shared" si="13"/>
        <v>84492.317169200644</v>
      </c>
      <c r="U25" s="178">
        <f t="shared" si="13"/>
        <v>84305.794057957712</v>
      </c>
      <c r="V25" s="178">
        <f t="shared" si="13"/>
        <v>84119.682710437148</v>
      </c>
      <c r="W25" s="178">
        <f t="shared" si="13"/>
        <v>83933.982217639699</v>
      </c>
      <c r="X25" s="178">
        <f t="shared" si="13"/>
        <v>83748.691672572837</v>
      </c>
      <c r="Y25" s="178">
        <f t="shared" si="13"/>
        <v>83563.810170246288</v>
      </c>
      <c r="Z25" s="178">
        <f t="shared" si="13"/>
        <v>83379.336807667598</v>
      </c>
      <c r="AA25" s="178">
        <f t="shared" si="13"/>
        <v>83195.270683837734</v>
      </c>
      <c r="AB25" s="178">
        <f t="shared" si="13"/>
        <v>83011.610899746694</v>
      </c>
      <c r="AC25" s="178">
        <f t="shared" si="13"/>
        <v>82828.356558369109</v>
      </c>
      <c r="AD25" s="178">
        <f t="shared" si="13"/>
        <v>82645.506764659833</v>
      </c>
      <c r="AE25" s="178">
        <f t="shared" si="13"/>
        <v>82463.060625549668</v>
      </c>
      <c r="AF25" s="178">
        <f t="shared" si="13"/>
        <v>82281.017249940851</v>
      </c>
      <c r="AG25" s="178">
        <f t="shared" si="13"/>
        <v>82099.375748702834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314</v>
      </c>
      <c r="B26" s="50" t="s">
        <v>312</v>
      </c>
      <c r="C26" s="178">
        <f t="shared" si="13"/>
        <v>60198.916928472419</v>
      </c>
      <c r="D26" s="178">
        <f t="shared" si="13"/>
        <v>60066.023315713908</v>
      </c>
      <c r="E26" s="178">
        <f t="shared" si="13"/>
        <v>59933.423075547675</v>
      </c>
      <c r="F26" s="178">
        <f t="shared" si="13"/>
        <v>59801.115560331789</v>
      </c>
      <c r="G26" s="178">
        <f t="shared" si="13"/>
        <v>59669.100123854005</v>
      </c>
      <c r="H26" s="178">
        <f t="shared" si="13"/>
        <v>59537.376121328663</v>
      </c>
      <c r="I26" s="178">
        <f t="shared" si="13"/>
        <v>59405.942909393518</v>
      </c>
      <c r="J26" s="178">
        <f t="shared" si="13"/>
        <v>59274.799846106594</v>
      </c>
      <c r="K26" s="178">
        <f t="shared" si="13"/>
        <v>59143.946290943022</v>
      </c>
      <c r="L26" s="178">
        <f t="shared" si="13"/>
        <v>59013.381604791975</v>
      </c>
      <c r="M26" s="178">
        <f t="shared" si="13"/>
        <v>58883.105149953488</v>
      </c>
      <c r="N26" s="178">
        <f t="shared" si="13"/>
        <v>58753.116290135389</v>
      </c>
      <c r="O26" s="178">
        <f t="shared" si="13"/>
        <v>58623.414390450147</v>
      </c>
      <c r="P26" s="178">
        <f t="shared" si="13"/>
        <v>58493.998817411797</v>
      </c>
      <c r="Q26" s="178">
        <f t="shared" si="13"/>
        <v>58364.868938932836</v>
      </c>
      <c r="R26" s="178">
        <f t="shared" si="13"/>
        <v>58236.024124321171</v>
      </c>
      <c r="S26" s="178">
        <f t="shared" si="13"/>
        <v>58107.463744276982</v>
      </c>
      <c r="T26" s="178">
        <f t="shared" si="13"/>
        <v>57979.187170889672</v>
      </c>
      <c r="U26" s="178">
        <f t="shared" si="13"/>
        <v>57851.193777634835</v>
      </c>
      <c r="V26" s="178">
        <f t="shared" si="13"/>
        <v>57723.482939371126</v>
      </c>
      <c r="W26" s="178">
        <f t="shared" si="13"/>
        <v>57596.054032337262</v>
      </c>
      <c r="X26" s="178">
        <f t="shared" si="13"/>
        <v>57468.906434148965</v>
      </c>
      <c r="Y26" s="178">
        <f t="shared" si="13"/>
        <v>57342.039523795916</v>
      </c>
      <c r="Z26" s="178">
        <f t="shared" si="13"/>
        <v>57215.452681638715</v>
      </c>
      <c r="AA26" s="178">
        <f t="shared" si="13"/>
        <v>57089.145289405875</v>
      </c>
      <c r="AB26" s="178">
        <f t="shared" si="13"/>
        <v>56963.116730190784</v>
      </c>
      <c r="AC26" s="178">
        <f t="shared" si="13"/>
        <v>56837.366388448674</v>
      </c>
      <c r="AD26" s="178">
        <f t="shared" si="13"/>
        <v>56711.893649993675</v>
      </c>
      <c r="AE26" s="178">
        <f t="shared" si="13"/>
        <v>56586.697901995765</v>
      </c>
      <c r="AF26" s="178">
        <f t="shared" si="13"/>
        <v>56461.778532977776</v>
      </c>
      <c r="AG26" s="178">
        <f t="shared" si="13"/>
        <v>56337.134932812442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485</v>
      </c>
      <c r="B27" s="50" t="s">
        <v>312</v>
      </c>
      <c r="C27" s="178">
        <f t="shared" si="13"/>
        <v>1.2955301207068881</v>
      </c>
      <c r="D27" s="178">
        <f t="shared" si="13"/>
        <v>1.2926701410434203</v>
      </c>
      <c r="E27" s="178">
        <f t="shared" si="13"/>
        <v>1.2898164749990222</v>
      </c>
      <c r="F27" s="178">
        <f t="shared" si="13"/>
        <v>1.2869691086359074</v>
      </c>
      <c r="G27" s="178">
        <f t="shared" si="13"/>
        <v>1.2841280280470582</v>
      </c>
      <c r="H27" s="178">
        <f t="shared" si="13"/>
        <v>1.2812932193561575</v>
      </c>
      <c r="I27" s="178">
        <f t="shared" si="13"/>
        <v>1.2784646687175214</v>
      </c>
      <c r="J27" s="178">
        <f t="shared" si="13"/>
        <v>1.2756423623160313</v>
      </c>
      <c r="K27" s="178">
        <f t="shared" si="13"/>
        <v>1.272826286367067</v>
      </c>
      <c r="L27" s="178">
        <f t="shared" si="13"/>
        <v>1.2700164271164378</v>
      </c>
      <c r="M27" s="178">
        <f t="shared" si="13"/>
        <v>1.2672127708403174</v>
      </c>
      <c r="N27" s="178">
        <f t="shared" si="13"/>
        <v>1.2644153038451753</v>
      </c>
      <c r="O27" s="178">
        <f t="shared" si="13"/>
        <v>1.2616240124677109</v>
      </c>
      <c r="P27" s="178">
        <f t="shared" si="13"/>
        <v>1.2588388830747861</v>
      </c>
      <c r="Q27" s="178">
        <f t="shared" si="13"/>
        <v>1.2560599020633589</v>
      </c>
      <c r="R27" s="178">
        <f t="shared" si="13"/>
        <v>1.2532870558604174</v>
      </c>
      <c r="S27" s="178">
        <f t="shared" si="13"/>
        <v>1.2505203309229129</v>
      </c>
      <c r="T27" s="178">
        <f t="shared" si="13"/>
        <v>1.2477597137376937</v>
      </c>
      <c r="U27" s="178">
        <f t="shared" si="13"/>
        <v>1.2450051908214401</v>
      </c>
      <c r="V27" s="178">
        <f t="shared" si="13"/>
        <v>1.2422567487205969</v>
      </c>
      <c r="W27" s="178">
        <f t="shared" si="13"/>
        <v>1.2395143740113097</v>
      </c>
      <c r="X27" s="178">
        <f t="shared" si="13"/>
        <v>1.2367780532993575</v>
      </c>
      <c r="Y27" s="178">
        <f t="shared" si="13"/>
        <v>1.2340477732200883</v>
      </c>
      <c r="Z27" s="178">
        <f t="shared" si="13"/>
        <v>1.2313235204383535</v>
      </c>
      <c r="AA27" s="178">
        <f t="shared" si="13"/>
        <v>1.2286052816484427</v>
      </c>
      <c r="AB27" s="178">
        <f t="shared" si="13"/>
        <v>1.2258930435740192</v>
      </c>
      <c r="AC27" s="178">
        <f t="shared" si="13"/>
        <v>1.2231867929680549</v>
      </c>
      <c r="AD27" s="178">
        <f t="shared" si="13"/>
        <v>1.2204865166127647</v>
      </c>
      <c r="AE27" s="178">
        <f t="shared" si="13"/>
        <v>1.2177922013195437</v>
      </c>
      <c r="AF27" s="178">
        <f t="shared" si="13"/>
        <v>1.2151038339289013</v>
      </c>
      <c r="AG27" s="178">
        <f t="shared" si="13"/>
        <v>1.2124214013103976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315</v>
      </c>
      <c r="B28" s="156" t="s">
        <v>312</v>
      </c>
      <c r="C28" s="178">
        <f t="shared" si="13"/>
        <v>757588.94475919567</v>
      </c>
      <c r="D28" s="178">
        <f t="shared" si="13"/>
        <v>755916.51048642315</v>
      </c>
      <c r="E28" s="178">
        <f t="shared" si="13"/>
        <v>754247.76823742699</v>
      </c>
      <c r="F28" s="178">
        <f t="shared" si="13"/>
        <v>752582.70986178855</v>
      </c>
      <c r="G28" s="178">
        <f t="shared" si="13"/>
        <v>750921.32722708164</v>
      </c>
      <c r="H28" s="178">
        <f t="shared" si="13"/>
        <v>749263.61221883318</v>
      </c>
      <c r="I28" s="178">
        <f t="shared" si="13"/>
        <v>747609.55674048362</v>
      </c>
      <c r="J28" s="178">
        <f t="shared" si="13"/>
        <v>745959.15271334664</v>
      </c>
      <c r="K28" s="178">
        <f t="shared" si="13"/>
        <v>744312.39207657054</v>
      </c>
      <c r="L28" s="178">
        <f t="shared" si="13"/>
        <v>742669.26678709872</v>
      </c>
      <c r="M28" s="178">
        <f t="shared" si="13"/>
        <v>741029.76881962991</v>
      </c>
      <c r="N28" s="178">
        <f t="shared" si="13"/>
        <v>739393.8901665794</v>
      </c>
      <c r="O28" s="178">
        <f t="shared" si="13"/>
        <v>737761.62283804</v>
      </c>
      <c r="P28" s="178">
        <f t="shared" si="13"/>
        <v>736132.95886174229</v>
      </c>
      <c r="Q28" s="178">
        <f t="shared" si="13"/>
        <v>734507.89028301707</v>
      </c>
      <c r="R28" s="178">
        <f t="shared" si="13"/>
        <v>732886.40916475502</v>
      </c>
      <c r="S28" s="178">
        <f t="shared" si="13"/>
        <v>731268.50758736872</v>
      </c>
      <c r="T28" s="178">
        <f t="shared" si="13"/>
        <v>729654.17764875409</v>
      </c>
      <c r="U28" s="178">
        <f t="shared" si="13"/>
        <v>728043.41146425111</v>
      </c>
      <c r="V28" s="178">
        <f t="shared" si="13"/>
        <v>726436.20116660604</v>
      </c>
      <c r="W28" s="178">
        <f t="shared" si="13"/>
        <v>724832.53890593268</v>
      </c>
      <c r="X28" s="178">
        <f t="shared" si="13"/>
        <v>723232.41684967396</v>
      </c>
      <c r="Y28" s="178">
        <f t="shared" si="13"/>
        <v>721635.82718256372</v>
      </c>
      <c r="Z28" s="178">
        <f t="shared" si="13"/>
        <v>720042.76210658881</v>
      </c>
      <c r="AA28" s="178">
        <f t="shared" si="13"/>
        <v>718453.21384095028</v>
      </c>
      <c r="AB28" s="178">
        <f t="shared" si="13"/>
        <v>716867.17462202662</v>
      </c>
      <c r="AC28" s="178">
        <f t="shared" si="13"/>
        <v>715284.6367033344</v>
      </c>
      <c r="AD28" s="178">
        <f t="shared" si="13"/>
        <v>713705.59235549159</v>
      </c>
      <c r="AE28" s="178">
        <f t="shared" si="13"/>
        <v>712130.03386617906</v>
      </c>
      <c r="AF28" s="178">
        <f t="shared" si="13"/>
        <v>710557.95354010328</v>
      </c>
      <c r="AG28" s="178">
        <f t="shared" si="13"/>
        <v>708989.34369895875</v>
      </c>
      <c r="AL28" s="100"/>
      <c r="AM28" s="181"/>
      <c r="AN28" s="181"/>
      <c r="AO28" s="181"/>
    </row>
    <row r="29" spans="1:64" s="1" customFormat="1" ht="15.5" thickBot="1">
      <c r="A29" s="174" t="s">
        <v>486</v>
      </c>
      <c r="B29" s="193" t="s">
        <v>312</v>
      </c>
      <c r="C29" s="190">
        <f>SUM(C24:C28)</f>
        <v>2286037.4636282991</v>
      </c>
      <c r="D29" s="190">
        <f t="shared" ref="D29:AG29" si="14">SUM(D24:D28)</f>
        <v>2280990.8649028791</v>
      </c>
      <c r="E29" s="190">
        <f t="shared" si="14"/>
        <v>2275955.4069216945</v>
      </c>
      <c r="F29" s="190">
        <f t="shared" si="14"/>
        <v>2270931.0650907205</v>
      </c>
      <c r="G29" s="190">
        <f t="shared" si="14"/>
        <v>2265917.8148702211</v>
      </c>
      <c r="H29" s="190">
        <f t="shared" si="14"/>
        <v>2260915.6317746388</v>
      </c>
      <c r="I29" s="190">
        <f t="shared" si="14"/>
        <v>2255924.4913724666</v>
      </c>
      <c r="J29" s="190">
        <f t="shared" si="14"/>
        <v>2250944.369286132</v>
      </c>
      <c r="K29" s="190">
        <f t="shared" si="14"/>
        <v>2245975.2411918789</v>
      </c>
      <c r="L29" s="190">
        <f t="shared" si="14"/>
        <v>2241017.0828196472</v>
      </c>
      <c r="M29" s="190">
        <f t="shared" si="14"/>
        <v>2236069.8699529553</v>
      </c>
      <c r="N29" s="190">
        <f t="shared" si="14"/>
        <v>2231133.5784287807</v>
      </c>
      <c r="O29" s="190">
        <f t="shared" si="14"/>
        <v>2226208.1841374426</v>
      </c>
      <c r="P29" s="190">
        <f t="shared" si="14"/>
        <v>2221293.6630224842</v>
      </c>
      <c r="Q29" s="190">
        <f t="shared" si="14"/>
        <v>2216389.9910805556</v>
      </c>
      <c r="R29" s="190">
        <f t="shared" si="14"/>
        <v>2211497.1443612948</v>
      </c>
      <c r="S29" s="190">
        <f t="shared" si="14"/>
        <v>2206615.0989672141</v>
      </c>
      <c r="T29" s="190">
        <f t="shared" si="14"/>
        <v>2201743.8310535797</v>
      </c>
      <c r="U29" s="190">
        <f t="shared" si="14"/>
        <v>2196883.3168282961</v>
      </c>
      <c r="V29" s="190">
        <f t="shared" si="14"/>
        <v>2192033.5325517929</v>
      </c>
      <c r="W29" s="190">
        <f t="shared" si="14"/>
        <v>2187194.454536905</v>
      </c>
      <c r="X29" s="190">
        <f t="shared" si="14"/>
        <v>2182366.0591487596</v>
      </c>
      <c r="Y29" s="190">
        <f t="shared" si="14"/>
        <v>2177548.3228046587</v>
      </c>
      <c r="Z29" s="190">
        <f t="shared" si="14"/>
        <v>2172741.221973964</v>
      </c>
      <c r="AA29" s="190">
        <f t="shared" si="14"/>
        <v>2167944.7331779855</v>
      </c>
      <c r="AB29" s="190">
        <f t="shared" si="14"/>
        <v>2163158.8329898617</v>
      </c>
      <c r="AC29" s="190">
        <f t="shared" si="14"/>
        <v>2158383.4980344493</v>
      </c>
      <c r="AD29" s="190">
        <f t="shared" si="14"/>
        <v>2153618.7049882063</v>
      </c>
      <c r="AE29" s="190">
        <f t="shared" si="14"/>
        <v>2148864.4305790793</v>
      </c>
      <c r="AF29" s="190">
        <f t="shared" si="14"/>
        <v>2144120.6515863901</v>
      </c>
      <c r="AG29" s="190">
        <f t="shared" si="14"/>
        <v>2139387.3448407222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504</v>
      </c>
      <c r="B31" s="156" t="s">
        <v>312</v>
      </c>
      <c r="C31" s="99">
        <f>C29</f>
        <v>2286037.4636282991</v>
      </c>
      <c r="D31" s="99">
        <f t="shared" ref="D31:AG31" si="15">D29</f>
        <v>2280990.8649028791</v>
      </c>
      <c r="E31" s="99">
        <f t="shared" si="15"/>
        <v>2275955.4069216945</v>
      </c>
      <c r="F31" s="99">
        <f t="shared" si="15"/>
        <v>2270931.0650907205</v>
      </c>
      <c r="G31" s="99">
        <f t="shared" si="15"/>
        <v>2265917.8148702211</v>
      </c>
      <c r="H31" s="99">
        <f t="shared" si="15"/>
        <v>2260915.6317746388</v>
      </c>
      <c r="I31" s="99">
        <f t="shared" si="15"/>
        <v>2255924.4913724666</v>
      </c>
      <c r="J31" s="99">
        <f t="shared" si="15"/>
        <v>2250944.369286132</v>
      </c>
      <c r="K31" s="99">
        <f t="shared" si="15"/>
        <v>2245975.2411918789</v>
      </c>
      <c r="L31" s="99">
        <f t="shared" si="15"/>
        <v>2241017.0828196472</v>
      </c>
      <c r="M31" s="99">
        <f t="shared" si="15"/>
        <v>2236069.8699529553</v>
      </c>
      <c r="N31" s="99">
        <f t="shared" si="15"/>
        <v>2231133.5784287807</v>
      </c>
      <c r="O31" s="99">
        <f t="shared" si="15"/>
        <v>2226208.1841374426</v>
      </c>
      <c r="P31" s="99">
        <f t="shared" si="15"/>
        <v>2221293.6630224842</v>
      </c>
      <c r="Q31" s="99">
        <f t="shared" si="15"/>
        <v>2216389.9910805556</v>
      </c>
      <c r="R31" s="99">
        <f t="shared" si="15"/>
        <v>2211497.1443612948</v>
      </c>
      <c r="S31" s="99">
        <f t="shared" si="15"/>
        <v>2206615.0989672141</v>
      </c>
      <c r="T31" s="99">
        <f t="shared" si="15"/>
        <v>2201743.8310535797</v>
      </c>
      <c r="U31" s="99">
        <f t="shared" si="15"/>
        <v>2196883.3168282961</v>
      </c>
      <c r="V31" s="99">
        <f t="shared" si="15"/>
        <v>2192033.5325517929</v>
      </c>
      <c r="W31" s="99">
        <f t="shared" si="15"/>
        <v>2187194.454536905</v>
      </c>
      <c r="X31" s="99">
        <f t="shared" si="15"/>
        <v>2182366.0591487596</v>
      </c>
      <c r="Y31" s="99">
        <f t="shared" si="15"/>
        <v>2177548.3228046587</v>
      </c>
      <c r="Z31" s="99">
        <f t="shared" si="15"/>
        <v>2172741.221973964</v>
      </c>
      <c r="AA31" s="99">
        <f t="shared" si="15"/>
        <v>2167944.7331779855</v>
      </c>
      <c r="AB31" s="99">
        <f t="shared" si="15"/>
        <v>2163158.8329898617</v>
      </c>
      <c r="AC31" s="99">
        <f t="shared" si="15"/>
        <v>2158383.4980344493</v>
      </c>
      <c r="AD31" s="99">
        <f t="shared" si="15"/>
        <v>2153618.7049882063</v>
      </c>
      <c r="AE31" s="99">
        <f t="shared" si="15"/>
        <v>2148864.4305790793</v>
      </c>
      <c r="AF31" s="99">
        <f t="shared" si="15"/>
        <v>2144120.6515863901</v>
      </c>
      <c r="AG31" s="99">
        <f t="shared" si="15"/>
        <v>2139387.3448407222</v>
      </c>
      <c r="AL31" s="100"/>
      <c r="AM31" s="2"/>
      <c r="AN31" s="2"/>
      <c r="AO31" s="2"/>
    </row>
    <row r="32" spans="1:64" outlineLevel="1">
      <c r="A32" t="s">
        <v>487</v>
      </c>
      <c r="B32" s="156" t="s">
        <v>312</v>
      </c>
      <c r="C32" s="99">
        <f>'Yearly Demand - Eth-Prop'!L3</f>
        <v>5341060.7015464325</v>
      </c>
      <c r="D32" s="99">
        <f>'Yearly Demand - Eth-Prop'!M3</f>
        <v>5313864.8623622619</v>
      </c>
      <c r="E32" s="99">
        <f>'Yearly Demand - Eth-Prop'!N3</f>
        <v>5286807.5001043538</v>
      </c>
      <c r="F32" s="99">
        <f>'Yearly Demand - Eth-Prop'!O3</f>
        <v>5259887.909670027</v>
      </c>
      <c r="G32" s="99">
        <f>'Yearly Demand - Eth-Prop'!P3</f>
        <v>5233105.389546874</v>
      </c>
      <c r="H32" s="99">
        <f>'Yearly Demand - Eth-Prop'!Q3</f>
        <v>5206459.2417944744</v>
      </c>
      <c r="I32" s="99">
        <f>'Yearly Demand - Eth-Prop'!R3</f>
        <v>5177154.5047407569</v>
      </c>
      <c r="J32" s="99">
        <f>'Yearly Demand - Eth-Prop'!S3</f>
        <v>5148014.7104195002</v>
      </c>
      <c r="K32" s="99">
        <f>'Yearly Demand - Eth-Prop'!T3</f>
        <v>5119038.9304447938</v>
      </c>
      <c r="L32" s="99">
        <f>'Yearly Demand - Eth-Prop'!U3</f>
        <v>5090226.2416561795</v>
      </c>
      <c r="M32" s="99">
        <f>'Yearly Demand - Eth-Prop'!V3</f>
        <v>5061575.7260892428</v>
      </c>
      <c r="N32" s="99">
        <f>'Yearly Demand - Eth-Prop'!W3</f>
        <v>5027905.2457716037</v>
      </c>
      <c r="O32" s="99">
        <f>'Yearly Demand - Eth-Prop'!X3</f>
        <v>4994458.7473335555</v>
      </c>
      <c r="P32" s="99">
        <f>'Yearly Demand - Eth-Prop'!Y3</f>
        <v>4961234.7408087561</v>
      </c>
      <c r="Q32" s="99">
        <f>'Yearly Demand - Eth-Prop'!Z3</f>
        <v>4928231.7461423781</v>
      </c>
      <c r="R32" s="99">
        <f>'Yearly Demand - Eth-Prop'!AA3</f>
        <v>4895448.2931251777</v>
      </c>
      <c r="S32" s="99">
        <f>'Yearly Demand - Eth-Prop'!AB3</f>
        <v>4858350.7522049826</v>
      </c>
      <c r="T32" s="99">
        <f>'Yearly Demand - Eth-Prop'!AC3</f>
        <v>4821534.335190081</v>
      </c>
      <c r="U32" s="99">
        <f>'Yearly Demand - Eth-Prop'!AD3</f>
        <v>4784996.9117330648</v>
      </c>
      <c r="V32" s="99">
        <f>'Yearly Demand - Eth-Prop'!AE3</f>
        <v>4748736.3676302275</v>
      </c>
      <c r="W32" s="99">
        <f>'Yearly Demand - Eth-Prop'!AF3</f>
        <v>4712750.6046992252</v>
      </c>
      <c r="X32" s="99">
        <f>'Yearly Demand - Eth-Prop'!AG3</f>
        <v>4673875.4659375874</v>
      </c>
      <c r="Y32" s="99">
        <f>'Yearly Demand - Eth-Prop'!AH3</f>
        <v>4635321.0053829039</v>
      </c>
      <c r="Z32" s="99">
        <f>'Yearly Demand - Eth-Prop'!AI3</f>
        <v>4597084.5777838472</v>
      </c>
      <c r="AA32" s="99">
        <f>'Yearly Demand - Eth-Prop'!AJ3</f>
        <v>4559163.559709576</v>
      </c>
      <c r="AB32" s="99">
        <f>'Yearly Demand - Eth-Prop'!AK3</f>
        <v>4521555.3493697401</v>
      </c>
      <c r="AC32" s="99">
        <f>'Yearly Demand - Eth-Prop'!AL3</f>
        <v>4482652.6072071437</v>
      </c>
      <c r="AD32" s="99">
        <f>'Yearly Demand - Eth-Prop'!AM3</f>
        <v>4444084.5780428043</v>
      </c>
      <c r="AE32" s="99">
        <f>'Yearly Demand - Eth-Prop'!AN3</f>
        <v>4405848.3820593869</v>
      </c>
      <c r="AF32" s="99">
        <f>'Yearly Demand - Eth-Prop'!AO3</f>
        <v>4367941.1642170493</v>
      </c>
      <c r="AG32" s="99">
        <f>'Yearly Demand - Eth-Prop'!AP3</f>
        <v>4330360.0940402551</v>
      </c>
      <c r="AL32" s="100"/>
      <c r="AM32" s="2"/>
      <c r="AN32" s="2"/>
      <c r="AO32" s="2"/>
    </row>
    <row r="33" spans="1:64" outlineLevel="1">
      <c r="A33" t="s">
        <v>488</v>
      </c>
      <c r="B33" s="156" t="s">
        <v>312</v>
      </c>
      <c r="C33" s="99">
        <f>C32-C31</f>
        <v>3055023.2379181334</v>
      </c>
      <c r="D33" s="99">
        <f t="shared" ref="D33:AG33" si="16">D32-D31</f>
        <v>3032873.9974593828</v>
      </c>
      <c r="E33" s="99">
        <f t="shared" si="16"/>
        <v>3010852.0931826592</v>
      </c>
      <c r="F33" s="99">
        <f t="shared" si="16"/>
        <v>2988956.8445793064</v>
      </c>
      <c r="G33" s="99">
        <f t="shared" si="16"/>
        <v>2967187.5746766529</v>
      </c>
      <c r="H33" s="99">
        <f t="shared" si="16"/>
        <v>2945543.6100198356</v>
      </c>
      <c r="I33" s="99">
        <f t="shared" si="16"/>
        <v>2921230.0133682904</v>
      </c>
      <c r="J33" s="99">
        <f t="shared" si="16"/>
        <v>2897070.3411333682</v>
      </c>
      <c r="K33" s="99">
        <f t="shared" si="16"/>
        <v>2873063.6892529149</v>
      </c>
      <c r="L33" s="99">
        <f t="shared" si="16"/>
        <v>2849209.1588365324</v>
      </c>
      <c r="M33" s="99">
        <f t="shared" si="16"/>
        <v>2825505.8561362876</v>
      </c>
      <c r="N33" s="99">
        <f t="shared" si="16"/>
        <v>2796771.667342823</v>
      </c>
      <c r="O33" s="99">
        <f t="shared" si="16"/>
        <v>2768250.5631961129</v>
      </c>
      <c r="P33" s="99">
        <f t="shared" si="16"/>
        <v>2739941.0777862719</v>
      </c>
      <c r="Q33" s="99">
        <f t="shared" si="16"/>
        <v>2711841.7550618225</v>
      </c>
      <c r="R33" s="99">
        <f t="shared" si="16"/>
        <v>2683951.1487638829</v>
      </c>
      <c r="S33" s="99">
        <f t="shared" si="16"/>
        <v>2651735.6532377684</v>
      </c>
      <c r="T33" s="99">
        <f t="shared" si="16"/>
        <v>2619790.5041365013</v>
      </c>
      <c r="U33" s="99">
        <f t="shared" si="16"/>
        <v>2588113.5949047687</v>
      </c>
      <c r="V33" s="99">
        <f t="shared" si="16"/>
        <v>2556702.8350784346</v>
      </c>
      <c r="W33" s="99">
        <f t="shared" si="16"/>
        <v>2525556.1501623201</v>
      </c>
      <c r="X33" s="99">
        <f t="shared" si="16"/>
        <v>2491509.4067888279</v>
      </c>
      <c r="Y33" s="99">
        <f t="shared" si="16"/>
        <v>2457772.6825782452</v>
      </c>
      <c r="Z33" s="99">
        <f t="shared" si="16"/>
        <v>2424343.3558098832</v>
      </c>
      <c r="AA33" s="99">
        <f t="shared" si="16"/>
        <v>2391218.8265315904</v>
      </c>
      <c r="AB33" s="99">
        <f t="shared" si="16"/>
        <v>2358396.5163798784</v>
      </c>
      <c r="AC33" s="99">
        <f t="shared" si="16"/>
        <v>2324269.1091726944</v>
      </c>
      <c r="AD33" s="99">
        <f t="shared" si="16"/>
        <v>2290465.873054598</v>
      </c>
      <c r="AE33" s="99">
        <f t="shared" si="16"/>
        <v>2256983.9514803076</v>
      </c>
      <c r="AF33" s="99">
        <f t="shared" si="16"/>
        <v>2223820.5126306592</v>
      </c>
      <c r="AG33" s="99">
        <f t="shared" si="16"/>
        <v>2190972.7491995329</v>
      </c>
      <c r="AL33" s="100"/>
      <c r="AM33" s="2"/>
      <c r="AN33" s="2"/>
      <c r="AO33" s="2"/>
    </row>
    <row r="34" spans="1:64" outlineLevel="1">
      <c r="A34" t="s">
        <v>403</v>
      </c>
      <c r="B34" s="50" t="s">
        <v>126</v>
      </c>
      <c r="C34" s="2">
        <f>C31/C32</f>
        <v>0.42801188590992939</v>
      </c>
      <c r="D34" s="2">
        <f t="shared" ref="D34:AG34" si="17">D31/D32</f>
        <v>0.42925270476089444</v>
      </c>
      <c r="E34" s="2">
        <f t="shared" si="17"/>
        <v>0.43049712078163815</v>
      </c>
      <c r="F34" s="2">
        <f t="shared" si="17"/>
        <v>0.43174514440046019</v>
      </c>
      <c r="G34" s="2">
        <f t="shared" si="17"/>
        <v>0.4329967860758912</v>
      </c>
      <c r="H34" s="2">
        <f t="shared" si="17"/>
        <v>0.43425205629678271</v>
      </c>
      <c r="I34" s="2">
        <f t="shared" si="17"/>
        <v>0.43574602405755913</v>
      </c>
      <c r="J34" s="2">
        <f t="shared" si="17"/>
        <v>0.43724513155144185</v>
      </c>
      <c r="K34" s="2">
        <f t="shared" si="17"/>
        <v>0.43874939646077782</v>
      </c>
      <c r="L34" s="2">
        <f t="shared" si="17"/>
        <v>0.4402588365287472</v>
      </c>
      <c r="M34" s="2">
        <f t="shared" si="17"/>
        <v>0.44177346955957214</v>
      </c>
      <c r="N34" s="2">
        <f t="shared" si="17"/>
        <v>0.44375012442908146</v>
      </c>
      <c r="O34" s="2">
        <f t="shared" si="17"/>
        <v>0.44573562357001584</v>
      </c>
      <c r="P34" s="2">
        <f t="shared" si="17"/>
        <v>0.44773000655485612</v>
      </c>
      <c r="Q34" s="2">
        <f t="shared" si="17"/>
        <v>0.44973331313314491</v>
      </c>
      <c r="R34" s="2">
        <f t="shared" si="17"/>
        <v>0.45174558323227831</v>
      </c>
      <c r="S34" s="2">
        <f t="shared" si="17"/>
        <v>0.45419015865944484</v>
      </c>
      <c r="T34" s="2">
        <f t="shared" si="17"/>
        <v>0.45664796265871238</v>
      </c>
      <c r="U34" s="2">
        <f t="shared" si="17"/>
        <v>0.45911906681515768</v>
      </c>
      <c r="V34" s="2">
        <f t="shared" si="17"/>
        <v>0.46160354310123314</v>
      </c>
      <c r="W34" s="2">
        <f t="shared" si="17"/>
        <v>0.46410146387886253</v>
      </c>
      <c r="X34" s="2">
        <f t="shared" si="17"/>
        <v>0.46692858529361203</v>
      </c>
      <c r="Y34" s="2">
        <f t="shared" si="17"/>
        <v>0.4697729284068819</v>
      </c>
      <c r="Z34" s="2">
        <f t="shared" si="17"/>
        <v>0.47263459812640524</v>
      </c>
      <c r="AA34" s="2">
        <f t="shared" si="17"/>
        <v>0.47551369999897219</v>
      </c>
      <c r="AB34" s="2">
        <f t="shared" si="17"/>
        <v>0.47841034021432127</v>
      </c>
      <c r="AC34" s="2">
        <f t="shared" si="17"/>
        <v>0.48149693656033743</v>
      </c>
      <c r="AD34" s="2">
        <f t="shared" si="17"/>
        <v>0.48460344693454732</v>
      </c>
      <c r="AE34" s="2">
        <f t="shared" si="17"/>
        <v>0.48772999981780002</v>
      </c>
      <c r="AF34" s="2">
        <f t="shared" si="17"/>
        <v>0.49087672451987396</v>
      </c>
      <c r="AG34" s="2">
        <f t="shared" si="17"/>
        <v>0.49404375118482569</v>
      </c>
      <c r="AI34" s="182"/>
      <c r="AL34" s="100"/>
      <c r="AM34" s="2"/>
      <c r="AN34" s="2"/>
      <c r="AO34" s="2"/>
    </row>
    <row r="35" spans="1:64" outlineLevel="1">
      <c r="AL35" s="100"/>
      <c r="AM35" s="2"/>
      <c r="AN35" s="2"/>
      <c r="AO35" s="2"/>
    </row>
    <row r="36" spans="1:64" outlineLevel="1">
      <c r="A36" t="s">
        <v>316</v>
      </c>
      <c r="B36" s="50" t="s">
        <v>126</v>
      </c>
      <c r="C36" s="22">
        <f>'Yearly LC Propylene'!D21/'Yearly LC Propylene'!D14</f>
        <v>1</v>
      </c>
      <c r="D36" s="22">
        <f>'Yearly LC Propylene'!E21/'Yearly LC Propylene'!E14</f>
        <v>0.99319270000000004</v>
      </c>
      <c r="E36" s="22">
        <f>'Yearly LC Propylene'!F21/'Yearly LC Propylene'!F14</f>
        <v>0.98638539999999997</v>
      </c>
      <c r="F36" s="22">
        <f>'Yearly LC Propylene'!G21/'Yearly LC Propylene'!G14</f>
        <v>0.9795780999999999</v>
      </c>
      <c r="G36" s="22">
        <f>'Yearly LC Propylene'!H21/'Yearly LC Propylene'!H14</f>
        <v>0.97277080000000005</v>
      </c>
      <c r="H36" s="22">
        <f>'Yearly LC Propylene'!I21/'Yearly LC Propylene'!I14</f>
        <v>0.96596349999999986</v>
      </c>
      <c r="I36" s="22">
        <f>'Yearly LC Propylene'!J21/'Yearly LC Propylene'!J14</f>
        <v>0.95915620000000001</v>
      </c>
      <c r="J36" s="22">
        <f>'Yearly LC Propylene'!K21/'Yearly LC Propylene'!K14</f>
        <v>0.95234889999999994</v>
      </c>
      <c r="K36" s="22">
        <f>'Yearly LC Propylene'!L21/'Yearly LC Propylene'!L14</f>
        <v>0.94554159999999998</v>
      </c>
      <c r="L36" s="22">
        <f>'Yearly LC Propylene'!M21/'Yearly LC Propylene'!M14</f>
        <v>0.93873430000000002</v>
      </c>
      <c r="M36" s="22">
        <f>'Yearly LC Propylene'!N21/'Yearly LC Propylene'!N14</f>
        <v>0.93192699999999995</v>
      </c>
      <c r="N36" s="22">
        <f>'Yearly LC Propylene'!O21/'Yearly LC Propylene'!O14</f>
        <v>0.92312914000000001</v>
      </c>
      <c r="O36" s="22">
        <f>'Yearly LC Propylene'!P21/'Yearly LC Propylene'!P14</f>
        <v>0.91544313999999993</v>
      </c>
      <c r="P36" s="22">
        <f>'Yearly LC Propylene'!Q21/'Yearly LC Propylene'!Q14</f>
        <v>0.90695848000000001</v>
      </c>
      <c r="Q36" s="22">
        <f>'Yearly LC Propylene'!R21/'Yearly LC Propylene'!R14</f>
        <v>0.89847381999999998</v>
      </c>
      <c r="R36" s="22">
        <f>'Yearly LC Propylene'!S21/'Yearly LC Propylene'!S14</f>
        <v>0.88998915999999995</v>
      </c>
      <c r="S36" s="22">
        <f>'Yearly LC Propylene'!T21/'Yearly LC Propylene'!T14</f>
        <v>0.88150449999999991</v>
      </c>
      <c r="T36" s="22">
        <f>'Yearly LC Propylene'!U21/'Yearly LC Propylene'!U14</f>
        <v>0.8730198400000001</v>
      </c>
      <c r="U36" s="22">
        <f>'Yearly LC Propylene'!V21/'Yearly LC Propylene'!V14</f>
        <v>0.86453518000000007</v>
      </c>
      <c r="V36" s="22">
        <f>'Yearly LC Propylene'!W21/'Yearly LC Propylene'!W14</f>
        <v>0.85605051999999981</v>
      </c>
      <c r="W36" s="22">
        <f>'Yearly LC Propylene'!X21/'Yearly LC Propylene'!X14</f>
        <v>0.84756586000000012</v>
      </c>
      <c r="X36" s="22">
        <f>'Yearly LC Propylene'!Y21/'Yearly LC Propylene'!Y14</f>
        <v>0.84324772000000003</v>
      </c>
      <c r="Y36" s="22">
        <f>'Yearly LC Propylene'!Z21/'Yearly LC Propylene'!Z14</f>
        <v>0.83774464000000004</v>
      </c>
      <c r="Z36" s="22">
        <f>'Yearly LC Propylene'!AA21/'Yearly LC Propylene'!AA14</f>
        <v>0.83224155999999994</v>
      </c>
      <c r="AA36" s="22">
        <f>'Yearly LC Propylene'!AB21/'Yearly LC Propylene'!AB14</f>
        <v>0.82673847999999983</v>
      </c>
      <c r="AB36" s="22">
        <f>'Yearly LC Propylene'!AC21/'Yearly LC Propylene'!AC14</f>
        <v>0.82123539999999995</v>
      </c>
      <c r="AC36" s="22">
        <f>'Yearly LC Propylene'!AD21/'Yearly LC Propylene'!AD14</f>
        <v>0.81573231999999996</v>
      </c>
      <c r="AD36" s="22">
        <f>'Yearly LC Propylene'!AE21/'Yearly LC Propylene'!AE14</f>
        <v>0.81022923999999996</v>
      </c>
      <c r="AE36" s="22">
        <f>'Yearly LC Propylene'!AF21/'Yearly LC Propylene'!AF14</f>
        <v>0.80472616000000008</v>
      </c>
      <c r="AF36" s="22">
        <f>'Yearly LC Propylene'!AG21/'Yearly LC Propylene'!AG14</f>
        <v>0.79922307999999997</v>
      </c>
      <c r="AG36" s="22">
        <f>'Yearly LC Propylene'!AH21/'Yearly LC Propylene'!AH14</f>
        <v>0.79371999999999987</v>
      </c>
      <c r="AL36" s="100"/>
      <c r="AM36" s="2"/>
      <c r="AN36" s="2"/>
      <c r="AO36" s="2"/>
      <c r="BC36" s="1"/>
      <c r="BD36" s="114"/>
      <c r="BE36" s="114"/>
      <c r="BF36" s="114"/>
      <c r="BG36" s="114"/>
      <c r="BH36" s="114"/>
      <c r="BI36" s="114"/>
      <c r="BJ36" s="114"/>
      <c r="BK36" s="114"/>
    </row>
    <row r="37" spans="1:64" outlineLevel="1">
      <c r="A37" t="s">
        <v>317</v>
      </c>
      <c r="B37" s="50" t="s">
        <v>126</v>
      </c>
      <c r="C37" s="22">
        <f>'Yearly LC Propylene'!D13/'Yearly LC Propylene'!D6</f>
        <v>1</v>
      </c>
      <c r="D37" s="22">
        <f>'Yearly LC Propylene'!E13/'Yearly LC Propylene'!E6</f>
        <v>0.99829903423249999</v>
      </c>
      <c r="E37" s="22">
        <f>'Yearly LC Propylene'!F13/'Yearly LC Propylene'!F6</f>
        <v>0.99659614386000006</v>
      </c>
      <c r="F37" s="22">
        <f>'Yearly LC Propylene'!G13/'Yearly LC Propylene'!G6</f>
        <v>0.99489133927750006</v>
      </c>
      <c r="G37" s="22">
        <f>'Yearly LC Propylene'!H13/'Yearly LC Propylene'!H6</f>
        <v>0.99318463087999997</v>
      </c>
      <c r="H37" s="22">
        <f>'Yearly LC Propylene'!I13/'Yearly LC Propylene'!I6</f>
        <v>0.99147602906249999</v>
      </c>
      <c r="I37" s="22">
        <f>'Yearly LC Propylene'!J13/'Yearly LC Propylene'!J6</f>
        <v>0.98976554421999996</v>
      </c>
      <c r="J37" s="22">
        <f>'Yearly LC Propylene'!K13/'Yearly LC Propylene'!K6</f>
        <v>0.98805318674750009</v>
      </c>
      <c r="K37" s="22">
        <f>'Yearly LC Propylene'!L13/'Yearly LC Propylene'!L6</f>
        <v>0.98633896704000001</v>
      </c>
      <c r="L37" s="22">
        <f>'Yearly LC Propylene'!M13/'Yearly LC Propylene'!M6</f>
        <v>0.98462289549250004</v>
      </c>
      <c r="M37" s="22">
        <f>'Yearly LC Propylene'!N13/'Yearly LC Propylene'!N6</f>
        <v>0.98290498250000002</v>
      </c>
      <c r="N37" s="22">
        <f>'Yearly LC Propylene'!O13/'Yearly LC Propylene'!O6</f>
        <v>0.97870549159499998</v>
      </c>
      <c r="O37" s="22">
        <f>'Yearly LC Propylene'!P13/'Yearly LC Propylene'!P6</f>
        <v>0.97447390335999995</v>
      </c>
      <c r="P37" s="22">
        <f>'Yearly LC Propylene'!Q13/'Yearly LC Propylene'!Q6</f>
        <v>0.97021059201499993</v>
      </c>
      <c r="Q37" s="22">
        <f>'Yearly LC Propylene'!R13/'Yearly LC Propylene'!R6</f>
        <v>0.9659159317799999</v>
      </c>
      <c r="R37" s="22">
        <f>'Yearly LC Propylene'!S13/'Yearly LC Propylene'!S6</f>
        <v>0.96159029687499997</v>
      </c>
      <c r="S37" s="22">
        <f>'Yearly LC Propylene'!T13/'Yearly LC Propylene'!T6</f>
        <v>0.95723406152000001</v>
      </c>
      <c r="T37" s="22">
        <f>'Yearly LC Propylene'!U13/'Yearly LC Propylene'!U6</f>
        <v>0.95284759993500001</v>
      </c>
      <c r="U37" s="22">
        <f>'Yearly LC Propylene'!V13/'Yearly LC Propylene'!V6</f>
        <v>0.94843128633999996</v>
      </c>
      <c r="V37" s="22">
        <f>'Yearly LC Propylene'!W13/'Yearly LC Propylene'!W6</f>
        <v>0.94398549495500006</v>
      </c>
      <c r="W37" s="22">
        <f>'Yearly LC Propylene'!X13/'Yearly LC Propylene'!X6</f>
        <v>0.93951059999999997</v>
      </c>
      <c r="X37" s="22">
        <f>'Yearly LC Propylene'!Y13/'Yearly LC Propylene'!Y6</f>
        <v>0.9278365983500001</v>
      </c>
      <c r="Y37" s="22">
        <f>'Yearly LC Propylene'!Z13/'Yearly LC Propylene'!Z6</f>
        <v>0.91614176079999987</v>
      </c>
      <c r="Z37" s="22">
        <f>'Yearly LC Propylene'!AA13/'Yearly LC Propylene'!AA6</f>
        <v>0.90442795845000001</v>
      </c>
      <c r="AA37" s="22">
        <f>'Yearly LC Propylene'!AB13/'Yearly LC Propylene'!AB6</f>
        <v>0.89269706239999991</v>
      </c>
      <c r="AB37" s="22">
        <f>'Yearly LC Propylene'!AC13/'Yearly LC Propylene'!AC6</f>
        <v>0.88095094374999994</v>
      </c>
      <c r="AC37" s="22">
        <f>'Yearly LC Propylene'!AD13/'Yearly LC Propylene'!AD6</f>
        <v>0.86919147359999993</v>
      </c>
      <c r="AD37" s="22">
        <f>'Yearly LC Propylene'!AE13/'Yearly LC Propylene'!AE6</f>
        <v>0.85742052304999994</v>
      </c>
      <c r="AE37" s="22">
        <f>'Yearly LC Propylene'!AF13/'Yearly LC Propylene'!AF6</f>
        <v>0.8456399631999999</v>
      </c>
      <c r="AF37" s="22">
        <f>'Yearly LC Propylene'!AG13/'Yearly LC Propylene'!AG6</f>
        <v>0.83385166514999998</v>
      </c>
      <c r="AG37" s="22">
        <f>'Yearly LC Propylene'!AH13/'Yearly LC Propylene'!AH6</f>
        <v>0.82205749999999989</v>
      </c>
      <c r="AL37" s="100"/>
      <c r="AM37" s="2"/>
      <c r="AN37" s="2"/>
      <c r="AO37" s="2"/>
      <c r="BL37" s="1"/>
    </row>
    <row r="38" spans="1:64" outlineLevel="1">
      <c r="A38" t="s">
        <v>318</v>
      </c>
      <c r="B38" s="50" t="s">
        <v>126</v>
      </c>
      <c r="C38" s="22">
        <f>'Yearly LC Propylene'!D25/'Yearly LC Propylene'!D22</f>
        <v>1</v>
      </c>
      <c r="D38" s="22">
        <f>'Yearly LC Propylene'!E25/'Yearly LC Propylene'!E22</f>
        <v>0.99274000000000007</v>
      </c>
      <c r="E38" s="22">
        <f>'Yearly LC Propylene'!F25/'Yearly LC Propylene'!F22</f>
        <v>0.98548000000000002</v>
      </c>
      <c r="F38" s="22">
        <f>'Yearly LC Propylene'!G25/'Yearly LC Propylene'!G22</f>
        <v>0.97821999999999998</v>
      </c>
      <c r="G38" s="22">
        <f>'Yearly LC Propylene'!H25/'Yearly LC Propylene'!H22</f>
        <v>0.97096000000000005</v>
      </c>
      <c r="H38" s="22">
        <f>'Yearly LC Propylene'!I25/'Yearly LC Propylene'!I22</f>
        <v>0.96370000000000011</v>
      </c>
      <c r="I38" s="22">
        <f>'Yearly LC Propylene'!J25/'Yearly LC Propylene'!J22</f>
        <v>0.95643999999999996</v>
      </c>
      <c r="J38" s="22">
        <f>'Yearly LC Propylene'!K25/'Yearly LC Propylene'!K22</f>
        <v>0.94918000000000002</v>
      </c>
      <c r="K38" s="22">
        <f>'Yearly LC Propylene'!L25/'Yearly LC Propylene'!L22</f>
        <v>0.94191999999999998</v>
      </c>
      <c r="L38" s="22">
        <f>'Yearly LC Propylene'!M25/'Yearly LC Propylene'!M22</f>
        <v>0.93465999999999994</v>
      </c>
      <c r="M38" s="22">
        <f>'Yearly LC Propylene'!N25/'Yearly LC Propylene'!N22</f>
        <v>0.92739999999999989</v>
      </c>
      <c r="N38" s="22">
        <f>'Yearly LC Propylene'!O25/'Yearly LC Propylene'!O22</f>
        <v>0.92014000000000007</v>
      </c>
      <c r="O38" s="22">
        <f>'Yearly LC Propylene'!P25/'Yearly LC Propylene'!P22</f>
        <v>0.91287999999999991</v>
      </c>
      <c r="P38" s="22">
        <f>'Yearly LC Propylene'!Q25/'Yearly LC Propylene'!Q22</f>
        <v>0.90562000000000009</v>
      </c>
      <c r="Q38" s="22">
        <f>'Yearly LC Propylene'!R25/'Yearly LC Propylene'!R22</f>
        <v>0.89836000000000005</v>
      </c>
      <c r="R38" s="22">
        <f>'Yearly LC Propylene'!S25/'Yearly LC Propylene'!S22</f>
        <v>0.8911</v>
      </c>
      <c r="S38" s="22">
        <f>'Yearly LC Propylene'!T25/'Yearly LC Propylene'!T22</f>
        <v>0.88384000000000007</v>
      </c>
      <c r="T38" s="22">
        <f>'Yearly LC Propylene'!U25/'Yearly LC Propylene'!U22</f>
        <v>0.87658000000000003</v>
      </c>
      <c r="U38" s="22">
        <f>'Yearly LC Propylene'!V25/'Yearly LC Propylene'!V22</f>
        <v>0.86931999999999998</v>
      </c>
      <c r="V38" s="22">
        <f>'Yearly LC Propylene'!W25/'Yearly LC Propylene'!W22</f>
        <v>0.86205999999999994</v>
      </c>
      <c r="W38" s="22">
        <f>'Yearly LC Propylene'!X25/'Yearly LC Propylene'!X22</f>
        <v>0.85479999999999989</v>
      </c>
      <c r="X38" s="22">
        <f>'Yearly LC Propylene'!Y25/'Yearly LC Propylene'!Y22</f>
        <v>0.84731999999999996</v>
      </c>
      <c r="Y38" s="22">
        <f>'Yearly LC Propylene'!Z25/'Yearly LC Propylene'!Z22</f>
        <v>0.83984000000000003</v>
      </c>
      <c r="Z38" s="22">
        <f>'Yearly LC Propylene'!AA25/'Yearly LC Propylene'!AA22</f>
        <v>0.83235999999999999</v>
      </c>
      <c r="AA38" s="22">
        <f>'Yearly LC Propylene'!AB25/'Yearly LC Propylene'!AB22</f>
        <v>0.82488000000000006</v>
      </c>
      <c r="AB38" s="22">
        <f>'Yearly LC Propylene'!AC25/'Yearly LC Propylene'!AC22</f>
        <v>0.8173999999999999</v>
      </c>
      <c r="AC38" s="22">
        <f>'Yearly LC Propylene'!AD25/'Yearly LC Propylene'!AD22</f>
        <v>0.80991999999999997</v>
      </c>
      <c r="AD38" s="22">
        <f>'Yearly LC Propylene'!AE25/'Yearly LC Propylene'!AE22</f>
        <v>0.80244000000000004</v>
      </c>
      <c r="AE38" s="22">
        <f>'Yearly LC Propylene'!AF25/'Yearly LC Propylene'!AF22</f>
        <v>0.79496000000000011</v>
      </c>
      <c r="AF38" s="22">
        <f>'Yearly LC Propylene'!AG25/'Yearly LC Propylene'!AG22</f>
        <v>0.78747999999999996</v>
      </c>
      <c r="AG38" s="22">
        <f>'Yearly LC Propylene'!AH25/'Yearly LC Propylene'!AH22</f>
        <v>0.78</v>
      </c>
      <c r="AL38" s="100"/>
      <c r="AM38" s="2"/>
      <c r="AN38" s="2"/>
      <c r="AO38" s="2"/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489</v>
      </c>
      <c r="B39" s="50" t="s">
        <v>126</v>
      </c>
      <c r="C39" s="22" t="s">
        <v>506</v>
      </c>
      <c r="D39" s="22" t="s">
        <v>506</v>
      </c>
      <c r="E39" s="22" t="s">
        <v>506</v>
      </c>
      <c r="F39" s="22" t="s">
        <v>506</v>
      </c>
      <c r="G39" s="22" t="s">
        <v>506</v>
      </c>
      <c r="H39" s="22" t="s">
        <v>506</v>
      </c>
      <c r="I39" s="22" t="s">
        <v>506</v>
      </c>
      <c r="J39" s="22" t="s">
        <v>506</v>
      </c>
      <c r="K39" s="22" t="s">
        <v>506</v>
      </c>
      <c r="L39" s="22" t="s">
        <v>506</v>
      </c>
      <c r="M39" s="22" t="s">
        <v>506</v>
      </c>
      <c r="N39" s="22" t="s">
        <v>506</v>
      </c>
      <c r="O39" s="22" t="s">
        <v>506</v>
      </c>
      <c r="P39" s="22" t="s">
        <v>506</v>
      </c>
      <c r="Q39" s="22" t="s">
        <v>506</v>
      </c>
      <c r="R39" s="22" t="s">
        <v>506</v>
      </c>
      <c r="S39" s="22" t="s">
        <v>506</v>
      </c>
      <c r="T39" s="22" t="s">
        <v>506</v>
      </c>
      <c r="U39" s="22" t="s">
        <v>506</v>
      </c>
      <c r="V39" s="22" t="s">
        <v>506</v>
      </c>
      <c r="W39" s="22" t="s">
        <v>506</v>
      </c>
      <c r="X39" s="22" t="s">
        <v>506</v>
      </c>
      <c r="Y39" s="22" t="s">
        <v>506</v>
      </c>
      <c r="Z39" s="22" t="s">
        <v>506</v>
      </c>
      <c r="AA39" s="22" t="s">
        <v>506</v>
      </c>
      <c r="AB39" s="22" t="s">
        <v>506</v>
      </c>
      <c r="AC39" s="22" t="s">
        <v>506</v>
      </c>
      <c r="AD39" s="22" t="s">
        <v>506</v>
      </c>
      <c r="AE39" s="22" t="s">
        <v>506</v>
      </c>
      <c r="AF39" s="22" t="s">
        <v>506</v>
      </c>
      <c r="AG39" s="22" t="s">
        <v>506</v>
      </c>
      <c r="AL39" s="100"/>
      <c r="AM39" s="2"/>
      <c r="AN39" s="2"/>
      <c r="AO39" s="2"/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319</v>
      </c>
      <c r="B40" s="156" t="s">
        <v>126</v>
      </c>
      <c r="C40" s="102">
        <f>'Yearly LC Propylene'!D35/'Yearly LC Propylene'!D32</f>
        <v>1</v>
      </c>
      <c r="D40" s="102">
        <f>'Yearly LC Propylene'!E35/'Yearly LC Propylene'!E32</f>
        <v>0.99669999999999992</v>
      </c>
      <c r="E40" s="102">
        <f>'Yearly LC Propylene'!F35/'Yearly LC Propylene'!F32</f>
        <v>0.99339999999999995</v>
      </c>
      <c r="F40" s="102">
        <f>'Yearly LC Propylene'!G35/'Yearly LC Propylene'!G32</f>
        <v>0.99009999999999998</v>
      </c>
      <c r="G40" s="102">
        <f>'Yearly LC Propylene'!H35/'Yearly LC Propylene'!H32</f>
        <v>0.98680000000000001</v>
      </c>
      <c r="H40" s="102">
        <f>'Yearly LC Propylene'!I35/'Yearly LC Propylene'!I32</f>
        <v>0.98349999999999982</v>
      </c>
      <c r="I40" s="102">
        <f>'Yearly LC Propylene'!J35/'Yearly LC Propylene'!J32</f>
        <v>0.98020000000000007</v>
      </c>
      <c r="J40" s="102">
        <f>'Yearly LC Propylene'!K35/'Yearly LC Propylene'!K32</f>
        <v>0.97689999999999988</v>
      </c>
      <c r="K40" s="102">
        <f>'Yearly LC Propylene'!L35/'Yearly LC Propylene'!L32</f>
        <v>0.97360000000000002</v>
      </c>
      <c r="L40" s="102">
        <f>'Yearly LC Propylene'!M35/'Yearly LC Propylene'!M32</f>
        <v>0.97030000000000005</v>
      </c>
      <c r="M40" s="102">
        <f>'Yearly LC Propylene'!N35/'Yearly LC Propylene'!N32</f>
        <v>0.96699999999999997</v>
      </c>
      <c r="N40" s="102">
        <f>'Yearly LC Propylene'!O35/'Yearly LC Propylene'!O32</f>
        <v>0.9637</v>
      </c>
      <c r="O40" s="102">
        <f>'Yearly LC Propylene'!P35/'Yearly LC Propylene'!P32</f>
        <v>0.96039999999999992</v>
      </c>
      <c r="P40" s="102">
        <f>'Yearly LC Propylene'!Q35/'Yearly LC Propylene'!Q32</f>
        <v>0.95710000000000006</v>
      </c>
      <c r="Q40" s="102">
        <f>'Yearly LC Propylene'!R35/'Yearly LC Propylene'!R32</f>
        <v>0.95379999999999998</v>
      </c>
      <c r="R40" s="102">
        <f>'Yearly LC Propylene'!S35/'Yearly LC Propylene'!S32</f>
        <v>0.9504999999999999</v>
      </c>
      <c r="S40" s="102">
        <f>'Yearly LC Propylene'!T35/'Yearly LC Propylene'!T32</f>
        <v>0.94720000000000004</v>
      </c>
      <c r="T40" s="102">
        <f>'Yearly LC Propylene'!U35/'Yearly LC Propylene'!U32</f>
        <v>0.94389999999999996</v>
      </c>
      <c r="U40" s="102">
        <f>'Yearly LC Propylene'!V35/'Yearly LC Propylene'!V32</f>
        <v>0.94059999999999999</v>
      </c>
      <c r="V40" s="102">
        <f>'Yearly LC Propylene'!W35/'Yearly LC Propylene'!W32</f>
        <v>0.93730000000000002</v>
      </c>
      <c r="W40" s="102">
        <f>'Yearly LC Propylene'!X35/'Yearly LC Propylene'!X32</f>
        <v>0.93399999999999994</v>
      </c>
      <c r="X40" s="102">
        <f>'Yearly LC Propylene'!Y35/'Yearly LC Propylene'!Y32</f>
        <v>0.93059999999999998</v>
      </c>
      <c r="Y40" s="102">
        <f>'Yearly LC Propylene'!Z35/'Yearly LC Propylene'!Z32</f>
        <v>0.92720000000000002</v>
      </c>
      <c r="Z40" s="102">
        <f>'Yearly LC Propylene'!AA35/'Yearly LC Propylene'!AA32</f>
        <v>0.92380000000000007</v>
      </c>
      <c r="AA40" s="102">
        <f>'Yearly LC Propylene'!AB35/'Yearly LC Propylene'!AB32</f>
        <v>0.9204</v>
      </c>
      <c r="AB40" s="102">
        <f>'Yearly LC Propylene'!AC35/'Yearly LC Propylene'!AC32</f>
        <v>0.91699999999999993</v>
      </c>
      <c r="AC40" s="102">
        <f>'Yearly LC Propylene'!AD35/'Yearly LC Propylene'!AD32</f>
        <v>0.91359999999999997</v>
      </c>
      <c r="AD40" s="102">
        <f>'Yearly LC Propylene'!AE35/'Yearly LC Propylene'!AE32</f>
        <v>0.91020000000000001</v>
      </c>
      <c r="AE40" s="102">
        <f>'Yearly LC Propylene'!AF35/'Yearly LC Propylene'!AF32</f>
        <v>0.90679999999999994</v>
      </c>
      <c r="AF40" s="102">
        <f>'Yearly LC Propylene'!AG35/'Yearly LC Propylene'!AG32</f>
        <v>0.90340000000000009</v>
      </c>
      <c r="AG40" s="102">
        <f>'Yearly LC Propylene'!AH35/'Yearly LC Propylene'!AH32</f>
        <v>0.89999999999999991</v>
      </c>
      <c r="AI40" s="122"/>
      <c r="AL40" s="100"/>
      <c r="AM40" s="2"/>
      <c r="AN40" s="2"/>
      <c r="AO40" s="2"/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I41" t="s">
        <v>406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320</v>
      </c>
      <c r="B42" s="50" t="s">
        <v>312</v>
      </c>
      <c r="C42" s="99">
        <f>C24*C36</f>
        <v>1380521.2058671515</v>
      </c>
      <c r="D42" s="99">
        <f t="shared" ref="D42:AF42" si="18">D24*D36</f>
        <v>1368096.725973723</v>
      </c>
      <c r="E42" s="99">
        <f t="shared" si="18"/>
        <v>1355720.3742045583</v>
      </c>
      <c r="F42" s="99">
        <f t="shared" si="18"/>
        <v>1343391.9986160817</v>
      </c>
      <c r="G42" s="99">
        <f t="shared" si="18"/>
        <v>1331111.4477010225</v>
      </c>
      <c r="H42" s="99">
        <f t="shared" si="18"/>
        <v>1318878.5703872321</v>
      </c>
      <c r="I42" s="99">
        <f t="shared" si="18"/>
        <v>1306693.2160364992</v>
      </c>
      <c r="J42" s="99">
        <f t="shared" si="18"/>
        <v>1294555.2344433707</v>
      </c>
      <c r="K42" s="99">
        <f t="shared" si="18"/>
        <v>1282464.4758339762</v>
      </c>
      <c r="L42" s="99">
        <f t="shared" si="18"/>
        <v>1270420.7908648527</v>
      </c>
      <c r="M42" s="99">
        <f t="shared" si="18"/>
        <v>1258424.0306217757</v>
      </c>
      <c r="N42" s="99">
        <f t="shared" si="18"/>
        <v>1243792.0354385921</v>
      </c>
      <c r="O42" s="99">
        <f t="shared" si="18"/>
        <v>1230713.2842094968</v>
      </c>
      <c r="P42" s="99">
        <f t="shared" si="18"/>
        <v>1216614.875330494</v>
      </c>
      <c r="Q42" s="99">
        <f t="shared" si="18"/>
        <v>1202572.7152945998</v>
      </c>
      <c r="R42" s="99">
        <f t="shared" si="18"/>
        <v>1188586.6244617517</v>
      </c>
      <c r="S42" s="99">
        <f t="shared" si="18"/>
        <v>1174656.4237109027</v>
      </c>
      <c r="T42" s="99">
        <f t="shared" si="18"/>
        <v>1160781.9344386058</v>
      </c>
      <c r="U42" s="99">
        <f t="shared" si="18"/>
        <v>1146962.978557599</v>
      </c>
      <c r="V42" s="99">
        <f t="shared" si="18"/>
        <v>1133199.378495401</v>
      </c>
      <c r="W42" s="99">
        <f t="shared" si="18"/>
        <v>1119490.9571929036</v>
      </c>
      <c r="X42" s="99">
        <f t="shared" si="18"/>
        <v>1111328.6565063568</v>
      </c>
      <c r="Y42" s="99">
        <f t="shared" si="18"/>
        <v>1101638.7353736965</v>
      </c>
      <c r="Z42" s="99">
        <f t="shared" si="18"/>
        <v>1091986.1807585624</v>
      </c>
      <c r="AA42" s="99">
        <f t="shared" si="18"/>
        <v>1082370.8749049206</v>
      </c>
      <c r="AB42" s="99">
        <f t="shared" si="18"/>
        <v>1072792.7003945457</v>
      </c>
      <c r="AC42" s="99">
        <f t="shared" si="18"/>
        <v>1063251.5401461031</v>
      </c>
      <c r="AD42" s="99">
        <f t="shared" si="18"/>
        <v>1053747.2774142355</v>
      </c>
      <c r="AE42" s="99">
        <f t="shared" si="18"/>
        <v>1044279.7957886481</v>
      </c>
      <c r="AF42" s="99">
        <f t="shared" si="18"/>
        <v>1034848.9791931994</v>
      </c>
      <c r="AG42" s="99">
        <f>AG24*AG36</f>
        <v>1025454.7118849931</v>
      </c>
      <c r="AI42" s="184" t="s">
        <v>285</v>
      </c>
      <c r="AJ42" s="185" t="s">
        <v>407</v>
      </c>
      <c r="BD42" s="37"/>
      <c r="BE42" s="37"/>
      <c r="BF42" s="37"/>
      <c r="BG42" s="37"/>
      <c r="BH42" s="37"/>
      <c r="BI42" s="37"/>
      <c r="BJ42" s="37"/>
      <c r="BK42" s="37"/>
      <c r="BL42" s="110"/>
    </row>
    <row r="43" spans="1:64" outlineLevel="1">
      <c r="A43" t="s">
        <v>321</v>
      </c>
      <c r="B43" s="50" t="s">
        <v>312</v>
      </c>
      <c r="C43" s="99">
        <f>C25*$C$37</f>
        <v>87727.100543358742</v>
      </c>
      <c r="D43" s="99">
        <f t="shared" ref="D43:O43" si="19">D25*$C$37</f>
        <v>87533.436405814733</v>
      </c>
      <c r="E43" s="99">
        <f t="shared" si="19"/>
        <v>87340.199796342858</v>
      </c>
      <c r="F43" s="99">
        <f t="shared" si="19"/>
        <v>87147.389771142945</v>
      </c>
      <c r="G43" s="99">
        <f t="shared" si="19"/>
        <v>86955.005388498277</v>
      </c>
      <c r="H43" s="99">
        <f t="shared" si="19"/>
        <v>86763.045708771082</v>
      </c>
      <c r="I43" s="99">
        <f t="shared" si="19"/>
        <v>86571.509794397891</v>
      </c>
      <c r="J43" s="99">
        <f t="shared" si="19"/>
        <v>86380.396709884983</v>
      </c>
      <c r="K43" s="99">
        <f t="shared" si="19"/>
        <v>86189.7055218038</v>
      </c>
      <c r="L43" s="99">
        <f t="shared" si="19"/>
        <v>85999.435298786411</v>
      </c>
      <c r="M43" s="99">
        <f t="shared" si="19"/>
        <v>85809.585111520966</v>
      </c>
      <c r="N43" s="99">
        <f t="shared" si="19"/>
        <v>85620.154032747101</v>
      </c>
      <c r="O43" s="99">
        <f t="shared" si="19"/>
        <v>85431.141137251441</v>
      </c>
      <c r="P43" s="99">
        <f>D37*P25</f>
        <v>85097.550850029947</v>
      </c>
      <c r="Q43" s="99">
        <f t="shared" ref="Q43:AG43" si="20">E37*Q25</f>
        <v>84764.853378807107</v>
      </c>
      <c r="R43" s="99">
        <f t="shared" si="20"/>
        <v>84433.047650940774</v>
      </c>
      <c r="S43" s="99">
        <f t="shared" si="20"/>
        <v>84102.132589480898</v>
      </c>
      <c r="T43" s="99">
        <f t="shared" si="20"/>
        <v>83772.107113208345</v>
      </c>
      <c r="U43" s="99">
        <f t="shared" si="20"/>
        <v>83442.970136673757</v>
      </c>
      <c r="V43" s="99">
        <f t="shared" si="20"/>
        <v>83114.720570236008</v>
      </c>
      <c r="W43" s="99">
        <f t="shared" si="20"/>
        <v>82787.357320100476</v>
      </c>
      <c r="X43" s="99">
        <f t="shared" si="20"/>
        <v>82460.87928835729</v>
      </c>
      <c r="Y43" s="99">
        <f t="shared" si="20"/>
        <v>82135.285373019258</v>
      </c>
      <c r="Z43" s="99">
        <f t="shared" si="20"/>
        <v>81603.814819213396</v>
      </c>
      <c r="AA43" s="99">
        <f t="shared" si="20"/>
        <v>81071.620164371125</v>
      </c>
      <c r="AB43" s="99">
        <f t="shared" si="20"/>
        <v>80538.744155162058</v>
      </c>
      <c r="AC43" s="99">
        <f t="shared" si="20"/>
        <v>80005.229202883158</v>
      </c>
      <c r="AD43" s="99">
        <f t="shared" si="20"/>
        <v>79471.117385214064</v>
      </c>
      <c r="AE43" s="99">
        <f t="shared" si="20"/>
        <v>78936.450447964904</v>
      </c>
      <c r="AF43" s="99">
        <f t="shared" si="20"/>
        <v>78401.269806816475</v>
      </c>
      <c r="AG43" s="99">
        <f t="shared" si="20"/>
        <v>77865.616549053229</v>
      </c>
      <c r="AI43" s="184" t="s">
        <v>286</v>
      </c>
      <c r="AJ43" s="185" t="s">
        <v>407</v>
      </c>
      <c r="BD43" s="37"/>
      <c r="BE43" s="37"/>
      <c r="BF43" s="37"/>
      <c r="BG43" s="37"/>
      <c r="BH43" s="37"/>
      <c r="BI43" s="37"/>
      <c r="BJ43" s="37"/>
      <c r="BK43" s="37"/>
      <c r="BL43" s="110"/>
    </row>
    <row r="44" spans="1:64" outlineLevel="1">
      <c r="A44" t="s">
        <v>322</v>
      </c>
      <c r="B44" s="50" t="s">
        <v>312</v>
      </c>
      <c r="C44" s="99">
        <f>C26</f>
        <v>60198.916928472419</v>
      </c>
      <c r="D44" s="99">
        <f t="shared" ref="D44:AG44" si="21">D26</f>
        <v>60066.023315713908</v>
      </c>
      <c r="E44" s="99">
        <f t="shared" si="21"/>
        <v>59933.423075547675</v>
      </c>
      <c r="F44" s="99">
        <f t="shared" si="21"/>
        <v>59801.115560331789</v>
      </c>
      <c r="G44" s="99">
        <f t="shared" si="21"/>
        <v>59669.100123854005</v>
      </c>
      <c r="H44" s="99">
        <f t="shared" si="21"/>
        <v>59537.376121328663</v>
      </c>
      <c r="I44" s="99">
        <f t="shared" si="21"/>
        <v>59405.942909393518</v>
      </c>
      <c r="J44" s="99">
        <f t="shared" si="21"/>
        <v>59274.799846106594</v>
      </c>
      <c r="K44" s="99">
        <f t="shared" si="21"/>
        <v>59143.946290943022</v>
      </c>
      <c r="L44" s="99">
        <f t="shared" si="21"/>
        <v>59013.381604791975</v>
      </c>
      <c r="M44" s="99">
        <f t="shared" si="21"/>
        <v>58883.105149953488</v>
      </c>
      <c r="N44" s="99">
        <f t="shared" si="21"/>
        <v>58753.116290135389</v>
      </c>
      <c r="O44" s="99">
        <f t="shared" si="21"/>
        <v>58623.414390450147</v>
      </c>
      <c r="P44" s="99">
        <f t="shared" si="21"/>
        <v>58493.998817411797</v>
      </c>
      <c r="Q44" s="99">
        <f t="shared" si="21"/>
        <v>58364.868938932836</v>
      </c>
      <c r="R44" s="99">
        <f t="shared" si="21"/>
        <v>58236.024124321171</v>
      </c>
      <c r="S44" s="99">
        <f t="shared" si="21"/>
        <v>58107.463744276982</v>
      </c>
      <c r="T44" s="99">
        <f t="shared" si="21"/>
        <v>57979.187170889672</v>
      </c>
      <c r="U44" s="99">
        <f t="shared" si="21"/>
        <v>57851.193777634835</v>
      </c>
      <c r="V44" s="99">
        <f t="shared" si="21"/>
        <v>57723.482939371126</v>
      </c>
      <c r="W44" s="99">
        <f t="shared" si="21"/>
        <v>57596.054032337262</v>
      </c>
      <c r="X44" s="99">
        <f t="shared" si="21"/>
        <v>57468.906434148965</v>
      </c>
      <c r="Y44" s="99">
        <f t="shared" si="21"/>
        <v>57342.039523795916</v>
      </c>
      <c r="Z44" s="99">
        <f t="shared" si="21"/>
        <v>57215.452681638715</v>
      </c>
      <c r="AA44" s="99">
        <f t="shared" si="21"/>
        <v>57089.145289405875</v>
      </c>
      <c r="AB44" s="99">
        <f t="shared" si="21"/>
        <v>56963.116730190784</v>
      </c>
      <c r="AC44" s="99">
        <f t="shared" si="21"/>
        <v>56837.366388448674</v>
      </c>
      <c r="AD44" s="99">
        <f t="shared" si="21"/>
        <v>56711.893649993675</v>
      </c>
      <c r="AE44" s="99">
        <f t="shared" si="21"/>
        <v>56586.697901995765</v>
      </c>
      <c r="AF44" s="99">
        <f t="shared" si="21"/>
        <v>56461.778532977776</v>
      </c>
      <c r="AG44" s="99">
        <f t="shared" si="21"/>
        <v>56337.134932812442</v>
      </c>
      <c r="AI44" s="184" t="s">
        <v>287</v>
      </c>
      <c r="AJ44" s="185" t="s">
        <v>407</v>
      </c>
      <c r="BD44" s="37"/>
      <c r="BE44" s="37"/>
      <c r="BF44" s="37"/>
      <c r="BG44" s="37"/>
      <c r="BH44" s="37"/>
      <c r="BI44" s="37"/>
      <c r="BJ44" s="37"/>
      <c r="BK44" s="37"/>
      <c r="BL44" s="110"/>
    </row>
    <row r="45" spans="1:64" outlineLevel="1">
      <c r="A45" t="s">
        <v>323</v>
      </c>
      <c r="B45" s="50" t="s">
        <v>312</v>
      </c>
      <c r="C45" s="78">
        <v>0</v>
      </c>
      <c r="D45" s="78">
        <v>0</v>
      </c>
      <c r="E45" s="78">
        <v>0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0</v>
      </c>
      <c r="P45" s="78">
        <v>0</v>
      </c>
      <c r="Q45" s="78">
        <v>0</v>
      </c>
      <c r="R45" s="78">
        <v>0</v>
      </c>
      <c r="S45" s="78">
        <v>0</v>
      </c>
      <c r="T45" s="78">
        <v>0</v>
      </c>
      <c r="U45" s="78">
        <v>0</v>
      </c>
      <c r="V45" s="78">
        <v>0</v>
      </c>
      <c r="W45" s="78">
        <v>0</v>
      </c>
      <c r="X45" s="78">
        <v>0</v>
      </c>
      <c r="Y45" s="78">
        <v>0</v>
      </c>
      <c r="Z45" s="78">
        <v>0</v>
      </c>
      <c r="AA45" s="78">
        <v>0</v>
      </c>
      <c r="AB45" s="78">
        <v>0</v>
      </c>
      <c r="AC45" s="78">
        <v>0</v>
      </c>
      <c r="AD45" s="78">
        <v>0</v>
      </c>
      <c r="AE45" s="78">
        <v>0</v>
      </c>
      <c r="AF45" s="78">
        <v>0</v>
      </c>
      <c r="AG45" s="78">
        <v>0</v>
      </c>
      <c r="AI45" s="184" t="s">
        <v>288</v>
      </c>
      <c r="AJ45" s="185" t="s">
        <v>407</v>
      </c>
      <c r="AL45" s="5"/>
      <c r="AM45" s="101"/>
      <c r="AN45" s="101"/>
      <c r="AO45" s="101"/>
      <c r="BC45" s="1"/>
      <c r="BD45" s="110"/>
      <c r="BE45" s="110"/>
      <c r="BF45" s="110"/>
      <c r="BG45" s="110"/>
      <c r="BH45" s="110"/>
      <c r="BI45" s="110"/>
      <c r="BJ45" s="110"/>
      <c r="BK45" s="110"/>
      <c r="BL45" s="110"/>
    </row>
    <row r="46" spans="1:64" outlineLevel="1">
      <c r="A46" s="160" t="s">
        <v>324</v>
      </c>
      <c r="B46" s="156" t="s">
        <v>312</v>
      </c>
      <c r="C46" s="99">
        <f>(C28+C27)*$C$40</f>
        <v>757590.2402893164</v>
      </c>
      <c r="D46" s="99">
        <f t="shared" ref="D46:H46" si="22">(D28+D27)*$C$40</f>
        <v>755917.80315656425</v>
      </c>
      <c r="E46" s="99">
        <f t="shared" si="22"/>
        <v>754249.058053902</v>
      </c>
      <c r="F46" s="99">
        <f t="shared" si="22"/>
        <v>752583.99683089717</v>
      </c>
      <c r="G46" s="99">
        <f t="shared" si="22"/>
        <v>750922.61135510972</v>
      </c>
      <c r="H46" s="99">
        <f t="shared" si="22"/>
        <v>749264.89351205248</v>
      </c>
      <c r="I46" s="99">
        <f>(I28+I27)*D40</f>
        <v>745143.71944897517</v>
      </c>
      <c r="J46" s="99">
        <f t="shared" ref="J46:AG46" si="23">(J28+J27)*E40</f>
        <v>741037.08952856122</v>
      </c>
      <c r="K46" s="99">
        <f t="shared" si="23"/>
        <v>736944.95962031861</v>
      </c>
      <c r="L46" s="99">
        <f t="shared" si="23"/>
        <v>732867.28571771935</v>
      </c>
      <c r="M46" s="99">
        <f t="shared" si="23"/>
        <v>728804.02393786609</v>
      </c>
      <c r="N46" s="99">
        <f t="shared" si="23"/>
        <v>724755.13052116195</v>
      </c>
      <c r="O46" s="99">
        <f t="shared" si="23"/>
        <v>720720.56183097896</v>
      </c>
      <c r="P46" s="99">
        <f t="shared" si="23"/>
        <v>716700.27435332886</v>
      </c>
      <c r="Q46" s="99">
        <f t="shared" si="23"/>
        <v>712694.22469653445</v>
      </c>
      <c r="R46" s="99">
        <f t="shared" si="23"/>
        <v>708702.36959090107</v>
      </c>
      <c r="S46" s="99">
        <f t="shared" si="23"/>
        <v>704724.66588839015</v>
      </c>
      <c r="T46" s="99">
        <f t="shared" si="23"/>
        <v>700761.07056229247</v>
      </c>
      <c r="U46" s="99">
        <f t="shared" si="23"/>
        <v>696811.54070690298</v>
      </c>
      <c r="V46" s="99">
        <f t="shared" si="23"/>
        <v>692876.03353719576</v>
      </c>
      <c r="W46" s="99">
        <f t="shared" si="23"/>
        <v>688954.5063885015</v>
      </c>
      <c r="X46" s="99">
        <f t="shared" si="23"/>
        <v>685046.9167161833</v>
      </c>
      <c r="Y46" s="99">
        <f t="shared" si="23"/>
        <v>681153.222095315</v>
      </c>
      <c r="Z46" s="99">
        <f t="shared" si="23"/>
        <v>677273.3802203607</v>
      </c>
      <c r="AA46" s="99">
        <f t="shared" si="23"/>
        <v>673407.34890485322</v>
      </c>
      <c r="AB46" s="99">
        <f t="shared" si="23"/>
        <v>669555.08608107548</v>
      </c>
      <c r="AC46" s="99">
        <f t="shared" si="23"/>
        <v>665645.02121375245</v>
      </c>
      <c r="AD46" s="99">
        <f t="shared" si="23"/>
        <v>661748.95686710998</v>
      </c>
      <c r="AE46" s="99">
        <f t="shared" si="23"/>
        <v>657866.85028201179</v>
      </c>
      <c r="AF46" s="99">
        <f t="shared" si="23"/>
        <v>653998.65881987975</v>
      </c>
      <c r="AG46" s="99">
        <f t="shared" si="23"/>
        <v>650144.33996237011</v>
      </c>
      <c r="AI46" s="184" t="s">
        <v>288</v>
      </c>
      <c r="AJ46" s="185" t="s">
        <v>407</v>
      </c>
      <c r="AL46" s="100"/>
      <c r="AM46" s="2"/>
      <c r="AN46" s="2"/>
      <c r="AO46" s="2"/>
    </row>
    <row r="47" spans="1:64" s="1" customFormat="1" ht="15.5" thickBot="1">
      <c r="A47" s="174" t="s">
        <v>490</v>
      </c>
      <c r="B47" s="189" t="s">
        <v>312</v>
      </c>
      <c r="C47" s="190">
        <f>SUM(C42:C46)</f>
        <v>2286037.4636282991</v>
      </c>
      <c r="D47" s="190">
        <f t="shared" ref="D47:AF47" si="24">SUM(D42:D46)</f>
        <v>2271613.9888518159</v>
      </c>
      <c r="E47" s="190">
        <f t="shared" si="24"/>
        <v>2257243.0551303509</v>
      </c>
      <c r="F47" s="190">
        <f t="shared" si="24"/>
        <v>2242924.5007784534</v>
      </c>
      <c r="G47" s="190">
        <f t="shared" si="24"/>
        <v>2228658.1645684843</v>
      </c>
      <c r="H47" s="190">
        <f t="shared" si="24"/>
        <v>2214443.8857293846</v>
      </c>
      <c r="I47" s="190">
        <f t="shared" si="24"/>
        <v>2197814.388189266</v>
      </c>
      <c r="J47" s="190">
        <f t="shared" si="24"/>
        <v>2181247.5205279235</v>
      </c>
      <c r="K47" s="190">
        <f t="shared" si="24"/>
        <v>2164743.0872670417</v>
      </c>
      <c r="L47" s="190">
        <f t="shared" si="24"/>
        <v>2148300.8934861505</v>
      </c>
      <c r="M47" s="190">
        <f t="shared" si="24"/>
        <v>2131920.7448211163</v>
      </c>
      <c r="N47" s="190">
        <f t="shared" si="24"/>
        <v>2112920.4362826366</v>
      </c>
      <c r="O47" s="190">
        <f t="shared" si="24"/>
        <v>2095488.4015681772</v>
      </c>
      <c r="P47" s="190">
        <f t="shared" si="24"/>
        <v>2076906.6993512646</v>
      </c>
      <c r="Q47" s="190">
        <f t="shared" si="24"/>
        <v>2058396.6623088743</v>
      </c>
      <c r="R47" s="190">
        <f t="shared" si="24"/>
        <v>2039958.0658279145</v>
      </c>
      <c r="S47" s="190">
        <f t="shared" si="24"/>
        <v>2021590.6859330507</v>
      </c>
      <c r="T47" s="190">
        <f t="shared" si="24"/>
        <v>2003294.2992849965</v>
      </c>
      <c r="U47" s="190">
        <f t="shared" si="24"/>
        <v>1985068.6831788104</v>
      </c>
      <c r="V47" s="190">
        <f t="shared" si="24"/>
        <v>1966913.6155422039</v>
      </c>
      <c r="W47" s="190">
        <f t="shared" si="24"/>
        <v>1948828.8749338428</v>
      </c>
      <c r="X47" s="190">
        <f t="shared" si="24"/>
        <v>1936305.3589450463</v>
      </c>
      <c r="Y47" s="190">
        <f t="shared" si="24"/>
        <v>1922269.2823658269</v>
      </c>
      <c r="Z47" s="190">
        <f t="shared" si="24"/>
        <v>1908078.8284797752</v>
      </c>
      <c r="AA47" s="190">
        <f t="shared" si="24"/>
        <v>1893938.9892635508</v>
      </c>
      <c r="AB47" s="190">
        <f t="shared" si="24"/>
        <v>1879849.647360974</v>
      </c>
      <c r="AC47" s="190">
        <f t="shared" si="24"/>
        <v>1865739.1569511874</v>
      </c>
      <c r="AD47" s="190">
        <f t="shared" si="24"/>
        <v>1851679.2453165532</v>
      </c>
      <c r="AE47" s="190">
        <f t="shared" si="24"/>
        <v>1837669.7944206207</v>
      </c>
      <c r="AF47" s="190">
        <f t="shared" si="24"/>
        <v>1823710.6863528732</v>
      </c>
      <c r="AG47" s="190">
        <f>SUM(AG42:AG46)</f>
        <v>1809801.8033292289</v>
      </c>
      <c r="AJ47" s="142"/>
      <c r="AL47" s="194"/>
      <c r="AM47" s="116"/>
      <c r="AN47" s="116"/>
      <c r="AO47" s="116"/>
    </row>
    <row r="48" spans="1:64" ht="15.5" thickTop="1">
      <c r="B48" s="156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L48" s="100"/>
      <c r="AM48" s="2"/>
      <c r="AN48" s="2"/>
      <c r="AO48" s="2"/>
    </row>
    <row r="49" spans="1:63" s="174" customFormat="1" ht="15.5" thickBot="1">
      <c r="A49" s="174" t="s">
        <v>416</v>
      </c>
      <c r="B49" s="189" t="s">
        <v>126</v>
      </c>
      <c r="C49" s="195">
        <f>C52</f>
        <v>0.25</v>
      </c>
      <c r="D49" s="195">
        <f t="shared" ref="D49:AG49" si="25">D52</f>
        <v>0.26457720737446438</v>
      </c>
      <c r="E49" s="195">
        <f t="shared" si="25"/>
        <v>0.27910268650612891</v>
      </c>
      <c r="F49" s="195">
        <f t="shared" si="25"/>
        <v>0.2935753589827651</v>
      </c>
      <c r="G49" s="195">
        <f t="shared" si="25"/>
        <v>0.30799411620589501</v>
      </c>
      <c r="H49" s="195">
        <f t="shared" si="25"/>
        <v>0.32235781832715427</v>
      </c>
      <c r="I49" s="195">
        <f t="shared" si="25"/>
        <v>0.33666529313936211</v>
      </c>
      <c r="J49" s="195">
        <f t="shared" si="25"/>
        <v>0.35091533492003341</v>
      </c>
      <c r="K49" s="195">
        <f t="shared" si="25"/>
        <v>0.36510670322493288</v>
      </c>
      <c r="L49" s="195">
        <f t="shared" si="25"/>
        <v>0.37923812162913945</v>
      </c>
      <c r="M49" s="195">
        <f t="shared" si="25"/>
        <v>0.3933082764129337</v>
      </c>
      <c r="N49" s="195">
        <f t="shared" si="25"/>
        <v>0.40222253689942505</v>
      </c>
      <c r="O49" s="195">
        <f t="shared" si="25"/>
        <v>0.41115585058135173</v>
      </c>
      <c r="P49" s="195">
        <f t="shared" si="25"/>
        <v>0.41996216083595783</v>
      </c>
      <c r="Q49" s="195">
        <f t="shared" si="25"/>
        <v>0.42869912854156222</v>
      </c>
      <c r="R49" s="195">
        <f t="shared" si="25"/>
        <v>0.43736477047866673</v>
      </c>
      <c r="S49" s="195">
        <f t="shared" si="25"/>
        <v>0.44595702707220974</v>
      </c>
      <c r="T49" s="195">
        <f t="shared" si="25"/>
        <v>0.45447375868116363</v>
      </c>
      <c r="U49" s="195">
        <f t="shared" si="25"/>
        <v>0.46291274166964713</v>
      </c>
      <c r="V49" s="195">
        <f t="shared" si="25"/>
        <v>0.47127166424439082</v>
      </c>
      <c r="W49" s="195">
        <f t="shared" si="25"/>
        <v>0.47954812204218611</v>
      </c>
      <c r="X49" s="195">
        <f t="shared" si="25"/>
        <v>0.49355404347715387</v>
      </c>
      <c r="Y49" s="195">
        <f t="shared" si="25"/>
        <v>0.5073555376715112</v>
      </c>
      <c r="Z49" s="195">
        <f t="shared" si="25"/>
        <v>0.52108482913731691</v>
      </c>
      <c r="AA49" s="195">
        <f t="shared" si="25"/>
        <v>0.53474047604961183</v>
      </c>
      <c r="AB49" s="195">
        <f t="shared" si="25"/>
        <v>0.54832099793689137</v>
      </c>
      <c r="AC49" s="195">
        <f t="shared" si="25"/>
        <v>0.56182487437752016</v>
      </c>
      <c r="AD49" s="195">
        <f t="shared" si="25"/>
        <v>0.57525054364302552</v>
      </c>
      <c r="AE49" s="195">
        <f t="shared" si="25"/>
        <v>0.58859640128572288</v>
      </c>
      <c r="AF49" s="195">
        <f t="shared" si="25"/>
        <v>0.60186079866799358</v>
      </c>
      <c r="AG49" s="195">
        <f t="shared" si="25"/>
        <v>0.61504204143037822</v>
      </c>
      <c r="AJ49" s="204" t="s">
        <v>491</v>
      </c>
      <c r="AL49" s="191"/>
      <c r="AM49" s="192"/>
      <c r="AN49" s="192"/>
      <c r="AO49" s="192"/>
    </row>
    <row r="50" spans="1:63" ht="15.5" outlineLevel="1" thickTop="1">
      <c r="A50" t="s">
        <v>408</v>
      </c>
      <c r="B50" s="50" t="s">
        <v>126</v>
      </c>
      <c r="C50" s="102">
        <f>'Propylene Recycling HC'!C50*'Propylene Recycling HC'!C$42/'Propylene Recycling LC'!C$42</f>
        <v>8.2746478873239437E-2</v>
      </c>
      <c r="D50" s="102">
        <f>'Propylene Recycling HC'!D50*'Propylene Recycling HC'!D$42/'Propylene Recycling LC'!D$42</f>
        <v>8.9229546517359717E-2</v>
      </c>
      <c r="E50" s="102">
        <f>'Propylene Recycling HC'!E50*'Propylene Recycling HC'!E$42/'Propylene Recycling LC'!E$42</f>
        <v>9.569034378263204E-2</v>
      </c>
      <c r="F50" s="102">
        <f>'Propylene Recycling HC'!F50*'Propylene Recycling HC'!F$42/'Propylene Recycling LC'!F$42</f>
        <v>0.10212840638402405</v>
      </c>
      <c r="G50" s="102">
        <f>'Propylene Recycling HC'!G50*'Propylene Recycling HC'!G$42/'Propylene Recycling LC'!G$42</f>
        <v>0.10854325704052332</v>
      </c>
      <c r="H50" s="102">
        <f>'Propylene Recycling HC'!H50*'Propylene Recycling HC'!H$42/'Propylene Recycling LC'!H$42</f>
        <v>0.11493440501721346</v>
      </c>
      <c r="I50" s="102">
        <f>'Propylene Recycling HC'!I50*'Propylene Recycling HC'!I$42/'Propylene Recycling LC'!I$42</f>
        <v>0.12130134564785056</v>
      </c>
      <c r="J50" s="102">
        <f>'Propylene Recycling HC'!J50*'Propylene Recycling HC'!J$42/'Propylene Recycling LC'!J$42</f>
        <v>0.12764355983696407</v>
      </c>
      <c r="K50" s="102">
        <f>'Propylene Recycling HC'!K50*'Propylene Recycling HC'!K$42/'Propylene Recycling LC'!K$42</f>
        <v>0.13396051354045044</v>
      </c>
      <c r="L50" s="102">
        <f>'Propylene Recycling HC'!L50*'Propylene Recycling HC'!L$42/'Propylene Recycling LC'!L$42</f>
        <v>0.14025165722356756</v>
      </c>
      <c r="M50" s="102">
        <f>'Propylene Recycling HC'!M50*'Propylene Recycling HC'!M$42/'Propylene Recycling LC'!M$42</f>
        <v>0.14651642529517478</v>
      </c>
      <c r="N50" s="102">
        <f>'Propylene Recycling HC'!N50*'Propylene Recycling HC'!N$42/'Propylene Recycling LC'!N$42</f>
        <v>0.15492712940726186</v>
      </c>
      <c r="O50" s="102">
        <f>'Propylene Recycling HC'!O50*'Propylene Recycling HC'!O$42/'Propylene Recycling LC'!O$42</f>
        <v>0.1633216124052673</v>
      </c>
      <c r="P50" s="102">
        <f>'Propylene Recycling HC'!P50*'Propylene Recycling HC'!P$42/'Propylene Recycling LC'!P$42</f>
        <v>0.1716425065201457</v>
      </c>
      <c r="Q50" s="102">
        <f>'Propylene Recycling HC'!Q50*'Propylene Recycling HC'!Q$42/'Propylene Recycling LC'!Q$42</f>
        <v>0.17991132252608938</v>
      </c>
      <c r="R50" s="102">
        <f>'Propylene Recycling HC'!R50*'Propylene Recycling HC'!R$42/'Propylene Recycling LC'!R$42</f>
        <v>0.18812657097221214</v>
      </c>
      <c r="S50" s="102">
        <f>'Propylene Recycling HC'!S50*'Propylene Recycling HC'!S$42/'Propylene Recycling LC'!S$42</f>
        <v>0.19628670506255713</v>
      </c>
      <c r="T50" s="102">
        <f>'Propylene Recycling HC'!T50*'Propylene Recycling HC'!T$42/'Propylene Recycling LC'!T$42</f>
        <v>0.20439011786948616</v>
      </c>
      <c r="U50" s="102">
        <f>'Propylene Recycling HC'!U50*'Propylene Recycling HC'!U$42/'Propylene Recycling LC'!U$42</f>
        <v>0.21243513938297884</v>
      </c>
      <c r="V50" s="102">
        <f>'Propylene Recycling HC'!V50*'Propylene Recycling HC'!V$42/'Propylene Recycling LC'!V$42</f>
        <v>0.22042003338445862</v>
      </c>
      <c r="W50" s="102">
        <f>'Propylene Recycling HC'!W50*'Propylene Recycling HC'!W$42/'Propylene Recycling LC'!W$42</f>
        <v>0.228342994132849</v>
      </c>
      <c r="X50" s="102">
        <f>'Propylene Recycling HC'!X50*'Propylene Recycling HC'!X$42/'Propylene Recycling LC'!X$42</f>
        <v>0.24163962140146752</v>
      </c>
      <c r="Y50" s="102">
        <f>'Propylene Recycling HC'!Y50*'Propylene Recycling HC'!Y$42/'Propylene Recycling LC'!Y$42</f>
        <v>0.25481270985116666</v>
      </c>
      <c r="Z50" s="102">
        <f>'Propylene Recycling HC'!Z50*'Propylene Recycling HC'!Z$42/'Propylene Recycling LC'!Z$42</f>
        <v>0.26792470018568948</v>
      </c>
      <c r="AA50" s="102">
        <f>'Propylene Recycling HC'!AA50*'Propylene Recycling HC'!AA$42/'Propylene Recycling LC'!AA$42</f>
        <v>0.28097437232943556</v>
      </c>
      <c r="AB50" s="102">
        <f>'Propylene Recycling HC'!AB50*'Propylene Recycling HC'!AB$42/'Propylene Recycling LC'!AB$42</f>
        <v>0.29396047350400811</v>
      </c>
      <c r="AC50" s="102">
        <f>'Propylene Recycling HC'!AC50*'Propylene Recycling HC'!AC$42/'Propylene Recycling LC'!AC$42</f>
        <v>0.30688171712511808</v>
      </c>
      <c r="AD50" s="102">
        <f>'Propylene Recycling HC'!AD50*'Propylene Recycling HC'!AD$42/'Propylene Recycling LC'!AD$42</f>
        <v>0.31973678165453528</v>
      </c>
      <c r="AE50" s="102">
        <f>'Propylene Recycling HC'!AE50*'Propylene Recycling HC'!AE$42/'Propylene Recycling LC'!AE$42</f>
        <v>0.3325243094049341</v>
      </c>
      <c r="AF50" s="102">
        <f>'Propylene Recycling HC'!AF50*'Propylene Recycling HC'!AF$42/'Propylene Recycling LC'!AF$42</f>
        <v>0.34524290529536489</v>
      </c>
      <c r="AG50" s="102">
        <f>'Propylene Recycling HC'!AG50*'Propylene Recycling HC'!AG$42/'Propylene Recycling LC'!AG$42</f>
        <v>0.3578911355549515</v>
      </c>
      <c r="AI50" s="124"/>
      <c r="AJ50" s="185" t="s">
        <v>1469</v>
      </c>
      <c r="AL50" s="100"/>
      <c r="AM50" s="2"/>
      <c r="AN50" s="2"/>
      <c r="AO50" s="2"/>
      <c r="AV50" s="37"/>
    </row>
    <row r="51" spans="1:63" outlineLevel="1">
      <c r="A51" t="s">
        <v>410</v>
      </c>
      <c r="B51" s="50" t="s">
        <v>126</v>
      </c>
      <c r="C51" s="102">
        <f>'Propylene Recycling HC'!C51*'Propylene Recycling HC'!C$42/'Propylene Recycling LC'!C$42</f>
        <v>0.16725352112676059</v>
      </c>
      <c r="D51" s="102">
        <f>'Propylene Recycling HC'!D51*'Propylene Recycling HC'!D$42/'Propylene Recycling LC'!D$42</f>
        <v>0.17534766085710468</v>
      </c>
      <c r="E51" s="102">
        <f>'Propylene Recycling HC'!E51*'Propylene Recycling HC'!E$42/'Propylene Recycling LC'!E$42</f>
        <v>0.18341234272349688</v>
      </c>
      <c r="F51" s="102">
        <f>'Propylene Recycling HC'!F51*'Propylene Recycling HC'!F$42/'Propylene Recycling LC'!F$42</f>
        <v>0.19144695259874109</v>
      </c>
      <c r="G51" s="102">
        <f>'Propylene Recycling HC'!G51*'Propylene Recycling HC'!G$42/'Propylene Recycling LC'!G$42</f>
        <v>0.19945085916537167</v>
      </c>
      <c r="H51" s="102">
        <f>'Propylene Recycling HC'!H51*'Propylene Recycling HC'!H$42/'Propylene Recycling LC'!H$42</f>
        <v>0.20742341330994077</v>
      </c>
      <c r="I51" s="102">
        <f>'Propylene Recycling HC'!I51*'Propylene Recycling HC'!I$42/'Propylene Recycling LC'!I$42</f>
        <v>0.21536394749151155</v>
      </c>
      <c r="J51" s="102">
        <f>'Propylene Recycling HC'!J51*'Propylene Recycling HC'!J$42/'Propylene Recycling LC'!J$42</f>
        <v>0.22327177508306933</v>
      </c>
      <c r="K51" s="102">
        <f>'Propylene Recycling HC'!K51*'Propylene Recycling HC'!K$42/'Propylene Recycling LC'!K$42</f>
        <v>0.23114618968448247</v>
      </c>
      <c r="L51" s="102">
        <f>'Propylene Recycling HC'!L51*'Propylene Recycling HC'!L$42/'Propylene Recycling LC'!L$42</f>
        <v>0.23898646440557189</v>
      </c>
      <c r="M51" s="102">
        <f>'Propylene Recycling HC'!M51*'Propylene Recycling HC'!M$42/'Propylene Recycling LC'!M$42</f>
        <v>0.24679185111775898</v>
      </c>
      <c r="N51" s="102">
        <f>'Propylene Recycling HC'!N51*'Propylene Recycling HC'!N$42/'Propylene Recycling LC'!N$42</f>
        <v>0.24729540749216317</v>
      </c>
      <c r="O51" s="102">
        <f>'Propylene Recycling HC'!O51*'Propylene Recycling HC'!O$42/'Propylene Recycling LC'!O$42</f>
        <v>0.24783423817608444</v>
      </c>
      <c r="P51" s="102">
        <f>'Propylene Recycling HC'!P51*'Propylene Recycling HC'!P$42/'Propylene Recycling LC'!P$42</f>
        <v>0.2483196543158121</v>
      </c>
      <c r="Q51" s="102">
        <f>'Propylene Recycling HC'!Q51*'Propylene Recycling HC'!Q$42/'Propylene Recycling LC'!Q$42</f>
        <v>0.24878780601547282</v>
      </c>
      <c r="R51" s="102">
        <f>'Propylene Recycling HC'!R51*'Propylene Recycling HC'!R$42/'Propylene Recycling LC'!R$42</f>
        <v>0.24923819950645462</v>
      </c>
      <c r="S51" s="102">
        <f>'Propylene Recycling HC'!S51*'Propylene Recycling HC'!S$42/'Propylene Recycling LC'!S$42</f>
        <v>0.24967032200965253</v>
      </c>
      <c r="T51" s="102">
        <f>'Propylene Recycling HC'!T51*'Propylene Recycling HC'!T$42/'Propylene Recycling LC'!T$42</f>
        <v>0.2500836408116775</v>
      </c>
      <c r="U51" s="102">
        <f>'Propylene Recycling HC'!U51*'Propylene Recycling HC'!U$42/'Propylene Recycling LC'!U$42</f>
        <v>0.25047760228666832</v>
      </c>
      <c r="V51" s="102">
        <f>'Propylene Recycling HC'!V51*'Propylene Recycling HC'!V$42/'Propylene Recycling LC'!V$42</f>
        <v>0.25085163085993223</v>
      </c>
      <c r="W51" s="102">
        <f>'Propylene Recycling HC'!W51*'Propylene Recycling HC'!W$42/'Propylene Recycling LC'!W$42</f>
        <v>0.25120512790933719</v>
      </c>
      <c r="X51" s="102">
        <f>'Propylene Recycling HC'!X51*'Propylene Recycling HC'!X$42/'Propylene Recycling LC'!X$42</f>
        <v>0.25191442207568637</v>
      </c>
      <c r="Y51" s="102">
        <f>'Propylene Recycling HC'!Y51*'Propylene Recycling HC'!Y$42/'Propylene Recycling LC'!Y$42</f>
        <v>0.2525428278203446</v>
      </c>
      <c r="Z51" s="102">
        <f>'Propylene Recycling HC'!Z51*'Propylene Recycling HC'!Z$42/'Propylene Recycling LC'!Z$42</f>
        <v>0.25316012895162743</v>
      </c>
      <c r="AA51" s="102">
        <f>'Propylene Recycling HC'!AA51*'Propylene Recycling HC'!AA$42/'Propylene Recycling LC'!AA$42</f>
        <v>0.25376610372017627</v>
      </c>
      <c r="AB51" s="102">
        <f>'Propylene Recycling HC'!AB51*'Propylene Recycling HC'!AB$42/'Propylene Recycling LC'!AB$42</f>
        <v>0.25436052443288321</v>
      </c>
      <c r="AC51" s="102">
        <f>'Propylene Recycling HC'!AC51*'Propylene Recycling HC'!AC$42/'Propylene Recycling LC'!AC$42</f>
        <v>0.25494315725240208</v>
      </c>
      <c r="AD51" s="102">
        <f>'Propylene Recycling HC'!AD51*'Propylene Recycling HC'!AD$42/'Propylene Recycling LC'!AD$42</f>
        <v>0.2555137619884903</v>
      </c>
      <c r="AE51" s="102">
        <f>'Propylene Recycling HC'!AE51*'Propylene Recycling HC'!AE$42/'Propylene Recycling LC'!AE$42</f>
        <v>0.25607209188078878</v>
      </c>
      <c r="AF51" s="102">
        <f>'Propylene Recycling HC'!AF51*'Propylene Recycling HC'!AF$42/'Propylene Recycling LC'!AF$42</f>
        <v>0.25661789337262858</v>
      </c>
      <c r="AG51" s="102">
        <f>'Propylene Recycling HC'!AG51*'Propylene Recycling HC'!AG$42/'Propylene Recycling LC'!AG$42</f>
        <v>0.25715090587542672</v>
      </c>
      <c r="AI51" s="124"/>
      <c r="AJ51" s="185" t="s">
        <v>469</v>
      </c>
      <c r="AL51" s="100"/>
      <c r="AM51" s="2"/>
      <c r="AN51" s="2"/>
      <c r="AO51" s="2"/>
      <c r="AV51" s="37"/>
    </row>
    <row r="52" spans="1:63" outlineLevel="1">
      <c r="A52" t="s">
        <v>409</v>
      </c>
      <c r="B52" s="156" t="s">
        <v>126</v>
      </c>
      <c r="C52" s="102">
        <f>'Propylene Recycling HC'!C52*'Propylene Recycling HC'!C$42/'Propylene Recycling LC'!C$42</f>
        <v>0.25</v>
      </c>
      <c r="D52" s="102">
        <f>'Propylene Recycling HC'!D52*'Propylene Recycling HC'!D$42/'Propylene Recycling LC'!D$42</f>
        <v>0.26457720737446438</v>
      </c>
      <c r="E52" s="102">
        <f>'Propylene Recycling HC'!E52*'Propylene Recycling HC'!E$42/'Propylene Recycling LC'!E$42</f>
        <v>0.27910268650612891</v>
      </c>
      <c r="F52" s="102">
        <f>'Propylene Recycling HC'!F52*'Propylene Recycling HC'!F$42/'Propylene Recycling LC'!F$42</f>
        <v>0.2935753589827651</v>
      </c>
      <c r="G52" s="102">
        <f>'Propylene Recycling HC'!G52*'Propylene Recycling HC'!G$42/'Propylene Recycling LC'!G$42</f>
        <v>0.30799411620589501</v>
      </c>
      <c r="H52" s="102">
        <f>'Propylene Recycling HC'!H52*'Propylene Recycling HC'!H$42/'Propylene Recycling LC'!H$42</f>
        <v>0.32235781832715427</v>
      </c>
      <c r="I52" s="102">
        <f>'Propylene Recycling HC'!I52*'Propylene Recycling HC'!I$42/'Propylene Recycling LC'!I$42</f>
        <v>0.33666529313936211</v>
      </c>
      <c r="J52" s="102">
        <f>'Propylene Recycling HC'!J52*'Propylene Recycling HC'!J$42/'Propylene Recycling LC'!J$42</f>
        <v>0.35091533492003341</v>
      </c>
      <c r="K52" s="102">
        <f>'Propylene Recycling HC'!K52*'Propylene Recycling HC'!K$42/'Propylene Recycling LC'!K$42</f>
        <v>0.36510670322493288</v>
      </c>
      <c r="L52" s="102">
        <f>'Propylene Recycling HC'!L52*'Propylene Recycling HC'!L$42/'Propylene Recycling LC'!L$42</f>
        <v>0.37923812162913945</v>
      </c>
      <c r="M52" s="102">
        <f>'Propylene Recycling HC'!M52*'Propylene Recycling HC'!M$42/'Propylene Recycling LC'!M$42</f>
        <v>0.3933082764129337</v>
      </c>
      <c r="N52" s="102">
        <f>'Propylene Recycling HC'!N52*'Propylene Recycling HC'!N$42/'Propylene Recycling LC'!N$42</f>
        <v>0.40222253689942505</v>
      </c>
      <c r="O52" s="102">
        <f>'Propylene Recycling HC'!O52*'Propylene Recycling HC'!O$42/'Propylene Recycling LC'!O$42</f>
        <v>0.41115585058135173</v>
      </c>
      <c r="P52" s="102">
        <f>'Propylene Recycling HC'!P52*'Propylene Recycling HC'!P$42/'Propylene Recycling LC'!P$42</f>
        <v>0.41996216083595783</v>
      </c>
      <c r="Q52" s="102">
        <f>'Propylene Recycling HC'!Q52*'Propylene Recycling HC'!Q$42/'Propylene Recycling LC'!Q$42</f>
        <v>0.42869912854156222</v>
      </c>
      <c r="R52" s="102">
        <f>'Propylene Recycling HC'!R52*'Propylene Recycling HC'!R$42/'Propylene Recycling LC'!R$42</f>
        <v>0.43736477047866673</v>
      </c>
      <c r="S52" s="102">
        <f>'Propylene Recycling HC'!S52*'Propylene Recycling HC'!S$42/'Propylene Recycling LC'!S$42</f>
        <v>0.44595702707220974</v>
      </c>
      <c r="T52" s="102">
        <f>'Propylene Recycling HC'!T52*'Propylene Recycling HC'!T$42/'Propylene Recycling LC'!T$42</f>
        <v>0.45447375868116363</v>
      </c>
      <c r="U52" s="102">
        <f>'Propylene Recycling HC'!U52*'Propylene Recycling HC'!U$42/'Propylene Recycling LC'!U$42</f>
        <v>0.46291274166964713</v>
      </c>
      <c r="V52" s="102">
        <f>'Propylene Recycling HC'!V52*'Propylene Recycling HC'!V$42/'Propylene Recycling LC'!V$42</f>
        <v>0.47127166424439082</v>
      </c>
      <c r="W52" s="102">
        <f>'Propylene Recycling HC'!W52*'Propylene Recycling HC'!W$42/'Propylene Recycling LC'!W$42</f>
        <v>0.47954812204218611</v>
      </c>
      <c r="X52" s="102">
        <f>'Propylene Recycling HC'!X52*'Propylene Recycling HC'!X$42/'Propylene Recycling LC'!X$42</f>
        <v>0.49355404347715387</v>
      </c>
      <c r="Y52" s="102">
        <f>'Propylene Recycling HC'!Y52*'Propylene Recycling HC'!Y$42/'Propylene Recycling LC'!Y$42</f>
        <v>0.5073555376715112</v>
      </c>
      <c r="Z52" s="102">
        <f>'Propylene Recycling HC'!Z52*'Propylene Recycling HC'!Z$42/'Propylene Recycling LC'!Z$42</f>
        <v>0.52108482913731691</v>
      </c>
      <c r="AA52" s="102">
        <f>'Propylene Recycling HC'!AA52*'Propylene Recycling HC'!AA$42/'Propylene Recycling LC'!AA$42</f>
        <v>0.53474047604961183</v>
      </c>
      <c r="AB52" s="102">
        <f>'Propylene Recycling HC'!AB52*'Propylene Recycling HC'!AB$42/'Propylene Recycling LC'!AB$42</f>
        <v>0.54832099793689137</v>
      </c>
      <c r="AC52" s="102">
        <f>'Propylene Recycling HC'!AC52*'Propylene Recycling HC'!AC$42/'Propylene Recycling LC'!AC$42</f>
        <v>0.56182487437752016</v>
      </c>
      <c r="AD52" s="102">
        <f>'Propylene Recycling HC'!AD52*'Propylene Recycling HC'!AD$42/'Propylene Recycling LC'!AD$42</f>
        <v>0.57525054364302552</v>
      </c>
      <c r="AE52" s="102">
        <f>'Propylene Recycling HC'!AE52*'Propylene Recycling HC'!AE$42/'Propylene Recycling LC'!AE$42</f>
        <v>0.58859640128572288</v>
      </c>
      <c r="AF52" s="102">
        <f>'Propylene Recycling HC'!AF52*'Propylene Recycling HC'!AF$42/'Propylene Recycling LC'!AF$42</f>
        <v>0.60186079866799358</v>
      </c>
      <c r="AG52" s="102">
        <f>'Propylene Recycling HC'!AG52*'Propylene Recycling HC'!AG$42/'Propylene Recycling LC'!AG$42</f>
        <v>0.61504204143037822</v>
      </c>
      <c r="AI52" s="124"/>
      <c r="AJ52" s="185"/>
      <c r="AL52" s="100"/>
      <c r="AM52" s="2"/>
      <c r="AN52" s="2"/>
      <c r="AO52" s="2"/>
    </row>
    <row r="53" spans="1:63" outlineLevel="1">
      <c r="A53" t="s">
        <v>424</v>
      </c>
      <c r="B53" s="50" t="s">
        <v>126</v>
      </c>
      <c r="C53" s="102">
        <f>'Propylene Recycling HC'!C56*'Propylene Recycling HC'!C$42/'Propylene Recycling LC'!C$42</f>
        <v>3.3450704225352117E-2</v>
      </c>
      <c r="D53" s="102">
        <f>'Propylene Recycling HC'!D56*'Propylene Recycling HC'!D$42/'Propylene Recycling LC'!D$42</f>
        <v>3.506953217142094E-2</v>
      </c>
      <c r="E53" s="102">
        <f>'Propylene Recycling HC'!E56*'Propylene Recycling HC'!E$42/'Propylene Recycling LC'!E$42</f>
        <v>3.6682468544699379E-2</v>
      </c>
      <c r="F53" s="102">
        <f>'Propylene Recycling HC'!F56*'Propylene Recycling HC'!F$42/'Propylene Recycling LC'!F$42</f>
        <v>3.8289390519748223E-2</v>
      </c>
      <c r="G53" s="102">
        <f>'Propylene Recycling HC'!G56*'Propylene Recycling HC'!G$42/'Propylene Recycling LC'!G$42</f>
        <v>3.9890171833074334E-2</v>
      </c>
      <c r="H53" s="102">
        <f>'Propylene Recycling HC'!H56*'Propylene Recycling HC'!H$42/'Propylene Recycling LC'!H$42</f>
        <v>4.1484682661988161E-2</v>
      </c>
      <c r="I53" s="102">
        <f>'Propylene Recycling HC'!I56*'Propylene Recycling HC'!I$42/'Propylene Recycling LC'!I$42</f>
        <v>4.3072789498302316E-2</v>
      </c>
      <c r="J53" s="102">
        <f>'Propylene Recycling HC'!J56*'Propylene Recycling HC'!J$42/'Propylene Recycling LC'!J$42</f>
        <v>4.465435501661387E-2</v>
      </c>
      <c r="K53" s="102">
        <f>'Propylene Recycling HC'!K56*'Propylene Recycling HC'!K$42/'Propylene Recycling LC'!K$42</f>
        <v>4.6229237936896497E-2</v>
      </c>
      <c r="L53" s="102">
        <f>'Propylene Recycling HC'!L56*'Propylene Recycling HC'!L$42/'Propylene Recycling LC'!L$42</f>
        <v>4.7797292881114381E-2</v>
      </c>
      <c r="M53" s="102">
        <f>'Propylene Recycling HC'!M56*'Propylene Recycling HC'!M$42/'Propylene Recycling LC'!M$42</f>
        <v>4.9358370223551794E-2</v>
      </c>
      <c r="N53" s="102">
        <f>'Propylene Recycling HC'!N56*'Propylene Recycling HC'!N$42/'Propylene Recycling LC'!N$42</f>
        <v>4.9459081498432644E-2</v>
      </c>
      <c r="O53" s="102">
        <f>'Propylene Recycling HC'!O56*'Propylene Recycling HC'!O$42/'Propylene Recycling LC'!O$42</f>
        <v>4.9566847635216883E-2</v>
      </c>
      <c r="P53" s="102">
        <f>'Propylene Recycling HC'!P56*'Propylene Recycling HC'!P$42/'Propylene Recycling LC'!P$42</f>
        <v>4.9663930863162425E-2</v>
      </c>
      <c r="Q53" s="102">
        <f>'Propylene Recycling HC'!Q56*'Propylene Recycling HC'!Q$42/'Propylene Recycling LC'!Q$42</f>
        <v>4.9757561203094568E-2</v>
      </c>
      <c r="R53" s="102">
        <f>'Propylene Recycling HC'!R56*'Propylene Recycling HC'!R$42/'Propylene Recycling LC'!R$42</f>
        <v>4.984763990129093E-2</v>
      </c>
      <c r="S53" s="102">
        <f>'Propylene Recycling HC'!S56*'Propylene Recycling HC'!S$42/'Propylene Recycling LC'!S$42</f>
        <v>4.9934064401930517E-2</v>
      </c>
      <c r="T53" s="102">
        <f>'Propylene Recycling HC'!T56*'Propylene Recycling HC'!T$42/'Propylene Recycling LC'!T$42</f>
        <v>5.0016728162335503E-2</v>
      </c>
      <c r="U53" s="102">
        <f>'Propylene Recycling HC'!U56*'Propylene Recycling HC'!U$42/'Propylene Recycling LC'!U$42</f>
        <v>5.0095520457333655E-2</v>
      </c>
      <c r="V53" s="102">
        <f>'Propylene Recycling HC'!V56*'Propylene Recycling HC'!V$42/'Propylene Recycling LC'!V$42</f>
        <v>5.0170326171986454E-2</v>
      </c>
      <c r="W53" s="102">
        <f>'Propylene Recycling HC'!W56*'Propylene Recycling HC'!W$42/'Propylene Recycling LC'!W$42</f>
        <v>5.0241025581867438E-2</v>
      </c>
      <c r="X53" s="102">
        <f>'Propylene Recycling HC'!X56*'Propylene Recycling HC'!X$42/'Propylene Recycling LC'!X$42</f>
        <v>5.0382884415137268E-2</v>
      </c>
      <c r="Y53" s="102">
        <f>'Propylene Recycling HC'!Y56*'Propylene Recycling HC'!Y$42/'Propylene Recycling LC'!Y$42</f>
        <v>5.0508565564068915E-2</v>
      </c>
      <c r="Z53" s="102">
        <f>'Propylene Recycling HC'!Z56*'Propylene Recycling HC'!Z$42/'Propylene Recycling LC'!Z$42</f>
        <v>5.063202579032549E-2</v>
      </c>
      <c r="AA53" s="102">
        <f>'Propylene Recycling HC'!AA56*'Propylene Recycling HC'!AA$42/'Propylene Recycling LC'!AA$42</f>
        <v>5.0753220744035259E-2</v>
      </c>
      <c r="AB53" s="102">
        <f>'Propylene Recycling HC'!AB56*'Propylene Recycling HC'!AB$42/'Propylene Recycling LC'!AB$42</f>
        <v>5.0872104886576633E-2</v>
      </c>
      <c r="AC53" s="102">
        <f>'Propylene Recycling HC'!AC56*'Propylene Recycling HC'!AC$42/'Propylene Recycling LC'!AC$42</f>
        <v>5.0988631450480423E-2</v>
      </c>
      <c r="AD53" s="102">
        <f>'Propylene Recycling HC'!AD56*'Propylene Recycling HC'!AD$42/'Propylene Recycling LC'!AD$42</f>
        <v>5.1102752397698056E-2</v>
      </c>
      <c r="AE53" s="102">
        <f>'Propylene Recycling HC'!AE56*'Propylene Recycling HC'!AE$42/'Propylene Recycling LC'!AE$42</f>
        <v>5.1214418376157762E-2</v>
      </c>
      <c r="AF53" s="102">
        <f>'Propylene Recycling HC'!AF56*'Propylene Recycling HC'!AF$42/'Propylene Recycling LC'!AF$42</f>
        <v>5.1323578674525722E-2</v>
      </c>
      <c r="AG53" s="102">
        <f>'Propylene Recycling HC'!AG56*'Propylene Recycling HC'!AG$42/'Propylene Recycling LC'!AG$42</f>
        <v>5.143018117508534E-2</v>
      </c>
      <c r="AI53" s="124"/>
      <c r="AJ53" s="185"/>
      <c r="AL53" s="100"/>
      <c r="AM53" s="2"/>
      <c r="AN53" s="2"/>
      <c r="AO53" s="2"/>
      <c r="BC53" s="1"/>
      <c r="BD53" s="2"/>
      <c r="BE53" s="2"/>
      <c r="BF53" s="2"/>
      <c r="BG53" s="2"/>
      <c r="BH53" s="2"/>
      <c r="BI53" s="2"/>
      <c r="BJ53" s="2"/>
      <c r="BK53" s="2"/>
    </row>
    <row r="54" spans="1:63" outlineLevel="1">
      <c r="A54" t="s">
        <v>425</v>
      </c>
      <c r="B54" s="50" t="s">
        <v>126</v>
      </c>
      <c r="C54" s="102">
        <f>'Propylene Recycling HC'!C57*'Propylene Recycling HC'!C$42/'Propylene Recycling LC'!C$42</f>
        <v>0.13380281690140847</v>
      </c>
      <c r="D54" s="102">
        <f>'Propylene Recycling HC'!D57*'Propylene Recycling HC'!D$42/'Propylene Recycling LC'!D$42</f>
        <v>0.14027812868568376</v>
      </c>
      <c r="E54" s="102">
        <f>'Propylene Recycling HC'!E57*'Propylene Recycling HC'!E$42/'Propylene Recycling LC'!E$42</f>
        <v>0.14672987417879751</v>
      </c>
      <c r="F54" s="102">
        <f>'Propylene Recycling HC'!F57*'Propylene Recycling HC'!F$42/'Propylene Recycling LC'!F$42</f>
        <v>0.15315756207899289</v>
      </c>
      <c r="G54" s="102">
        <f>'Propylene Recycling HC'!G57*'Propylene Recycling HC'!G$42/'Propylene Recycling LC'!G$42</f>
        <v>0.15956068733229734</v>
      </c>
      <c r="H54" s="102">
        <f>'Propylene Recycling HC'!H57*'Propylene Recycling HC'!H$42/'Propylene Recycling LC'!H$42</f>
        <v>0.16593873064795264</v>
      </c>
      <c r="I54" s="102">
        <f>'Propylene Recycling HC'!I57*'Propylene Recycling HC'!I$42/'Propylene Recycling LC'!I$42</f>
        <v>0.17229115799320927</v>
      </c>
      <c r="J54" s="102">
        <f>'Propylene Recycling HC'!J57*'Propylene Recycling HC'!J$42/'Propylene Recycling LC'!J$42</f>
        <v>0.17861742006645548</v>
      </c>
      <c r="K54" s="102">
        <f>'Propylene Recycling HC'!K57*'Propylene Recycling HC'!K$42/'Propylene Recycling LC'!K$42</f>
        <v>0.18491695174758599</v>
      </c>
      <c r="L54" s="102">
        <f>'Propylene Recycling HC'!L57*'Propylene Recycling HC'!L$42/'Propylene Recycling LC'!L$42</f>
        <v>0.19118917152445752</v>
      </c>
      <c r="M54" s="102">
        <f>'Propylene Recycling HC'!M57*'Propylene Recycling HC'!M$42/'Propylene Recycling LC'!M$42</f>
        <v>0.19743348089420718</v>
      </c>
      <c r="N54" s="102">
        <f>'Propylene Recycling HC'!N57*'Propylene Recycling HC'!N$42/'Propylene Recycling LC'!N$42</f>
        <v>0.19783632599373058</v>
      </c>
      <c r="O54" s="102">
        <f>'Propylene Recycling HC'!O57*'Propylene Recycling HC'!O$42/'Propylene Recycling LC'!O$42</f>
        <v>0.19826739054086753</v>
      </c>
      <c r="P54" s="102">
        <f>'Propylene Recycling HC'!P57*'Propylene Recycling HC'!P$42/'Propylene Recycling LC'!P$42</f>
        <v>0.1986557234526497</v>
      </c>
      <c r="Q54" s="102">
        <f>'Propylene Recycling HC'!Q57*'Propylene Recycling HC'!Q$42/'Propylene Recycling LC'!Q$42</f>
        <v>0.19903024481237827</v>
      </c>
      <c r="R54" s="102">
        <f>'Propylene Recycling HC'!R57*'Propylene Recycling HC'!R$42/'Propylene Recycling LC'!R$42</f>
        <v>0.19939055960516372</v>
      </c>
      <c r="S54" s="102">
        <f>'Propylene Recycling HC'!S57*'Propylene Recycling HC'!S$42/'Propylene Recycling LC'!S$42</f>
        <v>0.19973625760772207</v>
      </c>
      <c r="T54" s="102">
        <f>'Propylene Recycling HC'!T57*'Propylene Recycling HC'!T$42/'Propylene Recycling LC'!T$42</f>
        <v>0.20006691264934201</v>
      </c>
      <c r="U54" s="102">
        <f>'Propylene Recycling HC'!U57*'Propylene Recycling HC'!U$42/'Propylene Recycling LC'!U$42</f>
        <v>0.20038208182933462</v>
      </c>
      <c r="V54" s="102">
        <f>'Propylene Recycling HC'!V57*'Propylene Recycling HC'!V$42/'Propylene Recycling LC'!V$42</f>
        <v>0.20068130468794582</v>
      </c>
      <c r="W54" s="102">
        <f>'Propylene Recycling HC'!W57*'Propylene Recycling HC'!W$42/'Propylene Recycling LC'!W$42</f>
        <v>0.20096410232746975</v>
      </c>
      <c r="X54" s="102">
        <f>'Propylene Recycling HC'!X57*'Propylene Recycling HC'!X$42/'Propylene Recycling LC'!X$42</f>
        <v>0.20153153766054907</v>
      </c>
      <c r="Y54" s="102">
        <f>'Propylene Recycling HC'!Y57*'Propylene Recycling HC'!Y$42/'Propylene Recycling LC'!Y$42</f>
        <v>0.20203426225627566</v>
      </c>
      <c r="Z54" s="102">
        <f>'Propylene Recycling HC'!Z57*'Propylene Recycling HC'!Z$42/'Propylene Recycling LC'!Z$42</f>
        <v>0.20252810316130196</v>
      </c>
      <c r="AA54" s="102">
        <f>'Propylene Recycling HC'!AA57*'Propylene Recycling HC'!AA$42/'Propylene Recycling LC'!AA$42</f>
        <v>0.20301288297614103</v>
      </c>
      <c r="AB54" s="102">
        <f>'Propylene Recycling HC'!AB57*'Propylene Recycling HC'!AB$42/'Propylene Recycling LC'!AB$42</f>
        <v>0.20348841954630653</v>
      </c>
      <c r="AC54" s="102">
        <f>'Propylene Recycling HC'!AC57*'Propylene Recycling HC'!AC$42/'Propylene Recycling LC'!AC$42</f>
        <v>0.20395452580192169</v>
      </c>
      <c r="AD54" s="102">
        <f>'Propylene Recycling HC'!AD57*'Propylene Recycling HC'!AD$42/'Propylene Recycling LC'!AD$42</f>
        <v>0.20441100959079223</v>
      </c>
      <c r="AE54" s="102">
        <f>'Propylene Recycling HC'!AE57*'Propylene Recycling HC'!AE$42/'Propylene Recycling LC'!AE$42</f>
        <v>0.20485767350463105</v>
      </c>
      <c r="AF54" s="102">
        <f>'Propylene Recycling HC'!AF57*'Propylene Recycling HC'!AF$42/'Propylene Recycling LC'!AF$42</f>
        <v>0.20529431469810289</v>
      </c>
      <c r="AG54" s="102">
        <f>'Propylene Recycling HC'!AG57*'Propylene Recycling HC'!AG$42/'Propylene Recycling LC'!AG$42</f>
        <v>0.20572072470034136</v>
      </c>
      <c r="AI54" s="104" t="s">
        <v>507</v>
      </c>
      <c r="AJ54" s="185"/>
      <c r="AL54" s="100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I55" s="124" t="s">
        <v>411</v>
      </c>
      <c r="AJ55" s="185"/>
      <c r="AL55" s="100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A56" t="s">
        <v>493</v>
      </c>
      <c r="B56" s="50" t="s">
        <v>126</v>
      </c>
      <c r="C56" s="102">
        <f>'Propylene Recycling HC'!C60*'Propylene Recycling HC'!C$42/'Propylene Recycling LC'!C$42</f>
        <v>1.6045143475657508E-2</v>
      </c>
      <c r="D56" s="102">
        <f>'Propylene Recycling HC'!D60*'Propylene Recycling HC'!D$42/'Propylene Recycling LC'!D$42</f>
        <v>1.9104970057313875E-2</v>
      </c>
      <c r="E56" s="102">
        <f>'Propylene Recycling HC'!E60*'Propylene Recycling HC'!E$42/'Propylene Recycling LC'!E$42</f>
        <v>2.2421534402659055E-2</v>
      </c>
      <c r="F56" s="102">
        <f>'Propylene Recycling HC'!F60*'Propylene Recycling HC'!F$42/'Propylene Recycling LC'!F$42</f>
        <v>2.5993368551992704E-2</v>
      </c>
      <c r="G56" s="102">
        <f>'Propylene Recycling HC'!G60*'Propylene Recycling HC'!G$42/'Propylene Recycling LC'!G$42</f>
        <v>2.9818963455392335E-2</v>
      </c>
      <c r="H56" s="102">
        <f>'Propylene Recycling HC'!H60*'Propylene Recycling HC'!H$42/'Propylene Recycling LC'!H$42</f>
        <v>3.3896767524866332E-2</v>
      </c>
      <c r="I56" s="102">
        <f>'Propylene Recycling HC'!I60*'Propylene Recycling HC'!I$42/'Propylene Recycling LC'!I$42</f>
        <v>3.8225185124853171E-2</v>
      </c>
      <c r="J56" s="102">
        <f>'Propylene Recycling HC'!J60*'Propylene Recycling HC'!J$42/'Propylene Recycling LC'!J$42</f>
        <v>4.2802574997982158E-2</v>
      </c>
      <c r="K56" s="102">
        <f>'Propylene Recycling HC'!K60*'Propylene Recycling HC'!K$42/'Propylene Recycling LC'!K$42</f>
        <v>4.7627248622832817E-2</v>
      </c>
      <c r="L56" s="102">
        <f>'Propylene Recycling HC'!L60*'Propylene Recycling HC'!L$42/'Propylene Recycling LC'!L$42</f>
        <v>5.2697468500241519E-2</v>
      </c>
      <c r="M56" s="102">
        <f>'Propylene Recycling HC'!M60*'Propylene Recycling HC'!M$42/'Propylene Recycling LC'!M$42</f>
        <v>5.8011446364501534E-2</v>
      </c>
      <c r="N56" s="102">
        <f>'Propylene Recycling HC'!N60*'Propylene Recycling HC'!N$42/'Propylene Recycling LC'!N$42</f>
        <v>6.447157213509816E-2</v>
      </c>
      <c r="O56" s="102">
        <f>'Propylene Recycling HC'!O60*'Propylene Recycling HC'!O$42/'Propylene Recycling LC'!O$42</f>
        <v>7.1264464357497795E-2</v>
      </c>
      <c r="P56" s="102">
        <f>'Propylene Recycling HC'!P60*'Propylene Recycling HC'!P$42/'Propylene Recycling LC'!P$42</f>
        <v>7.8362948773055469E-2</v>
      </c>
      <c r="Q56" s="102">
        <f>'Propylene Recycling HC'!Q60*'Propylene Recycling HC'!Q$42/'Propylene Recycling LC'!Q$42</f>
        <v>8.5772820486283527E-2</v>
      </c>
      <c r="R56" s="102">
        <f>'Propylene Recycling HC'!R60*'Propylene Recycling HC'!R$42/'Propylene Recycling LC'!R$42</f>
        <v>9.3490182892809567E-2</v>
      </c>
      <c r="S56" s="102">
        <f>'Propylene Recycling HC'!S60*'Propylene Recycling HC'!S$42/'Propylene Recycling LC'!S$42</f>
        <v>0.10151098936582435</v>
      </c>
      <c r="T56" s="102">
        <f>'Propylene Recycling HC'!T60*'Propylene Recycling HC'!T$42/'Propylene Recycling LC'!T$42</f>
        <v>0.10983103596593065</v>
      </c>
      <c r="U56" s="102">
        <f>'Propylene Recycling HC'!U60*'Propylene Recycling HC'!U$42/'Propylene Recycling LC'!U$42</f>
        <v>0.11844595372171275</v>
      </c>
      <c r="V56" s="102">
        <f>'Propylene Recycling HC'!V60*'Propylene Recycling HC'!V$42/'Propylene Recycling LC'!V$42</f>
        <v>0.12735120045124398</v>
      </c>
      <c r="W56" s="102">
        <f>'Propylene Recycling HC'!W60*'Propylene Recycling HC'!W$42/'Propylene Recycling LC'!W$42</f>
        <v>0.13654205209236306</v>
      </c>
      <c r="X56" s="102">
        <f>'Propylene Recycling HC'!X60*'Propylene Recycling HC'!X$42/'Propylene Recycling LC'!X$42</f>
        <v>0.14937489147572044</v>
      </c>
      <c r="Y56" s="102">
        <f>'Propylene Recycling HC'!Y60*'Propylene Recycling HC'!Y$42/'Propylene Recycling LC'!Y$42</f>
        <v>0.16266613267718025</v>
      </c>
      <c r="Z56" s="102">
        <f>'Propylene Recycling HC'!Z60*'Propylene Recycling HC'!Z$42/'Propylene Recycling LC'!Z$42</f>
        <v>0.17644941019508392</v>
      </c>
      <c r="AA56" s="102">
        <f>'Propylene Recycling HC'!AA60*'Propylene Recycling HC'!AA$42/'Propylene Recycling LC'!AA$42</f>
        <v>0.19072019275237451</v>
      </c>
      <c r="AB56" s="102">
        <f>'Propylene Recycling HC'!AB60*'Propylene Recycling HC'!AB$42/'Propylene Recycling LC'!AB$42</f>
        <v>0.2054738276160516</v>
      </c>
      <c r="AC56" s="102">
        <f>'Propylene Recycling HC'!AC60*'Propylene Recycling HC'!AC$42/'Propylene Recycling LC'!AC$42</f>
        <v>0.22070553650035055</v>
      </c>
      <c r="AD56" s="102">
        <f>'Propylene Recycling HC'!AD60*'Propylene Recycling HC'!AD$42/'Propylene Recycling LC'!AD$42</f>
        <v>0.23641041130296811</v>
      </c>
      <c r="AE56" s="102">
        <f>'Propylene Recycling HC'!AE60*'Propylene Recycling HC'!AE$42/'Propylene Recycling LC'!AE$42</f>
        <v>0.25258340966634257</v>
      </c>
      <c r="AF56" s="102">
        <f>'Propylene Recycling HC'!AF60*'Propylene Recycling HC'!AF$42/'Propylene Recycling LC'!AF$42</f>
        <v>0.26921935035555666</v>
      </c>
      <c r="AG56" s="102">
        <f>'Propylene Recycling HC'!AG60*'Propylene Recycling HC'!AG$42/'Propylene Recycling LC'!AG$42</f>
        <v>0.28631290844396123</v>
      </c>
      <c r="AI56" s="104"/>
      <c r="AJ56" s="185"/>
      <c r="AL56" s="100"/>
      <c r="AM56" s="2"/>
      <c r="AN56" s="2"/>
      <c r="AO56" s="2"/>
      <c r="AV56" s="37"/>
    </row>
    <row r="57" spans="1:63" outlineLevel="1">
      <c r="A57" t="s">
        <v>494</v>
      </c>
      <c r="B57" s="50" t="s">
        <v>126</v>
      </c>
      <c r="C57" s="102">
        <f>'Propylene Recycling HC'!C61*'Propylene Recycling HC'!C$42/'Propylene Recycling LC'!C$42</f>
        <v>3.243167298271199E-2</v>
      </c>
      <c r="D57" s="102">
        <f>'Propylene Recycling HC'!D61*'Propylene Recycling HC'!D$42/'Propylene Recycling LC'!D$42</f>
        <v>3.7543750260383361E-2</v>
      </c>
      <c r="E57" s="102">
        <f>'Propylene Recycling HC'!E61*'Propylene Recycling HC'!E$42/'Propylene Recycling LC'!E$42</f>
        <v>4.2975978449704175E-2</v>
      </c>
      <c r="F57" s="102">
        <f>'Propylene Recycling HC'!F61*'Propylene Recycling HC'!F$42/'Propylene Recycling LC'!F$42</f>
        <v>4.8726415825415294E-2</v>
      </c>
      <c r="G57" s="102">
        <f>'Propylene Recycling HC'!G61*'Propylene Recycling HC'!G$42/'Propylene Recycling LC'!G$42</f>
        <v>5.4793066310682238E-2</v>
      </c>
      <c r="H57" s="102">
        <f>'Propylene Recycling HC'!H61*'Propylene Recycling HC'!H$42/'Propylene Recycling LC'!H$42</f>
        <v>6.1173877561973823E-2</v>
      </c>
      <c r="I57" s="102">
        <f>'Propylene Recycling HC'!I61*'Propylene Recycling HC'!I$42/'Propylene Recycling LC'!I$42</f>
        <v>6.7866738972388832E-2</v>
      </c>
      <c r="J57" s="102">
        <f>'Propylene Recycling HC'!J61*'Propylene Recycling HC'!J$42/'Propylene Recycling LC'!J$42</f>
        <v>7.486947958935096E-2</v>
      </c>
      <c r="K57" s="102">
        <f>'Propylene Recycling HC'!K61*'Propylene Recycling HC'!K$42/'Propylene Recycling LC'!K$42</f>
        <v>8.2179865942355546E-2</v>
      </c>
      <c r="L57" s="102">
        <f>'Propylene Recycling HC'!L61*'Propylene Recycling HC'!L$42/'Propylene Recycling LC'!L$42</f>
        <v>8.9795599776203258E-2</v>
      </c>
      <c r="M57" s="102">
        <f>'Propylene Recycling HC'!M61*'Propylene Recycling HC'!M$42/'Propylene Recycling LC'!M$42</f>
        <v>9.7714315684887337E-2</v>
      </c>
      <c r="N57" s="102">
        <f>'Propylene Recycling HC'!N61*'Propylene Recycling HC'!N$42/'Propylene Recycling LC'!N$42</f>
        <v>0.10290982453368928</v>
      </c>
      <c r="O57" s="102">
        <f>'Propylene Recycling HC'!O61*'Propylene Recycling HC'!O$42/'Propylene Recycling LC'!O$42</f>
        <v>0.10814107191913554</v>
      </c>
      <c r="P57" s="102">
        <f>'Propylene Recycling HC'!P61*'Propylene Recycling HC'!P$42/'Propylene Recycling LC'!P$42</f>
        <v>0.11336970512143457</v>
      </c>
      <c r="Q57" s="102">
        <f>'Propylene Recycling HC'!Q61*'Propylene Recycling HC'!Q$42/'Propylene Recycling LC'!Q$42</f>
        <v>0.11860972130560055</v>
      </c>
      <c r="R57" s="102">
        <f>'Propylene Recycling HC'!R61*'Propylene Recycling HC'!R$42/'Propylene Recycling LC'!R$42</f>
        <v>0.12385982870635964</v>
      </c>
      <c r="S57" s="102">
        <f>'Propylene Recycling HC'!S61*'Propylene Recycling HC'!S$42/'Propylene Recycling LC'!S$42</f>
        <v>0.12911868582442446</v>
      </c>
      <c r="T57" s="102">
        <f>'Propylene Recycling HC'!T61*'Propylene Recycling HC'!T$42/'Propylene Recycling LC'!T$42</f>
        <v>0.13438489900973255</v>
      </c>
      <c r="U57" s="102">
        <f>'Propylene Recycling HC'!U61*'Propylene Recycling HC'!U$42/'Propylene Recycling LC'!U$42</f>
        <v>0.13965701990237409</v>
      </c>
      <c r="V57" s="102">
        <f>'Propylene Recycling HC'!V61*'Propylene Recycling HC'!V$42/'Propylene Recycling LC'!V$42</f>
        <v>0.14493354272133577</v>
      </c>
      <c r="W57" s="102">
        <f>'Propylene Recycling HC'!W61*'Propylene Recycling HC'!W$42/'Propylene Recycling LC'!W$42</f>
        <v>0.15021290139039609</v>
      </c>
      <c r="X57" s="102">
        <f>'Propylene Recycling HC'!X61*'Propylene Recycling HC'!X$42/'Propylene Recycling LC'!X$42</f>
        <v>0.1557264874049995</v>
      </c>
      <c r="Y57" s="102">
        <f>'Propylene Recycling HC'!Y61*'Propylene Recycling HC'!Y$42/'Propylene Recycling LC'!Y$42</f>
        <v>0.16121709612086829</v>
      </c>
      <c r="Z57" s="102">
        <f>'Propylene Recycling HC'!Z61*'Propylene Recycling HC'!Z$42/'Propylene Recycling LC'!Z$42</f>
        <v>0.16672578305571237</v>
      </c>
      <c r="AA57" s="102">
        <f>'Propylene Recycling HC'!AA61*'Propylene Recycling HC'!AA$42/'Propylene Recycling LC'!AA$42</f>
        <v>0.17225172464763172</v>
      </c>
      <c r="AB57" s="102">
        <f>'Propylene Recycling HC'!AB61*'Propylene Recycling HC'!AB$42/'Propylene Recycling LC'!AB$42</f>
        <v>0.17779407526004717</v>
      </c>
      <c r="AC57" s="102">
        <f>'Propylene Recycling HC'!AC61*'Propylene Recycling HC'!AC$42/'Propylene Recycling LC'!AC$42</f>
        <v>0.18335196643710119</v>
      </c>
      <c r="AD57" s="102">
        <f>'Propylene Recycling HC'!AD61*'Propylene Recycling HC'!AD$42/'Propylene Recycling LC'!AD$42</f>
        <v>0.18892450612871445</v>
      </c>
      <c r="AE57" s="102">
        <f>'Propylene Recycling HC'!AE61*'Propylene Recycling HC'!AE$42/'Propylene Recycling LC'!AE$42</f>
        <v>0.19451077788384658</v>
      </c>
      <c r="AF57" s="102">
        <f>'Propylene Recycling HC'!AF61*'Propylene Recycling HC'!AF$42/'Propylene Recycling LC'!AF$42</f>
        <v>0.20010984001042728</v>
      </c>
      <c r="AG57" s="102">
        <f>'Propylene Recycling HC'!AG61*'Propylene Recycling HC'!AG$42/'Propylene Recycling LC'!AG$42</f>
        <v>0.20572072470034136</v>
      </c>
      <c r="AI57" s="124"/>
      <c r="AJ57" s="185"/>
      <c r="AL57" s="100"/>
      <c r="AM57" s="2"/>
      <c r="AN57" s="2"/>
      <c r="AO57" s="2"/>
      <c r="AV57" s="37"/>
    </row>
    <row r="58" spans="1:63" outlineLevel="1">
      <c r="A58" t="s">
        <v>495</v>
      </c>
      <c r="B58" s="156" t="s">
        <v>126</v>
      </c>
      <c r="C58" s="102">
        <f>'Propylene Recycling HC'!C62*'Propylene Recycling HC'!C$42/'Propylene Recycling LC'!C$42</f>
        <v>4.8476816458369501E-2</v>
      </c>
      <c r="D58" s="102">
        <f>'Propylene Recycling HC'!D62*'Propylene Recycling HC'!D$42/'Propylene Recycling LC'!D$42</f>
        <v>5.6648720317697236E-2</v>
      </c>
      <c r="E58" s="102">
        <f>'Propylene Recycling HC'!E62*'Propylene Recycling HC'!E$42/'Propylene Recycling LC'!E$42</f>
        <v>6.5397512852363227E-2</v>
      </c>
      <c r="F58" s="102">
        <f>'Propylene Recycling HC'!F62*'Propylene Recycling HC'!F$42/'Propylene Recycling LC'!F$42</f>
        <v>7.4719784377408005E-2</v>
      </c>
      <c r="G58" s="102">
        <f>'Propylene Recycling HC'!G62*'Propylene Recycling HC'!G$42/'Propylene Recycling LC'!G$42</f>
        <v>8.461202976607457E-2</v>
      </c>
      <c r="H58" s="102">
        <f>'Propylene Recycling HC'!H62*'Propylene Recycling HC'!H$42/'Propylene Recycling LC'!H$42</f>
        <v>9.5070645086840141E-2</v>
      </c>
      <c r="I58" s="102">
        <f>'Propylene Recycling HC'!I62*'Propylene Recycling HC'!I$42/'Propylene Recycling LC'!I$42</f>
        <v>0.10609192409724201</v>
      </c>
      <c r="J58" s="102">
        <f>'Propylene Recycling HC'!J62*'Propylene Recycling HC'!J$42/'Propylene Recycling LC'!J$42</f>
        <v>0.1176720545873331</v>
      </c>
      <c r="K58" s="102">
        <f>'Propylene Recycling HC'!K62*'Propylene Recycling HC'!K$42/'Propylene Recycling LC'!K$42</f>
        <v>0.12980711456518837</v>
      </c>
      <c r="L58" s="102">
        <f>'Propylene Recycling HC'!L62*'Propylene Recycling HC'!L$42/'Propylene Recycling LC'!L$42</f>
        <v>0.14249306827644478</v>
      </c>
      <c r="M58" s="102">
        <f>'Propylene Recycling HC'!M62*'Propylene Recycling HC'!M$42/'Propylene Recycling LC'!M$42</f>
        <v>0.15572576204938887</v>
      </c>
      <c r="N58" s="102">
        <f>'Propylene Recycling HC'!N62*'Propylene Recycling HC'!N$42/'Propylene Recycling LC'!N$42</f>
        <v>0.16738139666878743</v>
      </c>
      <c r="O58" s="102">
        <f>'Propylene Recycling HC'!O62*'Propylene Recycling HC'!O$42/'Propylene Recycling LC'!O$42</f>
        <v>0.17940553627663333</v>
      </c>
      <c r="P58" s="102">
        <f>'Propylene Recycling HC'!P62*'Propylene Recycling HC'!P$42/'Propylene Recycling LC'!P$42</f>
        <v>0.19173265389449004</v>
      </c>
      <c r="Q58" s="102">
        <f>'Propylene Recycling HC'!Q62*'Propylene Recycling HC'!Q$42/'Propylene Recycling LC'!Q$42</f>
        <v>0.20438254179188411</v>
      </c>
      <c r="R58" s="102">
        <f>'Propylene Recycling HC'!R62*'Propylene Recycling HC'!R$42/'Propylene Recycling LC'!R$42</f>
        <v>0.21735001159916922</v>
      </c>
      <c r="S58" s="102">
        <f>'Propylene Recycling HC'!S62*'Propylene Recycling HC'!S$42/'Propylene Recycling LC'!S$42</f>
        <v>0.23062967519024882</v>
      </c>
      <c r="T58" s="102">
        <f>'Propylene Recycling HC'!T62*'Propylene Recycling HC'!T$42/'Propylene Recycling LC'!T$42</f>
        <v>0.24421593497566318</v>
      </c>
      <c r="U58" s="102">
        <f>'Propylene Recycling HC'!U62*'Propylene Recycling HC'!U$42/'Propylene Recycling LC'!U$42</f>
        <v>0.25810297362408685</v>
      </c>
      <c r="V58" s="102">
        <f>'Propylene Recycling HC'!V62*'Propylene Recycling HC'!V$42/'Propylene Recycling LC'!V$42</f>
        <v>0.27228474317257972</v>
      </c>
      <c r="W58" s="102">
        <f>'Propylene Recycling HC'!W62*'Propylene Recycling HC'!W$42/'Propylene Recycling LC'!W$42</f>
        <v>0.28675495348275915</v>
      </c>
      <c r="X58" s="102">
        <f>'Propylene Recycling HC'!X62*'Propylene Recycling HC'!X$42/'Propylene Recycling LC'!X$42</f>
        <v>0.30510137888071992</v>
      </c>
      <c r="Y58" s="102">
        <f>'Propylene Recycling HC'!Y62*'Propylene Recycling HC'!Y$42/'Propylene Recycling LC'!Y$42</f>
        <v>0.32388322879804854</v>
      </c>
      <c r="Z58" s="102">
        <f>'Propylene Recycling HC'!Z62*'Propylene Recycling HC'!Z$42/'Propylene Recycling LC'!Z$42</f>
        <v>0.34317519325079632</v>
      </c>
      <c r="AA58" s="102">
        <f>'Propylene Recycling HC'!AA62*'Propylene Recycling HC'!AA$42/'Propylene Recycling LC'!AA$42</f>
        <v>0.36297191740000623</v>
      </c>
      <c r="AB58" s="102">
        <f>'Propylene Recycling HC'!AB62*'Propylene Recycling HC'!AB$42/'Propylene Recycling LC'!AB$42</f>
        <v>0.3832679028760988</v>
      </c>
      <c r="AC58" s="102">
        <f>'Propylene Recycling HC'!AC62*'Propylene Recycling HC'!AC$42/'Propylene Recycling LC'!AC$42</f>
        <v>0.40405750293745168</v>
      </c>
      <c r="AD58" s="102">
        <f>'Propylene Recycling HC'!AD62*'Propylene Recycling HC'!AD$42/'Propylene Recycling LC'!AD$42</f>
        <v>0.42533491743168256</v>
      </c>
      <c r="AE58" s="102">
        <f>'Propylene Recycling HC'!AE62*'Propylene Recycling HC'!AE$42/'Propylene Recycling LC'!AE$42</f>
        <v>0.4470941875501892</v>
      </c>
      <c r="AF58" s="102">
        <f>'Propylene Recycling HC'!AF62*'Propylene Recycling HC'!AF$42/'Propylene Recycling LC'!AF$42</f>
        <v>0.46932919036598392</v>
      </c>
      <c r="AG58" s="102">
        <f>'Propylene Recycling HC'!AG62*'Propylene Recycling HC'!AG$42/'Propylene Recycling LC'!AG$42</f>
        <v>0.49203363314430254</v>
      </c>
      <c r="AI58" s="124"/>
      <c r="AJ58" s="185"/>
      <c r="AL58" s="100"/>
      <c r="AM58" s="2"/>
      <c r="AN58" s="2"/>
      <c r="AO58" s="2"/>
    </row>
    <row r="59" spans="1:63" outlineLevel="1">
      <c r="A59" t="s">
        <v>496</v>
      </c>
      <c r="B59" s="50" t="s">
        <v>126</v>
      </c>
      <c r="C59" s="102">
        <f>'Propylene Recycling HC'!C63*'Propylene Recycling HC'!C$42/'Propylene Recycling LC'!C$42</f>
        <v>6.4863345965423978E-3</v>
      </c>
      <c r="D59" s="102">
        <f>'Propylene Recycling HC'!D63*'Propylene Recycling HC'!D$42/'Propylene Recycling LC'!D$42</f>
        <v>7.5087500520766735E-3</v>
      </c>
      <c r="E59" s="102">
        <f>'Propylene Recycling HC'!E63*'Propylene Recycling HC'!E$42/'Propylene Recycling LC'!E$42</f>
        <v>8.5951956899408353E-3</v>
      </c>
      <c r="F59" s="102">
        <f>'Propylene Recycling HC'!F63*'Propylene Recycling HC'!F$42/'Propylene Recycling LC'!F$42</f>
        <v>9.7452831650830588E-3</v>
      </c>
      <c r="G59" s="102">
        <f>'Propylene Recycling HC'!G63*'Propylene Recycling HC'!G$42/'Propylene Recycling LC'!G$42</f>
        <v>1.0958613262136449E-2</v>
      </c>
      <c r="H59" s="102">
        <f>'Propylene Recycling HC'!H63*'Propylene Recycling HC'!H$42/'Propylene Recycling LC'!H$42</f>
        <v>1.2234775512394765E-2</v>
      </c>
      <c r="I59" s="102">
        <f>'Propylene Recycling HC'!I63*'Propylene Recycling HC'!I$42/'Propylene Recycling LC'!I$42</f>
        <v>1.3573347794477768E-2</v>
      </c>
      <c r="J59" s="102">
        <f>'Propylene Recycling HC'!J63*'Propylene Recycling HC'!J$42/'Propylene Recycling LC'!J$42</f>
        <v>1.4973895917870192E-2</v>
      </c>
      <c r="K59" s="102">
        <f>'Propylene Recycling HC'!K63*'Propylene Recycling HC'!K$42/'Propylene Recycling LC'!K$42</f>
        <v>1.643597318847111E-2</v>
      </c>
      <c r="L59" s="102">
        <f>'Propylene Recycling HC'!L63*'Propylene Recycling HC'!L$42/'Propylene Recycling LC'!L$42</f>
        <v>1.795911995524065E-2</v>
      </c>
      <c r="M59" s="102">
        <f>'Propylene Recycling HC'!M63*'Propylene Recycling HC'!M$42/'Propylene Recycling LC'!M$42</f>
        <v>1.9542863136977472E-2</v>
      </c>
      <c r="N59" s="102">
        <f>'Propylene Recycling HC'!N63*'Propylene Recycling HC'!N$42/'Propylene Recycling LC'!N$42</f>
        <v>2.058196490673786E-2</v>
      </c>
      <c r="O59" s="102">
        <f>'Propylene Recycling HC'!O63*'Propylene Recycling HC'!O$42/'Propylene Recycling LC'!O$42</f>
        <v>2.1628214383827105E-2</v>
      </c>
      <c r="P59" s="102">
        <f>'Propylene Recycling HC'!P63*'Propylene Recycling HC'!P$42/'Propylene Recycling LC'!P$42</f>
        <v>2.2673941024286916E-2</v>
      </c>
      <c r="Q59" s="102">
        <f>'Propylene Recycling HC'!Q63*'Propylene Recycling HC'!Q$42/'Propylene Recycling LC'!Q$42</f>
        <v>2.3721944261120113E-2</v>
      </c>
      <c r="R59" s="102">
        <f>'Propylene Recycling HC'!R63*'Propylene Recycling HC'!R$42/'Propylene Recycling LC'!R$42</f>
        <v>2.4771965741271933E-2</v>
      </c>
      <c r="S59" s="102">
        <f>'Propylene Recycling HC'!S63*'Propylene Recycling HC'!S$42/'Propylene Recycling LC'!S$42</f>
        <v>2.58237371648849E-2</v>
      </c>
      <c r="T59" s="102">
        <f>'Propylene Recycling HC'!T63*'Propylene Recycling HC'!T$42/'Propylene Recycling LC'!T$42</f>
        <v>2.6876979801946511E-2</v>
      </c>
      <c r="U59" s="102">
        <f>'Propylene Recycling HC'!U63*'Propylene Recycling HC'!U$42/'Propylene Recycling LC'!U$42</f>
        <v>2.7931403980474816E-2</v>
      </c>
      <c r="V59" s="102">
        <f>'Propylene Recycling HC'!V63*'Propylene Recycling HC'!V$42/'Propylene Recycling LC'!V$42</f>
        <v>2.8986708544267156E-2</v>
      </c>
      <c r="W59" s="102">
        <f>'Propylene Recycling HC'!W63*'Propylene Recycling HC'!W$42/'Propylene Recycling LC'!W$42</f>
        <v>3.0042580278079219E-2</v>
      </c>
      <c r="X59" s="102">
        <f>'Propylene Recycling HC'!X63*'Propylene Recycling HC'!X$42/'Propylene Recycling LC'!X$42</f>
        <v>3.1145297480999902E-2</v>
      </c>
      <c r="Y59" s="102">
        <f>'Propylene Recycling HC'!Y63*'Propylene Recycling HC'!Y$42/'Propylene Recycling LC'!Y$42</f>
        <v>3.2243419224173661E-2</v>
      </c>
      <c r="Z59" s="102">
        <f>'Propylene Recycling HC'!Z63*'Propylene Recycling HC'!Z$42/'Propylene Recycling LC'!Z$42</f>
        <v>3.3345156611142478E-2</v>
      </c>
      <c r="AA59" s="102">
        <f>'Propylene Recycling HC'!AA63*'Propylene Recycling HC'!AA$42/'Propylene Recycling LC'!AA$42</f>
        <v>3.4450344929526339E-2</v>
      </c>
      <c r="AB59" s="102">
        <f>'Propylene Recycling HC'!AB63*'Propylene Recycling HC'!AB$42/'Propylene Recycling LC'!AB$42</f>
        <v>3.5558815052009432E-2</v>
      </c>
      <c r="AC59" s="102">
        <f>'Propylene Recycling HC'!AC63*'Propylene Recycling HC'!AC$42/'Propylene Recycling LC'!AC$42</f>
        <v>3.6670393287420236E-2</v>
      </c>
      <c r="AD59" s="102">
        <f>'Propylene Recycling HC'!AD63*'Propylene Recycling HC'!AD$42/'Propylene Recycling LC'!AD$42</f>
        <v>3.7784901225742892E-2</v>
      </c>
      <c r="AE59" s="102">
        <f>'Propylene Recycling HC'!AE63*'Propylene Recycling HC'!AE$42/'Propylene Recycling LC'!AE$42</f>
        <v>3.8902155576769314E-2</v>
      </c>
      <c r="AF59" s="102">
        <f>'Propylene Recycling HC'!AF63*'Propylene Recycling HC'!AF$42/'Propylene Recycling LC'!AF$42</f>
        <v>4.0021968002085469E-2</v>
      </c>
      <c r="AG59" s="102">
        <f>'Propylene Recycling HC'!AG63*'Propylene Recycling HC'!AG$42/'Propylene Recycling LC'!AG$42</f>
        <v>4.1144144940068281E-2</v>
      </c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497</v>
      </c>
      <c r="B60" s="50" t="s">
        <v>126</v>
      </c>
      <c r="C60" s="102">
        <f>'Propylene Recycling HC'!C64*'Propylene Recycling HC'!C$42/'Propylene Recycling LC'!C$42</f>
        <v>2.5945338386169591E-2</v>
      </c>
      <c r="D60" s="102">
        <f>'Propylene Recycling HC'!D64*'Propylene Recycling HC'!D$42/'Propylene Recycling LC'!D$42</f>
        <v>3.0035000208306694E-2</v>
      </c>
      <c r="E60" s="102">
        <f>'Propylene Recycling HC'!E64*'Propylene Recycling HC'!E$42/'Propylene Recycling LC'!E$42</f>
        <v>3.4380782759763341E-2</v>
      </c>
      <c r="F60" s="102">
        <f>'Propylene Recycling HC'!F64*'Propylene Recycling HC'!F$42/'Propylene Recycling LC'!F$42</f>
        <v>3.8981132660332235E-2</v>
      </c>
      <c r="G60" s="102">
        <f>'Propylene Recycling HC'!G64*'Propylene Recycling HC'!G$42/'Propylene Recycling LC'!G$42</f>
        <v>4.3834453048545795E-2</v>
      </c>
      <c r="H60" s="102">
        <f>'Propylene Recycling HC'!H64*'Propylene Recycling HC'!H$42/'Propylene Recycling LC'!H$42</f>
        <v>4.8939102049579061E-2</v>
      </c>
      <c r="I60" s="102">
        <f>'Propylene Recycling HC'!I64*'Propylene Recycling HC'!I$42/'Propylene Recycling LC'!I$42</f>
        <v>5.4293391177911071E-2</v>
      </c>
      <c r="J60" s="102">
        <f>'Propylene Recycling HC'!J64*'Propylene Recycling HC'!J$42/'Propylene Recycling LC'!J$42</f>
        <v>5.9895583671480769E-2</v>
      </c>
      <c r="K60" s="102">
        <f>'Propylene Recycling HC'!K64*'Propylene Recycling HC'!K$42/'Propylene Recycling LC'!K$42</f>
        <v>6.5743892753884439E-2</v>
      </c>
      <c r="L60" s="102">
        <f>'Propylene Recycling HC'!L64*'Propylene Recycling HC'!L$42/'Propylene Recycling LC'!L$42</f>
        <v>7.1836479820962598E-2</v>
      </c>
      <c r="M60" s="102">
        <f>'Propylene Recycling HC'!M64*'Propylene Recycling HC'!M$42/'Propylene Recycling LC'!M$42</f>
        <v>7.8171452547909887E-2</v>
      </c>
      <c r="N60" s="102">
        <f>'Propylene Recycling HC'!N64*'Propylene Recycling HC'!N$42/'Propylene Recycling LC'!N$42</f>
        <v>8.2327859626951438E-2</v>
      </c>
      <c r="O60" s="102">
        <f>'Propylene Recycling HC'!O64*'Propylene Recycling HC'!O$42/'Propylene Recycling LC'!O$42</f>
        <v>8.6512857535308421E-2</v>
      </c>
      <c r="P60" s="102">
        <f>'Propylene Recycling HC'!P64*'Propylene Recycling HC'!P$42/'Propylene Recycling LC'!P$42</f>
        <v>9.0695764097147663E-2</v>
      </c>
      <c r="Q60" s="102">
        <f>'Propylene Recycling HC'!Q64*'Propylene Recycling HC'!Q$42/'Propylene Recycling LC'!Q$42</f>
        <v>9.4887777044480454E-2</v>
      </c>
      <c r="R60" s="102">
        <f>'Propylene Recycling HC'!R64*'Propylene Recycling HC'!R$42/'Propylene Recycling LC'!R$42</f>
        <v>9.9087862965087731E-2</v>
      </c>
      <c r="S60" s="102">
        <f>'Propylene Recycling HC'!S64*'Propylene Recycling HC'!S$42/'Propylene Recycling LC'!S$42</f>
        <v>0.1032949486595396</v>
      </c>
      <c r="T60" s="102">
        <f>'Propylene Recycling HC'!T64*'Propylene Recycling HC'!T$42/'Propylene Recycling LC'!T$42</f>
        <v>0.10750791920778605</v>
      </c>
      <c r="U60" s="102">
        <f>'Propylene Recycling HC'!U64*'Propylene Recycling HC'!U$42/'Propylene Recycling LC'!U$42</f>
        <v>0.11172561592189927</v>
      </c>
      <c r="V60" s="102">
        <f>'Propylene Recycling HC'!V64*'Propylene Recycling HC'!V$42/'Propylene Recycling LC'!V$42</f>
        <v>0.11594683417706862</v>
      </c>
      <c r="W60" s="102">
        <f>'Propylene Recycling HC'!W64*'Propylene Recycling HC'!W$42/'Propylene Recycling LC'!W$42</f>
        <v>0.12017032111231687</v>
      </c>
      <c r="X60" s="102">
        <f>'Propylene Recycling HC'!X64*'Propylene Recycling HC'!X$42/'Propylene Recycling LC'!X$42</f>
        <v>0.12458118992399961</v>
      </c>
      <c r="Y60" s="102">
        <f>'Propylene Recycling HC'!Y64*'Propylene Recycling HC'!Y$42/'Propylene Recycling LC'!Y$42</f>
        <v>0.12897367689669464</v>
      </c>
      <c r="Z60" s="102">
        <f>'Propylene Recycling HC'!Z64*'Propylene Recycling HC'!Z$42/'Propylene Recycling LC'!Z$42</f>
        <v>0.13338062644456991</v>
      </c>
      <c r="AA60" s="102">
        <f>'Propylene Recycling HC'!AA64*'Propylene Recycling HC'!AA$42/'Propylene Recycling LC'!AA$42</f>
        <v>0.13780137971810535</v>
      </c>
      <c r="AB60" s="102">
        <f>'Propylene Recycling HC'!AB64*'Propylene Recycling HC'!AB$42/'Propylene Recycling LC'!AB$42</f>
        <v>0.14223526020803773</v>
      </c>
      <c r="AC60" s="102">
        <f>'Propylene Recycling HC'!AC64*'Propylene Recycling HC'!AC$42/'Propylene Recycling LC'!AC$42</f>
        <v>0.14668157314968094</v>
      </c>
      <c r="AD60" s="102">
        <f>'Propylene Recycling HC'!AD64*'Propylene Recycling HC'!AD$42/'Propylene Recycling LC'!AD$42</f>
        <v>0.15113960490297157</v>
      </c>
      <c r="AE60" s="102">
        <f>'Propylene Recycling HC'!AE64*'Propylene Recycling HC'!AE$42/'Propylene Recycling LC'!AE$42</f>
        <v>0.15560862230707725</v>
      </c>
      <c r="AF60" s="102">
        <f>'Propylene Recycling HC'!AF64*'Propylene Recycling HC'!AF$42/'Propylene Recycling LC'!AF$42</f>
        <v>0.16008787200834187</v>
      </c>
      <c r="AG60" s="102">
        <f>'Propylene Recycling HC'!AG64*'Propylene Recycling HC'!AG$42/'Propylene Recycling LC'!AG$42</f>
        <v>0.16457657976027312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I61" s="124"/>
      <c r="AJ61" s="185"/>
      <c r="AL61" s="100"/>
      <c r="AM61" s="123"/>
      <c r="AN61" s="2"/>
      <c r="AO61" s="2"/>
    </row>
    <row r="62" spans="1:63" s="174" customFormat="1" ht="15.5" thickBot="1">
      <c r="A62" s="174" t="s">
        <v>421</v>
      </c>
      <c r="B62" s="189"/>
      <c r="C62" s="195">
        <f>C63</f>
        <v>0.19</v>
      </c>
      <c r="D62" s="195">
        <f t="shared" ref="D62:AG62" si="26">D63</f>
        <v>0.20515750741304786</v>
      </c>
      <c r="E62" s="195">
        <f t="shared" si="26"/>
        <v>0.22031501482609578</v>
      </c>
      <c r="F62" s="195">
        <f t="shared" si="26"/>
        <v>0.23547252223914364</v>
      </c>
      <c r="G62" s="195">
        <f t="shared" si="26"/>
        <v>0.25063002965219155</v>
      </c>
      <c r="H62" s="195">
        <f t="shared" si="26"/>
        <v>0.26578753706523939</v>
      </c>
      <c r="I62" s="195">
        <f t="shared" si="26"/>
        <v>0.28094504447828728</v>
      </c>
      <c r="J62" s="195">
        <f t="shared" si="26"/>
        <v>0.29610255189133516</v>
      </c>
      <c r="K62" s="195">
        <f t="shared" si="26"/>
        <v>0.31126005930438305</v>
      </c>
      <c r="L62" s="195">
        <f t="shared" si="26"/>
        <v>0.32641756671743094</v>
      </c>
      <c r="M62" s="195">
        <f t="shared" si="26"/>
        <v>0.34157507413047883</v>
      </c>
      <c r="N62" s="195">
        <f t="shared" si="26"/>
        <v>0.35175830083520832</v>
      </c>
      <c r="O62" s="195">
        <f t="shared" si="26"/>
        <v>0.3619415275399378</v>
      </c>
      <c r="P62" s="195">
        <f t="shared" si="26"/>
        <v>0.37148998686571322</v>
      </c>
      <c r="Q62" s="195">
        <f t="shared" si="26"/>
        <v>0.38099927767234532</v>
      </c>
      <c r="R62" s="195">
        <f t="shared" si="26"/>
        <v>0.39046904763234275</v>
      </c>
      <c r="S62" s="195">
        <f t="shared" si="26"/>
        <v>0.39989894455678299</v>
      </c>
      <c r="T62" s="195">
        <f t="shared" si="26"/>
        <v>0.40928861639388525</v>
      </c>
      <c r="U62" s="195">
        <f t="shared" si="26"/>
        <v>0.41863771122764526</v>
      </c>
      <c r="V62" s="195">
        <f t="shared" si="26"/>
        <v>0.4279458772765341</v>
      </c>
      <c r="W62" s="195">
        <f t="shared" si="26"/>
        <v>0.43721276289226257</v>
      </c>
      <c r="X62" s="195">
        <f t="shared" si="26"/>
        <v>0.45182770550300283</v>
      </c>
      <c r="Y62" s="195">
        <f t="shared" si="26"/>
        <v>0.46638084271788083</v>
      </c>
      <c r="Z62" s="195">
        <f t="shared" si="26"/>
        <v>0.4781293158378388</v>
      </c>
      <c r="AA62" s="195">
        <f t="shared" si="26"/>
        <v>0.48961447576413408</v>
      </c>
      <c r="AB62" s="195">
        <f t="shared" si="26"/>
        <v>0.50083343859498608</v>
      </c>
      <c r="AC62" s="195">
        <f t="shared" si="26"/>
        <v>0.51178332099303581</v>
      </c>
      <c r="AD62" s="195">
        <f t="shared" si="26"/>
        <v>0.52246124029381058</v>
      </c>
      <c r="AE62" s="195">
        <f t="shared" si="26"/>
        <v>0.53286431463997108</v>
      </c>
      <c r="AF62" s="195">
        <f t="shared" si="26"/>
        <v>0.5429896631422324</v>
      </c>
      <c r="AG62" s="195">
        <f t="shared" si="26"/>
        <v>0.55283440606791223</v>
      </c>
      <c r="AJ62" s="204" t="s">
        <v>491</v>
      </c>
      <c r="AL62" s="191"/>
      <c r="AM62" s="192"/>
      <c r="AN62" s="192"/>
      <c r="AO62" s="192"/>
    </row>
    <row r="63" spans="1:63" ht="15.5" outlineLevel="1" thickTop="1">
      <c r="A63" t="s">
        <v>413</v>
      </c>
      <c r="B63" s="50" t="s">
        <v>126</v>
      </c>
      <c r="C63" s="102">
        <f>'Propylene Recycling HC'!C67*'Propylene Recycling HC'!C$43/'Propylene Recycling LC'!C$43</f>
        <v>0.19</v>
      </c>
      <c r="D63" s="102">
        <f>'Propylene Recycling HC'!D67*'Propylene Recycling HC'!D$43/'Propylene Recycling LC'!D$43</f>
        <v>0.20515750741304786</v>
      </c>
      <c r="E63" s="102">
        <f>'Propylene Recycling HC'!E67*'Propylene Recycling HC'!E$43/'Propylene Recycling LC'!E$43</f>
        <v>0.22031501482609578</v>
      </c>
      <c r="F63" s="102">
        <f>'Propylene Recycling HC'!F67*'Propylene Recycling HC'!F$43/'Propylene Recycling LC'!F$43</f>
        <v>0.23547252223914364</v>
      </c>
      <c r="G63" s="102">
        <f>'Propylene Recycling HC'!G67*'Propylene Recycling HC'!G$43/'Propylene Recycling LC'!G$43</f>
        <v>0.25063002965219155</v>
      </c>
      <c r="H63" s="102">
        <f>'Propylene Recycling HC'!H67*'Propylene Recycling HC'!H$43/'Propylene Recycling LC'!H$43</f>
        <v>0.26578753706523939</v>
      </c>
      <c r="I63" s="102">
        <f>'Propylene Recycling HC'!I67*'Propylene Recycling HC'!I$43/'Propylene Recycling LC'!I$43</f>
        <v>0.28094504447828728</v>
      </c>
      <c r="J63" s="102">
        <f>'Propylene Recycling HC'!J67*'Propylene Recycling HC'!J$43/'Propylene Recycling LC'!J$43</f>
        <v>0.29610255189133516</v>
      </c>
      <c r="K63" s="102">
        <f>'Propylene Recycling HC'!K67*'Propylene Recycling HC'!K$43/'Propylene Recycling LC'!K$43</f>
        <v>0.31126005930438305</v>
      </c>
      <c r="L63" s="102">
        <f>'Propylene Recycling HC'!L67*'Propylene Recycling HC'!L$43/'Propylene Recycling LC'!L$43</f>
        <v>0.32641756671743094</v>
      </c>
      <c r="M63" s="102">
        <f>'Propylene Recycling HC'!M67*'Propylene Recycling HC'!M$43/'Propylene Recycling LC'!M$43</f>
        <v>0.34157507413047883</v>
      </c>
      <c r="N63" s="102">
        <f>'Propylene Recycling HC'!N67*'Propylene Recycling HC'!N$43/'Propylene Recycling LC'!N$43</f>
        <v>0.35175830083520832</v>
      </c>
      <c r="O63" s="102">
        <f>'Propylene Recycling HC'!O67*'Propylene Recycling HC'!O$43/'Propylene Recycling LC'!O$43</f>
        <v>0.3619415275399378</v>
      </c>
      <c r="P63" s="102">
        <f>'Propylene Recycling HC'!P67*'Propylene Recycling HC'!P$43/'Propylene Recycling LC'!P$43</f>
        <v>0.37148998686571322</v>
      </c>
      <c r="Q63" s="102">
        <f>'Propylene Recycling HC'!Q67*'Propylene Recycling HC'!Q$43/'Propylene Recycling LC'!Q$43</f>
        <v>0.38099927767234532</v>
      </c>
      <c r="R63" s="102">
        <f>'Propylene Recycling HC'!R67*'Propylene Recycling HC'!R$43/'Propylene Recycling LC'!R$43</f>
        <v>0.39046904763234275</v>
      </c>
      <c r="S63" s="102">
        <f>'Propylene Recycling HC'!S67*'Propylene Recycling HC'!S$43/'Propylene Recycling LC'!S$43</f>
        <v>0.39989894455678299</v>
      </c>
      <c r="T63" s="102">
        <f>'Propylene Recycling HC'!T67*'Propylene Recycling HC'!T$43/'Propylene Recycling LC'!T$43</f>
        <v>0.40928861639388525</v>
      </c>
      <c r="U63" s="102">
        <f>'Propylene Recycling HC'!U67*'Propylene Recycling HC'!U$43/'Propylene Recycling LC'!U$43</f>
        <v>0.41863771122764526</v>
      </c>
      <c r="V63" s="102">
        <f>'Propylene Recycling HC'!V67*'Propylene Recycling HC'!V$43/'Propylene Recycling LC'!V$43</f>
        <v>0.4279458772765341</v>
      </c>
      <c r="W63" s="102">
        <f>'Propylene Recycling HC'!W67*'Propylene Recycling HC'!W$43/'Propylene Recycling LC'!W$43</f>
        <v>0.43721276289226257</v>
      </c>
      <c r="X63" s="102">
        <f>'Propylene Recycling HC'!X67*'Propylene Recycling HC'!X$43/'Propylene Recycling LC'!X$43</f>
        <v>0.45182770550300283</v>
      </c>
      <c r="Y63" s="102">
        <f>'Propylene Recycling HC'!Y67*'Propylene Recycling HC'!Y$43/'Propylene Recycling LC'!Y$43</f>
        <v>0.46638084271788083</v>
      </c>
      <c r="Z63" s="102">
        <f>'Propylene Recycling HC'!Z67*'Propylene Recycling HC'!Z$43/'Propylene Recycling LC'!Z$43</f>
        <v>0.4781293158378388</v>
      </c>
      <c r="AA63" s="102">
        <f>'Propylene Recycling HC'!AA67*'Propylene Recycling HC'!AA$43/'Propylene Recycling LC'!AA$43</f>
        <v>0.48961447576413408</v>
      </c>
      <c r="AB63" s="102">
        <f>'Propylene Recycling HC'!AB67*'Propylene Recycling HC'!AB$43/'Propylene Recycling LC'!AB$43</f>
        <v>0.50083343859498608</v>
      </c>
      <c r="AC63" s="102">
        <f>'Propylene Recycling HC'!AC67*'Propylene Recycling HC'!AC$43/'Propylene Recycling LC'!AC$43</f>
        <v>0.51178332099303581</v>
      </c>
      <c r="AD63" s="102">
        <f>'Propylene Recycling HC'!AD67*'Propylene Recycling HC'!AD$43/'Propylene Recycling LC'!AD$43</f>
        <v>0.52246124029381058</v>
      </c>
      <c r="AE63" s="102">
        <f>'Propylene Recycling HC'!AE67*'Propylene Recycling HC'!AE$43/'Propylene Recycling LC'!AE$43</f>
        <v>0.53286431463997108</v>
      </c>
      <c r="AF63" s="102">
        <f>'Propylene Recycling HC'!AF67*'Propylene Recycling HC'!AF$43/'Propylene Recycling LC'!AF$43</f>
        <v>0.5429896631422324</v>
      </c>
      <c r="AG63" s="102">
        <f>'Propylene Recycling HC'!AG67*'Propylene Recycling HC'!AG$43/'Propylene Recycling LC'!AG$43</f>
        <v>0.55283440606791223</v>
      </c>
      <c r="AJ63" s="185" t="s">
        <v>1469</v>
      </c>
    </row>
    <row r="64" spans="1:63" outlineLevel="1">
      <c r="A64" t="s">
        <v>480</v>
      </c>
      <c r="B64" s="50" t="s">
        <v>126</v>
      </c>
      <c r="C64" s="102">
        <f>'Propylene Recycling HC'!C70*'Propylene Recycling HC'!C$43/'Propylene Recycling LC'!C$43</f>
        <v>1.52E-2</v>
      </c>
      <c r="D64" s="102">
        <f>'Propylene Recycling HC'!D70*'Propylene Recycling HC'!D$43/'Propylene Recycling LC'!D$43</f>
        <v>2.1336380770956981E-2</v>
      </c>
      <c r="E64" s="102">
        <f>'Propylene Recycling HC'!E70*'Propylene Recycling HC'!E$43/'Propylene Recycling LC'!E$43</f>
        <v>2.8200321897740264E-2</v>
      </c>
      <c r="F64" s="102">
        <f>'Propylene Recycling HC'!F70*'Propylene Recycling HC'!F$43/'Propylene Recycling LC'!F$43</f>
        <v>3.5791823380349835E-2</v>
      </c>
      <c r="G64" s="102">
        <f>'Propylene Recycling HC'!G70*'Propylene Recycling HC'!G$43/'Propylene Recycling LC'!G$43</f>
        <v>4.4110885218785714E-2</v>
      </c>
      <c r="H64" s="102">
        <f>'Propylene Recycling HC'!H70*'Propylene Recycling HC'!H$43/'Propylene Recycling LC'!H$43</f>
        <v>5.3157507413047873E-2</v>
      </c>
      <c r="I64" s="102">
        <f>'Propylene Recycling HC'!I70*'Propylene Recycling HC'!I$43/'Propylene Recycling LC'!I$43</f>
        <v>6.2931689963136347E-2</v>
      </c>
      <c r="J64" s="102">
        <f>'Propylene Recycling HC'!J70*'Propylene Recycling HC'!J$43/'Propylene Recycling LC'!J$43</f>
        <v>7.3433432869051116E-2</v>
      </c>
      <c r="K64" s="102">
        <f>'Propylene Recycling HC'!K70*'Propylene Recycling HC'!K$43/'Propylene Recycling LC'!K$43</f>
        <v>8.4662736130792185E-2</v>
      </c>
      <c r="L64" s="102">
        <f>'Propylene Recycling HC'!L70*'Propylene Recycling HC'!L$43/'Propylene Recycling LC'!L$43</f>
        <v>9.6619599748359569E-2</v>
      </c>
      <c r="M64" s="102">
        <f>'Propylene Recycling HC'!M70*'Propylene Recycling HC'!M$43/'Propylene Recycling LC'!M$43</f>
        <v>0.10930402372175324</v>
      </c>
      <c r="N64" s="102">
        <f>'Propylene Recycling HC'!N70*'Propylene Recycling HC'!N$43/'Propylene Recycling LC'!N$43</f>
        <v>0.12100485548731169</v>
      </c>
      <c r="O64" s="102">
        <f>'Propylene Recycling HC'!O70*'Propylene Recycling HC'!O$43/'Propylene Recycling LC'!O$43</f>
        <v>0.13319448213469712</v>
      </c>
      <c r="P64" s="102">
        <f>'Propylene Recycling HC'!P70*'Propylene Recycling HC'!P$43/'Propylene Recycling LC'!P$43</f>
        <v>0.14562407485135961</v>
      </c>
      <c r="Q64" s="102">
        <f>'Propylene Recycling HC'!Q70*'Propylene Recycling HC'!Q$43/'Propylene Recycling LC'!Q$43</f>
        <v>0.15849569951169568</v>
      </c>
      <c r="R64" s="102">
        <f>'Propylene Recycling HC'!R70*'Propylene Recycling HC'!R$43/'Propylene Recycling LC'!R$43</f>
        <v>0.17180638095823084</v>
      </c>
      <c r="S64" s="102">
        <f>'Propylene Recycling HC'!S70*'Propylene Recycling HC'!S$43/'Propylene Recycling LC'!S$43</f>
        <v>0.18555311027434737</v>
      </c>
      <c r="T64" s="102">
        <f>'Propylene Recycling HC'!T70*'Propylene Recycling HC'!T$43/'Propylene Recycling LC'!T$43</f>
        <v>0.19973284480021608</v>
      </c>
      <c r="U64" s="102">
        <f>'Propylene Recycling HC'!U70*'Propylene Recycling HC'!U$43/'Propylene Recycling LC'!U$43</f>
        <v>0.21434250814855443</v>
      </c>
      <c r="V64" s="102">
        <f>'Propylene Recycling HC'!V70*'Propylene Recycling HC'!V$43/'Propylene Recycling LC'!V$43</f>
        <v>0.22937899022022229</v>
      </c>
      <c r="W64" s="102">
        <f>'Propylene Recycling HC'!W70*'Propylene Recycling HC'!W$43/'Propylene Recycling LC'!W$43</f>
        <v>0.2448391472196671</v>
      </c>
      <c r="X64" s="102">
        <f>'Propylene Recycling HC'!X70*'Propylene Recycling HC'!X$43/'Propylene Recycling LC'!X$43</f>
        <v>0.26386738001375371</v>
      </c>
      <c r="Y64" s="102">
        <f>'Propylene Recycling HC'!Y70*'Propylene Recycling HC'!Y$43/'Propylene Recycling LC'!Y$43</f>
        <v>0.28355955237247166</v>
      </c>
      <c r="Z64" s="102">
        <f>'Propylene Recycling HC'!Z70*'Propylene Recycling HC'!Z$43/'Propylene Recycling LC'!Z$43</f>
        <v>0.30217772760951417</v>
      </c>
      <c r="AA64" s="102">
        <f>'Propylene Recycling HC'!AA70*'Propylene Recycling HC'!AA$43/'Propylene Recycling LC'!AA$43</f>
        <v>0.32118709610127205</v>
      </c>
      <c r="AB64" s="102">
        <f>'Propylene Recycling HC'!AB70*'Propylene Recycling HC'!AB$43/'Propylene Recycling LC'!AB$43</f>
        <v>0.34056673824459072</v>
      </c>
      <c r="AC64" s="102">
        <f>'Propylene Recycling HC'!AC70*'Propylene Recycling HC'!AC$43/'Propylene Recycling LC'!AC$43</f>
        <v>0.36029545797909734</v>
      </c>
      <c r="AD64" s="102">
        <f>'Propylene Recycling HC'!AD70*'Propylene Recycling HC'!AD$43/'Propylene Recycling LC'!AD$43</f>
        <v>0.38035178293389432</v>
      </c>
      <c r="AE64" s="102">
        <f>'Propylene Recycling HC'!AE70*'Propylene Recycling HC'!AE$43/'Propylene Recycling LC'!AE$43</f>
        <v>0.40071396460925846</v>
      </c>
      <c r="AF64" s="102">
        <f>'Propylene Recycling HC'!AF70*'Propylene Recycling HC'!AF$43/'Propylene Recycling LC'!AF$43</f>
        <v>0.42135997859837249</v>
      </c>
      <c r="AG64" s="102">
        <f>'Propylene Recycling HC'!AG70*'Propylene Recycling HC'!AG$43/'Propylene Recycling LC'!AG$43</f>
        <v>0.4422675248543298</v>
      </c>
      <c r="AI64" s="125"/>
      <c r="AJ64" s="185" t="s">
        <v>444</v>
      </c>
      <c r="BD64" s="177"/>
      <c r="BE64" s="177"/>
    </row>
    <row r="65" spans="1:63" outlineLevel="1">
      <c r="A65" t="s">
        <v>481</v>
      </c>
      <c r="B65" s="50" t="s">
        <v>126</v>
      </c>
      <c r="C65" s="102">
        <f>'Propylene Recycling HC'!C71*'Propylene Recycling HC'!C$43/'Propylene Recycling LC'!C$43</f>
        <v>0.17480000000000001</v>
      </c>
      <c r="D65" s="102">
        <f>'Propylene Recycling HC'!D71*'Propylene Recycling HC'!D$43/'Propylene Recycling LC'!D$43</f>
        <v>0.18382112664209091</v>
      </c>
      <c r="E65" s="102">
        <f>'Propylene Recycling HC'!E71*'Propylene Recycling HC'!E$43/'Propylene Recycling LC'!E$43</f>
        <v>0.19211469292835551</v>
      </c>
      <c r="F65" s="102">
        <f>'Propylene Recycling HC'!F71*'Propylene Recycling HC'!F$43/'Propylene Recycling LC'!F$43</f>
        <v>0.19968069885879383</v>
      </c>
      <c r="G65" s="102">
        <f>'Propylene Recycling HC'!G71*'Propylene Recycling HC'!G$43/'Propylene Recycling LC'!G$43</f>
        <v>0.20651914443340585</v>
      </c>
      <c r="H65" s="102">
        <f>'Propylene Recycling HC'!H71*'Propylene Recycling HC'!H$43/'Propylene Recycling LC'!H$43</f>
        <v>0.21263002965219155</v>
      </c>
      <c r="I65" s="102">
        <f>'Propylene Recycling HC'!I71*'Propylene Recycling HC'!I$43/'Propylene Recycling LC'!I$43</f>
        <v>0.21801335451515091</v>
      </c>
      <c r="J65" s="102">
        <f>'Propylene Recycling HC'!J71*'Propylene Recycling HC'!J$43/'Propylene Recycling LC'!J$43</f>
        <v>0.22266911902228403</v>
      </c>
      <c r="K65" s="102">
        <f>'Propylene Recycling HC'!K71*'Propylene Recycling HC'!K$43/'Propylene Recycling LC'!K$43</f>
        <v>0.22659732317359085</v>
      </c>
      <c r="L65" s="102">
        <f>'Propylene Recycling HC'!L71*'Propylene Recycling HC'!L$43/'Propylene Recycling LC'!L$43</f>
        <v>0.22979796696907137</v>
      </c>
      <c r="M65" s="102">
        <f>'Propylene Recycling HC'!M71*'Propylene Recycling HC'!M$43/'Propylene Recycling LC'!M$43</f>
        <v>0.23227105040872562</v>
      </c>
      <c r="N65" s="102">
        <f>'Propylene Recycling HC'!N71*'Propylene Recycling HC'!N$43/'Propylene Recycling LC'!N$43</f>
        <v>0.23075344534789666</v>
      </c>
      <c r="O65" s="102">
        <f>'Propylene Recycling HC'!O71*'Propylene Recycling HC'!O$43/'Propylene Recycling LC'!O$43</f>
        <v>0.22874704540524066</v>
      </c>
      <c r="P65" s="102">
        <f>'Propylene Recycling HC'!P71*'Propylene Recycling HC'!P$43/'Propylene Recycling LC'!P$43</f>
        <v>0.2258659120143536</v>
      </c>
      <c r="Q65" s="102">
        <f>'Propylene Recycling HC'!Q71*'Propylene Recycling HC'!Q$43/'Propylene Recycling LC'!Q$43</f>
        <v>0.22250357816064958</v>
      </c>
      <c r="R65" s="102">
        <f>'Propylene Recycling HC'!R71*'Propylene Recycling HC'!R$43/'Propylene Recycling LC'!R$43</f>
        <v>0.21866266667411188</v>
      </c>
      <c r="S65" s="102">
        <f>'Propylene Recycling HC'!S71*'Propylene Recycling HC'!S$43/'Propylene Recycling LC'!S$43</f>
        <v>0.21434583428243562</v>
      </c>
      <c r="T65" s="102">
        <f>'Propylene Recycling HC'!T71*'Propylene Recycling HC'!T$43/'Propylene Recycling LC'!T$43</f>
        <v>0.20955577159366917</v>
      </c>
      <c r="U65" s="102">
        <f>'Propylene Recycling HC'!U71*'Propylene Recycling HC'!U$43/'Propylene Recycling LC'!U$43</f>
        <v>0.2042952030790908</v>
      </c>
      <c r="V65" s="102">
        <f>'Propylene Recycling HC'!V71*'Propylene Recycling HC'!V$43/'Propylene Recycling LC'!V$43</f>
        <v>0.19856688705631176</v>
      </c>
      <c r="W65" s="102">
        <f>'Propylene Recycling HC'!W71*'Propylene Recycling HC'!W$43/'Propylene Recycling LC'!W$43</f>
        <v>0.19237361567259545</v>
      </c>
      <c r="X65" s="102">
        <f>'Propylene Recycling HC'!X71*'Propylene Recycling HC'!X$43/'Propylene Recycling LC'!X$43</f>
        <v>0.18796032548924907</v>
      </c>
      <c r="Y65" s="102">
        <f>'Propylene Recycling HC'!Y71*'Propylene Recycling HC'!Y$43/'Propylene Recycling LC'!Y$43</f>
        <v>0.18282129034540917</v>
      </c>
      <c r="Z65" s="102">
        <f>'Propylene Recycling HC'!Z71*'Propylene Recycling HC'!Z$43/'Propylene Recycling LC'!Z$43</f>
        <v>0.17595158822832457</v>
      </c>
      <c r="AA65" s="102">
        <f>'Propylene Recycling HC'!AA71*'Propylene Recycling HC'!AA$43/'Propylene Recycling LC'!AA$43</f>
        <v>0.168427379662862</v>
      </c>
      <c r="AB65" s="102">
        <f>'Propylene Recycling HC'!AB71*'Propylene Recycling HC'!AB$43/'Propylene Recycling LC'!AB$43</f>
        <v>0.16026670035039542</v>
      </c>
      <c r="AC65" s="102">
        <f>'Propylene Recycling HC'!AC71*'Propylene Recycling HC'!AC$43/'Propylene Recycling LC'!AC$43</f>
        <v>0.15148786301393843</v>
      </c>
      <c r="AD65" s="102">
        <f>'Propylene Recycling HC'!AD71*'Propylene Recycling HC'!AD$43/'Propylene Recycling LC'!AD$43</f>
        <v>0.14210945735991631</v>
      </c>
      <c r="AE65" s="102">
        <f>'Propylene Recycling HC'!AE71*'Propylene Recycling HC'!AE$43/'Propylene Recycling LC'!AE$43</f>
        <v>0.13215035003071265</v>
      </c>
      <c r="AF65" s="102">
        <f>'Propylene Recycling HC'!AF71*'Propylene Recycling HC'!AF$43/'Propylene Recycling LC'!AF$43</f>
        <v>0.12162968454385986</v>
      </c>
      <c r="AG65" s="102">
        <f>'Propylene Recycling HC'!AG71*'Propylene Recycling HC'!AG$43/'Propylene Recycling LC'!AG$43</f>
        <v>0.11056688121358244</v>
      </c>
      <c r="AI65" s="125"/>
      <c r="AJ65" s="185"/>
      <c r="BD65" s="177"/>
      <c r="BE65" s="177"/>
    </row>
    <row r="66" spans="1:63" outlineLevel="1">
      <c r="A66" t="s">
        <v>426</v>
      </c>
      <c r="B66" s="50" t="s">
        <v>126</v>
      </c>
      <c r="C66" s="102">
        <f>'Propylene Recycling HC'!C78*'Propylene Recycling HC'!C$43/'Propylene Recycling LC'!C$43</f>
        <v>9.0896000000000005E-2</v>
      </c>
      <c r="D66" s="102">
        <f>'Propylene Recycling HC'!D78*'Propylene Recycling HC'!D$43/'Propylene Recycling LC'!D$43</f>
        <v>9.5586985853887294E-2</v>
      </c>
      <c r="E66" s="102">
        <f>'Propylene Recycling HC'!E78*'Propylene Recycling HC'!E$43/'Propylene Recycling LC'!E$43</f>
        <v>9.989964032274487E-2</v>
      </c>
      <c r="F66" s="102">
        <f>'Propylene Recycling HC'!F78*'Propylene Recycling HC'!F$43/'Propylene Recycling LC'!F$43</f>
        <v>0.10383396340657279</v>
      </c>
      <c r="G66" s="102">
        <f>'Propylene Recycling HC'!G78*'Propylene Recycling HC'!G$43/'Propylene Recycling LC'!G$43</f>
        <v>0.10738995510537105</v>
      </c>
      <c r="H66" s="102">
        <f>'Propylene Recycling HC'!H78*'Propylene Recycling HC'!H$43/'Propylene Recycling LC'!H$43</f>
        <v>0.11056761541913959</v>
      </c>
      <c r="I66" s="102">
        <f>'Propylene Recycling HC'!I78*'Propylene Recycling HC'!I$43/'Propylene Recycling LC'!I$43</f>
        <v>0.11336694434787849</v>
      </c>
      <c r="J66" s="102">
        <f>'Propylene Recycling HC'!J78*'Propylene Recycling HC'!J$43/'Propylene Recycling LC'!J$43</f>
        <v>0.1157879418915877</v>
      </c>
      <c r="K66" s="102">
        <f>'Propylene Recycling HC'!K78*'Propylene Recycling HC'!K$43/'Propylene Recycling LC'!K$43</f>
        <v>0.11783060805026725</v>
      </c>
      <c r="L66" s="102">
        <f>'Propylene Recycling HC'!L78*'Propylene Recycling HC'!L$43/'Propylene Recycling LC'!L$43</f>
        <v>0.11949494282391712</v>
      </c>
      <c r="M66" s="102">
        <f>'Propylene Recycling HC'!M78*'Propylene Recycling HC'!M$43/'Propylene Recycling LC'!M$43</f>
        <v>0.12078094621253731</v>
      </c>
      <c r="N66" s="102">
        <f>'Propylene Recycling HC'!N78*'Propylene Recycling HC'!N$43/'Propylene Recycling LC'!N$43</f>
        <v>0.11999179158090625</v>
      </c>
      <c r="O66" s="102">
        <f>'Propylene Recycling HC'!O78*'Propylene Recycling HC'!O$43/'Propylene Recycling LC'!O$43</f>
        <v>0.11894846361072514</v>
      </c>
      <c r="P66" s="102">
        <f>'Propylene Recycling HC'!P78*'Propylene Recycling HC'!P$43/'Propylene Recycling LC'!P$43</f>
        <v>0.11745027424746389</v>
      </c>
      <c r="Q66" s="102">
        <f>'Propylene Recycling HC'!Q78*'Propylene Recycling HC'!Q$43/'Propylene Recycling LC'!Q$43</f>
        <v>0.11570186064353781</v>
      </c>
      <c r="R66" s="102">
        <f>'Propylene Recycling HC'!R78*'Propylene Recycling HC'!R$43/'Propylene Recycling LC'!R$43</f>
        <v>0.11370458667053818</v>
      </c>
      <c r="S66" s="102">
        <f>'Propylene Recycling HC'!S78*'Propylene Recycling HC'!S$43/'Propylene Recycling LC'!S$43</f>
        <v>0.11145983382686653</v>
      </c>
      <c r="T66" s="102">
        <f>'Propylene Recycling HC'!T78*'Propylene Recycling HC'!T$43/'Propylene Recycling LC'!T$43</f>
        <v>0.10896900122870797</v>
      </c>
      <c r="U66" s="102">
        <f>'Propylene Recycling HC'!U78*'Propylene Recycling HC'!U$43/'Propylene Recycling LC'!U$43</f>
        <v>0.10623350560112722</v>
      </c>
      <c r="V66" s="102">
        <f>'Propylene Recycling HC'!V78*'Propylene Recycling HC'!V$43/'Propylene Recycling LC'!V$43</f>
        <v>0.1032547812692821</v>
      </c>
      <c r="W66" s="102">
        <f>'Propylene Recycling HC'!W78*'Propylene Recycling HC'!W$43/'Propylene Recycling LC'!W$43</f>
        <v>0.10003428014974963</v>
      </c>
      <c r="X66" s="102">
        <f>'Propylene Recycling HC'!X78*'Propylene Recycling HC'!X$43/'Propylene Recycling LC'!X$43</f>
        <v>9.7739369254409514E-2</v>
      </c>
      <c r="Y66" s="102">
        <f>'Propylene Recycling HC'!Y78*'Propylene Recycling HC'!Y$43/'Propylene Recycling LC'!Y$43</f>
        <v>9.5067070979612783E-2</v>
      </c>
      <c r="Z66" s="102">
        <f>'Propylene Recycling HC'!Z78*'Propylene Recycling HC'!Z$43/'Propylene Recycling LC'!Z$43</f>
        <v>9.1494825878728772E-2</v>
      </c>
      <c r="AA66" s="102">
        <f>'Propylene Recycling HC'!AA78*'Propylene Recycling HC'!AA$43/'Propylene Recycling LC'!AA$43</f>
        <v>8.7582237424688236E-2</v>
      </c>
      <c r="AB66" s="102">
        <f>'Propylene Recycling HC'!AB78*'Propylene Recycling HC'!AB$43/'Propylene Recycling LC'!AB$43</f>
        <v>8.3338684182205622E-2</v>
      </c>
      <c r="AC66" s="102">
        <f>'Propylene Recycling HC'!AC78*'Propylene Recycling HC'!AC$43/'Propylene Recycling LC'!AC$43</f>
        <v>7.8773688767247982E-2</v>
      </c>
      <c r="AD66" s="102">
        <f>'Propylene Recycling HC'!AD78*'Propylene Recycling HC'!AD$43/'Propylene Recycling LC'!AD$43</f>
        <v>7.3896917827156489E-2</v>
      </c>
      <c r="AE66" s="102">
        <f>'Propylene Recycling HC'!AE78*'Propylene Recycling HC'!AE$43/'Propylene Recycling LC'!AE$43</f>
        <v>6.8718182015970589E-2</v>
      </c>
      <c r="AF66" s="102">
        <f>'Propylene Recycling HC'!AF78*'Propylene Recycling HC'!AF$43/'Propylene Recycling LC'!AF$43</f>
        <v>6.324743596280713E-2</v>
      </c>
      <c r="AG66" s="102">
        <f>'Propylene Recycling HC'!AG78*'Propylene Recycling HC'!AG$43/'Propylene Recycling LC'!AG$43</f>
        <v>5.749477823106286E-2</v>
      </c>
      <c r="AI66" s="125"/>
      <c r="AJ66" s="185"/>
      <c r="BD66" s="177"/>
      <c r="BE66" s="177"/>
    </row>
    <row r="67" spans="1:63" outlineLevel="1">
      <c r="A67" t="s">
        <v>427</v>
      </c>
      <c r="B67" s="50" t="s">
        <v>126</v>
      </c>
      <c r="C67" s="102">
        <f>'Propylene Recycling HC'!C79*'Propylene Recycling HC'!C$43/'Propylene Recycling LC'!C$43</f>
        <v>2.0976000000000002E-2</v>
      </c>
      <c r="D67" s="102">
        <f>'Propylene Recycling HC'!D79*'Propylene Recycling HC'!D$43/'Propylene Recycling LC'!D$43</f>
        <v>2.2058535197050907E-2</v>
      </c>
      <c r="E67" s="102">
        <f>'Propylene Recycling HC'!E79*'Propylene Recycling HC'!E$43/'Propylene Recycling LC'!E$43</f>
        <v>2.3053763151402659E-2</v>
      </c>
      <c r="F67" s="102">
        <f>'Propylene Recycling HC'!F79*'Propylene Recycling HC'!F$43/'Propylene Recycling LC'!F$43</f>
        <v>2.3961683863055257E-2</v>
      </c>
      <c r="G67" s="102">
        <f>'Propylene Recycling HC'!G79*'Propylene Recycling HC'!G$43/'Propylene Recycling LC'!G$43</f>
        <v>2.4782297332008697E-2</v>
      </c>
      <c r="H67" s="102">
        <f>'Propylene Recycling HC'!H79*'Propylene Recycling HC'!H$43/'Propylene Recycling LC'!H$43</f>
        <v>2.5515603558262982E-2</v>
      </c>
      <c r="I67" s="102">
        <f>'Propylene Recycling HC'!I79*'Propylene Recycling HC'!I$43/'Propylene Recycling LC'!I$43</f>
        <v>2.6161602541818114E-2</v>
      </c>
      <c r="J67" s="102">
        <f>'Propylene Recycling HC'!J79*'Propylene Recycling HC'!J$43/'Propylene Recycling LC'!J$43</f>
        <v>2.6720294282674084E-2</v>
      </c>
      <c r="K67" s="102">
        <f>'Propylene Recycling HC'!K79*'Propylene Recycling HC'!K$43/'Propylene Recycling LC'!K$43</f>
        <v>2.7191678780830904E-2</v>
      </c>
      <c r="L67" s="102">
        <f>'Propylene Recycling HC'!L79*'Propylene Recycling HC'!L$43/'Propylene Recycling LC'!L$43</f>
        <v>2.7575756036288566E-2</v>
      </c>
      <c r="M67" s="102">
        <f>'Propylene Recycling HC'!M79*'Propylene Recycling HC'!M$43/'Propylene Recycling LC'!M$43</f>
        <v>2.7872526049047074E-2</v>
      </c>
      <c r="N67" s="102">
        <f>'Propylene Recycling HC'!N79*'Propylene Recycling HC'!N$43/'Propylene Recycling LC'!N$43</f>
        <v>2.7690413441747594E-2</v>
      </c>
      <c r="O67" s="102">
        <f>'Propylene Recycling HC'!O79*'Propylene Recycling HC'!O$43/'Propylene Recycling LC'!O$43</f>
        <v>2.7449645448628879E-2</v>
      </c>
      <c r="P67" s="102">
        <f>'Propylene Recycling HC'!P79*'Propylene Recycling HC'!P$43/'Propylene Recycling LC'!P$43</f>
        <v>2.7103909441722432E-2</v>
      </c>
      <c r="Q67" s="102">
        <f>'Propylene Recycling HC'!Q79*'Propylene Recycling HC'!Q$43/'Propylene Recycling LC'!Q$43</f>
        <v>2.6700429379277951E-2</v>
      </c>
      <c r="R67" s="102">
        <f>'Propylene Recycling HC'!R79*'Propylene Recycling HC'!R$43/'Propylene Recycling LC'!R$43</f>
        <v>2.6239520000893427E-2</v>
      </c>
      <c r="S67" s="102">
        <f>'Propylene Recycling HC'!S79*'Propylene Recycling HC'!S$43/'Propylene Recycling LC'!S$43</f>
        <v>2.5721500113892275E-2</v>
      </c>
      <c r="T67" s="102">
        <f>'Propylene Recycling HC'!T79*'Propylene Recycling HC'!T$43/'Propylene Recycling LC'!T$43</f>
        <v>2.5146692591240302E-2</v>
      </c>
      <c r="U67" s="102">
        <f>'Propylene Recycling HC'!U79*'Propylene Recycling HC'!U$43/'Propylene Recycling LC'!U$43</f>
        <v>2.4515424369490901E-2</v>
      </c>
      <c r="V67" s="102">
        <f>'Propylene Recycling HC'!V79*'Propylene Recycling HC'!V$43/'Propylene Recycling LC'!V$43</f>
        <v>2.3828026446757411E-2</v>
      </c>
      <c r="W67" s="102">
        <f>'Propylene Recycling HC'!W79*'Propylene Recycling HC'!W$43/'Propylene Recycling LC'!W$43</f>
        <v>2.3084833880711454E-2</v>
      </c>
      <c r="X67" s="102">
        <f>'Propylene Recycling HC'!X79*'Propylene Recycling HC'!X$43/'Propylene Recycling LC'!X$43</f>
        <v>2.2555239058709885E-2</v>
      </c>
      <c r="Y67" s="102">
        <f>'Propylene Recycling HC'!Y79*'Propylene Recycling HC'!Y$43/'Propylene Recycling LC'!Y$43</f>
        <v>2.19385548414491E-2</v>
      </c>
      <c r="Z67" s="102">
        <f>'Propylene Recycling HC'!Z79*'Propylene Recycling HC'!Z$43/'Propylene Recycling LC'!Z$43</f>
        <v>2.1114190587398947E-2</v>
      </c>
      <c r="AA67" s="102">
        <f>'Propylene Recycling HC'!AA79*'Propylene Recycling HC'!AA$43/'Propylene Recycling LC'!AA$43</f>
        <v>2.0211285559543438E-2</v>
      </c>
      <c r="AB67" s="102">
        <f>'Propylene Recycling HC'!AB79*'Propylene Recycling HC'!AB$43/'Propylene Recycling LC'!AB$43</f>
        <v>1.9232004042047446E-2</v>
      </c>
      <c r="AC67" s="102">
        <f>'Propylene Recycling HC'!AC79*'Propylene Recycling HC'!AC$43/'Propylene Recycling LC'!AC$43</f>
        <v>1.8178543561672613E-2</v>
      </c>
      <c r="AD67" s="102">
        <f>'Propylene Recycling HC'!AD79*'Propylene Recycling HC'!AD$43/'Propylene Recycling LC'!AD$43</f>
        <v>1.7053134883189956E-2</v>
      </c>
      <c r="AE67" s="102">
        <f>'Propylene Recycling HC'!AE79*'Propylene Recycling HC'!AE$43/'Propylene Recycling LC'!AE$43</f>
        <v>1.5858042003685516E-2</v>
      </c>
      <c r="AF67" s="102">
        <f>'Propylene Recycling HC'!AF79*'Propylene Recycling HC'!AF$43/'Propylene Recycling LC'!AF$43</f>
        <v>1.4595562145263185E-2</v>
      </c>
      <c r="AG67" s="102">
        <f>'Propylene Recycling HC'!AG79*'Propylene Recycling HC'!AG$43/'Propylene Recycling LC'!AG$43</f>
        <v>1.326802574562989E-2</v>
      </c>
      <c r="AI67" s="125"/>
      <c r="AJ67" s="185"/>
      <c r="AL67" s="1"/>
      <c r="BC67" s="1"/>
      <c r="BD67" s="615"/>
      <c r="BE67" s="605"/>
      <c r="BF67" s="6"/>
      <c r="BG67" s="6"/>
      <c r="BH67" s="6"/>
      <c r="BI67" s="6"/>
      <c r="BJ67" s="6"/>
    </row>
    <row r="68" spans="1:63" outlineLevel="1">
      <c r="A68" t="s">
        <v>428</v>
      </c>
      <c r="B68" s="50" t="s">
        <v>126</v>
      </c>
      <c r="C68" s="102">
        <f>'Propylene Recycling HC'!C80*'Propylene Recycling HC'!C$43/'Propylene Recycling LC'!C$43</f>
        <v>6.2927999999999998E-2</v>
      </c>
      <c r="D68" s="102">
        <f>'Propylene Recycling HC'!D80*'Propylene Recycling HC'!D$43/'Propylene Recycling LC'!D$43</f>
        <v>6.6175605591152722E-2</v>
      </c>
      <c r="E68" s="102">
        <f>'Propylene Recycling HC'!E80*'Propylene Recycling HC'!E$43/'Propylene Recycling LC'!E$43</f>
        <v>6.9161289454207978E-2</v>
      </c>
      <c r="F68" s="102">
        <f>'Propylene Recycling HC'!F80*'Propylene Recycling HC'!F$43/'Propylene Recycling LC'!F$43</f>
        <v>7.1885051589165777E-2</v>
      </c>
      <c r="G68" s="102">
        <f>'Propylene Recycling HC'!G80*'Propylene Recycling HC'!G$43/'Propylene Recycling LC'!G$43</f>
        <v>7.4346891996026107E-2</v>
      </c>
      <c r="H68" s="102">
        <f>'Propylene Recycling HC'!H80*'Propylene Recycling HC'!H$43/'Propylene Recycling LC'!H$43</f>
        <v>7.654681067478894E-2</v>
      </c>
      <c r="I68" s="102">
        <f>'Propylene Recycling HC'!I80*'Propylene Recycling HC'!I$43/'Propylene Recycling LC'!I$43</f>
        <v>7.8484807625454331E-2</v>
      </c>
      <c r="J68" s="102">
        <f>'Propylene Recycling HC'!J80*'Propylene Recycling HC'!J$43/'Propylene Recycling LC'!J$43</f>
        <v>8.0160882848022252E-2</v>
      </c>
      <c r="K68" s="102">
        <f>'Propylene Recycling HC'!K80*'Propylene Recycling HC'!K$43/'Propylene Recycling LC'!K$43</f>
        <v>8.1575036342492704E-2</v>
      </c>
      <c r="L68" s="102">
        <f>'Propylene Recycling HC'!L80*'Propylene Recycling HC'!L$43/'Propylene Recycling LC'!L$43</f>
        <v>8.2727268108865687E-2</v>
      </c>
      <c r="M68" s="102">
        <f>'Propylene Recycling HC'!M80*'Propylene Recycling HC'!M$43/'Propylene Recycling LC'!M$43</f>
        <v>8.3617578147141214E-2</v>
      </c>
      <c r="N68" s="102">
        <f>'Propylene Recycling HC'!N80*'Propylene Recycling HC'!N$43/'Propylene Recycling LC'!N$43</f>
        <v>8.3071240325242782E-2</v>
      </c>
      <c r="O68" s="102">
        <f>'Propylene Recycling HC'!O80*'Propylene Recycling HC'!O$43/'Propylene Recycling LC'!O$43</f>
        <v>8.2348936345886636E-2</v>
      </c>
      <c r="P68" s="102">
        <f>'Propylene Recycling HC'!P80*'Propylene Recycling HC'!P$43/'Propylene Recycling LC'!P$43</f>
        <v>8.1311728325167296E-2</v>
      </c>
      <c r="Q68" s="102">
        <f>'Propylene Recycling HC'!Q80*'Propylene Recycling HC'!Q$43/'Propylene Recycling LC'!Q$43</f>
        <v>8.0101288137833848E-2</v>
      </c>
      <c r="R68" s="102">
        <f>'Propylene Recycling HC'!R80*'Propylene Recycling HC'!R$43/'Propylene Recycling LC'!R$43</f>
        <v>7.8718560002680266E-2</v>
      </c>
      <c r="S68" s="102">
        <f>'Propylene Recycling HC'!S80*'Propylene Recycling HC'!S$43/'Propylene Recycling LC'!S$43</f>
        <v>7.7164500341676809E-2</v>
      </c>
      <c r="T68" s="102">
        <f>'Propylene Recycling HC'!T80*'Propylene Recycling HC'!T$43/'Propylene Recycling LC'!T$43</f>
        <v>7.5440077773720915E-2</v>
      </c>
      <c r="U68" s="102">
        <f>'Propylene Recycling HC'!U80*'Propylene Recycling HC'!U$43/'Propylene Recycling LC'!U$43</f>
        <v>7.3546273108472698E-2</v>
      </c>
      <c r="V68" s="102">
        <f>'Propylene Recycling HC'!V80*'Propylene Recycling HC'!V$43/'Propylene Recycling LC'!V$43</f>
        <v>7.1484079340272233E-2</v>
      </c>
      <c r="W68" s="102">
        <f>'Propylene Recycling HC'!W80*'Propylene Recycling HC'!W$43/'Propylene Recycling LC'!W$43</f>
        <v>6.925450164213437E-2</v>
      </c>
      <c r="X68" s="102">
        <f>'Propylene Recycling HC'!X80*'Propylene Recycling HC'!X$43/'Propylene Recycling LC'!X$43</f>
        <v>6.7665717176129653E-2</v>
      </c>
      <c r="Y68" s="102">
        <f>'Propylene Recycling HC'!Y80*'Propylene Recycling HC'!Y$43/'Propylene Recycling LC'!Y$43</f>
        <v>6.5815664524347312E-2</v>
      </c>
      <c r="Z68" s="102">
        <f>'Propylene Recycling HC'!Z80*'Propylene Recycling HC'!Z$43/'Propylene Recycling LC'!Z$43</f>
        <v>6.3342571762196848E-2</v>
      </c>
      <c r="AA68" s="102">
        <f>'Propylene Recycling HC'!AA80*'Propylene Recycling HC'!AA$43/'Propylene Recycling LC'!AA$43</f>
        <v>6.0633856678630318E-2</v>
      </c>
      <c r="AB68" s="102">
        <f>'Propylene Recycling HC'!AB80*'Propylene Recycling HC'!AB$43/'Propylene Recycling LC'!AB$43</f>
        <v>5.7696012126142344E-2</v>
      </c>
      <c r="AC68" s="102">
        <f>'Propylene Recycling HC'!AC80*'Propylene Recycling HC'!AC$43/'Propylene Recycling LC'!AC$43</f>
        <v>5.4535630685017836E-2</v>
      </c>
      <c r="AD68" s="102">
        <f>'Propylene Recycling HC'!AD80*'Propylene Recycling HC'!AD$43/'Propylene Recycling LC'!AD$43</f>
        <v>5.1159404649569869E-2</v>
      </c>
      <c r="AE68" s="102">
        <f>'Propylene Recycling HC'!AE80*'Propylene Recycling HC'!AE$43/'Propylene Recycling LC'!AE$43</f>
        <v>4.757412601105656E-2</v>
      </c>
      <c r="AF68" s="102">
        <f>'Propylene Recycling HC'!AF80*'Propylene Recycling HC'!AF$43/'Propylene Recycling LC'!AF$43</f>
        <v>4.3786686435789555E-2</v>
      </c>
      <c r="AG68" s="102">
        <f>'Propylene Recycling HC'!AG80*'Propylene Recycling HC'!AG$43/'Propylene Recycling LC'!AG$43</f>
        <v>3.9804077236889675E-2</v>
      </c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outlineLevel="1"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I69" s="124" t="s">
        <v>431</v>
      </c>
      <c r="AJ69" s="205" t="s">
        <v>443</v>
      </c>
      <c r="AL69" s="100"/>
      <c r="AM69" s="2"/>
      <c r="AN69" s="2"/>
      <c r="AO69" s="2"/>
      <c r="BC69" s="1"/>
      <c r="BD69" s="2"/>
      <c r="BE69" s="2"/>
      <c r="BF69" s="2"/>
      <c r="BG69" s="2"/>
      <c r="BH69" s="2"/>
      <c r="BI69" s="2"/>
      <c r="BJ69" s="2"/>
      <c r="BK69" s="2"/>
    </row>
    <row r="70" spans="1:63" outlineLevel="1">
      <c r="A70" t="s">
        <v>515</v>
      </c>
      <c r="B70" s="50" t="s">
        <v>126</v>
      </c>
      <c r="C70" s="102">
        <f>'Propylene Recycling HC'!C83*'Propylene Recycling HC'!C$43/'Propylene Recycling LC'!C$43</f>
        <v>0.37565366392241267</v>
      </c>
      <c r="D70" s="102">
        <f>'Propylene Recycling HC'!D83*'Propylene Recycling HC'!D$43/'Propylene Recycling LC'!D$43</f>
        <v>0.39962365437464126</v>
      </c>
      <c r="E70" s="102">
        <f>'Propylene Recycling HC'!E83*'Propylene Recycling HC'!E$43/'Propylene Recycling LC'!E$43</f>
        <v>0.422707310038689</v>
      </c>
      <c r="F70" s="102">
        <f>'Propylene Recycling HC'!F83*'Propylene Recycling HC'!F$43/'Propylene Recycling LC'!F$43</f>
        <v>0.44490463091455573</v>
      </c>
      <c r="G70" s="102">
        <f>'Propylene Recycling HC'!G83*'Propylene Recycling HC'!G$43/'Propylene Recycling LC'!G$43</f>
        <v>0.46621561700224168</v>
      </c>
      <c r="H70" s="102">
        <f>'Propylene Recycling HC'!H83*'Propylene Recycling HC'!H$43/'Propylene Recycling LC'!H$43</f>
        <v>0.48664026830174661</v>
      </c>
      <c r="I70" s="102">
        <f>'Propylene Recycling HC'!I83*'Propylene Recycling HC'!I$43/'Propylene Recycling LC'!I$43</f>
        <v>0.50617858481307065</v>
      </c>
      <c r="J70" s="102">
        <f>'Propylene Recycling HC'!J83*'Propylene Recycling HC'!J$43/'Propylene Recycling LC'!J$43</f>
        <v>0.52483056653621396</v>
      </c>
      <c r="K70" s="102">
        <f>'Propylene Recycling HC'!K83*'Propylene Recycling HC'!K$43/'Propylene Recycling LC'!K$43</f>
        <v>0.54259621347117626</v>
      </c>
      <c r="L70" s="102">
        <f>'Propylene Recycling HC'!L83*'Propylene Recycling HC'!L$43/'Propylene Recycling LC'!L$43</f>
        <v>0.55947552561795766</v>
      </c>
      <c r="M70" s="102">
        <f>'Propylene Recycling HC'!M83*'Propylene Recycling HC'!M$43/'Propylene Recycling LC'!M$43</f>
        <v>0.57546850297655816</v>
      </c>
      <c r="N70" s="102">
        <f>'Propylene Recycling HC'!N83*'Propylene Recycling HC'!N$43/'Propylene Recycling LC'!N$43</f>
        <v>0.58234016308309466</v>
      </c>
      <c r="O70" s="102">
        <f>'Propylene Recycling HC'!O83*'Propylene Recycling HC'!O$43/'Propylene Recycling LC'!O$43</f>
        <v>0.58861635931563272</v>
      </c>
      <c r="P70" s="102">
        <f>'Propylene Recycling HC'!P83*'Propylene Recycling HC'!P$43/'Propylene Recycling LC'!P$43</f>
        <v>0.5932833445291652</v>
      </c>
      <c r="Q70" s="102">
        <f>'Propylene Recycling HC'!Q83*'Propylene Recycling HC'!Q$43/'Propylene Recycling LC'!Q$43</f>
        <v>0.59733057547716273</v>
      </c>
      <c r="R70" s="102">
        <f>'Propylene Recycling HC'!R83*'Propylene Recycling HC'!R$43/'Propylene Recycling LC'!R$43</f>
        <v>0.60076094564880034</v>
      </c>
      <c r="S70" s="102">
        <f>'Propylene Recycling HC'!S83*'Propylene Recycling HC'!S$43/'Propylene Recycling LC'!S$43</f>
        <v>0.60357738994707688</v>
      </c>
      <c r="T70" s="102">
        <f>'Propylene Recycling HC'!T83*'Propylene Recycling HC'!T$43/'Propylene Recycling LC'!T$43</f>
        <v>0.60578288466644636</v>
      </c>
      <c r="U70" s="102">
        <f>'Propylene Recycling HC'!U83*'Propylene Recycling HC'!U$43/'Propylene Recycling LC'!U$43</f>
        <v>0.60738044747078834</v>
      </c>
      <c r="V70" s="102">
        <f>'Propylene Recycling HC'!V83*'Propylene Recycling HC'!V$43/'Propylene Recycling LC'!V$43</f>
        <v>0.60837313737170995</v>
      </c>
      <c r="W70" s="102">
        <f>'Propylene Recycling HC'!W83*'Propylene Recycling HC'!W$43/'Propylene Recycling LC'!W$43</f>
        <v>0.60876405470716655</v>
      </c>
      <c r="X70" s="102">
        <f>'Propylene Recycling HC'!X83*'Propylene Recycling HC'!X$43/'Propylene Recycling LC'!X$43</f>
        <v>0.61590322750130078</v>
      </c>
      <c r="Y70" s="102">
        <f>'Propylene Recycling HC'!Y83*'Propylene Recycling HC'!Y$43/'Propylene Recycling LC'!Y$43</f>
        <v>0.62210534975760834</v>
      </c>
      <c r="Z70" s="102">
        <f>'Propylene Recycling HC'!Z83*'Propylene Recycling HC'!Z$43/'Propylene Recycling LC'!Z$43</f>
        <v>0.62379733798155979</v>
      </c>
      <c r="AA70" s="102">
        <f>'Propylene Recycling HC'!AA83*'Propylene Recycling HC'!AA$43/'Propylene Recycling LC'!AA$43</f>
        <v>0.624466498388488</v>
      </c>
      <c r="AB70" s="102">
        <f>'Propylene Recycling HC'!AB83*'Propylene Recycling HC'!AB$43/'Propylene Recycling LC'!AB$43</f>
        <v>0.62413233294283055</v>
      </c>
      <c r="AC70" s="102">
        <f>'Propylene Recycling HC'!AC83*'Propylene Recycling HC'!AC$43/'Propylene Recycling LC'!AC$43</f>
        <v>0.62281468156803643</v>
      </c>
      <c r="AD70" s="102">
        <f>'Propylene Recycling HC'!AD83*'Propylene Recycling HC'!AD$43/'Propylene Recycling LC'!AD$43</f>
        <v>0.62053372219288117</v>
      </c>
      <c r="AE70" s="102">
        <f>'Propylene Recycling HC'!AE83*'Propylene Recycling HC'!AE$43/'Propylene Recycling LC'!AE$43</f>
        <v>0.61730997080861871</v>
      </c>
      <c r="AF70" s="102">
        <f>'Propylene Recycling HC'!AF83*'Propylene Recycling HC'!AF$43/'Propylene Recycling LC'!AF$43</f>
        <v>0.61316428153270908</v>
      </c>
      <c r="AG70" s="102">
        <f>'Propylene Recycling HC'!AG83*'Propylene Recycling HC'!AG$43/'Propylene Recycling LC'!AG$43</f>
        <v>0.60811784667470348</v>
      </c>
      <c r="AI70" s="124" t="s">
        <v>431</v>
      </c>
      <c r="AJ70" s="205" t="s">
        <v>443</v>
      </c>
      <c r="AL70" s="100"/>
      <c r="AM70" s="2"/>
      <c r="AN70" s="2"/>
      <c r="AO70" s="2"/>
      <c r="AV70" s="37"/>
    </row>
    <row r="71" spans="1:63" outlineLevel="1">
      <c r="A71" t="s">
        <v>516</v>
      </c>
      <c r="B71" s="50" t="s">
        <v>126</v>
      </c>
      <c r="C71" s="102">
        <f>'Propylene Recycling HC'!C84*'Propylene Recycling HC'!C$43/'Propylene Recycling LC'!C$43</f>
        <v>3.0052293113793014E-2</v>
      </c>
      <c r="D71" s="102">
        <f>'Propylene Recycling HC'!D84*'Propylene Recycling HC'!D$43/'Propylene Recycling LC'!D$43</f>
        <v>4.1560860054962692E-2</v>
      </c>
      <c r="E71" s="102">
        <f>'Propylene Recycling HC'!E84*'Propylene Recycling HC'!E$43/'Propylene Recycling LC'!E$43</f>
        <v>5.4106535684952189E-2</v>
      </c>
      <c r="F71" s="102">
        <f>'Propylene Recycling HC'!F84*'Propylene Recycling HC'!F$43/'Propylene Recycling LC'!F$43</f>
        <v>6.7625503899012479E-2</v>
      </c>
      <c r="G71" s="102">
        <f>'Propylene Recycling HC'!G84*'Propylene Recycling HC'!G$43/'Propylene Recycling LC'!G$43</f>
        <v>8.2053948592394538E-2</v>
      </c>
      <c r="H71" s="102">
        <f>'Propylene Recycling HC'!H84*'Propylene Recycling HC'!H$43/'Propylene Recycling LC'!H$43</f>
        <v>9.7328053660349315E-2</v>
      </c>
      <c r="I71" s="102">
        <f>'Propylene Recycling HC'!I84*'Propylene Recycling HC'!I$43/'Propylene Recycling LC'!I$43</f>
        <v>0.11338400299812783</v>
      </c>
      <c r="J71" s="102">
        <f>'Propylene Recycling HC'!J84*'Propylene Recycling HC'!J$43/'Propylene Recycling LC'!J$43</f>
        <v>0.13015798050098104</v>
      </c>
      <c r="K71" s="102">
        <f>'Propylene Recycling HC'!K84*'Propylene Recycling HC'!K$43/'Propylene Recycling LC'!K$43</f>
        <v>0.14758617006415992</v>
      </c>
      <c r="L71" s="102">
        <f>'Propylene Recycling HC'!L84*'Propylene Recycling HC'!L$43/'Propylene Recycling LC'!L$43</f>
        <v>0.16560475558291546</v>
      </c>
      <c r="M71" s="102">
        <f>'Propylene Recycling HC'!M84*'Propylene Recycling HC'!M$43/'Propylene Recycling LC'!M$43</f>
        <v>0.1841499209524986</v>
      </c>
      <c r="N71" s="102">
        <f>'Propylene Recycling HC'!N84*'Propylene Recycling HC'!N$43/'Propylene Recycling LC'!N$43</f>
        <v>0.20032501610058459</v>
      </c>
      <c r="O71" s="102">
        <f>'Propylene Recycling HC'!O84*'Propylene Recycling HC'!O$43/'Propylene Recycling LC'!O$43</f>
        <v>0.21661082022815284</v>
      </c>
      <c r="P71" s="102">
        <f>'Propylene Recycling HC'!P84*'Propylene Recycling HC'!P$43/'Propylene Recycling LC'!P$43</f>
        <v>0.23256707105543278</v>
      </c>
      <c r="Q71" s="102">
        <f>'Propylene Recycling HC'!Q84*'Propylene Recycling HC'!Q$43/'Propylene Recycling LC'!Q$43</f>
        <v>0.24848951939849973</v>
      </c>
      <c r="R71" s="102">
        <f>'Propylene Recycling HC'!R84*'Propylene Recycling HC'!R$43/'Propylene Recycling LC'!R$43</f>
        <v>0.26433481608547216</v>
      </c>
      <c r="S71" s="102">
        <f>'Propylene Recycling HC'!S84*'Propylene Recycling HC'!S$43/'Propylene Recycling LC'!S$43</f>
        <v>0.28005990893544375</v>
      </c>
      <c r="T71" s="102">
        <f>'Propylene Recycling HC'!T84*'Propylene Recycling HC'!T$43/'Propylene Recycling LC'!T$43</f>
        <v>0.29562204771722589</v>
      </c>
      <c r="U71" s="102">
        <f>'Propylene Recycling HC'!U84*'Propylene Recycling HC'!U$43/'Propylene Recycling LC'!U$43</f>
        <v>0.31097878910504367</v>
      </c>
      <c r="V71" s="102">
        <f>'Propylene Recycling HC'!V84*'Propylene Recycling HC'!V$43/'Propylene Recycling LC'!V$43</f>
        <v>0.32608800163123658</v>
      </c>
      <c r="W71" s="102">
        <f>'Propylene Recycling HC'!W84*'Propylene Recycling HC'!W$43/'Propylene Recycling LC'!W$43</f>
        <v>0.34090787063601341</v>
      </c>
      <c r="X71" s="102">
        <f>'Propylene Recycling HC'!X84*'Propylene Recycling HC'!X$43/'Propylene Recycling LC'!X$43</f>
        <v>0.35968748486075974</v>
      </c>
      <c r="Y71" s="102">
        <f>'Propylene Recycling HC'!Y84*'Propylene Recycling HC'!Y$43/'Propylene Recycling LC'!Y$43</f>
        <v>0.37824005265262595</v>
      </c>
      <c r="Z71" s="102">
        <f>'Propylene Recycling HC'!Z84*'Propylene Recycling HC'!Z$43/'Propylene Recycling LC'!Z$43</f>
        <v>0.3942399176043459</v>
      </c>
      <c r="AA71" s="102">
        <f>'Propylene Recycling HC'!AA84*'Propylene Recycling HC'!AA$43/'Propylene Recycling LC'!AA$43</f>
        <v>0.40965002294284825</v>
      </c>
      <c r="AB71" s="102">
        <f>'Propylene Recycling HC'!AB84*'Propylene Recycling HC'!AB$43/'Propylene Recycling LC'!AB$43</f>
        <v>0.42440998640112498</v>
      </c>
      <c r="AC71" s="102">
        <f>'Propylene Recycling HC'!AC84*'Propylene Recycling HC'!AC$43/'Propylene Recycling LC'!AC$43</f>
        <v>0.43846153582389791</v>
      </c>
      <c r="AD71" s="102">
        <f>'Propylene Recycling HC'!AD84*'Propylene Recycling HC'!AD$43/'Propylene Recycling LC'!AD$43</f>
        <v>0.45174854975641771</v>
      </c>
      <c r="AE71" s="102">
        <f>'Propylene Recycling HC'!AE84*'Propylene Recycling HC'!AE$43/'Propylene Recycling LC'!AE$43</f>
        <v>0.46421709804808148</v>
      </c>
      <c r="AF71" s="102">
        <f>'Propylene Recycling HC'!AF84*'Propylene Recycling HC'!AF$43/'Propylene Recycling LC'!AF$43</f>
        <v>0.47581548246938238</v>
      </c>
      <c r="AG71" s="102">
        <f>'Propylene Recycling HC'!AG84*'Propylene Recycling HC'!AG$43/'Propylene Recycling LC'!AG$43</f>
        <v>0.4864942773397628</v>
      </c>
      <c r="AI71" s="124"/>
      <c r="AJ71" s="196"/>
      <c r="AL71" s="100"/>
      <c r="AM71" s="2"/>
      <c r="AN71" s="2"/>
      <c r="AO71" s="2"/>
      <c r="AV71" s="37"/>
    </row>
    <row r="72" spans="1:63" outlineLevel="1">
      <c r="A72" t="s">
        <v>517</v>
      </c>
      <c r="B72" s="156" t="s">
        <v>126</v>
      </c>
      <c r="C72" s="102">
        <f>'Propylene Recycling HC'!C85*'Propylene Recycling HC'!C$43/'Propylene Recycling LC'!C$43</f>
        <v>0.34560137080861969</v>
      </c>
      <c r="D72" s="102">
        <f>'Propylene Recycling HC'!D85*'Propylene Recycling HC'!D$43/'Propylene Recycling LC'!D$43</f>
        <v>0.35806279431967858</v>
      </c>
      <c r="E72" s="102">
        <f>'Propylene Recycling HC'!E85*'Propylene Recycling HC'!E$43/'Propylene Recycling LC'!E$43</f>
        <v>0.36860077435373678</v>
      </c>
      <c r="F72" s="102">
        <f>'Propylene Recycling HC'!F85*'Propylene Recycling HC'!F$43/'Propylene Recycling LC'!F$43</f>
        <v>0.37727912701554334</v>
      </c>
      <c r="G72" s="102">
        <f>'Propylene Recycling HC'!G85*'Propylene Recycling HC'!G$43/'Propylene Recycling LC'!G$43</f>
        <v>0.38416166840984717</v>
      </c>
      <c r="H72" s="102">
        <f>'Propylene Recycling HC'!H85*'Propylene Recycling HC'!H$43/'Propylene Recycling LC'!H$43</f>
        <v>0.38931221464139726</v>
      </c>
      <c r="I72" s="102">
        <f>'Propylene Recycling HC'!I85*'Propylene Recycling HC'!I$43/'Propylene Recycling LC'!I$43</f>
        <v>0.39279458181494287</v>
      </c>
      <c r="J72" s="102">
        <f>'Propylene Recycling HC'!J85*'Propylene Recycling HC'!J$43/'Propylene Recycling LC'!J$43</f>
        <v>0.39467258603523286</v>
      </c>
      <c r="K72" s="102">
        <f>'Propylene Recycling HC'!K85*'Propylene Recycling HC'!K$43/'Propylene Recycling LC'!K$43</f>
        <v>0.39501004340701629</v>
      </c>
      <c r="L72" s="102">
        <f>'Propylene Recycling HC'!L85*'Propylene Recycling HC'!L$43/'Propylene Recycling LC'!L$43</f>
        <v>0.39387077003504212</v>
      </c>
      <c r="M72" s="102">
        <f>'Propylene Recycling HC'!M85*'Propylene Recycling HC'!M$43/'Propylene Recycling LC'!M$43</f>
        <v>0.39131858202405956</v>
      </c>
      <c r="N72" s="102">
        <f>'Propylene Recycling HC'!N85*'Propylene Recycling HC'!N$43/'Propylene Recycling LC'!N$43</f>
        <v>0.3820151469825101</v>
      </c>
      <c r="O72" s="102">
        <f>'Propylene Recycling HC'!O85*'Propylene Recycling HC'!O$43/'Propylene Recycling LC'!O$43</f>
        <v>0.37200553908747985</v>
      </c>
      <c r="P72" s="102">
        <f>'Propylene Recycling HC'!P85*'Propylene Recycling HC'!P$43/'Propylene Recycling LC'!P$43</f>
        <v>0.36071627347373236</v>
      </c>
      <c r="Q72" s="102">
        <f>'Propylene Recycling HC'!Q85*'Propylene Recycling HC'!Q$43/'Propylene Recycling LC'!Q$43</f>
        <v>0.34884105607866295</v>
      </c>
      <c r="R72" s="102">
        <f>'Propylene Recycling HC'!R85*'Propylene Recycling HC'!R$43/'Propylene Recycling LC'!R$43</f>
        <v>0.33642612956332807</v>
      </c>
      <c r="S72" s="102">
        <f>'Propylene Recycling HC'!S85*'Propylene Recycling HC'!S$43/'Propylene Recycling LC'!S$43</f>
        <v>0.32351748101163313</v>
      </c>
      <c r="T72" s="102">
        <f>'Propylene Recycling HC'!T85*'Propylene Recycling HC'!T$43/'Propylene Recycling LC'!T$43</f>
        <v>0.31016083694922042</v>
      </c>
      <c r="U72" s="102">
        <f>'Propylene Recycling HC'!U85*'Propylene Recycling HC'!U$43/'Propylene Recycling LC'!U$43</f>
        <v>0.29640165836574461</v>
      </c>
      <c r="V72" s="102">
        <f>'Propylene Recycling HC'!V85*'Propylene Recycling HC'!V$43/'Propylene Recycling LC'!V$43</f>
        <v>0.28228513574047337</v>
      </c>
      <c r="W72" s="102">
        <f>'Propylene Recycling HC'!W85*'Propylene Recycling HC'!W$43/'Propylene Recycling LC'!W$43</f>
        <v>0.26785618407115319</v>
      </c>
      <c r="X72" s="102">
        <f>'Propylene Recycling HC'!X85*'Propylene Recycling HC'!X$43/'Propylene Recycling LC'!X$43</f>
        <v>0.25621574264054098</v>
      </c>
      <c r="Y72" s="102">
        <f>'Propylene Recycling HC'!Y85*'Propylene Recycling HC'!Y$43/'Propylene Recycling LC'!Y$43</f>
        <v>0.24386529710498234</v>
      </c>
      <c r="Z72" s="102">
        <f>'Propylene Recycling HC'!Z85*'Propylene Recycling HC'!Z$43/'Propylene Recycling LC'!Z$43</f>
        <v>0.22955742037721388</v>
      </c>
      <c r="AA72" s="102">
        <f>'Propylene Recycling HC'!AA85*'Propylene Recycling HC'!AA$43/'Propylene Recycling LC'!AA$43</f>
        <v>0.21481647544563973</v>
      </c>
      <c r="AB72" s="102">
        <f>'Propylene Recycling HC'!AB85*'Propylene Recycling HC'!AB$43/'Propylene Recycling LC'!AB$43</f>
        <v>0.19972234654170559</v>
      </c>
      <c r="AC72" s="102">
        <f>'Propylene Recycling HC'!AC85*'Propylene Recycling HC'!AC$43/'Propylene Recycling LC'!AC$43</f>
        <v>0.18435314574413861</v>
      </c>
      <c r="AD72" s="102">
        <f>'Propylene Recycling HC'!AD85*'Propylene Recycling HC'!AD$43/'Propylene Recycling LC'!AD$43</f>
        <v>0.16878517243646343</v>
      </c>
      <c r="AE72" s="102">
        <f>'Propylene Recycling HC'!AE85*'Propylene Recycling HC'!AE$43/'Propylene Recycling LC'!AE$43</f>
        <v>0.15309287276053721</v>
      </c>
      <c r="AF72" s="102">
        <f>'Propylene Recycling HC'!AF85*'Propylene Recycling HC'!AF$43/'Propylene Recycling LC'!AF$43</f>
        <v>0.13734879906332659</v>
      </c>
      <c r="AG72" s="102">
        <f>'Propylene Recycling HC'!AG85*'Propylene Recycling HC'!AG$43/'Propylene Recycling LC'!AG$43</f>
        <v>0.12162356933494069</v>
      </c>
      <c r="AI72" s="124"/>
      <c r="AJ72" s="185"/>
      <c r="AL72" s="100"/>
      <c r="AM72" s="2"/>
      <c r="AN72" s="2"/>
      <c r="AO72" s="2"/>
    </row>
    <row r="73" spans="1:63" outlineLevel="1">
      <c r="A73" t="s">
        <v>513</v>
      </c>
      <c r="B73" s="50" t="s">
        <v>126</v>
      </c>
      <c r="C73" s="102">
        <f>'Propylene Recycling HC'!C86*'Propylene Recycling HC'!C$43/'Propylene Recycling LC'!C$43</f>
        <v>0.17971271282048223</v>
      </c>
      <c r="D73" s="102">
        <f>'Propylene Recycling HC'!D86*'Propylene Recycling HC'!D$43/'Propylene Recycling LC'!D$43</f>
        <v>0.18619265304623286</v>
      </c>
      <c r="E73" s="102">
        <f>'Propylene Recycling HC'!E86*'Propylene Recycling HC'!E$43/'Propylene Recycling LC'!E$43</f>
        <v>0.19167240266394314</v>
      </c>
      <c r="F73" s="102">
        <f>'Propylene Recycling HC'!F86*'Propylene Recycling HC'!F$43/'Propylene Recycling LC'!F$43</f>
        <v>0.19618514604808251</v>
      </c>
      <c r="G73" s="102">
        <f>'Propylene Recycling HC'!G86*'Propylene Recycling HC'!G$43/'Propylene Recycling LC'!G$43</f>
        <v>0.19976406757312057</v>
      </c>
      <c r="H73" s="102">
        <f>'Propylene Recycling HC'!H86*'Propylene Recycling HC'!H$43/'Propylene Recycling LC'!H$43</f>
        <v>0.20244235161352658</v>
      </c>
      <c r="I73" s="102">
        <f>'Propylene Recycling HC'!I86*'Propylene Recycling HC'!I$43/'Propylene Recycling LC'!I$43</f>
        <v>0.20425318254377034</v>
      </c>
      <c r="J73" s="102">
        <f>'Propylene Recycling HC'!J86*'Propylene Recycling HC'!J$43/'Propylene Recycling LC'!J$43</f>
        <v>0.20522974473832109</v>
      </c>
      <c r="K73" s="102">
        <f>'Propylene Recycling HC'!K86*'Propylene Recycling HC'!K$43/'Propylene Recycling LC'!K$43</f>
        <v>0.20540522257164848</v>
      </c>
      <c r="L73" s="102">
        <f>'Propylene Recycling HC'!L86*'Propylene Recycling HC'!L$43/'Propylene Recycling LC'!L$43</f>
        <v>0.20481280041822192</v>
      </c>
      <c r="M73" s="102">
        <f>'Propylene Recycling HC'!M86*'Propylene Recycling HC'!M$43/'Propylene Recycling LC'!M$43</f>
        <v>0.20348566265251095</v>
      </c>
      <c r="N73" s="102">
        <f>'Propylene Recycling HC'!N86*'Propylene Recycling HC'!N$43/'Propylene Recycling LC'!N$43</f>
        <v>0.19864787643090526</v>
      </c>
      <c r="O73" s="102">
        <f>'Propylene Recycling HC'!O86*'Propylene Recycling HC'!O$43/'Propylene Recycling LC'!O$43</f>
        <v>0.19344288032548954</v>
      </c>
      <c r="P73" s="102">
        <f>'Propylene Recycling HC'!P86*'Propylene Recycling HC'!P$43/'Propylene Recycling LC'!P$43</f>
        <v>0.18757246220634083</v>
      </c>
      <c r="Q73" s="102">
        <f>'Propylene Recycling HC'!Q86*'Propylene Recycling HC'!Q$43/'Propylene Recycling LC'!Q$43</f>
        <v>0.18139734916090475</v>
      </c>
      <c r="R73" s="102">
        <f>'Propylene Recycling HC'!R86*'Propylene Recycling HC'!R$43/'Propylene Recycling LC'!R$43</f>
        <v>0.17494158737293061</v>
      </c>
      <c r="S73" s="102">
        <f>'Propylene Recycling HC'!S86*'Propylene Recycling HC'!S$43/'Propylene Recycling LC'!S$43</f>
        <v>0.16822909012604925</v>
      </c>
      <c r="T73" s="102">
        <f>'Propylene Recycling HC'!T86*'Propylene Recycling HC'!T$43/'Propylene Recycling LC'!T$43</f>
        <v>0.16128363521359462</v>
      </c>
      <c r="U73" s="102">
        <f>'Propylene Recycling HC'!U86*'Propylene Recycling HC'!U$43/'Propylene Recycling LC'!U$43</f>
        <v>0.15412886235018722</v>
      </c>
      <c r="V73" s="102">
        <f>'Propylene Recycling HC'!V86*'Propylene Recycling HC'!V$43/'Propylene Recycling LC'!V$43</f>
        <v>0.14678827058504612</v>
      </c>
      <c r="W73" s="102">
        <f>'Propylene Recycling HC'!W86*'Propylene Recycling HC'!W$43/'Propylene Recycling LC'!W$43</f>
        <v>0.13928521571699964</v>
      </c>
      <c r="X73" s="102">
        <f>'Propylene Recycling HC'!X86*'Propylene Recycling HC'!X$43/'Propylene Recycling LC'!X$43</f>
        <v>0.13323218617308133</v>
      </c>
      <c r="Y73" s="102">
        <f>'Propylene Recycling HC'!Y86*'Propylene Recycling HC'!Y$43/'Propylene Recycling LC'!Y$43</f>
        <v>0.12680995449459082</v>
      </c>
      <c r="Z73" s="102">
        <f>'Propylene Recycling HC'!Z86*'Propylene Recycling HC'!Z$43/'Propylene Recycling LC'!Z$43</f>
        <v>0.11936985859615123</v>
      </c>
      <c r="AA73" s="102">
        <f>'Propylene Recycling HC'!AA86*'Propylene Recycling HC'!AA$43/'Propylene Recycling LC'!AA$43</f>
        <v>0.11170456723173267</v>
      </c>
      <c r="AB73" s="102">
        <f>'Propylene Recycling HC'!AB86*'Propylene Recycling HC'!AB$43/'Propylene Recycling LC'!AB$43</f>
        <v>0.10385562020168691</v>
      </c>
      <c r="AC73" s="102">
        <f>'Propylene Recycling HC'!AC86*'Propylene Recycling HC'!AC$43/'Propylene Recycling LC'!AC$43</f>
        <v>9.5863635786952089E-2</v>
      </c>
      <c r="AD73" s="102">
        <f>'Propylene Recycling HC'!AD86*'Propylene Recycling HC'!AD$43/'Propylene Recycling LC'!AD$43</f>
        <v>8.7768289666961014E-2</v>
      </c>
      <c r="AE73" s="102">
        <f>'Propylene Recycling HC'!AE86*'Propylene Recycling HC'!AE$43/'Propylene Recycling LC'!AE$43</f>
        <v>7.9608293835479363E-2</v>
      </c>
      <c r="AF73" s="102">
        <f>'Propylene Recycling HC'!AF86*'Propylene Recycling HC'!AF$43/'Propylene Recycling LC'!AF$43</f>
        <v>7.1421375512929833E-2</v>
      </c>
      <c r="AG73" s="102">
        <f>'Propylene Recycling HC'!AG86*'Propylene Recycling HC'!AG$43/'Propylene Recycling LC'!AG$43</f>
        <v>6.3244256054169154E-2</v>
      </c>
      <c r="AI73" s="124"/>
      <c r="AJ73" s="185"/>
      <c r="AL73" s="100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outlineLevel="1">
      <c r="A74" t="s">
        <v>514</v>
      </c>
      <c r="B74" s="50" t="s">
        <v>126</v>
      </c>
      <c r="C74" s="102">
        <f>'Propylene Recycling HC'!C87*'Propylene Recycling HC'!C$43/'Propylene Recycling LC'!C$43</f>
        <v>4.1472164497034364E-2</v>
      </c>
      <c r="D74" s="102">
        <f>'Propylene Recycling HC'!D87*'Propylene Recycling HC'!D$43/'Propylene Recycling LC'!D$43</f>
        <v>4.2967535318361429E-2</v>
      </c>
      <c r="E74" s="102">
        <f>'Propylene Recycling HC'!E87*'Propylene Recycling HC'!E$43/'Propylene Recycling LC'!E$43</f>
        <v>4.423209292244841E-2</v>
      </c>
      <c r="F74" s="102">
        <f>'Propylene Recycling HC'!F87*'Propylene Recycling HC'!F$43/'Propylene Recycling LC'!F$43</f>
        <v>4.5273495241865198E-2</v>
      </c>
      <c r="G74" s="102">
        <f>'Propylene Recycling HC'!G87*'Propylene Recycling HC'!G$43/'Propylene Recycling LC'!G$43</f>
        <v>4.6099400209181657E-2</v>
      </c>
      <c r="H74" s="102">
        <f>'Propylene Recycling HC'!H87*'Propylene Recycling HC'!H$43/'Propylene Recycling LC'!H$43</f>
        <v>4.6717465756967676E-2</v>
      </c>
      <c r="I74" s="102">
        <f>'Propylene Recycling HC'!I87*'Propylene Recycling HC'!I$43/'Propylene Recycling LC'!I$43</f>
        <v>4.7135349817793146E-2</v>
      </c>
      <c r="J74" s="102">
        <f>'Propylene Recycling HC'!J87*'Propylene Recycling HC'!J$43/'Propylene Recycling LC'!J$43</f>
        <v>4.7360710324227943E-2</v>
      </c>
      <c r="K74" s="102">
        <f>'Propylene Recycling HC'!K87*'Propylene Recycling HC'!K$43/'Propylene Recycling LC'!K$43</f>
        <v>4.7401205208841946E-2</v>
      </c>
      <c r="L74" s="102">
        <f>'Propylene Recycling HC'!L87*'Propylene Recycling HC'!L$43/'Propylene Recycling LC'!L$43</f>
        <v>4.7264492404205057E-2</v>
      </c>
      <c r="M74" s="102">
        <f>'Propylene Recycling HC'!M87*'Propylene Recycling HC'!M$43/'Propylene Recycling LC'!M$43</f>
        <v>4.6958229842887139E-2</v>
      </c>
      <c r="N74" s="102">
        <f>'Propylene Recycling HC'!N87*'Propylene Recycling HC'!N$43/'Propylene Recycling LC'!N$43</f>
        <v>4.5841817637901204E-2</v>
      </c>
      <c r="O74" s="102">
        <f>'Propylene Recycling HC'!O87*'Propylene Recycling HC'!O$43/'Propylene Recycling LC'!O$43</f>
        <v>4.4640664690497579E-2</v>
      </c>
      <c r="P74" s="102">
        <f>'Propylene Recycling HC'!P87*'Propylene Recycling HC'!P$43/'Propylene Recycling LC'!P$43</f>
        <v>4.3285952816847884E-2</v>
      </c>
      <c r="Q74" s="102">
        <f>'Propylene Recycling HC'!Q87*'Propylene Recycling HC'!Q$43/'Propylene Recycling LC'!Q$43</f>
        <v>4.186092672943955E-2</v>
      </c>
      <c r="R74" s="102">
        <f>'Propylene Recycling HC'!R87*'Propylene Recycling HC'!R$43/'Propylene Recycling LC'!R$43</f>
        <v>4.0371135547599364E-2</v>
      </c>
      <c r="S74" s="102">
        <f>'Propylene Recycling HC'!S87*'Propylene Recycling HC'!S$43/'Propylene Recycling LC'!S$43</f>
        <v>3.8822097721395971E-2</v>
      </c>
      <c r="T74" s="102">
        <f>'Propylene Recycling HC'!T87*'Propylene Recycling HC'!T$43/'Propylene Recycling LC'!T$43</f>
        <v>3.7219300433906449E-2</v>
      </c>
      <c r="U74" s="102">
        <f>'Propylene Recycling HC'!U87*'Propylene Recycling HC'!U$43/'Propylene Recycling LC'!U$43</f>
        <v>3.5568199003889349E-2</v>
      </c>
      <c r="V74" s="102">
        <f>'Propylene Recycling HC'!V87*'Propylene Recycling HC'!V$43/'Propylene Recycling LC'!V$43</f>
        <v>3.3874216288856798E-2</v>
      </c>
      <c r="W74" s="102">
        <f>'Propylene Recycling HC'!W87*'Propylene Recycling HC'!W$43/'Propylene Recycling LC'!W$43</f>
        <v>3.214274208853838E-2</v>
      </c>
      <c r="X74" s="102">
        <f>'Propylene Recycling HC'!X87*'Propylene Recycling HC'!X$43/'Propylene Recycling LC'!X$43</f>
        <v>3.0745889116864919E-2</v>
      </c>
      <c r="Y74" s="102">
        <f>'Propylene Recycling HC'!Y87*'Propylene Recycling HC'!Y$43/'Propylene Recycling LC'!Y$43</f>
        <v>2.9263835652597877E-2</v>
      </c>
      <c r="Z74" s="102">
        <f>'Propylene Recycling HC'!Z87*'Propylene Recycling HC'!Z$43/'Propylene Recycling LC'!Z$43</f>
        <v>2.7546890445265666E-2</v>
      </c>
      <c r="AA74" s="102">
        <f>'Propylene Recycling HC'!AA87*'Propylene Recycling HC'!AA$43/'Propylene Recycling LC'!AA$43</f>
        <v>2.5777977053476765E-2</v>
      </c>
      <c r="AB74" s="102">
        <f>'Propylene Recycling HC'!AB87*'Propylene Recycling HC'!AB$43/'Propylene Recycling LC'!AB$43</f>
        <v>2.396668158500467E-2</v>
      </c>
      <c r="AC74" s="102">
        <f>'Propylene Recycling HC'!AC87*'Propylene Recycling HC'!AC$43/'Propylene Recycling LC'!AC$43</f>
        <v>2.2122377489296637E-2</v>
      </c>
      <c r="AD74" s="102">
        <f>'Propylene Recycling HC'!AD87*'Propylene Recycling HC'!AD$43/'Propylene Recycling LC'!AD$43</f>
        <v>2.0254220692375612E-2</v>
      </c>
      <c r="AE74" s="102">
        <f>'Propylene Recycling HC'!AE87*'Propylene Recycling HC'!AE$43/'Propylene Recycling LC'!AE$43</f>
        <v>1.8371144731264465E-2</v>
      </c>
      <c r="AF74" s="102">
        <f>'Propylene Recycling HC'!AF87*'Propylene Recycling HC'!AF$43/'Propylene Recycling LC'!AF$43</f>
        <v>1.6481855887599192E-2</v>
      </c>
      <c r="AG74" s="102">
        <f>'Propylene Recycling HC'!AG87*'Propylene Recycling HC'!AG$43/'Propylene Recycling LC'!AG$43</f>
        <v>1.4594828320192882E-2</v>
      </c>
      <c r="AI74" s="124"/>
      <c r="AJ74" s="185"/>
      <c r="AL74" s="100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t="s">
        <v>512</v>
      </c>
      <c r="B75" s="50" t="s">
        <v>126</v>
      </c>
      <c r="C75" s="102">
        <f>'Propylene Recycling HC'!C88*'Propylene Recycling HC'!C$43/'Propylene Recycling LC'!C$43</f>
        <v>0.12441649349110308</v>
      </c>
      <c r="D75" s="102">
        <f>'Propylene Recycling HC'!D88*'Propylene Recycling HC'!D$43/'Propylene Recycling LC'!D$43</f>
        <v>0.12890260595508429</v>
      </c>
      <c r="E75" s="102">
        <f>'Propylene Recycling HC'!E88*'Propylene Recycling HC'!E$43/'Propylene Recycling LC'!E$43</f>
        <v>0.13269627876734522</v>
      </c>
      <c r="F75" s="102">
        <f>'Propylene Recycling HC'!F88*'Propylene Recycling HC'!F$43/'Propylene Recycling LC'!F$43</f>
        <v>0.1358204857255956</v>
      </c>
      <c r="G75" s="102">
        <f>'Propylene Recycling HC'!G88*'Propylene Recycling HC'!G$43/'Propylene Recycling LC'!G$43</f>
        <v>0.138298200627545</v>
      </c>
      <c r="H75" s="102">
        <f>'Propylene Recycling HC'!H88*'Propylene Recycling HC'!H$43/'Propylene Recycling LC'!H$43</f>
        <v>0.14015239727090301</v>
      </c>
      <c r="I75" s="102">
        <f>'Propylene Recycling HC'!I88*'Propylene Recycling HC'!I$43/'Propylene Recycling LC'!I$43</f>
        <v>0.14140604945337942</v>
      </c>
      <c r="J75" s="102">
        <f>'Propylene Recycling HC'!J88*'Propylene Recycling HC'!J$43/'Propylene Recycling LC'!J$43</f>
        <v>0.14208213097268382</v>
      </c>
      <c r="K75" s="102">
        <f>'Propylene Recycling HC'!K88*'Propylene Recycling HC'!K$43/'Propylene Recycling LC'!K$43</f>
        <v>0.14220361562652586</v>
      </c>
      <c r="L75" s="102">
        <f>'Propylene Recycling HC'!L88*'Propylene Recycling HC'!L$43/'Propylene Recycling LC'!L$43</f>
        <v>0.14179347721261515</v>
      </c>
      <c r="M75" s="102">
        <f>'Propylene Recycling HC'!M88*'Propylene Recycling HC'!M$43/'Propylene Recycling LC'!M$43</f>
        <v>0.14087468952866142</v>
      </c>
      <c r="N75" s="102">
        <f>'Propylene Recycling HC'!N88*'Propylene Recycling HC'!N$43/'Propylene Recycling LC'!N$43</f>
        <v>0.13752545291370363</v>
      </c>
      <c r="O75" s="102">
        <f>'Propylene Recycling HC'!O88*'Propylene Recycling HC'!O$43/'Propylene Recycling LC'!O$43</f>
        <v>0.13392199407149274</v>
      </c>
      <c r="P75" s="102">
        <f>'Propylene Recycling HC'!P88*'Propylene Recycling HC'!P$43/'Propylene Recycling LC'!P$43</f>
        <v>0.12985785845054362</v>
      </c>
      <c r="Q75" s="102">
        <f>'Propylene Recycling HC'!Q88*'Propylene Recycling HC'!Q$43/'Propylene Recycling LC'!Q$43</f>
        <v>0.12558278018831864</v>
      </c>
      <c r="R75" s="102">
        <f>'Propylene Recycling HC'!R88*'Propylene Recycling HC'!R$43/'Propylene Recycling LC'!R$43</f>
        <v>0.12111340664279811</v>
      </c>
      <c r="S75" s="102">
        <f>'Propylene Recycling HC'!S88*'Propylene Recycling HC'!S$43/'Propylene Recycling LC'!S$43</f>
        <v>0.1164662931641879</v>
      </c>
      <c r="T75" s="102">
        <f>'Propylene Recycling HC'!T88*'Propylene Recycling HC'!T$43/'Propylene Recycling LC'!T$43</f>
        <v>0.11165790130171935</v>
      </c>
      <c r="U75" s="102">
        <f>'Propylene Recycling HC'!U88*'Propylene Recycling HC'!U$43/'Propylene Recycling LC'!U$43</f>
        <v>0.10670459701166807</v>
      </c>
      <c r="V75" s="102">
        <f>'Propylene Recycling HC'!V88*'Propylene Recycling HC'!V$43/'Propylene Recycling LC'!V$43</f>
        <v>0.10162264886657039</v>
      </c>
      <c r="W75" s="102">
        <f>'Propylene Recycling HC'!W88*'Propylene Recycling HC'!W$43/'Propylene Recycling LC'!W$43</f>
        <v>9.6428226265615147E-2</v>
      </c>
      <c r="X75" s="102">
        <f>'Propylene Recycling HC'!X88*'Propylene Recycling HC'!X$43/'Propylene Recycling LC'!X$43</f>
        <v>9.2237667350594757E-2</v>
      </c>
      <c r="Y75" s="102">
        <f>'Propylene Recycling HC'!Y88*'Propylene Recycling HC'!Y$43/'Propylene Recycling LC'!Y$43</f>
        <v>8.7791506957793641E-2</v>
      </c>
      <c r="Z75" s="102">
        <f>'Propylene Recycling HC'!Z88*'Propylene Recycling HC'!Z$43/'Propylene Recycling LC'!Z$43</f>
        <v>8.2640671335797014E-2</v>
      </c>
      <c r="AA75" s="102">
        <f>'Propylene Recycling HC'!AA88*'Propylene Recycling HC'!AA$43/'Propylene Recycling LC'!AA$43</f>
        <v>7.7333931160430303E-2</v>
      </c>
      <c r="AB75" s="102">
        <f>'Propylene Recycling HC'!AB88*'Propylene Recycling HC'!AB$43/'Propylene Recycling LC'!AB$43</f>
        <v>7.190004475501402E-2</v>
      </c>
      <c r="AC75" s="102">
        <f>'Propylene Recycling HC'!AC88*'Propylene Recycling HC'!AC$43/'Propylene Recycling LC'!AC$43</f>
        <v>6.6367132467889903E-2</v>
      </c>
      <c r="AD75" s="102">
        <f>'Propylene Recycling HC'!AD88*'Propylene Recycling HC'!AD$43/'Propylene Recycling LC'!AD$43</f>
        <v>6.0762662077126842E-2</v>
      </c>
      <c r="AE75" s="102">
        <f>'Propylene Recycling HC'!AE88*'Propylene Recycling HC'!AE$43/'Propylene Recycling LC'!AE$43</f>
        <v>5.5113434193793401E-2</v>
      </c>
      <c r="AF75" s="102">
        <f>'Propylene Recycling HC'!AF88*'Propylene Recycling HC'!AF$43/'Propylene Recycling LC'!AF$43</f>
        <v>4.9445567662797577E-2</v>
      </c>
      <c r="AG75" s="102">
        <f>'Propylene Recycling HC'!AG88*'Propylene Recycling HC'!AG$43/'Propylene Recycling LC'!AG$43</f>
        <v>4.3784484960578643E-2</v>
      </c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C76" s="10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I76" s="125"/>
      <c r="AJ76" s="185"/>
      <c r="AM76" s="115"/>
      <c r="AN76" s="115"/>
    </row>
    <row r="77" spans="1:63" s="174" customFormat="1" ht="15.5" thickBot="1">
      <c r="A77" s="174" t="s">
        <v>432</v>
      </c>
      <c r="B77" s="189"/>
      <c r="C77" s="197">
        <f>'Propylene Recycling HC'!C90</f>
        <v>0</v>
      </c>
      <c r="D77" s="197">
        <f>'Propylene Recycling HC'!D90</f>
        <v>2.2181718165435932E-2</v>
      </c>
      <c r="E77" s="197">
        <f>'Propylene Recycling HC'!E90</f>
        <v>4.4363436330871864E-2</v>
      </c>
      <c r="F77" s="197">
        <f>'Propylene Recycling HC'!F90</f>
        <v>6.6545154496307796E-2</v>
      </c>
      <c r="G77" s="197">
        <f>'Propylene Recycling HC'!G90</f>
        <v>8.8726872661743728E-2</v>
      </c>
      <c r="H77" s="197">
        <f>'Propylene Recycling HC'!H90</f>
        <v>0.11090859082717966</v>
      </c>
      <c r="I77" s="197">
        <f>'Propylene Recycling HC'!I90</f>
        <v>0.13309030899261559</v>
      </c>
      <c r="J77" s="197">
        <f>'Propylene Recycling HC'!J90</f>
        <v>0.15527202715805152</v>
      </c>
      <c r="K77" s="197">
        <f>'Propylene Recycling HC'!K90</f>
        <v>0.17745374532348746</v>
      </c>
      <c r="L77" s="197">
        <f>'Propylene Recycling HC'!L90</f>
        <v>0.19963546348892339</v>
      </c>
      <c r="M77" s="197">
        <f>'Propylene Recycling HC'!M90</f>
        <v>0.22181718165435932</v>
      </c>
      <c r="N77" s="197">
        <f>'Propylene Recycling HC'!N90</f>
        <v>0.23671946463689028</v>
      </c>
      <c r="O77" s="197">
        <f>'Propylene Recycling HC'!O90</f>
        <v>0.25162174761942124</v>
      </c>
      <c r="P77" s="197">
        <f>'Propylene Recycling HC'!P90</f>
        <v>0.26652403060195223</v>
      </c>
      <c r="Q77" s="197">
        <f>'Propylene Recycling HC'!Q90</f>
        <v>0.28142631358448317</v>
      </c>
      <c r="R77" s="197">
        <f>'Propylene Recycling HC'!R90</f>
        <v>0.29632859656701416</v>
      </c>
      <c r="S77" s="197">
        <f>'Propylene Recycling HC'!S90</f>
        <v>0.31123087954954509</v>
      </c>
      <c r="T77" s="197">
        <f>'Propylene Recycling HC'!T90</f>
        <v>0.32613316253207608</v>
      </c>
      <c r="U77" s="197">
        <f>'Propylene Recycling HC'!U90</f>
        <v>0.34103544551460707</v>
      </c>
      <c r="V77" s="197">
        <f>'Propylene Recycling HC'!V90</f>
        <v>0.35593772849713801</v>
      </c>
      <c r="W77" s="197">
        <f>'Propylene Recycling HC'!W90</f>
        <v>0.370840011479669</v>
      </c>
      <c r="X77" s="197">
        <f>'Propylene Recycling HC'!X90</f>
        <v>0.3937560103317021</v>
      </c>
      <c r="Y77" s="197">
        <f>'Propylene Recycling HC'!Y90</f>
        <v>0.4166720091837352</v>
      </c>
      <c r="Z77" s="197">
        <f>'Propylene Recycling HC'!Z90</f>
        <v>0.43958800803576825</v>
      </c>
      <c r="AA77" s="197">
        <f>'Propylene Recycling HC'!AA90</f>
        <v>0.46250400688780136</v>
      </c>
      <c r="AB77" s="197">
        <f>'Propylene Recycling HC'!AB90</f>
        <v>0.48542000573983446</v>
      </c>
      <c r="AC77" s="197">
        <f>'Propylene Recycling HC'!AC90</f>
        <v>0.50833600459186756</v>
      </c>
      <c r="AD77" s="197">
        <f>'Propylene Recycling HC'!AD90</f>
        <v>0.53125200344390067</v>
      </c>
      <c r="AE77" s="197">
        <f>'Propylene Recycling HC'!AE90</f>
        <v>0.55416800229593377</v>
      </c>
      <c r="AF77" s="197">
        <f>'Propylene Recycling HC'!AF90</f>
        <v>0.57708400114796687</v>
      </c>
      <c r="AG77" s="197">
        <f>'Propylene Recycling HC'!AG90</f>
        <v>0.6</v>
      </c>
      <c r="AJ77" s="204"/>
      <c r="AL77" s="191"/>
      <c r="AM77" s="198"/>
      <c r="AN77" s="198"/>
      <c r="AO77" s="198"/>
    </row>
    <row r="78" spans="1:63" ht="15.5" outlineLevel="1" thickTop="1"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J78" s="185"/>
    </row>
    <row r="79" spans="1:63" s="174" customFormat="1" ht="15.5" thickBot="1">
      <c r="A79" s="174" t="s">
        <v>446</v>
      </c>
      <c r="B79" s="189"/>
      <c r="C79" s="197">
        <f>C80</f>
        <v>0.02</v>
      </c>
      <c r="D79" s="197">
        <f t="shared" ref="D79:AG79" si="27">D80</f>
        <v>4.1442327559921402E-2</v>
      </c>
      <c r="E79" s="197">
        <f t="shared" si="27"/>
        <v>6.28846551198428E-2</v>
      </c>
      <c r="F79" s="197">
        <f t="shared" si="27"/>
        <v>8.4326982679764198E-2</v>
      </c>
      <c r="G79" s="197">
        <f t="shared" si="27"/>
        <v>0.1057693102396856</v>
      </c>
      <c r="H79" s="197">
        <f t="shared" si="27"/>
        <v>0.12721163779960698</v>
      </c>
      <c r="I79" s="197">
        <f t="shared" si="27"/>
        <v>0.14865396535952838</v>
      </c>
      <c r="J79" s="197">
        <f t="shared" si="27"/>
        <v>0.17009629291944978</v>
      </c>
      <c r="K79" s="197">
        <f t="shared" si="27"/>
        <v>0.19153862047937117</v>
      </c>
      <c r="L79" s="197">
        <f t="shared" si="27"/>
        <v>0.21298094803929257</v>
      </c>
      <c r="M79" s="197">
        <f t="shared" si="27"/>
        <v>0.23442327559921397</v>
      </c>
      <c r="N79" s="197">
        <f t="shared" si="27"/>
        <v>0.24882881581566058</v>
      </c>
      <c r="O79" s="197">
        <f t="shared" si="27"/>
        <v>0.26323435603210721</v>
      </c>
      <c r="P79" s="197">
        <f t="shared" si="27"/>
        <v>0.27763989624855379</v>
      </c>
      <c r="Q79" s="197">
        <f t="shared" si="27"/>
        <v>0.29204543646500042</v>
      </c>
      <c r="R79" s="197">
        <f t="shared" si="27"/>
        <v>0.306450976681447</v>
      </c>
      <c r="S79" s="197">
        <f t="shared" si="27"/>
        <v>0.32085651689789363</v>
      </c>
      <c r="T79" s="197">
        <f t="shared" si="27"/>
        <v>0.33526205711434021</v>
      </c>
      <c r="U79" s="197">
        <f t="shared" si="27"/>
        <v>0.34966759733078684</v>
      </c>
      <c r="V79" s="197">
        <f t="shared" si="27"/>
        <v>0.36407313754723347</v>
      </c>
      <c r="W79" s="197">
        <f t="shared" si="27"/>
        <v>0.37847867776368005</v>
      </c>
      <c r="X79" s="197">
        <f t="shared" si="27"/>
        <v>0.40063080998731204</v>
      </c>
      <c r="Y79" s="197">
        <f t="shared" si="27"/>
        <v>0.42278294221094403</v>
      </c>
      <c r="Z79" s="197">
        <f t="shared" si="27"/>
        <v>0.44493507443457603</v>
      </c>
      <c r="AA79" s="197">
        <f t="shared" si="27"/>
        <v>0.46708720665820802</v>
      </c>
      <c r="AB79" s="197">
        <f t="shared" si="27"/>
        <v>0.48923933888184001</v>
      </c>
      <c r="AC79" s="197">
        <f t="shared" si="27"/>
        <v>0.51139147110547201</v>
      </c>
      <c r="AD79" s="197">
        <f t="shared" si="27"/>
        <v>0.533543603329104</v>
      </c>
      <c r="AE79" s="197">
        <f t="shared" si="27"/>
        <v>0.55569573555273599</v>
      </c>
      <c r="AF79" s="197">
        <f t="shared" si="27"/>
        <v>0.57784786777636798</v>
      </c>
      <c r="AG79" s="197">
        <f t="shared" si="27"/>
        <v>0.6</v>
      </c>
      <c r="AJ79" s="204" t="s">
        <v>491</v>
      </c>
      <c r="AL79" s="191"/>
      <c r="AM79" s="198"/>
      <c r="AN79" s="198"/>
      <c r="AO79" s="198"/>
    </row>
    <row r="80" spans="1:63" ht="15.5" outlineLevel="1" thickTop="1">
      <c r="A80" t="s">
        <v>454</v>
      </c>
      <c r="B80" s="50" t="s">
        <v>126</v>
      </c>
      <c r="C80" s="102">
        <f>'Propylene Recycling HC'!C105*'Propylene Recycling HC'!C$44/'Propylene Recycling LC'!C$44</f>
        <v>0.02</v>
      </c>
      <c r="D80" s="102">
        <f>'Propylene Recycling HC'!D105*'Propylene Recycling HC'!D$44/'Propylene Recycling LC'!D$44</f>
        <v>4.1442327559921402E-2</v>
      </c>
      <c r="E80" s="102">
        <f>'Propylene Recycling HC'!E105*'Propylene Recycling HC'!E$44/'Propylene Recycling LC'!E$44</f>
        <v>6.28846551198428E-2</v>
      </c>
      <c r="F80" s="102">
        <f>'Propylene Recycling HC'!F105*'Propylene Recycling HC'!F$44/'Propylene Recycling LC'!F$44</f>
        <v>8.4326982679764198E-2</v>
      </c>
      <c r="G80" s="102">
        <f>'Propylene Recycling HC'!G105*'Propylene Recycling HC'!G$44/'Propylene Recycling LC'!G$44</f>
        <v>0.1057693102396856</v>
      </c>
      <c r="H80" s="102">
        <f>'Propylene Recycling HC'!H105*'Propylene Recycling HC'!H$44/'Propylene Recycling LC'!H$44</f>
        <v>0.12721163779960698</v>
      </c>
      <c r="I80" s="102">
        <f>'Propylene Recycling HC'!I105*'Propylene Recycling HC'!I$44/'Propylene Recycling LC'!I$44</f>
        <v>0.14865396535952838</v>
      </c>
      <c r="J80" s="102">
        <f>'Propylene Recycling HC'!J105*'Propylene Recycling HC'!J$44/'Propylene Recycling LC'!J$44</f>
        <v>0.17009629291944978</v>
      </c>
      <c r="K80" s="102">
        <f>'Propylene Recycling HC'!K105*'Propylene Recycling HC'!K$44/'Propylene Recycling LC'!K$44</f>
        <v>0.19153862047937117</v>
      </c>
      <c r="L80" s="102">
        <f>'Propylene Recycling HC'!L105*'Propylene Recycling HC'!L$44/'Propylene Recycling LC'!L$44</f>
        <v>0.21298094803929257</v>
      </c>
      <c r="M80" s="102">
        <f>'Propylene Recycling HC'!M105*'Propylene Recycling HC'!M$44/'Propylene Recycling LC'!M$44</f>
        <v>0.23442327559921397</v>
      </c>
      <c r="N80" s="102">
        <f>'Propylene Recycling HC'!N105*'Propylene Recycling HC'!N$44/'Propylene Recycling LC'!N$44</f>
        <v>0.24882881581566058</v>
      </c>
      <c r="O80" s="102">
        <f>'Propylene Recycling HC'!O105*'Propylene Recycling HC'!O$44/'Propylene Recycling LC'!O$44</f>
        <v>0.26323435603210721</v>
      </c>
      <c r="P80" s="102">
        <f>'Propylene Recycling HC'!P105*'Propylene Recycling HC'!P$44/'Propylene Recycling LC'!P$44</f>
        <v>0.27763989624855379</v>
      </c>
      <c r="Q80" s="102">
        <f>'Propylene Recycling HC'!Q105*'Propylene Recycling HC'!Q$44/'Propylene Recycling LC'!Q$44</f>
        <v>0.29204543646500042</v>
      </c>
      <c r="R80" s="102">
        <f>'Propylene Recycling HC'!R105*'Propylene Recycling HC'!R$44/'Propylene Recycling LC'!R$44</f>
        <v>0.306450976681447</v>
      </c>
      <c r="S80" s="102">
        <f>'Propylene Recycling HC'!S105*'Propylene Recycling HC'!S$44/'Propylene Recycling LC'!S$44</f>
        <v>0.32085651689789363</v>
      </c>
      <c r="T80" s="102">
        <f>'Propylene Recycling HC'!T105*'Propylene Recycling HC'!T$44/'Propylene Recycling LC'!T$44</f>
        <v>0.33526205711434021</v>
      </c>
      <c r="U80" s="102">
        <f>'Propylene Recycling HC'!U105*'Propylene Recycling HC'!U$44/'Propylene Recycling LC'!U$44</f>
        <v>0.34966759733078684</v>
      </c>
      <c r="V80" s="102">
        <f>'Propylene Recycling HC'!V105*'Propylene Recycling HC'!V$44/'Propylene Recycling LC'!V$44</f>
        <v>0.36407313754723347</v>
      </c>
      <c r="W80" s="102">
        <f>'Propylene Recycling HC'!W105*'Propylene Recycling HC'!W$44/'Propylene Recycling LC'!W$44</f>
        <v>0.37847867776368005</v>
      </c>
      <c r="X80" s="102">
        <f>'Propylene Recycling HC'!X105*'Propylene Recycling HC'!X$44/'Propylene Recycling LC'!X$44</f>
        <v>0.40063080998731204</v>
      </c>
      <c r="Y80" s="102">
        <f>'Propylene Recycling HC'!Y105*'Propylene Recycling HC'!Y$44/'Propylene Recycling LC'!Y$44</f>
        <v>0.42278294221094403</v>
      </c>
      <c r="Z80" s="102">
        <f>'Propylene Recycling HC'!Z105*'Propylene Recycling HC'!Z$44/'Propylene Recycling LC'!Z$44</f>
        <v>0.44493507443457603</v>
      </c>
      <c r="AA80" s="102">
        <f>'Propylene Recycling HC'!AA105*'Propylene Recycling HC'!AA$44/'Propylene Recycling LC'!AA$44</f>
        <v>0.46708720665820802</v>
      </c>
      <c r="AB80" s="102">
        <f>'Propylene Recycling HC'!AB105*'Propylene Recycling HC'!AB$44/'Propylene Recycling LC'!AB$44</f>
        <v>0.48923933888184001</v>
      </c>
      <c r="AC80" s="102">
        <f>'Propylene Recycling HC'!AC105*'Propylene Recycling HC'!AC$44/'Propylene Recycling LC'!AC$44</f>
        <v>0.51139147110547201</v>
      </c>
      <c r="AD80" s="102">
        <f>'Propylene Recycling HC'!AD105*'Propylene Recycling HC'!AD$44/'Propylene Recycling LC'!AD$44</f>
        <v>0.533543603329104</v>
      </c>
      <c r="AE80" s="102">
        <f>'Propylene Recycling HC'!AE105*'Propylene Recycling HC'!AE$44/'Propylene Recycling LC'!AE$44</f>
        <v>0.55569573555273599</v>
      </c>
      <c r="AF80" s="102">
        <f>'Propylene Recycling HC'!AF105*'Propylene Recycling HC'!AF$44/'Propylene Recycling LC'!AF$44</f>
        <v>0.57784786777636798</v>
      </c>
      <c r="AG80" s="102">
        <f>'Propylene Recycling HC'!AG105*'Propylene Recycling HC'!AG$44/'Propylene Recycling LC'!AG$44</f>
        <v>0.6</v>
      </c>
      <c r="AJ80" s="185" t="s">
        <v>1469</v>
      </c>
    </row>
    <row r="81" spans="1:41" outlineLevel="1"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J81" s="185"/>
    </row>
    <row r="82" spans="1:41" outlineLevel="1">
      <c r="A82" t="s">
        <v>499</v>
      </c>
      <c r="B82" s="50" t="s">
        <v>126</v>
      </c>
      <c r="C82" s="102">
        <f>'Propylene Recycling HC'!C108*'Propylene Recycling HC'!C$44/'Propylene Recycling LC'!C$44</f>
        <v>0</v>
      </c>
      <c r="D82" s="102">
        <f>'Propylene Recycling HC'!D108*'Propylene Recycling HC'!D$44/'Propylene Recycling LC'!D$44</f>
        <v>1.1051287349312375E-3</v>
      </c>
      <c r="E82" s="102">
        <f>'Propylene Recycling HC'!E108*'Propylene Recycling HC'!E$44/'Propylene Recycling LC'!E$44</f>
        <v>3.353848273058283E-3</v>
      </c>
      <c r="F82" s="102">
        <f>'Propylene Recycling HC'!F108*'Propylene Recycling HC'!F$44/'Propylene Recycling LC'!F$44</f>
        <v>6.7461586143811357E-3</v>
      </c>
      <c r="G82" s="102">
        <f>'Propylene Recycling HC'!G108*'Propylene Recycling HC'!G$44/'Propylene Recycling LC'!G$44</f>
        <v>1.1282059758899798E-2</v>
      </c>
      <c r="H82" s="102">
        <f>'Propylene Recycling HC'!H108*'Propylene Recycling HC'!H$44/'Propylene Recycling LC'!H$44</f>
        <v>1.6961551706614265E-2</v>
      </c>
      <c r="I82" s="102">
        <f>'Propylene Recycling HC'!I108*'Propylene Recycling HC'!I$44/'Propylene Recycling LC'!I$44</f>
        <v>2.3784634457524542E-2</v>
      </c>
      <c r="J82" s="102">
        <f>'Propylene Recycling HC'!J108*'Propylene Recycling HC'!J$44/'Propylene Recycling LC'!J$44</f>
        <v>3.1751308011630626E-2</v>
      </c>
      <c r="K82" s="102">
        <f>'Propylene Recycling HC'!K108*'Propylene Recycling HC'!K$44/'Propylene Recycling LC'!K$44</f>
        <v>4.0861572368932515E-2</v>
      </c>
      <c r="L82" s="102">
        <f>'Propylene Recycling HC'!L108*'Propylene Recycling HC'!L$44/'Propylene Recycling LC'!L$44</f>
        <v>5.111542752943022E-2</v>
      </c>
      <c r="M82" s="102">
        <f>'Propylene Recycling HC'!M108*'Propylene Recycling HC'!M$44/'Propylene Recycling LC'!M$44</f>
        <v>6.2512873493123719E-2</v>
      </c>
      <c r="N82" s="102">
        <f>'Propylene Recycling HC'!N108*'Propylene Recycling HC'!N$44/'Propylene Recycling LC'!N$44</f>
        <v>7.2989785972593771E-2</v>
      </c>
      <c r="O82" s="102">
        <f>'Propylene Recycling HC'!O108*'Propylene Recycling HC'!O$44/'Propylene Recycling LC'!O$44</f>
        <v>8.423499393027431E-2</v>
      </c>
      <c r="P82" s="102">
        <f>'Propylene Recycling HC'!P108*'Propylene Recycling HC'!P$44/'Propylene Recycling LC'!P$44</f>
        <v>9.6248497366165323E-2</v>
      </c>
      <c r="Q82" s="102">
        <f>'Propylene Recycling HC'!Q108*'Propylene Recycling HC'!Q$44/'Propylene Recycling LC'!Q$44</f>
        <v>0.10903029628026682</v>
      </c>
      <c r="R82" s="102">
        <f>'Propylene Recycling HC'!R108*'Propylene Recycling HC'!R$44/'Propylene Recycling LC'!R$44</f>
        <v>0.12258039067257881</v>
      </c>
      <c r="S82" s="102">
        <f>'Propylene Recycling HC'!S108*'Propylene Recycling HC'!S$44/'Propylene Recycling LC'!S$44</f>
        <v>0.13689878054310128</v>
      </c>
      <c r="T82" s="102">
        <f>'Propylene Recycling HC'!T108*'Propylene Recycling HC'!T$44/'Propylene Recycling LC'!T$44</f>
        <v>0.15198546589183423</v>
      </c>
      <c r="U82" s="102">
        <f>'Propylene Recycling HC'!U108*'Propylene Recycling HC'!U$44/'Propylene Recycling LC'!U$44</f>
        <v>0.16784044671877771</v>
      </c>
      <c r="V82" s="102">
        <f>'Propylene Recycling HC'!V108*'Propylene Recycling HC'!V$44/'Propylene Recycling LC'!V$44</f>
        <v>0.18446372302393163</v>
      </c>
      <c r="W82" s="102">
        <f>'Propylene Recycling HC'!W108*'Propylene Recycling HC'!W$44/'Propylene Recycling LC'!W$44</f>
        <v>0.20185529480729603</v>
      </c>
      <c r="X82" s="102">
        <f>'Propylene Recycling HC'!X108*'Propylene Recycling HC'!X$44/'Propylene Recycling LC'!X$44</f>
        <v>0.22435325359289471</v>
      </c>
      <c r="Y82" s="102">
        <f>'Propylene Recycling HC'!Y108*'Propylene Recycling HC'!Y$44/'Propylene Recycling LC'!Y$44</f>
        <v>0.24803265943042044</v>
      </c>
      <c r="Z82" s="102">
        <f>'Propylene Recycling HC'!Z108*'Propylene Recycling HC'!Z$44/'Propylene Recycling LC'!Z$44</f>
        <v>0.27289351231987324</v>
      </c>
      <c r="AA82" s="102">
        <f>'Propylene Recycling HC'!AA108*'Propylene Recycling HC'!AA$44/'Propylene Recycling LC'!AA$44</f>
        <v>0.29893581226125299</v>
      </c>
      <c r="AB82" s="102">
        <f>'Propylene Recycling HC'!AB108*'Propylene Recycling HC'!AB$44/'Propylene Recycling LC'!AB$44</f>
        <v>0.32615955925455981</v>
      </c>
      <c r="AC82" s="102">
        <f>'Propylene Recycling HC'!AC108*'Propylene Recycling HC'!AC$44/'Propylene Recycling LC'!AC$44</f>
        <v>0.35456475329979381</v>
      </c>
      <c r="AD82" s="102">
        <f>'Propylene Recycling HC'!AD108*'Propylene Recycling HC'!AD$44/'Propylene Recycling LC'!AD$44</f>
        <v>0.38415139439695467</v>
      </c>
      <c r="AE82" s="102">
        <f>'Propylene Recycling HC'!AE108*'Propylene Recycling HC'!AE$44/'Propylene Recycling LC'!AE$44</f>
        <v>0.41491948254604266</v>
      </c>
      <c r="AF82" s="102">
        <f>'Propylene Recycling HC'!AF108*'Propylene Recycling HC'!AF$44/'Propylene Recycling LC'!AF$44</f>
        <v>0.44686901774705762</v>
      </c>
      <c r="AG82" s="102">
        <f>'Propylene Recycling HC'!AG108*'Propylene Recycling HC'!AG$44/'Propylene Recycling LC'!AG$44</f>
        <v>0.48</v>
      </c>
      <c r="AI82" s="124"/>
      <c r="AJ82" s="185" t="s">
        <v>508</v>
      </c>
    </row>
    <row r="83" spans="1:41" outlineLevel="1">
      <c r="AJ83" s="185" t="s">
        <v>447</v>
      </c>
    </row>
    <row r="84" spans="1:41" s="174" customFormat="1" ht="15.5" thickBot="1">
      <c r="A84" s="174" t="s">
        <v>448</v>
      </c>
      <c r="B84" s="189"/>
      <c r="C84" s="197">
        <f>C85</f>
        <v>0.14000000000000001</v>
      </c>
      <c r="D84" s="197">
        <f t="shared" ref="D84:AG84" si="28">D85</f>
        <v>0.15700598392683424</v>
      </c>
      <c r="E84" s="197">
        <f t="shared" si="28"/>
        <v>0.17401196785366843</v>
      </c>
      <c r="F84" s="197">
        <f t="shared" si="28"/>
        <v>0.19101795178050263</v>
      </c>
      <c r="G84" s="197">
        <f t="shared" si="28"/>
        <v>0.20802393570733685</v>
      </c>
      <c r="H84" s="197">
        <f t="shared" si="28"/>
        <v>0.22502991963417107</v>
      </c>
      <c r="I84" s="197">
        <f t="shared" si="28"/>
        <v>0.24123454058142141</v>
      </c>
      <c r="J84" s="197">
        <f t="shared" si="28"/>
        <v>0.25732085219750361</v>
      </c>
      <c r="K84" s="197">
        <f t="shared" si="28"/>
        <v>0.27328767150859823</v>
      </c>
      <c r="L84" s="197">
        <f t="shared" si="28"/>
        <v>0.28913379971675329</v>
      </c>
      <c r="M84" s="197">
        <f t="shared" si="28"/>
        <v>0.30485802193440459</v>
      </c>
      <c r="N84" s="197">
        <f t="shared" si="28"/>
        <v>0.31499094056509541</v>
      </c>
      <c r="O84" s="197">
        <f t="shared" si="28"/>
        <v>0.32503794063624025</v>
      </c>
      <c r="P84" s="197">
        <f t="shared" si="28"/>
        <v>0.3349981484895197</v>
      </c>
      <c r="Q84" s="197">
        <f t="shared" si="28"/>
        <v>0.34487067858133191</v>
      </c>
      <c r="R84" s="197">
        <f t="shared" si="28"/>
        <v>0.35465463327999303</v>
      </c>
      <c r="S84" s="197">
        <f t="shared" si="28"/>
        <v>0.36434910265877035</v>
      </c>
      <c r="T84" s="197">
        <f t="shared" si="28"/>
        <v>0.37395316428464948</v>
      </c>
      <c r="U84" s="197">
        <f t="shared" si="28"/>
        <v>0.38346588300273177</v>
      </c>
      <c r="V84" s="197">
        <f t="shared" si="28"/>
        <v>0.39288631071615499</v>
      </c>
      <c r="W84" s="197">
        <f t="shared" si="28"/>
        <v>0.40221348616143021</v>
      </c>
      <c r="X84" s="197">
        <f t="shared" si="28"/>
        <v>0.41724780545240397</v>
      </c>
      <c r="Y84" s="197">
        <f t="shared" si="28"/>
        <v>0.43214155540228005</v>
      </c>
      <c r="Z84" s="197">
        <f t="shared" si="28"/>
        <v>0.44689325649109574</v>
      </c>
      <c r="AA84" s="197">
        <f t="shared" si="28"/>
        <v>0.46150140836280212</v>
      </c>
      <c r="AB84" s="197">
        <f t="shared" si="28"/>
        <v>0.47596448945717562</v>
      </c>
      <c r="AC84" s="197">
        <f t="shared" si="28"/>
        <v>0.49021979527737936</v>
      </c>
      <c r="AD84" s="197">
        <f t="shared" si="28"/>
        <v>0.50432195031912497</v>
      </c>
      <c r="AE84" s="197">
        <f t="shared" si="28"/>
        <v>0.5182692635909204</v>
      </c>
      <c r="AF84" s="197">
        <f t="shared" si="28"/>
        <v>0.532060019114872</v>
      </c>
      <c r="AG84" s="197">
        <f t="shared" si="28"/>
        <v>0.54569247546346789</v>
      </c>
      <c r="AI84"/>
      <c r="AJ84" s="185"/>
      <c r="AL84" s="191"/>
      <c r="AM84" s="198"/>
      <c r="AN84" s="198"/>
      <c r="AO84" s="198"/>
    </row>
    <row r="85" spans="1:41" ht="16.25" outlineLevel="2" thickTop="1" thickBot="1">
      <c r="A85" t="s">
        <v>449</v>
      </c>
      <c r="B85" s="50" t="s">
        <v>126</v>
      </c>
      <c r="C85" s="102">
        <f>'Propylene Recycling HC'!C111*'Propylene Recycling HC'!C$46/'Propylene Recycling LC'!C$46</f>
        <v>0.14000000000000001</v>
      </c>
      <c r="D85" s="102">
        <f>'Propylene Recycling HC'!D111*'Propylene Recycling HC'!D$46/'Propylene Recycling LC'!D$46</f>
        <v>0.15700598392683424</v>
      </c>
      <c r="E85" s="102">
        <f>'Propylene Recycling HC'!E111*'Propylene Recycling HC'!E$46/'Propylene Recycling LC'!E$46</f>
        <v>0.17401196785366843</v>
      </c>
      <c r="F85" s="102">
        <f>'Propylene Recycling HC'!F111*'Propylene Recycling HC'!F$46/'Propylene Recycling LC'!F$46</f>
        <v>0.19101795178050263</v>
      </c>
      <c r="G85" s="102">
        <f>'Propylene Recycling HC'!G111*'Propylene Recycling HC'!G$46/'Propylene Recycling LC'!G$46</f>
        <v>0.20802393570733685</v>
      </c>
      <c r="H85" s="102">
        <f>'Propylene Recycling HC'!H111*'Propylene Recycling HC'!H$46/'Propylene Recycling LC'!H$46</f>
        <v>0.22502991963417107</v>
      </c>
      <c r="I85" s="102">
        <f>'Propylene Recycling HC'!I111*'Propylene Recycling HC'!I$46/'Propylene Recycling LC'!I$46</f>
        <v>0.24123454058142141</v>
      </c>
      <c r="J85" s="102">
        <f>'Propylene Recycling HC'!J111*'Propylene Recycling HC'!J$46/'Propylene Recycling LC'!J$46</f>
        <v>0.25732085219750361</v>
      </c>
      <c r="K85" s="102">
        <f>'Propylene Recycling HC'!K111*'Propylene Recycling HC'!K$46/'Propylene Recycling LC'!K$46</f>
        <v>0.27328767150859823</v>
      </c>
      <c r="L85" s="102">
        <f>'Propylene Recycling HC'!L111*'Propylene Recycling HC'!L$46/'Propylene Recycling LC'!L$46</f>
        <v>0.28913379971675329</v>
      </c>
      <c r="M85" s="102">
        <f>'Propylene Recycling HC'!M111*'Propylene Recycling HC'!M$46/'Propylene Recycling LC'!M$46</f>
        <v>0.30485802193440459</v>
      </c>
      <c r="N85" s="102">
        <f>'Propylene Recycling HC'!N111*'Propylene Recycling HC'!N$46/'Propylene Recycling LC'!N$46</f>
        <v>0.31499094056509541</v>
      </c>
      <c r="O85" s="102">
        <f>'Propylene Recycling HC'!O111*'Propylene Recycling HC'!O$46/'Propylene Recycling LC'!O$46</f>
        <v>0.32503794063624025</v>
      </c>
      <c r="P85" s="102">
        <f>'Propylene Recycling HC'!P111*'Propylene Recycling HC'!P$46/'Propylene Recycling LC'!P$46</f>
        <v>0.3349981484895197</v>
      </c>
      <c r="Q85" s="102">
        <f>'Propylene Recycling HC'!Q111*'Propylene Recycling HC'!Q$46/'Propylene Recycling LC'!Q$46</f>
        <v>0.34487067858133191</v>
      </c>
      <c r="R85" s="102">
        <f>'Propylene Recycling HC'!R111*'Propylene Recycling HC'!R$46/'Propylene Recycling LC'!R$46</f>
        <v>0.35465463327999303</v>
      </c>
      <c r="S85" s="102">
        <f>'Propylene Recycling HC'!S111*'Propylene Recycling HC'!S$46/'Propylene Recycling LC'!S$46</f>
        <v>0.36434910265877035</v>
      </c>
      <c r="T85" s="102">
        <f>'Propylene Recycling HC'!T111*'Propylene Recycling HC'!T$46/'Propylene Recycling LC'!T$46</f>
        <v>0.37395316428464948</v>
      </c>
      <c r="U85" s="102">
        <f>'Propylene Recycling HC'!U111*'Propylene Recycling HC'!U$46/'Propylene Recycling LC'!U$46</f>
        <v>0.38346588300273177</v>
      </c>
      <c r="V85" s="102">
        <f>'Propylene Recycling HC'!V111*'Propylene Recycling HC'!V$46/'Propylene Recycling LC'!V$46</f>
        <v>0.39288631071615499</v>
      </c>
      <c r="W85" s="102">
        <f>'Propylene Recycling HC'!W111*'Propylene Recycling HC'!W$46/'Propylene Recycling LC'!W$46</f>
        <v>0.40221348616143021</v>
      </c>
      <c r="X85" s="102">
        <f>'Propylene Recycling HC'!X111*'Propylene Recycling HC'!X$46/'Propylene Recycling LC'!X$46</f>
        <v>0.41724780545240397</v>
      </c>
      <c r="Y85" s="102">
        <f>'Propylene Recycling HC'!Y111*'Propylene Recycling HC'!Y$46/'Propylene Recycling LC'!Y$46</f>
        <v>0.43214155540228005</v>
      </c>
      <c r="Z85" s="102">
        <f>'Propylene Recycling HC'!Z111*'Propylene Recycling HC'!Z$46/'Propylene Recycling LC'!Z$46</f>
        <v>0.44689325649109574</v>
      </c>
      <c r="AA85" s="102">
        <f>'Propylene Recycling HC'!AA111*'Propylene Recycling HC'!AA$46/'Propylene Recycling LC'!AA$46</f>
        <v>0.46150140836280212</v>
      </c>
      <c r="AB85" s="102">
        <f>'Propylene Recycling HC'!AB111*'Propylene Recycling HC'!AB$46/'Propylene Recycling LC'!AB$46</f>
        <v>0.47596448945717562</v>
      </c>
      <c r="AC85" s="102">
        <f>'Propylene Recycling HC'!AC111*'Propylene Recycling HC'!AC$46/'Propylene Recycling LC'!AC$46</f>
        <v>0.49021979527737936</v>
      </c>
      <c r="AD85" s="102">
        <f>'Propylene Recycling HC'!AD111*'Propylene Recycling HC'!AD$46/'Propylene Recycling LC'!AD$46</f>
        <v>0.50432195031912497</v>
      </c>
      <c r="AE85" s="102">
        <f>'Propylene Recycling HC'!AE111*'Propylene Recycling HC'!AE$46/'Propylene Recycling LC'!AE$46</f>
        <v>0.5182692635909204</v>
      </c>
      <c r="AF85" s="102">
        <f>'Propylene Recycling HC'!AF111*'Propylene Recycling HC'!AF$46/'Propylene Recycling LC'!AF$46</f>
        <v>0.532060019114872</v>
      </c>
      <c r="AG85" s="102">
        <f>'Propylene Recycling HC'!AG111*'Propylene Recycling HC'!AG$46/'Propylene Recycling LC'!AG$46</f>
        <v>0.54569247546346789</v>
      </c>
      <c r="AI85" s="174"/>
      <c r="AJ85" s="204" t="s">
        <v>457</v>
      </c>
    </row>
    <row r="86" spans="1:41" ht="15.5" outlineLevel="2" thickTop="1">
      <c r="C86" s="105"/>
      <c r="D86" s="102"/>
      <c r="E86" s="102"/>
      <c r="F86" s="102"/>
      <c r="G86" s="102"/>
      <c r="H86" s="102"/>
      <c r="I86" s="102"/>
      <c r="J86" s="102"/>
      <c r="K86" s="102"/>
      <c r="L86" s="102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22"/>
      <c r="Y86" s="22"/>
      <c r="Z86" s="22"/>
      <c r="AA86" s="22"/>
      <c r="AB86" s="22"/>
      <c r="AC86" s="22"/>
      <c r="AD86" s="22"/>
      <c r="AE86" s="22"/>
      <c r="AF86" s="22"/>
      <c r="AG86" s="98"/>
      <c r="AJ86" s="185" t="s">
        <v>450</v>
      </c>
    </row>
    <row r="87" spans="1:41" outlineLevel="2">
      <c r="C87" s="105"/>
      <c r="D87" s="102"/>
      <c r="E87" s="102"/>
      <c r="F87" s="102"/>
      <c r="G87" s="102"/>
      <c r="H87" s="102"/>
      <c r="I87" s="102"/>
      <c r="J87" s="102"/>
      <c r="K87" s="102"/>
      <c r="L87" s="102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22"/>
      <c r="Y87" s="22"/>
      <c r="Z87" s="22"/>
      <c r="AA87" s="22"/>
      <c r="AB87" s="22"/>
      <c r="AC87" s="22"/>
      <c r="AD87" s="22"/>
      <c r="AE87" s="22"/>
      <c r="AF87" s="22"/>
      <c r="AG87" s="98"/>
      <c r="AI87" s="122"/>
      <c r="AJ87" s="196"/>
    </row>
    <row r="88" spans="1:41" s="174" customFormat="1" ht="15.5" thickBot="1">
      <c r="A88" s="200" t="s">
        <v>500</v>
      </c>
      <c r="B88" s="201"/>
      <c r="C88" s="202">
        <f>(C42*C58+C43*C62+C44*C82+C46*C84)/C47</f>
        <v>8.2961919423857847E-2</v>
      </c>
      <c r="D88" s="202">
        <f t="shared" ref="D88:AG88" si="29">(D42*D58+D43*D62+D44*D82+D46*D84)/D47</f>
        <v>9.4298182093251012E-2</v>
      </c>
      <c r="E88" s="202">
        <f t="shared" si="29"/>
        <v>0.10603752569600544</v>
      </c>
      <c r="F88" s="202">
        <f t="shared" si="29"/>
        <v>0.11817573774026388</v>
      </c>
      <c r="G88" s="202">
        <f t="shared" si="29"/>
        <v>0.13070853530794752</v>
      </c>
      <c r="H88" s="202">
        <f t="shared" si="29"/>
        <v>0.14363156357680973</v>
      </c>
      <c r="I88" s="202">
        <f t="shared" si="29"/>
        <v>0.15657317900829967</v>
      </c>
      <c r="J88" s="202">
        <f t="shared" si="29"/>
        <v>0.16984628036984253</v>
      </c>
      <c r="K88" s="202">
        <f t="shared" si="29"/>
        <v>0.1834467632739033</v>
      </c>
      <c r="L88" s="202">
        <f t="shared" si="29"/>
        <v>0.1973704342002644</v>
      </c>
      <c r="M88" s="202">
        <f t="shared" si="29"/>
        <v>0.21161300806326205</v>
      </c>
      <c r="N88" s="202">
        <f t="shared" si="29"/>
        <v>0.22285975254750398</v>
      </c>
      <c r="O88" s="202">
        <f t="shared" si="29"/>
        <v>0.23427355849776255</v>
      </c>
      <c r="P88" s="202">
        <f t="shared" si="29"/>
        <v>0.24584682183514134</v>
      </c>
      <c r="Q88" s="202">
        <f t="shared" si="29"/>
        <v>0.25759422646989433</v>
      </c>
      <c r="R88" s="202">
        <f t="shared" si="29"/>
        <v>0.26951092334121401</v>
      </c>
      <c r="S88" s="202">
        <f t="shared" si="29"/>
        <v>0.28159193057438037</v>
      </c>
      <c r="T88" s="202">
        <f t="shared" si="29"/>
        <v>0.29383212889045046</v>
      </c>
      <c r="U88" s="202">
        <f t="shared" si="29"/>
        <v>0.30622625682432009</v>
      </c>
      <c r="V88" s="202">
        <f t="shared" si="29"/>
        <v>0.31876890574175504</v>
      </c>
      <c r="W88" s="202">
        <f t="shared" si="29"/>
        <v>0.33145451464546866</v>
      </c>
      <c r="X88" s="202">
        <f t="shared" si="29"/>
        <v>0.34862976080944402</v>
      </c>
      <c r="Y88" s="202">
        <f t="shared" si="29"/>
        <v>0.36607043147914758</v>
      </c>
      <c r="Z88" s="202">
        <f t="shared" si="29"/>
        <v>0.38365415835791244</v>
      </c>
      <c r="AA88" s="202">
        <f t="shared" si="29"/>
        <v>0.40149577407655035</v>
      </c>
      <c r="AB88" s="202">
        <f t="shared" si="29"/>
        <v>0.41959047923869108</v>
      </c>
      <c r="AC88" s="202">
        <f t="shared" si="29"/>
        <v>0.43790955127818709</v>
      </c>
      <c r="AD88" s="202">
        <f t="shared" si="29"/>
        <v>0.45647029284403157</v>
      </c>
      <c r="AE88" s="202">
        <f t="shared" si="29"/>
        <v>0.47526761257217709</v>
      </c>
      <c r="AF88" s="202">
        <f t="shared" si="29"/>
        <v>0.49429631454701101</v>
      </c>
      <c r="AG88" s="202">
        <f t="shared" si="29"/>
        <v>0.5135510953367235</v>
      </c>
      <c r="AI88" s="122"/>
      <c r="AJ88" s="185"/>
      <c r="AL88" s="191"/>
      <c r="AM88" s="198"/>
      <c r="AN88" s="198"/>
      <c r="AO88" s="198"/>
    </row>
    <row r="89" spans="1:41" s="174" customFormat="1" ht="16.25" thickTop="1" thickBot="1">
      <c r="A89" s="200" t="s">
        <v>452</v>
      </c>
      <c r="B89" s="201"/>
      <c r="C89" s="202">
        <f>(C11*C49+C62*C12+C77*C14+C79*C13+C84*C15)/C16</f>
        <v>0.18370882040382572</v>
      </c>
      <c r="D89" s="202">
        <f t="shared" ref="D89:AF89" si="30">(D11*D49+D62*D12+D77*D14+D79*D13+D84*D15)/D16</f>
        <v>0.19995178668024527</v>
      </c>
      <c r="E89" s="202">
        <f t="shared" si="30"/>
        <v>0.2161678168897446</v>
      </c>
      <c r="F89" s="202">
        <f t="shared" si="30"/>
        <v>0.23235634947866596</v>
      </c>
      <c r="G89" s="202">
        <f t="shared" si="30"/>
        <v>0.24851680717468816</v>
      </c>
      <c r="H89" s="202">
        <f t="shared" si="30"/>
        <v>0.26464859643296695</v>
      </c>
      <c r="I89" s="202">
        <f t="shared" si="30"/>
        <v>0.28048796003542564</v>
      </c>
      <c r="J89" s="202">
        <f t="shared" si="30"/>
        <v>0.29625856724172728</v>
      </c>
      <c r="K89" s="202">
        <f t="shared" si="30"/>
        <v>0.31195938366655246</v>
      </c>
      <c r="L89" s="202">
        <f t="shared" si="30"/>
        <v>0.32758935099238945</v>
      </c>
      <c r="M89" s="202">
        <f t="shared" si="30"/>
        <v>0.3431473861980695</v>
      </c>
      <c r="N89" s="202">
        <f t="shared" si="30"/>
        <v>0.35317777049715632</v>
      </c>
      <c r="O89" s="202">
        <f t="shared" si="30"/>
        <v>0.36318986279928611</v>
      </c>
      <c r="P89" s="202">
        <f t="shared" si="30"/>
        <v>0.37308640965672413</v>
      </c>
      <c r="Q89" s="202">
        <f t="shared" si="30"/>
        <v>0.38291676682085962</v>
      </c>
      <c r="R89" s="202">
        <f t="shared" si="30"/>
        <v>0.39267959521847623</v>
      </c>
      <c r="S89" s="202">
        <f t="shared" si="30"/>
        <v>0.40237351198347704</v>
      </c>
      <c r="T89" s="202">
        <f t="shared" si="30"/>
        <v>0.41199708845538352</v>
      </c>
      <c r="U89" s="202">
        <f t="shared" si="30"/>
        <v>0.42154884806263188</v>
      </c>
      <c r="V89" s="202">
        <f t="shared" si="30"/>
        <v>0.43102726408273551</v>
      </c>
      <c r="W89" s="202">
        <f t="shared" si="30"/>
        <v>0.44043075727075592</v>
      </c>
      <c r="X89" s="202">
        <f t="shared" si="30"/>
        <v>0.45579595322529493</v>
      </c>
      <c r="Y89" s="202">
        <f t="shared" si="30"/>
        <v>0.47100650386466925</v>
      </c>
      <c r="Z89" s="202">
        <f t="shared" si="30"/>
        <v>0.48604041579841062</v>
      </c>
      <c r="AA89" s="202">
        <f t="shared" si="30"/>
        <v>0.50098016700068493</v>
      </c>
      <c r="AB89" s="202">
        <f t="shared" si="30"/>
        <v>0.51582439190921636</v>
      </c>
      <c r="AC89" s="202">
        <f t="shared" si="30"/>
        <v>0.53055161328746692</v>
      </c>
      <c r="AD89" s="202">
        <f t="shared" si="30"/>
        <v>0.54517886021048945</v>
      </c>
      <c r="AE89" s="202">
        <f t="shared" si="30"/>
        <v>0.55970464698932132</v>
      </c>
      <c r="AF89" s="202">
        <f t="shared" si="30"/>
        <v>0.57412745675130539</v>
      </c>
      <c r="AG89" s="202">
        <f>(AG11*AG49+AG62*AG12+AG77*AG14+AG79*AG13+AG84*AG15)/AG16</f>
        <v>0.58844574049649545</v>
      </c>
      <c r="AI89"/>
      <c r="AJ89" s="185"/>
      <c r="AL89" s="191"/>
      <c r="AM89" s="198"/>
      <c r="AN89" s="198"/>
      <c r="AO89" s="198"/>
    </row>
    <row r="90" spans="1:41" ht="15.5" thickTop="1">
      <c r="B90" s="121"/>
      <c r="C90" s="105"/>
      <c r="D90" s="22"/>
      <c r="E90" s="22"/>
      <c r="F90" s="22"/>
      <c r="G90" s="22"/>
      <c r="H90" s="22"/>
      <c r="I90" s="22"/>
      <c r="J90" s="22"/>
      <c r="K90" s="22"/>
      <c r="L90" s="22"/>
      <c r="M90" s="118"/>
      <c r="N90" s="102"/>
      <c r="O90" s="102"/>
      <c r="P90" s="102"/>
      <c r="Q90" s="102"/>
      <c r="R90" s="102"/>
      <c r="S90" s="102"/>
      <c r="T90" s="102"/>
      <c r="U90" s="102"/>
      <c r="V90" s="102"/>
      <c r="W90" s="118"/>
      <c r="X90" s="102"/>
      <c r="Y90" s="102"/>
      <c r="Z90" s="102"/>
      <c r="AA90" s="102"/>
      <c r="AB90" s="102"/>
      <c r="AC90" s="102"/>
      <c r="AD90" s="102"/>
      <c r="AE90" s="102"/>
      <c r="AF90" s="102"/>
      <c r="AG90" s="105"/>
      <c r="AJ90" s="185"/>
    </row>
    <row r="91" spans="1:41" ht="15.5" thickBot="1">
      <c r="A91" s="174" t="s">
        <v>465</v>
      </c>
      <c r="B91" s="208"/>
      <c r="C91" s="209"/>
      <c r="D91" s="195"/>
      <c r="E91" s="195"/>
      <c r="F91" s="195"/>
      <c r="G91" s="195"/>
      <c r="H91" s="195"/>
      <c r="I91" s="195"/>
      <c r="J91" s="195"/>
      <c r="K91" s="195"/>
      <c r="L91" s="195"/>
      <c r="M91" s="210"/>
      <c r="N91" s="102"/>
      <c r="O91" s="102"/>
      <c r="P91" s="102"/>
      <c r="Q91" s="102"/>
      <c r="R91" s="102"/>
      <c r="S91" s="102"/>
      <c r="T91" s="102"/>
      <c r="U91" s="102"/>
      <c r="V91" s="102"/>
      <c r="W91" s="118"/>
      <c r="X91" s="102"/>
      <c r="Y91" s="102"/>
      <c r="Z91" s="102"/>
      <c r="AA91" s="102"/>
      <c r="AB91" s="102"/>
      <c r="AC91" s="102"/>
      <c r="AD91" s="102"/>
      <c r="AE91" s="102"/>
      <c r="AF91" s="102"/>
      <c r="AG91" s="102" t="s">
        <v>468</v>
      </c>
    </row>
    <row r="92" spans="1:41" ht="15.5" customHeight="1" thickTop="1">
      <c r="A92" s="160" t="s">
        <v>459</v>
      </c>
      <c r="B92" s="121"/>
      <c r="C92" s="207" t="e">
        <f>C54*C11+C66*C12+#REF!*C14+C80*C13</f>
        <v>#REF!</v>
      </c>
      <c r="D92" s="206"/>
      <c r="E92" s="206"/>
      <c r="F92" s="206"/>
      <c r="G92" s="206"/>
      <c r="H92" s="206"/>
      <c r="I92" s="206"/>
      <c r="J92" s="206"/>
      <c r="K92" s="206"/>
      <c r="L92" s="206"/>
      <c r="M92" s="119" t="e">
        <f>C92/$C$97</f>
        <v>#REF!</v>
      </c>
      <c r="N92" s="102"/>
      <c r="O92" s="102"/>
      <c r="P92" s="102"/>
      <c r="Q92" s="102"/>
      <c r="R92" s="102"/>
      <c r="S92" s="102"/>
      <c r="T92" s="102"/>
      <c r="U92" s="102"/>
      <c r="V92" s="102"/>
      <c r="W92" s="98"/>
      <c r="X92" s="102"/>
      <c r="Y92" s="102"/>
      <c r="Z92" s="102"/>
      <c r="AA92" s="102"/>
      <c r="AB92" s="102"/>
      <c r="AC92" s="102"/>
      <c r="AD92" s="102"/>
      <c r="AE92" s="102"/>
      <c r="AF92" s="102"/>
      <c r="AG92" s="52">
        <v>0.46</v>
      </c>
    </row>
    <row r="93" spans="1:41" ht="15.5" customHeight="1">
      <c r="A93" t="s">
        <v>460</v>
      </c>
      <c r="C93" s="207">
        <f>C50*C11+C67*C12</f>
        <v>375098.39595228335</v>
      </c>
      <c r="D93" s="207"/>
      <c r="E93" s="207"/>
      <c r="F93" s="207"/>
      <c r="G93" s="207"/>
      <c r="H93" s="207"/>
      <c r="I93" s="207"/>
      <c r="J93" s="207"/>
      <c r="K93" s="207"/>
      <c r="L93" s="207"/>
      <c r="M93" s="119" t="e">
        <f t="shared" ref="M93:M96" si="31">C93/$C$97</f>
        <v>#REF!</v>
      </c>
      <c r="AG93" s="52">
        <v>0.24</v>
      </c>
    </row>
    <row r="94" spans="1:41" ht="15.5" customHeight="1">
      <c r="A94" t="s">
        <v>461</v>
      </c>
      <c r="C94" s="207" t="e">
        <f>#REF!*C14+C53*C11+C84*C15+C68*C12</f>
        <v>#REF!</v>
      </c>
      <c r="D94" s="207"/>
      <c r="E94" s="207"/>
      <c r="F94" s="207"/>
      <c r="G94" s="207"/>
      <c r="H94" s="207"/>
      <c r="I94" s="207"/>
      <c r="J94" s="207"/>
      <c r="K94" s="207"/>
      <c r="L94" s="207"/>
      <c r="M94" s="119" t="e">
        <f t="shared" si="31"/>
        <v>#REF!</v>
      </c>
      <c r="AG94" s="52">
        <v>0.26</v>
      </c>
    </row>
    <row r="95" spans="1:41" ht="15.5" customHeight="1">
      <c r="A95" t="s">
        <v>462</v>
      </c>
      <c r="C95" s="207" t="e">
        <f>#REF!*C14+#REF!*C11</f>
        <v>#REF!</v>
      </c>
      <c r="D95" s="207"/>
      <c r="E95" s="207"/>
      <c r="F95" s="207"/>
      <c r="G95" s="207"/>
      <c r="H95" s="207"/>
      <c r="I95" s="207"/>
      <c r="J95" s="207"/>
      <c r="K95" s="207"/>
      <c r="L95" s="207"/>
      <c r="M95" s="119" t="e">
        <f t="shared" si="31"/>
        <v>#REF!</v>
      </c>
      <c r="AG95" s="52">
        <v>0.01</v>
      </c>
    </row>
    <row r="96" spans="1:41" ht="15.5" customHeight="1">
      <c r="A96" t="s">
        <v>463</v>
      </c>
      <c r="B96"/>
      <c r="C96" s="207">
        <f>C64*C12</f>
        <v>4290.3736450584483</v>
      </c>
      <c r="D96" s="207"/>
      <c r="E96" s="207"/>
      <c r="F96" s="207"/>
      <c r="G96" s="207"/>
      <c r="H96" s="207"/>
      <c r="I96" s="207"/>
      <c r="J96" s="207"/>
      <c r="K96" s="207"/>
      <c r="L96" s="207"/>
      <c r="M96" s="119" t="e">
        <f t="shared" si="31"/>
        <v>#REF!</v>
      </c>
      <c r="AG96" s="52">
        <v>0.03</v>
      </c>
    </row>
    <row r="97" spans="1:36" ht="15.5" customHeight="1">
      <c r="A97" t="s">
        <v>464</v>
      </c>
      <c r="B97" s="47"/>
      <c r="C97" s="206" t="e">
        <f>SUM(C92:C96)</f>
        <v>#REF!</v>
      </c>
      <c r="D97" s="207"/>
      <c r="E97" s="207"/>
      <c r="F97" s="207"/>
      <c r="G97" s="207"/>
      <c r="H97" s="207"/>
      <c r="I97" s="207"/>
      <c r="J97" s="207"/>
      <c r="K97" s="207"/>
      <c r="L97" s="207"/>
      <c r="M97" s="207"/>
    </row>
    <row r="98" spans="1:36" ht="15.5" customHeight="1">
      <c r="B98" s="160" t="s">
        <v>467</v>
      </c>
      <c r="C98" s="207">
        <f>C89*C16</f>
        <v>1574017.1732199788</v>
      </c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AG98" s="99" t="s">
        <v>466</v>
      </c>
    </row>
    <row r="99" spans="1:36">
      <c r="B99" s="47"/>
      <c r="AJ99" s="185"/>
    </row>
    <row r="100" spans="1:36">
      <c r="A100" t="s">
        <v>601</v>
      </c>
      <c r="B100" s="121"/>
      <c r="C100" s="203">
        <f>(C42*C58+C43*C70+C44*C82+C46*C85)</f>
        <v>205940.91349861573</v>
      </c>
      <c r="D100" s="203">
        <f t="shared" ref="D100:AG100" si="32">(D42*D58+D43*D70+D44*D82+D46*D85)</f>
        <v>231231.35967447128</v>
      </c>
      <c r="E100" s="203">
        <f t="shared" si="32"/>
        <v>257029.45196162269</v>
      </c>
      <c r="F100" s="203">
        <f t="shared" si="32"/>
        <v>283310.71918053529</v>
      </c>
      <c r="G100" s="203">
        <f t="shared" si="32"/>
        <v>310050.89030255144</v>
      </c>
      <c r="H100" s="203">
        <f t="shared" si="32"/>
        <v>337225.89337559766</v>
      </c>
      <c r="I100" s="203">
        <f t="shared" si="32"/>
        <v>363617.59327209415</v>
      </c>
      <c r="J100" s="203">
        <f t="shared" si="32"/>
        <v>390234.39457129862</v>
      </c>
      <c r="K100" s="203">
        <f t="shared" si="32"/>
        <v>417053.90768287808</v>
      </c>
      <c r="L100" s="203">
        <f t="shared" si="32"/>
        <v>444053.93299751054</v>
      </c>
      <c r="M100" s="203">
        <f t="shared" si="32"/>
        <v>471212.45985365967</v>
      </c>
      <c r="N100" s="203">
        <f t="shared" si="32"/>
        <v>490627.38014533429</v>
      </c>
      <c r="O100" s="203">
        <f t="shared" si="32"/>
        <v>510282.61417185731</v>
      </c>
      <c r="P100" s="203">
        <f t="shared" si="32"/>
        <v>529474.98281558638</v>
      </c>
      <c r="Q100" s="203">
        <f t="shared" si="32"/>
        <v>548568.38673533918</v>
      </c>
      <c r="R100" s="203">
        <f t="shared" si="32"/>
        <v>567546.56774446857</v>
      </c>
      <c r="S100" s="203">
        <f t="shared" si="32"/>
        <v>586393.41570290737</v>
      </c>
      <c r="T100" s="203">
        <f t="shared" si="32"/>
        <v>605092.96764187422</v>
      </c>
      <c r="U100" s="203">
        <f t="shared" si="32"/>
        <v>623629.40689287998</v>
      </c>
      <c r="V100" s="203">
        <f t="shared" si="32"/>
        <v>641987.06222101115</v>
      </c>
      <c r="W100" s="203">
        <f t="shared" si="32"/>
        <v>660150.4069624769</v>
      </c>
      <c r="X100" s="203">
        <f t="shared" si="32"/>
        <v>688583.48595673207</v>
      </c>
      <c r="Y100" s="203">
        <f t="shared" si="32"/>
        <v>716476.4224400504</v>
      </c>
      <c r="Z100" s="203">
        <f t="shared" si="32"/>
        <v>743929.44332505704</v>
      </c>
      <c r="AA100" s="203">
        <f t="shared" si="32"/>
        <v>771341.1725047275</v>
      </c>
      <c r="AB100" s="203">
        <f t="shared" si="32"/>
        <v>798697.352539371</v>
      </c>
      <c r="AC100" s="203">
        <f t="shared" si="32"/>
        <v>825908.08647414844</v>
      </c>
      <c r="AD100" s="203">
        <f t="shared" si="32"/>
        <v>853030.49708412273</v>
      </c>
      <c r="AE100" s="203">
        <f t="shared" si="32"/>
        <v>880050.77624399413</v>
      </c>
      <c r="AF100" s="203">
        <f t="shared" si="32"/>
        <v>906955.25025424745</v>
      </c>
      <c r="AG100" s="203">
        <f t="shared" si="32"/>
        <v>933730.37762990373</v>
      </c>
      <c r="AJ100" s="185"/>
    </row>
    <row r="101" spans="1:36" ht="15.5" thickBot="1">
      <c r="A101" t="s">
        <v>598</v>
      </c>
      <c r="B101" s="121"/>
      <c r="C101" s="203">
        <f>C100</f>
        <v>205940.91349861573</v>
      </c>
      <c r="D101" s="203">
        <f>C101*(1+$AI$88)</f>
        <v>205940.91349861573</v>
      </c>
      <c r="E101" s="203">
        <f>D101*(1+$AI$88)</f>
        <v>205940.91349861573</v>
      </c>
      <c r="F101" s="203">
        <f>E101*(1+$AI$88)</f>
        <v>205940.91349861573</v>
      </c>
      <c r="G101" s="203">
        <f>F101*(1+$AI$88)</f>
        <v>205940.91349861573</v>
      </c>
      <c r="H101" s="203">
        <f>G101*(1+$AI$88)</f>
        <v>205940.91349861573</v>
      </c>
      <c r="I101" s="203">
        <f>H101*(1+$AI$88)</f>
        <v>205940.91349861573</v>
      </c>
      <c r="J101" s="203">
        <f>I101*(1+$AI$88)</f>
        <v>205940.91349861573</v>
      </c>
      <c r="K101" s="203">
        <f>J101*(1+$AI$88)</f>
        <v>205940.91349861573</v>
      </c>
      <c r="L101" s="203">
        <f>K101*(1+$AI$88)</f>
        <v>205940.91349861573</v>
      </c>
      <c r="M101" s="203">
        <f>L101*(1+$AI$88)</f>
        <v>205940.91349861573</v>
      </c>
      <c r="N101" s="203">
        <f>M101*(1+$AI$88)</f>
        <v>205940.91349861573</v>
      </c>
      <c r="O101" s="203">
        <f>N101*(1+$AI$88)</f>
        <v>205940.91349861573</v>
      </c>
      <c r="P101" s="203">
        <f>O101*(1+$AI$88)</f>
        <v>205940.91349861573</v>
      </c>
      <c r="Q101" s="203">
        <f>P101*(1+$AI$88)</f>
        <v>205940.91349861573</v>
      </c>
      <c r="R101" s="203">
        <f>Q101*(1+$AI$88)</f>
        <v>205940.91349861573</v>
      </c>
      <c r="S101" s="203">
        <f>R101*(1+$AI$88)</f>
        <v>205940.91349861573</v>
      </c>
      <c r="T101" s="203">
        <f>S101*(1+$AI$88)</f>
        <v>205940.91349861573</v>
      </c>
      <c r="U101" s="203">
        <f>T101*(1+$AI$88)</f>
        <v>205940.91349861573</v>
      </c>
      <c r="V101" s="203">
        <f>U101*(1+$AI$88)</f>
        <v>205940.91349861573</v>
      </c>
      <c r="W101" s="203">
        <f>V101*(1+$AI$88)</f>
        <v>205940.91349861573</v>
      </c>
      <c r="X101" s="203">
        <f>W101*(1+$AI$88)</f>
        <v>205940.91349861573</v>
      </c>
      <c r="Y101" s="203">
        <f>X101*(1+$AI$88)</f>
        <v>205940.91349861573</v>
      </c>
      <c r="Z101" s="203">
        <f>Y101*(1+$AI$88)</f>
        <v>205940.91349861573</v>
      </c>
      <c r="AA101" s="203">
        <f>Z101*(1+$AI$88)</f>
        <v>205940.91349861573</v>
      </c>
      <c r="AB101" s="203">
        <f>AA101*(1+$AI$88)</f>
        <v>205940.91349861573</v>
      </c>
      <c r="AC101" s="203">
        <f>AB101*(1+$AI$88)</f>
        <v>205940.91349861573</v>
      </c>
      <c r="AD101" s="203">
        <f>AC101*(1+$AI$88)</f>
        <v>205940.91349861573</v>
      </c>
      <c r="AE101" s="203">
        <f>AD101*(1+$AI$88)</f>
        <v>205940.91349861573</v>
      </c>
      <c r="AF101" s="203">
        <f>AE101*(1+$AI$88)</f>
        <v>205940.91349861573</v>
      </c>
      <c r="AG101" s="203">
        <f>AF101*(1+$AI$88)</f>
        <v>205940.91349861573</v>
      </c>
      <c r="AI101" s="174"/>
      <c r="AJ101" s="204"/>
    </row>
    <row r="102" spans="1:36" ht="16.25" thickTop="1" thickBot="1">
      <c r="AI102" s="174"/>
      <c r="AJ102" s="199"/>
    </row>
    <row r="103" spans="1:36" s="54" customFormat="1" ht="15.5" thickTop="1">
      <c r="A103" s="54" t="s">
        <v>626</v>
      </c>
      <c r="B103" s="253"/>
      <c r="C103" s="254"/>
      <c r="D103" s="254"/>
      <c r="E103" s="254"/>
      <c r="F103" s="254"/>
      <c r="G103" s="254"/>
      <c r="H103" s="254"/>
      <c r="I103" s="254"/>
      <c r="J103" s="254"/>
      <c r="K103" s="254"/>
      <c r="L103" s="254"/>
      <c r="M103" s="254"/>
      <c r="N103" s="254"/>
      <c r="O103" s="254"/>
      <c r="P103" s="254"/>
      <c r="Q103" s="254"/>
      <c r="R103" s="254"/>
      <c r="S103" s="254"/>
      <c r="T103" s="254"/>
      <c r="U103" s="254"/>
      <c r="V103" s="254"/>
      <c r="W103" s="254"/>
      <c r="X103" s="254"/>
      <c r="Y103" s="254"/>
      <c r="Z103" s="254"/>
      <c r="AA103" s="254"/>
      <c r="AB103" s="254"/>
      <c r="AC103" s="254"/>
      <c r="AD103" s="254"/>
      <c r="AE103" s="254"/>
      <c r="AF103" s="254"/>
      <c r="AG103" s="254"/>
      <c r="AI103"/>
      <c r="AJ103" s="3"/>
    </row>
    <row r="104" spans="1:36" s="166" customFormat="1" outlineLevel="1">
      <c r="A104" s="293" t="s">
        <v>630</v>
      </c>
      <c r="B104" s="268" t="s">
        <v>126</v>
      </c>
      <c r="C104" s="561">
        <v>0.98</v>
      </c>
      <c r="D104" s="269">
        <f>-($C104-$AG104)/30+C104</f>
        <v>0.98033333333333328</v>
      </c>
      <c r="E104" s="269">
        <f t="shared" ref="E104:AF106" si="33">-($C104-$AG104)/30+D104</f>
        <v>0.98066666666666658</v>
      </c>
      <c r="F104" s="269">
        <f t="shared" si="33"/>
        <v>0.98099999999999987</v>
      </c>
      <c r="G104" s="269">
        <f t="shared" si="33"/>
        <v>0.98133333333333317</v>
      </c>
      <c r="H104" s="269">
        <f t="shared" si="33"/>
        <v>0.98166666666666647</v>
      </c>
      <c r="I104" s="269">
        <f t="shared" si="33"/>
        <v>0.98199999999999976</v>
      </c>
      <c r="J104" s="269">
        <f t="shared" si="33"/>
        <v>0.98233333333333306</v>
      </c>
      <c r="K104" s="269">
        <f t="shared" si="33"/>
        <v>0.98266666666666636</v>
      </c>
      <c r="L104" s="269">
        <f t="shared" si="33"/>
        <v>0.98299999999999965</v>
      </c>
      <c r="M104" s="269">
        <f t="shared" si="33"/>
        <v>0.98333333333333295</v>
      </c>
      <c r="N104" s="269">
        <f t="shared" si="33"/>
        <v>0.98366666666666625</v>
      </c>
      <c r="O104" s="269">
        <f t="shared" si="33"/>
        <v>0.98399999999999954</v>
      </c>
      <c r="P104" s="269">
        <f t="shared" si="33"/>
        <v>0.98433333333333284</v>
      </c>
      <c r="Q104" s="269">
        <f t="shared" si="33"/>
        <v>0.98466666666666613</v>
      </c>
      <c r="R104" s="269">
        <f t="shared" si="33"/>
        <v>0.98499999999999943</v>
      </c>
      <c r="S104" s="269">
        <f t="shared" si="33"/>
        <v>0.98533333333333273</v>
      </c>
      <c r="T104" s="269">
        <f t="shared" si="33"/>
        <v>0.98566666666666602</v>
      </c>
      <c r="U104" s="269">
        <f t="shared" si="33"/>
        <v>0.98599999999999932</v>
      </c>
      <c r="V104" s="269">
        <f t="shared" si="33"/>
        <v>0.98633333333333262</v>
      </c>
      <c r="W104" s="269">
        <f t="shared" si="33"/>
        <v>0.98666666666666591</v>
      </c>
      <c r="X104" s="269">
        <f t="shared" si="33"/>
        <v>0.98699999999999921</v>
      </c>
      <c r="Y104" s="269">
        <f t="shared" si="33"/>
        <v>0.98733333333333251</v>
      </c>
      <c r="Z104" s="269">
        <f t="shared" si="33"/>
        <v>0.9876666666666658</v>
      </c>
      <c r="AA104" s="269">
        <f t="shared" si="33"/>
        <v>0.9879999999999991</v>
      </c>
      <c r="AB104" s="269">
        <f t="shared" si="33"/>
        <v>0.9883333333333324</v>
      </c>
      <c r="AC104" s="269">
        <f t="shared" si="33"/>
        <v>0.98866666666666569</v>
      </c>
      <c r="AD104" s="269">
        <f t="shared" si="33"/>
        <v>0.98899999999999899</v>
      </c>
      <c r="AE104" s="269">
        <f t="shared" si="33"/>
        <v>0.98933333333333229</v>
      </c>
      <c r="AF104" s="269">
        <f t="shared" si="33"/>
        <v>0.98966666666666558</v>
      </c>
      <c r="AG104" s="561">
        <v>0.99</v>
      </c>
      <c r="AI104" s="270"/>
      <c r="AJ104" s="271" t="s">
        <v>1469</v>
      </c>
    </row>
    <row r="105" spans="1:36" outlineLevel="1">
      <c r="A105" s="3" t="s">
        <v>621</v>
      </c>
      <c r="B105" s="252" t="s">
        <v>126</v>
      </c>
      <c r="C105" s="255">
        <f>1-SUM(C106:C110)</f>
        <v>0.97</v>
      </c>
      <c r="D105" s="287">
        <f t="shared" ref="D105:S106" si="34">-($C105-$AG105)/30+C105</f>
        <v>0.97033333333333327</v>
      </c>
      <c r="E105" s="287">
        <f t="shared" si="34"/>
        <v>0.97066666666666657</v>
      </c>
      <c r="F105" s="287">
        <f t="shared" si="34"/>
        <v>0.97099999999999986</v>
      </c>
      <c r="G105" s="287">
        <f t="shared" si="34"/>
        <v>0.97133333333333316</v>
      </c>
      <c r="H105" s="287">
        <f t="shared" si="34"/>
        <v>0.97166666666666646</v>
      </c>
      <c r="I105" s="287">
        <f t="shared" si="34"/>
        <v>0.97199999999999975</v>
      </c>
      <c r="J105" s="287">
        <f t="shared" si="34"/>
        <v>0.97233333333333305</v>
      </c>
      <c r="K105" s="287">
        <f t="shared" si="34"/>
        <v>0.97266666666666635</v>
      </c>
      <c r="L105" s="287">
        <f t="shared" si="34"/>
        <v>0.97299999999999964</v>
      </c>
      <c r="M105" s="287">
        <f t="shared" si="34"/>
        <v>0.97333333333333294</v>
      </c>
      <c r="N105" s="287">
        <f t="shared" si="34"/>
        <v>0.97366666666666624</v>
      </c>
      <c r="O105" s="287">
        <f t="shared" si="34"/>
        <v>0.97399999999999953</v>
      </c>
      <c r="P105" s="287">
        <f t="shared" si="34"/>
        <v>0.97433333333333283</v>
      </c>
      <c r="Q105" s="287">
        <f t="shared" si="34"/>
        <v>0.97466666666666613</v>
      </c>
      <c r="R105" s="287">
        <f t="shared" si="34"/>
        <v>0.97499999999999942</v>
      </c>
      <c r="S105" s="287">
        <f t="shared" si="34"/>
        <v>0.97533333333333272</v>
      </c>
      <c r="T105" s="287">
        <f t="shared" si="33"/>
        <v>0.97566666666666602</v>
      </c>
      <c r="U105" s="287">
        <f t="shared" si="33"/>
        <v>0.97599999999999931</v>
      </c>
      <c r="V105" s="287">
        <f t="shared" si="33"/>
        <v>0.97633333333333261</v>
      </c>
      <c r="W105" s="287">
        <f t="shared" si="33"/>
        <v>0.97666666666666591</v>
      </c>
      <c r="X105" s="287">
        <f t="shared" si="33"/>
        <v>0.9769999999999992</v>
      </c>
      <c r="Y105" s="287">
        <f t="shared" si="33"/>
        <v>0.9773333333333325</v>
      </c>
      <c r="Z105" s="287">
        <f t="shared" si="33"/>
        <v>0.9776666666666658</v>
      </c>
      <c r="AA105" s="287">
        <f t="shared" si="33"/>
        <v>0.97799999999999909</v>
      </c>
      <c r="AB105" s="287">
        <f t="shared" si="33"/>
        <v>0.97833333333333239</v>
      </c>
      <c r="AC105" s="287">
        <f t="shared" si="33"/>
        <v>0.97866666666666569</v>
      </c>
      <c r="AD105" s="287">
        <f t="shared" si="33"/>
        <v>0.97899999999999898</v>
      </c>
      <c r="AE105" s="287">
        <f t="shared" si="33"/>
        <v>0.97933333333333228</v>
      </c>
      <c r="AF105" s="287">
        <f t="shared" si="33"/>
        <v>0.97966666666666558</v>
      </c>
      <c r="AG105" s="255">
        <f>1-SUM(AG106:AG110)</f>
        <v>0.98</v>
      </c>
      <c r="AI105" s="188"/>
      <c r="AJ105" s="271"/>
    </row>
    <row r="106" spans="1:36" outlineLevel="1">
      <c r="A106" s="3" t="s">
        <v>620</v>
      </c>
      <c r="B106" s="252" t="s">
        <v>126</v>
      </c>
      <c r="C106" s="266">
        <v>0.01</v>
      </c>
      <c r="D106" s="267">
        <f t="shared" si="34"/>
        <v>0.01</v>
      </c>
      <c r="E106" s="267">
        <f t="shared" si="34"/>
        <v>0.01</v>
      </c>
      <c r="F106" s="267">
        <f t="shared" si="34"/>
        <v>0.01</v>
      </c>
      <c r="G106" s="267">
        <f t="shared" si="34"/>
        <v>0.01</v>
      </c>
      <c r="H106" s="267">
        <f t="shared" si="34"/>
        <v>0.01</v>
      </c>
      <c r="I106" s="267">
        <f t="shared" si="34"/>
        <v>0.01</v>
      </c>
      <c r="J106" s="267">
        <f t="shared" si="34"/>
        <v>0.01</v>
      </c>
      <c r="K106" s="267">
        <f t="shared" si="34"/>
        <v>0.01</v>
      </c>
      <c r="L106" s="267">
        <f t="shared" si="34"/>
        <v>0.01</v>
      </c>
      <c r="M106" s="267">
        <f t="shared" si="34"/>
        <v>0.01</v>
      </c>
      <c r="N106" s="267">
        <f t="shared" si="34"/>
        <v>0.01</v>
      </c>
      <c r="O106" s="267">
        <f t="shared" si="34"/>
        <v>0.01</v>
      </c>
      <c r="P106" s="267">
        <f t="shared" si="34"/>
        <v>0.01</v>
      </c>
      <c r="Q106" s="267">
        <f t="shared" si="34"/>
        <v>0.01</v>
      </c>
      <c r="R106" s="267">
        <f t="shared" si="34"/>
        <v>0.01</v>
      </c>
      <c r="S106" s="267">
        <f t="shared" si="34"/>
        <v>0.01</v>
      </c>
      <c r="T106" s="267">
        <f t="shared" si="33"/>
        <v>0.01</v>
      </c>
      <c r="U106" s="267">
        <f t="shared" si="33"/>
        <v>0.01</v>
      </c>
      <c r="V106" s="267">
        <f t="shared" si="33"/>
        <v>0.01</v>
      </c>
      <c r="W106" s="267">
        <f t="shared" si="33"/>
        <v>0.01</v>
      </c>
      <c r="X106" s="267">
        <f t="shared" si="33"/>
        <v>0.01</v>
      </c>
      <c r="Y106" s="267">
        <f t="shared" si="33"/>
        <v>0.01</v>
      </c>
      <c r="Z106" s="267">
        <f t="shared" si="33"/>
        <v>0.01</v>
      </c>
      <c r="AA106" s="267">
        <f t="shared" si="33"/>
        <v>0.01</v>
      </c>
      <c r="AB106" s="267">
        <f t="shared" si="33"/>
        <v>0.01</v>
      </c>
      <c r="AC106" s="267">
        <f t="shared" si="33"/>
        <v>0.01</v>
      </c>
      <c r="AD106" s="267">
        <f t="shared" si="33"/>
        <v>0.01</v>
      </c>
      <c r="AE106" s="267">
        <f t="shared" si="33"/>
        <v>0.01</v>
      </c>
      <c r="AF106" s="267">
        <f t="shared" si="33"/>
        <v>0.01</v>
      </c>
      <c r="AG106" s="266">
        <v>0.01</v>
      </c>
      <c r="AI106" s="188"/>
      <c r="AJ106" s="271" t="s">
        <v>1469</v>
      </c>
    </row>
    <row r="107" spans="1:36" outlineLevel="1">
      <c r="A107" s="3" t="s">
        <v>622</v>
      </c>
      <c r="B107" s="252" t="s">
        <v>126</v>
      </c>
      <c r="C107" s="562">
        <v>0</v>
      </c>
      <c r="D107" s="267">
        <f t="shared" ref="D107:AF110" si="35">-($C107-$AG107)/30+C107</f>
        <v>0</v>
      </c>
      <c r="E107" s="267">
        <f t="shared" si="35"/>
        <v>0</v>
      </c>
      <c r="F107" s="267">
        <f t="shared" si="35"/>
        <v>0</v>
      </c>
      <c r="G107" s="267">
        <f t="shared" si="35"/>
        <v>0</v>
      </c>
      <c r="H107" s="267">
        <f t="shared" si="35"/>
        <v>0</v>
      </c>
      <c r="I107" s="267">
        <f t="shared" si="35"/>
        <v>0</v>
      </c>
      <c r="J107" s="267">
        <f t="shared" si="35"/>
        <v>0</v>
      </c>
      <c r="K107" s="267">
        <f t="shared" si="35"/>
        <v>0</v>
      </c>
      <c r="L107" s="267">
        <f t="shared" si="35"/>
        <v>0</v>
      </c>
      <c r="M107" s="267">
        <f t="shared" si="35"/>
        <v>0</v>
      </c>
      <c r="N107" s="267">
        <f t="shared" si="35"/>
        <v>0</v>
      </c>
      <c r="O107" s="267">
        <f t="shared" si="35"/>
        <v>0</v>
      </c>
      <c r="P107" s="267">
        <f t="shared" si="35"/>
        <v>0</v>
      </c>
      <c r="Q107" s="267">
        <f t="shared" si="35"/>
        <v>0</v>
      </c>
      <c r="R107" s="267">
        <f t="shared" si="35"/>
        <v>0</v>
      </c>
      <c r="S107" s="267">
        <f t="shared" si="35"/>
        <v>0</v>
      </c>
      <c r="T107" s="267">
        <f t="shared" si="35"/>
        <v>0</v>
      </c>
      <c r="U107" s="267">
        <f t="shared" si="35"/>
        <v>0</v>
      </c>
      <c r="V107" s="267">
        <f t="shared" si="35"/>
        <v>0</v>
      </c>
      <c r="W107" s="267">
        <f t="shared" si="35"/>
        <v>0</v>
      </c>
      <c r="X107" s="267">
        <f t="shared" si="35"/>
        <v>0</v>
      </c>
      <c r="Y107" s="267">
        <f t="shared" si="35"/>
        <v>0</v>
      </c>
      <c r="Z107" s="267">
        <f t="shared" si="35"/>
        <v>0</v>
      </c>
      <c r="AA107" s="267">
        <f t="shared" si="35"/>
        <v>0</v>
      </c>
      <c r="AB107" s="267">
        <f t="shared" si="35"/>
        <v>0</v>
      </c>
      <c r="AC107" s="267">
        <f t="shared" si="35"/>
        <v>0</v>
      </c>
      <c r="AD107" s="267">
        <f t="shared" si="35"/>
        <v>0</v>
      </c>
      <c r="AE107" s="267">
        <f t="shared" si="35"/>
        <v>0</v>
      </c>
      <c r="AF107" s="267">
        <f t="shared" si="35"/>
        <v>0</v>
      </c>
      <c r="AG107" s="562">
        <v>0</v>
      </c>
      <c r="AI107" s="188"/>
      <c r="AJ107" t="s">
        <v>1470</v>
      </c>
    </row>
    <row r="108" spans="1:36" outlineLevel="1">
      <c r="A108" s="3" t="s">
        <v>623</v>
      </c>
      <c r="B108" s="252" t="s">
        <v>126</v>
      </c>
      <c r="C108" s="562">
        <v>0</v>
      </c>
      <c r="D108" s="267">
        <f t="shared" si="35"/>
        <v>0</v>
      </c>
      <c r="E108" s="267">
        <f t="shared" si="35"/>
        <v>0</v>
      </c>
      <c r="F108" s="267">
        <f t="shared" si="35"/>
        <v>0</v>
      </c>
      <c r="G108" s="267">
        <f t="shared" si="35"/>
        <v>0</v>
      </c>
      <c r="H108" s="267">
        <f t="shared" si="35"/>
        <v>0</v>
      </c>
      <c r="I108" s="267">
        <f t="shared" si="35"/>
        <v>0</v>
      </c>
      <c r="J108" s="267">
        <f t="shared" si="35"/>
        <v>0</v>
      </c>
      <c r="K108" s="267">
        <f t="shared" si="35"/>
        <v>0</v>
      </c>
      <c r="L108" s="267">
        <f t="shared" si="35"/>
        <v>0</v>
      </c>
      <c r="M108" s="267">
        <f t="shared" si="35"/>
        <v>0</v>
      </c>
      <c r="N108" s="267">
        <f t="shared" si="35"/>
        <v>0</v>
      </c>
      <c r="O108" s="267">
        <f t="shared" si="35"/>
        <v>0</v>
      </c>
      <c r="P108" s="267">
        <f t="shared" si="35"/>
        <v>0</v>
      </c>
      <c r="Q108" s="267">
        <f t="shared" si="35"/>
        <v>0</v>
      </c>
      <c r="R108" s="267">
        <f t="shared" si="35"/>
        <v>0</v>
      </c>
      <c r="S108" s="267">
        <f t="shared" si="35"/>
        <v>0</v>
      </c>
      <c r="T108" s="267">
        <f t="shared" si="35"/>
        <v>0</v>
      </c>
      <c r="U108" s="267">
        <f t="shared" si="35"/>
        <v>0</v>
      </c>
      <c r="V108" s="267">
        <f t="shared" si="35"/>
        <v>0</v>
      </c>
      <c r="W108" s="267">
        <f t="shared" si="35"/>
        <v>0</v>
      </c>
      <c r="X108" s="267">
        <f t="shared" si="35"/>
        <v>0</v>
      </c>
      <c r="Y108" s="267">
        <f t="shared" si="35"/>
        <v>0</v>
      </c>
      <c r="Z108" s="267">
        <f t="shared" si="35"/>
        <v>0</v>
      </c>
      <c r="AA108" s="267">
        <f t="shared" si="35"/>
        <v>0</v>
      </c>
      <c r="AB108" s="267">
        <f t="shared" si="35"/>
        <v>0</v>
      </c>
      <c r="AC108" s="267">
        <f t="shared" si="35"/>
        <v>0</v>
      </c>
      <c r="AD108" s="267">
        <f t="shared" si="35"/>
        <v>0</v>
      </c>
      <c r="AE108" s="267">
        <f t="shared" si="35"/>
        <v>0</v>
      </c>
      <c r="AF108" s="267">
        <f t="shared" si="35"/>
        <v>0</v>
      </c>
      <c r="AG108" s="562">
        <v>0</v>
      </c>
      <c r="AI108" s="188"/>
      <c r="AJ108" t="s">
        <v>1470</v>
      </c>
    </row>
    <row r="109" spans="1:36" outlineLevel="1">
      <c r="A109" s="3" t="s">
        <v>624</v>
      </c>
      <c r="B109" s="252" t="s">
        <v>126</v>
      </c>
      <c r="C109" s="562">
        <v>1.4999999999999999E-2</v>
      </c>
      <c r="D109" s="267">
        <f t="shared" si="35"/>
        <v>1.4733333333333333E-2</v>
      </c>
      <c r="E109" s="267">
        <f t="shared" si="35"/>
        <v>1.4466666666666666E-2</v>
      </c>
      <c r="F109" s="267">
        <f t="shared" si="35"/>
        <v>1.4199999999999999E-2</v>
      </c>
      <c r="G109" s="267">
        <f t="shared" si="35"/>
        <v>1.3933333333333332E-2</v>
      </c>
      <c r="H109" s="267">
        <f t="shared" si="35"/>
        <v>1.3666666666666666E-2</v>
      </c>
      <c r="I109" s="267">
        <f t="shared" si="35"/>
        <v>1.3399999999999999E-2</v>
      </c>
      <c r="J109" s="267">
        <f t="shared" si="35"/>
        <v>1.3133333333333332E-2</v>
      </c>
      <c r="K109" s="267">
        <f t="shared" si="35"/>
        <v>1.2866666666666665E-2</v>
      </c>
      <c r="L109" s="267">
        <f t="shared" si="35"/>
        <v>1.2599999999999998E-2</v>
      </c>
      <c r="M109" s="267">
        <f t="shared" si="35"/>
        <v>1.2333333333333332E-2</v>
      </c>
      <c r="N109" s="267">
        <f t="shared" si="35"/>
        <v>1.2066666666666665E-2</v>
      </c>
      <c r="O109" s="267">
        <f t="shared" si="35"/>
        <v>1.1799999999999998E-2</v>
      </c>
      <c r="P109" s="267">
        <f t="shared" si="35"/>
        <v>1.1533333333333331E-2</v>
      </c>
      <c r="Q109" s="267">
        <f t="shared" si="35"/>
        <v>1.1266666666666664E-2</v>
      </c>
      <c r="R109" s="267">
        <f t="shared" si="35"/>
        <v>1.0999999999999998E-2</v>
      </c>
      <c r="S109" s="267">
        <f t="shared" si="35"/>
        <v>1.0733333333333331E-2</v>
      </c>
      <c r="T109" s="267">
        <f t="shared" si="35"/>
        <v>1.0466666666666664E-2</v>
      </c>
      <c r="U109" s="267">
        <f t="shared" si="35"/>
        <v>1.0199999999999997E-2</v>
      </c>
      <c r="V109" s="267">
        <f t="shared" si="35"/>
        <v>9.9333333333333305E-3</v>
      </c>
      <c r="W109" s="267">
        <f t="shared" si="35"/>
        <v>9.6666666666666637E-3</v>
      </c>
      <c r="X109" s="267">
        <f t="shared" si="35"/>
        <v>9.3999999999999969E-3</v>
      </c>
      <c r="Y109" s="267">
        <f t="shared" si="35"/>
        <v>9.1333333333333301E-3</v>
      </c>
      <c r="Z109" s="267">
        <f t="shared" si="35"/>
        <v>8.8666666666666633E-3</v>
      </c>
      <c r="AA109" s="267">
        <f t="shared" si="35"/>
        <v>8.5999999999999965E-3</v>
      </c>
      <c r="AB109" s="267">
        <f t="shared" si="35"/>
        <v>8.3333333333333297E-3</v>
      </c>
      <c r="AC109" s="267">
        <f t="shared" si="35"/>
        <v>8.066666666666663E-3</v>
      </c>
      <c r="AD109" s="267">
        <f t="shared" si="35"/>
        <v>7.7999999999999962E-3</v>
      </c>
      <c r="AE109" s="267">
        <f t="shared" si="35"/>
        <v>7.5333333333333294E-3</v>
      </c>
      <c r="AF109" s="267">
        <f t="shared" si="35"/>
        <v>7.2666666666666626E-3</v>
      </c>
      <c r="AG109" s="562">
        <v>7.0000000000000001E-3</v>
      </c>
      <c r="AI109" s="188"/>
      <c r="AJ109" t="s">
        <v>1470</v>
      </c>
    </row>
    <row r="110" spans="1:36" outlineLevel="1">
      <c r="A110" s="3" t="s">
        <v>625</v>
      </c>
      <c r="B110" s="252" t="s">
        <v>126</v>
      </c>
      <c r="C110" s="562">
        <v>5.0000000000000001E-3</v>
      </c>
      <c r="D110" s="267">
        <f t="shared" si="35"/>
        <v>4.9333333333333338E-3</v>
      </c>
      <c r="E110" s="267">
        <f t="shared" si="35"/>
        <v>4.8666666666666676E-3</v>
      </c>
      <c r="F110" s="267">
        <f t="shared" si="35"/>
        <v>4.8000000000000013E-3</v>
      </c>
      <c r="G110" s="267">
        <f t="shared" si="35"/>
        <v>4.7333333333333351E-3</v>
      </c>
      <c r="H110" s="267">
        <f t="shared" si="35"/>
        <v>4.6666666666666688E-3</v>
      </c>
      <c r="I110" s="267">
        <f t="shared" si="35"/>
        <v>4.6000000000000025E-3</v>
      </c>
      <c r="J110" s="267">
        <f t="shared" si="35"/>
        <v>4.5333333333333363E-3</v>
      </c>
      <c r="K110" s="267">
        <f t="shared" si="35"/>
        <v>4.46666666666667E-3</v>
      </c>
      <c r="L110" s="267">
        <f t="shared" si="35"/>
        <v>4.4000000000000037E-3</v>
      </c>
      <c r="M110" s="267">
        <f t="shared" si="35"/>
        <v>4.3333333333333375E-3</v>
      </c>
      <c r="N110" s="267">
        <f t="shared" si="35"/>
        <v>4.2666666666666712E-3</v>
      </c>
      <c r="O110" s="267">
        <f t="shared" si="35"/>
        <v>4.2000000000000049E-3</v>
      </c>
      <c r="P110" s="267">
        <f t="shared" si="35"/>
        <v>4.1333333333333387E-3</v>
      </c>
      <c r="Q110" s="267">
        <f t="shared" si="35"/>
        <v>4.0666666666666724E-3</v>
      </c>
      <c r="R110" s="267">
        <f t="shared" si="35"/>
        <v>4.0000000000000062E-3</v>
      </c>
      <c r="S110" s="267">
        <f t="shared" si="35"/>
        <v>3.9333333333333399E-3</v>
      </c>
      <c r="T110" s="267">
        <f t="shared" si="35"/>
        <v>3.8666666666666732E-3</v>
      </c>
      <c r="U110" s="267">
        <f t="shared" si="35"/>
        <v>3.8000000000000065E-3</v>
      </c>
      <c r="V110" s="267">
        <f t="shared" si="35"/>
        <v>3.7333333333333398E-3</v>
      </c>
      <c r="W110" s="267">
        <f t="shared" si="35"/>
        <v>3.6666666666666731E-3</v>
      </c>
      <c r="X110" s="267">
        <f t="shared" si="35"/>
        <v>3.6000000000000064E-3</v>
      </c>
      <c r="Y110" s="267">
        <f t="shared" si="35"/>
        <v>3.5333333333333397E-3</v>
      </c>
      <c r="Z110" s="267">
        <f t="shared" si="35"/>
        <v>3.466666666666673E-3</v>
      </c>
      <c r="AA110" s="267">
        <f t="shared" si="35"/>
        <v>3.4000000000000063E-3</v>
      </c>
      <c r="AB110" s="267">
        <f t="shared" si="35"/>
        <v>3.3333333333333396E-3</v>
      </c>
      <c r="AC110" s="267">
        <f t="shared" si="35"/>
        <v>3.2666666666666729E-3</v>
      </c>
      <c r="AD110" s="267">
        <f t="shared" si="35"/>
        <v>3.2000000000000062E-3</v>
      </c>
      <c r="AE110" s="267">
        <f t="shared" si="35"/>
        <v>3.1333333333333395E-3</v>
      </c>
      <c r="AF110" s="267">
        <f t="shared" si="35"/>
        <v>3.0666666666666728E-3</v>
      </c>
      <c r="AG110" s="562">
        <v>3.0000000000000001E-3</v>
      </c>
      <c r="AI110" s="188"/>
      <c r="AJ110" t="s">
        <v>1470</v>
      </c>
    </row>
    <row r="111" spans="1:36" s="54" customFormat="1" outlineLevel="1">
      <c r="A111" s="256" t="s">
        <v>627</v>
      </c>
      <c r="B111" s="253"/>
      <c r="C111" s="254"/>
      <c r="D111" s="254"/>
      <c r="E111" s="254"/>
      <c r="F111" s="254"/>
      <c r="G111" s="254"/>
      <c r="H111" s="254"/>
      <c r="I111" s="254"/>
      <c r="J111" s="254"/>
      <c r="K111" s="254"/>
      <c r="L111" s="254"/>
      <c r="M111" s="254"/>
      <c r="N111" s="254"/>
      <c r="O111" s="254"/>
      <c r="P111" s="254"/>
      <c r="Q111" s="254"/>
      <c r="R111" s="254"/>
      <c r="S111" s="254"/>
      <c r="T111" s="254"/>
      <c r="U111" s="254"/>
      <c r="V111" s="254"/>
      <c r="W111" s="254"/>
      <c r="X111" s="254"/>
      <c r="Y111" s="254"/>
      <c r="Z111" s="254"/>
      <c r="AA111" s="254"/>
      <c r="AB111" s="254"/>
      <c r="AC111" s="254"/>
      <c r="AD111" s="254"/>
      <c r="AE111" s="254"/>
      <c r="AF111" s="254"/>
      <c r="AG111" s="254"/>
      <c r="AI111" s="255"/>
      <c r="AJ111" s="256"/>
    </row>
    <row r="112" spans="1:36" s="54" customFormat="1" outlineLevel="1">
      <c r="A112" s="257" t="s">
        <v>656</v>
      </c>
      <c r="B112" s="258" t="s">
        <v>126</v>
      </c>
      <c r="C112" s="563">
        <f>C104</f>
        <v>0.98</v>
      </c>
      <c r="D112" s="287">
        <f>-($C112-$AG112)/30+C112</f>
        <v>0.98033333333333328</v>
      </c>
      <c r="E112" s="287">
        <f t="shared" ref="E112:AF113" si="36">-($C112-$AG112)/30+D112</f>
        <v>0.98066666666666658</v>
      </c>
      <c r="F112" s="287">
        <f t="shared" si="36"/>
        <v>0.98099999999999987</v>
      </c>
      <c r="G112" s="287">
        <f t="shared" si="36"/>
        <v>0.98133333333333317</v>
      </c>
      <c r="H112" s="287">
        <f t="shared" si="36"/>
        <v>0.98166666666666647</v>
      </c>
      <c r="I112" s="287">
        <f t="shared" si="36"/>
        <v>0.98199999999999976</v>
      </c>
      <c r="J112" s="287">
        <f t="shared" si="36"/>
        <v>0.98233333333333306</v>
      </c>
      <c r="K112" s="287">
        <f t="shared" si="36"/>
        <v>0.98266666666666636</v>
      </c>
      <c r="L112" s="287">
        <f t="shared" si="36"/>
        <v>0.98299999999999965</v>
      </c>
      <c r="M112" s="287">
        <f t="shared" si="36"/>
        <v>0.98333333333333295</v>
      </c>
      <c r="N112" s="287">
        <f t="shared" si="36"/>
        <v>0.98366666666666625</v>
      </c>
      <c r="O112" s="287">
        <f t="shared" si="36"/>
        <v>0.98399999999999954</v>
      </c>
      <c r="P112" s="287">
        <f t="shared" si="36"/>
        <v>0.98433333333333284</v>
      </c>
      <c r="Q112" s="287">
        <f t="shared" si="36"/>
        <v>0.98466666666666613</v>
      </c>
      <c r="R112" s="287">
        <f t="shared" si="36"/>
        <v>0.98499999999999943</v>
      </c>
      <c r="S112" s="287">
        <f t="shared" si="36"/>
        <v>0.98533333333333273</v>
      </c>
      <c r="T112" s="287">
        <f t="shared" si="36"/>
        <v>0.98566666666666602</v>
      </c>
      <c r="U112" s="287">
        <f t="shared" si="36"/>
        <v>0.98599999999999932</v>
      </c>
      <c r="V112" s="287">
        <f t="shared" si="36"/>
        <v>0.98633333333333262</v>
      </c>
      <c r="W112" s="287">
        <f t="shared" si="36"/>
        <v>0.98666666666666591</v>
      </c>
      <c r="X112" s="287">
        <f t="shared" si="36"/>
        <v>0.98699999999999921</v>
      </c>
      <c r="Y112" s="287">
        <f t="shared" si="36"/>
        <v>0.98733333333333251</v>
      </c>
      <c r="Z112" s="287">
        <f t="shared" si="36"/>
        <v>0.9876666666666658</v>
      </c>
      <c r="AA112" s="287">
        <f t="shared" si="36"/>
        <v>0.9879999999999991</v>
      </c>
      <c r="AB112" s="287">
        <f t="shared" si="36"/>
        <v>0.9883333333333324</v>
      </c>
      <c r="AC112" s="287">
        <f t="shared" si="36"/>
        <v>0.98866666666666569</v>
      </c>
      <c r="AD112" s="287">
        <f t="shared" si="36"/>
        <v>0.98899999999999899</v>
      </c>
      <c r="AE112" s="287">
        <f t="shared" si="36"/>
        <v>0.98933333333333229</v>
      </c>
      <c r="AF112" s="287">
        <f t="shared" si="36"/>
        <v>0.98966666666666558</v>
      </c>
      <c r="AG112" s="563">
        <f>AG104</f>
        <v>0.99</v>
      </c>
      <c r="AI112" s="255"/>
      <c r="AJ112" s="271" t="s">
        <v>1469</v>
      </c>
    </row>
    <row r="113" spans="1:36" s="54" customFormat="1" outlineLevel="1">
      <c r="A113" s="257" t="s">
        <v>667</v>
      </c>
      <c r="B113" s="258" t="s">
        <v>126</v>
      </c>
      <c r="C113" s="563">
        <v>1</v>
      </c>
      <c r="D113" s="287">
        <f>-($C113-$AG113)/30+C113</f>
        <v>1</v>
      </c>
      <c r="E113" s="287">
        <f t="shared" si="36"/>
        <v>1</v>
      </c>
      <c r="F113" s="287">
        <f t="shared" si="36"/>
        <v>1</v>
      </c>
      <c r="G113" s="287">
        <f t="shared" si="36"/>
        <v>1</v>
      </c>
      <c r="H113" s="287">
        <f t="shared" si="36"/>
        <v>1</v>
      </c>
      <c r="I113" s="287">
        <f t="shared" si="36"/>
        <v>1</v>
      </c>
      <c r="J113" s="287">
        <f t="shared" si="36"/>
        <v>1</v>
      </c>
      <c r="K113" s="287">
        <f t="shared" si="36"/>
        <v>1</v>
      </c>
      <c r="L113" s="287">
        <f t="shared" si="36"/>
        <v>1</v>
      </c>
      <c r="M113" s="287">
        <f t="shared" si="36"/>
        <v>1</v>
      </c>
      <c r="N113" s="287">
        <f t="shared" si="36"/>
        <v>1</v>
      </c>
      <c r="O113" s="287">
        <f t="shared" si="36"/>
        <v>1</v>
      </c>
      <c r="P113" s="287">
        <f t="shared" si="36"/>
        <v>1</v>
      </c>
      <c r="Q113" s="287">
        <f t="shared" si="36"/>
        <v>1</v>
      </c>
      <c r="R113" s="287">
        <f t="shared" si="36"/>
        <v>1</v>
      </c>
      <c r="S113" s="287">
        <f t="shared" si="36"/>
        <v>1</v>
      </c>
      <c r="T113" s="287">
        <f t="shared" si="36"/>
        <v>1</v>
      </c>
      <c r="U113" s="287">
        <f t="shared" si="36"/>
        <v>1</v>
      </c>
      <c r="V113" s="287">
        <f t="shared" si="36"/>
        <v>1</v>
      </c>
      <c r="W113" s="287">
        <f t="shared" si="36"/>
        <v>1</v>
      </c>
      <c r="X113" s="287">
        <f t="shared" si="36"/>
        <v>1</v>
      </c>
      <c r="Y113" s="287">
        <f t="shared" si="36"/>
        <v>1</v>
      </c>
      <c r="Z113" s="287">
        <f t="shared" si="36"/>
        <v>1</v>
      </c>
      <c r="AA113" s="287">
        <f t="shared" si="36"/>
        <v>1</v>
      </c>
      <c r="AB113" s="287">
        <f t="shared" si="36"/>
        <v>1</v>
      </c>
      <c r="AC113" s="287">
        <f t="shared" si="36"/>
        <v>1</v>
      </c>
      <c r="AD113" s="287">
        <f t="shared" si="36"/>
        <v>1</v>
      </c>
      <c r="AE113" s="287">
        <f t="shared" si="36"/>
        <v>1</v>
      </c>
      <c r="AF113" s="287">
        <f t="shared" si="36"/>
        <v>1</v>
      </c>
      <c r="AG113" s="563">
        <v>1</v>
      </c>
      <c r="AI113" s="255"/>
      <c r="AJ113" t="s">
        <v>1470</v>
      </c>
    </row>
    <row r="114" spans="1:36" s="58" customFormat="1" outlineLevel="1">
      <c r="A114" s="261" t="s">
        <v>668</v>
      </c>
      <c r="B114" s="262" t="s">
        <v>126</v>
      </c>
      <c r="C114" s="289">
        <f>1-C113</f>
        <v>0</v>
      </c>
      <c r="D114" s="289">
        <f t="shared" ref="D114:AG114" si="37">1-D113</f>
        <v>0</v>
      </c>
      <c r="E114" s="289">
        <f t="shared" si="37"/>
        <v>0</v>
      </c>
      <c r="F114" s="289">
        <f t="shared" si="37"/>
        <v>0</v>
      </c>
      <c r="G114" s="289">
        <f t="shared" si="37"/>
        <v>0</v>
      </c>
      <c r="H114" s="289">
        <f t="shared" si="37"/>
        <v>0</v>
      </c>
      <c r="I114" s="289">
        <f t="shared" si="37"/>
        <v>0</v>
      </c>
      <c r="J114" s="289">
        <f t="shared" si="37"/>
        <v>0</v>
      </c>
      <c r="K114" s="289">
        <f t="shared" si="37"/>
        <v>0</v>
      </c>
      <c r="L114" s="289">
        <f t="shared" si="37"/>
        <v>0</v>
      </c>
      <c r="M114" s="289">
        <f t="shared" si="37"/>
        <v>0</v>
      </c>
      <c r="N114" s="289">
        <f t="shared" si="37"/>
        <v>0</v>
      </c>
      <c r="O114" s="289">
        <f t="shared" si="37"/>
        <v>0</v>
      </c>
      <c r="P114" s="289">
        <f t="shared" si="37"/>
        <v>0</v>
      </c>
      <c r="Q114" s="289">
        <f t="shared" si="37"/>
        <v>0</v>
      </c>
      <c r="R114" s="289">
        <f t="shared" si="37"/>
        <v>0</v>
      </c>
      <c r="S114" s="289">
        <f t="shared" si="37"/>
        <v>0</v>
      </c>
      <c r="T114" s="289">
        <f t="shared" si="37"/>
        <v>0</v>
      </c>
      <c r="U114" s="289">
        <f t="shared" si="37"/>
        <v>0</v>
      </c>
      <c r="V114" s="289">
        <f t="shared" si="37"/>
        <v>0</v>
      </c>
      <c r="W114" s="289">
        <f t="shared" si="37"/>
        <v>0</v>
      </c>
      <c r="X114" s="289">
        <f t="shared" si="37"/>
        <v>0</v>
      </c>
      <c r="Y114" s="289">
        <f t="shared" si="37"/>
        <v>0</v>
      </c>
      <c r="Z114" s="289">
        <f t="shared" si="37"/>
        <v>0</v>
      </c>
      <c r="AA114" s="289">
        <f t="shared" si="37"/>
        <v>0</v>
      </c>
      <c r="AB114" s="289">
        <f t="shared" si="37"/>
        <v>0</v>
      </c>
      <c r="AC114" s="289">
        <f t="shared" si="37"/>
        <v>0</v>
      </c>
      <c r="AD114" s="289">
        <f t="shared" si="37"/>
        <v>0</v>
      </c>
      <c r="AE114" s="289">
        <f t="shared" si="37"/>
        <v>0</v>
      </c>
      <c r="AF114" s="289">
        <f t="shared" si="37"/>
        <v>0</v>
      </c>
      <c r="AG114" s="289">
        <f t="shared" si="37"/>
        <v>0</v>
      </c>
      <c r="AI114" s="291"/>
      <c r="AJ114" s="290"/>
    </row>
    <row r="115" spans="1:36" s="1" customFormat="1" outlineLevel="1">
      <c r="A115" t="s">
        <v>649</v>
      </c>
      <c r="B115" s="252" t="s">
        <v>126</v>
      </c>
      <c r="C115" s="562">
        <v>1</v>
      </c>
      <c r="D115" s="267">
        <f t="shared" ref="D115:S130" si="38">-($C115-$AG115)/30+C115</f>
        <v>1</v>
      </c>
      <c r="E115" s="267">
        <f t="shared" si="38"/>
        <v>1</v>
      </c>
      <c r="F115" s="267">
        <f t="shared" si="38"/>
        <v>1</v>
      </c>
      <c r="G115" s="267">
        <f t="shared" si="38"/>
        <v>1</v>
      </c>
      <c r="H115" s="267">
        <f t="shared" si="38"/>
        <v>1</v>
      </c>
      <c r="I115" s="267">
        <f t="shared" si="38"/>
        <v>1</v>
      </c>
      <c r="J115" s="267">
        <f t="shared" si="38"/>
        <v>1</v>
      </c>
      <c r="K115" s="267">
        <f t="shared" si="38"/>
        <v>1</v>
      </c>
      <c r="L115" s="267">
        <f t="shared" si="38"/>
        <v>1</v>
      </c>
      <c r="M115" s="267">
        <f t="shared" si="38"/>
        <v>1</v>
      </c>
      <c r="N115" s="267">
        <f t="shared" si="38"/>
        <v>1</v>
      </c>
      <c r="O115" s="267">
        <f t="shared" si="38"/>
        <v>1</v>
      </c>
      <c r="P115" s="267">
        <f t="shared" si="38"/>
        <v>1</v>
      </c>
      <c r="Q115" s="267">
        <f t="shared" si="38"/>
        <v>1</v>
      </c>
      <c r="R115" s="267">
        <f t="shared" si="38"/>
        <v>1</v>
      </c>
      <c r="S115" s="267">
        <f t="shared" si="38"/>
        <v>1</v>
      </c>
      <c r="T115" s="267">
        <f t="shared" ref="T115:AF129" si="39">-($C115-$AG115)/30+S115</f>
        <v>1</v>
      </c>
      <c r="U115" s="267">
        <f t="shared" si="39"/>
        <v>1</v>
      </c>
      <c r="V115" s="267">
        <f t="shared" si="39"/>
        <v>1</v>
      </c>
      <c r="W115" s="267">
        <f t="shared" si="39"/>
        <v>1</v>
      </c>
      <c r="X115" s="267">
        <f t="shared" si="39"/>
        <v>1</v>
      </c>
      <c r="Y115" s="267">
        <f t="shared" si="39"/>
        <v>1</v>
      </c>
      <c r="Z115" s="267">
        <f t="shared" si="39"/>
        <v>1</v>
      </c>
      <c r="AA115" s="267">
        <f t="shared" si="39"/>
        <v>1</v>
      </c>
      <c r="AB115" s="267">
        <f t="shared" si="39"/>
        <v>1</v>
      </c>
      <c r="AC115" s="267">
        <f t="shared" si="39"/>
        <v>1</v>
      </c>
      <c r="AD115" s="267">
        <f t="shared" si="39"/>
        <v>1</v>
      </c>
      <c r="AE115" s="267">
        <f t="shared" si="39"/>
        <v>1</v>
      </c>
      <c r="AF115" s="267">
        <f t="shared" si="39"/>
        <v>1</v>
      </c>
      <c r="AG115" s="562">
        <v>1</v>
      </c>
      <c r="AI115" s="266"/>
      <c r="AJ115" s="185"/>
    </row>
    <row r="116" spans="1:36" s="1" customFormat="1" outlineLevel="1">
      <c r="A116" t="s">
        <v>655</v>
      </c>
      <c r="B116" s="252" t="s">
        <v>126</v>
      </c>
      <c r="C116" s="562">
        <v>0</v>
      </c>
      <c r="D116" s="267">
        <f t="shared" si="38"/>
        <v>0</v>
      </c>
      <c r="E116" s="267">
        <f t="shared" si="38"/>
        <v>0</v>
      </c>
      <c r="F116" s="267">
        <f t="shared" si="38"/>
        <v>0</v>
      </c>
      <c r="G116" s="267">
        <f t="shared" si="38"/>
        <v>0</v>
      </c>
      <c r="H116" s="267">
        <f t="shared" si="38"/>
        <v>0</v>
      </c>
      <c r="I116" s="267">
        <f t="shared" si="38"/>
        <v>0</v>
      </c>
      <c r="J116" s="267">
        <f t="shared" si="38"/>
        <v>0</v>
      </c>
      <c r="K116" s="267">
        <f t="shared" si="38"/>
        <v>0</v>
      </c>
      <c r="L116" s="267">
        <f t="shared" si="38"/>
        <v>0</v>
      </c>
      <c r="M116" s="267">
        <f t="shared" si="38"/>
        <v>0</v>
      </c>
      <c r="N116" s="267">
        <f t="shared" si="38"/>
        <v>0</v>
      </c>
      <c r="O116" s="267">
        <f t="shared" si="38"/>
        <v>0</v>
      </c>
      <c r="P116" s="267">
        <f t="shared" si="38"/>
        <v>0</v>
      </c>
      <c r="Q116" s="267">
        <f t="shared" si="38"/>
        <v>0</v>
      </c>
      <c r="R116" s="267">
        <f t="shared" si="38"/>
        <v>0</v>
      </c>
      <c r="S116" s="267">
        <f t="shared" si="38"/>
        <v>0</v>
      </c>
      <c r="T116" s="267">
        <f t="shared" si="39"/>
        <v>0</v>
      </c>
      <c r="U116" s="267">
        <f t="shared" si="39"/>
        <v>0</v>
      </c>
      <c r="V116" s="267">
        <f t="shared" si="39"/>
        <v>0</v>
      </c>
      <c r="W116" s="267">
        <f t="shared" si="39"/>
        <v>0</v>
      </c>
      <c r="X116" s="267">
        <f t="shared" si="39"/>
        <v>0</v>
      </c>
      <c r="Y116" s="267">
        <f t="shared" si="39"/>
        <v>0</v>
      </c>
      <c r="Z116" s="267">
        <f t="shared" si="39"/>
        <v>0</v>
      </c>
      <c r="AA116" s="267">
        <f t="shared" si="39"/>
        <v>0</v>
      </c>
      <c r="AB116" s="267">
        <f t="shared" si="39"/>
        <v>0</v>
      </c>
      <c r="AC116" s="267">
        <f t="shared" si="39"/>
        <v>0</v>
      </c>
      <c r="AD116" s="267">
        <f t="shared" si="39"/>
        <v>0</v>
      </c>
      <c r="AE116" s="267">
        <f t="shared" si="39"/>
        <v>0</v>
      </c>
      <c r="AF116" s="267">
        <f t="shared" si="39"/>
        <v>0</v>
      </c>
      <c r="AG116" s="562">
        <v>0</v>
      </c>
      <c r="AI116" s="380" t="s">
        <v>777</v>
      </c>
      <c r="AJ116" s="185" t="s">
        <v>1471</v>
      </c>
    </row>
    <row r="117" spans="1:36" s="1" customFormat="1" outlineLevel="1">
      <c r="A117" t="s">
        <v>650</v>
      </c>
      <c r="B117" s="252" t="s">
        <v>126</v>
      </c>
      <c r="C117" s="246">
        <v>0.15</v>
      </c>
      <c r="D117" s="267">
        <f t="shared" si="38"/>
        <v>0.15633333333333332</v>
      </c>
      <c r="E117" s="267">
        <f t="shared" si="38"/>
        <v>0.16266666666666665</v>
      </c>
      <c r="F117" s="267">
        <f t="shared" si="38"/>
        <v>0.16899999999999998</v>
      </c>
      <c r="G117" s="267">
        <f t="shared" si="38"/>
        <v>0.17533333333333331</v>
      </c>
      <c r="H117" s="267">
        <f t="shared" si="38"/>
        <v>0.18166666666666664</v>
      </c>
      <c r="I117" s="267">
        <f t="shared" si="38"/>
        <v>0.18799999999999997</v>
      </c>
      <c r="J117" s="267">
        <f t="shared" si="38"/>
        <v>0.1943333333333333</v>
      </c>
      <c r="K117" s="267">
        <f t="shared" si="38"/>
        <v>0.20066666666666663</v>
      </c>
      <c r="L117" s="267">
        <f t="shared" si="38"/>
        <v>0.20699999999999996</v>
      </c>
      <c r="M117" s="267">
        <f t="shared" si="38"/>
        <v>0.21333333333333329</v>
      </c>
      <c r="N117" s="267">
        <f t="shared" si="38"/>
        <v>0.21966666666666662</v>
      </c>
      <c r="O117" s="267">
        <f t="shared" si="38"/>
        <v>0.22599999999999995</v>
      </c>
      <c r="P117" s="267">
        <f t="shared" si="38"/>
        <v>0.23233333333333328</v>
      </c>
      <c r="Q117" s="267">
        <f t="shared" si="38"/>
        <v>0.23866666666666661</v>
      </c>
      <c r="R117" s="267">
        <f t="shared" si="38"/>
        <v>0.24499999999999994</v>
      </c>
      <c r="S117" s="267">
        <f t="shared" si="38"/>
        <v>0.2513333333333333</v>
      </c>
      <c r="T117" s="267">
        <f t="shared" si="39"/>
        <v>0.25766666666666665</v>
      </c>
      <c r="U117" s="267">
        <f t="shared" si="39"/>
        <v>0.26400000000000001</v>
      </c>
      <c r="V117" s="267">
        <f t="shared" si="39"/>
        <v>0.27033333333333337</v>
      </c>
      <c r="W117" s="267">
        <f t="shared" si="39"/>
        <v>0.27666666666666673</v>
      </c>
      <c r="X117" s="267">
        <f t="shared" si="39"/>
        <v>0.28300000000000008</v>
      </c>
      <c r="Y117" s="267">
        <f t="shared" si="39"/>
        <v>0.28933333333333344</v>
      </c>
      <c r="Z117" s="267">
        <f t="shared" si="39"/>
        <v>0.2956666666666668</v>
      </c>
      <c r="AA117" s="267">
        <f t="shared" si="39"/>
        <v>0.30200000000000016</v>
      </c>
      <c r="AB117" s="267">
        <f t="shared" si="39"/>
        <v>0.30833333333333351</v>
      </c>
      <c r="AC117" s="267">
        <f t="shared" si="39"/>
        <v>0.31466666666666687</v>
      </c>
      <c r="AD117" s="267">
        <f t="shared" si="39"/>
        <v>0.32100000000000023</v>
      </c>
      <c r="AE117" s="267">
        <f t="shared" si="39"/>
        <v>0.32733333333333359</v>
      </c>
      <c r="AF117" s="267">
        <f t="shared" si="39"/>
        <v>0.33366666666666694</v>
      </c>
      <c r="AG117" s="246">
        <v>0.34</v>
      </c>
      <c r="AI117" s="266"/>
      <c r="AJ117" t="s">
        <v>1470</v>
      </c>
    </row>
    <row r="118" spans="1:36" s="1" customFormat="1" outlineLevel="1">
      <c r="A118" t="s">
        <v>651</v>
      </c>
      <c r="B118" s="252" t="s">
        <v>126</v>
      </c>
      <c r="C118" s="267">
        <f>1-C117</f>
        <v>0.85</v>
      </c>
      <c r="D118" s="267">
        <f t="shared" si="38"/>
        <v>0.84366666666666668</v>
      </c>
      <c r="E118" s="267">
        <f t="shared" si="38"/>
        <v>0.83733333333333337</v>
      </c>
      <c r="F118" s="267">
        <f t="shared" si="38"/>
        <v>0.83100000000000007</v>
      </c>
      <c r="G118" s="267">
        <f t="shared" si="38"/>
        <v>0.82466666666666677</v>
      </c>
      <c r="H118" s="267">
        <f t="shared" si="38"/>
        <v>0.81833333333333347</v>
      </c>
      <c r="I118" s="267">
        <f t="shared" si="38"/>
        <v>0.81200000000000017</v>
      </c>
      <c r="J118" s="267">
        <f t="shared" si="38"/>
        <v>0.80566666666666686</v>
      </c>
      <c r="K118" s="267">
        <f t="shared" si="38"/>
        <v>0.79933333333333356</v>
      </c>
      <c r="L118" s="267">
        <f t="shared" si="38"/>
        <v>0.79300000000000026</v>
      </c>
      <c r="M118" s="267">
        <f t="shared" si="38"/>
        <v>0.78666666666666696</v>
      </c>
      <c r="N118" s="267">
        <f t="shared" si="38"/>
        <v>0.78033333333333366</v>
      </c>
      <c r="O118" s="267">
        <f t="shared" si="38"/>
        <v>0.77400000000000035</v>
      </c>
      <c r="P118" s="267">
        <f t="shared" si="38"/>
        <v>0.76766666666666705</v>
      </c>
      <c r="Q118" s="267">
        <f t="shared" si="38"/>
        <v>0.76133333333333375</v>
      </c>
      <c r="R118" s="267">
        <f t="shared" si="38"/>
        <v>0.75500000000000045</v>
      </c>
      <c r="S118" s="267">
        <f t="shared" si="38"/>
        <v>0.74866666666666715</v>
      </c>
      <c r="T118" s="267">
        <f t="shared" si="39"/>
        <v>0.74233333333333384</v>
      </c>
      <c r="U118" s="267">
        <f t="shared" si="39"/>
        <v>0.73600000000000054</v>
      </c>
      <c r="V118" s="267">
        <f t="shared" si="39"/>
        <v>0.72966666666666724</v>
      </c>
      <c r="W118" s="267">
        <f t="shared" si="39"/>
        <v>0.72333333333333394</v>
      </c>
      <c r="X118" s="267">
        <f t="shared" si="39"/>
        <v>0.71700000000000064</v>
      </c>
      <c r="Y118" s="267">
        <f t="shared" si="39"/>
        <v>0.71066666666666733</v>
      </c>
      <c r="Z118" s="267">
        <f t="shared" si="39"/>
        <v>0.70433333333333403</v>
      </c>
      <c r="AA118" s="267">
        <f t="shared" si="39"/>
        <v>0.69800000000000073</v>
      </c>
      <c r="AB118" s="267">
        <f t="shared" si="39"/>
        <v>0.69166666666666743</v>
      </c>
      <c r="AC118" s="267">
        <f t="shared" si="39"/>
        <v>0.68533333333333413</v>
      </c>
      <c r="AD118" s="267">
        <f t="shared" si="39"/>
        <v>0.67900000000000083</v>
      </c>
      <c r="AE118" s="267">
        <f t="shared" si="39"/>
        <v>0.67266666666666752</v>
      </c>
      <c r="AF118" s="267">
        <f t="shared" si="39"/>
        <v>0.66633333333333422</v>
      </c>
      <c r="AG118" s="267">
        <f>1-AG117</f>
        <v>0.65999999999999992</v>
      </c>
      <c r="AI118" s="266"/>
      <c r="AJ118" t="s">
        <v>1470</v>
      </c>
    </row>
    <row r="119" spans="1:36" s="1" customFormat="1" outlineLevel="1">
      <c r="A119" t="s">
        <v>654</v>
      </c>
      <c r="B119" s="252" t="s">
        <v>126</v>
      </c>
      <c r="C119" s="246">
        <v>0</v>
      </c>
      <c r="D119" s="267">
        <f t="shared" si="38"/>
        <v>0</v>
      </c>
      <c r="E119" s="267">
        <f t="shared" si="38"/>
        <v>0</v>
      </c>
      <c r="F119" s="267">
        <f t="shared" si="38"/>
        <v>0</v>
      </c>
      <c r="G119" s="267">
        <f t="shared" si="38"/>
        <v>0</v>
      </c>
      <c r="H119" s="267">
        <f t="shared" si="38"/>
        <v>0</v>
      </c>
      <c r="I119" s="267">
        <f t="shared" si="38"/>
        <v>0</v>
      </c>
      <c r="J119" s="267">
        <f t="shared" si="38"/>
        <v>0</v>
      </c>
      <c r="K119" s="267">
        <f t="shared" si="38"/>
        <v>0</v>
      </c>
      <c r="L119" s="267">
        <f t="shared" si="38"/>
        <v>0</v>
      </c>
      <c r="M119" s="267">
        <f t="shared" si="38"/>
        <v>0</v>
      </c>
      <c r="N119" s="267">
        <f t="shared" si="38"/>
        <v>0</v>
      </c>
      <c r="O119" s="267">
        <f t="shared" si="38"/>
        <v>0</v>
      </c>
      <c r="P119" s="267">
        <f t="shared" si="38"/>
        <v>0</v>
      </c>
      <c r="Q119" s="267">
        <f t="shared" si="38"/>
        <v>0</v>
      </c>
      <c r="R119" s="267">
        <f t="shared" si="38"/>
        <v>0</v>
      </c>
      <c r="S119" s="267">
        <f t="shared" si="38"/>
        <v>0</v>
      </c>
      <c r="T119" s="267">
        <f t="shared" si="39"/>
        <v>0</v>
      </c>
      <c r="U119" s="267">
        <f t="shared" si="39"/>
        <v>0</v>
      </c>
      <c r="V119" s="267">
        <f t="shared" si="39"/>
        <v>0</v>
      </c>
      <c r="W119" s="267">
        <f t="shared" si="39"/>
        <v>0</v>
      </c>
      <c r="X119" s="267">
        <f t="shared" si="39"/>
        <v>0</v>
      </c>
      <c r="Y119" s="267">
        <f t="shared" si="39"/>
        <v>0</v>
      </c>
      <c r="Z119" s="267">
        <f t="shared" si="39"/>
        <v>0</v>
      </c>
      <c r="AA119" s="267">
        <f t="shared" si="39"/>
        <v>0</v>
      </c>
      <c r="AB119" s="267">
        <f t="shared" si="39"/>
        <v>0</v>
      </c>
      <c r="AC119" s="267">
        <f t="shared" si="39"/>
        <v>0</v>
      </c>
      <c r="AD119" s="267">
        <f t="shared" si="39"/>
        <v>0</v>
      </c>
      <c r="AE119" s="267">
        <f t="shared" si="39"/>
        <v>0</v>
      </c>
      <c r="AF119" s="267">
        <f t="shared" si="39"/>
        <v>0</v>
      </c>
      <c r="AG119" s="246">
        <v>0</v>
      </c>
      <c r="AI119" s="266"/>
      <c r="AJ119" t="s">
        <v>1470</v>
      </c>
    </row>
    <row r="120" spans="1:36" s="1" customFormat="1" outlineLevel="1">
      <c r="A120" t="s">
        <v>665</v>
      </c>
      <c r="B120" s="252" t="s">
        <v>126</v>
      </c>
      <c r="C120" s="246">
        <v>1</v>
      </c>
      <c r="D120" s="267">
        <f t="shared" si="38"/>
        <v>1</v>
      </c>
      <c r="E120" s="267">
        <f t="shared" si="38"/>
        <v>1</v>
      </c>
      <c r="F120" s="267">
        <f t="shared" si="38"/>
        <v>1</v>
      </c>
      <c r="G120" s="267">
        <f t="shared" si="38"/>
        <v>1</v>
      </c>
      <c r="H120" s="267">
        <f t="shared" si="38"/>
        <v>1</v>
      </c>
      <c r="I120" s="267">
        <f t="shared" si="38"/>
        <v>1</v>
      </c>
      <c r="J120" s="267">
        <f t="shared" si="38"/>
        <v>1</v>
      </c>
      <c r="K120" s="267">
        <f t="shared" si="38"/>
        <v>1</v>
      </c>
      <c r="L120" s="267">
        <f t="shared" si="38"/>
        <v>1</v>
      </c>
      <c r="M120" s="267">
        <f t="shared" si="38"/>
        <v>1</v>
      </c>
      <c r="N120" s="267">
        <f t="shared" si="38"/>
        <v>1</v>
      </c>
      <c r="O120" s="267">
        <f t="shared" si="38"/>
        <v>1</v>
      </c>
      <c r="P120" s="267">
        <f t="shared" si="38"/>
        <v>1</v>
      </c>
      <c r="Q120" s="267">
        <f t="shared" si="38"/>
        <v>1</v>
      </c>
      <c r="R120" s="267">
        <f t="shared" si="38"/>
        <v>1</v>
      </c>
      <c r="S120" s="267">
        <f t="shared" si="38"/>
        <v>1</v>
      </c>
      <c r="T120" s="267">
        <f t="shared" si="39"/>
        <v>1</v>
      </c>
      <c r="U120" s="267">
        <f t="shared" si="39"/>
        <v>1</v>
      </c>
      <c r="V120" s="267">
        <f t="shared" si="39"/>
        <v>1</v>
      </c>
      <c r="W120" s="267">
        <f t="shared" si="39"/>
        <v>1</v>
      </c>
      <c r="X120" s="267">
        <f t="shared" si="39"/>
        <v>1</v>
      </c>
      <c r="Y120" s="267">
        <f t="shared" si="39"/>
        <v>1</v>
      </c>
      <c r="Z120" s="267">
        <f t="shared" si="39"/>
        <v>1</v>
      </c>
      <c r="AA120" s="267">
        <f t="shared" si="39"/>
        <v>1</v>
      </c>
      <c r="AB120" s="267">
        <f t="shared" si="39"/>
        <v>1</v>
      </c>
      <c r="AC120" s="267">
        <f t="shared" si="39"/>
        <v>1</v>
      </c>
      <c r="AD120" s="267">
        <f t="shared" si="39"/>
        <v>1</v>
      </c>
      <c r="AE120" s="267">
        <f t="shared" si="39"/>
        <v>1</v>
      </c>
      <c r="AF120" s="267">
        <f t="shared" si="39"/>
        <v>1</v>
      </c>
      <c r="AG120" s="246">
        <v>1</v>
      </c>
      <c r="AI120" s="266"/>
      <c r="AJ120" t="s">
        <v>1470</v>
      </c>
    </row>
    <row r="121" spans="1:36" s="1" customFormat="1" outlineLevel="1">
      <c r="A121" t="s">
        <v>652</v>
      </c>
      <c r="B121" s="252" t="s">
        <v>126</v>
      </c>
      <c r="C121" s="246">
        <v>0.8</v>
      </c>
      <c r="D121" s="267">
        <f t="shared" si="38"/>
        <v>0.80333333333333334</v>
      </c>
      <c r="E121" s="267">
        <f t="shared" si="38"/>
        <v>0.80666666666666664</v>
      </c>
      <c r="F121" s="267">
        <f t="shared" si="38"/>
        <v>0.80999999999999994</v>
      </c>
      <c r="G121" s="267">
        <f t="shared" si="38"/>
        <v>0.81333333333333324</v>
      </c>
      <c r="H121" s="267">
        <f t="shared" si="38"/>
        <v>0.81666666666666654</v>
      </c>
      <c r="I121" s="267">
        <f t="shared" si="38"/>
        <v>0.81999999999999984</v>
      </c>
      <c r="J121" s="267">
        <f t="shared" si="38"/>
        <v>0.82333333333333314</v>
      </c>
      <c r="K121" s="267">
        <f t="shared" si="38"/>
        <v>0.82666666666666644</v>
      </c>
      <c r="L121" s="267">
        <f t="shared" si="38"/>
        <v>0.82999999999999974</v>
      </c>
      <c r="M121" s="267">
        <f t="shared" si="38"/>
        <v>0.83333333333333304</v>
      </c>
      <c r="N121" s="267">
        <f t="shared" si="38"/>
        <v>0.83666666666666634</v>
      </c>
      <c r="O121" s="267">
        <f t="shared" si="38"/>
        <v>0.83999999999999964</v>
      </c>
      <c r="P121" s="267">
        <f t="shared" si="38"/>
        <v>0.84333333333333294</v>
      </c>
      <c r="Q121" s="267">
        <f t="shared" si="38"/>
        <v>0.84666666666666623</v>
      </c>
      <c r="R121" s="267">
        <f t="shared" si="38"/>
        <v>0.84999999999999953</v>
      </c>
      <c r="S121" s="267">
        <f t="shared" si="38"/>
        <v>0.85333333333333283</v>
      </c>
      <c r="T121" s="267">
        <f t="shared" si="39"/>
        <v>0.85666666666666613</v>
      </c>
      <c r="U121" s="267">
        <f t="shared" si="39"/>
        <v>0.85999999999999943</v>
      </c>
      <c r="V121" s="267">
        <f t="shared" si="39"/>
        <v>0.86333333333333273</v>
      </c>
      <c r="W121" s="267">
        <f t="shared" si="39"/>
        <v>0.86666666666666603</v>
      </c>
      <c r="X121" s="267">
        <f t="shared" si="39"/>
        <v>0.86999999999999933</v>
      </c>
      <c r="Y121" s="267">
        <f t="shared" si="39"/>
        <v>0.87333333333333263</v>
      </c>
      <c r="Z121" s="267">
        <f t="shared" si="39"/>
        <v>0.87666666666666593</v>
      </c>
      <c r="AA121" s="267">
        <f t="shared" si="39"/>
        <v>0.87999999999999923</v>
      </c>
      <c r="AB121" s="267">
        <f t="shared" si="39"/>
        <v>0.88333333333333253</v>
      </c>
      <c r="AC121" s="267">
        <f t="shared" si="39"/>
        <v>0.88666666666666583</v>
      </c>
      <c r="AD121" s="267">
        <f t="shared" si="39"/>
        <v>0.88999999999999913</v>
      </c>
      <c r="AE121" s="267">
        <f t="shared" si="39"/>
        <v>0.89333333333333242</v>
      </c>
      <c r="AF121" s="267">
        <f t="shared" si="39"/>
        <v>0.89666666666666572</v>
      </c>
      <c r="AG121" s="246">
        <v>0.9</v>
      </c>
      <c r="AI121" s="266"/>
      <c r="AJ121" t="s">
        <v>1470</v>
      </c>
    </row>
    <row r="122" spans="1:36" s="1" customFormat="1" outlineLevel="1">
      <c r="A122" t="s">
        <v>653</v>
      </c>
      <c r="B122" s="252" t="s">
        <v>126</v>
      </c>
      <c r="C122" s="246">
        <v>0.2</v>
      </c>
      <c r="D122" s="267">
        <f t="shared" si="38"/>
        <v>0.19666666666666668</v>
      </c>
      <c r="E122" s="267">
        <f t="shared" si="38"/>
        <v>0.19333333333333336</v>
      </c>
      <c r="F122" s="267">
        <f t="shared" si="38"/>
        <v>0.19000000000000003</v>
      </c>
      <c r="G122" s="267">
        <f t="shared" si="38"/>
        <v>0.1866666666666667</v>
      </c>
      <c r="H122" s="267">
        <f t="shared" si="38"/>
        <v>0.18333333333333338</v>
      </c>
      <c r="I122" s="267">
        <f t="shared" si="38"/>
        <v>0.18000000000000005</v>
      </c>
      <c r="J122" s="267">
        <f t="shared" si="38"/>
        <v>0.17666666666666672</v>
      </c>
      <c r="K122" s="267">
        <f t="shared" si="38"/>
        <v>0.17333333333333339</v>
      </c>
      <c r="L122" s="267">
        <f t="shared" si="38"/>
        <v>0.17000000000000007</v>
      </c>
      <c r="M122" s="267">
        <f t="shared" si="38"/>
        <v>0.16666666666666674</v>
      </c>
      <c r="N122" s="267">
        <f t="shared" si="38"/>
        <v>0.16333333333333341</v>
      </c>
      <c r="O122" s="267">
        <f t="shared" si="38"/>
        <v>0.16000000000000009</v>
      </c>
      <c r="P122" s="267">
        <f t="shared" si="38"/>
        <v>0.15666666666666676</v>
      </c>
      <c r="Q122" s="267">
        <f t="shared" si="38"/>
        <v>0.15333333333333343</v>
      </c>
      <c r="R122" s="267">
        <f t="shared" si="38"/>
        <v>0.15000000000000011</v>
      </c>
      <c r="S122" s="267">
        <f t="shared" si="38"/>
        <v>0.14666666666666678</v>
      </c>
      <c r="T122" s="267">
        <f t="shared" si="39"/>
        <v>0.14333333333333345</v>
      </c>
      <c r="U122" s="267">
        <f t="shared" si="39"/>
        <v>0.14000000000000012</v>
      </c>
      <c r="V122" s="267">
        <f t="shared" si="39"/>
        <v>0.1366666666666668</v>
      </c>
      <c r="W122" s="267">
        <f t="shared" si="39"/>
        <v>0.13333333333333347</v>
      </c>
      <c r="X122" s="267">
        <f t="shared" si="39"/>
        <v>0.13000000000000014</v>
      </c>
      <c r="Y122" s="267">
        <f t="shared" si="39"/>
        <v>0.12666666666666682</v>
      </c>
      <c r="Z122" s="267">
        <f t="shared" si="39"/>
        <v>0.12333333333333349</v>
      </c>
      <c r="AA122" s="267">
        <f t="shared" si="39"/>
        <v>0.12000000000000016</v>
      </c>
      <c r="AB122" s="267">
        <f t="shared" si="39"/>
        <v>0.11666666666666684</v>
      </c>
      <c r="AC122" s="267">
        <f t="shared" si="39"/>
        <v>0.11333333333333351</v>
      </c>
      <c r="AD122" s="267">
        <f t="shared" si="39"/>
        <v>0.11000000000000018</v>
      </c>
      <c r="AE122" s="267">
        <f t="shared" si="39"/>
        <v>0.10666666666666685</v>
      </c>
      <c r="AF122" s="267">
        <f t="shared" si="39"/>
        <v>0.10333333333333353</v>
      </c>
      <c r="AG122" s="246">
        <v>0.1</v>
      </c>
      <c r="AI122" s="266"/>
      <c r="AJ122" t="s">
        <v>1470</v>
      </c>
    </row>
    <row r="123" spans="1:36" s="1" customFormat="1" outlineLevel="1">
      <c r="A123" t="s">
        <v>663</v>
      </c>
      <c r="B123" s="252" t="s">
        <v>126</v>
      </c>
      <c r="C123" s="246">
        <v>0.95</v>
      </c>
      <c r="D123" s="267">
        <f t="shared" si="38"/>
        <v>0.94866666666666666</v>
      </c>
      <c r="E123" s="267">
        <f t="shared" si="38"/>
        <v>0.94733333333333336</v>
      </c>
      <c r="F123" s="267">
        <f t="shared" si="38"/>
        <v>0.94600000000000006</v>
      </c>
      <c r="G123" s="267">
        <f t="shared" si="38"/>
        <v>0.94466666666666677</v>
      </c>
      <c r="H123" s="267">
        <f t="shared" si="38"/>
        <v>0.94333333333333347</v>
      </c>
      <c r="I123" s="267">
        <f t="shared" si="38"/>
        <v>0.94200000000000017</v>
      </c>
      <c r="J123" s="267">
        <f t="shared" si="38"/>
        <v>0.94066666666666687</v>
      </c>
      <c r="K123" s="267">
        <f t="shared" si="38"/>
        <v>0.93933333333333358</v>
      </c>
      <c r="L123" s="267">
        <f t="shared" si="38"/>
        <v>0.93800000000000028</v>
      </c>
      <c r="M123" s="267">
        <f t="shared" si="38"/>
        <v>0.93666666666666698</v>
      </c>
      <c r="N123" s="267">
        <f t="shared" si="38"/>
        <v>0.93533333333333368</v>
      </c>
      <c r="O123" s="267">
        <f t="shared" si="38"/>
        <v>0.93400000000000039</v>
      </c>
      <c r="P123" s="267">
        <f t="shared" si="38"/>
        <v>0.93266666666666709</v>
      </c>
      <c r="Q123" s="267">
        <f t="shared" si="38"/>
        <v>0.93133333333333379</v>
      </c>
      <c r="R123" s="267">
        <f t="shared" si="38"/>
        <v>0.93000000000000049</v>
      </c>
      <c r="S123" s="267">
        <f t="shared" si="38"/>
        <v>0.9286666666666672</v>
      </c>
      <c r="T123" s="267">
        <f t="shared" si="39"/>
        <v>0.9273333333333339</v>
      </c>
      <c r="U123" s="267">
        <f t="shared" si="39"/>
        <v>0.9260000000000006</v>
      </c>
      <c r="V123" s="267">
        <f t="shared" si="39"/>
        <v>0.9246666666666673</v>
      </c>
      <c r="W123" s="267">
        <f t="shared" si="39"/>
        <v>0.92333333333333401</v>
      </c>
      <c r="X123" s="267">
        <f t="shared" si="39"/>
        <v>0.92200000000000071</v>
      </c>
      <c r="Y123" s="267">
        <f t="shared" si="39"/>
        <v>0.92066666666666741</v>
      </c>
      <c r="Z123" s="267">
        <f t="shared" si="39"/>
        <v>0.91933333333333411</v>
      </c>
      <c r="AA123" s="267">
        <f t="shared" si="39"/>
        <v>0.91800000000000082</v>
      </c>
      <c r="AB123" s="267">
        <f t="shared" si="39"/>
        <v>0.91666666666666752</v>
      </c>
      <c r="AC123" s="267">
        <f t="shared" si="39"/>
        <v>0.91533333333333422</v>
      </c>
      <c r="AD123" s="267">
        <f t="shared" si="39"/>
        <v>0.91400000000000092</v>
      </c>
      <c r="AE123" s="267">
        <f t="shared" si="39"/>
        <v>0.91266666666666763</v>
      </c>
      <c r="AF123" s="267">
        <f t="shared" si="39"/>
        <v>0.91133333333333433</v>
      </c>
      <c r="AG123" s="246">
        <v>0.91</v>
      </c>
      <c r="AI123" s="266"/>
      <c r="AJ123" t="s">
        <v>1470</v>
      </c>
    </row>
    <row r="124" spans="1:36" s="1" customFormat="1" outlineLevel="1">
      <c r="A124" t="s">
        <v>664</v>
      </c>
      <c r="B124" s="252" t="s">
        <v>126</v>
      </c>
      <c r="C124" s="246">
        <v>0.05</v>
      </c>
      <c r="D124" s="267">
        <f t="shared" si="38"/>
        <v>5.1333333333333335E-2</v>
      </c>
      <c r="E124" s="267">
        <f t="shared" si="38"/>
        <v>5.2666666666666667E-2</v>
      </c>
      <c r="F124" s="267">
        <f t="shared" si="38"/>
        <v>5.3999999999999999E-2</v>
      </c>
      <c r="G124" s="267">
        <f t="shared" si="38"/>
        <v>5.5333333333333332E-2</v>
      </c>
      <c r="H124" s="267">
        <f t="shared" si="38"/>
        <v>5.6666666666666664E-2</v>
      </c>
      <c r="I124" s="267">
        <f t="shared" si="38"/>
        <v>5.7999999999999996E-2</v>
      </c>
      <c r="J124" s="267">
        <f t="shared" si="38"/>
        <v>5.9333333333333328E-2</v>
      </c>
      <c r="K124" s="267">
        <f t="shared" si="38"/>
        <v>6.066666666666666E-2</v>
      </c>
      <c r="L124" s="267">
        <f t="shared" si="38"/>
        <v>6.1999999999999993E-2</v>
      </c>
      <c r="M124" s="267">
        <f t="shared" si="38"/>
        <v>6.3333333333333325E-2</v>
      </c>
      <c r="N124" s="267">
        <f t="shared" si="38"/>
        <v>6.4666666666666664E-2</v>
      </c>
      <c r="O124" s="267">
        <f t="shared" si="38"/>
        <v>6.6000000000000003E-2</v>
      </c>
      <c r="P124" s="267">
        <f t="shared" si="38"/>
        <v>6.7333333333333342E-2</v>
      </c>
      <c r="Q124" s="267">
        <f t="shared" si="38"/>
        <v>6.8666666666666681E-2</v>
      </c>
      <c r="R124" s="267">
        <f t="shared" si="38"/>
        <v>7.0000000000000021E-2</v>
      </c>
      <c r="S124" s="267">
        <f t="shared" si="38"/>
        <v>7.133333333333336E-2</v>
      </c>
      <c r="T124" s="267">
        <f t="shared" si="39"/>
        <v>7.2666666666666699E-2</v>
      </c>
      <c r="U124" s="267">
        <f t="shared" si="39"/>
        <v>7.4000000000000038E-2</v>
      </c>
      <c r="V124" s="267">
        <f t="shared" si="39"/>
        <v>7.5333333333333377E-2</v>
      </c>
      <c r="W124" s="267">
        <f t="shared" si="39"/>
        <v>7.6666666666666716E-2</v>
      </c>
      <c r="X124" s="267">
        <f t="shared" si="39"/>
        <v>7.8000000000000055E-2</v>
      </c>
      <c r="Y124" s="267">
        <f t="shared" si="39"/>
        <v>7.9333333333333395E-2</v>
      </c>
      <c r="Z124" s="267">
        <f t="shared" si="39"/>
        <v>8.0666666666666734E-2</v>
      </c>
      <c r="AA124" s="267">
        <f t="shared" si="39"/>
        <v>8.2000000000000073E-2</v>
      </c>
      <c r="AB124" s="267">
        <f t="shared" si="39"/>
        <v>8.3333333333333412E-2</v>
      </c>
      <c r="AC124" s="267">
        <f t="shared" si="39"/>
        <v>8.4666666666666751E-2</v>
      </c>
      <c r="AD124" s="267">
        <f t="shared" si="39"/>
        <v>8.600000000000009E-2</v>
      </c>
      <c r="AE124" s="267">
        <f t="shared" si="39"/>
        <v>8.7333333333333429E-2</v>
      </c>
      <c r="AF124" s="267">
        <f t="shared" si="39"/>
        <v>8.8666666666666769E-2</v>
      </c>
      <c r="AG124" s="246">
        <v>0.09</v>
      </c>
      <c r="AI124" s="266"/>
      <c r="AJ124" t="s">
        <v>1470</v>
      </c>
    </row>
    <row r="125" spans="1:36" s="1" customFormat="1" outlineLevel="1">
      <c r="A125" t="s">
        <v>666</v>
      </c>
      <c r="B125" s="252"/>
      <c r="C125" s="246">
        <v>0.27</v>
      </c>
      <c r="D125" s="267">
        <f t="shared" si="38"/>
        <v>0.26600000000000001</v>
      </c>
      <c r="E125" s="267">
        <f t="shared" si="38"/>
        <v>0.26200000000000001</v>
      </c>
      <c r="F125" s="267">
        <f t="shared" si="38"/>
        <v>0.25800000000000001</v>
      </c>
      <c r="G125" s="267">
        <f t="shared" si="38"/>
        <v>0.254</v>
      </c>
      <c r="H125" s="267">
        <f t="shared" si="38"/>
        <v>0.25</v>
      </c>
      <c r="I125" s="267">
        <f t="shared" si="38"/>
        <v>0.246</v>
      </c>
      <c r="J125" s="267">
        <f t="shared" si="38"/>
        <v>0.24199999999999999</v>
      </c>
      <c r="K125" s="267">
        <f t="shared" si="38"/>
        <v>0.23799999999999999</v>
      </c>
      <c r="L125" s="267">
        <f t="shared" si="38"/>
        <v>0.23399999999999999</v>
      </c>
      <c r="M125" s="267">
        <f t="shared" si="38"/>
        <v>0.22999999999999998</v>
      </c>
      <c r="N125" s="267">
        <f t="shared" si="38"/>
        <v>0.22599999999999998</v>
      </c>
      <c r="O125" s="267">
        <f t="shared" si="38"/>
        <v>0.22199999999999998</v>
      </c>
      <c r="P125" s="267">
        <f t="shared" si="38"/>
        <v>0.21799999999999997</v>
      </c>
      <c r="Q125" s="267">
        <f t="shared" si="38"/>
        <v>0.21399999999999997</v>
      </c>
      <c r="R125" s="267">
        <f t="shared" si="38"/>
        <v>0.20999999999999996</v>
      </c>
      <c r="S125" s="267">
        <f t="shared" si="38"/>
        <v>0.20599999999999996</v>
      </c>
      <c r="T125" s="267">
        <f t="shared" si="39"/>
        <v>0.20199999999999996</v>
      </c>
      <c r="U125" s="267">
        <f t="shared" si="39"/>
        <v>0.19799999999999995</v>
      </c>
      <c r="V125" s="267">
        <f t="shared" si="39"/>
        <v>0.19399999999999995</v>
      </c>
      <c r="W125" s="267">
        <f t="shared" si="39"/>
        <v>0.18999999999999995</v>
      </c>
      <c r="X125" s="267">
        <f t="shared" si="39"/>
        <v>0.18599999999999994</v>
      </c>
      <c r="Y125" s="267">
        <f t="shared" si="39"/>
        <v>0.18199999999999994</v>
      </c>
      <c r="Z125" s="267">
        <f t="shared" si="39"/>
        <v>0.17799999999999994</v>
      </c>
      <c r="AA125" s="267">
        <f t="shared" si="39"/>
        <v>0.17399999999999993</v>
      </c>
      <c r="AB125" s="267">
        <f t="shared" si="39"/>
        <v>0.16999999999999993</v>
      </c>
      <c r="AC125" s="267">
        <f t="shared" si="39"/>
        <v>0.16599999999999993</v>
      </c>
      <c r="AD125" s="267">
        <f t="shared" si="39"/>
        <v>0.16199999999999992</v>
      </c>
      <c r="AE125" s="267">
        <f t="shared" si="39"/>
        <v>0.15799999999999992</v>
      </c>
      <c r="AF125" s="267">
        <f t="shared" si="39"/>
        <v>0.15399999999999991</v>
      </c>
      <c r="AG125" s="246">
        <v>0.15</v>
      </c>
      <c r="AI125" s="266"/>
      <c r="AJ125" t="s">
        <v>1470</v>
      </c>
    </row>
    <row r="126" spans="1:36" s="61" customFormat="1" outlineLevel="1">
      <c r="A126" s="294" t="s">
        <v>657</v>
      </c>
      <c r="B126" s="258" t="s">
        <v>126</v>
      </c>
      <c r="C126" s="255">
        <f>1-SUM(C127:C131)</f>
        <v>0.97</v>
      </c>
      <c r="D126" s="287">
        <f t="shared" ref="D126:S127" si="40">-($C126-$AG126)/30+C126</f>
        <v>0.97033333333333327</v>
      </c>
      <c r="E126" s="287">
        <f t="shared" si="40"/>
        <v>0.97066666666666657</v>
      </c>
      <c r="F126" s="287">
        <f t="shared" si="40"/>
        <v>0.97099999999999986</v>
      </c>
      <c r="G126" s="287">
        <f t="shared" si="40"/>
        <v>0.97133333333333316</v>
      </c>
      <c r="H126" s="287">
        <f t="shared" si="40"/>
        <v>0.97166666666666646</v>
      </c>
      <c r="I126" s="287">
        <f t="shared" si="40"/>
        <v>0.97199999999999975</v>
      </c>
      <c r="J126" s="287">
        <f t="shared" si="40"/>
        <v>0.97233333333333305</v>
      </c>
      <c r="K126" s="287">
        <f t="shared" si="40"/>
        <v>0.97266666666666635</v>
      </c>
      <c r="L126" s="287">
        <f t="shared" si="40"/>
        <v>0.97299999999999964</v>
      </c>
      <c r="M126" s="287">
        <f t="shared" si="40"/>
        <v>0.97333333333333294</v>
      </c>
      <c r="N126" s="287">
        <f t="shared" si="40"/>
        <v>0.97366666666666624</v>
      </c>
      <c r="O126" s="287">
        <f t="shared" si="40"/>
        <v>0.97399999999999953</v>
      </c>
      <c r="P126" s="287">
        <f t="shared" si="40"/>
        <v>0.97433333333333283</v>
      </c>
      <c r="Q126" s="287">
        <f t="shared" si="40"/>
        <v>0.97466666666666613</v>
      </c>
      <c r="R126" s="287">
        <f t="shared" si="40"/>
        <v>0.97499999999999942</v>
      </c>
      <c r="S126" s="287">
        <f t="shared" si="40"/>
        <v>0.97533333333333272</v>
      </c>
      <c r="T126" s="287">
        <f t="shared" si="39"/>
        <v>0.97566666666666602</v>
      </c>
      <c r="U126" s="287">
        <f t="shared" si="39"/>
        <v>0.97599999999999931</v>
      </c>
      <c r="V126" s="287">
        <f t="shared" si="39"/>
        <v>0.97633333333333261</v>
      </c>
      <c r="W126" s="287">
        <f t="shared" si="39"/>
        <v>0.97666666666666591</v>
      </c>
      <c r="X126" s="287">
        <f t="shared" si="39"/>
        <v>0.9769999999999992</v>
      </c>
      <c r="Y126" s="287">
        <f t="shared" si="39"/>
        <v>0.9773333333333325</v>
      </c>
      <c r="Z126" s="287">
        <f t="shared" si="39"/>
        <v>0.9776666666666658</v>
      </c>
      <c r="AA126" s="287">
        <f t="shared" si="39"/>
        <v>0.97799999999999909</v>
      </c>
      <c r="AB126" s="287">
        <f t="shared" si="39"/>
        <v>0.97833333333333239</v>
      </c>
      <c r="AC126" s="287">
        <f t="shared" si="39"/>
        <v>0.97866666666666569</v>
      </c>
      <c r="AD126" s="287">
        <f t="shared" si="39"/>
        <v>0.97899999999999898</v>
      </c>
      <c r="AE126" s="287">
        <f t="shared" si="39"/>
        <v>0.97933333333333228</v>
      </c>
      <c r="AF126" s="287">
        <f t="shared" si="39"/>
        <v>0.97966666666666558</v>
      </c>
      <c r="AG126" s="255">
        <f>1-SUM(AG127:AG131)</f>
        <v>0.98</v>
      </c>
      <c r="AH126"/>
      <c r="AI126" s="188"/>
      <c r="AJ126" t="s">
        <v>1470</v>
      </c>
    </row>
    <row r="127" spans="1:36" outlineLevel="1">
      <c r="A127" s="295" t="s">
        <v>658</v>
      </c>
      <c r="B127" s="252" t="s">
        <v>126</v>
      </c>
      <c r="C127" s="266">
        <v>0.01</v>
      </c>
      <c r="D127" s="267">
        <f t="shared" si="40"/>
        <v>0.01</v>
      </c>
      <c r="E127" s="267">
        <f t="shared" si="40"/>
        <v>0.01</v>
      </c>
      <c r="F127" s="267">
        <f t="shared" si="40"/>
        <v>0.01</v>
      </c>
      <c r="G127" s="267">
        <f t="shared" si="40"/>
        <v>0.01</v>
      </c>
      <c r="H127" s="267">
        <f t="shared" si="40"/>
        <v>0.01</v>
      </c>
      <c r="I127" s="267">
        <f t="shared" si="40"/>
        <v>0.01</v>
      </c>
      <c r="J127" s="267">
        <f t="shared" si="40"/>
        <v>0.01</v>
      </c>
      <c r="K127" s="267">
        <f t="shared" si="40"/>
        <v>0.01</v>
      </c>
      <c r="L127" s="267">
        <f t="shared" si="40"/>
        <v>0.01</v>
      </c>
      <c r="M127" s="267">
        <f t="shared" si="40"/>
        <v>0.01</v>
      </c>
      <c r="N127" s="267">
        <f t="shared" si="40"/>
        <v>0.01</v>
      </c>
      <c r="O127" s="267">
        <f t="shared" si="40"/>
        <v>0.01</v>
      </c>
      <c r="P127" s="267">
        <f t="shared" si="40"/>
        <v>0.01</v>
      </c>
      <c r="Q127" s="267">
        <f t="shared" si="40"/>
        <v>0.01</v>
      </c>
      <c r="R127" s="267">
        <f t="shared" si="40"/>
        <v>0.01</v>
      </c>
      <c r="S127" s="267">
        <f t="shared" si="40"/>
        <v>0.01</v>
      </c>
      <c r="T127" s="267">
        <f t="shared" si="39"/>
        <v>0.01</v>
      </c>
      <c r="U127" s="267">
        <f t="shared" si="39"/>
        <v>0.01</v>
      </c>
      <c r="V127" s="267">
        <f t="shared" si="39"/>
        <v>0.01</v>
      </c>
      <c r="W127" s="267">
        <f t="shared" si="39"/>
        <v>0.01</v>
      </c>
      <c r="X127" s="267">
        <f t="shared" si="39"/>
        <v>0.01</v>
      </c>
      <c r="Y127" s="267">
        <f t="shared" si="39"/>
        <v>0.01</v>
      </c>
      <c r="Z127" s="267">
        <f t="shared" si="39"/>
        <v>0.01</v>
      </c>
      <c r="AA127" s="267">
        <f t="shared" si="39"/>
        <v>0.01</v>
      </c>
      <c r="AB127" s="267">
        <f t="shared" si="39"/>
        <v>0.01</v>
      </c>
      <c r="AC127" s="267">
        <f t="shared" si="39"/>
        <v>0.01</v>
      </c>
      <c r="AD127" s="267">
        <f t="shared" si="39"/>
        <v>0.01</v>
      </c>
      <c r="AE127" s="267">
        <f t="shared" si="39"/>
        <v>0.01</v>
      </c>
      <c r="AF127" s="267">
        <f t="shared" si="39"/>
        <v>0.01</v>
      </c>
      <c r="AG127" s="266">
        <v>0.01</v>
      </c>
      <c r="AI127" s="188"/>
      <c r="AJ127" s="271" t="s">
        <v>1469</v>
      </c>
    </row>
    <row r="128" spans="1:36" outlineLevel="1">
      <c r="A128" s="295" t="s">
        <v>659</v>
      </c>
      <c r="B128" s="252" t="s">
        <v>126</v>
      </c>
      <c r="C128" s="562">
        <v>0</v>
      </c>
      <c r="D128" s="267">
        <f t="shared" si="38"/>
        <v>0</v>
      </c>
      <c r="E128" s="267">
        <f t="shared" si="38"/>
        <v>0</v>
      </c>
      <c r="F128" s="267">
        <f t="shared" si="38"/>
        <v>0</v>
      </c>
      <c r="G128" s="267">
        <f t="shared" si="38"/>
        <v>0</v>
      </c>
      <c r="H128" s="267">
        <f t="shared" si="38"/>
        <v>0</v>
      </c>
      <c r="I128" s="267">
        <f t="shared" si="38"/>
        <v>0</v>
      </c>
      <c r="J128" s="267">
        <f t="shared" si="38"/>
        <v>0</v>
      </c>
      <c r="K128" s="267">
        <f t="shared" si="38"/>
        <v>0</v>
      </c>
      <c r="L128" s="267">
        <f t="shared" si="38"/>
        <v>0</v>
      </c>
      <c r="M128" s="267">
        <f t="shared" si="38"/>
        <v>0</v>
      </c>
      <c r="N128" s="267">
        <f t="shared" si="38"/>
        <v>0</v>
      </c>
      <c r="O128" s="267">
        <f t="shared" si="38"/>
        <v>0</v>
      </c>
      <c r="P128" s="267">
        <f t="shared" si="38"/>
        <v>0</v>
      </c>
      <c r="Q128" s="267">
        <f t="shared" si="38"/>
        <v>0</v>
      </c>
      <c r="R128" s="267">
        <f t="shared" si="38"/>
        <v>0</v>
      </c>
      <c r="S128" s="267">
        <f t="shared" si="38"/>
        <v>0</v>
      </c>
      <c r="T128" s="267">
        <f t="shared" si="39"/>
        <v>0</v>
      </c>
      <c r="U128" s="267">
        <f t="shared" si="39"/>
        <v>0</v>
      </c>
      <c r="V128" s="267">
        <f t="shared" si="39"/>
        <v>0</v>
      </c>
      <c r="W128" s="267">
        <f t="shared" si="39"/>
        <v>0</v>
      </c>
      <c r="X128" s="267">
        <f t="shared" si="39"/>
        <v>0</v>
      </c>
      <c r="Y128" s="267">
        <f t="shared" si="39"/>
        <v>0</v>
      </c>
      <c r="Z128" s="267">
        <f t="shared" si="39"/>
        <v>0</v>
      </c>
      <c r="AA128" s="267">
        <f t="shared" si="39"/>
        <v>0</v>
      </c>
      <c r="AB128" s="267">
        <f t="shared" si="39"/>
        <v>0</v>
      </c>
      <c r="AC128" s="267">
        <f t="shared" si="39"/>
        <v>0</v>
      </c>
      <c r="AD128" s="267">
        <f t="shared" si="39"/>
        <v>0</v>
      </c>
      <c r="AE128" s="267">
        <f t="shared" si="39"/>
        <v>0</v>
      </c>
      <c r="AF128" s="267">
        <f t="shared" si="39"/>
        <v>0</v>
      </c>
      <c r="AG128" s="562">
        <v>0</v>
      </c>
      <c r="AI128" s="246"/>
      <c r="AJ128" t="s">
        <v>1470</v>
      </c>
    </row>
    <row r="129" spans="1:36" outlineLevel="1">
      <c r="A129" s="295" t="s">
        <v>660</v>
      </c>
      <c r="B129" s="252" t="s">
        <v>126</v>
      </c>
      <c r="C129" s="562">
        <v>0</v>
      </c>
      <c r="D129" s="267">
        <f t="shared" si="38"/>
        <v>0</v>
      </c>
      <c r="E129" s="267">
        <f t="shared" si="38"/>
        <v>0</v>
      </c>
      <c r="F129" s="267">
        <f t="shared" si="38"/>
        <v>0</v>
      </c>
      <c r="G129" s="267">
        <f t="shared" si="38"/>
        <v>0</v>
      </c>
      <c r="H129" s="267">
        <f t="shared" si="38"/>
        <v>0</v>
      </c>
      <c r="I129" s="267">
        <f t="shared" si="38"/>
        <v>0</v>
      </c>
      <c r="J129" s="267">
        <f t="shared" si="38"/>
        <v>0</v>
      </c>
      <c r="K129" s="267">
        <f t="shared" si="38"/>
        <v>0</v>
      </c>
      <c r="L129" s="267">
        <f t="shared" si="38"/>
        <v>0</v>
      </c>
      <c r="M129" s="267">
        <f t="shared" si="38"/>
        <v>0</v>
      </c>
      <c r="N129" s="267">
        <f t="shared" si="38"/>
        <v>0</v>
      </c>
      <c r="O129" s="267">
        <f t="shared" si="38"/>
        <v>0</v>
      </c>
      <c r="P129" s="267">
        <f t="shared" si="38"/>
        <v>0</v>
      </c>
      <c r="Q129" s="267">
        <f t="shared" si="38"/>
        <v>0</v>
      </c>
      <c r="R129" s="267">
        <f t="shared" si="38"/>
        <v>0</v>
      </c>
      <c r="S129" s="267">
        <f t="shared" si="38"/>
        <v>0</v>
      </c>
      <c r="T129" s="267">
        <f t="shared" si="39"/>
        <v>0</v>
      </c>
      <c r="U129" s="267">
        <f t="shared" si="39"/>
        <v>0</v>
      </c>
      <c r="V129" s="267">
        <f t="shared" si="39"/>
        <v>0</v>
      </c>
      <c r="W129" s="267">
        <f t="shared" si="39"/>
        <v>0</v>
      </c>
      <c r="X129" s="267">
        <f t="shared" si="39"/>
        <v>0</v>
      </c>
      <c r="Y129" s="267">
        <f t="shared" si="39"/>
        <v>0</v>
      </c>
      <c r="Z129" s="267">
        <f t="shared" si="39"/>
        <v>0</v>
      </c>
      <c r="AA129" s="267">
        <f t="shared" si="39"/>
        <v>0</v>
      </c>
      <c r="AB129" s="267">
        <f t="shared" si="39"/>
        <v>0</v>
      </c>
      <c r="AC129" s="267">
        <f t="shared" si="39"/>
        <v>0</v>
      </c>
      <c r="AD129" s="267">
        <f t="shared" si="39"/>
        <v>0</v>
      </c>
      <c r="AE129" s="267">
        <f t="shared" si="39"/>
        <v>0</v>
      </c>
      <c r="AF129" s="267">
        <f t="shared" si="39"/>
        <v>0</v>
      </c>
      <c r="AG129" s="562">
        <v>0</v>
      </c>
      <c r="AI129" s="246"/>
      <c r="AJ129" t="s">
        <v>1470</v>
      </c>
    </row>
    <row r="130" spans="1:36" outlineLevel="1">
      <c r="A130" s="295" t="s">
        <v>661</v>
      </c>
      <c r="B130" s="252" t="s">
        <v>126</v>
      </c>
      <c r="C130" s="562">
        <v>1.4999999999999999E-2</v>
      </c>
      <c r="D130" s="267">
        <f t="shared" si="38"/>
        <v>1.4733333333333333E-2</v>
      </c>
      <c r="E130" s="267">
        <f t="shared" si="38"/>
        <v>1.4466666666666666E-2</v>
      </c>
      <c r="F130" s="267">
        <f t="shared" si="38"/>
        <v>1.4199999999999999E-2</v>
      </c>
      <c r="G130" s="267">
        <f t="shared" si="38"/>
        <v>1.3933333333333332E-2</v>
      </c>
      <c r="H130" s="267">
        <f t="shared" si="38"/>
        <v>1.3666666666666666E-2</v>
      </c>
      <c r="I130" s="267">
        <f t="shared" si="38"/>
        <v>1.3399999999999999E-2</v>
      </c>
      <c r="J130" s="267">
        <f t="shared" si="38"/>
        <v>1.3133333333333332E-2</v>
      </c>
      <c r="K130" s="267">
        <f t="shared" si="38"/>
        <v>1.2866666666666665E-2</v>
      </c>
      <c r="L130" s="267">
        <f t="shared" si="38"/>
        <v>1.2599999999999998E-2</v>
      </c>
      <c r="M130" s="267">
        <f t="shared" si="38"/>
        <v>1.2333333333333332E-2</v>
      </c>
      <c r="N130" s="267">
        <f t="shared" si="38"/>
        <v>1.2066666666666665E-2</v>
      </c>
      <c r="O130" s="267">
        <f t="shared" si="38"/>
        <v>1.1799999999999998E-2</v>
      </c>
      <c r="P130" s="267">
        <f t="shared" si="38"/>
        <v>1.1533333333333331E-2</v>
      </c>
      <c r="Q130" s="267">
        <f t="shared" si="38"/>
        <v>1.1266666666666664E-2</v>
      </c>
      <c r="R130" s="267">
        <f t="shared" si="38"/>
        <v>1.0999999999999998E-2</v>
      </c>
      <c r="S130" s="267">
        <f t="shared" ref="S130:AF130" si="41">-($C130-$AG130)/30+R130</f>
        <v>1.0733333333333331E-2</v>
      </c>
      <c r="T130" s="267">
        <f t="shared" si="41"/>
        <v>1.0466666666666664E-2</v>
      </c>
      <c r="U130" s="267">
        <f t="shared" si="41"/>
        <v>1.0199999999999997E-2</v>
      </c>
      <c r="V130" s="267">
        <f t="shared" si="41"/>
        <v>9.9333333333333305E-3</v>
      </c>
      <c r="W130" s="267">
        <f t="shared" si="41"/>
        <v>9.6666666666666637E-3</v>
      </c>
      <c r="X130" s="267">
        <f t="shared" si="41"/>
        <v>9.3999999999999969E-3</v>
      </c>
      <c r="Y130" s="267">
        <f t="shared" si="41"/>
        <v>9.1333333333333301E-3</v>
      </c>
      <c r="Z130" s="267">
        <f t="shared" si="41"/>
        <v>8.8666666666666633E-3</v>
      </c>
      <c r="AA130" s="267">
        <f t="shared" si="41"/>
        <v>8.5999999999999965E-3</v>
      </c>
      <c r="AB130" s="267">
        <f t="shared" si="41"/>
        <v>8.3333333333333297E-3</v>
      </c>
      <c r="AC130" s="267">
        <f t="shared" si="41"/>
        <v>8.066666666666663E-3</v>
      </c>
      <c r="AD130" s="267">
        <f t="shared" si="41"/>
        <v>7.7999999999999962E-3</v>
      </c>
      <c r="AE130" s="267">
        <f t="shared" si="41"/>
        <v>7.5333333333333294E-3</v>
      </c>
      <c r="AF130" s="267">
        <f t="shared" si="41"/>
        <v>7.2666666666666626E-3</v>
      </c>
      <c r="AG130" s="562">
        <v>7.0000000000000001E-3</v>
      </c>
      <c r="AI130" s="246"/>
      <c r="AJ130" t="s">
        <v>1470</v>
      </c>
    </row>
    <row r="131" spans="1:36" s="62" customFormat="1" outlineLevel="1">
      <c r="A131" s="296" t="s">
        <v>662</v>
      </c>
      <c r="B131" s="262" t="s">
        <v>126</v>
      </c>
      <c r="C131" s="564">
        <v>5.0000000000000001E-3</v>
      </c>
      <c r="D131" s="289">
        <f t="shared" ref="D131:AF131" si="42">-($C131-$AG131)/30+C131</f>
        <v>4.9333333333333338E-3</v>
      </c>
      <c r="E131" s="289">
        <f t="shared" si="42"/>
        <v>4.8666666666666676E-3</v>
      </c>
      <c r="F131" s="289">
        <f t="shared" si="42"/>
        <v>4.8000000000000013E-3</v>
      </c>
      <c r="G131" s="289">
        <f t="shared" si="42"/>
        <v>4.7333333333333351E-3</v>
      </c>
      <c r="H131" s="289">
        <f t="shared" si="42"/>
        <v>4.6666666666666688E-3</v>
      </c>
      <c r="I131" s="289">
        <f t="shared" si="42"/>
        <v>4.6000000000000025E-3</v>
      </c>
      <c r="J131" s="289">
        <f t="shared" si="42"/>
        <v>4.5333333333333363E-3</v>
      </c>
      <c r="K131" s="289">
        <f t="shared" si="42"/>
        <v>4.46666666666667E-3</v>
      </c>
      <c r="L131" s="289">
        <f t="shared" si="42"/>
        <v>4.4000000000000037E-3</v>
      </c>
      <c r="M131" s="289">
        <f t="shared" si="42"/>
        <v>4.3333333333333375E-3</v>
      </c>
      <c r="N131" s="289">
        <f t="shared" si="42"/>
        <v>4.2666666666666712E-3</v>
      </c>
      <c r="O131" s="289">
        <f t="shared" si="42"/>
        <v>4.2000000000000049E-3</v>
      </c>
      <c r="P131" s="289">
        <f t="shared" si="42"/>
        <v>4.1333333333333387E-3</v>
      </c>
      <c r="Q131" s="289">
        <f t="shared" si="42"/>
        <v>4.0666666666666724E-3</v>
      </c>
      <c r="R131" s="289">
        <f t="shared" si="42"/>
        <v>4.0000000000000062E-3</v>
      </c>
      <c r="S131" s="289">
        <f t="shared" si="42"/>
        <v>3.9333333333333399E-3</v>
      </c>
      <c r="T131" s="289">
        <f t="shared" si="42"/>
        <v>3.8666666666666732E-3</v>
      </c>
      <c r="U131" s="289">
        <f t="shared" si="42"/>
        <v>3.8000000000000065E-3</v>
      </c>
      <c r="V131" s="289">
        <f t="shared" si="42"/>
        <v>3.7333333333333398E-3</v>
      </c>
      <c r="W131" s="289">
        <f t="shared" si="42"/>
        <v>3.6666666666666731E-3</v>
      </c>
      <c r="X131" s="289">
        <f t="shared" si="42"/>
        <v>3.6000000000000064E-3</v>
      </c>
      <c r="Y131" s="289">
        <f t="shared" si="42"/>
        <v>3.5333333333333397E-3</v>
      </c>
      <c r="Z131" s="289">
        <f t="shared" si="42"/>
        <v>3.466666666666673E-3</v>
      </c>
      <c r="AA131" s="289">
        <f t="shared" si="42"/>
        <v>3.4000000000000063E-3</v>
      </c>
      <c r="AB131" s="289">
        <f t="shared" si="42"/>
        <v>3.3333333333333396E-3</v>
      </c>
      <c r="AC131" s="289">
        <f t="shared" si="42"/>
        <v>3.2666666666666729E-3</v>
      </c>
      <c r="AD131" s="289">
        <f t="shared" si="42"/>
        <v>3.2000000000000062E-3</v>
      </c>
      <c r="AE131" s="289">
        <f t="shared" si="42"/>
        <v>3.1333333333333395E-3</v>
      </c>
      <c r="AF131" s="289">
        <f t="shared" si="42"/>
        <v>3.0666666666666728E-3</v>
      </c>
      <c r="AG131" s="564">
        <v>3.0000000000000001E-3</v>
      </c>
      <c r="AI131" s="264"/>
      <c r="AJ131" t="s">
        <v>1470</v>
      </c>
    </row>
    <row r="132" spans="1:36" s="54" customFormat="1" outlineLevel="1">
      <c r="A132" s="54" t="s">
        <v>626</v>
      </c>
      <c r="B132" s="253"/>
      <c r="C132" s="545">
        <f>C29</f>
        <v>2286037.4636282991</v>
      </c>
      <c r="D132" s="545">
        <f t="shared" ref="D132:AG132" si="43">D29</f>
        <v>2280990.8649028791</v>
      </c>
      <c r="E132" s="545">
        <f t="shared" si="43"/>
        <v>2275955.4069216945</v>
      </c>
      <c r="F132" s="545">
        <f t="shared" si="43"/>
        <v>2270931.0650907205</v>
      </c>
      <c r="G132" s="545">
        <f t="shared" si="43"/>
        <v>2265917.8148702211</v>
      </c>
      <c r="H132" s="545">
        <f t="shared" si="43"/>
        <v>2260915.6317746388</v>
      </c>
      <c r="I132" s="545">
        <f t="shared" si="43"/>
        <v>2255924.4913724666</v>
      </c>
      <c r="J132" s="545">
        <f t="shared" si="43"/>
        <v>2250944.369286132</v>
      </c>
      <c r="K132" s="545">
        <f t="shared" si="43"/>
        <v>2245975.2411918789</v>
      </c>
      <c r="L132" s="545">
        <f t="shared" si="43"/>
        <v>2241017.0828196472</v>
      </c>
      <c r="M132" s="545">
        <f t="shared" si="43"/>
        <v>2236069.8699529553</v>
      </c>
      <c r="N132" s="545">
        <f t="shared" si="43"/>
        <v>2231133.5784287807</v>
      </c>
      <c r="O132" s="545">
        <f t="shared" si="43"/>
        <v>2226208.1841374426</v>
      </c>
      <c r="P132" s="545">
        <f t="shared" si="43"/>
        <v>2221293.6630224842</v>
      </c>
      <c r="Q132" s="545">
        <f t="shared" si="43"/>
        <v>2216389.9910805556</v>
      </c>
      <c r="R132" s="545">
        <f t="shared" si="43"/>
        <v>2211497.1443612948</v>
      </c>
      <c r="S132" s="545">
        <f t="shared" si="43"/>
        <v>2206615.0989672141</v>
      </c>
      <c r="T132" s="545">
        <f t="shared" si="43"/>
        <v>2201743.8310535797</v>
      </c>
      <c r="U132" s="545">
        <f t="shared" si="43"/>
        <v>2196883.3168282961</v>
      </c>
      <c r="V132" s="545">
        <f t="shared" si="43"/>
        <v>2192033.5325517929</v>
      </c>
      <c r="W132" s="545">
        <f t="shared" si="43"/>
        <v>2187194.454536905</v>
      </c>
      <c r="X132" s="545">
        <f t="shared" si="43"/>
        <v>2182366.0591487596</v>
      </c>
      <c r="Y132" s="545">
        <f t="shared" si="43"/>
        <v>2177548.3228046587</v>
      </c>
      <c r="Z132" s="545">
        <f t="shared" si="43"/>
        <v>2172741.221973964</v>
      </c>
      <c r="AA132" s="545">
        <f t="shared" si="43"/>
        <v>2167944.7331779855</v>
      </c>
      <c r="AB132" s="545">
        <f t="shared" si="43"/>
        <v>2163158.8329898617</v>
      </c>
      <c r="AC132" s="545">
        <f t="shared" si="43"/>
        <v>2158383.4980344493</v>
      </c>
      <c r="AD132" s="545">
        <f t="shared" si="43"/>
        <v>2153618.7049882063</v>
      </c>
      <c r="AE132" s="545">
        <f t="shared" si="43"/>
        <v>2148864.4305790793</v>
      </c>
      <c r="AF132" s="545">
        <f t="shared" si="43"/>
        <v>2144120.6515863901</v>
      </c>
      <c r="AG132" s="545">
        <f t="shared" si="43"/>
        <v>2139387.3448407222</v>
      </c>
      <c r="AI132" s="255"/>
      <c r="AJ132" s="256"/>
    </row>
    <row r="133" spans="1:36" s="54" customFormat="1" outlineLevel="1">
      <c r="A133" s="257" t="s">
        <v>178</v>
      </c>
      <c r="B133" s="258" t="s">
        <v>127</v>
      </c>
      <c r="C133" s="548">
        <v>0</v>
      </c>
      <c r="D133" s="548">
        <v>0</v>
      </c>
      <c r="E133" s="548">
        <v>0</v>
      </c>
      <c r="F133" s="548">
        <v>0</v>
      </c>
      <c r="G133" s="548">
        <v>0</v>
      </c>
      <c r="H133" s="548">
        <v>0</v>
      </c>
      <c r="I133" s="548">
        <v>0</v>
      </c>
      <c r="J133" s="548">
        <v>0</v>
      </c>
      <c r="K133" s="548">
        <v>0</v>
      </c>
      <c r="L133" s="548">
        <v>0</v>
      </c>
      <c r="M133" s="548">
        <v>0</v>
      </c>
      <c r="N133" s="548">
        <v>0</v>
      </c>
      <c r="O133" s="548">
        <v>0</v>
      </c>
      <c r="P133" s="548">
        <v>0</v>
      </c>
      <c r="Q133" s="548">
        <v>0</v>
      </c>
      <c r="R133" s="548">
        <v>0</v>
      </c>
      <c r="S133" s="548">
        <v>0</v>
      </c>
      <c r="T133" s="548">
        <v>0</v>
      </c>
      <c r="U133" s="548">
        <v>0</v>
      </c>
      <c r="V133" s="548">
        <v>0</v>
      </c>
      <c r="W133" s="548">
        <v>0</v>
      </c>
      <c r="X133" s="548">
        <v>0</v>
      </c>
      <c r="Y133" s="548">
        <v>0</v>
      </c>
      <c r="Z133" s="548">
        <v>0</v>
      </c>
      <c r="AA133" s="548">
        <v>0</v>
      </c>
      <c r="AB133" s="548">
        <v>0</v>
      </c>
      <c r="AC133" s="548">
        <v>0</v>
      </c>
      <c r="AD133" s="548">
        <v>0</v>
      </c>
      <c r="AE133" s="548">
        <v>0</v>
      </c>
      <c r="AF133" s="548">
        <v>0</v>
      </c>
      <c r="AG133" s="548">
        <v>0</v>
      </c>
      <c r="AI133" s="255"/>
      <c r="AJ133" s="256"/>
    </row>
    <row r="134" spans="1:36" outlineLevel="1">
      <c r="A134" s="260" t="s">
        <v>619</v>
      </c>
      <c r="B134" s="252" t="s">
        <v>127</v>
      </c>
      <c r="C134" s="547">
        <f>C101</f>
        <v>205940.91349861573</v>
      </c>
      <c r="D134" s="547">
        <f t="shared" ref="D134:AG134" si="44">D101</f>
        <v>205940.91349861573</v>
      </c>
      <c r="E134" s="547">
        <f t="shared" si="44"/>
        <v>205940.91349861573</v>
      </c>
      <c r="F134" s="547">
        <f t="shared" si="44"/>
        <v>205940.91349861573</v>
      </c>
      <c r="G134" s="547">
        <f t="shared" si="44"/>
        <v>205940.91349861573</v>
      </c>
      <c r="H134" s="547">
        <f t="shared" si="44"/>
        <v>205940.91349861573</v>
      </c>
      <c r="I134" s="547">
        <f t="shared" si="44"/>
        <v>205940.91349861573</v>
      </c>
      <c r="J134" s="547">
        <f t="shared" si="44"/>
        <v>205940.91349861573</v>
      </c>
      <c r="K134" s="547">
        <f t="shared" si="44"/>
        <v>205940.91349861573</v>
      </c>
      <c r="L134" s="547">
        <f t="shared" si="44"/>
        <v>205940.91349861573</v>
      </c>
      <c r="M134" s="547">
        <f t="shared" si="44"/>
        <v>205940.91349861573</v>
      </c>
      <c r="N134" s="547">
        <f t="shared" si="44"/>
        <v>205940.91349861573</v>
      </c>
      <c r="O134" s="547">
        <f t="shared" si="44"/>
        <v>205940.91349861573</v>
      </c>
      <c r="P134" s="547">
        <f t="shared" si="44"/>
        <v>205940.91349861573</v>
      </c>
      <c r="Q134" s="547">
        <f t="shared" si="44"/>
        <v>205940.91349861573</v>
      </c>
      <c r="R134" s="547">
        <f t="shared" si="44"/>
        <v>205940.91349861573</v>
      </c>
      <c r="S134" s="547">
        <f t="shared" si="44"/>
        <v>205940.91349861573</v>
      </c>
      <c r="T134" s="547">
        <f t="shared" si="44"/>
        <v>205940.91349861573</v>
      </c>
      <c r="U134" s="547">
        <f t="shared" si="44"/>
        <v>205940.91349861573</v>
      </c>
      <c r="V134" s="547">
        <f t="shared" si="44"/>
        <v>205940.91349861573</v>
      </c>
      <c r="W134" s="547">
        <f t="shared" si="44"/>
        <v>205940.91349861573</v>
      </c>
      <c r="X134" s="547">
        <f t="shared" si="44"/>
        <v>205940.91349861573</v>
      </c>
      <c r="Y134" s="547">
        <f t="shared" si="44"/>
        <v>205940.91349861573</v>
      </c>
      <c r="Z134" s="547">
        <f t="shared" si="44"/>
        <v>205940.91349861573</v>
      </c>
      <c r="AA134" s="547">
        <f t="shared" si="44"/>
        <v>205940.91349861573</v>
      </c>
      <c r="AB134" s="547">
        <f t="shared" si="44"/>
        <v>205940.91349861573</v>
      </c>
      <c r="AC134" s="547">
        <f t="shared" si="44"/>
        <v>205940.91349861573</v>
      </c>
      <c r="AD134" s="547">
        <f t="shared" si="44"/>
        <v>205940.91349861573</v>
      </c>
      <c r="AE134" s="547">
        <f t="shared" si="44"/>
        <v>205940.91349861573</v>
      </c>
      <c r="AF134" s="547">
        <f t="shared" si="44"/>
        <v>205940.91349861573</v>
      </c>
      <c r="AG134" s="547">
        <f t="shared" si="44"/>
        <v>205940.91349861573</v>
      </c>
      <c r="AI134" s="246"/>
    </row>
    <row r="135" spans="1:36" s="62" customFormat="1" outlineLevel="1">
      <c r="A135" s="261" t="s">
        <v>628</v>
      </c>
      <c r="B135" s="262" t="s">
        <v>127</v>
      </c>
      <c r="C135" s="549">
        <f>C132-C133-C134</f>
        <v>2080096.5501296832</v>
      </c>
      <c r="D135" s="549">
        <f t="shared" ref="D135:AG135" si="45">D132-D133-D134</f>
        <v>2075049.9514042633</v>
      </c>
      <c r="E135" s="549">
        <f t="shared" si="45"/>
        <v>2070014.4934230787</v>
      </c>
      <c r="F135" s="549">
        <f t="shared" si="45"/>
        <v>2064990.1515921047</v>
      </c>
      <c r="G135" s="549">
        <f t="shared" si="45"/>
        <v>2059976.9013716052</v>
      </c>
      <c r="H135" s="549">
        <f t="shared" si="45"/>
        <v>2054974.7182760229</v>
      </c>
      <c r="I135" s="549">
        <f t="shared" si="45"/>
        <v>2049983.5778738507</v>
      </c>
      <c r="J135" s="549">
        <f t="shared" si="45"/>
        <v>2045003.4557875162</v>
      </c>
      <c r="K135" s="549">
        <f t="shared" si="45"/>
        <v>2040034.3276932631</v>
      </c>
      <c r="L135" s="549">
        <f t="shared" si="45"/>
        <v>2035076.1693210313</v>
      </c>
      <c r="M135" s="549">
        <f t="shared" si="45"/>
        <v>2030128.9564543394</v>
      </c>
      <c r="N135" s="549">
        <f t="shared" si="45"/>
        <v>2025192.6649301648</v>
      </c>
      <c r="O135" s="549">
        <f t="shared" si="45"/>
        <v>2020267.2706388268</v>
      </c>
      <c r="P135" s="549">
        <f t="shared" si="45"/>
        <v>2015352.7495238683</v>
      </c>
      <c r="Q135" s="549">
        <f t="shared" si="45"/>
        <v>2010449.0775819398</v>
      </c>
      <c r="R135" s="549">
        <f t="shared" si="45"/>
        <v>2005556.230862679</v>
      </c>
      <c r="S135" s="549">
        <f t="shared" si="45"/>
        <v>2000674.1854685983</v>
      </c>
      <c r="T135" s="549">
        <f t="shared" si="45"/>
        <v>1995802.9175549638</v>
      </c>
      <c r="U135" s="549">
        <f t="shared" si="45"/>
        <v>1990942.4033296802</v>
      </c>
      <c r="V135" s="549">
        <f t="shared" si="45"/>
        <v>1986092.6190531771</v>
      </c>
      <c r="W135" s="549">
        <f t="shared" si="45"/>
        <v>1981253.5410382892</v>
      </c>
      <c r="X135" s="549">
        <f t="shared" si="45"/>
        <v>1976425.1456501437</v>
      </c>
      <c r="Y135" s="549">
        <f t="shared" si="45"/>
        <v>1971607.4093060428</v>
      </c>
      <c r="Z135" s="549">
        <f t="shared" si="45"/>
        <v>1966800.3084753482</v>
      </c>
      <c r="AA135" s="549">
        <f t="shared" si="45"/>
        <v>1962003.8196793697</v>
      </c>
      <c r="AB135" s="549">
        <f t="shared" si="45"/>
        <v>1957217.9194912459</v>
      </c>
      <c r="AC135" s="549">
        <f t="shared" si="45"/>
        <v>1952442.5845358334</v>
      </c>
      <c r="AD135" s="549">
        <f t="shared" si="45"/>
        <v>1947677.7914895904</v>
      </c>
      <c r="AE135" s="549">
        <f t="shared" si="45"/>
        <v>1942923.5170804635</v>
      </c>
      <c r="AF135" s="549">
        <f t="shared" si="45"/>
        <v>1938179.7380877743</v>
      </c>
      <c r="AG135" s="549">
        <f t="shared" si="45"/>
        <v>1933446.4313421063</v>
      </c>
      <c r="AI135" s="264"/>
      <c r="AJ135" s="265"/>
    </row>
    <row r="136" spans="1:36" outlineLevel="1">
      <c r="A136" s="104" t="s">
        <v>621</v>
      </c>
      <c r="B136" s="252" t="s">
        <v>127</v>
      </c>
      <c r="C136" s="120">
        <f>C105*C$135</f>
        <v>2017693.6536257926</v>
      </c>
      <c r="D136" s="120">
        <f t="shared" ref="D136:AG141" si="46">D105*D$135</f>
        <v>2013490.13617927</v>
      </c>
      <c r="E136" s="120">
        <f t="shared" si="46"/>
        <v>2009294.0682826682</v>
      </c>
      <c r="F136" s="120">
        <f t="shared" si="46"/>
        <v>2005105.4371959334</v>
      </c>
      <c r="G136" s="120">
        <f t="shared" si="46"/>
        <v>2000924.2301989521</v>
      </c>
      <c r="H136" s="120">
        <f t="shared" si="46"/>
        <v>1996750.4345915352</v>
      </c>
      <c r="I136" s="120">
        <f t="shared" si="46"/>
        <v>1992584.0376933825</v>
      </c>
      <c r="J136" s="120">
        <f t="shared" si="46"/>
        <v>1988425.026844061</v>
      </c>
      <c r="K136" s="120">
        <f t="shared" si="46"/>
        <v>1984273.38940298</v>
      </c>
      <c r="L136" s="120">
        <f t="shared" si="46"/>
        <v>1980129.1127493628</v>
      </c>
      <c r="M136" s="120">
        <f t="shared" si="46"/>
        <v>1975992.184282223</v>
      </c>
      <c r="N136" s="120">
        <f t="shared" si="46"/>
        <v>1971862.5914203362</v>
      </c>
      <c r="O136" s="120">
        <f t="shared" si="46"/>
        <v>1967740.3216022162</v>
      </c>
      <c r="P136" s="120">
        <f t="shared" si="46"/>
        <v>1963625.3622860881</v>
      </c>
      <c r="Q136" s="120">
        <f t="shared" si="46"/>
        <v>1959517.7009498628</v>
      </c>
      <c r="R136" s="120">
        <f t="shared" si="46"/>
        <v>1955417.3250911108</v>
      </c>
      <c r="S136" s="120">
        <f t="shared" si="46"/>
        <v>1951324.2222270383</v>
      </c>
      <c r="T136" s="120">
        <f t="shared" si="46"/>
        <v>1947238.3798944585</v>
      </c>
      <c r="U136" s="120">
        <f t="shared" si="46"/>
        <v>1943159.7856497664</v>
      </c>
      <c r="V136" s="120">
        <f t="shared" si="46"/>
        <v>1939088.4270689171</v>
      </c>
      <c r="W136" s="120">
        <f t="shared" si="46"/>
        <v>1935024.2917473943</v>
      </c>
      <c r="X136" s="120">
        <f t="shared" si="46"/>
        <v>1930967.3673001889</v>
      </c>
      <c r="Y136" s="120">
        <f t="shared" si="46"/>
        <v>1926917.6413617709</v>
      </c>
      <c r="Z136" s="120">
        <f t="shared" si="46"/>
        <v>1922875.1015860636</v>
      </c>
      <c r="AA136" s="120">
        <f t="shared" si="46"/>
        <v>1918839.7356464218</v>
      </c>
      <c r="AB136" s="120">
        <f t="shared" si="46"/>
        <v>1914811.5312356004</v>
      </c>
      <c r="AC136" s="120">
        <f t="shared" si="46"/>
        <v>1910790.4760657337</v>
      </c>
      <c r="AD136" s="120">
        <f t="shared" si="46"/>
        <v>1906776.557868307</v>
      </c>
      <c r="AE136" s="120">
        <f t="shared" si="46"/>
        <v>1902769.764394132</v>
      </c>
      <c r="AF136" s="120">
        <f t="shared" si="46"/>
        <v>1898770.0834133208</v>
      </c>
      <c r="AG136" s="120">
        <f t="shared" si="46"/>
        <v>1894777.5027152642</v>
      </c>
      <c r="AI136" s="188"/>
    </row>
    <row r="137" spans="1:36" outlineLevel="1">
      <c r="A137" s="104" t="s">
        <v>620</v>
      </c>
      <c r="B137" s="252" t="s">
        <v>127</v>
      </c>
      <c r="C137" s="120">
        <f t="shared" ref="C137:R141" si="47">C106*C$135</f>
        <v>20800.965501296832</v>
      </c>
      <c r="D137" s="120">
        <f t="shared" si="47"/>
        <v>20750.499514042633</v>
      </c>
      <c r="E137" s="120">
        <f t="shared" si="47"/>
        <v>20700.144934230786</v>
      </c>
      <c r="F137" s="120">
        <f t="shared" si="47"/>
        <v>20649.901515921047</v>
      </c>
      <c r="G137" s="120">
        <f t="shared" si="47"/>
        <v>20599.769013716053</v>
      </c>
      <c r="H137" s="120">
        <f t="shared" si="47"/>
        <v>20549.747182760231</v>
      </c>
      <c r="I137" s="120">
        <f t="shared" si="47"/>
        <v>20499.835778738507</v>
      </c>
      <c r="J137" s="120">
        <f t="shared" si="47"/>
        <v>20450.034557875162</v>
      </c>
      <c r="K137" s="120">
        <f t="shared" si="47"/>
        <v>20400.343276932632</v>
      </c>
      <c r="L137" s="120">
        <f t="shared" si="47"/>
        <v>20350.761693210312</v>
      </c>
      <c r="M137" s="120">
        <f t="shared" si="47"/>
        <v>20301.289564543396</v>
      </c>
      <c r="N137" s="120">
        <f t="shared" si="47"/>
        <v>20251.926649301648</v>
      </c>
      <c r="O137" s="120">
        <f t="shared" si="47"/>
        <v>20202.672706388268</v>
      </c>
      <c r="P137" s="120">
        <f t="shared" si="47"/>
        <v>20153.527495238683</v>
      </c>
      <c r="Q137" s="120">
        <f t="shared" si="47"/>
        <v>20104.490775819399</v>
      </c>
      <c r="R137" s="120">
        <f t="shared" si="47"/>
        <v>20055.562308626791</v>
      </c>
      <c r="S137" s="120">
        <f t="shared" si="46"/>
        <v>20006.741854685984</v>
      </c>
      <c r="T137" s="120">
        <f t="shared" si="46"/>
        <v>19958.02917554964</v>
      </c>
      <c r="U137" s="120">
        <f t="shared" si="46"/>
        <v>19909.424033296804</v>
      </c>
      <c r="V137" s="120">
        <f t="shared" si="46"/>
        <v>19860.926190531773</v>
      </c>
      <c r="W137" s="120">
        <f t="shared" si="46"/>
        <v>19812.535410382894</v>
      </c>
      <c r="X137" s="120">
        <f t="shared" si="46"/>
        <v>19764.251456501439</v>
      </c>
      <c r="Y137" s="120">
        <f t="shared" si="46"/>
        <v>19716.07409306043</v>
      </c>
      <c r="Z137" s="120">
        <f t="shared" si="46"/>
        <v>19668.003084753484</v>
      </c>
      <c r="AA137" s="120">
        <f t="shared" si="46"/>
        <v>19620.038196793696</v>
      </c>
      <c r="AB137" s="120">
        <f t="shared" si="46"/>
        <v>19572.17919491246</v>
      </c>
      <c r="AC137" s="120">
        <f t="shared" si="46"/>
        <v>19524.425845358335</v>
      </c>
      <c r="AD137" s="120">
        <f t="shared" si="46"/>
        <v>19476.777914895905</v>
      </c>
      <c r="AE137" s="120">
        <f t="shared" si="46"/>
        <v>19429.235170804634</v>
      </c>
      <c r="AF137" s="120">
        <f t="shared" si="46"/>
        <v>19381.797380877742</v>
      </c>
      <c r="AG137" s="120">
        <f t="shared" si="46"/>
        <v>19334.464313421064</v>
      </c>
      <c r="AI137" s="188"/>
    </row>
    <row r="138" spans="1:36" outlineLevel="1">
      <c r="A138" s="104" t="s">
        <v>622</v>
      </c>
      <c r="B138" s="252" t="s">
        <v>127</v>
      </c>
      <c r="C138" s="120">
        <f t="shared" si="47"/>
        <v>0</v>
      </c>
      <c r="D138" s="120">
        <f t="shared" si="46"/>
        <v>0</v>
      </c>
      <c r="E138" s="120">
        <f t="shared" si="46"/>
        <v>0</v>
      </c>
      <c r="F138" s="120">
        <f t="shared" si="46"/>
        <v>0</v>
      </c>
      <c r="G138" s="120">
        <f t="shared" si="46"/>
        <v>0</v>
      </c>
      <c r="H138" s="120">
        <f t="shared" si="46"/>
        <v>0</v>
      </c>
      <c r="I138" s="120">
        <f t="shared" si="46"/>
        <v>0</v>
      </c>
      <c r="J138" s="120">
        <f t="shared" si="46"/>
        <v>0</v>
      </c>
      <c r="K138" s="120">
        <f t="shared" si="46"/>
        <v>0</v>
      </c>
      <c r="L138" s="120">
        <f t="shared" si="46"/>
        <v>0</v>
      </c>
      <c r="M138" s="120">
        <f t="shared" si="46"/>
        <v>0</v>
      </c>
      <c r="N138" s="120">
        <f t="shared" si="46"/>
        <v>0</v>
      </c>
      <c r="O138" s="120">
        <f t="shared" si="46"/>
        <v>0</v>
      </c>
      <c r="P138" s="120">
        <f t="shared" si="46"/>
        <v>0</v>
      </c>
      <c r="Q138" s="120">
        <f t="shared" si="46"/>
        <v>0</v>
      </c>
      <c r="R138" s="120">
        <f t="shared" si="46"/>
        <v>0</v>
      </c>
      <c r="S138" s="120">
        <f t="shared" si="46"/>
        <v>0</v>
      </c>
      <c r="T138" s="120">
        <f t="shared" si="46"/>
        <v>0</v>
      </c>
      <c r="U138" s="120">
        <f t="shared" si="46"/>
        <v>0</v>
      </c>
      <c r="V138" s="120">
        <f t="shared" si="46"/>
        <v>0</v>
      </c>
      <c r="W138" s="120">
        <f t="shared" si="46"/>
        <v>0</v>
      </c>
      <c r="X138" s="120">
        <f t="shared" si="46"/>
        <v>0</v>
      </c>
      <c r="Y138" s="120">
        <f t="shared" si="46"/>
        <v>0</v>
      </c>
      <c r="Z138" s="120">
        <f t="shared" si="46"/>
        <v>0</v>
      </c>
      <c r="AA138" s="120">
        <f t="shared" si="46"/>
        <v>0</v>
      </c>
      <c r="AB138" s="120">
        <f t="shared" si="46"/>
        <v>0</v>
      </c>
      <c r="AC138" s="120">
        <f t="shared" si="46"/>
        <v>0</v>
      </c>
      <c r="AD138" s="120">
        <f t="shared" si="46"/>
        <v>0</v>
      </c>
      <c r="AE138" s="120">
        <f t="shared" si="46"/>
        <v>0</v>
      </c>
      <c r="AF138" s="120">
        <f t="shared" si="46"/>
        <v>0</v>
      </c>
      <c r="AG138" s="120">
        <f t="shared" si="46"/>
        <v>0</v>
      </c>
      <c r="AI138" s="188"/>
    </row>
    <row r="139" spans="1:36" outlineLevel="1">
      <c r="A139" s="104" t="s">
        <v>623</v>
      </c>
      <c r="B139" s="252" t="s">
        <v>127</v>
      </c>
      <c r="C139" s="120">
        <f t="shared" si="47"/>
        <v>0</v>
      </c>
      <c r="D139" s="120">
        <f t="shared" si="46"/>
        <v>0</v>
      </c>
      <c r="E139" s="120">
        <f t="shared" si="46"/>
        <v>0</v>
      </c>
      <c r="F139" s="120">
        <f t="shared" si="46"/>
        <v>0</v>
      </c>
      <c r="G139" s="120">
        <f t="shared" si="46"/>
        <v>0</v>
      </c>
      <c r="H139" s="120">
        <f t="shared" si="46"/>
        <v>0</v>
      </c>
      <c r="I139" s="120">
        <f t="shared" si="46"/>
        <v>0</v>
      </c>
      <c r="J139" s="120">
        <f t="shared" si="46"/>
        <v>0</v>
      </c>
      <c r="K139" s="120">
        <f t="shared" si="46"/>
        <v>0</v>
      </c>
      <c r="L139" s="120">
        <f t="shared" si="46"/>
        <v>0</v>
      </c>
      <c r="M139" s="120">
        <f t="shared" si="46"/>
        <v>0</v>
      </c>
      <c r="N139" s="120">
        <f t="shared" si="46"/>
        <v>0</v>
      </c>
      <c r="O139" s="120">
        <f t="shared" si="46"/>
        <v>0</v>
      </c>
      <c r="P139" s="120">
        <f t="shared" si="46"/>
        <v>0</v>
      </c>
      <c r="Q139" s="120">
        <f t="shared" si="46"/>
        <v>0</v>
      </c>
      <c r="R139" s="120">
        <f t="shared" si="46"/>
        <v>0</v>
      </c>
      <c r="S139" s="120">
        <f t="shared" si="46"/>
        <v>0</v>
      </c>
      <c r="T139" s="120">
        <f t="shared" si="46"/>
        <v>0</v>
      </c>
      <c r="U139" s="120">
        <f t="shared" si="46"/>
        <v>0</v>
      </c>
      <c r="V139" s="120">
        <f t="shared" si="46"/>
        <v>0</v>
      </c>
      <c r="W139" s="120">
        <f t="shared" si="46"/>
        <v>0</v>
      </c>
      <c r="X139" s="120">
        <f t="shared" si="46"/>
        <v>0</v>
      </c>
      <c r="Y139" s="120">
        <f t="shared" si="46"/>
        <v>0</v>
      </c>
      <c r="Z139" s="120">
        <f t="shared" si="46"/>
        <v>0</v>
      </c>
      <c r="AA139" s="120">
        <f t="shared" si="46"/>
        <v>0</v>
      </c>
      <c r="AB139" s="120">
        <f t="shared" si="46"/>
        <v>0</v>
      </c>
      <c r="AC139" s="120">
        <f t="shared" si="46"/>
        <v>0</v>
      </c>
      <c r="AD139" s="120">
        <f t="shared" si="46"/>
        <v>0</v>
      </c>
      <c r="AE139" s="120">
        <f t="shared" si="46"/>
        <v>0</v>
      </c>
      <c r="AF139" s="120">
        <f t="shared" si="46"/>
        <v>0</v>
      </c>
      <c r="AG139" s="120">
        <f t="shared" si="46"/>
        <v>0</v>
      </c>
      <c r="AI139" s="188"/>
    </row>
    <row r="140" spans="1:36" outlineLevel="1">
      <c r="A140" s="104" t="s">
        <v>624</v>
      </c>
      <c r="B140" s="252" t="s">
        <v>127</v>
      </c>
      <c r="C140" s="120">
        <f t="shared" si="47"/>
        <v>31201.448251945247</v>
      </c>
      <c r="D140" s="120">
        <f t="shared" si="46"/>
        <v>30572.402617356143</v>
      </c>
      <c r="E140" s="120">
        <f t="shared" si="46"/>
        <v>29946.209671520537</v>
      </c>
      <c r="F140" s="120">
        <f t="shared" si="46"/>
        <v>29322.860152607886</v>
      </c>
      <c r="G140" s="120">
        <f t="shared" si="46"/>
        <v>28702.344825777698</v>
      </c>
      <c r="H140" s="120">
        <f t="shared" si="46"/>
        <v>28084.654483105645</v>
      </c>
      <c r="I140" s="120">
        <f t="shared" si="46"/>
        <v>27469.779943509599</v>
      </c>
      <c r="J140" s="120">
        <f t="shared" si="46"/>
        <v>26857.712052676045</v>
      </c>
      <c r="K140" s="120">
        <f t="shared" si="46"/>
        <v>26248.44168298665</v>
      </c>
      <c r="L140" s="120">
        <f t="shared" si="46"/>
        <v>25641.95973344499</v>
      </c>
      <c r="M140" s="120">
        <f t="shared" si="46"/>
        <v>25038.257129603517</v>
      </c>
      <c r="N140" s="120">
        <f t="shared" si="46"/>
        <v>24437.324823490653</v>
      </c>
      <c r="O140" s="120">
        <f t="shared" si="46"/>
        <v>23839.153793538153</v>
      </c>
      <c r="P140" s="120">
        <f t="shared" si="46"/>
        <v>23243.735044508609</v>
      </c>
      <c r="Q140" s="120">
        <f t="shared" si="46"/>
        <v>22651.059607423183</v>
      </c>
      <c r="R140" s="120">
        <f t="shared" si="46"/>
        <v>22061.118539489464</v>
      </c>
      <c r="S140" s="120">
        <f t="shared" si="46"/>
        <v>21473.902924029615</v>
      </c>
      <c r="T140" s="120">
        <f t="shared" si="46"/>
        <v>20889.403870408616</v>
      </c>
      <c r="U140" s="120">
        <f t="shared" si="46"/>
        <v>20307.612513962733</v>
      </c>
      <c r="V140" s="120">
        <f t="shared" si="46"/>
        <v>19728.520015928221</v>
      </c>
      <c r="W140" s="120">
        <f t="shared" si="46"/>
        <v>19152.117563370124</v>
      </c>
      <c r="X140" s="120">
        <f t="shared" si="46"/>
        <v>18578.396369111346</v>
      </c>
      <c r="Y140" s="120">
        <f t="shared" si="46"/>
        <v>18007.34767166185</v>
      </c>
      <c r="Z140" s="120">
        <f t="shared" si="46"/>
        <v>17438.962735148081</v>
      </c>
      <c r="AA140" s="120">
        <f t="shared" si="46"/>
        <v>16873.232849242573</v>
      </c>
      <c r="AB140" s="120">
        <f t="shared" si="46"/>
        <v>16310.149329093709</v>
      </c>
      <c r="AC140" s="120">
        <f t="shared" si="46"/>
        <v>15749.703515255716</v>
      </c>
      <c r="AD140" s="120">
        <f t="shared" si="46"/>
        <v>15191.886773618799</v>
      </c>
      <c r="AE140" s="120">
        <f t="shared" si="46"/>
        <v>14636.690495339484</v>
      </c>
      <c r="AF140" s="120">
        <f t="shared" si="46"/>
        <v>14084.106096771151</v>
      </c>
      <c r="AG140" s="120">
        <f t="shared" si="46"/>
        <v>13534.125019394745</v>
      </c>
      <c r="AI140" s="188"/>
    </row>
    <row r="141" spans="1:36" outlineLevel="1">
      <c r="A141" s="104" t="s">
        <v>625</v>
      </c>
      <c r="B141" s="252" t="s">
        <v>127</v>
      </c>
      <c r="C141" s="120">
        <f t="shared" si="47"/>
        <v>10400.482750648416</v>
      </c>
      <c r="D141" s="120">
        <f t="shared" si="46"/>
        <v>10236.913093594367</v>
      </c>
      <c r="E141" s="120">
        <f t="shared" si="46"/>
        <v>10074.070534658984</v>
      </c>
      <c r="F141" s="120">
        <f t="shared" si="46"/>
        <v>9911.9527276421049</v>
      </c>
      <c r="G141" s="120">
        <f t="shared" si="46"/>
        <v>9750.5573331589349</v>
      </c>
      <c r="H141" s="120">
        <f t="shared" si="46"/>
        <v>9589.8820186214452</v>
      </c>
      <c r="I141" s="120">
        <f t="shared" si="46"/>
        <v>9429.9244582197189</v>
      </c>
      <c r="J141" s="120">
        <f t="shared" si="46"/>
        <v>9270.6823329034123</v>
      </c>
      <c r="K141" s="120">
        <f t="shared" si="46"/>
        <v>9112.1533303632477</v>
      </c>
      <c r="L141" s="120">
        <f t="shared" si="46"/>
        <v>8954.3351450125447</v>
      </c>
      <c r="M141" s="120">
        <f t="shared" si="46"/>
        <v>8797.2254779688119</v>
      </c>
      <c r="N141" s="120">
        <f t="shared" si="46"/>
        <v>8640.8220370353793</v>
      </c>
      <c r="O141" s="120">
        <f t="shared" si="46"/>
        <v>8485.1225366830822</v>
      </c>
      <c r="P141" s="120">
        <f t="shared" si="46"/>
        <v>8330.1246980319993</v>
      </c>
      <c r="Q141" s="120">
        <f t="shared" si="46"/>
        <v>8175.826248833233</v>
      </c>
      <c r="R141" s="120">
        <f t="shared" si="46"/>
        <v>8022.2249234507281</v>
      </c>
      <c r="S141" s="120">
        <f t="shared" si="46"/>
        <v>7869.3184628431663</v>
      </c>
      <c r="T141" s="120">
        <f t="shared" si="46"/>
        <v>7717.1046145458731</v>
      </c>
      <c r="U141" s="120">
        <f t="shared" si="46"/>
        <v>7565.5811326527974</v>
      </c>
      <c r="V141" s="120">
        <f t="shared" si="46"/>
        <v>7414.745777798541</v>
      </c>
      <c r="W141" s="120">
        <f t="shared" si="46"/>
        <v>7264.5963171404064</v>
      </c>
      <c r="X141" s="120">
        <f t="shared" si="46"/>
        <v>7115.1305243405304</v>
      </c>
      <c r="Y141" s="120">
        <f t="shared" si="46"/>
        <v>6966.3461795480307</v>
      </c>
      <c r="Z141" s="120">
        <f t="shared" si="46"/>
        <v>6818.2410693812199</v>
      </c>
      <c r="AA141" s="120">
        <f t="shared" si="46"/>
        <v>6670.8129869098693</v>
      </c>
      <c r="AB141" s="120">
        <f t="shared" si="46"/>
        <v>6524.0597316374988</v>
      </c>
      <c r="AC141" s="120">
        <f t="shared" si="46"/>
        <v>6377.9791094837346</v>
      </c>
      <c r="AD141" s="120">
        <f t="shared" si="46"/>
        <v>6232.5689327667014</v>
      </c>
      <c r="AE141" s="120">
        <f t="shared" si="46"/>
        <v>6087.8270201854639</v>
      </c>
      <c r="AF141" s="120">
        <f t="shared" si="46"/>
        <v>5943.7511968025201</v>
      </c>
      <c r="AG141" s="120">
        <f t="shared" si="46"/>
        <v>5800.3392940263193</v>
      </c>
      <c r="AI141" s="188"/>
    </row>
    <row r="142" spans="1:36" s="54" customFormat="1">
      <c r="A142" s="54" t="s">
        <v>627</v>
      </c>
      <c r="B142" s="253"/>
      <c r="C142" s="545">
        <f>C47</f>
        <v>2286037.4636282991</v>
      </c>
      <c r="D142" s="545">
        <f t="shared" ref="D142:AG142" si="48">D47</f>
        <v>2271613.9888518159</v>
      </c>
      <c r="E142" s="545">
        <f t="shared" si="48"/>
        <v>2257243.0551303509</v>
      </c>
      <c r="F142" s="545">
        <f t="shared" si="48"/>
        <v>2242924.5007784534</v>
      </c>
      <c r="G142" s="545">
        <f t="shared" si="48"/>
        <v>2228658.1645684843</v>
      </c>
      <c r="H142" s="545">
        <f t="shared" si="48"/>
        <v>2214443.8857293846</v>
      </c>
      <c r="I142" s="545">
        <f t="shared" si="48"/>
        <v>2197814.388189266</v>
      </c>
      <c r="J142" s="545">
        <f t="shared" si="48"/>
        <v>2181247.5205279235</v>
      </c>
      <c r="K142" s="545">
        <f t="shared" si="48"/>
        <v>2164743.0872670417</v>
      </c>
      <c r="L142" s="545">
        <f t="shared" si="48"/>
        <v>2148300.8934861505</v>
      </c>
      <c r="M142" s="545">
        <f t="shared" si="48"/>
        <v>2131920.7448211163</v>
      </c>
      <c r="N142" s="545">
        <f t="shared" si="48"/>
        <v>2112920.4362826366</v>
      </c>
      <c r="O142" s="545">
        <f t="shared" si="48"/>
        <v>2095488.4015681772</v>
      </c>
      <c r="P142" s="545">
        <f t="shared" si="48"/>
        <v>2076906.6993512646</v>
      </c>
      <c r="Q142" s="545">
        <f t="shared" si="48"/>
        <v>2058396.6623088743</v>
      </c>
      <c r="R142" s="545">
        <f t="shared" si="48"/>
        <v>2039958.0658279145</v>
      </c>
      <c r="S142" s="545">
        <f t="shared" si="48"/>
        <v>2021590.6859330507</v>
      </c>
      <c r="T142" s="545">
        <f t="shared" si="48"/>
        <v>2003294.2992849965</v>
      </c>
      <c r="U142" s="545">
        <f t="shared" si="48"/>
        <v>1985068.6831788104</v>
      </c>
      <c r="V142" s="545">
        <f t="shared" si="48"/>
        <v>1966913.6155422039</v>
      </c>
      <c r="W142" s="545">
        <f t="shared" si="48"/>
        <v>1948828.8749338428</v>
      </c>
      <c r="X142" s="545">
        <f t="shared" si="48"/>
        <v>1936305.3589450463</v>
      </c>
      <c r="Y142" s="545">
        <f t="shared" si="48"/>
        <v>1922269.2823658269</v>
      </c>
      <c r="Z142" s="545">
        <f t="shared" si="48"/>
        <v>1908078.8284797752</v>
      </c>
      <c r="AA142" s="545">
        <f t="shared" si="48"/>
        <v>1893938.9892635508</v>
      </c>
      <c r="AB142" s="545">
        <f t="shared" si="48"/>
        <v>1879849.647360974</v>
      </c>
      <c r="AC142" s="545">
        <f t="shared" si="48"/>
        <v>1865739.1569511874</v>
      </c>
      <c r="AD142" s="545">
        <f t="shared" si="48"/>
        <v>1851679.2453165532</v>
      </c>
      <c r="AE142" s="545">
        <f t="shared" si="48"/>
        <v>1837669.7944206207</v>
      </c>
      <c r="AF142" s="545">
        <f t="shared" si="48"/>
        <v>1823710.6863528732</v>
      </c>
      <c r="AG142" s="545">
        <f t="shared" si="48"/>
        <v>1809801.8033292289</v>
      </c>
      <c r="AI142" s="255"/>
      <c r="AJ142" s="256"/>
    </row>
    <row r="143" spans="1:36" s="54" customFormat="1">
      <c r="A143" s="257" t="s">
        <v>178</v>
      </c>
      <c r="B143" s="258" t="s">
        <v>127</v>
      </c>
      <c r="C143" s="548">
        <f>C142-C132</f>
        <v>0</v>
      </c>
      <c r="D143" s="548">
        <f t="shared" ref="D143:AG143" si="49">D142-D132</f>
        <v>-9376.8760510631837</v>
      </c>
      <c r="E143" s="548">
        <f t="shared" si="49"/>
        <v>-18712.351791343652</v>
      </c>
      <c r="F143" s="548">
        <f t="shared" si="49"/>
        <v>-28006.564312267117</v>
      </c>
      <c r="G143" s="548">
        <f t="shared" si="49"/>
        <v>-37259.65030173678</v>
      </c>
      <c r="H143" s="548">
        <f t="shared" si="49"/>
        <v>-46471.746045254171</v>
      </c>
      <c r="I143" s="548">
        <f t="shared" si="49"/>
        <v>-58110.103183200583</v>
      </c>
      <c r="J143" s="548">
        <f t="shared" si="49"/>
        <v>-69696.848758208565</v>
      </c>
      <c r="K143" s="548">
        <f t="shared" si="49"/>
        <v>-81232.153924837243</v>
      </c>
      <c r="L143" s="548">
        <f t="shared" si="49"/>
        <v>-92716.189333496615</v>
      </c>
      <c r="M143" s="548">
        <f t="shared" si="49"/>
        <v>-104149.12513183895</v>
      </c>
      <c r="N143" s="548">
        <f t="shared" si="49"/>
        <v>-118213.14214614406</v>
      </c>
      <c r="O143" s="548">
        <f t="shared" si="49"/>
        <v>-130719.78256926546</v>
      </c>
      <c r="P143" s="548">
        <f t="shared" si="49"/>
        <v>-144386.96367121954</v>
      </c>
      <c r="Q143" s="548">
        <f t="shared" si="49"/>
        <v>-157993.32877168129</v>
      </c>
      <c r="R143" s="548">
        <f t="shared" si="49"/>
        <v>-171539.07853338029</v>
      </c>
      <c r="S143" s="548">
        <f t="shared" si="49"/>
        <v>-185024.41303416342</v>
      </c>
      <c r="T143" s="548">
        <f t="shared" si="49"/>
        <v>-198449.53176858323</v>
      </c>
      <c r="U143" s="548">
        <f t="shared" si="49"/>
        <v>-211814.63364948565</v>
      </c>
      <c r="V143" s="548">
        <f t="shared" si="49"/>
        <v>-225119.91700958903</v>
      </c>
      <c r="W143" s="548">
        <f t="shared" si="49"/>
        <v>-238365.57960306224</v>
      </c>
      <c r="X143" s="548">
        <f t="shared" si="49"/>
        <v>-246060.70020371326</v>
      </c>
      <c r="Y143" s="548">
        <f t="shared" si="49"/>
        <v>-255279.04043883178</v>
      </c>
      <c r="Z143" s="548">
        <f t="shared" si="49"/>
        <v>-264662.39349418879</v>
      </c>
      <c r="AA143" s="548">
        <f t="shared" si="49"/>
        <v>-274005.74391443469</v>
      </c>
      <c r="AB143" s="548">
        <f t="shared" si="49"/>
        <v>-283309.18562888773</v>
      </c>
      <c r="AC143" s="548">
        <f t="shared" si="49"/>
        <v>-292644.34108326188</v>
      </c>
      <c r="AD143" s="548">
        <f t="shared" si="49"/>
        <v>-301939.45967165311</v>
      </c>
      <c r="AE143" s="548">
        <f t="shared" si="49"/>
        <v>-311194.63615845866</v>
      </c>
      <c r="AF143" s="548">
        <f t="shared" si="49"/>
        <v>-320409.96523351688</v>
      </c>
      <c r="AG143" s="548">
        <f t="shared" si="49"/>
        <v>-329585.54151149327</v>
      </c>
      <c r="AI143" s="255"/>
      <c r="AJ143" s="256"/>
    </row>
    <row r="144" spans="1:36">
      <c r="A144" s="260" t="s">
        <v>619</v>
      </c>
      <c r="B144" s="252" t="s">
        <v>127</v>
      </c>
      <c r="C144" s="547">
        <f>C100</f>
        <v>205940.91349861573</v>
      </c>
      <c r="D144" s="547">
        <f t="shared" ref="D144:AG144" si="50">D100</f>
        <v>231231.35967447128</v>
      </c>
      <c r="E144" s="547">
        <f t="shared" si="50"/>
        <v>257029.45196162269</v>
      </c>
      <c r="F144" s="547">
        <f t="shared" si="50"/>
        <v>283310.71918053529</v>
      </c>
      <c r="G144" s="547">
        <f t="shared" si="50"/>
        <v>310050.89030255144</v>
      </c>
      <c r="H144" s="547">
        <f t="shared" si="50"/>
        <v>337225.89337559766</v>
      </c>
      <c r="I144" s="547">
        <f t="shared" si="50"/>
        <v>363617.59327209415</v>
      </c>
      <c r="J144" s="547">
        <f t="shared" si="50"/>
        <v>390234.39457129862</v>
      </c>
      <c r="K144" s="547">
        <f t="shared" si="50"/>
        <v>417053.90768287808</v>
      </c>
      <c r="L144" s="547">
        <f t="shared" si="50"/>
        <v>444053.93299751054</v>
      </c>
      <c r="M144" s="547">
        <f t="shared" si="50"/>
        <v>471212.45985365967</v>
      </c>
      <c r="N144" s="547">
        <f t="shared" si="50"/>
        <v>490627.38014533429</v>
      </c>
      <c r="O144" s="547">
        <f t="shared" si="50"/>
        <v>510282.61417185731</v>
      </c>
      <c r="P144" s="547">
        <f t="shared" si="50"/>
        <v>529474.98281558638</v>
      </c>
      <c r="Q144" s="547">
        <f t="shared" si="50"/>
        <v>548568.38673533918</v>
      </c>
      <c r="R144" s="547">
        <f t="shared" si="50"/>
        <v>567546.56774446857</v>
      </c>
      <c r="S144" s="547">
        <f t="shared" si="50"/>
        <v>586393.41570290737</v>
      </c>
      <c r="T144" s="547">
        <f t="shared" si="50"/>
        <v>605092.96764187422</v>
      </c>
      <c r="U144" s="547">
        <f t="shared" si="50"/>
        <v>623629.40689287998</v>
      </c>
      <c r="V144" s="547">
        <f t="shared" si="50"/>
        <v>641987.06222101115</v>
      </c>
      <c r="W144" s="547">
        <f t="shared" si="50"/>
        <v>660150.4069624769</v>
      </c>
      <c r="X144" s="547">
        <f t="shared" si="50"/>
        <v>688583.48595673207</v>
      </c>
      <c r="Y144" s="547">
        <f t="shared" si="50"/>
        <v>716476.4224400504</v>
      </c>
      <c r="Z144" s="547">
        <f t="shared" si="50"/>
        <v>743929.44332505704</v>
      </c>
      <c r="AA144" s="547">
        <f t="shared" si="50"/>
        <v>771341.1725047275</v>
      </c>
      <c r="AB144" s="547">
        <f t="shared" si="50"/>
        <v>798697.352539371</v>
      </c>
      <c r="AC144" s="547">
        <f t="shared" si="50"/>
        <v>825908.08647414844</v>
      </c>
      <c r="AD144" s="547">
        <f t="shared" si="50"/>
        <v>853030.49708412273</v>
      </c>
      <c r="AE144" s="547">
        <f t="shared" si="50"/>
        <v>880050.77624399413</v>
      </c>
      <c r="AF144" s="547">
        <f t="shared" si="50"/>
        <v>906955.25025424745</v>
      </c>
      <c r="AG144" s="547">
        <f t="shared" si="50"/>
        <v>933730.37762990373</v>
      </c>
      <c r="AI144" s="246"/>
    </row>
    <row r="145" spans="1:36" s="62" customFormat="1">
      <c r="A145" s="261" t="s">
        <v>628</v>
      </c>
      <c r="B145" s="262" t="s">
        <v>127</v>
      </c>
      <c r="C145" s="549">
        <f>C142-C144</f>
        <v>2080096.5501296832</v>
      </c>
      <c r="D145" s="549">
        <f t="shared" ref="D145:AG145" si="51">D142-D144</f>
        <v>2040382.6291773447</v>
      </c>
      <c r="E145" s="549">
        <f t="shared" si="51"/>
        <v>2000213.6031687283</v>
      </c>
      <c r="F145" s="549">
        <f t="shared" si="51"/>
        <v>1959613.7815979181</v>
      </c>
      <c r="G145" s="549">
        <f t="shared" si="51"/>
        <v>1918607.2742659329</v>
      </c>
      <c r="H145" s="549">
        <f t="shared" si="51"/>
        <v>1877217.9923537869</v>
      </c>
      <c r="I145" s="549">
        <f t="shared" si="51"/>
        <v>1834196.7949171718</v>
      </c>
      <c r="J145" s="549">
        <f t="shared" si="51"/>
        <v>1791013.1259566247</v>
      </c>
      <c r="K145" s="549">
        <f t="shared" si="51"/>
        <v>1747689.1795841637</v>
      </c>
      <c r="L145" s="549">
        <f t="shared" si="51"/>
        <v>1704246.96048864</v>
      </c>
      <c r="M145" s="549">
        <f t="shared" si="51"/>
        <v>1660708.2849674567</v>
      </c>
      <c r="N145" s="549">
        <f t="shared" si="51"/>
        <v>1622293.0561373024</v>
      </c>
      <c r="O145" s="549">
        <f t="shared" si="51"/>
        <v>1585205.7873963199</v>
      </c>
      <c r="P145" s="549">
        <f t="shared" si="51"/>
        <v>1547431.7165356781</v>
      </c>
      <c r="Q145" s="549">
        <f t="shared" si="51"/>
        <v>1509828.2755735351</v>
      </c>
      <c r="R145" s="549">
        <f t="shared" si="51"/>
        <v>1472411.4980834459</v>
      </c>
      <c r="S145" s="549">
        <f t="shared" si="51"/>
        <v>1435197.2702301433</v>
      </c>
      <c r="T145" s="549">
        <f t="shared" si="51"/>
        <v>1398201.3316431222</v>
      </c>
      <c r="U145" s="549">
        <f t="shared" si="51"/>
        <v>1361439.2762859305</v>
      </c>
      <c r="V145" s="549">
        <f t="shared" si="51"/>
        <v>1324926.5533211927</v>
      </c>
      <c r="W145" s="549">
        <f t="shared" si="51"/>
        <v>1288678.4679713659</v>
      </c>
      <c r="X145" s="549">
        <f t="shared" si="51"/>
        <v>1247721.8729883144</v>
      </c>
      <c r="Y145" s="549">
        <f t="shared" si="51"/>
        <v>1205792.8599257765</v>
      </c>
      <c r="Z145" s="549">
        <f t="shared" si="51"/>
        <v>1164149.3851547181</v>
      </c>
      <c r="AA145" s="549">
        <f t="shared" si="51"/>
        <v>1122597.8167588233</v>
      </c>
      <c r="AB145" s="549">
        <f t="shared" si="51"/>
        <v>1081152.294821603</v>
      </c>
      <c r="AC145" s="549">
        <f t="shared" si="51"/>
        <v>1039831.070477039</v>
      </c>
      <c r="AD145" s="549">
        <f t="shared" si="51"/>
        <v>998648.74823243043</v>
      </c>
      <c r="AE145" s="549">
        <f t="shared" si="51"/>
        <v>957619.01817662653</v>
      </c>
      <c r="AF145" s="549">
        <f t="shared" si="51"/>
        <v>916755.43609862577</v>
      </c>
      <c r="AG145" s="549">
        <f t="shared" si="51"/>
        <v>876071.42569932516</v>
      </c>
      <c r="AI145" s="264"/>
      <c r="AJ145" s="265"/>
    </row>
    <row r="146" spans="1:36" s="54" customFormat="1" outlineLevel="1">
      <c r="A146" s="257" t="s">
        <v>656</v>
      </c>
      <c r="B146" s="258" t="s">
        <v>126</v>
      </c>
      <c r="C146" s="548">
        <f>C142*C112</f>
        <v>2240316.7143557332</v>
      </c>
      <c r="D146" s="548">
        <f t="shared" ref="D146:AG146" si="52">D142*D112</f>
        <v>2226938.9137377301</v>
      </c>
      <c r="E146" s="548">
        <f t="shared" si="52"/>
        <v>2213603.022731164</v>
      </c>
      <c r="F146" s="548">
        <f t="shared" si="52"/>
        <v>2200308.9352636626</v>
      </c>
      <c r="G146" s="548">
        <f t="shared" si="52"/>
        <v>2187056.5454965387</v>
      </c>
      <c r="H146" s="548">
        <f t="shared" si="52"/>
        <v>2173845.7478243452</v>
      </c>
      <c r="I146" s="548">
        <f t="shared" si="52"/>
        <v>2158253.7292018589</v>
      </c>
      <c r="J146" s="548">
        <f t="shared" si="52"/>
        <v>2142712.1476652627</v>
      </c>
      <c r="K146" s="548">
        <f t="shared" si="52"/>
        <v>2127220.8737544124</v>
      </c>
      <c r="L146" s="548">
        <f t="shared" si="52"/>
        <v>2111779.7782968851</v>
      </c>
      <c r="M146" s="548">
        <f t="shared" si="52"/>
        <v>2096388.7324074302</v>
      </c>
      <c r="N146" s="548">
        <f t="shared" si="52"/>
        <v>2078409.4024900193</v>
      </c>
      <c r="O146" s="548">
        <f t="shared" si="52"/>
        <v>2061960.5871430854</v>
      </c>
      <c r="P146" s="548">
        <f t="shared" si="52"/>
        <v>2044368.4943947603</v>
      </c>
      <c r="Q146" s="548">
        <f t="shared" si="52"/>
        <v>2026834.5801534704</v>
      </c>
      <c r="R146" s="548">
        <f t="shared" si="52"/>
        <v>2009358.6948404945</v>
      </c>
      <c r="S146" s="548">
        <f t="shared" si="52"/>
        <v>1991940.6892060314</v>
      </c>
      <c r="T146" s="548">
        <f t="shared" si="52"/>
        <v>1974580.414328577</v>
      </c>
      <c r="U146" s="548">
        <f t="shared" si="52"/>
        <v>1957277.7216143056</v>
      </c>
      <c r="V146" s="548">
        <f t="shared" si="52"/>
        <v>1940032.462796459</v>
      </c>
      <c r="W146" s="548">
        <f t="shared" si="52"/>
        <v>1922844.4899347234</v>
      </c>
      <c r="X146" s="548">
        <f t="shared" si="52"/>
        <v>1911133.3892787592</v>
      </c>
      <c r="Y146" s="548">
        <f t="shared" si="52"/>
        <v>1897920.5381225247</v>
      </c>
      <c r="Z146" s="548">
        <f t="shared" si="52"/>
        <v>1884545.8562618564</v>
      </c>
      <c r="AA146" s="548">
        <f t="shared" si="52"/>
        <v>1871211.7213923866</v>
      </c>
      <c r="AB146" s="548">
        <f t="shared" si="52"/>
        <v>1857918.0681417608</v>
      </c>
      <c r="AC146" s="548">
        <f t="shared" si="52"/>
        <v>1844594.1131724054</v>
      </c>
      <c r="AD146" s="548">
        <f t="shared" si="52"/>
        <v>1831310.7736180692</v>
      </c>
      <c r="AE146" s="548">
        <f t="shared" si="52"/>
        <v>1818067.9832801321</v>
      </c>
      <c r="AF146" s="548">
        <f t="shared" si="52"/>
        <v>1804865.6759272248</v>
      </c>
      <c r="AG146" s="548">
        <f t="shared" si="52"/>
        <v>1791703.7852959365</v>
      </c>
      <c r="AI146" s="255"/>
      <c r="AJ146" s="288" t="s">
        <v>629</v>
      </c>
    </row>
    <row r="147" spans="1:36" s="54" customFormat="1" outlineLevel="1">
      <c r="A147" s="257" t="s">
        <v>667</v>
      </c>
      <c r="B147" s="258" t="s">
        <v>126</v>
      </c>
      <c r="C147" s="548">
        <f>C146*C113</f>
        <v>2240316.7143557332</v>
      </c>
      <c r="D147" s="548">
        <f t="shared" ref="D147:AG147" si="53">D146*D113</f>
        <v>2226938.9137377301</v>
      </c>
      <c r="E147" s="548">
        <f t="shared" si="53"/>
        <v>2213603.022731164</v>
      </c>
      <c r="F147" s="548">
        <f t="shared" si="53"/>
        <v>2200308.9352636626</v>
      </c>
      <c r="G147" s="548">
        <f t="shared" si="53"/>
        <v>2187056.5454965387</v>
      </c>
      <c r="H147" s="548">
        <f t="shared" si="53"/>
        <v>2173845.7478243452</v>
      </c>
      <c r="I147" s="548">
        <f t="shared" si="53"/>
        <v>2158253.7292018589</v>
      </c>
      <c r="J147" s="548">
        <f t="shared" si="53"/>
        <v>2142712.1476652627</v>
      </c>
      <c r="K147" s="548">
        <f t="shared" si="53"/>
        <v>2127220.8737544124</v>
      </c>
      <c r="L147" s="548">
        <f t="shared" si="53"/>
        <v>2111779.7782968851</v>
      </c>
      <c r="M147" s="548">
        <f t="shared" si="53"/>
        <v>2096388.7324074302</v>
      </c>
      <c r="N147" s="548">
        <f t="shared" si="53"/>
        <v>2078409.4024900193</v>
      </c>
      <c r="O147" s="548">
        <f t="shared" si="53"/>
        <v>2061960.5871430854</v>
      </c>
      <c r="P147" s="548">
        <f t="shared" si="53"/>
        <v>2044368.4943947603</v>
      </c>
      <c r="Q147" s="548">
        <f t="shared" si="53"/>
        <v>2026834.5801534704</v>
      </c>
      <c r="R147" s="548">
        <f t="shared" si="53"/>
        <v>2009358.6948404945</v>
      </c>
      <c r="S147" s="548">
        <f t="shared" si="53"/>
        <v>1991940.6892060314</v>
      </c>
      <c r="T147" s="548">
        <f t="shared" si="53"/>
        <v>1974580.414328577</v>
      </c>
      <c r="U147" s="548">
        <f t="shared" si="53"/>
        <v>1957277.7216143056</v>
      </c>
      <c r="V147" s="548">
        <f t="shared" si="53"/>
        <v>1940032.462796459</v>
      </c>
      <c r="W147" s="548">
        <f t="shared" si="53"/>
        <v>1922844.4899347234</v>
      </c>
      <c r="X147" s="548">
        <f t="shared" si="53"/>
        <v>1911133.3892787592</v>
      </c>
      <c r="Y147" s="548">
        <f t="shared" si="53"/>
        <v>1897920.5381225247</v>
      </c>
      <c r="Z147" s="548">
        <f t="shared" si="53"/>
        <v>1884545.8562618564</v>
      </c>
      <c r="AA147" s="548">
        <f t="shared" si="53"/>
        <v>1871211.7213923866</v>
      </c>
      <c r="AB147" s="548">
        <f t="shared" si="53"/>
        <v>1857918.0681417608</v>
      </c>
      <c r="AC147" s="548">
        <f t="shared" si="53"/>
        <v>1844594.1131724054</v>
      </c>
      <c r="AD147" s="548">
        <f t="shared" si="53"/>
        <v>1831310.7736180692</v>
      </c>
      <c r="AE147" s="548">
        <f t="shared" si="53"/>
        <v>1818067.9832801321</v>
      </c>
      <c r="AF147" s="548">
        <f t="shared" si="53"/>
        <v>1804865.6759272248</v>
      </c>
      <c r="AG147" s="548">
        <f t="shared" si="53"/>
        <v>1791703.7852959365</v>
      </c>
      <c r="AI147" s="255"/>
      <c r="AJ147" s="288" t="s">
        <v>629</v>
      </c>
    </row>
    <row r="148" spans="1:36" s="58" customFormat="1" outlineLevel="1">
      <c r="A148" s="261" t="s">
        <v>668</v>
      </c>
      <c r="B148" s="262" t="s">
        <v>126</v>
      </c>
      <c r="C148" s="549">
        <f>C146*C114</f>
        <v>0</v>
      </c>
      <c r="D148" s="549">
        <f t="shared" ref="D148:AG148" si="54">D146*D114</f>
        <v>0</v>
      </c>
      <c r="E148" s="549">
        <f t="shared" si="54"/>
        <v>0</v>
      </c>
      <c r="F148" s="549">
        <f t="shared" si="54"/>
        <v>0</v>
      </c>
      <c r="G148" s="549">
        <f t="shared" si="54"/>
        <v>0</v>
      </c>
      <c r="H148" s="549">
        <f t="shared" si="54"/>
        <v>0</v>
      </c>
      <c r="I148" s="549">
        <f t="shared" si="54"/>
        <v>0</v>
      </c>
      <c r="J148" s="549">
        <f t="shared" si="54"/>
        <v>0</v>
      </c>
      <c r="K148" s="549">
        <f t="shared" si="54"/>
        <v>0</v>
      </c>
      <c r="L148" s="549">
        <f t="shared" si="54"/>
        <v>0</v>
      </c>
      <c r="M148" s="549">
        <f t="shared" si="54"/>
        <v>0</v>
      </c>
      <c r="N148" s="549">
        <f t="shared" si="54"/>
        <v>0</v>
      </c>
      <c r="O148" s="549">
        <f t="shared" si="54"/>
        <v>0</v>
      </c>
      <c r="P148" s="549">
        <f t="shared" si="54"/>
        <v>0</v>
      </c>
      <c r="Q148" s="549">
        <f t="shared" si="54"/>
        <v>0</v>
      </c>
      <c r="R148" s="549">
        <f t="shared" si="54"/>
        <v>0</v>
      </c>
      <c r="S148" s="549">
        <f t="shared" si="54"/>
        <v>0</v>
      </c>
      <c r="T148" s="549">
        <f t="shared" si="54"/>
        <v>0</v>
      </c>
      <c r="U148" s="549">
        <f t="shared" si="54"/>
        <v>0</v>
      </c>
      <c r="V148" s="549">
        <f t="shared" si="54"/>
        <v>0</v>
      </c>
      <c r="W148" s="549">
        <f t="shared" si="54"/>
        <v>0</v>
      </c>
      <c r="X148" s="549">
        <f t="shared" si="54"/>
        <v>0</v>
      </c>
      <c r="Y148" s="549">
        <f t="shared" si="54"/>
        <v>0</v>
      </c>
      <c r="Z148" s="549">
        <f t="shared" si="54"/>
        <v>0</v>
      </c>
      <c r="AA148" s="549">
        <f t="shared" si="54"/>
        <v>0</v>
      </c>
      <c r="AB148" s="549">
        <f t="shared" si="54"/>
        <v>0</v>
      </c>
      <c r="AC148" s="549">
        <f t="shared" si="54"/>
        <v>0</v>
      </c>
      <c r="AD148" s="549">
        <f t="shared" si="54"/>
        <v>0</v>
      </c>
      <c r="AE148" s="549">
        <f t="shared" si="54"/>
        <v>0</v>
      </c>
      <c r="AF148" s="549">
        <f t="shared" si="54"/>
        <v>0</v>
      </c>
      <c r="AG148" s="549">
        <f t="shared" si="54"/>
        <v>0</v>
      </c>
      <c r="AI148" s="291"/>
      <c r="AJ148" s="290" t="s">
        <v>629</v>
      </c>
    </row>
    <row r="149" spans="1:36" s="1" customFormat="1" outlineLevel="1">
      <c r="A149" t="s">
        <v>649</v>
      </c>
      <c r="B149" s="252" t="s">
        <v>127</v>
      </c>
      <c r="C149" s="547">
        <f>C115*C146</f>
        <v>2240316.7143557332</v>
      </c>
      <c r="D149" s="547">
        <f t="shared" ref="D149:AG149" si="55">D115*D146</f>
        <v>2226938.9137377301</v>
      </c>
      <c r="E149" s="547">
        <f t="shared" si="55"/>
        <v>2213603.022731164</v>
      </c>
      <c r="F149" s="547">
        <f t="shared" si="55"/>
        <v>2200308.9352636626</v>
      </c>
      <c r="G149" s="547">
        <f t="shared" si="55"/>
        <v>2187056.5454965387</v>
      </c>
      <c r="H149" s="547">
        <f t="shared" si="55"/>
        <v>2173845.7478243452</v>
      </c>
      <c r="I149" s="547">
        <f t="shared" si="55"/>
        <v>2158253.7292018589</v>
      </c>
      <c r="J149" s="547">
        <f t="shared" si="55"/>
        <v>2142712.1476652627</v>
      </c>
      <c r="K149" s="547">
        <f t="shared" si="55"/>
        <v>2127220.8737544124</v>
      </c>
      <c r="L149" s="547">
        <f t="shared" si="55"/>
        <v>2111779.7782968851</v>
      </c>
      <c r="M149" s="547">
        <f t="shared" si="55"/>
        <v>2096388.7324074302</v>
      </c>
      <c r="N149" s="547">
        <f t="shared" si="55"/>
        <v>2078409.4024900193</v>
      </c>
      <c r="O149" s="547">
        <f t="shared" si="55"/>
        <v>2061960.5871430854</v>
      </c>
      <c r="P149" s="547">
        <f t="shared" si="55"/>
        <v>2044368.4943947603</v>
      </c>
      <c r="Q149" s="547">
        <f t="shared" si="55"/>
        <v>2026834.5801534704</v>
      </c>
      <c r="R149" s="547">
        <f t="shared" si="55"/>
        <v>2009358.6948404945</v>
      </c>
      <c r="S149" s="547">
        <f t="shared" si="55"/>
        <v>1991940.6892060314</v>
      </c>
      <c r="T149" s="547">
        <f t="shared" si="55"/>
        <v>1974580.414328577</v>
      </c>
      <c r="U149" s="547">
        <f t="shared" si="55"/>
        <v>1957277.7216143056</v>
      </c>
      <c r="V149" s="547">
        <f t="shared" si="55"/>
        <v>1940032.462796459</v>
      </c>
      <c r="W149" s="547">
        <f t="shared" si="55"/>
        <v>1922844.4899347234</v>
      </c>
      <c r="X149" s="547">
        <f t="shared" si="55"/>
        <v>1911133.3892787592</v>
      </c>
      <c r="Y149" s="547">
        <f t="shared" si="55"/>
        <v>1897920.5381225247</v>
      </c>
      <c r="Z149" s="547">
        <f t="shared" si="55"/>
        <v>1884545.8562618564</v>
      </c>
      <c r="AA149" s="547">
        <f t="shared" si="55"/>
        <v>1871211.7213923866</v>
      </c>
      <c r="AB149" s="547">
        <f t="shared" si="55"/>
        <v>1857918.0681417608</v>
      </c>
      <c r="AC149" s="547">
        <f t="shared" si="55"/>
        <v>1844594.1131724054</v>
      </c>
      <c r="AD149" s="547">
        <f t="shared" si="55"/>
        <v>1831310.7736180692</v>
      </c>
      <c r="AE149" s="547">
        <f t="shared" si="55"/>
        <v>1818067.9832801321</v>
      </c>
      <c r="AF149" s="547">
        <f t="shared" si="55"/>
        <v>1804865.6759272248</v>
      </c>
      <c r="AG149" s="547">
        <f t="shared" si="55"/>
        <v>1791703.7852959365</v>
      </c>
      <c r="AI149" s="266"/>
      <c r="AJ149" s="185" t="s">
        <v>629</v>
      </c>
    </row>
    <row r="150" spans="1:36" s="1" customFormat="1" outlineLevel="1">
      <c r="A150" t="s">
        <v>655</v>
      </c>
      <c r="B150" s="252" t="s">
        <v>127</v>
      </c>
      <c r="C150" s="547">
        <f>C116*C146</f>
        <v>0</v>
      </c>
      <c r="D150" s="547">
        <f t="shared" ref="D150:AG150" si="56">D116*D146</f>
        <v>0</v>
      </c>
      <c r="E150" s="547">
        <f t="shared" si="56"/>
        <v>0</v>
      </c>
      <c r="F150" s="547">
        <f t="shared" si="56"/>
        <v>0</v>
      </c>
      <c r="G150" s="547">
        <f t="shared" si="56"/>
        <v>0</v>
      </c>
      <c r="H150" s="547">
        <f t="shared" si="56"/>
        <v>0</v>
      </c>
      <c r="I150" s="547">
        <f t="shared" si="56"/>
        <v>0</v>
      </c>
      <c r="J150" s="547">
        <f t="shared" si="56"/>
        <v>0</v>
      </c>
      <c r="K150" s="547">
        <f t="shared" si="56"/>
        <v>0</v>
      </c>
      <c r="L150" s="547">
        <f t="shared" si="56"/>
        <v>0</v>
      </c>
      <c r="M150" s="547">
        <f t="shared" si="56"/>
        <v>0</v>
      </c>
      <c r="N150" s="547">
        <f t="shared" si="56"/>
        <v>0</v>
      </c>
      <c r="O150" s="547">
        <f t="shared" si="56"/>
        <v>0</v>
      </c>
      <c r="P150" s="547">
        <f t="shared" si="56"/>
        <v>0</v>
      </c>
      <c r="Q150" s="547">
        <f t="shared" si="56"/>
        <v>0</v>
      </c>
      <c r="R150" s="547">
        <f t="shared" si="56"/>
        <v>0</v>
      </c>
      <c r="S150" s="547">
        <f t="shared" si="56"/>
        <v>0</v>
      </c>
      <c r="T150" s="547">
        <f t="shared" si="56"/>
        <v>0</v>
      </c>
      <c r="U150" s="547">
        <f t="shared" si="56"/>
        <v>0</v>
      </c>
      <c r="V150" s="547">
        <f t="shared" si="56"/>
        <v>0</v>
      </c>
      <c r="W150" s="547">
        <f t="shared" si="56"/>
        <v>0</v>
      </c>
      <c r="X150" s="547">
        <f t="shared" si="56"/>
        <v>0</v>
      </c>
      <c r="Y150" s="547">
        <f t="shared" si="56"/>
        <v>0</v>
      </c>
      <c r="Z150" s="547">
        <f t="shared" si="56"/>
        <v>0</v>
      </c>
      <c r="AA150" s="547">
        <f t="shared" si="56"/>
        <v>0</v>
      </c>
      <c r="AB150" s="547">
        <f t="shared" si="56"/>
        <v>0</v>
      </c>
      <c r="AC150" s="547">
        <f t="shared" si="56"/>
        <v>0</v>
      </c>
      <c r="AD150" s="547">
        <f t="shared" si="56"/>
        <v>0</v>
      </c>
      <c r="AE150" s="547">
        <f t="shared" si="56"/>
        <v>0</v>
      </c>
      <c r="AF150" s="547">
        <f t="shared" si="56"/>
        <v>0</v>
      </c>
      <c r="AG150" s="547">
        <f t="shared" si="56"/>
        <v>0</v>
      </c>
      <c r="AI150" s="266"/>
      <c r="AJ150" s="185" t="s">
        <v>629</v>
      </c>
    </row>
    <row r="151" spans="1:36" s="1" customFormat="1" outlineLevel="1">
      <c r="A151" t="s">
        <v>650</v>
      </c>
      <c r="B151" s="252" t="s">
        <v>127</v>
      </c>
      <c r="C151" s="547">
        <f>C149*C117</f>
        <v>336047.50715336</v>
      </c>
      <c r="D151" s="547">
        <f t="shared" ref="D151:AG151" si="57">D149*D117</f>
        <v>348144.78351433179</v>
      </c>
      <c r="E151" s="547">
        <f t="shared" si="57"/>
        <v>360079.42503093596</v>
      </c>
      <c r="F151" s="547">
        <f t="shared" si="57"/>
        <v>371852.21005955891</v>
      </c>
      <c r="G151" s="547">
        <f t="shared" si="57"/>
        <v>383463.9143103931</v>
      </c>
      <c r="H151" s="547">
        <f t="shared" si="57"/>
        <v>394915.31085475598</v>
      </c>
      <c r="I151" s="547">
        <f t="shared" si="57"/>
        <v>405751.70108994941</v>
      </c>
      <c r="J151" s="547">
        <f t="shared" si="57"/>
        <v>416400.39402961597</v>
      </c>
      <c r="K151" s="547">
        <f t="shared" si="57"/>
        <v>426862.32200005202</v>
      </c>
      <c r="L151" s="547">
        <f t="shared" si="57"/>
        <v>437138.41410745512</v>
      </c>
      <c r="M151" s="547">
        <f t="shared" si="57"/>
        <v>447229.59624691837</v>
      </c>
      <c r="N151" s="547">
        <f t="shared" si="57"/>
        <v>456557.26541364082</v>
      </c>
      <c r="O151" s="547">
        <f t="shared" si="57"/>
        <v>466003.09269433719</v>
      </c>
      <c r="P151" s="547">
        <f t="shared" si="57"/>
        <v>474974.94686438254</v>
      </c>
      <c r="Q151" s="547">
        <f t="shared" si="57"/>
        <v>483737.85312996147</v>
      </c>
      <c r="R151" s="547">
        <f t="shared" si="57"/>
        <v>492292.88023592107</v>
      </c>
      <c r="S151" s="547">
        <f t="shared" si="57"/>
        <v>500641.09322044917</v>
      </c>
      <c r="T151" s="547">
        <f t="shared" si="57"/>
        <v>508783.55342532997</v>
      </c>
      <c r="U151" s="547">
        <f t="shared" si="57"/>
        <v>516721.3185061767</v>
      </c>
      <c r="V151" s="547">
        <f t="shared" si="57"/>
        <v>524455.44244264276</v>
      </c>
      <c r="W151" s="547">
        <f t="shared" si="57"/>
        <v>531986.97554860695</v>
      </c>
      <c r="X151" s="547">
        <f t="shared" si="57"/>
        <v>540850.74916588899</v>
      </c>
      <c r="Y151" s="547">
        <f t="shared" si="57"/>
        <v>549131.67569678405</v>
      </c>
      <c r="Z151" s="547">
        <f t="shared" si="57"/>
        <v>557197.39150142251</v>
      </c>
      <c r="AA151" s="547">
        <f t="shared" si="57"/>
        <v>565105.93986050109</v>
      </c>
      <c r="AB151" s="547">
        <f t="shared" si="57"/>
        <v>572858.07101037656</v>
      </c>
      <c r="AC151" s="547">
        <f t="shared" si="57"/>
        <v>580432.28094491723</v>
      </c>
      <c r="AD151" s="547">
        <f t="shared" si="57"/>
        <v>587850.75833140069</v>
      </c>
      <c r="AE151" s="547">
        <f t="shared" si="57"/>
        <v>595114.25319369708</v>
      </c>
      <c r="AF151" s="547">
        <f t="shared" si="57"/>
        <v>602223.51386771782</v>
      </c>
      <c r="AG151" s="547">
        <f t="shared" si="57"/>
        <v>609179.28700061841</v>
      </c>
      <c r="AI151" s="266"/>
      <c r="AJ151" s="185" t="s">
        <v>629</v>
      </c>
    </row>
    <row r="152" spans="1:36" s="1" customFormat="1" outlineLevel="1">
      <c r="A152" t="s">
        <v>651</v>
      </c>
      <c r="B152" s="252" t="s">
        <v>127</v>
      </c>
      <c r="C152" s="547">
        <f>C149*C118</f>
        <v>1904269.2072023733</v>
      </c>
      <c r="D152" s="547">
        <f t="shared" ref="D152:AG152" si="58">D149*D118</f>
        <v>1878794.1302233983</v>
      </c>
      <c r="E152" s="547">
        <f t="shared" si="58"/>
        <v>1853523.597700228</v>
      </c>
      <c r="F152" s="547">
        <f t="shared" si="58"/>
        <v>1828456.7252041039</v>
      </c>
      <c r="G152" s="547">
        <f t="shared" si="58"/>
        <v>1803592.6311861458</v>
      </c>
      <c r="H152" s="547">
        <f t="shared" si="58"/>
        <v>1778930.4369695894</v>
      </c>
      <c r="I152" s="547">
        <f t="shared" si="58"/>
        <v>1752502.0281119097</v>
      </c>
      <c r="J152" s="547">
        <f t="shared" si="58"/>
        <v>1726311.753635647</v>
      </c>
      <c r="K152" s="547">
        <f t="shared" si="58"/>
        <v>1700358.5517543608</v>
      </c>
      <c r="L152" s="547">
        <f t="shared" si="58"/>
        <v>1674641.3641894304</v>
      </c>
      <c r="M152" s="547">
        <f t="shared" si="58"/>
        <v>1649159.1361605125</v>
      </c>
      <c r="N152" s="547">
        <f t="shared" si="58"/>
        <v>1621852.137076379</v>
      </c>
      <c r="O152" s="547">
        <f t="shared" si="58"/>
        <v>1595957.4944487489</v>
      </c>
      <c r="P152" s="547">
        <f t="shared" si="58"/>
        <v>1569393.5475303784</v>
      </c>
      <c r="Q152" s="547">
        <f t="shared" si="58"/>
        <v>1543096.7270235096</v>
      </c>
      <c r="R152" s="547">
        <f t="shared" si="58"/>
        <v>1517065.8146045743</v>
      </c>
      <c r="S152" s="547">
        <f t="shared" si="58"/>
        <v>1491299.595985583</v>
      </c>
      <c r="T152" s="547">
        <f t="shared" si="58"/>
        <v>1465796.860903248</v>
      </c>
      <c r="U152" s="547">
        <f t="shared" si="58"/>
        <v>1440556.40310813</v>
      </c>
      <c r="V152" s="547">
        <f t="shared" si="58"/>
        <v>1415577.0203538174</v>
      </c>
      <c r="W152" s="547">
        <f t="shared" si="58"/>
        <v>1390857.5143861177</v>
      </c>
      <c r="X152" s="547">
        <f t="shared" si="58"/>
        <v>1370282.6401128715</v>
      </c>
      <c r="Y152" s="547">
        <f t="shared" si="58"/>
        <v>1348788.8624257422</v>
      </c>
      <c r="Z152" s="547">
        <f t="shared" si="58"/>
        <v>1327348.4647604355</v>
      </c>
      <c r="AA152" s="547">
        <f t="shared" si="58"/>
        <v>1306105.7815318871</v>
      </c>
      <c r="AB152" s="547">
        <f t="shared" si="58"/>
        <v>1285059.9971313858</v>
      </c>
      <c r="AC152" s="547">
        <f t="shared" si="58"/>
        <v>1264161.8322274899</v>
      </c>
      <c r="AD152" s="547">
        <f t="shared" si="58"/>
        <v>1243460.0152866705</v>
      </c>
      <c r="AE152" s="547">
        <f t="shared" si="58"/>
        <v>1222953.730086437</v>
      </c>
      <c r="AF152" s="547">
        <f t="shared" si="58"/>
        <v>1202642.162059509</v>
      </c>
      <c r="AG152" s="547">
        <f t="shared" si="58"/>
        <v>1182524.4982953179</v>
      </c>
      <c r="AI152" s="266"/>
      <c r="AJ152" s="185" t="s">
        <v>629</v>
      </c>
    </row>
    <row r="153" spans="1:36" s="1" customFormat="1" outlineLevel="1">
      <c r="A153" t="s">
        <v>654</v>
      </c>
      <c r="B153" s="252" t="s">
        <v>127</v>
      </c>
      <c r="C153" s="547">
        <f>C119*C152</f>
        <v>0</v>
      </c>
      <c r="D153" s="547">
        <f t="shared" ref="D153:AG153" si="59">D119*D152</f>
        <v>0</v>
      </c>
      <c r="E153" s="547">
        <f t="shared" si="59"/>
        <v>0</v>
      </c>
      <c r="F153" s="547">
        <f t="shared" si="59"/>
        <v>0</v>
      </c>
      <c r="G153" s="547">
        <f t="shared" si="59"/>
        <v>0</v>
      </c>
      <c r="H153" s="547">
        <f t="shared" si="59"/>
        <v>0</v>
      </c>
      <c r="I153" s="547">
        <f t="shared" si="59"/>
        <v>0</v>
      </c>
      <c r="J153" s="547">
        <f t="shared" si="59"/>
        <v>0</v>
      </c>
      <c r="K153" s="547">
        <f t="shared" si="59"/>
        <v>0</v>
      </c>
      <c r="L153" s="547">
        <f t="shared" si="59"/>
        <v>0</v>
      </c>
      <c r="M153" s="547">
        <f t="shared" si="59"/>
        <v>0</v>
      </c>
      <c r="N153" s="547">
        <f t="shared" si="59"/>
        <v>0</v>
      </c>
      <c r="O153" s="547">
        <f t="shared" si="59"/>
        <v>0</v>
      </c>
      <c r="P153" s="547">
        <f t="shared" si="59"/>
        <v>0</v>
      </c>
      <c r="Q153" s="547">
        <f t="shared" si="59"/>
        <v>0</v>
      </c>
      <c r="R153" s="547">
        <f t="shared" si="59"/>
        <v>0</v>
      </c>
      <c r="S153" s="547">
        <f t="shared" si="59"/>
        <v>0</v>
      </c>
      <c r="T153" s="547">
        <f t="shared" si="59"/>
        <v>0</v>
      </c>
      <c r="U153" s="547">
        <f t="shared" si="59"/>
        <v>0</v>
      </c>
      <c r="V153" s="547">
        <f t="shared" si="59"/>
        <v>0</v>
      </c>
      <c r="W153" s="547">
        <f t="shared" si="59"/>
        <v>0</v>
      </c>
      <c r="X153" s="547">
        <f t="shared" si="59"/>
        <v>0</v>
      </c>
      <c r="Y153" s="547">
        <f t="shared" si="59"/>
        <v>0</v>
      </c>
      <c r="Z153" s="547">
        <f t="shared" si="59"/>
        <v>0</v>
      </c>
      <c r="AA153" s="547">
        <f t="shared" si="59"/>
        <v>0</v>
      </c>
      <c r="AB153" s="547">
        <f t="shared" si="59"/>
        <v>0</v>
      </c>
      <c r="AC153" s="547">
        <f t="shared" si="59"/>
        <v>0</v>
      </c>
      <c r="AD153" s="547">
        <f t="shared" si="59"/>
        <v>0</v>
      </c>
      <c r="AE153" s="547">
        <f t="shared" si="59"/>
        <v>0</v>
      </c>
      <c r="AF153" s="547">
        <f t="shared" si="59"/>
        <v>0</v>
      </c>
      <c r="AG153" s="547">
        <f t="shared" si="59"/>
        <v>0</v>
      </c>
      <c r="AI153" s="266"/>
      <c r="AJ153" s="185" t="s">
        <v>629</v>
      </c>
    </row>
    <row r="154" spans="1:36" s="1" customFormat="1" outlineLevel="1">
      <c r="A154" t="s">
        <v>683</v>
      </c>
      <c r="B154" s="252" t="s">
        <v>127</v>
      </c>
      <c r="C154" s="547">
        <f>C120*C152</f>
        <v>1904269.2072023733</v>
      </c>
      <c r="D154" s="547">
        <f t="shared" ref="D154:AG154" si="60">D120*D152</f>
        <v>1878794.1302233983</v>
      </c>
      <c r="E154" s="547">
        <f t="shared" si="60"/>
        <v>1853523.597700228</v>
      </c>
      <c r="F154" s="547">
        <f t="shared" si="60"/>
        <v>1828456.7252041039</v>
      </c>
      <c r="G154" s="547">
        <f t="shared" si="60"/>
        <v>1803592.6311861458</v>
      </c>
      <c r="H154" s="547">
        <f t="shared" si="60"/>
        <v>1778930.4369695894</v>
      </c>
      <c r="I154" s="547">
        <f t="shared" si="60"/>
        <v>1752502.0281119097</v>
      </c>
      <c r="J154" s="547">
        <f t="shared" si="60"/>
        <v>1726311.753635647</v>
      </c>
      <c r="K154" s="547">
        <f t="shared" si="60"/>
        <v>1700358.5517543608</v>
      </c>
      <c r="L154" s="547">
        <f t="shared" si="60"/>
        <v>1674641.3641894304</v>
      </c>
      <c r="M154" s="547">
        <f t="shared" si="60"/>
        <v>1649159.1361605125</v>
      </c>
      <c r="N154" s="547">
        <f t="shared" si="60"/>
        <v>1621852.137076379</v>
      </c>
      <c r="O154" s="547">
        <f t="shared" si="60"/>
        <v>1595957.4944487489</v>
      </c>
      <c r="P154" s="547">
        <f t="shared" si="60"/>
        <v>1569393.5475303784</v>
      </c>
      <c r="Q154" s="547">
        <f t="shared" si="60"/>
        <v>1543096.7270235096</v>
      </c>
      <c r="R154" s="547">
        <f t="shared" si="60"/>
        <v>1517065.8146045743</v>
      </c>
      <c r="S154" s="547">
        <f t="shared" si="60"/>
        <v>1491299.595985583</v>
      </c>
      <c r="T154" s="547">
        <f t="shared" si="60"/>
        <v>1465796.860903248</v>
      </c>
      <c r="U154" s="547">
        <f t="shared" si="60"/>
        <v>1440556.40310813</v>
      </c>
      <c r="V154" s="547">
        <f t="shared" si="60"/>
        <v>1415577.0203538174</v>
      </c>
      <c r="W154" s="547">
        <f t="shared" si="60"/>
        <v>1390857.5143861177</v>
      </c>
      <c r="X154" s="547">
        <f t="shared" si="60"/>
        <v>1370282.6401128715</v>
      </c>
      <c r="Y154" s="547">
        <f t="shared" si="60"/>
        <v>1348788.8624257422</v>
      </c>
      <c r="Z154" s="547">
        <f t="shared" si="60"/>
        <v>1327348.4647604355</v>
      </c>
      <c r="AA154" s="547">
        <f t="shared" si="60"/>
        <v>1306105.7815318871</v>
      </c>
      <c r="AB154" s="547">
        <f t="shared" si="60"/>
        <v>1285059.9971313858</v>
      </c>
      <c r="AC154" s="547">
        <f t="shared" si="60"/>
        <v>1264161.8322274899</v>
      </c>
      <c r="AD154" s="547">
        <f t="shared" si="60"/>
        <v>1243460.0152866705</v>
      </c>
      <c r="AE154" s="547">
        <f t="shared" si="60"/>
        <v>1222953.730086437</v>
      </c>
      <c r="AF154" s="547">
        <f t="shared" si="60"/>
        <v>1202642.162059509</v>
      </c>
      <c r="AG154" s="547">
        <f t="shared" si="60"/>
        <v>1182524.4982953179</v>
      </c>
      <c r="AI154" s="266"/>
      <c r="AJ154" s="185" t="s">
        <v>629</v>
      </c>
    </row>
    <row r="155" spans="1:36" s="1" customFormat="1" outlineLevel="1">
      <c r="A155" t="s">
        <v>652</v>
      </c>
      <c r="B155" s="252" t="s">
        <v>127</v>
      </c>
      <c r="C155" s="547">
        <f>C121*(C153+C151)</f>
        <v>268838.00572268799</v>
      </c>
      <c r="D155" s="547">
        <f t="shared" ref="D155:AG155" si="61">D121*(D153+D151)</f>
        <v>279676.30942317989</v>
      </c>
      <c r="E155" s="547">
        <f t="shared" si="61"/>
        <v>290464.069524955</v>
      </c>
      <c r="F155" s="547">
        <f t="shared" si="61"/>
        <v>301200.29014824273</v>
      </c>
      <c r="G155" s="547">
        <f t="shared" si="61"/>
        <v>311883.98363911966</v>
      </c>
      <c r="H155" s="547">
        <f t="shared" si="61"/>
        <v>322514.17053138401</v>
      </c>
      <c r="I155" s="547">
        <f t="shared" si="61"/>
        <v>332716.39489375846</v>
      </c>
      <c r="J155" s="547">
        <f t="shared" si="61"/>
        <v>342836.32441771706</v>
      </c>
      <c r="K155" s="547">
        <f t="shared" si="61"/>
        <v>352872.85285337624</v>
      </c>
      <c r="L155" s="547">
        <f t="shared" si="61"/>
        <v>362824.88370918762</v>
      </c>
      <c r="M155" s="547">
        <f t="shared" si="61"/>
        <v>372691.3302057652</v>
      </c>
      <c r="N155" s="547">
        <f t="shared" si="61"/>
        <v>381986.24539607932</v>
      </c>
      <c r="O155" s="547">
        <f t="shared" si="61"/>
        <v>391442.59786324308</v>
      </c>
      <c r="P155" s="547">
        <f t="shared" si="61"/>
        <v>400562.2051889624</v>
      </c>
      <c r="Q155" s="547">
        <f t="shared" si="61"/>
        <v>409564.71565003385</v>
      </c>
      <c r="R155" s="547">
        <f t="shared" si="61"/>
        <v>418448.9482005327</v>
      </c>
      <c r="S155" s="547">
        <f t="shared" si="61"/>
        <v>427213.73288144969</v>
      </c>
      <c r="T155" s="547">
        <f t="shared" si="61"/>
        <v>435857.91076769907</v>
      </c>
      <c r="U155" s="547">
        <f t="shared" si="61"/>
        <v>444380.33391531167</v>
      </c>
      <c r="V155" s="547">
        <f t="shared" si="61"/>
        <v>452779.86530881462</v>
      </c>
      <c r="W155" s="547">
        <f t="shared" si="61"/>
        <v>461055.37880879233</v>
      </c>
      <c r="X155" s="547">
        <f t="shared" si="61"/>
        <v>470540.15177432308</v>
      </c>
      <c r="Y155" s="547">
        <f t="shared" si="61"/>
        <v>479574.99677519099</v>
      </c>
      <c r="Z155" s="547">
        <f t="shared" si="61"/>
        <v>488476.37988291332</v>
      </c>
      <c r="AA155" s="547">
        <f t="shared" si="61"/>
        <v>497293.22707724053</v>
      </c>
      <c r="AB155" s="547">
        <f t="shared" si="61"/>
        <v>506024.62939249881</v>
      </c>
      <c r="AC155" s="547">
        <f t="shared" si="61"/>
        <v>514649.95577115944</v>
      </c>
      <c r="AD155" s="547">
        <f t="shared" si="61"/>
        <v>523187.17491494608</v>
      </c>
      <c r="AE155" s="547">
        <f t="shared" si="61"/>
        <v>531635.39951970219</v>
      </c>
      <c r="AF155" s="547">
        <f t="shared" si="61"/>
        <v>539993.75076805311</v>
      </c>
      <c r="AG155" s="547">
        <f t="shared" si="61"/>
        <v>548261.35830055655</v>
      </c>
      <c r="AH155" s="218"/>
      <c r="AI155" s="266"/>
      <c r="AJ155" s="185" t="s">
        <v>629</v>
      </c>
    </row>
    <row r="156" spans="1:36" s="1" customFormat="1" outlineLevel="1">
      <c r="A156" t="s">
        <v>653</v>
      </c>
      <c r="B156" s="252" t="s">
        <v>127</v>
      </c>
      <c r="C156" s="547">
        <f>C122*(C153+C151)</f>
        <v>67209.501430671997</v>
      </c>
      <c r="D156" s="547">
        <f t="shared" ref="D156:AG156" si="62">D122*(D153+D151)</f>
        <v>68468.474091151918</v>
      </c>
      <c r="E156" s="547">
        <f t="shared" si="62"/>
        <v>69615.355505980959</v>
      </c>
      <c r="F156" s="547">
        <f t="shared" si="62"/>
        <v>70651.919911316203</v>
      </c>
      <c r="G156" s="547">
        <f t="shared" si="62"/>
        <v>71579.930671273396</v>
      </c>
      <c r="H156" s="547">
        <f t="shared" si="62"/>
        <v>72401.140323371947</v>
      </c>
      <c r="I156" s="547">
        <f t="shared" si="62"/>
        <v>73035.306196190912</v>
      </c>
      <c r="J156" s="547">
        <f t="shared" si="62"/>
        <v>73564.069611898842</v>
      </c>
      <c r="K156" s="547">
        <f t="shared" si="62"/>
        <v>73989.469146675707</v>
      </c>
      <c r="L156" s="547">
        <f t="shared" si="62"/>
        <v>74313.530398267394</v>
      </c>
      <c r="M156" s="547">
        <f t="shared" si="62"/>
        <v>74538.266041153096</v>
      </c>
      <c r="N156" s="547">
        <f t="shared" si="62"/>
        <v>74571.020017561372</v>
      </c>
      <c r="O156" s="547">
        <f t="shared" si="62"/>
        <v>74560.494831093994</v>
      </c>
      <c r="P156" s="547">
        <f t="shared" si="62"/>
        <v>74412.74167541998</v>
      </c>
      <c r="Q156" s="547">
        <f t="shared" si="62"/>
        <v>74173.137479927478</v>
      </c>
      <c r="R156" s="547">
        <f t="shared" si="62"/>
        <v>73843.932035388207</v>
      </c>
      <c r="S156" s="547">
        <f t="shared" si="62"/>
        <v>73427.360338999264</v>
      </c>
      <c r="T156" s="547">
        <f t="shared" si="62"/>
        <v>72925.642657630684</v>
      </c>
      <c r="U156" s="547">
        <f t="shared" si="62"/>
        <v>72340.984590864799</v>
      </c>
      <c r="V156" s="547">
        <f t="shared" si="62"/>
        <v>71675.577133827916</v>
      </c>
      <c r="W156" s="547">
        <f t="shared" si="62"/>
        <v>70931.596739814326</v>
      </c>
      <c r="X156" s="547">
        <f t="shared" si="62"/>
        <v>70310.59739156565</v>
      </c>
      <c r="Y156" s="547">
        <f t="shared" si="62"/>
        <v>69556.678921592727</v>
      </c>
      <c r="Z156" s="547">
        <f t="shared" si="62"/>
        <v>68721.011618508855</v>
      </c>
      <c r="AA156" s="547">
        <f t="shared" si="62"/>
        <v>67812.712783260227</v>
      </c>
      <c r="AB156" s="547">
        <f t="shared" si="62"/>
        <v>66833.441617877368</v>
      </c>
      <c r="AC156" s="547">
        <f t="shared" si="62"/>
        <v>65782.325173757388</v>
      </c>
      <c r="AD156" s="547">
        <f t="shared" si="62"/>
        <v>64663.583416454181</v>
      </c>
      <c r="AE156" s="547">
        <f t="shared" si="62"/>
        <v>63478.853673994468</v>
      </c>
      <c r="AF156" s="547">
        <f t="shared" si="62"/>
        <v>62229.763099664291</v>
      </c>
      <c r="AG156" s="547">
        <f t="shared" si="62"/>
        <v>60917.928700061842</v>
      </c>
      <c r="AI156" s="266"/>
      <c r="AJ156" s="185" t="s">
        <v>629</v>
      </c>
    </row>
    <row r="157" spans="1:36" s="1" customFormat="1" outlineLevel="1">
      <c r="A157" t="s">
        <v>663</v>
      </c>
      <c r="B157" s="252" t="s">
        <v>127</v>
      </c>
      <c r="C157" s="547">
        <f>C150*C123</f>
        <v>0</v>
      </c>
      <c r="D157" s="547">
        <f t="shared" ref="D157:AG157" si="63">D150*D123</f>
        <v>0</v>
      </c>
      <c r="E157" s="547">
        <f t="shared" si="63"/>
        <v>0</v>
      </c>
      <c r="F157" s="547">
        <f t="shared" si="63"/>
        <v>0</v>
      </c>
      <c r="G157" s="547">
        <f t="shared" si="63"/>
        <v>0</v>
      </c>
      <c r="H157" s="547">
        <f t="shared" si="63"/>
        <v>0</v>
      </c>
      <c r="I157" s="547">
        <f t="shared" si="63"/>
        <v>0</v>
      </c>
      <c r="J157" s="547">
        <f t="shared" si="63"/>
        <v>0</v>
      </c>
      <c r="K157" s="547">
        <f t="shared" si="63"/>
        <v>0</v>
      </c>
      <c r="L157" s="547">
        <f t="shared" si="63"/>
        <v>0</v>
      </c>
      <c r="M157" s="547">
        <f t="shared" si="63"/>
        <v>0</v>
      </c>
      <c r="N157" s="547">
        <f t="shared" si="63"/>
        <v>0</v>
      </c>
      <c r="O157" s="547">
        <f t="shared" si="63"/>
        <v>0</v>
      </c>
      <c r="P157" s="547">
        <f t="shared" si="63"/>
        <v>0</v>
      </c>
      <c r="Q157" s="547">
        <f t="shared" si="63"/>
        <v>0</v>
      </c>
      <c r="R157" s="547">
        <f t="shared" si="63"/>
        <v>0</v>
      </c>
      <c r="S157" s="547">
        <f t="shared" si="63"/>
        <v>0</v>
      </c>
      <c r="T157" s="547">
        <f t="shared" si="63"/>
        <v>0</v>
      </c>
      <c r="U157" s="547">
        <f t="shared" si="63"/>
        <v>0</v>
      </c>
      <c r="V157" s="547">
        <f t="shared" si="63"/>
        <v>0</v>
      </c>
      <c r="W157" s="547">
        <f t="shared" si="63"/>
        <v>0</v>
      </c>
      <c r="X157" s="547">
        <f t="shared" si="63"/>
        <v>0</v>
      </c>
      <c r="Y157" s="547">
        <f t="shared" si="63"/>
        <v>0</v>
      </c>
      <c r="Z157" s="547">
        <f t="shared" si="63"/>
        <v>0</v>
      </c>
      <c r="AA157" s="547">
        <f t="shared" si="63"/>
        <v>0</v>
      </c>
      <c r="AB157" s="547">
        <f t="shared" si="63"/>
        <v>0</v>
      </c>
      <c r="AC157" s="547">
        <f t="shared" si="63"/>
        <v>0</v>
      </c>
      <c r="AD157" s="547">
        <f t="shared" si="63"/>
        <v>0</v>
      </c>
      <c r="AE157" s="547">
        <f t="shared" si="63"/>
        <v>0</v>
      </c>
      <c r="AF157" s="547">
        <f t="shared" si="63"/>
        <v>0</v>
      </c>
      <c r="AG157" s="547">
        <f t="shared" si="63"/>
        <v>0</v>
      </c>
      <c r="AI157" s="266"/>
      <c r="AJ157" s="185" t="s">
        <v>629</v>
      </c>
    </row>
    <row r="158" spans="1:36" s="1" customFormat="1" outlineLevel="1">
      <c r="A158" t="s">
        <v>684</v>
      </c>
      <c r="B158" s="252" t="s">
        <v>127</v>
      </c>
      <c r="C158" s="547">
        <f>C150*C124</f>
        <v>0</v>
      </c>
      <c r="D158" s="547">
        <f t="shared" ref="D158:AG158" si="64">D150*D124</f>
        <v>0</v>
      </c>
      <c r="E158" s="547">
        <f t="shared" si="64"/>
        <v>0</v>
      </c>
      <c r="F158" s="547">
        <f t="shared" si="64"/>
        <v>0</v>
      </c>
      <c r="G158" s="547">
        <f t="shared" si="64"/>
        <v>0</v>
      </c>
      <c r="H158" s="547">
        <f t="shared" si="64"/>
        <v>0</v>
      </c>
      <c r="I158" s="547">
        <f t="shared" si="64"/>
        <v>0</v>
      </c>
      <c r="J158" s="547">
        <f t="shared" si="64"/>
        <v>0</v>
      </c>
      <c r="K158" s="547">
        <f t="shared" si="64"/>
        <v>0</v>
      </c>
      <c r="L158" s="547">
        <f t="shared" si="64"/>
        <v>0</v>
      </c>
      <c r="M158" s="547">
        <f t="shared" si="64"/>
        <v>0</v>
      </c>
      <c r="N158" s="547">
        <f t="shared" si="64"/>
        <v>0</v>
      </c>
      <c r="O158" s="547">
        <f t="shared" si="64"/>
        <v>0</v>
      </c>
      <c r="P158" s="547">
        <f t="shared" si="64"/>
        <v>0</v>
      </c>
      <c r="Q158" s="547">
        <f t="shared" si="64"/>
        <v>0</v>
      </c>
      <c r="R158" s="547">
        <f t="shared" si="64"/>
        <v>0</v>
      </c>
      <c r="S158" s="547">
        <f t="shared" si="64"/>
        <v>0</v>
      </c>
      <c r="T158" s="547">
        <f t="shared" si="64"/>
        <v>0</v>
      </c>
      <c r="U158" s="547">
        <f t="shared" si="64"/>
        <v>0</v>
      </c>
      <c r="V158" s="547">
        <f t="shared" si="64"/>
        <v>0</v>
      </c>
      <c r="W158" s="547">
        <f t="shared" si="64"/>
        <v>0</v>
      </c>
      <c r="X158" s="547">
        <f t="shared" si="64"/>
        <v>0</v>
      </c>
      <c r="Y158" s="547">
        <f t="shared" si="64"/>
        <v>0</v>
      </c>
      <c r="Z158" s="547">
        <f t="shared" si="64"/>
        <v>0</v>
      </c>
      <c r="AA158" s="547">
        <f t="shared" si="64"/>
        <v>0</v>
      </c>
      <c r="AB158" s="547">
        <f t="shared" si="64"/>
        <v>0</v>
      </c>
      <c r="AC158" s="547">
        <f t="shared" si="64"/>
        <v>0</v>
      </c>
      <c r="AD158" s="547">
        <f t="shared" si="64"/>
        <v>0</v>
      </c>
      <c r="AE158" s="547">
        <f t="shared" si="64"/>
        <v>0</v>
      </c>
      <c r="AF158" s="547">
        <f t="shared" si="64"/>
        <v>0</v>
      </c>
      <c r="AG158" s="547">
        <f t="shared" si="64"/>
        <v>0</v>
      </c>
      <c r="AI158" s="266"/>
      <c r="AJ158" s="185" t="s">
        <v>629</v>
      </c>
    </row>
    <row r="159" spans="1:36" s="1" customFormat="1" outlineLevel="1">
      <c r="A159" t="s">
        <v>666</v>
      </c>
      <c r="B159" s="252" t="s">
        <v>127</v>
      </c>
      <c r="C159" s="547">
        <f t="shared" ref="C159:AG159" si="65">C155*C125</f>
        <v>72586.261545125759</v>
      </c>
      <c r="D159" s="547">
        <f t="shared" si="65"/>
        <v>74393.898306565854</v>
      </c>
      <c r="E159" s="547">
        <f t="shared" si="65"/>
        <v>76101.58621553822</v>
      </c>
      <c r="F159" s="547">
        <f t="shared" si="65"/>
        <v>77709.674858246624</v>
      </c>
      <c r="G159" s="547">
        <f t="shared" si="65"/>
        <v>79218.531844336394</v>
      </c>
      <c r="H159" s="547">
        <f t="shared" si="65"/>
        <v>80628.542632846002</v>
      </c>
      <c r="I159" s="547">
        <f t="shared" si="65"/>
        <v>81848.233143864578</v>
      </c>
      <c r="J159" s="547">
        <f t="shared" si="65"/>
        <v>82966.39050908752</v>
      </c>
      <c r="K159" s="547">
        <f t="shared" si="65"/>
        <v>83983.738979103538</v>
      </c>
      <c r="L159" s="547">
        <f t="shared" si="65"/>
        <v>84901.0227879499</v>
      </c>
      <c r="M159" s="547">
        <f t="shared" si="65"/>
        <v>85719.00594732599</v>
      </c>
      <c r="N159" s="547">
        <f t="shared" si="65"/>
        <v>86328.891459513921</v>
      </c>
      <c r="O159" s="547">
        <f t="shared" si="65"/>
        <v>86900.256725639949</v>
      </c>
      <c r="P159" s="547">
        <f t="shared" si="65"/>
        <v>87322.560731193793</v>
      </c>
      <c r="Q159" s="547">
        <f t="shared" si="65"/>
        <v>87646.849149107235</v>
      </c>
      <c r="R159" s="547">
        <f t="shared" si="65"/>
        <v>87874.279122111853</v>
      </c>
      <c r="S159" s="547">
        <f t="shared" si="65"/>
        <v>88006.028973578621</v>
      </c>
      <c r="T159" s="547">
        <f t="shared" si="65"/>
        <v>88043.297975075198</v>
      </c>
      <c r="U159" s="547">
        <f t="shared" si="65"/>
        <v>87987.306115231695</v>
      </c>
      <c r="V159" s="547">
        <f t="shared" si="65"/>
        <v>87839.29386991002</v>
      </c>
      <c r="W159" s="547">
        <f t="shared" si="65"/>
        <v>87600.521973670518</v>
      </c>
      <c r="X159" s="547">
        <f t="shared" si="65"/>
        <v>87520.468230024067</v>
      </c>
      <c r="Y159" s="547">
        <f t="shared" si="65"/>
        <v>87282.649413084728</v>
      </c>
      <c r="Z159" s="547">
        <f t="shared" si="65"/>
        <v>86948.79561915854</v>
      </c>
      <c r="AA159" s="547">
        <f t="shared" si="65"/>
        <v>86529.021511439816</v>
      </c>
      <c r="AB159" s="547">
        <f t="shared" si="65"/>
        <v>86024.186996724762</v>
      </c>
      <c r="AC159" s="547">
        <f t="shared" si="65"/>
        <v>85431.892658012424</v>
      </c>
      <c r="AD159" s="547">
        <f t="shared" si="65"/>
        <v>84756.32233622123</v>
      </c>
      <c r="AE159" s="547">
        <f t="shared" si="65"/>
        <v>83998.393124112903</v>
      </c>
      <c r="AF159" s="547">
        <f t="shared" si="65"/>
        <v>83159.037618280126</v>
      </c>
      <c r="AG159" s="547">
        <f t="shared" si="65"/>
        <v>82239.203745083476</v>
      </c>
      <c r="AI159" s="266"/>
      <c r="AJ159" s="185"/>
    </row>
    <row r="160" spans="1:36" s="61" customFormat="1">
      <c r="A160" s="294" t="s">
        <v>657</v>
      </c>
      <c r="B160" s="258" t="s">
        <v>127</v>
      </c>
      <c r="C160" s="548">
        <f>C126*C$145</f>
        <v>2017693.6536257926</v>
      </c>
      <c r="D160" s="548">
        <f t="shared" ref="D160:AG165" si="66">D126*D$145</f>
        <v>1979851.2778450833</v>
      </c>
      <c r="E160" s="548">
        <f t="shared" si="66"/>
        <v>1941540.670809112</v>
      </c>
      <c r="F160" s="548">
        <f t="shared" si="66"/>
        <v>1902784.9819315781</v>
      </c>
      <c r="G160" s="548">
        <f t="shared" si="66"/>
        <v>1863607.1990703091</v>
      </c>
      <c r="H160" s="548">
        <f t="shared" si="66"/>
        <v>1824030.1492370958</v>
      </c>
      <c r="I160" s="548">
        <f t="shared" si="66"/>
        <v>1782839.2846594905</v>
      </c>
      <c r="J160" s="548">
        <f t="shared" si="66"/>
        <v>1741461.7628051576</v>
      </c>
      <c r="K160" s="548">
        <f t="shared" si="66"/>
        <v>1699919.0086755294</v>
      </c>
      <c r="L160" s="548">
        <f t="shared" si="66"/>
        <v>1658232.292555446</v>
      </c>
      <c r="M160" s="548">
        <f t="shared" si="66"/>
        <v>1616422.7307016572</v>
      </c>
      <c r="N160" s="548">
        <f t="shared" si="66"/>
        <v>1579572.6723256861</v>
      </c>
      <c r="O160" s="548">
        <f t="shared" si="66"/>
        <v>1543990.4369240149</v>
      </c>
      <c r="P160" s="548">
        <f t="shared" si="66"/>
        <v>1507714.3024779283</v>
      </c>
      <c r="Q160" s="548">
        <f t="shared" si="66"/>
        <v>1471579.2925923381</v>
      </c>
      <c r="R160" s="548">
        <f t="shared" si="66"/>
        <v>1435601.2106313589</v>
      </c>
      <c r="S160" s="548">
        <f t="shared" si="66"/>
        <v>1399795.7375644655</v>
      </c>
      <c r="T160" s="548">
        <f t="shared" si="66"/>
        <v>1364178.4325731387</v>
      </c>
      <c r="U160" s="548">
        <f t="shared" si="66"/>
        <v>1328764.7336550672</v>
      </c>
      <c r="V160" s="548">
        <f t="shared" si="66"/>
        <v>1293569.9582259236</v>
      </c>
      <c r="W160" s="548">
        <f t="shared" si="66"/>
        <v>1258609.3037186996</v>
      </c>
      <c r="X160" s="548">
        <f t="shared" si="66"/>
        <v>1219024.2699095821</v>
      </c>
      <c r="Y160" s="548">
        <f t="shared" si="66"/>
        <v>1178461.5551007912</v>
      </c>
      <c r="Z160" s="548">
        <f t="shared" si="66"/>
        <v>1138150.0488862616</v>
      </c>
      <c r="AA160" s="548">
        <f t="shared" si="66"/>
        <v>1097900.6647901281</v>
      </c>
      <c r="AB160" s="548">
        <f t="shared" si="66"/>
        <v>1057727.3284338005</v>
      </c>
      <c r="AC160" s="548">
        <f t="shared" si="66"/>
        <v>1017648.0076401945</v>
      </c>
      <c r="AD160" s="548">
        <f t="shared" si="66"/>
        <v>977677.12451954838</v>
      </c>
      <c r="AE160" s="548">
        <f t="shared" si="66"/>
        <v>937828.22513430857</v>
      </c>
      <c r="AF160" s="548">
        <f t="shared" si="66"/>
        <v>898114.74223128601</v>
      </c>
      <c r="AG160" s="548">
        <f t="shared" si="66"/>
        <v>858549.99718533864</v>
      </c>
      <c r="AI160" s="286"/>
      <c r="AJ160" s="297"/>
    </row>
    <row r="161" spans="1:36">
      <c r="A161" s="295" t="s">
        <v>658</v>
      </c>
      <c r="B161" s="252" t="s">
        <v>127</v>
      </c>
      <c r="C161" s="547">
        <f t="shared" ref="C161:R165" si="67">C127*C$145</f>
        <v>20800.965501296832</v>
      </c>
      <c r="D161" s="547">
        <f t="shared" si="67"/>
        <v>20403.826291773446</v>
      </c>
      <c r="E161" s="547">
        <f t="shared" si="67"/>
        <v>20002.136031687285</v>
      </c>
      <c r="F161" s="547">
        <f t="shared" si="67"/>
        <v>19596.137815979182</v>
      </c>
      <c r="G161" s="547">
        <f t="shared" si="67"/>
        <v>19186.072742659329</v>
      </c>
      <c r="H161" s="547">
        <f t="shared" si="67"/>
        <v>18772.179923537871</v>
      </c>
      <c r="I161" s="547">
        <f t="shared" si="67"/>
        <v>18341.967949171718</v>
      </c>
      <c r="J161" s="547">
        <f t="shared" si="67"/>
        <v>17910.131259566249</v>
      </c>
      <c r="K161" s="547">
        <f t="shared" si="67"/>
        <v>17476.891795841639</v>
      </c>
      <c r="L161" s="547">
        <f t="shared" si="67"/>
        <v>17042.469604886399</v>
      </c>
      <c r="M161" s="547">
        <f t="shared" si="67"/>
        <v>16607.082849674567</v>
      </c>
      <c r="N161" s="547">
        <f t="shared" si="67"/>
        <v>16222.930561373025</v>
      </c>
      <c r="O161" s="547">
        <f t="shared" si="67"/>
        <v>15852.0578739632</v>
      </c>
      <c r="P161" s="547">
        <f t="shared" si="67"/>
        <v>15474.317165356782</v>
      </c>
      <c r="Q161" s="547">
        <f t="shared" si="67"/>
        <v>15098.282755735352</v>
      </c>
      <c r="R161" s="547">
        <f t="shared" si="67"/>
        <v>14724.11498083446</v>
      </c>
      <c r="S161" s="547">
        <f t="shared" si="66"/>
        <v>14351.972702301433</v>
      </c>
      <c r="T161" s="547">
        <f t="shared" si="66"/>
        <v>13982.013316431223</v>
      </c>
      <c r="U161" s="547">
        <f t="shared" si="66"/>
        <v>13614.392762859306</v>
      </c>
      <c r="V161" s="547">
        <f t="shared" si="66"/>
        <v>13249.265533211928</v>
      </c>
      <c r="W161" s="547">
        <f t="shared" si="66"/>
        <v>12886.784679713659</v>
      </c>
      <c r="X161" s="547">
        <f t="shared" si="66"/>
        <v>12477.218729883143</v>
      </c>
      <c r="Y161" s="547">
        <f t="shared" si="66"/>
        <v>12057.928599257764</v>
      </c>
      <c r="Z161" s="547">
        <f t="shared" si="66"/>
        <v>11641.49385154718</v>
      </c>
      <c r="AA161" s="547">
        <f t="shared" si="66"/>
        <v>11225.978167588233</v>
      </c>
      <c r="AB161" s="547">
        <f t="shared" si="66"/>
        <v>10811.52294821603</v>
      </c>
      <c r="AC161" s="547">
        <f t="shared" si="66"/>
        <v>10398.310704770391</v>
      </c>
      <c r="AD161" s="547">
        <f t="shared" si="66"/>
        <v>9986.4874823243044</v>
      </c>
      <c r="AE161" s="547">
        <f t="shared" si="66"/>
        <v>9576.1901817662656</v>
      </c>
      <c r="AF161" s="547">
        <f t="shared" si="66"/>
        <v>9167.554360986258</v>
      </c>
      <c r="AG161" s="547">
        <f t="shared" si="66"/>
        <v>8760.7142569932512</v>
      </c>
      <c r="AI161" s="246"/>
    </row>
    <row r="162" spans="1:36">
      <c r="A162" s="295" t="s">
        <v>659</v>
      </c>
      <c r="B162" s="252" t="s">
        <v>127</v>
      </c>
      <c r="C162" s="547">
        <f t="shared" si="67"/>
        <v>0</v>
      </c>
      <c r="D162" s="547">
        <f t="shared" si="66"/>
        <v>0</v>
      </c>
      <c r="E162" s="547">
        <f t="shared" si="66"/>
        <v>0</v>
      </c>
      <c r="F162" s="547">
        <f t="shared" si="66"/>
        <v>0</v>
      </c>
      <c r="G162" s="547">
        <f t="shared" si="66"/>
        <v>0</v>
      </c>
      <c r="H162" s="547">
        <f t="shared" si="66"/>
        <v>0</v>
      </c>
      <c r="I162" s="547">
        <f t="shared" si="66"/>
        <v>0</v>
      </c>
      <c r="J162" s="547">
        <f t="shared" si="66"/>
        <v>0</v>
      </c>
      <c r="K162" s="547">
        <f t="shared" si="66"/>
        <v>0</v>
      </c>
      <c r="L162" s="547">
        <f t="shared" si="66"/>
        <v>0</v>
      </c>
      <c r="M162" s="547">
        <f t="shared" si="66"/>
        <v>0</v>
      </c>
      <c r="N162" s="547">
        <f t="shared" si="66"/>
        <v>0</v>
      </c>
      <c r="O162" s="547">
        <f t="shared" si="66"/>
        <v>0</v>
      </c>
      <c r="P162" s="547">
        <f t="shared" si="66"/>
        <v>0</v>
      </c>
      <c r="Q162" s="547">
        <f t="shared" si="66"/>
        <v>0</v>
      </c>
      <c r="R162" s="547">
        <f t="shared" si="66"/>
        <v>0</v>
      </c>
      <c r="S162" s="547">
        <f t="shared" si="66"/>
        <v>0</v>
      </c>
      <c r="T162" s="547">
        <f t="shared" si="66"/>
        <v>0</v>
      </c>
      <c r="U162" s="547">
        <f t="shared" si="66"/>
        <v>0</v>
      </c>
      <c r="V162" s="547">
        <f t="shared" si="66"/>
        <v>0</v>
      </c>
      <c r="W162" s="547">
        <f t="shared" si="66"/>
        <v>0</v>
      </c>
      <c r="X162" s="547">
        <f t="shared" si="66"/>
        <v>0</v>
      </c>
      <c r="Y162" s="547">
        <f t="shared" si="66"/>
        <v>0</v>
      </c>
      <c r="Z162" s="547">
        <f t="shared" si="66"/>
        <v>0</v>
      </c>
      <c r="AA162" s="547">
        <f t="shared" si="66"/>
        <v>0</v>
      </c>
      <c r="AB162" s="547">
        <f t="shared" si="66"/>
        <v>0</v>
      </c>
      <c r="AC162" s="547">
        <f t="shared" si="66"/>
        <v>0</v>
      </c>
      <c r="AD162" s="547">
        <f t="shared" si="66"/>
        <v>0</v>
      </c>
      <c r="AE162" s="547">
        <f t="shared" si="66"/>
        <v>0</v>
      </c>
      <c r="AF162" s="547">
        <f t="shared" si="66"/>
        <v>0</v>
      </c>
      <c r="AG162" s="547">
        <f t="shared" si="66"/>
        <v>0</v>
      </c>
      <c r="AI162" s="246"/>
    </row>
    <row r="163" spans="1:36">
      <c r="A163" s="295" t="s">
        <v>660</v>
      </c>
      <c r="B163" s="252" t="s">
        <v>127</v>
      </c>
      <c r="C163" s="547">
        <f t="shared" si="67"/>
        <v>0</v>
      </c>
      <c r="D163" s="547">
        <f t="shared" si="66"/>
        <v>0</v>
      </c>
      <c r="E163" s="547">
        <f t="shared" si="66"/>
        <v>0</v>
      </c>
      <c r="F163" s="547">
        <f t="shared" si="66"/>
        <v>0</v>
      </c>
      <c r="G163" s="547">
        <f t="shared" si="66"/>
        <v>0</v>
      </c>
      <c r="H163" s="547">
        <f t="shared" si="66"/>
        <v>0</v>
      </c>
      <c r="I163" s="547">
        <f t="shared" si="66"/>
        <v>0</v>
      </c>
      <c r="J163" s="547">
        <f t="shared" si="66"/>
        <v>0</v>
      </c>
      <c r="K163" s="547">
        <f t="shared" si="66"/>
        <v>0</v>
      </c>
      <c r="L163" s="547">
        <f t="shared" si="66"/>
        <v>0</v>
      </c>
      <c r="M163" s="547">
        <f t="shared" si="66"/>
        <v>0</v>
      </c>
      <c r="N163" s="547">
        <f t="shared" si="66"/>
        <v>0</v>
      </c>
      <c r="O163" s="547">
        <f t="shared" si="66"/>
        <v>0</v>
      </c>
      <c r="P163" s="547">
        <f t="shared" si="66"/>
        <v>0</v>
      </c>
      <c r="Q163" s="547">
        <f t="shared" si="66"/>
        <v>0</v>
      </c>
      <c r="R163" s="547">
        <f t="shared" si="66"/>
        <v>0</v>
      </c>
      <c r="S163" s="547">
        <f t="shared" si="66"/>
        <v>0</v>
      </c>
      <c r="T163" s="547">
        <f t="shared" si="66"/>
        <v>0</v>
      </c>
      <c r="U163" s="547">
        <f t="shared" si="66"/>
        <v>0</v>
      </c>
      <c r="V163" s="547">
        <f t="shared" si="66"/>
        <v>0</v>
      </c>
      <c r="W163" s="547">
        <f t="shared" si="66"/>
        <v>0</v>
      </c>
      <c r="X163" s="547">
        <f t="shared" si="66"/>
        <v>0</v>
      </c>
      <c r="Y163" s="547">
        <f t="shared" si="66"/>
        <v>0</v>
      </c>
      <c r="Z163" s="547">
        <f t="shared" si="66"/>
        <v>0</v>
      </c>
      <c r="AA163" s="547">
        <f t="shared" si="66"/>
        <v>0</v>
      </c>
      <c r="AB163" s="547">
        <f t="shared" si="66"/>
        <v>0</v>
      </c>
      <c r="AC163" s="547">
        <f t="shared" si="66"/>
        <v>0</v>
      </c>
      <c r="AD163" s="547">
        <f t="shared" si="66"/>
        <v>0</v>
      </c>
      <c r="AE163" s="547">
        <f t="shared" si="66"/>
        <v>0</v>
      </c>
      <c r="AF163" s="547">
        <f t="shared" si="66"/>
        <v>0</v>
      </c>
      <c r="AG163" s="547">
        <f t="shared" si="66"/>
        <v>0</v>
      </c>
      <c r="AI163" s="246"/>
    </row>
    <row r="164" spans="1:36">
      <c r="A164" s="295" t="s">
        <v>661</v>
      </c>
      <c r="B164" s="252" t="s">
        <v>127</v>
      </c>
      <c r="C164" s="547">
        <f t="shared" si="67"/>
        <v>31201.448251945247</v>
      </c>
      <c r="D164" s="547">
        <f t="shared" si="66"/>
        <v>30061.637403212877</v>
      </c>
      <c r="E164" s="547">
        <f t="shared" si="66"/>
        <v>28936.423459174268</v>
      </c>
      <c r="F164" s="547">
        <f t="shared" si="66"/>
        <v>27826.515698690437</v>
      </c>
      <c r="G164" s="547">
        <f t="shared" si="66"/>
        <v>26732.594688105328</v>
      </c>
      <c r="H164" s="547">
        <f t="shared" si="66"/>
        <v>25655.312562168419</v>
      </c>
      <c r="I164" s="547">
        <f t="shared" si="66"/>
        <v>24578.237051890101</v>
      </c>
      <c r="J164" s="547">
        <f t="shared" si="66"/>
        <v>23521.97238756367</v>
      </c>
      <c r="K164" s="547">
        <f t="shared" si="66"/>
        <v>22486.93411064957</v>
      </c>
      <c r="L164" s="547">
        <f t="shared" si="66"/>
        <v>21473.511702156862</v>
      </c>
      <c r="M164" s="547">
        <f t="shared" si="66"/>
        <v>20482.068847931961</v>
      </c>
      <c r="N164" s="547">
        <f t="shared" si="66"/>
        <v>19575.669544056778</v>
      </c>
      <c r="O164" s="547">
        <f t="shared" si="66"/>
        <v>18705.42829127657</v>
      </c>
      <c r="P164" s="547">
        <f t="shared" si="66"/>
        <v>17847.045797378152</v>
      </c>
      <c r="Q164" s="547">
        <f t="shared" si="66"/>
        <v>17010.731904795161</v>
      </c>
      <c r="R164" s="547">
        <f t="shared" si="66"/>
        <v>16196.526478917902</v>
      </c>
      <c r="S164" s="547">
        <f t="shared" si="66"/>
        <v>15404.450700470201</v>
      </c>
      <c r="T164" s="547">
        <f t="shared" si="66"/>
        <v>14634.507271198008</v>
      </c>
      <c r="U164" s="547">
        <f t="shared" si="66"/>
        <v>13886.680618116488</v>
      </c>
      <c r="V164" s="547">
        <f t="shared" si="66"/>
        <v>13160.937096323843</v>
      </c>
      <c r="W164" s="547">
        <f t="shared" si="66"/>
        <v>12457.225190389867</v>
      </c>
      <c r="X164" s="547">
        <f t="shared" si="66"/>
        <v>11728.585606090151</v>
      </c>
      <c r="Y164" s="547">
        <f t="shared" si="66"/>
        <v>11012.908120655422</v>
      </c>
      <c r="Z164" s="547">
        <f t="shared" si="66"/>
        <v>10322.12454837183</v>
      </c>
      <c r="AA164" s="547">
        <f t="shared" si="66"/>
        <v>9654.3412241258775</v>
      </c>
      <c r="AB164" s="547">
        <f t="shared" si="66"/>
        <v>9009.6024568466873</v>
      </c>
      <c r="AC164" s="547">
        <f t="shared" si="66"/>
        <v>8387.9706351814439</v>
      </c>
      <c r="AD164" s="547">
        <f t="shared" si="66"/>
        <v>7789.4602362129535</v>
      </c>
      <c r="AE164" s="547">
        <f t="shared" si="66"/>
        <v>7214.0632702639159</v>
      </c>
      <c r="AF164" s="547">
        <f t="shared" si="66"/>
        <v>6661.7561689833437</v>
      </c>
      <c r="AG164" s="547">
        <f t="shared" si="66"/>
        <v>6132.4999798952758</v>
      </c>
      <c r="AI164" s="246"/>
    </row>
    <row r="165" spans="1:36" s="62" customFormat="1">
      <c r="A165" s="296" t="s">
        <v>662</v>
      </c>
      <c r="B165" s="262" t="s">
        <v>127</v>
      </c>
      <c r="C165" s="549">
        <f t="shared" si="67"/>
        <v>10400.482750648416</v>
      </c>
      <c r="D165" s="549">
        <f t="shared" si="66"/>
        <v>10065.887637274902</v>
      </c>
      <c r="E165" s="549">
        <f t="shared" si="66"/>
        <v>9734.372868754479</v>
      </c>
      <c r="F165" s="549">
        <f t="shared" si="66"/>
        <v>9406.1461516700092</v>
      </c>
      <c r="G165" s="549">
        <f t="shared" si="66"/>
        <v>9081.4077648587518</v>
      </c>
      <c r="H165" s="549">
        <f t="shared" si="66"/>
        <v>8760.3506309843433</v>
      </c>
      <c r="I165" s="549">
        <f t="shared" si="66"/>
        <v>8437.3052566189945</v>
      </c>
      <c r="J165" s="549">
        <f t="shared" si="66"/>
        <v>8119.2595043367037</v>
      </c>
      <c r="K165" s="549">
        <f t="shared" si="66"/>
        <v>7806.3450021426033</v>
      </c>
      <c r="L165" s="549">
        <f t="shared" si="66"/>
        <v>7498.6866261500227</v>
      </c>
      <c r="M165" s="549">
        <f t="shared" si="66"/>
        <v>7196.4025681923194</v>
      </c>
      <c r="N165" s="549">
        <f t="shared" si="66"/>
        <v>6921.7837061858309</v>
      </c>
      <c r="O165" s="549">
        <f t="shared" si="66"/>
        <v>6657.8643070645512</v>
      </c>
      <c r="P165" s="549">
        <f t="shared" si="66"/>
        <v>6396.0510950141443</v>
      </c>
      <c r="Q165" s="549">
        <f t="shared" si="66"/>
        <v>6139.9683206657182</v>
      </c>
      <c r="R165" s="549">
        <f t="shared" si="66"/>
        <v>5889.6459923337925</v>
      </c>
      <c r="S165" s="549">
        <f t="shared" si="66"/>
        <v>5645.10926290524</v>
      </c>
      <c r="T165" s="549">
        <f t="shared" si="66"/>
        <v>5406.3784823534152</v>
      </c>
      <c r="U165" s="549">
        <f t="shared" si="66"/>
        <v>5173.4692498865452</v>
      </c>
      <c r="V165" s="549">
        <f t="shared" si="66"/>
        <v>4946.3924657324615</v>
      </c>
      <c r="W165" s="549">
        <f t="shared" si="66"/>
        <v>4725.1543825616836</v>
      </c>
      <c r="X165" s="549">
        <f t="shared" si="66"/>
        <v>4491.7987427579401</v>
      </c>
      <c r="Y165" s="549">
        <f t="shared" si="66"/>
        <v>4260.4681050710842</v>
      </c>
      <c r="Z165" s="549">
        <f t="shared" si="66"/>
        <v>4035.7178685363633</v>
      </c>
      <c r="AA165" s="549">
        <f t="shared" si="66"/>
        <v>3816.8325769800063</v>
      </c>
      <c r="AB165" s="549">
        <f t="shared" si="66"/>
        <v>3603.8409827386836</v>
      </c>
      <c r="AC165" s="549">
        <f t="shared" si="66"/>
        <v>3396.7814968916673</v>
      </c>
      <c r="AD165" s="549">
        <f t="shared" si="66"/>
        <v>3195.6759943437837</v>
      </c>
      <c r="AE165" s="549">
        <f t="shared" si="66"/>
        <v>3000.539590286769</v>
      </c>
      <c r="AF165" s="549">
        <f t="shared" si="66"/>
        <v>2811.3833373691245</v>
      </c>
      <c r="AG165" s="549">
        <f t="shared" si="66"/>
        <v>2628.2142770979754</v>
      </c>
      <c r="AI165" s="264"/>
      <c r="AJ165" s="265"/>
    </row>
    <row r="166" spans="1:36" s="160" customFormat="1">
      <c r="B166" s="156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  <c r="X166" s="565"/>
      <c r="Y166" s="565"/>
      <c r="Z166" s="565"/>
      <c r="AA166" s="565"/>
      <c r="AB166" s="565"/>
      <c r="AC166" s="565"/>
      <c r="AD166" s="565"/>
      <c r="AE166" s="565"/>
      <c r="AF166" s="565"/>
      <c r="AG166" s="565"/>
      <c r="AJ166" s="272"/>
    </row>
    <row r="167" spans="1:36" s="160" customFormat="1" ht="14.75" customHeight="1">
      <c r="A167" s="160" t="s">
        <v>776</v>
      </c>
      <c r="B167" s="299" t="s">
        <v>127</v>
      </c>
      <c r="C167" s="120">
        <f>C100</f>
        <v>205940.91349861573</v>
      </c>
      <c r="D167" s="120">
        <f t="shared" ref="D167:AG167" si="68">D100</f>
        <v>231231.35967447128</v>
      </c>
      <c r="E167" s="120">
        <f t="shared" si="68"/>
        <v>257029.45196162269</v>
      </c>
      <c r="F167" s="120">
        <f t="shared" si="68"/>
        <v>283310.71918053529</v>
      </c>
      <c r="G167" s="120">
        <f t="shared" si="68"/>
        <v>310050.89030255144</v>
      </c>
      <c r="H167" s="120">
        <f t="shared" si="68"/>
        <v>337225.89337559766</v>
      </c>
      <c r="I167" s="120">
        <f t="shared" si="68"/>
        <v>363617.59327209415</v>
      </c>
      <c r="J167" s="120">
        <f t="shared" si="68"/>
        <v>390234.39457129862</v>
      </c>
      <c r="K167" s="120">
        <f t="shared" si="68"/>
        <v>417053.90768287808</v>
      </c>
      <c r="L167" s="120">
        <f t="shared" si="68"/>
        <v>444053.93299751054</v>
      </c>
      <c r="M167" s="120">
        <f t="shared" si="68"/>
        <v>471212.45985365967</v>
      </c>
      <c r="N167" s="120">
        <f t="shared" si="68"/>
        <v>490627.38014533429</v>
      </c>
      <c r="O167" s="120">
        <f t="shared" si="68"/>
        <v>510282.61417185731</v>
      </c>
      <c r="P167" s="120">
        <f t="shared" si="68"/>
        <v>529474.98281558638</v>
      </c>
      <c r="Q167" s="120">
        <f t="shared" si="68"/>
        <v>548568.38673533918</v>
      </c>
      <c r="R167" s="120">
        <f t="shared" si="68"/>
        <v>567546.56774446857</v>
      </c>
      <c r="S167" s="120">
        <f t="shared" si="68"/>
        <v>586393.41570290737</v>
      </c>
      <c r="T167" s="120">
        <f t="shared" si="68"/>
        <v>605092.96764187422</v>
      </c>
      <c r="U167" s="120">
        <f t="shared" si="68"/>
        <v>623629.40689287998</v>
      </c>
      <c r="V167" s="120">
        <f t="shared" si="68"/>
        <v>641987.06222101115</v>
      </c>
      <c r="W167" s="120">
        <f t="shared" si="68"/>
        <v>660150.4069624769</v>
      </c>
      <c r="X167" s="120">
        <f t="shared" si="68"/>
        <v>688583.48595673207</v>
      </c>
      <c r="Y167" s="120">
        <f t="shared" si="68"/>
        <v>716476.4224400504</v>
      </c>
      <c r="Z167" s="120">
        <f t="shared" si="68"/>
        <v>743929.44332505704</v>
      </c>
      <c r="AA167" s="120">
        <f t="shared" si="68"/>
        <v>771341.1725047275</v>
      </c>
      <c r="AB167" s="120">
        <f t="shared" si="68"/>
        <v>798697.352539371</v>
      </c>
      <c r="AC167" s="120">
        <f t="shared" si="68"/>
        <v>825908.08647414844</v>
      </c>
      <c r="AD167" s="120">
        <f t="shared" si="68"/>
        <v>853030.49708412273</v>
      </c>
      <c r="AE167" s="120">
        <f t="shared" si="68"/>
        <v>880050.77624399413</v>
      </c>
      <c r="AF167" s="120">
        <f t="shared" si="68"/>
        <v>906955.25025424745</v>
      </c>
      <c r="AG167" s="120">
        <f t="shared" si="68"/>
        <v>933730.37762990373</v>
      </c>
      <c r="AI167" s="600"/>
      <c r="AJ167" s="272"/>
    </row>
    <row r="168" spans="1:36" s="160" customFormat="1">
      <c r="A168" s="160" t="s">
        <v>768</v>
      </c>
      <c r="B168" s="298" t="s">
        <v>127</v>
      </c>
      <c r="C168" s="547">
        <f>C167/(1-C125)</f>
        <v>282110.84040906263</v>
      </c>
      <c r="D168" s="547">
        <f t="shared" ref="D168:AG168" si="69">D167/(1-D125)</f>
        <v>315029.10037393909</v>
      </c>
      <c r="E168" s="547">
        <f t="shared" si="69"/>
        <v>348278.39019190066</v>
      </c>
      <c r="F168" s="547">
        <f t="shared" si="69"/>
        <v>381820.37625409069</v>
      </c>
      <c r="G168" s="547">
        <f t="shared" si="69"/>
        <v>415617.81541896978</v>
      </c>
      <c r="H168" s="547">
        <f t="shared" si="69"/>
        <v>449634.52450079686</v>
      </c>
      <c r="I168" s="547">
        <f t="shared" si="69"/>
        <v>482251.4499629896</v>
      </c>
      <c r="J168" s="547">
        <f t="shared" si="69"/>
        <v>514821.10101754434</v>
      </c>
      <c r="K168" s="547">
        <f t="shared" si="69"/>
        <v>547314.83947884256</v>
      </c>
      <c r="L168" s="547">
        <f t="shared" si="69"/>
        <v>579704.87336489628</v>
      </c>
      <c r="M168" s="547">
        <f t="shared" si="69"/>
        <v>611964.23357618134</v>
      </c>
      <c r="N168" s="547">
        <f t="shared" si="69"/>
        <v>633885.50406373932</v>
      </c>
      <c r="O168" s="547">
        <f t="shared" si="69"/>
        <v>655890.24957822275</v>
      </c>
      <c r="P168" s="547">
        <f t="shared" si="69"/>
        <v>677077.983140136</v>
      </c>
      <c r="Q168" s="547">
        <f t="shared" si="69"/>
        <v>697924.15615183103</v>
      </c>
      <c r="R168" s="547">
        <f t="shared" si="69"/>
        <v>718413.37689173233</v>
      </c>
      <c r="S168" s="547">
        <f t="shared" si="69"/>
        <v>738530.75025555084</v>
      </c>
      <c r="T168" s="547">
        <f t="shared" si="69"/>
        <v>758261.86421287491</v>
      </c>
      <c r="U168" s="547">
        <f t="shared" si="69"/>
        <v>777592.77667441394</v>
      </c>
      <c r="V168" s="547">
        <f t="shared" si="69"/>
        <v>796510.00275559688</v>
      </c>
      <c r="W168" s="547">
        <f t="shared" si="69"/>
        <v>815000.50242281088</v>
      </c>
      <c r="X168" s="547">
        <f t="shared" si="69"/>
        <v>845925.65842350374</v>
      </c>
      <c r="Y168" s="547">
        <f t="shared" si="69"/>
        <v>875888.04699272662</v>
      </c>
      <c r="Z168" s="547">
        <f t="shared" si="69"/>
        <v>905023.65368011803</v>
      </c>
      <c r="AA168" s="547">
        <f t="shared" si="69"/>
        <v>933827.08535681292</v>
      </c>
      <c r="AB168" s="547">
        <f t="shared" si="69"/>
        <v>962285.96691490477</v>
      </c>
      <c r="AC168" s="547">
        <f t="shared" si="69"/>
        <v>990297.46579634096</v>
      </c>
      <c r="AD168" s="547">
        <f t="shared" si="69"/>
        <v>1017936.1540383325</v>
      </c>
      <c r="AE168" s="547">
        <f t="shared" si="69"/>
        <v>1045190.9456579501</v>
      </c>
      <c r="AF168" s="547">
        <f t="shared" si="69"/>
        <v>1072051.1232319709</v>
      </c>
      <c r="AG168" s="547">
        <f t="shared" si="69"/>
        <v>1098506.3266234163</v>
      </c>
      <c r="AI168" s="600"/>
      <c r="AJ168" s="272"/>
    </row>
    <row r="169" spans="1:36" s="160" customFormat="1">
      <c r="A169" s="160" t="s">
        <v>769</v>
      </c>
      <c r="B169" s="298" t="s">
        <v>127</v>
      </c>
      <c r="C169" s="547">
        <f>C157</f>
        <v>0</v>
      </c>
      <c r="D169" s="547">
        <f t="shared" ref="D169:AG169" si="70">D157</f>
        <v>0</v>
      </c>
      <c r="E169" s="547">
        <f t="shared" si="70"/>
        <v>0</v>
      </c>
      <c r="F169" s="547">
        <f t="shared" si="70"/>
        <v>0</v>
      </c>
      <c r="G169" s="547">
        <f t="shared" si="70"/>
        <v>0</v>
      </c>
      <c r="H169" s="547">
        <f t="shared" si="70"/>
        <v>0</v>
      </c>
      <c r="I169" s="547">
        <f t="shared" si="70"/>
        <v>0</v>
      </c>
      <c r="J169" s="547">
        <f t="shared" si="70"/>
        <v>0</v>
      </c>
      <c r="K169" s="547">
        <f t="shared" si="70"/>
        <v>0</v>
      </c>
      <c r="L169" s="547">
        <f t="shared" si="70"/>
        <v>0</v>
      </c>
      <c r="M169" s="547">
        <f t="shared" si="70"/>
        <v>0</v>
      </c>
      <c r="N169" s="547">
        <f t="shared" si="70"/>
        <v>0</v>
      </c>
      <c r="O169" s="547">
        <f t="shared" si="70"/>
        <v>0</v>
      </c>
      <c r="P169" s="547">
        <f t="shared" si="70"/>
        <v>0</v>
      </c>
      <c r="Q169" s="547">
        <f t="shared" si="70"/>
        <v>0</v>
      </c>
      <c r="R169" s="547">
        <f t="shared" si="70"/>
        <v>0</v>
      </c>
      <c r="S169" s="547">
        <f t="shared" si="70"/>
        <v>0</v>
      </c>
      <c r="T169" s="547">
        <f t="shared" si="70"/>
        <v>0</v>
      </c>
      <c r="U169" s="547">
        <f t="shared" si="70"/>
        <v>0</v>
      </c>
      <c r="V169" s="547">
        <f t="shared" si="70"/>
        <v>0</v>
      </c>
      <c r="W169" s="547">
        <f t="shared" si="70"/>
        <v>0</v>
      </c>
      <c r="X169" s="547">
        <f t="shared" si="70"/>
        <v>0</v>
      </c>
      <c r="Y169" s="547">
        <f t="shared" si="70"/>
        <v>0</v>
      </c>
      <c r="Z169" s="547">
        <f t="shared" si="70"/>
        <v>0</v>
      </c>
      <c r="AA169" s="547">
        <f t="shared" si="70"/>
        <v>0</v>
      </c>
      <c r="AB169" s="547">
        <f t="shared" si="70"/>
        <v>0</v>
      </c>
      <c r="AC169" s="547">
        <f t="shared" si="70"/>
        <v>0</v>
      </c>
      <c r="AD169" s="547">
        <f t="shared" si="70"/>
        <v>0</v>
      </c>
      <c r="AE169" s="547">
        <f t="shared" si="70"/>
        <v>0</v>
      </c>
      <c r="AF169" s="547">
        <f t="shared" si="70"/>
        <v>0</v>
      </c>
      <c r="AG169" s="547">
        <f t="shared" si="70"/>
        <v>0</v>
      </c>
      <c r="AI169" s="600"/>
      <c r="AJ169" s="272"/>
    </row>
    <row r="170" spans="1:36" s="160" customFormat="1">
      <c r="A170" s="160" t="s">
        <v>770</v>
      </c>
      <c r="B170" s="298" t="s">
        <v>127</v>
      </c>
      <c r="C170" s="547">
        <f>C168-C169</f>
        <v>282110.84040906263</v>
      </c>
      <c r="D170" s="547">
        <f t="shared" ref="D170:AG170" si="71">D168-D169</f>
        <v>315029.10037393909</v>
      </c>
      <c r="E170" s="547">
        <f t="shared" si="71"/>
        <v>348278.39019190066</v>
      </c>
      <c r="F170" s="547">
        <f t="shared" si="71"/>
        <v>381820.37625409069</v>
      </c>
      <c r="G170" s="547">
        <f t="shared" si="71"/>
        <v>415617.81541896978</v>
      </c>
      <c r="H170" s="547">
        <f t="shared" si="71"/>
        <v>449634.52450079686</v>
      </c>
      <c r="I170" s="547">
        <f t="shared" si="71"/>
        <v>482251.4499629896</v>
      </c>
      <c r="J170" s="547">
        <f t="shared" si="71"/>
        <v>514821.10101754434</v>
      </c>
      <c r="K170" s="547">
        <f t="shared" si="71"/>
        <v>547314.83947884256</v>
      </c>
      <c r="L170" s="547">
        <f t="shared" si="71"/>
        <v>579704.87336489628</v>
      </c>
      <c r="M170" s="547">
        <f t="shared" si="71"/>
        <v>611964.23357618134</v>
      </c>
      <c r="N170" s="547">
        <f t="shared" si="71"/>
        <v>633885.50406373932</v>
      </c>
      <c r="O170" s="547">
        <f t="shared" si="71"/>
        <v>655890.24957822275</v>
      </c>
      <c r="P170" s="547">
        <f t="shared" si="71"/>
        <v>677077.983140136</v>
      </c>
      <c r="Q170" s="547">
        <f t="shared" si="71"/>
        <v>697924.15615183103</v>
      </c>
      <c r="R170" s="547">
        <f t="shared" si="71"/>
        <v>718413.37689173233</v>
      </c>
      <c r="S170" s="547">
        <f t="shared" si="71"/>
        <v>738530.75025555084</v>
      </c>
      <c r="T170" s="547">
        <f t="shared" si="71"/>
        <v>758261.86421287491</v>
      </c>
      <c r="U170" s="547">
        <f t="shared" si="71"/>
        <v>777592.77667441394</v>
      </c>
      <c r="V170" s="547">
        <f t="shared" si="71"/>
        <v>796510.00275559688</v>
      </c>
      <c r="W170" s="547">
        <f t="shared" si="71"/>
        <v>815000.50242281088</v>
      </c>
      <c r="X170" s="547">
        <f t="shared" si="71"/>
        <v>845925.65842350374</v>
      </c>
      <c r="Y170" s="547">
        <f t="shared" si="71"/>
        <v>875888.04699272662</v>
      </c>
      <c r="Z170" s="547">
        <f t="shared" si="71"/>
        <v>905023.65368011803</v>
      </c>
      <c r="AA170" s="547">
        <f t="shared" si="71"/>
        <v>933827.08535681292</v>
      </c>
      <c r="AB170" s="547">
        <f t="shared" si="71"/>
        <v>962285.96691490477</v>
      </c>
      <c r="AC170" s="547">
        <f t="shared" si="71"/>
        <v>990297.46579634096</v>
      </c>
      <c r="AD170" s="547">
        <f t="shared" si="71"/>
        <v>1017936.1540383325</v>
      </c>
      <c r="AE170" s="547">
        <f t="shared" si="71"/>
        <v>1045190.9456579501</v>
      </c>
      <c r="AF170" s="547">
        <f t="shared" si="71"/>
        <v>1072051.1232319709</v>
      </c>
      <c r="AG170" s="547">
        <f t="shared" si="71"/>
        <v>1098506.3266234163</v>
      </c>
      <c r="AI170" s="600"/>
      <c r="AJ170" s="272"/>
    </row>
    <row r="171" spans="1:36" s="160" customFormat="1">
      <c r="A171" s="160" t="s">
        <v>771</v>
      </c>
      <c r="B171" s="298" t="s">
        <v>127</v>
      </c>
      <c r="C171" s="547">
        <f>(C170)/(1-C122)</f>
        <v>352638.55051132827</v>
      </c>
      <c r="D171" s="547">
        <f t="shared" ref="D171:AG171" si="72">(D168-D157)/(1-D122)</f>
        <v>392152.40710448846</v>
      </c>
      <c r="E171" s="547">
        <f t="shared" si="72"/>
        <v>431750.07048582728</v>
      </c>
      <c r="F171" s="547">
        <f t="shared" si="72"/>
        <v>471383.18056060583</v>
      </c>
      <c r="G171" s="547">
        <f t="shared" si="72"/>
        <v>511005.5107610285</v>
      </c>
      <c r="H171" s="547">
        <f t="shared" si="72"/>
        <v>550572.88714383286</v>
      </c>
      <c r="I171" s="547">
        <f t="shared" si="72"/>
        <v>588111.52434510936</v>
      </c>
      <c r="J171" s="547">
        <f t="shared" si="72"/>
        <v>625288.78666098509</v>
      </c>
      <c r="K171" s="547">
        <f t="shared" si="72"/>
        <v>662074.40259537403</v>
      </c>
      <c r="L171" s="547">
        <f t="shared" si="72"/>
        <v>698439.60646373045</v>
      </c>
      <c r="M171" s="547">
        <f t="shared" si="72"/>
        <v>734357.08029141766</v>
      </c>
      <c r="N171" s="547">
        <f t="shared" si="72"/>
        <v>757632.07657020644</v>
      </c>
      <c r="O171" s="547">
        <f t="shared" si="72"/>
        <v>780821.72568836052</v>
      </c>
      <c r="P171" s="547">
        <f t="shared" si="72"/>
        <v>802859.26854561584</v>
      </c>
      <c r="Q171" s="547">
        <f t="shared" si="72"/>
        <v>824319.86947066663</v>
      </c>
      <c r="R171" s="547">
        <f t="shared" si="72"/>
        <v>845192.20810792048</v>
      </c>
      <c r="S171" s="547">
        <f t="shared" si="72"/>
        <v>865465.72295572364</v>
      </c>
      <c r="T171" s="547">
        <f t="shared" si="72"/>
        <v>885130.58079323929</v>
      </c>
      <c r="U171" s="547">
        <f t="shared" si="72"/>
        <v>904177.64729583031</v>
      </c>
      <c r="V171" s="547">
        <f t="shared" si="72"/>
        <v>922598.45879026689</v>
      </c>
      <c r="W171" s="547">
        <f t="shared" si="72"/>
        <v>940385.19510324358</v>
      </c>
      <c r="X171" s="547">
        <f t="shared" si="72"/>
        <v>972328.34301552165</v>
      </c>
      <c r="Y171" s="547">
        <f t="shared" si="72"/>
        <v>1002925.2446481604</v>
      </c>
      <c r="Z171" s="547">
        <f t="shared" si="72"/>
        <v>1032346.3730191463</v>
      </c>
      <c r="AA171" s="547">
        <f t="shared" si="72"/>
        <v>1061167.1424509238</v>
      </c>
      <c r="AB171" s="547">
        <f t="shared" si="72"/>
        <v>1089380.3399036659</v>
      </c>
      <c r="AC171" s="547">
        <f t="shared" si="72"/>
        <v>1116876.8411236929</v>
      </c>
      <c r="AD171" s="547">
        <f t="shared" si="72"/>
        <v>1143748.48768352</v>
      </c>
      <c r="AE171" s="547">
        <f t="shared" si="72"/>
        <v>1169989.8645424817</v>
      </c>
      <c r="AF171" s="547">
        <f t="shared" si="72"/>
        <v>1195596.0482140942</v>
      </c>
      <c r="AG171" s="547">
        <f t="shared" si="72"/>
        <v>1220562.5851371291</v>
      </c>
      <c r="AI171" s="600"/>
      <c r="AJ171" s="272"/>
    </row>
    <row r="172" spans="1:36" s="160" customFormat="1">
      <c r="A172" s="160" t="s">
        <v>772</v>
      </c>
      <c r="B172" s="298" t="s">
        <v>127</v>
      </c>
      <c r="C172" s="547">
        <f>IF(C151&gt;C171,C171,C151)</f>
        <v>336047.50715336</v>
      </c>
      <c r="D172" s="547">
        <f t="shared" ref="D172:AG172" si="73">IF(D151&gt;D171,D171,D151)</f>
        <v>348144.78351433179</v>
      </c>
      <c r="E172" s="547">
        <f t="shared" si="73"/>
        <v>360079.42503093596</v>
      </c>
      <c r="F172" s="547">
        <f t="shared" si="73"/>
        <v>371852.21005955891</v>
      </c>
      <c r="G172" s="547">
        <f t="shared" si="73"/>
        <v>383463.9143103931</v>
      </c>
      <c r="H172" s="547">
        <f t="shared" si="73"/>
        <v>394915.31085475598</v>
      </c>
      <c r="I172" s="547">
        <f t="shared" si="73"/>
        <v>405751.70108994941</v>
      </c>
      <c r="J172" s="547">
        <f t="shared" si="73"/>
        <v>416400.39402961597</v>
      </c>
      <c r="K172" s="547">
        <f t="shared" si="73"/>
        <v>426862.32200005202</v>
      </c>
      <c r="L172" s="547">
        <f t="shared" si="73"/>
        <v>437138.41410745512</v>
      </c>
      <c r="M172" s="547">
        <f t="shared" si="73"/>
        <v>447229.59624691837</v>
      </c>
      <c r="N172" s="547">
        <f t="shared" si="73"/>
        <v>456557.26541364082</v>
      </c>
      <c r="O172" s="547">
        <f t="shared" si="73"/>
        <v>466003.09269433719</v>
      </c>
      <c r="P172" s="547">
        <f t="shared" si="73"/>
        <v>474974.94686438254</v>
      </c>
      <c r="Q172" s="547">
        <f t="shared" si="73"/>
        <v>483737.85312996147</v>
      </c>
      <c r="R172" s="547">
        <f t="shared" si="73"/>
        <v>492292.88023592107</v>
      </c>
      <c r="S172" s="547">
        <f t="shared" si="73"/>
        <v>500641.09322044917</v>
      </c>
      <c r="T172" s="547">
        <f t="shared" si="73"/>
        <v>508783.55342532997</v>
      </c>
      <c r="U172" s="547">
        <f t="shared" si="73"/>
        <v>516721.3185061767</v>
      </c>
      <c r="V172" s="547">
        <f t="shared" si="73"/>
        <v>524455.44244264276</v>
      </c>
      <c r="W172" s="547">
        <f t="shared" si="73"/>
        <v>531986.97554860695</v>
      </c>
      <c r="X172" s="547">
        <f t="shared" si="73"/>
        <v>540850.74916588899</v>
      </c>
      <c r="Y172" s="547">
        <f t="shared" si="73"/>
        <v>549131.67569678405</v>
      </c>
      <c r="Z172" s="547">
        <f t="shared" si="73"/>
        <v>557197.39150142251</v>
      </c>
      <c r="AA172" s="547">
        <f t="shared" si="73"/>
        <v>565105.93986050109</v>
      </c>
      <c r="AB172" s="547">
        <f t="shared" si="73"/>
        <v>572858.07101037656</v>
      </c>
      <c r="AC172" s="547">
        <f t="shared" si="73"/>
        <v>580432.28094491723</v>
      </c>
      <c r="AD172" s="547">
        <f t="shared" si="73"/>
        <v>587850.75833140069</v>
      </c>
      <c r="AE172" s="547">
        <f t="shared" si="73"/>
        <v>595114.25319369708</v>
      </c>
      <c r="AF172" s="547">
        <f t="shared" si="73"/>
        <v>602223.51386771782</v>
      </c>
      <c r="AG172" s="547">
        <f t="shared" si="73"/>
        <v>609179.28700061841</v>
      </c>
      <c r="AI172" s="600"/>
      <c r="AJ172" s="272"/>
    </row>
    <row r="173" spans="1:36" s="160" customFormat="1">
      <c r="A173" s="160" t="s">
        <v>773</v>
      </c>
      <c r="B173" s="298" t="s">
        <v>127</v>
      </c>
      <c r="C173" s="547">
        <f>IF(C171-C172&lt;0,0,C171-C172)</f>
        <v>16591.043357968272</v>
      </c>
      <c r="D173" s="547">
        <f t="shared" ref="D173:AG173" si="74">IF(D171-D172&lt;0,0,D171-D172)</f>
        <v>44007.623590156669</v>
      </c>
      <c r="E173" s="547">
        <f t="shared" si="74"/>
        <v>71670.645454891317</v>
      </c>
      <c r="F173" s="547">
        <f t="shared" si="74"/>
        <v>99530.970501046919</v>
      </c>
      <c r="G173" s="547">
        <f t="shared" si="74"/>
        <v>127541.59645063541</v>
      </c>
      <c r="H173" s="547">
        <f t="shared" si="74"/>
        <v>155657.57628907688</v>
      </c>
      <c r="I173" s="547">
        <f t="shared" si="74"/>
        <v>182359.82325515995</v>
      </c>
      <c r="J173" s="547">
        <f t="shared" si="74"/>
        <v>208888.39263136912</v>
      </c>
      <c r="K173" s="547">
        <f t="shared" si="74"/>
        <v>235212.08059532201</v>
      </c>
      <c r="L173" s="547">
        <f t="shared" si="74"/>
        <v>261301.19235627534</v>
      </c>
      <c r="M173" s="547">
        <f t="shared" si="74"/>
        <v>287127.48404449929</v>
      </c>
      <c r="N173" s="547">
        <f t="shared" si="74"/>
        <v>301074.81115656561</v>
      </c>
      <c r="O173" s="547">
        <f t="shared" si="74"/>
        <v>314818.63299402333</v>
      </c>
      <c r="P173" s="547">
        <f t="shared" si="74"/>
        <v>327884.3216812333</v>
      </c>
      <c r="Q173" s="547">
        <f t="shared" si="74"/>
        <v>340582.01634070516</v>
      </c>
      <c r="R173" s="547">
        <f t="shared" si="74"/>
        <v>352899.32787199941</v>
      </c>
      <c r="S173" s="547">
        <f t="shared" si="74"/>
        <v>364824.62973527447</v>
      </c>
      <c r="T173" s="547">
        <f t="shared" si="74"/>
        <v>376347.02736790932</v>
      </c>
      <c r="U173" s="547">
        <f t="shared" si="74"/>
        <v>387456.32878965361</v>
      </c>
      <c r="V173" s="547">
        <f t="shared" si="74"/>
        <v>398143.01634762413</v>
      </c>
      <c r="W173" s="547">
        <f t="shared" si="74"/>
        <v>408398.21955463663</v>
      </c>
      <c r="X173" s="547">
        <f t="shared" si="74"/>
        <v>431477.59384963266</v>
      </c>
      <c r="Y173" s="547">
        <f t="shared" si="74"/>
        <v>453793.56895137636</v>
      </c>
      <c r="Z173" s="547">
        <f t="shared" si="74"/>
        <v>475148.98151772376</v>
      </c>
      <c r="AA173" s="547">
        <f t="shared" si="74"/>
        <v>496061.2025904227</v>
      </c>
      <c r="AB173" s="547">
        <f t="shared" si="74"/>
        <v>516522.26889328938</v>
      </c>
      <c r="AC173" s="547">
        <f t="shared" si="74"/>
        <v>536444.56017877569</v>
      </c>
      <c r="AD173" s="547">
        <f t="shared" si="74"/>
        <v>555897.72935211926</v>
      </c>
      <c r="AE173" s="547">
        <f t="shared" si="74"/>
        <v>574875.61134878465</v>
      </c>
      <c r="AF173" s="547">
        <f t="shared" si="74"/>
        <v>593372.53434637643</v>
      </c>
      <c r="AG173" s="547">
        <f t="shared" si="74"/>
        <v>611383.29813651065</v>
      </c>
      <c r="AI173" s="600"/>
      <c r="AJ173" s="272"/>
    </row>
    <row r="174" spans="1:36" s="160" customFormat="1">
      <c r="A174" s="160" t="s">
        <v>774</v>
      </c>
      <c r="B174" s="298" t="s">
        <v>127</v>
      </c>
      <c r="C174" s="547">
        <f>C168*C125+C122*C171+C158+IF(C151&gt;C171,C151-C171,0)</f>
        <v>146697.63701271257</v>
      </c>
      <c r="D174" s="547">
        <f t="shared" ref="D174:AG174" si="75">D168*D125+D122*D171+D158+IF(D151&gt;D171,D151-D171,0)</f>
        <v>160921.04743001721</v>
      </c>
      <c r="E174" s="547">
        <f t="shared" si="75"/>
        <v>174720.61852420459</v>
      </c>
      <c r="F174" s="547">
        <f t="shared" si="75"/>
        <v>188072.46138007054</v>
      </c>
      <c r="G174" s="547">
        <f t="shared" si="75"/>
        <v>200954.620458477</v>
      </c>
      <c r="H174" s="547">
        <f t="shared" si="75"/>
        <v>213346.99376823526</v>
      </c>
      <c r="I174" s="547">
        <f t="shared" si="75"/>
        <v>224493.93107301515</v>
      </c>
      <c r="J174" s="547">
        <f t="shared" si="75"/>
        <v>235054.39208968647</v>
      </c>
      <c r="K174" s="547">
        <f t="shared" si="75"/>
        <v>245020.49491249607</v>
      </c>
      <c r="L174" s="547">
        <f t="shared" si="75"/>
        <v>254385.67346621995</v>
      </c>
      <c r="M174" s="547">
        <f t="shared" si="75"/>
        <v>263144.62043775804</v>
      </c>
      <c r="N174" s="547">
        <f t="shared" si="75"/>
        <v>267004.69642487215</v>
      </c>
      <c r="O174" s="547">
        <f t="shared" si="75"/>
        <v>270539.11151650321</v>
      </c>
      <c r="P174" s="547">
        <f t="shared" si="75"/>
        <v>273384.28573002951</v>
      </c>
      <c r="Q174" s="547">
        <f t="shared" si="75"/>
        <v>275751.48273532744</v>
      </c>
      <c r="R174" s="547">
        <f t="shared" si="75"/>
        <v>277645.64036345191</v>
      </c>
      <c r="S174" s="547">
        <f t="shared" si="75"/>
        <v>279072.30725281633</v>
      </c>
      <c r="T174" s="547">
        <f t="shared" si="75"/>
        <v>280037.61315136508</v>
      </c>
      <c r="U174" s="547">
        <f t="shared" si="75"/>
        <v>280548.24040295026</v>
      </c>
      <c r="V174" s="547">
        <f t="shared" si="75"/>
        <v>280611.39656925568</v>
      </c>
      <c r="W174" s="547">
        <f t="shared" si="75"/>
        <v>280234.78814076667</v>
      </c>
      <c r="X174" s="547">
        <f t="shared" si="75"/>
        <v>283744.85705878958</v>
      </c>
      <c r="Y174" s="547">
        <f t="shared" si="75"/>
        <v>286448.82220811001</v>
      </c>
      <c r="Z174" s="547">
        <f t="shared" si="75"/>
        <v>288416.92969408917</v>
      </c>
      <c r="AA174" s="547">
        <f t="shared" si="75"/>
        <v>289825.96994619642</v>
      </c>
      <c r="AB174" s="547">
        <f t="shared" si="75"/>
        <v>290682.98736429494</v>
      </c>
      <c r="AC174" s="547">
        <f t="shared" si="75"/>
        <v>290968.7546495446</v>
      </c>
      <c r="AD174" s="547">
        <f t="shared" si="75"/>
        <v>290717.99059939722</v>
      </c>
      <c r="AE174" s="547">
        <f t="shared" si="75"/>
        <v>289939.08829848765</v>
      </c>
      <c r="AF174" s="547">
        <f t="shared" si="75"/>
        <v>288640.79795984674</v>
      </c>
      <c r="AG174" s="547">
        <f t="shared" si="75"/>
        <v>286832.20750722534</v>
      </c>
      <c r="AI174" s="600"/>
      <c r="AJ174" s="272"/>
    </row>
    <row r="175" spans="1:36" s="160" customFormat="1">
      <c r="A175" s="160" t="s">
        <v>775</v>
      </c>
      <c r="B175" s="298" t="s">
        <v>127</v>
      </c>
      <c r="C175" s="547">
        <f>C154-C173</f>
        <v>1887678.163844405</v>
      </c>
      <c r="D175" s="547">
        <f t="shared" ref="D175:AG175" si="76">D154-D173</f>
        <v>1834786.5066332417</v>
      </c>
      <c r="E175" s="547">
        <f t="shared" si="76"/>
        <v>1781852.9522453367</v>
      </c>
      <c r="F175" s="547">
        <f t="shared" si="76"/>
        <v>1728925.754703057</v>
      </c>
      <c r="G175" s="547">
        <f t="shared" si="76"/>
        <v>1676051.0347355104</v>
      </c>
      <c r="H175" s="547">
        <f t="shared" si="76"/>
        <v>1623272.8606805126</v>
      </c>
      <c r="I175" s="547">
        <f t="shared" si="76"/>
        <v>1570142.2048567499</v>
      </c>
      <c r="J175" s="547">
        <f t="shared" si="76"/>
        <v>1517423.3610042778</v>
      </c>
      <c r="K175" s="547">
        <f t="shared" si="76"/>
        <v>1465146.4711590388</v>
      </c>
      <c r="L175" s="547">
        <f t="shared" si="76"/>
        <v>1413340.171833155</v>
      </c>
      <c r="M175" s="547">
        <f t="shared" si="76"/>
        <v>1362031.6521160132</v>
      </c>
      <c r="N175" s="547">
        <f t="shared" si="76"/>
        <v>1320777.3259198135</v>
      </c>
      <c r="O175" s="547">
        <f t="shared" si="76"/>
        <v>1281138.8614547255</v>
      </c>
      <c r="P175" s="547">
        <f t="shared" si="76"/>
        <v>1241509.2258491451</v>
      </c>
      <c r="Q175" s="547">
        <f t="shared" si="76"/>
        <v>1202514.7106828045</v>
      </c>
      <c r="R175" s="547">
        <f t="shared" si="76"/>
        <v>1164166.4867325749</v>
      </c>
      <c r="S175" s="547">
        <f t="shared" si="76"/>
        <v>1126474.9662503086</v>
      </c>
      <c r="T175" s="547">
        <f t="shared" si="76"/>
        <v>1089449.8335353388</v>
      </c>
      <c r="U175" s="547">
        <f t="shared" si="76"/>
        <v>1053100.0743184765</v>
      </c>
      <c r="V175" s="547">
        <f t="shared" si="76"/>
        <v>1017434.0040061933</v>
      </c>
      <c r="W175" s="547">
        <f t="shared" si="76"/>
        <v>982459.29483148106</v>
      </c>
      <c r="X175" s="547">
        <f t="shared" si="76"/>
        <v>938805.04626323888</v>
      </c>
      <c r="Y175" s="547">
        <f t="shared" si="76"/>
        <v>894995.29347436584</v>
      </c>
      <c r="Z175" s="547">
        <f t="shared" si="76"/>
        <v>852199.48324271175</v>
      </c>
      <c r="AA175" s="547">
        <f t="shared" si="76"/>
        <v>810044.57894146442</v>
      </c>
      <c r="AB175" s="547">
        <f t="shared" si="76"/>
        <v>768537.72823809646</v>
      </c>
      <c r="AC175" s="547">
        <f t="shared" si="76"/>
        <v>727717.27204871422</v>
      </c>
      <c r="AD175" s="547">
        <f t="shared" si="76"/>
        <v>687562.28593455127</v>
      </c>
      <c r="AE175" s="547">
        <f t="shared" si="76"/>
        <v>648078.11873765232</v>
      </c>
      <c r="AF175" s="547">
        <f t="shared" si="76"/>
        <v>609269.62771313253</v>
      </c>
      <c r="AG175" s="547">
        <f t="shared" si="76"/>
        <v>571141.20015880722</v>
      </c>
      <c r="AI175" s="600"/>
      <c r="AJ175" s="272"/>
    </row>
    <row r="176" spans="1:36" s="160" customFormat="1">
      <c r="B176" s="299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  <c r="AA176" s="276"/>
      <c r="AB176" s="276"/>
      <c r="AC176" s="276"/>
      <c r="AD176" s="276"/>
      <c r="AE176" s="276"/>
      <c r="AF176" s="276"/>
      <c r="AG176" s="276"/>
      <c r="AJ176" s="272"/>
    </row>
    <row r="177" spans="1:37" s="160" customFormat="1">
      <c r="A177" s="160" t="s">
        <v>677</v>
      </c>
      <c r="B177" s="299" t="s">
        <v>126</v>
      </c>
      <c r="C177" s="246">
        <v>0.8</v>
      </c>
      <c r="D177" s="267">
        <f>C177</f>
        <v>0.8</v>
      </c>
      <c r="E177" s="267">
        <f t="shared" ref="E177:AG177" si="77">D177</f>
        <v>0.8</v>
      </c>
      <c r="F177" s="267">
        <f t="shared" si="77"/>
        <v>0.8</v>
      </c>
      <c r="G177" s="267">
        <f t="shared" si="77"/>
        <v>0.8</v>
      </c>
      <c r="H177" s="267">
        <f t="shared" si="77"/>
        <v>0.8</v>
      </c>
      <c r="I177" s="267">
        <f t="shared" si="77"/>
        <v>0.8</v>
      </c>
      <c r="J177" s="267">
        <f t="shared" si="77"/>
        <v>0.8</v>
      </c>
      <c r="K177" s="267">
        <f t="shared" si="77"/>
        <v>0.8</v>
      </c>
      <c r="L177" s="267">
        <f t="shared" si="77"/>
        <v>0.8</v>
      </c>
      <c r="M177" s="267">
        <f t="shared" si="77"/>
        <v>0.8</v>
      </c>
      <c r="N177" s="267">
        <f t="shared" si="77"/>
        <v>0.8</v>
      </c>
      <c r="O177" s="267">
        <f t="shared" si="77"/>
        <v>0.8</v>
      </c>
      <c r="P177" s="267">
        <f t="shared" si="77"/>
        <v>0.8</v>
      </c>
      <c r="Q177" s="267">
        <f t="shared" si="77"/>
        <v>0.8</v>
      </c>
      <c r="R177" s="267">
        <f t="shared" si="77"/>
        <v>0.8</v>
      </c>
      <c r="S177" s="267">
        <f t="shared" si="77"/>
        <v>0.8</v>
      </c>
      <c r="T177" s="267">
        <f t="shared" si="77"/>
        <v>0.8</v>
      </c>
      <c r="U177" s="267">
        <f t="shared" si="77"/>
        <v>0.8</v>
      </c>
      <c r="V177" s="267">
        <f t="shared" si="77"/>
        <v>0.8</v>
      </c>
      <c r="W177" s="267">
        <f t="shared" si="77"/>
        <v>0.8</v>
      </c>
      <c r="X177" s="267">
        <f t="shared" si="77"/>
        <v>0.8</v>
      </c>
      <c r="Y177" s="267">
        <f t="shared" si="77"/>
        <v>0.8</v>
      </c>
      <c r="Z177" s="267">
        <f t="shared" si="77"/>
        <v>0.8</v>
      </c>
      <c r="AA177" s="267">
        <f t="shared" si="77"/>
        <v>0.8</v>
      </c>
      <c r="AB177" s="267">
        <f t="shared" si="77"/>
        <v>0.8</v>
      </c>
      <c r="AC177" s="267">
        <f t="shared" si="77"/>
        <v>0.8</v>
      </c>
      <c r="AD177" s="267">
        <f t="shared" si="77"/>
        <v>0.8</v>
      </c>
      <c r="AE177" s="267">
        <f t="shared" si="77"/>
        <v>0.8</v>
      </c>
      <c r="AF177" s="267">
        <f t="shared" si="77"/>
        <v>0.8</v>
      </c>
      <c r="AG177" s="267">
        <f t="shared" si="77"/>
        <v>0.8</v>
      </c>
      <c r="AJ177" s="272" t="s">
        <v>678</v>
      </c>
    </row>
    <row r="178" spans="1:37" s="160" customFormat="1">
      <c r="B178" s="299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  <c r="AA178" s="276"/>
      <c r="AB178" s="276"/>
      <c r="AC178" s="276"/>
      <c r="AD178" s="276"/>
      <c r="AE178" s="276"/>
      <c r="AF178" s="276"/>
      <c r="AG178" s="276"/>
      <c r="AJ178" s="272"/>
    </row>
    <row r="179" spans="1:37" s="160" customFormat="1">
      <c r="A179" s="160" t="s">
        <v>634</v>
      </c>
      <c r="B179" s="299" t="s">
        <v>127</v>
      </c>
      <c r="C179" s="547">
        <f>C113*C174*C177</f>
        <v>117358.10961017007</v>
      </c>
      <c r="D179" s="547">
        <f t="shared" ref="D179:AG179" si="78">D113*D174*D177</f>
        <v>128736.83794401377</v>
      </c>
      <c r="E179" s="547">
        <f t="shared" si="78"/>
        <v>139776.49481936367</v>
      </c>
      <c r="F179" s="547">
        <f t="shared" si="78"/>
        <v>150457.96910405645</v>
      </c>
      <c r="G179" s="547">
        <f t="shared" si="78"/>
        <v>160763.6963667816</v>
      </c>
      <c r="H179" s="547">
        <f t="shared" si="78"/>
        <v>170677.59501458821</v>
      </c>
      <c r="I179" s="547">
        <f t="shared" si="78"/>
        <v>179595.14485841212</v>
      </c>
      <c r="J179" s="547">
        <f t="shared" si="78"/>
        <v>188043.51367174918</v>
      </c>
      <c r="K179" s="547">
        <f t="shared" si="78"/>
        <v>196016.39592999686</v>
      </c>
      <c r="L179" s="547">
        <f t="shared" si="78"/>
        <v>203508.53877297597</v>
      </c>
      <c r="M179" s="547">
        <f t="shared" si="78"/>
        <v>210515.69635020645</v>
      </c>
      <c r="N179" s="547">
        <f t="shared" si="78"/>
        <v>213603.75713989773</v>
      </c>
      <c r="O179" s="547">
        <f t="shared" si="78"/>
        <v>216431.28921320257</v>
      </c>
      <c r="P179" s="547">
        <f t="shared" si="78"/>
        <v>218707.42858402361</v>
      </c>
      <c r="Q179" s="547">
        <f t="shared" si="78"/>
        <v>220601.18618826196</v>
      </c>
      <c r="R179" s="547">
        <f t="shared" si="78"/>
        <v>222116.51229076154</v>
      </c>
      <c r="S179" s="547">
        <f t="shared" si="78"/>
        <v>223257.84580225308</v>
      </c>
      <c r="T179" s="547">
        <f t="shared" si="78"/>
        <v>224030.09052109206</v>
      </c>
      <c r="U179" s="547">
        <f t="shared" si="78"/>
        <v>224438.59232236023</v>
      </c>
      <c r="V179" s="547">
        <f t="shared" si="78"/>
        <v>224489.11725540456</v>
      </c>
      <c r="W179" s="547">
        <f t="shared" si="78"/>
        <v>224187.83051261335</v>
      </c>
      <c r="X179" s="547">
        <f t="shared" si="78"/>
        <v>226995.88564703168</v>
      </c>
      <c r="Y179" s="547">
        <f t="shared" si="78"/>
        <v>229159.05776648803</v>
      </c>
      <c r="Z179" s="547">
        <f t="shared" si="78"/>
        <v>230733.54375527136</v>
      </c>
      <c r="AA179" s="547">
        <f t="shared" si="78"/>
        <v>231860.77595695714</v>
      </c>
      <c r="AB179" s="547">
        <f t="shared" si="78"/>
        <v>232546.38989143597</v>
      </c>
      <c r="AC179" s="547">
        <f t="shared" si="78"/>
        <v>232775.00371963569</v>
      </c>
      <c r="AD179" s="547">
        <f t="shared" si="78"/>
        <v>232574.39247951779</v>
      </c>
      <c r="AE179" s="547">
        <f t="shared" si="78"/>
        <v>231951.27063879013</v>
      </c>
      <c r="AF179" s="547">
        <f t="shared" si="78"/>
        <v>230912.6383678774</v>
      </c>
      <c r="AG179" s="547">
        <f t="shared" si="78"/>
        <v>229465.76600578029</v>
      </c>
      <c r="AJ179" s="272"/>
    </row>
    <row r="180" spans="1:37" s="160" customFormat="1">
      <c r="A180" s="160" t="s">
        <v>639</v>
      </c>
      <c r="B180" s="299" t="s">
        <v>127</v>
      </c>
      <c r="C180" s="276">
        <f>C174*C177-C179</f>
        <v>0</v>
      </c>
      <c r="D180" s="276">
        <f t="shared" ref="D180:AG180" si="79">D174*D177-D179</f>
        <v>0</v>
      </c>
      <c r="E180" s="276">
        <f t="shared" si="79"/>
        <v>0</v>
      </c>
      <c r="F180" s="276">
        <f t="shared" si="79"/>
        <v>0</v>
      </c>
      <c r="G180" s="276">
        <f t="shared" si="79"/>
        <v>0</v>
      </c>
      <c r="H180" s="276">
        <f t="shared" si="79"/>
        <v>0</v>
      </c>
      <c r="I180" s="276">
        <f t="shared" si="79"/>
        <v>0</v>
      </c>
      <c r="J180" s="276">
        <f t="shared" si="79"/>
        <v>0</v>
      </c>
      <c r="K180" s="276">
        <f t="shared" si="79"/>
        <v>0</v>
      </c>
      <c r="L180" s="276">
        <f t="shared" si="79"/>
        <v>0</v>
      </c>
      <c r="M180" s="276">
        <f t="shared" si="79"/>
        <v>0</v>
      </c>
      <c r="N180" s="276">
        <f t="shared" si="79"/>
        <v>0</v>
      </c>
      <c r="O180" s="276">
        <f t="shared" si="79"/>
        <v>0</v>
      </c>
      <c r="P180" s="276">
        <f t="shared" si="79"/>
        <v>0</v>
      </c>
      <c r="Q180" s="276">
        <f t="shared" si="79"/>
        <v>0</v>
      </c>
      <c r="R180" s="276">
        <f t="shared" si="79"/>
        <v>0</v>
      </c>
      <c r="S180" s="276">
        <f t="shared" si="79"/>
        <v>0</v>
      </c>
      <c r="T180" s="276">
        <f t="shared" si="79"/>
        <v>0</v>
      </c>
      <c r="U180" s="276">
        <f t="shared" si="79"/>
        <v>0</v>
      </c>
      <c r="V180" s="276">
        <f t="shared" si="79"/>
        <v>0</v>
      </c>
      <c r="W180" s="276">
        <f t="shared" si="79"/>
        <v>0</v>
      </c>
      <c r="X180" s="276">
        <f t="shared" si="79"/>
        <v>0</v>
      </c>
      <c r="Y180" s="276">
        <f t="shared" si="79"/>
        <v>0</v>
      </c>
      <c r="Z180" s="276">
        <f t="shared" si="79"/>
        <v>0</v>
      </c>
      <c r="AA180" s="276">
        <f t="shared" si="79"/>
        <v>0</v>
      </c>
      <c r="AB180" s="276">
        <f t="shared" si="79"/>
        <v>0</v>
      </c>
      <c r="AC180" s="276">
        <f t="shared" si="79"/>
        <v>0</v>
      </c>
      <c r="AD180" s="276">
        <f t="shared" si="79"/>
        <v>0</v>
      </c>
      <c r="AE180" s="276">
        <f t="shared" si="79"/>
        <v>0</v>
      </c>
      <c r="AF180" s="276">
        <f t="shared" si="79"/>
        <v>0</v>
      </c>
      <c r="AG180" s="276">
        <f t="shared" si="79"/>
        <v>0</v>
      </c>
      <c r="AJ180" s="272"/>
    </row>
    <row r="181" spans="1:37" s="160" customFormat="1">
      <c r="B181" s="15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J181" s="272"/>
    </row>
    <row r="182" spans="1:37" s="160" customFormat="1">
      <c r="B182" s="184" t="s">
        <v>633</v>
      </c>
      <c r="C182" s="280">
        <v>0</v>
      </c>
      <c r="D182" s="280">
        <f>C182+1</f>
        <v>1</v>
      </c>
      <c r="E182" s="280">
        <f t="shared" ref="E182:AG182" si="80">D182+1</f>
        <v>2</v>
      </c>
      <c r="F182" s="280">
        <f t="shared" si="80"/>
        <v>3</v>
      </c>
      <c r="G182" s="280">
        <f t="shared" si="80"/>
        <v>4</v>
      </c>
      <c r="H182" s="280">
        <f t="shared" si="80"/>
        <v>5</v>
      </c>
      <c r="I182" s="280">
        <f t="shared" si="80"/>
        <v>6</v>
      </c>
      <c r="J182" s="280">
        <f t="shared" si="80"/>
        <v>7</v>
      </c>
      <c r="K182" s="280">
        <f t="shared" si="80"/>
        <v>8</v>
      </c>
      <c r="L182" s="280">
        <f t="shared" si="80"/>
        <v>9</v>
      </c>
      <c r="M182" s="280">
        <f t="shared" si="80"/>
        <v>10</v>
      </c>
      <c r="N182" s="280">
        <f t="shared" si="80"/>
        <v>11</v>
      </c>
      <c r="O182" s="280">
        <f t="shared" si="80"/>
        <v>12</v>
      </c>
      <c r="P182" s="280">
        <f t="shared" si="80"/>
        <v>13</v>
      </c>
      <c r="Q182" s="280">
        <f t="shared" si="80"/>
        <v>14</v>
      </c>
      <c r="R182" s="280">
        <f t="shared" si="80"/>
        <v>15</v>
      </c>
      <c r="S182" s="280">
        <f t="shared" si="80"/>
        <v>16</v>
      </c>
      <c r="T182" s="280">
        <f t="shared" si="80"/>
        <v>17</v>
      </c>
      <c r="U182" s="280">
        <f t="shared" si="80"/>
        <v>18</v>
      </c>
      <c r="V182" s="280">
        <f t="shared" si="80"/>
        <v>19</v>
      </c>
      <c r="W182" s="280">
        <f t="shared" si="80"/>
        <v>20</v>
      </c>
      <c r="X182" s="280">
        <f t="shared" si="80"/>
        <v>21</v>
      </c>
      <c r="Y182" s="280">
        <f t="shared" si="80"/>
        <v>22</v>
      </c>
      <c r="Z182" s="280">
        <f t="shared" si="80"/>
        <v>23</v>
      </c>
      <c r="AA182" s="280">
        <f t="shared" si="80"/>
        <v>24</v>
      </c>
      <c r="AB182" s="280">
        <f t="shared" si="80"/>
        <v>25</v>
      </c>
      <c r="AC182" s="280">
        <f t="shared" si="80"/>
        <v>26</v>
      </c>
      <c r="AD182" s="280">
        <f t="shared" si="80"/>
        <v>27</v>
      </c>
      <c r="AE182" s="280">
        <f t="shared" si="80"/>
        <v>28</v>
      </c>
      <c r="AF182" s="280">
        <f t="shared" si="80"/>
        <v>29</v>
      </c>
      <c r="AG182" s="280">
        <f t="shared" si="80"/>
        <v>30</v>
      </c>
      <c r="AJ182" s="272" t="s">
        <v>641</v>
      </c>
      <c r="AK182" s="160">
        <f>'Propylene Recycling HC'!AK196</f>
        <v>1.9</v>
      </c>
    </row>
    <row r="183" spans="1:37" s="160" customFormat="1">
      <c r="A183" s="160" t="s">
        <v>686</v>
      </c>
      <c r="B183" s="156"/>
      <c r="C183" s="282">
        <f>$AK$184/((1+EXP(-$AK$183*(C182-$AK$185)))^$AK$182)</f>
        <v>4.6088632748610021E-5</v>
      </c>
      <c r="D183" s="282">
        <f t="shared" ref="D183:AG183" si="81">$AK$184/((1+EXP(-$AK$183*(D182-$AK$185)))^$AK$182)</f>
        <v>8.924759460408035E-5</v>
      </c>
      <c r="E183" s="282">
        <f t="shared" si="81"/>
        <v>1.7252431976790472E-4</v>
      </c>
      <c r="F183" s="282">
        <f t="shared" si="81"/>
        <v>3.3269643715580369E-4</v>
      </c>
      <c r="G183" s="282">
        <f t="shared" si="81"/>
        <v>6.393827369910735E-4</v>
      </c>
      <c r="H183" s="282">
        <f t="shared" si="81"/>
        <v>1.2229053771654547E-3</v>
      </c>
      <c r="I183" s="282">
        <f t="shared" si="81"/>
        <v>2.3234018804222717E-3</v>
      </c>
      <c r="J183" s="282">
        <f t="shared" si="81"/>
        <v>4.3736281679830789E-3</v>
      </c>
      <c r="K183" s="282">
        <f t="shared" si="81"/>
        <v>8.1294184230466908E-3</v>
      </c>
      <c r="L183" s="282">
        <f t="shared" si="81"/>
        <v>1.4853985082038716E-2</v>
      </c>
      <c r="M183" s="282">
        <f t="shared" si="81"/>
        <v>2.6531412096832362E-2</v>
      </c>
      <c r="N183" s="282">
        <f t="shared" si="81"/>
        <v>4.6014759335105015E-2</v>
      </c>
      <c r="O183" s="282">
        <f t="shared" si="81"/>
        <v>7.6910635328419796E-2</v>
      </c>
      <c r="P183" s="282">
        <f t="shared" si="81"/>
        <v>0.12294065829885638</v>
      </c>
      <c r="Q183" s="282">
        <f t="shared" si="81"/>
        <v>0.18666754187878853</v>
      </c>
      <c r="R183" s="282">
        <f t="shared" si="81"/>
        <v>0.26794336563407328</v>
      </c>
      <c r="S183" s="282">
        <f t="shared" si="81"/>
        <v>0.36297326582455031</v>
      </c>
      <c r="T183" s="282">
        <f t="shared" si="81"/>
        <v>0.46484396312424381</v>
      </c>
      <c r="U183" s="282">
        <f t="shared" si="81"/>
        <v>0.56546260593861253</v>
      </c>
      <c r="V183" s="282">
        <f t="shared" si="81"/>
        <v>0.6578403022607352</v>
      </c>
      <c r="W183" s="282">
        <f t="shared" si="81"/>
        <v>0.73754668886795227</v>
      </c>
      <c r="X183" s="282">
        <f t="shared" si="81"/>
        <v>0.80293052021410605</v>
      </c>
      <c r="Y183" s="282">
        <f t="shared" si="81"/>
        <v>0.85447682949112158</v>
      </c>
      <c r="Z183" s="282">
        <f t="shared" si="81"/>
        <v>0.89389910336617451</v>
      </c>
      <c r="AA183" s="282">
        <f t="shared" si="81"/>
        <v>0.92337223319290385</v>
      </c>
      <c r="AB183" s="282">
        <f t="shared" si="81"/>
        <v>0.94504210708611314</v>
      </c>
      <c r="AC183" s="282">
        <f t="shared" si="81"/>
        <v>0.96078240575184182</v>
      </c>
      <c r="AD183" s="282">
        <f t="shared" si="81"/>
        <v>0.97211605463477313</v>
      </c>
      <c r="AE183" s="282">
        <f t="shared" si="81"/>
        <v>0.98022577885232642</v>
      </c>
      <c r="AF183" s="282">
        <f t="shared" si="81"/>
        <v>0.98600279580400285</v>
      </c>
      <c r="AG183" s="282">
        <f t="shared" si="81"/>
        <v>0.9901050637460882</v>
      </c>
      <c r="AI183" s="156" t="s">
        <v>640</v>
      </c>
      <c r="AJ183" s="272" t="s">
        <v>642</v>
      </c>
      <c r="AK183" s="160">
        <f>'Propylene Recycling HC'!AK197</f>
        <v>0.35</v>
      </c>
    </row>
    <row r="184" spans="1:37" s="160" customFormat="1">
      <c r="B184" s="156"/>
      <c r="C184" s="278">
        <v>0</v>
      </c>
      <c r="D184" s="278">
        <v>0</v>
      </c>
      <c r="E184" s="278">
        <v>0</v>
      </c>
      <c r="F184" s="278">
        <v>0</v>
      </c>
      <c r="G184" s="278">
        <v>0</v>
      </c>
      <c r="H184" s="278">
        <v>0</v>
      </c>
      <c r="I184" s="278">
        <v>0</v>
      </c>
      <c r="J184" s="278">
        <v>0</v>
      </c>
      <c r="K184" s="278">
        <v>0</v>
      </c>
      <c r="L184" s="278">
        <v>0</v>
      </c>
      <c r="M184" s="278">
        <f>C183</f>
        <v>4.6088632748610021E-5</v>
      </c>
      <c r="N184" s="278">
        <v>0</v>
      </c>
      <c r="O184" s="278">
        <v>0</v>
      </c>
      <c r="P184" s="278">
        <v>0</v>
      </c>
      <c r="Q184" s="278">
        <v>0</v>
      </c>
      <c r="R184" s="278">
        <f t="shared" ref="R184:AG184" si="82">C183</f>
        <v>4.6088632748610021E-5</v>
      </c>
      <c r="S184" s="278">
        <f t="shared" si="82"/>
        <v>8.924759460408035E-5</v>
      </c>
      <c r="T184" s="278">
        <f t="shared" si="82"/>
        <v>1.7252431976790472E-4</v>
      </c>
      <c r="U184" s="278">
        <f t="shared" si="82"/>
        <v>3.3269643715580369E-4</v>
      </c>
      <c r="V184" s="278">
        <f t="shared" si="82"/>
        <v>6.393827369910735E-4</v>
      </c>
      <c r="W184" s="278">
        <f t="shared" si="82"/>
        <v>1.2229053771654547E-3</v>
      </c>
      <c r="X184" s="278">
        <f t="shared" si="82"/>
        <v>2.3234018804222717E-3</v>
      </c>
      <c r="Y184" s="278">
        <f t="shared" si="82"/>
        <v>4.3736281679830789E-3</v>
      </c>
      <c r="Z184" s="278">
        <f t="shared" si="82"/>
        <v>8.1294184230466908E-3</v>
      </c>
      <c r="AA184" s="278">
        <f t="shared" si="82"/>
        <v>1.4853985082038716E-2</v>
      </c>
      <c r="AB184" s="278">
        <f t="shared" si="82"/>
        <v>2.6531412096832362E-2</v>
      </c>
      <c r="AC184" s="278">
        <f t="shared" si="82"/>
        <v>4.6014759335105015E-2</v>
      </c>
      <c r="AD184" s="278">
        <f t="shared" si="82"/>
        <v>7.6910635328419796E-2</v>
      </c>
      <c r="AE184" s="278">
        <f t="shared" si="82"/>
        <v>0.12294065829885638</v>
      </c>
      <c r="AF184" s="278">
        <f t="shared" si="82"/>
        <v>0.18666754187878853</v>
      </c>
      <c r="AG184" s="278">
        <f t="shared" si="82"/>
        <v>0.26794336563407328</v>
      </c>
      <c r="AI184" s="156" t="s">
        <v>687</v>
      </c>
      <c r="AJ184" s="272" t="s">
        <v>643</v>
      </c>
      <c r="AK184" s="160">
        <f>'Propylene Recycling HC'!AK198</f>
        <v>1</v>
      </c>
    </row>
    <row r="185" spans="1:37" s="160" customFormat="1">
      <c r="B185" s="15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J185" s="272" t="s">
        <v>644</v>
      </c>
      <c r="AK185" s="160">
        <f>'Propylene Recycling HC'!AK199</f>
        <v>15</v>
      </c>
    </row>
    <row r="186" spans="1:37" s="160" customFormat="1">
      <c r="A186" s="160" t="s">
        <v>762</v>
      </c>
      <c r="B186" s="156" t="s">
        <v>126</v>
      </c>
      <c r="C186" s="277">
        <v>0</v>
      </c>
      <c r="D186" s="277">
        <f>C186</f>
        <v>0</v>
      </c>
      <c r="E186" s="277">
        <f t="shared" ref="E186:AG186" si="83">D186</f>
        <v>0</v>
      </c>
      <c r="F186" s="277">
        <f t="shared" si="83"/>
        <v>0</v>
      </c>
      <c r="G186" s="277">
        <f t="shared" si="83"/>
        <v>0</v>
      </c>
      <c r="H186" s="277">
        <f t="shared" si="83"/>
        <v>0</v>
      </c>
      <c r="I186" s="277">
        <f t="shared" si="83"/>
        <v>0</v>
      </c>
      <c r="J186" s="277">
        <f t="shared" si="83"/>
        <v>0</v>
      </c>
      <c r="K186" s="277">
        <f t="shared" si="83"/>
        <v>0</v>
      </c>
      <c r="L186" s="277">
        <f t="shared" si="83"/>
        <v>0</v>
      </c>
      <c r="M186" s="277">
        <f t="shared" si="83"/>
        <v>0</v>
      </c>
      <c r="N186" s="277">
        <f t="shared" si="83"/>
        <v>0</v>
      </c>
      <c r="O186" s="277">
        <f t="shared" si="83"/>
        <v>0</v>
      </c>
      <c r="P186" s="277">
        <f t="shared" si="83"/>
        <v>0</v>
      </c>
      <c r="Q186" s="277">
        <f t="shared" si="83"/>
        <v>0</v>
      </c>
      <c r="R186" s="277">
        <f t="shared" si="83"/>
        <v>0</v>
      </c>
      <c r="S186" s="277">
        <f t="shared" si="83"/>
        <v>0</v>
      </c>
      <c r="T186" s="277">
        <f t="shared" si="83"/>
        <v>0</v>
      </c>
      <c r="U186" s="277">
        <f t="shared" si="83"/>
        <v>0</v>
      </c>
      <c r="V186" s="277">
        <f t="shared" si="83"/>
        <v>0</v>
      </c>
      <c r="W186" s="277">
        <f t="shared" si="83"/>
        <v>0</v>
      </c>
      <c r="X186" s="277">
        <f t="shared" si="83"/>
        <v>0</v>
      </c>
      <c r="Y186" s="277">
        <f t="shared" si="83"/>
        <v>0</v>
      </c>
      <c r="Z186" s="277">
        <f t="shared" si="83"/>
        <v>0</v>
      </c>
      <c r="AA186" s="277">
        <f t="shared" si="83"/>
        <v>0</v>
      </c>
      <c r="AB186" s="277">
        <f t="shared" si="83"/>
        <v>0</v>
      </c>
      <c r="AC186" s="277">
        <f t="shared" si="83"/>
        <v>0</v>
      </c>
      <c r="AD186" s="277">
        <f t="shared" si="83"/>
        <v>0</v>
      </c>
      <c r="AE186" s="277">
        <f t="shared" si="83"/>
        <v>0</v>
      </c>
      <c r="AF186" s="277">
        <f t="shared" si="83"/>
        <v>0</v>
      </c>
      <c r="AG186" s="277">
        <f t="shared" si="83"/>
        <v>0</v>
      </c>
      <c r="AI186" s="156" t="s">
        <v>766</v>
      </c>
      <c r="AJ186" s="272"/>
    </row>
    <row r="187" spans="1:37" s="250" customFormat="1" ht="15.5" thickBot="1">
      <c r="A187" s="283" t="s">
        <v>631</v>
      </c>
      <c r="B187" s="284" t="s">
        <v>127</v>
      </c>
      <c r="C187" s="285">
        <f>C186*(C179*C183+C180*C184)</f>
        <v>0</v>
      </c>
      <c r="D187" s="285">
        <f t="shared" ref="D187:AG187" si="84">D186*(D179*D183+D180*D184)</f>
        <v>0</v>
      </c>
      <c r="E187" s="285">
        <f t="shared" si="84"/>
        <v>0</v>
      </c>
      <c r="F187" s="285">
        <f t="shared" si="84"/>
        <v>0</v>
      </c>
      <c r="G187" s="285">
        <f t="shared" si="84"/>
        <v>0</v>
      </c>
      <c r="H187" s="285">
        <f t="shared" si="84"/>
        <v>0</v>
      </c>
      <c r="I187" s="285">
        <f t="shared" si="84"/>
        <v>0</v>
      </c>
      <c r="J187" s="285">
        <f t="shared" si="84"/>
        <v>0</v>
      </c>
      <c r="K187" s="285">
        <f t="shared" si="84"/>
        <v>0</v>
      </c>
      <c r="L187" s="285">
        <f t="shared" si="84"/>
        <v>0</v>
      </c>
      <c r="M187" s="285">
        <f t="shared" si="84"/>
        <v>0</v>
      </c>
      <c r="N187" s="285">
        <f t="shared" si="84"/>
        <v>0</v>
      </c>
      <c r="O187" s="285">
        <f t="shared" si="84"/>
        <v>0</v>
      </c>
      <c r="P187" s="285">
        <f t="shared" si="84"/>
        <v>0</v>
      </c>
      <c r="Q187" s="285">
        <f t="shared" si="84"/>
        <v>0</v>
      </c>
      <c r="R187" s="285">
        <f t="shared" si="84"/>
        <v>0</v>
      </c>
      <c r="S187" s="285">
        <f t="shared" si="84"/>
        <v>0</v>
      </c>
      <c r="T187" s="285">
        <f t="shared" si="84"/>
        <v>0</v>
      </c>
      <c r="U187" s="285">
        <f t="shared" si="84"/>
        <v>0</v>
      </c>
      <c r="V187" s="285">
        <f t="shared" si="84"/>
        <v>0</v>
      </c>
      <c r="W187" s="285">
        <f t="shared" si="84"/>
        <v>0</v>
      </c>
      <c r="X187" s="285">
        <f t="shared" si="84"/>
        <v>0</v>
      </c>
      <c r="Y187" s="285">
        <f t="shared" si="84"/>
        <v>0</v>
      </c>
      <c r="Z187" s="285">
        <f t="shared" si="84"/>
        <v>0</v>
      </c>
      <c r="AA187" s="285">
        <f t="shared" si="84"/>
        <v>0</v>
      </c>
      <c r="AB187" s="285">
        <f t="shared" si="84"/>
        <v>0</v>
      </c>
      <c r="AC187" s="285">
        <f t="shared" si="84"/>
        <v>0</v>
      </c>
      <c r="AD187" s="285">
        <f t="shared" si="84"/>
        <v>0</v>
      </c>
      <c r="AE187" s="285">
        <f t="shared" si="84"/>
        <v>0</v>
      </c>
      <c r="AF187" s="285">
        <f t="shared" si="84"/>
        <v>0</v>
      </c>
      <c r="AG187" s="285">
        <f t="shared" si="84"/>
        <v>0</v>
      </c>
      <c r="AJ187" s="275"/>
    </row>
    <row r="188" spans="1:37" s="203" customFormat="1">
      <c r="A188" s="274" t="s">
        <v>637</v>
      </c>
      <c r="B188" s="273" t="s">
        <v>126</v>
      </c>
      <c r="C188" s="279">
        <v>0.25</v>
      </c>
      <c r="D188" s="279">
        <v>0.25</v>
      </c>
      <c r="E188" s="279">
        <v>0.25</v>
      </c>
      <c r="F188" s="279">
        <v>0.25</v>
      </c>
      <c r="G188" s="279">
        <v>0.25</v>
      </c>
      <c r="H188" s="279">
        <v>0.25</v>
      </c>
      <c r="I188" s="279">
        <v>0.25</v>
      </c>
      <c r="J188" s="279">
        <v>0.25</v>
      </c>
      <c r="K188" s="279">
        <v>0.25</v>
      </c>
      <c r="L188" s="279">
        <v>0.25</v>
      </c>
      <c r="M188" s="279">
        <v>0.25</v>
      </c>
      <c r="N188" s="279">
        <v>0.25</v>
      </c>
      <c r="O188" s="279">
        <v>0.25</v>
      </c>
      <c r="P188" s="279">
        <v>0.25</v>
      </c>
      <c r="Q188" s="279">
        <v>0.25</v>
      </c>
      <c r="R188" s="279">
        <v>0.25</v>
      </c>
      <c r="S188" s="279">
        <v>0.25</v>
      </c>
      <c r="T188" s="279">
        <v>0.25</v>
      </c>
      <c r="U188" s="279">
        <v>0.25</v>
      </c>
      <c r="V188" s="279">
        <v>0.25</v>
      </c>
      <c r="W188" s="279">
        <v>0.25</v>
      </c>
      <c r="X188" s="279">
        <v>0.25</v>
      </c>
      <c r="Y188" s="279">
        <v>0.25</v>
      </c>
      <c r="Z188" s="279">
        <v>0.25</v>
      </c>
      <c r="AA188" s="279">
        <v>0.25</v>
      </c>
      <c r="AB188" s="279">
        <v>0.25</v>
      </c>
      <c r="AC188" s="279">
        <v>0.25</v>
      </c>
      <c r="AD188" s="279">
        <v>0.25</v>
      </c>
      <c r="AE188" s="279">
        <v>0.25</v>
      </c>
      <c r="AF188" s="279">
        <v>0.25</v>
      </c>
      <c r="AG188" s="279">
        <v>0.25</v>
      </c>
      <c r="AJ188" s="203" t="s">
        <v>681</v>
      </c>
    </row>
    <row r="189" spans="1:37" s="203" customFormat="1" ht="15.5" thickBot="1">
      <c r="A189" s="251" t="s">
        <v>632</v>
      </c>
      <c r="B189" s="284" t="s">
        <v>127</v>
      </c>
      <c r="C189" s="552">
        <f>C188*(C179*C183+C180*C184)</f>
        <v>1.3522187034735622</v>
      </c>
      <c r="D189" s="552">
        <f t="shared" ref="D189:AG189" si="85">D188*(D179*D183+D180*D184)</f>
        <v>2.8723632808596324</v>
      </c>
      <c r="E189" s="552">
        <f t="shared" si="85"/>
        <v>6.0287111720631934</v>
      </c>
      <c r="F189" s="552">
        <f t="shared" si="85"/>
        <v>12.514207565654393</v>
      </c>
      <c r="G189" s="552">
        <f t="shared" si="85"/>
        <v>25.69738304794868</v>
      </c>
      <c r="H189" s="552">
        <f t="shared" si="85"/>
        <v>52.180637176251935</v>
      </c>
      <c r="I189" s="552">
        <f t="shared" si="85"/>
        <v>104.31792431968626</v>
      </c>
      <c r="J189" s="552">
        <f t="shared" si="85"/>
        <v>205.60810205031837</v>
      </c>
      <c r="K189" s="552">
        <f t="shared" si="85"/>
        <v>398.37482507313268</v>
      </c>
      <c r="L189" s="552">
        <f t="shared" si="85"/>
        <v>755.72819975032064</v>
      </c>
      <c r="M189" s="552">
        <f t="shared" si="85"/>
        <v>1396.3196731797389</v>
      </c>
      <c r="N189" s="552">
        <f t="shared" si="85"/>
        <v>2457.2313694666536</v>
      </c>
      <c r="O189" s="552">
        <f t="shared" si="85"/>
        <v>4161.4669895840952</v>
      </c>
      <c r="P189" s="552">
        <f t="shared" si="85"/>
        <v>6722.0088112424955</v>
      </c>
      <c r="Q189" s="552">
        <f t="shared" si="85"/>
        <v>10294.770290326955</v>
      </c>
      <c r="R189" s="552">
        <f t="shared" si="85"/>
        <v>14878.661466522162</v>
      </c>
      <c r="S189" s="552">
        <f t="shared" si="85"/>
        <v>20259.157352949416</v>
      </c>
      <c r="T189" s="552">
        <f t="shared" si="85"/>
        <v>26034.75878422688</v>
      </c>
      <c r="U189" s="552">
        <f t="shared" si="85"/>
        <v>31727.907821948924</v>
      </c>
      <c r="V189" s="552">
        <f t="shared" si="85"/>
        <v>36919.497187385241</v>
      </c>
      <c r="W189" s="552">
        <f t="shared" si="85"/>
        <v>41337.248019766914</v>
      </c>
      <c r="X189" s="552">
        <f t="shared" si="85"/>
        <v>45565.481137258219</v>
      </c>
      <c r="Y189" s="552">
        <f t="shared" si="85"/>
        <v>48952.776282370367</v>
      </c>
      <c r="Z189" s="552">
        <f t="shared" si="85"/>
        <v>51563.126969834266</v>
      </c>
      <c r="AA189" s="552">
        <f t="shared" si="85"/>
        <v>53523.450621303768</v>
      </c>
      <c r="AB189" s="552">
        <f t="shared" si="85"/>
        <v>54941.532574567864</v>
      </c>
      <c r="AC189" s="552">
        <f t="shared" si="85"/>
        <v>55911.532018161379</v>
      </c>
      <c r="AD189" s="552">
        <f t="shared" si="85"/>
        <v>56522.325206567024</v>
      </c>
      <c r="AE189" s="552">
        <f t="shared" si="85"/>
        <v>56841.153729423699</v>
      </c>
      <c r="AF189" s="552">
        <f t="shared" si="85"/>
        <v>56920.12675430144</v>
      </c>
      <c r="AG189" s="552">
        <f t="shared" si="85"/>
        <v>56798.804219674515</v>
      </c>
      <c r="AJ189" s="274"/>
    </row>
    <row r="190" spans="1:37" s="203" customFormat="1">
      <c r="A190" s="275"/>
      <c r="B190" s="273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J190" s="274"/>
    </row>
    <row r="191" spans="1:37" s="203" customFormat="1">
      <c r="A191" s="275" t="s">
        <v>635</v>
      </c>
      <c r="B191" s="273" t="s">
        <v>127</v>
      </c>
      <c r="C191" s="120">
        <f>SUM(C160:C161)-SUM(C187,C189)</f>
        <v>2038493.266908386</v>
      </c>
      <c r="D191" s="120">
        <f t="shared" ref="D191:AG191" si="86">SUM(D160:D161)-SUM(D187,D189)</f>
        <v>2000252.2317735758</v>
      </c>
      <c r="E191" s="120">
        <f t="shared" si="86"/>
        <v>1961536.7781296272</v>
      </c>
      <c r="F191" s="120">
        <f t="shared" si="86"/>
        <v>1922368.6055399915</v>
      </c>
      <c r="G191" s="120">
        <f t="shared" si="86"/>
        <v>1882767.5744299204</v>
      </c>
      <c r="H191" s="120">
        <f t="shared" si="86"/>
        <v>1842750.1485234576</v>
      </c>
      <c r="I191" s="120">
        <f t="shared" si="86"/>
        <v>1801076.9346843425</v>
      </c>
      <c r="J191" s="120">
        <f t="shared" si="86"/>
        <v>1759166.2859626734</v>
      </c>
      <c r="K191" s="120">
        <f t="shared" si="86"/>
        <v>1716997.525646298</v>
      </c>
      <c r="L191" s="120">
        <f t="shared" si="86"/>
        <v>1674519.033960582</v>
      </c>
      <c r="M191" s="120">
        <f t="shared" si="86"/>
        <v>1631633.4938781522</v>
      </c>
      <c r="N191" s="120">
        <f t="shared" si="86"/>
        <v>1593338.3715175923</v>
      </c>
      <c r="O191" s="120">
        <f t="shared" si="86"/>
        <v>1555681.0278083941</v>
      </c>
      <c r="P191" s="120">
        <f t="shared" si="86"/>
        <v>1516466.6108320428</v>
      </c>
      <c r="Q191" s="120">
        <f t="shared" si="86"/>
        <v>1476382.8050577464</v>
      </c>
      <c r="R191" s="120">
        <f t="shared" si="86"/>
        <v>1435446.6641456713</v>
      </c>
      <c r="S191" s="120">
        <f t="shared" si="86"/>
        <v>1393888.5529138173</v>
      </c>
      <c r="T191" s="120">
        <f t="shared" si="86"/>
        <v>1352125.6871053432</v>
      </c>
      <c r="U191" s="120">
        <f t="shared" si="86"/>
        <v>1310651.2185959776</v>
      </c>
      <c r="V191" s="120">
        <f t="shared" si="86"/>
        <v>1269899.7265717501</v>
      </c>
      <c r="W191" s="120">
        <f t="shared" si="86"/>
        <v>1230158.8403786463</v>
      </c>
      <c r="X191" s="120">
        <f t="shared" si="86"/>
        <v>1185936.0075022071</v>
      </c>
      <c r="Y191" s="120">
        <f t="shared" si="86"/>
        <v>1141566.7074176786</v>
      </c>
      <c r="Z191" s="120">
        <f t="shared" si="86"/>
        <v>1098228.4157679745</v>
      </c>
      <c r="AA191" s="120">
        <f t="shared" si="86"/>
        <v>1055603.1923364124</v>
      </c>
      <c r="AB191" s="120">
        <f t="shared" si="86"/>
        <v>1013597.3188074486</v>
      </c>
      <c r="AC191" s="120">
        <f t="shared" si="86"/>
        <v>972134.7863268035</v>
      </c>
      <c r="AD191" s="120">
        <f t="shared" si="86"/>
        <v>931141.28679530567</v>
      </c>
      <c r="AE191" s="120">
        <f t="shared" si="86"/>
        <v>890563.26158665121</v>
      </c>
      <c r="AF191" s="120">
        <f t="shared" si="86"/>
        <v>850362.16983797075</v>
      </c>
      <c r="AG191" s="120">
        <f t="shared" si="86"/>
        <v>810511.90722265735</v>
      </c>
      <c r="AJ191" s="274"/>
    </row>
    <row r="192" spans="1:37" s="203" customFormat="1">
      <c r="A192" s="275"/>
      <c r="B192" s="273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J192" s="274"/>
    </row>
    <row r="193" spans="1:36" s="203" customFormat="1">
      <c r="A193" s="274" t="s">
        <v>646</v>
      </c>
      <c r="B193" s="273" t="s">
        <v>127</v>
      </c>
      <c r="C193" s="547">
        <f>C113*C112*C33</f>
        <v>2993922.7731597708</v>
      </c>
      <c r="D193" s="547">
        <f t="shared" ref="D193:AG193" si="87">D113*D112*D33</f>
        <v>2973227.4755093479</v>
      </c>
      <c r="E193" s="547">
        <f t="shared" si="87"/>
        <v>2952642.2860477944</v>
      </c>
      <c r="F193" s="547">
        <f t="shared" si="87"/>
        <v>2932166.6645322992</v>
      </c>
      <c r="G193" s="547">
        <f t="shared" si="87"/>
        <v>2911800.0732826884</v>
      </c>
      <c r="H193" s="547">
        <f t="shared" si="87"/>
        <v>2891541.9771694713</v>
      </c>
      <c r="I193" s="547">
        <f t="shared" si="87"/>
        <v>2868647.8731276602</v>
      </c>
      <c r="J193" s="547">
        <f t="shared" si="87"/>
        <v>2845888.765106678</v>
      </c>
      <c r="K193" s="547">
        <f t="shared" si="87"/>
        <v>2823263.9186391965</v>
      </c>
      <c r="L193" s="547">
        <f t="shared" si="87"/>
        <v>2800772.6031363104</v>
      </c>
      <c r="M193" s="547">
        <f t="shared" si="87"/>
        <v>2778414.0918673482</v>
      </c>
      <c r="N193" s="547">
        <f t="shared" si="87"/>
        <v>2751091.0634428891</v>
      </c>
      <c r="O193" s="547">
        <f t="shared" si="87"/>
        <v>2723958.5541849737</v>
      </c>
      <c r="P193" s="547">
        <f t="shared" si="87"/>
        <v>2697015.3342342856</v>
      </c>
      <c r="Q193" s="547">
        <f t="shared" si="87"/>
        <v>2670260.1814842066</v>
      </c>
      <c r="R193" s="547">
        <f t="shared" si="87"/>
        <v>2643691.8815324232</v>
      </c>
      <c r="S193" s="547">
        <f t="shared" si="87"/>
        <v>2612843.530323613</v>
      </c>
      <c r="T193" s="547">
        <f t="shared" si="87"/>
        <v>2582240.1735772099</v>
      </c>
      <c r="U193" s="547">
        <f t="shared" si="87"/>
        <v>2551880.0045761</v>
      </c>
      <c r="V193" s="547">
        <f t="shared" si="87"/>
        <v>2521761.2296656943</v>
      </c>
      <c r="W193" s="547">
        <f t="shared" si="87"/>
        <v>2491882.0681601539</v>
      </c>
      <c r="X193" s="547">
        <f t="shared" si="87"/>
        <v>2459119.784500571</v>
      </c>
      <c r="Y193" s="547">
        <f t="shared" si="87"/>
        <v>2426640.8952655853</v>
      </c>
      <c r="Z193" s="547">
        <f t="shared" si="87"/>
        <v>2394443.1210882259</v>
      </c>
      <c r="AA193" s="547">
        <f t="shared" si="87"/>
        <v>2362524.200613209</v>
      </c>
      <c r="AB193" s="547">
        <f t="shared" si="87"/>
        <v>2330881.890355444</v>
      </c>
      <c r="AC193" s="547">
        <f t="shared" si="87"/>
        <v>2297927.3926020684</v>
      </c>
      <c r="AD193" s="547">
        <f t="shared" si="87"/>
        <v>2265270.748450995</v>
      </c>
      <c r="AE193" s="547">
        <f t="shared" si="87"/>
        <v>2232909.4559978484</v>
      </c>
      <c r="AF193" s="547">
        <f t="shared" si="87"/>
        <v>2200841.0340001401</v>
      </c>
      <c r="AG193" s="547">
        <f t="shared" si="87"/>
        <v>2169063.0217075376</v>
      </c>
      <c r="AJ193" s="274"/>
    </row>
    <row r="194" spans="1:36" s="203" customFormat="1">
      <c r="A194" s="203" t="s">
        <v>645</v>
      </c>
      <c r="B194" s="273" t="s">
        <v>127</v>
      </c>
      <c r="C194" s="547">
        <f>C114*C112*C33</f>
        <v>0</v>
      </c>
      <c r="D194" s="547">
        <f t="shared" ref="D194:AG194" si="88">D114*D112*D33</f>
        <v>0</v>
      </c>
      <c r="E194" s="547">
        <f t="shared" si="88"/>
        <v>0</v>
      </c>
      <c r="F194" s="547">
        <f t="shared" si="88"/>
        <v>0</v>
      </c>
      <c r="G194" s="547">
        <f t="shared" si="88"/>
        <v>0</v>
      </c>
      <c r="H194" s="547">
        <f t="shared" si="88"/>
        <v>0</v>
      </c>
      <c r="I194" s="547">
        <f t="shared" si="88"/>
        <v>0</v>
      </c>
      <c r="J194" s="547">
        <f t="shared" si="88"/>
        <v>0</v>
      </c>
      <c r="K194" s="547">
        <f t="shared" si="88"/>
        <v>0</v>
      </c>
      <c r="L194" s="547">
        <f t="shared" si="88"/>
        <v>0</v>
      </c>
      <c r="M194" s="547">
        <f t="shared" si="88"/>
        <v>0</v>
      </c>
      <c r="N194" s="547">
        <f t="shared" si="88"/>
        <v>0</v>
      </c>
      <c r="O194" s="547">
        <f t="shared" si="88"/>
        <v>0</v>
      </c>
      <c r="P194" s="547">
        <f t="shared" si="88"/>
        <v>0</v>
      </c>
      <c r="Q194" s="547">
        <f t="shared" si="88"/>
        <v>0</v>
      </c>
      <c r="R194" s="547">
        <f t="shared" si="88"/>
        <v>0</v>
      </c>
      <c r="S194" s="547">
        <f t="shared" si="88"/>
        <v>0</v>
      </c>
      <c r="T194" s="547">
        <f t="shared" si="88"/>
        <v>0</v>
      </c>
      <c r="U194" s="547">
        <f t="shared" si="88"/>
        <v>0</v>
      </c>
      <c r="V194" s="547">
        <f t="shared" si="88"/>
        <v>0</v>
      </c>
      <c r="W194" s="547">
        <f t="shared" si="88"/>
        <v>0</v>
      </c>
      <c r="X194" s="547">
        <f t="shared" si="88"/>
        <v>0</v>
      </c>
      <c r="Y194" s="547">
        <f t="shared" si="88"/>
        <v>0</v>
      </c>
      <c r="Z194" s="547">
        <f t="shared" si="88"/>
        <v>0</v>
      </c>
      <c r="AA194" s="547">
        <f t="shared" si="88"/>
        <v>0</v>
      </c>
      <c r="AB194" s="547">
        <f t="shared" si="88"/>
        <v>0</v>
      </c>
      <c r="AC194" s="547">
        <f t="shared" si="88"/>
        <v>0</v>
      </c>
      <c r="AD194" s="547">
        <f t="shared" si="88"/>
        <v>0</v>
      </c>
      <c r="AE194" s="547">
        <f t="shared" si="88"/>
        <v>0</v>
      </c>
      <c r="AF194" s="547">
        <f t="shared" si="88"/>
        <v>0</v>
      </c>
      <c r="AG194" s="547">
        <f t="shared" si="88"/>
        <v>0</v>
      </c>
      <c r="AJ194" s="274"/>
    </row>
    <row r="195" spans="1:36" s="203" customFormat="1">
      <c r="B195" s="273"/>
      <c r="C195" s="566"/>
      <c r="D195" s="566"/>
      <c r="E195" s="566"/>
      <c r="F195" s="566"/>
      <c r="G195" s="566"/>
      <c r="H195" s="566"/>
      <c r="I195" s="566"/>
      <c r="J195" s="566"/>
      <c r="K195" s="566"/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  <c r="AF195" s="566"/>
      <c r="AG195" s="566"/>
      <c r="AJ195" s="274"/>
    </row>
    <row r="196" spans="1:36" s="203" customFormat="1">
      <c r="A196" s="300" t="s">
        <v>647</v>
      </c>
      <c r="B196" s="301" t="s">
        <v>127</v>
      </c>
      <c r="C196" s="545">
        <f>C174-C187-C189</f>
        <v>146696.28479400909</v>
      </c>
      <c r="D196" s="545">
        <f t="shared" ref="D196:AF196" si="89">D174-D187-D189</f>
        <v>160918.17506673635</v>
      </c>
      <c r="E196" s="545">
        <f t="shared" si="89"/>
        <v>174714.58981303254</v>
      </c>
      <c r="F196" s="545">
        <f t="shared" si="89"/>
        <v>188059.94717250488</v>
      </c>
      <c r="G196" s="545">
        <f t="shared" si="89"/>
        <v>200928.92307542905</v>
      </c>
      <c r="H196" s="545">
        <f t="shared" si="89"/>
        <v>213294.813131059</v>
      </c>
      <c r="I196" s="545">
        <f t="shared" si="89"/>
        <v>224389.61314869547</v>
      </c>
      <c r="J196" s="545">
        <f t="shared" si="89"/>
        <v>234848.78398763615</v>
      </c>
      <c r="K196" s="545">
        <f t="shared" si="89"/>
        <v>244622.12008742293</v>
      </c>
      <c r="L196" s="545">
        <f t="shared" si="89"/>
        <v>253629.94526646961</v>
      </c>
      <c r="M196" s="545">
        <f t="shared" si="89"/>
        <v>261748.30076457831</v>
      </c>
      <c r="N196" s="545">
        <f t="shared" si="89"/>
        <v>264547.46505540551</v>
      </c>
      <c r="O196" s="545">
        <f t="shared" si="89"/>
        <v>266377.64452691912</v>
      </c>
      <c r="P196" s="545">
        <f t="shared" si="89"/>
        <v>266662.27691878704</v>
      </c>
      <c r="Q196" s="545">
        <f t="shared" si="89"/>
        <v>265456.71244500048</v>
      </c>
      <c r="R196" s="545">
        <f t="shared" si="89"/>
        <v>262766.97889692977</v>
      </c>
      <c r="S196" s="545">
        <f t="shared" si="89"/>
        <v>258813.14989986693</v>
      </c>
      <c r="T196" s="545">
        <f t="shared" si="89"/>
        <v>254002.85436713821</v>
      </c>
      <c r="U196" s="545">
        <f t="shared" si="89"/>
        <v>248820.33258100133</v>
      </c>
      <c r="V196" s="545">
        <f t="shared" si="89"/>
        <v>243691.89938187043</v>
      </c>
      <c r="W196" s="545">
        <f t="shared" si="89"/>
        <v>238897.54012099977</v>
      </c>
      <c r="X196" s="545">
        <f t="shared" si="89"/>
        <v>238179.37592153135</v>
      </c>
      <c r="Y196" s="545">
        <f t="shared" si="89"/>
        <v>237496.04592573963</v>
      </c>
      <c r="Z196" s="545">
        <f t="shared" si="89"/>
        <v>236853.8027242549</v>
      </c>
      <c r="AA196" s="545">
        <f t="shared" si="89"/>
        <v>236302.51932489267</v>
      </c>
      <c r="AB196" s="545">
        <f t="shared" si="89"/>
        <v>235741.45478972708</v>
      </c>
      <c r="AC196" s="545">
        <f t="shared" si="89"/>
        <v>235057.22263138322</v>
      </c>
      <c r="AD196" s="545">
        <f t="shared" si="89"/>
        <v>234195.66539283021</v>
      </c>
      <c r="AE196" s="545">
        <f t="shared" si="89"/>
        <v>233097.93456906395</v>
      </c>
      <c r="AF196" s="545">
        <f t="shared" si="89"/>
        <v>231720.67120554531</v>
      </c>
      <c r="AG196" s="553">
        <f>AG174-AG187-AG189</f>
        <v>230033.40328755081</v>
      </c>
      <c r="AI196" s="203" t="s">
        <v>679</v>
      </c>
      <c r="AJ196" s="274"/>
    </row>
    <row r="197" spans="1:36" s="203" customFormat="1">
      <c r="A197" s="304" t="s">
        <v>648</v>
      </c>
      <c r="B197" s="305" t="s">
        <v>127</v>
      </c>
      <c r="C197" s="554">
        <f>C175+C196</f>
        <v>2034374.448638414</v>
      </c>
      <c r="D197" s="554">
        <f t="shared" ref="D197:AG197" si="90">D175+D196</f>
        <v>1995704.681699978</v>
      </c>
      <c r="E197" s="554">
        <f t="shared" si="90"/>
        <v>1956567.5420583691</v>
      </c>
      <c r="F197" s="554">
        <f t="shared" si="90"/>
        <v>1916985.7018755618</v>
      </c>
      <c r="G197" s="554">
        <f t="shared" si="90"/>
        <v>1876979.9578109393</v>
      </c>
      <c r="H197" s="554">
        <f t="shared" si="90"/>
        <v>1836567.6738115717</v>
      </c>
      <c r="I197" s="554">
        <f t="shared" si="90"/>
        <v>1794531.8180054454</v>
      </c>
      <c r="J197" s="554">
        <f t="shared" si="90"/>
        <v>1752272.144991914</v>
      </c>
      <c r="K197" s="554">
        <f t="shared" si="90"/>
        <v>1709768.5912464617</v>
      </c>
      <c r="L197" s="554">
        <f t="shared" si="90"/>
        <v>1666970.1170996246</v>
      </c>
      <c r="M197" s="554">
        <f t="shared" si="90"/>
        <v>1623779.9528805916</v>
      </c>
      <c r="N197" s="554">
        <f t="shared" si="90"/>
        <v>1585324.7909752191</v>
      </c>
      <c r="O197" s="554">
        <f t="shared" si="90"/>
        <v>1547516.5059816446</v>
      </c>
      <c r="P197" s="554">
        <f t="shared" si="90"/>
        <v>1508171.5027679321</v>
      </c>
      <c r="Q197" s="554">
        <f t="shared" si="90"/>
        <v>1467971.4231278049</v>
      </c>
      <c r="R197" s="554">
        <f t="shared" si="90"/>
        <v>1426933.4656295045</v>
      </c>
      <c r="S197" s="554">
        <f t="shared" si="90"/>
        <v>1385288.1161501755</v>
      </c>
      <c r="T197" s="554">
        <f t="shared" si="90"/>
        <v>1343452.6879024769</v>
      </c>
      <c r="U197" s="554">
        <f t="shared" si="90"/>
        <v>1301920.4068994778</v>
      </c>
      <c r="V197" s="554">
        <f t="shared" si="90"/>
        <v>1261125.9033880637</v>
      </c>
      <c r="W197" s="554">
        <f t="shared" si="90"/>
        <v>1221356.8349524809</v>
      </c>
      <c r="X197" s="554">
        <f t="shared" si="90"/>
        <v>1176984.4221847702</v>
      </c>
      <c r="Y197" s="554">
        <f t="shared" si="90"/>
        <v>1132491.3394001054</v>
      </c>
      <c r="Z197" s="554">
        <f t="shared" si="90"/>
        <v>1089053.2859669668</v>
      </c>
      <c r="AA197" s="554">
        <f t="shared" si="90"/>
        <v>1046347.0982663571</v>
      </c>
      <c r="AB197" s="554">
        <f t="shared" si="90"/>
        <v>1004279.1830278236</v>
      </c>
      <c r="AC197" s="554">
        <f t="shared" si="90"/>
        <v>962774.49468009744</v>
      </c>
      <c r="AD197" s="554">
        <f t="shared" si="90"/>
        <v>921757.95132738142</v>
      </c>
      <c r="AE197" s="554">
        <f t="shared" si="90"/>
        <v>881176.05330671626</v>
      </c>
      <c r="AF197" s="554">
        <f t="shared" si="90"/>
        <v>840990.29891867784</v>
      </c>
      <c r="AG197" s="555">
        <f t="shared" si="90"/>
        <v>801174.603446358</v>
      </c>
      <c r="AI197" s="203" t="s">
        <v>680</v>
      </c>
      <c r="AJ197" s="274"/>
    </row>
    <row r="198" spans="1:36">
      <c r="AI198" s="203"/>
      <c r="AJ198" s="274"/>
    </row>
    <row r="199" spans="1:36">
      <c r="AI199" s="22"/>
    </row>
    <row r="200" spans="1:36">
      <c r="AI200" s="188"/>
    </row>
  </sheetData>
  <mergeCells count="1">
    <mergeCell ref="BD67:BE67"/>
  </mergeCells>
  <hyperlinks>
    <hyperlink ref="AJ69" r:id="rId1" xr:uid="{1BF1F7DD-D48E-4596-9873-41442E317012}"/>
    <hyperlink ref="AJ70" r:id="rId2" xr:uid="{D0B814A2-09A9-425A-B98D-F42B8486429F}"/>
  </hyperlinks>
  <pageMargins left="0.7" right="0.7" top="0.75" bottom="0.75" header="0.3" footer="0.3"/>
  <pageSetup orientation="portrait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F2399-A3CA-483C-BA0E-B2BC68C205E5}">
  <sheetPr>
    <tabColor theme="4"/>
  </sheetPr>
  <dimension ref="A1:BL223"/>
  <sheetViews>
    <sheetView topLeftCell="A97" zoomScale="50" zoomScaleNormal="50" workbookViewId="0">
      <selection activeCell="AJ114" sqref="AJ114:AJ115"/>
    </sheetView>
  </sheetViews>
  <sheetFormatPr defaultRowHeight="14.75" outlineLevelRow="2" outlineLevelCol="1"/>
  <cols>
    <col min="1" max="1" width="56.7265625" customWidth="1"/>
    <col min="2" max="2" width="15.453125" style="50" bestFit="1" customWidth="1"/>
    <col min="3" max="3" width="12.7265625" style="99" bestFit="1" customWidth="1"/>
    <col min="4" max="12" width="8.81640625" style="99" hidden="1" customWidth="1" outlineLevel="1"/>
    <col min="13" max="13" width="12.26953125" style="99" customWidth="1" collapsed="1"/>
    <col min="14" max="22" width="8.81640625" style="99" hidden="1" customWidth="1" outlineLevel="1"/>
    <col min="23" max="23" width="12.7265625" style="99" bestFit="1" customWidth="1" collapsed="1"/>
    <col min="24" max="32" width="8.81640625" style="99" hidden="1" customWidth="1" outlineLevel="1"/>
    <col min="33" max="33" width="12.72656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/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 t="shared" ref="C9:AG9" si="6">SUM(C4:C8)</f>
        <v>1</v>
      </c>
      <c r="D9" s="171">
        <f t="shared" si="6"/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482</v>
      </c>
      <c r="B18" s="50" t="s">
        <v>126</v>
      </c>
      <c r="C18" s="102">
        <f>'Overall recycling rates'!D76</f>
        <v>0.30942625972317245</v>
      </c>
      <c r="D18" s="102">
        <f>C18</f>
        <v>0.30942625972317245</v>
      </c>
      <c r="E18" s="102">
        <f t="shared" ref="E18:AF19" si="9">D18</f>
        <v>0.30942625972317245</v>
      </c>
      <c r="F18" s="102">
        <f t="shared" si="9"/>
        <v>0.30942625972317245</v>
      </c>
      <c r="G18" s="102">
        <f t="shared" si="9"/>
        <v>0.30942625972317245</v>
      </c>
      <c r="H18" s="102">
        <f t="shared" si="9"/>
        <v>0.30942625972317245</v>
      </c>
      <c r="I18" s="102">
        <f t="shared" si="9"/>
        <v>0.30942625972317245</v>
      </c>
      <c r="J18" s="102">
        <f t="shared" si="9"/>
        <v>0.30942625972317245</v>
      </c>
      <c r="K18" s="102">
        <f t="shared" si="9"/>
        <v>0.30942625972317245</v>
      </c>
      <c r="L18" s="102">
        <f t="shared" si="9"/>
        <v>0.30942625972317245</v>
      </c>
      <c r="M18" s="102">
        <f t="shared" si="9"/>
        <v>0.30942625972317245</v>
      </c>
      <c r="N18" s="102">
        <f t="shared" si="9"/>
        <v>0.30942625972317245</v>
      </c>
      <c r="O18" s="102">
        <f t="shared" si="9"/>
        <v>0.30942625972317245</v>
      </c>
      <c r="P18" s="102">
        <f t="shared" si="9"/>
        <v>0.30942625972317245</v>
      </c>
      <c r="Q18" s="102">
        <f t="shared" si="9"/>
        <v>0.30942625972317245</v>
      </c>
      <c r="R18" s="102">
        <f t="shared" si="9"/>
        <v>0.30942625972317245</v>
      </c>
      <c r="S18" s="102">
        <f t="shared" si="9"/>
        <v>0.30942625972317245</v>
      </c>
      <c r="T18" s="102">
        <f t="shared" si="9"/>
        <v>0.30942625972317245</v>
      </c>
      <c r="U18" s="102">
        <f t="shared" si="9"/>
        <v>0.30942625972317245</v>
      </c>
      <c r="V18" s="102">
        <f t="shared" si="9"/>
        <v>0.30942625972317245</v>
      </c>
      <c r="W18" s="102">
        <f t="shared" si="9"/>
        <v>0.30942625972317245</v>
      </c>
      <c r="X18" s="102">
        <f t="shared" si="9"/>
        <v>0.30942625972317245</v>
      </c>
      <c r="Y18" s="102">
        <f t="shared" si="9"/>
        <v>0.30942625972317245</v>
      </c>
      <c r="Z18" s="102">
        <f t="shared" si="9"/>
        <v>0.30942625972317245</v>
      </c>
      <c r="AA18" s="102">
        <f t="shared" si="9"/>
        <v>0.30942625972317245</v>
      </c>
      <c r="AB18" s="102">
        <f t="shared" si="9"/>
        <v>0.30942625972317245</v>
      </c>
      <c r="AC18" s="102">
        <f t="shared" si="9"/>
        <v>0.30942625972317245</v>
      </c>
      <c r="AD18" s="102">
        <f t="shared" si="9"/>
        <v>0.30942625972317245</v>
      </c>
      <c r="AE18" s="102">
        <f t="shared" si="9"/>
        <v>0.30942625972317245</v>
      </c>
      <c r="AF18" s="102">
        <f t="shared" si="9"/>
        <v>0.30942625972317245</v>
      </c>
      <c r="AG18" s="102">
        <f>AF18</f>
        <v>0.30942625972317245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309</v>
      </c>
      <c r="B19" s="50" t="s">
        <v>126</v>
      </c>
      <c r="C19" s="102">
        <f>'Overall recycling rates'!D78</f>
        <v>0.31080088555804264</v>
      </c>
      <c r="D19" s="102">
        <f t="shared" ref="D19:S22" si="10">C19</f>
        <v>0.31080088555804264</v>
      </c>
      <c r="E19" s="102">
        <f t="shared" si="10"/>
        <v>0.31080088555804264</v>
      </c>
      <c r="F19" s="102">
        <f t="shared" si="10"/>
        <v>0.31080088555804264</v>
      </c>
      <c r="G19" s="102">
        <f t="shared" si="10"/>
        <v>0.31080088555804264</v>
      </c>
      <c r="H19" s="102">
        <f t="shared" si="10"/>
        <v>0.31080088555804264</v>
      </c>
      <c r="I19" s="102">
        <f t="shared" si="10"/>
        <v>0.31080088555804264</v>
      </c>
      <c r="J19" s="102">
        <f t="shared" si="10"/>
        <v>0.31080088555804264</v>
      </c>
      <c r="K19" s="102">
        <f t="shared" si="10"/>
        <v>0.31080088555804264</v>
      </c>
      <c r="L19" s="102">
        <f t="shared" si="10"/>
        <v>0.31080088555804264</v>
      </c>
      <c r="M19" s="102">
        <f t="shared" si="10"/>
        <v>0.31080088555804264</v>
      </c>
      <c r="N19" s="102">
        <f t="shared" si="10"/>
        <v>0.31080088555804264</v>
      </c>
      <c r="O19" s="102">
        <f t="shared" si="10"/>
        <v>0.31080088555804264</v>
      </c>
      <c r="P19" s="102">
        <f t="shared" si="10"/>
        <v>0.31080088555804264</v>
      </c>
      <c r="Q19" s="102">
        <f t="shared" si="10"/>
        <v>0.31080088555804264</v>
      </c>
      <c r="R19" s="102">
        <f t="shared" si="10"/>
        <v>0.31080088555804264</v>
      </c>
      <c r="S19" s="102">
        <f t="shared" si="10"/>
        <v>0.31080088555804264</v>
      </c>
      <c r="T19" s="102">
        <f t="shared" si="9"/>
        <v>0.31080088555804264</v>
      </c>
      <c r="U19" s="102">
        <f t="shared" si="9"/>
        <v>0.31080088555804264</v>
      </c>
      <c r="V19" s="102">
        <f t="shared" si="9"/>
        <v>0.31080088555804264</v>
      </c>
      <c r="W19" s="102">
        <f t="shared" si="9"/>
        <v>0.31080088555804264</v>
      </c>
      <c r="X19" s="102">
        <f t="shared" si="9"/>
        <v>0.31080088555804264</v>
      </c>
      <c r="Y19" s="102">
        <f t="shared" si="9"/>
        <v>0.31080088555804264</v>
      </c>
      <c r="Z19" s="102">
        <f t="shared" si="9"/>
        <v>0.31080088555804264</v>
      </c>
      <c r="AA19" s="102">
        <f t="shared" si="9"/>
        <v>0.31080088555804264</v>
      </c>
      <c r="AB19" s="102">
        <f t="shared" si="9"/>
        <v>0.31080088555804264</v>
      </c>
      <c r="AC19" s="102">
        <f t="shared" si="9"/>
        <v>0.31080088555804264</v>
      </c>
      <c r="AD19" s="102">
        <f t="shared" si="9"/>
        <v>0.31080088555804264</v>
      </c>
      <c r="AE19" s="102">
        <f t="shared" si="9"/>
        <v>0.31080088555804264</v>
      </c>
      <c r="AF19" s="102">
        <f t="shared" si="9"/>
        <v>0.31080088555804264</v>
      </c>
      <c r="AG19" s="102">
        <f t="shared" ref="T19:AG22" si="11">AF19</f>
        <v>0.31080088555804264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310</v>
      </c>
      <c r="B20" s="50" t="s">
        <v>126</v>
      </c>
      <c r="C20" s="102">
        <f>'Overall recycling rates'!D77</f>
        <v>0.10838495666240483</v>
      </c>
      <c r="D20" s="102">
        <f t="shared" si="10"/>
        <v>0.10838495666240483</v>
      </c>
      <c r="E20" s="102">
        <f t="shared" si="10"/>
        <v>0.10838495666240483</v>
      </c>
      <c r="F20" s="102">
        <f t="shared" si="10"/>
        <v>0.10838495666240483</v>
      </c>
      <c r="G20" s="102">
        <f t="shared" si="10"/>
        <v>0.10838495666240483</v>
      </c>
      <c r="H20" s="102">
        <f t="shared" si="10"/>
        <v>0.10838495666240483</v>
      </c>
      <c r="I20" s="102">
        <f t="shared" si="10"/>
        <v>0.10838495666240483</v>
      </c>
      <c r="J20" s="102">
        <f t="shared" si="10"/>
        <v>0.10838495666240483</v>
      </c>
      <c r="K20" s="102">
        <f t="shared" si="10"/>
        <v>0.10838495666240483</v>
      </c>
      <c r="L20" s="102">
        <f t="shared" si="10"/>
        <v>0.10838495666240483</v>
      </c>
      <c r="M20" s="102">
        <f t="shared" si="10"/>
        <v>0.10838495666240483</v>
      </c>
      <c r="N20" s="102">
        <f t="shared" si="10"/>
        <v>0.10838495666240483</v>
      </c>
      <c r="O20" s="102">
        <f t="shared" si="10"/>
        <v>0.10838495666240483</v>
      </c>
      <c r="P20" s="102">
        <f t="shared" si="10"/>
        <v>0.10838495666240483</v>
      </c>
      <c r="Q20" s="102">
        <f t="shared" si="10"/>
        <v>0.10838495666240483</v>
      </c>
      <c r="R20" s="102">
        <f t="shared" si="10"/>
        <v>0.10838495666240483</v>
      </c>
      <c r="S20" s="102">
        <f t="shared" si="10"/>
        <v>0.10838495666240483</v>
      </c>
      <c r="T20" s="102">
        <f t="shared" si="11"/>
        <v>0.10838495666240483</v>
      </c>
      <c r="U20" s="102">
        <f t="shared" si="11"/>
        <v>0.10838495666240483</v>
      </c>
      <c r="V20" s="102">
        <f t="shared" si="11"/>
        <v>0.10838495666240483</v>
      </c>
      <c r="W20" s="102">
        <f t="shared" si="11"/>
        <v>0.10838495666240483</v>
      </c>
      <c r="X20" s="102">
        <f t="shared" si="11"/>
        <v>0.10838495666240483</v>
      </c>
      <c r="Y20" s="102">
        <f t="shared" si="11"/>
        <v>0.10838495666240483</v>
      </c>
      <c r="Z20" s="102">
        <f t="shared" si="11"/>
        <v>0.10838495666240483</v>
      </c>
      <c r="AA20" s="102">
        <f t="shared" si="11"/>
        <v>0.10838495666240483</v>
      </c>
      <c r="AB20" s="102">
        <f t="shared" si="11"/>
        <v>0.10838495666240483</v>
      </c>
      <c r="AC20" s="102">
        <f t="shared" si="11"/>
        <v>0.10838495666240483</v>
      </c>
      <c r="AD20" s="102">
        <f t="shared" si="11"/>
        <v>0.10838495666240483</v>
      </c>
      <c r="AE20" s="102">
        <f t="shared" si="11"/>
        <v>0.10838495666240483</v>
      </c>
      <c r="AF20" s="102">
        <f t="shared" si="11"/>
        <v>0.10838495666240483</v>
      </c>
      <c r="AG20" s="102">
        <f t="shared" si="11"/>
        <v>0.10838495666240483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483</v>
      </c>
      <c r="B21" s="50" t="s">
        <v>126</v>
      </c>
      <c r="C21" s="102">
        <f>'Overall recycling rates'!D79</f>
        <v>2.8456905779299292E-6</v>
      </c>
      <c r="D21" s="102">
        <f t="shared" si="10"/>
        <v>2.8456905779299292E-6</v>
      </c>
      <c r="E21" s="102">
        <f t="shared" si="10"/>
        <v>2.8456905779299292E-6</v>
      </c>
      <c r="F21" s="102">
        <f t="shared" si="10"/>
        <v>2.8456905779299292E-6</v>
      </c>
      <c r="G21" s="102">
        <f t="shared" si="10"/>
        <v>2.8456905779299292E-6</v>
      </c>
      <c r="H21" s="102">
        <f t="shared" si="10"/>
        <v>2.8456905779299292E-6</v>
      </c>
      <c r="I21" s="102">
        <f t="shared" si="10"/>
        <v>2.8456905779299292E-6</v>
      </c>
      <c r="J21" s="102">
        <f t="shared" si="10"/>
        <v>2.8456905779299292E-6</v>
      </c>
      <c r="K21" s="102">
        <f t="shared" si="10"/>
        <v>2.8456905779299292E-6</v>
      </c>
      <c r="L21" s="102">
        <f t="shared" si="10"/>
        <v>2.8456905779299292E-6</v>
      </c>
      <c r="M21" s="102">
        <f t="shared" si="10"/>
        <v>2.8456905779299292E-6</v>
      </c>
      <c r="N21" s="102">
        <f t="shared" si="10"/>
        <v>2.8456905779299292E-6</v>
      </c>
      <c r="O21" s="102">
        <f t="shared" si="10"/>
        <v>2.8456905779299292E-6</v>
      </c>
      <c r="P21" s="102">
        <f t="shared" si="10"/>
        <v>2.8456905779299292E-6</v>
      </c>
      <c r="Q21" s="102">
        <f t="shared" si="10"/>
        <v>2.8456905779299292E-6</v>
      </c>
      <c r="R21" s="102">
        <f t="shared" si="10"/>
        <v>2.8456905779299292E-6</v>
      </c>
      <c r="S21" s="102">
        <f t="shared" si="10"/>
        <v>2.8456905779299292E-6</v>
      </c>
      <c r="T21" s="102">
        <f t="shared" si="11"/>
        <v>2.8456905779299292E-6</v>
      </c>
      <c r="U21" s="102">
        <f t="shared" si="11"/>
        <v>2.8456905779299292E-6</v>
      </c>
      <c r="V21" s="102">
        <f t="shared" si="11"/>
        <v>2.8456905779299292E-6</v>
      </c>
      <c r="W21" s="102">
        <f t="shared" si="11"/>
        <v>2.8456905779299292E-6</v>
      </c>
      <c r="X21" s="102">
        <f t="shared" si="11"/>
        <v>2.8456905779299292E-6</v>
      </c>
      <c r="Y21" s="102">
        <f t="shared" si="11"/>
        <v>2.8456905779299292E-6</v>
      </c>
      <c r="Z21" s="102">
        <f t="shared" si="11"/>
        <v>2.8456905779299292E-6</v>
      </c>
      <c r="AA21" s="102">
        <f t="shared" si="11"/>
        <v>2.8456905779299292E-6</v>
      </c>
      <c r="AB21" s="102">
        <f t="shared" si="11"/>
        <v>2.8456905779299292E-6</v>
      </c>
      <c r="AC21" s="102">
        <f t="shared" si="11"/>
        <v>2.8456905779299292E-6</v>
      </c>
      <c r="AD21" s="102">
        <f t="shared" si="11"/>
        <v>2.8456905779299292E-6</v>
      </c>
      <c r="AE21" s="102">
        <f t="shared" si="11"/>
        <v>2.8456905779299292E-6</v>
      </c>
      <c r="AF21" s="102">
        <f t="shared" si="11"/>
        <v>2.8456905779299292E-6</v>
      </c>
      <c r="AG21" s="102">
        <f t="shared" si="11"/>
        <v>2.8456905779299292E-6</v>
      </c>
      <c r="AI21" s="50" t="s">
        <v>502</v>
      </c>
      <c r="AJ21" s="185"/>
      <c r="AM21" s="112"/>
      <c r="AN21" s="107"/>
      <c r="AO21" s="108"/>
      <c r="AP21" s="109"/>
      <c r="AQ21" s="108"/>
    </row>
    <row r="22" spans="1:64" outlineLevel="1">
      <c r="A22" t="s">
        <v>311</v>
      </c>
      <c r="B22" s="50" t="s">
        <v>126</v>
      </c>
      <c r="C22" s="102">
        <f>'Overall recycling rates'!D80</f>
        <v>0.26926835346483913</v>
      </c>
      <c r="D22" s="102">
        <f>C22</f>
        <v>0.26926835346483913</v>
      </c>
      <c r="E22" s="102">
        <f t="shared" si="10"/>
        <v>0.26926835346483913</v>
      </c>
      <c r="F22" s="102">
        <f t="shared" si="10"/>
        <v>0.26926835346483913</v>
      </c>
      <c r="G22" s="102">
        <f t="shared" si="10"/>
        <v>0.26926835346483913</v>
      </c>
      <c r="H22" s="102">
        <f t="shared" si="10"/>
        <v>0.26926835346483913</v>
      </c>
      <c r="I22" s="102">
        <f t="shared" si="10"/>
        <v>0.26926835346483913</v>
      </c>
      <c r="J22" s="102">
        <f t="shared" si="10"/>
        <v>0.26926835346483913</v>
      </c>
      <c r="K22" s="102">
        <f t="shared" si="10"/>
        <v>0.26926835346483913</v>
      </c>
      <c r="L22" s="102">
        <f t="shared" si="10"/>
        <v>0.26926835346483913</v>
      </c>
      <c r="M22" s="102">
        <f t="shared" si="10"/>
        <v>0.26926835346483913</v>
      </c>
      <c r="N22" s="102">
        <f t="shared" si="10"/>
        <v>0.26926835346483913</v>
      </c>
      <c r="O22" s="102">
        <f t="shared" si="10"/>
        <v>0.26926835346483913</v>
      </c>
      <c r="P22" s="102">
        <f t="shared" si="10"/>
        <v>0.26926835346483913</v>
      </c>
      <c r="Q22" s="102">
        <f t="shared" si="10"/>
        <v>0.26926835346483913</v>
      </c>
      <c r="R22" s="102">
        <f t="shared" si="10"/>
        <v>0.26926835346483913</v>
      </c>
      <c r="S22" s="102">
        <f t="shared" si="10"/>
        <v>0.26926835346483913</v>
      </c>
      <c r="T22" s="102">
        <f t="shared" si="11"/>
        <v>0.26926835346483913</v>
      </c>
      <c r="U22" s="102">
        <f t="shared" si="11"/>
        <v>0.26926835346483913</v>
      </c>
      <c r="V22" s="102">
        <f t="shared" si="11"/>
        <v>0.26926835346483913</v>
      </c>
      <c r="W22" s="102">
        <f t="shared" si="11"/>
        <v>0.26926835346483913</v>
      </c>
      <c r="X22" s="102">
        <f t="shared" si="11"/>
        <v>0.26926835346483913</v>
      </c>
      <c r="Y22" s="102">
        <f t="shared" si="11"/>
        <v>0.26926835346483913</v>
      </c>
      <c r="Z22" s="102">
        <f t="shared" si="11"/>
        <v>0.26926835346483913</v>
      </c>
      <c r="AA22" s="102">
        <f t="shared" si="11"/>
        <v>0.26926835346483913</v>
      </c>
      <c r="AB22" s="102">
        <f t="shared" si="11"/>
        <v>0.26926835346483913</v>
      </c>
      <c r="AC22" s="102">
        <f t="shared" si="11"/>
        <v>0.26926835346483913</v>
      </c>
      <c r="AD22" s="102">
        <f t="shared" si="11"/>
        <v>0.26926835346483913</v>
      </c>
      <c r="AE22" s="102">
        <f t="shared" si="11"/>
        <v>0.26926835346483913</v>
      </c>
      <c r="AF22" s="102">
        <f t="shared" si="11"/>
        <v>0.26926835346483913</v>
      </c>
      <c r="AG22" s="102">
        <f t="shared" si="11"/>
        <v>0.26926835346483913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484</v>
      </c>
      <c r="B24" s="50" t="s">
        <v>312</v>
      </c>
      <c r="C24" s="178">
        <f>C11*C18</f>
        <v>1380521.2058671515</v>
      </c>
      <c r="D24" s="178">
        <f t="shared" ref="D24:AG24" si="12">D11*D18</f>
        <v>1377473.6020247862</v>
      </c>
      <c r="E24" s="178">
        <f t="shared" si="12"/>
        <v>1374432.7259959022</v>
      </c>
      <c r="F24" s="178">
        <f t="shared" si="12"/>
        <v>1371398.5629283483</v>
      </c>
      <c r="G24" s="178">
        <f t="shared" si="12"/>
        <v>1368371.0980027593</v>
      </c>
      <c r="H24" s="178">
        <f t="shared" si="12"/>
        <v>1365350.3164324865</v>
      </c>
      <c r="I24" s="178">
        <f t="shared" si="12"/>
        <v>1362336.2034635227</v>
      </c>
      <c r="J24" s="178">
        <f t="shared" si="12"/>
        <v>1359328.7443744312</v>
      </c>
      <c r="K24" s="178">
        <f t="shared" si="12"/>
        <v>1356327.924476275</v>
      </c>
      <c r="L24" s="178">
        <f t="shared" si="12"/>
        <v>1353333.7291125429</v>
      </c>
      <c r="M24" s="178">
        <f t="shared" si="12"/>
        <v>1350346.1436590804</v>
      </c>
      <c r="N24" s="178">
        <f t="shared" si="12"/>
        <v>1347365.1535240151</v>
      </c>
      <c r="O24" s="178">
        <f t="shared" si="12"/>
        <v>1344390.7441476888</v>
      </c>
      <c r="P24" s="178">
        <f t="shared" si="12"/>
        <v>1341422.901002584</v>
      </c>
      <c r="Q24" s="178">
        <f t="shared" si="12"/>
        <v>1338461.6095932543</v>
      </c>
      <c r="R24" s="178">
        <f t="shared" si="12"/>
        <v>1335506.8554562526</v>
      </c>
      <c r="S24" s="178">
        <f t="shared" si="12"/>
        <v>1332558.6241600614</v>
      </c>
      <c r="T24" s="178">
        <f t="shared" si="12"/>
        <v>1329616.9013050215</v>
      </c>
      <c r="U24" s="178">
        <f t="shared" si="12"/>
        <v>1326681.6725232615</v>
      </c>
      <c r="V24" s="178">
        <f t="shared" si="12"/>
        <v>1323752.9234786299</v>
      </c>
      <c r="W24" s="178">
        <f t="shared" si="12"/>
        <v>1320830.6398666217</v>
      </c>
      <c r="X24" s="178">
        <f t="shared" si="12"/>
        <v>1317914.8074143108</v>
      </c>
      <c r="Y24" s="178">
        <f t="shared" si="12"/>
        <v>1315005.4118802794</v>
      </c>
      <c r="Z24" s="178">
        <f t="shared" si="12"/>
        <v>1312102.4390545487</v>
      </c>
      <c r="AA24" s="178">
        <f t="shared" si="12"/>
        <v>1309205.8747585099</v>
      </c>
      <c r="AB24" s="178">
        <f t="shared" si="12"/>
        <v>1306315.7048448541</v>
      </c>
      <c r="AC24" s="178">
        <f t="shared" si="12"/>
        <v>1303431.915197504</v>
      </c>
      <c r="AD24" s="178">
        <f t="shared" si="12"/>
        <v>1300554.4917315445</v>
      </c>
      <c r="AE24" s="178">
        <f t="shared" si="12"/>
        <v>1297683.4203931533</v>
      </c>
      <c r="AF24" s="178">
        <f t="shared" si="12"/>
        <v>1294818.6871595343</v>
      </c>
      <c r="AG24" s="178">
        <f t="shared" si="12"/>
        <v>1291960.2780388466</v>
      </c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313</v>
      </c>
      <c r="B25" s="50" t="s">
        <v>312</v>
      </c>
      <c r="C25" s="178">
        <f t="shared" ref="C25:AG28" si="13">C12*C19</f>
        <v>87727.100543358742</v>
      </c>
      <c r="D25" s="178">
        <f t="shared" si="13"/>
        <v>87533.436405814733</v>
      </c>
      <c r="E25" s="178">
        <f t="shared" si="13"/>
        <v>87340.199796342858</v>
      </c>
      <c r="F25" s="178">
        <f t="shared" si="13"/>
        <v>87147.389771142945</v>
      </c>
      <c r="G25" s="178">
        <f t="shared" si="13"/>
        <v>86955.005388498277</v>
      </c>
      <c r="H25" s="178">
        <f t="shared" si="13"/>
        <v>86763.045708771082</v>
      </c>
      <c r="I25" s="178">
        <f t="shared" si="13"/>
        <v>86571.509794397891</v>
      </c>
      <c r="J25" s="178">
        <f t="shared" si="13"/>
        <v>86380.396709884983</v>
      </c>
      <c r="K25" s="178">
        <f t="shared" si="13"/>
        <v>86189.7055218038</v>
      </c>
      <c r="L25" s="178">
        <f t="shared" si="13"/>
        <v>85999.435298786411</v>
      </c>
      <c r="M25" s="178">
        <f t="shared" si="13"/>
        <v>85809.585111520966</v>
      </c>
      <c r="N25" s="178">
        <f t="shared" si="13"/>
        <v>85620.154032747101</v>
      </c>
      <c r="O25" s="178">
        <f t="shared" si="13"/>
        <v>85431.141137251441</v>
      </c>
      <c r="P25" s="178">
        <f t="shared" si="13"/>
        <v>85242.545501863176</v>
      </c>
      <c r="Q25" s="178">
        <f t="shared" si="13"/>
        <v>85054.366205449332</v>
      </c>
      <c r="R25" s="178">
        <f t="shared" si="13"/>
        <v>84866.602328910507</v>
      </c>
      <c r="S25" s="178">
        <f t="shared" si="13"/>
        <v>84679.252955176271</v>
      </c>
      <c r="T25" s="178">
        <f t="shared" si="13"/>
        <v>84492.317169200644</v>
      </c>
      <c r="U25" s="178">
        <f t="shared" si="13"/>
        <v>84305.794057957712</v>
      </c>
      <c r="V25" s="178">
        <f t="shared" si="13"/>
        <v>84119.682710437148</v>
      </c>
      <c r="W25" s="178">
        <f t="shared" si="13"/>
        <v>83933.982217639699</v>
      </c>
      <c r="X25" s="178">
        <f t="shared" si="13"/>
        <v>83748.691672572837</v>
      </c>
      <c r="Y25" s="178">
        <f t="shared" si="13"/>
        <v>83563.810170246288</v>
      </c>
      <c r="Z25" s="178">
        <f t="shared" si="13"/>
        <v>83379.336807667598</v>
      </c>
      <c r="AA25" s="178">
        <f t="shared" si="13"/>
        <v>83195.270683837734</v>
      </c>
      <c r="AB25" s="178">
        <f t="shared" si="13"/>
        <v>83011.610899746694</v>
      </c>
      <c r="AC25" s="178">
        <f t="shared" si="13"/>
        <v>82828.356558369109</v>
      </c>
      <c r="AD25" s="178">
        <f t="shared" si="13"/>
        <v>82645.506764659833</v>
      </c>
      <c r="AE25" s="178">
        <f t="shared" si="13"/>
        <v>82463.060625549668</v>
      </c>
      <c r="AF25" s="178">
        <f t="shared" si="13"/>
        <v>82281.017249940851</v>
      </c>
      <c r="AG25" s="178">
        <f t="shared" si="13"/>
        <v>82099.375748702834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314</v>
      </c>
      <c r="B26" s="50" t="s">
        <v>312</v>
      </c>
      <c r="C26" s="178">
        <f t="shared" si="13"/>
        <v>60198.916928472419</v>
      </c>
      <c r="D26" s="178">
        <f t="shared" si="13"/>
        <v>60066.023315713908</v>
      </c>
      <c r="E26" s="178">
        <f t="shared" si="13"/>
        <v>59933.423075547675</v>
      </c>
      <c r="F26" s="178">
        <f t="shared" si="13"/>
        <v>59801.115560331789</v>
      </c>
      <c r="G26" s="178">
        <f t="shared" si="13"/>
        <v>59669.100123854005</v>
      </c>
      <c r="H26" s="178">
        <f t="shared" si="13"/>
        <v>59537.376121328663</v>
      </c>
      <c r="I26" s="178">
        <f t="shared" si="13"/>
        <v>59405.942909393518</v>
      </c>
      <c r="J26" s="178">
        <f t="shared" si="13"/>
        <v>59274.799846106594</v>
      </c>
      <c r="K26" s="178">
        <f t="shared" si="13"/>
        <v>59143.946290943022</v>
      </c>
      <c r="L26" s="178">
        <f t="shared" si="13"/>
        <v>59013.381604791975</v>
      </c>
      <c r="M26" s="178">
        <f t="shared" si="13"/>
        <v>58883.105149953488</v>
      </c>
      <c r="N26" s="178">
        <f t="shared" si="13"/>
        <v>58753.116290135389</v>
      </c>
      <c r="O26" s="178">
        <f t="shared" si="13"/>
        <v>58623.414390450147</v>
      </c>
      <c r="P26" s="178">
        <f t="shared" si="13"/>
        <v>58493.998817411797</v>
      </c>
      <c r="Q26" s="178">
        <f t="shared" si="13"/>
        <v>58364.868938932836</v>
      </c>
      <c r="R26" s="178">
        <f t="shared" si="13"/>
        <v>58236.024124321171</v>
      </c>
      <c r="S26" s="178">
        <f t="shared" si="13"/>
        <v>58107.463744276982</v>
      </c>
      <c r="T26" s="178">
        <f t="shared" si="13"/>
        <v>57979.187170889672</v>
      </c>
      <c r="U26" s="178">
        <f t="shared" si="13"/>
        <v>57851.193777634835</v>
      </c>
      <c r="V26" s="178">
        <f t="shared" si="13"/>
        <v>57723.482939371126</v>
      </c>
      <c r="W26" s="178">
        <f t="shared" si="13"/>
        <v>57596.054032337262</v>
      </c>
      <c r="X26" s="178">
        <f t="shared" si="13"/>
        <v>57468.906434148965</v>
      </c>
      <c r="Y26" s="178">
        <f t="shared" si="13"/>
        <v>57342.039523795916</v>
      </c>
      <c r="Z26" s="178">
        <f t="shared" si="13"/>
        <v>57215.452681638715</v>
      </c>
      <c r="AA26" s="178">
        <f t="shared" si="13"/>
        <v>57089.145289405875</v>
      </c>
      <c r="AB26" s="178">
        <f t="shared" si="13"/>
        <v>56963.116730190784</v>
      </c>
      <c r="AC26" s="178">
        <f t="shared" si="13"/>
        <v>56837.366388448674</v>
      </c>
      <c r="AD26" s="178">
        <f t="shared" si="13"/>
        <v>56711.893649993675</v>
      </c>
      <c r="AE26" s="178">
        <f t="shared" si="13"/>
        <v>56586.697901995765</v>
      </c>
      <c r="AF26" s="178">
        <f t="shared" si="13"/>
        <v>56461.778532977776</v>
      </c>
      <c r="AG26" s="178">
        <f t="shared" si="13"/>
        <v>56337.134932812442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485</v>
      </c>
      <c r="B27" s="50" t="s">
        <v>312</v>
      </c>
      <c r="C27" s="178">
        <f t="shared" si="13"/>
        <v>1.2955301207068881</v>
      </c>
      <c r="D27" s="178">
        <f t="shared" si="13"/>
        <v>1.2926701410434203</v>
      </c>
      <c r="E27" s="178">
        <f t="shared" si="13"/>
        <v>1.2898164749990222</v>
      </c>
      <c r="F27" s="178">
        <f t="shared" si="13"/>
        <v>1.2869691086359074</v>
      </c>
      <c r="G27" s="178">
        <f t="shared" si="13"/>
        <v>1.2841280280470582</v>
      </c>
      <c r="H27" s="178">
        <f t="shared" si="13"/>
        <v>1.2812932193561575</v>
      </c>
      <c r="I27" s="178">
        <f t="shared" si="13"/>
        <v>1.2784646687175214</v>
      </c>
      <c r="J27" s="178">
        <f t="shared" si="13"/>
        <v>1.2756423623160313</v>
      </c>
      <c r="K27" s="178">
        <f t="shared" si="13"/>
        <v>1.272826286367067</v>
      </c>
      <c r="L27" s="178">
        <f t="shared" si="13"/>
        <v>1.2700164271164378</v>
      </c>
      <c r="M27" s="178">
        <f t="shared" si="13"/>
        <v>1.2672127708403174</v>
      </c>
      <c r="N27" s="178">
        <f t="shared" si="13"/>
        <v>1.2644153038451753</v>
      </c>
      <c r="O27" s="178">
        <f t="shared" si="13"/>
        <v>1.2616240124677109</v>
      </c>
      <c r="P27" s="178">
        <f t="shared" si="13"/>
        <v>1.2588388830747861</v>
      </c>
      <c r="Q27" s="178">
        <f t="shared" si="13"/>
        <v>1.2560599020633589</v>
      </c>
      <c r="R27" s="178">
        <f t="shared" si="13"/>
        <v>1.2532870558604174</v>
      </c>
      <c r="S27" s="178">
        <f t="shared" si="13"/>
        <v>1.2505203309229129</v>
      </c>
      <c r="T27" s="178">
        <f t="shared" si="13"/>
        <v>1.2477597137376937</v>
      </c>
      <c r="U27" s="178">
        <f t="shared" si="13"/>
        <v>1.2450051908214401</v>
      </c>
      <c r="V27" s="178">
        <f t="shared" si="13"/>
        <v>1.2422567487205969</v>
      </c>
      <c r="W27" s="178">
        <f t="shared" si="13"/>
        <v>1.2395143740113097</v>
      </c>
      <c r="X27" s="178">
        <f t="shared" si="13"/>
        <v>1.2367780532993575</v>
      </c>
      <c r="Y27" s="178">
        <f t="shared" si="13"/>
        <v>1.2340477732200883</v>
      </c>
      <c r="Z27" s="178">
        <f t="shared" si="13"/>
        <v>1.2313235204383535</v>
      </c>
      <c r="AA27" s="178">
        <f t="shared" si="13"/>
        <v>1.2286052816484427</v>
      </c>
      <c r="AB27" s="178">
        <f t="shared" si="13"/>
        <v>1.2258930435740192</v>
      </c>
      <c r="AC27" s="178">
        <f t="shared" si="13"/>
        <v>1.2231867929680549</v>
      </c>
      <c r="AD27" s="178">
        <f t="shared" si="13"/>
        <v>1.2204865166127647</v>
      </c>
      <c r="AE27" s="178">
        <f t="shared" si="13"/>
        <v>1.2177922013195437</v>
      </c>
      <c r="AF27" s="178">
        <f t="shared" si="13"/>
        <v>1.2151038339289013</v>
      </c>
      <c r="AG27" s="178">
        <f t="shared" si="13"/>
        <v>1.2124214013103976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315</v>
      </c>
      <c r="B28" s="156" t="s">
        <v>312</v>
      </c>
      <c r="C28" s="178">
        <f t="shared" si="13"/>
        <v>757588.94475919567</v>
      </c>
      <c r="D28" s="178">
        <f t="shared" si="13"/>
        <v>755916.51048642315</v>
      </c>
      <c r="E28" s="178">
        <f t="shared" si="13"/>
        <v>754247.76823742699</v>
      </c>
      <c r="F28" s="178">
        <f t="shared" si="13"/>
        <v>752582.70986178855</v>
      </c>
      <c r="G28" s="178">
        <f t="shared" si="13"/>
        <v>750921.32722708164</v>
      </c>
      <c r="H28" s="178">
        <f t="shared" si="13"/>
        <v>749263.61221883318</v>
      </c>
      <c r="I28" s="178">
        <f t="shared" si="13"/>
        <v>747609.55674048362</v>
      </c>
      <c r="J28" s="178">
        <f t="shared" si="13"/>
        <v>745959.15271334664</v>
      </c>
      <c r="K28" s="178">
        <f t="shared" si="13"/>
        <v>744312.39207657054</v>
      </c>
      <c r="L28" s="178">
        <f t="shared" si="13"/>
        <v>742669.26678709872</v>
      </c>
      <c r="M28" s="178">
        <f t="shared" si="13"/>
        <v>741029.76881962991</v>
      </c>
      <c r="N28" s="178">
        <f t="shared" si="13"/>
        <v>739393.8901665794</v>
      </c>
      <c r="O28" s="178">
        <f t="shared" si="13"/>
        <v>737761.62283804</v>
      </c>
      <c r="P28" s="178">
        <f t="shared" si="13"/>
        <v>736132.95886174229</v>
      </c>
      <c r="Q28" s="178">
        <f t="shared" si="13"/>
        <v>734507.89028301707</v>
      </c>
      <c r="R28" s="178">
        <f t="shared" si="13"/>
        <v>732886.40916475502</v>
      </c>
      <c r="S28" s="178">
        <f t="shared" si="13"/>
        <v>731268.50758736872</v>
      </c>
      <c r="T28" s="178">
        <f t="shared" si="13"/>
        <v>729654.17764875409</v>
      </c>
      <c r="U28" s="178">
        <f t="shared" si="13"/>
        <v>728043.41146425111</v>
      </c>
      <c r="V28" s="178">
        <f t="shared" si="13"/>
        <v>726436.20116660604</v>
      </c>
      <c r="W28" s="178">
        <f t="shared" si="13"/>
        <v>724832.53890593268</v>
      </c>
      <c r="X28" s="178">
        <f t="shared" si="13"/>
        <v>723232.41684967396</v>
      </c>
      <c r="Y28" s="178">
        <f t="shared" si="13"/>
        <v>721635.82718256372</v>
      </c>
      <c r="Z28" s="178">
        <f t="shared" si="13"/>
        <v>720042.76210658881</v>
      </c>
      <c r="AA28" s="178">
        <f t="shared" si="13"/>
        <v>718453.21384095028</v>
      </c>
      <c r="AB28" s="178">
        <f t="shared" si="13"/>
        <v>716867.17462202662</v>
      </c>
      <c r="AC28" s="178">
        <f t="shared" si="13"/>
        <v>715284.6367033344</v>
      </c>
      <c r="AD28" s="178">
        <f t="shared" si="13"/>
        <v>713705.59235549159</v>
      </c>
      <c r="AE28" s="178">
        <f t="shared" si="13"/>
        <v>712130.03386617906</v>
      </c>
      <c r="AF28" s="178">
        <f t="shared" si="13"/>
        <v>710557.95354010328</v>
      </c>
      <c r="AG28" s="178">
        <f t="shared" si="13"/>
        <v>708989.34369895875</v>
      </c>
      <c r="AL28" s="100"/>
      <c r="AM28" s="181"/>
      <c r="AN28" s="181"/>
      <c r="AO28" s="181"/>
    </row>
    <row r="29" spans="1:64" s="1" customFormat="1" ht="15.5" thickBot="1">
      <c r="A29" s="174" t="s">
        <v>486</v>
      </c>
      <c r="B29" s="193" t="s">
        <v>312</v>
      </c>
      <c r="C29" s="190">
        <f>SUM(C24:C28)</f>
        <v>2286037.4636282991</v>
      </c>
      <c r="D29" s="190">
        <f t="shared" ref="D29:AG29" si="14">SUM(D24:D28)</f>
        <v>2280990.8649028791</v>
      </c>
      <c r="E29" s="190">
        <f t="shared" si="14"/>
        <v>2275955.4069216945</v>
      </c>
      <c r="F29" s="190">
        <f t="shared" si="14"/>
        <v>2270931.0650907205</v>
      </c>
      <c r="G29" s="190">
        <f t="shared" si="14"/>
        <v>2265917.8148702211</v>
      </c>
      <c r="H29" s="190">
        <f t="shared" si="14"/>
        <v>2260915.6317746388</v>
      </c>
      <c r="I29" s="190">
        <f t="shared" si="14"/>
        <v>2255924.4913724666</v>
      </c>
      <c r="J29" s="190">
        <f t="shared" si="14"/>
        <v>2250944.369286132</v>
      </c>
      <c r="K29" s="190">
        <f t="shared" si="14"/>
        <v>2245975.2411918789</v>
      </c>
      <c r="L29" s="190">
        <f t="shared" si="14"/>
        <v>2241017.0828196472</v>
      </c>
      <c r="M29" s="190">
        <f t="shared" si="14"/>
        <v>2236069.8699529553</v>
      </c>
      <c r="N29" s="190">
        <f t="shared" si="14"/>
        <v>2231133.5784287807</v>
      </c>
      <c r="O29" s="190">
        <f t="shared" si="14"/>
        <v>2226208.1841374426</v>
      </c>
      <c r="P29" s="190">
        <f t="shared" si="14"/>
        <v>2221293.6630224842</v>
      </c>
      <c r="Q29" s="190">
        <f t="shared" si="14"/>
        <v>2216389.9910805556</v>
      </c>
      <c r="R29" s="190">
        <f t="shared" si="14"/>
        <v>2211497.1443612948</v>
      </c>
      <c r="S29" s="190">
        <f t="shared" si="14"/>
        <v>2206615.0989672141</v>
      </c>
      <c r="T29" s="190">
        <f t="shared" si="14"/>
        <v>2201743.8310535797</v>
      </c>
      <c r="U29" s="190">
        <f t="shared" si="14"/>
        <v>2196883.3168282961</v>
      </c>
      <c r="V29" s="190">
        <f t="shared" si="14"/>
        <v>2192033.5325517929</v>
      </c>
      <c r="W29" s="190">
        <f t="shared" si="14"/>
        <v>2187194.454536905</v>
      </c>
      <c r="X29" s="190">
        <f t="shared" si="14"/>
        <v>2182366.0591487596</v>
      </c>
      <c r="Y29" s="190">
        <f t="shared" si="14"/>
        <v>2177548.3228046587</v>
      </c>
      <c r="Z29" s="190">
        <f t="shared" si="14"/>
        <v>2172741.221973964</v>
      </c>
      <c r="AA29" s="190">
        <f t="shared" si="14"/>
        <v>2167944.7331779855</v>
      </c>
      <c r="AB29" s="190">
        <f t="shared" si="14"/>
        <v>2163158.8329898617</v>
      </c>
      <c r="AC29" s="190">
        <f t="shared" si="14"/>
        <v>2158383.4980344493</v>
      </c>
      <c r="AD29" s="190">
        <f t="shared" si="14"/>
        <v>2153618.7049882063</v>
      </c>
      <c r="AE29" s="190">
        <f t="shared" si="14"/>
        <v>2148864.4305790793</v>
      </c>
      <c r="AF29" s="190">
        <f t="shared" si="14"/>
        <v>2144120.6515863901</v>
      </c>
      <c r="AG29" s="190">
        <f t="shared" si="14"/>
        <v>2139387.3448407222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504</v>
      </c>
      <c r="B31" s="156" t="s">
        <v>312</v>
      </c>
      <c r="C31" s="99">
        <f>C29</f>
        <v>2286037.4636282991</v>
      </c>
      <c r="D31" s="99">
        <f t="shared" ref="D31:AG31" si="15">D29</f>
        <v>2280990.8649028791</v>
      </c>
      <c r="E31" s="99">
        <f t="shared" si="15"/>
        <v>2275955.4069216945</v>
      </c>
      <c r="F31" s="99">
        <f t="shared" si="15"/>
        <v>2270931.0650907205</v>
      </c>
      <c r="G31" s="99">
        <f t="shared" si="15"/>
        <v>2265917.8148702211</v>
      </c>
      <c r="H31" s="99">
        <f t="shared" si="15"/>
        <v>2260915.6317746388</v>
      </c>
      <c r="I31" s="99">
        <f t="shared" si="15"/>
        <v>2255924.4913724666</v>
      </c>
      <c r="J31" s="99">
        <f t="shared" si="15"/>
        <v>2250944.369286132</v>
      </c>
      <c r="K31" s="99">
        <f t="shared" si="15"/>
        <v>2245975.2411918789</v>
      </c>
      <c r="L31" s="99">
        <f t="shared" si="15"/>
        <v>2241017.0828196472</v>
      </c>
      <c r="M31" s="99">
        <f t="shared" si="15"/>
        <v>2236069.8699529553</v>
      </c>
      <c r="N31" s="99">
        <f t="shared" si="15"/>
        <v>2231133.5784287807</v>
      </c>
      <c r="O31" s="99">
        <f t="shared" si="15"/>
        <v>2226208.1841374426</v>
      </c>
      <c r="P31" s="99">
        <f t="shared" si="15"/>
        <v>2221293.6630224842</v>
      </c>
      <c r="Q31" s="99">
        <f t="shared" si="15"/>
        <v>2216389.9910805556</v>
      </c>
      <c r="R31" s="99">
        <f t="shared" si="15"/>
        <v>2211497.1443612948</v>
      </c>
      <c r="S31" s="99">
        <f t="shared" si="15"/>
        <v>2206615.0989672141</v>
      </c>
      <c r="T31" s="99">
        <f t="shared" si="15"/>
        <v>2201743.8310535797</v>
      </c>
      <c r="U31" s="99">
        <f t="shared" si="15"/>
        <v>2196883.3168282961</v>
      </c>
      <c r="V31" s="99">
        <f t="shared" si="15"/>
        <v>2192033.5325517929</v>
      </c>
      <c r="W31" s="99">
        <f t="shared" si="15"/>
        <v>2187194.454536905</v>
      </c>
      <c r="X31" s="99">
        <f t="shared" si="15"/>
        <v>2182366.0591487596</v>
      </c>
      <c r="Y31" s="99">
        <f t="shared" si="15"/>
        <v>2177548.3228046587</v>
      </c>
      <c r="Z31" s="99">
        <f t="shared" si="15"/>
        <v>2172741.221973964</v>
      </c>
      <c r="AA31" s="99">
        <f t="shared" si="15"/>
        <v>2167944.7331779855</v>
      </c>
      <c r="AB31" s="99">
        <f t="shared" si="15"/>
        <v>2163158.8329898617</v>
      </c>
      <c r="AC31" s="99">
        <f t="shared" si="15"/>
        <v>2158383.4980344493</v>
      </c>
      <c r="AD31" s="99">
        <f t="shared" si="15"/>
        <v>2153618.7049882063</v>
      </c>
      <c r="AE31" s="99">
        <f t="shared" si="15"/>
        <v>2148864.4305790793</v>
      </c>
      <c r="AF31" s="99">
        <f t="shared" si="15"/>
        <v>2144120.6515863901</v>
      </c>
      <c r="AG31" s="99">
        <f t="shared" si="15"/>
        <v>2139387.3448407222</v>
      </c>
      <c r="AL31" s="100"/>
      <c r="AM31" s="2"/>
      <c r="AN31" s="2"/>
      <c r="AO31" s="2"/>
    </row>
    <row r="32" spans="1:64" outlineLevel="1">
      <c r="A32" t="s">
        <v>487</v>
      </c>
      <c r="B32" s="156" t="s">
        <v>312</v>
      </c>
      <c r="C32" s="99">
        <f>'Yearly Demand - Eth-Prop'!L3*SUM('Demand - Propylene'!$C$25:$C$26)</f>
        <v>3200069.092926051</v>
      </c>
      <c r="D32" s="99">
        <f>'Yearly Demand - Eth-Prop'!M3*SUM('Demand - Propylene'!$C$25:$C$26)</f>
        <v>3183774.8455297891</v>
      </c>
      <c r="E32" s="99">
        <f>'Yearly Demand - Eth-Prop'!N3*SUM('Demand - Propylene'!$C$25:$C$26)</f>
        <v>3167563.5658728164</v>
      </c>
      <c r="F32" s="99">
        <f>'Yearly Demand - Eth-Prop'!O3*SUM('Demand - Propylene'!$C$25:$C$26)</f>
        <v>3151434.8314964827</v>
      </c>
      <c r="G32" s="99">
        <f>'Yearly Demand - Eth-Prop'!P3*SUM('Demand - Propylene'!$C$25:$C$26)</f>
        <v>3135388.222093231</v>
      </c>
      <c r="H32" s="99">
        <f>'Yearly Demand - Eth-Prop'!Q3*SUM('Demand - Propylene'!$C$25:$C$26)</f>
        <v>3119423.319495643</v>
      </c>
      <c r="I32" s="99">
        <f>'Yearly Demand - Eth-Prop'!R3*SUM('Demand - Propylene'!$C$25:$C$26)</f>
        <v>3101865.5367700555</v>
      </c>
      <c r="J32" s="99">
        <f>'Yearly Demand - Eth-Prop'!S3*SUM('Demand - Propylene'!$C$25:$C$26)</f>
        <v>3084406.578635639</v>
      </c>
      <c r="K32" s="99">
        <f>'Yearly Demand - Eth-Prop'!T3*SUM('Demand - Propylene'!$C$25:$C$26)</f>
        <v>3067045.888854743</v>
      </c>
      <c r="L32" s="99">
        <f>'Yearly Demand - Eth-Prop'!U3*SUM('Demand - Propylene'!$C$25:$C$26)</f>
        <v>3049782.9143205187</v>
      </c>
      <c r="M32" s="99">
        <f>'Yearly Demand - Eth-Prop'!V3*SUM('Demand - Propylene'!$C$25:$C$26)</f>
        <v>3032617.1050393013</v>
      </c>
      <c r="N32" s="99">
        <f>'Yearly Demand - Eth-Prop'!W3*SUM('Demand - Propylene'!$C$25:$C$26)</f>
        <v>3012443.609655275</v>
      </c>
      <c r="O32" s="99">
        <f>'Yearly Demand - Eth-Prop'!X3*SUM('Demand - Propylene'!$C$25:$C$26)</f>
        <v>2992404.3118642559</v>
      </c>
      <c r="P32" s="99">
        <f>'Yearly Demand - Eth-Prop'!Y3*SUM('Demand - Propylene'!$C$25:$C$26)</f>
        <v>2972498.3189605614</v>
      </c>
      <c r="Q32" s="99">
        <f>'Yearly Demand - Eth-Prop'!Z3*SUM('Demand - Propylene'!$C$25:$C$26)</f>
        <v>2952724.7441769419</v>
      </c>
      <c r="R32" s="99">
        <f>'Yearly Demand - Eth-Prop'!AA3*SUM('Demand - Propylene'!$C$25:$C$26)</f>
        <v>2933082.7066450785</v>
      </c>
      <c r="S32" s="99">
        <f>'Yearly Demand - Eth-Prop'!AB3*SUM('Demand - Propylene'!$C$25:$C$26)</f>
        <v>2910855.9054990248</v>
      </c>
      <c r="T32" s="99">
        <f>'Yearly Demand - Eth-Prop'!AC3*SUM('Demand - Propylene'!$C$25:$C$26)</f>
        <v>2888797.5382972532</v>
      </c>
      <c r="U32" s="99">
        <f>'Yearly Demand - Eth-Prop'!AD3*SUM('Demand - Propylene'!$C$25:$C$26)</f>
        <v>2866906.3286530534</v>
      </c>
      <c r="V32" s="99">
        <f>'Yearly Demand - Eth-Prop'!AE3*SUM('Demand - Propylene'!$C$25:$C$26)</f>
        <v>2845181.0098521314</v>
      </c>
      <c r="W32" s="99">
        <f>'Yearly Demand - Eth-Prop'!AF3*SUM('Demand - Propylene'!$C$25:$C$26)</f>
        <v>2823620.3247793103</v>
      </c>
      <c r="X32" s="99">
        <f>'Yearly Demand - Eth-Prop'!AG3*SUM('Demand - Propylene'!$C$25:$C$26)</f>
        <v>2800328.4850145406</v>
      </c>
      <c r="Y32" s="99">
        <f>'Yearly Demand - Eth-Prop'!AH3*SUM('Demand - Propylene'!$C$25:$C$26)</f>
        <v>2777228.7779507809</v>
      </c>
      <c r="Z32" s="99">
        <f>'Yearly Demand - Eth-Prop'!AI3*SUM('Demand - Propylene'!$C$25:$C$26)</f>
        <v>2754319.6186992829</v>
      </c>
      <c r="AA32" s="99">
        <f>'Yearly Demand - Eth-Prop'!AJ3*SUM('Demand - Propylene'!$C$25:$C$26)</f>
        <v>2731599.4354449287</v>
      </c>
      <c r="AB32" s="99">
        <f>'Yearly Demand - Eth-Prop'!AK3*SUM('Demand - Propylene'!$C$25:$C$26)</f>
        <v>2709066.6693383898</v>
      </c>
      <c r="AC32" s="99">
        <f>'Yearly Demand - Eth-Prop'!AL3*SUM('Demand - Propylene'!$C$25:$C$26)</f>
        <v>2685758.2911376795</v>
      </c>
      <c r="AD32" s="99">
        <f>'Yearly Demand - Eth-Prop'!AM3*SUM('Demand - Propylene'!$C$25:$C$26)</f>
        <v>2662650.45451112</v>
      </c>
      <c r="AE32" s="99">
        <f>'Yearly Demand - Eth-Prop'!AN3*SUM('Demand - Propylene'!$C$25:$C$26)</f>
        <v>2639741.4340309426</v>
      </c>
      <c r="AF32" s="99">
        <f>'Yearly Demand - Eth-Prop'!AO3*SUM('Demand - Propylene'!$C$25:$C$26)</f>
        <v>2617029.5191146871</v>
      </c>
      <c r="AG32" s="99">
        <f>'Yearly Demand - Eth-Prop'!AP3*SUM('Demand - Propylene'!$C$25:$C$26)</f>
        <v>2594513.0138974697</v>
      </c>
      <c r="AL32" s="100"/>
      <c r="AM32" s="2"/>
      <c r="AN32" s="2"/>
      <c r="AO32" s="2"/>
    </row>
    <row r="33" spans="1:64" outlineLevel="1">
      <c r="A33" t="s">
        <v>488</v>
      </c>
      <c r="B33" s="156" t="s">
        <v>312</v>
      </c>
      <c r="C33" s="99">
        <f>C32-C31</f>
        <v>914031.62929775193</v>
      </c>
      <c r="D33" s="99">
        <f t="shared" ref="D33:AG33" si="16">D32-D31</f>
        <v>902783.98062690999</v>
      </c>
      <c r="E33" s="99">
        <f t="shared" si="16"/>
        <v>891608.15895112185</v>
      </c>
      <c r="F33" s="99">
        <f t="shared" si="16"/>
        <v>880503.76640576217</v>
      </c>
      <c r="G33" s="99">
        <f t="shared" si="16"/>
        <v>869470.40722300997</v>
      </c>
      <c r="H33" s="99">
        <f t="shared" si="16"/>
        <v>858507.68772100424</v>
      </c>
      <c r="I33" s="99">
        <f t="shared" si="16"/>
        <v>845941.04539758898</v>
      </c>
      <c r="J33" s="99">
        <f t="shared" si="16"/>
        <v>833462.209349507</v>
      </c>
      <c r="K33" s="99">
        <f t="shared" si="16"/>
        <v>821070.64766286407</v>
      </c>
      <c r="L33" s="99">
        <f t="shared" si="16"/>
        <v>808765.83150087157</v>
      </c>
      <c r="M33" s="99">
        <f t="shared" si="16"/>
        <v>796547.23508634605</v>
      </c>
      <c r="N33" s="99">
        <f t="shared" si="16"/>
        <v>781310.03122649435</v>
      </c>
      <c r="O33" s="99">
        <f t="shared" si="16"/>
        <v>766196.12772681331</v>
      </c>
      <c r="P33" s="99">
        <f t="shared" si="16"/>
        <v>751204.65593807725</v>
      </c>
      <c r="Q33" s="99">
        <f t="shared" si="16"/>
        <v>736334.75309638632</v>
      </c>
      <c r="R33" s="99">
        <f t="shared" si="16"/>
        <v>721585.56228378369</v>
      </c>
      <c r="S33" s="99">
        <f t="shared" si="16"/>
        <v>704240.80653181067</v>
      </c>
      <c r="T33" s="99">
        <f t="shared" si="16"/>
        <v>687053.7072436735</v>
      </c>
      <c r="U33" s="99">
        <f t="shared" si="16"/>
        <v>670023.01182475733</v>
      </c>
      <c r="V33" s="99">
        <f t="shared" si="16"/>
        <v>653147.47730033845</v>
      </c>
      <c r="W33" s="99">
        <f t="shared" si="16"/>
        <v>636425.87024240522</v>
      </c>
      <c r="X33" s="99">
        <f t="shared" si="16"/>
        <v>617962.42586578103</v>
      </c>
      <c r="Y33" s="99">
        <f t="shared" si="16"/>
        <v>599680.45514612226</v>
      </c>
      <c r="Z33" s="99">
        <f t="shared" si="16"/>
        <v>581578.39672531886</v>
      </c>
      <c r="AA33" s="99">
        <f t="shared" si="16"/>
        <v>563654.70226694318</v>
      </c>
      <c r="AB33" s="99">
        <f t="shared" si="16"/>
        <v>545907.83634852804</v>
      </c>
      <c r="AC33" s="99">
        <f t="shared" si="16"/>
        <v>527374.79310323019</v>
      </c>
      <c r="AD33" s="99">
        <f t="shared" si="16"/>
        <v>509031.74952291371</v>
      </c>
      <c r="AE33" s="99">
        <f t="shared" si="16"/>
        <v>490877.0034518633</v>
      </c>
      <c r="AF33" s="99">
        <f t="shared" si="16"/>
        <v>472908.86752829701</v>
      </c>
      <c r="AG33" s="99">
        <f t="shared" si="16"/>
        <v>455125.66905674757</v>
      </c>
      <c r="AL33" s="100"/>
      <c r="AM33" s="2"/>
      <c r="AN33" s="2"/>
      <c r="AO33" s="2"/>
    </row>
    <row r="34" spans="1:64" outlineLevel="1">
      <c r="A34" t="s">
        <v>403</v>
      </c>
      <c r="B34" s="50" t="s">
        <v>126</v>
      </c>
      <c r="C34" s="2">
        <f>C31/C32</f>
        <v>0.71437128300814667</v>
      </c>
      <c r="D34" s="2">
        <f t="shared" ref="D34:AG34" si="17">D31/D32</f>
        <v>0.71644226604325589</v>
      </c>
      <c r="E34" s="2">
        <f t="shared" si="17"/>
        <v>0.71851925291815233</v>
      </c>
      <c r="F34" s="2">
        <f t="shared" si="17"/>
        <v>0.72060226103814173</v>
      </c>
      <c r="G34" s="2">
        <f t="shared" si="17"/>
        <v>0.72269130785898694</v>
      </c>
      <c r="H34" s="2">
        <f t="shared" si="17"/>
        <v>0.72478641088705775</v>
      </c>
      <c r="I34" s="2">
        <f t="shared" si="17"/>
        <v>0.72727991095369671</v>
      </c>
      <c r="J34" s="2">
        <f t="shared" si="17"/>
        <v>0.72978198946839823</v>
      </c>
      <c r="K34" s="2">
        <f t="shared" si="17"/>
        <v>0.73229267594380276</v>
      </c>
      <c r="L34" s="2">
        <f t="shared" si="17"/>
        <v>0.7348119999940842</v>
      </c>
      <c r="M34" s="2">
        <f t="shared" si="17"/>
        <v>0.73733999133529815</v>
      </c>
      <c r="N34" s="2">
        <f t="shared" si="17"/>
        <v>0.74063911811584004</v>
      </c>
      <c r="O34" s="2">
        <f t="shared" si="17"/>
        <v>0.74395300638720296</v>
      </c>
      <c r="P34" s="2">
        <f t="shared" si="17"/>
        <v>0.74728172219765543</v>
      </c>
      <c r="Q34" s="2">
        <f t="shared" si="17"/>
        <v>0.75062533189099001</v>
      </c>
      <c r="R34" s="2">
        <f t="shared" si="17"/>
        <v>0.75398390210784461</v>
      </c>
      <c r="S34" s="2">
        <f t="shared" si="17"/>
        <v>0.75806400955767039</v>
      </c>
      <c r="T34" s="2">
        <f t="shared" si="17"/>
        <v>0.76216619609533309</v>
      </c>
      <c r="U34" s="2">
        <f t="shared" si="17"/>
        <v>0.76629058119957782</v>
      </c>
      <c r="V34" s="2">
        <f t="shared" si="17"/>
        <v>0.77043728499569752</v>
      </c>
      <c r="W34" s="2">
        <f t="shared" si="17"/>
        <v>0.77460642825903048</v>
      </c>
      <c r="X34" s="2">
        <f t="shared" si="17"/>
        <v>0.77932502234195133</v>
      </c>
      <c r="Y34" s="2">
        <f t="shared" si="17"/>
        <v>0.78407236022211846</v>
      </c>
      <c r="Z34" s="2">
        <f t="shared" si="17"/>
        <v>0.78884861699530462</v>
      </c>
      <c r="AA34" s="2">
        <f t="shared" si="17"/>
        <v>0.79365396882389749</v>
      </c>
      <c r="AB34" s="2">
        <f t="shared" si="17"/>
        <v>0.79848859294339547</v>
      </c>
      <c r="AC34" s="2">
        <f t="shared" si="17"/>
        <v>0.80364026247505849</v>
      </c>
      <c r="AD34" s="2">
        <f t="shared" si="17"/>
        <v>0.80882516942451044</v>
      </c>
      <c r="AE34" s="2">
        <f t="shared" si="17"/>
        <v>0.81404352823212556</v>
      </c>
      <c r="AF34" s="2">
        <f t="shared" si="17"/>
        <v>0.81929555472179882</v>
      </c>
      <c r="AG34" s="2">
        <f t="shared" si="17"/>
        <v>0.82458146610987348</v>
      </c>
      <c r="AI34" s="182"/>
      <c r="AL34" s="100"/>
      <c r="AM34" s="2"/>
      <c r="AN34" s="2"/>
      <c r="AO34" s="2"/>
    </row>
    <row r="35" spans="1:64" outlineLevel="1">
      <c r="AL35" s="100"/>
      <c r="AM35" s="2"/>
      <c r="AN35" s="2"/>
      <c r="AO35" s="2"/>
    </row>
    <row r="36" spans="1:64" outlineLevel="1">
      <c r="A36" t="s">
        <v>316</v>
      </c>
      <c r="B36" s="50" t="s">
        <v>126</v>
      </c>
      <c r="C36" s="22">
        <f>'Yearly HC Propylene'!D21/'Yearly HC Propylene'!D14</f>
        <v>1</v>
      </c>
      <c r="D36" s="22">
        <f>'Yearly HC Propylene'!E21/'Yearly HC Propylene'!E14</f>
        <v>0.99167399999999994</v>
      </c>
      <c r="E36" s="22">
        <f>'Yearly HC Propylene'!F21/'Yearly HC Propylene'!F14</f>
        <v>0.983348</v>
      </c>
      <c r="F36" s="22">
        <f>'Yearly HC Propylene'!G21/'Yearly HC Propylene'!G14</f>
        <v>0.97502199999999994</v>
      </c>
      <c r="G36" s="22">
        <f>'Yearly HC Propylene'!H21/'Yearly HC Propylene'!H14</f>
        <v>0.966696</v>
      </c>
      <c r="H36" s="22">
        <f>'Yearly HC Propylene'!I21/'Yearly HC Propylene'!I14</f>
        <v>0.95837000000000006</v>
      </c>
      <c r="I36" s="22">
        <f>'Yearly HC Propylene'!J21/'Yearly HC Propylene'!J14</f>
        <v>0.950044</v>
      </c>
      <c r="J36" s="22">
        <f>'Yearly HC Propylene'!K21/'Yearly HC Propylene'!K14</f>
        <v>0.94171799999999994</v>
      </c>
      <c r="K36" s="22">
        <f>'Yearly HC Propylene'!L21/'Yearly HC Propylene'!L14</f>
        <v>0.933392</v>
      </c>
      <c r="L36" s="22">
        <f>'Yearly HC Propylene'!M21/'Yearly HC Propylene'!M14</f>
        <v>0.92506600000000005</v>
      </c>
      <c r="M36" s="22">
        <f>'Yearly HC Propylene'!N21/'Yearly HC Propylene'!N14</f>
        <v>0.91674</v>
      </c>
      <c r="N36" s="22">
        <f>'Yearly HC Propylene'!O21/'Yearly HC Propylene'!O14</f>
        <v>0.90586199999999995</v>
      </c>
      <c r="O36" s="22">
        <f>'Yearly HC Propylene'!P21/'Yearly HC Propylene'!P14</f>
        <v>0.896262</v>
      </c>
      <c r="P36" s="22">
        <f>'Yearly HC Propylene'!Q21/'Yearly HC Propylene'!Q14</f>
        <v>0.88574400000000009</v>
      </c>
      <c r="Q36" s="22">
        <f>'Yearly HC Propylene'!R21/'Yearly HC Propylene'!R14</f>
        <v>0.87522599999999995</v>
      </c>
      <c r="R36" s="22">
        <f>'Yearly HC Propylene'!S21/'Yearly HC Propylene'!S14</f>
        <v>0.86470799999999992</v>
      </c>
      <c r="S36" s="22">
        <f>'Yearly HC Propylene'!T21/'Yearly HC Propylene'!T14</f>
        <v>0.85419</v>
      </c>
      <c r="T36" s="22">
        <f>'Yearly HC Propylene'!U21/'Yearly HC Propylene'!U14</f>
        <v>0.84367199999999987</v>
      </c>
      <c r="U36" s="22">
        <f>'Yearly HC Propylene'!V21/'Yearly HC Propylene'!V14</f>
        <v>0.83315399999999984</v>
      </c>
      <c r="V36" s="22">
        <f>'Yearly HC Propylene'!W21/'Yearly HC Propylene'!W14</f>
        <v>0.82263600000000003</v>
      </c>
      <c r="W36" s="22">
        <f>'Yearly HC Propylene'!X21/'Yearly HC Propylene'!X14</f>
        <v>0.81211800000000012</v>
      </c>
      <c r="X36" s="22">
        <f>'Yearly HC Propylene'!Y21/'Yearly HC Propylene'!Y14</f>
        <v>0.80663200000000013</v>
      </c>
      <c r="Y36" s="22">
        <f>'Yearly HC Propylene'!Z21/'Yearly HC Propylene'!Z14</f>
        <v>0.79978399999999994</v>
      </c>
      <c r="Z36" s="22">
        <f>'Yearly HC Propylene'!AA21/'Yearly HC Propylene'!AA14</f>
        <v>0.79293599999999997</v>
      </c>
      <c r="AA36" s="22">
        <f>'Yearly HC Propylene'!AB21/'Yearly HC Propylene'!AB14</f>
        <v>0.78608800000000001</v>
      </c>
      <c r="AB36" s="22">
        <f>'Yearly HC Propylene'!AC21/'Yearly HC Propylene'!AC14</f>
        <v>0.77924000000000004</v>
      </c>
      <c r="AC36" s="22">
        <f>'Yearly HC Propylene'!AD21/'Yearly HC Propylene'!AD14</f>
        <v>0.77239199999999986</v>
      </c>
      <c r="AD36" s="22">
        <f>'Yearly HC Propylene'!AE21/'Yearly HC Propylene'!AE14</f>
        <v>0.765544</v>
      </c>
      <c r="AE36" s="22">
        <f>'Yearly HC Propylene'!AF21/'Yearly HC Propylene'!AF14</f>
        <v>0.75869599999999993</v>
      </c>
      <c r="AF36" s="22">
        <f>'Yearly HC Propylene'!AG21/'Yearly HC Propylene'!AG14</f>
        <v>0.75184800000000007</v>
      </c>
      <c r="AG36" s="22">
        <f>'Yearly HC Propylene'!AH21/'Yearly HC Propylene'!AH14</f>
        <v>0.745</v>
      </c>
      <c r="AL36" s="100"/>
      <c r="AM36" s="2"/>
      <c r="AN36" s="2"/>
      <c r="AO36" s="2"/>
      <c r="BC36" s="1"/>
      <c r="BD36" s="114"/>
      <c r="BE36" s="114"/>
      <c r="BF36" s="114"/>
      <c r="BG36" s="114"/>
      <c r="BH36" s="114"/>
      <c r="BI36" s="114"/>
      <c r="BJ36" s="114"/>
      <c r="BK36" s="114"/>
    </row>
    <row r="37" spans="1:64" outlineLevel="1">
      <c r="A37" t="s">
        <v>317</v>
      </c>
      <c r="B37" s="50" t="s">
        <v>126</v>
      </c>
      <c r="C37" s="22">
        <f>'Yearly HC Propylene'!D13/'Yearly HC Propylene'!D6</f>
        <v>1</v>
      </c>
      <c r="D37" s="22">
        <f>'Yearly HC Propylene'!E13/'Yearly HC Propylene'!E6</f>
        <v>0.99659614386000006</v>
      </c>
      <c r="E37" s="22">
        <f>'Yearly HC Propylene'!F13/'Yearly HC Propylene'!F6</f>
        <v>0.99318463087999997</v>
      </c>
      <c r="F37" s="22">
        <f>'Yearly HC Propylene'!G13/'Yearly HC Propylene'!G6</f>
        <v>0.98976554422000007</v>
      </c>
      <c r="G37" s="22">
        <f>'Yearly HC Propylene'!H13/'Yearly HC Propylene'!H6</f>
        <v>0.98633896704000001</v>
      </c>
      <c r="H37" s="22">
        <f>'Yearly HC Propylene'!I13/'Yearly HC Propylene'!I6</f>
        <v>0.98290498250000002</v>
      </c>
      <c r="I37" s="22">
        <f>'Yearly HC Propylene'!J13/'Yearly HC Propylene'!J6</f>
        <v>0.97946367375999999</v>
      </c>
      <c r="J37" s="22">
        <f>'Yearly HC Propylene'!K13/'Yearly HC Propylene'!K6</f>
        <v>0.97601512398000001</v>
      </c>
      <c r="K37" s="22">
        <f>'Yearly HC Propylene'!L13/'Yearly HC Propylene'!L6</f>
        <v>0.97255941631999998</v>
      </c>
      <c r="L37" s="22">
        <f>'Yearly HC Propylene'!M13/'Yearly HC Propylene'!M6</f>
        <v>0.96909663394000001</v>
      </c>
      <c r="M37" s="22">
        <f>'Yearly HC Propylene'!N13/'Yearly HC Propylene'!N6</f>
        <v>0.96562685999999998</v>
      </c>
      <c r="N37" s="22">
        <f>'Yearly HC Propylene'!O13/'Yearly HC Propylene'!O6</f>
        <v>0.95424544924999999</v>
      </c>
      <c r="O37" s="22">
        <f>'Yearly HC Propylene'!P13/'Yearly HC Propylene'!P6</f>
        <v>0.94283530240000002</v>
      </c>
      <c r="P37" s="22">
        <f>'Yearly HC Propylene'!Q13/'Yearly HC Propylene'!Q6</f>
        <v>0.93139829055000001</v>
      </c>
      <c r="Q37" s="22">
        <f>'Yearly HC Propylene'!R13/'Yearly HC Propylene'!R6</f>
        <v>0.9199362848</v>
      </c>
      <c r="R37" s="22">
        <f>'Yearly HC Propylene'!S13/'Yearly HC Propylene'!S6</f>
        <v>0.90845115624999995</v>
      </c>
      <c r="S37" s="22">
        <f>'Yearly HC Propylene'!T13/'Yearly HC Propylene'!T6</f>
        <v>0.896944776</v>
      </c>
      <c r="T37" s="22">
        <f>'Yearly HC Propylene'!U13/'Yearly HC Propylene'!U6</f>
        <v>0.88541901514999988</v>
      </c>
      <c r="U37" s="22">
        <f>'Yearly HC Propylene'!V13/'Yearly HC Propylene'!V6</f>
        <v>0.87387574479999997</v>
      </c>
      <c r="V37" s="22">
        <f>'Yearly HC Propylene'!W13/'Yearly HC Propylene'!W6</f>
        <v>0.86231683604999998</v>
      </c>
      <c r="W37" s="22">
        <f>'Yearly HC Propylene'!X13/'Yearly HC Propylene'!X6</f>
        <v>0.85074415999999986</v>
      </c>
      <c r="X37" s="22">
        <f>'Yearly HC Propylene'!Y13/'Yearly HC Propylene'!Y6</f>
        <v>0.82220114324000004</v>
      </c>
      <c r="Y37" s="22">
        <f>'Yearly HC Propylene'!Z13/'Yearly HC Propylene'!Z6</f>
        <v>0.79402206271999998</v>
      </c>
      <c r="Z37" s="22">
        <f>'Yearly HC Propylene'!AA13/'Yearly HC Propylene'!AA6</f>
        <v>0.76621140907999996</v>
      </c>
      <c r="AA37" s="22">
        <f>'Yearly HC Propylene'!AB13/'Yearly HC Propylene'!AB6</f>
        <v>0.73877367295999996</v>
      </c>
      <c r="AB37" s="22">
        <f>'Yearly HC Propylene'!AC13/'Yearly HC Propylene'!AC6</f>
        <v>0.71171334500000005</v>
      </c>
      <c r="AC37" s="22">
        <f>'Yearly HC Propylene'!AD13/'Yearly HC Propylene'!AD6</f>
        <v>0.68503491584000009</v>
      </c>
      <c r="AD37" s="22">
        <f>'Yearly HC Propylene'!AE13/'Yearly HC Propylene'!AE6</f>
        <v>0.65874287612000004</v>
      </c>
      <c r="AE37" s="22">
        <f>'Yearly HC Propylene'!AF13/'Yearly HC Propylene'!AF6</f>
        <v>0.63284171647999998</v>
      </c>
      <c r="AF37" s="22">
        <f>'Yearly HC Propylene'!AG13/'Yearly HC Propylene'!AG6</f>
        <v>0.6073359275600001</v>
      </c>
      <c r="AG37" s="22">
        <f>'Yearly HC Propylene'!AH13/'Yearly HC Propylene'!AH6</f>
        <v>0.58223000000000003</v>
      </c>
      <c r="AL37" s="100"/>
      <c r="AM37" s="2"/>
      <c r="AN37" s="2"/>
      <c r="AO37" s="2"/>
      <c r="BL37" s="1"/>
    </row>
    <row r="38" spans="1:64" outlineLevel="1">
      <c r="A38" t="s">
        <v>318</v>
      </c>
      <c r="B38" s="50" t="s">
        <v>126</v>
      </c>
      <c r="C38" s="22">
        <f>'Yearly HC Propylene'!D25/'Yearly HC Propylene'!D22</f>
        <v>1</v>
      </c>
      <c r="D38" s="22">
        <f>'Yearly HC Propylene'!E25/'Yearly HC Propylene'!E22</f>
        <v>0.98185</v>
      </c>
      <c r="E38" s="22">
        <f>'Yearly HC Propylene'!F25/'Yearly HC Propylene'!F22</f>
        <v>0.9637</v>
      </c>
      <c r="F38" s="22">
        <f>'Yearly HC Propylene'!G25/'Yearly HC Propylene'!G22</f>
        <v>0.94554999999999989</v>
      </c>
      <c r="G38" s="22">
        <f>'Yearly HC Propylene'!H25/'Yearly HC Propylene'!H22</f>
        <v>0.9274</v>
      </c>
      <c r="H38" s="22">
        <f>'Yearly HC Propylene'!I25/'Yearly HC Propylene'!I22</f>
        <v>0.90925</v>
      </c>
      <c r="I38" s="22">
        <f>'Yearly HC Propylene'!J25/'Yearly HC Propylene'!J22</f>
        <v>0.89109999999999989</v>
      </c>
      <c r="J38" s="22">
        <f>'Yearly HC Propylene'!K25/'Yearly HC Propylene'!K22</f>
        <v>0.87295</v>
      </c>
      <c r="K38" s="22">
        <f>'Yearly HC Propylene'!L25/'Yearly HC Propylene'!L22</f>
        <v>0.8548</v>
      </c>
      <c r="L38" s="22">
        <f>'Yearly HC Propylene'!M25/'Yearly HC Propylene'!M22</f>
        <v>0.83665</v>
      </c>
      <c r="M38" s="22">
        <f>'Yearly HC Propylene'!N25/'Yearly HC Propylene'!N22</f>
        <v>0.81850000000000001</v>
      </c>
      <c r="N38" s="22">
        <f>'Yearly HC Propylene'!O25/'Yearly HC Propylene'!O22</f>
        <v>0.80035000000000001</v>
      </c>
      <c r="O38" s="22">
        <f>'Yearly HC Propylene'!P25/'Yearly HC Propylene'!P22</f>
        <v>0.78220000000000001</v>
      </c>
      <c r="P38" s="22">
        <f>'Yearly HC Propylene'!Q25/'Yearly HC Propylene'!Q22</f>
        <v>0.7640499999999999</v>
      </c>
      <c r="Q38" s="22">
        <f>'Yearly HC Propylene'!R25/'Yearly HC Propylene'!R22</f>
        <v>0.74590000000000001</v>
      </c>
      <c r="R38" s="22">
        <f>'Yearly HC Propylene'!S25/'Yearly HC Propylene'!S22</f>
        <v>0.72775000000000001</v>
      </c>
      <c r="S38" s="22">
        <f>'Yearly HC Propylene'!T25/'Yearly HC Propylene'!T22</f>
        <v>0.70960000000000001</v>
      </c>
      <c r="T38" s="22">
        <f>'Yearly HC Propylene'!U25/'Yearly HC Propylene'!U22</f>
        <v>0.69145000000000001</v>
      </c>
      <c r="U38" s="22">
        <f>'Yearly HC Propylene'!V25/'Yearly HC Propylene'!V22</f>
        <v>0.6732999999999999</v>
      </c>
      <c r="V38" s="22">
        <f>'Yearly HC Propylene'!W25/'Yearly HC Propylene'!W22</f>
        <v>0.65515000000000001</v>
      </c>
      <c r="W38" s="22">
        <f>'Yearly HC Propylene'!X25/'Yearly HC Propylene'!X22</f>
        <v>0.63700000000000001</v>
      </c>
      <c r="X38" s="22">
        <f>'Yearly HC Propylene'!Y25/'Yearly HC Propylene'!Y22</f>
        <v>0.61829999999999996</v>
      </c>
      <c r="Y38" s="22">
        <f>'Yearly HC Propylene'!Z25/'Yearly HC Propylene'!Z22</f>
        <v>0.59960000000000002</v>
      </c>
      <c r="Z38" s="22">
        <f>'Yearly HC Propylene'!AA25/'Yearly HC Propylene'!AA22</f>
        <v>0.58089999999999997</v>
      </c>
      <c r="AA38" s="22">
        <f>'Yearly HC Propylene'!AB25/'Yearly HC Propylene'!AB22</f>
        <v>0.56219999999999992</v>
      </c>
      <c r="AB38" s="22">
        <f>'Yearly HC Propylene'!AC25/'Yearly HC Propylene'!AC22</f>
        <v>0.54349999999999998</v>
      </c>
      <c r="AC38" s="22">
        <f>'Yearly HC Propylene'!AD25/'Yearly HC Propylene'!AD22</f>
        <v>0.52479999999999993</v>
      </c>
      <c r="AD38" s="22">
        <f>'Yearly HC Propylene'!AE25/'Yearly HC Propylene'!AE22</f>
        <v>0.50609999999999999</v>
      </c>
      <c r="AE38" s="22">
        <f>'Yearly HC Propylene'!AF25/'Yearly HC Propylene'!AF22</f>
        <v>0.4874</v>
      </c>
      <c r="AF38" s="22">
        <f>'Yearly HC Propylene'!AG25/'Yearly HC Propylene'!AG22</f>
        <v>0.46869999999999989</v>
      </c>
      <c r="AG38" s="22">
        <f>'Yearly HC Propylene'!AH25/'Yearly HC Propylene'!AH22</f>
        <v>0.44999999999999996</v>
      </c>
      <c r="AL38" s="100"/>
      <c r="AM38" s="2"/>
      <c r="AN38" s="2"/>
      <c r="AO38" s="2"/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489</v>
      </c>
      <c r="B39" s="50" t="s">
        <v>126</v>
      </c>
      <c r="C39" s="22" t="s">
        <v>506</v>
      </c>
      <c r="D39" s="22" t="s">
        <v>506</v>
      </c>
      <c r="E39" s="22" t="s">
        <v>506</v>
      </c>
      <c r="F39" s="22" t="s">
        <v>506</v>
      </c>
      <c r="G39" s="22" t="s">
        <v>506</v>
      </c>
      <c r="H39" s="22" t="s">
        <v>506</v>
      </c>
      <c r="I39" s="22" t="s">
        <v>506</v>
      </c>
      <c r="J39" s="22" t="s">
        <v>506</v>
      </c>
      <c r="K39" s="22" t="s">
        <v>506</v>
      </c>
      <c r="L39" s="22" t="s">
        <v>506</v>
      </c>
      <c r="M39" s="22" t="s">
        <v>506</v>
      </c>
      <c r="N39" s="22" t="s">
        <v>506</v>
      </c>
      <c r="O39" s="22" t="s">
        <v>506</v>
      </c>
      <c r="P39" s="22" t="s">
        <v>506</v>
      </c>
      <c r="Q39" s="22" t="s">
        <v>506</v>
      </c>
      <c r="R39" s="22" t="s">
        <v>506</v>
      </c>
      <c r="S39" s="22" t="s">
        <v>506</v>
      </c>
      <c r="T39" s="22" t="s">
        <v>506</v>
      </c>
      <c r="U39" s="22" t="s">
        <v>506</v>
      </c>
      <c r="V39" s="22" t="s">
        <v>506</v>
      </c>
      <c r="W39" s="22" t="s">
        <v>506</v>
      </c>
      <c r="X39" s="22" t="s">
        <v>506</v>
      </c>
      <c r="Y39" s="22" t="s">
        <v>506</v>
      </c>
      <c r="Z39" s="22" t="s">
        <v>506</v>
      </c>
      <c r="AA39" s="22" t="s">
        <v>506</v>
      </c>
      <c r="AB39" s="22" t="s">
        <v>506</v>
      </c>
      <c r="AC39" s="22" t="s">
        <v>506</v>
      </c>
      <c r="AD39" s="22" t="s">
        <v>506</v>
      </c>
      <c r="AE39" s="22" t="s">
        <v>506</v>
      </c>
      <c r="AF39" s="22" t="s">
        <v>506</v>
      </c>
      <c r="AG39" s="22" t="s">
        <v>506</v>
      </c>
      <c r="AL39" s="100"/>
      <c r="AM39" s="2"/>
      <c r="AN39" s="2"/>
      <c r="AO39" s="2"/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319</v>
      </c>
      <c r="B40" s="156" t="s">
        <v>126</v>
      </c>
      <c r="C40" s="102">
        <f>'Yearly HC Propylene'!D35/'Yearly HC Propylene'!D32</f>
        <v>1</v>
      </c>
      <c r="D40" s="102">
        <f>'Yearly HC Propylene'!E35/'Yearly HC Propylene'!E32</f>
        <v>0.99340000000000006</v>
      </c>
      <c r="E40" s="102">
        <f>'Yearly HC Propylene'!F35/'Yearly HC Propylene'!F32</f>
        <v>0.98680000000000001</v>
      </c>
      <c r="F40" s="102">
        <f>'Yearly HC Propylene'!G35/'Yearly HC Propylene'!G32</f>
        <v>0.98019999999999996</v>
      </c>
      <c r="G40" s="102">
        <f>'Yearly HC Propylene'!H35/'Yearly HC Propylene'!H32</f>
        <v>0.97360000000000002</v>
      </c>
      <c r="H40" s="102">
        <f>'Yearly HC Propylene'!I35/'Yearly HC Propylene'!I32</f>
        <v>0.96700000000000008</v>
      </c>
      <c r="I40" s="102">
        <f>'Yearly HC Propylene'!J35/'Yearly HC Propylene'!J32</f>
        <v>0.96039999999999992</v>
      </c>
      <c r="J40" s="102">
        <f>'Yearly HC Propylene'!K35/'Yearly HC Propylene'!K32</f>
        <v>0.95379999999999998</v>
      </c>
      <c r="K40" s="102">
        <f>'Yearly HC Propylene'!L35/'Yearly HC Propylene'!L32</f>
        <v>0.94720000000000015</v>
      </c>
      <c r="L40" s="102">
        <f>'Yearly HC Propylene'!M35/'Yearly HC Propylene'!M32</f>
        <v>0.94059999999999999</v>
      </c>
      <c r="M40" s="102">
        <f>'Yearly HC Propylene'!N35/'Yearly HC Propylene'!N32</f>
        <v>0.93399999999999983</v>
      </c>
      <c r="N40" s="102">
        <f>'Yearly HC Propylene'!O35/'Yearly HC Propylene'!O32</f>
        <v>0.92740000000000011</v>
      </c>
      <c r="O40" s="102">
        <f>'Yearly HC Propylene'!P35/'Yearly HC Propylene'!P32</f>
        <v>0.92079999999999995</v>
      </c>
      <c r="P40" s="102">
        <f>'Yearly HC Propylene'!Q35/'Yearly HC Propylene'!Q32</f>
        <v>0.91420000000000001</v>
      </c>
      <c r="Q40" s="102">
        <f>'Yearly HC Propylene'!R35/'Yearly HC Propylene'!R32</f>
        <v>0.90760000000000018</v>
      </c>
      <c r="R40" s="102">
        <f>'Yearly HC Propylene'!S35/'Yearly HC Propylene'!S32</f>
        <v>0.90100000000000002</v>
      </c>
      <c r="S40" s="102">
        <f>'Yearly HC Propylene'!T35/'Yearly HC Propylene'!T32</f>
        <v>0.89439999999999997</v>
      </c>
      <c r="T40" s="102">
        <f>'Yearly HC Propylene'!U35/'Yearly HC Propylene'!U32</f>
        <v>0.88780000000000003</v>
      </c>
      <c r="U40" s="102">
        <f>'Yearly HC Propylene'!V35/'Yearly HC Propylene'!V32</f>
        <v>0.88119999999999998</v>
      </c>
      <c r="V40" s="102">
        <f>'Yearly HC Propylene'!W35/'Yearly HC Propylene'!W32</f>
        <v>0.87459999999999993</v>
      </c>
      <c r="W40" s="102">
        <f>'Yearly HC Propylene'!X35/'Yearly HC Propylene'!X32</f>
        <v>0.8680000000000001</v>
      </c>
      <c r="X40" s="102">
        <f>'Yearly HC Propylene'!Y35/'Yearly HC Propylene'!Y32</f>
        <v>0.86119999999999997</v>
      </c>
      <c r="Y40" s="102">
        <f>'Yearly HC Propylene'!Z35/'Yearly HC Propylene'!Z32</f>
        <v>0.85440000000000005</v>
      </c>
      <c r="Z40" s="102">
        <f>'Yearly HC Propylene'!AA35/'Yearly HC Propylene'!AA32</f>
        <v>0.84759999999999991</v>
      </c>
      <c r="AA40" s="102">
        <f>'Yearly HC Propylene'!AB35/'Yearly HC Propylene'!AB32</f>
        <v>0.84079999999999999</v>
      </c>
      <c r="AB40" s="102">
        <f>'Yearly HC Propylene'!AC35/'Yearly HC Propylene'!AC32</f>
        <v>0.83399999999999996</v>
      </c>
      <c r="AC40" s="102">
        <f>'Yearly HC Propylene'!AD35/'Yearly HC Propylene'!AD32</f>
        <v>0.82719999999999994</v>
      </c>
      <c r="AD40" s="102">
        <f>'Yearly HC Propylene'!AE35/'Yearly HC Propylene'!AE32</f>
        <v>0.82039999999999991</v>
      </c>
      <c r="AE40" s="102">
        <f>'Yearly HC Propylene'!AF35/'Yearly HC Propylene'!AF32</f>
        <v>0.81359999999999999</v>
      </c>
      <c r="AF40" s="102">
        <f>'Yearly HC Propylene'!AG35/'Yearly HC Propylene'!AG32</f>
        <v>0.80679999999999996</v>
      </c>
      <c r="AG40" s="102">
        <f>'Yearly HC Propylene'!AH35/'Yearly HC Propylene'!AH32</f>
        <v>0.8</v>
      </c>
      <c r="AI40" s="122"/>
      <c r="AL40" s="100"/>
      <c r="AM40" s="2"/>
      <c r="AN40" s="2"/>
      <c r="AO40" s="2"/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I41" t="s">
        <v>406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320</v>
      </c>
      <c r="B42" s="50" t="s">
        <v>312</v>
      </c>
      <c r="C42" s="99">
        <f>C24*C36</f>
        <v>1380521.2058671515</v>
      </c>
      <c r="D42" s="99">
        <f t="shared" ref="D42:AF42" si="18">D24*D36</f>
        <v>1366004.7568143278</v>
      </c>
      <c r="E42" s="99">
        <f t="shared" si="18"/>
        <v>1351545.6722426184</v>
      </c>
      <c r="F42" s="99">
        <f t="shared" si="18"/>
        <v>1337143.769623524</v>
      </c>
      <c r="G42" s="99">
        <f t="shared" si="18"/>
        <v>1322798.8669548754</v>
      </c>
      <c r="H42" s="99">
        <f t="shared" si="18"/>
        <v>1308510.7827594022</v>
      </c>
      <c r="I42" s="99">
        <f t="shared" si="18"/>
        <v>1294279.336083299</v>
      </c>
      <c r="J42" s="99">
        <f t="shared" si="18"/>
        <v>1280104.3464948006</v>
      </c>
      <c r="K42" s="99">
        <f t="shared" si="18"/>
        <v>1265985.6340827593</v>
      </c>
      <c r="L42" s="99">
        <f t="shared" si="18"/>
        <v>1251923.0194552238</v>
      </c>
      <c r="M42" s="99">
        <f t="shared" si="18"/>
        <v>1237916.3237380253</v>
      </c>
      <c r="N42" s="99">
        <f t="shared" si="18"/>
        <v>1220526.8927015713</v>
      </c>
      <c r="O42" s="99">
        <f t="shared" si="18"/>
        <v>1204926.3371312958</v>
      </c>
      <c r="P42" s="99">
        <f t="shared" si="18"/>
        <v>1188157.2860256329</v>
      </c>
      <c r="Q42" s="99">
        <f t="shared" si="18"/>
        <v>1171456.4007178654</v>
      </c>
      <c r="R42" s="99">
        <f t="shared" si="18"/>
        <v>1154823.4619678652</v>
      </c>
      <c r="S42" s="99">
        <f t="shared" si="18"/>
        <v>1138258.2511712827</v>
      </c>
      <c r="T42" s="99">
        <f t="shared" si="18"/>
        <v>1121760.55035781</v>
      </c>
      <c r="U42" s="99">
        <f t="shared" si="18"/>
        <v>1105330.1421894452</v>
      </c>
      <c r="V42" s="99">
        <f t="shared" si="18"/>
        <v>1088966.8099587662</v>
      </c>
      <c r="W42" s="99">
        <f t="shared" si="18"/>
        <v>1072670.3375872013</v>
      </c>
      <c r="X42" s="99">
        <f t="shared" si="18"/>
        <v>1063072.2569342204</v>
      </c>
      <c r="Y42" s="99">
        <f t="shared" si="18"/>
        <v>1051720.2883352572</v>
      </c>
      <c r="Z42" s="99">
        <f t="shared" si="18"/>
        <v>1040413.2596141576</v>
      </c>
      <c r="AA42" s="99">
        <f t="shared" si="18"/>
        <v>1029151.0276771676</v>
      </c>
      <c r="AB42" s="99">
        <f t="shared" si="18"/>
        <v>1017933.4498433041</v>
      </c>
      <c r="AC42" s="99">
        <f t="shared" si="18"/>
        <v>1006760.3838432303</v>
      </c>
      <c r="AD42" s="99">
        <f t="shared" si="18"/>
        <v>995631.68781813351</v>
      </c>
      <c r="AE42" s="99">
        <f t="shared" si="18"/>
        <v>984547.2203186038</v>
      </c>
      <c r="AF42" s="99">
        <f t="shared" si="18"/>
        <v>973506.8403035216</v>
      </c>
      <c r="AG42" s="99">
        <f>AG24*AG36</f>
        <v>962510.40713894065</v>
      </c>
      <c r="AI42" s="184" t="s">
        <v>285</v>
      </c>
      <c r="AJ42" s="185" t="s">
        <v>407</v>
      </c>
      <c r="BD42" s="37"/>
      <c r="BE42" s="37"/>
      <c r="BF42" s="37"/>
      <c r="BG42" s="37"/>
      <c r="BH42" s="37"/>
      <c r="BI42" s="37"/>
      <c r="BJ42" s="37"/>
      <c r="BK42" s="37"/>
      <c r="BL42" s="110"/>
    </row>
    <row r="43" spans="1:64" outlineLevel="1">
      <c r="A43" t="s">
        <v>321</v>
      </c>
      <c r="B43" s="50" t="s">
        <v>312</v>
      </c>
      <c r="C43" s="99">
        <f>C25*$C$37</f>
        <v>87727.100543358742</v>
      </c>
      <c r="D43" s="99">
        <f t="shared" ref="D43:O43" si="19">D25*$C$37</f>
        <v>87533.436405814733</v>
      </c>
      <c r="E43" s="99">
        <f t="shared" si="19"/>
        <v>87340.199796342858</v>
      </c>
      <c r="F43" s="99">
        <f t="shared" si="19"/>
        <v>87147.389771142945</v>
      </c>
      <c r="G43" s="99">
        <f t="shared" si="19"/>
        <v>86955.005388498277</v>
      </c>
      <c r="H43" s="99">
        <f t="shared" si="19"/>
        <v>86763.045708771082</v>
      </c>
      <c r="I43" s="99">
        <f t="shared" si="19"/>
        <v>86571.509794397891</v>
      </c>
      <c r="J43" s="99">
        <f t="shared" si="19"/>
        <v>86380.396709884983</v>
      </c>
      <c r="K43" s="99">
        <f t="shared" si="19"/>
        <v>86189.7055218038</v>
      </c>
      <c r="L43" s="99">
        <f t="shared" si="19"/>
        <v>85999.435298786411</v>
      </c>
      <c r="M43" s="99">
        <f t="shared" si="19"/>
        <v>85809.585111520966</v>
      </c>
      <c r="N43" s="99">
        <f t="shared" si="19"/>
        <v>85620.154032747101</v>
      </c>
      <c r="O43" s="99">
        <f t="shared" si="19"/>
        <v>85431.141137251441</v>
      </c>
      <c r="P43" s="99">
        <f>D37*P25</f>
        <v>84952.392139967429</v>
      </c>
      <c r="Q43" s="99">
        <f t="shared" ref="Q43:AF43" si="20">E37*Q25</f>
        <v>84474.689304491534</v>
      </c>
      <c r="R43" s="99">
        <f t="shared" si="20"/>
        <v>83998.038840176436</v>
      </c>
      <c r="S43" s="99">
        <f t="shared" si="20"/>
        <v>83522.446889527433</v>
      </c>
      <c r="T43" s="99">
        <f t="shared" si="20"/>
        <v>83047.919528577608</v>
      </c>
      <c r="U43" s="99">
        <f t="shared" si="20"/>
        <v>82574.462767261241</v>
      </c>
      <c r="V43" s="99">
        <f t="shared" si="20"/>
        <v>82102.082549785569</v>
      </c>
      <c r="W43" s="99">
        <f t="shared" si="20"/>
        <v>81630.784755000917</v>
      </c>
      <c r="X43" s="99">
        <f t="shared" si="20"/>
        <v>81160.575196769249</v>
      </c>
      <c r="Y43" s="99">
        <f t="shared" si="20"/>
        <v>80691.459624330993</v>
      </c>
      <c r="Z43" s="99">
        <f t="shared" si="20"/>
        <v>79564.352710199833</v>
      </c>
      <c r="AA43" s="99">
        <f t="shared" si="20"/>
        <v>78439.438193446011</v>
      </c>
      <c r="AB43" s="99">
        <f t="shared" si="20"/>
        <v>77316.872487825822</v>
      </c>
      <c r="AC43" s="99">
        <f t="shared" si="20"/>
        <v>76196.810608395797</v>
      </c>
      <c r="AD43" s="99">
        <f t="shared" si="20"/>
        <v>75079.406179222424</v>
      </c>
      <c r="AE43" s="99">
        <f t="shared" si="20"/>
        <v>73964.81144105806</v>
      </c>
      <c r="AF43" s="99">
        <f t="shared" si="20"/>
        <v>72853.177258982774</v>
      </c>
      <c r="AG43" s="99">
        <f>U37*AG25</f>
        <v>71744.653130012739</v>
      </c>
      <c r="AI43" s="184" t="s">
        <v>286</v>
      </c>
      <c r="AJ43" s="185" t="s">
        <v>407</v>
      </c>
      <c r="BD43" s="37"/>
      <c r="BE43" s="37"/>
      <c r="BF43" s="37"/>
      <c r="BG43" s="37"/>
      <c r="BH43" s="37"/>
      <c r="BI43" s="37"/>
      <c r="BJ43" s="37"/>
      <c r="BK43" s="37"/>
      <c r="BL43" s="110"/>
    </row>
    <row r="44" spans="1:64" outlineLevel="1">
      <c r="A44" t="s">
        <v>322</v>
      </c>
      <c r="B44" s="50" t="s">
        <v>312</v>
      </c>
      <c r="C44" s="99">
        <f>C26</f>
        <v>60198.916928472419</v>
      </c>
      <c r="D44" s="99">
        <f t="shared" ref="D44:AG44" si="21">D26</f>
        <v>60066.023315713908</v>
      </c>
      <c r="E44" s="99">
        <f t="shared" si="21"/>
        <v>59933.423075547675</v>
      </c>
      <c r="F44" s="99">
        <f t="shared" si="21"/>
        <v>59801.115560331789</v>
      </c>
      <c r="G44" s="99">
        <f t="shared" si="21"/>
        <v>59669.100123854005</v>
      </c>
      <c r="H44" s="99">
        <f t="shared" si="21"/>
        <v>59537.376121328663</v>
      </c>
      <c r="I44" s="99">
        <f t="shared" si="21"/>
        <v>59405.942909393518</v>
      </c>
      <c r="J44" s="99">
        <f t="shared" si="21"/>
        <v>59274.799846106594</v>
      </c>
      <c r="K44" s="99">
        <f t="shared" si="21"/>
        <v>59143.946290943022</v>
      </c>
      <c r="L44" s="99">
        <f t="shared" si="21"/>
        <v>59013.381604791975</v>
      </c>
      <c r="M44" s="99">
        <f t="shared" si="21"/>
        <v>58883.105149953488</v>
      </c>
      <c r="N44" s="99">
        <f t="shared" si="21"/>
        <v>58753.116290135389</v>
      </c>
      <c r="O44" s="99">
        <f t="shared" si="21"/>
        <v>58623.414390450147</v>
      </c>
      <c r="P44" s="99">
        <f t="shared" si="21"/>
        <v>58493.998817411797</v>
      </c>
      <c r="Q44" s="99">
        <f t="shared" si="21"/>
        <v>58364.868938932836</v>
      </c>
      <c r="R44" s="99">
        <f t="shared" si="21"/>
        <v>58236.024124321171</v>
      </c>
      <c r="S44" s="99">
        <f t="shared" si="21"/>
        <v>58107.463744276982</v>
      </c>
      <c r="T44" s="99">
        <f t="shared" si="21"/>
        <v>57979.187170889672</v>
      </c>
      <c r="U44" s="99">
        <f t="shared" si="21"/>
        <v>57851.193777634835</v>
      </c>
      <c r="V44" s="99">
        <f t="shared" si="21"/>
        <v>57723.482939371126</v>
      </c>
      <c r="W44" s="99">
        <f t="shared" si="21"/>
        <v>57596.054032337262</v>
      </c>
      <c r="X44" s="99">
        <f t="shared" si="21"/>
        <v>57468.906434148965</v>
      </c>
      <c r="Y44" s="99">
        <f t="shared" si="21"/>
        <v>57342.039523795916</v>
      </c>
      <c r="Z44" s="99">
        <f t="shared" si="21"/>
        <v>57215.452681638715</v>
      </c>
      <c r="AA44" s="99">
        <f t="shared" si="21"/>
        <v>57089.145289405875</v>
      </c>
      <c r="AB44" s="99">
        <f t="shared" si="21"/>
        <v>56963.116730190784</v>
      </c>
      <c r="AC44" s="99">
        <f t="shared" si="21"/>
        <v>56837.366388448674</v>
      </c>
      <c r="AD44" s="99">
        <f t="shared" si="21"/>
        <v>56711.893649993675</v>
      </c>
      <c r="AE44" s="99">
        <f t="shared" si="21"/>
        <v>56586.697901995765</v>
      </c>
      <c r="AF44" s="99">
        <f t="shared" si="21"/>
        <v>56461.778532977776</v>
      </c>
      <c r="AG44" s="99">
        <f t="shared" si="21"/>
        <v>56337.134932812442</v>
      </c>
      <c r="AI44" s="184" t="s">
        <v>287</v>
      </c>
      <c r="AJ44" s="185" t="s">
        <v>407</v>
      </c>
      <c r="BD44" s="37"/>
      <c r="BE44" s="37"/>
      <c r="BF44" s="37"/>
      <c r="BG44" s="37"/>
      <c r="BH44" s="37"/>
      <c r="BI44" s="37"/>
      <c r="BJ44" s="37"/>
      <c r="BK44" s="37"/>
      <c r="BL44" s="110"/>
    </row>
    <row r="45" spans="1:64" outlineLevel="1">
      <c r="A45" t="s">
        <v>323</v>
      </c>
      <c r="B45" s="50" t="s">
        <v>312</v>
      </c>
      <c r="C45" s="78">
        <v>0</v>
      </c>
      <c r="D45" s="78">
        <v>0</v>
      </c>
      <c r="E45" s="78">
        <v>0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0</v>
      </c>
      <c r="P45" s="78">
        <v>0</v>
      </c>
      <c r="Q45" s="78">
        <v>0</v>
      </c>
      <c r="R45" s="78">
        <v>0</v>
      </c>
      <c r="S45" s="78">
        <v>0</v>
      </c>
      <c r="T45" s="78">
        <v>0</v>
      </c>
      <c r="U45" s="78">
        <v>0</v>
      </c>
      <c r="V45" s="78">
        <v>0</v>
      </c>
      <c r="W45" s="78">
        <v>0</v>
      </c>
      <c r="X45" s="78">
        <v>0</v>
      </c>
      <c r="Y45" s="78">
        <v>0</v>
      </c>
      <c r="Z45" s="78">
        <v>0</v>
      </c>
      <c r="AA45" s="78">
        <v>0</v>
      </c>
      <c r="AB45" s="78">
        <v>0</v>
      </c>
      <c r="AC45" s="78">
        <v>0</v>
      </c>
      <c r="AD45" s="78">
        <v>0</v>
      </c>
      <c r="AE45" s="78">
        <v>0</v>
      </c>
      <c r="AF45" s="78">
        <v>0</v>
      </c>
      <c r="AG45" s="78">
        <v>0</v>
      </c>
      <c r="AI45" s="184" t="s">
        <v>288</v>
      </c>
      <c r="AJ45" s="185" t="s">
        <v>407</v>
      </c>
      <c r="AL45" s="5"/>
      <c r="AM45" s="101"/>
      <c r="AN45" s="101"/>
      <c r="AO45" s="101"/>
      <c r="BC45" s="1"/>
      <c r="BD45" s="110"/>
      <c r="BE45" s="110"/>
      <c r="BF45" s="110"/>
      <c r="BG45" s="110"/>
      <c r="BH45" s="110"/>
      <c r="BI45" s="110"/>
      <c r="BJ45" s="110"/>
      <c r="BK45" s="110"/>
      <c r="BL45" s="110"/>
    </row>
    <row r="46" spans="1:64" outlineLevel="1">
      <c r="A46" s="160" t="s">
        <v>324</v>
      </c>
      <c r="B46" s="156" t="s">
        <v>312</v>
      </c>
      <c r="C46" s="99">
        <f>(C28+C27)*$C$40</f>
        <v>757590.2402893164</v>
      </c>
      <c r="D46" s="99">
        <f t="shared" ref="D46:H46" si="22">(D28+D27)*$C$40</f>
        <v>755917.80315656425</v>
      </c>
      <c r="E46" s="99">
        <f t="shared" si="22"/>
        <v>754249.058053902</v>
      </c>
      <c r="F46" s="99">
        <f t="shared" si="22"/>
        <v>752583.99683089717</v>
      </c>
      <c r="G46" s="99">
        <f t="shared" si="22"/>
        <v>750922.61135510972</v>
      </c>
      <c r="H46" s="99">
        <f t="shared" si="22"/>
        <v>749264.89351205248</v>
      </c>
      <c r="I46" s="99">
        <f>(I28+I27)*D40</f>
        <v>742676.60369279829</v>
      </c>
      <c r="J46" s="99">
        <f t="shared" ref="J46:AG46" si="23">(J28+J27)*E40</f>
        <v>736113.75070141361</v>
      </c>
      <c r="K46" s="99">
        <f t="shared" si="23"/>
        <v>729576.25433778029</v>
      </c>
      <c r="L46" s="99">
        <f t="shared" si="23"/>
        <v>723064.03463191283</v>
      </c>
      <c r="M46" s="99">
        <f t="shared" si="23"/>
        <v>716577.01184333162</v>
      </c>
      <c r="N46" s="99">
        <f t="shared" si="23"/>
        <v>710115.10646044055</v>
      </c>
      <c r="O46" s="99">
        <f t="shared" si="23"/>
        <v>703678.23919990566</v>
      </c>
      <c r="P46" s="99">
        <f t="shared" si="23"/>
        <v>697266.33100603241</v>
      </c>
      <c r="Q46" s="99">
        <f t="shared" si="23"/>
        <v>690879.3030501497</v>
      </c>
      <c r="R46" s="99">
        <f t="shared" si="23"/>
        <v>684517.07672999124</v>
      </c>
      <c r="S46" s="99">
        <f t="shared" si="23"/>
        <v>678179.57366908074</v>
      </c>
      <c r="T46" s="99">
        <f t="shared" si="23"/>
        <v>671866.71571611718</v>
      </c>
      <c r="U46" s="99">
        <f t="shared" si="23"/>
        <v>665578.42494436388</v>
      </c>
      <c r="V46" s="99">
        <f t="shared" si="23"/>
        <v>659314.62365103688</v>
      </c>
      <c r="W46" s="99">
        <f t="shared" si="23"/>
        <v>653075.23435669637</v>
      </c>
      <c r="X46" s="99">
        <f t="shared" si="23"/>
        <v>646860.17980463931</v>
      </c>
      <c r="Y46" s="99">
        <f t="shared" si="23"/>
        <v>640669.38296029309</v>
      </c>
      <c r="Z46" s="99">
        <f t="shared" si="23"/>
        <v>634502.7670106123</v>
      </c>
      <c r="AA46" s="99">
        <f t="shared" si="23"/>
        <v>628360.25536347437</v>
      </c>
      <c r="AB46" s="99">
        <f t="shared" si="23"/>
        <v>622241.77164708101</v>
      </c>
      <c r="AC46" s="99">
        <f t="shared" si="23"/>
        <v>616004.18253737758</v>
      </c>
      <c r="AD46" s="99">
        <f t="shared" si="23"/>
        <v>609791.10089221178</v>
      </c>
      <c r="AE46" s="99">
        <f t="shared" si="23"/>
        <v>603602.44890564319</v>
      </c>
      <c r="AF46" s="99">
        <f t="shared" si="23"/>
        <v>597438.14899582241</v>
      </c>
      <c r="AG46" s="99">
        <f t="shared" si="23"/>
        <v>591298.1238043803</v>
      </c>
      <c r="AI46" s="184" t="s">
        <v>288</v>
      </c>
      <c r="AJ46" s="185" t="s">
        <v>407</v>
      </c>
      <c r="AL46" s="100"/>
      <c r="AM46" s="2"/>
      <c r="AN46" s="2"/>
      <c r="AO46" s="2"/>
    </row>
    <row r="47" spans="1:64" s="1" customFormat="1" ht="15.5" thickBot="1">
      <c r="A47" s="174" t="s">
        <v>490</v>
      </c>
      <c r="B47" s="189" t="s">
        <v>312</v>
      </c>
      <c r="C47" s="190">
        <f>SUM(C42:C46)</f>
        <v>2286037.4636282991</v>
      </c>
      <c r="D47" s="190">
        <f t="shared" ref="D47:AF47" si="24">SUM(D42:D46)</f>
        <v>2269522.019692421</v>
      </c>
      <c r="E47" s="190">
        <f t="shared" si="24"/>
        <v>2253068.3531684107</v>
      </c>
      <c r="F47" s="190">
        <f t="shared" si="24"/>
        <v>2236676.2717858963</v>
      </c>
      <c r="G47" s="190">
        <f t="shared" si="24"/>
        <v>2220345.5838223374</v>
      </c>
      <c r="H47" s="190">
        <f t="shared" si="24"/>
        <v>2204076.0981015544</v>
      </c>
      <c r="I47" s="190">
        <f t="shared" si="24"/>
        <v>2182933.3924798886</v>
      </c>
      <c r="J47" s="190">
        <f t="shared" si="24"/>
        <v>2161873.293752206</v>
      </c>
      <c r="K47" s="190">
        <f t="shared" si="24"/>
        <v>2140895.5402332866</v>
      </c>
      <c r="L47" s="190">
        <f t="shared" si="24"/>
        <v>2119999.870990715</v>
      </c>
      <c r="M47" s="190">
        <f t="shared" si="24"/>
        <v>2099186.0258428315</v>
      </c>
      <c r="N47" s="190">
        <f t="shared" si="24"/>
        <v>2075015.2694848944</v>
      </c>
      <c r="O47" s="190">
        <f t="shared" si="24"/>
        <v>2052659.131858903</v>
      </c>
      <c r="P47" s="190">
        <f t="shared" si="24"/>
        <v>2028870.0079890445</v>
      </c>
      <c r="Q47" s="190">
        <f t="shared" si="24"/>
        <v>2005175.2620114395</v>
      </c>
      <c r="R47" s="190">
        <f t="shared" si="24"/>
        <v>1981574.6016623541</v>
      </c>
      <c r="S47" s="190">
        <f t="shared" si="24"/>
        <v>1958067.7354741679</v>
      </c>
      <c r="T47" s="190">
        <f t="shared" si="24"/>
        <v>1934654.3727733945</v>
      </c>
      <c r="U47" s="190">
        <f t="shared" si="24"/>
        <v>1911334.2236787053</v>
      </c>
      <c r="V47" s="190">
        <f t="shared" si="24"/>
        <v>1888106.9990989598</v>
      </c>
      <c r="W47" s="190">
        <f t="shared" si="24"/>
        <v>1864972.4107312355</v>
      </c>
      <c r="X47" s="190">
        <f t="shared" si="24"/>
        <v>1848561.918369778</v>
      </c>
      <c r="Y47" s="190">
        <f t="shared" si="24"/>
        <v>1830423.1704436773</v>
      </c>
      <c r="Z47" s="190">
        <f t="shared" si="24"/>
        <v>1811695.8320166087</v>
      </c>
      <c r="AA47" s="190">
        <f t="shared" si="24"/>
        <v>1793039.8665234938</v>
      </c>
      <c r="AB47" s="190">
        <f t="shared" si="24"/>
        <v>1774455.2107084019</v>
      </c>
      <c r="AC47" s="190">
        <f t="shared" si="24"/>
        <v>1755798.7433774525</v>
      </c>
      <c r="AD47" s="190">
        <f t="shared" si="24"/>
        <v>1737214.0885395615</v>
      </c>
      <c r="AE47" s="190">
        <f t="shared" si="24"/>
        <v>1718701.178567301</v>
      </c>
      <c r="AF47" s="190">
        <f t="shared" si="24"/>
        <v>1700259.9450913044</v>
      </c>
      <c r="AG47" s="190">
        <f>SUM(AG42:AG46)</f>
        <v>1681890.3190061464</v>
      </c>
      <c r="AJ47" s="142"/>
      <c r="AL47" s="194"/>
      <c r="AM47" s="116"/>
      <c r="AN47" s="116"/>
      <c r="AO47" s="116"/>
    </row>
    <row r="48" spans="1:64" ht="15.5" thickTop="1">
      <c r="B48" s="156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L48" s="100"/>
      <c r="AM48" s="2"/>
      <c r="AN48" s="2"/>
      <c r="AO48" s="2"/>
    </row>
    <row r="49" spans="1:63" s="174" customFormat="1" ht="15.5" thickBot="1">
      <c r="A49" s="174" t="s">
        <v>416</v>
      </c>
      <c r="B49" s="189" t="s">
        <v>126</v>
      </c>
      <c r="C49" s="195">
        <f>C52</f>
        <v>0.25</v>
      </c>
      <c r="D49" s="195">
        <f t="shared" ref="D49:AG49" si="25">D52</f>
        <v>0.26498239436619719</v>
      </c>
      <c r="E49" s="195">
        <f t="shared" si="25"/>
        <v>0.27996478873239439</v>
      </c>
      <c r="F49" s="195">
        <f t="shared" si="25"/>
        <v>0.29494718309859158</v>
      </c>
      <c r="G49" s="195">
        <f t="shared" si="25"/>
        <v>0.30992957746478877</v>
      </c>
      <c r="H49" s="195">
        <f t="shared" si="25"/>
        <v>0.32491197183098597</v>
      </c>
      <c r="I49" s="195">
        <f t="shared" si="25"/>
        <v>0.33989436619718311</v>
      </c>
      <c r="J49" s="195">
        <f t="shared" si="25"/>
        <v>0.3548767605633803</v>
      </c>
      <c r="K49" s="195">
        <f t="shared" si="25"/>
        <v>0.36985915492957749</v>
      </c>
      <c r="L49" s="195">
        <f t="shared" si="25"/>
        <v>0.38484154929577463</v>
      </c>
      <c r="M49" s="195">
        <f t="shared" si="25"/>
        <v>0.39982394366197183</v>
      </c>
      <c r="N49" s="195">
        <f t="shared" si="25"/>
        <v>0.40988952464788736</v>
      </c>
      <c r="O49" s="195">
        <f t="shared" si="25"/>
        <v>0.41995510563380289</v>
      </c>
      <c r="P49" s="195">
        <f t="shared" si="25"/>
        <v>0.43002068661971832</v>
      </c>
      <c r="Q49" s="195">
        <f t="shared" si="25"/>
        <v>0.4400862676056338</v>
      </c>
      <c r="R49" s="195">
        <f t="shared" si="25"/>
        <v>0.45015184859154933</v>
      </c>
      <c r="S49" s="195">
        <f t="shared" si="25"/>
        <v>0.46021742957746481</v>
      </c>
      <c r="T49" s="195">
        <f t="shared" si="25"/>
        <v>0.47028301056338029</v>
      </c>
      <c r="U49" s="195">
        <f t="shared" si="25"/>
        <v>0.48034859154929577</v>
      </c>
      <c r="V49" s="195">
        <f t="shared" si="25"/>
        <v>0.49041417253521125</v>
      </c>
      <c r="W49" s="195">
        <f t="shared" si="25"/>
        <v>0.50047975352112672</v>
      </c>
      <c r="X49" s="195">
        <f t="shared" si="25"/>
        <v>0.51595810959507049</v>
      </c>
      <c r="Y49" s="195">
        <f t="shared" si="25"/>
        <v>0.53143646566901404</v>
      </c>
      <c r="Z49" s="195">
        <f t="shared" si="25"/>
        <v>0.5469148217429578</v>
      </c>
      <c r="AA49" s="195">
        <f t="shared" si="25"/>
        <v>0.56239317781690135</v>
      </c>
      <c r="AB49" s="195">
        <f t="shared" si="25"/>
        <v>0.57787153389084511</v>
      </c>
      <c r="AC49" s="195">
        <f t="shared" si="25"/>
        <v>0.59334988996478877</v>
      </c>
      <c r="AD49" s="195">
        <f t="shared" si="25"/>
        <v>0.60882824603873242</v>
      </c>
      <c r="AE49" s="195">
        <f t="shared" si="25"/>
        <v>0.62430660211267608</v>
      </c>
      <c r="AF49" s="195">
        <f t="shared" si="25"/>
        <v>0.63978495818661973</v>
      </c>
      <c r="AG49" s="195">
        <f t="shared" si="25"/>
        <v>0.65526331426056339</v>
      </c>
      <c r="AJ49" s="204" t="s">
        <v>491</v>
      </c>
      <c r="AL49" s="191"/>
      <c r="AM49" s="192"/>
      <c r="AN49" s="192"/>
      <c r="AO49" s="192"/>
    </row>
    <row r="50" spans="1:63" ht="15.5" outlineLevel="1" thickTop="1">
      <c r="A50" t="s">
        <v>408</v>
      </c>
      <c r="B50" s="50" t="s">
        <v>126</v>
      </c>
      <c r="C50" s="558">
        <f>4.7%*0.25/0.142</f>
        <v>8.2746478873239437E-2</v>
      </c>
      <c r="D50" s="102">
        <f>$C50+($M50-$C50)/10*(D$1-$C$1)</f>
        <v>8.9366197183098586E-2</v>
      </c>
      <c r="E50" s="102">
        <f t="shared" ref="E50:L51" si="26">$C50+($M50-$C50)/10*(E$1-$C$1)</f>
        <v>9.5985915492957749E-2</v>
      </c>
      <c r="F50" s="102">
        <f t="shared" si="26"/>
        <v>0.1026056338028169</v>
      </c>
      <c r="G50" s="102">
        <f t="shared" si="26"/>
        <v>0.10922535211267606</v>
      </c>
      <c r="H50" s="102">
        <f t="shared" si="26"/>
        <v>0.11584507042253521</v>
      </c>
      <c r="I50" s="102">
        <f t="shared" si="26"/>
        <v>0.12246478873239436</v>
      </c>
      <c r="J50" s="102">
        <f t="shared" si="26"/>
        <v>0.12908450704225352</v>
      </c>
      <c r="K50" s="102">
        <f t="shared" si="26"/>
        <v>0.13570422535211268</v>
      </c>
      <c r="L50" s="102">
        <f t="shared" si="26"/>
        <v>0.14232394366197182</v>
      </c>
      <c r="M50" s="105">
        <f>C50*1.8</f>
        <v>0.14894366197183098</v>
      </c>
      <c r="N50" s="102">
        <f>$M50+($W50-$M50)/10*(N$1-$M$1)</f>
        <v>0.15788028169014084</v>
      </c>
      <c r="O50" s="102">
        <f t="shared" ref="O50:U51" si="27">$M50+($W50-$M50)/10*(O$1-$M$1)</f>
        <v>0.16681690140845071</v>
      </c>
      <c r="P50" s="102">
        <f t="shared" si="27"/>
        <v>0.17575352112676057</v>
      </c>
      <c r="Q50" s="102">
        <f t="shared" si="27"/>
        <v>0.18469014084507041</v>
      </c>
      <c r="R50" s="102">
        <f t="shared" si="27"/>
        <v>0.1936267605633803</v>
      </c>
      <c r="S50" s="102">
        <f t="shared" si="27"/>
        <v>0.20256338028169013</v>
      </c>
      <c r="T50" s="102">
        <f t="shared" si="27"/>
        <v>0.21149999999999999</v>
      </c>
      <c r="U50" s="102">
        <f t="shared" si="27"/>
        <v>0.22043661971830986</v>
      </c>
      <c r="V50" s="102">
        <f>$M50+($W50-$M50)/10*(V$1-$M$1)</f>
        <v>0.22937323943661972</v>
      </c>
      <c r="W50" s="105">
        <f>M50*1.6</f>
        <v>0.23830985915492958</v>
      </c>
      <c r="X50" s="102">
        <f>$W50+($AG50-$W50)/10*(X$1-$W$1)</f>
        <v>0.25260845070422533</v>
      </c>
      <c r="Y50" s="102">
        <f t="shared" ref="Y50:AF51" si="28">$W50+($AG50-$W50)/10*(Y$1-$W$1)</f>
        <v>0.26690704225352113</v>
      </c>
      <c r="Z50" s="102">
        <f t="shared" si="28"/>
        <v>0.28120563380281693</v>
      </c>
      <c r="AA50" s="102">
        <f t="shared" si="28"/>
        <v>0.29550422535211268</v>
      </c>
      <c r="AB50" s="102">
        <f t="shared" si="28"/>
        <v>0.30980281690140843</v>
      </c>
      <c r="AC50" s="102">
        <f t="shared" si="28"/>
        <v>0.32410140845070423</v>
      </c>
      <c r="AD50" s="102">
        <f t="shared" si="28"/>
        <v>0.33840000000000003</v>
      </c>
      <c r="AE50" s="102">
        <f t="shared" si="28"/>
        <v>0.35269859154929578</v>
      </c>
      <c r="AF50" s="102">
        <f t="shared" si="28"/>
        <v>0.36699718309859153</v>
      </c>
      <c r="AG50" s="102">
        <f>(W50/M50)*W50</f>
        <v>0.38129577464788733</v>
      </c>
      <c r="AI50" s="124"/>
      <c r="AJ50" s="185" t="s">
        <v>1469</v>
      </c>
      <c r="AL50" s="100"/>
      <c r="AM50" s="2"/>
      <c r="AN50" s="2"/>
      <c r="AO50" s="2"/>
      <c r="AV50" s="37"/>
    </row>
    <row r="51" spans="1:63" outlineLevel="1">
      <c r="A51" t="s">
        <v>410</v>
      </c>
      <c r="B51" s="50" t="s">
        <v>126</v>
      </c>
      <c r="C51" s="558">
        <f>9.5%*0.25/0.142</f>
        <v>0.16725352112676059</v>
      </c>
      <c r="D51" s="102">
        <f>$C51+($M51-$C51)/10*(D$1-$C$1)</f>
        <v>0.17561619718309862</v>
      </c>
      <c r="E51" s="102">
        <f t="shared" si="26"/>
        <v>0.18397887323943665</v>
      </c>
      <c r="F51" s="102">
        <f t="shared" si="26"/>
        <v>0.19234154929577468</v>
      </c>
      <c r="G51" s="102">
        <f t="shared" si="26"/>
        <v>0.20070422535211269</v>
      </c>
      <c r="H51" s="102">
        <f t="shared" si="26"/>
        <v>0.20906690140845074</v>
      </c>
      <c r="I51" s="102">
        <f t="shared" si="26"/>
        <v>0.21742957746478875</v>
      </c>
      <c r="J51" s="102">
        <f t="shared" si="26"/>
        <v>0.22579225352112678</v>
      </c>
      <c r="K51" s="102">
        <f t="shared" si="26"/>
        <v>0.23415492957746481</v>
      </c>
      <c r="L51" s="102">
        <f t="shared" si="26"/>
        <v>0.24251760563380284</v>
      </c>
      <c r="M51" s="105">
        <f>C51*1.5</f>
        <v>0.25088028169014087</v>
      </c>
      <c r="N51" s="102">
        <f>$M51+($W51-$M51)/10*(N$1-$M$1)</f>
        <v>0.25200924295774652</v>
      </c>
      <c r="O51" s="102">
        <f t="shared" si="27"/>
        <v>0.25313820422535216</v>
      </c>
      <c r="P51" s="102">
        <f t="shared" si="27"/>
        <v>0.25426716549295775</v>
      </c>
      <c r="Q51" s="102">
        <f t="shared" si="27"/>
        <v>0.25539612676056339</v>
      </c>
      <c r="R51" s="102">
        <f t="shared" si="27"/>
        <v>0.25652508802816903</v>
      </c>
      <c r="S51" s="102">
        <f t="shared" si="27"/>
        <v>0.25765404929577468</v>
      </c>
      <c r="T51" s="102">
        <f t="shared" si="27"/>
        <v>0.25878301056338032</v>
      </c>
      <c r="U51" s="102">
        <f t="shared" si="27"/>
        <v>0.25991197183098591</v>
      </c>
      <c r="V51" s="102">
        <f>$M51+($W51-$M51)/10*(V$1-$M$1)</f>
        <v>0.26104093309859155</v>
      </c>
      <c r="W51" s="105">
        <f>M51*1.045</f>
        <v>0.2621698943661972</v>
      </c>
      <c r="X51" s="102">
        <f>$W51+($AG51-$W51)/10*(X$1-$W$1)</f>
        <v>0.26334965889084511</v>
      </c>
      <c r="Y51" s="102">
        <f t="shared" si="28"/>
        <v>0.26452942341549296</v>
      </c>
      <c r="Z51" s="102">
        <f t="shared" si="28"/>
        <v>0.26570918794014087</v>
      </c>
      <c r="AA51" s="102">
        <f t="shared" si="28"/>
        <v>0.26688895246478872</v>
      </c>
      <c r="AB51" s="102">
        <f t="shared" si="28"/>
        <v>0.26806871698943663</v>
      </c>
      <c r="AC51" s="102">
        <f t="shared" si="28"/>
        <v>0.26924848151408454</v>
      </c>
      <c r="AD51" s="102">
        <f t="shared" si="28"/>
        <v>0.27042824603873239</v>
      </c>
      <c r="AE51" s="102">
        <f t="shared" si="28"/>
        <v>0.2716080105633803</v>
      </c>
      <c r="AF51" s="102">
        <f t="shared" si="28"/>
        <v>0.27278777508802815</v>
      </c>
      <c r="AG51" s="102">
        <f>(W51/M51)*W51</f>
        <v>0.27396753961267606</v>
      </c>
      <c r="AI51" s="124"/>
      <c r="AJ51" s="185" t="s">
        <v>469</v>
      </c>
      <c r="AL51" s="100"/>
      <c r="AM51" s="2"/>
      <c r="AN51" s="2"/>
      <c r="AO51" s="2"/>
      <c r="AV51" s="37"/>
    </row>
    <row r="52" spans="1:63" outlineLevel="1">
      <c r="A52" t="s">
        <v>409</v>
      </c>
      <c r="B52" s="156" t="s">
        <v>126</v>
      </c>
      <c r="C52" s="102">
        <f t="shared" ref="C52:AG52" si="29">C50+C51</f>
        <v>0.25</v>
      </c>
      <c r="D52" s="102">
        <f t="shared" si="29"/>
        <v>0.26498239436619719</v>
      </c>
      <c r="E52" s="102">
        <f t="shared" si="29"/>
        <v>0.27996478873239439</v>
      </c>
      <c r="F52" s="102">
        <f t="shared" si="29"/>
        <v>0.29494718309859158</v>
      </c>
      <c r="G52" s="102">
        <f t="shared" si="29"/>
        <v>0.30992957746478877</v>
      </c>
      <c r="H52" s="102">
        <f t="shared" si="29"/>
        <v>0.32491197183098597</v>
      </c>
      <c r="I52" s="102">
        <f t="shared" si="29"/>
        <v>0.33989436619718311</v>
      </c>
      <c r="J52" s="102">
        <f t="shared" si="29"/>
        <v>0.3548767605633803</v>
      </c>
      <c r="K52" s="102">
        <f t="shared" si="29"/>
        <v>0.36985915492957749</v>
      </c>
      <c r="L52" s="102">
        <f t="shared" si="29"/>
        <v>0.38484154929577463</v>
      </c>
      <c r="M52" s="102">
        <f t="shared" si="29"/>
        <v>0.39982394366197183</v>
      </c>
      <c r="N52" s="102">
        <f t="shared" si="29"/>
        <v>0.40988952464788736</v>
      </c>
      <c r="O52" s="102">
        <f t="shared" si="29"/>
        <v>0.41995510563380289</v>
      </c>
      <c r="P52" s="102">
        <f t="shared" si="29"/>
        <v>0.43002068661971832</v>
      </c>
      <c r="Q52" s="102">
        <f t="shared" si="29"/>
        <v>0.4400862676056338</v>
      </c>
      <c r="R52" s="102">
        <f t="shared" si="29"/>
        <v>0.45015184859154933</v>
      </c>
      <c r="S52" s="102">
        <f t="shared" si="29"/>
        <v>0.46021742957746481</v>
      </c>
      <c r="T52" s="102">
        <f t="shared" si="29"/>
        <v>0.47028301056338029</v>
      </c>
      <c r="U52" s="102">
        <f t="shared" si="29"/>
        <v>0.48034859154929577</v>
      </c>
      <c r="V52" s="102">
        <f t="shared" si="29"/>
        <v>0.49041417253521125</v>
      </c>
      <c r="W52" s="102">
        <f t="shared" si="29"/>
        <v>0.50047975352112672</v>
      </c>
      <c r="X52" s="102">
        <f t="shared" si="29"/>
        <v>0.51595810959507049</v>
      </c>
      <c r="Y52" s="102">
        <f t="shared" si="29"/>
        <v>0.53143646566901404</v>
      </c>
      <c r="Z52" s="102">
        <f t="shared" si="29"/>
        <v>0.5469148217429578</v>
      </c>
      <c r="AA52" s="102">
        <f t="shared" si="29"/>
        <v>0.56239317781690135</v>
      </c>
      <c r="AB52" s="102">
        <f t="shared" si="29"/>
        <v>0.57787153389084511</v>
      </c>
      <c r="AC52" s="102">
        <f t="shared" si="29"/>
        <v>0.59334988996478877</v>
      </c>
      <c r="AD52" s="102">
        <f t="shared" si="29"/>
        <v>0.60882824603873242</v>
      </c>
      <c r="AE52" s="102">
        <f t="shared" si="29"/>
        <v>0.62430660211267608</v>
      </c>
      <c r="AF52" s="102">
        <f t="shared" si="29"/>
        <v>0.63978495818661973</v>
      </c>
      <c r="AG52" s="102">
        <f t="shared" si="29"/>
        <v>0.65526331426056339</v>
      </c>
      <c r="AI52" s="124"/>
      <c r="AJ52" s="185"/>
      <c r="AL52" s="100"/>
      <c r="AM52" s="2"/>
      <c r="AN52" s="2"/>
      <c r="AO52" s="2"/>
    </row>
    <row r="53" spans="1:63" outlineLevel="1">
      <c r="C53" s="105"/>
      <c r="D53" s="102"/>
      <c r="E53" s="102"/>
      <c r="F53" s="102"/>
      <c r="G53" s="102"/>
      <c r="H53" s="102"/>
      <c r="I53" s="102"/>
      <c r="J53" s="102"/>
      <c r="K53" s="102"/>
      <c r="L53" s="102"/>
      <c r="M53" s="105"/>
      <c r="N53" s="102"/>
      <c r="O53" s="102"/>
      <c r="P53" s="102"/>
      <c r="Q53" s="102"/>
      <c r="R53" s="102"/>
      <c r="S53" s="102"/>
      <c r="T53" s="102"/>
      <c r="U53" s="102"/>
      <c r="V53" s="102"/>
      <c r="W53" s="105"/>
      <c r="X53" s="102"/>
      <c r="Y53" s="102"/>
      <c r="Z53" s="102"/>
      <c r="AA53" s="102"/>
      <c r="AB53" s="102"/>
      <c r="AC53" s="102"/>
      <c r="AD53" s="102"/>
      <c r="AE53" s="102"/>
      <c r="AF53" s="102"/>
      <c r="AG53" s="105"/>
      <c r="AI53" s="124"/>
      <c r="AJ53" s="185"/>
      <c r="AL53" s="100"/>
      <c r="AM53" s="2"/>
      <c r="AN53" s="2"/>
      <c r="AO53" s="2"/>
      <c r="AV53" s="37"/>
    </row>
    <row r="54" spans="1:63" outlineLevel="1">
      <c r="A54" t="s">
        <v>430</v>
      </c>
      <c r="B54" s="50" t="s">
        <v>126</v>
      </c>
      <c r="C54" s="188">
        <v>0.2</v>
      </c>
      <c r="D54" s="102">
        <f>C54</f>
        <v>0.2</v>
      </c>
      <c r="E54" s="102">
        <f t="shared" ref="E54:AG54" si="30">D54</f>
        <v>0.2</v>
      </c>
      <c r="F54" s="102">
        <f t="shared" si="30"/>
        <v>0.2</v>
      </c>
      <c r="G54" s="102">
        <f t="shared" si="30"/>
        <v>0.2</v>
      </c>
      <c r="H54" s="102">
        <f t="shared" si="30"/>
        <v>0.2</v>
      </c>
      <c r="I54" s="102">
        <f t="shared" si="30"/>
        <v>0.2</v>
      </c>
      <c r="J54" s="102">
        <f t="shared" si="30"/>
        <v>0.2</v>
      </c>
      <c r="K54" s="102">
        <f t="shared" si="30"/>
        <v>0.2</v>
      </c>
      <c r="L54" s="102">
        <f t="shared" si="30"/>
        <v>0.2</v>
      </c>
      <c r="M54" s="102">
        <f t="shared" si="30"/>
        <v>0.2</v>
      </c>
      <c r="N54" s="102">
        <f t="shared" si="30"/>
        <v>0.2</v>
      </c>
      <c r="O54" s="102">
        <f t="shared" si="30"/>
        <v>0.2</v>
      </c>
      <c r="P54" s="102">
        <f t="shared" si="30"/>
        <v>0.2</v>
      </c>
      <c r="Q54" s="102">
        <f t="shared" si="30"/>
        <v>0.2</v>
      </c>
      <c r="R54" s="102">
        <f t="shared" si="30"/>
        <v>0.2</v>
      </c>
      <c r="S54" s="102">
        <f t="shared" si="30"/>
        <v>0.2</v>
      </c>
      <c r="T54" s="102">
        <f t="shared" si="30"/>
        <v>0.2</v>
      </c>
      <c r="U54" s="102">
        <f t="shared" si="30"/>
        <v>0.2</v>
      </c>
      <c r="V54" s="102">
        <f t="shared" si="30"/>
        <v>0.2</v>
      </c>
      <c r="W54" s="102">
        <f t="shared" si="30"/>
        <v>0.2</v>
      </c>
      <c r="X54" s="102">
        <f t="shared" si="30"/>
        <v>0.2</v>
      </c>
      <c r="Y54" s="102">
        <f t="shared" si="30"/>
        <v>0.2</v>
      </c>
      <c r="Z54" s="102">
        <f t="shared" si="30"/>
        <v>0.2</v>
      </c>
      <c r="AA54" s="102">
        <f t="shared" si="30"/>
        <v>0.2</v>
      </c>
      <c r="AB54" s="102">
        <f t="shared" si="30"/>
        <v>0.2</v>
      </c>
      <c r="AC54" s="102">
        <f t="shared" si="30"/>
        <v>0.2</v>
      </c>
      <c r="AD54" s="102">
        <f t="shared" si="30"/>
        <v>0.2</v>
      </c>
      <c r="AE54" s="102">
        <f t="shared" si="30"/>
        <v>0.2</v>
      </c>
      <c r="AF54" s="102">
        <f t="shared" si="30"/>
        <v>0.2</v>
      </c>
      <c r="AG54" s="102">
        <f t="shared" si="30"/>
        <v>0.2</v>
      </c>
      <c r="AI54" s="104" t="s">
        <v>507</v>
      </c>
      <c r="AJ54" s="185"/>
      <c r="AL54" s="100"/>
      <c r="AM54" s="2"/>
      <c r="AN54" s="2"/>
      <c r="AO54" s="2"/>
      <c r="BC54" s="1"/>
      <c r="BD54" s="2"/>
      <c r="BE54" s="2"/>
      <c r="BF54" s="2"/>
      <c r="BG54" s="2"/>
      <c r="BH54" s="2"/>
      <c r="BI54" s="2"/>
      <c r="BJ54" s="2"/>
      <c r="BK54" s="2"/>
    </row>
    <row r="55" spans="1:63" outlineLevel="1">
      <c r="A55" t="s">
        <v>422</v>
      </c>
      <c r="B55" s="50" t="s">
        <v>126</v>
      </c>
      <c r="C55" s="102">
        <f>1-C54</f>
        <v>0.8</v>
      </c>
      <c r="D55" s="102">
        <f t="shared" ref="D55:AG55" si="31">1-D54</f>
        <v>0.8</v>
      </c>
      <c r="E55" s="102">
        <f t="shared" si="31"/>
        <v>0.8</v>
      </c>
      <c r="F55" s="102">
        <f t="shared" si="31"/>
        <v>0.8</v>
      </c>
      <c r="G55" s="102">
        <f t="shared" si="31"/>
        <v>0.8</v>
      </c>
      <c r="H55" s="102">
        <f t="shared" si="31"/>
        <v>0.8</v>
      </c>
      <c r="I55" s="102">
        <f t="shared" si="31"/>
        <v>0.8</v>
      </c>
      <c r="J55" s="102">
        <f t="shared" si="31"/>
        <v>0.8</v>
      </c>
      <c r="K55" s="102">
        <f t="shared" si="31"/>
        <v>0.8</v>
      </c>
      <c r="L55" s="102">
        <f t="shared" si="31"/>
        <v>0.8</v>
      </c>
      <c r="M55" s="102">
        <f t="shared" si="31"/>
        <v>0.8</v>
      </c>
      <c r="N55" s="102">
        <f t="shared" si="31"/>
        <v>0.8</v>
      </c>
      <c r="O55" s="102">
        <f t="shared" si="31"/>
        <v>0.8</v>
      </c>
      <c r="P55" s="102">
        <f t="shared" si="31"/>
        <v>0.8</v>
      </c>
      <c r="Q55" s="102">
        <f t="shared" si="31"/>
        <v>0.8</v>
      </c>
      <c r="R55" s="102">
        <f t="shared" si="31"/>
        <v>0.8</v>
      </c>
      <c r="S55" s="102">
        <f t="shared" si="31"/>
        <v>0.8</v>
      </c>
      <c r="T55" s="102">
        <f t="shared" si="31"/>
        <v>0.8</v>
      </c>
      <c r="U55" s="102">
        <f t="shared" si="31"/>
        <v>0.8</v>
      </c>
      <c r="V55" s="102">
        <f t="shared" si="31"/>
        <v>0.8</v>
      </c>
      <c r="W55" s="102">
        <f t="shared" si="31"/>
        <v>0.8</v>
      </c>
      <c r="X55" s="102">
        <f t="shared" si="31"/>
        <v>0.8</v>
      </c>
      <c r="Y55" s="102">
        <f t="shared" si="31"/>
        <v>0.8</v>
      </c>
      <c r="Z55" s="102">
        <f t="shared" si="31"/>
        <v>0.8</v>
      </c>
      <c r="AA55" s="102">
        <f t="shared" si="31"/>
        <v>0.8</v>
      </c>
      <c r="AB55" s="102">
        <f t="shared" si="31"/>
        <v>0.8</v>
      </c>
      <c r="AC55" s="102">
        <f t="shared" si="31"/>
        <v>0.8</v>
      </c>
      <c r="AD55" s="102">
        <f t="shared" si="31"/>
        <v>0.8</v>
      </c>
      <c r="AE55" s="102">
        <f t="shared" si="31"/>
        <v>0.8</v>
      </c>
      <c r="AF55" s="102">
        <f t="shared" si="31"/>
        <v>0.8</v>
      </c>
      <c r="AG55" s="102">
        <f t="shared" si="31"/>
        <v>0.8</v>
      </c>
      <c r="AI55" s="124" t="s">
        <v>411</v>
      </c>
      <c r="AJ55" s="185"/>
      <c r="AL55" s="100"/>
      <c r="AM55" s="2"/>
      <c r="AN55" s="2"/>
      <c r="AO55" s="2"/>
      <c r="BC55" s="1"/>
      <c r="BD55" s="2"/>
      <c r="BE55" s="2"/>
      <c r="BF55" s="2"/>
      <c r="BG55" s="2"/>
      <c r="BH55" s="2"/>
      <c r="BI55" s="2"/>
      <c r="BJ55" s="2"/>
      <c r="BK55" s="2"/>
    </row>
    <row r="56" spans="1:63" outlineLevel="1">
      <c r="A56" t="s">
        <v>424</v>
      </c>
      <c r="B56" s="50" t="s">
        <v>126</v>
      </c>
      <c r="C56" s="102">
        <f>C54*C51</f>
        <v>3.3450704225352117E-2</v>
      </c>
      <c r="D56" s="102">
        <f t="shared" ref="D56:AG56" si="32">D54*D51</f>
        <v>3.5123239436619727E-2</v>
      </c>
      <c r="E56" s="102">
        <f t="shared" si="32"/>
        <v>3.679577464788733E-2</v>
      </c>
      <c r="F56" s="102">
        <f t="shared" si="32"/>
        <v>3.8468309859154941E-2</v>
      </c>
      <c r="G56" s="102">
        <f t="shared" si="32"/>
        <v>4.0140845070422537E-2</v>
      </c>
      <c r="H56" s="102">
        <f t="shared" si="32"/>
        <v>4.1813380281690155E-2</v>
      </c>
      <c r="I56" s="102">
        <f t="shared" si="32"/>
        <v>4.3485915492957751E-2</v>
      </c>
      <c r="J56" s="102">
        <f t="shared" si="32"/>
        <v>4.5158450704225361E-2</v>
      </c>
      <c r="K56" s="102">
        <f t="shared" si="32"/>
        <v>4.6830985915492965E-2</v>
      </c>
      <c r="L56" s="102">
        <f t="shared" si="32"/>
        <v>4.8503521126760568E-2</v>
      </c>
      <c r="M56" s="102">
        <f t="shared" si="32"/>
        <v>5.0176056338028178E-2</v>
      </c>
      <c r="N56" s="102">
        <f t="shared" si="32"/>
        <v>5.0401848591549309E-2</v>
      </c>
      <c r="O56" s="102">
        <f t="shared" si="32"/>
        <v>5.0627640845070432E-2</v>
      </c>
      <c r="P56" s="102">
        <f t="shared" si="32"/>
        <v>5.0853433098591555E-2</v>
      </c>
      <c r="Q56" s="102">
        <f t="shared" si="32"/>
        <v>5.1079225352112678E-2</v>
      </c>
      <c r="R56" s="102">
        <f t="shared" si="32"/>
        <v>5.1305017605633808E-2</v>
      </c>
      <c r="S56" s="102">
        <f t="shared" si="32"/>
        <v>5.1530809859154939E-2</v>
      </c>
      <c r="T56" s="102">
        <f t="shared" si="32"/>
        <v>5.1756602112676069E-2</v>
      </c>
      <c r="U56" s="102">
        <f t="shared" si="32"/>
        <v>5.1982394366197185E-2</v>
      </c>
      <c r="V56" s="102">
        <f t="shared" si="32"/>
        <v>5.2208186619718315E-2</v>
      </c>
      <c r="W56" s="102">
        <f t="shared" si="32"/>
        <v>5.2433978873239445E-2</v>
      </c>
      <c r="X56" s="102">
        <f t="shared" si="32"/>
        <v>5.2669931778169025E-2</v>
      </c>
      <c r="Y56" s="102">
        <f t="shared" si="32"/>
        <v>5.2905884683098592E-2</v>
      </c>
      <c r="Z56" s="102">
        <f t="shared" si="32"/>
        <v>5.3141837588028179E-2</v>
      </c>
      <c r="AA56" s="102">
        <f t="shared" si="32"/>
        <v>5.3377790492957745E-2</v>
      </c>
      <c r="AB56" s="102">
        <f t="shared" si="32"/>
        <v>5.3613743397887326E-2</v>
      </c>
      <c r="AC56" s="102">
        <f t="shared" si="32"/>
        <v>5.3849696302816913E-2</v>
      </c>
      <c r="AD56" s="102">
        <f t="shared" si="32"/>
        <v>5.4085649207746479E-2</v>
      </c>
      <c r="AE56" s="102">
        <f t="shared" si="32"/>
        <v>5.432160211267606E-2</v>
      </c>
      <c r="AF56" s="102">
        <f t="shared" si="32"/>
        <v>5.4557555017605633E-2</v>
      </c>
      <c r="AG56" s="102">
        <f t="shared" si="32"/>
        <v>5.4793507922535213E-2</v>
      </c>
      <c r="AI56" s="10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425</v>
      </c>
      <c r="B57" s="50" t="s">
        <v>126</v>
      </c>
      <c r="C57" s="102">
        <f>C55*C51</f>
        <v>0.13380281690140847</v>
      </c>
      <c r="D57" s="102">
        <f t="shared" ref="D57:AG57" si="33">D55*D51</f>
        <v>0.14049295774647891</v>
      </c>
      <c r="E57" s="102">
        <f t="shared" si="33"/>
        <v>0.14718309859154932</v>
      </c>
      <c r="F57" s="102">
        <f t="shared" si="33"/>
        <v>0.15387323943661976</v>
      </c>
      <c r="G57" s="102">
        <f t="shared" si="33"/>
        <v>0.16056338028169015</v>
      </c>
      <c r="H57" s="102">
        <f t="shared" si="33"/>
        <v>0.16725352112676062</v>
      </c>
      <c r="I57" s="102">
        <f t="shared" si="33"/>
        <v>0.173943661971831</v>
      </c>
      <c r="J57" s="102">
        <f t="shared" si="33"/>
        <v>0.18063380281690145</v>
      </c>
      <c r="K57" s="102">
        <f t="shared" si="33"/>
        <v>0.18732394366197186</v>
      </c>
      <c r="L57" s="102">
        <f t="shared" si="33"/>
        <v>0.19401408450704227</v>
      </c>
      <c r="M57" s="102">
        <f t="shared" si="33"/>
        <v>0.20070422535211271</v>
      </c>
      <c r="N57" s="102">
        <f t="shared" si="33"/>
        <v>0.20160739436619723</v>
      </c>
      <c r="O57" s="102">
        <f t="shared" si="33"/>
        <v>0.20251056338028173</v>
      </c>
      <c r="P57" s="102">
        <f t="shared" si="33"/>
        <v>0.20341373239436622</v>
      </c>
      <c r="Q57" s="102">
        <f t="shared" si="33"/>
        <v>0.20431690140845071</v>
      </c>
      <c r="R57" s="102">
        <f t="shared" si="33"/>
        <v>0.20522007042253523</v>
      </c>
      <c r="S57" s="102">
        <f t="shared" si="33"/>
        <v>0.20612323943661975</v>
      </c>
      <c r="T57" s="102">
        <f t="shared" si="33"/>
        <v>0.20702640845070427</v>
      </c>
      <c r="U57" s="102">
        <f t="shared" si="33"/>
        <v>0.20792957746478874</v>
      </c>
      <c r="V57" s="102">
        <f t="shared" si="33"/>
        <v>0.20883274647887326</v>
      </c>
      <c r="W57" s="102">
        <f t="shared" si="33"/>
        <v>0.20973591549295778</v>
      </c>
      <c r="X57" s="102">
        <f t="shared" si="33"/>
        <v>0.2106797271126761</v>
      </c>
      <c r="Y57" s="102">
        <f t="shared" si="33"/>
        <v>0.21162353873239437</v>
      </c>
      <c r="Z57" s="102">
        <f t="shared" si="33"/>
        <v>0.21256735035211272</v>
      </c>
      <c r="AA57" s="102">
        <f t="shared" si="33"/>
        <v>0.21351116197183098</v>
      </c>
      <c r="AB57" s="102">
        <f t="shared" si="33"/>
        <v>0.2144549735915493</v>
      </c>
      <c r="AC57" s="102">
        <f t="shared" si="33"/>
        <v>0.21539878521126765</v>
      </c>
      <c r="AD57" s="102">
        <f t="shared" si="33"/>
        <v>0.21634259683098592</v>
      </c>
      <c r="AE57" s="102">
        <f t="shared" si="33"/>
        <v>0.21728640845070424</v>
      </c>
      <c r="AF57" s="102">
        <f t="shared" si="33"/>
        <v>0.21823022007042253</v>
      </c>
      <c r="AG57" s="102">
        <f t="shared" si="33"/>
        <v>0.21917403169014085</v>
      </c>
      <c r="AI57" s="1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A59" t="s">
        <v>492</v>
      </c>
      <c r="C59" s="203">
        <f>'Overall recycling rates'!D84</f>
        <v>0.19390726583347798</v>
      </c>
      <c r="D59" s="203">
        <f t="shared" ref="D59:AF59" si="34">C59-($C$59-$AG$59)/($AG$1-$C$1)</f>
        <v>0.21411035697236205</v>
      </c>
      <c r="E59" s="203">
        <f t="shared" si="34"/>
        <v>0.23431344811124613</v>
      </c>
      <c r="F59" s="203">
        <f t="shared" si="34"/>
        <v>0.25451653925013018</v>
      </c>
      <c r="G59" s="203">
        <f t="shared" si="34"/>
        <v>0.27471963038901426</v>
      </c>
      <c r="H59" s="203">
        <f t="shared" si="34"/>
        <v>0.29492272152789833</v>
      </c>
      <c r="I59" s="203">
        <f t="shared" si="34"/>
        <v>0.31512581266678241</v>
      </c>
      <c r="J59" s="203">
        <f t="shared" si="34"/>
        <v>0.33532890380566649</v>
      </c>
      <c r="K59" s="203">
        <f t="shared" si="34"/>
        <v>0.35553199494455057</v>
      </c>
      <c r="L59" s="203">
        <f t="shared" si="34"/>
        <v>0.37573508608343464</v>
      </c>
      <c r="M59" s="203">
        <f t="shared" si="34"/>
        <v>0.39593817722231872</v>
      </c>
      <c r="N59" s="203">
        <f t="shared" si="34"/>
        <v>0.4161412683612028</v>
      </c>
      <c r="O59" s="203">
        <f t="shared" si="34"/>
        <v>0.43634435950008688</v>
      </c>
      <c r="P59" s="203">
        <f t="shared" si="34"/>
        <v>0.45654745063897095</v>
      </c>
      <c r="Q59" s="203">
        <f t="shared" si="34"/>
        <v>0.47675054177785503</v>
      </c>
      <c r="R59" s="203">
        <f t="shared" si="34"/>
        <v>0.49695363291673911</v>
      </c>
      <c r="S59" s="203">
        <f t="shared" si="34"/>
        <v>0.51715672405562318</v>
      </c>
      <c r="T59" s="203">
        <f t="shared" si="34"/>
        <v>0.53735981519450726</v>
      </c>
      <c r="U59" s="203">
        <f t="shared" si="34"/>
        <v>0.55756290633339134</v>
      </c>
      <c r="V59" s="203">
        <f t="shared" si="34"/>
        <v>0.57776599747227542</v>
      </c>
      <c r="W59" s="203">
        <f t="shared" si="34"/>
        <v>0.59796908861115949</v>
      </c>
      <c r="X59" s="203">
        <f t="shared" si="34"/>
        <v>0.61817217975004357</v>
      </c>
      <c r="Y59" s="203">
        <f t="shared" si="34"/>
        <v>0.63837527088892765</v>
      </c>
      <c r="Z59" s="203">
        <f t="shared" si="34"/>
        <v>0.65857836202781173</v>
      </c>
      <c r="AA59" s="203">
        <f t="shared" si="34"/>
        <v>0.6787814531666958</v>
      </c>
      <c r="AB59" s="203">
        <f t="shared" si="34"/>
        <v>0.69898454430557988</v>
      </c>
      <c r="AC59" s="203">
        <f t="shared" si="34"/>
        <v>0.71918763544446396</v>
      </c>
      <c r="AD59" s="203">
        <f t="shared" si="34"/>
        <v>0.73939072658334803</v>
      </c>
      <c r="AE59" s="203">
        <f t="shared" si="34"/>
        <v>0.75959381772223211</v>
      </c>
      <c r="AF59" s="203">
        <f t="shared" si="34"/>
        <v>0.77979690886111619</v>
      </c>
      <c r="AG59" s="203">
        <f>'Overall recycling rates'!D93</f>
        <v>0.8</v>
      </c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493</v>
      </c>
      <c r="B60" s="50" t="s">
        <v>126</v>
      </c>
      <c r="C60" s="102">
        <f t="shared" ref="C60:AG60" si="35">C50*C$59</f>
        <v>1.6045143475657508E-2</v>
      </c>
      <c r="D60" s="102">
        <f t="shared" si="35"/>
        <v>1.9134228380135735E-2</v>
      </c>
      <c r="E60" s="102">
        <f t="shared" si="35"/>
        <v>2.2490790829269611E-2</v>
      </c>
      <c r="F60" s="102">
        <f t="shared" si="35"/>
        <v>2.611483082305913E-2</v>
      </c>
      <c r="G60" s="102">
        <f t="shared" si="35"/>
        <v>3.0006348361504304E-2</v>
      </c>
      <c r="H60" s="102">
        <f t="shared" si="35"/>
        <v>3.4165343444605124E-2</v>
      </c>
      <c r="I60" s="102">
        <f t="shared" si="35"/>
        <v>3.859181607236159E-2</v>
      </c>
      <c r="J60" s="102">
        <f t="shared" si="35"/>
        <v>4.3285766244773712E-2</v>
      </c>
      <c r="K60" s="102">
        <f t="shared" si="35"/>
        <v>4.8247193961841475E-2</v>
      </c>
      <c r="L60" s="102">
        <f t="shared" si="35"/>
        <v>5.3476099223564881E-2</v>
      </c>
      <c r="M60" s="102">
        <f t="shared" si="35"/>
        <v>5.897248202994395E-2</v>
      </c>
      <c r="N60" s="102">
        <f t="shared" si="35"/>
        <v>6.5700500671759199E-2</v>
      </c>
      <c r="O60" s="102">
        <f t="shared" si="35"/>
        <v>7.2789613998859568E-2</v>
      </c>
      <c r="P60" s="102">
        <f t="shared" si="35"/>
        <v>8.0239822011245063E-2</v>
      </c>
      <c r="Q60" s="102">
        <f t="shared" si="35"/>
        <v>8.8051124708915671E-2</v>
      </c>
      <c r="R60" s="102">
        <f t="shared" si="35"/>
        <v>9.6223522091871433E-2</v>
      </c>
      <c r="S60" s="102">
        <f t="shared" si="35"/>
        <v>0.10475701416011228</v>
      </c>
      <c r="T60" s="102">
        <f t="shared" si="35"/>
        <v>0.11365160091363828</v>
      </c>
      <c r="U60" s="102">
        <f t="shared" si="35"/>
        <v>0.12290728235244941</v>
      </c>
      <c r="V60" s="102">
        <f t="shared" si="35"/>
        <v>0.13252405847654566</v>
      </c>
      <c r="W60" s="102">
        <f t="shared" si="35"/>
        <v>0.14250192928592703</v>
      </c>
      <c r="X60" s="102">
        <f t="shared" si="35"/>
        <v>0.1561555165951124</v>
      </c>
      <c r="Y60" s="102">
        <f t="shared" si="35"/>
        <v>0.17038685540075402</v>
      </c>
      <c r="Z60" s="102">
        <f t="shared" si="35"/>
        <v>0.18519594570285183</v>
      </c>
      <c r="AA60" s="102">
        <f t="shared" si="35"/>
        <v>0.20058278750140579</v>
      </c>
      <c r="AB60" s="102">
        <f t="shared" si="35"/>
        <v>0.21654738079641597</v>
      </c>
      <c r="AC60" s="102">
        <f t="shared" si="35"/>
        <v>0.23308972558788238</v>
      </c>
      <c r="AD60" s="102">
        <f t="shared" si="35"/>
        <v>0.25020982187580498</v>
      </c>
      <c r="AE60" s="102">
        <f t="shared" si="35"/>
        <v>0.26790766966018376</v>
      </c>
      <c r="AF60" s="102">
        <f t="shared" si="35"/>
        <v>0.28618326894101875</v>
      </c>
      <c r="AG60" s="102">
        <f t="shared" si="35"/>
        <v>0.30503661971830986</v>
      </c>
      <c r="AI60" s="124"/>
      <c r="AJ60" s="185"/>
      <c r="AL60" s="100"/>
      <c r="AM60" s="2"/>
      <c r="AN60" s="2"/>
      <c r="AO60" s="2"/>
      <c r="AV60" s="37"/>
    </row>
    <row r="61" spans="1:63" outlineLevel="1">
      <c r="A61" t="s">
        <v>494</v>
      </c>
      <c r="B61" s="50" t="s">
        <v>126</v>
      </c>
      <c r="C61" s="102">
        <f t="shared" ref="C61:AG61" si="36">C51*C$59</f>
        <v>3.243167298271199E-2</v>
      </c>
      <c r="D61" s="102">
        <f t="shared" si="36"/>
        <v>3.760124666900197E-2</v>
      </c>
      <c r="E61" s="102">
        <f t="shared" si="36"/>
        <v>4.3108724168354269E-2</v>
      </c>
      <c r="F61" s="102">
        <f t="shared" si="36"/>
        <v>4.8954105480768888E-2</v>
      </c>
      <c r="G61" s="102">
        <f t="shared" si="36"/>
        <v>5.5137390606245819E-2</v>
      </c>
      <c r="H61" s="102">
        <f t="shared" si="36"/>
        <v>6.1658579544785097E-2</v>
      </c>
      <c r="I61" s="102">
        <f t="shared" si="36"/>
        <v>6.8517672296386667E-2</v>
      </c>
      <c r="J61" s="102">
        <f t="shared" si="36"/>
        <v>7.5714668861050577E-2</v>
      </c>
      <c r="K61" s="102">
        <f t="shared" si="36"/>
        <v>8.3249569238776813E-2</v>
      </c>
      <c r="L61" s="102">
        <f t="shared" si="36"/>
        <v>9.1122373429565362E-2</v>
      </c>
      <c r="M61" s="102">
        <f t="shared" si="36"/>
        <v>9.9333081433416237E-2</v>
      </c>
      <c r="N61" s="102">
        <f t="shared" si="36"/>
        <v>0.10487144600318316</v>
      </c>
      <c r="O61" s="102">
        <f t="shared" si="36"/>
        <v>0.11045542758771347</v>
      </c>
      <c r="P61" s="102">
        <f t="shared" si="36"/>
        <v>0.11608502618700718</v>
      </c>
      <c r="Q61" s="102">
        <f t="shared" si="36"/>
        <v>0.12176024180106433</v>
      </c>
      <c r="R61" s="102">
        <f t="shared" si="36"/>
        <v>0.12748107442988491</v>
      </c>
      <c r="S61" s="102">
        <f t="shared" si="36"/>
        <v>0.13324752407346888</v>
      </c>
      <c r="T61" s="102">
        <f t="shared" si="36"/>
        <v>0.13905959073181626</v>
      </c>
      <c r="U61" s="102">
        <f t="shared" si="36"/>
        <v>0.14491727440492705</v>
      </c>
      <c r="V61" s="102">
        <f t="shared" si="36"/>
        <v>0.15082057509280125</v>
      </c>
      <c r="W61" s="102">
        <f t="shared" si="36"/>
        <v>0.15676949279543889</v>
      </c>
      <c r="X61" s="102">
        <f t="shared" si="36"/>
        <v>0.16279543267298416</v>
      </c>
      <c r="Y61" s="102">
        <f t="shared" si="36"/>
        <v>0.16886904233095715</v>
      </c>
      <c r="Z61" s="102">
        <f t="shared" si="36"/>
        <v>0.17499032176935797</v>
      </c>
      <c r="AA61" s="102">
        <f t="shared" si="36"/>
        <v>0.18115927098818649</v>
      </c>
      <c r="AB61" s="102">
        <f t="shared" si="36"/>
        <v>0.18737588998744281</v>
      </c>
      <c r="AC61" s="102">
        <f t="shared" si="36"/>
        <v>0.19364017876712691</v>
      </c>
      <c r="AD61" s="102">
        <f t="shared" si="36"/>
        <v>0.19995213732723874</v>
      </c>
      <c r="AE61" s="102">
        <f t="shared" si="36"/>
        <v>0.2063117656677784</v>
      </c>
      <c r="AF61" s="102">
        <f t="shared" si="36"/>
        <v>0.21271906378874575</v>
      </c>
      <c r="AG61" s="102">
        <f t="shared" si="36"/>
        <v>0.21917403169014085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495</v>
      </c>
      <c r="B62" s="156" t="s">
        <v>126</v>
      </c>
      <c r="C62" s="102">
        <f>SUM(C60:C61)</f>
        <v>4.8476816458369501E-2</v>
      </c>
      <c r="D62" s="102">
        <f t="shared" ref="D62:AG62" si="37">SUM(D60:D61)</f>
        <v>5.6735475049137701E-2</v>
      </c>
      <c r="E62" s="102">
        <f t="shared" si="37"/>
        <v>6.5599514997623884E-2</v>
      </c>
      <c r="F62" s="102">
        <f t="shared" si="37"/>
        <v>7.5068936303828021E-2</v>
      </c>
      <c r="G62" s="102">
        <f t="shared" si="37"/>
        <v>8.5143738967750127E-2</v>
      </c>
      <c r="H62" s="102">
        <f t="shared" si="37"/>
        <v>9.5823922989390214E-2</v>
      </c>
      <c r="I62" s="102">
        <f t="shared" si="37"/>
        <v>0.10710948836874826</v>
      </c>
      <c r="J62" s="102">
        <f t="shared" si="37"/>
        <v>0.11900043510582428</v>
      </c>
      <c r="K62" s="102">
        <f t="shared" si="37"/>
        <v>0.13149676320061829</v>
      </c>
      <c r="L62" s="102">
        <f t="shared" si="37"/>
        <v>0.14459847265313025</v>
      </c>
      <c r="M62" s="102">
        <f t="shared" si="37"/>
        <v>0.15830556346336019</v>
      </c>
      <c r="N62" s="102">
        <f t="shared" si="37"/>
        <v>0.17057194667494235</v>
      </c>
      <c r="O62" s="102">
        <f t="shared" si="37"/>
        <v>0.18324504158657304</v>
      </c>
      <c r="P62" s="102">
        <f t="shared" si="37"/>
        <v>0.19632484819825224</v>
      </c>
      <c r="Q62" s="102">
        <f t="shared" si="37"/>
        <v>0.20981136650998</v>
      </c>
      <c r="R62" s="102">
        <f t="shared" si="37"/>
        <v>0.22370459652175634</v>
      </c>
      <c r="S62" s="102">
        <f t="shared" si="37"/>
        <v>0.23800453823358114</v>
      </c>
      <c r="T62" s="102">
        <f t="shared" si="37"/>
        <v>0.25271119164545452</v>
      </c>
      <c r="U62" s="102">
        <f t="shared" si="37"/>
        <v>0.26782455675737649</v>
      </c>
      <c r="V62" s="102">
        <f t="shared" si="37"/>
        <v>0.28334463356934692</v>
      </c>
      <c r="W62" s="102">
        <f t="shared" si="37"/>
        <v>0.29927142208136592</v>
      </c>
      <c r="X62" s="102">
        <f t="shared" si="37"/>
        <v>0.31895094926809653</v>
      </c>
      <c r="Y62" s="102">
        <f t="shared" si="37"/>
        <v>0.33925589773171116</v>
      </c>
      <c r="Z62" s="102">
        <f t="shared" si="37"/>
        <v>0.36018626747220983</v>
      </c>
      <c r="AA62" s="102">
        <f t="shared" si="37"/>
        <v>0.38174205848959231</v>
      </c>
      <c r="AB62" s="102">
        <f t="shared" si="37"/>
        <v>0.40392327078385881</v>
      </c>
      <c r="AC62" s="102">
        <f t="shared" si="37"/>
        <v>0.42672990435500929</v>
      </c>
      <c r="AD62" s="102">
        <f t="shared" si="37"/>
        <v>0.45016195920304369</v>
      </c>
      <c r="AE62" s="102">
        <f t="shared" si="37"/>
        <v>0.47421943532796218</v>
      </c>
      <c r="AF62" s="102">
        <f t="shared" si="37"/>
        <v>0.49890233272976447</v>
      </c>
      <c r="AG62" s="102">
        <f t="shared" si="37"/>
        <v>0.52421065140845069</v>
      </c>
      <c r="AI62" s="124"/>
      <c r="AJ62" s="185"/>
      <c r="AL62" s="100"/>
      <c r="AM62" s="2"/>
      <c r="AN62" s="2"/>
      <c r="AO62" s="2"/>
    </row>
    <row r="63" spans="1:63" outlineLevel="1">
      <c r="A63" t="s">
        <v>496</v>
      </c>
      <c r="B63" s="50" t="s">
        <v>126</v>
      </c>
      <c r="C63" s="102">
        <f>C59*C56</f>
        <v>6.4863345965423978E-3</v>
      </c>
      <c r="D63" s="102">
        <f t="shared" ref="D63:AG63" si="38">D59*D56</f>
        <v>7.5202493338003941E-3</v>
      </c>
      <c r="E63" s="102">
        <f t="shared" si="38"/>
        <v>8.6217448336708535E-3</v>
      </c>
      <c r="F63" s="102">
        <f t="shared" si="38"/>
        <v>9.7908210961537775E-3</v>
      </c>
      <c r="G63" s="102">
        <f t="shared" si="38"/>
        <v>1.1027478121249164E-2</v>
      </c>
      <c r="H63" s="102">
        <f t="shared" si="38"/>
        <v>1.2331715908957021E-2</v>
      </c>
      <c r="I63" s="102">
        <f t="shared" si="38"/>
        <v>1.3703534459277335E-2</v>
      </c>
      <c r="J63" s="102">
        <f t="shared" si="38"/>
        <v>1.5142933772210118E-2</v>
      </c>
      <c r="K63" s="102">
        <f t="shared" si="38"/>
        <v>1.6649913847755365E-2</v>
      </c>
      <c r="L63" s="102">
        <f t="shared" si="38"/>
        <v>1.8224474685913074E-2</v>
      </c>
      <c r="M63" s="102">
        <f t="shared" si="38"/>
        <v>1.986661628668325E-2</v>
      </c>
      <c r="N63" s="102">
        <f t="shared" si="38"/>
        <v>2.0974289200636632E-2</v>
      </c>
      <c r="O63" s="102">
        <f t="shared" si="38"/>
        <v>2.2091085517542696E-2</v>
      </c>
      <c r="P63" s="102">
        <f t="shared" si="38"/>
        <v>2.3217005237401441E-2</v>
      </c>
      <c r="Q63" s="102">
        <f t="shared" si="38"/>
        <v>2.4352048360212868E-2</v>
      </c>
      <c r="R63" s="102">
        <f t="shared" si="38"/>
        <v>2.5496214885976982E-2</v>
      </c>
      <c r="S63" s="102">
        <f t="shared" si="38"/>
        <v>2.6649504814693779E-2</v>
      </c>
      <c r="T63" s="102">
        <f t="shared" si="38"/>
        <v>2.7811918146363256E-2</v>
      </c>
      <c r="U63" s="102">
        <f t="shared" si="38"/>
        <v>2.8983454880985412E-2</v>
      </c>
      <c r="V63" s="102">
        <f t="shared" si="38"/>
        <v>3.0164115018560256E-2</v>
      </c>
      <c r="W63" s="102">
        <f t="shared" si="38"/>
        <v>3.1353898559087781E-2</v>
      </c>
      <c r="X63" s="102">
        <f t="shared" si="38"/>
        <v>3.2559086534596833E-2</v>
      </c>
      <c r="Y63" s="102">
        <f t="shared" si="38"/>
        <v>3.3773808466191435E-2</v>
      </c>
      <c r="Z63" s="102">
        <f t="shared" si="38"/>
        <v>3.4998064353871594E-2</v>
      </c>
      <c r="AA63" s="102">
        <f t="shared" si="38"/>
        <v>3.6231854197637296E-2</v>
      </c>
      <c r="AB63" s="102">
        <f t="shared" si="38"/>
        <v>3.7475177997488562E-2</v>
      </c>
      <c r="AC63" s="102">
        <f t="shared" si="38"/>
        <v>3.8728035753425386E-2</v>
      </c>
      <c r="AD63" s="102">
        <f t="shared" si="38"/>
        <v>3.9990427465447752E-2</v>
      </c>
      <c r="AE63" s="102">
        <f t="shared" si="38"/>
        <v>4.1262353133555675E-2</v>
      </c>
      <c r="AF63" s="102">
        <f t="shared" si="38"/>
        <v>4.2543812757749155E-2</v>
      </c>
      <c r="AG63" s="102">
        <f t="shared" si="38"/>
        <v>4.3834806338028172E-2</v>
      </c>
      <c r="AI63" s="124"/>
      <c r="AJ63" s="185"/>
      <c r="AL63" s="100"/>
      <c r="AM63" s="2"/>
      <c r="AN63" s="2"/>
      <c r="AO63" s="2"/>
      <c r="BC63" s="1"/>
      <c r="BD63" s="2"/>
      <c r="BE63" s="2"/>
      <c r="BF63" s="2"/>
      <c r="BG63" s="2"/>
      <c r="BH63" s="2"/>
      <c r="BI63" s="2"/>
      <c r="BJ63" s="2"/>
      <c r="BK63" s="2"/>
    </row>
    <row r="64" spans="1:63" outlineLevel="1">
      <c r="A64" t="s">
        <v>497</v>
      </c>
      <c r="B64" s="50" t="s">
        <v>126</v>
      </c>
      <c r="C64" s="102">
        <f>C59*C57</f>
        <v>2.5945338386169591E-2</v>
      </c>
      <c r="D64" s="102">
        <f t="shared" ref="D64:AG64" si="39">D59*D57</f>
        <v>3.0080997335201577E-2</v>
      </c>
      <c r="E64" s="102">
        <f t="shared" si="39"/>
        <v>3.4486979334683414E-2</v>
      </c>
      <c r="F64" s="102">
        <f t="shared" si="39"/>
        <v>3.916328438461511E-2</v>
      </c>
      <c r="G64" s="102">
        <f t="shared" si="39"/>
        <v>4.4109912484996655E-2</v>
      </c>
      <c r="H64" s="102">
        <f t="shared" si="39"/>
        <v>4.9326863635828083E-2</v>
      </c>
      <c r="I64" s="102">
        <f t="shared" si="39"/>
        <v>5.4814137837109339E-2</v>
      </c>
      <c r="J64" s="102">
        <f t="shared" si="39"/>
        <v>6.0571735088840471E-2</v>
      </c>
      <c r="K64" s="102">
        <f t="shared" si="39"/>
        <v>6.6599655391021459E-2</v>
      </c>
      <c r="L64" s="102">
        <f t="shared" si="39"/>
        <v>7.2897898743652295E-2</v>
      </c>
      <c r="M64" s="102">
        <f t="shared" si="39"/>
        <v>7.9466465146733001E-2</v>
      </c>
      <c r="N64" s="102">
        <f t="shared" si="39"/>
        <v>8.389715680254653E-2</v>
      </c>
      <c r="O64" s="102">
        <f t="shared" si="39"/>
        <v>8.8364342070170784E-2</v>
      </c>
      <c r="P64" s="102">
        <f t="shared" si="39"/>
        <v>9.2868020949605765E-2</v>
      </c>
      <c r="Q64" s="102">
        <f t="shared" si="39"/>
        <v>9.740819344085147E-2</v>
      </c>
      <c r="R64" s="102">
        <f t="shared" si="39"/>
        <v>0.10198485954390793</v>
      </c>
      <c r="S64" s="102">
        <f t="shared" si="39"/>
        <v>0.10659801925877511</v>
      </c>
      <c r="T64" s="102">
        <f t="shared" si="39"/>
        <v>0.11124767258545303</v>
      </c>
      <c r="U64" s="102">
        <f t="shared" si="39"/>
        <v>0.11593381952394165</v>
      </c>
      <c r="V64" s="102">
        <f t="shared" si="39"/>
        <v>0.12065646007424102</v>
      </c>
      <c r="W64" s="102">
        <f t="shared" si="39"/>
        <v>0.12541559423635112</v>
      </c>
      <c r="X64" s="102">
        <f t="shared" si="39"/>
        <v>0.13023634613838733</v>
      </c>
      <c r="Y64" s="102">
        <f t="shared" si="39"/>
        <v>0.13509523386476574</v>
      </c>
      <c r="Z64" s="102">
        <f t="shared" si="39"/>
        <v>0.13999225741548638</v>
      </c>
      <c r="AA64" s="102">
        <f t="shared" si="39"/>
        <v>0.14492741679054919</v>
      </c>
      <c r="AB64" s="102">
        <f t="shared" si="39"/>
        <v>0.14990071198995425</v>
      </c>
      <c r="AC64" s="102">
        <f t="shared" si="39"/>
        <v>0.15491214301370154</v>
      </c>
      <c r="AD64" s="102">
        <f t="shared" si="39"/>
        <v>0.15996170986179101</v>
      </c>
      <c r="AE64" s="102">
        <f t="shared" si="39"/>
        <v>0.1650494125342227</v>
      </c>
      <c r="AF64" s="102">
        <f t="shared" si="39"/>
        <v>0.17017525103099662</v>
      </c>
      <c r="AG64" s="102">
        <f t="shared" si="39"/>
        <v>0.17533922535211269</v>
      </c>
      <c r="AI64" s="124"/>
      <c r="AJ64" s="185"/>
      <c r="AL64" s="100"/>
      <c r="AM64" s="2"/>
      <c r="AN64" s="2"/>
      <c r="AO64" s="2"/>
      <c r="BC64" s="1"/>
      <c r="BD64" s="2"/>
      <c r="BE64" s="2"/>
      <c r="BF64" s="2"/>
      <c r="BG64" s="2"/>
      <c r="BH64" s="2"/>
      <c r="BI64" s="2"/>
      <c r="BJ64" s="2"/>
      <c r="BK64" s="2"/>
    </row>
    <row r="65" spans="1:62" outlineLevel="1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I65" s="125"/>
      <c r="AJ65" s="185"/>
      <c r="AL65" s="100"/>
      <c r="AM65" s="123"/>
      <c r="AN65" s="2"/>
      <c r="AO65" s="2"/>
    </row>
    <row r="66" spans="1:62" s="174" customFormat="1" ht="15.5" thickBot="1">
      <c r="A66" s="174" t="s">
        <v>421</v>
      </c>
      <c r="B66" s="189"/>
      <c r="C66" s="195">
        <f>C67</f>
        <v>0.19</v>
      </c>
      <c r="D66" s="195">
        <f t="shared" ref="D66:AG66" si="40">D67</f>
        <v>0.20515750741304789</v>
      </c>
      <c r="E66" s="195">
        <f t="shared" si="40"/>
        <v>0.22031501482609578</v>
      </c>
      <c r="F66" s="195">
        <f t="shared" si="40"/>
        <v>0.23547252223914367</v>
      </c>
      <c r="G66" s="195">
        <f t="shared" si="40"/>
        <v>0.25063002965219155</v>
      </c>
      <c r="H66" s="195">
        <f t="shared" si="40"/>
        <v>0.26578753706523939</v>
      </c>
      <c r="I66" s="195">
        <f t="shared" si="40"/>
        <v>0.28094504447828728</v>
      </c>
      <c r="J66" s="195">
        <f t="shared" si="40"/>
        <v>0.29610255189133516</v>
      </c>
      <c r="K66" s="195">
        <f t="shared" si="40"/>
        <v>0.31126005930438305</v>
      </c>
      <c r="L66" s="195">
        <f t="shared" si="40"/>
        <v>0.32641756671743094</v>
      </c>
      <c r="M66" s="195">
        <f t="shared" si="40"/>
        <v>0.34157507413047883</v>
      </c>
      <c r="N66" s="195">
        <f t="shared" si="40"/>
        <v>0.35175830083520832</v>
      </c>
      <c r="O66" s="195">
        <f t="shared" si="40"/>
        <v>0.3619415275399378</v>
      </c>
      <c r="P66" s="195">
        <f t="shared" si="40"/>
        <v>0.37212475424466734</v>
      </c>
      <c r="Q66" s="195">
        <f t="shared" si="40"/>
        <v>0.38230798094939683</v>
      </c>
      <c r="R66" s="195">
        <f t="shared" si="40"/>
        <v>0.39249120765412632</v>
      </c>
      <c r="S66" s="195">
        <f t="shared" si="40"/>
        <v>0.4026744343588558</v>
      </c>
      <c r="T66" s="195">
        <f t="shared" si="40"/>
        <v>0.41285766106358529</v>
      </c>
      <c r="U66" s="195">
        <f t="shared" si="40"/>
        <v>0.42304088776831483</v>
      </c>
      <c r="V66" s="195">
        <f t="shared" si="40"/>
        <v>0.43322411447304432</v>
      </c>
      <c r="W66" s="195">
        <f t="shared" si="40"/>
        <v>0.44340734117777381</v>
      </c>
      <c r="X66" s="195">
        <f t="shared" si="40"/>
        <v>0.45906660705999641</v>
      </c>
      <c r="Y66" s="195">
        <f t="shared" si="40"/>
        <v>0.47472587294221902</v>
      </c>
      <c r="Z66" s="195">
        <f t="shared" si="40"/>
        <v>0.49038513882444168</v>
      </c>
      <c r="AA66" s="195">
        <f t="shared" si="40"/>
        <v>0.50604440470666423</v>
      </c>
      <c r="AB66" s="195">
        <f t="shared" si="40"/>
        <v>0.52170367058888689</v>
      </c>
      <c r="AC66" s="195">
        <f t="shared" si="40"/>
        <v>0.53736293647110944</v>
      </c>
      <c r="AD66" s="195">
        <f t="shared" si="40"/>
        <v>0.5530222023533321</v>
      </c>
      <c r="AE66" s="195">
        <f t="shared" si="40"/>
        <v>0.56868146823555477</v>
      </c>
      <c r="AF66" s="195">
        <f t="shared" si="40"/>
        <v>0.58434073411777732</v>
      </c>
      <c r="AG66" s="195">
        <f t="shared" si="40"/>
        <v>0.6</v>
      </c>
      <c r="AJ66" s="204" t="s">
        <v>491</v>
      </c>
      <c r="AL66" s="191"/>
      <c r="AM66" s="192"/>
      <c r="AN66" s="192"/>
      <c r="AO66" s="192"/>
    </row>
    <row r="67" spans="1:62" ht="15.5" outlineLevel="1" thickTop="1">
      <c r="A67" t="s">
        <v>413</v>
      </c>
      <c r="B67" s="50" t="s">
        <v>126</v>
      </c>
      <c r="C67" s="558">
        <v>0.19</v>
      </c>
      <c r="D67" s="102">
        <f>$C67+($M67-$C67)/10*(D$1-$C$1)</f>
        <v>0.20515750741304789</v>
      </c>
      <c r="E67" s="102">
        <f t="shared" ref="E67:L67" si="41">$C67+($M67-$C67)/10*(E$1-$C$1)</f>
        <v>0.22031501482609578</v>
      </c>
      <c r="F67" s="102">
        <f t="shared" si="41"/>
        <v>0.23547252223914367</v>
      </c>
      <c r="G67" s="102">
        <f t="shared" si="41"/>
        <v>0.25063002965219155</v>
      </c>
      <c r="H67" s="102">
        <f t="shared" si="41"/>
        <v>0.26578753706523939</v>
      </c>
      <c r="I67" s="102">
        <f t="shared" si="41"/>
        <v>0.28094504447828728</v>
      </c>
      <c r="J67" s="102">
        <f t="shared" si="41"/>
        <v>0.29610255189133516</v>
      </c>
      <c r="K67" s="102">
        <f t="shared" si="41"/>
        <v>0.31126005930438305</v>
      </c>
      <c r="L67" s="102">
        <f t="shared" si="41"/>
        <v>0.32641756671743094</v>
      </c>
      <c r="M67" s="113">
        <f>(M$52-$C$52)/($AG$52-$C$52)*($AG67-$C67)+$C67</f>
        <v>0.34157507413047883</v>
      </c>
      <c r="N67" s="113">
        <f>$M67+($W67-$M67)/10*(N$1-$M$1)</f>
        <v>0.35175830083520832</v>
      </c>
      <c r="O67" s="113">
        <f t="shared" ref="O67:U67" si="42">$M67+($W67-$M67)/10*(O$1-$M$1)</f>
        <v>0.3619415275399378</v>
      </c>
      <c r="P67" s="113">
        <f t="shared" si="42"/>
        <v>0.37212475424466734</v>
      </c>
      <c r="Q67" s="113">
        <f t="shared" si="42"/>
        <v>0.38230798094939683</v>
      </c>
      <c r="R67" s="113">
        <f t="shared" si="42"/>
        <v>0.39249120765412632</v>
      </c>
      <c r="S67" s="113">
        <f t="shared" si="42"/>
        <v>0.4026744343588558</v>
      </c>
      <c r="T67" s="113">
        <f t="shared" si="42"/>
        <v>0.41285766106358529</v>
      </c>
      <c r="U67" s="113">
        <f t="shared" si="42"/>
        <v>0.42304088776831483</v>
      </c>
      <c r="V67" s="113">
        <f>$M67+($W67-$M67)/10*(V$1-$M$1)</f>
        <v>0.43322411447304432</v>
      </c>
      <c r="W67" s="113">
        <f>(W$52-$C$52)/($AG$52-$C$52)*($AG67-$C67)+$C67</f>
        <v>0.44340734117777381</v>
      </c>
      <c r="X67" s="102">
        <f>$W67+($AG67-$W67)/10*(X$1-$W$1)</f>
        <v>0.45906660705999641</v>
      </c>
      <c r="Y67" s="102">
        <f t="shared" ref="Y67:AF67" si="43">$W67+($AG67-$W67)/10*(Y$1-$W$1)</f>
        <v>0.47472587294221902</v>
      </c>
      <c r="Z67" s="102">
        <f t="shared" si="43"/>
        <v>0.49038513882444168</v>
      </c>
      <c r="AA67" s="102">
        <f t="shared" si="43"/>
        <v>0.50604440470666423</v>
      </c>
      <c r="AB67" s="102">
        <f t="shared" si="43"/>
        <v>0.52170367058888689</v>
      </c>
      <c r="AC67" s="102">
        <f t="shared" si="43"/>
        <v>0.53736293647110944</v>
      </c>
      <c r="AD67" s="102">
        <f t="shared" si="43"/>
        <v>0.5530222023533321</v>
      </c>
      <c r="AE67" s="102">
        <f t="shared" si="43"/>
        <v>0.56868146823555477</v>
      </c>
      <c r="AF67" s="102">
        <f t="shared" si="43"/>
        <v>0.58434073411777732</v>
      </c>
      <c r="AG67" s="559">
        <v>0.6</v>
      </c>
      <c r="AJ67" s="185" t="s">
        <v>1469</v>
      </c>
    </row>
    <row r="68" spans="1:62" outlineLevel="1">
      <c r="A68" t="s">
        <v>414</v>
      </c>
      <c r="B68" s="50" t="s">
        <v>126</v>
      </c>
      <c r="C68" s="188">
        <v>0.08</v>
      </c>
      <c r="D68" s="102">
        <f t="shared" ref="D68:AF68" si="44">C68-($C$68-$AG$68)/($AG$1-$C$1)</f>
        <v>0.10400000000000001</v>
      </c>
      <c r="E68" s="102">
        <f t="shared" si="44"/>
        <v>0.128</v>
      </c>
      <c r="F68" s="102">
        <f t="shared" si="44"/>
        <v>0.152</v>
      </c>
      <c r="G68" s="102">
        <f t="shared" si="44"/>
        <v>0.17599999999999999</v>
      </c>
      <c r="H68" s="102">
        <f t="shared" si="44"/>
        <v>0.19999999999999998</v>
      </c>
      <c r="I68" s="102">
        <f t="shared" si="44"/>
        <v>0.22399999999999998</v>
      </c>
      <c r="J68" s="102">
        <f t="shared" si="44"/>
        <v>0.24799999999999997</v>
      </c>
      <c r="K68" s="102">
        <f t="shared" si="44"/>
        <v>0.27199999999999996</v>
      </c>
      <c r="L68" s="102">
        <f t="shared" si="44"/>
        <v>0.29599999999999999</v>
      </c>
      <c r="M68" s="102">
        <f t="shared" si="44"/>
        <v>0.32</v>
      </c>
      <c r="N68" s="102">
        <f t="shared" si="44"/>
        <v>0.34400000000000003</v>
      </c>
      <c r="O68" s="102">
        <f t="shared" si="44"/>
        <v>0.36800000000000005</v>
      </c>
      <c r="P68" s="102">
        <f t="shared" si="44"/>
        <v>0.39200000000000007</v>
      </c>
      <c r="Q68" s="102">
        <f t="shared" si="44"/>
        <v>0.41600000000000009</v>
      </c>
      <c r="R68" s="102">
        <f t="shared" si="44"/>
        <v>0.44000000000000011</v>
      </c>
      <c r="S68" s="102">
        <f t="shared" si="44"/>
        <v>0.46400000000000013</v>
      </c>
      <c r="T68" s="102">
        <f t="shared" si="44"/>
        <v>0.48800000000000016</v>
      </c>
      <c r="U68" s="102">
        <f t="shared" si="44"/>
        <v>0.51200000000000012</v>
      </c>
      <c r="V68" s="102">
        <f t="shared" si="44"/>
        <v>0.53600000000000014</v>
      </c>
      <c r="W68" s="102">
        <f t="shared" si="44"/>
        <v>0.56000000000000016</v>
      </c>
      <c r="X68" s="102">
        <f t="shared" si="44"/>
        <v>0.58400000000000019</v>
      </c>
      <c r="Y68" s="102">
        <f t="shared" si="44"/>
        <v>0.60800000000000021</v>
      </c>
      <c r="Z68" s="102">
        <f t="shared" si="44"/>
        <v>0.63200000000000023</v>
      </c>
      <c r="AA68" s="102">
        <f t="shared" si="44"/>
        <v>0.65600000000000025</v>
      </c>
      <c r="AB68" s="102">
        <f t="shared" si="44"/>
        <v>0.68000000000000027</v>
      </c>
      <c r="AC68" s="102">
        <f t="shared" si="44"/>
        <v>0.70400000000000029</v>
      </c>
      <c r="AD68" s="102">
        <f t="shared" si="44"/>
        <v>0.72800000000000031</v>
      </c>
      <c r="AE68" s="102">
        <f t="shared" si="44"/>
        <v>0.75200000000000033</v>
      </c>
      <c r="AF68" s="102">
        <f t="shared" si="44"/>
        <v>0.77600000000000036</v>
      </c>
      <c r="AG68" s="188">
        <v>0.8</v>
      </c>
      <c r="AI68" s="125"/>
      <c r="AJ68" s="185" t="s">
        <v>444</v>
      </c>
      <c r="AL68" s="50" t="s">
        <v>498</v>
      </c>
    </row>
    <row r="69" spans="1:62" outlineLevel="1">
      <c r="A69" t="s">
        <v>415</v>
      </c>
      <c r="B69" s="156" t="s">
        <v>126</v>
      </c>
      <c r="C69" s="102">
        <f>1-C68</f>
        <v>0.92</v>
      </c>
      <c r="D69" s="102">
        <f t="shared" ref="D69:AG69" si="45">1-D68</f>
        <v>0.89600000000000002</v>
      </c>
      <c r="E69" s="102">
        <f t="shared" si="45"/>
        <v>0.872</v>
      </c>
      <c r="F69" s="102">
        <f t="shared" si="45"/>
        <v>0.84799999999999998</v>
      </c>
      <c r="G69" s="102">
        <f t="shared" si="45"/>
        <v>0.82400000000000007</v>
      </c>
      <c r="H69" s="102">
        <f t="shared" si="45"/>
        <v>0.8</v>
      </c>
      <c r="I69" s="102">
        <f t="shared" si="45"/>
        <v>0.77600000000000002</v>
      </c>
      <c r="J69" s="102">
        <f t="shared" si="45"/>
        <v>0.752</v>
      </c>
      <c r="K69" s="102">
        <f t="shared" si="45"/>
        <v>0.72799999999999998</v>
      </c>
      <c r="L69" s="102">
        <f t="shared" si="45"/>
        <v>0.70399999999999996</v>
      </c>
      <c r="M69" s="102">
        <f t="shared" si="45"/>
        <v>0.67999999999999994</v>
      </c>
      <c r="N69" s="102">
        <f t="shared" si="45"/>
        <v>0.65599999999999992</v>
      </c>
      <c r="O69" s="102">
        <f t="shared" si="45"/>
        <v>0.6319999999999999</v>
      </c>
      <c r="P69" s="102">
        <f t="shared" si="45"/>
        <v>0.60799999999999987</v>
      </c>
      <c r="Q69" s="102">
        <f t="shared" si="45"/>
        <v>0.58399999999999985</v>
      </c>
      <c r="R69" s="102">
        <f t="shared" si="45"/>
        <v>0.55999999999999983</v>
      </c>
      <c r="S69" s="102">
        <f t="shared" si="45"/>
        <v>0.53599999999999981</v>
      </c>
      <c r="T69" s="102">
        <f t="shared" si="45"/>
        <v>0.51199999999999979</v>
      </c>
      <c r="U69" s="102">
        <f t="shared" si="45"/>
        <v>0.48799999999999988</v>
      </c>
      <c r="V69" s="102">
        <f t="shared" si="45"/>
        <v>0.46399999999999986</v>
      </c>
      <c r="W69" s="102">
        <f t="shared" si="45"/>
        <v>0.43999999999999984</v>
      </c>
      <c r="X69" s="102">
        <f t="shared" si="45"/>
        <v>0.41599999999999981</v>
      </c>
      <c r="Y69" s="102">
        <f t="shared" si="45"/>
        <v>0.39199999999999979</v>
      </c>
      <c r="Z69" s="102">
        <f t="shared" si="45"/>
        <v>0.36799999999999977</v>
      </c>
      <c r="AA69" s="102">
        <f t="shared" si="45"/>
        <v>0.34399999999999975</v>
      </c>
      <c r="AB69" s="102">
        <f t="shared" si="45"/>
        <v>0.31999999999999973</v>
      </c>
      <c r="AC69" s="102">
        <f t="shared" si="45"/>
        <v>0.29599999999999971</v>
      </c>
      <c r="AD69" s="102">
        <f t="shared" si="45"/>
        <v>0.27199999999999969</v>
      </c>
      <c r="AE69" s="102">
        <f t="shared" si="45"/>
        <v>0.24799999999999967</v>
      </c>
      <c r="AF69" s="102">
        <f t="shared" si="45"/>
        <v>0.22399999999999964</v>
      </c>
      <c r="AG69" s="102">
        <f t="shared" si="45"/>
        <v>0.19999999999999996</v>
      </c>
      <c r="AI69" s="125"/>
      <c r="AJ69" s="185"/>
      <c r="BD69" s="605"/>
      <c r="BE69" s="605"/>
    </row>
    <row r="70" spans="1:62" outlineLevel="1">
      <c r="A70" t="s">
        <v>480</v>
      </c>
      <c r="B70" s="50" t="s">
        <v>126</v>
      </c>
      <c r="C70" s="102">
        <f>C67*C68</f>
        <v>1.52E-2</v>
      </c>
      <c r="D70" s="102">
        <f t="shared" ref="D70:AG70" si="46">D67*D68</f>
        <v>2.1336380770956981E-2</v>
      </c>
      <c r="E70" s="102">
        <f t="shared" si="46"/>
        <v>2.8200321897740261E-2</v>
      </c>
      <c r="F70" s="102">
        <f t="shared" si="46"/>
        <v>3.5791823380349835E-2</v>
      </c>
      <c r="G70" s="102">
        <f t="shared" si="46"/>
        <v>4.4110885218785714E-2</v>
      </c>
      <c r="H70" s="102">
        <f t="shared" si="46"/>
        <v>5.3157507413047873E-2</v>
      </c>
      <c r="I70" s="102">
        <f t="shared" si="46"/>
        <v>6.2931689963136347E-2</v>
      </c>
      <c r="J70" s="102">
        <f t="shared" si="46"/>
        <v>7.3433432869051116E-2</v>
      </c>
      <c r="K70" s="102">
        <f t="shared" si="46"/>
        <v>8.4662736130792185E-2</v>
      </c>
      <c r="L70" s="102">
        <f t="shared" si="46"/>
        <v>9.6619599748359555E-2</v>
      </c>
      <c r="M70" s="102">
        <f t="shared" si="46"/>
        <v>0.10930402372175323</v>
      </c>
      <c r="N70" s="102">
        <f t="shared" si="46"/>
        <v>0.12100485548731167</v>
      </c>
      <c r="O70" s="102">
        <f t="shared" si="46"/>
        <v>0.13319448213469712</v>
      </c>
      <c r="P70" s="102">
        <f t="shared" si="46"/>
        <v>0.14587290366390962</v>
      </c>
      <c r="Q70" s="102">
        <f t="shared" si="46"/>
        <v>0.15904012007494911</v>
      </c>
      <c r="R70" s="102">
        <f t="shared" si="46"/>
        <v>0.17269613136781561</v>
      </c>
      <c r="S70" s="102">
        <f t="shared" si="46"/>
        <v>0.18684093754250913</v>
      </c>
      <c r="T70" s="102">
        <f t="shared" si="46"/>
        <v>0.2014745385990297</v>
      </c>
      <c r="U70" s="102">
        <f t="shared" si="46"/>
        <v>0.21659693453737724</v>
      </c>
      <c r="V70" s="102">
        <f t="shared" si="46"/>
        <v>0.23220812535755181</v>
      </c>
      <c r="W70" s="102">
        <f t="shared" si="46"/>
        <v>0.24830811105955342</v>
      </c>
      <c r="X70" s="102">
        <f t="shared" si="46"/>
        <v>0.26809489852303797</v>
      </c>
      <c r="Y70" s="102">
        <f t="shared" si="46"/>
        <v>0.28863333074886927</v>
      </c>
      <c r="Z70" s="102">
        <f t="shared" si="46"/>
        <v>0.30992340773704724</v>
      </c>
      <c r="AA70" s="102">
        <f t="shared" si="46"/>
        <v>0.33196512948757184</v>
      </c>
      <c r="AB70" s="102">
        <f t="shared" si="46"/>
        <v>0.35475849600044324</v>
      </c>
      <c r="AC70" s="102">
        <f t="shared" si="46"/>
        <v>0.3783035072756612</v>
      </c>
      <c r="AD70" s="102">
        <f t="shared" si="46"/>
        <v>0.40260016331322596</v>
      </c>
      <c r="AE70" s="102">
        <f t="shared" si="46"/>
        <v>0.42764846411313739</v>
      </c>
      <c r="AF70" s="102">
        <f t="shared" si="46"/>
        <v>0.4534484096753954</v>
      </c>
      <c r="AG70" s="102">
        <f t="shared" si="46"/>
        <v>0.48</v>
      </c>
      <c r="AI70" s="125"/>
      <c r="AJ70" s="185"/>
      <c r="BD70" s="177"/>
      <c r="BE70" s="177"/>
    </row>
    <row r="71" spans="1:62" outlineLevel="1">
      <c r="A71" t="s">
        <v>481</v>
      </c>
      <c r="B71" s="50" t="s">
        <v>126</v>
      </c>
      <c r="C71" s="102">
        <f>C67*C69</f>
        <v>0.17480000000000001</v>
      </c>
      <c r="D71" s="102">
        <f t="shared" ref="D71:AG71" si="47">D67*D69</f>
        <v>0.18382112664209091</v>
      </c>
      <c r="E71" s="102">
        <f t="shared" si="47"/>
        <v>0.19211469292835551</v>
      </c>
      <c r="F71" s="102">
        <f t="shared" si="47"/>
        <v>0.19968069885879383</v>
      </c>
      <c r="G71" s="102">
        <f t="shared" si="47"/>
        <v>0.20651914443340585</v>
      </c>
      <c r="H71" s="102">
        <f t="shared" si="47"/>
        <v>0.21263002965219152</v>
      </c>
      <c r="I71" s="102">
        <f t="shared" si="47"/>
        <v>0.21801335451515094</v>
      </c>
      <c r="J71" s="102">
        <f t="shared" si="47"/>
        <v>0.22266911902228403</v>
      </c>
      <c r="K71" s="102">
        <f t="shared" si="47"/>
        <v>0.22659732317359085</v>
      </c>
      <c r="L71" s="102">
        <f t="shared" si="47"/>
        <v>0.22979796696907137</v>
      </c>
      <c r="M71" s="102">
        <f t="shared" si="47"/>
        <v>0.23227105040872559</v>
      </c>
      <c r="N71" s="102">
        <f t="shared" si="47"/>
        <v>0.23075344534789663</v>
      </c>
      <c r="O71" s="102">
        <f t="shared" si="47"/>
        <v>0.22874704540524066</v>
      </c>
      <c r="P71" s="102">
        <f t="shared" si="47"/>
        <v>0.2262518505807577</v>
      </c>
      <c r="Q71" s="102">
        <f t="shared" si="47"/>
        <v>0.22326786087444769</v>
      </c>
      <c r="R71" s="102">
        <f t="shared" si="47"/>
        <v>0.21979507628631068</v>
      </c>
      <c r="S71" s="102">
        <f t="shared" si="47"/>
        <v>0.21583349681634664</v>
      </c>
      <c r="T71" s="102">
        <f t="shared" si="47"/>
        <v>0.2113831224645556</v>
      </c>
      <c r="U71" s="102">
        <f t="shared" si="47"/>
        <v>0.20644395323093759</v>
      </c>
      <c r="V71" s="102">
        <f t="shared" si="47"/>
        <v>0.20101598911549251</v>
      </c>
      <c r="W71" s="102">
        <f t="shared" si="47"/>
        <v>0.19509923011822039</v>
      </c>
      <c r="X71" s="102">
        <f t="shared" si="47"/>
        <v>0.19097170853695841</v>
      </c>
      <c r="Y71" s="102">
        <f t="shared" si="47"/>
        <v>0.18609254219334975</v>
      </c>
      <c r="Z71" s="102">
        <f t="shared" si="47"/>
        <v>0.18046173108739444</v>
      </c>
      <c r="AA71" s="102">
        <f t="shared" si="47"/>
        <v>0.17407927521909236</v>
      </c>
      <c r="AB71" s="102">
        <f t="shared" si="47"/>
        <v>0.16694517458844366</v>
      </c>
      <c r="AC71" s="102">
        <f t="shared" si="47"/>
        <v>0.15905942919544824</v>
      </c>
      <c r="AD71" s="102">
        <f t="shared" si="47"/>
        <v>0.15042203904010615</v>
      </c>
      <c r="AE71" s="102">
        <f t="shared" si="47"/>
        <v>0.1410330041224174</v>
      </c>
      <c r="AF71" s="102">
        <f t="shared" si="47"/>
        <v>0.13089232444238191</v>
      </c>
      <c r="AG71" s="102">
        <f t="shared" si="47"/>
        <v>0.11999999999999997</v>
      </c>
      <c r="AI71" s="125"/>
      <c r="AJ71" s="185"/>
      <c r="BD71" s="177"/>
      <c r="BE71" s="177"/>
    </row>
    <row r="72" spans="1:62" outlineLevel="1">
      <c r="B72" s="156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I72" s="125"/>
      <c r="AJ72" s="185"/>
      <c r="BD72" s="177"/>
      <c r="BE72" s="177"/>
    </row>
    <row r="73" spans="1:62" outlineLevel="1">
      <c r="A73" t="s">
        <v>422</v>
      </c>
      <c r="B73" s="50" t="s">
        <v>126</v>
      </c>
      <c r="C73" s="188">
        <v>0.52</v>
      </c>
      <c r="D73" s="102">
        <f>C73</f>
        <v>0.52</v>
      </c>
      <c r="E73" s="102">
        <f t="shared" ref="E73:AG75" si="48">D73</f>
        <v>0.52</v>
      </c>
      <c r="F73" s="102">
        <f t="shared" si="48"/>
        <v>0.52</v>
      </c>
      <c r="G73" s="102">
        <f t="shared" si="48"/>
        <v>0.52</v>
      </c>
      <c r="H73" s="102">
        <f t="shared" si="48"/>
        <v>0.52</v>
      </c>
      <c r="I73" s="102">
        <f t="shared" si="48"/>
        <v>0.52</v>
      </c>
      <c r="J73" s="102">
        <f t="shared" si="48"/>
        <v>0.52</v>
      </c>
      <c r="K73" s="102">
        <f t="shared" si="48"/>
        <v>0.52</v>
      </c>
      <c r="L73" s="102">
        <f t="shared" si="48"/>
        <v>0.52</v>
      </c>
      <c r="M73" s="102">
        <f t="shared" si="48"/>
        <v>0.52</v>
      </c>
      <c r="N73" s="102">
        <f t="shared" si="48"/>
        <v>0.52</v>
      </c>
      <c r="O73" s="102">
        <f t="shared" si="48"/>
        <v>0.52</v>
      </c>
      <c r="P73" s="102">
        <f t="shared" si="48"/>
        <v>0.52</v>
      </c>
      <c r="Q73" s="102">
        <f t="shared" si="48"/>
        <v>0.52</v>
      </c>
      <c r="R73" s="102">
        <f t="shared" si="48"/>
        <v>0.52</v>
      </c>
      <c r="S73" s="102">
        <f t="shared" si="48"/>
        <v>0.52</v>
      </c>
      <c r="T73" s="102">
        <f t="shared" si="48"/>
        <v>0.52</v>
      </c>
      <c r="U73" s="102">
        <f t="shared" si="48"/>
        <v>0.52</v>
      </c>
      <c r="V73" s="102">
        <f t="shared" si="48"/>
        <v>0.52</v>
      </c>
      <c r="W73" s="102">
        <f t="shared" si="48"/>
        <v>0.52</v>
      </c>
      <c r="X73" s="102">
        <f t="shared" si="48"/>
        <v>0.52</v>
      </c>
      <c r="Y73" s="102">
        <f t="shared" si="48"/>
        <v>0.52</v>
      </c>
      <c r="Z73" s="102">
        <f t="shared" si="48"/>
        <v>0.52</v>
      </c>
      <c r="AA73" s="102">
        <f t="shared" si="48"/>
        <v>0.52</v>
      </c>
      <c r="AB73" s="102">
        <f t="shared" si="48"/>
        <v>0.52</v>
      </c>
      <c r="AC73" s="102">
        <f t="shared" si="48"/>
        <v>0.52</v>
      </c>
      <c r="AD73" s="102">
        <f t="shared" si="48"/>
        <v>0.52</v>
      </c>
      <c r="AE73" s="102">
        <f t="shared" si="48"/>
        <v>0.52</v>
      </c>
      <c r="AF73" s="102">
        <f t="shared" si="48"/>
        <v>0.52</v>
      </c>
      <c r="AG73" s="102">
        <f t="shared" si="48"/>
        <v>0.52</v>
      </c>
      <c r="AI73" s="124" t="s">
        <v>431</v>
      </c>
      <c r="AJ73" s="205" t="s">
        <v>443</v>
      </c>
      <c r="BD73" s="177"/>
      <c r="BE73" s="177"/>
    </row>
    <row r="74" spans="1:62" outlineLevel="1">
      <c r="A74" t="s">
        <v>429</v>
      </c>
      <c r="B74" s="50" t="s">
        <v>126</v>
      </c>
      <c r="C74" s="188">
        <v>0.12</v>
      </c>
      <c r="D74" s="102">
        <f t="shared" ref="D74:S75" si="49">C74</f>
        <v>0.12</v>
      </c>
      <c r="E74" s="102">
        <f t="shared" si="49"/>
        <v>0.12</v>
      </c>
      <c r="F74" s="102">
        <f t="shared" si="49"/>
        <v>0.12</v>
      </c>
      <c r="G74" s="102">
        <f t="shared" si="49"/>
        <v>0.12</v>
      </c>
      <c r="H74" s="102">
        <f t="shared" si="49"/>
        <v>0.12</v>
      </c>
      <c r="I74" s="102">
        <f t="shared" si="49"/>
        <v>0.12</v>
      </c>
      <c r="J74" s="102">
        <f t="shared" si="49"/>
        <v>0.12</v>
      </c>
      <c r="K74" s="102">
        <f t="shared" si="49"/>
        <v>0.12</v>
      </c>
      <c r="L74" s="102">
        <f t="shared" si="49"/>
        <v>0.12</v>
      </c>
      <c r="M74" s="102">
        <f t="shared" si="49"/>
        <v>0.12</v>
      </c>
      <c r="N74" s="102">
        <f t="shared" si="49"/>
        <v>0.12</v>
      </c>
      <c r="O74" s="102">
        <f t="shared" si="49"/>
        <v>0.12</v>
      </c>
      <c r="P74" s="102">
        <f t="shared" si="49"/>
        <v>0.12</v>
      </c>
      <c r="Q74" s="102">
        <f t="shared" si="49"/>
        <v>0.12</v>
      </c>
      <c r="R74" s="102">
        <f t="shared" si="49"/>
        <v>0.12</v>
      </c>
      <c r="S74" s="102">
        <f t="shared" si="49"/>
        <v>0.12</v>
      </c>
      <c r="T74" s="102">
        <f t="shared" si="48"/>
        <v>0.12</v>
      </c>
      <c r="U74" s="102">
        <f t="shared" si="48"/>
        <v>0.12</v>
      </c>
      <c r="V74" s="102">
        <f t="shared" si="48"/>
        <v>0.12</v>
      </c>
      <c r="W74" s="102">
        <f t="shared" si="48"/>
        <v>0.12</v>
      </c>
      <c r="X74" s="102">
        <f t="shared" si="48"/>
        <v>0.12</v>
      </c>
      <c r="Y74" s="102">
        <f t="shared" si="48"/>
        <v>0.12</v>
      </c>
      <c r="Z74" s="102">
        <f t="shared" si="48"/>
        <v>0.12</v>
      </c>
      <c r="AA74" s="102">
        <f t="shared" si="48"/>
        <v>0.12</v>
      </c>
      <c r="AB74" s="102">
        <f t="shared" si="48"/>
        <v>0.12</v>
      </c>
      <c r="AC74" s="102">
        <f t="shared" si="48"/>
        <v>0.12</v>
      </c>
      <c r="AD74" s="102">
        <f t="shared" si="48"/>
        <v>0.12</v>
      </c>
      <c r="AE74" s="102">
        <f t="shared" si="48"/>
        <v>0.12</v>
      </c>
      <c r="AF74" s="102">
        <f t="shared" si="48"/>
        <v>0.12</v>
      </c>
      <c r="AG74" s="102">
        <f t="shared" si="48"/>
        <v>0.12</v>
      </c>
      <c r="AI74" s="124" t="s">
        <v>431</v>
      </c>
      <c r="AJ74" s="205" t="s">
        <v>443</v>
      </c>
      <c r="AL74" s="1"/>
      <c r="BC74" s="1"/>
      <c r="BD74" s="615"/>
      <c r="BE74" s="605"/>
      <c r="BF74" s="6"/>
      <c r="BG74" s="6"/>
      <c r="BH74" s="6"/>
      <c r="BI74" s="6"/>
      <c r="BJ74" s="6"/>
    </row>
    <row r="75" spans="1:62" outlineLevel="1">
      <c r="A75" t="s">
        <v>430</v>
      </c>
      <c r="B75" s="50" t="s">
        <v>126</v>
      </c>
      <c r="C75" s="113">
        <f>1-C73-C74</f>
        <v>0.36</v>
      </c>
      <c r="D75" s="102">
        <f t="shared" si="49"/>
        <v>0.36</v>
      </c>
      <c r="E75" s="102">
        <f t="shared" si="48"/>
        <v>0.36</v>
      </c>
      <c r="F75" s="102">
        <f t="shared" si="48"/>
        <v>0.36</v>
      </c>
      <c r="G75" s="102">
        <f t="shared" si="48"/>
        <v>0.36</v>
      </c>
      <c r="H75" s="102">
        <f t="shared" si="48"/>
        <v>0.36</v>
      </c>
      <c r="I75" s="102">
        <f t="shared" si="48"/>
        <v>0.36</v>
      </c>
      <c r="J75" s="102">
        <f t="shared" si="48"/>
        <v>0.36</v>
      </c>
      <c r="K75" s="102">
        <f t="shared" si="48"/>
        <v>0.36</v>
      </c>
      <c r="L75" s="102">
        <f t="shared" si="48"/>
        <v>0.36</v>
      </c>
      <c r="M75" s="102">
        <f t="shared" si="48"/>
        <v>0.36</v>
      </c>
      <c r="N75" s="102">
        <f t="shared" si="48"/>
        <v>0.36</v>
      </c>
      <c r="O75" s="102">
        <f t="shared" si="48"/>
        <v>0.36</v>
      </c>
      <c r="P75" s="102">
        <f t="shared" si="48"/>
        <v>0.36</v>
      </c>
      <c r="Q75" s="102">
        <f t="shared" si="48"/>
        <v>0.36</v>
      </c>
      <c r="R75" s="102">
        <f t="shared" si="48"/>
        <v>0.36</v>
      </c>
      <c r="S75" s="102">
        <f t="shared" si="48"/>
        <v>0.36</v>
      </c>
      <c r="T75" s="102">
        <f t="shared" si="48"/>
        <v>0.36</v>
      </c>
      <c r="U75" s="102">
        <f t="shared" si="48"/>
        <v>0.36</v>
      </c>
      <c r="V75" s="102">
        <f t="shared" si="48"/>
        <v>0.36</v>
      </c>
      <c r="W75" s="102">
        <f t="shared" si="48"/>
        <v>0.36</v>
      </c>
      <c r="X75" s="102">
        <f t="shared" si="48"/>
        <v>0.36</v>
      </c>
      <c r="Y75" s="102">
        <f t="shared" si="48"/>
        <v>0.36</v>
      </c>
      <c r="Z75" s="102">
        <f t="shared" si="48"/>
        <v>0.36</v>
      </c>
      <c r="AA75" s="102">
        <f t="shared" si="48"/>
        <v>0.36</v>
      </c>
      <c r="AB75" s="102">
        <f t="shared" si="48"/>
        <v>0.36</v>
      </c>
      <c r="AC75" s="102">
        <f t="shared" si="48"/>
        <v>0.36</v>
      </c>
      <c r="AD75" s="102">
        <f t="shared" si="48"/>
        <v>0.36</v>
      </c>
      <c r="AE75" s="102">
        <f t="shared" si="48"/>
        <v>0.36</v>
      </c>
      <c r="AF75" s="102">
        <f t="shared" si="48"/>
        <v>0.36</v>
      </c>
      <c r="AG75" s="102">
        <f t="shared" si="48"/>
        <v>0.36</v>
      </c>
      <c r="AI75" s="124"/>
      <c r="AJ75" s="196"/>
      <c r="BC75" s="1"/>
      <c r="BD75" s="37"/>
      <c r="BF75" s="6"/>
      <c r="BG75" s="6"/>
      <c r="BH75" s="6"/>
      <c r="BI75" s="6"/>
      <c r="BJ75" s="6"/>
    </row>
    <row r="76" spans="1:62" outlineLevel="1">
      <c r="A76" t="s">
        <v>418</v>
      </c>
      <c r="B76" s="50" t="s">
        <v>126</v>
      </c>
      <c r="C76" s="102">
        <f>SUM(C73:C75)</f>
        <v>1</v>
      </c>
      <c r="D76" s="102">
        <f t="shared" ref="D76:AG76" si="50">SUM(D73:D75)</f>
        <v>1</v>
      </c>
      <c r="E76" s="102">
        <f t="shared" si="50"/>
        <v>1</v>
      </c>
      <c r="F76" s="102">
        <f t="shared" si="50"/>
        <v>1</v>
      </c>
      <c r="G76" s="102">
        <f t="shared" si="50"/>
        <v>1</v>
      </c>
      <c r="H76" s="102">
        <f t="shared" si="50"/>
        <v>1</v>
      </c>
      <c r="I76" s="102">
        <f t="shared" si="50"/>
        <v>1</v>
      </c>
      <c r="J76" s="102">
        <f t="shared" si="50"/>
        <v>1</v>
      </c>
      <c r="K76" s="102">
        <f t="shared" si="50"/>
        <v>1</v>
      </c>
      <c r="L76" s="102">
        <f t="shared" si="50"/>
        <v>1</v>
      </c>
      <c r="M76" s="102">
        <f t="shared" si="50"/>
        <v>1</v>
      </c>
      <c r="N76" s="102">
        <f t="shared" si="50"/>
        <v>1</v>
      </c>
      <c r="O76" s="102">
        <f t="shared" si="50"/>
        <v>1</v>
      </c>
      <c r="P76" s="102">
        <f t="shared" si="50"/>
        <v>1</v>
      </c>
      <c r="Q76" s="102">
        <f t="shared" si="50"/>
        <v>1</v>
      </c>
      <c r="R76" s="102">
        <f t="shared" si="50"/>
        <v>1</v>
      </c>
      <c r="S76" s="102">
        <f t="shared" si="50"/>
        <v>1</v>
      </c>
      <c r="T76" s="102">
        <f t="shared" si="50"/>
        <v>1</v>
      </c>
      <c r="U76" s="102">
        <f t="shared" si="50"/>
        <v>1</v>
      </c>
      <c r="V76" s="102">
        <f t="shared" si="50"/>
        <v>1</v>
      </c>
      <c r="W76" s="102">
        <f t="shared" si="50"/>
        <v>1</v>
      </c>
      <c r="X76" s="102">
        <f t="shared" si="50"/>
        <v>1</v>
      </c>
      <c r="Y76" s="102">
        <f t="shared" si="50"/>
        <v>1</v>
      </c>
      <c r="Z76" s="102">
        <f t="shared" si="50"/>
        <v>1</v>
      </c>
      <c r="AA76" s="102">
        <f t="shared" si="50"/>
        <v>1</v>
      </c>
      <c r="AB76" s="102">
        <f t="shared" si="50"/>
        <v>1</v>
      </c>
      <c r="AC76" s="102">
        <f t="shared" si="50"/>
        <v>1</v>
      </c>
      <c r="AD76" s="102">
        <f t="shared" si="50"/>
        <v>1</v>
      </c>
      <c r="AE76" s="102">
        <f t="shared" si="50"/>
        <v>1</v>
      </c>
      <c r="AF76" s="102">
        <f t="shared" si="50"/>
        <v>1</v>
      </c>
      <c r="AG76" s="102">
        <f t="shared" si="50"/>
        <v>1</v>
      </c>
      <c r="AI76" s="124"/>
      <c r="AJ76" s="185"/>
      <c r="BC76" s="1"/>
      <c r="BD76" s="37"/>
      <c r="BF76" s="6"/>
      <c r="BG76" s="6"/>
      <c r="BH76" s="6"/>
      <c r="BI76" s="6"/>
      <c r="BJ76" s="6"/>
    </row>
    <row r="77" spans="1:62" outlineLevel="1">
      <c r="C77" s="188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I77" s="124"/>
      <c r="AJ77" s="185"/>
      <c r="BC77" s="1"/>
      <c r="BD77" s="37"/>
      <c r="BF77" s="6"/>
      <c r="BG77" s="6"/>
      <c r="BH77" s="6"/>
      <c r="BI77" s="6"/>
      <c r="BJ77" s="6"/>
    </row>
    <row r="78" spans="1:62" outlineLevel="1">
      <c r="A78" t="s">
        <v>426</v>
      </c>
      <c r="B78" s="50" t="s">
        <v>126</v>
      </c>
      <c r="C78" s="102">
        <f>C73*C71</f>
        <v>9.0896000000000005E-2</v>
      </c>
      <c r="D78" s="102">
        <f t="shared" ref="D78:AG78" si="51">D73*D71</f>
        <v>9.558698585388728E-2</v>
      </c>
      <c r="E78" s="102">
        <f t="shared" si="51"/>
        <v>9.989964032274487E-2</v>
      </c>
      <c r="F78" s="102">
        <f t="shared" si="51"/>
        <v>0.10383396340657279</v>
      </c>
      <c r="G78" s="102">
        <f t="shared" si="51"/>
        <v>0.10738995510537105</v>
      </c>
      <c r="H78" s="102">
        <f t="shared" si="51"/>
        <v>0.11056761541913959</v>
      </c>
      <c r="I78" s="102">
        <f t="shared" si="51"/>
        <v>0.11336694434787849</v>
      </c>
      <c r="J78" s="102">
        <f t="shared" si="51"/>
        <v>0.1157879418915877</v>
      </c>
      <c r="K78" s="102">
        <f t="shared" si="51"/>
        <v>0.11783060805026725</v>
      </c>
      <c r="L78" s="102">
        <f t="shared" si="51"/>
        <v>0.11949494282391712</v>
      </c>
      <c r="M78" s="102">
        <f t="shared" si="51"/>
        <v>0.12078094621253731</v>
      </c>
      <c r="N78" s="102">
        <f t="shared" si="51"/>
        <v>0.11999179158090625</v>
      </c>
      <c r="O78" s="102">
        <f t="shared" si="51"/>
        <v>0.11894846361072514</v>
      </c>
      <c r="P78" s="102">
        <f t="shared" si="51"/>
        <v>0.11765096230199401</v>
      </c>
      <c r="Q78" s="102">
        <f t="shared" si="51"/>
        <v>0.11609928765471281</v>
      </c>
      <c r="R78" s="102">
        <f t="shared" si="51"/>
        <v>0.11429343966888156</v>
      </c>
      <c r="S78" s="102">
        <f t="shared" si="51"/>
        <v>0.11223341834450026</v>
      </c>
      <c r="T78" s="102">
        <f t="shared" si="51"/>
        <v>0.10991922368156891</v>
      </c>
      <c r="U78" s="102">
        <f t="shared" si="51"/>
        <v>0.10735085568008755</v>
      </c>
      <c r="V78" s="102">
        <f t="shared" si="51"/>
        <v>0.10452831434005611</v>
      </c>
      <c r="W78" s="102">
        <f t="shared" si="51"/>
        <v>0.1014515996614746</v>
      </c>
      <c r="X78" s="102">
        <f t="shared" si="51"/>
        <v>9.9305288439218375E-2</v>
      </c>
      <c r="Y78" s="102">
        <f t="shared" si="51"/>
        <v>9.6768121940541879E-2</v>
      </c>
      <c r="Z78" s="102">
        <f t="shared" si="51"/>
        <v>9.3840100165445112E-2</v>
      </c>
      <c r="AA78" s="102">
        <f t="shared" si="51"/>
        <v>9.0521223113928032E-2</v>
      </c>
      <c r="AB78" s="102">
        <f t="shared" si="51"/>
        <v>8.6811490785990708E-2</v>
      </c>
      <c r="AC78" s="102">
        <f t="shared" si="51"/>
        <v>8.2710903181633086E-2</v>
      </c>
      <c r="AD78" s="102">
        <f t="shared" si="51"/>
        <v>7.8219460300855206E-2</v>
      </c>
      <c r="AE78" s="102">
        <f t="shared" si="51"/>
        <v>7.3337162143657056E-2</v>
      </c>
      <c r="AF78" s="102">
        <f t="shared" si="51"/>
        <v>6.8064008710038593E-2</v>
      </c>
      <c r="AG78" s="102">
        <f t="shared" si="51"/>
        <v>6.2399999999999983E-2</v>
      </c>
      <c r="AI78" s="124"/>
      <c r="AJ78" s="185"/>
      <c r="BD78" s="177"/>
      <c r="BE78" s="177"/>
    </row>
    <row r="79" spans="1:62" outlineLevel="1">
      <c r="A79" t="s">
        <v>427</v>
      </c>
      <c r="B79" s="50" t="s">
        <v>126</v>
      </c>
      <c r="C79" s="102">
        <f>C71*C74</f>
        <v>2.0976000000000002E-2</v>
      </c>
      <c r="D79" s="102">
        <f t="shared" ref="D79:AG79" si="52">D71*D74</f>
        <v>2.2058535197050907E-2</v>
      </c>
      <c r="E79" s="102">
        <f t="shared" si="52"/>
        <v>2.3053763151402659E-2</v>
      </c>
      <c r="F79" s="102">
        <f t="shared" si="52"/>
        <v>2.396168386305526E-2</v>
      </c>
      <c r="G79" s="102">
        <f t="shared" si="52"/>
        <v>2.47822973320087E-2</v>
      </c>
      <c r="H79" s="102">
        <f t="shared" si="52"/>
        <v>2.5515603558262982E-2</v>
      </c>
      <c r="I79" s="102">
        <f t="shared" si="52"/>
        <v>2.6161602541818114E-2</v>
      </c>
      <c r="J79" s="102">
        <f t="shared" si="52"/>
        <v>2.6720294282674084E-2</v>
      </c>
      <c r="K79" s="102">
        <f t="shared" si="52"/>
        <v>2.71916787808309E-2</v>
      </c>
      <c r="L79" s="102">
        <f t="shared" si="52"/>
        <v>2.7575756036288562E-2</v>
      </c>
      <c r="M79" s="102">
        <f t="shared" si="52"/>
        <v>2.787252604904707E-2</v>
      </c>
      <c r="N79" s="102">
        <f t="shared" si="52"/>
        <v>2.7690413441747594E-2</v>
      </c>
      <c r="O79" s="102">
        <f t="shared" si="52"/>
        <v>2.7449645448628879E-2</v>
      </c>
      <c r="P79" s="102">
        <f t="shared" si="52"/>
        <v>2.7150222069690921E-2</v>
      </c>
      <c r="Q79" s="102">
        <f t="shared" si="52"/>
        <v>2.6792143304933722E-2</v>
      </c>
      <c r="R79" s="102">
        <f t="shared" si="52"/>
        <v>2.6375409154357279E-2</v>
      </c>
      <c r="S79" s="102">
        <f t="shared" si="52"/>
        <v>2.5900019617961595E-2</v>
      </c>
      <c r="T79" s="102">
        <f t="shared" si="52"/>
        <v>2.5365974695746672E-2</v>
      </c>
      <c r="U79" s="102">
        <f t="shared" si="52"/>
        <v>2.4773274387712509E-2</v>
      </c>
      <c r="V79" s="102">
        <f t="shared" si="52"/>
        <v>2.4121918693859101E-2</v>
      </c>
      <c r="W79" s="102">
        <f t="shared" si="52"/>
        <v>2.3411907614186447E-2</v>
      </c>
      <c r="X79" s="102">
        <f t="shared" si="52"/>
        <v>2.2916605024435009E-2</v>
      </c>
      <c r="Y79" s="102">
        <f t="shared" si="52"/>
        <v>2.2331105063201968E-2</v>
      </c>
      <c r="Z79" s="102">
        <f t="shared" si="52"/>
        <v>2.1655407730487332E-2</v>
      </c>
      <c r="AA79" s="102">
        <f t="shared" si="52"/>
        <v>2.0889513026291082E-2</v>
      </c>
      <c r="AB79" s="102">
        <f t="shared" si="52"/>
        <v>2.0033420950613237E-2</v>
      </c>
      <c r="AC79" s="102">
        <f t="shared" si="52"/>
        <v>1.9087131503453789E-2</v>
      </c>
      <c r="AD79" s="102">
        <f t="shared" si="52"/>
        <v>1.8050644684812735E-2</v>
      </c>
      <c r="AE79" s="102">
        <f t="shared" si="52"/>
        <v>1.6923960494690086E-2</v>
      </c>
      <c r="AF79" s="102">
        <f t="shared" si="52"/>
        <v>1.570707893308583E-2</v>
      </c>
      <c r="AG79" s="102">
        <f t="shared" si="52"/>
        <v>1.4399999999999996E-2</v>
      </c>
      <c r="AI79" s="124"/>
      <c r="AJ79" s="185"/>
      <c r="AL79" s="1"/>
      <c r="BC79" s="1"/>
      <c r="BD79" s="615"/>
      <c r="BE79" s="605"/>
      <c r="BF79" s="6"/>
      <c r="BG79" s="6"/>
      <c r="BH79" s="6"/>
      <c r="BI79" s="6"/>
      <c r="BJ79" s="6"/>
    </row>
    <row r="80" spans="1:62" outlineLevel="1">
      <c r="A80" t="s">
        <v>428</v>
      </c>
      <c r="B80" s="50" t="s">
        <v>126</v>
      </c>
      <c r="C80" s="102">
        <f>C71*C75</f>
        <v>6.2927999999999998E-2</v>
      </c>
      <c r="D80" s="102">
        <f t="shared" ref="D80:AG80" si="53">D71*D75</f>
        <v>6.6175605591152722E-2</v>
      </c>
      <c r="E80" s="102">
        <f t="shared" si="53"/>
        <v>6.9161289454207978E-2</v>
      </c>
      <c r="F80" s="102">
        <f t="shared" si="53"/>
        <v>7.1885051589165777E-2</v>
      </c>
      <c r="G80" s="102">
        <f t="shared" si="53"/>
        <v>7.4346891996026107E-2</v>
      </c>
      <c r="H80" s="102">
        <f t="shared" si="53"/>
        <v>7.654681067478894E-2</v>
      </c>
      <c r="I80" s="102">
        <f t="shared" si="53"/>
        <v>7.8484807625454331E-2</v>
      </c>
      <c r="J80" s="102">
        <f t="shared" si="53"/>
        <v>8.0160882848022252E-2</v>
      </c>
      <c r="K80" s="102">
        <f t="shared" si="53"/>
        <v>8.1575036342492704E-2</v>
      </c>
      <c r="L80" s="102">
        <f t="shared" si="53"/>
        <v>8.2727268108865687E-2</v>
      </c>
      <c r="M80" s="102">
        <f t="shared" si="53"/>
        <v>8.3617578147141214E-2</v>
      </c>
      <c r="N80" s="102">
        <f t="shared" si="53"/>
        <v>8.3071240325242782E-2</v>
      </c>
      <c r="O80" s="102">
        <f t="shared" si="53"/>
        <v>8.2348936345886636E-2</v>
      </c>
      <c r="P80" s="102">
        <f t="shared" si="53"/>
        <v>8.1450666209072764E-2</v>
      </c>
      <c r="Q80" s="102">
        <f t="shared" si="53"/>
        <v>8.0376429914801165E-2</v>
      </c>
      <c r="R80" s="102">
        <f t="shared" si="53"/>
        <v>7.9126227463071838E-2</v>
      </c>
      <c r="S80" s="102">
        <f t="shared" si="53"/>
        <v>7.7700058853884785E-2</v>
      </c>
      <c r="T80" s="102">
        <f t="shared" si="53"/>
        <v>7.6097924087240018E-2</v>
      </c>
      <c r="U80" s="102">
        <f t="shared" si="53"/>
        <v>7.4319823163137524E-2</v>
      </c>
      <c r="V80" s="102">
        <f t="shared" si="53"/>
        <v>7.2365756081577304E-2</v>
      </c>
      <c r="W80" s="102">
        <f t="shared" si="53"/>
        <v>7.0235722842559342E-2</v>
      </c>
      <c r="X80" s="102">
        <f t="shared" si="53"/>
        <v>6.8749815073305021E-2</v>
      </c>
      <c r="Y80" s="102">
        <f t="shared" si="53"/>
        <v>6.6993315189605912E-2</v>
      </c>
      <c r="Z80" s="102">
        <f t="shared" si="53"/>
        <v>6.4966223191462003E-2</v>
      </c>
      <c r="AA80" s="102">
        <f t="shared" si="53"/>
        <v>6.266853907887325E-2</v>
      </c>
      <c r="AB80" s="102">
        <f t="shared" si="53"/>
        <v>6.0100262851839711E-2</v>
      </c>
      <c r="AC80" s="102">
        <f t="shared" si="53"/>
        <v>5.7261394510361364E-2</v>
      </c>
      <c r="AD80" s="102">
        <f t="shared" si="53"/>
        <v>5.415193405443821E-2</v>
      </c>
      <c r="AE80" s="102">
        <f t="shared" si="53"/>
        <v>5.0771881484070261E-2</v>
      </c>
      <c r="AF80" s="102">
        <f t="shared" si="53"/>
        <v>4.712123679925749E-2</v>
      </c>
      <c r="AG80" s="102">
        <f t="shared" si="53"/>
        <v>4.3199999999999988E-2</v>
      </c>
      <c r="AI80" s="125"/>
      <c r="AJ80" s="185"/>
      <c r="BC80" s="1"/>
      <c r="BD80" s="37"/>
      <c r="BF80" s="6"/>
      <c r="BG80" s="6"/>
      <c r="BH80" s="6"/>
      <c r="BI80" s="6"/>
      <c r="BJ80" s="6"/>
    </row>
    <row r="81" spans="1:63" outlineLevel="1"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I81" s="125"/>
      <c r="AJ81" s="185"/>
      <c r="BC81" s="1"/>
      <c r="BD81" s="37"/>
      <c r="BF81" s="6"/>
      <c r="BG81" s="6"/>
      <c r="BH81" s="6"/>
      <c r="BI81" s="6"/>
      <c r="BJ81" s="6"/>
    </row>
    <row r="82" spans="1:63" outlineLevel="1">
      <c r="A82" t="s">
        <v>492</v>
      </c>
      <c r="C82" s="203">
        <f>'Overall recycling rates'!D86</f>
        <v>1.9771245469600667</v>
      </c>
      <c r="D82" s="203">
        <f t="shared" ref="D82:AF82" si="54">C82-($C$82-$AG$82)/($AG$1-$C$1)</f>
        <v>1.9478870620613977</v>
      </c>
      <c r="E82" s="203">
        <f t="shared" si="54"/>
        <v>1.9186495771627288</v>
      </c>
      <c r="F82" s="203">
        <f t="shared" si="54"/>
        <v>1.8894120922640598</v>
      </c>
      <c r="G82" s="203">
        <f t="shared" si="54"/>
        <v>1.8601746073653909</v>
      </c>
      <c r="H82" s="203">
        <f t="shared" si="54"/>
        <v>1.8309371224667219</v>
      </c>
      <c r="I82" s="203">
        <f t="shared" si="54"/>
        <v>1.801699637568053</v>
      </c>
      <c r="J82" s="203">
        <f t="shared" si="54"/>
        <v>1.772462152669384</v>
      </c>
      <c r="K82" s="203">
        <f t="shared" si="54"/>
        <v>1.7432246677707151</v>
      </c>
      <c r="L82" s="203">
        <f t="shared" si="54"/>
        <v>1.7139871828720461</v>
      </c>
      <c r="M82" s="203">
        <f t="shared" si="54"/>
        <v>1.6847496979733771</v>
      </c>
      <c r="N82" s="203">
        <f t="shared" si="54"/>
        <v>1.6555122130747082</v>
      </c>
      <c r="O82" s="203">
        <f t="shared" si="54"/>
        <v>1.6262747281760392</v>
      </c>
      <c r="P82" s="203">
        <f t="shared" si="54"/>
        <v>1.5970372432773703</v>
      </c>
      <c r="Q82" s="203">
        <f t="shared" si="54"/>
        <v>1.5677997583787013</v>
      </c>
      <c r="R82" s="203">
        <f t="shared" si="54"/>
        <v>1.5385622734800324</v>
      </c>
      <c r="S82" s="203">
        <f t="shared" si="54"/>
        <v>1.5093247885813634</v>
      </c>
      <c r="T82" s="203">
        <f t="shared" si="54"/>
        <v>1.4800873036826945</v>
      </c>
      <c r="U82" s="203">
        <f t="shared" si="54"/>
        <v>1.4508498187840255</v>
      </c>
      <c r="V82" s="203">
        <f t="shared" si="54"/>
        <v>1.4216123338853566</v>
      </c>
      <c r="W82" s="203">
        <f t="shared" si="54"/>
        <v>1.3923748489866876</v>
      </c>
      <c r="X82" s="203">
        <f t="shared" si="54"/>
        <v>1.3631373640880187</v>
      </c>
      <c r="Y82" s="203">
        <f t="shared" si="54"/>
        <v>1.3338998791893497</v>
      </c>
      <c r="Z82" s="203">
        <f t="shared" si="54"/>
        <v>1.3046623942906808</v>
      </c>
      <c r="AA82" s="203">
        <f t="shared" si="54"/>
        <v>1.2754249093920118</v>
      </c>
      <c r="AB82" s="203">
        <f t="shared" si="54"/>
        <v>1.2461874244933429</v>
      </c>
      <c r="AC82" s="203">
        <f t="shared" si="54"/>
        <v>1.2169499395946739</v>
      </c>
      <c r="AD82" s="203">
        <f t="shared" si="54"/>
        <v>1.1877124546960049</v>
      </c>
      <c r="AE82" s="203">
        <f t="shared" si="54"/>
        <v>1.158474969797336</v>
      </c>
      <c r="AF82" s="203">
        <f t="shared" si="54"/>
        <v>1.129237484898667</v>
      </c>
      <c r="AG82" s="203">
        <f>'Overall recycling rates'!D95</f>
        <v>1.1000000000000001</v>
      </c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t="s">
        <v>509</v>
      </c>
      <c r="B83" s="50" t="s">
        <v>126</v>
      </c>
      <c r="C83" s="102">
        <f>C67*C$82</f>
        <v>0.37565366392241267</v>
      </c>
      <c r="D83" s="102">
        <f t="shared" ref="D83:AG83" si="55">D67*D$82</f>
        <v>0.39962365437464126</v>
      </c>
      <c r="E83" s="102">
        <f t="shared" si="55"/>
        <v>0.422707310038689</v>
      </c>
      <c r="F83" s="102">
        <f t="shared" si="55"/>
        <v>0.44490463091455579</v>
      </c>
      <c r="G83" s="102">
        <f t="shared" si="55"/>
        <v>0.46621561700224168</v>
      </c>
      <c r="H83" s="102">
        <f t="shared" si="55"/>
        <v>0.48664026830174661</v>
      </c>
      <c r="I83" s="102">
        <f t="shared" si="55"/>
        <v>0.50617858481307065</v>
      </c>
      <c r="J83" s="102">
        <f t="shared" si="55"/>
        <v>0.52483056653621396</v>
      </c>
      <c r="K83" s="102">
        <f t="shared" si="55"/>
        <v>0.54259621347117626</v>
      </c>
      <c r="L83" s="102">
        <f t="shared" si="55"/>
        <v>0.55947552561795766</v>
      </c>
      <c r="M83" s="102">
        <f t="shared" si="55"/>
        <v>0.57546850297655816</v>
      </c>
      <c r="N83" s="102">
        <f t="shared" si="55"/>
        <v>0.58234016308309466</v>
      </c>
      <c r="O83" s="102">
        <f t="shared" si="55"/>
        <v>0.58861635931563272</v>
      </c>
      <c r="P83" s="102">
        <f t="shared" si="55"/>
        <v>0.59429709167417244</v>
      </c>
      <c r="Q83" s="102">
        <f t="shared" si="55"/>
        <v>0.59938236015871349</v>
      </c>
      <c r="R83" s="102">
        <f t="shared" si="55"/>
        <v>0.60387216476925609</v>
      </c>
      <c r="S83" s="102">
        <f t="shared" si="55"/>
        <v>0.60776650550580014</v>
      </c>
      <c r="T83" s="102">
        <f t="shared" si="55"/>
        <v>0.61106538236834573</v>
      </c>
      <c r="U83" s="102">
        <f t="shared" si="55"/>
        <v>0.61376879535689288</v>
      </c>
      <c r="V83" s="102">
        <f t="shared" si="55"/>
        <v>0.61587674447144136</v>
      </c>
      <c r="W83" s="102">
        <f t="shared" si="55"/>
        <v>0.61738922971199151</v>
      </c>
      <c r="X83" s="102">
        <f t="shared" si="55"/>
        <v>0.62577084468859367</v>
      </c>
      <c r="Y83" s="102">
        <f t="shared" si="55"/>
        <v>0.63323678456568455</v>
      </c>
      <c r="Z83" s="102">
        <f t="shared" si="55"/>
        <v>0.63978704934326391</v>
      </c>
      <c r="AA83" s="102">
        <f t="shared" si="55"/>
        <v>0.64542163902133176</v>
      </c>
      <c r="AB83" s="102">
        <f t="shared" si="55"/>
        <v>0.65014055359988832</v>
      </c>
      <c r="AC83" s="102">
        <f t="shared" si="55"/>
        <v>0.65394379307893324</v>
      </c>
      <c r="AD83" s="102">
        <f t="shared" si="55"/>
        <v>0.65683135745846688</v>
      </c>
      <c r="AE83" s="102">
        <f t="shared" si="55"/>
        <v>0.658803246738489</v>
      </c>
      <c r="AF83" s="102">
        <f t="shared" si="55"/>
        <v>0.65985946091899961</v>
      </c>
      <c r="AG83" s="102">
        <f t="shared" si="55"/>
        <v>0.66</v>
      </c>
      <c r="AI83" s="124"/>
      <c r="AJ83" s="185"/>
      <c r="AL83" s="100"/>
      <c r="AM83" s="2"/>
      <c r="AN83" s="2"/>
      <c r="AO83" s="2"/>
      <c r="AV83" s="37"/>
    </row>
    <row r="84" spans="1:63" outlineLevel="1">
      <c r="A84" t="s">
        <v>510</v>
      </c>
      <c r="B84" s="50" t="s">
        <v>126</v>
      </c>
      <c r="C84" s="102">
        <f>C70*C$82</f>
        <v>3.0052293113793014E-2</v>
      </c>
      <c r="D84" s="102">
        <f t="shared" ref="D84:AG84" si="56">D70*D$82</f>
        <v>4.1560860054962692E-2</v>
      </c>
      <c r="E84" s="102">
        <f t="shared" si="56"/>
        <v>5.4106535684952189E-2</v>
      </c>
      <c r="F84" s="102">
        <f t="shared" si="56"/>
        <v>6.7625503899012479E-2</v>
      </c>
      <c r="G84" s="102">
        <f t="shared" si="56"/>
        <v>8.2053948592394538E-2</v>
      </c>
      <c r="H84" s="102">
        <f t="shared" si="56"/>
        <v>9.7328053660349315E-2</v>
      </c>
      <c r="I84" s="102">
        <f t="shared" si="56"/>
        <v>0.11338400299812783</v>
      </c>
      <c r="J84" s="102">
        <f t="shared" si="56"/>
        <v>0.13015798050098104</v>
      </c>
      <c r="K84" s="102">
        <f t="shared" si="56"/>
        <v>0.14758617006415992</v>
      </c>
      <c r="L84" s="102">
        <f t="shared" si="56"/>
        <v>0.16560475558291546</v>
      </c>
      <c r="M84" s="102">
        <f t="shared" si="56"/>
        <v>0.1841499209524986</v>
      </c>
      <c r="N84" s="102">
        <f t="shared" si="56"/>
        <v>0.20032501610058459</v>
      </c>
      <c r="O84" s="102">
        <f t="shared" si="56"/>
        <v>0.21661082022815287</v>
      </c>
      <c r="P84" s="102">
        <f t="shared" si="56"/>
        <v>0.23296445993627563</v>
      </c>
      <c r="Q84" s="102">
        <f t="shared" si="56"/>
        <v>0.24934306182602486</v>
      </c>
      <c r="R84" s="102">
        <f t="shared" si="56"/>
        <v>0.26570375249847272</v>
      </c>
      <c r="S84" s="102">
        <f t="shared" si="56"/>
        <v>0.28200365855469134</v>
      </c>
      <c r="T84" s="102">
        <f t="shared" si="56"/>
        <v>0.2981999065957528</v>
      </c>
      <c r="U84" s="102">
        <f t="shared" si="56"/>
        <v>0.3142496232227292</v>
      </c>
      <c r="V84" s="102">
        <f t="shared" si="56"/>
        <v>0.33010993503669267</v>
      </c>
      <c r="W84" s="102">
        <f t="shared" si="56"/>
        <v>0.34573796863871536</v>
      </c>
      <c r="X84" s="102">
        <f t="shared" si="56"/>
        <v>0.36545017329813884</v>
      </c>
      <c r="Y84" s="102">
        <f t="shared" si="56"/>
        <v>0.38500796501593632</v>
      </c>
      <c r="Z84" s="102">
        <f t="shared" si="56"/>
        <v>0.40434541518494294</v>
      </c>
      <c r="AA84" s="102">
        <f t="shared" si="56"/>
        <v>0.42339659519799377</v>
      </c>
      <c r="AB84" s="102">
        <f t="shared" si="56"/>
        <v>0.44209557644792424</v>
      </c>
      <c r="AC84" s="102">
        <f t="shared" si="56"/>
        <v>0.4603764303275692</v>
      </c>
      <c r="AD84" s="102">
        <f t="shared" si="56"/>
        <v>0.4781732282297641</v>
      </c>
      <c r="AE84" s="102">
        <f t="shared" si="56"/>
        <v>0.49542004154734398</v>
      </c>
      <c r="AF84" s="102">
        <f t="shared" si="56"/>
        <v>0.51205094167314391</v>
      </c>
      <c r="AG84" s="102">
        <f t="shared" si="56"/>
        <v>0.52800000000000002</v>
      </c>
      <c r="AI84" s="124"/>
      <c r="AJ84" s="185"/>
      <c r="AL84" s="100"/>
      <c r="AM84" s="2"/>
      <c r="AN84" s="2"/>
      <c r="AO84" s="2"/>
      <c r="AV84" s="37"/>
    </row>
    <row r="85" spans="1:63" outlineLevel="1">
      <c r="A85" t="s">
        <v>511</v>
      </c>
      <c r="B85" s="156" t="s">
        <v>126</v>
      </c>
      <c r="C85" s="102">
        <f>C71*C$82</f>
        <v>0.34560137080861969</v>
      </c>
      <c r="D85" s="102">
        <f t="shared" ref="D85:AG85" si="57">D71*D$82</f>
        <v>0.35806279431967858</v>
      </c>
      <c r="E85" s="102">
        <f t="shared" si="57"/>
        <v>0.36860077435373678</v>
      </c>
      <c r="F85" s="102">
        <f t="shared" si="57"/>
        <v>0.37727912701554334</v>
      </c>
      <c r="G85" s="102">
        <f t="shared" si="57"/>
        <v>0.38416166840984717</v>
      </c>
      <c r="H85" s="102">
        <f t="shared" si="57"/>
        <v>0.38931221464139731</v>
      </c>
      <c r="I85" s="102">
        <f t="shared" si="57"/>
        <v>0.39279458181494287</v>
      </c>
      <c r="J85" s="102">
        <f t="shared" si="57"/>
        <v>0.39467258603523286</v>
      </c>
      <c r="K85" s="102">
        <f t="shared" si="57"/>
        <v>0.39501004340701629</v>
      </c>
      <c r="L85" s="102">
        <f t="shared" si="57"/>
        <v>0.39387077003504212</v>
      </c>
      <c r="M85" s="102">
        <f t="shared" si="57"/>
        <v>0.3913185820240595</v>
      </c>
      <c r="N85" s="102">
        <f t="shared" si="57"/>
        <v>0.3820151469825101</v>
      </c>
      <c r="O85" s="102">
        <f t="shared" si="57"/>
        <v>0.37200553908747985</v>
      </c>
      <c r="P85" s="102">
        <f t="shared" si="57"/>
        <v>0.36133263173789676</v>
      </c>
      <c r="Q85" s="102">
        <f t="shared" si="57"/>
        <v>0.3500392983326886</v>
      </c>
      <c r="R85" s="102">
        <f t="shared" si="57"/>
        <v>0.33816841227078331</v>
      </c>
      <c r="S85" s="102">
        <f t="shared" si="57"/>
        <v>0.3257628469511088</v>
      </c>
      <c r="T85" s="102">
        <f t="shared" si="57"/>
        <v>0.31286547577259288</v>
      </c>
      <c r="U85" s="102">
        <f t="shared" si="57"/>
        <v>0.29951917213416362</v>
      </c>
      <c r="V85" s="102">
        <f t="shared" si="57"/>
        <v>0.28576680943474875</v>
      </c>
      <c r="W85" s="102">
        <f t="shared" si="57"/>
        <v>0.27165126107327614</v>
      </c>
      <c r="X85" s="102">
        <f t="shared" si="57"/>
        <v>0.26032067139045484</v>
      </c>
      <c r="Y85" s="102">
        <f t="shared" si="57"/>
        <v>0.24822881954974821</v>
      </c>
      <c r="Z85" s="102">
        <f t="shared" si="57"/>
        <v>0.23544163415832101</v>
      </c>
      <c r="AA85" s="102">
        <f t="shared" si="57"/>
        <v>0.22202504382333796</v>
      </c>
      <c r="AB85" s="102">
        <f t="shared" si="57"/>
        <v>0.20804497715196407</v>
      </c>
      <c r="AC85" s="102">
        <f t="shared" si="57"/>
        <v>0.19356736275136405</v>
      </c>
      <c r="AD85" s="102">
        <f t="shared" si="57"/>
        <v>0.17865812922870275</v>
      </c>
      <c r="AE85" s="102">
        <f t="shared" si="57"/>
        <v>0.16338320519114505</v>
      </c>
      <c r="AF85" s="102">
        <f t="shared" si="57"/>
        <v>0.14780851924585567</v>
      </c>
      <c r="AG85" s="102">
        <f t="shared" si="57"/>
        <v>0.13199999999999998</v>
      </c>
      <c r="AI85" s="124"/>
      <c r="AJ85" s="185"/>
      <c r="AL85" s="100"/>
      <c r="AM85" s="2"/>
      <c r="AN85" s="2"/>
      <c r="AO85" s="2"/>
    </row>
    <row r="86" spans="1:63" outlineLevel="1">
      <c r="A86" t="s">
        <v>513</v>
      </c>
      <c r="B86" s="50" t="s">
        <v>126</v>
      </c>
      <c r="C86" s="102">
        <f>C78*C$82</f>
        <v>0.17971271282048223</v>
      </c>
      <c r="D86" s="102">
        <f t="shared" ref="D86:AG86" si="58">D78*D$82</f>
        <v>0.18619265304623286</v>
      </c>
      <c r="E86" s="102">
        <f t="shared" si="58"/>
        <v>0.19167240266394314</v>
      </c>
      <c r="F86" s="102">
        <f t="shared" si="58"/>
        <v>0.19618514604808251</v>
      </c>
      <c r="G86" s="102">
        <f t="shared" si="58"/>
        <v>0.19976406757312054</v>
      </c>
      <c r="H86" s="102">
        <f t="shared" si="58"/>
        <v>0.20244235161352661</v>
      </c>
      <c r="I86" s="102">
        <f t="shared" si="58"/>
        <v>0.20425318254377031</v>
      </c>
      <c r="J86" s="102">
        <f t="shared" si="58"/>
        <v>0.20522974473832109</v>
      </c>
      <c r="K86" s="102">
        <f t="shared" si="58"/>
        <v>0.20540522257164848</v>
      </c>
      <c r="L86" s="102">
        <f t="shared" si="58"/>
        <v>0.20481280041822192</v>
      </c>
      <c r="M86" s="102">
        <f t="shared" si="58"/>
        <v>0.20348566265251095</v>
      </c>
      <c r="N86" s="102">
        <f t="shared" si="58"/>
        <v>0.19864787643090526</v>
      </c>
      <c r="O86" s="102">
        <f t="shared" si="58"/>
        <v>0.19344288032548954</v>
      </c>
      <c r="P86" s="102">
        <f t="shared" si="58"/>
        <v>0.18789296850370632</v>
      </c>
      <c r="Q86" s="102">
        <f t="shared" si="58"/>
        <v>0.18202043513299809</v>
      </c>
      <c r="R86" s="102">
        <f t="shared" si="58"/>
        <v>0.17584757438080734</v>
      </c>
      <c r="S86" s="102">
        <f t="shared" si="58"/>
        <v>0.16939668041457659</v>
      </c>
      <c r="T86" s="102">
        <f t="shared" si="58"/>
        <v>0.16269004740174831</v>
      </c>
      <c r="U86" s="102">
        <f t="shared" si="58"/>
        <v>0.15574996950976511</v>
      </c>
      <c r="V86" s="102">
        <f t="shared" si="58"/>
        <v>0.14859874090606934</v>
      </c>
      <c r="W86" s="102">
        <f t="shared" si="58"/>
        <v>0.14125865575810359</v>
      </c>
      <c r="X86" s="102">
        <f t="shared" si="58"/>
        <v>0.13536674912303653</v>
      </c>
      <c r="Y86" s="102">
        <f t="shared" si="58"/>
        <v>0.12907898616586908</v>
      </c>
      <c r="Z86" s="102">
        <f t="shared" si="58"/>
        <v>0.12242964976232693</v>
      </c>
      <c r="AA86" s="102">
        <f t="shared" si="58"/>
        <v>0.11545302278813574</v>
      </c>
      <c r="AB86" s="102">
        <f t="shared" si="58"/>
        <v>0.10818338811902133</v>
      </c>
      <c r="AC86" s="102">
        <f t="shared" si="58"/>
        <v>0.10065502863070931</v>
      </c>
      <c r="AD86" s="102">
        <f t="shared" si="58"/>
        <v>9.2902227198925449E-2</v>
      </c>
      <c r="AE86" s="102">
        <f t="shared" si="58"/>
        <v>8.4959266699395436E-2</v>
      </c>
      <c r="AF86" s="102">
        <f t="shared" si="58"/>
        <v>7.6860430007844954E-2</v>
      </c>
      <c r="AG86" s="102">
        <f t="shared" si="58"/>
        <v>6.8639999999999993E-2</v>
      </c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t="s">
        <v>514</v>
      </c>
      <c r="B87" s="50" t="s">
        <v>126</v>
      </c>
      <c r="C87" s="102">
        <f>C79*C$82</f>
        <v>4.1472164497034364E-2</v>
      </c>
      <c r="D87" s="102">
        <f t="shared" ref="D87:AG87" si="59">D79*D$82</f>
        <v>4.2967535318361429E-2</v>
      </c>
      <c r="E87" s="102">
        <f t="shared" si="59"/>
        <v>4.423209292244841E-2</v>
      </c>
      <c r="F87" s="102">
        <f t="shared" si="59"/>
        <v>4.5273495241865198E-2</v>
      </c>
      <c r="G87" s="102">
        <f t="shared" si="59"/>
        <v>4.6099400209181657E-2</v>
      </c>
      <c r="H87" s="102">
        <f t="shared" si="59"/>
        <v>4.6717465756967676E-2</v>
      </c>
      <c r="I87" s="102">
        <f t="shared" si="59"/>
        <v>4.7135349817793146E-2</v>
      </c>
      <c r="J87" s="102">
        <f t="shared" si="59"/>
        <v>4.7360710324227943E-2</v>
      </c>
      <c r="K87" s="102">
        <f t="shared" si="59"/>
        <v>4.7401205208841946E-2</v>
      </c>
      <c r="L87" s="102">
        <f t="shared" si="59"/>
        <v>4.7264492404205057E-2</v>
      </c>
      <c r="M87" s="102">
        <f t="shared" si="59"/>
        <v>4.6958229842887139E-2</v>
      </c>
      <c r="N87" s="102">
        <f t="shared" si="59"/>
        <v>4.5841817637901204E-2</v>
      </c>
      <c r="O87" s="102">
        <f t="shared" si="59"/>
        <v>4.4640664690497579E-2</v>
      </c>
      <c r="P87" s="102">
        <f t="shared" si="59"/>
        <v>4.335991580854761E-2</v>
      </c>
      <c r="Q87" s="102">
        <f t="shared" si="59"/>
        <v>4.2004715799922626E-2</v>
      </c>
      <c r="R87" s="102">
        <f t="shared" si="59"/>
        <v>4.0580209472493994E-2</v>
      </c>
      <c r="S87" s="102">
        <f t="shared" si="59"/>
        <v>3.9091541634133052E-2</v>
      </c>
      <c r="T87" s="102">
        <f t="shared" si="59"/>
        <v>3.7543857092711144E-2</v>
      </c>
      <c r="U87" s="102">
        <f t="shared" si="59"/>
        <v>3.5942300656099636E-2</v>
      </c>
      <c r="V87" s="102">
        <f t="shared" si="59"/>
        <v>3.4292017132169846E-2</v>
      </c>
      <c r="W87" s="102">
        <f t="shared" si="59"/>
        <v>3.2598151328793137E-2</v>
      </c>
      <c r="X87" s="102">
        <f t="shared" si="59"/>
        <v>3.1238480566854583E-2</v>
      </c>
      <c r="Y87" s="102">
        <f t="shared" si="59"/>
        <v>2.978745834596978E-2</v>
      </c>
      <c r="Z87" s="102">
        <f t="shared" si="59"/>
        <v>2.825299609899852E-2</v>
      </c>
      <c r="AA87" s="102">
        <f t="shared" si="59"/>
        <v>2.6643005258800555E-2</v>
      </c>
      <c r="AB87" s="102">
        <f t="shared" si="59"/>
        <v>2.4965397258235687E-2</v>
      </c>
      <c r="AC87" s="102">
        <f t="shared" si="59"/>
        <v>2.3228083530163687E-2</v>
      </c>
      <c r="AD87" s="102">
        <f t="shared" si="59"/>
        <v>2.1438975507444329E-2</v>
      </c>
      <c r="AE87" s="102">
        <f t="shared" si="59"/>
        <v>1.9605984622937406E-2</v>
      </c>
      <c r="AF87" s="102">
        <f t="shared" si="59"/>
        <v>1.7737022309502682E-2</v>
      </c>
      <c r="AG87" s="102">
        <f t="shared" si="59"/>
        <v>1.5839999999999996E-2</v>
      </c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t="s">
        <v>512</v>
      </c>
      <c r="B88" s="50" t="s">
        <v>126</v>
      </c>
      <c r="C88" s="102">
        <f>C80*C$82</f>
        <v>0.12441649349110308</v>
      </c>
      <c r="D88" s="102">
        <f t="shared" ref="D88:AG88" si="60">D80*D$82</f>
        <v>0.12890260595508429</v>
      </c>
      <c r="E88" s="102">
        <f t="shared" si="60"/>
        <v>0.13269627876734522</v>
      </c>
      <c r="F88" s="102">
        <f t="shared" si="60"/>
        <v>0.1358204857255956</v>
      </c>
      <c r="G88" s="102">
        <f t="shared" si="60"/>
        <v>0.138298200627545</v>
      </c>
      <c r="H88" s="102">
        <f t="shared" si="60"/>
        <v>0.14015239727090301</v>
      </c>
      <c r="I88" s="102">
        <f t="shared" si="60"/>
        <v>0.14140604945337942</v>
      </c>
      <c r="J88" s="102">
        <f t="shared" si="60"/>
        <v>0.14208213097268382</v>
      </c>
      <c r="K88" s="102">
        <f t="shared" si="60"/>
        <v>0.14220361562652586</v>
      </c>
      <c r="L88" s="102">
        <f t="shared" si="60"/>
        <v>0.14179347721261515</v>
      </c>
      <c r="M88" s="102">
        <f t="shared" si="60"/>
        <v>0.14087468952866142</v>
      </c>
      <c r="N88" s="102">
        <f t="shared" si="60"/>
        <v>0.13752545291370363</v>
      </c>
      <c r="O88" s="102">
        <f t="shared" si="60"/>
        <v>0.13392199407149274</v>
      </c>
      <c r="P88" s="102">
        <f t="shared" si="60"/>
        <v>0.13007974742564282</v>
      </c>
      <c r="Q88" s="102">
        <f t="shared" si="60"/>
        <v>0.12601414739976788</v>
      </c>
      <c r="R88" s="102">
        <f t="shared" si="60"/>
        <v>0.12174062841748198</v>
      </c>
      <c r="S88" s="102">
        <f t="shared" si="60"/>
        <v>0.11727462490239915</v>
      </c>
      <c r="T88" s="102">
        <f t="shared" si="60"/>
        <v>0.11263157127813345</v>
      </c>
      <c r="U88" s="102">
        <f t="shared" si="60"/>
        <v>0.1078269019682989</v>
      </c>
      <c r="V88" s="102">
        <f t="shared" si="60"/>
        <v>0.10287605139650954</v>
      </c>
      <c r="W88" s="102">
        <f t="shared" si="60"/>
        <v>9.7794453986379412E-2</v>
      </c>
      <c r="X88" s="102">
        <f t="shared" si="60"/>
        <v>9.3715441700563742E-2</v>
      </c>
      <c r="Y88" s="102">
        <f t="shared" si="60"/>
        <v>8.936237503790935E-2</v>
      </c>
      <c r="Z88" s="102">
        <f t="shared" si="60"/>
        <v>8.4758988296995574E-2</v>
      </c>
      <c r="AA88" s="102">
        <f t="shared" si="60"/>
        <v>7.9929015776401671E-2</v>
      </c>
      <c r="AB88" s="102">
        <f t="shared" si="60"/>
        <v>7.4896191774707063E-2</v>
      </c>
      <c r="AC88" s="102">
        <f t="shared" si="60"/>
        <v>6.9684250590491048E-2</v>
      </c>
      <c r="AD88" s="102">
        <f t="shared" si="60"/>
        <v>6.4316926522332993E-2</v>
      </c>
      <c r="AE88" s="102">
        <f t="shared" si="60"/>
        <v>5.8817953868812216E-2</v>
      </c>
      <c r="AF88" s="102">
        <f t="shared" si="60"/>
        <v>5.3211066928508043E-2</v>
      </c>
      <c r="AG88" s="102">
        <f t="shared" si="60"/>
        <v>4.7519999999999993E-2</v>
      </c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outlineLevel="1">
      <c r="C89" s="10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J89" s="185"/>
      <c r="AM89" s="115"/>
      <c r="AN89" s="115"/>
    </row>
    <row r="90" spans="1:63" s="174" customFormat="1" ht="15.5" thickBot="1">
      <c r="A90" s="174" t="s">
        <v>432</v>
      </c>
      <c r="B90" s="189"/>
      <c r="C90" s="197">
        <f>C91</f>
        <v>0</v>
      </c>
      <c r="D90" s="197">
        <f t="shared" ref="D90:AG90" si="61">D91</f>
        <v>2.2181718165435932E-2</v>
      </c>
      <c r="E90" s="197">
        <f t="shared" si="61"/>
        <v>4.4363436330871864E-2</v>
      </c>
      <c r="F90" s="197">
        <f t="shared" si="61"/>
        <v>6.6545154496307796E-2</v>
      </c>
      <c r="G90" s="197">
        <f t="shared" si="61"/>
        <v>8.8726872661743728E-2</v>
      </c>
      <c r="H90" s="197">
        <f t="shared" si="61"/>
        <v>0.11090859082717966</v>
      </c>
      <c r="I90" s="197">
        <f t="shared" si="61"/>
        <v>0.13309030899261559</v>
      </c>
      <c r="J90" s="197">
        <f t="shared" si="61"/>
        <v>0.15527202715805152</v>
      </c>
      <c r="K90" s="197">
        <f t="shared" si="61"/>
        <v>0.17745374532348746</v>
      </c>
      <c r="L90" s="197">
        <f t="shared" si="61"/>
        <v>0.19963546348892339</v>
      </c>
      <c r="M90" s="197">
        <f t="shared" si="61"/>
        <v>0.22181718165435932</v>
      </c>
      <c r="N90" s="197">
        <f t="shared" si="61"/>
        <v>0.23671946463689028</v>
      </c>
      <c r="O90" s="197">
        <f t="shared" si="61"/>
        <v>0.25162174761942124</v>
      </c>
      <c r="P90" s="197">
        <f t="shared" si="61"/>
        <v>0.26652403060195223</v>
      </c>
      <c r="Q90" s="197">
        <f t="shared" si="61"/>
        <v>0.28142631358448317</v>
      </c>
      <c r="R90" s="197">
        <f t="shared" si="61"/>
        <v>0.29632859656701416</v>
      </c>
      <c r="S90" s="197">
        <f t="shared" si="61"/>
        <v>0.31123087954954509</v>
      </c>
      <c r="T90" s="197">
        <f t="shared" si="61"/>
        <v>0.32613316253207608</v>
      </c>
      <c r="U90" s="197">
        <f t="shared" si="61"/>
        <v>0.34103544551460707</v>
      </c>
      <c r="V90" s="197">
        <f t="shared" si="61"/>
        <v>0.35593772849713801</v>
      </c>
      <c r="W90" s="197">
        <f t="shared" si="61"/>
        <v>0.370840011479669</v>
      </c>
      <c r="X90" s="197">
        <f t="shared" si="61"/>
        <v>0.3937560103317021</v>
      </c>
      <c r="Y90" s="197">
        <f t="shared" si="61"/>
        <v>0.4166720091837352</v>
      </c>
      <c r="Z90" s="197">
        <f t="shared" si="61"/>
        <v>0.43958800803576825</v>
      </c>
      <c r="AA90" s="197">
        <f t="shared" si="61"/>
        <v>0.46250400688780136</v>
      </c>
      <c r="AB90" s="197">
        <f t="shared" si="61"/>
        <v>0.48542000573983446</v>
      </c>
      <c r="AC90" s="197">
        <f t="shared" si="61"/>
        <v>0.50833600459186756</v>
      </c>
      <c r="AD90" s="197">
        <f t="shared" si="61"/>
        <v>0.53125200344390067</v>
      </c>
      <c r="AE90" s="197">
        <f t="shared" si="61"/>
        <v>0.55416800229593377</v>
      </c>
      <c r="AF90" s="197">
        <f t="shared" si="61"/>
        <v>0.57708400114796687</v>
      </c>
      <c r="AG90" s="197">
        <f t="shared" si="61"/>
        <v>0.6</v>
      </c>
      <c r="AJ90" s="204" t="s">
        <v>506</v>
      </c>
      <c r="AL90" s="191"/>
      <c r="AM90" s="198"/>
      <c r="AN90" s="198"/>
      <c r="AO90" s="198"/>
    </row>
    <row r="91" spans="1:63" ht="15.5" outlineLevel="1" thickTop="1">
      <c r="A91" t="s">
        <v>433</v>
      </c>
      <c r="B91" s="50" t="s">
        <v>126</v>
      </c>
      <c r="C91" s="558">
        <v>0</v>
      </c>
      <c r="D91" s="102">
        <f>$C91+($M91-$C91)/10*(D$1-$C$1)</f>
        <v>2.2181718165435932E-2</v>
      </c>
      <c r="E91" s="102">
        <f t="shared" ref="E91:L91" si="62">$C91+($M91-$C91)/10*(E$1-$C$1)</f>
        <v>4.4363436330871864E-2</v>
      </c>
      <c r="F91" s="102">
        <f t="shared" si="62"/>
        <v>6.6545154496307796E-2</v>
      </c>
      <c r="G91" s="102">
        <f t="shared" si="62"/>
        <v>8.8726872661743728E-2</v>
      </c>
      <c r="H91" s="102">
        <f t="shared" si="62"/>
        <v>0.11090859082717966</v>
      </c>
      <c r="I91" s="102">
        <f t="shared" si="62"/>
        <v>0.13309030899261559</v>
      </c>
      <c r="J91" s="102">
        <f t="shared" si="62"/>
        <v>0.15527202715805152</v>
      </c>
      <c r="K91" s="102">
        <f t="shared" si="62"/>
        <v>0.17745374532348746</v>
      </c>
      <c r="L91" s="102">
        <f t="shared" si="62"/>
        <v>0.19963546348892339</v>
      </c>
      <c r="M91" s="113">
        <f>(M$52-$C$52)/($AG$52-$C$52)*($AG91-$C91)+$C91</f>
        <v>0.22181718165435932</v>
      </c>
      <c r="N91" s="113">
        <f>$M91+($W91-$M91)/10*(N$1-$M$1)</f>
        <v>0.23671946463689028</v>
      </c>
      <c r="O91" s="113">
        <f t="shared" ref="O91:U91" si="63">$M91+($W91-$M91)/10*(O$1-$M$1)</f>
        <v>0.25162174761942124</v>
      </c>
      <c r="P91" s="113">
        <f t="shared" si="63"/>
        <v>0.26652403060195223</v>
      </c>
      <c r="Q91" s="113">
        <f t="shared" si="63"/>
        <v>0.28142631358448317</v>
      </c>
      <c r="R91" s="113">
        <f t="shared" si="63"/>
        <v>0.29632859656701416</v>
      </c>
      <c r="S91" s="113">
        <f t="shared" si="63"/>
        <v>0.31123087954954509</v>
      </c>
      <c r="T91" s="113">
        <f t="shared" si="63"/>
        <v>0.32613316253207608</v>
      </c>
      <c r="U91" s="113">
        <f t="shared" si="63"/>
        <v>0.34103544551460707</v>
      </c>
      <c r="V91" s="113">
        <f>$M91+($W91-$M91)/10*(V$1-$M$1)</f>
        <v>0.35593772849713801</v>
      </c>
      <c r="W91" s="113">
        <f>(W$52-$C$52)/($AG$52-$C$52)*($AG91-$C91)+$C91</f>
        <v>0.370840011479669</v>
      </c>
      <c r="X91" s="102">
        <f>$W91+($AG91-$W91)/10*(X$1-$W$1)</f>
        <v>0.3937560103317021</v>
      </c>
      <c r="Y91" s="102">
        <f t="shared" ref="Y91:AF91" si="64">$W91+($AG91-$W91)/10*(Y$1-$W$1)</f>
        <v>0.4166720091837352</v>
      </c>
      <c r="Z91" s="102">
        <f t="shared" si="64"/>
        <v>0.43958800803576825</v>
      </c>
      <c r="AA91" s="102">
        <f t="shared" si="64"/>
        <v>0.46250400688780136</v>
      </c>
      <c r="AB91" s="102">
        <f t="shared" si="64"/>
        <v>0.48542000573983446</v>
      </c>
      <c r="AC91" s="102">
        <f t="shared" si="64"/>
        <v>0.50833600459186756</v>
      </c>
      <c r="AD91" s="102">
        <f t="shared" si="64"/>
        <v>0.53125200344390067</v>
      </c>
      <c r="AE91" s="102">
        <f t="shared" si="64"/>
        <v>0.55416800229593377</v>
      </c>
      <c r="AF91" s="102">
        <f t="shared" si="64"/>
        <v>0.57708400114796687</v>
      </c>
      <c r="AG91" s="118">
        <v>0.6</v>
      </c>
      <c r="AJ91" s="185" t="s">
        <v>1469</v>
      </c>
    </row>
    <row r="92" spans="1:63" outlineLevel="1">
      <c r="A92" t="s">
        <v>434</v>
      </c>
      <c r="B92" s="50" t="s">
        <v>126</v>
      </c>
      <c r="C92" s="188">
        <v>0.05</v>
      </c>
      <c r="D92" s="102">
        <f t="shared" ref="D92:AF92" si="65">C92-($C$92-$AG$92)/($AG$1-$C$1)</f>
        <v>6.1666666666666668E-2</v>
      </c>
      <c r="E92" s="102">
        <f t="shared" si="65"/>
        <v>7.3333333333333334E-2</v>
      </c>
      <c r="F92" s="102">
        <f t="shared" si="65"/>
        <v>8.5000000000000006E-2</v>
      </c>
      <c r="G92" s="102">
        <f t="shared" si="65"/>
        <v>9.6666666666666679E-2</v>
      </c>
      <c r="H92" s="102">
        <f t="shared" si="65"/>
        <v>0.10833333333333335</v>
      </c>
      <c r="I92" s="102">
        <f t="shared" si="65"/>
        <v>0.12000000000000002</v>
      </c>
      <c r="J92" s="102">
        <f t="shared" si="65"/>
        <v>0.13166666666666668</v>
      </c>
      <c r="K92" s="102">
        <f t="shared" si="65"/>
        <v>0.14333333333333334</v>
      </c>
      <c r="L92" s="102">
        <f t="shared" si="65"/>
        <v>0.155</v>
      </c>
      <c r="M92" s="102">
        <f t="shared" si="65"/>
        <v>0.16666666666666666</v>
      </c>
      <c r="N92" s="102">
        <f t="shared" si="65"/>
        <v>0.17833333333333332</v>
      </c>
      <c r="O92" s="102">
        <f t="shared" si="65"/>
        <v>0.18999999999999997</v>
      </c>
      <c r="P92" s="102">
        <f t="shared" si="65"/>
        <v>0.20166666666666663</v>
      </c>
      <c r="Q92" s="102">
        <f t="shared" si="65"/>
        <v>0.21333333333333329</v>
      </c>
      <c r="R92" s="102">
        <f t="shared" si="65"/>
        <v>0.22499999999999995</v>
      </c>
      <c r="S92" s="102">
        <f t="shared" si="65"/>
        <v>0.23666666666666661</v>
      </c>
      <c r="T92" s="102">
        <f t="shared" si="65"/>
        <v>0.24833333333333327</v>
      </c>
      <c r="U92" s="102">
        <f t="shared" si="65"/>
        <v>0.25999999999999995</v>
      </c>
      <c r="V92" s="102">
        <f t="shared" si="65"/>
        <v>0.27166666666666661</v>
      </c>
      <c r="W92" s="102">
        <f t="shared" si="65"/>
        <v>0.28333333333333327</v>
      </c>
      <c r="X92" s="102">
        <f t="shared" si="65"/>
        <v>0.29499999999999993</v>
      </c>
      <c r="Y92" s="102">
        <f t="shared" si="65"/>
        <v>0.30666666666666659</v>
      </c>
      <c r="Z92" s="102">
        <f t="shared" si="65"/>
        <v>0.31833333333333325</v>
      </c>
      <c r="AA92" s="102">
        <f t="shared" si="65"/>
        <v>0.3299999999999999</v>
      </c>
      <c r="AB92" s="102">
        <f t="shared" si="65"/>
        <v>0.34166666666666656</v>
      </c>
      <c r="AC92" s="102">
        <f t="shared" si="65"/>
        <v>0.35333333333333322</v>
      </c>
      <c r="AD92" s="102">
        <f t="shared" si="65"/>
        <v>0.36499999999999988</v>
      </c>
      <c r="AE92" s="102">
        <f t="shared" si="65"/>
        <v>0.37666666666666654</v>
      </c>
      <c r="AF92" s="102">
        <f t="shared" si="65"/>
        <v>0.3883333333333332</v>
      </c>
      <c r="AG92" s="188">
        <v>0.4</v>
      </c>
      <c r="AI92" s="126"/>
      <c r="AJ92" s="185" t="s">
        <v>439</v>
      </c>
      <c r="AM92" s="115"/>
      <c r="AN92" s="115"/>
    </row>
    <row r="93" spans="1:63" ht="14.5" customHeight="1" outlineLevel="1">
      <c r="A93" t="s">
        <v>435</v>
      </c>
      <c r="B93" s="156" t="s">
        <v>126</v>
      </c>
      <c r="C93" s="102">
        <f>1-C92</f>
        <v>0.95</v>
      </c>
      <c r="D93" s="102">
        <f t="shared" ref="D93:AG93" si="66">1-D92</f>
        <v>0.93833333333333335</v>
      </c>
      <c r="E93" s="102">
        <f t="shared" si="66"/>
        <v>0.92666666666666664</v>
      </c>
      <c r="F93" s="102">
        <f t="shared" si="66"/>
        <v>0.91500000000000004</v>
      </c>
      <c r="G93" s="102">
        <f t="shared" si="66"/>
        <v>0.90333333333333332</v>
      </c>
      <c r="H93" s="102">
        <f t="shared" si="66"/>
        <v>0.89166666666666661</v>
      </c>
      <c r="I93" s="102">
        <f t="shared" si="66"/>
        <v>0.88</v>
      </c>
      <c r="J93" s="102">
        <f t="shared" si="66"/>
        <v>0.86833333333333329</v>
      </c>
      <c r="K93" s="102">
        <f t="shared" si="66"/>
        <v>0.85666666666666669</v>
      </c>
      <c r="L93" s="102">
        <f t="shared" si="66"/>
        <v>0.84499999999999997</v>
      </c>
      <c r="M93" s="102">
        <f t="shared" si="66"/>
        <v>0.83333333333333337</v>
      </c>
      <c r="N93" s="102">
        <f t="shared" si="66"/>
        <v>0.82166666666666666</v>
      </c>
      <c r="O93" s="102">
        <f t="shared" si="66"/>
        <v>0.81</v>
      </c>
      <c r="P93" s="102">
        <f t="shared" si="66"/>
        <v>0.79833333333333334</v>
      </c>
      <c r="Q93" s="102">
        <f t="shared" si="66"/>
        <v>0.78666666666666674</v>
      </c>
      <c r="R93" s="102">
        <f t="shared" si="66"/>
        <v>0.77500000000000002</v>
      </c>
      <c r="S93" s="102">
        <f t="shared" si="66"/>
        <v>0.76333333333333342</v>
      </c>
      <c r="T93" s="102">
        <f t="shared" si="66"/>
        <v>0.75166666666666671</v>
      </c>
      <c r="U93" s="102">
        <f t="shared" si="66"/>
        <v>0.74</v>
      </c>
      <c r="V93" s="102">
        <f t="shared" si="66"/>
        <v>0.72833333333333339</v>
      </c>
      <c r="W93" s="102">
        <f t="shared" si="66"/>
        <v>0.71666666666666679</v>
      </c>
      <c r="X93" s="102">
        <f t="shared" si="66"/>
        <v>0.70500000000000007</v>
      </c>
      <c r="Y93" s="102">
        <f t="shared" si="66"/>
        <v>0.69333333333333336</v>
      </c>
      <c r="Z93" s="102">
        <f t="shared" si="66"/>
        <v>0.68166666666666675</v>
      </c>
      <c r="AA93" s="102">
        <f t="shared" si="66"/>
        <v>0.67000000000000015</v>
      </c>
      <c r="AB93" s="102">
        <f t="shared" si="66"/>
        <v>0.65833333333333344</v>
      </c>
      <c r="AC93" s="102">
        <f t="shared" si="66"/>
        <v>0.64666666666666672</v>
      </c>
      <c r="AD93" s="102">
        <f t="shared" si="66"/>
        <v>0.63500000000000012</v>
      </c>
      <c r="AE93" s="102">
        <f t="shared" si="66"/>
        <v>0.62333333333333352</v>
      </c>
      <c r="AF93" s="102">
        <f t="shared" si="66"/>
        <v>0.6116666666666668</v>
      </c>
      <c r="AG93" s="102">
        <f t="shared" si="66"/>
        <v>0.6</v>
      </c>
      <c r="AI93" s="126" t="s">
        <v>289</v>
      </c>
      <c r="AJ93" s="185"/>
    </row>
    <row r="94" spans="1:63" outlineLevel="1">
      <c r="A94" t="s">
        <v>436</v>
      </c>
      <c r="B94" s="50" t="s">
        <v>126</v>
      </c>
      <c r="C94" s="102">
        <f>C91*C92</f>
        <v>0</v>
      </c>
      <c r="D94" s="102">
        <f t="shared" ref="D94:AG94" si="67">D91*D92</f>
        <v>1.3678726202018825E-3</v>
      </c>
      <c r="E94" s="102">
        <f t="shared" si="67"/>
        <v>3.2533186642639367E-3</v>
      </c>
      <c r="F94" s="102">
        <f t="shared" si="67"/>
        <v>5.6563381321861634E-3</v>
      </c>
      <c r="G94" s="102">
        <f t="shared" si="67"/>
        <v>8.576931023968561E-3</v>
      </c>
      <c r="H94" s="102">
        <f t="shared" si="67"/>
        <v>1.2015097339611132E-2</v>
      </c>
      <c r="I94" s="102">
        <f t="shared" si="67"/>
        <v>1.5970837079113873E-2</v>
      </c>
      <c r="J94" s="102">
        <f t="shared" si="67"/>
        <v>2.0444150242476786E-2</v>
      </c>
      <c r="K94" s="102">
        <f t="shared" si="67"/>
        <v>2.5435036829699869E-2</v>
      </c>
      <c r="L94" s="102">
        <f t="shared" si="67"/>
        <v>3.0943496840783125E-2</v>
      </c>
      <c r="M94" s="102">
        <f t="shared" si="67"/>
        <v>3.6969530275726553E-2</v>
      </c>
      <c r="N94" s="102">
        <f t="shared" si="67"/>
        <v>4.2214971193578761E-2</v>
      </c>
      <c r="O94" s="102">
        <f t="shared" si="67"/>
        <v>4.7808132047690029E-2</v>
      </c>
      <c r="P94" s="102">
        <f t="shared" si="67"/>
        <v>5.3749012838060356E-2</v>
      </c>
      <c r="Q94" s="102">
        <f t="shared" si="67"/>
        <v>6.0037613564689729E-2</v>
      </c>
      <c r="R94" s="102">
        <f t="shared" si="67"/>
        <v>6.6673934227578169E-2</v>
      </c>
      <c r="S94" s="102">
        <f t="shared" si="67"/>
        <v>7.3657974826725647E-2</v>
      </c>
      <c r="T94" s="102">
        <f t="shared" si="67"/>
        <v>8.0989735362132206E-2</v>
      </c>
      <c r="U94" s="102">
        <f t="shared" si="67"/>
        <v>8.8669215833797818E-2</v>
      </c>
      <c r="V94" s="102">
        <f t="shared" si="67"/>
        <v>9.6696416241722469E-2</v>
      </c>
      <c r="W94" s="102">
        <f t="shared" si="67"/>
        <v>0.10507133658590619</v>
      </c>
      <c r="X94" s="102">
        <f t="shared" si="67"/>
        <v>0.1161580230478521</v>
      </c>
      <c r="Y94" s="102">
        <f t="shared" si="67"/>
        <v>0.12777941614967878</v>
      </c>
      <c r="Z94" s="102">
        <f t="shared" si="67"/>
        <v>0.1399355158913862</v>
      </c>
      <c r="AA94" s="102">
        <f t="shared" si="67"/>
        <v>0.1526263222729744</v>
      </c>
      <c r="AB94" s="102">
        <f t="shared" si="67"/>
        <v>0.16585183529444339</v>
      </c>
      <c r="AC94" s="102">
        <f t="shared" si="67"/>
        <v>0.17961205495579316</v>
      </c>
      <c r="AD94" s="102">
        <f t="shared" si="67"/>
        <v>0.19390698125702369</v>
      </c>
      <c r="AE94" s="102">
        <f t="shared" si="67"/>
        <v>0.208736614198135</v>
      </c>
      <c r="AF94" s="102">
        <f t="shared" si="67"/>
        <v>0.22410095377912706</v>
      </c>
      <c r="AG94" s="102">
        <f t="shared" si="67"/>
        <v>0.24</v>
      </c>
      <c r="AI94" s="125"/>
      <c r="AJ94" s="185"/>
      <c r="BD94" s="177"/>
      <c r="BE94" s="177"/>
    </row>
    <row r="95" spans="1:63" outlineLevel="1">
      <c r="A95" t="s">
        <v>437</v>
      </c>
      <c r="B95" s="50" t="s">
        <v>126</v>
      </c>
      <c r="C95" s="102">
        <f>C91*C93</f>
        <v>0</v>
      </c>
      <c r="D95" s="102">
        <f t="shared" ref="D95:AG95" si="68">D91*D93</f>
        <v>2.081384554523405E-2</v>
      </c>
      <c r="E95" s="102">
        <f t="shared" si="68"/>
        <v>4.1110117666607923E-2</v>
      </c>
      <c r="F95" s="102">
        <f t="shared" si="68"/>
        <v>6.0888816364121634E-2</v>
      </c>
      <c r="G95" s="102">
        <f t="shared" si="68"/>
        <v>8.0149941637775168E-2</v>
      </c>
      <c r="H95" s="102">
        <f t="shared" si="68"/>
        <v>9.8893493487568526E-2</v>
      </c>
      <c r="I95" s="102">
        <f t="shared" si="68"/>
        <v>0.11711947191350172</v>
      </c>
      <c r="J95" s="102">
        <f t="shared" si="68"/>
        <v>0.13482787691557474</v>
      </c>
      <c r="K95" s="102">
        <f t="shared" si="68"/>
        <v>0.1520187084937876</v>
      </c>
      <c r="L95" s="102">
        <f t="shared" si="68"/>
        <v>0.16869196664814026</v>
      </c>
      <c r="M95" s="102">
        <f t="shared" si="68"/>
        <v>0.18484765137863277</v>
      </c>
      <c r="N95" s="102">
        <f t="shared" si="68"/>
        <v>0.1945044934433115</v>
      </c>
      <c r="O95" s="102">
        <f t="shared" si="68"/>
        <v>0.20381361557173122</v>
      </c>
      <c r="P95" s="102">
        <f t="shared" si="68"/>
        <v>0.21277501776389188</v>
      </c>
      <c r="Q95" s="102">
        <f t="shared" si="68"/>
        <v>0.22138870001979344</v>
      </c>
      <c r="R95" s="102">
        <f t="shared" si="68"/>
        <v>0.22965466233943599</v>
      </c>
      <c r="S95" s="102">
        <f t="shared" si="68"/>
        <v>0.23757290472281944</v>
      </c>
      <c r="T95" s="102">
        <f t="shared" si="68"/>
        <v>0.24514342716994386</v>
      </c>
      <c r="U95" s="102">
        <f t="shared" si="68"/>
        <v>0.25236622968080924</v>
      </c>
      <c r="V95" s="102">
        <f t="shared" si="68"/>
        <v>0.25924131225541552</v>
      </c>
      <c r="W95" s="102">
        <f t="shared" si="68"/>
        <v>0.26576867489376282</v>
      </c>
      <c r="X95" s="102">
        <f t="shared" si="68"/>
        <v>0.27759798728384999</v>
      </c>
      <c r="Y95" s="102">
        <f t="shared" si="68"/>
        <v>0.2888925930340564</v>
      </c>
      <c r="Z95" s="102">
        <f t="shared" si="68"/>
        <v>0.29965249214438205</v>
      </c>
      <c r="AA95" s="102">
        <f t="shared" si="68"/>
        <v>0.30987768461482695</v>
      </c>
      <c r="AB95" s="102">
        <f t="shared" si="68"/>
        <v>0.31956817044539104</v>
      </c>
      <c r="AC95" s="102">
        <f t="shared" si="68"/>
        <v>0.32872394963607438</v>
      </c>
      <c r="AD95" s="102">
        <f t="shared" si="68"/>
        <v>0.33734502218687701</v>
      </c>
      <c r="AE95" s="102">
        <f t="shared" si="68"/>
        <v>0.34543138809779883</v>
      </c>
      <c r="AF95" s="102">
        <f t="shared" si="68"/>
        <v>0.35298304736883984</v>
      </c>
      <c r="AG95" s="102">
        <f t="shared" si="68"/>
        <v>0.36</v>
      </c>
      <c r="AI95" s="125"/>
      <c r="AJ95" s="185"/>
      <c r="BD95" s="177"/>
      <c r="BE95" s="177"/>
    </row>
    <row r="96" spans="1:63" outlineLevel="1">
      <c r="C96" s="10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J96" s="185"/>
    </row>
    <row r="97" spans="1:63" outlineLevel="1">
      <c r="A97" t="s">
        <v>422</v>
      </c>
      <c r="B97" s="50" t="s">
        <v>126</v>
      </c>
      <c r="C97" s="188">
        <v>0.5</v>
      </c>
      <c r="D97" s="102">
        <f>C97</f>
        <v>0.5</v>
      </c>
      <c r="E97" s="102">
        <f t="shared" ref="E97:AG97" si="69">D97</f>
        <v>0.5</v>
      </c>
      <c r="F97" s="102">
        <f t="shared" si="69"/>
        <v>0.5</v>
      </c>
      <c r="G97" s="102">
        <f t="shared" si="69"/>
        <v>0.5</v>
      </c>
      <c r="H97" s="102">
        <f t="shared" si="69"/>
        <v>0.5</v>
      </c>
      <c r="I97" s="102">
        <f t="shared" si="69"/>
        <v>0.5</v>
      </c>
      <c r="J97" s="102">
        <f t="shared" si="69"/>
        <v>0.5</v>
      </c>
      <c r="K97" s="102">
        <f t="shared" si="69"/>
        <v>0.5</v>
      </c>
      <c r="L97" s="102">
        <f t="shared" si="69"/>
        <v>0.5</v>
      </c>
      <c r="M97" s="102">
        <f t="shared" si="69"/>
        <v>0.5</v>
      </c>
      <c r="N97" s="102">
        <f t="shared" si="69"/>
        <v>0.5</v>
      </c>
      <c r="O97" s="102">
        <f t="shared" si="69"/>
        <v>0.5</v>
      </c>
      <c r="P97" s="102">
        <f t="shared" si="69"/>
        <v>0.5</v>
      </c>
      <c r="Q97" s="102">
        <f t="shared" si="69"/>
        <v>0.5</v>
      </c>
      <c r="R97" s="102">
        <f t="shared" si="69"/>
        <v>0.5</v>
      </c>
      <c r="S97" s="102">
        <f t="shared" si="69"/>
        <v>0.5</v>
      </c>
      <c r="T97" s="102">
        <f t="shared" si="69"/>
        <v>0.5</v>
      </c>
      <c r="U97" s="102">
        <f t="shared" si="69"/>
        <v>0.5</v>
      </c>
      <c r="V97" s="102">
        <f t="shared" si="69"/>
        <v>0.5</v>
      </c>
      <c r="W97" s="102">
        <f t="shared" si="69"/>
        <v>0.5</v>
      </c>
      <c r="X97" s="102">
        <f t="shared" si="69"/>
        <v>0.5</v>
      </c>
      <c r="Y97" s="102">
        <f t="shared" si="69"/>
        <v>0.5</v>
      </c>
      <c r="Z97" s="102">
        <f t="shared" si="69"/>
        <v>0.5</v>
      </c>
      <c r="AA97" s="102">
        <f t="shared" si="69"/>
        <v>0.5</v>
      </c>
      <c r="AB97" s="102">
        <f t="shared" si="69"/>
        <v>0.5</v>
      </c>
      <c r="AC97" s="102">
        <f t="shared" si="69"/>
        <v>0.5</v>
      </c>
      <c r="AD97" s="102">
        <f t="shared" si="69"/>
        <v>0.5</v>
      </c>
      <c r="AE97" s="102">
        <f t="shared" si="69"/>
        <v>0.5</v>
      </c>
      <c r="AF97" s="102">
        <f t="shared" si="69"/>
        <v>0.5</v>
      </c>
      <c r="AG97" s="102">
        <f t="shared" si="69"/>
        <v>0.5</v>
      </c>
      <c r="AI97" s="50"/>
      <c r="AJ97" s="185" t="s">
        <v>445</v>
      </c>
    </row>
    <row r="98" spans="1:63" outlineLevel="1">
      <c r="A98" t="s">
        <v>430</v>
      </c>
      <c r="B98" s="50" t="s">
        <v>126</v>
      </c>
      <c r="C98" s="113">
        <f>1-C97</f>
        <v>0.5</v>
      </c>
      <c r="D98" s="102">
        <f t="shared" ref="D98:AG98" si="70">C98</f>
        <v>0.5</v>
      </c>
      <c r="E98" s="102">
        <f t="shared" si="70"/>
        <v>0.5</v>
      </c>
      <c r="F98" s="102">
        <f t="shared" si="70"/>
        <v>0.5</v>
      </c>
      <c r="G98" s="102">
        <f t="shared" si="70"/>
        <v>0.5</v>
      </c>
      <c r="H98" s="102">
        <f t="shared" si="70"/>
        <v>0.5</v>
      </c>
      <c r="I98" s="102">
        <f t="shared" si="70"/>
        <v>0.5</v>
      </c>
      <c r="J98" s="102">
        <f t="shared" si="70"/>
        <v>0.5</v>
      </c>
      <c r="K98" s="102">
        <f t="shared" si="70"/>
        <v>0.5</v>
      </c>
      <c r="L98" s="102">
        <f t="shared" si="70"/>
        <v>0.5</v>
      </c>
      <c r="M98" s="102">
        <f t="shared" si="70"/>
        <v>0.5</v>
      </c>
      <c r="N98" s="102">
        <f t="shared" si="70"/>
        <v>0.5</v>
      </c>
      <c r="O98" s="102">
        <f t="shared" si="70"/>
        <v>0.5</v>
      </c>
      <c r="P98" s="102">
        <f t="shared" si="70"/>
        <v>0.5</v>
      </c>
      <c r="Q98" s="102">
        <f t="shared" si="70"/>
        <v>0.5</v>
      </c>
      <c r="R98" s="102">
        <f t="shared" si="70"/>
        <v>0.5</v>
      </c>
      <c r="S98" s="102">
        <f t="shared" si="70"/>
        <v>0.5</v>
      </c>
      <c r="T98" s="102">
        <f t="shared" si="70"/>
        <v>0.5</v>
      </c>
      <c r="U98" s="102">
        <f t="shared" si="70"/>
        <v>0.5</v>
      </c>
      <c r="V98" s="102">
        <f t="shared" si="70"/>
        <v>0.5</v>
      </c>
      <c r="W98" s="102">
        <f t="shared" si="70"/>
        <v>0.5</v>
      </c>
      <c r="X98" s="102">
        <f t="shared" si="70"/>
        <v>0.5</v>
      </c>
      <c r="Y98" s="102">
        <f t="shared" si="70"/>
        <v>0.5</v>
      </c>
      <c r="Z98" s="102">
        <f t="shared" si="70"/>
        <v>0.5</v>
      </c>
      <c r="AA98" s="102">
        <f t="shared" si="70"/>
        <v>0.5</v>
      </c>
      <c r="AB98" s="102">
        <f t="shared" si="70"/>
        <v>0.5</v>
      </c>
      <c r="AC98" s="102">
        <f t="shared" si="70"/>
        <v>0.5</v>
      </c>
      <c r="AD98" s="102">
        <f t="shared" si="70"/>
        <v>0.5</v>
      </c>
      <c r="AE98" s="102">
        <f t="shared" si="70"/>
        <v>0.5</v>
      </c>
      <c r="AF98" s="102">
        <f t="shared" si="70"/>
        <v>0.5</v>
      </c>
      <c r="AG98" s="102">
        <f t="shared" si="70"/>
        <v>0.5</v>
      </c>
      <c r="AJ98" s="196"/>
    </row>
    <row r="99" spans="1:63" outlineLevel="1">
      <c r="A99" t="s">
        <v>418</v>
      </c>
      <c r="B99" s="50" t="s">
        <v>126</v>
      </c>
      <c r="C99" s="102">
        <f t="shared" ref="C99:AG99" si="71">SUM(C97:C98)</f>
        <v>1</v>
      </c>
      <c r="D99" s="102">
        <f t="shared" si="71"/>
        <v>1</v>
      </c>
      <c r="E99" s="102">
        <f t="shared" si="71"/>
        <v>1</v>
      </c>
      <c r="F99" s="102">
        <f t="shared" si="71"/>
        <v>1</v>
      </c>
      <c r="G99" s="102">
        <f t="shared" si="71"/>
        <v>1</v>
      </c>
      <c r="H99" s="102">
        <f t="shared" si="71"/>
        <v>1</v>
      </c>
      <c r="I99" s="102">
        <f t="shared" si="71"/>
        <v>1</v>
      </c>
      <c r="J99" s="102">
        <f t="shared" si="71"/>
        <v>1</v>
      </c>
      <c r="K99" s="102">
        <f t="shared" si="71"/>
        <v>1</v>
      </c>
      <c r="L99" s="102">
        <f t="shared" si="71"/>
        <v>1</v>
      </c>
      <c r="M99" s="102">
        <f t="shared" si="71"/>
        <v>1</v>
      </c>
      <c r="N99" s="102">
        <f t="shared" si="71"/>
        <v>1</v>
      </c>
      <c r="O99" s="102">
        <f t="shared" si="71"/>
        <v>1</v>
      </c>
      <c r="P99" s="102">
        <f t="shared" si="71"/>
        <v>1</v>
      </c>
      <c r="Q99" s="102">
        <f t="shared" si="71"/>
        <v>1</v>
      </c>
      <c r="R99" s="102">
        <f t="shared" si="71"/>
        <v>1</v>
      </c>
      <c r="S99" s="102">
        <f t="shared" si="71"/>
        <v>1</v>
      </c>
      <c r="T99" s="102">
        <f t="shared" si="71"/>
        <v>1</v>
      </c>
      <c r="U99" s="102">
        <f t="shared" si="71"/>
        <v>1</v>
      </c>
      <c r="V99" s="102">
        <f t="shared" si="71"/>
        <v>1</v>
      </c>
      <c r="W99" s="102">
        <f t="shared" si="71"/>
        <v>1</v>
      </c>
      <c r="X99" s="102">
        <f t="shared" si="71"/>
        <v>1</v>
      </c>
      <c r="Y99" s="102">
        <f t="shared" si="71"/>
        <v>1</v>
      </c>
      <c r="Z99" s="102">
        <f t="shared" si="71"/>
        <v>1</v>
      </c>
      <c r="AA99" s="102">
        <f t="shared" si="71"/>
        <v>1</v>
      </c>
      <c r="AB99" s="102">
        <f t="shared" si="71"/>
        <v>1</v>
      </c>
      <c r="AC99" s="102">
        <f t="shared" si="71"/>
        <v>1</v>
      </c>
      <c r="AD99" s="102">
        <f t="shared" si="71"/>
        <v>1</v>
      </c>
      <c r="AE99" s="102">
        <f t="shared" si="71"/>
        <v>1</v>
      </c>
      <c r="AF99" s="102">
        <f t="shared" si="71"/>
        <v>1</v>
      </c>
      <c r="AG99" s="102">
        <f t="shared" si="71"/>
        <v>1</v>
      </c>
      <c r="AH99" s="122"/>
      <c r="AI99" s="50"/>
      <c r="AJ99" s="196"/>
    </row>
    <row r="100" spans="1:63" outlineLevel="1">
      <c r="C100" s="188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22"/>
      <c r="AI100" s="122"/>
      <c r="AJ100" s="196"/>
    </row>
    <row r="101" spans="1:63" outlineLevel="1">
      <c r="A101" t="s">
        <v>440</v>
      </c>
      <c r="B101" s="50" t="s">
        <v>126</v>
      </c>
      <c r="C101" s="102">
        <f>C97*C95</f>
        <v>0</v>
      </c>
      <c r="D101" s="102">
        <f t="shared" ref="D101:AG101" si="72">D97*D95</f>
        <v>1.0406922772617025E-2</v>
      </c>
      <c r="E101" s="102">
        <f t="shared" si="72"/>
        <v>2.0555058833303962E-2</v>
      </c>
      <c r="F101" s="102">
        <f t="shared" si="72"/>
        <v>3.0444408182060817E-2</v>
      </c>
      <c r="G101" s="102">
        <f t="shared" si="72"/>
        <v>4.0074970818887584E-2</v>
      </c>
      <c r="H101" s="102">
        <f t="shared" si="72"/>
        <v>4.9446746743784263E-2</v>
      </c>
      <c r="I101" s="102">
        <f t="shared" si="72"/>
        <v>5.8559735956750861E-2</v>
      </c>
      <c r="J101" s="102">
        <f t="shared" si="72"/>
        <v>6.741393845778737E-2</v>
      </c>
      <c r="K101" s="102">
        <f t="shared" si="72"/>
        <v>7.6009354246893798E-2</v>
      </c>
      <c r="L101" s="102">
        <f t="shared" si="72"/>
        <v>8.4345983324070131E-2</v>
      </c>
      <c r="M101" s="102">
        <f t="shared" si="72"/>
        <v>9.2423825689316383E-2</v>
      </c>
      <c r="N101" s="102">
        <f t="shared" si="72"/>
        <v>9.725224672165575E-2</v>
      </c>
      <c r="O101" s="102">
        <f t="shared" si="72"/>
        <v>0.10190680778586561</v>
      </c>
      <c r="P101" s="102">
        <f t="shared" si="72"/>
        <v>0.10638750888194594</v>
      </c>
      <c r="Q101" s="102">
        <f t="shared" si="72"/>
        <v>0.11069435000989672</v>
      </c>
      <c r="R101" s="102">
        <f t="shared" si="72"/>
        <v>0.11482733116971799</v>
      </c>
      <c r="S101" s="102">
        <f t="shared" si="72"/>
        <v>0.11878645236140972</v>
      </c>
      <c r="T101" s="102">
        <f t="shared" si="72"/>
        <v>0.12257171358497193</v>
      </c>
      <c r="U101" s="102">
        <f t="shared" si="72"/>
        <v>0.12618311484040462</v>
      </c>
      <c r="V101" s="102">
        <f t="shared" si="72"/>
        <v>0.12962065612770776</v>
      </c>
      <c r="W101" s="102">
        <f t="shared" si="72"/>
        <v>0.13288433744688141</v>
      </c>
      <c r="X101" s="102">
        <f t="shared" si="72"/>
        <v>0.13879899364192499</v>
      </c>
      <c r="Y101" s="102">
        <f t="shared" si="72"/>
        <v>0.1444462965170282</v>
      </c>
      <c r="Z101" s="102">
        <f t="shared" si="72"/>
        <v>0.14982624607219103</v>
      </c>
      <c r="AA101" s="102">
        <f t="shared" si="72"/>
        <v>0.15493884230741348</v>
      </c>
      <c r="AB101" s="102">
        <f t="shared" si="72"/>
        <v>0.15978408522269552</v>
      </c>
      <c r="AC101" s="102">
        <f t="shared" si="72"/>
        <v>0.16436197481803719</v>
      </c>
      <c r="AD101" s="102">
        <f t="shared" si="72"/>
        <v>0.1686725110934385</v>
      </c>
      <c r="AE101" s="102">
        <f t="shared" si="72"/>
        <v>0.17271569404889942</v>
      </c>
      <c r="AF101" s="102">
        <f t="shared" si="72"/>
        <v>0.17649152368441992</v>
      </c>
      <c r="AG101" s="102">
        <f t="shared" si="72"/>
        <v>0.18</v>
      </c>
      <c r="AH101" s="122"/>
      <c r="AI101" s="122"/>
      <c r="AJ101" s="185"/>
    </row>
    <row r="102" spans="1:63" outlineLevel="1">
      <c r="A102" t="s">
        <v>518</v>
      </c>
      <c r="B102" s="50" t="s">
        <v>126</v>
      </c>
      <c r="C102" s="102">
        <f>C95*C98</f>
        <v>0</v>
      </c>
      <c r="D102" s="102">
        <f t="shared" ref="D102:AG102" si="73">D95*D98</f>
        <v>1.0406922772617025E-2</v>
      </c>
      <c r="E102" s="102">
        <f t="shared" si="73"/>
        <v>2.0555058833303962E-2</v>
      </c>
      <c r="F102" s="102">
        <f t="shared" si="73"/>
        <v>3.0444408182060817E-2</v>
      </c>
      <c r="G102" s="102">
        <f t="shared" si="73"/>
        <v>4.0074970818887584E-2</v>
      </c>
      <c r="H102" s="102">
        <f t="shared" si="73"/>
        <v>4.9446746743784263E-2</v>
      </c>
      <c r="I102" s="102">
        <f t="shared" si="73"/>
        <v>5.8559735956750861E-2</v>
      </c>
      <c r="J102" s="102">
        <f t="shared" si="73"/>
        <v>6.741393845778737E-2</v>
      </c>
      <c r="K102" s="102">
        <f t="shared" si="73"/>
        <v>7.6009354246893798E-2</v>
      </c>
      <c r="L102" s="102">
        <f t="shared" si="73"/>
        <v>8.4345983324070131E-2</v>
      </c>
      <c r="M102" s="102">
        <f t="shared" si="73"/>
        <v>9.2423825689316383E-2</v>
      </c>
      <c r="N102" s="102">
        <f t="shared" si="73"/>
        <v>9.725224672165575E-2</v>
      </c>
      <c r="O102" s="102">
        <f t="shared" si="73"/>
        <v>0.10190680778586561</v>
      </c>
      <c r="P102" s="102">
        <f t="shared" si="73"/>
        <v>0.10638750888194594</v>
      </c>
      <c r="Q102" s="102">
        <f t="shared" si="73"/>
        <v>0.11069435000989672</v>
      </c>
      <c r="R102" s="102">
        <f t="shared" si="73"/>
        <v>0.11482733116971799</v>
      </c>
      <c r="S102" s="102">
        <f t="shared" si="73"/>
        <v>0.11878645236140972</v>
      </c>
      <c r="T102" s="102">
        <f t="shared" si="73"/>
        <v>0.12257171358497193</v>
      </c>
      <c r="U102" s="102">
        <f t="shared" si="73"/>
        <v>0.12618311484040462</v>
      </c>
      <c r="V102" s="102">
        <f t="shared" si="73"/>
        <v>0.12962065612770776</v>
      </c>
      <c r="W102" s="102">
        <f t="shared" si="73"/>
        <v>0.13288433744688141</v>
      </c>
      <c r="X102" s="102">
        <f t="shared" si="73"/>
        <v>0.13879899364192499</v>
      </c>
      <c r="Y102" s="102">
        <f t="shared" si="73"/>
        <v>0.1444462965170282</v>
      </c>
      <c r="Z102" s="102">
        <f t="shared" si="73"/>
        <v>0.14982624607219103</v>
      </c>
      <c r="AA102" s="102">
        <f t="shared" si="73"/>
        <v>0.15493884230741348</v>
      </c>
      <c r="AB102" s="102">
        <f t="shared" si="73"/>
        <v>0.15978408522269552</v>
      </c>
      <c r="AC102" s="102">
        <f t="shared" si="73"/>
        <v>0.16436197481803719</v>
      </c>
      <c r="AD102" s="102">
        <f t="shared" si="73"/>
        <v>0.1686725110934385</v>
      </c>
      <c r="AE102" s="102">
        <f t="shared" si="73"/>
        <v>0.17271569404889942</v>
      </c>
      <c r="AF102" s="102">
        <f t="shared" si="73"/>
        <v>0.17649152368441992</v>
      </c>
      <c r="AG102" s="102">
        <f t="shared" si="73"/>
        <v>0.18</v>
      </c>
      <c r="AJ102" s="185"/>
    </row>
    <row r="103" spans="1:63" outlineLevel="1"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J103" s="185"/>
    </row>
    <row r="104" spans="1:63" s="174" customFormat="1" ht="15.5" thickBot="1">
      <c r="A104" s="174" t="s">
        <v>446</v>
      </c>
      <c r="B104" s="189"/>
      <c r="C104" s="197">
        <f>C105</f>
        <v>0.02</v>
      </c>
      <c r="D104" s="197">
        <f t="shared" ref="D104:AG104" si="74">D105</f>
        <v>4.1442327559921402E-2</v>
      </c>
      <c r="E104" s="197">
        <f t="shared" si="74"/>
        <v>6.28846551198428E-2</v>
      </c>
      <c r="F104" s="197">
        <f t="shared" si="74"/>
        <v>8.4326982679764198E-2</v>
      </c>
      <c r="G104" s="197">
        <f t="shared" si="74"/>
        <v>0.1057693102396856</v>
      </c>
      <c r="H104" s="197">
        <f t="shared" si="74"/>
        <v>0.12721163779960698</v>
      </c>
      <c r="I104" s="197">
        <f t="shared" si="74"/>
        <v>0.14865396535952838</v>
      </c>
      <c r="J104" s="197">
        <f t="shared" si="74"/>
        <v>0.17009629291944978</v>
      </c>
      <c r="K104" s="197">
        <f t="shared" si="74"/>
        <v>0.19153862047937117</v>
      </c>
      <c r="L104" s="197">
        <f t="shared" si="74"/>
        <v>0.21298094803929257</v>
      </c>
      <c r="M104" s="197">
        <f t="shared" si="74"/>
        <v>0.23442327559921397</v>
      </c>
      <c r="N104" s="197">
        <f t="shared" si="74"/>
        <v>0.24882881581566058</v>
      </c>
      <c r="O104" s="197">
        <f t="shared" si="74"/>
        <v>0.26323435603210721</v>
      </c>
      <c r="P104" s="197">
        <f t="shared" si="74"/>
        <v>0.27763989624855379</v>
      </c>
      <c r="Q104" s="197">
        <f t="shared" si="74"/>
        <v>0.29204543646500042</v>
      </c>
      <c r="R104" s="197">
        <f t="shared" si="74"/>
        <v>0.306450976681447</v>
      </c>
      <c r="S104" s="197">
        <f t="shared" si="74"/>
        <v>0.32085651689789363</v>
      </c>
      <c r="T104" s="197">
        <f t="shared" si="74"/>
        <v>0.33526205711434021</v>
      </c>
      <c r="U104" s="197">
        <f t="shared" si="74"/>
        <v>0.34966759733078684</v>
      </c>
      <c r="V104" s="197">
        <f t="shared" si="74"/>
        <v>0.36407313754723347</v>
      </c>
      <c r="W104" s="197">
        <f t="shared" si="74"/>
        <v>0.37847867776368005</v>
      </c>
      <c r="X104" s="197">
        <f t="shared" si="74"/>
        <v>0.40063080998731204</v>
      </c>
      <c r="Y104" s="197">
        <f t="shared" si="74"/>
        <v>0.42278294221094403</v>
      </c>
      <c r="Z104" s="197">
        <f t="shared" si="74"/>
        <v>0.44493507443457603</v>
      </c>
      <c r="AA104" s="197">
        <f t="shared" si="74"/>
        <v>0.46708720665820802</v>
      </c>
      <c r="AB104" s="197">
        <f t="shared" si="74"/>
        <v>0.48923933888184001</v>
      </c>
      <c r="AC104" s="197">
        <f t="shared" si="74"/>
        <v>0.51139147110547201</v>
      </c>
      <c r="AD104" s="197">
        <f t="shared" si="74"/>
        <v>0.533543603329104</v>
      </c>
      <c r="AE104" s="197">
        <f t="shared" si="74"/>
        <v>0.55569573555273599</v>
      </c>
      <c r="AF104" s="197">
        <f t="shared" si="74"/>
        <v>0.57784786777636798</v>
      </c>
      <c r="AG104" s="197">
        <f t="shared" si="74"/>
        <v>0.6</v>
      </c>
      <c r="AJ104" s="204" t="s">
        <v>491</v>
      </c>
      <c r="AL104" s="191"/>
      <c r="AM104" s="198"/>
      <c r="AN104" s="198"/>
      <c r="AO104" s="198"/>
    </row>
    <row r="105" spans="1:63" ht="15.5" outlineLevel="1" thickTop="1">
      <c r="A105" t="s">
        <v>454</v>
      </c>
      <c r="B105" s="50" t="s">
        <v>126</v>
      </c>
      <c r="C105" s="558">
        <v>0.02</v>
      </c>
      <c r="D105" s="102">
        <f>$C105+($M105-$C105)/10*(D$1-$C$1)</f>
        <v>4.1442327559921402E-2</v>
      </c>
      <c r="E105" s="102">
        <f t="shared" ref="E105:L105" si="75">$C105+($M105-$C105)/10*(E$1-$C$1)</f>
        <v>6.28846551198428E-2</v>
      </c>
      <c r="F105" s="102">
        <f t="shared" si="75"/>
        <v>8.4326982679764198E-2</v>
      </c>
      <c r="G105" s="102">
        <f t="shared" si="75"/>
        <v>0.1057693102396856</v>
      </c>
      <c r="H105" s="102">
        <f t="shared" si="75"/>
        <v>0.12721163779960698</v>
      </c>
      <c r="I105" s="102">
        <f t="shared" si="75"/>
        <v>0.14865396535952838</v>
      </c>
      <c r="J105" s="102">
        <f t="shared" si="75"/>
        <v>0.17009629291944978</v>
      </c>
      <c r="K105" s="102">
        <f t="shared" si="75"/>
        <v>0.19153862047937117</v>
      </c>
      <c r="L105" s="102">
        <f t="shared" si="75"/>
        <v>0.21298094803929257</v>
      </c>
      <c r="M105" s="113">
        <f>(M$52-$C$52)/($AG$52-$C$52)*($AG105-$C105)+$C105</f>
        <v>0.23442327559921397</v>
      </c>
      <c r="N105" s="113">
        <f>$M105+($W105-$M105)/10*(N$1-$M$1)</f>
        <v>0.24882881581566058</v>
      </c>
      <c r="O105" s="113">
        <f t="shared" ref="O105:U105" si="76">$M105+($W105-$M105)/10*(O$1-$M$1)</f>
        <v>0.26323435603210721</v>
      </c>
      <c r="P105" s="113">
        <f t="shared" si="76"/>
        <v>0.27763989624855379</v>
      </c>
      <c r="Q105" s="113">
        <f t="shared" si="76"/>
        <v>0.29204543646500042</v>
      </c>
      <c r="R105" s="113">
        <f t="shared" si="76"/>
        <v>0.306450976681447</v>
      </c>
      <c r="S105" s="113">
        <f t="shared" si="76"/>
        <v>0.32085651689789363</v>
      </c>
      <c r="T105" s="113">
        <f t="shared" si="76"/>
        <v>0.33526205711434021</v>
      </c>
      <c r="U105" s="113">
        <f t="shared" si="76"/>
        <v>0.34966759733078684</v>
      </c>
      <c r="V105" s="113">
        <f>$M105+($W105-$M105)/10*(V$1-$M$1)</f>
        <v>0.36407313754723347</v>
      </c>
      <c r="W105" s="113">
        <f>(W$52-$C$52)/($AG$52-$C$52)*($AG105-$C105)+$C105</f>
        <v>0.37847867776368005</v>
      </c>
      <c r="X105" s="22">
        <f t="shared" ref="X105:AF105" si="77">$W105+($AG105-$W105)/10*(X$1-$W$1)</f>
        <v>0.40063080998731204</v>
      </c>
      <c r="Y105" s="22">
        <f t="shared" si="77"/>
        <v>0.42278294221094403</v>
      </c>
      <c r="Z105" s="22">
        <f t="shared" si="77"/>
        <v>0.44493507443457603</v>
      </c>
      <c r="AA105" s="22">
        <f t="shared" si="77"/>
        <v>0.46708720665820802</v>
      </c>
      <c r="AB105" s="22">
        <f t="shared" si="77"/>
        <v>0.48923933888184001</v>
      </c>
      <c r="AC105" s="22">
        <f t="shared" si="77"/>
        <v>0.51139147110547201</v>
      </c>
      <c r="AD105" s="22">
        <f t="shared" si="77"/>
        <v>0.533543603329104</v>
      </c>
      <c r="AE105" s="22">
        <f t="shared" si="77"/>
        <v>0.55569573555273599</v>
      </c>
      <c r="AF105" s="22">
        <f t="shared" si="77"/>
        <v>0.57784786777636798</v>
      </c>
      <c r="AG105" s="188">
        <v>0.6</v>
      </c>
      <c r="AJ105" s="185" t="s">
        <v>1469</v>
      </c>
    </row>
    <row r="106" spans="1:63" outlineLevel="1">
      <c r="C106" s="105"/>
      <c r="D106" s="102"/>
      <c r="E106" s="102"/>
      <c r="F106" s="102"/>
      <c r="G106" s="102"/>
      <c r="H106" s="102"/>
      <c r="I106" s="102"/>
      <c r="J106" s="102"/>
      <c r="K106" s="102"/>
      <c r="L106" s="102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22"/>
      <c r="Y106" s="22"/>
      <c r="Z106" s="22"/>
      <c r="AA106" s="22"/>
      <c r="AB106" s="22"/>
      <c r="AC106" s="22"/>
      <c r="AD106" s="22"/>
      <c r="AE106" s="22"/>
      <c r="AF106" s="22"/>
      <c r="AG106" s="98"/>
      <c r="AJ106" s="185"/>
    </row>
    <row r="107" spans="1:63" outlineLevel="1">
      <c r="A107" t="s">
        <v>492</v>
      </c>
      <c r="C107" s="203">
        <f>'Overall recycling rates'!D85</f>
        <v>0</v>
      </c>
      <c r="D107" s="203">
        <f t="shared" ref="D107:AF107" si="78">C107-($C$107-$AG$107)/($AG$1-$C$1)</f>
        <v>2.6666666666666668E-2</v>
      </c>
      <c r="E107" s="203">
        <f t="shared" si="78"/>
        <v>5.3333333333333337E-2</v>
      </c>
      <c r="F107" s="203">
        <f t="shared" si="78"/>
        <v>0.08</v>
      </c>
      <c r="G107" s="203">
        <f t="shared" si="78"/>
        <v>0.10666666666666667</v>
      </c>
      <c r="H107" s="203">
        <f t="shared" si="78"/>
        <v>0.13333333333333333</v>
      </c>
      <c r="I107" s="203">
        <f t="shared" si="78"/>
        <v>0.16</v>
      </c>
      <c r="J107" s="203">
        <f t="shared" si="78"/>
        <v>0.18666666666666668</v>
      </c>
      <c r="K107" s="203">
        <f t="shared" si="78"/>
        <v>0.21333333333333335</v>
      </c>
      <c r="L107" s="203">
        <f t="shared" si="78"/>
        <v>0.24000000000000002</v>
      </c>
      <c r="M107" s="203">
        <f t="shared" si="78"/>
        <v>0.26666666666666666</v>
      </c>
      <c r="N107" s="203">
        <f t="shared" si="78"/>
        <v>0.29333333333333333</v>
      </c>
      <c r="O107" s="203">
        <f t="shared" si="78"/>
        <v>0.32</v>
      </c>
      <c r="P107" s="203">
        <f t="shared" si="78"/>
        <v>0.34666666666666668</v>
      </c>
      <c r="Q107" s="203">
        <f t="shared" si="78"/>
        <v>0.37333333333333335</v>
      </c>
      <c r="R107" s="203">
        <f t="shared" si="78"/>
        <v>0.4</v>
      </c>
      <c r="S107" s="203">
        <f t="shared" si="78"/>
        <v>0.42666666666666669</v>
      </c>
      <c r="T107" s="203">
        <f t="shared" si="78"/>
        <v>0.45333333333333337</v>
      </c>
      <c r="U107" s="203">
        <f t="shared" si="78"/>
        <v>0.48000000000000004</v>
      </c>
      <c r="V107" s="203">
        <f t="shared" si="78"/>
        <v>0.50666666666666671</v>
      </c>
      <c r="W107" s="203">
        <f t="shared" si="78"/>
        <v>0.53333333333333333</v>
      </c>
      <c r="X107" s="203">
        <f t="shared" si="78"/>
        <v>0.55999999999999994</v>
      </c>
      <c r="Y107" s="203">
        <f t="shared" si="78"/>
        <v>0.58666666666666656</v>
      </c>
      <c r="Z107" s="203">
        <f t="shared" si="78"/>
        <v>0.61333333333333317</v>
      </c>
      <c r="AA107" s="203">
        <f t="shared" si="78"/>
        <v>0.63999999999999979</v>
      </c>
      <c r="AB107" s="203">
        <f t="shared" si="78"/>
        <v>0.66666666666666641</v>
      </c>
      <c r="AC107" s="203">
        <f t="shared" si="78"/>
        <v>0.69333333333333302</v>
      </c>
      <c r="AD107" s="203">
        <f t="shared" si="78"/>
        <v>0.71999999999999964</v>
      </c>
      <c r="AE107" s="203">
        <f t="shared" si="78"/>
        <v>0.74666666666666626</v>
      </c>
      <c r="AF107" s="203">
        <f t="shared" si="78"/>
        <v>0.77333333333333287</v>
      </c>
      <c r="AG107" s="203">
        <f>'Overall recycling rates'!D94</f>
        <v>0.8</v>
      </c>
      <c r="AI107" s="124"/>
      <c r="AJ107" s="185" t="s">
        <v>508</v>
      </c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t="s">
        <v>499</v>
      </c>
      <c r="B108" s="50" t="s">
        <v>126</v>
      </c>
      <c r="C108" s="102">
        <f>C105*C107</f>
        <v>0</v>
      </c>
      <c r="D108" s="102">
        <f t="shared" ref="D108:AG108" si="79">D105*D107</f>
        <v>1.1051287349312375E-3</v>
      </c>
      <c r="E108" s="102">
        <f t="shared" si="79"/>
        <v>3.353848273058283E-3</v>
      </c>
      <c r="F108" s="102">
        <f t="shared" si="79"/>
        <v>6.7461586143811357E-3</v>
      </c>
      <c r="G108" s="102">
        <f t="shared" si="79"/>
        <v>1.1282059758899798E-2</v>
      </c>
      <c r="H108" s="102">
        <f t="shared" si="79"/>
        <v>1.6961551706614265E-2</v>
      </c>
      <c r="I108" s="102">
        <f t="shared" si="79"/>
        <v>2.3784634457524542E-2</v>
      </c>
      <c r="J108" s="102">
        <f t="shared" si="79"/>
        <v>3.1751308011630626E-2</v>
      </c>
      <c r="K108" s="102">
        <f t="shared" si="79"/>
        <v>4.0861572368932522E-2</v>
      </c>
      <c r="L108" s="102">
        <f t="shared" si="79"/>
        <v>5.111542752943022E-2</v>
      </c>
      <c r="M108" s="102">
        <f t="shared" si="79"/>
        <v>6.2512873493123719E-2</v>
      </c>
      <c r="N108" s="102">
        <f t="shared" si="79"/>
        <v>7.2989785972593771E-2</v>
      </c>
      <c r="O108" s="102">
        <f t="shared" si="79"/>
        <v>8.423499393027431E-2</v>
      </c>
      <c r="P108" s="102">
        <f t="shared" si="79"/>
        <v>9.6248497366165323E-2</v>
      </c>
      <c r="Q108" s="102">
        <f t="shared" si="79"/>
        <v>0.10903029628026682</v>
      </c>
      <c r="R108" s="102">
        <f t="shared" si="79"/>
        <v>0.12258039067257881</v>
      </c>
      <c r="S108" s="102">
        <f t="shared" si="79"/>
        <v>0.13689878054310128</v>
      </c>
      <c r="T108" s="102">
        <f t="shared" si="79"/>
        <v>0.15198546589183423</v>
      </c>
      <c r="U108" s="102">
        <f t="shared" si="79"/>
        <v>0.16784044671877771</v>
      </c>
      <c r="V108" s="102">
        <f t="shared" si="79"/>
        <v>0.18446372302393163</v>
      </c>
      <c r="W108" s="102">
        <f t="shared" si="79"/>
        <v>0.20185529480729603</v>
      </c>
      <c r="X108" s="102">
        <f t="shared" si="79"/>
        <v>0.22435325359289471</v>
      </c>
      <c r="Y108" s="102">
        <f t="shared" si="79"/>
        <v>0.24803265943042047</v>
      </c>
      <c r="Z108" s="102">
        <f t="shared" si="79"/>
        <v>0.27289351231987324</v>
      </c>
      <c r="AA108" s="102">
        <f t="shared" si="79"/>
        <v>0.29893581226125304</v>
      </c>
      <c r="AB108" s="102">
        <f t="shared" si="79"/>
        <v>0.32615955925455986</v>
      </c>
      <c r="AC108" s="102">
        <f t="shared" si="79"/>
        <v>0.35456475329979376</v>
      </c>
      <c r="AD108" s="102">
        <f t="shared" si="79"/>
        <v>0.38415139439695467</v>
      </c>
      <c r="AE108" s="102">
        <f t="shared" si="79"/>
        <v>0.41491948254604266</v>
      </c>
      <c r="AF108" s="102">
        <f t="shared" si="79"/>
        <v>0.44686901774705762</v>
      </c>
      <c r="AG108" s="102">
        <f t="shared" si="79"/>
        <v>0.48</v>
      </c>
      <c r="AJ108" s="185" t="s">
        <v>447</v>
      </c>
    </row>
    <row r="109" spans="1:63" outlineLevel="1">
      <c r="AJ109" s="185"/>
    </row>
    <row r="110" spans="1:63" s="174" customFormat="1" ht="15.5" thickBot="1">
      <c r="A110" s="174" t="s">
        <v>448</v>
      </c>
      <c r="B110" s="189"/>
      <c r="C110" s="197">
        <f>C111</f>
        <v>0.14000000000000001</v>
      </c>
      <c r="D110" s="197">
        <f t="shared" ref="D110:AG110" si="80">D111</f>
        <v>0.15700598392683424</v>
      </c>
      <c r="E110" s="197">
        <f t="shared" si="80"/>
        <v>0.17401196785366843</v>
      </c>
      <c r="F110" s="197">
        <f t="shared" si="80"/>
        <v>0.19101795178050265</v>
      </c>
      <c r="G110" s="197">
        <f t="shared" si="80"/>
        <v>0.20802393570733685</v>
      </c>
      <c r="H110" s="197">
        <f t="shared" si="80"/>
        <v>0.22502991963417107</v>
      </c>
      <c r="I110" s="197">
        <f t="shared" si="80"/>
        <v>0.24203590356100529</v>
      </c>
      <c r="J110" s="197">
        <f t="shared" si="80"/>
        <v>0.25904188748783952</v>
      </c>
      <c r="K110" s="197">
        <f t="shared" si="80"/>
        <v>0.27604787141467368</v>
      </c>
      <c r="L110" s="197">
        <f t="shared" si="80"/>
        <v>0.29305385534150796</v>
      </c>
      <c r="M110" s="197">
        <f t="shared" si="80"/>
        <v>0.31005983926834213</v>
      </c>
      <c r="N110" s="197">
        <f t="shared" si="80"/>
        <v>0.32148492288828256</v>
      </c>
      <c r="O110" s="197">
        <f t="shared" si="80"/>
        <v>0.33291000650822294</v>
      </c>
      <c r="P110" s="197">
        <f t="shared" si="80"/>
        <v>0.34433509012816338</v>
      </c>
      <c r="Q110" s="197">
        <f t="shared" si="80"/>
        <v>0.35576017374810376</v>
      </c>
      <c r="R110" s="197">
        <f t="shared" si="80"/>
        <v>0.36718525736804419</v>
      </c>
      <c r="S110" s="197">
        <f t="shared" si="80"/>
        <v>0.37861034098798463</v>
      </c>
      <c r="T110" s="197">
        <f t="shared" si="80"/>
        <v>0.39003542460792501</v>
      </c>
      <c r="U110" s="197">
        <f t="shared" si="80"/>
        <v>0.40146050822786544</v>
      </c>
      <c r="V110" s="197">
        <f t="shared" si="80"/>
        <v>0.41288559184780582</v>
      </c>
      <c r="W110" s="197">
        <f t="shared" si="80"/>
        <v>0.42431067546774626</v>
      </c>
      <c r="X110" s="197">
        <f t="shared" si="80"/>
        <v>0.44187960792097164</v>
      </c>
      <c r="Y110" s="197">
        <f t="shared" si="80"/>
        <v>0.45944854037419702</v>
      </c>
      <c r="Z110" s="197">
        <f t="shared" si="80"/>
        <v>0.47701747282742235</v>
      </c>
      <c r="AA110" s="197">
        <f t="shared" si="80"/>
        <v>0.49458640528064773</v>
      </c>
      <c r="AB110" s="197">
        <f t="shared" si="80"/>
        <v>0.51215533773387312</v>
      </c>
      <c r="AC110" s="197">
        <f t="shared" si="80"/>
        <v>0.52972427018709856</v>
      </c>
      <c r="AD110" s="197">
        <f t="shared" si="80"/>
        <v>0.54729320264032388</v>
      </c>
      <c r="AE110" s="197">
        <f t="shared" si="80"/>
        <v>0.56486213509354921</v>
      </c>
      <c r="AF110" s="197">
        <f t="shared" si="80"/>
        <v>0.58243106754677465</v>
      </c>
      <c r="AG110" s="197">
        <f t="shared" si="80"/>
        <v>0.6</v>
      </c>
      <c r="AJ110" s="204" t="s">
        <v>457</v>
      </c>
      <c r="AL110" s="191"/>
      <c r="AM110" s="198"/>
      <c r="AN110" s="198"/>
      <c r="AO110" s="198"/>
    </row>
    <row r="111" spans="1:63" ht="15.5" outlineLevel="2" thickTop="1">
      <c r="A111" t="s">
        <v>449</v>
      </c>
      <c r="B111" s="50" t="s">
        <v>126</v>
      </c>
      <c r="C111" s="558">
        <v>0.14000000000000001</v>
      </c>
      <c r="D111" s="102">
        <f>$C111+($M111-$C111)/10*(D$1-$C$1)</f>
        <v>0.15700598392683424</v>
      </c>
      <c r="E111" s="102">
        <f t="shared" ref="E111:L111" si="81">$C111+($M111-$C111)/10*(E$1-$C$1)</f>
        <v>0.17401196785366843</v>
      </c>
      <c r="F111" s="102">
        <f t="shared" si="81"/>
        <v>0.19101795178050265</v>
      </c>
      <c r="G111" s="102">
        <f t="shared" si="81"/>
        <v>0.20802393570733685</v>
      </c>
      <c r="H111" s="102">
        <f t="shared" si="81"/>
        <v>0.22502991963417107</v>
      </c>
      <c r="I111" s="102">
        <f t="shared" si="81"/>
        <v>0.24203590356100529</v>
      </c>
      <c r="J111" s="102">
        <f t="shared" si="81"/>
        <v>0.25904188748783952</v>
      </c>
      <c r="K111" s="102">
        <f t="shared" si="81"/>
        <v>0.27604787141467368</v>
      </c>
      <c r="L111" s="102">
        <f t="shared" si="81"/>
        <v>0.29305385534150796</v>
      </c>
      <c r="M111" s="113">
        <f>(M$52-$C$52)/($AG$52-$C$52)*($AG111-$C111)+$C111</f>
        <v>0.31005983926834213</v>
      </c>
      <c r="N111" s="113">
        <f>$M111+($W111-$M111)/10*(N$1-$M$1)</f>
        <v>0.32148492288828256</v>
      </c>
      <c r="O111" s="113">
        <f t="shared" ref="O111:U111" si="82">$M111+($W111-$M111)/10*(O$1-$M$1)</f>
        <v>0.33291000650822294</v>
      </c>
      <c r="P111" s="113">
        <f t="shared" si="82"/>
        <v>0.34433509012816338</v>
      </c>
      <c r="Q111" s="113">
        <f t="shared" si="82"/>
        <v>0.35576017374810376</v>
      </c>
      <c r="R111" s="113">
        <f t="shared" si="82"/>
        <v>0.36718525736804419</v>
      </c>
      <c r="S111" s="113">
        <f t="shared" si="82"/>
        <v>0.37861034098798463</v>
      </c>
      <c r="T111" s="113">
        <f t="shared" si="82"/>
        <v>0.39003542460792501</v>
      </c>
      <c r="U111" s="113">
        <f t="shared" si="82"/>
        <v>0.40146050822786544</v>
      </c>
      <c r="V111" s="113">
        <f>$M111+($W111-$M111)/10*(V$1-$M$1)</f>
        <v>0.41288559184780582</v>
      </c>
      <c r="W111" s="113">
        <f>(W$52-$C$52)/($AG$52-$C$52)*($AG111-$C111)+$C111</f>
        <v>0.42431067546774626</v>
      </c>
      <c r="X111" s="22">
        <f t="shared" ref="X111:AF111" si="83">$W111+($AG111-$W111)/10*(X$1-$W$1)</f>
        <v>0.44187960792097164</v>
      </c>
      <c r="Y111" s="22">
        <f t="shared" si="83"/>
        <v>0.45944854037419702</v>
      </c>
      <c r="Z111" s="22">
        <f t="shared" si="83"/>
        <v>0.47701747282742235</v>
      </c>
      <c r="AA111" s="22">
        <f t="shared" si="83"/>
        <v>0.49458640528064773</v>
      </c>
      <c r="AB111" s="22">
        <f t="shared" si="83"/>
        <v>0.51215533773387312</v>
      </c>
      <c r="AC111" s="22">
        <f t="shared" si="83"/>
        <v>0.52972427018709856</v>
      </c>
      <c r="AD111" s="22">
        <f t="shared" si="83"/>
        <v>0.54729320264032388</v>
      </c>
      <c r="AE111" s="22">
        <f t="shared" si="83"/>
        <v>0.56486213509354921</v>
      </c>
      <c r="AF111" s="22">
        <f t="shared" si="83"/>
        <v>0.58243106754677465</v>
      </c>
      <c r="AG111" s="188">
        <v>0.6</v>
      </c>
      <c r="AJ111" s="185" t="s">
        <v>450</v>
      </c>
    </row>
    <row r="112" spans="1:63" outlineLevel="2">
      <c r="C112" s="105"/>
      <c r="D112" s="102"/>
      <c r="E112" s="102"/>
      <c r="F112" s="102"/>
      <c r="G112" s="102"/>
      <c r="H112" s="102"/>
      <c r="I112" s="102"/>
      <c r="J112" s="102"/>
      <c r="K112" s="102"/>
      <c r="L112" s="102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22"/>
      <c r="Y112" s="22"/>
      <c r="Z112" s="22"/>
      <c r="AA112" s="22"/>
      <c r="AB112" s="22"/>
      <c r="AC112" s="22"/>
      <c r="AD112" s="22"/>
      <c r="AE112" s="22"/>
      <c r="AF112" s="22"/>
      <c r="AG112" s="98"/>
      <c r="AJ112" s="185"/>
    </row>
    <row r="113" spans="1:41" outlineLevel="2">
      <c r="C113" s="105"/>
      <c r="D113" s="102"/>
      <c r="E113" s="102"/>
      <c r="F113" s="102"/>
      <c r="G113" s="102"/>
      <c r="H113" s="102"/>
      <c r="I113" s="102"/>
      <c r="J113" s="102"/>
      <c r="K113" s="102"/>
      <c r="L113" s="102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22"/>
      <c r="Y113" s="22"/>
      <c r="Z113" s="22"/>
      <c r="AA113" s="22"/>
      <c r="AB113" s="22"/>
      <c r="AC113" s="22"/>
      <c r="AD113" s="22"/>
      <c r="AE113" s="22"/>
      <c r="AF113" s="22"/>
      <c r="AG113" s="98"/>
      <c r="AJ113" s="185"/>
    </row>
    <row r="114" spans="1:41" s="174" customFormat="1" ht="15.5" thickBot="1">
      <c r="A114" s="200" t="s">
        <v>500</v>
      </c>
      <c r="B114" s="201"/>
      <c r="C114" s="202">
        <f t="shared" ref="C114:AG114" si="84">(C42*C62+C43*C66+C45*C90+C44*C108+C46*C110)/C47</f>
        <v>8.2961919423857847E-2</v>
      </c>
      <c r="D114" s="202">
        <f t="shared" si="84"/>
        <v>9.43851029898162E-2</v>
      </c>
      <c r="E114" s="202">
        <f t="shared" si="84"/>
        <v>0.10623400223252058</v>
      </c>
      <c r="F114" s="202">
        <f t="shared" si="84"/>
        <v>0.11850586556433919</v>
      </c>
      <c r="G114" s="202">
        <f t="shared" si="84"/>
        <v>0.13119788492175288</v>
      </c>
      <c r="H114" s="202">
        <f t="shared" si="84"/>
        <v>0.14430719430893382</v>
      </c>
      <c r="I114" s="202">
        <f t="shared" si="84"/>
        <v>0.15764053397801733</v>
      </c>
      <c r="J114" s="202">
        <f t="shared" si="84"/>
        <v>0.17136840489138935</v>
      </c>
      <c r="K114" s="202">
        <f t="shared" si="84"/>
        <v>0.18549018633362338</v>
      </c>
      <c r="L114" s="202">
        <f t="shared" si="84"/>
        <v>0.20000523865222186</v>
      </c>
      <c r="M114" s="202">
        <f t="shared" si="84"/>
        <v>0.21491290252988951</v>
      </c>
      <c r="N114" s="202">
        <f t="shared" si="84"/>
        <v>0.22693082432082823</v>
      </c>
      <c r="O114" s="202">
        <f t="shared" si="84"/>
        <v>0.23916173757577894</v>
      </c>
      <c r="P114" s="202">
        <f t="shared" si="84"/>
        <v>0.25166763236335393</v>
      </c>
      <c r="Q114" s="202">
        <f t="shared" si="84"/>
        <v>0.264431297373866</v>
      </c>
      <c r="R114" s="202">
        <f t="shared" si="84"/>
        <v>0.27745156878646687</v>
      </c>
      <c r="S114" s="202">
        <f t="shared" si="84"/>
        <v>0.29072723776086329</v>
      </c>
      <c r="T114" s="202">
        <f t="shared" si="84"/>
        <v>0.30425704820297639</v>
      </c>
      <c r="U114" s="202">
        <f t="shared" si="84"/>
        <v>0.31803969439685698</v>
      </c>
      <c r="V114" s="202">
        <f t="shared" si="84"/>
        <v>0.33207381849342182</v>
      </c>
      <c r="W114" s="202">
        <f t="shared" si="84"/>
        <v>0.34635800784581167</v>
      </c>
      <c r="X114" s="202">
        <f t="shared" si="84"/>
        <v>0.36517774570319883</v>
      </c>
      <c r="Y114" s="202">
        <f t="shared" si="84"/>
        <v>0.3844389412117214</v>
      </c>
      <c r="Z114" s="202">
        <f t="shared" si="84"/>
        <v>0.40406472437821933</v>
      </c>
      <c r="AA114" s="202">
        <f t="shared" si="84"/>
        <v>0.42408900925470039</v>
      </c>
      <c r="AB114" s="202">
        <f t="shared" si="84"/>
        <v>0.44451221404342028</v>
      </c>
      <c r="AC114" s="202">
        <f t="shared" si="84"/>
        <v>0.46532952600877769</v>
      </c>
      <c r="AD114" s="202">
        <f t="shared" si="84"/>
        <v>0.4865471520976638</v>
      </c>
      <c r="AE114" s="202">
        <f t="shared" si="84"/>
        <v>0.50816566997314816</v>
      </c>
      <c r="AF114" s="202">
        <f t="shared" si="84"/>
        <v>0.53018567758815072</v>
      </c>
      <c r="AG114" s="202">
        <f t="shared" si="84"/>
        <v>0.55260779370637814</v>
      </c>
      <c r="AJ114" s="204"/>
      <c r="AL114" s="191"/>
      <c r="AM114" s="198"/>
      <c r="AN114" s="198"/>
      <c r="AO114" s="198"/>
    </row>
    <row r="115" spans="1:41" s="174" customFormat="1" ht="16.25" thickTop="1" thickBot="1">
      <c r="A115" s="200" t="s">
        <v>452</v>
      </c>
      <c r="B115" s="201"/>
      <c r="C115" s="202">
        <f t="shared" ref="C115:AG115" si="85">(C11*C49+C66*C12+C14*C90+C104*C13+C110*C15)/C16</f>
        <v>0.18370882040382572</v>
      </c>
      <c r="D115" s="202">
        <f t="shared" si="85"/>
        <v>0.20016277671844832</v>
      </c>
      <c r="E115" s="202">
        <f t="shared" si="85"/>
        <v>0.21661673303307094</v>
      </c>
      <c r="F115" s="202">
        <f t="shared" si="85"/>
        <v>0.23307068934769359</v>
      </c>
      <c r="G115" s="202">
        <f t="shared" si="85"/>
        <v>0.24952464566231622</v>
      </c>
      <c r="H115" s="202">
        <f t="shared" si="85"/>
        <v>0.26597860197693879</v>
      </c>
      <c r="I115" s="202">
        <f t="shared" si="85"/>
        <v>0.28243255829156144</v>
      </c>
      <c r="J115" s="202">
        <f t="shared" si="85"/>
        <v>0.29888651460618398</v>
      </c>
      <c r="K115" s="202">
        <f t="shared" si="85"/>
        <v>0.31534047092080664</v>
      </c>
      <c r="L115" s="202">
        <f t="shared" si="85"/>
        <v>0.33179442723542923</v>
      </c>
      <c r="M115" s="202">
        <f t="shared" si="85"/>
        <v>0.34824838355005183</v>
      </c>
      <c r="N115" s="202">
        <f t="shared" si="85"/>
        <v>0.35930259997070713</v>
      </c>
      <c r="O115" s="202">
        <f t="shared" si="85"/>
        <v>0.37035681639136236</v>
      </c>
      <c r="P115" s="202">
        <f t="shared" si="85"/>
        <v>0.38141103281201755</v>
      </c>
      <c r="Q115" s="202">
        <f t="shared" si="85"/>
        <v>0.39246524923267279</v>
      </c>
      <c r="R115" s="202">
        <f t="shared" si="85"/>
        <v>0.40351946565332808</v>
      </c>
      <c r="S115" s="202">
        <f t="shared" si="85"/>
        <v>0.41457368207398337</v>
      </c>
      <c r="T115" s="202">
        <f t="shared" si="85"/>
        <v>0.42562789849463861</v>
      </c>
      <c r="U115" s="202">
        <f t="shared" si="85"/>
        <v>0.4366821149152938</v>
      </c>
      <c r="V115" s="202">
        <f t="shared" si="85"/>
        <v>0.44773633133594903</v>
      </c>
      <c r="W115" s="202">
        <f t="shared" si="85"/>
        <v>0.45879054775660427</v>
      </c>
      <c r="X115" s="202">
        <f t="shared" si="85"/>
        <v>0.47578917884573413</v>
      </c>
      <c r="Y115" s="202">
        <f t="shared" si="85"/>
        <v>0.49278780993486387</v>
      </c>
      <c r="Z115" s="202">
        <f t="shared" si="85"/>
        <v>0.50978644102399373</v>
      </c>
      <c r="AA115" s="202">
        <f t="shared" si="85"/>
        <v>0.52678507211312331</v>
      </c>
      <c r="AB115" s="202">
        <f t="shared" si="85"/>
        <v>0.54378370320225333</v>
      </c>
      <c r="AC115" s="202">
        <f t="shared" si="85"/>
        <v>0.56078233429138302</v>
      </c>
      <c r="AD115" s="202">
        <f t="shared" si="85"/>
        <v>0.57778096538051282</v>
      </c>
      <c r="AE115" s="202">
        <f t="shared" si="85"/>
        <v>0.59477959646964262</v>
      </c>
      <c r="AF115" s="202">
        <f t="shared" si="85"/>
        <v>0.61177822755877254</v>
      </c>
      <c r="AG115" s="202">
        <f t="shared" si="85"/>
        <v>0.62877685864790223</v>
      </c>
      <c r="AJ115" s="199"/>
      <c r="AL115" s="191"/>
      <c r="AM115" s="198"/>
      <c r="AN115" s="198"/>
      <c r="AO115" s="198"/>
    </row>
    <row r="116" spans="1:41" ht="15.5" thickTop="1">
      <c r="B116" s="121"/>
      <c r="C116" s="105"/>
      <c r="D116" s="22"/>
      <c r="E116" s="22"/>
      <c r="F116" s="22"/>
      <c r="G116" s="22"/>
      <c r="H116" s="22"/>
      <c r="I116" s="22"/>
      <c r="J116" s="22"/>
      <c r="K116" s="22"/>
      <c r="L116" s="22"/>
      <c r="M116" s="118"/>
      <c r="N116" s="102"/>
      <c r="O116" s="102"/>
      <c r="P116" s="102"/>
      <c r="Q116" s="102"/>
      <c r="R116" s="102"/>
      <c r="S116" s="102"/>
      <c r="T116" s="102"/>
      <c r="U116" s="102"/>
      <c r="V116" s="102"/>
      <c r="W116" s="118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5"/>
    </row>
    <row r="117" spans="1:41" s="54" customFormat="1">
      <c r="A117" s="54" t="s">
        <v>626</v>
      </c>
      <c r="B117" s="253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254"/>
      <c r="AA117" s="254"/>
      <c r="AB117" s="254"/>
      <c r="AC117" s="254"/>
      <c r="AD117" s="254"/>
      <c r="AE117" s="254"/>
      <c r="AF117" s="254"/>
      <c r="AG117" s="254"/>
      <c r="AI117" s="255"/>
      <c r="AJ117" s="256"/>
    </row>
    <row r="118" spans="1:41" s="166" customFormat="1" outlineLevel="1">
      <c r="A118" s="293" t="s">
        <v>630</v>
      </c>
      <c r="B118" s="268" t="s">
        <v>126</v>
      </c>
      <c r="C118" s="561">
        <v>0.98</v>
      </c>
      <c r="D118" s="269">
        <f>-($C118-$AG118)/30+C118</f>
        <v>0.98033333333333328</v>
      </c>
      <c r="E118" s="269">
        <f t="shared" ref="E118:AF120" si="86">-($C118-$AG118)/30+D118</f>
        <v>0.98066666666666658</v>
      </c>
      <c r="F118" s="269">
        <f t="shared" si="86"/>
        <v>0.98099999999999987</v>
      </c>
      <c r="G118" s="269">
        <f t="shared" si="86"/>
        <v>0.98133333333333317</v>
      </c>
      <c r="H118" s="269">
        <f t="shared" si="86"/>
        <v>0.98166666666666647</v>
      </c>
      <c r="I118" s="269">
        <f t="shared" si="86"/>
        <v>0.98199999999999976</v>
      </c>
      <c r="J118" s="269">
        <f t="shared" si="86"/>
        <v>0.98233333333333306</v>
      </c>
      <c r="K118" s="269">
        <f t="shared" si="86"/>
        <v>0.98266666666666636</v>
      </c>
      <c r="L118" s="269">
        <f t="shared" si="86"/>
        <v>0.98299999999999965</v>
      </c>
      <c r="M118" s="269">
        <f t="shared" si="86"/>
        <v>0.98333333333333295</v>
      </c>
      <c r="N118" s="269">
        <f t="shared" si="86"/>
        <v>0.98366666666666625</v>
      </c>
      <c r="O118" s="269">
        <f t="shared" si="86"/>
        <v>0.98399999999999954</v>
      </c>
      <c r="P118" s="269">
        <f t="shared" si="86"/>
        <v>0.98433333333333284</v>
      </c>
      <c r="Q118" s="269">
        <f t="shared" si="86"/>
        <v>0.98466666666666613</v>
      </c>
      <c r="R118" s="269">
        <f t="shared" si="86"/>
        <v>0.98499999999999943</v>
      </c>
      <c r="S118" s="269">
        <f t="shared" si="86"/>
        <v>0.98533333333333273</v>
      </c>
      <c r="T118" s="269">
        <f t="shared" si="86"/>
        <v>0.98566666666666602</v>
      </c>
      <c r="U118" s="269">
        <f t="shared" si="86"/>
        <v>0.98599999999999932</v>
      </c>
      <c r="V118" s="269">
        <f t="shared" si="86"/>
        <v>0.98633333333333262</v>
      </c>
      <c r="W118" s="269">
        <f t="shared" si="86"/>
        <v>0.98666666666666591</v>
      </c>
      <c r="X118" s="269">
        <f t="shared" si="86"/>
        <v>0.98699999999999921</v>
      </c>
      <c r="Y118" s="269">
        <f t="shared" si="86"/>
        <v>0.98733333333333251</v>
      </c>
      <c r="Z118" s="269">
        <f t="shared" si="86"/>
        <v>0.9876666666666658</v>
      </c>
      <c r="AA118" s="269">
        <f t="shared" si="86"/>
        <v>0.9879999999999991</v>
      </c>
      <c r="AB118" s="269">
        <f t="shared" si="86"/>
        <v>0.9883333333333324</v>
      </c>
      <c r="AC118" s="269">
        <f t="shared" si="86"/>
        <v>0.98866666666666569</v>
      </c>
      <c r="AD118" s="269">
        <f t="shared" si="86"/>
        <v>0.98899999999999899</v>
      </c>
      <c r="AE118" s="269">
        <f t="shared" si="86"/>
        <v>0.98933333333333229</v>
      </c>
      <c r="AF118" s="269">
        <f t="shared" si="86"/>
        <v>0.98966666666666558</v>
      </c>
      <c r="AG118" s="561">
        <v>0.99</v>
      </c>
      <c r="AI118" s="270"/>
      <c r="AJ118" s="271" t="s">
        <v>1469</v>
      </c>
    </row>
    <row r="119" spans="1:41" outlineLevel="1">
      <c r="A119" s="3" t="s">
        <v>621</v>
      </c>
      <c r="B119" s="252" t="s">
        <v>126</v>
      </c>
      <c r="C119" s="255">
        <f>1-SUM(C120:C124)</f>
        <v>0.97</v>
      </c>
      <c r="D119" s="287">
        <f t="shared" ref="D119:S120" si="87">-($C119-$AG119)/30+C119</f>
        <v>0.97033333333333327</v>
      </c>
      <c r="E119" s="287">
        <f t="shared" si="87"/>
        <v>0.97066666666666657</v>
      </c>
      <c r="F119" s="287">
        <f t="shared" si="87"/>
        <v>0.97099999999999986</v>
      </c>
      <c r="G119" s="287">
        <f t="shared" si="87"/>
        <v>0.97133333333333316</v>
      </c>
      <c r="H119" s="287">
        <f t="shared" si="87"/>
        <v>0.97166666666666646</v>
      </c>
      <c r="I119" s="287">
        <f t="shared" si="87"/>
        <v>0.97199999999999975</v>
      </c>
      <c r="J119" s="287">
        <f t="shared" si="87"/>
        <v>0.97233333333333305</v>
      </c>
      <c r="K119" s="287">
        <f t="shared" si="87"/>
        <v>0.97266666666666635</v>
      </c>
      <c r="L119" s="287">
        <f t="shared" si="87"/>
        <v>0.97299999999999964</v>
      </c>
      <c r="M119" s="287">
        <f t="shared" si="87"/>
        <v>0.97333333333333294</v>
      </c>
      <c r="N119" s="287">
        <f t="shared" si="87"/>
        <v>0.97366666666666624</v>
      </c>
      <c r="O119" s="287">
        <f t="shared" si="87"/>
        <v>0.97399999999999953</v>
      </c>
      <c r="P119" s="287">
        <f t="shared" si="87"/>
        <v>0.97433333333333283</v>
      </c>
      <c r="Q119" s="287">
        <f t="shared" si="87"/>
        <v>0.97466666666666613</v>
      </c>
      <c r="R119" s="287">
        <f t="shared" si="87"/>
        <v>0.97499999999999942</v>
      </c>
      <c r="S119" s="287">
        <f t="shared" si="87"/>
        <v>0.97533333333333272</v>
      </c>
      <c r="T119" s="287">
        <f t="shared" si="86"/>
        <v>0.97566666666666602</v>
      </c>
      <c r="U119" s="287">
        <f t="shared" si="86"/>
        <v>0.97599999999999931</v>
      </c>
      <c r="V119" s="287">
        <f t="shared" si="86"/>
        <v>0.97633333333333261</v>
      </c>
      <c r="W119" s="287">
        <f t="shared" si="86"/>
        <v>0.97666666666666591</v>
      </c>
      <c r="X119" s="287">
        <f t="shared" si="86"/>
        <v>0.9769999999999992</v>
      </c>
      <c r="Y119" s="287">
        <f t="shared" si="86"/>
        <v>0.9773333333333325</v>
      </c>
      <c r="Z119" s="287">
        <f t="shared" si="86"/>
        <v>0.9776666666666658</v>
      </c>
      <c r="AA119" s="287">
        <f t="shared" si="86"/>
        <v>0.97799999999999909</v>
      </c>
      <c r="AB119" s="287">
        <f t="shared" si="86"/>
        <v>0.97833333333333239</v>
      </c>
      <c r="AC119" s="287">
        <f t="shared" si="86"/>
        <v>0.97866666666666569</v>
      </c>
      <c r="AD119" s="287">
        <f t="shared" si="86"/>
        <v>0.97899999999999898</v>
      </c>
      <c r="AE119" s="287">
        <f t="shared" si="86"/>
        <v>0.97933333333333228</v>
      </c>
      <c r="AF119" s="287">
        <f t="shared" si="86"/>
        <v>0.97966666666666558</v>
      </c>
      <c r="AG119" s="255">
        <f>1-SUM(AG120:AG124)</f>
        <v>0.98</v>
      </c>
      <c r="AI119" s="188"/>
      <c r="AJ119" s="271"/>
    </row>
    <row r="120" spans="1:41" outlineLevel="1">
      <c r="A120" s="3" t="s">
        <v>620</v>
      </c>
      <c r="B120" s="252" t="s">
        <v>126</v>
      </c>
      <c r="C120" s="266">
        <v>0.01</v>
      </c>
      <c r="D120" s="267">
        <f t="shared" si="87"/>
        <v>0.01</v>
      </c>
      <c r="E120" s="267">
        <f t="shared" si="87"/>
        <v>0.01</v>
      </c>
      <c r="F120" s="267">
        <f t="shared" si="87"/>
        <v>0.01</v>
      </c>
      <c r="G120" s="267">
        <f t="shared" si="87"/>
        <v>0.01</v>
      </c>
      <c r="H120" s="267">
        <f t="shared" si="87"/>
        <v>0.01</v>
      </c>
      <c r="I120" s="267">
        <f t="shared" si="87"/>
        <v>0.01</v>
      </c>
      <c r="J120" s="267">
        <f t="shared" si="87"/>
        <v>0.01</v>
      </c>
      <c r="K120" s="267">
        <f t="shared" si="87"/>
        <v>0.01</v>
      </c>
      <c r="L120" s="267">
        <f t="shared" si="87"/>
        <v>0.01</v>
      </c>
      <c r="M120" s="267">
        <f t="shared" si="87"/>
        <v>0.01</v>
      </c>
      <c r="N120" s="267">
        <f t="shared" si="87"/>
        <v>0.01</v>
      </c>
      <c r="O120" s="267">
        <f t="shared" si="87"/>
        <v>0.01</v>
      </c>
      <c r="P120" s="267">
        <f t="shared" si="87"/>
        <v>0.01</v>
      </c>
      <c r="Q120" s="267">
        <f t="shared" si="87"/>
        <v>0.01</v>
      </c>
      <c r="R120" s="267">
        <f t="shared" si="87"/>
        <v>0.01</v>
      </c>
      <c r="S120" s="267">
        <f t="shared" si="87"/>
        <v>0.01</v>
      </c>
      <c r="T120" s="267">
        <f t="shared" si="86"/>
        <v>0.01</v>
      </c>
      <c r="U120" s="267">
        <f t="shared" si="86"/>
        <v>0.01</v>
      </c>
      <c r="V120" s="267">
        <f t="shared" si="86"/>
        <v>0.01</v>
      </c>
      <c r="W120" s="267">
        <f t="shared" si="86"/>
        <v>0.01</v>
      </c>
      <c r="X120" s="267">
        <f t="shared" si="86"/>
        <v>0.01</v>
      </c>
      <c r="Y120" s="267">
        <f t="shared" si="86"/>
        <v>0.01</v>
      </c>
      <c r="Z120" s="267">
        <f t="shared" si="86"/>
        <v>0.01</v>
      </c>
      <c r="AA120" s="267">
        <f t="shared" si="86"/>
        <v>0.01</v>
      </c>
      <c r="AB120" s="267">
        <f t="shared" si="86"/>
        <v>0.01</v>
      </c>
      <c r="AC120" s="267">
        <f t="shared" si="86"/>
        <v>0.01</v>
      </c>
      <c r="AD120" s="267">
        <f t="shared" si="86"/>
        <v>0.01</v>
      </c>
      <c r="AE120" s="267">
        <f t="shared" si="86"/>
        <v>0.01</v>
      </c>
      <c r="AF120" s="267">
        <f t="shared" si="86"/>
        <v>0.01</v>
      </c>
      <c r="AG120" s="266">
        <v>0.01</v>
      </c>
      <c r="AI120" s="188"/>
      <c r="AJ120" s="271" t="s">
        <v>1469</v>
      </c>
    </row>
    <row r="121" spans="1:41" outlineLevel="1">
      <c r="A121" s="3" t="s">
        <v>622</v>
      </c>
      <c r="B121" s="252" t="s">
        <v>126</v>
      </c>
      <c r="C121" s="562">
        <v>0</v>
      </c>
      <c r="D121" s="267">
        <f t="shared" ref="D121:AF124" si="88">-($C121-$AG121)/30+C121</f>
        <v>0</v>
      </c>
      <c r="E121" s="267">
        <f t="shared" si="88"/>
        <v>0</v>
      </c>
      <c r="F121" s="267">
        <f t="shared" si="88"/>
        <v>0</v>
      </c>
      <c r="G121" s="267">
        <f t="shared" si="88"/>
        <v>0</v>
      </c>
      <c r="H121" s="267">
        <f t="shared" si="88"/>
        <v>0</v>
      </c>
      <c r="I121" s="267">
        <f t="shared" si="88"/>
        <v>0</v>
      </c>
      <c r="J121" s="267">
        <f t="shared" si="88"/>
        <v>0</v>
      </c>
      <c r="K121" s="267">
        <f t="shared" si="88"/>
        <v>0</v>
      </c>
      <c r="L121" s="267">
        <f t="shared" si="88"/>
        <v>0</v>
      </c>
      <c r="M121" s="267">
        <f t="shared" si="88"/>
        <v>0</v>
      </c>
      <c r="N121" s="267">
        <f t="shared" si="88"/>
        <v>0</v>
      </c>
      <c r="O121" s="267">
        <f t="shared" si="88"/>
        <v>0</v>
      </c>
      <c r="P121" s="267">
        <f t="shared" si="88"/>
        <v>0</v>
      </c>
      <c r="Q121" s="267">
        <f t="shared" si="88"/>
        <v>0</v>
      </c>
      <c r="R121" s="267">
        <f t="shared" si="88"/>
        <v>0</v>
      </c>
      <c r="S121" s="267">
        <f t="shared" si="88"/>
        <v>0</v>
      </c>
      <c r="T121" s="267">
        <f t="shared" si="88"/>
        <v>0</v>
      </c>
      <c r="U121" s="267">
        <f t="shared" si="88"/>
        <v>0</v>
      </c>
      <c r="V121" s="267">
        <f t="shared" si="88"/>
        <v>0</v>
      </c>
      <c r="W121" s="267">
        <f t="shared" si="88"/>
        <v>0</v>
      </c>
      <c r="X121" s="267">
        <f t="shared" si="88"/>
        <v>0</v>
      </c>
      <c r="Y121" s="267">
        <f t="shared" si="88"/>
        <v>0</v>
      </c>
      <c r="Z121" s="267">
        <f t="shared" si="88"/>
        <v>0</v>
      </c>
      <c r="AA121" s="267">
        <f t="shared" si="88"/>
        <v>0</v>
      </c>
      <c r="AB121" s="267">
        <f t="shared" si="88"/>
        <v>0</v>
      </c>
      <c r="AC121" s="267">
        <f t="shared" si="88"/>
        <v>0</v>
      </c>
      <c r="AD121" s="267">
        <f t="shared" si="88"/>
        <v>0</v>
      </c>
      <c r="AE121" s="267">
        <f t="shared" si="88"/>
        <v>0</v>
      </c>
      <c r="AF121" s="267">
        <f t="shared" si="88"/>
        <v>0</v>
      </c>
      <c r="AG121" s="562">
        <v>0</v>
      </c>
      <c r="AI121" s="188"/>
      <c r="AJ121" t="s">
        <v>1470</v>
      </c>
    </row>
    <row r="122" spans="1:41" outlineLevel="1">
      <c r="A122" s="3" t="s">
        <v>623</v>
      </c>
      <c r="B122" s="252" t="s">
        <v>126</v>
      </c>
      <c r="C122" s="562">
        <v>0</v>
      </c>
      <c r="D122" s="267">
        <f t="shared" si="88"/>
        <v>0</v>
      </c>
      <c r="E122" s="267">
        <f t="shared" si="88"/>
        <v>0</v>
      </c>
      <c r="F122" s="267">
        <f t="shared" si="88"/>
        <v>0</v>
      </c>
      <c r="G122" s="267">
        <f t="shared" si="88"/>
        <v>0</v>
      </c>
      <c r="H122" s="267">
        <f t="shared" si="88"/>
        <v>0</v>
      </c>
      <c r="I122" s="267">
        <f t="shared" si="88"/>
        <v>0</v>
      </c>
      <c r="J122" s="267">
        <f t="shared" si="88"/>
        <v>0</v>
      </c>
      <c r="K122" s="267">
        <f t="shared" si="88"/>
        <v>0</v>
      </c>
      <c r="L122" s="267">
        <f t="shared" si="88"/>
        <v>0</v>
      </c>
      <c r="M122" s="267">
        <f t="shared" si="88"/>
        <v>0</v>
      </c>
      <c r="N122" s="267">
        <f t="shared" si="88"/>
        <v>0</v>
      </c>
      <c r="O122" s="267">
        <f t="shared" si="88"/>
        <v>0</v>
      </c>
      <c r="P122" s="267">
        <f t="shared" si="88"/>
        <v>0</v>
      </c>
      <c r="Q122" s="267">
        <f t="shared" si="88"/>
        <v>0</v>
      </c>
      <c r="R122" s="267">
        <f t="shared" si="88"/>
        <v>0</v>
      </c>
      <c r="S122" s="267">
        <f t="shared" si="88"/>
        <v>0</v>
      </c>
      <c r="T122" s="267">
        <f t="shared" si="88"/>
        <v>0</v>
      </c>
      <c r="U122" s="267">
        <f t="shared" si="88"/>
        <v>0</v>
      </c>
      <c r="V122" s="267">
        <f t="shared" si="88"/>
        <v>0</v>
      </c>
      <c r="W122" s="267">
        <f t="shared" si="88"/>
        <v>0</v>
      </c>
      <c r="X122" s="267">
        <f t="shared" si="88"/>
        <v>0</v>
      </c>
      <c r="Y122" s="267">
        <f t="shared" si="88"/>
        <v>0</v>
      </c>
      <c r="Z122" s="267">
        <f t="shared" si="88"/>
        <v>0</v>
      </c>
      <c r="AA122" s="267">
        <f t="shared" si="88"/>
        <v>0</v>
      </c>
      <c r="AB122" s="267">
        <f t="shared" si="88"/>
        <v>0</v>
      </c>
      <c r="AC122" s="267">
        <f t="shared" si="88"/>
        <v>0</v>
      </c>
      <c r="AD122" s="267">
        <f t="shared" si="88"/>
        <v>0</v>
      </c>
      <c r="AE122" s="267">
        <f t="shared" si="88"/>
        <v>0</v>
      </c>
      <c r="AF122" s="267">
        <f t="shared" si="88"/>
        <v>0</v>
      </c>
      <c r="AG122" s="562">
        <v>0</v>
      </c>
      <c r="AI122" s="188"/>
      <c r="AJ122" t="s">
        <v>1470</v>
      </c>
    </row>
    <row r="123" spans="1:41" outlineLevel="1">
      <c r="A123" s="3" t="s">
        <v>624</v>
      </c>
      <c r="B123" s="252" t="s">
        <v>126</v>
      </c>
      <c r="C123" s="562">
        <v>1.4999999999999999E-2</v>
      </c>
      <c r="D123" s="267">
        <f t="shared" si="88"/>
        <v>1.4733333333333333E-2</v>
      </c>
      <c r="E123" s="267">
        <f t="shared" si="88"/>
        <v>1.4466666666666666E-2</v>
      </c>
      <c r="F123" s="267">
        <f t="shared" si="88"/>
        <v>1.4199999999999999E-2</v>
      </c>
      <c r="G123" s="267">
        <f t="shared" si="88"/>
        <v>1.3933333333333332E-2</v>
      </c>
      <c r="H123" s="267">
        <f t="shared" si="88"/>
        <v>1.3666666666666666E-2</v>
      </c>
      <c r="I123" s="267">
        <f t="shared" si="88"/>
        <v>1.3399999999999999E-2</v>
      </c>
      <c r="J123" s="267">
        <f t="shared" si="88"/>
        <v>1.3133333333333332E-2</v>
      </c>
      <c r="K123" s="267">
        <f t="shared" si="88"/>
        <v>1.2866666666666665E-2</v>
      </c>
      <c r="L123" s="267">
        <f t="shared" si="88"/>
        <v>1.2599999999999998E-2</v>
      </c>
      <c r="M123" s="267">
        <f t="shared" si="88"/>
        <v>1.2333333333333332E-2</v>
      </c>
      <c r="N123" s="267">
        <f t="shared" si="88"/>
        <v>1.2066666666666665E-2</v>
      </c>
      <c r="O123" s="267">
        <f t="shared" si="88"/>
        <v>1.1799999999999998E-2</v>
      </c>
      <c r="P123" s="267">
        <f t="shared" si="88"/>
        <v>1.1533333333333331E-2</v>
      </c>
      <c r="Q123" s="267">
        <f t="shared" si="88"/>
        <v>1.1266666666666664E-2</v>
      </c>
      <c r="R123" s="267">
        <f t="shared" si="88"/>
        <v>1.0999999999999998E-2</v>
      </c>
      <c r="S123" s="267">
        <f t="shared" si="88"/>
        <v>1.0733333333333331E-2</v>
      </c>
      <c r="T123" s="267">
        <f t="shared" si="88"/>
        <v>1.0466666666666664E-2</v>
      </c>
      <c r="U123" s="267">
        <f t="shared" si="88"/>
        <v>1.0199999999999997E-2</v>
      </c>
      <c r="V123" s="267">
        <f t="shared" si="88"/>
        <v>9.9333333333333305E-3</v>
      </c>
      <c r="W123" s="267">
        <f t="shared" si="88"/>
        <v>9.6666666666666637E-3</v>
      </c>
      <c r="X123" s="267">
        <f t="shared" si="88"/>
        <v>9.3999999999999969E-3</v>
      </c>
      <c r="Y123" s="267">
        <f t="shared" si="88"/>
        <v>9.1333333333333301E-3</v>
      </c>
      <c r="Z123" s="267">
        <f t="shared" si="88"/>
        <v>8.8666666666666633E-3</v>
      </c>
      <c r="AA123" s="267">
        <f t="shared" si="88"/>
        <v>8.5999999999999965E-3</v>
      </c>
      <c r="AB123" s="267">
        <f t="shared" si="88"/>
        <v>8.3333333333333297E-3</v>
      </c>
      <c r="AC123" s="267">
        <f t="shared" si="88"/>
        <v>8.066666666666663E-3</v>
      </c>
      <c r="AD123" s="267">
        <f t="shared" si="88"/>
        <v>7.7999999999999962E-3</v>
      </c>
      <c r="AE123" s="267">
        <f t="shared" si="88"/>
        <v>7.5333333333333294E-3</v>
      </c>
      <c r="AF123" s="267">
        <f t="shared" si="88"/>
        <v>7.2666666666666626E-3</v>
      </c>
      <c r="AG123" s="562">
        <v>7.0000000000000001E-3</v>
      </c>
      <c r="AI123" s="188"/>
      <c r="AJ123" t="s">
        <v>1470</v>
      </c>
    </row>
    <row r="124" spans="1:41" outlineLevel="1">
      <c r="A124" s="3" t="s">
        <v>625</v>
      </c>
      <c r="B124" s="252" t="s">
        <v>126</v>
      </c>
      <c r="C124" s="562">
        <v>5.0000000000000001E-3</v>
      </c>
      <c r="D124" s="267">
        <f t="shared" si="88"/>
        <v>4.9333333333333338E-3</v>
      </c>
      <c r="E124" s="267">
        <f t="shared" si="88"/>
        <v>4.8666666666666676E-3</v>
      </c>
      <c r="F124" s="267">
        <f t="shared" si="88"/>
        <v>4.8000000000000013E-3</v>
      </c>
      <c r="G124" s="267">
        <f t="shared" si="88"/>
        <v>4.7333333333333351E-3</v>
      </c>
      <c r="H124" s="267">
        <f t="shared" si="88"/>
        <v>4.6666666666666688E-3</v>
      </c>
      <c r="I124" s="267">
        <f t="shared" si="88"/>
        <v>4.6000000000000025E-3</v>
      </c>
      <c r="J124" s="267">
        <f t="shared" si="88"/>
        <v>4.5333333333333363E-3</v>
      </c>
      <c r="K124" s="267">
        <f t="shared" si="88"/>
        <v>4.46666666666667E-3</v>
      </c>
      <c r="L124" s="267">
        <f t="shared" si="88"/>
        <v>4.4000000000000037E-3</v>
      </c>
      <c r="M124" s="267">
        <f t="shared" si="88"/>
        <v>4.3333333333333375E-3</v>
      </c>
      <c r="N124" s="267">
        <f t="shared" si="88"/>
        <v>4.2666666666666712E-3</v>
      </c>
      <c r="O124" s="267">
        <f t="shared" si="88"/>
        <v>4.2000000000000049E-3</v>
      </c>
      <c r="P124" s="267">
        <f t="shared" si="88"/>
        <v>4.1333333333333387E-3</v>
      </c>
      <c r="Q124" s="267">
        <f t="shared" si="88"/>
        <v>4.0666666666666724E-3</v>
      </c>
      <c r="R124" s="267">
        <f t="shared" si="88"/>
        <v>4.0000000000000062E-3</v>
      </c>
      <c r="S124" s="267">
        <f t="shared" si="88"/>
        <v>3.9333333333333399E-3</v>
      </c>
      <c r="T124" s="267">
        <f t="shared" si="88"/>
        <v>3.8666666666666732E-3</v>
      </c>
      <c r="U124" s="267">
        <f t="shared" si="88"/>
        <v>3.8000000000000065E-3</v>
      </c>
      <c r="V124" s="267">
        <f t="shared" si="88"/>
        <v>3.7333333333333398E-3</v>
      </c>
      <c r="W124" s="267">
        <f t="shared" si="88"/>
        <v>3.6666666666666731E-3</v>
      </c>
      <c r="X124" s="267">
        <f t="shared" si="88"/>
        <v>3.6000000000000064E-3</v>
      </c>
      <c r="Y124" s="267">
        <f t="shared" si="88"/>
        <v>3.5333333333333397E-3</v>
      </c>
      <c r="Z124" s="267">
        <f t="shared" si="88"/>
        <v>3.466666666666673E-3</v>
      </c>
      <c r="AA124" s="267">
        <f t="shared" si="88"/>
        <v>3.4000000000000063E-3</v>
      </c>
      <c r="AB124" s="267">
        <f t="shared" si="88"/>
        <v>3.3333333333333396E-3</v>
      </c>
      <c r="AC124" s="267">
        <f t="shared" si="88"/>
        <v>3.2666666666666729E-3</v>
      </c>
      <c r="AD124" s="267">
        <f t="shared" si="88"/>
        <v>3.2000000000000062E-3</v>
      </c>
      <c r="AE124" s="267">
        <f t="shared" si="88"/>
        <v>3.1333333333333395E-3</v>
      </c>
      <c r="AF124" s="267">
        <f t="shared" si="88"/>
        <v>3.0666666666666728E-3</v>
      </c>
      <c r="AG124" s="562">
        <v>3.0000000000000001E-3</v>
      </c>
      <c r="AI124" s="188"/>
      <c r="AJ124" t="s">
        <v>1470</v>
      </c>
    </row>
    <row r="125" spans="1:41" s="54" customFormat="1" outlineLevel="1">
      <c r="A125" s="256" t="s">
        <v>627</v>
      </c>
      <c r="B125" s="253"/>
      <c r="C125" s="254"/>
      <c r="D125" s="254"/>
      <c r="E125" s="254"/>
      <c r="F125" s="254"/>
      <c r="G125" s="254"/>
      <c r="H125" s="254"/>
      <c r="I125" s="254"/>
      <c r="J125" s="254"/>
      <c r="K125" s="254"/>
      <c r="L125" s="254"/>
      <c r="M125" s="254"/>
      <c r="N125" s="254"/>
      <c r="O125" s="254"/>
      <c r="P125" s="254"/>
      <c r="Q125" s="254"/>
      <c r="R125" s="254"/>
      <c r="S125" s="254"/>
      <c r="T125" s="254"/>
      <c r="U125" s="254"/>
      <c r="V125" s="254"/>
      <c r="W125" s="254"/>
      <c r="X125" s="254"/>
      <c r="Y125" s="254"/>
      <c r="Z125" s="254"/>
      <c r="AA125" s="254"/>
      <c r="AB125" s="254"/>
      <c r="AC125" s="254"/>
      <c r="AD125" s="254"/>
      <c r="AE125" s="254"/>
      <c r="AF125" s="254"/>
      <c r="AG125" s="254"/>
      <c r="AI125" s="255"/>
      <c r="AJ125" s="256"/>
    </row>
    <row r="126" spans="1:41" s="54" customFormat="1" outlineLevel="1">
      <c r="A126" s="257" t="s">
        <v>656</v>
      </c>
      <c r="B126" s="258" t="s">
        <v>126</v>
      </c>
      <c r="C126" s="563">
        <f>C118</f>
        <v>0.98</v>
      </c>
      <c r="D126" s="287">
        <f>-($C126-$AG126)/30+C126</f>
        <v>0.98033333333333328</v>
      </c>
      <c r="E126" s="287">
        <f t="shared" ref="E126:AF127" si="89">-($C126-$AG126)/30+D126</f>
        <v>0.98066666666666658</v>
      </c>
      <c r="F126" s="287">
        <f t="shared" si="89"/>
        <v>0.98099999999999987</v>
      </c>
      <c r="G126" s="287">
        <f t="shared" si="89"/>
        <v>0.98133333333333317</v>
      </c>
      <c r="H126" s="287">
        <f t="shared" si="89"/>
        <v>0.98166666666666647</v>
      </c>
      <c r="I126" s="287">
        <f t="shared" si="89"/>
        <v>0.98199999999999976</v>
      </c>
      <c r="J126" s="287">
        <f t="shared" si="89"/>
        <v>0.98233333333333306</v>
      </c>
      <c r="K126" s="287">
        <f t="shared" si="89"/>
        <v>0.98266666666666636</v>
      </c>
      <c r="L126" s="287">
        <f t="shared" si="89"/>
        <v>0.98299999999999965</v>
      </c>
      <c r="M126" s="287">
        <f t="shared" si="89"/>
        <v>0.98333333333333295</v>
      </c>
      <c r="N126" s="287">
        <f t="shared" si="89"/>
        <v>0.98366666666666625</v>
      </c>
      <c r="O126" s="287">
        <f t="shared" si="89"/>
        <v>0.98399999999999954</v>
      </c>
      <c r="P126" s="287">
        <f t="shared" si="89"/>
        <v>0.98433333333333284</v>
      </c>
      <c r="Q126" s="287">
        <f t="shared" si="89"/>
        <v>0.98466666666666613</v>
      </c>
      <c r="R126" s="287">
        <f t="shared" si="89"/>
        <v>0.98499999999999943</v>
      </c>
      <c r="S126" s="287">
        <f t="shared" si="89"/>
        <v>0.98533333333333273</v>
      </c>
      <c r="T126" s="287">
        <f t="shared" si="89"/>
        <v>0.98566666666666602</v>
      </c>
      <c r="U126" s="287">
        <f t="shared" si="89"/>
        <v>0.98599999999999932</v>
      </c>
      <c r="V126" s="287">
        <f t="shared" si="89"/>
        <v>0.98633333333333262</v>
      </c>
      <c r="W126" s="287">
        <f t="shared" si="89"/>
        <v>0.98666666666666591</v>
      </c>
      <c r="X126" s="287">
        <f t="shared" si="89"/>
        <v>0.98699999999999921</v>
      </c>
      <c r="Y126" s="287">
        <f t="shared" si="89"/>
        <v>0.98733333333333251</v>
      </c>
      <c r="Z126" s="287">
        <f t="shared" si="89"/>
        <v>0.9876666666666658</v>
      </c>
      <c r="AA126" s="287">
        <f t="shared" si="89"/>
        <v>0.9879999999999991</v>
      </c>
      <c r="AB126" s="287">
        <f t="shared" si="89"/>
        <v>0.9883333333333324</v>
      </c>
      <c r="AC126" s="287">
        <f t="shared" si="89"/>
        <v>0.98866666666666569</v>
      </c>
      <c r="AD126" s="287">
        <f t="shared" si="89"/>
        <v>0.98899999999999899</v>
      </c>
      <c r="AE126" s="287">
        <f t="shared" si="89"/>
        <v>0.98933333333333229</v>
      </c>
      <c r="AF126" s="287">
        <f t="shared" si="89"/>
        <v>0.98966666666666558</v>
      </c>
      <c r="AG126" s="563">
        <f>AG118</f>
        <v>0.99</v>
      </c>
      <c r="AI126" s="255"/>
      <c r="AJ126" s="271" t="s">
        <v>1469</v>
      </c>
    </row>
    <row r="127" spans="1:41" s="54" customFormat="1" outlineLevel="1">
      <c r="A127" s="257" t="s">
        <v>667</v>
      </c>
      <c r="B127" s="258" t="s">
        <v>126</v>
      </c>
      <c r="C127" s="563">
        <v>1</v>
      </c>
      <c r="D127" s="287">
        <f>-($C127-$AG127)/30+C127</f>
        <v>1</v>
      </c>
      <c r="E127" s="287">
        <f t="shared" si="89"/>
        <v>1</v>
      </c>
      <c r="F127" s="287">
        <f t="shared" si="89"/>
        <v>1</v>
      </c>
      <c r="G127" s="287">
        <f t="shared" si="89"/>
        <v>1</v>
      </c>
      <c r="H127" s="287">
        <f t="shared" si="89"/>
        <v>1</v>
      </c>
      <c r="I127" s="287">
        <f t="shared" si="89"/>
        <v>1</v>
      </c>
      <c r="J127" s="287">
        <f t="shared" si="89"/>
        <v>1</v>
      </c>
      <c r="K127" s="287">
        <f t="shared" si="89"/>
        <v>1</v>
      </c>
      <c r="L127" s="287">
        <f t="shared" si="89"/>
        <v>1</v>
      </c>
      <c r="M127" s="287">
        <f t="shared" si="89"/>
        <v>1</v>
      </c>
      <c r="N127" s="287">
        <f t="shared" si="89"/>
        <v>1</v>
      </c>
      <c r="O127" s="287">
        <f t="shared" si="89"/>
        <v>1</v>
      </c>
      <c r="P127" s="287">
        <f t="shared" si="89"/>
        <v>1</v>
      </c>
      <c r="Q127" s="287">
        <f t="shared" si="89"/>
        <v>1</v>
      </c>
      <c r="R127" s="287">
        <f t="shared" si="89"/>
        <v>1</v>
      </c>
      <c r="S127" s="287">
        <f t="shared" si="89"/>
        <v>1</v>
      </c>
      <c r="T127" s="287">
        <f t="shared" si="89"/>
        <v>1</v>
      </c>
      <c r="U127" s="287">
        <f t="shared" si="89"/>
        <v>1</v>
      </c>
      <c r="V127" s="287">
        <f t="shared" si="89"/>
        <v>1</v>
      </c>
      <c r="W127" s="287">
        <f t="shared" si="89"/>
        <v>1</v>
      </c>
      <c r="X127" s="287">
        <f t="shared" si="89"/>
        <v>1</v>
      </c>
      <c r="Y127" s="287">
        <f t="shared" si="89"/>
        <v>1</v>
      </c>
      <c r="Z127" s="287">
        <f t="shared" si="89"/>
        <v>1</v>
      </c>
      <c r="AA127" s="287">
        <f t="shared" si="89"/>
        <v>1</v>
      </c>
      <c r="AB127" s="287">
        <f t="shared" si="89"/>
        <v>1</v>
      </c>
      <c r="AC127" s="287">
        <f t="shared" si="89"/>
        <v>1</v>
      </c>
      <c r="AD127" s="287">
        <f t="shared" si="89"/>
        <v>1</v>
      </c>
      <c r="AE127" s="287">
        <f t="shared" si="89"/>
        <v>1</v>
      </c>
      <c r="AF127" s="287">
        <f t="shared" si="89"/>
        <v>1</v>
      </c>
      <c r="AG127" s="563">
        <v>1</v>
      </c>
      <c r="AI127" s="255"/>
      <c r="AJ127" t="s">
        <v>1470</v>
      </c>
    </row>
    <row r="128" spans="1:41" s="58" customFormat="1" outlineLevel="1">
      <c r="A128" s="261" t="s">
        <v>668</v>
      </c>
      <c r="B128" s="262" t="s">
        <v>126</v>
      </c>
      <c r="C128" s="289">
        <f>1-C127</f>
        <v>0</v>
      </c>
      <c r="D128" s="289">
        <f t="shared" ref="D128:AG128" si="90">1-D127</f>
        <v>0</v>
      </c>
      <c r="E128" s="289">
        <f t="shared" si="90"/>
        <v>0</v>
      </c>
      <c r="F128" s="289">
        <f t="shared" si="90"/>
        <v>0</v>
      </c>
      <c r="G128" s="289">
        <f t="shared" si="90"/>
        <v>0</v>
      </c>
      <c r="H128" s="289">
        <f t="shared" si="90"/>
        <v>0</v>
      </c>
      <c r="I128" s="289">
        <f t="shared" si="90"/>
        <v>0</v>
      </c>
      <c r="J128" s="289">
        <f t="shared" si="90"/>
        <v>0</v>
      </c>
      <c r="K128" s="289">
        <f t="shared" si="90"/>
        <v>0</v>
      </c>
      <c r="L128" s="289">
        <f t="shared" si="90"/>
        <v>0</v>
      </c>
      <c r="M128" s="289">
        <f t="shared" si="90"/>
        <v>0</v>
      </c>
      <c r="N128" s="289">
        <f t="shared" si="90"/>
        <v>0</v>
      </c>
      <c r="O128" s="289">
        <f t="shared" si="90"/>
        <v>0</v>
      </c>
      <c r="P128" s="289">
        <f t="shared" si="90"/>
        <v>0</v>
      </c>
      <c r="Q128" s="289">
        <f t="shared" si="90"/>
        <v>0</v>
      </c>
      <c r="R128" s="289">
        <f t="shared" si="90"/>
        <v>0</v>
      </c>
      <c r="S128" s="289">
        <f t="shared" si="90"/>
        <v>0</v>
      </c>
      <c r="T128" s="289">
        <f t="shared" si="90"/>
        <v>0</v>
      </c>
      <c r="U128" s="289">
        <f t="shared" si="90"/>
        <v>0</v>
      </c>
      <c r="V128" s="289">
        <f t="shared" si="90"/>
        <v>0</v>
      </c>
      <c r="W128" s="289">
        <f t="shared" si="90"/>
        <v>0</v>
      </c>
      <c r="X128" s="289">
        <f t="shared" si="90"/>
        <v>0</v>
      </c>
      <c r="Y128" s="289">
        <f t="shared" si="90"/>
        <v>0</v>
      </c>
      <c r="Z128" s="289">
        <f t="shared" si="90"/>
        <v>0</v>
      </c>
      <c r="AA128" s="289">
        <f t="shared" si="90"/>
        <v>0</v>
      </c>
      <c r="AB128" s="289">
        <f t="shared" si="90"/>
        <v>0</v>
      </c>
      <c r="AC128" s="289">
        <f t="shared" si="90"/>
        <v>0</v>
      </c>
      <c r="AD128" s="289">
        <f t="shared" si="90"/>
        <v>0</v>
      </c>
      <c r="AE128" s="289">
        <f t="shared" si="90"/>
        <v>0</v>
      </c>
      <c r="AF128" s="289">
        <f t="shared" si="90"/>
        <v>0</v>
      </c>
      <c r="AG128" s="289">
        <f t="shared" si="90"/>
        <v>0</v>
      </c>
      <c r="AI128" s="291"/>
      <c r="AJ128" s="290"/>
    </row>
    <row r="129" spans="1:36" s="1" customFormat="1" outlineLevel="1">
      <c r="A129" t="s">
        <v>649</v>
      </c>
      <c r="B129" s="252" t="s">
        <v>126</v>
      </c>
      <c r="C129" s="562">
        <v>1</v>
      </c>
      <c r="D129" s="267">
        <f t="shared" ref="D129:S144" si="91">-($C129-$AG129)/30+C129</f>
        <v>1</v>
      </c>
      <c r="E129" s="267">
        <f t="shared" si="91"/>
        <v>1</v>
      </c>
      <c r="F129" s="267">
        <f t="shared" si="91"/>
        <v>1</v>
      </c>
      <c r="G129" s="267">
        <f t="shared" si="91"/>
        <v>1</v>
      </c>
      <c r="H129" s="267">
        <f t="shared" si="91"/>
        <v>1</v>
      </c>
      <c r="I129" s="267">
        <f t="shared" si="91"/>
        <v>1</v>
      </c>
      <c r="J129" s="267">
        <f t="shared" si="91"/>
        <v>1</v>
      </c>
      <c r="K129" s="267">
        <f t="shared" si="91"/>
        <v>1</v>
      </c>
      <c r="L129" s="267">
        <f t="shared" si="91"/>
        <v>1</v>
      </c>
      <c r="M129" s="267">
        <f t="shared" si="91"/>
        <v>1</v>
      </c>
      <c r="N129" s="267">
        <f t="shared" si="91"/>
        <v>1</v>
      </c>
      <c r="O129" s="267">
        <f t="shared" si="91"/>
        <v>1</v>
      </c>
      <c r="P129" s="267">
        <f t="shared" si="91"/>
        <v>1</v>
      </c>
      <c r="Q129" s="267">
        <f t="shared" si="91"/>
        <v>1</v>
      </c>
      <c r="R129" s="267">
        <f t="shared" si="91"/>
        <v>1</v>
      </c>
      <c r="S129" s="267">
        <f t="shared" si="91"/>
        <v>1</v>
      </c>
      <c r="T129" s="267">
        <f t="shared" ref="T129:AF143" si="92">-($C129-$AG129)/30+S129</f>
        <v>1</v>
      </c>
      <c r="U129" s="267">
        <f t="shared" si="92"/>
        <v>1</v>
      </c>
      <c r="V129" s="267">
        <f t="shared" si="92"/>
        <v>1</v>
      </c>
      <c r="W129" s="267">
        <f t="shared" si="92"/>
        <v>1</v>
      </c>
      <c r="X129" s="267">
        <f t="shared" si="92"/>
        <v>1</v>
      </c>
      <c r="Y129" s="267">
        <f t="shared" si="92"/>
        <v>1</v>
      </c>
      <c r="Z129" s="267">
        <f t="shared" si="92"/>
        <v>1</v>
      </c>
      <c r="AA129" s="267">
        <f t="shared" si="92"/>
        <v>1</v>
      </c>
      <c r="AB129" s="267">
        <f t="shared" si="92"/>
        <v>1</v>
      </c>
      <c r="AC129" s="267">
        <f t="shared" si="92"/>
        <v>1</v>
      </c>
      <c r="AD129" s="267">
        <f t="shared" si="92"/>
        <v>1</v>
      </c>
      <c r="AE129" s="267">
        <f t="shared" si="92"/>
        <v>1</v>
      </c>
      <c r="AF129" s="267">
        <f t="shared" si="92"/>
        <v>1</v>
      </c>
      <c r="AG129" s="562">
        <v>1</v>
      </c>
      <c r="AI129" s="266"/>
      <c r="AJ129" s="185"/>
    </row>
    <row r="130" spans="1:36" s="1" customFormat="1" outlineLevel="1">
      <c r="A130" t="s">
        <v>655</v>
      </c>
      <c r="B130" s="252" t="s">
        <v>126</v>
      </c>
      <c r="C130" s="562">
        <v>0</v>
      </c>
      <c r="D130" s="267">
        <f t="shared" si="91"/>
        <v>0</v>
      </c>
      <c r="E130" s="267">
        <f t="shared" si="91"/>
        <v>0</v>
      </c>
      <c r="F130" s="267">
        <f t="shared" si="91"/>
        <v>0</v>
      </c>
      <c r="G130" s="267">
        <f t="shared" si="91"/>
        <v>0</v>
      </c>
      <c r="H130" s="267">
        <f t="shared" si="91"/>
        <v>0</v>
      </c>
      <c r="I130" s="267">
        <f t="shared" si="91"/>
        <v>0</v>
      </c>
      <c r="J130" s="267">
        <f t="shared" si="91"/>
        <v>0</v>
      </c>
      <c r="K130" s="267">
        <f t="shared" si="91"/>
        <v>0</v>
      </c>
      <c r="L130" s="267">
        <f t="shared" si="91"/>
        <v>0</v>
      </c>
      <c r="M130" s="267">
        <f t="shared" si="91"/>
        <v>0</v>
      </c>
      <c r="N130" s="267">
        <f t="shared" si="91"/>
        <v>0</v>
      </c>
      <c r="O130" s="267">
        <f t="shared" si="91"/>
        <v>0</v>
      </c>
      <c r="P130" s="267">
        <f t="shared" si="91"/>
        <v>0</v>
      </c>
      <c r="Q130" s="267">
        <f t="shared" si="91"/>
        <v>0</v>
      </c>
      <c r="R130" s="267">
        <f t="shared" si="91"/>
        <v>0</v>
      </c>
      <c r="S130" s="267">
        <f t="shared" si="91"/>
        <v>0</v>
      </c>
      <c r="T130" s="267">
        <f t="shared" si="92"/>
        <v>0</v>
      </c>
      <c r="U130" s="267">
        <f t="shared" si="92"/>
        <v>0</v>
      </c>
      <c r="V130" s="267">
        <f t="shared" si="92"/>
        <v>0</v>
      </c>
      <c r="W130" s="267">
        <f t="shared" si="92"/>
        <v>0</v>
      </c>
      <c r="X130" s="267">
        <f t="shared" si="92"/>
        <v>0</v>
      </c>
      <c r="Y130" s="267">
        <f t="shared" si="92"/>
        <v>0</v>
      </c>
      <c r="Z130" s="267">
        <f t="shared" si="92"/>
        <v>0</v>
      </c>
      <c r="AA130" s="267">
        <f t="shared" si="92"/>
        <v>0</v>
      </c>
      <c r="AB130" s="267">
        <f t="shared" si="92"/>
        <v>0</v>
      </c>
      <c r="AC130" s="267">
        <f t="shared" si="92"/>
        <v>0</v>
      </c>
      <c r="AD130" s="267">
        <f t="shared" si="92"/>
        <v>0</v>
      </c>
      <c r="AE130" s="267">
        <f t="shared" si="92"/>
        <v>0</v>
      </c>
      <c r="AF130" s="267">
        <f t="shared" si="92"/>
        <v>0</v>
      </c>
      <c r="AG130" s="562">
        <v>0</v>
      </c>
      <c r="AI130" s="380" t="s">
        <v>777</v>
      </c>
      <c r="AJ130" s="185" t="s">
        <v>1471</v>
      </c>
    </row>
    <row r="131" spans="1:36" s="1" customFormat="1" outlineLevel="1">
      <c r="A131" t="s">
        <v>650</v>
      </c>
      <c r="B131" s="252" t="s">
        <v>126</v>
      </c>
      <c r="C131" s="246">
        <v>0.15</v>
      </c>
      <c r="D131" s="267">
        <f t="shared" si="91"/>
        <v>0.15633333333333332</v>
      </c>
      <c r="E131" s="267">
        <f t="shared" si="91"/>
        <v>0.16266666666666665</v>
      </c>
      <c r="F131" s="267">
        <f t="shared" si="91"/>
        <v>0.16899999999999998</v>
      </c>
      <c r="G131" s="267">
        <f t="shared" si="91"/>
        <v>0.17533333333333331</v>
      </c>
      <c r="H131" s="267">
        <f t="shared" si="91"/>
        <v>0.18166666666666664</v>
      </c>
      <c r="I131" s="267">
        <f t="shared" si="91"/>
        <v>0.18799999999999997</v>
      </c>
      <c r="J131" s="267">
        <f t="shared" si="91"/>
        <v>0.1943333333333333</v>
      </c>
      <c r="K131" s="267">
        <f t="shared" si="91"/>
        <v>0.20066666666666663</v>
      </c>
      <c r="L131" s="267">
        <f t="shared" si="91"/>
        <v>0.20699999999999996</v>
      </c>
      <c r="M131" s="267">
        <f t="shared" si="91"/>
        <v>0.21333333333333329</v>
      </c>
      <c r="N131" s="267">
        <f t="shared" si="91"/>
        <v>0.21966666666666662</v>
      </c>
      <c r="O131" s="267">
        <f t="shared" si="91"/>
        <v>0.22599999999999995</v>
      </c>
      <c r="P131" s="267">
        <f t="shared" si="91"/>
        <v>0.23233333333333328</v>
      </c>
      <c r="Q131" s="267">
        <f t="shared" si="91"/>
        <v>0.23866666666666661</v>
      </c>
      <c r="R131" s="267">
        <f t="shared" si="91"/>
        <v>0.24499999999999994</v>
      </c>
      <c r="S131" s="267">
        <f t="shared" si="91"/>
        <v>0.2513333333333333</v>
      </c>
      <c r="T131" s="267">
        <f t="shared" si="92"/>
        <v>0.25766666666666665</v>
      </c>
      <c r="U131" s="267">
        <f t="shared" si="92"/>
        <v>0.26400000000000001</v>
      </c>
      <c r="V131" s="267">
        <f t="shared" si="92"/>
        <v>0.27033333333333337</v>
      </c>
      <c r="W131" s="267">
        <f t="shared" si="92"/>
        <v>0.27666666666666673</v>
      </c>
      <c r="X131" s="267">
        <f t="shared" si="92"/>
        <v>0.28300000000000008</v>
      </c>
      <c r="Y131" s="267">
        <f t="shared" si="92"/>
        <v>0.28933333333333344</v>
      </c>
      <c r="Z131" s="267">
        <f t="shared" si="92"/>
        <v>0.2956666666666668</v>
      </c>
      <c r="AA131" s="267">
        <f t="shared" si="92"/>
        <v>0.30200000000000016</v>
      </c>
      <c r="AB131" s="267">
        <f t="shared" si="92"/>
        <v>0.30833333333333351</v>
      </c>
      <c r="AC131" s="267">
        <f t="shared" si="92"/>
        <v>0.31466666666666687</v>
      </c>
      <c r="AD131" s="267">
        <f t="shared" si="92"/>
        <v>0.32100000000000023</v>
      </c>
      <c r="AE131" s="267">
        <f t="shared" si="92"/>
        <v>0.32733333333333359</v>
      </c>
      <c r="AF131" s="267">
        <f t="shared" si="92"/>
        <v>0.33366666666666694</v>
      </c>
      <c r="AG131" s="246">
        <v>0.34</v>
      </c>
      <c r="AI131" s="266"/>
      <c r="AJ131" t="s">
        <v>1470</v>
      </c>
    </row>
    <row r="132" spans="1:36" s="1" customFormat="1" outlineLevel="1">
      <c r="A132" t="s">
        <v>651</v>
      </c>
      <c r="B132" s="252" t="s">
        <v>126</v>
      </c>
      <c r="C132" s="267">
        <f>1-C131</f>
        <v>0.85</v>
      </c>
      <c r="D132" s="267">
        <f t="shared" si="91"/>
        <v>0.84366666666666668</v>
      </c>
      <c r="E132" s="267">
        <f t="shared" si="91"/>
        <v>0.83733333333333337</v>
      </c>
      <c r="F132" s="267">
        <f t="shared" si="91"/>
        <v>0.83100000000000007</v>
      </c>
      <c r="G132" s="267">
        <f t="shared" si="91"/>
        <v>0.82466666666666677</v>
      </c>
      <c r="H132" s="267">
        <f t="shared" si="91"/>
        <v>0.81833333333333347</v>
      </c>
      <c r="I132" s="267">
        <f t="shared" si="91"/>
        <v>0.81200000000000017</v>
      </c>
      <c r="J132" s="267">
        <f t="shared" si="91"/>
        <v>0.80566666666666686</v>
      </c>
      <c r="K132" s="267">
        <f t="shared" si="91"/>
        <v>0.79933333333333356</v>
      </c>
      <c r="L132" s="267">
        <f t="shared" si="91"/>
        <v>0.79300000000000026</v>
      </c>
      <c r="M132" s="267">
        <f t="shared" si="91"/>
        <v>0.78666666666666696</v>
      </c>
      <c r="N132" s="267">
        <f t="shared" si="91"/>
        <v>0.78033333333333366</v>
      </c>
      <c r="O132" s="267">
        <f t="shared" si="91"/>
        <v>0.77400000000000035</v>
      </c>
      <c r="P132" s="267">
        <f t="shared" si="91"/>
        <v>0.76766666666666705</v>
      </c>
      <c r="Q132" s="267">
        <f t="shared" si="91"/>
        <v>0.76133333333333375</v>
      </c>
      <c r="R132" s="267">
        <f t="shared" si="91"/>
        <v>0.75500000000000045</v>
      </c>
      <c r="S132" s="267">
        <f t="shared" si="91"/>
        <v>0.74866666666666715</v>
      </c>
      <c r="T132" s="267">
        <f t="shared" si="92"/>
        <v>0.74233333333333384</v>
      </c>
      <c r="U132" s="267">
        <f t="shared" si="92"/>
        <v>0.73600000000000054</v>
      </c>
      <c r="V132" s="267">
        <f t="shared" si="92"/>
        <v>0.72966666666666724</v>
      </c>
      <c r="W132" s="267">
        <f t="shared" si="92"/>
        <v>0.72333333333333394</v>
      </c>
      <c r="X132" s="267">
        <f t="shared" si="92"/>
        <v>0.71700000000000064</v>
      </c>
      <c r="Y132" s="267">
        <f t="shared" si="92"/>
        <v>0.71066666666666733</v>
      </c>
      <c r="Z132" s="267">
        <f t="shared" si="92"/>
        <v>0.70433333333333403</v>
      </c>
      <c r="AA132" s="267">
        <f t="shared" si="92"/>
        <v>0.69800000000000073</v>
      </c>
      <c r="AB132" s="267">
        <f t="shared" si="92"/>
        <v>0.69166666666666743</v>
      </c>
      <c r="AC132" s="267">
        <f t="shared" si="92"/>
        <v>0.68533333333333413</v>
      </c>
      <c r="AD132" s="267">
        <f t="shared" si="92"/>
        <v>0.67900000000000083</v>
      </c>
      <c r="AE132" s="267">
        <f t="shared" si="92"/>
        <v>0.67266666666666752</v>
      </c>
      <c r="AF132" s="267">
        <f t="shared" si="92"/>
        <v>0.66633333333333422</v>
      </c>
      <c r="AG132" s="267">
        <f>1-AG131</f>
        <v>0.65999999999999992</v>
      </c>
      <c r="AI132" s="266"/>
      <c r="AJ132" t="s">
        <v>1470</v>
      </c>
    </row>
    <row r="133" spans="1:36" s="1" customFormat="1" outlineLevel="1">
      <c r="A133" t="s">
        <v>654</v>
      </c>
      <c r="B133" s="252" t="s">
        <v>126</v>
      </c>
      <c r="C133" s="246">
        <v>0</v>
      </c>
      <c r="D133" s="267">
        <f t="shared" si="91"/>
        <v>0</v>
      </c>
      <c r="E133" s="267">
        <f t="shared" si="91"/>
        <v>0</v>
      </c>
      <c r="F133" s="267">
        <f t="shared" si="91"/>
        <v>0</v>
      </c>
      <c r="G133" s="267">
        <f t="shared" si="91"/>
        <v>0</v>
      </c>
      <c r="H133" s="267">
        <f t="shared" si="91"/>
        <v>0</v>
      </c>
      <c r="I133" s="267">
        <f t="shared" si="91"/>
        <v>0</v>
      </c>
      <c r="J133" s="267">
        <f t="shared" si="91"/>
        <v>0</v>
      </c>
      <c r="K133" s="267">
        <f t="shared" si="91"/>
        <v>0</v>
      </c>
      <c r="L133" s="267">
        <f t="shared" si="91"/>
        <v>0</v>
      </c>
      <c r="M133" s="267">
        <f t="shared" si="91"/>
        <v>0</v>
      </c>
      <c r="N133" s="267">
        <f t="shared" si="91"/>
        <v>0</v>
      </c>
      <c r="O133" s="267">
        <f t="shared" si="91"/>
        <v>0</v>
      </c>
      <c r="P133" s="267">
        <f t="shared" si="91"/>
        <v>0</v>
      </c>
      <c r="Q133" s="267">
        <f t="shared" si="91"/>
        <v>0</v>
      </c>
      <c r="R133" s="267">
        <f t="shared" si="91"/>
        <v>0</v>
      </c>
      <c r="S133" s="267">
        <f t="shared" si="91"/>
        <v>0</v>
      </c>
      <c r="T133" s="267">
        <f t="shared" si="92"/>
        <v>0</v>
      </c>
      <c r="U133" s="267">
        <f t="shared" si="92"/>
        <v>0</v>
      </c>
      <c r="V133" s="267">
        <f t="shared" si="92"/>
        <v>0</v>
      </c>
      <c r="W133" s="267">
        <f t="shared" si="92"/>
        <v>0</v>
      </c>
      <c r="X133" s="267">
        <f t="shared" si="92"/>
        <v>0</v>
      </c>
      <c r="Y133" s="267">
        <f t="shared" si="92"/>
        <v>0</v>
      </c>
      <c r="Z133" s="267">
        <f t="shared" si="92"/>
        <v>0</v>
      </c>
      <c r="AA133" s="267">
        <f t="shared" si="92"/>
        <v>0</v>
      </c>
      <c r="AB133" s="267">
        <f t="shared" si="92"/>
        <v>0</v>
      </c>
      <c r="AC133" s="267">
        <f t="shared" si="92"/>
        <v>0</v>
      </c>
      <c r="AD133" s="267">
        <f t="shared" si="92"/>
        <v>0</v>
      </c>
      <c r="AE133" s="267">
        <f t="shared" si="92"/>
        <v>0</v>
      </c>
      <c r="AF133" s="267">
        <f t="shared" si="92"/>
        <v>0</v>
      </c>
      <c r="AG133" s="246">
        <v>0</v>
      </c>
      <c r="AI133" s="266"/>
      <c r="AJ133" t="s">
        <v>1470</v>
      </c>
    </row>
    <row r="134" spans="1:36" s="1" customFormat="1" outlineLevel="1">
      <c r="A134" t="s">
        <v>665</v>
      </c>
      <c r="B134" s="252" t="s">
        <v>126</v>
      </c>
      <c r="C134" s="246">
        <v>1</v>
      </c>
      <c r="D134" s="267">
        <f t="shared" si="91"/>
        <v>1</v>
      </c>
      <c r="E134" s="267">
        <f t="shared" si="91"/>
        <v>1</v>
      </c>
      <c r="F134" s="267">
        <f t="shared" si="91"/>
        <v>1</v>
      </c>
      <c r="G134" s="267">
        <f t="shared" si="91"/>
        <v>1</v>
      </c>
      <c r="H134" s="267">
        <f t="shared" si="91"/>
        <v>1</v>
      </c>
      <c r="I134" s="267">
        <f t="shared" si="91"/>
        <v>1</v>
      </c>
      <c r="J134" s="267">
        <f t="shared" si="91"/>
        <v>1</v>
      </c>
      <c r="K134" s="267">
        <f t="shared" si="91"/>
        <v>1</v>
      </c>
      <c r="L134" s="267">
        <f t="shared" si="91"/>
        <v>1</v>
      </c>
      <c r="M134" s="267">
        <f t="shared" si="91"/>
        <v>1</v>
      </c>
      <c r="N134" s="267">
        <f t="shared" si="91"/>
        <v>1</v>
      </c>
      <c r="O134" s="267">
        <f t="shared" si="91"/>
        <v>1</v>
      </c>
      <c r="P134" s="267">
        <f t="shared" si="91"/>
        <v>1</v>
      </c>
      <c r="Q134" s="267">
        <f t="shared" si="91"/>
        <v>1</v>
      </c>
      <c r="R134" s="267">
        <f t="shared" si="91"/>
        <v>1</v>
      </c>
      <c r="S134" s="267">
        <f t="shared" si="91"/>
        <v>1</v>
      </c>
      <c r="T134" s="267">
        <f t="shared" si="92"/>
        <v>1</v>
      </c>
      <c r="U134" s="267">
        <f t="shared" si="92"/>
        <v>1</v>
      </c>
      <c r="V134" s="267">
        <f t="shared" si="92"/>
        <v>1</v>
      </c>
      <c r="W134" s="267">
        <f t="shared" si="92"/>
        <v>1</v>
      </c>
      <c r="X134" s="267">
        <f t="shared" si="92"/>
        <v>1</v>
      </c>
      <c r="Y134" s="267">
        <f t="shared" si="92"/>
        <v>1</v>
      </c>
      <c r="Z134" s="267">
        <f t="shared" si="92"/>
        <v>1</v>
      </c>
      <c r="AA134" s="267">
        <f t="shared" si="92"/>
        <v>1</v>
      </c>
      <c r="AB134" s="267">
        <f t="shared" si="92"/>
        <v>1</v>
      </c>
      <c r="AC134" s="267">
        <f t="shared" si="92"/>
        <v>1</v>
      </c>
      <c r="AD134" s="267">
        <f t="shared" si="92"/>
        <v>1</v>
      </c>
      <c r="AE134" s="267">
        <f t="shared" si="92"/>
        <v>1</v>
      </c>
      <c r="AF134" s="267">
        <f t="shared" si="92"/>
        <v>1</v>
      </c>
      <c r="AG134" s="246">
        <v>1</v>
      </c>
      <c r="AI134" s="266"/>
      <c r="AJ134" t="s">
        <v>1470</v>
      </c>
    </row>
    <row r="135" spans="1:36" s="1" customFormat="1" outlineLevel="1">
      <c r="A135" t="s">
        <v>652</v>
      </c>
      <c r="B135" s="252" t="s">
        <v>126</v>
      </c>
      <c r="C135" s="246">
        <v>0.8</v>
      </c>
      <c r="D135" s="267">
        <f t="shared" si="91"/>
        <v>0.80333333333333334</v>
      </c>
      <c r="E135" s="267">
        <f t="shared" si="91"/>
        <v>0.80666666666666664</v>
      </c>
      <c r="F135" s="267">
        <f t="shared" si="91"/>
        <v>0.80999999999999994</v>
      </c>
      <c r="G135" s="267">
        <f t="shared" si="91"/>
        <v>0.81333333333333324</v>
      </c>
      <c r="H135" s="267">
        <f t="shared" si="91"/>
        <v>0.81666666666666654</v>
      </c>
      <c r="I135" s="267">
        <f t="shared" si="91"/>
        <v>0.81999999999999984</v>
      </c>
      <c r="J135" s="267">
        <f t="shared" si="91"/>
        <v>0.82333333333333314</v>
      </c>
      <c r="K135" s="267">
        <f t="shared" si="91"/>
        <v>0.82666666666666644</v>
      </c>
      <c r="L135" s="267">
        <f t="shared" si="91"/>
        <v>0.82999999999999974</v>
      </c>
      <c r="M135" s="267">
        <f t="shared" si="91"/>
        <v>0.83333333333333304</v>
      </c>
      <c r="N135" s="267">
        <f t="shared" si="91"/>
        <v>0.83666666666666634</v>
      </c>
      <c r="O135" s="267">
        <f t="shared" si="91"/>
        <v>0.83999999999999964</v>
      </c>
      <c r="P135" s="267">
        <f t="shared" si="91"/>
        <v>0.84333333333333294</v>
      </c>
      <c r="Q135" s="267">
        <f t="shared" si="91"/>
        <v>0.84666666666666623</v>
      </c>
      <c r="R135" s="267">
        <f t="shared" si="91"/>
        <v>0.84999999999999953</v>
      </c>
      <c r="S135" s="267">
        <f t="shared" si="91"/>
        <v>0.85333333333333283</v>
      </c>
      <c r="T135" s="267">
        <f t="shared" si="92"/>
        <v>0.85666666666666613</v>
      </c>
      <c r="U135" s="267">
        <f t="shared" si="92"/>
        <v>0.85999999999999943</v>
      </c>
      <c r="V135" s="267">
        <f t="shared" si="92"/>
        <v>0.86333333333333273</v>
      </c>
      <c r="W135" s="267">
        <f t="shared" si="92"/>
        <v>0.86666666666666603</v>
      </c>
      <c r="X135" s="267">
        <f t="shared" si="92"/>
        <v>0.86999999999999933</v>
      </c>
      <c r="Y135" s="267">
        <f t="shared" si="92"/>
        <v>0.87333333333333263</v>
      </c>
      <c r="Z135" s="267">
        <f t="shared" si="92"/>
        <v>0.87666666666666593</v>
      </c>
      <c r="AA135" s="267">
        <f t="shared" si="92"/>
        <v>0.87999999999999923</v>
      </c>
      <c r="AB135" s="267">
        <f t="shared" si="92"/>
        <v>0.88333333333333253</v>
      </c>
      <c r="AC135" s="267">
        <f t="shared" si="92"/>
        <v>0.88666666666666583</v>
      </c>
      <c r="AD135" s="267">
        <f t="shared" si="92"/>
        <v>0.88999999999999913</v>
      </c>
      <c r="AE135" s="267">
        <f t="shared" si="92"/>
        <v>0.89333333333333242</v>
      </c>
      <c r="AF135" s="267">
        <f t="shared" si="92"/>
        <v>0.89666666666666572</v>
      </c>
      <c r="AG135" s="246">
        <v>0.9</v>
      </c>
      <c r="AI135" s="266"/>
      <c r="AJ135" t="s">
        <v>1470</v>
      </c>
    </row>
    <row r="136" spans="1:36" s="1" customFormat="1" outlineLevel="1">
      <c r="A136" t="s">
        <v>653</v>
      </c>
      <c r="B136" s="252" t="s">
        <v>126</v>
      </c>
      <c r="C136" s="246">
        <v>0.2</v>
      </c>
      <c r="D136" s="267">
        <f t="shared" si="91"/>
        <v>0.19666666666666668</v>
      </c>
      <c r="E136" s="267">
        <f t="shared" si="91"/>
        <v>0.19333333333333336</v>
      </c>
      <c r="F136" s="267">
        <f t="shared" si="91"/>
        <v>0.19000000000000003</v>
      </c>
      <c r="G136" s="267">
        <f t="shared" si="91"/>
        <v>0.1866666666666667</v>
      </c>
      <c r="H136" s="267">
        <f t="shared" si="91"/>
        <v>0.18333333333333338</v>
      </c>
      <c r="I136" s="267">
        <f t="shared" si="91"/>
        <v>0.18000000000000005</v>
      </c>
      <c r="J136" s="267">
        <f t="shared" si="91"/>
        <v>0.17666666666666672</v>
      </c>
      <c r="K136" s="267">
        <f t="shared" si="91"/>
        <v>0.17333333333333339</v>
      </c>
      <c r="L136" s="267">
        <f t="shared" si="91"/>
        <v>0.17000000000000007</v>
      </c>
      <c r="M136" s="267">
        <f t="shared" si="91"/>
        <v>0.16666666666666674</v>
      </c>
      <c r="N136" s="267">
        <f t="shared" si="91"/>
        <v>0.16333333333333341</v>
      </c>
      <c r="O136" s="267">
        <f t="shared" si="91"/>
        <v>0.16000000000000009</v>
      </c>
      <c r="P136" s="267">
        <f t="shared" si="91"/>
        <v>0.15666666666666676</v>
      </c>
      <c r="Q136" s="267">
        <f t="shared" si="91"/>
        <v>0.15333333333333343</v>
      </c>
      <c r="R136" s="267">
        <f t="shared" si="91"/>
        <v>0.15000000000000011</v>
      </c>
      <c r="S136" s="267">
        <f t="shared" si="91"/>
        <v>0.14666666666666678</v>
      </c>
      <c r="T136" s="267">
        <f t="shared" si="92"/>
        <v>0.14333333333333345</v>
      </c>
      <c r="U136" s="267">
        <f t="shared" si="92"/>
        <v>0.14000000000000012</v>
      </c>
      <c r="V136" s="267">
        <f t="shared" si="92"/>
        <v>0.1366666666666668</v>
      </c>
      <c r="W136" s="267">
        <f t="shared" si="92"/>
        <v>0.13333333333333347</v>
      </c>
      <c r="X136" s="267">
        <f t="shared" si="92"/>
        <v>0.13000000000000014</v>
      </c>
      <c r="Y136" s="267">
        <f t="shared" si="92"/>
        <v>0.12666666666666682</v>
      </c>
      <c r="Z136" s="267">
        <f t="shared" si="92"/>
        <v>0.12333333333333349</v>
      </c>
      <c r="AA136" s="267">
        <f t="shared" si="92"/>
        <v>0.12000000000000016</v>
      </c>
      <c r="AB136" s="267">
        <f t="shared" si="92"/>
        <v>0.11666666666666684</v>
      </c>
      <c r="AC136" s="267">
        <f t="shared" si="92"/>
        <v>0.11333333333333351</v>
      </c>
      <c r="AD136" s="267">
        <f t="shared" si="92"/>
        <v>0.11000000000000018</v>
      </c>
      <c r="AE136" s="267">
        <f t="shared" si="92"/>
        <v>0.10666666666666685</v>
      </c>
      <c r="AF136" s="267">
        <f t="shared" si="92"/>
        <v>0.10333333333333353</v>
      </c>
      <c r="AG136" s="246">
        <v>0.1</v>
      </c>
      <c r="AI136" s="266"/>
      <c r="AJ136" t="s">
        <v>1470</v>
      </c>
    </row>
    <row r="137" spans="1:36" s="1" customFormat="1" outlineLevel="1">
      <c r="A137" t="s">
        <v>663</v>
      </c>
      <c r="B137" s="252" t="s">
        <v>126</v>
      </c>
      <c r="C137" s="246">
        <v>0.95</v>
      </c>
      <c r="D137" s="267">
        <f t="shared" si="91"/>
        <v>0.94866666666666666</v>
      </c>
      <c r="E137" s="267">
        <f t="shared" si="91"/>
        <v>0.94733333333333336</v>
      </c>
      <c r="F137" s="267">
        <f t="shared" si="91"/>
        <v>0.94600000000000006</v>
      </c>
      <c r="G137" s="267">
        <f t="shared" si="91"/>
        <v>0.94466666666666677</v>
      </c>
      <c r="H137" s="267">
        <f t="shared" si="91"/>
        <v>0.94333333333333347</v>
      </c>
      <c r="I137" s="267">
        <f t="shared" si="91"/>
        <v>0.94200000000000017</v>
      </c>
      <c r="J137" s="267">
        <f t="shared" si="91"/>
        <v>0.94066666666666687</v>
      </c>
      <c r="K137" s="267">
        <f t="shared" si="91"/>
        <v>0.93933333333333358</v>
      </c>
      <c r="L137" s="267">
        <f t="shared" si="91"/>
        <v>0.93800000000000028</v>
      </c>
      <c r="M137" s="267">
        <f t="shared" si="91"/>
        <v>0.93666666666666698</v>
      </c>
      <c r="N137" s="267">
        <f t="shared" si="91"/>
        <v>0.93533333333333368</v>
      </c>
      <c r="O137" s="267">
        <f t="shared" si="91"/>
        <v>0.93400000000000039</v>
      </c>
      <c r="P137" s="267">
        <f t="shared" si="91"/>
        <v>0.93266666666666709</v>
      </c>
      <c r="Q137" s="267">
        <f t="shared" si="91"/>
        <v>0.93133333333333379</v>
      </c>
      <c r="R137" s="267">
        <f t="shared" si="91"/>
        <v>0.93000000000000049</v>
      </c>
      <c r="S137" s="267">
        <f t="shared" si="91"/>
        <v>0.9286666666666672</v>
      </c>
      <c r="T137" s="267">
        <f t="shared" si="92"/>
        <v>0.9273333333333339</v>
      </c>
      <c r="U137" s="267">
        <f t="shared" si="92"/>
        <v>0.9260000000000006</v>
      </c>
      <c r="V137" s="267">
        <f t="shared" si="92"/>
        <v>0.9246666666666673</v>
      </c>
      <c r="W137" s="267">
        <f t="shared" si="92"/>
        <v>0.92333333333333401</v>
      </c>
      <c r="X137" s="267">
        <f t="shared" si="92"/>
        <v>0.92200000000000071</v>
      </c>
      <c r="Y137" s="267">
        <f t="shared" si="92"/>
        <v>0.92066666666666741</v>
      </c>
      <c r="Z137" s="267">
        <f t="shared" si="92"/>
        <v>0.91933333333333411</v>
      </c>
      <c r="AA137" s="267">
        <f t="shared" si="92"/>
        <v>0.91800000000000082</v>
      </c>
      <c r="AB137" s="267">
        <f t="shared" si="92"/>
        <v>0.91666666666666752</v>
      </c>
      <c r="AC137" s="267">
        <f t="shared" si="92"/>
        <v>0.91533333333333422</v>
      </c>
      <c r="AD137" s="267">
        <f t="shared" si="92"/>
        <v>0.91400000000000092</v>
      </c>
      <c r="AE137" s="267">
        <f t="shared" si="92"/>
        <v>0.91266666666666763</v>
      </c>
      <c r="AF137" s="267">
        <f t="shared" si="92"/>
        <v>0.91133333333333433</v>
      </c>
      <c r="AG137" s="246">
        <v>0.91</v>
      </c>
      <c r="AI137" s="266"/>
      <c r="AJ137" t="s">
        <v>1470</v>
      </c>
    </row>
    <row r="138" spans="1:36" s="1" customFormat="1" outlineLevel="1">
      <c r="A138" t="s">
        <v>664</v>
      </c>
      <c r="B138" s="252" t="s">
        <v>126</v>
      </c>
      <c r="C138" s="246">
        <v>0.05</v>
      </c>
      <c r="D138" s="267">
        <f t="shared" si="91"/>
        <v>5.1333333333333335E-2</v>
      </c>
      <c r="E138" s="267">
        <f t="shared" si="91"/>
        <v>5.2666666666666667E-2</v>
      </c>
      <c r="F138" s="267">
        <f t="shared" si="91"/>
        <v>5.3999999999999999E-2</v>
      </c>
      <c r="G138" s="267">
        <f t="shared" si="91"/>
        <v>5.5333333333333332E-2</v>
      </c>
      <c r="H138" s="267">
        <f t="shared" si="91"/>
        <v>5.6666666666666664E-2</v>
      </c>
      <c r="I138" s="267">
        <f t="shared" si="91"/>
        <v>5.7999999999999996E-2</v>
      </c>
      <c r="J138" s="267">
        <f t="shared" si="91"/>
        <v>5.9333333333333328E-2</v>
      </c>
      <c r="K138" s="267">
        <f t="shared" si="91"/>
        <v>6.066666666666666E-2</v>
      </c>
      <c r="L138" s="267">
        <f t="shared" si="91"/>
        <v>6.1999999999999993E-2</v>
      </c>
      <c r="M138" s="267">
        <f t="shared" si="91"/>
        <v>6.3333333333333325E-2</v>
      </c>
      <c r="N138" s="267">
        <f t="shared" si="91"/>
        <v>6.4666666666666664E-2</v>
      </c>
      <c r="O138" s="267">
        <f t="shared" si="91"/>
        <v>6.6000000000000003E-2</v>
      </c>
      <c r="P138" s="267">
        <f t="shared" si="91"/>
        <v>6.7333333333333342E-2</v>
      </c>
      <c r="Q138" s="267">
        <f t="shared" si="91"/>
        <v>6.8666666666666681E-2</v>
      </c>
      <c r="R138" s="267">
        <f t="shared" si="91"/>
        <v>7.0000000000000021E-2</v>
      </c>
      <c r="S138" s="267">
        <f t="shared" si="91"/>
        <v>7.133333333333336E-2</v>
      </c>
      <c r="T138" s="267">
        <f t="shared" si="92"/>
        <v>7.2666666666666699E-2</v>
      </c>
      <c r="U138" s="267">
        <f t="shared" si="92"/>
        <v>7.4000000000000038E-2</v>
      </c>
      <c r="V138" s="267">
        <f t="shared" si="92"/>
        <v>7.5333333333333377E-2</v>
      </c>
      <c r="W138" s="267">
        <f t="shared" si="92"/>
        <v>7.6666666666666716E-2</v>
      </c>
      <c r="X138" s="267">
        <f t="shared" si="92"/>
        <v>7.8000000000000055E-2</v>
      </c>
      <c r="Y138" s="267">
        <f t="shared" si="92"/>
        <v>7.9333333333333395E-2</v>
      </c>
      <c r="Z138" s="267">
        <f t="shared" si="92"/>
        <v>8.0666666666666734E-2</v>
      </c>
      <c r="AA138" s="267">
        <f t="shared" si="92"/>
        <v>8.2000000000000073E-2</v>
      </c>
      <c r="AB138" s="267">
        <f t="shared" si="92"/>
        <v>8.3333333333333412E-2</v>
      </c>
      <c r="AC138" s="267">
        <f t="shared" si="92"/>
        <v>8.4666666666666751E-2</v>
      </c>
      <c r="AD138" s="267">
        <f t="shared" si="92"/>
        <v>8.600000000000009E-2</v>
      </c>
      <c r="AE138" s="267">
        <f t="shared" si="92"/>
        <v>8.7333333333333429E-2</v>
      </c>
      <c r="AF138" s="267">
        <f t="shared" si="92"/>
        <v>8.8666666666666769E-2</v>
      </c>
      <c r="AG138" s="246">
        <v>0.09</v>
      </c>
      <c r="AI138" s="266"/>
      <c r="AJ138" t="s">
        <v>1470</v>
      </c>
    </row>
    <row r="139" spans="1:36" s="1" customFormat="1" outlineLevel="1">
      <c r="A139" t="s">
        <v>666</v>
      </c>
      <c r="B139" s="252"/>
      <c r="C139" s="246">
        <v>0.27</v>
      </c>
      <c r="D139" s="267">
        <f t="shared" si="91"/>
        <v>0.26600000000000001</v>
      </c>
      <c r="E139" s="267">
        <f t="shared" si="91"/>
        <v>0.26200000000000001</v>
      </c>
      <c r="F139" s="267">
        <f t="shared" si="91"/>
        <v>0.25800000000000001</v>
      </c>
      <c r="G139" s="267">
        <f t="shared" si="91"/>
        <v>0.254</v>
      </c>
      <c r="H139" s="267">
        <f t="shared" si="91"/>
        <v>0.25</v>
      </c>
      <c r="I139" s="267">
        <f t="shared" si="91"/>
        <v>0.246</v>
      </c>
      <c r="J139" s="267">
        <f t="shared" si="91"/>
        <v>0.24199999999999999</v>
      </c>
      <c r="K139" s="267">
        <f t="shared" si="91"/>
        <v>0.23799999999999999</v>
      </c>
      <c r="L139" s="267">
        <f t="shared" si="91"/>
        <v>0.23399999999999999</v>
      </c>
      <c r="M139" s="267">
        <f t="shared" si="91"/>
        <v>0.22999999999999998</v>
      </c>
      <c r="N139" s="267">
        <f t="shared" si="91"/>
        <v>0.22599999999999998</v>
      </c>
      <c r="O139" s="267">
        <f t="shared" si="91"/>
        <v>0.22199999999999998</v>
      </c>
      <c r="P139" s="267">
        <f t="shared" si="91"/>
        <v>0.21799999999999997</v>
      </c>
      <c r="Q139" s="267">
        <f t="shared" si="91"/>
        <v>0.21399999999999997</v>
      </c>
      <c r="R139" s="267">
        <f t="shared" si="91"/>
        <v>0.20999999999999996</v>
      </c>
      <c r="S139" s="267">
        <f t="shared" si="91"/>
        <v>0.20599999999999996</v>
      </c>
      <c r="T139" s="267">
        <f t="shared" si="92"/>
        <v>0.20199999999999996</v>
      </c>
      <c r="U139" s="267">
        <f t="shared" si="92"/>
        <v>0.19799999999999995</v>
      </c>
      <c r="V139" s="267">
        <f t="shared" si="92"/>
        <v>0.19399999999999995</v>
      </c>
      <c r="W139" s="267">
        <f t="shared" si="92"/>
        <v>0.18999999999999995</v>
      </c>
      <c r="X139" s="267">
        <f t="shared" si="92"/>
        <v>0.18599999999999994</v>
      </c>
      <c r="Y139" s="267">
        <f t="shared" si="92"/>
        <v>0.18199999999999994</v>
      </c>
      <c r="Z139" s="267">
        <f t="shared" si="92"/>
        <v>0.17799999999999994</v>
      </c>
      <c r="AA139" s="267">
        <f t="shared" si="92"/>
        <v>0.17399999999999993</v>
      </c>
      <c r="AB139" s="267">
        <f t="shared" si="92"/>
        <v>0.16999999999999993</v>
      </c>
      <c r="AC139" s="267">
        <f t="shared" si="92"/>
        <v>0.16599999999999993</v>
      </c>
      <c r="AD139" s="267">
        <f t="shared" si="92"/>
        <v>0.16199999999999992</v>
      </c>
      <c r="AE139" s="267">
        <f t="shared" si="92"/>
        <v>0.15799999999999992</v>
      </c>
      <c r="AF139" s="267">
        <f t="shared" si="92"/>
        <v>0.15399999999999991</v>
      </c>
      <c r="AG139" s="246">
        <v>0.15</v>
      </c>
      <c r="AI139" s="266"/>
      <c r="AJ139" t="s">
        <v>1470</v>
      </c>
    </row>
    <row r="140" spans="1:36" s="61" customFormat="1" outlineLevel="1">
      <c r="A140" s="294" t="s">
        <v>657</v>
      </c>
      <c r="B140" s="258" t="s">
        <v>126</v>
      </c>
      <c r="C140" s="255">
        <f>1-SUM(C141:C145)</f>
        <v>0.97</v>
      </c>
      <c r="D140" s="287">
        <f t="shared" ref="D140:S141" si="93">-($C140-$AG140)/30+C140</f>
        <v>0.97033333333333327</v>
      </c>
      <c r="E140" s="287">
        <f t="shared" si="93"/>
        <v>0.97066666666666657</v>
      </c>
      <c r="F140" s="287">
        <f t="shared" si="93"/>
        <v>0.97099999999999986</v>
      </c>
      <c r="G140" s="287">
        <f t="shared" si="93"/>
        <v>0.97133333333333316</v>
      </c>
      <c r="H140" s="287">
        <f t="shared" si="93"/>
        <v>0.97166666666666646</v>
      </c>
      <c r="I140" s="287">
        <f t="shared" si="93"/>
        <v>0.97199999999999975</v>
      </c>
      <c r="J140" s="287">
        <f t="shared" si="93"/>
        <v>0.97233333333333305</v>
      </c>
      <c r="K140" s="287">
        <f t="shared" si="93"/>
        <v>0.97266666666666635</v>
      </c>
      <c r="L140" s="287">
        <f t="shared" si="93"/>
        <v>0.97299999999999964</v>
      </c>
      <c r="M140" s="287">
        <f t="shared" si="93"/>
        <v>0.97333333333333294</v>
      </c>
      <c r="N140" s="287">
        <f t="shared" si="93"/>
        <v>0.97366666666666624</v>
      </c>
      <c r="O140" s="287">
        <f t="shared" si="93"/>
        <v>0.97399999999999953</v>
      </c>
      <c r="P140" s="287">
        <f t="shared" si="93"/>
        <v>0.97433333333333283</v>
      </c>
      <c r="Q140" s="287">
        <f t="shared" si="93"/>
        <v>0.97466666666666613</v>
      </c>
      <c r="R140" s="287">
        <f t="shared" si="93"/>
        <v>0.97499999999999942</v>
      </c>
      <c r="S140" s="287">
        <f t="shared" si="93"/>
        <v>0.97533333333333272</v>
      </c>
      <c r="T140" s="287">
        <f t="shared" si="92"/>
        <v>0.97566666666666602</v>
      </c>
      <c r="U140" s="287">
        <f t="shared" si="92"/>
        <v>0.97599999999999931</v>
      </c>
      <c r="V140" s="287">
        <f t="shared" si="92"/>
        <v>0.97633333333333261</v>
      </c>
      <c r="W140" s="287">
        <f t="shared" si="92"/>
        <v>0.97666666666666591</v>
      </c>
      <c r="X140" s="287">
        <f t="shared" si="92"/>
        <v>0.9769999999999992</v>
      </c>
      <c r="Y140" s="287">
        <f t="shared" si="92"/>
        <v>0.9773333333333325</v>
      </c>
      <c r="Z140" s="287">
        <f t="shared" si="92"/>
        <v>0.9776666666666658</v>
      </c>
      <c r="AA140" s="287">
        <f t="shared" si="92"/>
        <v>0.97799999999999909</v>
      </c>
      <c r="AB140" s="287">
        <f t="shared" si="92"/>
        <v>0.97833333333333239</v>
      </c>
      <c r="AC140" s="287">
        <f t="shared" si="92"/>
        <v>0.97866666666666569</v>
      </c>
      <c r="AD140" s="287">
        <f t="shared" si="92"/>
        <v>0.97899999999999898</v>
      </c>
      <c r="AE140" s="287">
        <f t="shared" si="92"/>
        <v>0.97933333333333228</v>
      </c>
      <c r="AF140" s="287">
        <f t="shared" si="92"/>
        <v>0.97966666666666558</v>
      </c>
      <c r="AG140" s="255">
        <f>1-SUM(AG141:AG145)</f>
        <v>0.98</v>
      </c>
      <c r="AH140"/>
      <c r="AI140" s="188"/>
      <c r="AJ140" t="s">
        <v>1470</v>
      </c>
    </row>
    <row r="141" spans="1:36" outlineLevel="1">
      <c r="A141" s="295" t="s">
        <v>658</v>
      </c>
      <c r="B141" s="252" t="s">
        <v>126</v>
      </c>
      <c r="C141" s="266">
        <v>0.01</v>
      </c>
      <c r="D141" s="267">
        <f t="shared" si="93"/>
        <v>0.01</v>
      </c>
      <c r="E141" s="267">
        <f t="shared" si="93"/>
        <v>0.01</v>
      </c>
      <c r="F141" s="267">
        <f t="shared" si="93"/>
        <v>0.01</v>
      </c>
      <c r="G141" s="267">
        <f t="shared" si="93"/>
        <v>0.01</v>
      </c>
      <c r="H141" s="267">
        <f t="shared" si="93"/>
        <v>0.01</v>
      </c>
      <c r="I141" s="267">
        <f t="shared" si="93"/>
        <v>0.01</v>
      </c>
      <c r="J141" s="267">
        <f t="shared" si="93"/>
        <v>0.01</v>
      </c>
      <c r="K141" s="267">
        <f t="shared" si="93"/>
        <v>0.01</v>
      </c>
      <c r="L141" s="267">
        <f t="shared" si="93"/>
        <v>0.01</v>
      </c>
      <c r="M141" s="267">
        <f t="shared" si="93"/>
        <v>0.01</v>
      </c>
      <c r="N141" s="267">
        <f t="shared" si="93"/>
        <v>0.01</v>
      </c>
      <c r="O141" s="267">
        <f t="shared" si="93"/>
        <v>0.01</v>
      </c>
      <c r="P141" s="267">
        <f t="shared" si="93"/>
        <v>0.01</v>
      </c>
      <c r="Q141" s="267">
        <f t="shared" si="93"/>
        <v>0.01</v>
      </c>
      <c r="R141" s="267">
        <f t="shared" si="93"/>
        <v>0.01</v>
      </c>
      <c r="S141" s="267">
        <f t="shared" si="93"/>
        <v>0.01</v>
      </c>
      <c r="T141" s="267">
        <f t="shared" si="92"/>
        <v>0.01</v>
      </c>
      <c r="U141" s="267">
        <f t="shared" si="92"/>
        <v>0.01</v>
      </c>
      <c r="V141" s="267">
        <f t="shared" si="92"/>
        <v>0.01</v>
      </c>
      <c r="W141" s="267">
        <f t="shared" si="92"/>
        <v>0.01</v>
      </c>
      <c r="X141" s="267">
        <f t="shared" si="92"/>
        <v>0.01</v>
      </c>
      <c r="Y141" s="267">
        <f t="shared" si="92"/>
        <v>0.01</v>
      </c>
      <c r="Z141" s="267">
        <f t="shared" si="92"/>
        <v>0.01</v>
      </c>
      <c r="AA141" s="267">
        <f t="shared" si="92"/>
        <v>0.01</v>
      </c>
      <c r="AB141" s="267">
        <f t="shared" si="92"/>
        <v>0.01</v>
      </c>
      <c r="AC141" s="267">
        <f t="shared" si="92"/>
        <v>0.01</v>
      </c>
      <c r="AD141" s="267">
        <f t="shared" si="92"/>
        <v>0.01</v>
      </c>
      <c r="AE141" s="267">
        <f t="shared" si="92"/>
        <v>0.01</v>
      </c>
      <c r="AF141" s="267">
        <f t="shared" si="92"/>
        <v>0.01</v>
      </c>
      <c r="AG141" s="266">
        <v>0.01</v>
      </c>
      <c r="AI141" s="188"/>
      <c r="AJ141" s="271" t="s">
        <v>1469</v>
      </c>
    </row>
    <row r="142" spans="1:36" outlineLevel="1">
      <c r="A142" s="295" t="s">
        <v>659</v>
      </c>
      <c r="B142" s="252" t="s">
        <v>126</v>
      </c>
      <c r="C142" s="562">
        <v>0</v>
      </c>
      <c r="D142" s="267">
        <f t="shared" si="91"/>
        <v>0</v>
      </c>
      <c r="E142" s="267">
        <f t="shared" si="91"/>
        <v>0</v>
      </c>
      <c r="F142" s="267">
        <f t="shared" si="91"/>
        <v>0</v>
      </c>
      <c r="G142" s="267">
        <f t="shared" si="91"/>
        <v>0</v>
      </c>
      <c r="H142" s="267">
        <f t="shared" si="91"/>
        <v>0</v>
      </c>
      <c r="I142" s="267">
        <f t="shared" si="91"/>
        <v>0</v>
      </c>
      <c r="J142" s="267">
        <f t="shared" si="91"/>
        <v>0</v>
      </c>
      <c r="K142" s="267">
        <f t="shared" si="91"/>
        <v>0</v>
      </c>
      <c r="L142" s="267">
        <f t="shared" si="91"/>
        <v>0</v>
      </c>
      <c r="M142" s="267">
        <f t="shared" si="91"/>
        <v>0</v>
      </c>
      <c r="N142" s="267">
        <f t="shared" si="91"/>
        <v>0</v>
      </c>
      <c r="O142" s="267">
        <f t="shared" si="91"/>
        <v>0</v>
      </c>
      <c r="P142" s="267">
        <f t="shared" si="91"/>
        <v>0</v>
      </c>
      <c r="Q142" s="267">
        <f t="shared" si="91"/>
        <v>0</v>
      </c>
      <c r="R142" s="267">
        <f t="shared" si="91"/>
        <v>0</v>
      </c>
      <c r="S142" s="267">
        <f t="shared" si="91"/>
        <v>0</v>
      </c>
      <c r="T142" s="267">
        <f t="shared" si="92"/>
        <v>0</v>
      </c>
      <c r="U142" s="267">
        <f t="shared" si="92"/>
        <v>0</v>
      </c>
      <c r="V142" s="267">
        <f t="shared" si="92"/>
        <v>0</v>
      </c>
      <c r="W142" s="267">
        <f t="shared" si="92"/>
        <v>0</v>
      </c>
      <c r="X142" s="267">
        <f t="shared" si="92"/>
        <v>0</v>
      </c>
      <c r="Y142" s="267">
        <f t="shared" si="92"/>
        <v>0</v>
      </c>
      <c r="Z142" s="267">
        <f t="shared" si="92"/>
        <v>0</v>
      </c>
      <c r="AA142" s="267">
        <f t="shared" si="92"/>
        <v>0</v>
      </c>
      <c r="AB142" s="267">
        <f t="shared" si="92"/>
        <v>0</v>
      </c>
      <c r="AC142" s="267">
        <f t="shared" si="92"/>
        <v>0</v>
      </c>
      <c r="AD142" s="267">
        <f t="shared" si="92"/>
        <v>0</v>
      </c>
      <c r="AE142" s="267">
        <f t="shared" si="92"/>
        <v>0</v>
      </c>
      <c r="AF142" s="267">
        <f t="shared" si="92"/>
        <v>0</v>
      </c>
      <c r="AG142" s="562">
        <v>0</v>
      </c>
      <c r="AI142" s="246"/>
      <c r="AJ142" t="s">
        <v>1470</v>
      </c>
    </row>
    <row r="143" spans="1:36" outlineLevel="1">
      <c r="A143" s="295" t="s">
        <v>660</v>
      </c>
      <c r="B143" s="252" t="s">
        <v>126</v>
      </c>
      <c r="C143" s="562">
        <v>0</v>
      </c>
      <c r="D143" s="267">
        <f t="shared" si="91"/>
        <v>0</v>
      </c>
      <c r="E143" s="267">
        <f t="shared" si="91"/>
        <v>0</v>
      </c>
      <c r="F143" s="267">
        <f t="shared" si="91"/>
        <v>0</v>
      </c>
      <c r="G143" s="267">
        <f t="shared" si="91"/>
        <v>0</v>
      </c>
      <c r="H143" s="267">
        <f t="shared" si="91"/>
        <v>0</v>
      </c>
      <c r="I143" s="267">
        <f t="shared" si="91"/>
        <v>0</v>
      </c>
      <c r="J143" s="267">
        <f t="shared" si="91"/>
        <v>0</v>
      </c>
      <c r="K143" s="267">
        <f t="shared" si="91"/>
        <v>0</v>
      </c>
      <c r="L143" s="267">
        <f t="shared" si="91"/>
        <v>0</v>
      </c>
      <c r="M143" s="267">
        <f t="shared" si="91"/>
        <v>0</v>
      </c>
      <c r="N143" s="267">
        <f t="shared" si="91"/>
        <v>0</v>
      </c>
      <c r="O143" s="267">
        <f t="shared" si="91"/>
        <v>0</v>
      </c>
      <c r="P143" s="267">
        <f t="shared" si="91"/>
        <v>0</v>
      </c>
      <c r="Q143" s="267">
        <f t="shared" si="91"/>
        <v>0</v>
      </c>
      <c r="R143" s="267">
        <f t="shared" si="91"/>
        <v>0</v>
      </c>
      <c r="S143" s="267">
        <f t="shared" si="91"/>
        <v>0</v>
      </c>
      <c r="T143" s="267">
        <f t="shared" si="92"/>
        <v>0</v>
      </c>
      <c r="U143" s="267">
        <f t="shared" si="92"/>
        <v>0</v>
      </c>
      <c r="V143" s="267">
        <f t="shared" si="92"/>
        <v>0</v>
      </c>
      <c r="W143" s="267">
        <f t="shared" si="92"/>
        <v>0</v>
      </c>
      <c r="X143" s="267">
        <f t="shared" si="92"/>
        <v>0</v>
      </c>
      <c r="Y143" s="267">
        <f t="shared" si="92"/>
        <v>0</v>
      </c>
      <c r="Z143" s="267">
        <f t="shared" si="92"/>
        <v>0</v>
      </c>
      <c r="AA143" s="267">
        <f t="shared" si="92"/>
        <v>0</v>
      </c>
      <c r="AB143" s="267">
        <f t="shared" si="92"/>
        <v>0</v>
      </c>
      <c r="AC143" s="267">
        <f t="shared" si="92"/>
        <v>0</v>
      </c>
      <c r="AD143" s="267">
        <f t="shared" si="92"/>
        <v>0</v>
      </c>
      <c r="AE143" s="267">
        <f t="shared" si="92"/>
        <v>0</v>
      </c>
      <c r="AF143" s="267">
        <f t="shared" si="92"/>
        <v>0</v>
      </c>
      <c r="AG143" s="562">
        <v>0</v>
      </c>
      <c r="AI143" s="246"/>
      <c r="AJ143" t="s">
        <v>1470</v>
      </c>
    </row>
    <row r="144" spans="1:36" outlineLevel="1">
      <c r="A144" s="295" t="s">
        <v>661</v>
      </c>
      <c r="B144" s="252" t="s">
        <v>126</v>
      </c>
      <c r="C144" s="562">
        <v>1.4999999999999999E-2</v>
      </c>
      <c r="D144" s="267">
        <f t="shared" si="91"/>
        <v>1.4733333333333333E-2</v>
      </c>
      <c r="E144" s="267">
        <f t="shared" si="91"/>
        <v>1.4466666666666666E-2</v>
      </c>
      <c r="F144" s="267">
        <f t="shared" si="91"/>
        <v>1.4199999999999999E-2</v>
      </c>
      <c r="G144" s="267">
        <f t="shared" si="91"/>
        <v>1.3933333333333332E-2</v>
      </c>
      <c r="H144" s="267">
        <f t="shared" si="91"/>
        <v>1.3666666666666666E-2</v>
      </c>
      <c r="I144" s="267">
        <f t="shared" si="91"/>
        <v>1.3399999999999999E-2</v>
      </c>
      <c r="J144" s="267">
        <f t="shared" si="91"/>
        <v>1.3133333333333332E-2</v>
      </c>
      <c r="K144" s="267">
        <f t="shared" si="91"/>
        <v>1.2866666666666665E-2</v>
      </c>
      <c r="L144" s="267">
        <f t="shared" si="91"/>
        <v>1.2599999999999998E-2</v>
      </c>
      <c r="M144" s="267">
        <f t="shared" si="91"/>
        <v>1.2333333333333332E-2</v>
      </c>
      <c r="N144" s="267">
        <f t="shared" si="91"/>
        <v>1.2066666666666665E-2</v>
      </c>
      <c r="O144" s="267">
        <f t="shared" si="91"/>
        <v>1.1799999999999998E-2</v>
      </c>
      <c r="P144" s="267">
        <f t="shared" si="91"/>
        <v>1.1533333333333331E-2</v>
      </c>
      <c r="Q144" s="267">
        <f t="shared" si="91"/>
        <v>1.1266666666666664E-2</v>
      </c>
      <c r="R144" s="267">
        <f t="shared" si="91"/>
        <v>1.0999999999999998E-2</v>
      </c>
      <c r="S144" s="267">
        <f t="shared" ref="S144:AF144" si="94">-($C144-$AG144)/30+R144</f>
        <v>1.0733333333333331E-2</v>
      </c>
      <c r="T144" s="267">
        <f t="shared" si="94"/>
        <v>1.0466666666666664E-2</v>
      </c>
      <c r="U144" s="267">
        <f t="shared" si="94"/>
        <v>1.0199999999999997E-2</v>
      </c>
      <c r="V144" s="267">
        <f t="shared" si="94"/>
        <v>9.9333333333333305E-3</v>
      </c>
      <c r="W144" s="267">
        <f t="shared" si="94"/>
        <v>9.6666666666666637E-3</v>
      </c>
      <c r="X144" s="267">
        <f t="shared" si="94"/>
        <v>9.3999999999999969E-3</v>
      </c>
      <c r="Y144" s="267">
        <f t="shared" si="94"/>
        <v>9.1333333333333301E-3</v>
      </c>
      <c r="Z144" s="267">
        <f t="shared" si="94"/>
        <v>8.8666666666666633E-3</v>
      </c>
      <c r="AA144" s="267">
        <f t="shared" si="94"/>
        <v>8.5999999999999965E-3</v>
      </c>
      <c r="AB144" s="267">
        <f t="shared" si="94"/>
        <v>8.3333333333333297E-3</v>
      </c>
      <c r="AC144" s="267">
        <f t="shared" si="94"/>
        <v>8.066666666666663E-3</v>
      </c>
      <c r="AD144" s="267">
        <f t="shared" si="94"/>
        <v>7.7999999999999962E-3</v>
      </c>
      <c r="AE144" s="267">
        <f t="shared" si="94"/>
        <v>7.5333333333333294E-3</v>
      </c>
      <c r="AF144" s="267">
        <f t="shared" si="94"/>
        <v>7.2666666666666626E-3</v>
      </c>
      <c r="AG144" s="562">
        <v>7.0000000000000001E-3</v>
      </c>
      <c r="AI144" s="246"/>
      <c r="AJ144" t="s">
        <v>1470</v>
      </c>
    </row>
    <row r="145" spans="1:36" s="62" customFormat="1" outlineLevel="1">
      <c r="A145" s="296" t="s">
        <v>662</v>
      </c>
      <c r="B145" s="262" t="s">
        <v>126</v>
      </c>
      <c r="C145" s="564">
        <v>5.0000000000000001E-3</v>
      </c>
      <c r="D145" s="289">
        <f t="shared" ref="D145:AF145" si="95">-($C145-$AG145)/30+C145</f>
        <v>4.9333333333333338E-3</v>
      </c>
      <c r="E145" s="289">
        <f t="shared" si="95"/>
        <v>4.8666666666666676E-3</v>
      </c>
      <c r="F145" s="289">
        <f t="shared" si="95"/>
        <v>4.8000000000000013E-3</v>
      </c>
      <c r="G145" s="289">
        <f t="shared" si="95"/>
        <v>4.7333333333333351E-3</v>
      </c>
      <c r="H145" s="289">
        <f t="shared" si="95"/>
        <v>4.6666666666666688E-3</v>
      </c>
      <c r="I145" s="289">
        <f t="shared" si="95"/>
        <v>4.6000000000000025E-3</v>
      </c>
      <c r="J145" s="289">
        <f t="shared" si="95"/>
        <v>4.5333333333333363E-3</v>
      </c>
      <c r="K145" s="289">
        <f t="shared" si="95"/>
        <v>4.46666666666667E-3</v>
      </c>
      <c r="L145" s="289">
        <f t="shared" si="95"/>
        <v>4.4000000000000037E-3</v>
      </c>
      <c r="M145" s="289">
        <f t="shared" si="95"/>
        <v>4.3333333333333375E-3</v>
      </c>
      <c r="N145" s="289">
        <f t="shared" si="95"/>
        <v>4.2666666666666712E-3</v>
      </c>
      <c r="O145" s="289">
        <f t="shared" si="95"/>
        <v>4.2000000000000049E-3</v>
      </c>
      <c r="P145" s="289">
        <f t="shared" si="95"/>
        <v>4.1333333333333387E-3</v>
      </c>
      <c r="Q145" s="289">
        <f t="shared" si="95"/>
        <v>4.0666666666666724E-3</v>
      </c>
      <c r="R145" s="289">
        <f t="shared" si="95"/>
        <v>4.0000000000000062E-3</v>
      </c>
      <c r="S145" s="289">
        <f t="shared" si="95"/>
        <v>3.9333333333333399E-3</v>
      </c>
      <c r="T145" s="289">
        <f t="shared" si="95"/>
        <v>3.8666666666666732E-3</v>
      </c>
      <c r="U145" s="289">
        <f t="shared" si="95"/>
        <v>3.8000000000000065E-3</v>
      </c>
      <c r="V145" s="289">
        <f t="shared" si="95"/>
        <v>3.7333333333333398E-3</v>
      </c>
      <c r="W145" s="289">
        <f t="shared" si="95"/>
        <v>3.6666666666666731E-3</v>
      </c>
      <c r="X145" s="289">
        <f t="shared" si="95"/>
        <v>3.6000000000000064E-3</v>
      </c>
      <c r="Y145" s="289">
        <f t="shared" si="95"/>
        <v>3.5333333333333397E-3</v>
      </c>
      <c r="Z145" s="289">
        <f t="shared" si="95"/>
        <v>3.466666666666673E-3</v>
      </c>
      <c r="AA145" s="289">
        <f t="shared" si="95"/>
        <v>3.4000000000000063E-3</v>
      </c>
      <c r="AB145" s="289">
        <f t="shared" si="95"/>
        <v>3.3333333333333396E-3</v>
      </c>
      <c r="AC145" s="289">
        <f t="shared" si="95"/>
        <v>3.2666666666666729E-3</v>
      </c>
      <c r="AD145" s="289">
        <f t="shared" si="95"/>
        <v>3.2000000000000062E-3</v>
      </c>
      <c r="AE145" s="289">
        <f t="shared" si="95"/>
        <v>3.1333333333333395E-3</v>
      </c>
      <c r="AF145" s="289">
        <f t="shared" si="95"/>
        <v>3.0666666666666728E-3</v>
      </c>
      <c r="AG145" s="564">
        <v>3.0000000000000001E-3</v>
      </c>
      <c r="AI145" s="264"/>
      <c r="AJ145" t="s">
        <v>1470</v>
      </c>
    </row>
    <row r="146" spans="1:36" s="54" customFormat="1" outlineLevel="1">
      <c r="A146" s="54" t="s">
        <v>626</v>
      </c>
      <c r="B146" s="253"/>
      <c r="C146" s="545">
        <f>C29</f>
        <v>2286037.4636282991</v>
      </c>
      <c r="D146" s="545">
        <f t="shared" ref="D146:AG146" si="96">D29</f>
        <v>2280990.8649028791</v>
      </c>
      <c r="E146" s="545">
        <f t="shared" si="96"/>
        <v>2275955.4069216945</v>
      </c>
      <c r="F146" s="545">
        <f t="shared" si="96"/>
        <v>2270931.0650907205</v>
      </c>
      <c r="G146" s="545">
        <f t="shared" si="96"/>
        <v>2265917.8148702211</v>
      </c>
      <c r="H146" s="545">
        <f t="shared" si="96"/>
        <v>2260915.6317746388</v>
      </c>
      <c r="I146" s="545">
        <f t="shared" si="96"/>
        <v>2255924.4913724666</v>
      </c>
      <c r="J146" s="545">
        <f t="shared" si="96"/>
        <v>2250944.369286132</v>
      </c>
      <c r="K146" s="545">
        <f t="shared" si="96"/>
        <v>2245975.2411918789</v>
      </c>
      <c r="L146" s="545">
        <f t="shared" si="96"/>
        <v>2241017.0828196472</v>
      </c>
      <c r="M146" s="545">
        <f t="shared" si="96"/>
        <v>2236069.8699529553</v>
      </c>
      <c r="N146" s="545">
        <f t="shared" si="96"/>
        <v>2231133.5784287807</v>
      </c>
      <c r="O146" s="545">
        <f t="shared" si="96"/>
        <v>2226208.1841374426</v>
      </c>
      <c r="P146" s="545">
        <f t="shared" si="96"/>
        <v>2221293.6630224842</v>
      </c>
      <c r="Q146" s="545">
        <f t="shared" si="96"/>
        <v>2216389.9910805556</v>
      </c>
      <c r="R146" s="545">
        <f t="shared" si="96"/>
        <v>2211497.1443612948</v>
      </c>
      <c r="S146" s="545">
        <f t="shared" si="96"/>
        <v>2206615.0989672141</v>
      </c>
      <c r="T146" s="545">
        <f t="shared" si="96"/>
        <v>2201743.8310535797</v>
      </c>
      <c r="U146" s="545">
        <f t="shared" si="96"/>
        <v>2196883.3168282961</v>
      </c>
      <c r="V146" s="545">
        <f t="shared" si="96"/>
        <v>2192033.5325517929</v>
      </c>
      <c r="W146" s="545">
        <f t="shared" si="96"/>
        <v>2187194.454536905</v>
      </c>
      <c r="X146" s="545">
        <f t="shared" si="96"/>
        <v>2182366.0591487596</v>
      </c>
      <c r="Y146" s="545">
        <f t="shared" si="96"/>
        <v>2177548.3228046587</v>
      </c>
      <c r="Z146" s="545">
        <f t="shared" si="96"/>
        <v>2172741.221973964</v>
      </c>
      <c r="AA146" s="545">
        <f t="shared" si="96"/>
        <v>2167944.7331779855</v>
      </c>
      <c r="AB146" s="545">
        <f t="shared" si="96"/>
        <v>2163158.8329898617</v>
      </c>
      <c r="AC146" s="545">
        <f t="shared" si="96"/>
        <v>2158383.4980344493</v>
      </c>
      <c r="AD146" s="545">
        <f t="shared" si="96"/>
        <v>2153618.7049882063</v>
      </c>
      <c r="AE146" s="545">
        <f t="shared" si="96"/>
        <v>2148864.4305790793</v>
      </c>
      <c r="AF146" s="545">
        <f t="shared" si="96"/>
        <v>2144120.6515863901</v>
      </c>
      <c r="AG146" s="545">
        <f t="shared" si="96"/>
        <v>2139387.3448407222</v>
      </c>
      <c r="AI146" s="255"/>
      <c r="AJ146" s="256"/>
    </row>
    <row r="147" spans="1:36" s="54" customFormat="1" outlineLevel="1">
      <c r="A147" s="257" t="s">
        <v>178</v>
      </c>
      <c r="B147" s="258" t="s">
        <v>127</v>
      </c>
      <c r="C147" s="548">
        <v>0</v>
      </c>
      <c r="D147" s="548">
        <v>0</v>
      </c>
      <c r="E147" s="548">
        <v>0</v>
      </c>
      <c r="F147" s="548">
        <v>0</v>
      </c>
      <c r="G147" s="548">
        <v>0</v>
      </c>
      <c r="H147" s="548">
        <v>0</v>
      </c>
      <c r="I147" s="548">
        <v>0</v>
      </c>
      <c r="J147" s="548">
        <v>0</v>
      </c>
      <c r="K147" s="548">
        <v>0</v>
      </c>
      <c r="L147" s="548">
        <v>0</v>
      </c>
      <c r="M147" s="548">
        <v>0</v>
      </c>
      <c r="N147" s="548">
        <v>0</v>
      </c>
      <c r="O147" s="548">
        <v>0</v>
      </c>
      <c r="P147" s="548">
        <v>0</v>
      </c>
      <c r="Q147" s="548">
        <v>0</v>
      </c>
      <c r="R147" s="548">
        <v>0</v>
      </c>
      <c r="S147" s="548">
        <v>0</v>
      </c>
      <c r="T147" s="548">
        <v>0</v>
      </c>
      <c r="U147" s="548">
        <v>0</v>
      </c>
      <c r="V147" s="548">
        <v>0</v>
      </c>
      <c r="W147" s="548">
        <v>0</v>
      </c>
      <c r="X147" s="548">
        <v>0</v>
      </c>
      <c r="Y147" s="548">
        <v>0</v>
      </c>
      <c r="Z147" s="548">
        <v>0</v>
      </c>
      <c r="AA147" s="548">
        <v>0</v>
      </c>
      <c r="AB147" s="548">
        <v>0</v>
      </c>
      <c r="AC147" s="548">
        <v>0</v>
      </c>
      <c r="AD147" s="548">
        <v>0</v>
      </c>
      <c r="AE147" s="548">
        <v>0</v>
      </c>
      <c r="AF147" s="548">
        <v>0</v>
      </c>
      <c r="AG147" s="548">
        <v>0</v>
      </c>
      <c r="AI147" s="255"/>
      <c r="AJ147" s="256"/>
    </row>
    <row r="148" spans="1:36" outlineLevel="1">
      <c r="A148" s="260" t="s">
        <v>619</v>
      </c>
      <c r="B148" s="252" t="s">
        <v>127</v>
      </c>
      <c r="C148" s="547">
        <f>C214</f>
        <v>205940.91349861573</v>
      </c>
      <c r="D148" s="547">
        <f t="shared" ref="D148:AG148" si="97">D214</f>
        <v>209380.12675404261</v>
      </c>
      <c r="E148" s="547">
        <f t="shared" si="97"/>
        <v>212876.7748708351</v>
      </c>
      <c r="F148" s="547">
        <f t="shared" si="97"/>
        <v>216431.81701117803</v>
      </c>
      <c r="G148" s="547">
        <f t="shared" si="97"/>
        <v>220046.2283552647</v>
      </c>
      <c r="H148" s="547">
        <f t="shared" si="97"/>
        <v>223721.0003687976</v>
      </c>
      <c r="I148" s="547">
        <f t="shared" si="97"/>
        <v>227457.14107495651</v>
      </c>
      <c r="J148" s="547">
        <f t="shared" si="97"/>
        <v>231255.67533090827</v>
      </c>
      <c r="K148" s="547">
        <f t="shared" si="97"/>
        <v>235117.64510893443</v>
      </c>
      <c r="L148" s="547">
        <f t="shared" si="97"/>
        <v>239044.10978225362</v>
      </c>
      <c r="M148" s="547">
        <f t="shared" si="97"/>
        <v>243036.14641561726</v>
      </c>
      <c r="N148" s="547">
        <f t="shared" si="97"/>
        <v>247094.85006075806</v>
      </c>
      <c r="O148" s="547">
        <f t="shared" si="97"/>
        <v>251221.3340567727</v>
      </c>
      <c r="P148" s="547">
        <f t="shared" si="97"/>
        <v>255416.73033552078</v>
      </c>
      <c r="Q148" s="547">
        <f t="shared" si="97"/>
        <v>259682.18973212395</v>
      </c>
      <c r="R148" s="547">
        <f t="shared" si="97"/>
        <v>264018.88230065041</v>
      </c>
      <c r="S148" s="547">
        <f t="shared" si="97"/>
        <v>268427.99763507128</v>
      </c>
      <c r="T148" s="547">
        <f t="shared" si="97"/>
        <v>272910.74519557698</v>
      </c>
      <c r="U148" s="547">
        <f t="shared" si="97"/>
        <v>277468.35464034311</v>
      </c>
      <c r="V148" s="547">
        <f t="shared" si="97"/>
        <v>282102.07616283681</v>
      </c>
      <c r="W148" s="547">
        <f t="shared" si="97"/>
        <v>286813.18083475617</v>
      </c>
      <c r="X148" s="547">
        <f t="shared" si="97"/>
        <v>291602.96095469658</v>
      </c>
      <c r="Y148" s="547">
        <f t="shared" si="97"/>
        <v>296472.73040264001</v>
      </c>
      <c r="Z148" s="547">
        <f t="shared" si="97"/>
        <v>301423.8250003641</v>
      </c>
      <c r="AA148" s="547">
        <f t="shared" si="97"/>
        <v>306457.60287787014</v>
      </c>
      <c r="AB148" s="547">
        <f t="shared" si="97"/>
        <v>311575.44484593056</v>
      </c>
      <c r="AC148" s="547">
        <f t="shared" si="97"/>
        <v>316778.7547748576</v>
      </c>
      <c r="AD148" s="547">
        <f t="shared" si="97"/>
        <v>322068.95997959771</v>
      </c>
      <c r="AE148" s="547">
        <f t="shared" si="97"/>
        <v>327447.51161125698</v>
      </c>
      <c r="AF148" s="547">
        <f t="shared" si="97"/>
        <v>332915.88505516498</v>
      </c>
      <c r="AG148" s="547">
        <f t="shared" si="97"/>
        <v>338475.58033558622</v>
      </c>
      <c r="AI148" s="246"/>
    </row>
    <row r="149" spans="1:36" s="62" customFormat="1" outlineLevel="1">
      <c r="A149" s="261" t="s">
        <v>628</v>
      </c>
      <c r="B149" s="262" t="s">
        <v>127</v>
      </c>
      <c r="C149" s="549">
        <f>C146-C147-C148</f>
        <v>2080096.5501296832</v>
      </c>
      <c r="D149" s="549">
        <f t="shared" ref="D149:AF149" si="98">D146-D147-D148</f>
        <v>2071610.7381488364</v>
      </c>
      <c r="E149" s="549">
        <f t="shared" si="98"/>
        <v>2063078.6320508595</v>
      </c>
      <c r="F149" s="549">
        <f t="shared" si="98"/>
        <v>2054499.2480795425</v>
      </c>
      <c r="G149" s="549">
        <f t="shared" si="98"/>
        <v>2045871.5865149563</v>
      </c>
      <c r="H149" s="549">
        <f t="shared" si="98"/>
        <v>2037194.6314058411</v>
      </c>
      <c r="I149" s="549">
        <f t="shared" si="98"/>
        <v>2028467.3502975102</v>
      </c>
      <c r="J149" s="549">
        <f t="shared" si="98"/>
        <v>2019688.6939552238</v>
      </c>
      <c r="K149" s="549">
        <f t="shared" si="98"/>
        <v>2010857.5960829444</v>
      </c>
      <c r="L149" s="549">
        <f t="shared" si="98"/>
        <v>2001972.9730373935</v>
      </c>
      <c r="M149" s="549">
        <f t="shared" si="98"/>
        <v>1993033.723537338</v>
      </c>
      <c r="N149" s="549">
        <f t="shared" si="98"/>
        <v>1984038.7283680225</v>
      </c>
      <c r="O149" s="549">
        <f t="shared" si="98"/>
        <v>1974986.8500806699</v>
      </c>
      <c r="P149" s="549">
        <f t="shared" si="98"/>
        <v>1965876.9326869634</v>
      </c>
      <c r="Q149" s="549">
        <f t="shared" si="98"/>
        <v>1956707.8013484317</v>
      </c>
      <c r="R149" s="549">
        <f t="shared" si="98"/>
        <v>1947478.2620606443</v>
      </c>
      <c r="S149" s="549">
        <f t="shared" si="98"/>
        <v>1938187.1013321429</v>
      </c>
      <c r="T149" s="549">
        <f t="shared" si="98"/>
        <v>1928833.0858580028</v>
      </c>
      <c r="U149" s="549">
        <f t="shared" si="98"/>
        <v>1919414.9621879528</v>
      </c>
      <c r="V149" s="549">
        <f t="shared" si="98"/>
        <v>1909931.4563889562</v>
      </c>
      <c r="W149" s="549">
        <f t="shared" si="98"/>
        <v>1900381.2737021488</v>
      </c>
      <c r="X149" s="549">
        <f t="shared" si="98"/>
        <v>1890763.0981940629</v>
      </c>
      <c r="Y149" s="549">
        <f t="shared" si="98"/>
        <v>1881075.5924020186</v>
      </c>
      <c r="Z149" s="549">
        <f t="shared" si="98"/>
        <v>1871317.3969735999</v>
      </c>
      <c r="AA149" s="549">
        <f t="shared" si="98"/>
        <v>1861487.1303001153</v>
      </c>
      <c r="AB149" s="549">
        <f t="shared" si="98"/>
        <v>1851583.388143931</v>
      </c>
      <c r="AC149" s="549">
        <f t="shared" si="98"/>
        <v>1841604.7432595917</v>
      </c>
      <c r="AD149" s="549">
        <f t="shared" si="98"/>
        <v>1831549.7450086086</v>
      </c>
      <c r="AE149" s="549">
        <f t="shared" si="98"/>
        <v>1821416.9189678223</v>
      </c>
      <c r="AF149" s="549">
        <f t="shared" si="98"/>
        <v>1811204.7665312251</v>
      </c>
      <c r="AG149" s="549">
        <f>AG146-AG147-AG148</f>
        <v>1800911.7645051358</v>
      </c>
      <c r="AI149" s="264"/>
      <c r="AJ149" s="265"/>
    </row>
    <row r="150" spans="1:36" outlineLevel="1">
      <c r="A150" s="104" t="s">
        <v>621</v>
      </c>
      <c r="B150" s="252" t="s">
        <v>127</v>
      </c>
      <c r="C150" s="120">
        <f>C119*C$149</f>
        <v>2017693.6536257926</v>
      </c>
      <c r="D150" s="120">
        <f t="shared" ref="D150:AG155" si="99">D119*D$149</f>
        <v>2010152.9529170876</v>
      </c>
      <c r="E150" s="120">
        <f t="shared" si="99"/>
        <v>2002561.6588440342</v>
      </c>
      <c r="F150" s="120">
        <f t="shared" si="99"/>
        <v>1994918.7698852355</v>
      </c>
      <c r="G150" s="120">
        <f t="shared" si="99"/>
        <v>1987223.2677015271</v>
      </c>
      <c r="H150" s="120">
        <f t="shared" si="99"/>
        <v>1979474.1168493419</v>
      </c>
      <c r="I150" s="120">
        <f t="shared" si="99"/>
        <v>1971670.2644891795</v>
      </c>
      <c r="J150" s="120">
        <f t="shared" si="99"/>
        <v>1963810.6400891286</v>
      </c>
      <c r="K150" s="120">
        <f t="shared" si="99"/>
        <v>1955894.1551233432</v>
      </c>
      <c r="L150" s="120">
        <f t="shared" si="99"/>
        <v>1947919.7027653833</v>
      </c>
      <c r="M150" s="120">
        <f t="shared" si="99"/>
        <v>1939886.1575763414</v>
      </c>
      <c r="N150" s="120">
        <f t="shared" si="99"/>
        <v>1931792.3751876636</v>
      </c>
      <c r="O150" s="120">
        <f t="shared" si="99"/>
        <v>1923637.1919785715</v>
      </c>
      <c r="P150" s="120">
        <f t="shared" si="99"/>
        <v>1915419.424747997</v>
      </c>
      <c r="Q150" s="120">
        <f t="shared" si="99"/>
        <v>1907137.8703809371</v>
      </c>
      <c r="R150" s="120">
        <f t="shared" si="99"/>
        <v>1898791.3055091272</v>
      </c>
      <c r="S150" s="120">
        <f t="shared" si="99"/>
        <v>1890378.4861659489</v>
      </c>
      <c r="T150" s="120">
        <f t="shared" si="99"/>
        <v>1881898.1474354567</v>
      </c>
      <c r="U150" s="120">
        <f t="shared" si="99"/>
        <v>1873349.0030954406</v>
      </c>
      <c r="V150" s="120">
        <f t="shared" si="99"/>
        <v>1864729.7452544163</v>
      </c>
      <c r="W150" s="120">
        <f t="shared" si="99"/>
        <v>1856039.0439824306</v>
      </c>
      <c r="X150" s="120">
        <f t="shared" si="99"/>
        <v>1847275.5469355979</v>
      </c>
      <c r="Y150" s="120">
        <f t="shared" si="99"/>
        <v>1838437.8789742379</v>
      </c>
      <c r="Z150" s="120">
        <f t="shared" si="99"/>
        <v>1829524.6417745212</v>
      </c>
      <c r="AA150" s="120">
        <f t="shared" si="99"/>
        <v>1820534.413433511</v>
      </c>
      <c r="AB150" s="120">
        <f t="shared" si="99"/>
        <v>1811465.7480674775</v>
      </c>
      <c r="AC150" s="120">
        <f t="shared" si="99"/>
        <v>1802317.1754033854</v>
      </c>
      <c r="AD150" s="120">
        <f t="shared" si="99"/>
        <v>1793087.200363426</v>
      </c>
      <c r="AE150" s="120">
        <f t="shared" si="99"/>
        <v>1783774.3026424854</v>
      </c>
      <c r="AF150" s="120">
        <f t="shared" si="99"/>
        <v>1774376.9362784214</v>
      </c>
      <c r="AG150" s="120">
        <f t="shared" si="99"/>
        <v>1764893.5292150332</v>
      </c>
      <c r="AI150" s="188"/>
    </row>
    <row r="151" spans="1:36" outlineLevel="1">
      <c r="A151" s="104" t="s">
        <v>620</v>
      </c>
      <c r="B151" s="252" t="s">
        <v>127</v>
      </c>
      <c r="C151" s="120">
        <f t="shared" ref="C151:R155" si="100">C120*C$149</f>
        <v>20800.965501296832</v>
      </c>
      <c r="D151" s="120">
        <f t="shared" si="100"/>
        <v>20716.107381488364</v>
      </c>
      <c r="E151" s="120">
        <f t="shared" si="100"/>
        <v>20630.786320508596</v>
      </c>
      <c r="F151" s="120">
        <f t="shared" si="100"/>
        <v>20544.992480795427</v>
      </c>
      <c r="G151" s="120">
        <f t="shared" si="100"/>
        <v>20458.715865149563</v>
      </c>
      <c r="H151" s="120">
        <f t="shared" si="100"/>
        <v>20371.946314058412</v>
      </c>
      <c r="I151" s="120">
        <f t="shared" si="100"/>
        <v>20284.673502975103</v>
      </c>
      <c r="J151" s="120">
        <f t="shared" si="100"/>
        <v>20196.886939552238</v>
      </c>
      <c r="K151" s="120">
        <f t="shared" si="100"/>
        <v>20108.575960829443</v>
      </c>
      <c r="L151" s="120">
        <f t="shared" si="100"/>
        <v>20019.729730373936</v>
      </c>
      <c r="M151" s="120">
        <f t="shared" si="100"/>
        <v>19930.337235373379</v>
      </c>
      <c r="N151" s="120">
        <f t="shared" si="100"/>
        <v>19840.387283680226</v>
      </c>
      <c r="O151" s="120">
        <f t="shared" si="100"/>
        <v>19749.8685008067</v>
      </c>
      <c r="P151" s="120">
        <f t="shared" si="100"/>
        <v>19658.769326869635</v>
      </c>
      <c r="Q151" s="120">
        <f t="shared" si="100"/>
        <v>19567.078013484319</v>
      </c>
      <c r="R151" s="120">
        <f t="shared" si="100"/>
        <v>19474.782620606446</v>
      </c>
      <c r="S151" s="120">
        <f t="shared" si="99"/>
        <v>19381.87101332143</v>
      </c>
      <c r="T151" s="120">
        <f t="shared" si="99"/>
        <v>19288.33085858003</v>
      </c>
      <c r="U151" s="120">
        <f t="shared" si="99"/>
        <v>19194.149621879529</v>
      </c>
      <c r="V151" s="120">
        <f t="shared" si="99"/>
        <v>19099.314563889562</v>
      </c>
      <c r="W151" s="120">
        <f t="shared" si="99"/>
        <v>19003.81273702149</v>
      </c>
      <c r="X151" s="120">
        <f t="shared" si="99"/>
        <v>18907.630981940631</v>
      </c>
      <c r="Y151" s="120">
        <f t="shared" si="99"/>
        <v>18810.755924020188</v>
      </c>
      <c r="Z151" s="120">
        <f t="shared" si="99"/>
        <v>18713.173969735999</v>
      </c>
      <c r="AA151" s="120">
        <f t="shared" si="99"/>
        <v>18614.871303001153</v>
      </c>
      <c r="AB151" s="120">
        <f t="shared" si="99"/>
        <v>18515.83388143931</v>
      </c>
      <c r="AC151" s="120">
        <f t="shared" si="99"/>
        <v>18416.047432595919</v>
      </c>
      <c r="AD151" s="120">
        <f t="shared" si="99"/>
        <v>18315.497450086084</v>
      </c>
      <c r="AE151" s="120">
        <f t="shared" si="99"/>
        <v>18214.169189678225</v>
      </c>
      <c r="AF151" s="120">
        <f t="shared" si="99"/>
        <v>18112.04766531225</v>
      </c>
      <c r="AG151" s="120">
        <f t="shared" si="99"/>
        <v>18009.117645051359</v>
      </c>
      <c r="AI151" s="188"/>
    </row>
    <row r="152" spans="1:36" outlineLevel="1">
      <c r="A152" s="104" t="s">
        <v>622</v>
      </c>
      <c r="B152" s="252" t="s">
        <v>127</v>
      </c>
      <c r="C152" s="120">
        <f t="shared" si="100"/>
        <v>0</v>
      </c>
      <c r="D152" s="120">
        <f t="shared" si="99"/>
        <v>0</v>
      </c>
      <c r="E152" s="120">
        <f t="shared" si="99"/>
        <v>0</v>
      </c>
      <c r="F152" s="120">
        <f t="shared" si="99"/>
        <v>0</v>
      </c>
      <c r="G152" s="120">
        <f t="shared" si="99"/>
        <v>0</v>
      </c>
      <c r="H152" s="120">
        <f t="shared" si="99"/>
        <v>0</v>
      </c>
      <c r="I152" s="120">
        <f t="shared" si="99"/>
        <v>0</v>
      </c>
      <c r="J152" s="120">
        <f t="shared" si="99"/>
        <v>0</v>
      </c>
      <c r="K152" s="120">
        <f t="shared" si="99"/>
        <v>0</v>
      </c>
      <c r="L152" s="120">
        <f t="shared" si="99"/>
        <v>0</v>
      </c>
      <c r="M152" s="120">
        <f t="shared" si="99"/>
        <v>0</v>
      </c>
      <c r="N152" s="120">
        <f t="shared" si="99"/>
        <v>0</v>
      </c>
      <c r="O152" s="120">
        <f t="shared" si="99"/>
        <v>0</v>
      </c>
      <c r="P152" s="120">
        <f t="shared" si="99"/>
        <v>0</v>
      </c>
      <c r="Q152" s="120">
        <f t="shared" si="99"/>
        <v>0</v>
      </c>
      <c r="R152" s="120">
        <f t="shared" si="99"/>
        <v>0</v>
      </c>
      <c r="S152" s="120">
        <f t="shared" si="99"/>
        <v>0</v>
      </c>
      <c r="T152" s="120">
        <f t="shared" si="99"/>
        <v>0</v>
      </c>
      <c r="U152" s="120">
        <f t="shared" si="99"/>
        <v>0</v>
      </c>
      <c r="V152" s="120">
        <f t="shared" si="99"/>
        <v>0</v>
      </c>
      <c r="W152" s="120">
        <f t="shared" si="99"/>
        <v>0</v>
      </c>
      <c r="X152" s="120">
        <f t="shared" si="99"/>
        <v>0</v>
      </c>
      <c r="Y152" s="120">
        <f t="shared" si="99"/>
        <v>0</v>
      </c>
      <c r="Z152" s="120">
        <f t="shared" si="99"/>
        <v>0</v>
      </c>
      <c r="AA152" s="120">
        <f t="shared" si="99"/>
        <v>0</v>
      </c>
      <c r="AB152" s="120">
        <f t="shared" si="99"/>
        <v>0</v>
      </c>
      <c r="AC152" s="120">
        <f t="shared" si="99"/>
        <v>0</v>
      </c>
      <c r="AD152" s="120">
        <f t="shared" si="99"/>
        <v>0</v>
      </c>
      <c r="AE152" s="120">
        <f t="shared" si="99"/>
        <v>0</v>
      </c>
      <c r="AF152" s="120">
        <f t="shared" si="99"/>
        <v>0</v>
      </c>
      <c r="AG152" s="120">
        <f t="shared" si="99"/>
        <v>0</v>
      </c>
      <c r="AI152" s="188"/>
    </row>
    <row r="153" spans="1:36" outlineLevel="1">
      <c r="A153" s="104" t="s">
        <v>623</v>
      </c>
      <c r="B153" s="252" t="s">
        <v>127</v>
      </c>
      <c r="C153" s="120">
        <f t="shared" si="100"/>
        <v>0</v>
      </c>
      <c r="D153" s="120">
        <f t="shared" si="99"/>
        <v>0</v>
      </c>
      <c r="E153" s="120">
        <f t="shared" si="99"/>
        <v>0</v>
      </c>
      <c r="F153" s="120">
        <f t="shared" si="99"/>
        <v>0</v>
      </c>
      <c r="G153" s="120">
        <f t="shared" si="99"/>
        <v>0</v>
      </c>
      <c r="H153" s="120">
        <f t="shared" si="99"/>
        <v>0</v>
      </c>
      <c r="I153" s="120">
        <f t="shared" si="99"/>
        <v>0</v>
      </c>
      <c r="J153" s="120">
        <f t="shared" si="99"/>
        <v>0</v>
      </c>
      <c r="K153" s="120">
        <f t="shared" si="99"/>
        <v>0</v>
      </c>
      <c r="L153" s="120">
        <f t="shared" si="99"/>
        <v>0</v>
      </c>
      <c r="M153" s="120">
        <f t="shared" si="99"/>
        <v>0</v>
      </c>
      <c r="N153" s="120">
        <f t="shared" si="99"/>
        <v>0</v>
      </c>
      <c r="O153" s="120">
        <f t="shared" si="99"/>
        <v>0</v>
      </c>
      <c r="P153" s="120">
        <f t="shared" si="99"/>
        <v>0</v>
      </c>
      <c r="Q153" s="120">
        <f t="shared" si="99"/>
        <v>0</v>
      </c>
      <c r="R153" s="120">
        <f t="shared" si="99"/>
        <v>0</v>
      </c>
      <c r="S153" s="120">
        <f t="shared" si="99"/>
        <v>0</v>
      </c>
      <c r="T153" s="120">
        <f t="shared" si="99"/>
        <v>0</v>
      </c>
      <c r="U153" s="120">
        <f t="shared" si="99"/>
        <v>0</v>
      </c>
      <c r="V153" s="120">
        <f t="shared" si="99"/>
        <v>0</v>
      </c>
      <c r="W153" s="120">
        <f t="shared" si="99"/>
        <v>0</v>
      </c>
      <c r="X153" s="120">
        <f t="shared" si="99"/>
        <v>0</v>
      </c>
      <c r="Y153" s="120">
        <f t="shared" si="99"/>
        <v>0</v>
      </c>
      <c r="Z153" s="120">
        <f t="shared" si="99"/>
        <v>0</v>
      </c>
      <c r="AA153" s="120">
        <f t="shared" si="99"/>
        <v>0</v>
      </c>
      <c r="AB153" s="120">
        <f t="shared" si="99"/>
        <v>0</v>
      </c>
      <c r="AC153" s="120">
        <f t="shared" si="99"/>
        <v>0</v>
      </c>
      <c r="AD153" s="120">
        <f t="shared" si="99"/>
        <v>0</v>
      </c>
      <c r="AE153" s="120">
        <f t="shared" si="99"/>
        <v>0</v>
      </c>
      <c r="AF153" s="120">
        <f t="shared" si="99"/>
        <v>0</v>
      </c>
      <c r="AG153" s="120">
        <f t="shared" si="99"/>
        <v>0</v>
      </c>
      <c r="AI153" s="188"/>
    </row>
    <row r="154" spans="1:36" outlineLevel="1">
      <c r="A154" s="104" t="s">
        <v>624</v>
      </c>
      <c r="B154" s="252" t="s">
        <v>127</v>
      </c>
      <c r="C154" s="120">
        <f t="shared" si="100"/>
        <v>31201.448251945247</v>
      </c>
      <c r="D154" s="120">
        <f t="shared" si="99"/>
        <v>30521.731542059522</v>
      </c>
      <c r="E154" s="120">
        <f t="shared" si="99"/>
        <v>29845.870877002431</v>
      </c>
      <c r="F154" s="120">
        <f t="shared" si="99"/>
        <v>29173.889322729501</v>
      </c>
      <c r="G154" s="120">
        <f t="shared" si="99"/>
        <v>28505.810772108391</v>
      </c>
      <c r="H154" s="120">
        <f t="shared" si="99"/>
        <v>27841.659962546491</v>
      </c>
      <c r="I154" s="120">
        <f t="shared" si="99"/>
        <v>27181.462493986633</v>
      </c>
      <c r="J154" s="120">
        <f t="shared" si="99"/>
        <v>26525.244847278602</v>
      </c>
      <c r="K154" s="120">
        <f t="shared" si="99"/>
        <v>25873.034402933881</v>
      </c>
      <c r="L154" s="120">
        <f t="shared" si="99"/>
        <v>25224.859460271156</v>
      </c>
      <c r="M154" s="120">
        <f t="shared" si="99"/>
        <v>24580.749256960498</v>
      </c>
      <c r="N154" s="120">
        <f t="shared" si="99"/>
        <v>23940.733988974134</v>
      </c>
      <c r="O154" s="120">
        <f t="shared" si="99"/>
        <v>23304.844830951901</v>
      </c>
      <c r="P154" s="120">
        <f t="shared" si="99"/>
        <v>22673.11395698964</v>
      </c>
      <c r="Q154" s="120">
        <f t="shared" si="99"/>
        <v>22045.574561858994</v>
      </c>
      <c r="R154" s="120">
        <f t="shared" si="99"/>
        <v>21422.260882667084</v>
      </c>
      <c r="S154" s="120">
        <f t="shared" si="99"/>
        <v>20803.208220964996</v>
      </c>
      <c r="T154" s="120">
        <f t="shared" si="99"/>
        <v>20188.452965313758</v>
      </c>
      <c r="U154" s="120">
        <f t="shared" si="99"/>
        <v>19578.032614317115</v>
      </c>
      <c r="V154" s="120">
        <f t="shared" si="99"/>
        <v>18971.985800130293</v>
      </c>
      <c r="W154" s="120">
        <f t="shared" si="99"/>
        <v>18370.352312454099</v>
      </c>
      <c r="X154" s="120">
        <f t="shared" si="99"/>
        <v>17773.173123024186</v>
      </c>
      <c r="Y154" s="120">
        <f t="shared" si="99"/>
        <v>17180.490410605096</v>
      </c>
      <c r="Z154" s="120">
        <f t="shared" si="99"/>
        <v>16592.347586499247</v>
      </c>
      <c r="AA154" s="120">
        <f t="shared" si="99"/>
        <v>16008.789320580985</v>
      </c>
      <c r="AB154" s="120">
        <f t="shared" si="99"/>
        <v>15429.861567866086</v>
      </c>
      <c r="AC154" s="120">
        <f t="shared" si="99"/>
        <v>14855.611595627366</v>
      </c>
      <c r="AD154" s="120">
        <f t="shared" si="99"/>
        <v>14286.088011067141</v>
      </c>
      <c r="AE154" s="120">
        <f t="shared" si="99"/>
        <v>13721.340789557587</v>
      </c>
      <c r="AF154" s="120">
        <f t="shared" si="99"/>
        <v>13161.421303460229</v>
      </c>
      <c r="AG154" s="120">
        <f t="shared" si="99"/>
        <v>12606.382351535951</v>
      </c>
      <c r="AI154" s="188"/>
    </row>
    <row r="155" spans="1:36" outlineLevel="1">
      <c r="A155" s="104" t="s">
        <v>625</v>
      </c>
      <c r="B155" s="252" t="s">
        <v>127</v>
      </c>
      <c r="C155" s="120">
        <f t="shared" si="100"/>
        <v>10400.482750648416</v>
      </c>
      <c r="D155" s="120">
        <f t="shared" si="99"/>
        <v>10219.946308200928</v>
      </c>
      <c r="E155" s="120">
        <f t="shared" si="99"/>
        <v>10040.316009314185</v>
      </c>
      <c r="F155" s="120">
        <f t="shared" si="99"/>
        <v>9861.5963907818077</v>
      </c>
      <c r="G155" s="120">
        <f t="shared" si="99"/>
        <v>9683.7921761707967</v>
      </c>
      <c r="H155" s="120">
        <f t="shared" si="99"/>
        <v>9506.9082798939289</v>
      </c>
      <c r="I155" s="120">
        <f t="shared" si="99"/>
        <v>9330.9498113685513</v>
      </c>
      <c r="J155" s="120">
        <f t="shared" si="99"/>
        <v>9155.9220792636879</v>
      </c>
      <c r="K155" s="120">
        <f t="shared" si="99"/>
        <v>8981.8305958371584</v>
      </c>
      <c r="L155" s="120">
        <f t="shared" si="99"/>
        <v>8808.6810813645388</v>
      </c>
      <c r="M155" s="120">
        <f t="shared" si="99"/>
        <v>8636.4794686618061</v>
      </c>
      <c r="N155" s="120">
        <f t="shared" si="99"/>
        <v>8465.2319077035718</v>
      </c>
      <c r="O155" s="120">
        <f t="shared" si="99"/>
        <v>8294.9447703388232</v>
      </c>
      <c r="P155" s="120">
        <f t="shared" si="99"/>
        <v>8125.6246551061258</v>
      </c>
      <c r="Q155" s="120">
        <f t="shared" si="99"/>
        <v>7957.2783921503005</v>
      </c>
      <c r="R155" s="120">
        <f t="shared" si="99"/>
        <v>7789.913048242589</v>
      </c>
      <c r="S155" s="120">
        <f t="shared" si="99"/>
        <v>7623.5359319064419</v>
      </c>
      <c r="T155" s="120">
        <f t="shared" si="99"/>
        <v>7458.1545986509564</v>
      </c>
      <c r="U155" s="120">
        <f t="shared" si="99"/>
        <v>7293.7768563142336</v>
      </c>
      <c r="V155" s="120">
        <f t="shared" si="99"/>
        <v>7130.4107705187816</v>
      </c>
      <c r="W155" s="120">
        <f t="shared" si="99"/>
        <v>6968.0646702412241</v>
      </c>
      <c r="X155" s="120">
        <f t="shared" si="99"/>
        <v>6806.7471534986389</v>
      </c>
      <c r="Y155" s="120">
        <f t="shared" si="99"/>
        <v>6646.4670931538112</v>
      </c>
      <c r="Z155" s="120">
        <f t="shared" si="99"/>
        <v>6487.2336428418248</v>
      </c>
      <c r="AA155" s="120">
        <f t="shared" si="99"/>
        <v>6329.0562430204036</v>
      </c>
      <c r="AB155" s="120">
        <f t="shared" si="99"/>
        <v>6171.9446271464485</v>
      </c>
      <c r="AC155" s="120">
        <f t="shared" si="99"/>
        <v>6015.908827981345</v>
      </c>
      <c r="AD155" s="120">
        <f t="shared" si="99"/>
        <v>5860.9591840275589</v>
      </c>
      <c r="AE155" s="120">
        <f t="shared" si="99"/>
        <v>5707.1063460991882</v>
      </c>
      <c r="AF155" s="120">
        <f t="shared" si="99"/>
        <v>5554.3612840291016</v>
      </c>
      <c r="AG155" s="120">
        <f t="shared" si="99"/>
        <v>5402.7352935154076</v>
      </c>
      <c r="AI155" s="188"/>
    </row>
    <row r="156" spans="1:36" s="54" customFormat="1">
      <c r="A156" s="54" t="s">
        <v>627</v>
      </c>
      <c r="B156" s="253"/>
      <c r="C156" s="545">
        <f>C47</f>
        <v>2286037.4636282991</v>
      </c>
      <c r="D156" s="545">
        <f t="shared" ref="D156:AG156" si="101">D47</f>
        <v>2269522.019692421</v>
      </c>
      <c r="E156" s="545">
        <f t="shared" si="101"/>
        <v>2253068.3531684107</v>
      </c>
      <c r="F156" s="545">
        <f t="shared" si="101"/>
        <v>2236676.2717858963</v>
      </c>
      <c r="G156" s="545">
        <f t="shared" si="101"/>
        <v>2220345.5838223374</v>
      </c>
      <c r="H156" s="545">
        <f t="shared" si="101"/>
        <v>2204076.0981015544</v>
      </c>
      <c r="I156" s="545">
        <f t="shared" si="101"/>
        <v>2182933.3924798886</v>
      </c>
      <c r="J156" s="545">
        <f t="shared" si="101"/>
        <v>2161873.293752206</v>
      </c>
      <c r="K156" s="545">
        <f t="shared" si="101"/>
        <v>2140895.5402332866</v>
      </c>
      <c r="L156" s="545">
        <f t="shared" si="101"/>
        <v>2119999.870990715</v>
      </c>
      <c r="M156" s="545">
        <f t="shared" si="101"/>
        <v>2099186.0258428315</v>
      </c>
      <c r="N156" s="545">
        <f t="shared" si="101"/>
        <v>2075015.2694848944</v>
      </c>
      <c r="O156" s="545">
        <f t="shared" si="101"/>
        <v>2052659.131858903</v>
      </c>
      <c r="P156" s="545">
        <f t="shared" si="101"/>
        <v>2028870.0079890445</v>
      </c>
      <c r="Q156" s="545">
        <f t="shared" si="101"/>
        <v>2005175.2620114395</v>
      </c>
      <c r="R156" s="545">
        <f t="shared" si="101"/>
        <v>1981574.6016623541</v>
      </c>
      <c r="S156" s="545">
        <f t="shared" si="101"/>
        <v>1958067.7354741679</v>
      </c>
      <c r="T156" s="545">
        <f t="shared" si="101"/>
        <v>1934654.3727733945</v>
      </c>
      <c r="U156" s="545">
        <f t="shared" si="101"/>
        <v>1911334.2236787053</v>
      </c>
      <c r="V156" s="545">
        <f t="shared" si="101"/>
        <v>1888106.9990989598</v>
      </c>
      <c r="W156" s="545">
        <f t="shared" si="101"/>
        <v>1864972.4107312355</v>
      </c>
      <c r="X156" s="545">
        <f t="shared" si="101"/>
        <v>1848561.918369778</v>
      </c>
      <c r="Y156" s="545">
        <f t="shared" si="101"/>
        <v>1830423.1704436773</v>
      </c>
      <c r="Z156" s="545">
        <f t="shared" si="101"/>
        <v>1811695.8320166087</v>
      </c>
      <c r="AA156" s="545">
        <f t="shared" si="101"/>
        <v>1793039.8665234938</v>
      </c>
      <c r="AB156" s="545">
        <f t="shared" si="101"/>
        <v>1774455.2107084019</v>
      </c>
      <c r="AC156" s="545">
        <f t="shared" si="101"/>
        <v>1755798.7433774525</v>
      </c>
      <c r="AD156" s="545">
        <f t="shared" si="101"/>
        <v>1737214.0885395615</v>
      </c>
      <c r="AE156" s="545">
        <f t="shared" si="101"/>
        <v>1718701.178567301</v>
      </c>
      <c r="AF156" s="545">
        <f t="shared" si="101"/>
        <v>1700259.9450913044</v>
      </c>
      <c r="AG156" s="545">
        <f t="shared" si="101"/>
        <v>1681890.3190061464</v>
      </c>
      <c r="AI156" s="255"/>
      <c r="AJ156" s="256"/>
    </row>
    <row r="157" spans="1:36" s="54" customFormat="1">
      <c r="A157" s="257" t="s">
        <v>178</v>
      </c>
      <c r="B157" s="258" t="s">
        <v>127</v>
      </c>
      <c r="C157" s="548">
        <f>C156-C146</f>
        <v>0</v>
      </c>
      <c r="D157" s="548">
        <f t="shared" ref="D157:AG157" si="102">D156-D146</f>
        <v>-11468.845210458152</v>
      </c>
      <c r="E157" s="548">
        <f t="shared" si="102"/>
        <v>-22887.053753283806</v>
      </c>
      <c r="F157" s="548">
        <f t="shared" si="102"/>
        <v>-34254.79330482427</v>
      </c>
      <c r="G157" s="548">
        <f t="shared" si="102"/>
        <v>-45572.23104788363</v>
      </c>
      <c r="H157" s="548">
        <f t="shared" si="102"/>
        <v>-56839.533673084341</v>
      </c>
      <c r="I157" s="548">
        <f t="shared" si="102"/>
        <v>-72991.098892577924</v>
      </c>
      <c r="J157" s="548">
        <f t="shared" si="102"/>
        <v>-89071.075533926021</v>
      </c>
      <c r="K157" s="548">
        <f t="shared" si="102"/>
        <v>-105079.70095859235</v>
      </c>
      <c r="L157" s="548">
        <f t="shared" si="102"/>
        <v>-121017.21182893217</v>
      </c>
      <c r="M157" s="548">
        <f t="shared" si="102"/>
        <v>-136883.84411012381</v>
      </c>
      <c r="N157" s="548">
        <f t="shared" si="102"/>
        <v>-156118.30894388631</v>
      </c>
      <c r="O157" s="548">
        <f t="shared" si="102"/>
        <v>-173549.05227853963</v>
      </c>
      <c r="P157" s="548">
        <f t="shared" si="102"/>
        <v>-192423.65503343963</v>
      </c>
      <c r="Q157" s="548">
        <f t="shared" si="102"/>
        <v>-211214.72906911606</v>
      </c>
      <c r="R157" s="548">
        <f t="shared" si="102"/>
        <v>-229922.54269894073</v>
      </c>
      <c r="S157" s="548">
        <f t="shared" si="102"/>
        <v>-248547.36349304626</v>
      </c>
      <c r="T157" s="548">
        <f t="shared" si="102"/>
        <v>-267089.45828018524</v>
      </c>
      <c r="U157" s="548">
        <f t="shared" si="102"/>
        <v>-285549.09314959077</v>
      </c>
      <c r="V157" s="548">
        <f t="shared" si="102"/>
        <v>-303926.53345283307</v>
      </c>
      <c r="W157" s="548">
        <f t="shared" si="102"/>
        <v>-322222.04380566953</v>
      </c>
      <c r="X157" s="548">
        <f t="shared" si="102"/>
        <v>-333804.14077898161</v>
      </c>
      <c r="Y157" s="548">
        <f t="shared" si="102"/>
        <v>-347125.15236098133</v>
      </c>
      <c r="Z157" s="548">
        <f t="shared" si="102"/>
        <v>-361045.38995735534</v>
      </c>
      <c r="AA157" s="548">
        <f t="shared" si="102"/>
        <v>-374904.86665449175</v>
      </c>
      <c r="AB157" s="548">
        <f t="shared" si="102"/>
        <v>-388703.62228145986</v>
      </c>
      <c r="AC157" s="548">
        <f t="shared" si="102"/>
        <v>-402584.75465699681</v>
      </c>
      <c r="AD157" s="548">
        <f t="shared" si="102"/>
        <v>-416404.61644864478</v>
      </c>
      <c r="AE157" s="548">
        <f t="shared" si="102"/>
        <v>-430163.2520117783</v>
      </c>
      <c r="AF157" s="548">
        <f t="shared" si="102"/>
        <v>-443860.70649508573</v>
      </c>
      <c r="AG157" s="548">
        <f t="shared" si="102"/>
        <v>-457497.02583457576</v>
      </c>
      <c r="AI157" s="255"/>
      <c r="AJ157" s="256"/>
    </row>
    <row r="158" spans="1:36">
      <c r="A158" s="260" t="s">
        <v>619</v>
      </c>
      <c r="B158" s="252" t="s">
        <v>127</v>
      </c>
      <c r="C158" s="547">
        <f>C213</f>
        <v>205940.91349861573</v>
      </c>
      <c r="D158" s="547">
        <f t="shared" ref="D158:AG158" si="103">D213</f>
        <v>231231.35967447128</v>
      </c>
      <c r="E158" s="547">
        <f t="shared" si="103"/>
        <v>257029.45196162272</v>
      </c>
      <c r="F158" s="547">
        <f t="shared" si="103"/>
        <v>283310.71918053529</v>
      </c>
      <c r="G158" s="547">
        <f t="shared" si="103"/>
        <v>310050.89030255144</v>
      </c>
      <c r="H158" s="547">
        <f t="shared" si="103"/>
        <v>337225.89337559766</v>
      </c>
      <c r="I158" s="547">
        <f t="shared" si="103"/>
        <v>363617.59327209415</v>
      </c>
      <c r="J158" s="547">
        <f t="shared" si="103"/>
        <v>390234.39457129862</v>
      </c>
      <c r="K158" s="547">
        <f t="shared" si="103"/>
        <v>417053.90768287814</v>
      </c>
      <c r="L158" s="547">
        <f t="shared" si="103"/>
        <v>444053.93299751054</v>
      </c>
      <c r="M158" s="547">
        <f t="shared" si="103"/>
        <v>471212.45985365967</v>
      </c>
      <c r="N158" s="547">
        <f t="shared" si="103"/>
        <v>490627.38014533429</v>
      </c>
      <c r="O158" s="547">
        <f t="shared" si="103"/>
        <v>510282.61417185731</v>
      </c>
      <c r="P158" s="547">
        <f t="shared" si="103"/>
        <v>529474.98281558638</v>
      </c>
      <c r="Q158" s="547">
        <f t="shared" si="103"/>
        <v>548568.38673533918</v>
      </c>
      <c r="R158" s="547">
        <f t="shared" si="103"/>
        <v>567546.56774446857</v>
      </c>
      <c r="S158" s="547">
        <f t="shared" si="103"/>
        <v>586393.41570290737</v>
      </c>
      <c r="T158" s="547">
        <f t="shared" si="103"/>
        <v>605092.96764187422</v>
      </c>
      <c r="U158" s="547">
        <f t="shared" si="103"/>
        <v>623629.40689287998</v>
      </c>
      <c r="V158" s="547">
        <f t="shared" si="103"/>
        <v>641987.06222101115</v>
      </c>
      <c r="W158" s="547">
        <f t="shared" si="103"/>
        <v>660150.4069624769</v>
      </c>
      <c r="X158" s="547">
        <f t="shared" si="103"/>
        <v>688583.48595673207</v>
      </c>
      <c r="Y158" s="547">
        <f t="shared" si="103"/>
        <v>716476.4224400504</v>
      </c>
      <c r="Z158" s="547">
        <f t="shared" si="103"/>
        <v>743929.44332505704</v>
      </c>
      <c r="AA158" s="547">
        <f t="shared" si="103"/>
        <v>771341.1725047275</v>
      </c>
      <c r="AB158" s="547">
        <f t="shared" si="103"/>
        <v>798697.352539371</v>
      </c>
      <c r="AC158" s="547">
        <f t="shared" si="103"/>
        <v>825908.08647414844</v>
      </c>
      <c r="AD158" s="547">
        <f t="shared" si="103"/>
        <v>853030.49708412273</v>
      </c>
      <c r="AE158" s="547">
        <f t="shared" si="103"/>
        <v>880050.77624399413</v>
      </c>
      <c r="AF158" s="547">
        <f t="shared" si="103"/>
        <v>906955.25025424745</v>
      </c>
      <c r="AG158" s="547">
        <f t="shared" si="103"/>
        <v>933730.37762990373</v>
      </c>
      <c r="AI158" s="246"/>
    </row>
    <row r="159" spans="1:36" s="62" customFormat="1">
      <c r="A159" s="261" t="s">
        <v>628</v>
      </c>
      <c r="B159" s="262" t="s">
        <v>127</v>
      </c>
      <c r="C159" s="549">
        <f>C156-C158</f>
        <v>2080096.5501296832</v>
      </c>
      <c r="D159" s="549">
        <f t="shared" ref="D159:AG159" si="104">D156-D158</f>
        <v>2038290.6600179498</v>
      </c>
      <c r="E159" s="549">
        <f t="shared" si="104"/>
        <v>1996038.9012067879</v>
      </c>
      <c r="F159" s="549">
        <f t="shared" si="104"/>
        <v>1953365.552605361</v>
      </c>
      <c r="G159" s="549">
        <f t="shared" si="104"/>
        <v>1910294.693519786</v>
      </c>
      <c r="H159" s="549">
        <f t="shared" si="104"/>
        <v>1866850.2047259568</v>
      </c>
      <c r="I159" s="549">
        <f t="shared" si="104"/>
        <v>1819315.7992077945</v>
      </c>
      <c r="J159" s="549">
        <f t="shared" si="104"/>
        <v>1771638.8991809073</v>
      </c>
      <c r="K159" s="549">
        <f t="shared" si="104"/>
        <v>1723841.6325504084</v>
      </c>
      <c r="L159" s="549">
        <f t="shared" si="104"/>
        <v>1675945.9379932045</v>
      </c>
      <c r="M159" s="549">
        <f t="shared" si="104"/>
        <v>1627973.5659891719</v>
      </c>
      <c r="N159" s="549">
        <f t="shared" si="104"/>
        <v>1584387.8893395602</v>
      </c>
      <c r="O159" s="549">
        <f t="shared" si="104"/>
        <v>1542376.5176870457</v>
      </c>
      <c r="P159" s="549">
        <f t="shared" si="104"/>
        <v>1499395.0251734583</v>
      </c>
      <c r="Q159" s="549">
        <f t="shared" si="104"/>
        <v>1456606.8752761004</v>
      </c>
      <c r="R159" s="549">
        <f t="shared" si="104"/>
        <v>1414028.0339178855</v>
      </c>
      <c r="S159" s="549">
        <f t="shared" si="104"/>
        <v>1371674.3197712605</v>
      </c>
      <c r="T159" s="549">
        <f t="shared" si="104"/>
        <v>1329561.4051315202</v>
      </c>
      <c r="U159" s="549">
        <f t="shared" si="104"/>
        <v>1287704.8167858254</v>
      </c>
      <c r="V159" s="549">
        <f t="shared" si="104"/>
        <v>1246119.9368779487</v>
      </c>
      <c r="W159" s="549">
        <f t="shared" si="104"/>
        <v>1204822.0037687586</v>
      </c>
      <c r="X159" s="549">
        <f t="shared" si="104"/>
        <v>1159978.4324130458</v>
      </c>
      <c r="Y159" s="549">
        <f t="shared" si="104"/>
        <v>1113946.7480036269</v>
      </c>
      <c r="Z159" s="549">
        <f t="shared" si="104"/>
        <v>1067766.3886915515</v>
      </c>
      <c r="AA159" s="549">
        <f t="shared" si="104"/>
        <v>1021698.6940187663</v>
      </c>
      <c r="AB159" s="549">
        <f t="shared" si="104"/>
        <v>975757.85816903086</v>
      </c>
      <c r="AC159" s="549">
        <f t="shared" si="104"/>
        <v>929890.65690330404</v>
      </c>
      <c r="AD159" s="549">
        <f t="shared" si="104"/>
        <v>884183.59145543876</v>
      </c>
      <c r="AE159" s="549">
        <f t="shared" si="104"/>
        <v>838650.40232330689</v>
      </c>
      <c r="AF159" s="549">
        <f t="shared" si="104"/>
        <v>793304.69483705692</v>
      </c>
      <c r="AG159" s="549">
        <f t="shared" si="104"/>
        <v>748159.94137624267</v>
      </c>
      <c r="AI159" s="264"/>
      <c r="AJ159" s="265"/>
    </row>
    <row r="160" spans="1:36" s="54" customFormat="1" outlineLevel="1">
      <c r="A160" s="257" t="s">
        <v>656</v>
      </c>
      <c r="B160" s="258" t="s">
        <v>126</v>
      </c>
      <c r="C160" s="548">
        <f>C156*C126</f>
        <v>2240316.7143557332</v>
      </c>
      <c r="D160" s="548">
        <f t="shared" ref="D160:AG160" si="105">D156*D126</f>
        <v>2224888.0866384697</v>
      </c>
      <c r="E160" s="548">
        <f t="shared" si="105"/>
        <v>2209509.0316738212</v>
      </c>
      <c r="F160" s="548">
        <f t="shared" si="105"/>
        <v>2194179.422621964</v>
      </c>
      <c r="G160" s="548">
        <f t="shared" si="105"/>
        <v>2178899.1329243202</v>
      </c>
      <c r="H160" s="548">
        <f t="shared" si="105"/>
        <v>2163668.0363030257</v>
      </c>
      <c r="I160" s="548">
        <f t="shared" si="105"/>
        <v>2143640.5914152502</v>
      </c>
      <c r="J160" s="548">
        <f t="shared" si="105"/>
        <v>2123680.1988959163</v>
      </c>
      <c r="K160" s="548">
        <f t="shared" si="105"/>
        <v>2103786.6842025756</v>
      </c>
      <c r="L160" s="548">
        <f t="shared" si="105"/>
        <v>2083959.8731838721</v>
      </c>
      <c r="M160" s="548">
        <f t="shared" si="105"/>
        <v>2064199.5920787835</v>
      </c>
      <c r="N160" s="548">
        <f t="shared" si="105"/>
        <v>2041123.3534166403</v>
      </c>
      <c r="O160" s="548">
        <f t="shared" si="105"/>
        <v>2019816.5857491596</v>
      </c>
      <c r="P160" s="548">
        <f t="shared" si="105"/>
        <v>1997084.3778638819</v>
      </c>
      <c r="Q160" s="548">
        <f t="shared" si="105"/>
        <v>1974429.2413272632</v>
      </c>
      <c r="R160" s="548">
        <f t="shared" si="105"/>
        <v>1951850.9826374177</v>
      </c>
      <c r="S160" s="548">
        <f t="shared" si="105"/>
        <v>1929349.4086872123</v>
      </c>
      <c r="T160" s="548">
        <f t="shared" si="105"/>
        <v>1906924.3267636413</v>
      </c>
      <c r="U160" s="548">
        <f t="shared" si="105"/>
        <v>1884575.5445472021</v>
      </c>
      <c r="V160" s="548">
        <f t="shared" si="105"/>
        <v>1862302.8701112727</v>
      </c>
      <c r="W160" s="548">
        <f t="shared" si="105"/>
        <v>1840106.1119214843</v>
      </c>
      <c r="X160" s="548">
        <f t="shared" si="105"/>
        <v>1824530.6134309694</v>
      </c>
      <c r="Y160" s="548">
        <f t="shared" si="105"/>
        <v>1807237.8102847226</v>
      </c>
      <c r="Z160" s="548">
        <f t="shared" si="105"/>
        <v>1789351.5834217356</v>
      </c>
      <c r="AA160" s="548">
        <f t="shared" si="105"/>
        <v>1771523.3881252103</v>
      </c>
      <c r="AB160" s="548">
        <f t="shared" si="105"/>
        <v>1753753.2332501356</v>
      </c>
      <c r="AC160" s="548">
        <f t="shared" si="105"/>
        <v>1735899.6909525064</v>
      </c>
      <c r="AD160" s="548">
        <f t="shared" si="105"/>
        <v>1718104.7335656246</v>
      </c>
      <c r="AE160" s="548">
        <f t="shared" si="105"/>
        <v>1700368.3659959147</v>
      </c>
      <c r="AF160" s="548">
        <f t="shared" si="105"/>
        <v>1682690.5923253591</v>
      </c>
      <c r="AG160" s="548">
        <f t="shared" si="105"/>
        <v>1665071.4158160849</v>
      </c>
      <c r="AI160" s="255"/>
      <c r="AJ160" s="288" t="s">
        <v>629</v>
      </c>
    </row>
    <row r="161" spans="1:36" s="54" customFormat="1" outlineLevel="1">
      <c r="A161" s="257" t="s">
        <v>667</v>
      </c>
      <c r="B161" s="258" t="s">
        <v>126</v>
      </c>
      <c r="C161" s="548">
        <f>C160*C127</f>
        <v>2240316.7143557332</v>
      </c>
      <c r="D161" s="548">
        <f t="shared" ref="D161:AG161" si="106">D160*D127</f>
        <v>2224888.0866384697</v>
      </c>
      <c r="E161" s="548">
        <f t="shared" si="106"/>
        <v>2209509.0316738212</v>
      </c>
      <c r="F161" s="548">
        <f t="shared" si="106"/>
        <v>2194179.422621964</v>
      </c>
      <c r="G161" s="548">
        <f t="shared" si="106"/>
        <v>2178899.1329243202</v>
      </c>
      <c r="H161" s="548">
        <f t="shared" si="106"/>
        <v>2163668.0363030257</v>
      </c>
      <c r="I161" s="548">
        <f t="shared" si="106"/>
        <v>2143640.5914152502</v>
      </c>
      <c r="J161" s="548">
        <f t="shared" si="106"/>
        <v>2123680.1988959163</v>
      </c>
      <c r="K161" s="548">
        <f t="shared" si="106"/>
        <v>2103786.6842025756</v>
      </c>
      <c r="L161" s="548">
        <f t="shared" si="106"/>
        <v>2083959.8731838721</v>
      </c>
      <c r="M161" s="548">
        <f t="shared" si="106"/>
        <v>2064199.5920787835</v>
      </c>
      <c r="N161" s="548">
        <f t="shared" si="106"/>
        <v>2041123.3534166403</v>
      </c>
      <c r="O161" s="548">
        <f t="shared" si="106"/>
        <v>2019816.5857491596</v>
      </c>
      <c r="P161" s="548">
        <f t="shared" si="106"/>
        <v>1997084.3778638819</v>
      </c>
      <c r="Q161" s="548">
        <f t="shared" si="106"/>
        <v>1974429.2413272632</v>
      </c>
      <c r="R161" s="548">
        <f t="shared" si="106"/>
        <v>1951850.9826374177</v>
      </c>
      <c r="S161" s="548">
        <f t="shared" si="106"/>
        <v>1929349.4086872123</v>
      </c>
      <c r="T161" s="548">
        <f t="shared" si="106"/>
        <v>1906924.3267636413</v>
      </c>
      <c r="U161" s="548">
        <f t="shared" si="106"/>
        <v>1884575.5445472021</v>
      </c>
      <c r="V161" s="548">
        <f t="shared" si="106"/>
        <v>1862302.8701112727</v>
      </c>
      <c r="W161" s="548">
        <f t="shared" si="106"/>
        <v>1840106.1119214843</v>
      </c>
      <c r="X161" s="548">
        <f t="shared" si="106"/>
        <v>1824530.6134309694</v>
      </c>
      <c r="Y161" s="548">
        <f t="shared" si="106"/>
        <v>1807237.8102847226</v>
      </c>
      <c r="Z161" s="548">
        <f t="shared" si="106"/>
        <v>1789351.5834217356</v>
      </c>
      <c r="AA161" s="548">
        <f t="shared" si="106"/>
        <v>1771523.3881252103</v>
      </c>
      <c r="AB161" s="548">
        <f t="shared" si="106"/>
        <v>1753753.2332501356</v>
      </c>
      <c r="AC161" s="548">
        <f t="shared" si="106"/>
        <v>1735899.6909525064</v>
      </c>
      <c r="AD161" s="548">
        <f t="shared" si="106"/>
        <v>1718104.7335656246</v>
      </c>
      <c r="AE161" s="548">
        <f t="shared" si="106"/>
        <v>1700368.3659959147</v>
      </c>
      <c r="AF161" s="548">
        <f t="shared" si="106"/>
        <v>1682690.5923253591</v>
      </c>
      <c r="AG161" s="548">
        <f t="shared" si="106"/>
        <v>1665071.4158160849</v>
      </c>
      <c r="AI161" s="255"/>
      <c r="AJ161" s="288" t="s">
        <v>629</v>
      </c>
    </row>
    <row r="162" spans="1:36" s="58" customFormat="1" outlineLevel="1">
      <c r="A162" s="261" t="s">
        <v>668</v>
      </c>
      <c r="B162" s="262" t="s">
        <v>126</v>
      </c>
      <c r="C162" s="549">
        <f>C160*C128</f>
        <v>0</v>
      </c>
      <c r="D162" s="549">
        <f t="shared" ref="D162:AG162" si="107">D160*D128</f>
        <v>0</v>
      </c>
      <c r="E162" s="549">
        <f t="shared" si="107"/>
        <v>0</v>
      </c>
      <c r="F162" s="549">
        <f t="shared" si="107"/>
        <v>0</v>
      </c>
      <c r="G162" s="549">
        <f t="shared" si="107"/>
        <v>0</v>
      </c>
      <c r="H162" s="549">
        <f t="shared" si="107"/>
        <v>0</v>
      </c>
      <c r="I162" s="549">
        <f t="shared" si="107"/>
        <v>0</v>
      </c>
      <c r="J162" s="549">
        <f t="shared" si="107"/>
        <v>0</v>
      </c>
      <c r="K162" s="549">
        <f t="shared" si="107"/>
        <v>0</v>
      </c>
      <c r="L162" s="549">
        <f t="shared" si="107"/>
        <v>0</v>
      </c>
      <c r="M162" s="549">
        <f t="shared" si="107"/>
        <v>0</v>
      </c>
      <c r="N162" s="549">
        <f t="shared" si="107"/>
        <v>0</v>
      </c>
      <c r="O162" s="549">
        <f t="shared" si="107"/>
        <v>0</v>
      </c>
      <c r="P162" s="549">
        <f t="shared" si="107"/>
        <v>0</v>
      </c>
      <c r="Q162" s="549">
        <f t="shared" si="107"/>
        <v>0</v>
      </c>
      <c r="R162" s="549">
        <f t="shared" si="107"/>
        <v>0</v>
      </c>
      <c r="S162" s="549">
        <f t="shared" si="107"/>
        <v>0</v>
      </c>
      <c r="T162" s="549">
        <f t="shared" si="107"/>
        <v>0</v>
      </c>
      <c r="U162" s="549">
        <f t="shared" si="107"/>
        <v>0</v>
      </c>
      <c r="V162" s="549">
        <f t="shared" si="107"/>
        <v>0</v>
      </c>
      <c r="W162" s="549">
        <f t="shared" si="107"/>
        <v>0</v>
      </c>
      <c r="X162" s="549">
        <f t="shared" si="107"/>
        <v>0</v>
      </c>
      <c r="Y162" s="549">
        <f t="shared" si="107"/>
        <v>0</v>
      </c>
      <c r="Z162" s="549">
        <f t="shared" si="107"/>
        <v>0</v>
      </c>
      <c r="AA162" s="549">
        <f t="shared" si="107"/>
        <v>0</v>
      </c>
      <c r="AB162" s="549">
        <f t="shared" si="107"/>
        <v>0</v>
      </c>
      <c r="AC162" s="549">
        <f t="shared" si="107"/>
        <v>0</v>
      </c>
      <c r="AD162" s="549">
        <f t="shared" si="107"/>
        <v>0</v>
      </c>
      <c r="AE162" s="549">
        <f t="shared" si="107"/>
        <v>0</v>
      </c>
      <c r="AF162" s="549">
        <f t="shared" si="107"/>
        <v>0</v>
      </c>
      <c r="AG162" s="549">
        <f t="shared" si="107"/>
        <v>0</v>
      </c>
      <c r="AI162" s="291"/>
      <c r="AJ162" s="290" t="s">
        <v>629</v>
      </c>
    </row>
    <row r="163" spans="1:36" s="1" customFormat="1" outlineLevel="1">
      <c r="A163" t="s">
        <v>649</v>
      </c>
      <c r="B163" s="252" t="s">
        <v>127</v>
      </c>
      <c r="C163" s="547">
        <f>C129*C160</f>
        <v>2240316.7143557332</v>
      </c>
      <c r="D163" s="547">
        <f t="shared" ref="D163:AG163" si="108">D129*D160</f>
        <v>2224888.0866384697</v>
      </c>
      <c r="E163" s="547">
        <f t="shared" si="108"/>
        <v>2209509.0316738212</v>
      </c>
      <c r="F163" s="547">
        <f t="shared" si="108"/>
        <v>2194179.422621964</v>
      </c>
      <c r="G163" s="547">
        <f t="shared" si="108"/>
        <v>2178899.1329243202</v>
      </c>
      <c r="H163" s="547">
        <f t="shared" si="108"/>
        <v>2163668.0363030257</v>
      </c>
      <c r="I163" s="547">
        <f t="shared" si="108"/>
        <v>2143640.5914152502</v>
      </c>
      <c r="J163" s="547">
        <f t="shared" si="108"/>
        <v>2123680.1988959163</v>
      </c>
      <c r="K163" s="547">
        <f t="shared" si="108"/>
        <v>2103786.6842025756</v>
      </c>
      <c r="L163" s="547">
        <f t="shared" si="108"/>
        <v>2083959.8731838721</v>
      </c>
      <c r="M163" s="547">
        <f t="shared" si="108"/>
        <v>2064199.5920787835</v>
      </c>
      <c r="N163" s="547">
        <f t="shared" si="108"/>
        <v>2041123.3534166403</v>
      </c>
      <c r="O163" s="547">
        <f t="shared" si="108"/>
        <v>2019816.5857491596</v>
      </c>
      <c r="P163" s="547">
        <f t="shared" si="108"/>
        <v>1997084.3778638819</v>
      </c>
      <c r="Q163" s="547">
        <f t="shared" si="108"/>
        <v>1974429.2413272632</v>
      </c>
      <c r="R163" s="547">
        <f t="shared" si="108"/>
        <v>1951850.9826374177</v>
      </c>
      <c r="S163" s="547">
        <f t="shared" si="108"/>
        <v>1929349.4086872123</v>
      </c>
      <c r="T163" s="547">
        <f t="shared" si="108"/>
        <v>1906924.3267636413</v>
      </c>
      <c r="U163" s="547">
        <f t="shared" si="108"/>
        <v>1884575.5445472021</v>
      </c>
      <c r="V163" s="547">
        <f t="shared" si="108"/>
        <v>1862302.8701112727</v>
      </c>
      <c r="W163" s="547">
        <f t="shared" si="108"/>
        <v>1840106.1119214843</v>
      </c>
      <c r="X163" s="547">
        <f t="shared" si="108"/>
        <v>1824530.6134309694</v>
      </c>
      <c r="Y163" s="547">
        <f t="shared" si="108"/>
        <v>1807237.8102847226</v>
      </c>
      <c r="Z163" s="547">
        <f t="shared" si="108"/>
        <v>1789351.5834217356</v>
      </c>
      <c r="AA163" s="547">
        <f t="shared" si="108"/>
        <v>1771523.3881252103</v>
      </c>
      <c r="AB163" s="547">
        <f t="shared" si="108"/>
        <v>1753753.2332501356</v>
      </c>
      <c r="AC163" s="547">
        <f t="shared" si="108"/>
        <v>1735899.6909525064</v>
      </c>
      <c r="AD163" s="547">
        <f t="shared" si="108"/>
        <v>1718104.7335656246</v>
      </c>
      <c r="AE163" s="547">
        <f t="shared" si="108"/>
        <v>1700368.3659959147</v>
      </c>
      <c r="AF163" s="547">
        <f t="shared" si="108"/>
        <v>1682690.5923253591</v>
      </c>
      <c r="AG163" s="547">
        <f t="shared" si="108"/>
        <v>1665071.4158160849</v>
      </c>
      <c r="AI163" s="266"/>
      <c r="AJ163" s="185" t="s">
        <v>629</v>
      </c>
    </row>
    <row r="164" spans="1:36" s="1" customFormat="1" outlineLevel="1">
      <c r="A164" t="s">
        <v>655</v>
      </c>
      <c r="B164" s="252" t="s">
        <v>127</v>
      </c>
      <c r="C164" s="547">
        <f>C130*C160</f>
        <v>0</v>
      </c>
      <c r="D164" s="547">
        <f t="shared" ref="D164:AG164" si="109">D130*D160</f>
        <v>0</v>
      </c>
      <c r="E164" s="547">
        <f t="shared" si="109"/>
        <v>0</v>
      </c>
      <c r="F164" s="547">
        <f t="shared" si="109"/>
        <v>0</v>
      </c>
      <c r="G164" s="547">
        <f t="shared" si="109"/>
        <v>0</v>
      </c>
      <c r="H164" s="547">
        <f t="shared" si="109"/>
        <v>0</v>
      </c>
      <c r="I164" s="547">
        <f t="shared" si="109"/>
        <v>0</v>
      </c>
      <c r="J164" s="547">
        <f t="shared" si="109"/>
        <v>0</v>
      </c>
      <c r="K164" s="547">
        <f t="shared" si="109"/>
        <v>0</v>
      </c>
      <c r="L164" s="547">
        <f t="shared" si="109"/>
        <v>0</v>
      </c>
      <c r="M164" s="547">
        <f t="shared" si="109"/>
        <v>0</v>
      </c>
      <c r="N164" s="547">
        <f t="shared" si="109"/>
        <v>0</v>
      </c>
      <c r="O164" s="547">
        <f t="shared" si="109"/>
        <v>0</v>
      </c>
      <c r="P164" s="547">
        <f t="shared" si="109"/>
        <v>0</v>
      </c>
      <c r="Q164" s="547">
        <f t="shared" si="109"/>
        <v>0</v>
      </c>
      <c r="R164" s="547">
        <f t="shared" si="109"/>
        <v>0</v>
      </c>
      <c r="S164" s="547">
        <f t="shared" si="109"/>
        <v>0</v>
      </c>
      <c r="T164" s="547">
        <f t="shared" si="109"/>
        <v>0</v>
      </c>
      <c r="U164" s="547">
        <f t="shared" si="109"/>
        <v>0</v>
      </c>
      <c r="V164" s="547">
        <f t="shared" si="109"/>
        <v>0</v>
      </c>
      <c r="W164" s="547">
        <f t="shared" si="109"/>
        <v>0</v>
      </c>
      <c r="X164" s="547">
        <f t="shared" si="109"/>
        <v>0</v>
      </c>
      <c r="Y164" s="547">
        <f t="shared" si="109"/>
        <v>0</v>
      </c>
      <c r="Z164" s="547">
        <f t="shared" si="109"/>
        <v>0</v>
      </c>
      <c r="AA164" s="547">
        <f t="shared" si="109"/>
        <v>0</v>
      </c>
      <c r="AB164" s="547">
        <f t="shared" si="109"/>
        <v>0</v>
      </c>
      <c r="AC164" s="547">
        <f t="shared" si="109"/>
        <v>0</v>
      </c>
      <c r="AD164" s="547">
        <f t="shared" si="109"/>
        <v>0</v>
      </c>
      <c r="AE164" s="547">
        <f t="shared" si="109"/>
        <v>0</v>
      </c>
      <c r="AF164" s="547">
        <f t="shared" si="109"/>
        <v>0</v>
      </c>
      <c r="AG164" s="547">
        <f t="shared" si="109"/>
        <v>0</v>
      </c>
      <c r="AI164" s="266"/>
      <c r="AJ164" s="185" t="s">
        <v>629</v>
      </c>
    </row>
    <row r="165" spans="1:36" s="1" customFormat="1" outlineLevel="1">
      <c r="A165" t="s">
        <v>650</v>
      </c>
      <c r="B165" s="252" t="s">
        <v>127</v>
      </c>
      <c r="C165" s="547">
        <f>C163*C131</f>
        <v>336047.50715336</v>
      </c>
      <c r="D165" s="547">
        <f t="shared" ref="D165:AG165" si="110">D163*D131</f>
        <v>347824.17087781406</v>
      </c>
      <c r="E165" s="547">
        <f t="shared" si="110"/>
        <v>359413.46915227489</v>
      </c>
      <c r="F165" s="547">
        <f t="shared" si="110"/>
        <v>370816.32242311188</v>
      </c>
      <c r="G165" s="547">
        <f t="shared" si="110"/>
        <v>382033.64797273075</v>
      </c>
      <c r="H165" s="547">
        <f t="shared" si="110"/>
        <v>393066.35992838297</v>
      </c>
      <c r="I165" s="547">
        <f t="shared" si="110"/>
        <v>403004.431186067</v>
      </c>
      <c r="J165" s="547">
        <f t="shared" si="110"/>
        <v>412701.85198543966</v>
      </c>
      <c r="K165" s="547">
        <f t="shared" si="110"/>
        <v>422159.86129665008</v>
      </c>
      <c r="L165" s="547">
        <f t="shared" si="110"/>
        <v>431379.69374906144</v>
      </c>
      <c r="M165" s="547">
        <f t="shared" si="110"/>
        <v>440362.57964347373</v>
      </c>
      <c r="N165" s="547">
        <f t="shared" si="110"/>
        <v>448366.76330052188</v>
      </c>
      <c r="O165" s="547">
        <f t="shared" si="110"/>
        <v>456478.54837930994</v>
      </c>
      <c r="P165" s="547">
        <f t="shared" si="110"/>
        <v>463989.2704570418</v>
      </c>
      <c r="Q165" s="547">
        <f t="shared" si="110"/>
        <v>471230.44559677335</v>
      </c>
      <c r="R165" s="547">
        <f t="shared" si="110"/>
        <v>478203.49074616726</v>
      </c>
      <c r="S165" s="547">
        <f t="shared" si="110"/>
        <v>484909.81805005262</v>
      </c>
      <c r="T165" s="547">
        <f t="shared" si="110"/>
        <v>491350.83486276487</v>
      </c>
      <c r="U165" s="547">
        <f t="shared" si="110"/>
        <v>497527.94376046135</v>
      </c>
      <c r="V165" s="547">
        <f t="shared" si="110"/>
        <v>503442.54255341412</v>
      </c>
      <c r="W165" s="547">
        <f t="shared" si="110"/>
        <v>509096.02429827745</v>
      </c>
      <c r="X165" s="547">
        <f t="shared" si="110"/>
        <v>516342.16360096447</v>
      </c>
      <c r="Y165" s="547">
        <f t="shared" si="110"/>
        <v>522894.13977571327</v>
      </c>
      <c r="Z165" s="547">
        <f t="shared" si="110"/>
        <v>529051.61816502677</v>
      </c>
      <c r="AA165" s="547">
        <f t="shared" si="110"/>
        <v>535000.06321381382</v>
      </c>
      <c r="AB165" s="547">
        <f t="shared" si="110"/>
        <v>540740.58025212539</v>
      </c>
      <c r="AC165" s="547">
        <f t="shared" si="110"/>
        <v>546229.76941972238</v>
      </c>
      <c r="AD165" s="547">
        <f t="shared" si="110"/>
        <v>551511.61947456584</v>
      </c>
      <c r="AE165" s="547">
        <f t="shared" si="110"/>
        <v>556587.24513599649</v>
      </c>
      <c r="AF165" s="547">
        <f t="shared" si="110"/>
        <v>561457.76097256201</v>
      </c>
      <c r="AG165" s="547">
        <f t="shared" si="110"/>
        <v>566124.28137746896</v>
      </c>
      <c r="AI165" s="266"/>
      <c r="AJ165" s="185" t="s">
        <v>629</v>
      </c>
    </row>
    <row r="166" spans="1:36" s="1" customFormat="1" outlineLevel="1">
      <c r="A166" t="s">
        <v>651</v>
      </c>
      <c r="B166" s="252" t="s">
        <v>127</v>
      </c>
      <c r="C166" s="547">
        <f>C163*C132</f>
        <v>1904269.2072023733</v>
      </c>
      <c r="D166" s="547">
        <f t="shared" ref="D166:AG166" si="111">D163*D132</f>
        <v>1877063.9157606557</v>
      </c>
      <c r="E166" s="547">
        <f t="shared" si="111"/>
        <v>1850095.5625215464</v>
      </c>
      <c r="F166" s="547">
        <f t="shared" si="111"/>
        <v>1823363.1001988524</v>
      </c>
      <c r="G166" s="547">
        <f t="shared" si="111"/>
        <v>1796865.4849515895</v>
      </c>
      <c r="H166" s="547">
        <f t="shared" si="111"/>
        <v>1770601.6763746429</v>
      </c>
      <c r="I166" s="547">
        <f t="shared" si="111"/>
        <v>1740636.1602291835</v>
      </c>
      <c r="J166" s="547">
        <f t="shared" si="111"/>
        <v>1710978.3469104769</v>
      </c>
      <c r="K166" s="547">
        <f t="shared" si="111"/>
        <v>1681626.8229059258</v>
      </c>
      <c r="L166" s="547">
        <f t="shared" si="111"/>
        <v>1652580.179434811</v>
      </c>
      <c r="M166" s="547">
        <f t="shared" si="111"/>
        <v>1623837.0124353103</v>
      </c>
      <c r="N166" s="547">
        <f t="shared" si="111"/>
        <v>1592756.590116119</v>
      </c>
      <c r="O166" s="547">
        <f t="shared" si="111"/>
        <v>1563338.0373698503</v>
      </c>
      <c r="P166" s="547">
        <f t="shared" si="111"/>
        <v>1533095.1074068407</v>
      </c>
      <c r="Q166" s="547">
        <f t="shared" si="111"/>
        <v>1503198.7957304905</v>
      </c>
      <c r="R166" s="547">
        <f t="shared" si="111"/>
        <v>1473647.4918912512</v>
      </c>
      <c r="S166" s="547">
        <f t="shared" si="111"/>
        <v>1444439.5906371605</v>
      </c>
      <c r="T166" s="547">
        <f t="shared" si="111"/>
        <v>1415573.4919008773</v>
      </c>
      <c r="U166" s="547">
        <f t="shared" si="111"/>
        <v>1387047.6007867418</v>
      </c>
      <c r="V166" s="547">
        <f t="shared" si="111"/>
        <v>1358860.3275578597</v>
      </c>
      <c r="W166" s="547">
        <f t="shared" si="111"/>
        <v>1331010.0876232081</v>
      </c>
      <c r="X166" s="547">
        <f t="shared" si="111"/>
        <v>1308188.4498300063</v>
      </c>
      <c r="Y166" s="547">
        <f t="shared" si="111"/>
        <v>1284343.6705090108</v>
      </c>
      <c r="Z166" s="547">
        <f t="shared" si="111"/>
        <v>1260299.9652567103</v>
      </c>
      <c r="AA166" s="547">
        <f t="shared" si="111"/>
        <v>1236523.3249113981</v>
      </c>
      <c r="AB166" s="547">
        <f t="shared" si="111"/>
        <v>1213012.6529980118</v>
      </c>
      <c r="AC166" s="547">
        <f t="shared" si="111"/>
        <v>1189669.9215327858</v>
      </c>
      <c r="AD166" s="547">
        <f t="shared" si="111"/>
        <v>1166593.1140910606</v>
      </c>
      <c r="AE166" s="547">
        <f t="shared" si="111"/>
        <v>1143781.12085992</v>
      </c>
      <c r="AF166" s="547">
        <f t="shared" si="111"/>
        <v>1121232.8313527992</v>
      </c>
      <c r="AG166" s="547">
        <f t="shared" si="111"/>
        <v>1098947.134438616</v>
      </c>
      <c r="AI166" s="266"/>
      <c r="AJ166" s="185" t="s">
        <v>629</v>
      </c>
    </row>
    <row r="167" spans="1:36" s="1" customFormat="1" outlineLevel="1">
      <c r="A167" t="s">
        <v>654</v>
      </c>
      <c r="B167" s="252" t="s">
        <v>127</v>
      </c>
      <c r="C167" s="547">
        <f>C133*C166</f>
        <v>0</v>
      </c>
      <c r="D167" s="547">
        <f t="shared" ref="D167:AG167" si="112">D133*D166</f>
        <v>0</v>
      </c>
      <c r="E167" s="547">
        <f t="shared" si="112"/>
        <v>0</v>
      </c>
      <c r="F167" s="547">
        <f t="shared" si="112"/>
        <v>0</v>
      </c>
      <c r="G167" s="547">
        <f t="shared" si="112"/>
        <v>0</v>
      </c>
      <c r="H167" s="547">
        <f t="shared" si="112"/>
        <v>0</v>
      </c>
      <c r="I167" s="547">
        <f t="shared" si="112"/>
        <v>0</v>
      </c>
      <c r="J167" s="547">
        <f t="shared" si="112"/>
        <v>0</v>
      </c>
      <c r="K167" s="547">
        <f t="shared" si="112"/>
        <v>0</v>
      </c>
      <c r="L167" s="547">
        <f t="shared" si="112"/>
        <v>0</v>
      </c>
      <c r="M167" s="547">
        <f t="shared" si="112"/>
        <v>0</v>
      </c>
      <c r="N167" s="547">
        <f t="shared" si="112"/>
        <v>0</v>
      </c>
      <c r="O167" s="547">
        <f t="shared" si="112"/>
        <v>0</v>
      </c>
      <c r="P167" s="547">
        <f t="shared" si="112"/>
        <v>0</v>
      </c>
      <c r="Q167" s="547">
        <f t="shared" si="112"/>
        <v>0</v>
      </c>
      <c r="R167" s="547">
        <f t="shared" si="112"/>
        <v>0</v>
      </c>
      <c r="S167" s="547">
        <f t="shared" si="112"/>
        <v>0</v>
      </c>
      <c r="T167" s="547">
        <f t="shared" si="112"/>
        <v>0</v>
      </c>
      <c r="U167" s="547">
        <f t="shared" si="112"/>
        <v>0</v>
      </c>
      <c r="V167" s="547">
        <f t="shared" si="112"/>
        <v>0</v>
      </c>
      <c r="W167" s="547">
        <f t="shared" si="112"/>
        <v>0</v>
      </c>
      <c r="X167" s="547">
        <f t="shared" si="112"/>
        <v>0</v>
      </c>
      <c r="Y167" s="547">
        <f t="shared" si="112"/>
        <v>0</v>
      </c>
      <c r="Z167" s="547">
        <f t="shared" si="112"/>
        <v>0</v>
      </c>
      <c r="AA167" s="547">
        <f t="shared" si="112"/>
        <v>0</v>
      </c>
      <c r="AB167" s="547">
        <f t="shared" si="112"/>
        <v>0</v>
      </c>
      <c r="AC167" s="547">
        <f t="shared" si="112"/>
        <v>0</v>
      </c>
      <c r="AD167" s="547">
        <f t="shared" si="112"/>
        <v>0</v>
      </c>
      <c r="AE167" s="547">
        <f t="shared" si="112"/>
        <v>0</v>
      </c>
      <c r="AF167" s="547">
        <f t="shared" si="112"/>
        <v>0</v>
      </c>
      <c r="AG167" s="547">
        <f t="shared" si="112"/>
        <v>0</v>
      </c>
      <c r="AI167" s="266"/>
      <c r="AJ167" s="185" t="s">
        <v>629</v>
      </c>
    </row>
    <row r="168" spans="1:36" s="1" customFormat="1" outlineLevel="1">
      <c r="A168" t="s">
        <v>683</v>
      </c>
      <c r="B168" s="252" t="s">
        <v>127</v>
      </c>
      <c r="C168" s="547">
        <f>C134*C166</f>
        <v>1904269.2072023733</v>
      </c>
      <c r="D168" s="547">
        <f t="shared" ref="D168:AG168" si="113">D134*D166</f>
        <v>1877063.9157606557</v>
      </c>
      <c r="E168" s="547">
        <f t="shared" si="113"/>
        <v>1850095.5625215464</v>
      </c>
      <c r="F168" s="547">
        <f t="shared" si="113"/>
        <v>1823363.1001988524</v>
      </c>
      <c r="G168" s="547">
        <f t="shared" si="113"/>
        <v>1796865.4849515895</v>
      </c>
      <c r="H168" s="547">
        <f t="shared" si="113"/>
        <v>1770601.6763746429</v>
      </c>
      <c r="I168" s="547">
        <f t="shared" si="113"/>
        <v>1740636.1602291835</v>
      </c>
      <c r="J168" s="547">
        <f t="shared" si="113"/>
        <v>1710978.3469104769</v>
      </c>
      <c r="K168" s="547">
        <f t="shared" si="113"/>
        <v>1681626.8229059258</v>
      </c>
      <c r="L168" s="547">
        <f t="shared" si="113"/>
        <v>1652580.179434811</v>
      </c>
      <c r="M168" s="547">
        <f t="shared" si="113"/>
        <v>1623837.0124353103</v>
      </c>
      <c r="N168" s="547">
        <f t="shared" si="113"/>
        <v>1592756.590116119</v>
      </c>
      <c r="O168" s="547">
        <f t="shared" si="113"/>
        <v>1563338.0373698503</v>
      </c>
      <c r="P168" s="547">
        <f t="shared" si="113"/>
        <v>1533095.1074068407</v>
      </c>
      <c r="Q168" s="547">
        <f t="shared" si="113"/>
        <v>1503198.7957304905</v>
      </c>
      <c r="R168" s="547">
        <f t="shared" si="113"/>
        <v>1473647.4918912512</v>
      </c>
      <c r="S168" s="547">
        <f t="shared" si="113"/>
        <v>1444439.5906371605</v>
      </c>
      <c r="T168" s="547">
        <f t="shared" si="113"/>
        <v>1415573.4919008773</v>
      </c>
      <c r="U168" s="547">
        <f t="shared" si="113"/>
        <v>1387047.6007867418</v>
      </c>
      <c r="V168" s="547">
        <f t="shared" si="113"/>
        <v>1358860.3275578597</v>
      </c>
      <c r="W168" s="547">
        <f t="shared" si="113"/>
        <v>1331010.0876232081</v>
      </c>
      <c r="X168" s="547">
        <f t="shared" si="113"/>
        <v>1308188.4498300063</v>
      </c>
      <c r="Y168" s="547">
        <f t="shared" si="113"/>
        <v>1284343.6705090108</v>
      </c>
      <c r="Z168" s="547">
        <f t="shared" si="113"/>
        <v>1260299.9652567103</v>
      </c>
      <c r="AA168" s="547">
        <f t="shared" si="113"/>
        <v>1236523.3249113981</v>
      </c>
      <c r="AB168" s="547">
        <f t="shared" si="113"/>
        <v>1213012.6529980118</v>
      </c>
      <c r="AC168" s="547">
        <f t="shared" si="113"/>
        <v>1189669.9215327858</v>
      </c>
      <c r="AD168" s="547">
        <f t="shared" si="113"/>
        <v>1166593.1140910606</v>
      </c>
      <c r="AE168" s="547">
        <f t="shared" si="113"/>
        <v>1143781.12085992</v>
      </c>
      <c r="AF168" s="547">
        <f t="shared" si="113"/>
        <v>1121232.8313527992</v>
      </c>
      <c r="AG168" s="547">
        <f t="shared" si="113"/>
        <v>1098947.134438616</v>
      </c>
      <c r="AI168" s="266"/>
      <c r="AJ168" s="185" t="s">
        <v>629</v>
      </c>
    </row>
    <row r="169" spans="1:36" s="1" customFormat="1" outlineLevel="1">
      <c r="A169" t="s">
        <v>652</v>
      </c>
      <c r="B169" s="252" t="s">
        <v>127</v>
      </c>
      <c r="C169" s="547">
        <f>C135*(C167+C165)</f>
        <v>268838.00572268799</v>
      </c>
      <c r="D169" s="547">
        <f t="shared" ref="D169:AG169" si="114">D135*(D167+D165)</f>
        <v>279418.75060517731</v>
      </c>
      <c r="E169" s="547">
        <f t="shared" si="114"/>
        <v>289926.8651161684</v>
      </c>
      <c r="F169" s="547">
        <f t="shared" si="114"/>
        <v>300361.22116272058</v>
      </c>
      <c r="G169" s="547">
        <f t="shared" si="114"/>
        <v>310720.70035115432</v>
      </c>
      <c r="H169" s="547">
        <f t="shared" si="114"/>
        <v>321004.19394151273</v>
      </c>
      <c r="I169" s="547">
        <f t="shared" si="114"/>
        <v>330463.63357257488</v>
      </c>
      <c r="J169" s="547">
        <f t="shared" si="114"/>
        <v>339791.19146801188</v>
      </c>
      <c r="K169" s="547">
        <f t="shared" si="114"/>
        <v>348985.48533856397</v>
      </c>
      <c r="L169" s="547">
        <f t="shared" si="114"/>
        <v>358045.14581172087</v>
      </c>
      <c r="M169" s="547">
        <f t="shared" si="114"/>
        <v>366968.8163695613</v>
      </c>
      <c r="N169" s="547">
        <f t="shared" si="114"/>
        <v>375133.52529476985</v>
      </c>
      <c r="O169" s="547">
        <f t="shared" si="114"/>
        <v>383441.98063862021</v>
      </c>
      <c r="P169" s="547">
        <f t="shared" si="114"/>
        <v>391297.61808543839</v>
      </c>
      <c r="Q169" s="547">
        <f t="shared" si="114"/>
        <v>398975.11060526792</v>
      </c>
      <c r="R169" s="547">
        <f t="shared" si="114"/>
        <v>406472.96713424195</v>
      </c>
      <c r="S169" s="547">
        <f t="shared" si="114"/>
        <v>413789.71140271134</v>
      </c>
      <c r="T169" s="547">
        <f t="shared" si="114"/>
        <v>420923.88186576829</v>
      </c>
      <c r="U169" s="547">
        <f t="shared" si="114"/>
        <v>427874.03163399646</v>
      </c>
      <c r="V169" s="547">
        <f t="shared" si="114"/>
        <v>434638.7284044472</v>
      </c>
      <c r="W169" s="547">
        <f t="shared" si="114"/>
        <v>441216.55439184012</v>
      </c>
      <c r="X169" s="547">
        <f t="shared" si="114"/>
        <v>449217.68233283877</v>
      </c>
      <c r="Y169" s="547">
        <f t="shared" si="114"/>
        <v>456660.88207078923</v>
      </c>
      <c r="Z169" s="547">
        <f t="shared" si="114"/>
        <v>463801.91859133972</v>
      </c>
      <c r="AA169" s="547">
        <f t="shared" si="114"/>
        <v>470800.05562815577</v>
      </c>
      <c r="AB169" s="547">
        <f t="shared" si="114"/>
        <v>477654.17922271031</v>
      </c>
      <c r="AC169" s="547">
        <f t="shared" si="114"/>
        <v>484323.72888548672</v>
      </c>
      <c r="AD169" s="547">
        <f t="shared" si="114"/>
        <v>490845.34133236314</v>
      </c>
      <c r="AE169" s="547">
        <f t="shared" si="114"/>
        <v>497217.93898815638</v>
      </c>
      <c r="AF169" s="547">
        <f t="shared" si="114"/>
        <v>503440.45900539675</v>
      </c>
      <c r="AG169" s="547">
        <f t="shared" si="114"/>
        <v>509511.85323972208</v>
      </c>
      <c r="AH169" s="218"/>
      <c r="AI169" s="266"/>
      <c r="AJ169" s="185" t="s">
        <v>629</v>
      </c>
    </row>
    <row r="170" spans="1:36" s="1" customFormat="1" outlineLevel="1">
      <c r="A170" t="s">
        <v>653</v>
      </c>
      <c r="B170" s="252" t="s">
        <v>127</v>
      </c>
      <c r="C170" s="547">
        <f>C136*(C167+C165)</f>
        <v>67209.501430671997</v>
      </c>
      <c r="D170" s="547">
        <f t="shared" ref="D170:AG170" si="115">D136*(D167+D165)</f>
        <v>68405.420272636766</v>
      </c>
      <c r="E170" s="547">
        <f t="shared" si="115"/>
        <v>69486.604036106481</v>
      </c>
      <c r="F170" s="547">
        <f t="shared" si="115"/>
        <v>70455.101260391268</v>
      </c>
      <c r="G170" s="547">
        <f t="shared" si="115"/>
        <v>71312.947621576415</v>
      </c>
      <c r="H170" s="547">
        <f t="shared" si="115"/>
        <v>72062.165986870226</v>
      </c>
      <c r="I170" s="547">
        <f t="shared" si="115"/>
        <v>72540.797613492075</v>
      </c>
      <c r="J170" s="547">
        <f t="shared" si="115"/>
        <v>72910.660517427692</v>
      </c>
      <c r="K170" s="547">
        <f t="shared" si="115"/>
        <v>73174.375958086035</v>
      </c>
      <c r="L170" s="547">
        <f t="shared" si="115"/>
        <v>73334.547937340467</v>
      </c>
      <c r="M170" s="547">
        <f t="shared" si="115"/>
        <v>73393.763273912322</v>
      </c>
      <c r="N170" s="547">
        <f t="shared" si="115"/>
        <v>73233.238005751948</v>
      </c>
      <c r="O170" s="547">
        <f t="shared" si="115"/>
        <v>73036.567740689628</v>
      </c>
      <c r="P170" s="547">
        <f t="shared" si="115"/>
        <v>72691.652371603253</v>
      </c>
      <c r="Q170" s="547">
        <f t="shared" si="115"/>
        <v>72255.334991505297</v>
      </c>
      <c r="R170" s="547">
        <f t="shared" si="115"/>
        <v>71730.523611925135</v>
      </c>
      <c r="S170" s="547">
        <f t="shared" si="115"/>
        <v>71120.106647341105</v>
      </c>
      <c r="T170" s="547">
        <f t="shared" si="115"/>
        <v>70426.952996996362</v>
      </c>
      <c r="U170" s="547">
        <f t="shared" si="115"/>
        <v>69653.912126464653</v>
      </c>
      <c r="V170" s="547">
        <f t="shared" si="115"/>
        <v>68803.81414896666</v>
      </c>
      <c r="W170" s="547">
        <f t="shared" si="115"/>
        <v>67879.469906437065</v>
      </c>
      <c r="X170" s="547">
        <f t="shared" si="115"/>
        <v>67124.481268125455</v>
      </c>
      <c r="Y170" s="547">
        <f t="shared" si="115"/>
        <v>66233.257704923759</v>
      </c>
      <c r="Z170" s="547">
        <f t="shared" si="115"/>
        <v>65249.699573686717</v>
      </c>
      <c r="AA170" s="547">
        <f t="shared" si="115"/>
        <v>64200.007585657746</v>
      </c>
      <c r="AB170" s="547">
        <f t="shared" si="115"/>
        <v>63086.401029414723</v>
      </c>
      <c r="AC170" s="547">
        <f t="shared" si="115"/>
        <v>61906.040534235297</v>
      </c>
      <c r="AD170" s="547">
        <f t="shared" si="115"/>
        <v>60666.27814220234</v>
      </c>
      <c r="AE170" s="547">
        <f t="shared" si="115"/>
        <v>59369.306147839729</v>
      </c>
      <c r="AF170" s="547">
        <f t="shared" si="115"/>
        <v>58017.301967164851</v>
      </c>
      <c r="AG170" s="547">
        <f t="shared" si="115"/>
        <v>56612.428137746901</v>
      </c>
      <c r="AI170" s="266"/>
      <c r="AJ170" s="185" t="s">
        <v>629</v>
      </c>
    </row>
    <row r="171" spans="1:36" s="1" customFormat="1" outlineLevel="1">
      <c r="A171" t="s">
        <v>663</v>
      </c>
      <c r="B171" s="252" t="s">
        <v>127</v>
      </c>
      <c r="C171" s="547">
        <f>C164*C137</f>
        <v>0</v>
      </c>
      <c r="D171" s="547">
        <f t="shared" ref="D171:AG171" si="116">D164*D137</f>
        <v>0</v>
      </c>
      <c r="E171" s="547">
        <f t="shared" si="116"/>
        <v>0</v>
      </c>
      <c r="F171" s="547">
        <f t="shared" si="116"/>
        <v>0</v>
      </c>
      <c r="G171" s="547">
        <f t="shared" si="116"/>
        <v>0</v>
      </c>
      <c r="H171" s="547">
        <f t="shared" si="116"/>
        <v>0</v>
      </c>
      <c r="I171" s="547">
        <f t="shared" si="116"/>
        <v>0</v>
      </c>
      <c r="J171" s="547">
        <f t="shared" si="116"/>
        <v>0</v>
      </c>
      <c r="K171" s="547">
        <f t="shared" si="116"/>
        <v>0</v>
      </c>
      <c r="L171" s="547">
        <f t="shared" si="116"/>
        <v>0</v>
      </c>
      <c r="M171" s="547">
        <f t="shared" si="116"/>
        <v>0</v>
      </c>
      <c r="N171" s="547">
        <f t="shared" si="116"/>
        <v>0</v>
      </c>
      <c r="O171" s="547">
        <f t="shared" si="116"/>
        <v>0</v>
      </c>
      <c r="P171" s="547">
        <f t="shared" si="116"/>
        <v>0</v>
      </c>
      <c r="Q171" s="547">
        <f t="shared" si="116"/>
        <v>0</v>
      </c>
      <c r="R171" s="547">
        <f t="shared" si="116"/>
        <v>0</v>
      </c>
      <c r="S171" s="547">
        <f t="shared" si="116"/>
        <v>0</v>
      </c>
      <c r="T171" s="547">
        <f t="shared" si="116"/>
        <v>0</v>
      </c>
      <c r="U171" s="547">
        <f t="shared" si="116"/>
        <v>0</v>
      </c>
      <c r="V171" s="547">
        <f t="shared" si="116"/>
        <v>0</v>
      </c>
      <c r="W171" s="547">
        <f t="shared" si="116"/>
        <v>0</v>
      </c>
      <c r="X171" s="547">
        <f t="shared" si="116"/>
        <v>0</v>
      </c>
      <c r="Y171" s="547">
        <f t="shared" si="116"/>
        <v>0</v>
      </c>
      <c r="Z171" s="547">
        <f t="shared" si="116"/>
        <v>0</v>
      </c>
      <c r="AA171" s="547">
        <f t="shared" si="116"/>
        <v>0</v>
      </c>
      <c r="AB171" s="547">
        <f t="shared" si="116"/>
        <v>0</v>
      </c>
      <c r="AC171" s="547">
        <f t="shared" si="116"/>
        <v>0</v>
      </c>
      <c r="AD171" s="547">
        <f t="shared" si="116"/>
        <v>0</v>
      </c>
      <c r="AE171" s="547">
        <f t="shared" si="116"/>
        <v>0</v>
      </c>
      <c r="AF171" s="547">
        <f t="shared" si="116"/>
        <v>0</v>
      </c>
      <c r="AG171" s="547">
        <f t="shared" si="116"/>
        <v>0</v>
      </c>
      <c r="AI171" s="266"/>
      <c r="AJ171" s="185" t="s">
        <v>629</v>
      </c>
    </row>
    <row r="172" spans="1:36" s="1" customFormat="1" outlineLevel="1">
      <c r="A172" t="s">
        <v>684</v>
      </c>
      <c r="B172" s="252" t="s">
        <v>127</v>
      </c>
      <c r="C172" s="547">
        <f>C164*C138</f>
        <v>0</v>
      </c>
      <c r="D172" s="547">
        <f t="shared" ref="D172:AG172" si="117">D164*D138</f>
        <v>0</v>
      </c>
      <c r="E172" s="547">
        <f t="shared" si="117"/>
        <v>0</v>
      </c>
      <c r="F172" s="547">
        <f t="shared" si="117"/>
        <v>0</v>
      </c>
      <c r="G172" s="547">
        <f t="shared" si="117"/>
        <v>0</v>
      </c>
      <c r="H172" s="547">
        <f t="shared" si="117"/>
        <v>0</v>
      </c>
      <c r="I172" s="547">
        <f t="shared" si="117"/>
        <v>0</v>
      </c>
      <c r="J172" s="547">
        <f t="shared" si="117"/>
        <v>0</v>
      </c>
      <c r="K172" s="547">
        <f t="shared" si="117"/>
        <v>0</v>
      </c>
      <c r="L172" s="547">
        <f t="shared" si="117"/>
        <v>0</v>
      </c>
      <c r="M172" s="547">
        <f t="shared" si="117"/>
        <v>0</v>
      </c>
      <c r="N172" s="547">
        <f t="shared" si="117"/>
        <v>0</v>
      </c>
      <c r="O172" s="547">
        <f t="shared" si="117"/>
        <v>0</v>
      </c>
      <c r="P172" s="547">
        <f t="shared" si="117"/>
        <v>0</v>
      </c>
      <c r="Q172" s="547">
        <f t="shared" si="117"/>
        <v>0</v>
      </c>
      <c r="R172" s="547">
        <f t="shared" si="117"/>
        <v>0</v>
      </c>
      <c r="S172" s="547">
        <f t="shared" si="117"/>
        <v>0</v>
      </c>
      <c r="T172" s="547">
        <f t="shared" si="117"/>
        <v>0</v>
      </c>
      <c r="U172" s="547">
        <f t="shared" si="117"/>
        <v>0</v>
      </c>
      <c r="V172" s="547">
        <f t="shared" si="117"/>
        <v>0</v>
      </c>
      <c r="W172" s="547">
        <f t="shared" si="117"/>
        <v>0</v>
      </c>
      <c r="X172" s="547">
        <f t="shared" si="117"/>
        <v>0</v>
      </c>
      <c r="Y172" s="547">
        <f t="shared" si="117"/>
        <v>0</v>
      </c>
      <c r="Z172" s="547">
        <f t="shared" si="117"/>
        <v>0</v>
      </c>
      <c r="AA172" s="547">
        <f t="shared" si="117"/>
        <v>0</v>
      </c>
      <c r="AB172" s="547">
        <f t="shared" si="117"/>
        <v>0</v>
      </c>
      <c r="AC172" s="547">
        <f t="shared" si="117"/>
        <v>0</v>
      </c>
      <c r="AD172" s="547">
        <f t="shared" si="117"/>
        <v>0</v>
      </c>
      <c r="AE172" s="547">
        <f t="shared" si="117"/>
        <v>0</v>
      </c>
      <c r="AF172" s="547">
        <f t="shared" si="117"/>
        <v>0</v>
      </c>
      <c r="AG172" s="547">
        <f t="shared" si="117"/>
        <v>0</v>
      </c>
      <c r="AI172" s="266"/>
      <c r="AJ172" s="185" t="s">
        <v>629</v>
      </c>
    </row>
    <row r="173" spans="1:36" s="1" customFormat="1" outlineLevel="1">
      <c r="A173" t="s">
        <v>666</v>
      </c>
      <c r="B173" s="252" t="s">
        <v>127</v>
      </c>
      <c r="C173" s="547">
        <f t="shared" ref="C173:AG173" si="118">C169*C139</f>
        <v>72586.261545125759</v>
      </c>
      <c r="D173" s="547">
        <f t="shared" si="118"/>
        <v>74325.387660977169</v>
      </c>
      <c r="E173" s="547">
        <f t="shared" si="118"/>
        <v>75960.838660436129</v>
      </c>
      <c r="F173" s="547">
        <f t="shared" si="118"/>
        <v>77493.19505998191</v>
      </c>
      <c r="G173" s="547">
        <f t="shared" si="118"/>
        <v>78923.057889193195</v>
      </c>
      <c r="H173" s="547">
        <f t="shared" si="118"/>
        <v>80251.048485378182</v>
      </c>
      <c r="I173" s="547">
        <f t="shared" si="118"/>
        <v>81294.053858853425</v>
      </c>
      <c r="J173" s="547">
        <f t="shared" si="118"/>
        <v>82229.468335258876</v>
      </c>
      <c r="K173" s="547">
        <f t="shared" si="118"/>
        <v>83058.545510578217</v>
      </c>
      <c r="L173" s="547">
        <f t="shared" si="118"/>
        <v>83782.564119942675</v>
      </c>
      <c r="M173" s="547">
        <f t="shared" si="118"/>
        <v>84402.827764999092</v>
      </c>
      <c r="N173" s="547">
        <f t="shared" si="118"/>
        <v>84780.176716617978</v>
      </c>
      <c r="O173" s="547">
        <f t="shared" si="118"/>
        <v>85124.11970177367</v>
      </c>
      <c r="P173" s="547">
        <f t="shared" si="118"/>
        <v>85302.880742625552</v>
      </c>
      <c r="Q173" s="547">
        <f t="shared" si="118"/>
        <v>85380.673669527328</v>
      </c>
      <c r="R173" s="547">
        <f t="shared" si="118"/>
        <v>85359.323098190798</v>
      </c>
      <c r="S173" s="547">
        <f t="shared" si="118"/>
        <v>85240.680548958524</v>
      </c>
      <c r="T173" s="547">
        <f t="shared" si="118"/>
        <v>85026.624136885177</v>
      </c>
      <c r="U173" s="547">
        <f t="shared" si="118"/>
        <v>84719.058263531275</v>
      </c>
      <c r="V173" s="547">
        <f t="shared" si="118"/>
        <v>84319.91331046274</v>
      </c>
      <c r="W173" s="547">
        <f t="shared" si="118"/>
        <v>83831.145334449597</v>
      </c>
      <c r="X173" s="547">
        <f t="shared" si="118"/>
        <v>83554.48891390799</v>
      </c>
      <c r="Y173" s="547">
        <f t="shared" si="118"/>
        <v>83112.280536883613</v>
      </c>
      <c r="Z173" s="547">
        <f t="shared" si="118"/>
        <v>82556.741509258442</v>
      </c>
      <c r="AA173" s="547">
        <f t="shared" si="118"/>
        <v>81919.209679299078</v>
      </c>
      <c r="AB173" s="547">
        <f t="shared" si="118"/>
        <v>81201.210467860714</v>
      </c>
      <c r="AC173" s="547">
        <f t="shared" si="118"/>
        <v>80397.738994990767</v>
      </c>
      <c r="AD173" s="547">
        <f t="shared" si="118"/>
        <v>79516.945295842786</v>
      </c>
      <c r="AE173" s="547">
        <f t="shared" si="118"/>
        <v>78560.434360128667</v>
      </c>
      <c r="AF173" s="547">
        <f t="shared" si="118"/>
        <v>77529.830686831061</v>
      </c>
      <c r="AG173" s="547">
        <f t="shared" si="118"/>
        <v>76426.77798595831</v>
      </c>
      <c r="AI173" s="266"/>
      <c r="AJ173" s="185"/>
    </row>
    <row r="174" spans="1:36" s="61" customFormat="1">
      <c r="A174" s="294" t="s">
        <v>657</v>
      </c>
      <c r="B174" s="258" t="s">
        <v>127</v>
      </c>
      <c r="C174" s="548">
        <f>C140*C$159</f>
        <v>2017693.6536257926</v>
      </c>
      <c r="D174" s="548">
        <f t="shared" ref="D174:AF174" si="119">D140*D$159</f>
        <v>1977821.3704374172</v>
      </c>
      <c r="E174" s="548">
        <f t="shared" si="119"/>
        <v>1937488.4267713886</v>
      </c>
      <c r="F174" s="548">
        <f t="shared" si="119"/>
        <v>1896717.9515798052</v>
      </c>
      <c r="G174" s="548">
        <f t="shared" si="119"/>
        <v>1855532.9123055518</v>
      </c>
      <c r="H174" s="548">
        <f t="shared" si="119"/>
        <v>1813956.1155920543</v>
      </c>
      <c r="I174" s="548">
        <f t="shared" si="119"/>
        <v>1768374.9568299758</v>
      </c>
      <c r="J174" s="548">
        <f t="shared" si="119"/>
        <v>1722623.5563035684</v>
      </c>
      <c r="K174" s="548">
        <f t="shared" si="119"/>
        <v>1676723.2945940299</v>
      </c>
      <c r="L174" s="548">
        <f t="shared" si="119"/>
        <v>1630695.3976673873</v>
      </c>
      <c r="M174" s="548">
        <f t="shared" si="119"/>
        <v>1584560.9375627933</v>
      </c>
      <c r="N174" s="548">
        <f t="shared" si="119"/>
        <v>1542665.6749202844</v>
      </c>
      <c r="O174" s="548">
        <f t="shared" si="119"/>
        <v>1502274.7282271818</v>
      </c>
      <c r="P174" s="548">
        <f t="shared" si="119"/>
        <v>1460910.5528606721</v>
      </c>
      <c r="Q174" s="548">
        <f t="shared" si="119"/>
        <v>1419706.1677691049</v>
      </c>
      <c r="R174" s="548">
        <f t="shared" si="119"/>
        <v>1378677.3330699375</v>
      </c>
      <c r="S174" s="548">
        <f t="shared" si="119"/>
        <v>1337839.6865502351</v>
      </c>
      <c r="T174" s="548">
        <f t="shared" si="119"/>
        <v>1297208.7442733191</v>
      </c>
      <c r="U174" s="548">
        <f t="shared" si="119"/>
        <v>1256799.9011829647</v>
      </c>
      <c r="V174" s="548">
        <f t="shared" si="119"/>
        <v>1216628.4317051696</v>
      </c>
      <c r="W174" s="548">
        <f t="shared" si="119"/>
        <v>1176709.4903474867</v>
      </c>
      <c r="X174" s="548">
        <f t="shared" si="119"/>
        <v>1133298.9284675447</v>
      </c>
      <c r="Y174" s="548">
        <f t="shared" si="119"/>
        <v>1088697.2883822105</v>
      </c>
      <c r="Z174" s="548">
        <f t="shared" si="119"/>
        <v>1043919.6060107726</v>
      </c>
      <c r="AA174" s="548">
        <f t="shared" si="119"/>
        <v>999221.32275035256</v>
      </c>
      <c r="AB174" s="548">
        <f t="shared" si="119"/>
        <v>954616.4379087009</v>
      </c>
      <c r="AC174" s="548">
        <f t="shared" si="119"/>
        <v>910052.9895560327</v>
      </c>
      <c r="AD174" s="548">
        <f t="shared" si="119"/>
        <v>865615.73603487364</v>
      </c>
      <c r="AE174" s="548">
        <f t="shared" si="119"/>
        <v>821318.29400862427</v>
      </c>
      <c r="AF174" s="548">
        <f t="shared" si="119"/>
        <v>777174.16604203591</v>
      </c>
      <c r="AG174" s="548">
        <f>AG140*AG$159</f>
        <v>733196.74254871777</v>
      </c>
      <c r="AI174" s="286"/>
      <c r="AJ174" s="297"/>
    </row>
    <row r="175" spans="1:36">
      <c r="A175" s="295" t="s">
        <v>658</v>
      </c>
      <c r="B175" s="252" t="s">
        <v>127</v>
      </c>
      <c r="C175" s="547">
        <f t="shared" ref="C175:AG175" si="120">C141*C$159</f>
        <v>20800.965501296832</v>
      </c>
      <c r="D175" s="547">
        <f t="shared" si="120"/>
        <v>20382.906600179496</v>
      </c>
      <c r="E175" s="547">
        <f t="shared" si="120"/>
        <v>19960.389012067881</v>
      </c>
      <c r="F175" s="547">
        <f t="shared" si="120"/>
        <v>19533.655526053612</v>
      </c>
      <c r="G175" s="547">
        <f t="shared" si="120"/>
        <v>19102.946935197859</v>
      </c>
      <c r="H175" s="547">
        <f t="shared" si="120"/>
        <v>18668.502047259568</v>
      </c>
      <c r="I175" s="547">
        <f t="shared" si="120"/>
        <v>18193.157992077944</v>
      </c>
      <c r="J175" s="547">
        <f t="shared" si="120"/>
        <v>17716.388991809072</v>
      </c>
      <c r="K175" s="547">
        <f t="shared" si="120"/>
        <v>17238.416325504084</v>
      </c>
      <c r="L175" s="547">
        <f t="shared" si="120"/>
        <v>16759.459379932046</v>
      </c>
      <c r="M175" s="547">
        <f t="shared" si="120"/>
        <v>16279.735659891719</v>
      </c>
      <c r="N175" s="547">
        <f t="shared" si="120"/>
        <v>15843.878893395602</v>
      </c>
      <c r="O175" s="547">
        <f t="shared" si="120"/>
        <v>15423.765176870458</v>
      </c>
      <c r="P175" s="547">
        <f t="shared" si="120"/>
        <v>14993.950251734583</v>
      </c>
      <c r="Q175" s="547">
        <f t="shared" si="120"/>
        <v>14566.068752761004</v>
      </c>
      <c r="R175" s="547">
        <f t="shared" si="120"/>
        <v>14140.280339178855</v>
      </c>
      <c r="S175" s="547">
        <f t="shared" si="120"/>
        <v>13716.743197712605</v>
      </c>
      <c r="T175" s="547">
        <f t="shared" si="120"/>
        <v>13295.614051315202</v>
      </c>
      <c r="U175" s="547">
        <f t="shared" si="120"/>
        <v>12877.048167858255</v>
      </c>
      <c r="V175" s="547">
        <f t="shared" si="120"/>
        <v>12461.199368779487</v>
      </c>
      <c r="W175" s="547">
        <f t="shared" si="120"/>
        <v>12048.220037687586</v>
      </c>
      <c r="X175" s="547">
        <f t="shared" si="120"/>
        <v>11599.784324130458</v>
      </c>
      <c r="Y175" s="547">
        <f t="shared" si="120"/>
        <v>11139.46748003627</v>
      </c>
      <c r="Z175" s="547">
        <f t="shared" si="120"/>
        <v>10677.663886915516</v>
      </c>
      <c r="AA175" s="547">
        <f t="shared" si="120"/>
        <v>10216.986940187662</v>
      </c>
      <c r="AB175" s="547">
        <f t="shared" si="120"/>
        <v>9757.5785816903081</v>
      </c>
      <c r="AC175" s="547">
        <f t="shared" si="120"/>
        <v>9298.9065690330408</v>
      </c>
      <c r="AD175" s="547">
        <f t="shared" si="120"/>
        <v>8841.8359145543873</v>
      </c>
      <c r="AE175" s="547">
        <f t="shared" si="120"/>
        <v>8386.5040232330684</v>
      </c>
      <c r="AF175" s="547">
        <f t="shared" si="120"/>
        <v>7933.0469483705692</v>
      </c>
      <c r="AG175" s="547">
        <f t="shared" si="120"/>
        <v>7481.5994137624266</v>
      </c>
      <c r="AI175" s="246"/>
    </row>
    <row r="176" spans="1:36">
      <c r="A176" s="295" t="s">
        <v>659</v>
      </c>
      <c r="B176" s="252" t="s">
        <v>127</v>
      </c>
      <c r="C176" s="547">
        <f t="shared" ref="C176:AG176" si="121">C142*C$159</f>
        <v>0</v>
      </c>
      <c r="D176" s="547">
        <f t="shared" si="121"/>
        <v>0</v>
      </c>
      <c r="E176" s="547">
        <f t="shared" si="121"/>
        <v>0</v>
      </c>
      <c r="F176" s="547">
        <f t="shared" si="121"/>
        <v>0</v>
      </c>
      <c r="G176" s="547">
        <f t="shared" si="121"/>
        <v>0</v>
      </c>
      <c r="H176" s="547">
        <f t="shared" si="121"/>
        <v>0</v>
      </c>
      <c r="I176" s="547">
        <f t="shared" si="121"/>
        <v>0</v>
      </c>
      <c r="J176" s="547">
        <f t="shared" si="121"/>
        <v>0</v>
      </c>
      <c r="K176" s="547">
        <f t="shared" si="121"/>
        <v>0</v>
      </c>
      <c r="L176" s="547">
        <f t="shared" si="121"/>
        <v>0</v>
      </c>
      <c r="M176" s="547">
        <f t="shared" si="121"/>
        <v>0</v>
      </c>
      <c r="N176" s="547">
        <f t="shared" si="121"/>
        <v>0</v>
      </c>
      <c r="O176" s="547">
        <f t="shared" si="121"/>
        <v>0</v>
      </c>
      <c r="P176" s="547">
        <f t="shared" si="121"/>
        <v>0</v>
      </c>
      <c r="Q176" s="547">
        <f t="shared" si="121"/>
        <v>0</v>
      </c>
      <c r="R176" s="547">
        <f t="shared" si="121"/>
        <v>0</v>
      </c>
      <c r="S176" s="547">
        <f t="shared" si="121"/>
        <v>0</v>
      </c>
      <c r="T176" s="547">
        <f t="shared" si="121"/>
        <v>0</v>
      </c>
      <c r="U176" s="547">
        <f t="shared" si="121"/>
        <v>0</v>
      </c>
      <c r="V176" s="547">
        <f t="shared" si="121"/>
        <v>0</v>
      </c>
      <c r="W176" s="547">
        <f t="shared" si="121"/>
        <v>0</v>
      </c>
      <c r="X176" s="547">
        <f t="shared" si="121"/>
        <v>0</v>
      </c>
      <c r="Y176" s="547">
        <f t="shared" si="121"/>
        <v>0</v>
      </c>
      <c r="Z176" s="547">
        <f t="shared" si="121"/>
        <v>0</v>
      </c>
      <c r="AA176" s="547">
        <f t="shared" si="121"/>
        <v>0</v>
      </c>
      <c r="AB176" s="547">
        <f t="shared" si="121"/>
        <v>0</v>
      </c>
      <c r="AC176" s="547">
        <f t="shared" si="121"/>
        <v>0</v>
      </c>
      <c r="AD176" s="547">
        <f t="shared" si="121"/>
        <v>0</v>
      </c>
      <c r="AE176" s="547">
        <f t="shared" si="121"/>
        <v>0</v>
      </c>
      <c r="AF176" s="547">
        <f t="shared" si="121"/>
        <v>0</v>
      </c>
      <c r="AG176" s="547">
        <f t="shared" si="121"/>
        <v>0</v>
      </c>
      <c r="AI176" s="246"/>
    </row>
    <row r="177" spans="1:36">
      <c r="A177" s="295" t="s">
        <v>660</v>
      </c>
      <c r="B177" s="252" t="s">
        <v>127</v>
      </c>
      <c r="C177" s="547">
        <f t="shared" ref="C177:AG177" si="122">C143*C$159</f>
        <v>0</v>
      </c>
      <c r="D177" s="547">
        <f t="shared" si="122"/>
        <v>0</v>
      </c>
      <c r="E177" s="547">
        <f t="shared" si="122"/>
        <v>0</v>
      </c>
      <c r="F177" s="547">
        <f t="shared" si="122"/>
        <v>0</v>
      </c>
      <c r="G177" s="547">
        <f t="shared" si="122"/>
        <v>0</v>
      </c>
      <c r="H177" s="547">
        <f t="shared" si="122"/>
        <v>0</v>
      </c>
      <c r="I177" s="547">
        <f t="shared" si="122"/>
        <v>0</v>
      </c>
      <c r="J177" s="547">
        <f t="shared" si="122"/>
        <v>0</v>
      </c>
      <c r="K177" s="547">
        <f t="shared" si="122"/>
        <v>0</v>
      </c>
      <c r="L177" s="547">
        <f t="shared" si="122"/>
        <v>0</v>
      </c>
      <c r="M177" s="547">
        <f t="shared" si="122"/>
        <v>0</v>
      </c>
      <c r="N177" s="547">
        <f t="shared" si="122"/>
        <v>0</v>
      </c>
      <c r="O177" s="547">
        <f t="shared" si="122"/>
        <v>0</v>
      </c>
      <c r="P177" s="547">
        <f t="shared" si="122"/>
        <v>0</v>
      </c>
      <c r="Q177" s="547">
        <f t="shared" si="122"/>
        <v>0</v>
      </c>
      <c r="R177" s="547">
        <f t="shared" si="122"/>
        <v>0</v>
      </c>
      <c r="S177" s="547">
        <f t="shared" si="122"/>
        <v>0</v>
      </c>
      <c r="T177" s="547">
        <f t="shared" si="122"/>
        <v>0</v>
      </c>
      <c r="U177" s="547">
        <f t="shared" si="122"/>
        <v>0</v>
      </c>
      <c r="V177" s="547">
        <f t="shared" si="122"/>
        <v>0</v>
      </c>
      <c r="W177" s="547">
        <f t="shared" si="122"/>
        <v>0</v>
      </c>
      <c r="X177" s="547">
        <f t="shared" si="122"/>
        <v>0</v>
      </c>
      <c r="Y177" s="547">
        <f t="shared" si="122"/>
        <v>0</v>
      </c>
      <c r="Z177" s="547">
        <f t="shared" si="122"/>
        <v>0</v>
      </c>
      <c r="AA177" s="547">
        <f t="shared" si="122"/>
        <v>0</v>
      </c>
      <c r="AB177" s="547">
        <f t="shared" si="122"/>
        <v>0</v>
      </c>
      <c r="AC177" s="547">
        <f t="shared" si="122"/>
        <v>0</v>
      </c>
      <c r="AD177" s="547">
        <f t="shared" si="122"/>
        <v>0</v>
      </c>
      <c r="AE177" s="547">
        <f t="shared" si="122"/>
        <v>0</v>
      </c>
      <c r="AF177" s="547">
        <f t="shared" si="122"/>
        <v>0</v>
      </c>
      <c r="AG177" s="547">
        <f t="shared" si="122"/>
        <v>0</v>
      </c>
      <c r="AI177" s="246"/>
    </row>
    <row r="178" spans="1:36">
      <c r="A178" s="295" t="s">
        <v>661</v>
      </c>
      <c r="B178" s="252" t="s">
        <v>127</v>
      </c>
      <c r="C178" s="547">
        <f t="shared" ref="C178:AG178" si="123">C144*C$159</f>
        <v>31201.448251945247</v>
      </c>
      <c r="D178" s="547">
        <f t="shared" si="123"/>
        <v>30030.815724264459</v>
      </c>
      <c r="E178" s="547">
        <f t="shared" si="123"/>
        <v>28876.029437458197</v>
      </c>
      <c r="F178" s="547">
        <f t="shared" si="123"/>
        <v>27737.790846996126</v>
      </c>
      <c r="G178" s="547">
        <f t="shared" si="123"/>
        <v>26616.772729709017</v>
      </c>
      <c r="H178" s="547">
        <f t="shared" si="123"/>
        <v>25513.619464588075</v>
      </c>
      <c r="I178" s="547">
        <f t="shared" si="123"/>
        <v>24378.831709384445</v>
      </c>
      <c r="J178" s="547">
        <f t="shared" si="123"/>
        <v>23267.52420924258</v>
      </c>
      <c r="K178" s="547">
        <f t="shared" si="123"/>
        <v>22180.095672148585</v>
      </c>
      <c r="L178" s="547">
        <f t="shared" si="123"/>
        <v>21116.918818714374</v>
      </c>
      <c r="M178" s="547">
        <f t="shared" si="123"/>
        <v>20078.340647199784</v>
      </c>
      <c r="N178" s="547">
        <f t="shared" si="123"/>
        <v>19118.280531364024</v>
      </c>
      <c r="O178" s="547">
        <f t="shared" si="123"/>
        <v>18200.042908707135</v>
      </c>
      <c r="P178" s="547">
        <f t="shared" si="123"/>
        <v>17293.022623667217</v>
      </c>
      <c r="Q178" s="547">
        <f t="shared" si="123"/>
        <v>16411.104128110728</v>
      </c>
      <c r="R178" s="547">
        <f t="shared" si="123"/>
        <v>15554.308373096737</v>
      </c>
      <c r="S178" s="547">
        <f t="shared" si="123"/>
        <v>14722.637698878192</v>
      </c>
      <c r="T178" s="547">
        <f t="shared" si="123"/>
        <v>13916.076040376574</v>
      </c>
      <c r="U178" s="547">
        <f t="shared" si="123"/>
        <v>13134.589131215416</v>
      </c>
      <c r="V178" s="547">
        <f t="shared" si="123"/>
        <v>12378.124706320954</v>
      </c>
      <c r="W178" s="547">
        <f t="shared" si="123"/>
        <v>11646.612703097997</v>
      </c>
      <c r="X178" s="547">
        <f t="shared" si="123"/>
        <v>10903.797264682627</v>
      </c>
      <c r="Y178" s="547">
        <f t="shared" si="123"/>
        <v>10174.046965099789</v>
      </c>
      <c r="Z178" s="547">
        <f t="shared" si="123"/>
        <v>9467.5286463984194</v>
      </c>
      <c r="AA178" s="547">
        <f t="shared" si="123"/>
        <v>8786.6087685613857</v>
      </c>
      <c r="AB178" s="547">
        <f t="shared" si="123"/>
        <v>8131.31548474192</v>
      </c>
      <c r="AC178" s="547">
        <f t="shared" si="123"/>
        <v>7501.1179656866489</v>
      </c>
      <c r="AD178" s="547">
        <f t="shared" si="123"/>
        <v>6896.6320133524187</v>
      </c>
      <c r="AE178" s="547">
        <f t="shared" si="123"/>
        <v>6317.8330308355753</v>
      </c>
      <c r="AF178" s="547">
        <f t="shared" si="123"/>
        <v>5764.6807824826101</v>
      </c>
      <c r="AG178" s="547">
        <f t="shared" si="123"/>
        <v>5237.1195896336985</v>
      </c>
      <c r="AI178" s="246"/>
    </row>
    <row r="179" spans="1:36" s="62" customFormat="1">
      <c r="A179" s="296" t="s">
        <v>662</v>
      </c>
      <c r="B179" s="262" t="s">
        <v>127</v>
      </c>
      <c r="C179" s="549">
        <f t="shared" ref="C179:AG179" si="124">C145*C$159</f>
        <v>10400.482750648416</v>
      </c>
      <c r="D179" s="549">
        <f t="shared" si="124"/>
        <v>10055.567256088552</v>
      </c>
      <c r="E179" s="549">
        <f t="shared" si="124"/>
        <v>9714.0559858730358</v>
      </c>
      <c r="F179" s="549">
        <f t="shared" si="124"/>
        <v>9376.1546525057347</v>
      </c>
      <c r="G179" s="549">
        <f t="shared" si="124"/>
        <v>9042.0615493269906</v>
      </c>
      <c r="H179" s="549">
        <f t="shared" si="124"/>
        <v>8711.9676220544698</v>
      </c>
      <c r="I179" s="549">
        <f t="shared" si="124"/>
        <v>8368.8526763558584</v>
      </c>
      <c r="J179" s="549">
        <f t="shared" si="124"/>
        <v>8031.4296762867853</v>
      </c>
      <c r="K179" s="549">
        <f t="shared" si="124"/>
        <v>7699.8259587251632</v>
      </c>
      <c r="L179" s="549">
        <f t="shared" si="124"/>
        <v>7374.162127170106</v>
      </c>
      <c r="M179" s="549">
        <f t="shared" si="124"/>
        <v>7054.552119286418</v>
      </c>
      <c r="N179" s="549">
        <f t="shared" si="124"/>
        <v>6760.0549945154644</v>
      </c>
      <c r="O179" s="549">
        <f t="shared" si="124"/>
        <v>6477.9813742855995</v>
      </c>
      <c r="P179" s="549">
        <f t="shared" si="124"/>
        <v>6197.4994373836353</v>
      </c>
      <c r="Q179" s="549">
        <f t="shared" si="124"/>
        <v>5923.5346261228169</v>
      </c>
      <c r="R179" s="549">
        <f t="shared" si="124"/>
        <v>5656.1121356715503</v>
      </c>
      <c r="S179" s="549">
        <f t="shared" si="124"/>
        <v>5395.2523244336335</v>
      </c>
      <c r="T179" s="549">
        <f t="shared" si="124"/>
        <v>5140.9707665085534</v>
      </c>
      <c r="U179" s="549">
        <f t="shared" si="124"/>
        <v>4893.2783037861445</v>
      </c>
      <c r="V179" s="549">
        <f t="shared" si="124"/>
        <v>4652.1810976776833</v>
      </c>
      <c r="W179" s="549">
        <f t="shared" si="124"/>
        <v>4417.6806804854559</v>
      </c>
      <c r="X179" s="549">
        <f t="shared" si="124"/>
        <v>4175.9223566869723</v>
      </c>
      <c r="Y179" s="549">
        <f t="shared" si="124"/>
        <v>3935.9451762794888</v>
      </c>
      <c r="Z179" s="549">
        <f t="shared" si="124"/>
        <v>3701.5901474640518</v>
      </c>
      <c r="AA179" s="549">
        <f t="shared" si="124"/>
        <v>3473.7755596638117</v>
      </c>
      <c r="AB179" s="549">
        <f t="shared" si="124"/>
        <v>3252.5261938967756</v>
      </c>
      <c r="AC179" s="549">
        <f t="shared" si="124"/>
        <v>3037.6428125507991</v>
      </c>
      <c r="AD179" s="549">
        <f t="shared" si="124"/>
        <v>2829.3874926574094</v>
      </c>
      <c r="AE179" s="549">
        <f t="shared" si="124"/>
        <v>2627.7712606130335</v>
      </c>
      <c r="AF179" s="549">
        <f t="shared" si="124"/>
        <v>2432.8010641669794</v>
      </c>
      <c r="AG179" s="549">
        <f t="shared" si="124"/>
        <v>2244.4798241287281</v>
      </c>
      <c r="AI179" s="264"/>
      <c r="AJ179" s="265"/>
    </row>
    <row r="180" spans="1:36" s="160" customFormat="1">
      <c r="B180" s="156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  <c r="X180" s="565"/>
      <c r="Y180" s="565"/>
      <c r="Z180" s="565"/>
      <c r="AA180" s="565"/>
      <c r="AB180" s="565"/>
      <c r="AC180" s="565"/>
      <c r="AD180" s="565"/>
      <c r="AE180" s="565"/>
      <c r="AF180" s="565"/>
      <c r="AG180" s="565"/>
      <c r="AJ180" s="272"/>
    </row>
    <row r="181" spans="1:36" s="160" customFormat="1">
      <c r="A181" s="160" t="s">
        <v>776</v>
      </c>
      <c r="B181" s="299" t="s">
        <v>127</v>
      </c>
      <c r="C181" s="120">
        <f>C213</f>
        <v>205940.91349861573</v>
      </c>
      <c r="D181" s="120">
        <f t="shared" ref="D181:AG181" si="125">D213</f>
        <v>231231.35967447128</v>
      </c>
      <c r="E181" s="120">
        <f t="shared" si="125"/>
        <v>257029.45196162272</v>
      </c>
      <c r="F181" s="120">
        <f t="shared" si="125"/>
        <v>283310.71918053529</v>
      </c>
      <c r="G181" s="120">
        <f t="shared" si="125"/>
        <v>310050.89030255144</v>
      </c>
      <c r="H181" s="120">
        <f t="shared" si="125"/>
        <v>337225.89337559766</v>
      </c>
      <c r="I181" s="120">
        <f t="shared" si="125"/>
        <v>363617.59327209415</v>
      </c>
      <c r="J181" s="120">
        <f t="shared" si="125"/>
        <v>390234.39457129862</v>
      </c>
      <c r="K181" s="120">
        <f t="shared" si="125"/>
        <v>417053.90768287814</v>
      </c>
      <c r="L181" s="120">
        <f t="shared" si="125"/>
        <v>444053.93299751054</v>
      </c>
      <c r="M181" s="120">
        <f t="shared" si="125"/>
        <v>471212.45985365967</v>
      </c>
      <c r="N181" s="120">
        <f t="shared" si="125"/>
        <v>490627.38014533429</v>
      </c>
      <c r="O181" s="120">
        <f t="shared" si="125"/>
        <v>510282.61417185731</v>
      </c>
      <c r="P181" s="120">
        <f t="shared" si="125"/>
        <v>529474.98281558638</v>
      </c>
      <c r="Q181" s="120">
        <f t="shared" si="125"/>
        <v>548568.38673533918</v>
      </c>
      <c r="R181" s="120">
        <f t="shared" si="125"/>
        <v>567546.56774446857</v>
      </c>
      <c r="S181" s="120">
        <f t="shared" si="125"/>
        <v>586393.41570290737</v>
      </c>
      <c r="T181" s="120">
        <f t="shared" si="125"/>
        <v>605092.96764187422</v>
      </c>
      <c r="U181" s="120">
        <f t="shared" si="125"/>
        <v>623629.40689287998</v>
      </c>
      <c r="V181" s="120">
        <f t="shared" si="125"/>
        <v>641987.06222101115</v>
      </c>
      <c r="W181" s="120">
        <f t="shared" si="125"/>
        <v>660150.4069624769</v>
      </c>
      <c r="X181" s="120">
        <f t="shared" si="125"/>
        <v>688583.48595673207</v>
      </c>
      <c r="Y181" s="120">
        <f t="shared" si="125"/>
        <v>716476.4224400504</v>
      </c>
      <c r="Z181" s="120">
        <f t="shared" si="125"/>
        <v>743929.44332505704</v>
      </c>
      <c r="AA181" s="120">
        <f t="shared" si="125"/>
        <v>771341.1725047275</v>
      </c>
      <c r="AB181" s="120">
        <f t="shared" si="125"/>
        <v>798697.352539371</v>
      </c>
      <c r="AC181" s="120">
        <f t="shared" si="125"/>
        <v>825908.08647414844</v>
      </c>
      <c r="AD181" s="120">
        <f t="shared" si="125"/>
        <v>853030.49708412273</v>
      </c>
      <c r="AE181" s="120">
        <f t="shared" si="125"/>
        <v>880050.77624399413</v>
      </c>
      <c r="AF181" s="120">
        <f t="shared" si="125"/>
        <v>906955.25025424745</v>
      </c>
      <c r="AG181" s="120">
        <f t="shared" si="125"/>
        <v>933730.37762990373</v>
      </c>
      <c r="AI181" s="616"/>
      <c r="AJ181" s="272"/>
    </row>
    <row r="182" spans="1:36" s="160" customFormat="1">
      <c r="A182" s="160" t="s">
        <v>768</v>
      </c>
      <c r="B182" s="298" t="s">
        <v>127</v>
      </c>
      <c r="C182" s="547">
        <f>C181/(1-C139)</f>
        <v>282110.84040906263</v>
      </c>
      <c r="D182" s="547">
        <f t="shared" ref="D182:AG182" si="126">D181/(1-D139)</f>
        <v>315029.10037393909</v>
      </c>
      <c r="E182" s="547">
        <f t="shared" si="126"/>
        <v>348278.39019190072</v>
      </c>
      <c r="F182" s="547">
        <f t="shared" si="126"/>
        <v>381820.37625409069</v>
      </c>
      <c r="G182" s="547">
        <f t="shared" si="126"/>
        <v>415617.81541896978</v>
      </c>
      <c r="H182" s="547">
        <f t="shared" si="126"/>
        <v>449634.52450079686</v>
      </c>
      <c r="I182" s="547">
        <f t="shared" si="126"/>
        <v>482251.4499629896</v>
      </c>
      <c r="J182" s="547">
        <f t="shared" si="126"/>
        <v>514821.10101754434</v>
      </c>
      <c r="K182" s="547">
        <f t="shared" si="126"/>
        <v>547314.83947884268</v>
      </c>
      <c r="L182" s="547">
        <f t="shared" si="126"/>
        <v>579704.87336489628</v>
      </c>
      <c r="M182" s="547">
        <f t="shared" si="126"/>
        <v>611964.23357618134</v>
      </c>
      <c r="N182" s="547">
        <f t="shared" si="126"/>
        <v>633885.50406373932</v>
      </c>
      <c r="O182" s="547">
        <f t="shared" si="126"/>
        <v>655890.24957822275</v>
      </c>
      <c r="P182" s="547">
        <f t="shared" si="126"/>
        <v>677077.983140136</v>
      </c>
      <c r="Q182" s="547">
        <f t="shared" si="126"/>
        <v>697924.15615183103</v>
      </c>
      <c r="R182" s="547">
        <f t="shared" si="126"/>
        <v>718413.37689173233</v>
      </c>
      <c r="S182" s="547">
        <f t="shared" si="126"/>
        <v>738530.75025555084</v>
      </c>
      <c r="T182" s="547">
        <f t="shared" si="126"/>
        <v>758261.86421287491</v>
      </c>
      <c r="U182" s="547">
        <f t="shared" si="126"/>
        <v>777592.77667441394</v>
      </c>
      <c r="V182" s="547">
        <f t="shared" si="126"/>
        <v>796510.00275559688</v>
      </c>
      <c r="W182" s="547">
        <f t="shared" si="126"/>
        <v>815000.50242281088</v>
      </c>
      <c r="X182" s="547">
        <f t="shared" si="126"/>
        <v>845925.65842350374</v>
      </c>
      <c r="Y182" s="547">
        <f t="shared" si="126"/>
        <v>875888.04699272662</v>
      </c>
      <c r="Z182" s="547">
        <f t="shared" si="126"/>
        <v>905023.65368011803</v>
      </c>
      <c r="AA182" s="547">
        <f t="shared" si="126"/>
        <v>933827.08535681292</v>
      </c>
      <c r="AB182" s="547">
        <f t="shared" si="126"/>
        <v>962285.96691490477</v>
      </c>
      <c r="AC182" s="547">
        <f t="shared" si="126"/>
        <v>990297.46579634096</v>
      </c>
      <c r="AD182" s="547">
        <f t="shared" si="126"/>
        <v>1017936.1540383325</v>
      </c>
      <c r="AE182" s="547">
        <f t="shared" si="126"/>
        <v>1045190.9456579501</v>
      </c>
      <c r="AF182" s="547">
        <f t="shared" si="126"/>
        <v>1072051.1232319709</v>
      </c>
      <c r="AG182" s="547">
        <f t="shared" si="126"/>
        <v>1098506.3266234163</v>
      </c>
      <c r="AI182" s="616"/>
      <c r="AJ182" s="272"/>
    </row>
    <row r="183" spans="1:36" s="160" customFormat="1">
      <c r="A183" s="160" t="s">
        <v>769</v>
      </c>
      <c r="B183" s="298" t="s">
        <v>127</v>
      </c>
      <c r="C183" s="547">
        <f>C171</f>
        <v>0</v>
      </c>
      <c r="D183" s="547">
        <f t="shared" ref="D183:AG183" si="127">D171</f>
        <v>0</v>
      </c>
      <c r="E183" s="547">
        <f t="shared" si="127"/>
        <v>0</v>
      </c>
      <c r="F183" s="547">
        <f t="shared" si="127"/>
        <v>0</v>
      </c>
      <c r="G183" s="547">
        <f t="shared" si="127"/>
        <v>0</v>
      </c>
      <c r="H183" s="547">
        <f t="shared" si="127"/>
        <v>0</v>
      </c>
      <c r="I183" s="547">
        <f t="shared" si="127"/>
        <v>0</v>
      </c>
      <c r="J183" s="547">
        <f t="shared" si="127"/>
        <v>0</v>
      </c>
      <c r="K183" s="547">
        <f t="shared" si="127"/>
        <v>0</v>
      </c>
      <c r="L183" s="547">
        <f t="shared" si="127"/>
        <v>0</v>
      </c>
      <c r="M183" s="547">
        <f t="shared" si="127"/>
        <v>0</v>
      </c>
      <c r="N183" s="547">
        <f t="shared" si="127"/>
        <v>0</v>
      </c>
      <c r="O183" s="547">
        <f t="shared" si="127"/>
        <v>0</v>
      </c>
      <c r="P183" s="547">
        <f t="shared" si="127"/>
        <v>0</v>
      </c>
      <c r="Q183" s="547">
        <f t="shared" si="127"/>
        <v>0</v>
      </c>
      <c r="R183" s="547">
        <f t="shared" si="127"/>
        <v>0</v>
      </c>
      <c r="S183" s="547">
        <f t="shared" si="127"/>
        <v>0</v>
      </c>
      <c r="T183" s="547">
        <f t="shared" si="127"/>
        <v>0</v>
      </c>
      <c r="U183" s="547">
        <f t="shared" si="127"/>
        <v>0</v>
      </c>
      <c r="V183" s="547">
        <f t="shared" si="127"/>
        <v>0</v>
      </c>
      <c r="W183" s="547">
        <f t="shared" si="127"/>
        <v>0</v>
      </c>
      <c r="X183" s="547">
        <f t="shared" si="127"/>
        <v>0</v>
      </c>
      <c r="Y183" s="547">
        <f t="shared" si="127"/>
        <v>0</v>
      </c>
      <c r="Z183" s="547">
        <f t="shared" si="127"/>
        <v>0</v>
      </c>
      <c r="AA183" s="547">
        <f t="shared" si="127"/>
        <v>0</v>
      </c>
      <c r="AB183" s="547">
        <f t="shared" si="127"/>
        <v>0</v>
      </c>
      <c r="AC183" s="547">
        <f t="shared" si="127"/>
        <v>0</v>
      </c>
      <c r="AD183" s="547">
        <f t="shared" si="127"/>
        <v>0</v>
      </c>
      <c r="AE183" s="547">
        <f t="shared" si="127"/>
        <v>0</v>
      </c>
      <c r="AF183" s="547">
        <f t="shared" si="127"/>
        <v>0</v>
      </c>
      <c r="AG183" s="547">
        <f t="shared" si="127"/>
        <v>0</v>
      </c>
      <c r="AI183" s="616"/>
      <c r="AJ183" s="272"/>
    </row>
    <row r="184" spans="1:36" s="160" customFormat="1">
      <c r="A184" s="160" t="s">
        <v>770</v>
      </c>
      <c r="B184" s="298" t="s">
        <v>127</v>
      </c>
      <c r="C184" s="547">
        <f>C182-C183</f>
        <v>282110.84040906263</v>
      </c>
      <c r="D184" s="547">
        <f t="shared" ref="D184:AG184" si="128">D182-D183</f>
        <v>315029.10037393909</v>
      </c>
      <c r="E184" s="547">
        <f t="shared" si="128"/>
        <v>348278.39019190072</v>
      </c>
      <c r="F184" s="547">
        <f t="shared" si="128"/>
        <v>381820.37625409069</v>
      </c>
      <c r="G184" s="547">
        <f t="shared" si="128"/>
        <v>415617.81541896978</v>
      </c>
      <c r="H184" s="547">
        <f t="shared" si="128"/>
        <v>449634.52450079686</v>
      </c>
      <c r="I184" s="547">
        <f t="shared" si="128"/>
        <v>482251.4499629896</v>
      </c>
      <c r="J184" s="547">
        <f t="shared" si="128"/>
        <v>514821.10101754434</v>
      </c>
      <c r="K184" s="547">
        <f t="shared" si="128"/>
        <v>547314.83947884268</v>
      </c>
      <c r="L184" s="547">
        <f t="shared" si="128"/>
        <v>579704.87336489628</v>
      </c>
      <c r="M184" s="547">
        <f t="shared" si="128"/>
        <v>611964.23357618134</v>
      </c>
      <c r="N184" s="547">
        <f t="shared" si="128"/>
        <v>633885.50406373932</v>
      </c>
      <c r="O184" s="547">
        <f t="shared" si="128"/>
        <v>655890.24957822275</v>
      </c>
      <c r="P184" s="547">
        <f t="shared" si="128"/>
        <v>677077.983140136</v>
      </c>
      <c r="Q184" s="547">
        <f t="shared" si="128"/>
        <v>697924.15615183103</v>
      </c>
      <c r="R184" s="547">
        <f t="shared" si="128"/>
        <v>718413.37689173233</v>
      </c>
      <c r="S184" s="547">
        <f t="shared" si="128"/>
        <v>738530.75025555084</v>
      </c>
      <c r="T184" s="547">
        <f t="shared" si="128"/>
        <v>758261.86421287491</v>
      </c>
      <c r="U184" s="547">
        <f t="shared" si="128"/>
        <v>777592.77667441394</v>
      </c>
      <c r="V184" s="547">
        <f t="shared" si="128"/>
        <v>796510.00275559688</v>
      </c>
      <c r="W184" s="547">
        <f t="shared" si="128"/>
        <v>815000.50242281088</v>
      </c>
      <c r="X184" s="547">
        <f t="shared" si="128"/>
        <v>845925.65842350374</v>
      </c>
      <c r="Y184" s="547">
        <f t="shared" si="128"/>
        <v>875888.04699272662</v>
      </c>
      <c r="Z184" s="547">
        <f t="shared" si="128"/>
        <v>905023.65368011803</v>
      </c>
      <c r="AA184" s="547">
        <f t="shared" si="128"/>
        <v>933827.08535681292</v>
      </c>
      <c r="AB184" s="547">
        <f t="shared" si="128"/>
        <v>962285.96691490477</v>
      </c>
      <c r="AC184" s="547">
        <f t="shared" si="128"/>
        <v>990297.46579634096</v>
      </c>
      <c r="AD184" s="547">
        <f t="shared" si="128"/>
        <v>1017936.1540383325</v>
      </c>
      <c r="AE184" s="547">
        <f t="shared" si="128"/>
        <v>1045190.9456579501</v>
      </c>
      <c r="AF184" s="547">
        <f t="shared" si="128"/>
        <v>1072051.1232319709</v>
      </c>
      <c r="AG184" s="547">
        <f t="shared" si="128"/>
        <v>1098506.3266234163</v>
      </c>
      <c r="AI184" s="616"/>
      <c r="AJ184" s="272"/>
    </row>
    <row r="185" spans="1:36" s="160" customFormat="1">
      <c r="A185" s="160" t="s">
        <v>771</v>
      </c>
      <c r="B185" s="298" t="s">
        <v>127</v>
      </c>
      <c r="C185" s="547">
        <f>(C184)/(1-C136)</f>
        <v>352638.55051132827</v>
      </c>
      <c r="D185" s="547">
        <f t="shared" ref="D185:AG185" si="129">(D182-D171)/(1-D136)</f>
        <v>392152.40710448846</v>
      </c>
      <c r="E185" s="547">
        <f t="shared" si="129"/>
        <v>431750.07048582734</v>
      </c>
      <c r="F185" s="547">
        <f t="shared" si="129"/>
        <v>471383.18056060583</v>
      </c>
      <c r="G185" s="547">
        <f t="shared" si="129"/>
        <v>511005.5107610285</v>
      </c>
      <c r="H185" s="547">
        <f t="shared" si="129"/>
        <v>550572.88714383286</v>
      </c>
      <c r="I185" s="547">
        <f t="shared" si="129"/>
        <v>588111.52434510936</v>
      </c>
      <c r="J185" s="547">
        <f t="shared" si="129"/>
        <v>625288.78666098509</v>
      </c>
      <c r="K185" s="547">
        <f t="shared" si="129"/>
        <v>662074.40259537427</v>
      </c>
      <c r="L185" s="547">
        <f t="shared" si="129"/>
        <v>698439.60646373045</v>
      </c>
      <c r="M185" s="547">
        <f t="shared" si="129"/>
        <v>734357.08029141766</v>
      </c>
      <c r="N185" s="547">
        <f t="shared" si="129"/>
        <v>757632.07657020644</v>
      </c>
      <c r="O185" s="547">
        <f t="shared" si="129"/>
        <v>780821.72568836052</v>
      </c>
      <c r="P185" s="547">
        <f t="shared" si="129"/>
        <v>802859.26854561584</v>
      </c>
      <c r="Q185" s="547">
        <f t="shared" si="129"/>
        <v>824319.86947066663</v>
      </c>
      <c r="R185" s="547">
        <f t="shared" si="129"/>
        <v>845192.20810792048</v>
      </c>
      <c r="S185" s="547">
        <f t="shared" si="129"/>
        <v>865465.72295572364</v>
      </c>
      <c r="T185" s="547">
        <f t="shared" si="129"/>
        <v>885130.58079323929</v>
      </c>
      <c r="U185" s="547">
        <f t="shared" si="129"/>
        <v>904177.64729583031</v>
      </c>
      <c r="V185" s="547">
        <f t="shared" si="129"/>
        <v>922598.45879026689</v>
      </c>
      <c r="W185" s="547">
        <f t="shared" si="129"/>
        <v>940385.19510324358</v>
      </c>
      <c r="X185" s="547">
        <f t="shared" si="129"/>
        <v>972328.34301552165</v>
      </c>
      <c r="Y185" s="547">
        <f t="shared" si="129"/>
        <v>1002925.2446481604</v>
      </c>
      <c r="Z185" s="547">
        <f t="shared" si="129"/>
        <v>1032346.3730191463</v>
      </c>
      <c r="AA185" s="547">
        <f t="shared" si="129"/>
        <v>1061167.1424509238</v>
      </c>
      <c r="AB185" s="547">
        <f t="shared" si="129"/>
        <v>1089380.3399036659</v>
      </c>
      <c r="AC185" s="547">
        <f t="shared" si="129"/>
        <v>1116876.8411236929</v>
      </c>
      <c r="AD185" s="547">
        <f t="shared" si="129"/>
        <v>1143748.48768352</v>
      </c>
      <c r="AE185" s="547">
        <f t="shared" si="129"/>
        <v>1169989.8645424817</v>
      </c>
      <c r="AF185" s="547">
        <f t="shared" si="129"/>
        <v>1195596.0482140942</v>
      </c>
      <c r="AG185" s="547">
        <f t="shared" si="129"/>
        <v>1220562.5851371291</v>
      </c>
      <c r="AI185" s="616"/>
      <c r="AJ185" s="272"/>
    </row>
    <row r="186" spans="1:36" s="160" customFormat="1">
      <c r="A186" s="160" t="s">
        <v>772</v>
      </c>
      <c r="B186" s="298" t="s">
        <v>127</v>
      </c>
      <c r="C186" s="547">
        <f>IF(C165&gt;C185,C185,C165)</f>
        <v>336047.50715336</v>
      </c>
      <c r="D186" s="547">
        <f t="shared" ref="D186:AG186" si="130">IF(D165&gt;D185,D185,D165)</f>
        <v>347824.17087781406</v>
      </c>
      <c r="E186" s="547">
        <f t="shared" si="130"/>
        <v>359413.46915227489</v>
      </c>
      <c r="F186" s="547">
        <f t="shared" si="130"/>
        <v>370816.32242311188</v>
      </c>
      <c r="G186" s="547">
        <f t="shared" si="130"/>
        <v>382033.64797273075</v>
      </c>
      <c r="H186" s="547">
        <f t="shared" si="130"/>
        <v>393066.35992838297</v>
      </c>
      <c r="I186" s="547">
        <f t="shared" si="130"/>
        <v>403004.431186067</v>
      </c>
      <c r="J186" s="547">
        <f t="shared" si="130"/>
        <v>412701.85198543966</v>
      </c>
      <c r="K186" s="547">
        <f t="shared" si="130"/>
        <v>422159.86129665008</v>
      </c>
      <c r="L186" s="547">
        <f t="shared" si="130"/>
        <v>431379.69374906144</v>
      </c>
      <c r="M186" s="547">
        <f t="shared" si="130"/>
        <v>440362.57964347373</v>
      </c>
      <c r="N186" s="547">
        <f t="shared" si="130"/>
        <v>448366.76330052188</v>
      </c>
      <c r="O186" s="547">
        <f t="shared" si="130"/>
        <v>456478.54837930994</v>
      </c>
      <c r="P186" s="547">
        <f t="shared" si="130"/>
        <v>463989.2704570418</v>
      </c>
      <c r="Q186" s="547">
        <f t="shared" si="130"/>
        <v>471230.44559677335</v>
      </c>
      <c r="R186" s="547">
        <f t="shared" si="130"/>
        <v>478203.49074616726</v>
      </c>
      <c r="S186" s="547">
        <f t="shared" si="130"/>
        <v>484909.81805005262</v>
      </c>
      <c r="T186" s="547">
        <f t="shared" si="130"/>
        <v>491350.83486276487</v>
      </c>
      <c r="U186" s="547">
        <f t="shared" si="130"/>
        <v>497527.94376046135</v>
      </c>
      <c r="V186" s="547">
        <f t="shared" si="130"/>
        <v>503442.54255341412</v>
      </c>
      <c r="W186" s="547">
        <f t="shared" si="130"/>
        <v>509096.02429827745</v>
      </c>
      <c r="X186" s="547">
        <f t="shared" si="130"/>
        <v>516342.16360096447</v>
      </c>
      <c r="Y186" s="547">
        <f t="shared" si="130"/>
        <v>522894.13977571327</v>
      </c>
      <c r="Z186" s="547">
        <f t="shared" si="130"/>
        <v>529051.61816502677</v>
      </c>
      <c r="AA186" s="547">
        <f t="shared" si="130"/>
        <v>535000.06321381382</v>
      </c>
      <c r="AB186" s="547">
        <f t="shared" si="130"/>
        <v>540740.58025212539</v>
      </c>
      <c r="AC186" s="547">
        <f t="shared" si="130"/>
        <v>546229.76941972238</v>
      </c>
      <c r="AD186" s="547">
        <f t="shared" si="130"/>
        <v>551511.61947456584</v>
      </c>
      <c r="AE186" s="547">
        <f t="shared" si="130"/>
        <v>556587.24513599649</v>
      </c>
      <c r="AF186" s="547">
        <f t="shared" si="130"/>
        <v>561457.76097256201</v>
      </c>
      <c r="AG186" s="547">
        <f t="shared" si="130"/>
        <v>566124.28137746896</v>
      </c>
      <c r="AI186" s="616"/>
      <c r="AJ186" s="272"/>
    </row>
    <row r="187" spans="1:36" s="160" customFormat="1">
      <c r="A187" s="160" t="s">
        <v>773</v>
      </c>
      <c r="B187" s="298" t="s">
        <v>127</v>
      </c>
      <c r="C187" s="547">
        <f>IF(C185-C186&lt;0,0,C185-C186)</f>
        <v>16591.043357968272</v>
      </c>
      <c r="D187" s="547">
        <f t="shared" ref="D187:AG187" si="131">IF(D185-D186&lt;0,0,D185-D186)</f>
        <v>44328.236226674402</v>
      </c>
      <c r="E187" s="547">
        <f t="shared" si="131"/>
        <v>72336.601333552448</v>
      </c>
      <c r="F187" s="547">
        <f t="shared" si="131"/>
        <v>100566.85813749395</v>
      </c>
      <c r="G187" s="547">
        <f t="shared" si="131"/>
        <v>128971.86278829776</v>
      </c>
      <c r="H187" s="547">
        <f t="shared" si="131"/>
        <v>157506.5272154499</v>
      </c>
      <c r="I187" s="547">
        <f t="shared" si="131"/>
        <v>185107.09315904236</v>
      </c>
      <c r="J187" s="547">
        <f t="shared" si="131"/>
        <v>212586.93467554543</v>
      </c>
      <c r="K187" s="547">
        <f t="shared" si="131"/>
        <v>239914.54129872419</v>
      </c>
      <c r="L187" s="547">
        <f t="shared" si="131"/>
        <v>267059.91271466902</v>
      </c>
      <c r="M187" s="547">
        <f t="shared" si="131"/>
        <v>293994.50064794393</v>
      </c>
      <c r="N187" s="547">
        <f t="shared" si="131"/>
        <v>309265.31326968456</v>
      </c>
      <c r="O187" s="547">
        <f t="shared" si="131"/>
        <v>324343.17730905057</v>
      </c>
      <c r="P187" s="547">
        <f t="shared" si="131"/>
        <v>338869.99808857404</v>
      </c>
      <c r="Q187" s="547">
        <f t="shared" si="131"/>
        <v>353089.42387389328</v>
      </c>
      <c r="R187" s="547">
        <f t="shared" si="131"/>
        <v>366988.71736175322</v>
      </c>
      <c r="S187" s="547">
        <f t="shared" si="131"/>
        <v>380555.90490567102</v>
      </c>
      <c r="T187" s="547">
        <f t="shared" si="131"/>
        <v>393779.74593047443</v>
      </c>
      <c r="U187" s="547">
        <f t="shared" si="131"/>
        <v>406649.70353536896</v>
      </c>
      <c r="V187" s="547">
        <f t="shared" si="131"/>
        <v>419155.91623685276</v>
      </c>
      <c r="W187" s="547">
        <f t="shared" si="131"/>
        <v>431289.17080496612</v>
      </c>
      <c r="X187" s="547">
        <f t="shared" si="131"/>
        <v>455986.17941455718</v>
      </c>
      <c r="Y187" s="547">
        <f t="shared" si="131"/>
        <v>480031.10487244715</v>
      </c>
      <c r="Z187" s="547">
        <f t="shared" si="131"/>
        <v>503294.7548541195</v>
      </c>
      <c r="AA187" s="547">
        <f t="shared" si="131"/>
        <v>526167.07923710998</v>
      </c>
      <c r="AB187" s="547">
        <f t="shared" si="131"/>
        <v>548639.75965154055</v>
      </c>
      <c r="AC187" s="547">
        <f t="shared" si="131"/>
        <v>570647.07170397055</v>
      </c>
      <c r="AD187" s="547">
        <f t="shared" si="131"/>
        <v>592236.86820895411</v>
      </c>
      <c r="AE187" s="547">
        <f t="shared" si="131"/>
        <v>613402.61940648523</v>
      </c>
      <c r="AF187" s="547">
        <f t="shared" si="131"/>
        <v>634138.28724153223</v>
      </c>
      <c r="AG187" s="547">
        <f t="shared" si="131"/>
        <v>654438.30375966011</v>
      </c>
      <c r="AI187" s="616"/>
      <c r="AJ187" s="272"/>
    </row>
    <row r="188" spans="1:36" s="160" customFormat="1">
      <c r="A188" s="160" t="s">
        <v>774</v>
      </c>
      <c r="B188" s="298" t="s">
        <v>127</v>
      </c>
      <c r="C188" s="547">
        <f>C182*C139+C136*C185+C172+IF(C165&gt;C185,C165-C185,0)</f>
        <v>146697.63701271257</v>
      </c>
      <c r="D188" s="547">
        <f t="shared" ref="D188:AG188" si="132">D182*D139+D136*D185+D172+IF(D165&gt;D185,D165-D185,0)</f>
        <v>160921.04743001721</v>
      </c>
      <c r="E188" s="547">
        <f t="shared" si="132"/>
        <v>174720.61852420462</v>
      </c>
      <c r="F188" s="547">
        <f t="shared" si="132"/>
        <v>188072.46138007054</v>
      </c>
      <c r="G188" s="547">
        <f t="shared" si="132"/>
        <v>200954.620458477</v>
      </c>
      <c r="H188" s="547">
        <f t="shared" si="132"/>
        <v>213346.99376823526</v>
      </c>
      <c r="I188" s="547">
        <f t="shared" si="132"/>
        <v>224493.93107301515</v>
      </c>
      <c r="J188" s="547">
        <f t="shared" si="132"/>
        <v>235054.39208968647</v>
      </c>
      <c r="K188" s="547">
        <f t="shared" si="132"/>
        <v>245020.49491249613</v>
      </c>
      <c r="L188" s="547">
        <f t="shared" si="132"/>
        <v>254385.67346621995</v>
      </c>
      <c r="M188" s="547">
        <f t="shared" si="132"/>
        <v>263144.62043775804</v>
      </c>
      <c r="N188" s="547">
        <f t="shared" si="132"/>
        <v>267004.69642487215</v>
      </c>
      <c r="O188" s="547">
        <f t="shared" si="132"/>
        <v>270539.11151650321</v>
      </c>
      <c r="P188" s="547">
        <f t="shared" si="132"/>
        <v>273384.28573002951</v>
      </c>
      <c r="Q188" s="547">
        <f t="shared" si="132"/>
        <v>275751.48273532744</v>
      </c>
      <c r="R188" s="547">
        <f t="shared" si="132"/>
        <v>277645.64036345191</v>
      </c>
      <c r="S188" s="547">
        <f t="shared" si="132"/>
        <v>279072.30725281633</v>
      </c>
      <c r="T188" s="547">
        <f t="shared" si="132"/>
        <v>280037.61315136508</v>
      </c>
      <c r="U188" s="547">
        <f t="shared" si="132"/>
        <v>280548.24040295026</v>
      </c>
      <c r="V188" s="547">
        <f t="shared" si="132"/>
        <v>280611.39656925568</v>
      </c>
      <c r="W188" s="547">
        <f t="shared" si="132"/>
        <v>280234.78814076667</v>
      </c>
      <c r="X188" s="547">
        <f t="shared" si="132"/>
        <v>283744.85705878958</v>
      </c>
      <c r="Y188" s="547">
        <f t="shared" si="132"/>
        <v>286448.82220811001</v>
      </c>
      <c r="Z188" s="547">
        <f t="shared" si="132"/>
        <v>288416.92969408917</v>
      </c>
      <c r="AA188" s="547">
        <f t="shared" si="132"/>
        <v>289825.96994619642</v>
      </c>
      <c r="AB188" s="547">
        <f t="shared" si="132"/>
        <v>290682.98736429494</v>
      </c>
      <c r="AC188" s="547">
        <f t="shared" si="132"/>
        <v>290968.7546495446</v>
      </c>
      <c r="AD188" s="547">
        <f t="shared" si="132"/>
        <v>290717.99059939722</v>
      </c>
      <c r="AE188" s="547">
        <f t="shared" si="132"/>
        <v>289939.08829848765</v>
      </c>
      <c r="AF188" s="547">
        <f t="shared" si="132"/>
        <v>288640.79795984674</v>
      </c>
      <c r="AG188" s="547">
        <f t="shared" si="132"/>
        <v>286832.20750722534</v>
      </c>
      <c r="AI188" s="616"/>
      <c r="AJ188" s="272"/>
    </row>
    <row r="189" spans="1:36" s="160" customFormat="1">
      <c r="A189" s="160" t="s">
        <v>775</v>
      </c>
      <c r="B189" s="298" t="s">
        <v>127</v>
      </c>
      <c r="C189" s="547">
        <f>C168-C187</f>
        <v>1887678.163844405</v>
      </c>
      <c r="D189" s="547">
        <f t="shared" ref="D189:AF189" si="133">D168-D187</f>
        <v>1832735.6795339813</v>
      </c>
      <c r="E189" s="547">
        <f t="shared" si="133"/>
        <v>1777758.9611879939</v>
      </c>
      <c r="F189" s="547">
        <f t="shared" si="133"/>
        <v>1722796.2420613584</v>
      </c>
      <c r="G189" s="547">
        <f t="shared" si="133"/>
        <v>1667893.6221632918</v>
      </c>
      <c r="H189" s="547">
        <f t="shared" si="133"/>
        <v>1613095.149159193</v>
      </c>
      <c r="I189" s="547">
        <f t="shared" si="133"/>
        <v>1555529.0670701412</v>
      </c>
      <c r="J189" s="547">
        <f t="shared" si="133"/>
        <v>1498391.4122349315</v>
      </c>
      <c r="K189" s="547">
        <f t="shared" si="133"/>
        <v>1441712.2816072016</v>
      </c>
      <c r="L189" s="547">
        <f t="shared" si="133"/>
        <v>1385520.266720142</v>
      </c>
      <c r="M189" s="547">
        <f t="shared" si="133"/>
        <v>1329842.5117873664</v>
      </c>
      <c r="N189" s="547">
        <f t="shared" si="133"/>
        <v>1283491.2768464345</v>
      </c>
      <c r="O189" s="547">
        <f t="shared" si="133"/>
        <v>1238994.8600607999</v>
      </c>
      <c r="P189" s="547">
        <f t="shared" si="133"/>
        <v>1194225.1093182666</v>
      </c>
      <c r="Q189" s="547">
        <f t="shared" si="133"/>
        <v>1150109.3718565973</v>
      </c>
      <c r="R189" s="547">
        <f t="shared" si="133"/>
        <v>1106658.7745294981</v>
      </c>
      <c r="S189" s="547">
        <f t="shared" si="133"/>
        <v>1063883.6857314894</v>
      </c>
      <c r="T189" s="547">
        <f t="shared" si="133"/>
        <v>1021793.7459704028</v>
      </c>
      <c r="U189" s="547">
        <f t="shared" si="133"/>
        <v>980397.89725137292</v>
      </c>
      <c r="V189" s="547">
        <f t="shared" si="133"/>
        <v>939704.41132100695</v>
      </c>
      <c r="W189" s="547">
        <f t="shared" si="133"/>
        <v>899720.91681824194</v>
      </c>
      <c r="X189" s="547">
        <f t="shared" si="133"/>
        <v>852202.27041544917</v>
      </c>
      <c r="Y189" s="547">
        <f t="shared" si="133"/>
        <v>804312.56563656358</v>
      </c>
      <c r="Z189" s="547">
        <f t="shared" si="133"/>
        <v>757005.2104025908</v>
      </c>
      <c r="AA189" s="547">
        <f t="shared" si="133"/>
        <v>710356.24567428813</v>
      </c>
      <c r="AB189" s="547">
        <f t="shared" si="133"/>
        <v>664372.89334647125</v>
      </c>
      <c r="AC189" s="547">
        <f t="shared" si="133"/>
        <v>619022.8498288152</v>
      </c>
      <c r="AD189" s="547">
        <f t="shared" si="133"/>
        <v>574356.24588210648</v>
      </c>
      <c r="AE189" s="547">
        <f t="shared" si="133"/>
        <v>530378.50145343482</v>
      </c>
      <c r="AF189" s="547">
        <f t="shared" si="133"/>
        <v>487094.54411126697</v>
      </c>
      <c r="AG189" s="547">
        <f>AG168-AG187</f>
        <v>444508.83067895588</v>
      </c>
      <c r="AI189" s="616"/>
      <c r="AJ189" s="272"/>
    </row>
    <row r="190" spans="1:36" s="160" customFormat="1">
      <c r="B190" s="299"/>
      <c r="C190" s="547"/>
      <c r="D190" s="547"/>
      <c r="E190" s="547"/>
      <c r="F190" s="547"/>
      <c r="G190" s="547"/>
      <c r="H190" s="547"/>
      <c r="I190" s="547"/>
      <c r="J190" s="547"/>
      <c r="K190" s="547"/>
      <c r="L190" s="547"/>
      <c r="M190" s="547"/>
      <c r="N190" s="547"/>
      <c r="O190" s="547"/>
      <c r="P190" s="547"/>
      <c r="Q190" s="547"/>
      <c r="R190" s="547"/>
      <c r="S190" s="547"/>
      <c r="T190" s="547"/>
      <c r="U190" s="547"/>
      <c r="V190" s="547"/>
      <c r="W190" s="547"/>
      <c r="X190" s="547"/>
      <c r="Y190" s="547"/>
      <c r="Z190" s="547"/>
      <c r="AA190" s="547"/>
      <c r="AB190" s="547"/>
      <c r="AC190" s="547"/>
      <c r="AD190" s="547"/>
      <c r="AE190" s="547"/>
      <c r="AF190" s="547"/>
      <c r="AG190" s="547"/>
      <c r="AJ190" s="272"/>
    </row>
    <row r="191" spans="1:36" s="160" customFormat="1">
      <c r="A191" s="160" t="s">
        <v>677</v>
      </c>
      <c r="B191" s="299" t="s">
        <v>126</v>
      </c>
      <c r="C191" s="281">
        <v>0.8</v>
      </c>
      <c r="D191" s="278">
        <f>C191</f>
        <v>0.8</v>
      </c>
      <c r="E191" s="278">
        <f t="shared" ref="E191:AG191" si="134">D191</f>
        <v>0.8</v>
      </c>
      <c r="F191" s="278">
        <f t="shared" si="134"/>
        <v>0.8</v>
      </c>
      <c r="G191" s="278">
        <f t="shared" si="134"/>
        <v>0.8</v>
      </c>
      <c r="H191" s="278">
        <f t="shared" si="134"/>
        <v>0.8</v>
      </c>
      <c r="I191" s="278">
        <f t="shared" si="134"/>
        <v>0.8</v>
      </c>
      <c r="J191" s="278">
        <f t="shared" si="134"/>
        <v>0.8</v>
      </c>
      <c r="K191" s="278">
        <f t="shared" si="134"/>
        <v>0.8</v>
      </c>
      <c r="L191" s="278">
        <f t="shared" si="134"/>
        <v>0.8</v>
      </c>
      <c r="M191" s="278">
        <f t="shared" si="134"/>
        <v>0.8</v>
      </c>
      <c r="N191" s="278">
        <f t="shared" si="134"/>
        <v>0.8</v>
      </c>
      <c r="O191" s="278">
        <f t="shared" si="134"/>
        <v>0.8</v>
      </c>
      <c r="P191" s="278">
        <f t="shared" si="134"/>
        <v>0.8</v>
      </c>
      <c r="Q191" s="278">
        <f t="shared" si="134"/>
        <v>0.8</v>
      </c>
      <c r="R191" s="278">
        <f t="shared" si="134"/>
        <v>0.8</v>
      </c>
      <c r="S191" s="278">
        <f t="shared" si="134"/>
        <v>0.8</v>
      </c>
      <c r="T191" s="278">
        <f t="shared" si="134"/>
        <v>0.8</v>
      </c>
      <c r="U191" s="278">
        <f t="shared" si="134"/>
        <v>0.8</v>
      </c>
      <c r="V191" s="278">
        <f t="shared" si="134"/>
        <v>0.8</v>
      </c>
      <c r="W191" s="278">
        <f t="shared" si="134"/>
        <v>0.8</v>
      </c>
      <c r="X191" s="278">
        <f t="shared" si="134"/>
        <v>0.8</v>
      </c>
      <c r="Y191" s="278">
        <f t="shared" si="134"/>
        <v>0.8</v>
      </c>
      <c r="Z191" s="278">
        <f t="shared" si="134"/>
        <v>0.8</v>
      </c>
      <c r="AA191" s="278">
        <f t="shared" si="134"/>
        <v>0.8</v>
      </c>
      <c r="AB191" s="278">
        <f t="shared" si="134"/>
        <v>0.8</v>
      </c>
      <c r="AC191" s="278">
        <f t="shared" si="134"/>
        <v>0.8</v>
      </c>
      <c r="AD191" s="278">
        <f t="shared" si="134"/>
        <v>0.8</v>
      </c>
      <c r="AE191" s="278">
        <f t="shared" si="134"/>
        <v>0.8</v>
      </c>
      <c r="AF191" s="278">
        <f t="shared" si="134"/>
        <v>0.8</v>
      </c>
      <c r="AG191" s="278">
        <f t="shared" si="134"/>
        <v>0.8</v>
      </c>
      <c r="AJ191" s="272" t="s">
        <v>678</v>
      </c>
    </row>
    <row r="192" spans="1:36" s="160" customFormat="1">
      <c r="B192" s="299"/>
      <c r="C192" s="547"/>
      <c r="D192" s="547"/>
      <c r="E192" s="547"/>
      <c r="F192" s="547"/>
      <c r="G192" s="547"/>
      <c r="H192" s="547"/>
      <c r="I192" s="547"/>
      <c r="J192" s="547"/>
      <c r="K192" s="547"/>
      <c r="L192" s="547"/>
      <c r="M192" s="547"/>
      <c r="N192" s="547"/>
      <c r="O192" s="547"/>
      <c r="P192" s="547"/>
      <c r="Q192" s="547"/>
      <c r="R192" s="547"/>
      <c r="S192" s="547"/>
      <c r="T192" s="547"/>
      <c r="U192" s="547"/>
      <c r="V192" s="547"/>
      <c r="W192" s="547"/>
      <c r="X192" s="547"/>
      <c r="Y192" s="547"/>
      <c r="Z192" s="547"/>
      <c r="AA192" s="547"/>
      <c r="AB192" s="547"/>
      <c r="AC192" s="547"/>
      <c r="AD192" s="547"/>
      <c r="AE192" s="547"/>
      <c r="AF192" s="547"/>
      <c r="AG192" s="547"/>
      <c r="AJ192" s="272"/>
    </row>
    <row r="193" spans="1:37" s="160" customFormat="1">
      <c r="A193" s="160" t="s">
        <v>634</v>
      </c>
      <c r="B193" s="299" t="s">
        <v>127</v>
      </c>
      <c r="C193" s="547">
        <f>C127*C188*C191</f>
        <v>117358.10961017007</v>
      </c>
      <c r="D193" s="547">
        <f t="shared" ref="D193:AG193" si="135">D127*D188*D191</f>
        <v>128736.83794401377</v>
      </c>
      <c r="E193" s="547">
        <f t="shared" si="135"/>
        <v>139776.4948193637</v>
      </c>
      <c r="F193" s="547">
        <f t="shared" si="135"/>
        <v>150457.96910405645</v>
      </c>
      <c r="G193" s="547">
        <f t="shared" si="135"/>
        <v>160763.6963667816</v>
      </c>
      <c r="H193" s="547">
        <f t="shared" si="135"/>
        <v>170677.59501458821</v>
      </c>
      <c r="I193" s="547">
        <f t="shared" si="135"/>
        <v>179595.14485841212</v>
      </c>
      <c r="J193" s="547">
        <f t="shared" si="135"/>
        <v>188043.51367174918</v>
      </c>
      <c r="K193" s="547">
        <f t="shared" si="135"/>
        <v>196016.39592999691</v>
      </c>
      <c r="L193" s="547">
        <f t="shared" si="135"/>
        <v>203508.53877297597</v>
      </c>
      <c r="M193" s="547">
        <f t="shared" si="135"/>
        <v>210515.69635020645</v>
      </c>
      <c r="N193" s="547">
        <f t="shared" si="135"/>
        <v>213603.75713989773</v>
      </c>
      <c r="O193" s="547">
        <f t="shared" si="135"/>
        <v>216431.28921320257</v>
      </c>
      <c r="P193" s="547">
        <f t="shared" si="135"/>
        <v>218707.42858402361</v>
      </c>
      <c r="Q193" s="547">
        <f t="shared" si="135"/>
        <v>220601.18618826196</v>
      </c>
      <c r="R193" s="547">
        <f t="shared" si="135"/>
        <v>222116.51229076154</v>
      </c>
      <c r="S193" s="547">
        <f t="shared" si="135"/>
        <v>223257.84580225308</v>
      </c>
      <c r="T193" s="547">
        <f t="shared" si="135"/>
        <v>224030.09052109206</v>
      </c>
      <c r="U193" s="547">
        <f t="shared" si="135"/>
        <v>224438.59232236023</v>
      </c>
      <c r="V193" s="547">
        <f t="shared" si="135"/>
        <v>224489.11725540456</v>
      </c>
      <c r="W193" s="547">
        <f t="shared" si="135"/>
        <v>224187.83051261335</v>
      </c>
      <c r="X193" s="547">
        <f t="shared" si="135"/>
        <v>226995.88564703168</v>
      </c>
      <c r="Y193" s="547">
        <f t="shared" si="135"/>
        <v>229159.05776648803</v>
      </c>
      <c r="Z193" s="547">
        <f t="shared" si="135"/>
        <v>230733.54375527136</v>
      </c>
      <c r="AA193" s="547">
        <f t="shared" si="135"/>
        <v>231860.77595695714</v>
      </c>
      <c r="AB193" s="547">
        <f t="shared" si="135"/>
        <v>232546.38989143597</v>
      </c>
      <c r="AC193" s="547">
        <f t="shared" si="135"/>
        <v>232775.00371963569</v>
      </c>
      <c r="AD193" s="547">
        <f t="shared" si="135"/>
        <v>232574.39247951779</v>
      </c>
      <c r="AE193" s="547">
        <f t="shared" si="135"/>
        <v>231951.27063879013</v>
      </c>
      <c r="AF193" s="547">
        <f t="shared" si="135"/>
        <v>230912.6383678774</v>
      </c>
      <c r="AG193" s="547">
        <f t="shared" si="135"/>
        <v>229465.76600578029</v>
      </c>
      <c r="AJ193" s="272"/>
    </row>
    <row r="194" spans="1:37" s="160" customFormat="1">
      <c r="A194" s="160" t="s">
        <v>639</v>
      </c>
      <c r="B194" s="299" t="s">
        <v>127</v>
      </c>
      <c r="C194" s="547">
        <f>C188*C191-C193</f>
        <v>0</v>
      </c>
      <c r="D194" s="547">
        <f t="shared" ref="D194:AG194" si="136">D188*D191-D193</f>
        <v>0</v>
      </c>
      <c r="E194" s="547">
        <f t="shared" si="136"/>
        <v>0</v>
      </c>
      <c r="F194" s="547">
        <f t="shared" si="136"/>
        <v>0</v>
      </c>
      <c r="G194" s="547">
        <f t="shared" si="136"/>
        <v>0</v>
      </c>
      <c r="H194" s="547">
        <f t="shared" si="136"/>
        <v>0</v>
      </c>
      <c r="I194" s="547">
        <f t="shared" si="136"/>
        <v>0</v>
      </c>
      <c r="J194" s="547">
        <f t="shared" si="136"/>
        <v>0</v>
      </c>
      <c r="K194" s="547">
        <f t="shared" si="136"/>
        <v>0</v>
      </c>
      <c r="L194" s="547">
        <f t="shared" si="136"/>
        <v>0</v>
      </c>
      <c r="M194" s="547">
        <f t="shared" si="136"/>
        <v>0</v>
      </c>
      <c r="N194" s="547">
        <f t="shared" si="136"/>
        <v>0</v>
      </c>
      <c r="O194" s="547">
        <f t="shared" si="136"/>
        <v>0</v>
      </c>
      <c r="P194" s="547">
        <f t="shared" si="136"/>
        <v>0</v>
      </c>
      <c r="Q194" s="547">
        <f t="shared" si="136"/>
        <v>0</v>
      </c>
      <c r="R194" s="547">
        <f t="shared" si="136"/>
        <v>0</v>
      </c>
      <c r="S194" s="547">
        <f t="shared" si="136"/>
        <v>0</v>
      </c>
      <c r="T194" s="547">
        <f t="shared" si="136"/>
        <v>0</v>
      </c>
      <c r="U194" s="547">
        <f t="shared" si="136"/>
        <v>0</v>
      </c>
      <c r="V194" s="547">
        <f t="shared" si="136"/>
        <v>0</v>
      </c>
      <c r="W194" s="547">
        <f t="shared" si="136"/>
        <v>0</v>
      </c>
      <c r="X194" s="547">
        <f t="shared" si="136"/>
        <v>0</v>
      </c>
      <c r="Y194" s="547">
        <f t="shared" si="136"/>
        <v>0</v>
      </c>
      <c r="Z194" s="547">
        <f t="shared" si="136"/>
        <v>0</v>
      </c>
      <c r="AA194" s="547">
        <f t="shared" si="136"/>
        <v>0</v>
      </c>
      <c r="AB194" s="547">
        <f t="shared" si="136"/>
        <v>0</v>
      </c>
      <c r="AC194" s="547">
        <f t="shared" si="136"/>
        <v>0</v>
      </c>
      <c r="AD194" s="547">
        <f t="shared" si="136"/>
        <v>0</v>
      </c>
      <c r="AE194" s="547">
        <f t="shared" si="136"/>
        <v>0</v>
      </c>
      <c r="AF194" s="547">
        <f t="shared" si="136"/>
        <v>0</v>
      </c>
      <c r="AG194" s="547">
        <f t="shared" si="136"/>
        <v>0</v>
      </c>
      <c r="AJ194" s="272"/>
    </row>
    <row r="195" spans="1:37" s="160" customFormat="1">
      <c r="B195" s="156"/>
      <c r="C195" s="547"/>
      <c r="D195" s="547"/>
      <c r="E195" s="547"/>
      <c r="F195" s="547"/>
      <c r="G195" s="547"/>
      <c r="H195" s="547"/>
      <c r="I195" s="547"/>
      <c r="J195" s="547"/>
      <c r="K195" s="547"/>
      <c r="L195" s="547"/>
      <c r="M195" s="547"/>
      <c r="N195" s="547"/>
      <c r="O195" s="547"/>
      <c r="P195" s="547"/>
      <c r="Q195" s="547"/>
      <c r="R195" s="547"/>
      <c r="S195" s="547"/>
      <c r="T195" s="547"/>
      <c r="U195" s="547"/>
      <c r="V195" s="547"/>
      <c r="W195" s="547"/>
      <c r="X195" s="547"/>
      <c r="Y195" s="547"/>
      <c r="Z195" s="547"/>
      <c r="AA195" s="547"/>
      <c r="AB195" s="547"/>
      <c r="AC195" s="547"/>
      <c r="AD195" s="547"/>
      <c r="AE195" s="547"/>
      <c r="AF195" s="547"/>
      <c r="AG195" s="547"/>
      <c r="AJ195" s="272"/>
    </row>
    <row r="196" spans="1:37" s="160" customFormat="1">
      <c r="B196" s="184" t="s">
        <v>633</v>
      </c>
      <c r="C196" s="550">
        <v>0</v>
      </c>
      <c r="D196" s="550">
        <f>C196+1</f>
        <v>1</v>
      </c>
      <c r="E196" s="550">
        <f t="shared" ref="E196:AG196" si="137">D196+1</f>
        <v>2</v>
      </c>
      <c r="F196" s="550">
        <f t="shared" si="137"/>
        <v>3</v>
      </c>
      <c r="G196" s="550">
        <f t="shared" si="137"/>
        <v>4</v>
      </c>
      <c r="H196" s="550">
        <f t="shared" si="137"/>
        <v>5</v>
      </c>
      <c r="I196" s="550">
        <f t="shared" si="137"/>
        <v>6</v>
      </c>
      <c r="J196" s="550">
        <f t="shared" si="137"/>
        <v>7</v>
      </c>
      <c r="K196" s="550">
        <f t="shared" si="137"/>
        <v>8</v>
      </c>
      <c r="L196" s="550">
        <f t="shared" si="137"/>
        <v>9</v>
      </c>
      <c r="M196" s="550">
        <f t="shared" si="137"/>
        <v>10</v>
      </c>
      <c r="N196" s="550">
        <f t="shared" si="137"/>
        <v>11</v>
      </c>
      <c r="O196" s="550">
        <f t="shared" si="137"/>
        <v>12</v>
      </c>
      <c r="P196" s="550">
        <f t="shared" si="137"/>
        <v>13</v>
      </c>
      <c r="Q196" s="550">
        <f t="shared" si="137"/>
        <v>14</v>
      </c>
      <c r="R196" s="550">
        <f t="shared" si="137"/>
        <v>15</v>
      </c>
      <c r="S196" s="550">
        <f t="shared" si="137"/>
        <v>16</v>
      </c>
      <c r="T196" s="550">
        <f t="shared" si="137"/>
        <v>17</v>
      </c>
      <c r="U196" s="550">
        <f t="shared" si="137"/>
        <v>18</v>
      </c>
      <c r="V196" s="550">
        <f t="shared" si="137"/>
        <v>19</v>
      </c>
      <c r="W196" s="550">
        <f t="shared" si="137"/>
        <v>20</v>
      </c>
      <c r="X196" s="550">
        <f t="shared" si="137"/>
        <v>21</v>
      </c>
      <c r="Y196" s="550">
        <f t="shared" si="137"/>
        <v>22</v>
      </c>
      <c r="Z196" s="550">
        <f t="shared" si="137"/>
        <v>23</v>
      </c>
      <c r="AA196" s="550">
        <f t="shared" si="137"/>
        <v>24</v>
      </c>
      <c r="AB196" s="550">
        <f t="shared" si="137"/>
        <v>25</v>
      </c>
      <c r="AC196" s="550">
        <f t="shared" si="137"/>
        <v>26</v>
      </c>
      <c r="AD196" s="550">
        <f t="shared" si="137"/>
        <v>27</v>
      </c>
      <c r="AE196" s="550">
        <f t="shared" si="137"/>
        <v>28</v>
      </c>
      <c r="AF196" s="550">
        <f t="shared" si="137"/>
        <v>29</v>
      </c>
      <c r="AG196" s="550">
        <f t="shared" si="137"/>
        <v>30</v>
      </c>
      <c r="AJ196" s="272" t="s">
        <v>641</v>
      </c>
      <c r="AK196" s="160">
        <f>'Ethylene Recycling HC'!AK303</f>
        <v>1.9</v>
      </c>
    </row>
    <row r="197" spans="1:37" s="160" customFormat="1">
      <c r="A197" s="160" t="s">
        <v>686</v>
      </c>
      <c r="B197" s="156"/>
      <c r="C197" s="567">
        <f>$AK$198/((1+EXP(-$AK$197*(C196-$AK$199)))^$AK$196)</f>
        <v>4.6088632748610021E-5</v>
      </c>
      <c r="D197" s="567">
        <f t="shared" ref="D197:AG197" si="138">$AK$198/((1+EXP(-$AK$197*(D196-$AK$199)))^$AK$196)</f>
        <v>8.924759460408035E-5</v>
      </c>
      <c r="E197" s="567">
        <f t="shared" si="138"/>
        <v>1.7252431976790472E-4</v>
      </c>
      <c r="F197" s="567">
        <f t="shared" si="138"/>
        <v>3.3269643715580369E-4</v>
      </c>
      <c r="G197" s="567">
        <f t="shared" si="138"/>
        <v>6.393827369910735E-4</v>
      </c>
      <c r="H197" s="567">
        <f t="shared" si="138"/>
        <v>1.2229053771654547E-3</v>
      </c>
      <c r="I197" s="567">
        <f t="shared" si="138"/>
        <v>2.3234018804222717E-3</v>
      </c>
      <c r="J197" s="567">
        <f t="shared" si="138"/>
        <v>4.3736281679830789E-3</v>
      </c>
      <c r="K197" s="567">
        <f t="shared" si="138"/>
        <v>8.1294184230466908E-3</v>
      </c>
      <c r="L197" s="567">
        <f t="shared" si="138"/>
        <v>1.4853985082038716E-2</v>
      </c>
      <c r="M197" s="567">
        <f t="shared" si="138"/>
        <v>2.6531412096832362E-2</v>
      </c>
      <c r="N197" s="567">
        <f t="shared" si="138"/>
        <v>4.6014759335105015E-2</v>
      </c>
      <c r="O197" s="567">
        <f t="shared" si="138"/>
        <v>7.6910635328419796E-2</v>
      </c>
      <c r="P197" s="567">
        <f t="shared" si="138"/>
        <v>0.12294065829885638</v>
      </c>
      <c r="Q197" s="567">
        <f t="shared" si="138"/>
        <v>0.18666754187878853</v>
      </c>
      <c r="R197" s="567">
        <f t="shared" si="138"/>
        <v>0.26794336563407328</v>
      </c>
      <c r="S197" s="567">
        <f t="shared" si="138"/>
        <v>0.36297326582455031</v>
      </c>
      <c r="T197" s="567">
        <f t="shared" si="138"/>
        <v>0.46484396312424381</v>
      </c>
      <c r="U197" s="567">
        <f t="shared" si="138"/>
        <v>0.56546260593861253</v>
      </c>
      <c r="V197" s="567">
        <f t="shared" si="138"/>
        <v>0.6578403022607352</v>
      </c>
      <c r="W197" s="567">
        <f t="shared" si="138"/>
        <v>0.73754668886795227</v>
      </c>
      <c r="X197" s="567">
        <f t="shared" si="138"/>
        <v>0.80293052021410605</v>
      </c>
      <c r="Y197" s="567">
        <f t="shared" si="138"/>
        <v>0.85447682949112158</v>
      </c>
      <c r="Z197" s="567">
        <f t="shared" si="138"/>
        <v>0.89389910336617451</v>
      </c>
      <c r="AA197" s="567">
        <f t="shared" si="138"/>
        <v>0.92337223319290385</v>
      </c>
      <c r="AB197" s="567">
        <f t="shared" si="138"/>
        <v>0.94504210708611314</v>
      </c>
      <c r="AC197" s="567">
        <f t="shared" si="138"/>
        <v>0.96078240575184182</v>
      </c>
      <c r="AD197" s="567">
        <f t="shared" si="138"/>
        <v>0.97211605463477313</v>
      </c>
      <c r="AE197" s="567">
        <f t="shared" si="138"/>
        <v>0.98022577885232642</v>
      </c>
      <c r="AF197" s="567">
        <f t="shared" si="138"/>
        <v>0.98600279580400285</v>
      </c>
      <c r="AG197" s="567">
        <f t="shared" si="138"/>
        <v>0.9901050637460882</v>
      </c>
      <c r="AI197" s="156" t="s">
        <v>640</v>
      </c>
      <c r="AJ197" s="272" t="s">
        <v>642</v>
      </c>
      <c r="AK197" s="160">
        <f>'Ethylene Recycling HC'!AK304</f>
        <v>0.35</v>
      </c>
    </row>
    <row r="198" spans="1:37" s="160" customFormat="1">
      <c r="B198" s="156"/>
      <c r="C198" s="566">
        <v>0</v>
      </c>
      <c r="D198" s="566">
        <v>0</v>
      </c>
      <c r="E198" s="566">
        <v>0</v>
      </c>
      <c r="F198" s="566">
        <v>0</v>
      </c>
      <c r="G198" s="566">
        <v>0</v>
      </c>
      <c r="H198" s="566">
        <v>0</v>
      </c>
      <c r="I198" s="566">
        <v>0</v>
      </c>
      <c r="J198" s="566">
        <v>0</v>
      </c>
      <c r="K198" s="566">
        <v>0</v>
      </c>
      <c r="L198" s="566">
        <v>0</v>
      </c>
      <c r="M198" s="566">
        <f>C197</f>
        <v>4.6088632748610021E-5</v>
      </c>
      <c r="N198" s="566">
        <v>0</v>
      </c>
      <c r="O198" s="566">
        <v>0</v>
      </c>
      <c r="P198" s="566">
        <v>0</v>
      </c>
      <c r="Q198" s="566">
        <v>0</v>
      </c>
      <c r="R198" s="566">
        <f t="shared" ref="R198:AG198" si="139">C197</f>
        <v>4.6088632748610021E-5</v>
      </c>
      <c r="S198" s="566">
        <f t="shared" si="139"/>
        <v>8.924759460408035E-5</v>
      </c>
      <c r="T198" s="566">
        <f t="shared" si="139"/>
        <v>1.7252431976790472E-4</v>
      </c>
      <c r="U198" s="566">
        <f t="shared" si="139"/>
        <v>3.3269643715580369E-4</v>
      </c>
      <c r="V198" s="566">
        <f t="shared" si="139"/>
        <v>6.393827369910735E-4</v>
      </c>
      <c r="W198" s="566">
        <f t="shared" si="139"/>
        <v>1.2229053771654547E-3</v>
      </c>
      <c r="X198" s="566">
        <f t="shared" si="139"/>
        <v>2.3234018804222717E-3</v>
      </c>
      <c r="Y198" s="566">
        <f t="shared" si="139"/>
        <v>4.3736281679830789E-3</v>
      </c>
      <c r="Z198" s="566">
        <f t="shared" si="139"/>
        <v>8.1294184230466908E-3</v>
      </c>
      <c r="AA198" s="566">
        <f t="shared" si="139"/>
        <v>1.4853985082038716E-2</v>
      </c>
      <c r="AB198" s="566">
        <f t="shared" si="139"/>
        <v>2.6531412096832362E-2</v>
      </c>
      <c r="AC198" s="566">
        <f t="shared" si="139"/>
        <v>4.6014759335105015E-2</v>
      </c>
      <c r="AD198" s="566">
        <f t="shared" si="139"/>
        <v>7.6910635328419796E-2</v>
      </c>
      <c r="AE198" s="566">
        <f t="shared" si="139"/>
        <v>0.12294065829885638</v>
      </c>
      <c r="AF198" s="566">
        <f t="shared" si="139"/>
        <v>0.18666754187878853</v>
      </c>
      <c r="AG198" s="566">
        <f t="shared" si="139"/>
        <v>0.26794336563407328</v>
      </c>
      <c r="AI198" s="156" t="s">
        <v>687</v>
      </c>
      <c r="AJ198" s="272" t="s">
        <v>643</v>
      </c>
      <c r="AK198" s="160">
        <f>'Ethylene Recycling HC'!AK305</f>
        <v>1</v>
      </c>
    </row>
    <row r="199" spans="1:37" s="160" customFormat="1">
      <c r="B199" s="156"/>
      <c r="C199" s="547"/>
      <c r="D199" s="547"/>
      <c r="E199" s="547"/>
      <c r="F199" s="547"/>
      <c r="G199" s="547"/>
      <c r="H199" s="547"/>
      <c r="I199" s="547"/>
      <c r="J199" s="547"/>
      <c r="K199" s="547"/>
      <c r="L199" s="547"/>
      <c r="M199" s="547"/>
      <c r="N199" s="547"/>
      <c r="O199" s="547"/>
      <c r="P199" s="547"/>
      <c r="Q199" s="547"/>
      <c r="R199" s="547"/>
      <c r="S199" s="547"/>
      <c r="T199" s="547"/>
      <c r="U199" s="547"/>
      <c r="V199" s="547"/>
      <c r="W199" s="547"/>
      <c r="X199" s="547"/>
      <c r="Y199" s="547"/>
      <c r="Z199" s="547"/>
      <c r="AA199" s="547"/>
      <c r="AB199" s="547"/>
      <c r="AC199" s="547"/>
      <c r="AD199" s="547"/>
      <c r="AE199" s="547"/>
      <c r="AF199" s="547"/>
      <c r="AG199" s="547"/>
      <c r="AJ199" s="272" t="s">
        <v>644</v>
      </c>
      <c r="AK199" s="160">
        <f>'Ethylene Recycling HC'!AK306</f>
        <v>15</v>
      </c>
    </row>
    <row r="200" spans="1:37" s="160" customFormat="1">
      <c r="A200" s="160" t="s">
        <v>762</v>
      </c>
      <c r="B200" s="156" t="s">
        <v>126</v>
      </c>
      <c r="C200" s="547">
        <v>0</v>
      </c>
      <c r="D200" s="547">
        <f>C200</f>
        <v>0</v>
      </c>
      <c r="E200" s="547">
        <f t="shared" ref="E200:AG200" si="140">D200</f>
        <v>0</v>
      </c>
      <c r="F200" s="547">
        <f t="shared" si="140"/>
        <v>0</v>
      </c>
      <c r="G200" s="547">
        <f t="shared" si="140"/>
        <v>0</v>
      </c>
      <c r="H200" s="547">
        <f t="shared" si="140"/>
        <v>0</v>
      </c>
      <c r="I200" s="547">
        <f t="shared" si="140"/>
        <v>0</v>
      </c>
      <c r="J200" s="547">
        <f t="shared" si="140"/>
        <v>0</v>
      </c>
      <c r="K200" s="547">
        <f t="shared" si="140"/>
        <v>0</v>
      </c>
      <c r="L200" s="547">
        <f t="shared" si="140"/>
        <v>0</v>
      </c>
      <c r="M200" s="547">
        <f t="shared" si="140"/>
        <v>0</v>
      </c>
      <c r="N200" s="547">
        <f t="shared" si="140"/>
        <v>0</v>
      </c>
      <c r="O200" s="547">
        <f t="shared" si="140"/>
        <v>0</v>
      </c>
      <c r="P200" s="547">
        <f t="shared" si="140"/>
        <v>0</v>
      </c>
      <c r="Q200" s="547">
        <f t="shared" si="140"/>
        <v>0</v>
      </c>
      <c r="R200" s="547">
        <f t="shared" si="140"/>
        <v>0</v>
      </c>
      <c r="S200" s="547">
        <f t="shared" si="140"/>
        <v>0</v>
      </c>
      <c r="T200" s="547">
        <f t="shared" si="140"/>
        <v>0</v>
      </c>
      <c r="U200" s="547">
        <f t="shared" si="140"/>
        <v>0</v>
      </c>
      <c r="V200" s="547">
        <f t="shared" si="140"/>
        <v>0</v>
      </c>
      <c r="W200" s="547">
        <f t="shared" si="140"/>
        <v>0</v>
      </c>
      <c r="X200" s="547">
        <f t="shared" si="140"/>
        <v>0</v>
      </c>
      <c r="Y200" s="547">
        <f t="shared" si="140"/>
        <v>0</v>
      </c>
      <c r="Z200" s="547">
        <f t="shared" si="140"/>
        <v>0</v>
      </c>
      <c r="AA200" s="547">
        <f t="shared" si="140"/>
        <v>0</v>
      </c>
      <c r="AB200" s="547">
        <f t="shared" si="140"/>
        <v>0</v>
      </c>
      <c r="AC200" s="547">
        <f t="shared" si="140"/>
        <v>0</v>
      </c>
      <c r="AD200" s="547">
        <f t="shared" si="140"/>
        <v>0</v>
      </c>
      <c r="AE200" s="547">
        <f t="shared" si="140"/>
        <v>0</v>
      </c>
      <c r="AF200" s="547">
        <f t="shared" si="140"/>
        <v>0</v>
      </c>
      <c r="AG200" s="547">
        <f t="shared" si="140"/>
        <v>0</v>
      </c>
      <c r="AI200" s="156" t="s">
        <v>766</v>
      </c>
      <c r="AJ200" s="272"/>
    </row>
    <row r="201" spans="1:37" s="250" customFormat="1" ht="15.5" thickBot="1">
      <c r="A201" s="283" t="s">
        <v>631</v>
      </c>
      <c r="B201" s="284" t="s">
        <v>127</v>
      </c>
      <c r="C201" s="552">
        <f>C200*(C193*C197+C194*C198)</f>
        <v>0</v>
      </c>
      <c r="D201" s="552">
        <f t="shared" ref="D201:AG201" si="141">D200*(D193*D197+D194*D198)</f>
        <v>0</v>
      </c>
      <c r="E201" s="552">
        <f t="shared" si="141"/>
        <v>0</v>
      </c>
      <c r="F201" s="552">
        <f t="shared" si="141"/>
        <v>0</v>
      </c>
      <c r="G201" s="552">
        <f t="shared" si="141"/>
        <v>0</v>
      </c>
      <c r="H201" s="552">
        <f t="shared" si="141"/>
        <v>0</v>
      </c>
      <c r="I201" s="552">
        <f t="shared" si="141"/>
        <v>0</v>
      </c>
      <c r="J201" s="552">
        <f t="shared" si="141"/>
        <v>0</v>
      </c>
      <c r="K201" s="552">
        <f t="shared" si="141"/>
        <v>0</v>
      </c>
      <c r="L201" s="552">
        <f t="shared" si="141"/>
        <v>0</v>
      </c>
      <c r="M201" s="552">
        <f t="shared" si="141"/>
        <v>0</v>
      </c>
      <c r="N201" s="552">
        <f t="shared" si="141"/>
        <v>0</v>
      </c>
      <c r="O201" s="552">
        <f t="shared" si="141"/>
        <v>0</v>
      </c>
      <c r="P201" s="552">
        <f t="shared" si="141"/>
        <v>0</v>
      </c>
      <c r="Q201" s="552">
        <f t="shared" si="141"/>
        <v>0</v>
      </c>
      <c r="R201" s="552">
        <f t="shared" si="141"/>
        <v>0</v>
      </c>
      <c r="S201" s="552">
        <f t="shared" si="141"/>
        <v>0</v>
      </c>
      <c r="T201" s="552">
        <f t="shared" si="141"/>
        <v>0</v>
      </c>
      <c r="U201" s="552">
        <f t="shared" si="141"/>
        <v>0</v>
      </c>
      <c r="V201" s="552">
        <f t="shared" si="141"/>
        <v>0</v>
      </c>
      <c r="W201" s="552">
        <f t="shared" si="141"/>
        <v>0</v>
      </c>
      <c r="X201" s="552">
        <f t="shared" si="141"/>
        <v>0</v>
      </c>
      <c r="Y201" s="552">
        <f t="shared" si="141"/>
        <v>0</v>
      </c>
      <c r="Z201" s="552">
        <f t="shared" si="141"/>
        <v>0</v>
      </c>
      <c r="AA201" s="552">
        <f t="shared" si="141"/>
        <v>0</v>
      </c>
      <c r="AB201" s="552">
        <f t="shared" si="141"/>
        <v>0</v>
      </c>
      <c r="AC201" s="552">
        <f t="shared" si="141"/>
        <v>0</v>
      </c>
      <c r="AD201" s="552">
        <f t="shared" si="141"/>
        <v>0</v>
      </c>
      <c r="AE201" s="552">
        <f t="shared" si="141"/>
        <v>0</v>
      </c>
      <c r="AF201" s="552">
        <f t="shared" si="141"/>
        <v>0</v>
      </c>
      <c r="AG201" s="552">
        <f t="shared" si="141"/>
        <v>0</v>
      </c>
      <c r="AJ201" s="275"/>
    </row>
    <row r="202" spans="1:37" s="203" customFormat="1">
      <c r="A202" s="274" t="s">
        <v>637</v>
      </c>
      <c r="B202" s="273" t="s">
        <v>126</v>
      </c>
      <c r="C202" s="52">
        <v>0.5</v>
      </c>
      <c r="D202" s="52">
        <v>0.5</v>
      </c>
      <c r="E202" s="52">
        <v>0.5</v>
      </c>
      <c r="F202" s="52">
        <v>0.5</v>
      </c>
      <c r="G202" s="52">
        <v>0.5</v>
      </c>
      <c r="H202" s="52">
        <v>0.5</v>
      </c>
      <c r="I202" s="52">
        <v>0.5</v>
      </c>
      <c r="J202" s="52">
        <v>0.5</v>
      </c>
      <c r="K202" s="52">
        <v>0.5</v>
      </c>
      <c r="L202" s="52">
        <v>0.5</v>
      </c>
      <c r="M202" s="52">
        <v>0.5</v>
      </c>
      <c r="N202" s="52">
        <v>0.5</v>
      </c>
      <c r="O202" s="52">
        <v>0.5</v>
      </c>
      <c r="P202" s="52">
        <v>0.5</v>
      </c>
      <c r="Q202" s="52">
        <v>0.5</v>
      </c>
      <c r="R202" s="52">
        <v>0.5</v>
      </c>
      <c r="S202" s="52">
        <v>0.5</v>
      </c>
      <c r="T202" s="52">
        <v>0.5</v>
      </c>
      <c r="U202" s="52">
        <v>0.5</v>
      </c>
      <c r="V202" s="52">
        <v>0.5</v>
      </c>
      <c r="W202" s="52">
        <v>0.5</v>
      </c>
      <c r="X202" s="52">
        <v>0.5</v>
      </c>
      <c r="Y202" s="52">
        <v>0.5</v>
      </c>
      <c r="Z202" s="52">
        <v>0.5</v>
      </c>
      <c r="AA202" s="52">
        <v>0.5</v>
      </c>
      <c r="AB202" s="52">
        <v>0.5</v>
      </c>
      <c r="AC202" s="52">
        <v>0.5</v>
      </c>
      <c r="AD202" s="52">
        <v>0.5</v>
      </c>
      <c r="AE202" s="52">
        <v>0.5</v>
      </c>
      <c r="AF202" s="52">
        <v>0.5</v>
      </c>
      <c r="AG202" s="52">
        <v>0.5</v>
      </c>
      <c r="AJ202" s="203" t="s">
        <v>681</v>
      </c>
    </row>
    <row r="203" spans="1:37" s="203" customFormat="1" ht="15.5" thickBot="1">
      <c r="A203" s="251" t="s">
        <v>632</v>
      </c>
      <c r="B203" s="284" t="s">
        <v>127</v>
      </c>
      <c r="C203" s="552">
        <f>C202*(C193*C197+C194*C198)</f>
        <v>2.7044374069471244</v>
      </c>
      <c r="D203" s="552">
        <f t="shared" ref="D203:AG203" si="142">D202*(D193*D197+D194*D198)</f>
        <v>5.7447265617192649</v>
      </c>
      <c r="E203" s="552">
        <f t="shared" si="142"/>
        <v>12.05742234412639</v>
      </c>
      <c r="F203" s="552">
        <f t="shared" si="142"/>
        <v>25.028415131308787</v>
      </c>
      <c r="G203" s="552">
        <f t="shared" si="142"/>
        <v>51.39476609589736</v>
      </c>
      <c r="H203" s="552">
        <f t="shared" si="142"/>
        <v>104.36127435250387</v>
      </c>
      <c r="I203" s="552">
        <f t="shared" si="142"/>
        <v>208.63584863937251</v>
      </c>
      <c r="J203" s="552">
        <f t="shared" si="142"/>
        <v>411.21620410063673</v>
      </c>
      <c r="K203" s="552">
        <f t="shared" si="142"/>
        <v>796.74965014626559</v>
      </c>
      <c r="L203" s="552">
        <f t="shared" si="142"/>
        <v>1511.4563995006413</v>
      </c>
      <c r="M203" s="552">
        <f t="shared" si="142"/>
        <v>2792.6393463594777</v>
      </c>
      <c r="N203" s="552">
        <f t="shared" si="142"/>
        <v>4914.4627389333073</v>
      </c>
      <c r="O203" s="552">
        <f t="shared" si="142"/>
        <v>8322.9339791681905</v>
      </c>
      <c r="P203" s="552">
        <f t="shared" si="142"/>
        <v>13444.017622484991</v>
      </c>
      <c r="Q203" s="552">
        <f t="shared" si="142"/>
        <v>20589.540580653909</v>
      </c>
      <c r="R203" s="552">
        <f t="shared" si="142"/>
        <v>29757.322933044325</v>
      </c>
      <c r="S203" s="552">
        <f t="shared" si="142"/>
        <v>40518.314705898832</v>
      </c>
      <c r="T203" s="552">
        <f t="shared" si="142"/>
        <v>52069.517568453761</v>
      </c>
      <c r="U203" s="552">
        <f t="shared" si="142"/>
        <v>63455.815643897848</v>
      </c>
      <c r="V203" s="552">
        <f t="shared" si="142"/>
        <v>73838.994374770482</v>
      </c>
      <c r="W203" s="552">
        <f t="shared" si="142"/>
        <v>82674.496039533828</v>
      </c>
      <c r="X203" s="552">
        <f t="shared" si="142"/>
        <v>91130.962274516438</v>
      </c>
      <c r="Y203" s="552">
        <f t="shared" si="142"/>
        <v>97905.552564740734</v>
      </c>
      <c r="Z203" s="552">
        <f t="shared" si="142"/>
        <v>103126.25393966853</v>
      </c>
      <c r="AA203" s="552">
        <f t="shared" si="142"/>
        <v>107046.90124260754</v>
      </c>
      <c r="AB203" s="552">
        <f t="shared" si="142"/>
        <v>109883.06514913573</v>
      </c>
      <c r="AC203" s="552">
        <f t="shared" si="142"/>
        <v>111823.06403632276</v>
      </c>
      <c r="AD203" s="552">
        <f t="shared" si="142"/>
        <v>113044.65041313405</v>
      </c>
      <c r="AE203" s="552">
        <f t="shared" si="142"/>
        <v>113682.3074588474</v>
      </c>
      <c r="AF203" s="552">
        <f t="shared" si="142"/>
        <v>113840.25350860288</v>
      </c>
      <c r="AG203" s="552">
        <f t="shared" si="142"/>
        <v>113597.60843934903</v>
      </c>
      <c r="AJ203" s="274"/>
    </row>
    <row r="204" spans="1:37" s="203" customFormat="1">
      <c r="A204" s="275"/>
      <c r="B204" s="273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J204" s="274"/>
    </row>
    <row r="205" spans="1:37" s="203" customFormat="1">
      <c r="A205" s="275" t="s">
        <v>635</v>
      </c>
      <c r="B205" s="273" t="s">
        <v>127</v>
      </c>
      <c r="C205" s="120">
        <f>SUM(C174:C175)-SUM(C201,C203)</f>
        <v>2038491.9146896824</v>
      </c>
      <c r="D205" s="120">
        <f t="shared" ref="D205:AG205" si="143">SUM(D174:D175)-SUM(D201,D203)</f>
        <v>1998198.5323110349</v>
      </c>
      <c r="E205" s="120">
        <f t="shared" si="143"/>
        <v>1957436.7583611123</v>
      </c>
      <c r="F205" s="120">
        <f t="shared" si="143"/>
        <v>1916226.5786907275</v>
      </c>
      <c r="G205" s="120">
        <f t="shared" si="143"/>
        <v>1874584.4644746538</v>
      </c>
      <c r="H205" s="120">
        <f t="shared" si="143"/>
        <v>1832520.2563649614</v>
      </c>
      <c r="I205" s="120">
        <f t="shared" si="143"/>
        <v>1786359.4789734145</v>
      </c>
      <c r="J205" s="120">
        <f t="shared" si="143"/>
        <v>1739928.7290912769</v>
      </c>
      <c r="K205" s="120">
        <f t="shared" si="143"/>
        <v>1693164.9612693877</v>
      </c>
      <c r="L205" s="120">
        <f t="shared" si="143"/>
        <v>1645943.4006478188</v>
      </c>
      <c r="M205" s="120">
        <f t="shared" si="143"/>
        <v>1598048.0338763255</v>
      </c>
      <c r="N205" s="120">
        <f t="shared" si="143"/>
        <v>1553595.0910747468</v>
      </c>
      <c r="O205" s="120">
        <f t="shared" si="143"/>
        <v>1509375.5594248839</v>
      </c>
      <c r="P205" s="120">
        <f t="shared" si="143"/>
        <v>1462460.4854899216</v>
      </c>
      <c r="Q205" s="120">
        <f t="shared" si="143"/>
        <v>1413682.6959412121</v>
      </c>
      <c r="R205" s="120">
        <f t="shared" si="143"/>
        <v>1363060.2904760721</v>
      </c>
      <c r="S205" s="120">
        <f t="shared" si="143"/>
        <v>1311038.115042049</v>
      </c>
      <c r="T205" s="120">
        <f t="shared" si="143"/>
        <v>1258434.8407561807</v>
      </c>
      <c r="U205" s="120">
        <f t="shared" si="143"/>
        <v>1206221.1337069252</v>
      </c>
      <c r="V205" s="120">
        <f t="shared" si="143"/>
        <v>1155250.6366991787</v>
      </c>
      <c r="W205" s="120">
        <f t="shared" si="143"/>
        <v>1106083.2143456405</v>
      </c>
      <c r="X205" s="120">
        <f t="shared" si="143"/>
        <v>1053767.7505171588</v>
      </c>
      <c r="Y205" s="120">
        <f t="shared" si="143"/>
        <v>1001931.203297506</v>
      </c>
      <c r="Z205" s="120">
        <f t="shared" si="143"/>
        <v>951471.01595801965</v>
      </c>
      <c r="AA205" s="120">
        <f t="shared" si="143"/>
        <v>902391.40844793268</v>
      </c>
      <c r="AB205" s="120">
        <f t="shared" si="143"/>
        <v>854490.95134125545</v>
      </c>
      <c r="AC205" s="120">
        <f t="shared" si="143"/>
        <v>807528.83208874299</v>
      </c>
      <c r="AD205" s="120">
        <f t="shared" si="143"/>
        <v>761412.92153629404</v>
      </c>
      <c r="AE205" s="120">
        <f t="shared" si="143"/>
        <v>716022.49057300994</v>
      </c>
      <c r="AF205" s="120">
        <f t="shared" si="143"/>
        <v>671266.95948180358</v>
      </c>
      <c r="AG205" s="120">
        <f t="shared" si="143"/>
        <v>627080.73352313123</v>
      </c>
      <c r="AJ205" s="274"/>
    </row>
    <row r="206" spans="1:37" s="203" customFormat="1">
      <c r="A206" s="275"/>
      <c r="B206" s="273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J206" s="274"/>
    </row>
    <row r="207" spans="1:37" s="203" customFormat="1">
      <c r="A207" s="274" t="s">
        <v>646</v>
      </c>
      <c r="B207" s="273" t="s">
        <v>127</v>
      </c>
      <c r="C207" s="547">
        <f>C127*C126*C47</f>
        <v>2240316.7143557332</v>
      </c>
      <c r="D207" s="547">
        <f t="shared" ref="D207:AG207" si="144">D127*D126*D47</f>
        <v>2224888.0866384697</v>
      </c>
      <c r="E207" s="547">
        <f t="shared" si="144"/>
        <v>2209509.0316738212</v>
      </c>
      <c r="F207" s="547">
        <f t="shared" si="144"/>
        <v>2194179.422621964</v>
      </c>
      <c r="G207" s="547">
        <f t="shared" si="144"/>
        <v>2178899.1329243202</v>
      </c>
      <c r="H207" s="547">
        <f t="shared" si="144"/>
        <v>2163668.0363030257</v>
      </c>
      <c r="I207" s="547">
        <f t="shared" si="144"/>
        <v>2143640.5914152502</v>
      </c>
      <c r="J207" s="547">
        <f t="shared" si="144"/>
        <v>2123680.1988959163</v>
      </c>
      <c r="K207" s="547">
        <f t="shared" si="144"/>
        <v>2103786.6842025756</v>
      </c>
      <c r="L207" s="547">
        <f t="shared" si="144"/>
        <v>2083959.8731838721</v>
      </c>
      <c r="M207" s="547">
        <f t="shared" si="144"/>
        <v>2064199.5920787835</v>
      </c>
      <c r="N207" s="547">
        <f t="shared" si="144"/>
        <v>2041123.3534166403</v>
      </c>
      <c r="O207" s="547">
        <f t="shared" si="144"/>
        <v>2019816.5857491596</v>
      </c>
      <c r="P207" s="547">
        <f t="shared" si="144"/>
        <v>1997084.3778638819</v>
      </c>
      <c r="Q207" s="547">
        <f t="shared" si="144"/>
        <v>1974429.2413272632</v>
      </c>
      <c r="R207" s="547">
        <f t="shared" si="144"/>
        <v>1951850.9826374177</v>
      </c>
      <c r="S207" s="547">
        <f t="shared" si="144"/>
        <v>1929349.4086872123</v>
      </c>
      <c r="T207" s="547">
        <f t="shared" si="144"/>
        <v>1906924.3267636413</v>
      </c>
      <c r="U207" s="547">
        <f t="shared" si="144"/>
        <v>1884575.5445472021</v>
      </c>
      <c r="V207" s="547">
        <f t="shared" si="144"/>
        <v>1862302.8701112727</v>
      </c>
      <c r="W207" s="547">
        <f t="shared" si="144"/>
        <v>1840106.1119214843</v>
      </c>
      <c r="X207" s="547">
        <f t="shared" si="144"/>
        <v>1824530.6134309694</v>
      </c>
      <c r="Y207" s="547">
        <f t="shared" si="144"/>
        <v>1807237.8102847226</v>
      </c>
      <c r="Z207" s="547">
        <f t="shared" si="144"/>
        <v>1789351.5834217356</v>
      </c>
      <c r="AA207" s="547">
        <f t="shared" si="144"/>
        <v>1771523.3881252103</v>
      </c>
      <c r="AB207" s="547">
        <f t="shared" si="144"/>
        <v>1753753.2332501356</v>
      </c>
      <c r="AC207" s="547">
        <f t="shared" si="144"/>
        <v>1735899.6909525064</v>
      </c>
      <c r="AD207" s="547">
        <f t="shared" si="144"/>
        <v>1718104.7335656246</v>
      </c>
      <c r="AE207" s="547">
        <f t="shared" si="144"/>
        <v>1700368.3659959147</v>
      </c>
      <c r="AF207" s="547">
        <f t="shared" si="144"/>
        <v>1682690.5923253591</v>
      </c>
      <c r="AG207" s="547">
        <f t="shared" si="144"/>
        <v>1665071.4158160849</v>
      </c>
      <c r="AJ207" s="274"/>
    </row>
    <row r="208" spans="1:37" s="203" customFormat="1">
      <c r="A208" s="203" t="s">
        <v>645</v>
      </c>
      <c r="B208" s="273" t="s">
        <v>127</v>
      </c>
      <c r="C208" s="547">
        <f>C128*C126*C47</f>
        <v>0</v>
      </c>
      <c r="D208" s="547">
        <f t="shared" ref="D208:AG208" si="145">D128*D126*D47</f>
        <v>0</v>
      </c>
      <c r="E208" s="547">
        <f t="shared" si="145"/>
        <v>0</v>
      </c>
      <c r="F208" s="547">
        <f t="shared" si="145"/>
        <v>0</v>
      </c>
      <c r="G208" s="547">
        <f t="shared" si="145"/>
        <v>0</v>
      </c>
      <c r="H208" s="547">
        <f t="shared" si="145"/>
        <v>0</v>
      </c>
      <c r="I208" s="547">
        <f t="shared" si="145"/>
        <v>0</v>
      </c>
      <c r="J208" s="547">
        <f t="shared" si="145"/>
        <v>0</v>
      </c>
      <c r="K208" s="547">
        <f t="shared" si="145"/>
        <v>0</v>
      </c>
      <c r="L208" s="547">
        <f t="shared" si="145"/>
        <v>0</v>
      </c>
      <c r="M208" s="547">
        <f t="shared" si="145"/>
        <v>0</v>
      </c>
      <c r="N208" s="547">
        <f t="shared" si="145"/>
        <v>0</v>
      </c>
      <c r="O208" s="547">
        <f t="shared" si="145"/>
        <v>0</v>
      </c>
      <c r="P208" s="547">
        <f t="shared" si="145"/>
        <v>0</v>
      </c>
      <c r="Q208" s="547">
        <f t="shared" si="145"/>
        <v>0</v>
      </c>
      <c r="R208" s="547">
        <f t="shared" si="145"/>
        <v>0</v>
      </c>
      <c r="S208" s="547">
        <f t="shared" si="145"/>
        <v>0</v>
      </c>
      <c r="T208" s="547">
        <f t="shared" si="145"/>
        <v>0</v>
      </c>
      <c r="U208" s="547">
        <f t="shared" si="145"/>
        <v>0</v>
      </c>
      <c r="V208" s="547">
        <f t="shared" si="145"/>
        <v>0</v>
      </c>
      <c r="W208" s="547">
        <f t="shared" si="145"/>
        <v>0</v>
      </c>
      <c r="X208" s="547">
        <f t="shared" si="145"/>
        <v>0</v>
      </c>
      <c r="Y208" s="547">
        <f t="shared" si="145"/>
        <v>0</v>
      </c>
      <c r="Z208" s="547">
        <f t="shared" si="145"/>
        <v>0</v>
      </c>
      <c r="AA208" s="547">
        <f t="shared" si="145"/>
        <v>0</v>
      </c>
      <c r="AB208" s="547">
        <f t="shared" si="145"/>
        <v>0</v>
      </c>
      <c r="AC208" s="547">
        <f t="shared" si="145"/>
        <v>0</v>
      </c>
      <c r="AD208" s="547">
        <f t="shared" si="145"/>
        <v>0</v>
      </c>
      <c r="AE208" s="547">
        <f t="shared" si="145"/>
        <v>0</v>
      </c>
      <c r="AF208" s="547">
        <f t="shared" si="145"/>
        <v>0</v>
      </c>
      <c r="AG208" s="547">
        <f t="shared" si="145"/>
        <v>0</v>
      </c>
      <c r="AJ208" s="274"/>
    </row>
    <row r="209" spans="1:36" s="203" customFormat="1">
      <c r="B209" s="273"/>
      <c r="C209" s="566"/>
      <c r="D209" s="566"/>
      <c r="E209" s="566"/>
      <c r="F209" s="566"/>
      <c r="G209" s="566"/>
      <c r="H209" s="566"/>
      <c r="I209" s="566"/>
      <c r="J209" s="566"/>
      <c r="K209" s="566"/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  <c r="AF209" s="566"/>
      <c r="AG209" s="566"/>
      <c r="AJ209" s="274"/>
    </row>
    <row r="210" spans="1:36" s="203" customFormat="1">
      <c r="A210" s="300" t="s">
        <v>647</v>
      </c>
      <c r="B210" s="301" t="s">
        <v>127</v>
      </c>
      <c r="C210" s="545">
        <f>C188-C201-C203</f>
        <v>146694.93257530563</v>
      </c>
      <c r="D210" s="545">
        <f t="shared" ref="D210:AG210" si="146">D188-D201-D203</f>
        <v>160915.3027034555</v>
      </c>
      <c r="E210" s="545">
        <f t="shared" si="146"/>
        <v>174708.56110186048</v>
      </c>
      <c r="F210" s="545">
        <f t="shared" si="146"/>
        <v>188047.43296493925</v>
      </c>
      <c r="G210" s="545">
        <f t="shared" si="146"/>
        <v>200903.22569238109</v>
      </c>
      <c r="H210" s="545">
        <f t="shared" si="146"/>
        <v>213242.63249388276</v>
      </c>
      <c r="I210" s="545">
        <f t="shared" si="146"/>
        <v>224285.29522437579</v>
      </c>
      <c r="J210" s="545">
        <f t="shared" si="146"/>
        <v>234643.17588558584</v>
      </c>
      <c r="K210" s="545">
        <f t="shared" si="146"/>
        <v>244223.74526234987</v>
      </c>
      <c r="L210" s="545">
        <f t="shared" si="146"/>
        <v>252874.21706671931</v>
      </c>
      <c r="M210" s="545">
        <f t="shared" si="146"/>
        <v>260351.98109139857</v>
      </c>
      <c r="N210" s="545">
        <f t="shared" si="146"/>
        <v>262090.23368593885</v>
      </c>
      <c r="O210" s="545">
        <f t="shared" si="146"/>
        <v>262216.17753733502</v>
      </c>
      <c r="P210" s="545">
        <f t="shared" si="146"/>
        <v>259940.26810754451</v>
      </c>
      <c r="Q210" s="545">
        <f t="shared" si="146"/>
        <v>255161.94215467354</v>
      </c>
      <c r="R210" s="545">
        <f t="shared" si="146"/>
        <v>247888.31743040759</v>
      </c>
      <c r="S210" s="545">
        <f t="shared" si="146"/>
        <v>238553.99254691749</v>
      </c>
      <c r="T210" s="545">
        <f t="shared" si="146"/>
        <v>227968.09558291131</v>
      </c>
      <c r="U210" s="545">
        <f t="shared" si="146"/>
        <v>217092.4247590524</v>
      </c>
      <c r="V210" s="545">
        <f t="shared" si="146"/>
        <v>206772.40219448518</v>
      </c>
      <c r="W210" s="545">
        <f t="shared" si="146"/>
        <v>197560.29210123286</v>
      </c>
      <c r="X210" s="545">
        <f t="shared" si="146"/>
        <v>192613.89478427314</v>
      </c>
      <c r="Y210" s="545">
        <f t="shared" si="146"/>
        <v>188543.26964336928</v>
      </c>
      <c r="Z210" s="545">
        <f t="shared" si="146"/>
        <v>185290.67575442063</v>
      </c>
      <c r="AA210" s="545">
        <f t="shared" si="146"/>
        <v>182779.06870358888</v>
      </c>
      <c r="AB210" s="545">
        <f t="shared" si="146"/>
        <v>180799.92221515923</v>
      </c>
      <c r="AC210" s="545">
        <f t="shared" si="146"/>
        <v>179145.69061322184</v>
      </c>
      <c r="AD210" s="545">
        <f t="shared" si="146"/>
        <v>177673.34018626317</v>
      </c>
      <c r="AE210" s="545">
        <f t="shared" si="146"/>
        <v>176256.78083964024</v>
      </c>
      <c r="AF210" s="545">
        <f t="shared" si="146"/>
        <v>174800.54445124386</v>
      </c>
      <c r="AG210" s="553">
        <f t="shared" si="146"/>
        <v>173234.59906787629</v>
      </c>
      <c r="AI210" s="203" t="s">
        <v>679</v>
      </c>
      <c r="AJ210" s="274"/>
    </row>
    <row r="211" spans="1:36" s="203" customFormat="1">
      <c r="A211" s="304" t="s">
        <v>648</v>
      </c>
      <c r="B211" s="305" t="s">
        <v>127</v>
      </c>
      <c r="C211" s="554">
        <f>C189+C210</f>
        <v>2034373.0964197107</v>
      </c>
      <c r="D211" s="554">
        <f t="shared" ref="D211:AG211" si="147">D189+D210</f>
        <v>1993650.9822374368</v>
      </c>
      <c r="E211" s="554">
        <f t="shared" si="147"/>
        <v>1952467.5222898545</v>
      </c>
      <c r="F211" s="554">
        <f t="shared" si="147"/>
        <v>1910843.6750262976</v>
      </c>
      <c r="G211" s="554">
        <f t="shared" si="147"/>
        <v>1868796.8478556729</v>
      </c>
      <c r="H211" s="554">
        <f t="shared" si="147"/>
        <v>1826337.7816530757</v>
      </c>
      <c r="I211" s="554">
        <f t="shared" si="147"/>
        <v>1779814.362294517</v>
      </c>
      <c r="J211" s="554">
        <f t="shared" si="147"/>
        <v>1733034.5881205173</v>
      </c>
      <c r="K211" s="554">
        <f t="shared" si="147"/>
        <v>1685936.0268695515</v>
      </c>
      <c r="L211" s="554">
        <f t="shared" si="147"/>
        <v>1638394.4837868614</v>
      </c>
      <c r="M211" s="554">
        <f t="shared" si="147"/>
        <v>1590194.4928787649</v>
      </c>
      <c r="N211" s="554">
        <f t="shared" si="147"/>
        <v>1545581.5105323733</v>
      </c>
      <c r="O211" s="554">
        <f t="shared" si="147"/>
        <v>1501211.0375981349</v>
      </c>
      <c r="P211" s="554">
        <f t="shared" si="147"/>
        <v>1454165.3774258113</v>
      </c>
      <c r="Q211" s="554">
        <f t="shared" si="147"/>
        <v>1405271.3140112709</v>
      </c>
      <c r="R211" s="554">
        <f t="shared" si="147"/>
        <v>1354547.0919599056</v>
      </c>
      <c r="S211" s="554">
        <f t="shared" si="147"/>
        <v>1302437.6782784068</v>
      </c>
      <c r="T211" s="554">
        <f t="shared" si="147"/>
        <v>1249761.8415533141</v>
      </c>
      <c r="U211" s="554">
        <f t="shared" si="147"/>
        <v>1197490.3220104254</v>
      </c>
      <c r="V211" s="554">
        <f t="shared" si="147"/>
        <v>1146476.8135154922</v>
      </c>
      <c r="W211" s="554">
        <f t="shared" si="147"/>
        <v>1097281.2089194749</v>
      </c>
      <c r="X211" s="554">
        <f t="shared" si="147"/>
        <v>1044816.1651997223</v>
      </c>
      <c r="Y211" s="554">
        <f t="shared" si="147"/>
        <v>992855.83527993283</v>
      </c>
      <c r="Z211" s="554">
        <f t="shared" si="147"/>
        <v>942295.88615701138</v>
      </c>
      <c r="AA211" s="554">
        <f t="shared" si="147"/>
        <v>893135.31437787705</v>
      </c>
      <c r="AB211" s="554">
        <f t="shared" si="147"/>
        <v>845172.81556163053</v>
      </c>
      <c r="AC211" s="554">
        <f t="shared" si="147"/>
        <v>798168.54044203705</v>
      </c>
      <c r="AD211" s="554">
        <f t="shared" si="147"/>
        <v>752029.58606836968</v>
      </c>
      <c r="AE211" s="554">
        <f t="shared" si="147"/>
        <v>706635.282293075</v>
      </c>
      <c r="AF211" s="554">
        <f t="shared" si="147"/>
        <v>661895.08856251079</v>
      </c>
      <c r="AG211" s="555">
        <f t="shared" si="147"/>
        <v>617743.42974683223</v>
      </c>
      <c r="AI211" s="203" t="s">
        <v>680</v>
      </c>
      <c r="AJ211" s="274"/>
    </row>
    <row r="212" spans="1:36" s="203" customFormat="1">
      <c r="A212" s="378"/>
      <c r="B212" s="379"/>
      <c r="C212" s="568"/>
      <c r="D212" s="568"/>
      <c r="E212" s="568"/>
      <c r="F212" s="568"/>
      <c r="G212" s="568"/>
      <c r="H212" s="568"/>
      <c r="I212" s="568"/>
      <c r="J212" s="568"/>
      <c r="K212" s="568"/>
      <c r="L212" s="568"/>
      <c r="M212" s="568"/>
      <c r="N212" s="568"/>
      <c r="O212" s="568"/>
      <c r="P212" s="568"/>
      <c r="Q212" s="568"/>
      <c r="R212" s="568"/>
      <c r="S212" s="568"/>
      <c r="T212" s="568"/>
      <c r="U212" s="568"/>
      <c r="V212" s="568"/>
      <c r="W212" s="568"/>
      <c r="X212" s="568"/>
      <c r="Y212" s="568"/>
      <c r="Z212" s="568"/>
      <c r="AA212" s="568"/>
      <c r="AB212" s="568"/>
      <c r="AC212" s="568"/>
      <c r="AD212" s="568"/>
      <c r="AE212" s="568"/>
      <c r="AF212" s="568"/>
      <c r="AG212" s="568"/>
      <c r="AJ212" s="274"/>
    </row>
    <row r="213" spans="1:36">
      <c r="A213" t="s">
        <v>601</v>
      </c>
      <c r="B213" s="121"/>
      <c r="C213" s="120">
        <f>(C42*C62+C43*C83+C44*C108+C45*C91+C46*C111)</f>
        <v>205940.91349861573</v>
      </c>
      <c r="D213" s="120">
        <f t="shared" ref="D213:AG213" si="148">(D42*D62+D43*D83+D44*D108+D45*D91+D46*D111)</f>
        <v>231231.35967447128</v>
      </c>
      <c r="E213" s="120">
        <f t="shared" si="148"/>
        <v>257029.45196162272</v>
      </c>
      <c r="F213" s="120">
        <f t="shared" si="148"/>
        <v>283310.71918053529</v>
      </c>
      <c r="G213" s="120">
        <f t="shared" si="148"/>
        <v>310050.89030255144</v>
      </c>
      <c r="H213" s="120">
        <f t="shared" si="148"/>
        <v>337225.89337559766</v>
      </c>
      <c r="I213" s="120">
        <f t="shared" si="148"/>
        <v>363617.59327209415</v>
      </c>
      <c r="J213" s="120">
        <f t="shared" si="148"/>
        <v>390234.39457129862</v>
      </c>
      <c r="K213" s="120">
        <f t="shared" si="148"/>
        <v>417053.90768287814</v>
      </c>
      <c r="L213" s="120">
        <f t="shared" si="148"/>
        <v>444053.93299751054</v>
      </c>
      <c r="M213" s="120">
        <f t="shared" si="148"/>
        <v>471212.45985365967</v>
      </c>
      <c r="N213" s="120">
        <f t="shared" si="148"/>
        <v>490627.38014533429</v>
      </c>
      <c r="O213" s="120">
        <f t="shared" si="148"/>
        <v>510282.61417185731</v>
      </c>
      <c r="P213" s="120">
        <f t="shared" si="148"/>
        <v>529474.98281558638</v>
      </c>
      <c r="Q213" s="120">
        <f t="shared" si="148"/>
        <v>548568.38673533918</v>
      </c>
      <c r="R213" s="120">
        <f t="shared" si="148"/>
        <v>567546.56774446857</v>
      </c>
      <c r="S213" s="120">
        <f t="shared" si="148"/>
        <v>586393.41570290737</v>
      </c>
      <c r="T213" s="120">
        <f t="shared" si="148"/>
        <v>605092.96764187422</v>
      </c>
      <c r="U213" s="120">
        <f t="shared" si="148"/>
        <v>623629.40689287998</v>
      </c>
      <c r="V213" s="120">
        <f t="shared" si="148"/>
        <v>641987.06222101115</v>
      </c>
      <c r="W213" s="120">
        <f t="shared" si="148"/>
        <v>660150.4069624769</v>
      </c>
      <c r="X213" s="120">
        <f t="shared" si="148"/>
        <v>688583.48595673207</v>
      </c>
      <c r="Y213" s="120">
        <f t="shared" si="148"/>
        <v>716476.4224400504</v>
      </c>
      <c r="Z213" s="120">
        <f t="shared" si="148"/>
        <v>743929.44332505704</v>
      </c>
      <c r="AA213" s="120">
        <f t="shared" si="148"/>
        <v>771341.1725047275</v>
      </c>
      <c r="AB213" s="120">
        <f t="shared" si="148"/>
        <v>798697.352539371</v>
      </c>
      <c r="AC213" s="120">
        <f t="shared" si="148"/>
        <v>825908.08647414844</v>
      </c>
      <c r="AD213" s="120">
        <f t="shared" si="148"/>
        <v>853030.49708412273</v>
      </c>
      <c r="AE213" s="120">
        <f t="shared" si="148"/>
        <v>880050.77624399413</v>
      </c>
      <c r="AF213" s="120">
        <f t="shared" si="148"/>
        <v>906955.25025424745</v>
      </c>
      <c r="AG213" s="120">
        <f t="shared" si="148"/>
        <v>933730.37762990373</v>
      </c>
      <c r="AI213" s="22">
        <f>(AG213/C213)^(1/30)-1</f>
        <v>5.167761113528635E-2</v>
      </c>
    </row>
    <row r="214" spans="1:36">
      <c r="A214" t="s">
        <v>598</v>
      </c>
      <c r="B214" s="121"/>
      <c r="C214" s="120">
        <f>C213</f>
        <v>205940.91349861573</v>
      </c>
      <c r="D214" s="120">
        <f>C214*(1+$AI$214)</f>
        <v>209380.12675404261</v>
      </c>
      <c r="E214" s="120">
        <f t="shared" ref="E214:AG214" si="149">D214*(1+$AI$214)</f>
        <v>212876.7748708351</v>
      </c>
      <c r="F214" s="120">
        <f t="shared" si="149"/>
        <v>216431.81701117803</v>
      </c>
      <c r="G214" s="120">
        <f t="shared" si="149"/>
        <v>220046.2283552647</v>
      </c>
      <c r="H214" s="120">
        <f t="shared" si="149"/>
        <v>223721.0003687976</v>
      </c>
      <c r="I214" s="120">
        <f t="shared" si="149"/>
        <v>227457.14107495651</v>
      </c>
      <c r="J214" s="120">
        <f t="shared" si="149"/>
        <v>231255.67533090827</v>
      </c>
      <c r="K214" s="120">
        <f t="shared" si="149"/>
        <v>235117.64510893443</v>
      </c>
      <c r="L214" s="120">
        <f t="shared" si="149"/>
        <v>239044.10978225362</v>
      </c>
      <c r="M214" s="120">
        <f t="shared" si="149"/>
        <v>243036.14641561726</v>
      </c>
      <c r="N214" s="120">
        <f t="shared" si="149"/>
        <v>247094.85006075806</v>
      </c>
      <c r="O214" s="120">
        <f t="shared" si="149"/>
        <v>251221.3340567727</v>
      </c>
      <c r="P214" s="120">
        <f t="shared" si="149"/>
        <v>255416.73033552078</v>
      </c>
      <c r="Q214" s="120">
        <f t="shared" si="149"/>
        <v>259682.18973212395</v>
      </c>
      <c r="R214" s="120">
        <f t="shared" si="149"/>
        <v>264018.88230065041</v>
      </c>
      <c r="S214" s="120">
        <f t="shared" si="149"/>
        <v>268427.99763507128</v>
      </c>
      <c r="T214" s="120">
        <f t="shared" si="149"/>
        <v>272910.74519557698</v>
      </c>
      <c r="U214" s="120">
        <f t="shared" si="149"/>
        <v>277468.35464034311</v>
      </c>
      <c r="V214" s="120">
        <f t="shared" si="149"/>
        <v>282102.07616283681</v>
      </c>
      <c r="W214" s="120">
        <f t="shared" si="149"/>
        <v>286813.18083475617</v>
      </c>
      <c r="X214" s="120">
        <f t="shared" si="149"/>
        <v>291602.96095469658</v>
      </c>
      <c r="Y214" s="120">
        <f t="shared" si="149"/>
        <v>296472.73040264001</v>
      </c>
      <c r="Z214" s="120">
        <f t="shared" si="149"/>
        <v>301423.8250003641</v>
      </c>
      <c r="AA214" s="120">
        <f t="shared" si="149"/>
        <v>306457.60287787014</v>
      </c>
      <c r="AB214" s="120">
        <f t="shared" si="149"/>
        <v>311575.44484593056</v>
      </c>
      <c r="AC214" s="120">
        <f t="shared" si="149"/>
        <v>316778.7547748576</v>
      </c>
      <c r="AD214" s="120">
        <f t="shared" si="149"/>
        <v>322068.95997959771</v>
      </c>
      <c r="AE214" s="120">
        <f t="shared" si="149"/>
        <v>327447.51161125698</v>
      </c>
      <c r="AF214" s="120">
        <f t="shared" si="149"/>
        <v>332915.88505516498</v>
      </c>
      <c r="AG214" s="120">
        <f t="shared" si="149"/>
        <v>338475.58033558622</v>
      </c>
      <c r="AI214" s="188">
        <v>1.67E-2</v>
      </c>
      <c r="AJ214" s="3" t="s">
        <v>599</v>
      </c>
    </row>
    <row r="215" spans="1:36">
      <c r="B215" s="121"/>
      <c r="C215" s="105"/>
      <c r="D215" s="22"/>
      <c r="E215" s="22"/>
      <c r="F215" s="22"/>
      <c r="G215" s="22"/>
      <c r="H215" s="22"/>
      <c r="I215" s="22"/>
      <c r="J215" s="22"/>
      <c r="K215" s="22"/>
      <c r="L215" s="22"/>
      <c r="M215" s="118"/>
      <c r="N215" s="102"/>
      <c r="O215" s="102"/>
      <c r="P215" s="102"/>
      <c r="Q215" s="102"/>
      <c r="R215" s="102"/>
      <c r="S215" s="102"/>
      <c r="T215" s="102"/>
      <c r="U215" s="102"/>
      <c r="V215" s="102"/>
      <c r="W215" s="118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5"/>
    </row>
    <row r="216" spans="1:36">
      <c r="B216" s="47"/>
    </row>
    <row r="217" spans="1:36">
      <c r="B217" s="47"/>
    </row>
    <row r="218" spans="1:36">
      <c r="A218" s="104"/>
      <c r="B218"/>
      <c r="C218" s="2"/>
      <c r="AG218" s="2"/>
    </row>
    <row r="219" spans="1:36">
      <c r="C219" s="2"/>
      <c r="AG219" s="2"/>
      <c r="AH219" s="217"/>
    </row>
    <row r="220" spans="1:36">
      <c r="C220" s="2"/>
      <c r="AG220" s="2"/>
    </row>
    <row r="221" spans="1:36">
      <c r="C221" s="2"/>
      <c r="AG221" s="2"/>
    </row>
    <row r="222" spans="1:36">
      <c r="C222" s="2"/>
      <c r="AG222" s="2"/>
    </row>
    <row r="223" spans="1:36">
      <c r="C223" s="2"/>
      <c r="AG223" s="2"/>
    </row>
  </sheetData>
  <mergeCells count="4">
    <mergeCell ref="BD69:BE69"/>
    <mergeCell ref="BD74:BE74"/>
    <mergeCell ref="BD79:BE79"/>
    <mergeCell ref="AI181:AI189"/>
  </mergeCells>
  <hyperlinks>
    <hyperlink ref="AJ73" r:id="rId1" xr:uid="{5643A94E-3FEB-4642-A955-E7E7C583E415}"/>
    <hyperlink ref="AJ74" r:id="rId2" xr:uid="{3E71DC36-B15E-40E9-8EC0-B1624633191C}"/>
  </hyperlinks>
  <pageMargins left="0.7" right="0.7" top="0.75" bottom="0.75" header="0.3" footer="0.3"/>
  <pageSetup orientation="portrait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8D0B1-24AB-4236-9352-14534FA37B8C}">
  <sheetPr>
    <tabColor theme="4"/>
  </sheetPr>
  <dimension ref="A1:BL346"/>
  <sheetViews>
    <sheetView zoomScale="80" zoomScaleNormal="80" workbookViewId="0">
      <pane xSplit="2" ySplit="3" topLeftCell="AG234" activePane="bottomRight" state="frozen"/>
      <selection pane="topRight" activeCell="C1" sqref="C1"/>
      <selection pane="bottomLeft" activeCell="A4" sqref="A4"/>
      <selection pane="bottomRight" activeCell="AJ250" sqref="AJ250:AJ334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2.7265625" style="99" bestFit="1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2.7265625" style="99" bestFit="1" customWidth="1" collapsed="1"/>
    <col min="24" max="32" width="8.81640625" style="99" hidden="1" customWidth="1" outlineLevel="1"/>
    <col min="33" max="33" width="12.72656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968</v>
      </c>
      <c r="B18" s="50" t="s">
        <v>126</v>
      </c>
      <c r="C18" s="139">
        <f>'Overall recycling rates'!E76</f>
        <v>1.2426137101318265E-2</v>
      </c>
      <c r="D18" s="139">
        <f>C18</f>
        <v>1.2426137101318265E-2</v>
      </c>
      <c r="E18" s="139">
        <f t="shared" ref="E18:AF19" si="9">D18</f>
        <v>1.2426137101318265E-2</v>
      </c>
      <c r="F18" s="139">
        <f t="shared" si="9"/>
        <v>1.2426137101318265E-2</v>
      </c>
      <c r="G18" s="139">
        <f t="shared" si="9"/>
        <v>1.2426137101318265E-2</v>
      </c>
      <c r="H18" s="139">
        <f t="shared" si="9"/>
        <v>1.2426137101318265E-2</v>
      </c>
      <c r="I18" s="139">
        <f t="shared" si="9"/>
        <v>1.2426137101318265E-2</v>
      </c>
      <c r="J18" s="139">
        <f t="shared" si="9"/>
        <v>1.2426137101318265E-2</v>
      </c>
      <c r="K18" s="139">
        <f t="shared" si="9"/>
        <v>1.2426137101318265E-2</v>
      </c>
      <c r="L18" s="139">
        <f t="shared" si="9"/>
        <v>1.2426137101318265E-2</v>
      </c>
      <c r="M18" s="139">
        <f t="shared" si="9"/>
        <v>1.2426137101318265E-2</v>
      </c>
      <c r="N18" s="139">
        <f t="shared" si="9"/>
        <v>1.2426137101318265E-2</v>
      </c>
      <c r="O18" s="139">
        <f t="shared" si="9"/>
        <v>1.2426137101318265E-2</v>
      </c>
      <c r="P18" s="139">
        <f t="shared" si="9"/>
        <v>1.2426137101318265E-2</v>
      </c>
      <c r="Q18" s="139">
        <f t="shared" si="9"/>
        <v>1.2426137101318265E-2</v>
      </c>
      <c r="R18" s="139">
        <f t="shared" si="9"/>
        <v>1.2426137101318265E-2</v>
      </c>
      <c r="S18" s="139">
        <f t="shared" si="9"/>
        <v>1.2426137101318265E-2</v>
      </c>
      <c r="T18" s="139">
        <f t="shared" si="9"/>
        <v>1.2426137101318265E-2</v>
      </c>
      <c r="U18" s="139">
        <f t="shared" si="9"/>
        <v>1.2426137101318265E-2</v>
      </c>
      <c r="V18" s="139">
        <f t="shared" si="9"/>
        <v>1.2426137101318265E-2</v>
      </c>
      <c r="W18" s="139">
        <f t="shared" si="9"/>
        <v>1.2426137101318265E-2</v>
      </c>
      <c r="X18" s="139">
        <f t="shared" si="9"/>
        <v>1.2426137101318265E-2</v>
      </c>
      <c r="Y18" s="139">
        <f t="shared" si="9"/>
        <v>1.2426137101318265E-2</v>
      </c>
      <c r="Z18" s="139">
        <f t="shared" si="9"/>
        <v>1.2426137101318265E-2</v>
      </c>
      <c r="AA18" s="139">
        <f t="shared" si="9"/>
        <v>1.2426137101318265E-2</v>
      </c>
      <c r="AB18" s="139">
        <f t="shared" si="9"/>
        <v>1.2426137101318265E-2</v>
      </c>
      <c r="AC18" s="139">
        <f t="shared" si="9"/>
        <v>1.2426137101318265E-2</v>
      </c>
      <c r="AD18" s="139">
        <f t="shared" si="9"/>
        <v>1.2426137101318265E-2</v>
      </c>
      <c r="AE18" s="139">
        <f t="shared" si="9"/>
        <v>1.2426137101318265E-2</v>
      </c>
      <c r="AF18" s="139">
        <f t="shared" si="9"/>
        <v>1.2426137101318265E-2</v>
      </c>
      <c r="AG18" s="139">
        <f>AF18</f>
        <v>1.2426137101318265E-2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969</v>
      </c>
      <c r="B19" s="50" t="s">
        <v>126</v>
      </c>
      <c r="C19" s="139">
        <f>'Overall recycling rates'!E78</f>
        <v>6.4375749828577966E-2</v>
      </c>
      <c r="D19" s="139">
        <f t="shared" ref="D19:S22" si="10">C19</f>
        <v>6.4375749828577966E-2</v>
      </c>
      <c r="E19" s="139">
        <f t="shared" si="10"/>
        <v>6.4375749828577966E-2</v>
      </c>
      <c r="F19" s="139">
        <f t="shared" si="10"/>
        <v>6.4375749828577966E-2</v>
      </c>
      <c r="G19" s="139">
        <f t="shared" si="10"/>
        <v>6.4375749828577966E-2</v>
      </c>
      <c r="H19" s="139">
        <f t="shared" si="10"/>
        <v>6.4375749828577966E-2</v>
      </c>
      <c r="I19" s="139">
        <f t="shared" si="10"/>
        <v>6.4375749828577966E-2</v>
      </c>
      <c r="J19" s="139">
        <f t="shared" si="10"/>
        <v>6.4375749828577966E-2</v>
      </c>
      <c r="K19" s="139">
        <f t="shared" si="10"/>
        <v>6.4375749828577966E-2</v>
      </c>
      <c r="L19" s="139">
        <f t="shared" si="10"/>
        <v>6.4375749828577966E-2</v>
      </c>
      <c r="M19" s="139">
        <f t="shared" si="10"/>
        <v>6.4375749828577966E-2</v>
      </c>
      <c r="N19" s="139">
        <f t="shared" si="10"/>
        <v>6.4375749828577966E-2</v>
      </c>
      <c r="O19" s="139">
        <f t="shared" si="10"/>
        <v>6.4375749828577966E-2</v>
      </c>
      <c r="P19" s="139">
        <f t="shared" si="10"/>
        <v>6.4375749828577966E-2</v>
      </c>
      <c r="Q19" s="139">
        <f t="shared" si="10"/>
        <v>6.4375749828577966E-2</v>
      </c>
      <c r="R19" s="139">
        <f t="shared" si="10"/>
        <v>6.4375749828577966E-2</v>
      </c>
      <c r="S19" s="139">
        <f t="shared" si="10"/>
        <v>6.4375749828577966E-2</v>
      </c>
      <c r="T19" s="139">
        <f t="shared" si="9"/>
        <v>6.4375749828577966E-2</v>
      </c>
      <c r="U19" s="139">
        <f t="shared" si="9"/>
        <v>6.4375749828577966E-2</v>
      </c>
      <c r="V19" s="139">
        <f t="shared" si="9"/>
        <v>6.4375749828577966E-2</v>
      </c>
      <c r="W19" s="139">
        <f t="shared" si="9"/>
        <v>6.4375749828577966E-2</v>
      </c>
      <c r="X19" s="139">
        <f t="shared" si="9"/>
        <v>6.4375749828577966E-2</v>
      </c>
      <c r="Y19" s="139">
        <f t="shared" si="9"/>
        <v>6.4375749828577966E-2</v>
      </c>
      <c r="Z19" s="139">
        <f t="shared" si="9"/>
        <v>6.4375749828577966E-2</v>
      </c>
      <c r="AA19" s="139">
        <f t="shared" si="9"/>
        <v>6.4375749828577966E-2</v>
      </c>
      <c r="AB19" s="139">
        <f t="shared" si="9"/>
        <v>6.4375749828577966E-2</v>
      </c>
      <c r="AC19" s="139">
        <f t="shared" si="9"/>
        <v>6.4375749828577966E-2</v>
      </c>
      <c r="AD19" s="139">
        <f t="shared" si="9"/>
        <v>6.4375749828577966E-2</v>
      </c>
      <c r="AE19" s="139">
        <f t="shared" si="9"/>
        <v>6.4375749828577966E-2</v>
      </c>
      <c r="AF19" s="139">
        <f t="shared" si="9"/>
        <v>6.4375749828577966E-2</v>
      </c>
      <c r="AG19" s="139">
        <f t="shared" ref="T19:AG22" si="11">AF19</f>
        <v>6.4375749828577966E-2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970</v>
      </c>
      <c r="B20" s="50" t="s">
        <v>126</v>
      </c>
      <c r="C20" s="139">
        <f>'Overall recycling rates'!E77</f>
        <v>4.139376221635678E-2</v>
      </c>
      <c r="D20" s="139">
        <f t="shared" si="10"/>
        <v>4.139376221635678E-2</v>
      </c>
      <c r="E20" s="139">
        <f t="shared" si="10"/>
        <v>4.139376221635678E-2</v>
      </c>
      <c r="F20" s="139">
        <f t="shared" si="10"/>
        <v>4.139376221635678E-2</v>
      </c>
      <c r="G20" s="139">
        <f t="shared" si="10"/>
        <v>4.139376221635678E-2</v>
      </c>
      <c r="H20" s="139">
        <f t="shared" si="10"/>
        <v>4.139376221635678E-2</v>
      </c>
      <c r="I20" s="139">
        <f t="shared" si="10"/>
        <v>4.139376221635678E-2</v>
      </c>
      <c r="J20" s="139">
        <f t="shared" si="10"/>
        <v>4.139376221635678E-2</v>
      </c>
      <c r="K20" s="139">
        <f t="shared" si="10"/>
        <v>4.139376221635678E-2</v>
      </c>
      <c r="L20" s="139">
        <f t="shared" si="10"/>
        <v>4.139376221635678E-2</v>
      </c>
      <c r="M20" s="139">
        <f t="shared" si="10"/>
        <v>4.139376221635678E-2</v>
      </c>
      <c r="N20" s="139">
        <f t="shared" si="10"/>
        <v>4.139376221635678E-2</v>
      </c>
      <c r="O20" s="139">
        <f t="shared" si="10"/>
        <v>4.139376221635678E-2</v>
      </c>
      <c r="P20" s="139">
        <f t="shared" si="10"/>
        <v>4.139376221635678E-2</v>
      </c>
      <c r="Q20" s="139">
        <f t="shared" si="10"/>
        <v>4.139376221635678E-2</v>
      </c>
      <c r="R20" s="139">
        <f t="shared" si="10"/>
        <v>4.139376221635678E-2</v>
      </c>
      <c r="S20" s="139">
        <f t="shared" si="10"/>
        <v>4.139376221635678E-2</v>
      </c>
      <c r="T20" s="139">
        <f t="shared" si="11"/>
        <v>4.139376221635678E-2</v>
      </c>
      <c r="U20" s="139">
        <f t="shared" si="11"/>
        <v>4.139376221635678E-2</v>
      </c>
      <c r="V20" s="139">
        <f t="shared" si="11"/>
        <v>4.139376221635678E-2</v>
      </c>
      <c r="W20" s="139">
        <f t="shared" si="11"/>
        <v>4.139376221635678E-2</v>
      </c>
      <c r="X20" s="139">
        <f t="shared" si="11"/>
        <v>4.139376221635678E-2</v>
      </c>
      <c r="Y20" s="139">
        <f t="shared" si="11"/>
        <v>4.139376221635678E-2</v>
      </c>
      <c r="Z20" s="139">
        <f t="shared" si="11"/>
        <v>4.139376221635678E-2</v>
      </c>
      <c r="AA20" s="139">
        <f t="shared" si="11"/>
        <v>4.139376221635678E-2</v>
      </c>
      <c r="AB20" s="139">
        <f t="shared" si="11"/>
        <v>4.139376221635678E-2</v>
      </c>
      <c r="AC20" s="139">
        <f t="shared" si="11"/>
        <v>4.139376221635678E-2</v>
      </c>
      <c r="AD20" s="139">
        <f t="shared" si="11"/>
        <v>4.139376221635678E-2</v>
      </c>
      <c r="AE20" s="139">
        <f t="shared" si="11"/>
        <v>4.139376221635678E-2</v>
      </c>
      <c r="AF20" s="139">
        <f t="shared" si="11"/>
        <v>4.139376221635678E-2</v>
      </c>
      <c r="AG20" s="139">
        <f t="shared" si="11"/>
        <v>4.139376221635678E-2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971</v>
      </c>
      <c r="B21" s="50" t="s">
        <v>126</v>
      </c>
      <c r="C21" s="139">
        <f>'Overall recycling rates'!E79</f>
        <v>1.3100323193105658E-5</v>
      </c>
      <c r="D21" s="139">
        <f t="shared" si="10"/>
        <v>1.3100323193105658E-5</v>
      </c>
      <c r="E21" s="139">
        <f t="shared" si="10"/>
        <v>1.3100323193105658E-5</v>
      </c>
      <c r="F21" s="139">
        <f t="shared" si="10"/>
        <v>1.3100323193105658E-5</v>
      </c>
      <c r="G21" s="139">
        <f t="shared" si="10"/>
        <v>1.3100323193105658E-5</v>
      </c>
      <c r="H21" s="139">
        <f t="shared" si="10"/>
        <v>1.3100323193105658E-5</v>
      </c>
      <c r="I21" s="139">
        <f t="shared" si="10"/>
        <v>1.3100323193105658E-5</v>
      </c>
      <c r="J21" s="139">
        <f t="shared" si="10"/>
        <v>1.3100323193105658E-5</v>
      </c>
      <c r="K21" s="139">
        <f t="shared" si="10"/>
        <v>1.3100323193105658E-5</v>
      </c>
      <c r="L21" s="139">
        <f t="shared" si="10"/>
        <v>1.3100323193105658E-5</v>
      </c>
      <c r="M21" s="139">
        <f t="shared" si="10"/>
        <v>1.3100323193105658E-5</v>
      </c>
      <c r="N21" s="139">
        <f t="shared" si="10"/>
        <v>1.3100323193105658E-5</v>
      </c>
      <c r="O21" s="139">
        <f t="shared" si="10"/>
        <v>1.3100323193105658E-5</v>
      </c>
      <c r="P21" s="139">
        <f t="shared" si="10"/>
        <v>1.3100323193105658E-5</v>
      </c>
      <c r="Q21" s="139">
        <f t="shared" si="10"/>
        <v>1.3100323193105658E-5</v>
      </c>
      <c r="R21" s="139">
        <f t="shared" si="10"/>
        <v>1.3100323193105658E-5</v>
      </c>
      <c r="S21" s="139">
        <f t="shared" si="10"/>
        <v>1.3100323193105658E-5</v>
      </c>
      <c r="T21" s="139">
        <f t="shared" si="11"/>
        <v>1.3100323193105658E-5</v>
      </c>
      <c r="U21" s="139">
        <f t="shared" si="11"/>
        <v>1.3100323193105658E-5</v>
      </c>
      <c r="V21" s="139">
        <f t="shared" si="11"/>
        <v>1.3100323193105658E-5</v>
      </c>
      <c r="W21" s="139">
        <f t="shared" si="11"/>
        <v>1.3100323193105658E-5</v>
      </c>
      <c r="X21" s="139">
        <f t="shared" si="11"/>
        <v>1.3100323193105658E-5</v>
      </c>
      <c r="Y21" s="139">
        <f t="shared" si="11"/>
        <v>1.3100323193105658E-5</v>
      </c>
      <c r="Z21" s="139">
        <f t="shared" si="11"/>
        <v>1.3100323193105658E-5</v>
      </c>
      <c r="AA21" s="139">
        <f t="shared" si="11"/>
        <v>1.3100323193105658E-5</v>
      </c>
      <c r="AB21" s="139">
        <f t="shared" si="11"/>
        <v>1.3100323193105658E-5</v>
      </c>
      <c r="AC21" s="139">
        <f t="shared" si="11"/>
        <v>1.3100323193105658E-5</v>
      </c>
      <c r="AD21" s="139">
        <f t="shared" si="11"/>
        <v>1.3100323193105658E-5</v>
      </c>
      <c r="AE21" s="139">
        <f t="shared" si="11"/>
        <v>1.3100323193105658E-5</v>
      </c>
      <c r="AF21" s="139">
        <f t="shared" si="11"/>
        <v>1.3100323193105658E-5</v>
      </c>
      <c r="AG21" s="139">
        <f t="shared" si="11"/>
        <v>1.3100323193105658E-5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972</v>
      </c>
      <c r="B22" s="50" t="s">
        <v>126</v>
      </c>
      <c r="C22" s="139">
        <f>'Overall recycling rates'!E80</f>
        <v>0.162571122193686</v>
      </c>
      <c r="D22" s="139">
        <f>C22</f>
        <v>0.162571122193686</v>
      </c>
      <c r="E22" s="139">
        <f t="shared" si="10"/>
        <v>0.162571122193686</v>
      </c>
      <c r="F22" s="139">
        <f t="shared" si="10"/>
        <v>0.162571122193686</v>
      </c>
      <c r="G22" s="139">
        <f t="shared" si="10"/>
        <v>0.162571122193686</v>
      </c>
      <c r="H22" s="139">
        <f t="shared" si="10"/>
        <v>0.162571122193686</v>
      </c>
      <c r="I22" s="139">
        <f t="shared" si="10"/>
        <v>0.162571122193686</v>
      </c>
      <c r="J22" s="139">
        <f t="shared" si="10"/>
        <v>0.162571122193686</v>
      </c>
      <c r="K22" s="139">
        <f t="shared" si="10"/>
        <v>0.162571122193686</v>
      </c>
      <c r="L22" s="139">
        <f t="shared" si="10"/>
        <v>0.162571122193686</v>
      </c>
      <c r="M22" s="139">
        <f t="shared" si="10"/>
        <v>0.162571122193686</v>
      </c>
      <c r="N22" s="139">
        <f t="shared" si="10"/>
        <v>0.162571122193686</v>
      </c>
      <c r="O22" s="139">
        <f t="shared" si="10"/>
        <v>0.162571122193686</v>
      </c>
      <c r="P22" s="139">
        <f t="shared" si="10"/>
        <v>0.162571122193686</v>
      </c>
      <c r="Q22" s="139">
        <f t="shared" si="10"/>
        <v>0.162571122193686</v>
      </c>
      <c r="R22" s="139">
        <f t="shared" si="10"/>
        <v>0.162571122193686</v>
      </c>
      <c r="S22" s="139">
        <f t="shared" si="10"/>
        <v>0.162571122193686</v>
      </c>
      <c r="T22" s="139">
        <f t="shared" si="11"/>
        <v>0.162571122193686</v>
      </c>
      <c r="U22" s="139">
        <f t="shared" si="11"/>
        <v>0.162571122193686</v>
      </c>
      <c r="V22" s="139">
        <f t="shared" si="11"/>
        <v>0.162571122193686</v>
      </c>
      <c r="W22" s="139">
        <f t="shared" si="11"/>
        <v>0.162571122193686</v>
      </c>
      <c r="X22" s="139">
        <f t="shared" si="11"/>
        <v>0.162571122193686</v>
      </c>
      <c r="Y22" s="139">
        <f t="shared" si="11"/>
        <v>0.162571122193686</v>
      </c>
      <c r="Z22" s="139">
        <f t="shared" si="11"/>
        <v>0.162571122193686</v>
      </c>
      <c r="AA22" s="139">
        <f t="shared" si="11"/>
        <v>0.162571122193686</v>
      </c>
      <c r="AB22" s="139">
        <f t="shared" si="11"/>
        <v>0.162571122193686</v>
      </c>
      <c r="AC22" s="139">
        <f t="shared" si="11"/>
        <v>0.162571122193686</v>
      </c>
      <c r="AD22" s="139">
        <f t="shared" si="11"/>
        <v>0.162571122193686</v>
      </c>
      <c r="AE22" s="139">
        <f t="shared" si="11"/>
        <v>0.162571122193686</v>
      </c>
      <c r="AF22" s="139">
        <f t="shared" si="11"/>
        <v>0.162571122193686</v>
      </c>
      <c r="AG22" s="139">
        <f t="shared" si="11"/>
        <v>0.162571122193686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973</v>
      </c>
      <c r="B24" s="50" t="s">
        <v>974</v>
      </c>
      <c r="C24" s="178">
        <f>C11*C18</f>
        <v>55439.851131994161</v>
      </c>
      <c r="D24" s="178">
        <f t="shared" ref="D24:AG24" si="12">D11*D18</f>
        <v>55317.46351301956</v>
      </c>
      <c r="E24" s="178">
        <f t="shared" si="12"/>
        <v>55195.346073869987</v>
      </c>
      <c r="F24" s="178">
        <f t="shared" si="12"/>
        <v>55073.498218103283</v>
      </c>
      <c r="G24" s="178">
        <f t="shared" si="12"/>
        <v>54951.919350593918</v>
      </c>
      <c r="H24" s="178">
        <f t="shared" si="12"/>
        <v>54830.608877530227</v>
      </c>
      <c r="I24" s="178">
        <f t="shared" si="12"/>
        <v>54709.566206411386</v>
      </c>
      <c r="J24" s="178">
        <f t="shared" si="12"/>
        <v>54588.790746044542</v>
      </c>
      <c r="K24" s="178">
        <f t="shared" si="12"/>
        <v>54468.281906541997</v>
      </c>
      <c r="L24" s="178">
        <f t="shared" si="12"/>
        <v>54348.03909931823</v>
      </c>
      <c r="M24" s="178">
        <f>M11*M18</f>
        <v>54228.061737087097</v>
      </c>
      <c r="N24" s="178">
        <f t="shared" si="12"/>
        <v>54108.349233858899</v>
      </c>
      <c r="O24" s="178">
        <f t="shared" si="12"/>
        <v>53988.901004937601</v>
      </c>
      <c r="P24" s="178">
        <f t="shared" si="12"/>
        <v>53869.716466917867</v>
      </c>
      <c r="Q24" s="178">
        <f t="shared" si="12"/>
        <v>53750.795037682321</v>
      </c>
      <c r="R24" s="178">
        <f t="shared" si="12"/>
        <v>53632.136136398651</v>
      </c>
      <c r="S24" s="178">
        <f t="shared" si="12"/>
        <v>53513.739183516736</v>
      </c>
      <c r="T24" s="178">
        <f t="shared" si="12"/>
        <v>53395.603600765899</v>
      </c>
      <c r="U24" s="178">
        <f t="shared" si="12"/>
        <v>53277.72881115201</v>
      </c>
      <c r="V24" s="178">
        <f t="shared" si="12"/>
        <v>53160.114238954724</v>
      </c>
      <c r="W24" s="178">
        <f t="shared" si="12"/>
        <v>53042.759309724614</v>
      </c>
      <c r="X24" s="178">
        <f t="shared" si="12"/>
        <v>52925.663450280408</v>
      </c>
      <c r="Y24" s="178">
        <f t="shared" si="12"/>
        <v>52808.826088706184</v>
      </c>
      <c r="Z24" s="178">
        <f t="shared" si="12"/>
        <v>52692.246654348535</v>
      </c>
      <c r="AA24" s="178">
        <f t="shared" si="12"/>
        <v>52575.924577813843</v>
      </c>
      <c r="AB24" s="178">
        <f t="shared" si="12"/>
        <v>52459.859290965462</v>
      </c>
      <c r="AC24" s="178">
        <f t="shared" si="12"/>
        <v>52344.050226920961</v>
      </c>
      <c r="AD24" s="178">
        <f t="shared" si="12"/>
        <v>52228.496820049309</v>
      </c>
      <c r="AE24" s="178">
        <f t="shared" si="12"/>
        <v>52113.198505968176</v>
      </c>
      <c r="AF24" s="178">
        <f t="shared" si="12"/>
        <v>51998.154721541141</v>
      </c>
      <c r="AG24" s="178">
        <f t="shared" si="12"/>
        <v>51883.364904874965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975</v>
      </c>
      <c r="B25" s="50" t="s">
        <v>974</v>
      </c>
      <c r="C25" s="178">
        <f t="shared" ref="C25:AG28" si="13">C12*C19</f>
        <v>18170.790818776764</v>
      </c>
      <c r="D25" s="178">
        <f t="shared" si="13"/>
        <v>18130.677438639781</v>
      </c>
      <c r="E25" s="178">
        <f t="shared" si="13"/>
        <v>18090.652611790436</v>
      </c>
      <c r="F25" s="178">
        <f t="shared" si="13"/>
        <v>18050.716142740726</v>
      </c>
      <c r="G25" s="178">
        <f t="shared" si="13"/>
        <v>18010.86783643419</v>
      </c>
      <c r="H25" s="178">
        <f t="shared" si="13"/>
        <v>17971.107498244986</v>
      </c>
      <c r="I25" s="178">
        <f t="shared" si="13"/>
        <v>17931.434933976911</v>
      </c>
      <c r="J25" s="178">
        <f t="shared" si="13"/>
        <v>17891.849949862466</v>
      </c>
      <c r="K25" s="178">
        <f t="shared" si="13"/>
        <v>17852.352352561906</v>
      </c>
      <c r="L25" s="178">
        <f t="shared" si="13"/>
        <v>17812.941949162308</v>
      </c>
      <c r="M25" s="178">
        <f t="shared" si="13"/>
        <v>17773.618547176611</v>
      </c>
      <c r="N25" s="178">
        <f t="shared" si="13"/>
        <v>17734.381954542689</v>
      </c>
      <c r="O25" s="178">
        <f t="shared" si="13"/>
        <v>17695.231979622389</v>
      </c>
      <c r="P25" s="178">
        <f t="shared" si="13"/>
        <v>17656.168431200647</v>
      </c>
      <c r="Q25" s="178">
        <f t="shared" si="13"/>
        <v>17617.19111848449</v>
      </c>
      <c r="R25" s="178">
        <f t="shared" si="13"/>
        <v>17578.299851102143</v>
      </c>
      <c r="S25" s="178">
        <f t="shared" si="13"/>
        <v>17539.494439102109</v>
      </c>
      <c r="T25" s="178">
        <f t="shared" si="13"/>
        <v>17500.774692952196</v>
      </c>
      <c r="U25" s="178">
        <f t="shared" si="13"/>
        <v>17462.140423538633</v>
      </c>
      <c r="V25" s="178">
        <f t="shared" si="13"/>
        <v>17423.591442165132</v>
      </c>
      <c r="W25" s="178">
        <f t="shared" si="13"/>
        <v>17385.127560551966</v>
      </c>
      <c r="X25" s="178">
        <f t="shared" si="13"/>
        <v>17346.748590835043</v>
      </c>
      <c r="Y25" s="178">
        <f t="shared" si="13"/>
        <v>17308.454345565002</v>
      </c>
      <c r="Z25" s="178">
        <f t="shared" si="13"/>
        <v>17270.244637706292</v>
      </c>
      <c r="AA25" s="178">
        <f t="shared" si="13"/>
        <v>17232.119280636241</v>
      </c>
      <c r="AB25" s="178">
        <f t="shared" si="13"/>
        <v>17194.078088144182</v>
      </c>
      <c r="AC25" s="178">
        <f t="shared" si="13"/>
        <v>17156.120874430515</v>
      </c>
      <c r="AD25" s="178">
        <f t="shared" si="13"/>
        <v>17118.247454105793</v>
      </c>
      <c r="AE25" s="178">
        <f t="shared" si="13"/>
        <v>17080.457642189853</v>
      </c>
      <c r="AF25" s="178">
        <f t="shared" si="13"/>
        <v>17042.75125411087</v>
      </c>
      <c r="AG25" s="178">
        <f t="shared" si="13"/>
        <v>17005.128105704487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976</v>
      </c>
      <c r="B26" s="50" t="s">
        <v>974</v>
      </c>
      <c r="C26" s="178">
        <f t="shared" si="13"/>
        <v>22990.82575436178</v>
      </c>
      <c r="D26" s="178">
        <f t="shared" si="13"/>
        <v>22940.071786505032</v>
      </c>
      <c r="E26" s="178">
        <f t="shared" si="13"/>
        <v>22889.429861829369</v>
      </c>
      <c r="F26" s="178">
        <f t="shared" si="13"/>
        <v>22838.899732991082</v>
      </c>
      <c r="G26" s="178">
        <f t="shared" si="13"/>
        <v>22788.481153192493</v>
      </c>
      <c r="H26" s="178">
        <f t="shared" si="13"/>
        <v>22738.173876180754</v>
      </c>
      <c r="I26" s="178">
        <f t="shared" si="13"/>
        <v>22687.977656246643</v>
      </c>
      <c r="J26" s="178">
        <f t="shared" si="13"/>
        <v>22637.892248223347</v>
      </c>
      <c r="K26" s="178">
        <f t="shared" si="13"/>
        <v>22587.917407485282</v>
      </c>
      <c r="L26" s="178">
        <f t="shared" si="13"/>
        <v>22538.052889946895</v>
      </c>
      <c r="M26" s="178">
        <f t="shared" si="13"/>
        <v>22488.29845206147</v>
      </c>
      <c r="N26" s="178">
        <f t="shared" si="13"/>
        <v>22438.653850819937</v>
      </c>
      <c r="O26" s="178">
        <f t="shared" si="13"/>
        <v>22389.118843749689</v>
      </c>
      <c r="P26" s="178">
        <f t="shared" si="13"/>
        <v>22339.693188913396</v>
      </c>
      <c r="Q26" s="178">
        <f t="shared" si="13"/>
        <v>22290.376644907807</v>
      </c>
      <c r="R26" s="178">
        <f t="shared" si="13"/>
        <v>22241.168970862618</v>
      </c>
      <c r="S26" s="178">
        <f t="shared" si="13"/>
        <v>22192.069926439235</v>
      </c>
      <c r="T26" s="178">
        <f t="shared" si="13"/>
        <v>22143.079271829643</v>
      </c>
      <c r="U26" s="178">
        <f t="shared" si="13"/>
        <v>22094.196767755227</v>
      </c>
      <c r="V26" s="178">
        <f t="shared" si="13"/>
        <v>22045.422175465585</v>
      </c>
      <c r="W26" s="178">
        <f t="shared" si="13"/>
        <v>21996.755256737375</v>
      </c>
      <c r="X26" s="178">
        <f t="shared" si="13"/>
        <v>21948.195773873154</v>
      </c>
      <c r="Y26" s="178">
        <f t="shared" si="13"/>
        <v>21899.74348970022</v>
      </c>
      <c r="Z26" s="178">
        <f t="shared" si="13"/>
        <v>21851.398167569438</v>
      </c>
      <c r="AA26" s="178">
        <f t="shared" si="13"/>
        <v>21803.159571354103</v>
      </c>
      <c r="AB26" s="178">
        <f t="shared" si="13"/>
        <v>21755.027465448773</v>
      </c>
      <c r="AC26" s="178">
        <f t="shared" si="13"/>
        <v>21707.001614768113</v>
      </c>
      <c r="AD26" s="178">
        <f t="shared" si="13"/>
        <v>21659.081784745773</v>
      </c>
      <c r="AE26" s="178">
        <f t="shared" si="13"/>
        <v>21611.267741333213</v>
      </c>
      <c r="AF26" s="178">
        <f t="shared" si="13"/>
        <v>21563.55925099858</v>
      </c>
      <c r="AG26" s="178">
        <f t="shared" si="13"/>
        <v>21515.956080725558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977</v>
      </c>
      <c r="B27" s="50" t="s">
        <v>974</v>
      </c>
      <c r="C27" s="178">
        <f t="shared" si="13"/>
        <v>5.9640578702725442</v>
      </c>
      <c r="D27" s="178">
        <f t="shared" si="13"/>
        <v>5.9508917663371008</v>
      </c>
      <c r="E27" s="178">
        <f t="shared" si="13"/>
        <v>5.9377547275610851</v>
      </c>
      <c r="F27" s="178">
        <f t="shared" si="13"/>
        <v>5.9246466897809853</v>
      </c>
      <c r="G27" s="178">
        <f t="shared" si="13"/>
        <v>5.9115675889749308</v>
      </c>
      <c r="H27" s="178">
        <f t="shared" si="13"/>
        <v>5.898517361262388</v>
      </c>
      <c r="I27" s="178">
        <f t="shared" si="13"/>
        <v>5.8854959429038418</v>
      </c>
      <c r="J27" s="178">
        <f t="shared" si="13"/>
        <v>5.8725032703004887</v>
      </c>
      <c r="K27" s="178">
        <f t="shared" si="13"/>
        <v>5.8595392799939248</v>
      </c>
      <c r="L27" s="178">
        <f t="shared" si="13"/>
        <v>5.8466039086658306</v>
      </c>
      <c r="M27" s="178">
        <f t="shared" si="13"/>
        <v>5.8336970931376735</v>
      </c>
      <c r="N27" s="178">
        <f t="shared" si="13"/>
        <v>5.8208187703703871</v>
      </c>
      <c r="O27" s="178">
        <f t="shared" si="13"/>
        <v>5.807968877464071</v>
      </c>
      <c r="P27" s="178">
        <f t="shared" si="13"/>
        <v>5.7951473516576799</v>
      </c>
      <c r="Q27" s="178">
        <f t="shared" si="13"/>
        <v>5.7823541303287183</v>
      </c>
      <c r="R27" s="178">
        <f t="shared" si="13"/>
        <v>5.7695891509929345</v>
      </c>
      <c r="S27" s="178">
        <f t="shared" si="13"/>
        <v>5.7568523513040164</v>
      </c>
      <c r="T27" s="178">
        <f t="shared" si="13"/>
        <v>5.744143669053285</v>
      </c>
      <c r="U27" s="178">
        <f t="shared" si="13"/>
        <v>5.7314630421693913</v>
      </c>
      <c r="V27" s="178">
        <f t="shared" si="13"/>
        <v>5.7188104087180154</v>
      </c>
      <c r="W27" s="178">
        <f t="shared" si="13"/>
        <v>5.7061857069015609</v>
      </c>
      <c r="X27" s="178">
        <f t="shared" si="13"/>
        <v>5.6935888750588513</v>
      </c>
      <c r="Y27" s="178">
        <f t="shared" si="13"/>
        <v>5.6810198516648374</v>
      </c>
      <c r="Z27" s="178">
        <f t="shared" si="13"/>
        <v>5.6684785753302886</v>
      </c>
      <c r="AA27" s="178">
        <f t="shared" si="13"/>
        <v>5.6559649848014928</v>
      </c>
      <c r="AB27" s="178">
        <f t="shared" si="13"/>
        <v>5.6434790189599635</v>
      </c>
      <c r="AC27" s="178">
        <f t="shared" si="13"/>
        <v>5.6310206168221386</v>
      </c>
      <c r="AD27" s="178">
        <f t="shared" si="13"/>
        <v>5.618589717539078</v>
      </c>
      <c r="AE27" s="178">
        <f t="shared" si="13"/>
        <v>5.6061862603961732</v>
      </c>
      <c r="AF27" s="178">
        <f t="shared" si="13"/>
        <v>5.5938101848128463</v>
      </c>
      <c r="AG27" s="178">
        <f t="shared" si="13"/>
        <v>5.5814614303422552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978</v>
      </c>
      <c r="B28" s="156" t="s">
        <v>974</v>
      </c>
      <c r="C28" s="178">
        <f t="shared" si="13"/>
        <v>457395.3207877258</v>
      </c>
      <c r="D28" s="178">
        <f t="shared" si="13"/>
        <v>456385.58639814286</v>
      </c>
      <c r="E28" s="178">
        <f t="shared" si="13"/>
        <v>455378.08107276587</v>
      </c>
      <c r="F28" s="178">
        <f t="shared" si="13"/>
        <v>454372.79989076883</v>
      </c>
      <c r="G28" s="178">
        <f t="shared" si="13"/>
        <v>453369.73794218875</v>
      </c>
      <c r="H28" s="178">
        <f t="shared" si="13"/>
        <v>452368.89032790175</v>
      </c>
      <c r="I28" s="178">
        <f t="shared" si="13"/>
        <v>451370.25215959945</v>
      </c>
      <c r="J28" s="178">
        <f t="shared" si="13"/>
        <v>450373.8185597643</v>
      </c>
      <c r="K28" s="178">
        <f t="shared" si="13"/>
        <v>449379.58466164663</v>
      </c>
      <c r="L28" s="178">
        <f t="shared" si="13"/>
        <v>448387.54560924036</v>
      </c>
      <c r="M28" s="178">
        <f t="shared" si="13"/>
        <v>447397.69655725936</v>
      </c>
      <c r="N28" s="178">
        <f t="shared" si="13"/>
        <v>446410.03267111373</v>
      </c>
      <c r="O28" s="178">
        <f t="shared" si="13"/>
        <v>445424.54912688653</v>
      </c>
      <c r="P28" s="178">
        <f t="shared" si="13"/>
        <v>444441.24111130973</v>
      </c>
      <c r="Q28" s="178">
        <f t="shared" si="13"/>
        <v>443460.10382174124</v>
      </c>
      <c r="R28" s="178">
        <f t="shared" si="13"/>
        <v>442481.13246614096</v>
      </c>
      <c r="S28" s="178">
        <f t="shared" si="13"/>
        <v>441504.32226304751</v>
      </c>
      <c r="T28" s="178">
        <f t="shared" si="13"/>
        <v>440529.66844155523</v>
      </c>
      <c r="U28" s="178">
        <f t="shared" si="13"/>
        <v>439557.16624129022</v>
      </c>
      <c r="V28" s="178">
        <f t="shared" si="13"/>
        <v>438586.81091238774</v>
      </c>
      <c r="W28" s="178">
        <f t="shared" si="13"/>
        <v>437618.59771546861</v>
      </c>
      <c r="X28" s="178">
        <f t="shared" si="13"/>
        <v>436652.52192161628</v>
      </c>
      <c r="Y28" s="178">
        <f t="shared" si="13"/>
        <v>435688.5788123536</v>
      </c>
      <c r="Z28" s="178">
        <f t="shared" si="13"/>
        <v>434726.7636796197</v>
      </c>
      <c r="AA28" s="178">
        <f t="shared" si="13"/>
        <v>433767.07182574715</v>
      </c>
      <c r="AB28" s="178">
        <f t="shared" si="13"/>
        <v>432809.49856343918</v>
      </c>
      <c r="AC28" s="178">
        <f t="shared" si="13"/>
        <v>431854.03921574628</v>
      </c>
      <c r="AD28" s="178">
        <f t="shared" si="13"/>
        <v>430900.68911604391</v>
      </c>
      <c r="AE28" s="178">
        <f t="shared" si="13"/>
        <v>429949.4436080092</v>
      </c>
      <c r="AF28" s="178">
        <f t="shared" si="13"/>
        <v>429000.29804559861</v>
      </c>
      <c r="AG28" s="178">
        <f t="shared" si="13"/>
        <v>428053.24779302516</v>
      </c>
      <c r="AL28" s="100"/>
      <c r="AM28" s="181"/>
      <c r="AN28" s="181"/>
      <c r="AO28" s="181"/>
    </row>
    <row r="29" spans="1:64" s="1" customFormat="1" ht="15.5" thickBot="1">
      <c r="A29" s="174" t="s">
        <v>979</v>
      </c>
      <c r="B29" s="193" t="s">
        <v>974</v>
      </c>
      <c r="C29" s="190">
        <f>SUM(C24:C28)</f>
        <v>554002.75255072874</v>
      </c>
      <c r="D29" s="190">
        <f t="shared" ref="D29:AG29" si="14">SUM(D24:D28)</f>
        <v>552779.75002807355</v>
      </c>
      <c r="E29" s="190">
        <f t="shared" si="14"/>
        <v>551559.44737498323</v>
      </c>
      <c r="F29" s="190">
        <f t="shared" si="14"/>
        <v>550341.83863129374</v>
      </c>
      <c r="G29" s="190">
        <f t="shared" si="14"/>
        <v>549126.91784999834</v>
      </c>
      <c r="H29" s="190">
        <f t="shared" si="14"/>
        <v>547914.67909721902</v>
      </c>
      <c r="I29" s="190">
        <f t="shared" si="14"/>
        <v>546705.11645217729</v>
      </c>
      <c r="J29" s="190">
        <f t="shared" si="14"/>
        <v>545498.22400716494</v>
      </c>
      <c r="K29" s="190">
        <f t="shared" si="14"/>
        <v>544293.9958675158</v>
      </c>
      <c r="L29" s="190">
        <f t="shared" si="14"/>
        <v>543092.42615157645</v>
      </c>
      <c r="M29" s="190">
        <f t="shared" si="14"/>
        <v>541893.50899067766</v>
      </c>
      <c r="N29" s="190">
        <f t="shared" si="14"/>
        <v>540697.23852910567</v>
      </c>
      <c r="O29" s="190">
        <f t="shared" si="14"/>
        <v>539503.60892407363</v>
      </c>
      <c r="P29" s="190">
        <f t="shared" si="14"/>
        <v>538312.61434569326</v>
      </c>
      <c r="Q29" s="190">
        <f t="shared" si="14"/>
        <v>537124.24897694623</v>
      </c>
      <c r="R29" s="190">
        <f t="shared" si="14"/>
        <v>535938.50701365538</v>
      </c>
      <c r="S29" s="190">
        <f t="shared" si="14"/>
        <v>534755.38266445685</v>
      </c>
      <c r="T29" s="190">
        <f t="shared" si="14"/>
        <v>533574.87015077204</v>
      </c>
      <c r="U29" s="190">
        <f t="shared" si="14"/>
        <v>532396.96370677825</v>
      </c>
      <c r="V29" s="190">
        <f t="shared" si="14"/>
        <v>531221.65757938195</v>
      </c>
      <c r="W29" s="190">
        <f t="shared" si="14"/>
        <v>530048.9460281895</v>
      </c>
      <c r="X29" s="190">
        <f t="shared" si="14"/>
        <v>528878.82332547999</v>
      </c>
      <c r="Y29" s="190">
        <f t="shared" si="14"/>
        <v>527711.28375617671</v>
      </c>
      <c r="Z29" s="190">
        <f t="shared" si="14"/>
        <v>526546.32161781925</v>
      </c>
      <c r="AA29" s="190">
        <f t="shared" si="14"/>
        <v>525383.93122053612</v>
      </c>
      <c r="AB29" s="190">
        <f t="shared" si="14"/>
        <v>524224.10688701656</v>
      </c>
      <c r="AC29" s="190">
        <f t="shared" si="14"/>
        <v>523066.84295248269</v>
      </c>
      <c r="AD29" s="190">
        <f t="shared" si="14"/>
        <v>521912.13376466231</v>
      </c>
      <c r="AE29" s="190">
        <f t="shared" si="14"/>
        <v>520759.97368376085</v>
      </c>
      <c r="AF29" s="190">
        <f t="shared" si="14"/>
        <v>519610.357082434</v>
      </c>
      <c r="AG29" s="190">
        <f t="shared" si="14"/>
        <v>518463.27834576054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980</v>
      </c>
      <c r="B31" s="156" t="s">
        <v>974</v>
      </c>
      <c r="C31" s="99">
        <f>C29</f>
        <v>554002.75255072874</v>
      </c>
      <c r="D31" s="99">
        <f t="shared" ref="D31:AG31" si="15">D29</f>
        <v>552779.75002807355</v>
      </c>
      <c r="E31" s="99">
        <f t="shared" si="15"/>
        <v>551559.44737498323</v>
      </c>
      <c r="F31" s="99">
        <f t="shared" si="15"/>
        <v>550341.83863129374</v>
      </c>
      <c r="G31" s="99">
        <f t="shared" si="15"/>
        <v>549126.91784999834</v>
      </c>
      <c r="H31" s="99">
        <f t="shared" si="15"/>
        <v>547914.67909721902</v>
      </c>
      <c r="I31" s="99">
        <f t="shared" si="15"/>
        <v>546705.11645217729</v>
      </c>
      <c r="J31" s="99">
        <f t="shared" si="15"/>
        <v>545498.22400716494</v>
      </c>
      <c r="K31" s="99">
        <f t="shared" si="15"/>
        <v>544293.9958675158</v>
      </c>
      <c r="L31" s="99">
        <f t="shared" si="15"/>
        <v>543092.42615157645</v>
      </c>
      <c r="M31" s="99">
        <f t="shared" si="15"/>
        <v>541893.50899067766</v>
      </c>
      <c r="N31" s="99">
        <f t="shared" si="15"/>
        <v>540697.23852910567</v>
      </c>
      <c r="O31" s="99">
        <f t="shared" si="15"/>
        <v>539503.60892407363</v>
      </c>
      <c r="P31" s="99">
        <f t="shared" si="15"/>
        <v>538312.61434569326</v>
      </c>
      <c r="Q31" s="99">
        <f t="shared" si="15"/>
        <v>537124.24897694623</v>
      </c>
      <c r="R31" s="99">
        <f t="shared" si="15"/>
        <v>535938.50701365538</v>
      </c>
      <c r="S31" s="99">
        <f t="shared" si="15"/>
        <v>534755.38266445685</v>
      </c>
      <c r="T31" s="99">
        <f t="shared" si="15"/>
        <v>533574.87015077204</v>
      </c>
      <c r="U31" s="99">
        <f t="shared" si="15"/>
        <v>532396.96370677825</v>
      </c>
      <c r="V31" s="99">
        <f t="shared" si="15"/>
        <v>531221.65757938195</v>
      </c>
      <c r="W31" s="99">
        <f t="shared" si="15"/>
        <v>530048.9460281895</v>
      </c>
      <c r="X31" s="99">
        <f t="shared" si="15"/>
        <v>528878.82332547999</v>
      </c>
      <c r="Y31" s="99">
        <f t="shared" si="15"/>
        <v>527711.28375617671</v>
      </c>
      <c r="Z31" s="99">
        <f t="shared" si="15"/>
        <v>526546.32161781925</v>
      </c>
      <c r="AA31" s="99">
        <f t="shared" si="15"/>
        <v>525383.93122053612</v>
      </c>
      <c r="AB31" s="99">
        <f t="shared" si="15"/>
        <v>524224.10688701656</v>
      </c>
      <c r="AC31" s="99">
        <f t="shared" si="15"/>
        <v>523066.84295248269</v>
      </c>
      <c r="AD31" s="99">
        <f t="shared" si="15"/>
        <v>521912.13376466231</v>
      </c>
      <c r="AE31" s="99">
        <f t="shared" si="15"/>
        <v>520759.97368376085</v>
      </c>
      <c r="AF31" s="99">
        <f t="shared" si="15"/>
        <v>519610.357082434</v>
      </c>
      <c r="AG31" s="99">
        <f t="shared" si="15"/>
        <v>518463.27834576054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981</v>
      </c>
      <c r="B33" s="50" t="s">
        <v>126</v>
      </c>
      <c r="C33" s="179">
        <f>'Yearly Methanol'!AJ35/'Yearly Methanol'!AJ28</f>
        <v>1</v>
      </c>
      <c r="D33" s="179">
        <f>'Yearly Methanol'!AK35/'Yearly Methanol'!AK28</f>
        <v>0.99859107999999985</v>
      </c>
      <c r="E33" s="179">
        <f>'Yearly Methanol'!AL35/'Yearly Methanol'!AL28</f>
        <v>0.99718215999999993</v>
      </c>
      <c r="F33" s="179">
        <f>'Yearly Methanol'!AM35/'Yearly Methanol'!AM28</f>
        <v>0.99577324</v>
      </c>
      <c r="G33" s="179">
        <f>'Yearly Methanol'!AN35/'Yearly Methanol'!AN28</f>
        <v>0.99436431999999997</v>
      </c>
      <c r="H33" s="179">
        <f>'Yearly Methanol'!AO35/'Yearly Methanol'!AO28</f>
        <v>0.99295540000000004</v>
      </c>
      <c r="I33" s="179">
        <f>'Yearly Methanol'!AP35/'Yearly Methanol'!AP28</f>
        <v>0.9915464799999999</v>
      </c>
      <c r="J33" s="179">
        <f>'Yearly Methanol'!AQ35/'Yearly Methanol'!AQ28</f>
        <v>0.99013755999999997</v>
      </c>
      <c r="K33" s="179">
        <f>'Yearly Methanol'!AR35/'Yearly Methanol'!AR28</f>
        <v>0.98872864000000005</v>
      </c>
      <c r="L33" s="179">
        <f>'Yearly Methanol'!AS35/'Yearly Methanol'!AS28</f>
        <v>0.98731972000000001</v>
      </c>
      <c r="M33" s="179">
        <f>'Yearly Methanol'!AT35/'Yearly Methanol'!AT28</f>
        <v>0.98591080000000009</v>
      </c>
      <c r="N33" s="179">
        <f>'Yearly Methanol'!AU35/'Yearly Methanol'!AU28</f>
        <v>0.98272557999999988</v>
      </c>
      <c r="O33" s="179">
        <f>'Yearly Methanol'!AV35/'Yearly Methanol'!AV28</f>
        <v>0.97954036</v>
      </c>
      <c r="P33" s="179">
        <f>'Yearly Methanol'!AW35/'Yearly Methanol'!AW28</f>
        <v>0.97635514000000001</v>
      </c>
      <c r="Q33" s="179">
        <f>'Yearly Methanol'!AX35/'Yearly Methanol'!AX28</f>
        <v>0.97316992000000002</v>
      </c>
      <c r="R33" s="179">
        <f>'Yearly Methanol'!AY35/'Yearly Methanol'!AY28</f>
        <v>0.96998469999999992</v>
      </c>
      <c r="S33" s="179">
        <f>'Yearly Methanol'!AZ35/'Yearly Methanol'!AZ28</f>
        <v>0.96679948000000004</v>
      </c>
      <c r="T33" s="179">
        <f>'Yearly Methanol'!BA35/'Yearly Methanol'!BA28</f>
        <v>0.96361425999999994</v>
      </c>
      <c r="U33" s="179">
        <f>'Yearly Methanol'!BB35/'Yearly Methanol'!BB28</f>
        <v>0.96042904000000018</v>
      </c>
      <c r="V33" s="179">
        <f>'Yearly Methanol'!BC35/'Yearly Methanol'!BC28</f>
        <v>0.95724382000000019</v>
      </c>
      <c r="W33" s="179">
        <f>'Yearly Methanol'!BD35/'Yearly Methanol'!BD28</f>
        <v>0.95405859999999998</v>
      </c>
      <c r="X33" s="179">
        <f>'Yearly Methanol'!BE35/'Yearly Methanol'!BE28</f>
        <v>0.95087873999999983</v>
      </c>
      <c r="Y33" s="179">
        <f>'Yearly Methanol'!BF35/'Yearly Methanol'!BF28</f>
        <v>0.94769888000000002</v>
      </c>
      <c r="Z33" s="179">
        <f>'Yearly Methanol'!BG35/'Yearly Methanol'!BG28</f>
        <v>0.9445190200000001</v>
      </c>
      <c r="AA33" s="179">
        <f>'Yearly Methanol'!BH35/'Yearly Methanol'!BH28</f>
        <v>0.94133916000000006</v>
      </c>
      <c r="AB33" s="179">
        <f>'Yearly Methanol'!BI35/'Yearly Methanol'!BI28</f>
        <v>0.93815929999999992</v>
      </c>
      <c r="AC33" s="179">
        <f>'Yearly Methanol'!BJ35/'Yearly Methanol'!BJ28</f>
        <v>0.93497943999999999</v>
      </c>
      <c r="AD33" s="179">
        <f>'Yearly Methanol'!BK35/'Yearly Methanol'!BK28</f>
        <v>0.93179957999999996</v>
      </c>
      <c r="AE33" s="179">
        <f>'Yearly Methanol'!BL35/'Yearly Methanol'!BL28</f>
        <v>0.92861972000000004</v>
      </c>
      <c r="AF33" s="179">
        <f>'Yearly Methanol'!BM35/'Yearly Methanol'!BM28</f>
        <v>0.92543986</v>
      </c>
      <c r="AG33" s="179">
        <f>'Yearly Methanol'!BN35/'Yearly Methanol'!BN28</f>
        <v>0.92225999999999997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982</v>
      </c>
      <c r="B34" s="50" t="s">
        <v>126</v>
      </c>
      <c r="C34" s="179">
        <f>'Yearly Methanol'!AJ24/'Yearly Methanol'!AJ17</f>
        <v>1</v>
      </c>
      <c r="D34" s="179">
        <f>'Yearly Methanol'!AK24/'Yearly Methanol'!AK17</f>
        <v>0.99929460000000003</v>
      </c>
      <c r="E34" s="179">
        <f>'Yearly Methanol'!AL24/'Yearly Methanol'!AL17</f>
        <v>0.99857839999999998</v>
      </c>
      <c r="F34" s="179">
        <f>'Yearly Methanol'!AM24/'Yearly Methanol'!AM17</f>
        <v>0.99785140000000006</v>
      </c>
      <c r="G34" s="179">
        <f>'Yearly Methanol'!AN24/'Yearly Methanol'!AN17</f>
        <v>0.99711359999999993</v>
      </c>
      <c r="H34" s="179">
        <f>'Yearly Methanol'!AO24/'Yearly Methanol'!AO17</f>
        <v>0.99636499999999995</v>
      </c>
      <c r="I34" s="179">
        <f>'Yearly Methanol'!AP24/'Yearly Methanol'!AP17</f>
        <v>0.99560559999999998</v>
      </c>
      <c r="J34" s="179">
        <f>'Yearly Methanol'!AQ24/'Yearly Methanol'!AQ17</f>
        <v>0.99483540000000004</v>
      </c>
      <c r="K34" s="179">
        <f>'Yearly Methanol'!AR24/'Yearly Methanol'!AR17</f>
        <v>0.9940544</v>
      </c>
      <c r="L34" s="179">
        <f>'Yearly Methanol'!AS24/'Yearly Methanol'!AS17</f>
        <v>0.9932626</v>
      </c>
      <c r="M34" s="179">
        <f>'Yearly Methanol'!AT24/'Yearly Methanol'!AT17</f>
        <v>0.99246000000000001</v>
      </c>
      <c r="N34" s="179">
        <f>'Yearly Methanol'!AU24/'Yearly Methanol'!AU17</f>
        <v>0.98902250000000003</v>
      </c>
      <c r="O34" s="179">
        <f>'Yearly Methanol'!AV24/'Yearly Methanol'!AV17</f>
        <v>0.98550400000000005</v>
      </c>
      <c r="P34" s="179">
        <f>'Yearly Methanol'!AW24/'Yearly Methanol'!AW17</f>
        <v>0.98190449999999996</v>
      </c>
      <c r="Q34" s="179">
        <f>'Yearly Methanol'!AX24/'Yearly Methanol'!AX17</f>
        <v>0.97822399999999998</v>
      </c>
      <c r="R34" s="179">
        <f>'Yearly Methanol'!AY24/'Yearly Methanol'!AY17</f>
        <v>0.97446250000000001</v>
      </c>
      <c r="S34" s="179">
        <f>'Yearly Methanol'!AZ24/'Yearly Methanol'!AZ17</f>
        <v>0.97061999999999993</v>
      </c>
      <c r="T34" s="179">
        <f>'Yearly Methanol'!BA24/'Yearly Methanol'!BA17</f>
        <v>0.96669650000000007</v>
      </c>
      <c r="U34" s="179">
        <f>'Yearly Methanol'!BB24/'Yearly Methanol'!BB17</f>
        <v>0.96269199999999999</v>
      </c>
      <c r="V34" s="179">
        <f>'Yearly Methanol'!BC24/'Yearly Methanol'!BC17</f>
        <v>0.95860649999999992</v>
      </c>
      <c r="W34" s="179">
        <f>'Yearly Methanol'!BD24/'Yearly Methanol'!BD17</f>
        <v>0.95444000000000007</v>
      </c>
      <c r="X34" s="179">
        <f>'Yearly Methanol'!BE24/'Yearly Methanol'!BE17</f>
        <v>0.93973340000000005</v>
      </c>
      <c r="Y34" s="179">
        <f>'Yearly Methanol'!BF24/'Yearly Methanol'!BF17</f>
        <v>0.92492959999999991</v>
      </c>
      <c r="Z34" s="179">
        <f>'Yearly Methanol'!BG24/'Yearly Methanol'!BG17</f>
        <v>0.91002859999999997</v>
      </c>
      <c r="AA34" s="179">
        <f>'Yearly Methanol'!BH24/'Yearly Methanol'!BH17</f>
        <v>0.89503040000000011</v>
      </c>
      <c r="AB34" s="179">
        <f>'Yearly Methanol'!BI24/'Yearly Methanol'!BI17</f>
        <v>0.87993499999999991</v>
      </c>
      <c r="AC34" s="179">
        <f>'Yearly Methanol'!BJ24/'Yearly Methanol'!BJ17</f>
        <v>0.86474239999999991</v>
      </c>
      <c r="AD34" s="179">
        <f>'Yearly Methanol'!BK24/'Yearly Methanol'!BK17</f>
        <v>0.84945259999999989</v>
      </c>
      <c r="AE34" s="179">
        <f>'Yearly Methanol'!BL24/'Yearly Methanol'!BL17</f>
        <v>0.83406560000000018</v>
      </c>
      <c r="AF34" s="179">
        <f>'Yearly Methanol'!BM24/'Yearly Methanol'!BM17</f>
        <v>0.81858140000000001</v>
      </c>
      <c r="AG34" s="179">
        <f>'Yearly Methanol'!BN24/'Yearly Methanol'!BN17</f>
        <v>0.80300000000000005</v>
      </c>
      <c r="AL34" s="100"/>
      <c r="AM34" s="181"/>
      <c r="AN34" s="181"/>
      <c r="AO34" s="181"/>
      <c r="BL34" s="1"/>
    </row>
    <row r="35" spans="1:64" outlineLevel="1">
      <c r="A35" t="s">
        <v>983</v>
      </c>
      <c r="B35" s="50" t="s">
        <v>126</v>
      </c>
      <c r="C35" s="179">
        <f>'Yearly Methanol'!AJ42/'Yearly Methanol'!AJ39</f>
        <v>1</v>
      </c>
      <c r="D35" s="179">
        <f>'Yearly Methanol'!AK42/'Yearly Methanol'!AK39</f>
        <v>0.98978437759336091</v>
      </c>
      <c r="E35" s="179">
        <f>'Yearly Methanol'!AL42/'Yearly Methanol'!AL39</f>
        <v>0.97956875518672193</v>
      </c>
      <c r="F35" s="179">
        <f>'Yearly Methanol'!AM42/'Yearly Methanol'!AM39</f>
        <v>0.96935313278008295</v>
      </c>
      <c r="G35" s="179">
        <f>'Yearly Methanol'!AN42/'Yearly Methanol'!AN39</f>
        <v>0.95913751037344397</v>
      </c>
      <c r="H35" s="179">
        <f>'Yearly Methanol'!AO42/'Yearly Methanol'!AO39</f>
        <v>0.94892188796680499</v>
      </c>
      <c r="I35" s="179">
        <f>'Yearly Methanol'!AP42/'Yearly Methanol'!AP39</f>
        <v>0.9387062655601659</v>
      </c>
      <c r="J35" s="179">
        <f>'Yearly Methanol'!AQ42/'Yearly Methanol'!AQ39</f>
        <v>0.92849064315352681</v>
      </c>
      <c r="K35" s="179">
        <f>'Yearly Methanol'!AR42/'Yearly Methanol'!AR39</f>
        <v>0.91827502074688805</v>
      </c>
      <c r="L35" s="179">
        <f>'Yearly Methanol'!AS42/'Yearly Methanol'!AS39</f>
        <v>0.90805939834024885</v>
      </c>
      <c r="M35" s="179">
        <f>'Yearly Methanol'!AT42/'Yearly Methanol'!AT39</f>
        <v>0.89784377593361009</v>
      </c>
      <c r="N35" s="179">
        <f>'Yearly Methanol'!AU42/'Yearly Methanol'!AU39</f>
        <v>0.887628153526971</v>
      </c>
      <c r="O35" s="179">
        <f>'Yearly Methanol'!AV42/'Yearly Methanol'!AV39</f>
        <v>0.8774125311203318</v>
      </c>
      <c r="P35" s="179">
        <f>'Yearly Methanol'!AW42/'Yearly Methanol'!AW39</f>
        <v>0.86719690871369293</v>
      </c>
      <c r="Q35" s="179">
        <f>'Yearly Methanol'!AX42/'Yearly Methanol'!AX39</f>
        <v>0.85698128630705406</v>
      </c>
      <c r="R35" s="179">
        <f>'Yearly Methanol'!AY42/'Yearly Methanol'!AY39</f>
        <v>0.84676566390041497</v>
      </c>
      <c r="S35" s="179">
        <f>'Yearly Methanol'!AZ42/'Yearly Methanol'!AZ39</f>
        <v>0.83655004149377588</v>
      </c>
      <c r="T35" s="179">
        <f>'Yearly Methanol'!BA42/'Yearly Methanol'!BA39</f>
        <v>0.82633441908713701</v>
      </c>
      <c r="U35" s="179">
        <f>'Yearly Methanol'!BB42/'Yearly Methanol'!BB39</f>
        <v>0.8161187966804978</v>
      </c>
      <c r="V35" s="179">
        <f>'Yearly Methanol'!BC42/'Yearly Methanol'!BC39</f>
        <v>0.80590317427385894</v>
      </c>
      <c r="W35" s="179">
        <f>'Yearly Methanol'!BD42/'Yearly Methanol'!BD39</f>
        <v>0.79568755186721996</v>
      </c>
      <c r="X35" s="179">
        <f>'Yearly Methanol'!BE42/'Yearly Methanol'!BE39</f>
        <v>0.78516236514522808</v>
      </c>
      <c r="Y35" s="179">
        <f>'Yearly Methanol'!BF42/'Yearly Methanol'!BF39</f>
        <v>0.77463717842323654</v>
      </c>
      <c r="Z35" s="179">
        <f>'Yearly Methanol'!BG42/'Yearly Methanol'!BG39</f>
        <v>0.76411199170124489</v>
      </c>
      <c r="AA35" s="179">
        <f>'Yearly Methanol'!BH42/'Yearly Methanol'!BH39</f>
        <v>0.75358680497925312</v>
      </c>
      <c r="AB35" s="179">
        <f>'Yearly Methanol'!BI42/'Yearly Methanol'!BI39</f>
        <v>0.74306161825726136</v>
      </c>
      <c r="AC35" s="179">
        <f>'Yearly Methanol'!BJ42/'Yearly Methanol'!BJ39</f>
        <v>0.73253643153526959</v>
      </c>
      <c r="AD35" s="179">
        <f>'Yearly Methanol'!BK42/'Yearly Methanol'!BK39</f>
        <v>0.72201124481327794</v>
      </c>
      <c r="AE35" s="179">
        <f>'Yearly Methanol'!BL42/'Yearly Methanol'!BL39</f>
        <v>0.71148605809128629</v>
      </c>
      <c r="AF35" s="179">
        <f>'Yearly Methanol'!BM42/'Yearly Methanol'!BM39</f>
        <v>0.70096087136929452</v>
      </c>
      <c r="AG35" s="179">
        <f>'Yearly Methanol'!BN42/'Yearly Methanol'!BN39</f>
        <v>0.69043568464730298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984</v>
      </c>
      <c r="B36" s="50" t="s">
        <v>126</v>
      </c>
      <c r="C36" s="179">
        <f>'Yearly Methanol'!AJ51/'Yearly Methanol'!AJ46</f>
        <v>1</v>
      </c>
      <c r="D36" s="179">
        <f>'Yearly Methanol'!AK51/'Yearly Methanol'!AK46</f>
        <v>0.98454999999999993</v>
      </c>
      <c r="E36" s="179">
        <f>'Yearly Methanol'!AL51/'Yearly Methanol'!AL46</f>
        <v>0.96910000000000007</v>
      </c>
      <c r="F36" s="179">
        <f>'Yearly Methanol'!AM51/'Yearly Methanol'!AM46</f>
        <v>0.95365</v>
      </c>
      <c r="G36" s="179">
        <f>'Yearly Methanol'!AN51/'Yearly Methanol'!AN46</f>
        <v>0.93820000000000003</v>
      </c>
      <c r="H36" s="179">
        <f>'Yearly Methanol'!AO51/'Yearly Methanol'!AO46</f>
        <v>0.92274999999999985</v>
      </c>
      <c r="I36" s="179">
        <f>'Yearly Methanol'!AP51/'Yearly Methanol'!AP46</f>
        <v>0.90729999999999988</v>
      </c>
      <c r="J36" s="179">
        <f>'Yearly Methanol'!AQ51/'Yearly Methanol'!AQ46</f>
        <v>0.89184999999999992</v>
      </c>
      <c r="K36" s="179">
        <f>'Yearly Methanol'!AR51/'Yearly Methanol'!AR46</f>
        <v>0.87639999999999985</v>
      </c>
      <c r="L36" s="179">
        <f>'Yearly Methanol'!AS51/'Yearly Methanol'!AS46</f>
        <v>0.8609500000000001</v>
      </c>
      <c r="M36" s="179">
        <f>'Yearly Methanol'!AT51/'Yearly Methanol'!AT46</f>
        <v>0.84550000000000003</v>
      </c>
      <c r="N36" s="179">
        <f>'Yearly Methanol'!AU51/'Yearly Methanol'!AU46</f>
        <v>0.83460000000000001</v>
      </c>
      <c r="O36" s="179">
        <f>'Yearly Methanol'!AV51/'Yearly Methanol'!AV46</f>
        <v>0.82369999999999999</v>
      </c>
      <c r="P36" s="179">
        <f>'Yearly Methanol'!AW51/'Yearly Methanol'!AW46</f>
        <v>0.81279999999999997</v>
      </c>
      <c r="Q36" s="179">
        <f>'Yearly Methanol'!AX51/'Yearly Methanol'!AX46</f>
        <v>0.80189999999999995</v>
      </c>
      <c r="R36" s="179">
        <f>'Yearly Methanol'!AY51/'Yearly Methanol'!AY46</f>
        <v>0.79100000000000015</v>
      </c>
      <c r="S36" s="179">
        <f>'Yearly Methanol'!AZ51/'Yearly Methanol'!AZ46</f>
        <v>0.78010000000000002</v>
      </c>
      <c r="T36" s="179">
        <f>'Yearly Methanol'!BA51/'Yearly Methanol'!BA46</f>
        <v>0.76920000000000011</v>
      </c>
      <c r="U36" s="179">
        <f>'Yearly Methanol'!BB51/'Yearly Methanol'!BB46</f>
        <v>0.75829999999999997</v>
      </c>
      <c r="V36" s="179">
        <f>'Yearly Methanol'!BC51/'Yearly Methanol'!BC46</f>
        <v>0.74740000000000006</v>
      </c>
      <c r="W36" s="179">
        <f>'Yearly Methanol'!BD51/'Yearly Methanol'!BD46</f>
        <v>0.73650000000000004</v>
      </c>
      <c r="X36" s="179">
        <f>'Yearly Methanol'!BE51/'Yearly Methanol'!BE46</f>
        <v>0.72334999999999994</v>
      </c>
      <c r="Y36" s="179">
        <f>'Yearly Methanol'!BF51/'Yearly Methanol'!BF46</f>
        <v>0.71019999999999994</v>
      </c>
      <c r="Z36" s="179">
        <f>'Yearly Methanol'!BG51/'Yearly Methanol'!BG46</f>
        <v>0.69704999999999995</v>
      </c>
      <c r="AA36" s="179">
        <f>'Yearly Methanol'!BH51/'Yearly Methanol'!BH46</f>
        <v>0.68389999999999995</v>
      </c>
      <c r="AB36" s="179">
        <f>'Yearly Methanol'!BI51/'Yearly Methanol'!BI46</f>
        <v>0.67074999999999996</v>
      </c>
      <c r="AC36" s="179">
        <f>'Yearly Methanol'!BJ51/'Yearly Methanol'!BJ46</f>
        <v>0.65759999999999996</v>
      </c>
      <c r="AD36" s="179">
        <f>'Yearly Methanol'!BK51/'Yearly Methanol'!BK46</f>
        <v>0.64444999999999997</v>
      </c>
      <c r="AE36" s="179">
        <f>'Yearly Methanol'!BL51/'Yearly Methanol'!BL46</f>
        <v>0.63129999999999997</v>
      </c>
      <c r="AF36" s="179">
        <f>'Yearly Methanol'!BM51/'Yearly Methanol'!BM46</f>
        <v>0.61814999999999998</v>
      </c>
      <c r="AG36" s="179">
        <f>'Yearly Methanol'!BN51/'Yearly Methanol'!BN46</f>
        <v>0.60499999999999998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985</v>
      </c>
      <c r="B37" s="156" t="s">
        <v>126</v>
      </c>
      <c r="C37" s="139">
        <f>'Yearly Methanol'!AJ58/'Yearly Methanol'!AJ55</f>
        <v>1</v>
      </c>
      <c r="D37" s="139">
        <f>'Yearly Methanol'!AK58/'Yearly Methanol'!AK55</f>
        <v>0.99669999999999992</v>
      </c>
      <c r="E37" s="139">
        <f>'Yearly Methanol'!AL58/'Yearly Methanol'!AL55</f>
        <v>0.99339999999999995</v>
      </c>
      <c r="F37" s="139">
        <f>'Yearly Methanol'!AM58/'Yearly Methanol'!AM55</f>
        <v>0.99009999999999987</v>
      </c>
      <c r="G37" s="139">
        <f>'Yearly Methanol'!AN58/'Yearly Methanol'!AN55</f>
        <v>0.98680000000000001</v>
      </c>
      <c r="H37" s="139">
        <f>'Yearly Methanol'!AO58/'Yearly Methanol'!AO55</f>
        <v>0.98350000000000004</v>
      </c>
      <c r="I37" s="139">
        <f>'Yearly Methanol'!AP58/'Yearly Methanol'!AP55</f>
        <v>0.98020000000000007</v>
      </c>
      <c r="J37" s="139">
        <f>'Yearly Methanol'!AQ58/'Yearly Methanol'!AQ55</f>
        <v>0.97689999999999988</v>
      </c>
      <c r="K37" s="139">
        <f>'Yearly Methanol'!AR58/'Yearly Methanol'!AR55</f>
        <v>0.97360000000000002</v>
      </c>
      <c r="L37" s="139">
        <f>'Yearly Methanol'!AS58/'Yearly Methanol'!AS55</f>
        <v>0.97030000000000005</v>
      </c>
      <c r="M37" s="139">
        <f>'Yearly Methanol'!AT58/'Yearly Methanol'!AT55</f>
        <v>0.96699999999999997</v>
      </c>
      <c r="N37" s="139">
        <f>'Yearly Methanol'!AU58/'Yearly Methanol'!AU55</f>
        <v>0.9637</v>
      </c>
      <c r="O37" s="139">
        <f>'Yearly Methanol'!AV58/'Yearly Methanol'!AV55</f>
        <v>0.96040000000000003</v>
      </c>
      <c r="P37" s="139">
        <f>'Yearly Methanol'!AW58/'Yearly Methanol'!AW55</f>
        <v>0.95709999999999984</v>
      </c>
      <c r="Q37" s="139">
        <f>'Yearly Methanol'!AX58/'Yearly Methanol'!AX55</f>
        <v>0.95379999999999998</v>
      </c>
      <c r="R37" s="139">
        <f>'Yearly Methanol'!AY58/'Yearly Methanol'!AY55</f>
        <v>0.9504999999999999</v>
      </c>
      <c r="S37" s="139">
        <f>'Yearly Methanol'!AZ58/'Yearly Methanol'!AZ55</f>
        <v>0.94719999999999993</v>
      </c>
      <c r="T37" s="139">
        <f>'Yearly Methanol'!BA58/'Yearly Methanol'!BA55</f>
        <v>0.94390000000000007</v>
      </c>
      <c r="U37" s="139">
        <f>'Yearly Methanol'!BB58/'Yearly Methanol'!BB55</f>
        <v>0.94059999999999988</v>
      </c>
      <c r="V37" s="139">
        <f>'Yearly Methanol'!BC58/'Yearly Methanol'!BC55</f>
        <v>0.93729999999999991</v>
      </c>
      <c r="W37" s="139">
        <f>'Yearly Methanol'!BD58/'Yearly Methanol'!BD55</f>
        <v>0.93400000000000005</v>
      </c>
      <c r="X37" s="139">
        <f>'Yearly Methanol'!BE58/'Yearly Methanol'!BE55</f>
        <v>0.93059999999999998</v>
      </c>
      <c r="Y37" s="139">
        <f>'Yearly Methanol'!BF58/'Yearly Methanol'!BF55</f>
        <v>0.92720000000000014</v>
      </c>
      <c r="Z37" s="139">
        <f>'Yearly Methanol'!BG58/'Yearly Methanol'!BG55</f>
        <v>0.92380000000000007</v>
      </c>
      <c r="AA37" s="139">
        <f>'Yearly Methanol'!BH58/'Yearly Methanol'!BH55</f>
        <v>0.92039999999999988</v>
      </c>
      <c r="AB37" s="139">
        <f>'Yearly Methanol'!BI58/'Yearly Methanol'!BI55</f>
        <v>0.91700000000000004</v>
      </c>
      <c r="AC37" s="139">
        <f>'Yearly Methanol'!BJ58/'Yearly Methanol'!BJ55</f>
        <v>0.91359999999999997</v>
      </c>
      <c r="AD37" s="139">
        <f>'Yearly Methanol'!BK58/'Yearly Methanol'!BK55</f>
        <v>0.91020000000000001</v>
      </c>
      <c r="AE37" s="139">
        <f>'Yearly Methanol'!BL58/'Yearly Methanol'!BL55</f>
        <v>0.90680000000000005</v>
      </c>
      <c r="AF37" s="139">
        <f>'Yearly Methanol'!BM58/'Yearly Methanol'!BM55</f>
        <v>0.90339999999999998</v>
      </c>
      <c r="AG37" s="139">
        <f>'Yearly Methanol'!BN58/'Yearly Methanol'!BN55</f>
        <v>0.9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986</v>
      </c>
      <c r="B39" s="50" t="s">
        <v>974</v>
      </c>
      <c r="C39" s="99">
        <f>C24*C33</f>
        <v>55439.851131994161</v>
      </c>
      <c r="D39" s="99">
        <f t="shared" ref="D39:AF39" si="16">D24*D33</f>
        <v>55239.525632326789</v>
      </c>
      <c r="E39" s="99">
        <f t="shared" si="16"/>
        <v>55039.81441988919</v>
      </c>
      <c r="F39" s="99">
        <f t="shared" si="16"/>
        <v>54840.715758774932</v>
      </c>
      <c r="G39" s="99">
        <f t="shared" si="16"/>
        <v>54642.227917748161</v>
      </c>
      <c r="H39" s="99">
        <f t="shared" si="16"/>
        <v>54444.349170231581</v>
      </c>
      <c r="I39" s="99">
        <f t="shared" si="16"/>
        <v>54247.077794294157</v>
      </c>
      <c r="J39" s="99">
        <f t="shared" si="16"/>
        <v>54050.412072639119</v>
      </c>
      <c r="K39" s="99">
        <f t="shared" si="16"/>
        <v>53854.35029259188</v>
      </c>
      <c r="L39" s="99">
        <f t="shared" si="16"/>
        <v>53658.890746087927</v>
      </c>
      <c r="M39" s="99">
        <f t="shared" si="16"/>
        <v>53464.031729660936</v>
      </c>
      <c r="N39" s="99">
        <f t="shared" si="16"/>
        <v>53173.658883686534</v>
      </c>
      <c r="O39" s="99">
        <f t="shared" si="16"/>
        <v>52884.307526380937</v>
      </c>
      <c r="P39" s="99">
        <f t="shared" si="16"/>
        <v>52595.974562817901</v>
      </c>
      <c r="Q39" s="99">
        <f t="shared" si="16"/>
        <v>52308.6569067577</v>
      </c>
      <c r="R39" s="99">
        <f t="shared" si="16"/>
        <v>52022.351480623802</v>
      </c>
      <c r="S39" s="99">
        <f t="shared" si="16"/>
        <v>51737.05521547961</v>
      </c>
      <c r="T39" s="99">
        <f t="shared" si="16"/>
        <v>51452.765051005365</v>
      </c>
      <c r="U39" s="99">
        <f t="shared" si="16"/>
        <v>51169.477935475079</v>
      </c>
      <c r="V39" s="99">
        <f t="shared" si="16"/>
        <v>50887.190825733422</v>
      </c>
      <c r="W39" s="99">
        <f t="shared" si="16"/>
        <v>50605.900687172827</v>
      </c>
      <c r="X39" s="99">
        <f t="shared" si="16"/>
        <v>50325.888175266678</v>
      </c>
      <c r="Y39" s="99">
        <f t="shared" si="16"/>
        <v>50046.865338381635</v>
      </c>
      <c r="Z39" s="99">
        <f t="shared" si="16"/>
        <v>49768.829171563564</v>
      </c>
      <c r="AA39" s="99">
        <f t="shared" si="16"/>
        <v>49491.776678302638</v>
      </c>
      <c r="AB39" s="99">
        <f t="shared" si="16"/>
        <v>49215.70487051065</v>
      </c>
      <c r="AC39" s="99">
        <f t="shared" si="16"/>
        <v>48940.610768498431</v>
      </c>
      <c r="AD39" s="99">
        <f t="shared" si="16"/>
        <v>48666.49140095328</v>
      </c>
      <c r="AE39" s="99">
        <f t="shared" si="16"/>
        <v>48393.343804916585</v>
      </c>
      <c r="AF39" s="99">
        <f t="shared" si="16"/>
        <v>48121.165025761373</v>
      </c>
      <c r="AG39" s="99">
        <f>AG24*AG33</f>
        <v>47849.952117169982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987</v>
      </c>
      <c r="B40" s="50" t="s">
        <v>974</v>
      </c>
      <c r="C40" s="99">
        <f t="shared" ref="C40:O40" si="17">C25*$C$34</f>
        <v>18170.790818776764</v>
      </c>
      <c r="D40" s="99">
        <f t="shared" si="17"/>
        <v>18130.677438639781</v>
      </c>
      <c r="E40" s="99">
        <f t="shared" si="17"/>
        <v>18090.652611790436</v>
      </c>
      <c r="F40" s="99">
        <f t="shared" si="17"/>
        <v>18050.716142740726</v>
      </c>
      <c r="G40" s="99">
        <f t="shared" si="17"/>
        <v>18010.86783643419</v>
      </c>
      <c r="H40" s="99">
        <f t="shared" si="17"/>
        <v>17971.107498244986</v>
      </c>
      <c r="I40" s="99">
        <f t="shared" si="17"/>
        <v>17931.434933976911</v>
      </c>
      <c r="J40" s="99">
        <f t="shared" si="17"/>
        <v>17891.849949862466</v>
      </c>
      <c r="K40" s="99">
        <f t="shared" si="17"/>
        <v>17852.352352561906</v>
      </c>
      <c r="L40" s="99">
        <f t="shared" si="17"/>
        <v>17812.941949162308</v>
      </c>
      <c r="M40" s="99">
        <f t="shared" si="17"/>
        <v>17773.618547176611</v>
      </c>
      <c r="N40" s="99">
        <f t="shared" si="17"/>
        <v>17734.381954542689</v>
      </c>
      <c r="O40" s="99">
        <f t="shared" si="17"/>
        <v>17695.231979622389</v>
      </c>
      <c r="P40" s="99">
        <f t="shared" ref="P40:AG40" si="18">D34*P25</f>
        <v>17643.713769989277</v>
      </c>
      <c r="Q40" s="99">
        <f t="shared" si="18"/>
        <v>17592.146519590453</v>
      </c>
      <c r="R40" s="99">
        <f t="shared" si="18"/>
        <v>17540.531116042068</v>
      </c>
      <c r="S40" s="99">
        <f t="shared" si="18"/>
        <v>17488.868442353083</v>
      </c>
      <c r="T40" s="99">
        <f t="shared" si="18"/>
        <v>17437.159376943313</v>
      </c>
      <c r="U40" s="99">
        <f t="shared" si="18"/>
        <v>17385.404793661433</v>
      </c>
      <c r="V40" s="99">
        <f t="shared" si="18"/>
        <v>17333.605561802928</v>
      </c>
      <c r="W40" s="99">
        <f t="shared" si="18"/>
        <v>17281.762546127949</v>
      </c>
      <c r="X40" s="99">
        <f t="shared" si="18"/>
        <v>17229.876606879152</v>
      </c>
      <c r="Y40" s="99">
        <f t="shared" si="18"/>
        <v>17177.948599799442</v>
      </c>
      <c r="Z40" s="99">
        <f t="shared" si="18"/>
        <v>17080.660527195872</v>
      </c>
      <c r="AA40" s="99">
        <f t="shared" si="18"/>
        <v>16982.322479544138</v>
      </c>
      <c r="AB40" s="99">
        <f t="shared" si="18"/>
        <v>16882.942648100168</v>
      </c>
      <c r="AC40" s="99">
        <f t="shared" si="18"/>
        <v>16782.529186268916</v>
      </c>
      <c r="AD40" s="99">
        <f t="shared" si="18"/>
        <v>16681.090209746566</v>
      </c>
      <c r="AE40" s="99">
        <f t="shared" si="18"/>
        <v>16578.633796662314</v>
      </c>
      <c r="AF40" s="99">
        <f t="shared" si="18"/>
        <v>16475.167987719589</v>
      </c>
      <c r="AG40" s="99">
        <f t="shared" si="18"/>
        <v>16370.700786336864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988</v>
      </c>
      <c r="B41" s="50" t="s">
        <v>974</v>
      </c>
      <c r="C41" s="99">
        <f t="shared" ref="C41:AG41" si="19">C26</f>
        <v>22990.82575436178</v>
      </c>
      <c r="D41" s="99">
        <f t="shared" si="19"/>
        <v>22940.071786505032</v>
      </c>
      <c r="E41" s="99">
        <f t="shared" si="19"/>
        <v>22889.429861829369</v>
      </c>
      <c r="F41" s="99">
        <f t="shared" si="19"/>
        <v>22838.899732991082</v>
      </c>
      <c r="G41" s="99">
        <f t="shared" si="19"/>
        <v>22788.481153192493</v>
      </c>
      <c r="H41" s="99">
        <f t="shared" si="19"/>
        <v>22738.173876180754</v>
      </c>
      <c r="I41" s="99">
        <f t="shared" si="19"/>
        <v>22687.977656246643</v>
      </c>
      <c r="J41" s="99">
        <f t="shared" si="19"/>
        <v>22637.892248223347</v>
      </c>
      <c r="K41" s="99">
        <f t="shared" si="19"/>
        <v>22587.917407485282</v>
      </c>
      <c r="L41" s="99">
        <f t="shared" si="19"/>
        <v>22538.052889946895</v>
      </c>
      <c r="M41" s="99">
        <f t="shared" si="19"/>
        <v>22488.29845206147</v>
      </c>
      <c r="N41" s="99">
        <f t="shared" si="19"/>
        <v>22438.653850819937</v>
      </c>
      <c r="O41" s="99">
        <f t="shared" si="19"/>
        <v>22389.118843749689</v>
      </c>
      <c r="P41" s="99">
        <f t="shared" si="19"/>
        <v>22339.693188913396</v>
      </c>
      <c r="Q41" s="99">
        <f t="shared" si="19"/>
        <v>22290.376644907807</v>
      </c>
      <c r="R41" s="99">
        <f t="shared" si="19"/>
        <v>22241.168970862618</v>
      </c>
      <c r="S41" s="99">
        <f t="shared" si="19"/>
        <v>22192.069926439235</v>
      </c>
      <c r="T41" s="99">
        <f t="shared" si="19"/>
        <v>22143.079271829643</v>
      </c>
      <c r="U41" s="99">
        <f t="shared" si="19"/>
        <v>22094.196767755227</v>
      </c>
      <c r="V41" s="99">
        <f t="shared" si="19"/>
        <v>22045.422175465585</v>
      </c>
      <c r="W41" s="99">
        <f t="shared" si="19"/>
        <v>21996.755256737375</v>
      </c>
      <c r="X41" s="99">
        <f t="shared" si="19"/>
        <v>21948.195773873154</v>
      </c>
      <c r="Y41" s="99">
        <f t="shared" si="19"/>
        <v>21899.74348970022</v>
      </c>
      <c r="Z41" s="99">
        <f t="shared" si="19"/>
        <v>21851.398167569438</v>
      </c>
      <c r="AA41" s="99">
        <f t="shared" si="19"/>
        <v>21803.159571354103</v>
      </c>
      <c r="AB41" s="99">
        <f t="shared" si="19"/>
        <v>21755.027465448773</v>
      </c>
      <c r="AC41" s="99">
        <f t="shared" si="19"/>
        <v>21707.001614768113</v>
      </c>
      <c r="AD41" s="99">
        <f t="shared" si="19"/>
        <v>21659.081784745773</v>
      </c>
      <c r="AE41" s="99">
        <f t="shared" si="19"/>
        <v>21611.267741333213</v>
      </c>
      <c r="AF41" s="99">
        <f t="shared" si="19"/>
        <v>21563.55925099858</v>
      </c>
      <c r="AG41" s="99">
        <f t="shared" si="19"/>
        <v>21515.956080725558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989</v>
      </c>
      <c r="B42" s="50" t="s">
        <v>974</v>
      </c>
      <c r="C42" s="222">
        <f t="shared" ref="C42:H42" si="20">C27*$C$36</f>
        <v>5.9640578702725442</v>
      </c>
      <c r="D42" s="222">
        <f t="shared" si="20"/>
        <v>5.9508917663371008</v>
      </c>
      <c r="E42" s="222">
        <f t="shared" si="20"/>
        <v>5.9377547275610851</v>
      </c>
      <c r="F42" s="222">
        <f t="shared" si="20"/>
        <v>5.9246466897809853</v>
      </c>
      <c r="G42" s="222">
        <f t="shared" si="20"/>
        <v>5.9115675889749308</v>
      </c>
      <c r="H42" s="222">
        <f t="shared" si="20"/>
        <v>5.898517361262388</v>
      </c>
      <c r="I42" s="222">
        <f t="shared" ref="I42:AG43" si="21">I27*D36</f>
        <v>5.7945650305859768</v>
      </c>
      <c r="J42" s="222">
        <f t="shared" si="21"/>
        <v>5.6910429192482042</v>
      </c>
      <c r="K42" s="222">
        <f t="shared" si="21"/>
        <v>5.5879496343662067</v>
      </c>
      <c r="L42" s="222">
        <f t="shared" si="21"/>
        <v>5.4852837871102826</v>
      </c>
      <c r="M42" s="222">
        <f t="shared" si="21"/>
        <v>5.3830439926927873</v>
      </c>
      <c r="N42" s="222">
        <f t="shared" si="21"/>
        <v>5.2812288703570518</v>
      </c>
      <c r="O42" s="222">
        <f t="shared" si="21"/>
        <v>5.179837043366331</v>
      </c>
      <c r="P42" s="222">
        <f t="shared" si="21"/>
        <v>5.0788671389927895</v>
      </c>
      <c r="Q42" s="222">
        <f t="shared" si="21"/>
        <v>4.9783177885065104</v>
      </c>
      <c r="R42" s="222">
        <f t="shared" si="21"/>
        <v>4.8781876271645261</v>
      </c>
      <c r="S42" s="222">
        <f t="shared" si="21"/>
        <v>4.804668972398332</v>
      </c>
      <c r="T42" s="222">
        <f t="shared" si="21"/>
        <v>4.7314511401991908</v>
      </c>
      <c r="U42" s="222">
        <f t="shared" si="21"/>
        <v>4.6585331606752813</v>
      </c>
      <c r="V42" s="222">
        <f t="shared" si="21"/>
        <v>4.5859140667509761</v>
      </c>
      <c r="W42" s="222">
        <f t="shared" si="21"/>
        <v>4.5135928941591352</v>
      </c>
      <c r="X42" s="222">
        <f t="shared" si="21"/>
        <v>4.4415686814334103</v>
      </c>
      <c r="Y42" s="222">
        <f t="shared" si="21"/>
        <v>4.3698404699005939</v>
      </c>
      <c r="Z42" s="222">
        <f t="shared" si="21"/>
        <v>4.298407303672958</v>
      </c>
      <c r="AA42" s="222">
        <f t="shared" si="21"/>
        <v>4.2272682296406359</v>
      </c>
      <c r="AB42" s="222">
        <f t="shared" si="21"/>
        <v>4.1564222974640135</v>
      </c>
      <c r="AC42" s="222">
        <f t="shared" si="21"/>
        <v>4.0731987631782935</v>
      </c>
      <c r="AD42" s="222">
        <f t="shared" si="21"/>
        <v>3.990322417396253</v>
      </c>
      <c r="AE42" s="222">
        <f t="shared" si="21"/>
        <v>3.9077921328091523</v>
      </c>
      <c r="AF42" s="222">
        <f t="shared" si="21"/>
        <v>3.8256067853935054</v>
      </c>
      <c r="AG42" s="222">
        <f t="shared" si="21"/>
        <v>3.7437652544020672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990</v>
      </c>
      <c r="B43" s="156" t="s">
        <v>974</v>
      </c>
      <c r="C43" s="99">
        <f t="shared" ref="C43:H43" si="22">C28*$C$37</f>
        <v>457395.3207877258</v>
      </c>
      <c r="D43" s="99">
        <f t="shared" si="22"/>
        <v>456385.58639814286</v>
      </c>
      <c r="E43" s="99">
        <f t="shared" si="22"/>
        <v>455378.08107276587</v>
      </c>
      <c r="F43" s="99">
        <f t="shared" si="22"/>
        <v>454372.79989076883</v>
      </c>
      <c r="G43" s="99">
        <f t="shared" si="22"/>
        <v>453369.73794218875</v>
      </c>
      <c r="H43" s="99">
        <f t="shared" si="22"/>
        <v>452368.89032790175</v>
      </c>
      <c r="I43" s="99">
        <f t="shared" si="21"/>
        <v>449880.73032747273</v>
      </c>
      <c r="J43" s="99">
        <f t="shared" si="21"/>
        <v>447401.35135726986</v>
      </c>
      <c r="K43" s="99">
        <f t="shared" si="21"/>
        <v>444930.72677349625</v>
      </c>
      <c r="L43" s="99">
        <f t="shared" si="21"/>
        <v>442468.83000719838</v>
      </c>
      <c r="M43" s="99">
        <f t="shared" si="21"/>
        <v>440015.63456406462</v>
      </c>
      <c r="N43" s="99">
        <f t="shared" si="21"/>
        <v>437571.11402422574</v>
      </c>
      <c r="O43" s="99">
        <f t="shared" si="21"/>
        <v>435135.24204205541</v>
      </c>
      <c r="P43" s="99">
        <f t="shared" si="21"/>
        <v>432707.99234597117</v>
      </c>
      <c r="Q43" s="99">
        <f t="shared" si="21"/>
        <v>430289.33873823553</v>
      </c>
      <c r="R43" s="99">
        <f t="shared" si="21"/>
        <v>427879.25509475829</v>
      </c>
      <c r="S43" s="99">
        <f t="shared" si="21"/>
        <v>425477.7153648989</v>
      </c>
      <c r="T43" s="99">
        <f t="shared" si="21"/>
        <v>423084.69357126963</v>
      </c>
      <c r="U43" s="99">
        <f t="shared" si="21"/>
        <v>420700.16380953882</v>
      </c>
      <c r="V43" s="99">
        <f t="shared" si="21"/>
        <v>418324.10024823539</v>
      </c>
      <c r="W43" s="99">
        <f t="shared" si="21"/>
        <v>415956.47712855285</v>
      </c>
      <c r="X43" s="99">
        <f t="shared" si="21"/>
        <v>413597.26876415493</v>
      </c>
      <c r="Y43" s="99">
        <f t="shared" si="21"/>
        <v>411246.44954098063</v>
      </c>
      <c r="Z43" s="99">
        <f t="shared" si="21"/>
        <v>408903.99391705025</v>
      </c>
      <c r="AA43" s="99">
        <f t="shared" si="21"/>
        <v>406569.87642227276</v>
      </c>
      <c r="AB43" s="99">
        <f t="shared" si="21"/>
        <v>404244.07165825221</v>
      </c>
      <c r="AC43" s="99">
        <f t="shared" si="21"/>
        <v>401883.36889417347</v>
      </c>
      <c r="AD43" s="99">
        <f t="shared" si="21"/>
        <v>399531.11894839595</v>
      </c>
      <c r="AE43" s="99">
        <f t="shared" si="21"/>
        <v>397187.29600507894</v>
      </c>
      <c r="AF43" s="99">
        <f t="shared" si="21"/>
        <v>394851.87432116893</v>
      </c>
      <c r="AG43" s="99">
        <f t="shared" si="21"/>
        <v>392524.82822620409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991</v>
      </c>
      <c r="B44" s="189" t="s">
        <v>974</v>
      </c>
      <c r="C44" s="190">
        <f>SUM(C39:C43)</f>
        <v>554002.75255072874</v>
      </c>
      <c r="D44" s="190">
        <f t="shared" ref="D44:AF44" si="23">SUM(D39:D43)</f>
        <v>552701.81214738078</v>
      </c>
      <c r="E44" s="190">
        <f t="shared" si="23"/>
        <v>551403.91572100238</v>
      </c>
      <c r="F44" s="190">
        <f t="shared" si="23"/>
        <v>550109.05617196532</v>
      </c>
      <c r="G44" s="190">
        <f t="shared" si="23"/>
        <v>548817.22641715256</v>
      </c>
      <c r="H44" s="190">
        <f t="shared" si="23"/>
        <v>547528.41938992031</v>
      </c>
      <c r="I44" s="190">
        <f t="shared" si="23"/>
        <v>544753.0152770211</v>
      </c>
      <c r="J44" s="190">
        <f t="shared" si="23"/>
        <v>541987.19667091407</v>
      </c>
      <c r="K44" s="190">
        <f t="shared" si="23"/>
        <v>539230.93477576971</v>
      </c>
      <c r="L44" s="190">
        <f t="shared" si="23"/>
        <v>536484.20087618264</v>
      </c>
      <c r="M44" s="190">
        <f t="shared" si="23"/>
        <v>533746.96633695636</v>
      </c>
      <c r="N44" s="190">
        <f t="shared" si="23"/>
        <v>530923.08994214528</v>
      </c>
      <c r="O44" s="190">
        <f t="shared" si="23"/>
        <v>528109.08022885176</v>
      </c>
      <c r="P44" s="190">
        <f t="shared" si="23"/>
        <v>525292.45273483079</v>
      </c>
      <c r="Q44" s="190">
        <f t="shared" si="23"/>
        <v>522485.49712727999</v>
      </c>
      <c r="R44" s="190">
        <f t="shared" si="23"/>
        <v>519688.18484991393</v>
      </c>
      <c r="S44" s="190">
        <f t="shared" si="23"/>
        <v>516900.51361814322</v>
      </c>
      <c r="T44" s="190">
        <f t="shared" si="23"/>
        <v>514122.42872218811</v>
      </c>
      <c r="U44" s="190">
        <f t="shared" si="23"/>
        <v>511353.90183959121</v>
      </c>
      <c r="V44" s="190">
        <f t="shared" si="23"/>
        <v>508594.90472530411</v>
      </c>
      <c r="W44" s="190">
        <f t="shared" si="23"/>
        <v>505845.40921148518</v>
      </c>
      <c r="X44" s="190">
        <f t="shared" si="23"/>
        <v>503105.67088885535</v>
      </c>
      <c r="Y44" s="190">
        <f t="shared" si="23"/>
        <v>500375.37680933182</v>
      </c>
      <c r="Z44" s="190">
        <f t="shared" si="23"/>
        <v>497609.18019068282</v>
      </c>
      <c r="AA44" s="190">
        <f t="shared" si="23"/>
        <v>494851.36241970328</v>
      </c>
      <c r="AB44" s="190">
        <f t="shared" si="23"/>
        <v>492101.90306460927</v>
      </c>
      <c r="AC44" s="190">
        <f t="shared" si="23"/>
        <v>489317.58366247208</v>
      </c>
      <c r="AD44" s="190">
        <f t="shared" si="23"/>
        <v>486541.77266625897</v>
      </c>
      <c r="AE44" s="190">
        <f t="shared" si="23"/>
        <v>483774.44914012385</v>
      </c>
      <c r="AF44" s="190">
        <f t="shared" si="23"/>
        <v>481015.59219243389</v>
      </c>
      <c r="AG44" s="190">
        <f>SUM(AG39:AG43)</f>
        <v>478265.18097569089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0.25</v>
      </c>
      <c r="D46" s="195">
        <f t="shared" ref="D46:AG46" si="24">D49</f>
        <v>0.26498239436619719</v>
      </c>
      <c r="E46" s="195">
        <f t="shared" si="24"/>
        <v>0.27996478873239439</v>
      </c>
      <c r="F46" s="195">
        <f t="shared" si="24"/>
        <v>0.29494718309859158</v>
      </c>
      <c r="G46" s="195">
        <f t="shared" si="24"/>
        <v>0.30992957746478877</v>
      </c>
      <c r="H46" s="195">
        <f t="shared" si="24"/>
        <v>0.32491197183098597</v>
      </c>
      <c r="I46" s="195">
        <f t="shared" si="24"/>
        <v>0.33989436619718311</v>
      </c>
      <c r="J46" s="195">
        <f t="shared" si="24"/>
        <v>0.3548767605633803</v>
      </c>
      <c r="K46" s="195">
        <f t="shared" si="24"/>
        <v>0.36985915492957749</v>
      </c>
      <c r="L46" s="195">
        <f t="shared" si="24"/>
        <v>0.38484154929577463</v>
      </c>
      <c r="M46" s="195">
        <f t="shared" si="24"/>
        <v>0.39982394366197183</v>
      </c>
      <c r="N46" s="195">
        <f t="shared" si="24"/>
        <v>0.40988952464788736</v>
      </c>
      <c r="O46" s="195">
        <f t="shared" si="24"/>
        <v>0.41995510563380289</v>
      </c>
      <c r="P46" s="195">
        <f t="shared" si="24"/>
        <v>0.43002068661971832</v>
      </c>
      <c r="Q46" s="195">
        <f t="shared" si="24"/>
        <v>0.4400862676056338</v>
      </c>
      <c r="R46" s="195">
        <f t="shared" si="24"/>
        <v>0.45015184859154933</v>
      </c>
      <c r="S46" s="195">
        <f t="shared" si="24"/>
        <v>0.46021742957746481</v>
      </c>
      <c r="T46" s="195">
        <f t="shared" si="24"/>
        <v>0.47028301056338029</v>
      </c>
      <c r="U46" s="195">
        <f t="shared" si="24"/>
        <v>0.48034859154929577</v>
      </c>
      <c r="V46" s="195">
        <f t="shared" si="24"/>
        <v>0.49041417253521125</v>
      </c>
      <c r="W46" s="195">
        <f t="shared" si="24"/>
        <v>0.50047975352112672</v>
      </c>
      <c r="X46" s="195">
        <f t="shared" si="24"/>
        <v>0.51595810959507049</v>
      </c>
      <c r="Y46" s="195">
        <f t="shared" si="24"/>
        <v>0.53143646566901404</v>
      </c>
      <c r="Z46" s="195">
        <f t="shared" si="24"/>
        <v>0.5469148217429578</v>
      </c>
      <c r="AA46" s="195">
        <f t="shared" si="24"/>
        <v>0.56239317781690135</v>
      </c>
      <c r="AB46" s="195">
        <f t="shared" si="24"/>
        <v>0.57787153389084511</v>
      </c>
      <c r="AC46" s="195">
        <f t="shared" si="24"/>
        <v>0.59334988996478877</v>
      </c>
      <c r="AD46" s="195">
        <f t="shared" si="24"/>
        <v>0.60882824603873242</v>
      </c>
      <c r="AE46" s="195">
        <f t="shared" si="24"/>
        <v>0.62430660211267608</v>
      </c>
      <c r="AF46" s="195">
        <f t="shared" si="24"/>
        <v>0.63978495818661973</v>
      </c>
      <c r="AG46" s="195">
        <f t="shared" si="24"/>
        <v>0.65526331426056339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18">
        <f>'Ethylene Recycling HC'!C50</f>
        <v>8.2746478873239437E-2</v>
      </c>
      <c r="D47" s="102">
        <f>'Ethylene Recycling HC'!D50</f>
        <v>8.9366197183098586E-2</v>
      </c>
      <c r="E47" s="102">
        <f>'Ethylene Recycling HC'!E50</f>
        <v>9.5985915492957749E-2</v>
      </c>
      <c r="F47" s="102">
        <f>'Ethylene Recycling HC'!F50</f>
        <v>0.1026056338028169</v>
      </c>
      <c r="G47" s="102">
        <f>'Ethylene Recycling HC'!G50</f>
        <v>0.10922535211267606</v>
      </c>
      <c r="H47" s="102">
        <f>'Ethylene Recycling HC'!H50</f>
        <v>0.11584507042253521</v>
      </c>
      <c r="I47" s="102">
        <f>'Ethylene Recycling HC'!I50</f>
        <v>0.12246478873239436</v>
      </c>
      <c r="J47" s="102">
        <f>'Ethylene Recycling HC'!J50</f>
        <v>0.12908450704225352</v>
      </c>
      <c r="K47" s="102">
        <f>'Ethylene Recycling HC'!K50</f>
        <v>0.13570422535211268</v>
      </c>
      <c r="L47" s="102">
        <f>'Ethylene Recycling HC'!L50</f>
        <v>0.14232394366197182</v>
      </c>
      <c r="M47" s="105">
        <f>'Ethylene Recycling HC'!M50</f>
        <v>0.14894366197183098</v>
      </c>
      <c r="N47" s="102">
        <f>'Ethylene Recycling HC'!N50</f>
        <v>0.15788028169014084</v>
      </c>
      <c r="O47" s="102">
        <f>'Ethylene Recycling HC'!O50</f>
        <v>0.16681690140845071</v>
      </c>
      <c r="P47" s="102">
        <f>'Ethylene Recycling HC'!P50</f>
        <v>0.17575352112676057</v>
      </c>
      <c r="Q47" s="102">
        <f>'Ethylene Recycling HC'!Q50</f>
        <v>0.18469014084507041</v>
      </c>
      <c r="R47" s="102">
        <f>'Ethylene Recycling HC'!R50</f>
        <v>0.1936267605633803</v>
      </c>
      <c r="S47" s="102">
        <f>'Ethylene Recycling HC'!S50</f>
        <v>0.20256338028169013</v>
      </c>
      <c r="T47" s="102">
        <f>'Ethylene Recycling HC'!T50</f>
        <v>0.21149999999999999</v>
      </c>
      <c r="U47" s="102">
        <f>'Ethylene Recycling HC'!U50</f>
        <v>0.22043661971830986</v>
      </c>
      <c r="V47" s="102">
        <f>'Ethylene Recycling HC'!V50</f>
        <v>0.22937323943661972</v>
      </c>
      <c r="W47" s="105">
        <f>'Ethylene Recycling HC'!W50</f>
        <v>0.23830985915492958</v>
      </c>
      <c r="X47" s="102">
        <f>'Ethylene Recycling HC'!X50</f>
        <v>0.25260845070422533</v>
      </c>
      <c r="Y47" s="102">
        <f>'Ethylene Recycling HC'!Y50</f>
        <v>0.26690704225352113</v>
      </c>
      <c r="Z47" s="102">
        <f>'Ethylene Recycling HC'!Z50</f>
        <v>0.28120563380281693</v>
      </c>
      <c r="AA47" s="102">
        <f>'Ethylene Recycling HC'!AA50</f>
        <v>0.29550422535211268</v>
      </c>
      <c r="AB47" s="102">
        <f>'Ethylene Recycling HC'!AB50</f>
        <v>0.30980281690140843</v>
      </c>
      <c r="AC47" s="102">
        <f>'Ethylene Recycling HC'!AC50</f>
        <v>0.32410140845070423</v>
      </c>
      <c r="AD47" s="102">
        <f>'Ethylene Recycling HC'!AD50</f>
        <v>0.33840000000000003</v>
      </c>
      <c r="AE47" s="102">
        <f>'Ethylene Recycling HC'!AE50</f>
        <v>0.35269859154929578</v>
      </c>
      <c r="AF47" s="102">
        <f>'Ethylene Recycling HC'!AF50</f>
        <v>0.36699718309859153</v>
      </c>
      <c r="AG47" s="102">
        <f>'Ethylene Recycling HC'!AG50</f>
        <v>0.38129577464788733</v>
      </c>
      <c r="AI47" s="124"/>
      <c r="AJ47" s="185" t="s">
        <v>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18">
        <f>'Ethylene Recycling HC'!C51</f>
        <v>0.16725352112676059</v>
      </c>
      <c r="D48" s="102">
        <f>'Ethylene Recycling HC'!D51</f>
        <v>0.17561619718309862</v>
      </c>
      <c r="E48" s="102">
        <f>'Ethylene Recycling HC'!E51</f>
        <v>0.18397887323943665</v>
      </c>
      <c r="F48" s="102">
        <f>'Ethylene Recycling HC'!F51</f>
        <v>0.19234154929577468</v>
      </c>
      <c r="G48" s="102">
        <f>'Ethylene Recycling HC'!G51</f>
        <v>0.20070422535211269</v>
      </c>
      <c r="H48" s="102">
        <f>'Ethylene Recycling HC'!H51</f>
        <v>0.20906690140845074</v>
      </c>
      <c r="I48" s="102">
        <f>'Ethylene Recycling HC'!I51</f>
        <v>0.21742957746478875</v>
      </c>
      <c r="J48" s="102">
        <f>'Ethylene Recycling HC'!J51</f>
        <v>0.22579225352112678</v>
      </c>
      <c r="K48" s="102">
        <f>'Ethylene Recycling HC'!K51</f>
        <v>0.23415492957746481</v>
      </c>
      <c r="L48" s="102">
        <f>'Ethylene Recycling HC'!L51</f>
        <v>0.24251760563380284</v>
      </c>
      <c r="M48" s="105">
        <f>'Ethylene Recycling HC'!M51</f>
        <v>0.25088028169014087</v>
      </c>
      <c r="N48" s="102">
        <f>'Ethylene Recycling HC'!N51</f>
        <v>0.25200924295774652</v>
      </c>
      <c r="O48" s="102">
        <f>'Ethylene Recycling HC'!O51</f>
        <v>0.25313820422535216</v>
      </c>
      <c r="P48" s="102">
        <f>'Ethylene Recycling HC'!P51</f>
        <v>0.25426716549295775</v>
      </c>
      <c r="Q48" s="102">
        <f>'Ethylene Recycling HC'!Q51</f>
        <v>0.25539612676056339</v>
      </c>
      <c r="R48" s="102">
        <f>'Ethylene Recycling HC'!R51</f>
        <v>0.25652508802816903</v>
      </c>
      <c r="S48" s="102">
        <f>'Ethylene Recycling HC'!S51</f>
        <v>0.25765404929577468</v>
      </c>
      <c r="T48" s="102">
        <f>'Ethylene Recycling HC'!T51</f>
        <v>0.25878301056338032</v>
      </c>
      <c r="U48" s="102">
        <f>'Ethylene Recycling HC'!U51</f>
        <v>0.25991197183098591</v>
      </c>
      <c r="V48" s="102">
        <f>'Ethylene Recycling HC'!V51</f>
        <v>0.26104093309859155</v>
      </c>
      <c r="W48" s="105">
        <f>'Ethylene Recycling HC'!W51</f>
        <v>0.2621698943661972</v>
      </c>
      <c r="X48" s="102">
        <f>'Ethylene Recycling HC'!X51</f>
        <v>0.26334965889084511</v>
      </c>
      <c r="Y48" s="102">
        <f>'Ethylene Recycling HC'!Y51</f>
        <v>0.26452942341549296</v>
      </c>
      <c r="Z48" s="102">
        <f>'Ethylene Recycling HC'!Z51</f>
        <v>0.26570918794014087</v>
      </c>
      <c r="AA48" s="102">
        <f>'Ethylene Recycling HC'!AA51</f>
        <v>0.26688895246478872</v>
      </c>
      <c r="AB48" s="102">
        <f>'Ethylene Recycling HC'!AB51</f>
        <v>0.26806871698943663</v>
      </c>
      <c r="AC48" s="102">
        <f>'Ethylene Recycling HC'!AC51</f>
        <v>0.26924848151408454</v>
      </c>
      <c r="AD48" s="102">
        <f>'Ethylene Recycling HC'!AD51</f>
        <v>0.27042824603873239</v>
      </c>
      <c r="AE48" s="102">
        <f>'Ethylene Recycling HC'!AE51</f>
        <v>0.2716080105633803</v>
      </c>
      <c r="AF48" s="102">
        <f>'Ethylene Recycling HC'!AF51</f>
        <v>0.27278777508802815</v>
      </c>
      <c r="AG48" s="102">
        <f>'Ethylene Recycling HC'!AG51</f>
        <v>0.27396753961267606</v>
      </c>
      <c r="AI48" s="124"/>
      <c r="AJ48" s="185" t="s">
        <v>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0.25</v>
      </c>
      <c r="D49" s="102">
        <f t="shared" ref="D49:AF49" si="25">D47+D48</f>
        <v>0.26498239436619719</v>
      </c>
      <c r="E49" s="102">
        <f t="shared" si="25"/>
        <v>0.27996478873239439</v>
      </c>
      <c r="F49" s="102">
        <f t="shared" si="25"/>
        <v>0.29494718309859158</v>
      </c>
      <c r="G49" s="102">
        <f t="shared" si="25"/>
        <v>0.30992957746478877</v>
      </c>
      <c r="H49" s="102">
        <f t="shared" si="25"/>
        <v>0.32491197183098597</v>
      </c>
      <c r="I49" s="102">
        <f t="shared" si="25"/>
        <v>0.33989436619718311</v>
      </c>
      <c r="J49" s="102">
        <f t="shared" si="25"/>
        <v>0.3548767605633803</v>
      </c>
      <c r="K49" s="102">
        <f t="shared" si="25"/>
        <v>0.36985915492957749</v>
      </c>
      <c r="L49" s="102">
        <f t="shared" si="25"/>
        <v>0.38484154929577463</v>
      </c>
      <c r="M49" s="102">
        <f t="shared" si="25"/>
        <v>0.39982394366197183</v>
      </c>
      <c r="N49" s="102">
        <f t="shared" si="25"/>
        <v>0.40988952464788736</v>
      </c>
      <c r="O49" s="102">
        <f t="shared" si="25"/>
        <v>0.41995510563380289</v>
      </c>
      <c r="P49" s="102">
        <f t="shared" si="25"/>
        <v>0.43002068661971832</v>
      </c>
      <c r="Q49" s="102">
        <f t="shared" si="25"/>
        <v>0.4400862676056338</v>
      </c>
      <c r="R49" s="102">
        <f t="shared" si="25"/>
        <v>0.45015184859154933</v>
      </c>
      <c r="S49" s="102">
        <f t="shared" si="25"/>
        <v>0.46021742957746481</v>
      </c>
      <c r="T49" s="102">
        <f t="shared" si="25"/>
        <v>0.47028301056338029</v>
      </c>
      <c r="U49" s="102">
        <f t="shared" si="25"/>
        <v>0.48034859154929577</v>
      </c>
      <c r="V49" s="102">
        <f t="shared" si="25"/>
        <v>0.49041417253521125</v>
      </c>
      <c r="W49" s="102">
        <f t="shared" si="25"/>
        <v>0.50047975352112672</v>
      </c>
      <c r="X49" s="102">
        <f t="shared" si="25"/>
        <v>0.51595810959507049</v>
      </c>
      <c r="Y49" s="102">
        <f t="shared" si="25"/>
        <v>0.53143646566901404</v>
      </c>
      <c r="Z49" s="102">
        <f t="shared" si="25"/>
        <v>0.5469148217429578</v>
      </c>
      <c r="AA49" s="102">
        <f t="shared" si="25"/>
        <v>0.56239317781690135</v>
      </c>
      <c r="AB49" s="102">
        <f t="shared" si="25"/>
        <v>0.57787153389084511</v>
      </c>
      <c r="AC49" s="102">
        <f t="shared" si="25"/>
        <v>0.59334988996478877</v>
      </c>
      <c r="AD49" s="102">
        <f t="shared" si="25"/>
        <v>0.60882824603873242</v>
      </c>
      <c r="AE49" s="102">
        <f t="shared" si="25"/>
        <v>0.62430660211267608</v>
      </c>
      <c r="AF49" s="102">
        <f t="shared" si="25"/>
        <v>0.63978495818661973</v>
      </c>
      <c r="AG49" s="102">
        <f>AG47+AG48</f>
        <v>0.65526331426056339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HC'!C54</f>
        <v>0.11499935012302656</v>
      </c>
      <c r="D51" s="102">
        <f>'Ethylene Recycling HC'!D54</f>
        <v>0.11283270511892568</v>
      </c>
      <c r="E51" s="102">
        <f>'Ethylene Recycling HC'!E54</f>
        <v>0.1106660601148248</v>
      </c>
      <c r="F51" s="102">
        <f>'Ethylene Recycling HC'!F54</f>
        <v>0.10849941511072392</v>
      </c>
      <c r="G51" s="102">
        <f>'Ethylene Recycling HC'!G54</f>
        <v>0.10633277010662304</v>
      </c>
      <c r="H51" s="102">
        <f>'Ethylene Recycling HC'!H54</f>
        <v>0.10416612510252216</v>
      </c>
      <c r="I51" s="102">
        <f>'Ethylene Recycling HC'!I54</f>
        <v>0.10199948009842127</v>
      </c>
      <c r="J51" s="102">
        <f>'Ethylene Recycling HC'!J54</f>
        <v>9.9832835094320393E-2</v>
      </c>
      <c r="K51" s="102">
        <f>'Ethylene Recycling HC'!K54</f>
        <v>9.7666190090219512E-2</v>
      </c>
      <c r="L51" s="102">
        <f>'Ethylene Recycling HC'!L54</f>
        <v>9.5499545086118631E-2</v>
      </c>
      <c r="M51" s="102">
        <f>'Ethylene Recycling HC'!M54</f>
        <v>9.333290008201775E-2</v>
      </c>
      <c r="N51" s="102">
        <f>'Ethylene Recycling HC'!N54</f>
        <v>9.1166255077916869E-2</v>
      </c>
      <c r="O51" s="102">
        <f>'Ethylene Recycling HC'!O54</f>
        <v>8.8999610073815988E-2</v>
      </c>
      <c r="P51" s="102">
        <f>'Ethylene Recycling HC'!P54</f>
        <v>8.6832965069715107E-2</v>
      </c>
      <c r="Q51" s="102">
        <f>'Ethylene Recycling HC'!Q54</f>
        <v>8.4666320065614226E-2</v>
      </c>
      <c r="R51" s="102">
        <f>'Ethylene Recycling HC'!R54</f>
        <v>8.2499675061513345E-2</v>
      </c>
      <c r="S51" s="102">
        <f>'Ethylene Recycling HC'!S54</f>
        <v>8.0333030057412463E-2</v>
      </c>
      <c r="T51" s="102">
        <f>'Ethylene Recycling HC'!T54</f>
        <v>7.8166385053311582E-2</v>
      </c>
      <c r="U51" s="102">
        <f>'Ethylene Recycling HC'!U54</f>
        <v>7.5999740049210701E-2</v>
      </c>
      <c r="V51" s="102">
        <f>'Ethylene Recycling HC'!V54</f>
        <v>7.383309504510982E-2</v>
      </c>
      <c r="W51" s="102">
        <f>'Ethylene Recycling HC'!W54</f>
        <v>7.1666450041008939E-2</v>
      </c>
      <c r="X51" s="102">
        <f>'Ethylene Recycling HC'!X54</f>
        <v>6.9499805036908058E-2</v>
      </c>
      <c r="Y51" s="102">
        <f>'Ethylene Recycling HC'!Y54</f>
        <v>6.7333160032807177E-2</v>
      </c>
      <c r="Z51" s="102">
        <f>'Ethylene Recycling HC'!Z54</f>
        <v>6.5166515028706296E-2</v>
      </c>
      <c r="AA51" s="102">
        <f>'Ethylene Recycling HC'!AA54</f>
        <v>6.2999870024605414E-2</v>
      </c>
      <c r="AB51" s="102">
        <f>'Ethylene Recycling HC'!AB54</f>
        <v>6.0833225020504526E-2</v>
      </c>
      <c r="AC51" s="102">
        <f>'Ethylene Recycling HC'!AC54</f>
        <v>5.8666580016403638E-2</v>
      </c>
      <c r="AD51" s="102">
        <f>'Ethylene Recycling HC'!AD54</f>
        <v>5.649993501230275E-2</v>
      </c>
      <c r="AE51" s="102">
        <f>'Ethylene Recycling HC'!AE54</f>
        <v>5.4333290008201862E-2</v>
      </c>
      <c r="AF51" s="102">
        <f>'Ethylene Recycling HC'!AF54</f>
        <v>5.2166645004100974E-2</v>
      </c>
      <c r="AG51" s="102">
        <f>'Ethylene Recycling HC'!AG54</f>
        <v>0.05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f>'Ethylene Recycling HC'!C55</f>
        <v>0.13791632052401978</v>
      </c>
      <c r="D52" s="102">
        <f>'Ethylene Recycling HC'!D55</f>
        <v>0.13791632052401978</v>
      </c>
      <c r="E52" s="102">
        <f>'Ethylene Recycling HC'!E55</f>
        <v>0.13791632052401978</v>
      </c>
      <c r="F52" s="102">
        <f>'Ethylene Recycling HC'!F55</f>
        <v>0.13791632052401978</v>
      </c>
      <c r="G52" s="102">
        <f>'Ethylene Recycling HC'!G55</f>
        <v>0.13791632052401978</v>
      </c>
      <c r="H52" s="102">
        <f>'Ethylene Recycling HC'!H55</f>
        <v>0.13791632052401978</v>
      </c>
      <c r="I52" s="102">
        <f>'Ethylene Recycling HC'!I55</f>
        <v>0.13791632052401978</v>
      </c>
      <c r="J52" s="102">
        <f>'Ethylene Recycling HC'!J55</f>
        <v>0.13791632052401978</v>
      </c>
      <c r="K52" s="102">
        <f>'Ethylene Recycling HC'!K55</f>
        <v>0.13791632052401978</v>
      </c>
      <c r="L52" s="102">
        <f>'Ethylene Recycling HC'!L55</f>
        <v>0.13791632052401978</v>
      </c>
      <c r="M52" s="102">
        <f>'Ethylene Recycling HC'!M55</f>
        <v>0.13791632052401978</v>
      </c>
      <c r="N52" s="102">
        <f>'Ethylene Recycling HC'!N55</f>
        <v>0.13791632052401978</v>
      </c>
      <c r="O52" s="102">
        <f>'Ethylene Recycling HC'!O55</f>
        <v>0.13791632052401978</v>
      </c>
      <c r="P52" s="102">
        <f>'Ethylene Recycling HC'!P55</f>
        <v>0.13791632052401978</v>
      </c>
      <c r="Q52" s="102">
        <f>'Ethylene Recycling HC'!Q55</f>
        <v>0.13791632052401978</v>
      </c>
      <c r="R52" s="102">
        <f>'Ethylene Recycling HC'!R55</f>
        <v>0.13791632052401978</v>
      </c>
      <c r="S52" s="102">
        <f>'Ethylene Recycling HC'!S55</f>
        <v>0.13791632052401978</v>
      </c>
      <c r="T52" s="102">
        <f>'Ethylene Recycling HC'!T55</f>
        <v>0.13791632052401978</v>
      </c>
      <c r="U52" s="102">
        <f>'Ethylene Recycling HC'!U55</f>
        <v>0.13791632052401978</v>
      </c>
      <c r="V52" s="102">
        <f>'Ethylene Recycling HC'!V55</f>
        <v>0.13791632052401978</v>
      </c>
      <c r="W52" s="102">
        <f>'Ethylene Recycling HC'!W55</f>
        <v>0.13791632052401978</v>
      </c>
      <c r="X52" s="102">
        <f>'Ethylene Recycling HC'!X55</f>
        <v>0.13791632052401978</v>
      </c>
      <c r="Y52" s="102">
        <f>'Ethylene Recycling HC'!Y55</f>
        <v>0.13791632052401978</v>
      </c>
      <c r="Z52" s="102">
        <f>'Ethylene Recycling HC'!Z55</f>
        <v>0.13791632052401978</v>
      </c>
      <c r="AA52" s="102">
        <f>'Ethylene Recycling HC'!AA55</f>
        <v>0.13791632052401978</v>
      </c>
      <c r="AB52" s="102">
        <f>'Ethylene Recycling HC'!AB55</f>
        <v>0.13791632052401978</v>
      </c>
      <c r="AC52" s="102">
        <f>'Ethylene Recycling HC'!AC55</f>
        <v>0.13791632052401978</v>
      </c>
      <c r="AD52" s="102">
        <f>'Ethylene Recycling HC'!AD55</f>
        <v>0.13791632052401978</v>
      </c>
      <c r="AE52" s="102">
        <f>'Ethylene Recycling HC'!AE55</f>
        <v>0.13791632052401978</v>
      </c>
      <c r="AF52" s="102">
        <f>'Ethylene Recycling HC'!AF55</f>
        <v>0.13791632052401978</v>
      </c>
      <c r="AG52" s="102">
        <f>'Ethylene Recycling HC'!AG55</f>
        <v>0.13791632052401978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f>'Ethylene Recycling HC'!C56</f>
        <v>0.10855071452136934</v>
      </c>
      <c r="D53" s="102">
        <f>'Ethylene Recycling HC'!D56</f>
        <v>0.10855071452136934</v>
      </c>
      <c r="E53" s="102">
        <f>'Ethylene Recycling HC'!E56</f>
        <v>0.10855071452136934</v>
      </c>
      <c r="F53" s="102">
        <f>'Ethylene Recycling HC'!F56</f>
        <v>0.10855071452136934</v>
      </c>
      <c r="G53" s="102">
        <f>'Ethylene Recycling HC'!G56</f>
        <v>0.10855071452136934</v>
      </c>
      <c r="H53" s="102">
        <f>'Ethylene Recycling HC'!H56</f>
        <v>0.10855071452136934</v>
      </c>
      <c r="I53" s="102">
        <f>'Ethylene Recycling HC'!I56</f>
        <v>0.10855071452136934</v>
      </c>
      <c r="J53" s="102">
        <f>'Ethylene Recycling HC'!J56</f>
        <v>0.10855071452136934</v>
      </c>
      <c r="K53" s="102">
        <f>'Ethylene Recycling HC'!K56</f>
        <v>0.10855071452136934</v>
      </c>
      <c r="L53" s="102">
        <f>'Ethylene Recycling HC'!L56</f>
        <v>0.10855071452136934</v>
      </c>
      <c r="M53" s="102">
        <f>'Ethylene Recycling HC'!M56</f>
        <v>0.10855071452136934</v>
      </c>
      <c r="N53" s="102">
        <f>'Ethylene Recycling HC'!N56</f>
        <v>0.10855071452136934</v>
      </c>
      <c r="O53" s="102">
        <f>'Ethylene Recycling HC'!O56</f>
        <v>0.10855071452136934</v>
      </c>
      <c r="P53" s="102">
        <f>'Ethylene Recycling HC'!P56</f>
        <v>0.10855071452136934</v>
      </c>
      <c r="Q53" s="102">
        <f>'Ethylene Recycling HC'!Q56</f>
        <v>0.10855071452136934</v>
      </c>
      <c r="R53" s="102">
        <f>'Ethylene Recycling HC'!R56</f>
        <v>0.10855071452136934</v>
      </c>
      <c r="S53" s="102">
        <f>'Ethylene Recycling HC'!S56</f>
        <v>0.10855071452136934</v>
      </c>
      <c r="T53" s="102">
        <f>'Ethylene Recycling HC'!T56</f>
        <v>0.10855071452136934</v>
      </c>
      <c r="U53" s="102">
        <f>'Ethylene Recycling HC'!U56</f>
        <v>0.10855071452136934</v>
      </c>
      <c r="V53" s="102">
        <f>'Ethylene Recycling HC'!V56</f>
        <v>0.10855071452136934</v>
      </c>
      <c r="W53" s="102">
        <f>'Ethylene Recycling HC'!W56</f>
        <v>0.10855071452136934</v>
      </c>
      <c r="X53" s="102">
        <f>'Ethylene Recycling HC'!X56</f>
        <v>0.10855071452136934</v>
      </c>
      <c r="Y53" s="102">
        <f>'Ethylene Recycling HC'!Y56</f>
        <v>0.10855071452136934</v>
      </c>
      <c r="Z53" s="102">
        <f>'Ethylene Recycling HC'!Z56</f>
        <v>0.10855071452136934</v>
      </c>
      <c r="AA53" s="102">
        <f>'Ethylene Recycling HC'!AA56</f>
        <v>0.10855071452136934</v>
      </c>
      <c r="AB53" s="102">
        <f>'Ethylene Recycling HC'!AB56</f>
        <v>0.10855071452136934</v>
      </c>
      <c r="AC53" s="102">
        <f>'Ethylene Recycling HC'!AC56</f>
        <v>0.10855071452136934</v>
      </c>
      <c r="AD53" s="102">
        <f>'Ethylene Recycling HC'!AD56</f>
        <v>0.10855071452136934</v>
      </c>
      <c r="AE53" s="102">
        <f>'Ethylene Recycling HC'!AE56</f>
        <v>0.10855071452136934</v>
      </c>
      <c r="AF53" s="102">
        <f>'Ethylene Recycling HC'!AF56</f>
        <v>0.10855071452136934</v>
      </c>
      <c r="AG53" s="102">
        <f>'Ethylene Recycling HC'!AG56</f>
        <v>0.10855071452136934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f>'Ethylene Recycling HC'!C57</f>
        <v>0.63853361483158433</v>
      </c>
      <c r="D54" s="102">
        <f>'Ethylene Recycling HC'!D57</f>
        <v>0.64070025983568524</v>
      </c>
      <c r="E54" s="102">
        <f>'Ethylene Recycling HC'!E57</f>
        <v>0.64286690483978604</v>
      </c>
      <c r="F54" s="102">
        <f>'Ethylene Recycling HC'!F57</f>
        <v>0.64503354984388694</v>
      </c>
      <c r="G54" s="102">
        <f>'Ethylene Recycling HC'!G57</f>
        <v>0.64720019484798785</v>
      </c>
      <c r="H54" s="102">
        <f>'Ethylene Recycling HC'!H57</f>
        <v>0.64936683985208865</v>
      </c>
      <c r="I54" s="102">
        <f>'Ethylene Recycling HC'!I57</f>
        <v>0.65153348485618956</v>
      </c>
      <c r="J54" s="102">
        <f>'Ethylene Recycling HC'!J57</f>
        <v>0.65370012986029047</v>
      </c>
      <c r="K54" s="102">
        <f>'Ethylene Recycling HC'!K57</f>
        <v>0.65586677486439138</v>
      </c>
      <c r="L54" s="102">
        <f>'Ethylene Recycling HC'!L57</f>
        <v>0.65803341986849229</v>
      </c>
      <c r="M54" s="102">
        <f>'Ethylene Recycling HC'!M57</f>
        <v>0.66020006487259308</v>
      </c>
      <c r="N54" s="102">
        <f>'Ethylene Recycling HC'!N57</f>
        <v>0.66236670987669399</v>
      </c>
      <c r="O54" s="102">
        <f>'Ethylene Recycling HC'!O57</f>
        <v>0.6645333548807949</v>
      </c>
      <c r="P54" s="102">
        <f>'Ethylene Recycling HC'!P57</f>
        <v>0.6666999998848957</v>
      </c>
      <c r="Q54" s="102">
        <f>'Ethylene Recycling HC'!Q57</f>
        <v>0.66886664488899661</v>
      </c>
      <c r="R54" s="102">
        <f>'Ethylene Recycling HC'!R57</f>
        <v>0.67103328989309752</v>
      </c>
      <c r="S54" s="102">
        <f>'Ethylene Recycling HC'!S57</f>
        <v>0.67319993489719843</v>
      </c>
      <c r="T54" s="102">
        <f>'Ethylene Recycling HC'!T57</f>
        <v>0.67536657990129934</v>
      </c>
      <c r="U54" s="102">
        <f>'Ethylene Recycling HC'!U57</f>
        <v>0.67753322490540013</v>
      </c>
      <c r="V54" s="102">
        <f>'Ethylene Recycling HC'!V57</f>
        <v>0.67969986990950104</v>
      </c>
      <c r="W54" s="102">
        <f>'Ethylene Recycling HC'!W57</f>
        <v>0.68186651491360195</v>
      </c>
      <c r="X54" s="102">
        <f>'Ethylene Recycling HC'!X57</f>
        <v>0.68403315991770275</v>
      </c>
      <c r="Y54" s="102">
        <f>'Ethylene Recycling HC'!Y57</f>
        <v>0.68619980492180366</v>
      </c>
      <c r="Z54" s="102">
        <f>'Ethylene Recycling HC'!Z57</f>
        <v>0.68836644992590457</v>
      </c>
      <c r="AA54" s="102">
        <f>'Ethylene Recycling HC'!AA57</f>
        <v>0.69053309493000548</v>
      </c>
      <c r="AB54" s="102">
        <f>'Ethylene Recycling HC'!AB57</f>
        <v>0.69269973993410638</v>
      </c>
      <c r="AC54" s="102">
        <f>'Ethylene Recycling HC'!AC57</f>
        <v>0.69486638493820718</v>
      </c>
      <c r="AD54" s="102">
        <f>'Ethylene Recycling HC'!AD57</f>
        <v>0.69703302994230809</v>
      </c>
      <c r="AE54" s="102">
        <f>'Ethylene Recycling HC'!AE57</f>
        <v>0.699199674946409</v>
      </c>
      <c r="AF54" s="102">
        <f>'Ethylene Recycling HC'!AF57</f>
        <v>0.70136631995050991</v>
      </c>
      <c r="AG54" s="102">
        <f>'Ethylene Recycling HC'!AG57</f>
        <v>0.70353296495461082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f>'Ethylene Recycling HC'!C58</f>
        <v>1.923404623536536E-2</v>
      </c>
      <c r="D55" s="102">
        <f>'Ethylene Recycling HC'!D58</f>
        <v>1.9815250590867674E-2</v>
      </c>
      <c r="E55" s="102">
        <f>'Ethylene Recycling HC'!E58</f>
        <v>2.0360217045773229E-2</v>
      </c>
      <c r="F55" s="102">
        <f>'Ethylene Recycling HC'!F58</f>
        <v>2.0868945600082026E-2</v>
      </c>
      <c r="G55" s="102">
        <f>'Ethylene Recycling HC'!G58</f>
        <v>2.1341436253794061E-2</v>
      </c>
      <c r="H55" s="102">
        <f>'Ethylene Recycling HC'!H58</f>
        <v>2.1777689006909347E-2</v>
      </c>
      <c r="I55" s="102">
        <f>'Ethylene Recycling HC'!I58</f>
        <v>2.2177703859427866E-2</v>
      </c>
      <c r="J55" s="102">
        <f>'Ethylene Recycling HC'!J58</f>
        <v>2.2541480811349632E-2</v>
      </c>
      <c r="K55" s="102">
        <f>'Ethylene Recycling HC'!K58</f>
        <v>2.2869019862674641E-2</v>
      </c>
      <c r="L55" s="102">
        <f>'Ethylene Recycling HC'!L58</f>
        <v>2.3160321013402891E-2</v>
      </c>
      <c r="M55" s="102">
        <f>'Ethylene Recycling HC'!M58</f>
        <v>2.3415384263534386E-2</v>
      </c>
      <c r="N55" s="102">
        <f>'Ethylene Recycling HC'!N58</f>
        <v>2.2974738925478643E-2</v>
      </c>
      <c r="O55" s="102">
        <f>'Ethylene Recycling HC'!O58</f>
        <v>2.252920147084234E-2</v>
      </c>
      <c r="P55" s="102">
        <f>'Ethylene Recycling HC'!P58</f>
        <v>2.2078771899625472E-2</v>
      </c>
      <c r="Q55" s="102">
        <f>'Ethylene Recycling HC'!Q58</f>
        <v>2.1623450211828044E-2</v>
      </c>
      <c r="R55" s="102">
        <f>'Ethylene Recycling HC'!R58</f>
        <v>2.1163236407450051E-2</v>
      </c>
      <c r="S55" s="102">
        <f>'Ethylene Recycling HC'!S58</f>
        <v>2.0698130486491498E-2</v>
      </c>
      <c r="T55" s="102">
        <f>'Ethylene Recycling HC'!T58</f>
        <v>2.0228132448952385E-2</v>
      </c>
      <c r="U55" s="102">
        <f>'Ethylene Recycling HC'!U58</f>
        <v>1.9753242294832704E-2</v>
      </c>
      <c r="V55" s="102">
        <f>'Ethylene Recycling HC'!V58</f>
        <v>1.9273460024132463E-2</v>
      </c>
      <c r="W55" s="102">
        <f>'Ethylene Recycling HC'!W58</f>
        <v>1.8788785636851664E-2</v>
      </c>
      <c r="X55" s="102">
        <f>'Ethylene Recycling HC'!X58</f>
        <v>1.8302749949449977E-2</v>
      </c>
      <c r="Y55" s="102">
        <f>'Ethylene Recycling HC'!Y58</f>
        <v>1.7811602000221596E-2</v>
      </c>
      <c r="Z55" s="102">
        <f>'Ethylene Recycling HC'!Z58</f>
        <v>1.7315341789166536E-2</v>
      </c>
      <c r="AA55" s="102">
        <f>'Ethylene Recycling HC'!AA58</f>
        <v>1.6813969316284781E-2</v>
      </c>
      <c r="AB55" s="102">
        <f>'Ethylene Recycling HC'!AB58</f>
        <v>1.6307484581576343E-2</v>
      </c>
      <c r="AC55" s="102">
        <f>'Ethylene Recycling HC'!AC58</f>
        <v>1.5795887585041215E-2</v>
      </c>
      <c r="AD55" s="102">
        <f>'Ethylene Recycling HC'!AD58</f>
        <v>1.5279178326679398E-2</v>
      </c>
      <c r="AE55" s="102">
        <f>'Ethylene Recycling HC'!AE58</f>
        <v>1.4757356806490896E-2</v>
      </c>
      <c r="AF55" s="102">
        <f>'Ethylene Recycling HC'!AF58</f>
        <v>1.4230423024475703E-2</v>
      </c>
      <c r="AG55" s="102">
        <f>'Ethylene Recycling HC'!AG58</f>
        <v>1.3698376980633803E-2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f>'Ethylene Recycling HC'!C59</f>
        <v>2.3066990228489227E-2</v>
      </c>
      <c r="D56" s="102">
        <f>'Ethylene Recycling HC'!D59</f>
        <v>2.422033973991369E-2</v>
      </c>
      <c r="E56" s="102">
        <f>'Ethylene Recycling HC'!E59</f>
        <v>2.537368925133815E-2</v>
      </c>
      <c r="F56" s="102">
        <f>'Ethylene Recycling HC'!F59</f>
        <v>2.6527038762762613E-2</v>
      </c>
      <c r="G56" s="102">
        <f>'Ethylene Recycling HC'!G59</f>
        <v>2.7680388274187069E-2</v>
      </c>
      <c r="H56" s="102">
        <f>'Ethylene Recycling HC'!H59</f>
        <v>2.8833737785611536E-2</v>
      </c>
      <c r="I56" s="102">
        <f>'Ethylene Recycling HC'!I59</f>
        <v>2.9987087297035992E-2</v>
      </c>
      <c r="J56" s="102">
        <f>'Ethylene Recycling HC'!J59</f>
        <v>3.1140436808460455E-2</v>
      </c>
      <c r="K56" s="102">
        <f>'Ethylene Recycling HC'!K59</f>
        <v>3.2293786319884915E-2</v>
      </c>
      <c r="L56" s="102">
        <f>'Ethylene Recycling HC'!L59</f>
        <v>3.3447135831309378E-2</v>
      </c>
      <c r="M56" s="102">
        <f>'Ethylene Recycling HC'!M59</f>
        <v>3.4600485342733842E-2</v>
      </c>
      <c r="N56" s="102">
        <f>'Ethylene Recycling HC'!N59</f>
        <v>3.4756187526776144E-2</v>
      </c>
      <c r="O56" s="102">
        <f>'Ethylene Recycling HC'!O59</f>
        <v>3.4911889710818447E-2</v>
      </c>
      <c r="P56" s="102">
        <f>'Ethylene Recycling HC'!P59</f>
        <v>3.5067591894860743E-2</v>
      </c>
      <c r="Q56" s="102">
        <f>'Ethylene Recycling HC'!Q59</f>
        <v>3.5223294078903046E-2</v>
      </c>
      <c r="R56" s="102">
        <f>'Ethylene Recycling HC'!R59</f>
        <v>3.5378996262945349E-2</v>
      </c>
      <c r="S56" s="102">
        <f>'Ethylene Recycling HC'!S59</f>
        <v>3.5534698446987652E-2</v>
      </c>
      <c r="T56" s="102">
        <f>'Ethylene Recycling HC'!T59</f>
        <v>3.5690400631029955E-2</v>
      </c>
      <c r="U56" s="102">
        <f>'Ethylene Recycling HC'!U59</f>
        <v>3.584610281507225E-2</v>
      </c>
      <c r="V56" s="102">
        <f>'Ethylene Recycling HC'!V59</f>
        <v>3.600180499911456E-2</v>
      </c>
      <c r="W56" s="102">
        <f>'Ethylene Recycling HC'!W59</f>
        <v>3.6157507183156863E-2</v>
      </c>
      <c r="X56" s="102">
        <f>'Ethylene Recycling HC'!X59</f>
        <v>3.6320215965481066E-2</v>
      </c>
      <c r="Y56" s="102">
        <f>'Ethylene Recycling HC'!Y59</f>
        <v>3.6482924747805269E-2</v>
      </c>
      <c r="Z56" s="102">
        <f>'Ethylene Recycling HC'!Z59</f>
        <v>3.6645633530129479E-2</v>
      </c>
      <c r="AA56" s="102">
        <f>'Ethylene Recycling HC'!AA59</f>
        <v>3.6808342312453682E-2</v>
      </c>
      <c r="AB56" s="102">
        <f>'Ethylene Recycling HC'!AB59</f>
        <v>3.6971051094777892E-2</v>
      </c>
      <c r="AC56" s="102">
        <f>'Ethylene Recycling HC'!AC59</f>
        <v>3.7133759877102095E-2</v>
      </c>
      <c r="AD56" s="102">
        <f>'Ethylene Recycling HC'!AD59</f>
        <v>3.7296468659426298E-2</v>
      </c>
      <c r="AE56" s="102">
        <f>'Ethylene Recycling HC'!AE59</f>
        <v>3.7459177441750507E-2</v>
      </c>
      <c r="AF56" s="102">
        <f>'Ethylene Recycling HC'!AF59</f>
        <v>3.762188622407471E-2</v>
      </c>
      <c r="AG56" s="102">
        <f>'Ethylene Recycling HC'!AG59</f>
        <v>3.778459500639892E-2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f>'Ethylene Recycling HC'!C60</f>
        <v>1.8155489224524805E-2</v>
      </c>
      <c r="D57" s="102">
        <f>'Ethylene Recycling HC'!D60</f>
        <v>1.9063263685751047E-2</v>
      </c>
      <c r="E57" s="102">
        <f>'Ethylene Recycling HC'!E60</f>
        <v>1.9971038146977284E-2</v>
      </c>
      <c r="F57" s="102">
        <f>'Ethylene Recycling HC'!F60</f>
        <v>2.0878812608203526E-2</v>
      </c>
      <c r="G57" s="102">
        <f>'Ethylene Recycling HC'!G60</f>
        <v>2.1786587069429764E-2</v>
      </c>
      <c r="H57" s="102">
        <f>'Ethylene Recycling HC'!H60</f>
        <v>2.2694361530656008E-2</v>
      </c>
      <c r="I57" s="102">
        <f>'Ethylene Recycling HC'!I60</f>
        <v>2.3602135991882243E-2</v>
      </c>
      <c r="J57" s="102">
        <f>'Ethylene Recycling HC'!J60</f>
        <v>2.4509910453108484E-2</v>
      </c>
      <c r="K57" s="102">
        <f>'Ethylene Recycling HC'!K60</f>
        <v>2.5417684914334725E-2</v>
      </c>
      <c r="L57" s="102">
        <f>'Ethylene Recycling HC'!L60</f>
        <v>2.6325459375560967E-2</v>
      </c>
      <c r="M57" s="102">
        <f>'Ethylene Recycling HC'!M60</f>
        <v>2.7233233836787205E-2</v>
      </c>
      <c r="N57" s="102">
        <f>'Ethylene Recycling HC'!N60</f>
        <v>2.735578338905275E-2</v>
      </c>
      <c r="O57" s="102">
        <f>'Ethylene Recycling HC'!O60</f>
        <v>2.7478332941318292E-2</v>
      </c>
      <c r="P57" s="102">
        <f>'Ethylene Recycling HC'!P60</f>
        <v>2.760088249358383E-2</v>
      </c>
      <c r="Q57" s="102">
        <f>'Ethylene Recycling HC'!Q60</f>
        <v>2.7723432045849376E-2</v>
      </c>
      <c r="R57" s="102">
        <f>'Ethylene Recycling HC'!R60</f>
        <v>2.7845981598114918E-2</v>
      </c>
      <c r="S57" s="102">
        <f>'Ethylene Recycling HC'!S60</f>
        <v>2.7968531150380459E-2</v>
      </c>
      <c r="T57" s="102">
        <f>'Ethylene Recycling HC'!T60</f>
        <v>2.8091080702646005E-2</v>
      </c>
      <c r="U57" s="102">
        <f>'Ethylene Recycling HC'!U60</f>
        <v>2.8213630254911543E-2</v>
      </c>
      <c r="V57" s="102">
        <f>'Ethylene Recycling HC'!V60</f>
        <v>2.8336179807177085E-2</v>
      </c>
      <c r="W57" s="102">
        <f>'Ethylene Recycling HC'!W60</f>
        <v>2.845872935944263E-2</v>
      </c>
      <c r="X57" s="102">
        <f>'Ethylene Recycling HC'!X60</f>
        <v>2.8586793641560124E-2</v>
      </c>
      <c r="Y57" s="102">
        <f>'Ethylene Recycling HC'!Y60</f>
        <v>2.871485792367761E-2</v>
      </c>
      <c r="Z57" s="102">
        <f>'Ethylene Recycling HC'!Z60</f>
        <v>2.8842922205795107E-2</v>
      </c>
      <c r="AA57" s="102">
        <f>'Ethylene Recycling HC'!AA60</f>
        <v>2.8970986487912593E-2</v>
      </c>
      <c r="AB57" s="102">
        <f>'Ethylene Recycling HC'!AB60</f>
        <v>2.9099050770030086E-2</v>
      </c>
      <c r="AC57" s="102">
        <f>'Ethylene Recycling HC'!AC60</f>
        <v>2.9227115052147583E-2</v>
      </c>
      <c r="AD57" s="102">
        <f>'Ethylene Recycling HC'!AD60</f>
        <v>2.9355179334265069E-2</v>
      </c>
      <c r="AE57" s="102">
        <f>'Ethylene Recycling HC'!AE60</f>
        <v>2.9483243616382562E-2</v>
      </c>
      <c r="AF57" s="102">
        <f>'Ethylene Recycling HC'!AF60</f>
        <v>2.9611307898500052E-2</v>
      </c>
      <c r="AG57" s="102">
        <f>'Ethylene Recycling HC'!AG60</f>
        <v>2.9739372180617545E-2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f>'Ethylene Recycling HC'!C61</f>
        <v>0.1067969954383812</v>
      </c>
      <c r="D58" s="102">
        <f>'Ethylene Recycling HC'!D61</f>
        <v>0.11251734316656622</v>
      </c>
      <c r="E58" s="102">
        <f>'Ethylene Recycling HC'!E61</f>
        <v>0.11827392879534798</v>
      </c>
      <c r="F58" s="102">
        <f>'Ethylene Recycling HC'!F61</f>
        <v>0.12406675232472651</v>
      </c>
      <c r="G58" s="102">
        <f>'Ethylene Recycling HC'!G61</f>
        <v>0.1298958137547018</v>
      </c>
      <c r="H58" s="102">
        <f>'Ethylene Recycling HC'!H61</f>
        <v>0.13576111308527383</v>
      </c>
      <c r="I58" s="102">
        <f>'Ethylene Recycling HC'!I61</f>
        <v>0.14166265031644262</v>
      </c>
      <c r="J58" s="102">
        <f>'Ethylene Recycling HC'!J61</f>
        <v>0.1476004254482082</v>
      </c>
      <c r="K58" s="102">
        <f>'Ethylene Recycling HC'!K61</f>
        <v>0.15357443848057054</v>
      </c>
      <c r="L58" s="102">
        <f>'Ethylene Recycling HC'!L61</f>
        <v>0.1595846894135296</v>
      </c>
      <c r="M58" s="102">
        <f>'Ethylene Recycling HC'!M61</f>
        <v>0.16563117824708543</v>
      </c>
      <c r="N58" s="102">
        <f>'Ethylene Recycling HC'!N61</f>
        <v>0.16692253311643898</v>
      </c>
      <c r="O58" s="102">
        <f>'Ethylene Recycling HC'!O61</f>
        <v>0.16821878010237309</v>
      </c>
      <c r="P58" s="102">
        <f>'Ethylene Recycling HC'!P61</f>
        <v>0.16951991920488768</v>
      </c>
      <c r="Q58" s="102">
        <f>'Ethylene Recycling HC'!Q61</f>
        <v>0.17082595042398291</v>
      </c>
      <c r="R58" s="102">
        <f>'Ethylene Recycling HC'!R61</f>
        <v>0.17213687375965872</v>
      </c>
      <c r="S58" s="102">
        <f>'Ethylene Recycling HC'!S61</f>
        <v>0.17345268921191506</v>
      </c>
      <c r="T58" s="102">
        <f>'Ethylene Recycling HC'!T61</f>
        <v>0.17477339678075199</v>
      </c>
      <c r="U58" s="102">
        <f>'Ethylene Recycling HC'!U61</f>
        <v>0.17609899646616939</v>
      </c>
      <c r="V58" s="102">
        <f>'Ethylene Recycling HC'!V61</f>
        <v>0.17742948826816746</v>
      </c>
      <c r="W58" s="102">
        <f>'Ethylene Recycling HC'!W61</f>
        <v>0.17876487218674605</v>
      </c>
      <c r="X58" s="102">
        <f>'Ethylene Recycling HC'!X61</f>
        <v>0.18013989933435393</v>
      </c>
      <c r="Y58" s="102">
        <f>'Ethylene Recycling HC'!Y61</f>
        <v>0.18152003874378847</v>
      </c>
      <c r="Z58" s="102">
        <f>'Ethylene Recycling HC'!Z61</f>
        <v>0.18290529041504974</v>
      </c>
      <c r="AA58" s="102">
        <f>'Ethylene Recycling HC'!AA61</f>
        <v>0.18429565434813766</v>
      </c>
      <c r="AB58" s="102">
        <f>'Ethylene Recycling HC'!AB61</f>
        <v>0.18569113054305231</v>
      </c>
      <c r="AC58" s="102">
        <f>'Ethylene Recycling HC'!AC61</f>
        <v>0.18709171899979363</v>
      </c>
      <c r="AD58" s="102">
        <f>'Ethylene Recycling HC'!AD61</f>
        <v>0.18849741971836162</v>
      </c>
      <c r="AE58" s="102">
        <f>'Ethylene Recycling HC'!AE61</f>
        <v>0.18990823269875631</v>
      </c>
      <c r="AF58" s="102">
        <f>'Ethylene Recycling HC'!AF61</f>
        <v>0.19132415794097768</v>
      </c>
      <c r="AG58" s="102">
        <f>'Ethylene Recycling HC'!AG61</f>
        <v>0.19274519544502577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992</v>
      </c>
      <c r="C60" s="329">
        <f>'Overall recycling rates'!E84</f>
        <v>2.1299951412539223E-4</v>
      </c>
      <c r="D60" s="329">
        <f>C60-($C60-$AG60)/($AG$1-$C$1)</f>
        <v>2.6872566196987885E-2</v>
      </c>
      <c r="E60" s="329">
        <f t="shared" ref="E60:AF60" si="26">D60-($C60-$AG60)/($AG$1-$C$1)</f>
        <v>5.3532132879850376E-2</v>
      </c>
      <c r="F60" s="329">
        <f t="shared" si="26"/>
        <v>8.0191699562712868E-2</v>
      </c>
      <c r="G60" s="329">
        <f t="shared" si="26"/>
        <v>0.10685126624557537</v>
      </c>
      <c r="H60" s="329">
        <f t="shared" si="26"/>
        <v>0.13351083292843785</v>
      </c>
      <c r="I60" s="329">
        <f t="shared" si="26"/>
        <v>0.16017039961130033</v>
      </c>
      <c r="J60" s="329">
        <f t="shared" si="26"/>
        <v>0.18682996629416282</v>
      </c>
      <c r="K60" s="329">
        <f t="shared" si="26"/>
        <v>0.2134895329770253</v>
      </c>
      <c r="L60" s="329">
        <f t="shared" si="26"/>
        <v>0.24014909965988779</v>
      </c>
      <c r="M60" s="329">
        <f t="shared" si="26"/>
        <v>0.2668086663427503</v>
      </c>
      <c r="N60" s="329">
        <f t="shared" si="26"/>
        <v>0.29346823302561281</v>
      </c>
      <c r="O60" s="329">
        <f t="shared" si="26"/>
        <v>0.32012779970847532</v>
      </c>
      <c r="P60" s="329">
        <f t="shared" si="26"/>
        <v>0.34678736639133784</v>
      </c>
      <c r="Q60" s="329">
        <f t="shared" si="26"/>
        <v>0.37344693307420035</v>
      </c>
      <c r="R60" s="329">
        <f t="shared" si="26"/>
        <v>0.40010649975706286</v>
      </c>
      <c r="S60" s="329">
        <f t="shared" si="26"/>
        <v>0.42676606643992537</v>
      </c>
      <c r="T60" s="329">
        <f t="shared" si="26"/>
        <v>0.45342563312278789</v>
      </c>
      <c r="U60" s="329">
        <f t="shared" si="26"/>
        <v>0.4800851998056504</v>
      </c>
      <c r="V60" s="329">
        <f t="shared" si="26"/>
        <v>0.50674476648851285</v>
      </c>
      <c r="W60" s="329">
        <f t="shared" si="26"/>
        <v>0.53340433317137537</v>
      </c>
      <c r="X60" s="329">
        <f t="shared" si="26"/>
        <v>0.56006389985423788</v>
      </c>
      <c r="Y60" s="329">
        <f t="shared" si="26"/>
        <v>0.58672346653710039</v>
      </c>
      <c r="Z60" s="329">
        <f t="shared" si="26"/>
        <v>0.6133830332199629</v>
      </c>
      <c r="AA60" s="329">
        <f t="shared" si="26"/>
        <v>0.64004259990282542</v>
      </c>
      <c r="AB60" s="329">
        <f t="shared" si="26"/>
        <v>0.66670216658568793</v>
      </c>
      <c r="AC60" s="329">
        <f t="shared" si="26"/>
        <v>0.69336173326855044</v>
      </c>
      <c r="AD60" s="329">
        <f t="shared" si="26"/>
        <v>0.72002129995141295</v>
      </c>
      <c r="AE60" s="329">
        <f t="shared" si="26"/>
        <v>0.74668086663427546</v>
      </c>
      <c r="AF60" s="329">
        <f t="shared" si="26"/>
        <v>0.77334043331713798</v>
      </c>
      <c r="AG60" s="329">
        <f>'Overall recycling rates'!E93</f>
        <v>0.8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994</v>
      </c>
      <c r="B61" s="50" t="s">
        <v>126</v>
      </c>
      <c r="C61" s="102">
        <f>C47*C$60</f>
        <v>1.7624959795587032E-5</v>
      </c>
      <c r="D61" s="102">
        <f t="shared" ref="D61:AG62" si="27">D47*D$60</f>
        <v>2.401499049575889E-3</v>
      </c>
      <c r="E61" s="102">
        <f t="shared" si="27"/>
        <v>5.1383307827631034E-3</v>
      </c>
      <c r="F61" s="102">
        <f t="shared" si="27"/>
        <v>8.228120159357229E-3</v>
      </c>
      <c r="G61" s="102">
        <f t="shared" si="27"/>
        <v>1.1670867179358268E-2</v>
      </c>
      <c r="H61" s="102">
        <f t="shared" si="27"/>
        <v>1.5466571842766216E-2</v>
      </c>
      <c r="I61" s="102">
        <f t="shared" si="27"/>
        <v>1.9615234149581075E-2</v>
      </c>
      <c r="J61" s="102">
        <f t="shared" si="27"/>
        <v>2.411685409980285E-2</v>
      </c>
      <c r="K61" s="102">
        <f t="shared" si="27"/>
        <v>2.8971431693431533E-2</v>
      </c>
      <c r="L61" s="102">
        <f t="shared" si="27"/>
        <v>3.4178966930467125E-2</v>
      </c>
      <c r="M61" s="102">
        <f t="shared" si="27"/>
        <v>3.9739459810909636E-2</v>
      </c>
      <c r="N61" s="102">
        <f t="shared" si="27"/>
        <v>4.6332847297191643E-2</v>
      </c>
      <c r="O61" s="102">
        <f t="shared" si="27"/>
        <v>5.3402727602072986E-2</v>
      </c>
      <c r="P61" s="102">
        <f t="shared" si="27"/>
        <v>6.0949100725553651E-2</v>
      </c>
      <c r="Q61" s="102">
        <f t="shared" si="27"/>
        <v>6.8971966667633638E-2</v>
      </c>
      <c r="R61" s="102">
        <f t="shared" si="27"/>
        <v>7.747132542831299E-2</v>
      </c>
      <c r="S61" s="102">
        <f t="shared" si="27"/>
        <v>8.6447177007591636E-2</v>
      </c>
      <c r="T61" s="102">
        <f t="shared" si="27"/>
        <v>9.5899521405469632E-2</v>
      </c>
      <c r="U61" s="102">
        <f t="shared" si="27"/>
        <v>0.10582835862194696</v>
      </c>
      <c r="V61" s="102">
        <f t="shared" si="27"/>
        <v>0.1162336886570236</v>
      </c>
      <c r="W61" s="102">
        <f t="shared" si="27"/>
        <v>0.12711551151069961</v>
      </c>
      <c r="X61" s="102">
        <f t="shared" si="27"/>
        <v>0.14147687403754544</v>
      </c>
      <c r="Y61" s="102">
        <f t="shared" si="27"/>
        <v>0.15660062507415023</v>
      </c>
      <c r="Z61" s="102">
        <f t="shared" si="27"/>
        <v>0.17248676462051399</v>
      </c>
      <c r="AA61" s="102">
        <f t="shared" si="27"/>
        <v>0.18913529267663662</v>
      </c>
      <c r="AB61" s="102">
        <f t="shared" si="27"/>
        <v>0.20654620924251818</v>
      </c>
      <c r="AC61" s="102">
        <f t="shared" si="27"/>
        <v>0.2247195143181587</v>
      </c>
      <c r="AD61" s="102">
        <f t="shared" si="27"/>
        <v>0.24365520790355816</v>
      </c>
      <c r="AE61" s="102">
        <f t="shared" si="27"/>
        <v>0.26335328999871654</v>
      </c>
      <c r="AF61" s="102">
        <f t="shared" si="27"/>
        <v>0.28381376060363378</v>
      </c>
      <c r="AG61" s="102">
        <f t="shared" si="27"/>
        <v>0.30503661971830986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995</v>
      </c>
      <c r="B62" s="50" t="s">
        <v>126</v>
      </c>
      <c r="C62" s="102">
        <f>C48*C$60</f>
        <v>3.5624918735761029E-5</v>
      </c>
      <c r="D62" s="102">
        <f t="shared" si="27"/>
        <v>4.7192578840660948E-3</v>
      </c>
      <c r="E62" s="102">
        <f t="shared" si="27"/>
        <v>9.8487814893386712E-3</v>
      </c>
      <c r="F62" s="102">
        <f t="shared" si="27"/>
        <v>1.5424195734553491E-2</v>
      </c>
      <c r="G62" s="102">
        <f t="shared" si="27"/>
        <v>2.144550061971055E-2</v>
      </c>
      <c r="H62" s="102">
        <f t="shared" si="27"/>
        <v>2.7912696144809856E-2</v>
      </c>
      <c r="I62" s="102">
        <f t="shared" si="27"/>
        <v>3.4825782309851394E-2</v>
      </c>
      <c r="J62" s="102">
        <f t="shared" si="27"/>
        <v>4.2184759114835185E-2</v>
      </c>
      <c r="K62" s="102">
        <f t="shared" si="27"/>
        <v>4.9989626559761212E-2</v>
      </c>
      <c r="L62" s="102">
        <f t="shared" si="27"/>
        <v>5.8240384644629481E-2</v>
      </c>
      <c r="M62" s="102">
        <f t="shared" si="27"/>
        <v>6.6937033369439999E-2</v>
      </c>
      <c r="N62" s="102">
        <f t="shared" si="27"/>
        <v>7.3956707236932234E-2</v>
      </c>
      <c r="O62" s="102">
        <f t="shared" si="27"/>
        <v>8.1036576340816652E-2</v>
      </c>
      <c r="P62" s="102">
        <f t="shared" si="27"/>
        <v>8.8176640681093266E-2</v>
      </c>
      <c r="Q62" s="102">
        <f t="shared" si="27"/>
        <v>9.5376900257762104E-2</v>
      </c>
      <c r="R62" s="102">
        <f t="shared" si="27"/>
        <v>0.10263735507082314</v>
      </c>
      <c r="S62" s="102">
        <f t="shared" si="27"/>
        <v>0.10995800512027638</v>
      </c>
      <c r="T62" s="102">
        <f t="shared" si="27"/>
        <v>0.11733885040612183</v>
      </c>
      <c r="U62" s="102">
        <f t="shared" si="27"/>
        <v>0.12477989092835945</v>
      </c>
      <c r="V62" s="102">
        <f t="shared" si="27"/>
        <v>0.13228112668698927</v>
      </c>
      <c r="W62" s="102">
        <f t="shared" si="27"/>
        <v>0.13984255768201134</v>
      </c>
      <c r="X62" s="102">
        <f t="shared" si="27"/>
        <v>0.14749263698368997</v>
      </c>
      <c r="Y62" s="102">
        <f t="shared" si="27"/>
        <v>0.15520562030739846</v>
      </c>
      <c r="Z62" s="102">
        <f t="shared" si="27"/>
        <v>0.16298150765313679</v>
      </c>
      <c r="AA62" s="102">
        <f t="shared" si="27"/>
        <v>0.17082029902090495</v>
      </c>
      <c r="AB62" s="102">
        <f t="shared" si="27"/>
        <v>0.17872199441070302</v>
      </c>
      <c r="AC62" s="102">
        <f t="shared" si="27"/>
        <v>0.18668659382253092</v>
      </c>
      <c r="AD62" s="102">
        <f t="shared" si="27"/>
        <v>0.19471409725638864</v>
      </c>
      <c r="AE62" s="102">
        <f t="shared" si="27"/>
        <v>0.20280450471227623</v>
      </c>
      <c r="AF62" s="102">
        <f t="shared" si="27"/>
        <v>0.21095781619019366</v>
      </c>
      <c r="AG62" s="102">
        <f t="shared" si="27"/>
        <v>0.21917403169014085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996</v>
      </c>
      <c r="B63" s="156" t="s">
        <v>126</v>
      </c>
      <c r="C63" s="102">
        <f>SUM(C61:C62)</f>
        <v>5.3249878531348057E-5</v>
      </c>
      <c r="D63" s="102">
        <f t="shared" ref="D63:AG63" si="28">SUM(D61:D62)</f>
        <v>7.1207569336419838E-3</v>
      </c>
      <c r="E63" s="102">
        <f t="shared" si="28"/>
        <v>1.4987112272101775E-2</v>
      </c>
      <c r="F63" s="102">
        <f t="shared" si="28"/>
        <v>2.365231589391072E-2</v>
      </c>
      <c r="G63" s="102">
        <f t="shared" si="28"/>
        <v>3.3116367799068819E-2</v>
      </c>
      <c r="H63" s="102">
        <f t="shared" si="28"/>
        <v>4.3379267987576076E-2</v>
      </c>
      <c r="I63" s="102">
        <f t="shared" si="28"/>
        <v>5.4441016459432473E-2</v>
      </c>
      <c r="J63" s="102">
        <f t="shared" si="28"/>
        <v>6.6301613214638039E-2</v>
      </c>
      <c r="K63" s="102">
        <f t="shared" si="28"/>
        <v>7.8961058253192745E-2</v>
      </c>
      <c r="L63" s="102">
        <f t="shared" si="28"/>
        <v>9.2419351575096606E-2</v>
      </c>
      <c r="M63" s="102">
        <f t="shared" si="28"/>
        <v>0.10667649318034964</v>
      </c>
      <c r="N63" s="102">
        <f t="shared" si="28"/>
        <v>0.12028955453412388</v>
      </c>
      <c r="O63" s="102">
        <f t="shared" si="28"/>
        <v>0.13443930394288964</v>
      </c>
      <c r="P63" s="102">
        <f t="shared" si="28"/>
        <v>0.14912574140664692</v>
      </c>
      <c r="Q63" s="102">
        <f t="shared" si="28"/>
        <v>0.16434886692539574</v>
      </c>
      <c r="R63" s="102">
        <f t="shared" si="28"/>
        <v>0.18010868049913614</v>
      </c>
      <c r="S63" s="102">
        <f t="shared" si="28"/>
        <v>0.19640518212786801</v>
      </c>
      <c r="T63" s="102">
        <f t="shared" si="28"/>
        <v>0.21323837181159144</v>
      </c>
      <c r="U63" s="102">
        <f t="shared" si="28"/>
        <v>0.2306082495503064</v>
      </c>
      <c r="V63" s="102">
        <f t="shared" si="28"/>
        <v>0.24851481534401287</v>
      </c>
      <c r="W63" s="102">
        <f t="shared" si="28"/>
        <v>0.26695806919271092</v>
      </c>
      <c r="X63" s="102">
        <f t="shared" si="28"/>
        <v>0.28896951102123541</v>
      </c>
      <c r="Y63" s="102">
        <f t="shared" si="28"/>
        <v>0.31180624538154866</v>
      </c>
      <c r="Z63" s="102">
        <f t="shared" si="28"/>
        <v>0.33546827227365078</v>
      </c>
      <c r="AA63" s="102">
        <f t="shared" si="28"/>
        <v>0.35995559169754154</v>
      </c>
      <c r="AB63" s="102">
        <f t="shared" si="28"/>
        <v>0.38526820365322123</v>
      </c>
      <c r="AC63" s="102">
        <f t="shared" si="28"/>
        <v>0.41140610814068962</v>
      </c>
      <c r="AD63" s="102">
        <f t="shared" si="28"/>
        <v>0.43836930515994676</v>
      </c>
      <c r="AE63" s="102">
        <f t="shared" si="28"/>
        <v>0.46615779471099278</v>
      </c>
      <c r="AF63" s="102">
        <f t="shared" si="28"/>
        <v>0.49477157679382744</v>
      </c>
      <c r="AG63" s="102">
        <f t="shared" si="28"/>
        <v>0.52421065140845069</v>
      </c>
      <c r="AI63" s="124"/>
      <c r="AJ63" s="185"/>
      <c r="AL63" s="100"/>
      <c r="AM63" s="2"/>
      <c r="AN63" s="2"/>
      <c r="AO63" s="2"/>
    </row>
    <row r="64" spans="1:63" outlineLevel="1">
      <c r="A64" t="s">
        <v>997</v>
      </c>
      <c r="B64" s="50" t="s">
        <v>126</v>
      </c>
      <c r="C64" s="102">
        <f>C$60*C55</f>
        <v>4.0968425027981512E-6</v>
      </c>
      <c r="D64" s="102">
        <f t="shared" ref="D64:AG67" si="29">D$60*D55</f>
        <v>5.3248663321299483E-4</v>
      </c>
      <c r="E64" s="102">
        <f t="shared" si="29"/>
        <v>1.0899258443569271E-3</v>
      </c>
      <c r="F64" s="102">
        <f t="shared" si="29"/>
        <v>1.6735162157523764E-3</v>
      </c>
      <c r="G64" s="102">
        <f t="shared" si="29"/>
        <v>2.2803594872171239E-3</v>
      </c>
      <c r="H64" s="102">
        <f t="shared" si="29"/>
        <v>2.9075573985689516E-3</v>
      </c>
      <c r="I64" s="102">
        <f t="shared" si="29"/>
        <v>3.5522116896256391E-3</v>
      </c>
      <c r="J64" s="102">
        <f t="shared" si="29"/>
        <v>4.2114241002049694E-3</v>
      </c>
      <c r="K64" s="102">
        <f t="shared" si="29"/>
        <v>4.8822963701247247E-3</v>
      </c>
      <c r="L64" s="102">
        <f t="shared" si="29"/>
        <v>5.5619302392026842E-3</v>
      </c>
      <c r="M64" s="102">
        <f t="shared" si="29"/>
        <v>6.2474274472566317E-3</v>
      </c>
      <c r="N64" s="102">
        <f t="shared" si="29"/>
        <v>6.7423560366849837E-3</v>
      </c>
      <c r="O64" s="102">
        <f t="shared" si="29"/>
        <v>7.2122236960497042E-3</v>
      </c>
      <c r="P64" s="102">
        <f t="shared" si="29"/>
        <v>7.6566391602261924E-3</v>
      </c>
      <c r="Q64" s="102">
        <f t="shared" si="29"/>
        <v>8.0752111640898516E-3</v>
      </c>
      <c r="R64" s="102">
        <f t="shared" si="29"/>
        <v>8.4675484425160777E-3</v>
      </c>
      <c r="S64" s="102">
        <f t="shared" si="29"/>
        <v>8.8332597303802749E-3</v>
      </c>
      <c r="T64" s="102">
        <f t="shared" si="29"/>
        <v>9.171953762557845E-3</v>
      </c>
      <c r="U64" s="102">
        <f t="shared" si="29"/>
        <v>9.4832392739241829E-3</v>
      </c>
      <c r="V64" s="102">
        <f t="shared" si="29"/>
        <v>9.7667249993546919E-3</v>
      </c>
      <c r="W64" s="102">
        <f t="shared" si="29"/>
        <v>1.0022019673724777E-2</v>
      </c>
      <c r="X64" s="102">
        <f t="shared" si="29"/>
        <v>1.0250709514745909E-2</v>
      </c>
      <c r="Y64" s="102">
        <f t="shared" si="29"/>
        <v>1.0450484870149166E-2</v>
      </c>
      <c r="Z64" s="102">
        <f t="shared" si="29"/>
        <v>1.0620936867879349E-2</v>
      </c>
      <c r="AA64" s="102">
        <f t="shared" si="29"/>
        <v>1.0761656635881243E-2</v>
      </c>
      <c r="AB64" s="102">
        <f t="shared" si="29"/>
        <v>1.0872235302099648E-2</v>
      </c>
      <c r="AC64" s="102">
        <f t="shared" si="29"/>
        <v>1.0952263994479355E-2</v>
      </c>
      <c r="AD64" s="102">
        <f t="shared" si="29"/>
        <v>1.1001333840965155E-2</v>
      </c>
      <c r="AE64" s="102">
        <f t="shared" si="29"/>
        <v>1.1019035969501845E-2</v>
      </c>
      <c r="AF64" s="102">
        <f t="shared" si="29"/>
        <v>1.1004961508034218E-2</v>
      </c>
      <c r="AG64" s="102">
        <f t="shared" si="29"/>
        <v>1.0958701584507043E-2</v>
      </c>
      <c r="AI64" s="124"/>
      <c r="AJ64" s="185"/>
      <c r="AL64" s="100"/>
      <c r="AM64" s="2"/>
      <c r="AN64" s="2"/>
      <c r="AO64" s="2"/>
    </row>
    <row r="65" spans="1:63" outlineLevel="1">
      <c r="A65" t="s">
        <v>998</v>
      </c>
      <c r="B65" s="50" t="s">
        <v>126</v>
      </c>
      <c r="C65" s="102">
        <f t="shared" ref="C65:R67" si="30">C$60*C56</f>
        <v>4.9132577110033759E-6</v>
      </c>
      <c r="D65" s="102">
        <f t="shared" si="30"/>
        <v>6.5086268297436694E-4</v>
      </c>
      <c r="E65" s="102">
        <f t="shared" si="30"/>
        <v>1.3583077046546651E-3</v>
      </c>
      <c r="F65" s="102">
        <f t="shared" si="30"/>
        <v>2.1272483227518981E-3</v>
      </c>
      <c r="G65" s="102">
        <f t="shared" si="30"/>
        <v>2.9576845372660649E-3</v>
      </c>
      <c r="H65" s="102">
        <f t="shared" si="30"/>
        <v>3.8496163481971674E-3</v>
      </c>
      <c r="I65" s="102">
        <f t="shared" si="30"/>
        <v>4.8030437555452027E-3</v>
      </c>
      <c r="J65" s="102">
        <f t="shared" si="30"/>
        <v>5.8179667593101737E-3</v>
      </c>
      <c r="K65" s="102">
        <f t="shared" si="30"/>
        <v>6.8943853594920796E-3</v>
      </c>
      <c r="L65" s="102">
        <f t="shared" si="30"/>
        <v>8.0322995560909195E-3</v>
      </c>
      <c r="M65" s="102">
        <f t="shared" si="30"/>
        <v>9.2317093491066961E-3</v>
      </c>
      <c r="N65" s="102">
        <f t="shared" si="30"/>
        <v>1.0199836940189839E-2</v>
      </c>
      <c r="O65" s="102">
        <f t="shared" si="30"/>
        <v>1.1176266436789269E-2</v>
      </c>
      <c r="P65" s="102">
        <f t="shared" si="30"/>
        <v>1.2160997838904982E-2</v>
      </c>
      <c r="Q65" s="102">
        <f t="shared" si="30"/>
        <v>1.3154031146536984E-2</v>
      </c>
      <c r="R65" s="102">
        <f t="shared" si="30"/>
        <v>1.4155366359685272E-2</v>
      </c>
      <c r="S65" s="102">
        <f t="shared" si="29"/>
        <v>1.5165003478349846E-2</v>
      </c>
      <c r="T65" s="102">
        <f t="shared" si="29"/>
        <v>1.6182942502530707E-2</v>
      </c>
      <c r="U65" s="102">
        <f t="shared" si="29"/>
        <v>1.720918343222785E-2</v>
      </c>
      <c r="V65" s="102">
        <f t="shared" si="29"/>
        <v>1.8243726267441283E-2</v>
      </c>
      <c r="W65" s="102">
        <f t="shared" si="29"/>
        <v>1.9286571008171001E-2</v>
      </c>
      <c r="X65" s="102">
        <f t="shared" si="29"/>
        <v>2.0341641797175479E-2</v>
      </c>
      <c r="Y65" s="102">
        <f t="shared" si="29"/>
        <v>2.1405388077444475E-2</v>
      </c>
      <c r="Z65" s="102">
        <f t="shared" si="29"/>
        <v>2.2477809848977997E-2</v>
      </c>
      <c r="AA65" s="102">
        <f t="shared" si="29"/>
        <v>2.355890711177603E-2</v>
      </c>
      <c r="AB65" s="102">
        <f t="shared" si="29"/>
        <v>2.4648679865838592E-2</v>
      </c>
      <c r="AC65" s="102">
        <f t="shared" si="29"/>
        <v>2.5747128111165665E-2</v>
      </c>
      <c r="AD65" s="102">
        <f t="shared" si="29"/>
        <v>2.6854251847757256E-2</v>
      </c>
      <c r="AE65" s="102">
        <f t="shared" si="29"/>
        <v>2.7970051075613369E-2</v>
      </c>
      <c r="AF65" s="102">
        <f t="shared" si="29"/>
        <v>2.9094525794734E-2</v>
      </c>
      <c r="AG65" s="102">
        <f t="shared" si="29"/>
        <v>3.0227676005119136E-2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1052</v>
      </c>
      <c r="C66" s="102">
        <f t="shared" si="30"/>
        <v>3.8671103835325778E-6</v>
      </c>
      <c r="D66" s="102">
        <f t="shared" si="29"/>
        <v>5.1227881532598025E-4</v>
      </c>
      <c r="E66" s="102">
        <f t="shared" si="29"/>
        <v>1.0690922678325489E-3</v>
      </c>
      <c r="F66" s="102">
        <f t="shared" si="29"/>
        <v>1.6743074679032386E-3</v>
      </c>
      <c r="G66" s="102">
        <f t="shared" si="29"/>
        <v>2.3279244155380492E-3</v>
      </c>
      <c r="H66" s="102">
        <f t="shared" si="29"/>
        <v>3.0299431107369814E-3</v>
      </c>
      <c r="I66" s="102">
        <f t="shared" si="29"/>
        <v>3.7803635535000333E-3</v>
      </c>
      <c r="J66" s="102">
        <f t="shared" si="29"/>
        <v>4.5791857438272068E-3</v>
      </c>
      <c r="K66" s="102">
        <f t="shared" si="29"/>
        <v>5.4264096817185021E-3</v>
      </c>
      <c r="L66" s="102">
        <f t="shared" si="29"/>
        <v>6.3220353671739182E-3</v>
      </c>
      <c r="M66" s="102">
        <f t="shared" si="29"/>
        <v>7.2660628001934551E-3</v>
      </c>
      <c r="N66" s="102">
        <f t="shared" si="29"/>
        <v>8.0280534142167202E-3</v>
      </c>
      <c r="O66" s="102">
        <f t="shared" si="29"/>
        <v>8.796578264161142E-3</v>
      </c>
      <c r="P66" s="102">
        <f t="shared" si="29"/>
        <v>9.5716373500267186E-3</v>
      </c>
      <c r="Q66" s="102">
        <f t="shared" si="29"/>
        <v>1.0353230671813454E-2</v>
      </c>
      <c r="R66" s="102">
        <f t="shared" si="29"/>
        <v>1.1141358229521343E-2</v>
      </c>
      <c r="S66" s="102">
        <f t="shared" si="29"/>
        <v>1.193602002315039E-2</v>
      </c>
      <c r="T66" s="102">
        <f t="shared" si="29"/>
        <v>1.2737216052700595E-2</v>
      </c>
      <c r="U66" s="102">
        <f t="shared" si="29"/>
        <v>1.3544946318171951E-2</v>
      </c>
      <c r="V66" s="102">
        <f t="shared" si="29"/>
        <v>1.4359210819564466E-2</v>
      </c>
      <c r="W66" s="102">
        <f t="shared" si="29"/>
        <v>1.5180009556878139E-2</v>
      </c>
      <c r="X66" s="102">
        <f t="shared" si="29"/>
        <v>1.6010431131220495E-2</v>
      </c>
      <c r="Y66" s="102">
        <f t="shared" si="29"/>
        <v>1.6847680982100453E-2</v>
      </c>
      <c r="Z66" s="102">
        <f t="shared" si="29"/>
        <v>1.7691759109518024E-2</v>
      </c>
      <c r="AA66" s="102">
        <f t="shared" si="29"/>
        <v>1.8542665513473201E-2</v>
      </c>
      <c r="AB66" s="102">
        <f t="shared" si="29"/>
        <v>1.9400400193965991E-2</v>
      </c>
      <c r="AC66" s="102">
        <f t="shared" si="29"/>
        <v>2.0264963150996389E-2</v>
      </c>
      <c r="AD66" s="102">
        <f t="shared" si="29"/>
        <v>2.1136354384564387E-2</v>
      </c>
      <c r="AE66" s="102">
        <f t="shared" si="29"/>
        <v>2.201457389467E-2</v>
      </c>
      <c r="AF66" s="102">
        <f t="shared" si="29"/>
        <v>2.289962168131322E-2</v>
      </c>
      <c r="AG66" s="102">
        <f t="shared" si="29"/>
        <v>2.3791497744494038E-2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999</v>
      </c>
      <c r="B67" s="50" t="s">
        <v>126</v>
      </c>
      <c r="C67" s="102">
        <f t="shared" si="30"/>
        <v>2.2747708138426926E-5</v>
      </c>
      <c r="D67" s="102">
        <f t="shared" si="29"/>
        <v>3.0236297525527535E-3</v>
      </c>
      <c r="E67" s="102">
        <f t="shared" si="29"/>
        <v>6.3314556724945303E-3</v>
      </c>
      <c r="F67" s="102">
        <f t="shared" si="29"/>
        <v>9.9491237281459765E-3</v>
      </c>
      <c r="G67" s="102">
        <f t="shared" si="29"/>
        <v>1.3879532179689312E-2</v>
      </c>
      <c r="H67" s="102">
        <f t="shared" si="29"/>
        <v>1.8125579287306751E-2</v>
      </c>
      <c r="I67" s="102">
        <f t="shared" si="29"/>
        <v>2.2690163311180518E-2</v>
      </c>
      <c r="J67" s="102">
        <f t="shared" si="29"/>
        <v>2.7576182511492828E-2</v>
      </c>
      <c r="K67" s="102">
        <f t="shared" si="29"/>
        <v>3.2786535148425909E-2</v>
      </c>
      <c r="L67" s="102">
        <f t="shared" si="29"/>
        <v>3.832411948216196E-2</v>
      </c>
      <c r="M67" s="102">
        <f t="shared" si="29"/>
        <v>4.4191833772883216E-2</v>
      </c>
      <c r="N67" s="102">
        <f t="shared" si="29"/>
        <v>4.8986460845840685E-2</v>
      </c>
      <c r="O67" s="102">
        <f t="shared" si="29"/>
        <v>5.3851507943816546E-2</v>
      </c>
      <c r="P67" s="102">
        <f t="shared" si="29"/>
        <v>5.8787366331935369E-2</v>
      </c>
      <c r="Q67" s="102">
        <f t="shared" si="29"/>
        <v>6.3794427275321808E-2</v>
      </c>
      <c r="R67" s="102">
        <f t="shared" si="29"/>
        <v>6.8873082039100447E-2</v>
      </c>
      <c r="S67" s="102">
        <f t="shared" si="29"/>
        <v>7.4023721888395871E-2</v>
      </c>
      <c r="T67" s="102">
        <f t="shared" si="29"/>
        <v>7.9246738088332686E-2</v>
      </c>
      <c r="U67" s="102">
        <f t="shared" si="29"/>
        <v>8.4542521904035453E-2</v>
      </c>
      <c r="V67" s="102">
        <f t="shared" si="29"/>
        <v>8.9911464600628849E-2</v>
      </c>
      <c r="W67" s="102">
        <f t="shared" si="29"/>
        <v>9.5353957443237422E-2</v>
      </c>
      <c r="X67" s="102">
        <f t="shared" si="29"/>
        <v>0.10088985454054809</v>
      </c>
      <c r="Y67" s="102">
        <f t="shared" si="29"/>
        <v>0.10650206637770435</v>
      </c>
      <c r="Z67" s="102">
        <f t="shared" si="29"/>
        <v>0.11219100182676142</v>
      </c>
      <c r="AA67" s="102">
        <f t="shared" si="29"/>
        <v>0.11795706975977448</v>
      </c>
      <c r="AB67" s="102">
        <f t="shared" si="29"/>
        <v>0.12380067904879878</v>
      </c>
      <c r="AC67" s="102">
        <f t="shared" si="29"/>
        <v>0.12972223856588949</v>
      </c>
      <c r="AD67" s="102">
        <f t="shared" si="29"/>
        <v>0.13572215718310182</v>
      </c>
      <c r="AE67" s="102">
        <f t="shared" si="29"/>
        <v>0.14180084377249103</v>
      </c>
      <c r="AF67" s="102">
        <f t="shared" si="29"/>
        <v>0.14795870720611223</v>
      </c>
      <c r="AG67" s="102">
        <f t="shared" si="29"/>
        <v>0.15419615635602063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C39*C61</f>
        <v>0.97712514727472732</v>
      </c>
      <c r="D69" s="250">
        <f t="shared" ref="D69:AG69" si="31">D39*D61</f>
        <v>132.65766830505575</v>
      </c>
      <c r="E69" s="250">
        <f t="shared" si="31"/>
        <v>282.81277271128516</v>
      </c>
      <c r="F69" s="250">
        <f t="shared" si="31"/>
        <v>451.23599888835571</v>
      </c>
      <c r="G69" s="250">
        <f t="shared" si="31"/>
        <v>637.72218441226107</v>
      </c>
      <c r="H69" s="250">
        <f t="shared" si="31"/>
        <v>842.06743787403593</v>
      </c>
      <c r="I69" s="250">
        <f t="shared" si="31"/>
        <v>1064.0691328656201</v>
      </c>
      <c r="J69" s="250">
        <f t="shared" si="31"/>
        <v>1303.5259019900602</v>
      </c>
      <c r="K69" s="250">
        <f t="shared" si="31"/>
        <v>1560.2376308959601</v>
      </c>
      <c r="L69" s="250">
        <f t="shared" si="31"/>
        <v>1834.0054523360877</v>
      </c>
      <c r="M69" s="250">
        <f t="shared" si="31"/>
        <v>2124.6317402500586</v>
      </c>
      <c r="N69" s="250">
        <f t="shared" si="31"/>
        <v>2463.6870172908061</v>
      </c>
      <c r="O69" s="250">
        <f t="shared" si="31"/>
        <v>2824.1662692555792</v>
      </c>
      <c r="P69" s="250">
        <f t="shared" si="31"/>
        <v>3205.6773513878461</v>
      </c>
      <c r="Q69" s="250">
        <f t="shared" si="31"/>
        <v>3607.830940601576</v>
      </c>
      <c r="R69" s="250">
        <f t="shared" si="31"/>
        <v>4030.2405211014866</v>
      </c>
      <c r="S69" s="250">
        <f t="shared" si="31"/>
        <v>4472.5223700641081</v>
      </c>
      <c r="T69" s="250">
        <f t="shared" si="31"/>
        <v>4934.2955433794887</v>
      </c>
      <c r="U69" s="250">
        <f t="shared" si="31"/>
        <v>5415.1818614532585</v>
      </c>
      <c r="V69" s="250">
        <f t="shared" si="31"/>
        <v>5914.8058950688464</v>
      </c>
      <c r="W69" s="250">
        <f t="shared" si="31"/>
        <v>6432.7949513096391</v>
      </c>
      <c r="X69" s="250">
        <f t="shared" si="31"/>
        <v>7119.9493421998013</v>
      </c>
      <c r="Y69" s="250">
        <f t="shared" si="31"/>
        <v>7837.3703949923874</v>
      </c>
      <c r="Z69" s="250">
        <f t="shared" si="31"/>
        <v>8584.4643227540546</v>
      </c>
      <c r="AA69" s="250">
        <f t="shared" si="31"/>
        <v>9360.6416671375082</v>
      </c>
      <c r="AB69" s="250">
        <f t="shared" si="31"/>
        <v>10165.317276202513</v>
      </c>
      <c r="AC69" s="250">
        <f t="shared" si="31"/>
        <v>10997.910282331015</v>
      </c>
      <c r="AD69" s="250">
        <f t="shared" si="31"/>
        <v>11857.844080235996</v>
      </c>
      <c r="AE69" s="250">
        <f t="shared" si="31"/>
        <v>12744.54630506379</v>
      </c>
      <c r="AF69" s="250">
        <f t="shared" si="31"/>
        <v>13657.448810589392</v>
      </c>
      <c r="AG69" s="250">
        <f t="shared" si="31"/>
        <v>14595.987647504515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outlineLevel="1">
      <c r="A70" s="4" t="s">
        <v>35</v>
      </c>
      <c r="C70" s="203">
        <f>C$69*'Methanol recycling rates'!E33</f>
        <v>0.97712514727472732</v>
      </c>
      <c r="D70" s="203">
        <f>D$69*'Methanol recycling rates'!F33</f>
        <v>128.23588990228967</v>
      </c>
      <c r="E70" s="203">
        <f>E$69*'Methanol recycling rates'!G33</f>
        <v>263.95920131388266</v>
      </c>
      <c r="F70" s="203">
        <f>F$69*'Methanol recycling rates'!H33</f>
        <v>406.11386716551721</v>
      </c>
      <c r="G70" s="203">
        <f>G$69*'Methanol recycling rates'!I33</f>
        <v>552.69532639408862</v>
      </c>
      <c r="H70" s="203">
        <f>H$69*'Methanol recycling rates'!J33</f>
        <v>701.72743122241593</v>
      </c>
      <c r="I70" s="203">
        <f>I$69*'Methanol recycling rates'!K33</f>
        <v>851.26223051894647</v>
      </c>
      <c r="J70" s="203">
        <f>J$69*'Methanol recycling rates'!L33</f>
        <v>999.37975437890748</v>
      </c>
      <c r="K70" s="203">
        <f>K$69*'Methanol recycling rates'!M33</f>
        <v>1144.1877999211606</v>
      </c>
      <c r="L70" s="203">
        <f>L$69*'Methanol recycling rates'!N33</f>
        <v>1283.8217182950375</v>
      </c>
      <c r="M70" s="203">
        <f>M$69*'Methanol recycling rates'!O33</f>
        <v>1416.4442028914666</v>
      </c>
      <c r="N70" s="203">
        <f>N$69*'Methanol recycling rates'!P33</f>
        <v>1560.3645028999695</v>
      </c>
      <c r="O70" s="203">
        <f>O$69*'Methanol recycling rates'!Q33</f>
        <v>1694.5365169974777</v>
      </c>
      <c r="P70" s="203">
        <f>P$69*'Methanol recycling rates'!R33</f>
        <v>1816.5956965068492</v>
      </c>
      <c r="Q70" s="203">
        <f>Q$69*'Methanol recycling rates'!S33</f>
        <v>1924.2312819510521</v>
      </c>
      <c r="R70" s="203">
        <f>R$69*'Methanol recycling rates'!T33</f>
        <v>2015.1858255999391</v>
      </c>
      <c r="S70" s="203">
        <f>S$69*'Methanol recycling rates'!U33</f>
        <v>2087.2547169212603</v>
      </c>
      <c r="T70" s="203">
        <f>T$69*'Methanol recycling rates'!V33</f>
        <v>2138.2857109216502</v>
      </c>
      <c r="U70" s="203">
        <f>U$69*'Methanol recycling rates'!W33</f>
        <v>2166.1784593633242</v>
      </c>
      <c r="V70" s="203">
        <f>V$69*'Methanol recycling rates'!X33</f>
        <v>2168.8840448423275</v>
      </c>
      <c r="W70" s="203">
        <f>W$69*'Methanol recycling rates'!Y33</f>
        <v>2144.404517714232</v>
      </c>
      <c r="X70" s="203">
        <f>X$69*'Methanol recycling rates'!Z33</f>
        <v>2136.1469636419033</v>
      </c>
      <c r="Y70" s="203">
        <f>Y$69*'Methanol recycling rates'!AA33</f>
        <v>2090.1524393593777</v>
      </c>
      <c r="Z70" s="203">
        <f>Z$69*'Methanol recycling rates'!AB33</f>
        <v>2003.2558120573958</v>
      </c>
      <c r="AA70" s="203">
        <f>AA$69*'Methanol recycling rates'!AC33</f>
        <v>1872.3719837717219</v>
      </c>
      <c r="AB70" s="203">
        <f>AB$69*'Methanol recycling rates'!AD33</f>
        <v>1694.4951662785063</v>
      </c>
      <c r="AC70" s="203">
        <f>AC$69*'Methanol recycling rates'!AE33</f>
        <v>1466.6981604378561</v>
      </c>
      <c r="AD70" s="203">
        <f>AD$69*'Methanol recycling rates'!AF33</f>
        <v>1186.1316399636132</v>
      </c>
      <c r="AE70" s="203">
        <f>AE$69*'Methanol recycling rates'!AG33</f>
        <v>850.02343959744985</v>
      </c>
      <c r="AF70" s="203">
        <f>AF$69*'Methanol recycling rates'!AH33</f>
        <v>455.67784766546418</v>
      </c>
      <c r="AG70" s="203">
        <f>AG$69*'Methanol recycling rates'!AI33</f>
        <v>0.47490299557901983</v>
      </c>
      <c r="AH70" s="217"/>
      <c r="AI70" s="124"/>
      <c r="AJ70" s="185"/>
      <c r="AL70" s="100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160</v>
      </c>
      <c r="C71" s="203">
        <f>C$69*'Methanol recycling rates'!E34</f>
        <v>0</v>
      </c>
      <c r="D71" s="203">
        <f>D$69*'Methanol recycling rates'!F34</f>
        <v>0.25178064161628516</v>
      </c>
      <c r="E71" s="203">
        <f>E$69*'Methanol recycling rates'!G34</f>
        <v>1.0735418808475201</v>
      </c>
      <c r="F71" s="203">
        <f>F$69*'Methanol recycling rates'!H34</f>
        <v>2.5693009105033155</v>
      </c>
      <c r="G71" s="203">
        <f>G$69*'Methanol recycling rates'!I34</f>
        <v>4.8415173526199728</v>
      </c>
      <c r="H71" s="203">
        <f>H$69*'Methanol recycling rates'!J34</f>
        <v>7.9911053202201465</v>
      </c>
      <c r="I71" s="203">
        <f>I$69*'Methanol recycling rates'!K34</f>
        <v>12.11744541058451</v>
      </c>
      <c r="J71" s="203">
        <f>J$69*'Methanol recycling rates'!L34</f>
        <v>17.318396630358773</v>
      </c>
      <c r="K71" s="203">
        <f>K$69*'Methanol recycling rates'!M34</f>
        <v>23.690308252818042</v>
      </c>
      <c r="L71" s="203">
        <f>L$69*'Methanol recycling rates'!N34</f>
        <v>31.328031607609091</v>
      </c>
      <c r="M71" s="203">
        <f>M$69*'Methanol recycling rates'!O34</f>
        <v>40.324931803290028</v>
      </c>
      <c r="N71" s="203">
        <f>N$69*'Methanol recycling rates'!P34</f>
        <v>51.436119484749398</v>
      </c>
      <c r="O71" s="203">
        <f>O$69*'Methanol recycling rates'!Q34</f>
        <v>64.322287981340025</v>
      </c>
      <c r="P71" s="203">
        <f>P$69*'Methanol recycling rates'!R34</f>
        <v>79.095748014998406</v>
      </c>
      <c r="Q71" s="203">
        <f>Q$69*'Methanol recycling rates'!S34</f>
        <v>95.865908163741096</v>
      </c>
      <c r="R71" s="203">
        <f>R$69*'Methanol recycling rates'!T34</f>
        <v>114.73930122954799</v>
      </c>
      <c r="S71" s="203">
        <f>S$69*'Methanol recycling rates'!U34</f>
        <v>135.81961044433794</v>
      </c>
      <c r="T71" s="203">
        <f>T$69*'Methanol recycling rates'!V34</f>
        <v>159.20769551483946</v>
      </c>
      <c r="U71" s="203">
        <f>U$69*'Methanol recycling rates'!W34</f>
        <v>185.0016185071523</v>
      </c>
      <c r="V71" s="203">
        <f>V$69*'Methanol recycling rates'!X34</f>
        <v>213.29666957179438</v>
      </c>
      <c r="W71" s="203">
        <f>W$69*'Methanol recycling rates'!Y34</f>
        <v>244.18539251002557</v>
      </c>
      <c r="X71" s="203">
        <f>X$69*'Methanol recycling rates'!Z34</f>
        <v>283.78286885138965</v>
      </c>
      <c r="Y71" s="203">
        <f>Y$69*'Methanol recycling rates'!AA34</f>
        <v>327.25254243240795</v>
      </c>
      <c r="Z71" s="203">
        <f>Z$69*'Methanol recycling rates'!AB34</f>
        <v>374.74082835023927</v>
      </c>
      <c r="AA71" s="203">
        <f>AA$69*'Methanol recycling rates'!AC34</f>
        <v>426.38983090925205</v>
      </c>
      <c r="AB71" s="203">
        <f>AB$69*'Methanol recycling rates'!AD34</f>
        <v>482.33738364633882</v>
      </c>
      <c r="AC71" s="203">
        <f>AC$69*'Methanol recycling rates'!AE34</f>
        <v>542.71708910830364</v>
      </c>
      <c r="AD71" s="203">
        <f>AD$69*'Methanol recycling rates'!AF34</f>
        <v>607.65835838255441</v>
      </c>
      <c r="AE71" s="203">
        <f>AE$69*'Methanol recycling rates'!AG34</f>
        <v>677.2864503823298</v>
      </c>
      <c r="AF71" s="203">
        <f>AF$69*'Methanol recycling rates'!AH34</f>
        <v>751.72251088767837</v>
      </c>
      <c r="AG71" s="203">
        <f>AG$69*'Methanol recycling rates'!AI34</f>
        <v>831.08361134340873</v>
      </c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1040</v>
      </c>
      <c r="C72" s="203">
        <f>C$69*'Methanol recycling rates'!E35</f>
        <v>0</v>
      </c>
      <c r="D72" s="203">
        <f>D$69*'Methanol recycling rates'!F35</f>
        <v>4.1699977611497996</v>
      </c>
      <c r="E72" s="203">
        <f>E$69*'Methanol recycling rates'!G35</f>
        <v>17.78002951655499</v>
      </c>
      <c r="F72" s="203">
        <f>F$69*'Methanol recycling rates'!H35</f>
        <v>42.552830812335138</v>
      </c>
      <c r="G72" s="203">
        <f>G$69*'Methanol recycling rates'!I35</f>
        <v>80.185340665552445</v>
      </c>
      <c r="H72" s="203">
        <f>H$69*'Methanol recycling rates'!J35</f>
        <v>132.34890133139982</v>
      </c>
      <c r="I72" s="203">
        <f>I$69*'Methanol recycling rates'!K35</f>
        <v>200.68945693608899</v>
      </c>
      <c r="J72" s="203">
        <f>J$69*'Methanol recycling rates'!L35</f>
        <v>286.82775098079372</v>
      </c>
      <c r="K72" s="203">
        <f>K$69*'Methanol recycling rates'!M35</f>
        <v>392.35952272198114</v>
      </c>
      <c r="L72" s="203">
        <f>L$69*'Methanol recycling rates'!N35</f>
        <v>518.8557024334408</v>
      </c>
      <c r="M72" s="203">
        <f>M$69*'Methanol recycling rates'!O35</f>
        <v>667.86260555530134</v>
      </c>
      <c r="N72" s="203">
        <f>N$69*'Methanol recycling rates'!P35</f>
        <v>851.88639490608648</v>
      </c>
      <c r="O72" s="203">
        <f>O$69*'Methanol recycling rates'!Q35</f>
        <v>1065.3074642767606</v>
      </c>
      <c r="P72" s="203">
        <f>P$69*'Methanol recycling rates'!R35</f>
        <v>1309.9859068659975</v>
      </c>
      <c r="Q72" s="203">
        <f>Q$69*'Methanol recycling rates'!S35</f>
        <v>1587.7337504867814</v>
      </c>
      <c r="R72" s="203">
        <f>R$69*'Methanol recycling rates'!T35</f>
        <v>1900.315394271998</v>
      </c>
      <c r="S72" s="203">
        <f>S$69*'Methanol recycling rates'!U35</f>
        <v>2249.4480426985083</v>
      </c>
      <c r="T72" s="203">
        <f>T$69*'Methanol recycling rates'!V35</f>
        <v>2636.8021369429971</v>
      </c>
      <c r="U72" s="203">
        <f>U$69*'Methanol recycling rates'!W35</f>
        <v>3064.0017835827803</v>
      </c>
      <c r="V72" s="203">
        <f>V$69*'Methanol recycling rates'!X35</f>
        <v>3532.6251806547225</v>
      </c>
      <c r="W72" s="203">
        <f>W$69*'Methanol recycling rates'!Y35</f>
        <v>4044.2050410853799</v>
      </c>
      <c r="X72" s="203">
        <f>X$69*'Methanol recycling rates'!Z35</f>
        <v>4700.0195097065061</v>
      </c>
      <c r="Y72" s="203">
        <f>Y$69*'Methanol recycling rates'!AA35</f>
        <v>5419.9654132006008</v>
      </c>
      <c r="Z72" s="203">
        <f>Z$69*'Methanol recycling rates'!AB35</f>
        <v>6206.4676823464179</v>
      </c>
      <c r="AA72" s="203">
        <f>AA$69*'Methanol recycling rates'!AC35</f>
        <v>7061.8798524565336</v>
      </c>
      <c r="AB72" s="203">
        <f>AB$69*'Methanol recycling rates'!AD35</f>
        <v>7988.4847262776675</v>
      </c>
      <c r="AC72" s="203">
        <f>AC$69*'Methanol recycling rates'!AE35</f>
        <v>8988.4950327848546</v>
      </c>
      <c r="AD72" s="203">
        <f>AD$69*'Methanol recycling rates'!AF35</f>
        <v>10064.05408188983</v>
      </c>
      <c r="AE72" s="203">
        <f>AE$69*'Methanol recycling rates'!AG35</f>
        <v>11217.236415084011</v>
      </c>
      <c r="AF72" s="203">
        <f>AF$69*'Methanol recycling rates'!AH35</f>
        <v>12450.048452036252</v>
      </c>
      <c r="AG72" s="203">
        <f>AG$69*'Methanol recycling rates'!AI35</f>
        <v>13764.429133165528</v>
      </c>
      <c r="AH72" s="217"/>
      <c r="AI72" s="124"/>
      <c r="AJ72" s="185"/>
      <c r="AL72" s="100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s="1" customFormat="1" outlineLevel="1">
      <c r="A73" s="1" t="s">
        <v>1041</v>
      </c>
      <c r="B73" s="60"/>
      <c r="C73" s="250">
        <f>C69-$C69</f>
        <v>0</v>
      </c>
      <c r="D73" s="250">
        <f t="shared" ref="D73:AG76" si="32">D69-$C69</f>
        <v>131.68054315778102</v>
      </c>
      <c r="E73" s="250">
        <f t="shared" si="32"/>
        <v>281.83564756401046</v>
      </c>
      <c r="F73" s="250">
        <f t="shared" si="32"/>
        <v>450.258873741081</v>
      </c>
      <c r="G73" s="250">
        <f t="shared" si="32"/>
        <v>636.74505926498637</v>
      </c>
      <c r="H73" s="250">
        <f t="shared" si="32"/>
        <v>841.09031272676123</v>
      </c>
      <c r="I73" s="250">
        <f t="shared" si="32"/>
        <v>1063.0920077183453</v>
      </c>
      <c r="J73" s="250">
        <f t="shared" si="32"/>
        <v>1302.5487768427854</v>
      </c>
      <c r="K73" s="250">
        <f t="shared" si="32"/>
        <v>1559.2605057486853</v>
      </c>
      <c r="L73" s="250">
        <f t="shared" si="32"/>
        <v>1833.0283271888129</v>
      </c>
      <c r="M73" s="250">
        <f t="shared" si="32"/>
        <v>2123.6546151027837</v>
      </c>
      <c r="N73" s="250">
        <f t="shared" si="32"/>
        <v>2462.7098921435313</v>
      </c>
      <c r="O73" s="250">
        <f t="shared" si="32"/>
        <v>2823.1891441083044</v>
      </c>
      <c r="P73" s="250">
        <f t="shared" si="32"/>
        <v>3204.7002262405713</v>
      </c>
      <c r="Q73" s="250">
        <f t="shared" si="32"/>
        <v>3606.8538154543012</v>
      </c>
      <c r="R73" s="250">
        <f t="shared" si="32"/>
        <v>4029.2633959542118</v>
      </c>
      <c r="S73" s="250">
        <f t="shared" si="32"/>
        <v>4471.5452449168333</v>
      </c>
      <c r="T73" s="250">
        <f t="shared" si="32"/>
        <v>4933.3184182322138</v>
      </c>
      <c r="U73" s="250">
        <f t="shared" si="32"/>
        <v>5414.2047363059837</v>
      </c>
      <c r="V73" s="250">
        <f t="shared" si="32"/>
        <v>5913.8287699215716</v>
      </c>
      <c r="W73" s="250">
        <f t="shared" si="32"/>
        <v>6431.8178261623643</v>
      </c>
      <c r="X73" s="250">
        <f t="shared" si="32"/>
        <v>7118.9722170525265</v>
      </c>
      <c r="Y73" s="250">
        <f t="shared" si="32"/>
        <v>7836.3932698451126</v>
      </c>
      <c r="Z73" s="250">
        <f t="shared" si="32"/>
        <v>8583.4871976067807</v>
      </c>
      <c r="AA73" s="250">
        <f t="shared" si="32"/>
        <v>9359.6645419902343</v>
      </c>
      <c r="AB73" s="250">
        <f t="shared" si="32"/>
        <v>10164.340151055239</v>
      </c>
      <c r="AC73" s="250">
        <f t="shared" si="32"/>
        <v>10996.933157183741</v>
      </c>
      <c r="AD73" s="250">
        <f t="shared" si="32"/>
        <v>11856.866955088723</v>
      </c>
      <c r="AE73" s="250">
        <f t="shared" si="32"/>
        <v>12743.569179916516</v>
      </c>
      <c r="AF73" s="250">
        <f t="shared" si="32"/>
        <v>13656.471685442119</v>
      </c>
      <c r="AG73" s="250">
        <f t="shared" si="32"/>
        <v>14595.010522357241</v>
      </c>
      <c r="AH73" s="217"/>
      <c r="AI73" s="368"/>
      <c r="AJ73" s="369"/>
      <c r="AL73" s="194"/>
      <c r="AM73" s="116"/>
      <c r="AN73" s="116"/>
      <c r="AO73" s="116"/>
      <c r="BD73" s="116"/>
      <c r="BE73" s="116"/>
      <c r="BF73" s="116"/>
      <c r="BG73" s="116"/>
      <c r="BH73" s="116"/>
      <c r="BI73" s="116"/>
      <c r="BJ73" s="116"/>
      <c r="BK73" s="116"/>
    </row>
    <row r="74" spans="1:63" outlineLevel="1">
      <c r="A74" s="4" t="s">
        <v>35</v>
      </c>
      <c r="C74" s="203">
        <f t="shared" ref="C74:R76" si="33">C70-$C70</f>
        <v>0</v>
      </c>
      <c r="D74" s="203">
        <f t="shared" si="33"/>
        <v>127.25876475501494</v>
      </c>
      <c r="E74" s="203">
        <f t="shared" si="33"/>
        <v>262.98207616660795</v>
      </c>
      <c r="F74" s="203">
        <f t="shared" si="33"/>
        <v>405.1367420182425</v>
      </c>
      <c r="G74" s="203">
        <f t="shared" si="33"/>
        <v>551.71820124681392</v>
      </c>
      <c r="H74" s="203">
        <f t="shared" si="33"/>
        <v>700.75030607514122</v>
      </c>
      <c r="I74" s="203">
        <f t="shared" si="33"/>
        <v>850.28510537167176</v>
      </c>
      <c r="J74" s="203">
        <f t="shared" si="33"/>
        <v>998.40262923163277</v>
      </c>
      <c r="K74" s="203">
        <f t="shared" si="33"/>
        <v>1143.2106747738858</v>
      </c>
      <c r="L74" s="203">
        <f t="shared" si="33"/>
        <v>1282.8445931477627</v>
      </c>
      <c r="M74" s="203">
        <f t="shared" si="33"/>
        <v>1415.4670777441918</v>
      </c>
      <c r="N74" s="203">
        <f t="shared" si="33"/>
        <v>1559.3873777526946</v>
      </c>
      <c r="O74" s="203">
        <f t="shared" si="33"/>
        <v>1693.5593918502029</v>
      </c>
      <c r="P74" s="203">
        <f t="shared" si="33"/>
        <v>1815.6185713595744</v>
      </c>
      <c r="Q74" s="203">
        <f t="shared" si="33"/>
        <v>1923.2541568037773</v>
      </c>
      <c r="R74" s="203">
        <f t="shared" si="33"/>
        <v>2014.2087004526643</v>
      </c>
      <c r="S74" s="203">
        <f t="shared" si="32"/>
        <v>2086.2775917739855</v>
      </c>
      <c r="T74" s="203">
        <f t="shared" si="32"/>
        <v>2137.3085857743754</v>
      </c>
      <c r="U74" s="203">
        <f t="shared" si="32"/>
        <v>2165.2013342160494</v>
      </c>
      <c r="V74" s="203">
        <f t="shared" si="32"/>
        <v>2167.9069196950527</v>
      </c>
      <c r="W74" s="203">
        <f t="shared" si="32"/>
        <v>2143.4273925669572</v>
      </c>
      <c r="X74" s="203">
        <f t="shared" si="32"/>
        <v>2135.1698384946285</v>
      </c>
      <c r="Y74" s="203">
        <f t="shared" si="32"/>
        <v>2089.1753142121029</v>
      </c>
      <c r="Z74" s="203">
        <f t="shared" si="32"/>
        <v>2002.278686910121</v>
      </c>
      <c r="AA74" s="203">
        <f t="shared" si="32"/>
        <v>1871.3948586244471</v>
      </c>
      <c r="AB74" s="203">
        <f t="shared" si="32"/>
        <v>1693.5180411312315</v>
      </c>
      <c r="AC74" s="203">
        <f t="shared" si="32"/>
        <v>1465.7210352905813</v>
      </c>
      <c r="AD74" s="203">
        <f t="shared" si="32"/>
        <v>1185.1545148163384</v>
      </c>
      <c r="AE74" s="203">
        <f t="shared" si="32"/>
        <v>849.04631445017515</v>
      </c>
      <c r="AF74" s="203">
        <f t="shared" si="32"/>
        <v>454.70072251818948</v>
      </c>
      <c r="AG74" s="203">
        <f>AG70-$C70</f>
        <v>-0.5022221516957075</v>
      </c>
      <c r="AH74" s="217"/>
      <c r="AI74" s="124"/>
      <c r="AJ74" s="185"/>
      <c r="AL74" s="100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160</v>
      </c>
      <c r="C75" s="203">
        <f t="shared" si="33"/>
        <v>0</v>
      </c>
      <c r="D75" s="203">
        <f t="shared" si="32"/>
        <v>0.25178064161628516</v>
      </c>
      <c r="E75" s="203">
        <f t="shared" si="32"/>
        <v>1.0735418808475201</v>
      </c>
      <c r="F75" s="203">
        <f t="shared" si="32"/>
        <v>2.5693009105033155</v>
      </c>
      <c r="G75" s="203">
        <f t="shared" si="32"/>
        <v>4.8415173526199728</v>
      </c>
      <c r="H75" s="203">
        <f t="shared" si="32"/>
        <v>7.9911053202201465</v>
      </c>
      <c r="I75" s="203">
        <f t="shared" si="32"/>
        <v>12.11744541058451</v>
      </c>
      <c r="J75" s="203">
        <f t="shared" si="32"/>
        <v>17.318396630358773</v>
      </c>
      <c r="K75" s="203">
        <f t="shared" si="32"/>
        <v>23.690308252818042</v>
      </c>
      <c r="L75" s="203">
        <f t="shared" si="32"/>
        <v>31.328031607609091</v>
      </c>
      <c r="M75" s="203">
        <f t="shared" si="32"/>
        <v>40.324931803290028</v>
      </c>
      <c r="N75" s="203">
        <f t="shared" si="32"/>
        <v>51.436119484749398</v>
      </c>
      <c r="O75" s="203">
        <f t="shared" si="32"/>
        <v>64.322287981340025</v>
      </c>
      <c r="P75" s="203">
        <f t="shared" si="32"/>
        <v>79.095748014998406</v>
      </c>
      <c r="Q75" s="203">
        <f t="shared" si="32"/>
        <v>95.865908163741096</v>
      </c>
      <c r="R75" s="203">
        <f t="shared" si="32"/>
        <v>114.73930122954799</v>
      </c>
      <c r="S75" s="203">
        <f t="shared" si="32"/>
        <v>135.81961044433794</v>
      </c>
      <c r="T75" s="203">
        <f t="shared" si="32"/>
        <v>159.20769551483946</v>
      </c>
      <c r="U75" s="203">
        <f t="shared" si="32"/>
        <v>185.0016185071523</v>
      </c>
      <c r="V75" s="203">
        <f t="shared" si="32"/>
        <v>213.29666957179438</v>
      </c>
      <c r="W75" s="203">
        <f t="shared" si="32"/>
        <v>244.18539251002557</v>
      </c>
      <c r="X75" s="203">
        <f t="shared" si="32"/>
        <v>283.78286885138965</v>
      </c>
      <c r="Y75" s="203">
        <f t="shared" si="32"/>
        <v>327.25254243240795</v>
      </c>
      <c r="Z75" s="203">
        <f t="shared" si="32"/>
        <v>374.74082835023927</v>
      </c>
      <c r="AA75" s="203">
        <f t="shared" si="32"/>
        <v>426.38983090925205</v>
      </c>
      <c r="AB75" s="203">
        <f t="shared" si="32"/>
        <v>482.33738364633882</v>
      </c>
      <c r="AC75" s="203">
        <f t="shared" si="32"/>
        <v>542.71708910830364</v>
      </c>
      <c r="AD75" s="203">
        <f t="shared" si="32"/>
        <v>607.65835838255441</v>
      </c>
      <c r="AE75" s="203">
        <f t="shared" si="32"/>
        <v>677.2864503823298</v>
      </c>
      <c r="AF75" s="203">
        <f t="shared" si="32"/>
        <v>751.72251088767837</v>
      </c>
      <c r="AG75" s="203">
        <f t="shared" si="32"/>
        <v>831.08361134340873</v>
      </c>
      <c r="AH75" s="217"/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1040</v>
      </c>
      <c r="C76" s="203">
        <f t="shared" si="33"/>
        <v>0</v>
      </c>
      <c r="D76" s="203">
        <f t="shared" si="32"/>
        <v>4.1699977611497996</v>
      </c>
      <c r="E76" s="203">
        <f t="shared" si="32"/>
        <v>17.78002951655499</v>
      </c>
      <c r="F76" s="203">
        <f t="shared" si="32"/>
        <v>42.552830812335138</v>
      </c>
      <c r="G76" s="203">
        <f t="shared" si="32"/>
        <v>80.185340665552445</v>
      </c>
      <c r="H76" s="203">
        <f t="shared" si="32"/>
        <v>132.34890133139982</v>
      </c>
      <c r="I76" s="203">
        <f t="shared" si="32"/>
        <v>200.68945693608899</v>
      </c>
      <c r="J76" s="203">
        <f t="shared" si="32"/>
        <v>286.82775098079372</v>
      </c>
      <c r="K76" s="203">
        <f t="shared" si="32"/>
        <v>392.35952272198114</v>
      </c>
      <c r="L76" s="203">
        <f t="shared" si="32"/>
        <v>518.8557024334408</v>
      </c>
      <c r="M76" s="203">
        <f t="shared" si="32"/>
        <v>667.86260555530134</v>
      </c>
      <c r="N76" s="203">
        <f t="shared" si="32"/>
        <v>851.88639490608648</v>
      </c>
      <c r="O76" s="203">
        <f t="shared" si="32"/>
        <v>1065.3074642767606</v>
      </c>
      <c r="P76" s="203">
        <f t="shared" si="32"/>
        <v>1309.9859068659975</v>
      </c>
      <c r="Q76" s="203">
        <f t="shared" si="32"/>
        <v>1587.7337504867814</v>
      </c>
      <c r="R76" s="203">
        <f t="shared" si="32"/>
        <v>1900.315394271998</v>
      </c>
      <c r="S76" s="203">
        <f t="shared" si="32"/>
        <v>2249.4480426985083</v>
      </c>
      <c r="T76" s="203">
        <f t="shared" si="32"/>
        <v>2636.8021369429971</v>
      </c>
      <c r="U76" s="203">
        <f t="shared" si="32"/>
        <v>3064.0017835827803</v>
      </c>
      <c r="V76" s="203">
        <f t="shared" si="32"/>
        <v>3532.6251806547225</v>
      </c>
      <c r="W76" s="203">
        <f t="shared" si="32"/>
        <v>4044.2050410853799</v>
      </c>
      <c r="X76" s="203">
        <f t="shared" si="32"/>
        <v>4700.0195097065061</v>
      </c>
      <c r="Y76" s="203">
        <f t="shared" si="32"/>
        <v>5419.9654132006008</v>
      </c>
      <c r="Z76" s="203">
        <f t="shared" si="32"/>
        <v>6206.4676823464179</v>
      </c>
      <c r="AA76" s="203">
        <f t="shared" si="32"/>
        <v>7061.8798524565336</v>
      </c>
      <c r="AB76" s="203">
        <f t="shared" si="32"/>
        <v>7988.4847262776675</v>
      </c>
      <c r="AC76" s="203">
        <f t="shared" si="32"/>
        <v>8988.4950327848546</v>
      </c>
      <c r="AD76" s="203">
        <f t="shared" si="32"/>
        <v>10064.05408188983</v>
      </c>
      <c r="AE76" s="203">
        <f t="shared" si="32"/>
        <v>11217.236415084011</v>
      </c>
      <c r="AF76" s="203">
        <f t="shared" si="32"/>
        <v>12450.048452036252</v>
      </c>
      <c r="AG76" s="203">
        <f t="shared" si="32"/>
        <v>13764.429133165528</v>
      </c>
      <c r="AH76" s="217"/>
      <c r="AI76" s="124"/>
      <c r="AJ76" s="185"/>
      <c r="AL76" s="100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s="1" customFormat="1" outlineLevel="1">
      <c r="A77" s="1" t="s">
        <v>1042</v>
      </c>
      <c r="B77" s="60"/>
      <c r="C77" s="250">
        <f>C39*C64</f>
        <v>0.22712833846635588</v>
      </c>
      <c r="D77" s="250">
        <f t="shared" ref="D77:AG77" si="34">D39*D64</f>
        <v>29.41430902424062</v>
      </c>
      <c r="E77" s="250">
        <f t="shared" si="34"/>
        <v>59.989316204846297</v>
      </c>
      <c r="F77" s="250">
        <f t="shared" si="34"/>
        <v>91.776827105776732</v>
      </c>
      <c r="G77" s="250">
        <f t="shared" si="34"/>
        <v>124.60392283491741</v>
      </c>
      <c r="H77" s="250">
        <f t="shared" si="34"/>
        <v>158.3000702401782</v>
      </c>
      <c r="I77" s="250">
        <f t="shared" si="34"/>
        <v>192.69710386892314</v>
      </c>
      <c r="J77" s="250">
        <f t="shared" si="34"/>
        <v>227.62920802872202</v>
      </c>
      <c r="K77" s="250">
        <f t="shared" si="34"/>
        <v>262.93289894894673</v>
      </c>
      <c r="L77" s="250">
        <f t="shared" si="34"/>
        <v>298.44700704273953</v>
      </c>
      <c r="M77" s="250">
        <f t="shared" si="34"/>
        <v>334.01265926888317</v>
      </c>
      <c r="N77" s="250">
        <f t="shared" si="34"/>
        <v>358.51573996705201</v>
      </c>
      <c r="O77" s="250">
        <f t="shared" si="34"/>
        <v>381.41345589094431</v>
      </c>
      <c r="P77" s="250">
        <f t="shared" si="34"/>
        <v>402.7083985079322</v>
      </c>
      <c r="Q77" s="250">
        <f t="shared" si="34"/>
        <v>422.40345023199552</v>
      </c>
      <c r="R77" s="250">
        <f t="shared" si="34"/>
        <v>440.50178125578003</v>
      </c>
      <c r="S77" s="250">
        <f t="shared" si="34"/>
        <v>457.0068464033568</v>
      </c>
      <c r="T77" s="250">
        <f t="shared" si="34"/>
        <v>471.92238200357343</v>
      </c>
      <c r="U77" s="250">
        <f t="shared" si="34"/>
        <v>485.25240278389418</v>
      </c>
      <c r="V77" s="250">
        <f t="shared" si="34"/>
        <v>497.00119878462334</v>
      </c>
      <c r="W77" s="250">
        <f t="shared" si="34"/>
        <v>507.17333229340829</v>
      </c>
      <c r="X77" s="250">
        <f t="shared" si="34"/>
        <v>515.87606075624478</v>
      </c>
      <c r="Y77" s="250">
        <f t="shared" si="34"/>
        <v>523.01400901714999</v>
      </c>
      <c r="Z77" s="250">
        <f t="shared" si="34"/>
        <v>528.59159261944876</v>
      </c>
      <c r="AA77" s="250">
        <f t="shared" si="34"/>
        <v>532.61350691160817</v>
      </c>
      <c r="AB77" s="250">
        <f t="shared" si="34"/>
        <v>535.08472391088344</v>
      </c>
      <c r="AC77" s="250">
        <f t="shared" si="34"/>
        <v>536.010489187654</v>
      </c>
      <c r="AD77" s="250">
        <f t="shared" si="34"/>
        <v>535.39631877034708</v>
      </c>
      <c r="AE77" s="250">
        <f t="shared" si="34"/>
        <v>533.24799607084515</v>
      </c>
      <c r="AF77" s="250">
        <f t="shared" si="34"/>
        <v>529.5715688302663</v>
      </c>
      <c r="AG77" s="250">
        <f t="shared" si="34"/>
        <v>524.37334608501681</v>
      </c>
      <c r="AH77" s="217"/>
      <c r="AI77" s="368"/>
      <c r="AJ77" s="369"/>
      <c r="AL77" s="194"/>
      <c r="AM77" s="116"/>
      <c r="AN77" s="116"/>
      <c r="AO77" s="116"/>
      <c r="BD77" s="116"/>
      <c r="BE77" s="116"/>
      <c r="BF77" s="116"/>
      <c r="BG77" s="116"/>
      <c r="BH77" s="116"/>
      <c r="BI77" s="116"/>
      <c r="BJ77" s="116"/>
      <c r="BK77" s="116"/>
    </row>
    <row r="78" spans="1:63" outlineLevel="1">
      <c r="A78" s="4" t="s">
        <v>35</v>
      </c>
      <c r="C78" s="203">
        <f>C$77*'Methanol recycling rates'!E36</f>
        <v>0.22712833846635588</v>
      </c>
      <c r="D78" s="203">
        <f>D$77*'Methanol recycling rates'!F36</f>
        <v>28.433863958098009</v>
      </c>
      <c r="E78" s="203">
        <f>E$77*'Methanol recycling rates'!G36</f>
        <v>55.990158580858633</v>
      </c>
      <c r="F78" s="203">
        <f>F$77*'Methanol recycling rates'!H36</f>
        <v>82.59944300527718</v>
      </c>
      <c r="G78" s="203">
        <f>G$77*'Methanol recycling rates'!I36</f>
        <v>107.9906070143989</v>
      </c>
      <c r="H78" s="203">
        <f>H$77*'Methanol recycling rates'!J36</f>
        <v>131.91758362301752</v>
      </c>
      <c r="I78" s="203">
        <f>I$77*'Methanol recycling rates'!K36</f>
        <v>154.15893703470155</v>
      </c>
      <c r="J78" s="203">
        <f>J$77*'Methanol recycling rates'!L36</f>
        <v>174.51745428449809</v>
      </c>
      <c r="K78" s="203">
        <f>K$77*'Methanol recycling rates'!M36</f>
        <v>192.81974054332315</v>
      </c>
      <c r="L78" s="203">
        <f>L$77*'Methanol recycling rates'!N36</f>
        <v>208.91581806017825</v>
      </c>
      <c r="M78" s="203">
        <f>M$77*'Methanol recycling rates'!O36</f>
        <v>222.67872871845995</v>
      </c>
      <c r="N78" s="203">
        <f>N$77*'Methanol recycling rates'!P36</f>
        <v>227.06424576229855</v>
      </c>
      <c r="O78" s="203">
        <f>O$77*'Methanol recycling rates'!Q36</f>
        <v>228.85303748485561</v>
      </c>
      <c r="P78" s="203">
        <f>P$77*'Methanol recycling rates'!R36</f>
        <v>228.20710367497171</v>
      </c>
      <c r="Q78" s="203">
        <f>Q$77*'Methanol recycling rates'!S36</f>
        <v>225.28825377968852</v>
      </c>
      <c r="R78" s="203">
        <f>R$77*'Methanol recycling rates'!T36</f>
        <v>220.25805683070288</v>
      </c>
      <c r="S78" s="203">
        <f>S$77*'Methanol recycling rates'!U36</f>
        <v>213.27779201404945</v>
      </c>
      <c r="T78" s="203">
        <f>T$77*'Methanol recycling rates'!V36</f>
        <v>204.50839987813455</v>
      </c>
      <c r="U78" s="203">
        <f>U$77*'Methanol recycling rates'!W36</f>
        <v>194.11043417527523</v>
      </c>
      <c r="V78" s="203">
        <f>V$77*'Methanol recycling rates'!X36</f>
        <v>182.24401433192472</v>
      </c>
      <c r="W78" s="203">
        <f>W$77*'Methanol recycling rates'!Y36</f>
        <v>169.06877854279298</v>
      </c>
      <c r="X78" s="203">
        <f>X$77*'Methanol recycling rates'!Z36</f>
        <v>154.77456760380898</v>
      </c>
      <c r="Y78" s="203">
        <f>Y$77*'Methanol recycling rates'!AA36</f>
        <v>139.48288158803874</v>
      </c>
      <c r="Z78" s="203">
        <f>Z$77*'Methanol recycling rates'!AB36</f>
        <v>123.35122382800817</v>
      </c>
      <c r="AA78" s="203">
        <f>AA$77*'Methanol recycling rates'!AC36</f>
        <v>106.53656490460034</v>
      </c>
      <c r="AB78" s="203">
        <f>AB$77*'Methanol recycling rates'!AD36</f>
        <v>89.195295491571613</v>
      </c>
      <c r="AC78" s="203">
        <f>AC$77*'Methanol recycling rates'!AE36</f>
        <v>71.483179830077603</v>
      </c>
      <c r="AD78" s="203">
        <f>AD$77*'Methanol recycling rates'!AF36</f>
        <v>53.555309828370952</v>
      </c>
      <c r="AE78" s="203">
        <f>AE$77*'Methanol recycling rates'!AG36</f>
        <v>35.566059781860432</v>
      </c>
      <c r="AF78" s="203">
        <f>AF$77*'Methanol recycling rates'!AH36</f>
        <v>17.66904170874831</v>
      </c>
      <c r="AG78" s="203">
        <f>AG$77*'Methanol recycling rates'!AI36</f>
        <v>1.7061296492679946E-2</v>
      </c>
      <c r="AH78" s="217"/>
      <c r="AI78" s="124"/>
      <c r="AJ78" s="185"/>
      <c r="AL78" s="100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160</v>
      </c>
      <c r="C79" s="203">
        <f>C$77*'Methanol recycling rates'!E37</f>
        <v>0</v>
      </c>
      <c r="D79" s="203">
        <f>D$77*'Methanol recycling rates'!F37</f>
        <v>5.582755745255881E-2</v>
      </c>
      <c r="E79" s="203">
        <f>E$77*'Methanol recycling rates'!G37</f>
        <v>0.22771617679040382</v>
      </c>
      <c r="F79" s="203">
        <f>F$77*'Methanol recycling rates'!H37</f>
        <v>0.52256975513232373</v>
      </c>
      <c r="G79" s="203">
        <f>G$77*'Methanol recycling rates'!I37</f>
        <v>0.94597940820541104</v>
      </c>
      <c r="H79" s="203">
        <f>H$77*'Methanol recycling rates'!J37</f>
        <v>1.5022461106930249</v>
      </c>
      <c r="I79" s="203">
        <f>I$77*'Methanol recycling rates'!K37</f>
        <v>2.1944031311396879</v>
      </c>
      <c r="J79" s="203">
        <f>J$77*'Methanol recycling rates'!L37</f>
        <v>3.0242382627590594</v>
      </c>
      <c r="K79" s="203">
        <f>K$77*'Methanol recycling rates'!M37</f>
        <v>3.9923158514838852</v>
      </c>
      <c r="L79" s="203">
        <f>L$77*'Methanol recycling rates'!N37</f>
        <v>5.097998622589647</v>
      </c>
      <c r="M79" s="203">
        <f>M$77*'Methanol recycling rates'!O37</f>
        <v>6.3394693072165174</v>
      </c>
      <c r="N79" s="203">
        <f>N$77*'Methanol recycling rates'!P37</f>
        <v>7.4849842162122142</v>
      </c>
      <c r="O79" s="203">
        <f>O$77*'Methanol recycling rates'!Q37</f>
        <v>8.6869482214452614</v>
      </c>
      <c r="P79" s="203">
        <f>P$77*'Methanol recycling rates'!R37</f>
        <v>9.9362844480018957</v>
      </c>
      <c r="Q79" s="203">
        <f>Q$77*'Methanol recycling rates'!S37</f>
        <v>11.223943426028663</v>
      </c>
      <c r="R79" s="203">
        <f>R$77*'Methanol recycling rates'!T37</f>
        <v>12.540905761586099</v>
      </c>
      <c r="S79" s="203">
        <f>S$77*'Methanol recycling rates'!U37</f>
        <v>13.878184772055057</v>
      </c>
      <c r="T79" s="203">
        <f>T$77*'Methanol recycling rates'!V37</f>
        <v>15.226829086367164</v>
      </c>
      <c r="U79" s="203">
        <f>U$77*'Methanol recycling rates'!W37</f>
        <v>16.577925210329497</v>
      </c>
      <c r="V79" s="203">
        <f>V$77*'Methanol recycling rates'!X37</f>
        <v>17.922600057311872</v>
      </c>
      <c r="W79" s="203">
        <f>W$77*'Methanol recycling rates'!Y37</f>
        <v>19.252023444563598</v>
      </c>
      <c r="X79" s="203">
        <f>X$77*'Methanol recycling rates'!Z37</f>
        <v>20.561492990613008</v>
      </c>
      <c r="Y79" s="203">
        <f>Y$77*'Methanol recycling rates'!AA37</f>
        <v>21.838659595313782</v>
      </c>
      <c r="Z79" s="203">
        <f>Z$77*'Methanol recycling rates'!AB37</f>
        <v>23.074806281405241</v>
      </c>
      <c r="AA79" s="203">
        <f>AA$77*'Methanol recycling rates'!AC37</f>
        <v>24.261262339451566</v>
      </c>
      <c r="AB79" s="203">
        <f>AB$77*'Methanol recycling rates'!AD37</f>
        <v>25.389405834336635</v>
      </c>
      <c r="AC79" s="203">
        <f>AC$77*'Methanol recycling rates'!AE37</f>
        <v>26.450666077063556</v>
      </c>
      <c r="AD79" s="203">
        <f>AD$77*'Methanol recycling rates'!AF37</f>
        <v>27.436526062128571</v>
      </c>
      <c r="AE79" s="203">
        <f>AE$77*'Methanol recycling rates'!AG37</f>
        <v>28.338524870737292</v>
      </c>
      <c r="AF79" s="203">
        <f>AF$77*'Methanol recycling rates'!AH37</f>
        <v>29.14826004012934</v>
      </c>
      <c r="AG79" s="203">
        <f>AG$77*'Methanol recycling rates'!AI37</f>
        <v>29.857389899276292</v>
      </c>
      <c r="AH79" s="217"/>
      <c r="AI79" s="124"/>
      <c r="AJ79" s="185"/>
      <c r="AL79" s="100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1040</v>
      </c>
      <c r="C80" s="203">
        <f>C$77*'Methanol recycling rates'!E38</f>
        <v>0</v>
      </c>
      <c r="D80" s="203">
        <f>D$77*'Methanol recycling rates'!F38</f>
        <v>0.92461750869005066</v>
      </c>
      <c r="E80" s="203">
        <f>E$77*'Methanol recycling rates'!G38</f>
        <v>3.7714414471972555</v>
      </c>
      <c r="F80" s="203">
        <f>F$77*'Methanol recycling rates'!H38</f>
        <v>8.6548143453672264</v>
      </c>
      <c r="G80" s="203">
        <f>G$77*'Methanol recycling rates'!I38</f>
        <v>15.667336412313091</v>
      </c>
      <c r="H80" s="203">
        <f>H$77*'Methanol recycling rates'!J38</f>
        <v>24.880240506467633</v>
      </c>
      <c r="I80" s="203">
        <f>I$77*'Methanol recycling rates'!K38</f>
        <v>36.343763703081869</v>
      </c>
      <c r="J80" s="203">
        <f>J$77*'Methanol recycling rates'!L38</f>
        <v>50.087515481464848</v>
      </c>
      <c r="K80" s="203">
        <f>K$77*'Methanol recycling rates'!M38</f>
        <v>66.120842554139656</v>
      </c>
      <c r="L80" s="203">
        <f>L$77*'Methanol recycling rates'!N38</f>
        <v>84.433190359971562</v>
      </c>
      <c r="M80" s="203">
        <f>M$77*'Methanol recycling rates'!O38</f>
        <v>104.99446124320662</v>
      </c>
      <c r="N80" s="203">
        <f>N$77*'Methanol recycling rates'!P38</f>
        <v>123.96650998854116</v>
      </c>
      <c r="O80" s="203">
        <f>O$77*'Methanol recycling rates'!Q38</f>
        <v>143.87347018464334</v>
      </c>
      <c r="P80" s="203">
        <f>P$77*'Methanol recycling rates'!R38</f>
        <v>164.56501038495847</v>
      </c>
      <c r="Q80" s="203">
        <f>Q$77*'Methanol recycling rates'!S38</f>
        <v>185.89125302627821</v>
      </c>
      <c r="R80" s="203">
        <f>R$77*'Methanol recycling rates'!T38</f>
        <v>207.70281866349089</v>
      </c>
      <c r="S80" s="203">
        <f>S$77*'Methanol recycling rates'!U38</f>
        <v>229.8508696172521</v>
      </c>
      <c r="T80" s="203">
        <f>T$77*'Methanol recycling rates'!V38</f>
        <v>252.18715303907155</v>
      </c>
      <c r="U80" s="203">
        <f>U$77*'Methanol recycling rates'!W38</f>
        <v>274.5640433982893</v>
      </c>
      <c r="V80" s="203">
        <f>V$77*'Methanol recycling rates'!X38</f>
        <v>296.83458439538663</v>
      </c>
      <c r="W80" s="203">
        <f>W$77*'Methanol recycling rates'!Y38</f>
        <v>318.85253030605156</v>
      </c>
      <c r="X80" s="203">
        <f>X$77*'Methanol recycling rates'!Z38</f>
        <v>340.54000016182266</v>
      </c>
      <c r="Y80" s="203">
        <f>Y$77*'Methanol recycling rates'!AA38</f>
        <v>361.69246783379737</v>
      </c>
      <c r="Z80" s="203">
        <f>Z$77*'Methanol recycling rates'!AB38</f>
        <v>382.16556251003527</v>
      </c>
      <c r="AA80" s="203">
        <f>AA$77*'Methanol recycling rates'!AC38</f>
        <v>401.8156796675562</v>
      </c>
      <c r="AB80" s="203">
        <f>AB$77*'Methanol recycling rates'!AD38</f>
        <v>420.50002258497517</v>
      </c>
      <c r="AC80" s="203">
        <f>AC$77*'Methanol recycling rates'!AE38</f>
        <v>438.07664328051283</v>
      </c>
      <c r="AD80" s="203">
        <f>AD$77*'Methanol recycling rates'!AF38</f>
        <v>454.40448287984759</v>
      </c>
      <c r="AE80" s="203">
        <f>AE$77*'Methanol recycling rates'!AG38</f>
        <v>469.34341141824751</v>
      </c>
      <c r="AF80" s="203">
        <f>AF$77*'Methanol recycling rates'!AH38</f>
        <v>482.75426708138872</v>
      </c>
      <c r="AG80" s="203">
        <f>AG$77*'Methanol recycling rates'!AI38</f>
        <v>494.49889488924788</v>
      </c>
      <c r="AH80" s="217"/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s="1" customFormat="1" outlineLevel="1">
      <c r="A81" s="1" t="s">
        <v>1045</v>
      </c>
      <c r="B81" s="60"/>
      <c r="C81" s="250">
        <f>C77-$C77</f>
        <v>0</v>
      </c>
      <c r="D81" s="250">
        <f t="shared" ref="D81:AG81" si="35">D77-$C77</f>
        <v>29.187180685774262</v>
      </c>
      <c r="E81" s="250">
        <f t="shared" si="35"/>
        <v>59.762187866379939</v>
      </c>
      <c r="F81" s="250">
        <f t="shared" si="35"/>
        <v>91.549698767310375</v>
      </c>
      <c r="G81" s="250">
        <f t="shared" si="35"/>
        <v>124.37679449645105</v>
      </c>
      <c r="H81" s="250">
        <f t="shared" si="35"/>
        <v>158.07294190171186</v>
      </c>
      <c r="I81" s="250">
        <f t="shared" si="35"/>
        <v>192.46997553045679</v>
      </c>
      <c r="J81" s="250">
        <f t="shared" si="35"/>
        <v>227.40207969025568</v>
      </c>
      <c r="K81" s="250">
        <f t="shared" si="35"/>
        <v>262.70577061048039</v>
      </c>
      <c r="L81" s="250">
        <f t="shared" si="35"/>
        <v>298.21987870427319</v>
      </c>
      <c r="M81" s="250">
        <f t="shared" si="35"/>
        <v>333.78553093041683</v>
      </c>
      <c r="N81" s="250">
        <f t="shared" si="35"/>
        <v>358.28861162858567</v>
      </c>
      <c r="O81" s="250">
        <f t="shared" si="35"/>
        <v>381.18632755247796</v>
      </c>
      <c r="P81" s="250">
        <f t="shared" si="35"/>
        <v>402.48127016946586</v>
      </c>
      <c r="Q81" s="250">
        <f t="shared" si="35"/>
        <v>422.17632189352918</v>
      </c>
      <c r="R81" s="250">
        <f t="shared" si="35"/>
        <v>440.27465291731369</v>
      </c>
      <c r="S81" s="250">
        <f t="shared" si="35"/>
        <v>456.77971806489046</v>
      </c>
      <c r="T81" s="250">
        <f t="shared" si="35"/>
        <v>471.69525366510709</v>
      </c>
      <c r="U81" s="250">
        <f t="shared" si="35"/>
        <v>485.02527444542784</v>
      </c>
      <c r="V81" s="250">
        <f t="shared" si="35"/>
        <v>496.774070446157</v>
      </c>
      <c r="W81" s="250">
        <f t="shared" si="35"/>
        <v>506.94620395494195</v>
      </c>
      <c r="X81" s="250">
        <f t="shared" si="35"/>
        <v>515.64893241777838</v>
      </c>
      <c r="Y81" s="250">
        <f t="shared" si="35"/>
        <v>522.78688067868359</v>
      </c>
      <c r="Z81" s="250">
        <f t="shared" si="35"/>
        <v>528.36446428098236</v>
      </c>
      <c r="AA81" s="250">
        <f t="shared" si="35"/>
        <v>532.38637857314177</v>
      </c>
      <c r="AB81" s="250">
        <f t="shared" si="35"/>
        <v>534.85759557241704</v>
      </c>
      <c r="AC81" s="250">
        <f t="shared" si="35"/>
        <v>535.7833608491876</v>
      </c>
      <c r="AD81" s="250">
        <f t="shared" si="35"/>
        <v>535.16919043188068</v>
      </c>
      <c r="AE81" s="250">
        <f t="shared" si="35"/>
        <v>533.02086773237875</v>
      </c>
      <c r="AF81" s="250">
        <f t="shared" si="35"/>
        <v>529.3444404917999</v>
      </c>
      <c r="AG81" s="250">
        <f t="shared" si="35"/>
        <v>524.14621774655041</v>
      </c>
      <c r="AH81" s="217"/>
      <c r="AI81" s="368"/>
      <c r="AJ81" s="369"/>
      <c r="AL81" s="194"/>
      <c r="AM81" s="116"/>
      <c r="AN81" s="116"/>
      <c r="AO81" s="116"/>
      <c r="BD81" s="116"/>
      <c r="BE81" s="116"/>
      <c r="BF81" s="116"/>
      <c r="BG81" s="116"/>
      <c r="BH81" s="116"/>
      <c r="BI81" s="116"/>
      <c r="BJ81" s="116"/>
      <c r="BK81" s="116"/>
    </row>
    <row r="82" spans="1:63" outlineLevel="1">
      <c r="A82" s="4" t="s">
        <v>35</v>
      </c>
      <c r="C82" s="203">
        <f t="shared" ref="C82:AF84" si="36">C78-$C78</f>
        <v>0</v>
      </c>
      <c r="D82" s="203">
        <f t="shared" si="36"/>
        <v>28.206735619631651</v>
      </c>
      <c r="E82" s="203">
        <f t="shared" si="36"/>
        <v>55.763030242392276</v>
      </c>
      <c r="F82" s="203">
        <f t="shared" si="36"/>
        <v>82.372314666810823</v>
      </c>
      <c r="G82" s="203">
        <f t="shared" si="36"/>
        <v>107.76347867593255</v>
      </c>
      <c r="H82" s="203">
        <f t="shared" si="36"/>
        <v>131.69045528455118</v>
      </c>
      <c r="I82" s="203">
        <f t="shared" si="36"/>
        <v>153.93180869623521</v>
      </c>
      <c r="J82" s="203">
        <f t="shared" si="36"/>
        <v>174.29032594603174</v>
      </c>
      <c r="K82" s="203">
        <f t="shared" si="36"/>
        <v>192.59261220485681</v>
      </c>
      <c r="L82" s="203">
        <f t="shared" si="36"/>
        <v>208.68868972171191</v>
      </c>
      <c r="M82" s="203">
        <f t="shared" si="36"/>
        <v>222.45160037999361</v>
      </c>
      <c r="N82" s="203">
        <f t="shared" si="36"/>
        <v>226.83711742383221</v>
      </c>
      <c r="O82" s="203">
        <f t="shared" si="36"/>
        <v>228.62590914638926</v>
      </c>
      <c r="P82" s="203">
        <f t="shared" si="36"/>
        <v>227.97997533650536</v>
      </c>
      <c r="Q82" s="203">
        <f t="shared" si="36"/>
        <v>225.06112544122217</v>
      </c>
      <c r="R82" s="203">
        <f t="shared" si="36"/>
        <v>220.03092849223654</v>
      </c>
      <c r="S82" s="203">
        <f t="shared" si="36"/>
        <v>213.05066367558311</v>
      </c>
      <c r="T82" s="203">
        <f t="shared" si="36"/>
        <v>204.28127153966821</v>
      </c>
      <c r="U82" s="203">
        <f t="shared" si="36"/>
        <v>193.88330583680889</v>
      </c>
      <c r="V82" s="203">
        <f t="shared" si="36"/>
        <v>182.01688599345837</v>
      </c>
      <c r="W82" s="203">
        <f t="shared" si="36"/>
        <v>168.84165020432664</v>
      </c>
      <c r="X82" s="203">
        <f t="shared" si="36"/>
        <v>154.54743926534263</v>
      </c>
      <c r="Y82" s="203">
        <f t="shared" si="36"/>
        <v>139.25575324957239</v>
      </c>
      <c r="Z82" s="203">
        <f t="shared" si="36"/>
        <v>123.12409548954182</v>
      </c>
      <c r="AA82" s="203">
        <f t="shared" si="36"/>
        <v>106.30943656613398</v>
      </c>
      <c r="AB82" s="203">
        <f t="shared" si="36"/>
        <v>88.968167153105256</v>
      </c>
      <c r="AC82" s="203">
        <f t="shared" si="36"/>
        <v>71.256051491611245</v>
      </c>
      <c r="AD82" s="203">
        <f t="shared" si="36"/>
        <v>53.328181489904594</v>
      </c>
      <c r="AE82" s="203">
        <f t="shared" si="36"/>
        <v>35.338931443394074</v>
      </c>
      <c r="AF82" s="203">
        <f t="shared" si="36"/>
        <v>17.441913370281952</v>
      </c>
      <c r="AG82" s="203">
        <f>AG78-$C78</f>
        <v>-0.21006704197367593</v>
      </c>
      <c r="AH82" s="217"/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160</v>
      </c>
      <c r="C83" s="203">
        <f t="shared" si="36"/>
        <v>0</v>
      </c>
      <c r="D83" s="203">
        <f t="shared" si="36"/>
        <v>5.582755745255881E-2</v>
      </c>
      <c r="E83" s="203">
        <f t="shared" si="36"/>
        <v>0.22771617679040382</v>
      </c>
      <c r="F83" s="203">
        <f t="shared" si="36"/>
        <v>0.52256975513232373</v>
      </c>
      <c r="G83" s="203">
        <f t="shared" si="36"/>
        <v>0.94597940820541104</v>
      </c>
      <c r="H83" s="203">
        <f t="shared" si="36"/>
        <v>1.5022461106930249</v>
      </c>
      <c r="I83" s="203">
        <f t="shared" si="36"/>
        <v>2.1944031311396879</v>
      </c>
      <c r="J83" s="203">
        <f t="shared" si="36"/>
        <v>3.0242382627590594</v>
      </c>
      <c r="K83" s="203">
        <f t="shared" si="36"/>
        <v>3.9923158514838852</v>
      </c>
      <c r="L83" s="203">
        <f t="shared" si="36"/>
        <v>5.097998622589647</v>
      </c>
      <c r="M83" s="203">
        <f t="shared" si="36"/>
        <v>6.3394693072165174</v>
      </c>
      <c r="N83" s="203">
        <f t="shared" si="36"/>
        <v>7.4849842162122142</v>
      </c>
      <c r="O83" s="203">
        <f t="shared" si="36"/>
        <v>8.6869482214452614</v>
      </c>
      <c r="P83" s="203">
        <f t="shared" si="36"/>
        <v>9.9362844480018957</v>
      </c>
      <c r="Q83" s="203">
        <f t="shared" si="36"/>
        <v>11.223943426028663</v>
      </c>
      <c r="R83" s="203">
        <f t="shared" si="36"/>
        <v>12.540905761586099</v>
      </c>
      <c r="S83" s="203">
        <f t="shared" si="36"/>
        <v>13.878184772055057</v>
      </c>
      <c r="T83" s="203">
        <f t="shared" si="36"/>
        <v>15.226829086367164</v>
      </c>
      <c r="U83" s="203">
        <f t="shared" si="36"/>
        <v>16.577925210329497</v>
      </c>
      <c r="V83" s="203">
        <f t="shared" si="36"/>
        <v>17.922600057311872</v>
      </c>
      <c r="W83" s="203">
        <f t="shared" si="36"/>
        <v>19.252023444563598</v>
      </c>
      <c r="X83" s="203">
        <f t="shared" si="36"/>
        <v>20.561492990613008</v>
      </c>
      <c r="Y83" s="203">
        <f t="shared" si="36"/>
        <v>21.838659595313782</v>
      </c>
      <c r="Z83" s="203">
        <f t="shared" si="36"/>
        <v>23.074806281405241</v>
      </c>
      <c r="AA83" s="203">
        <f t="shared" si="36"/>
        <v>24.261262339451566</v>
      </c>
      <c r="AB83" s="203">
        <f t="shared" si="36"/>
        <v>25.389405834336635</v>
      </c>
      <c r="AC83" s="203">
        <f t="shared" si="36"/>
        <v>26.450666077063556</v>
      </c>
      <c r="AD83" s="203">
        <f t="shared" si="36"/>
        <v>27.436526062128571</v>
      </c>
      <c r="AE83" s="203">
        <f t="shared" si="36"/>
        <v>28.338524870737292</v>
      </c>
      <c r="AF83" s="203">
        <f t="shared" si="36"/>
        <v>29.14826004012934</v>
      </c>
      <c r="AG83" s="203">
        <f t="shared" ref="AG83:AG84" si="37">AG79-$C79</f>
        <v>29.857389899276292</v>
      </c>
      <c r="AH83" s="217"/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1040</v>
      </c>
      <c r="C84" s="203">
        <f t="shared" si="36"/>
        <v>0</v>
      </c>
      <c r="D84" s="203">
        <f t="shared" si="36"/>
        <v>0.92461750869005066</v>
      </c>
      <c r="E84" s="203">
        <f t="shared" si="36"/>
        <v>3.7714414471972555</v>
      </c>
      <c r="F84" s="203">
        <f t="shared" si="36"/>
        <v>8.6548143453672264</v>
      </c>
      <c r="G84" s="203">
        <f t="shared" si="36"/>
        <v>15.667336412313091</v>
      </c>
      <c r="H84" s="203">
        <f t="shared" si="36"/>
        <v>24.880240506467633</v>
      </c>
      <c r="I84" s="203">
        <f t="shared" si="36"/>
        <v>36.343763703081869</v>
      </c>
      <c r="J84" s="203">
        <f t="shared" si="36"/>
        <v>50.087515481464848</v>
      </c>
      <c r="K84" s="203">
        <f t="shared" si="36"/>
        <v>66.120842554139656</v>
      </c>
      <c r="L84" s="203">
        <f t="shared" si="36"/>
        <v>84.433190359971562</v>
      </c>
      <c r="M84" s="203">
        <f t="shared" si="36"/>
        <v>104.99446124320662</v>
      </c>
      <c r="N84" s="203">
        <f t="shared" si="36"/>
        <v>123.96650998854116</v>
      </c>
      <c r="O84" s="203">
        <f t="shared" si="36"/>
        <v>143.87347018464334</v>
      </c>
      <c r="P84" s="203">
        <f t="shared" si="36"/>
        <v>164.56501038495847</v>
      </c>
      <c r="Q84" s="203">
        <f t="shared" si="36"/>
        <v>185.89125302627821</v>
      </c>
      <c r="R84" s="203">
        <f t="shared" si="36"/>
        <v>207.70281866349089</v>
      </c>
      <c r="S84" s="203">
        <f t="shared" si="36"/>
        <v>229.8508696172521</v>
      </c>
      <c r="T84" s="203">
        <f t="shared" si="36"/>
        <v>252.18715303907155</v>
      </c>
      <c r="U84" s="203">
        <f t="shared" si="36"/>
        <v>274.5640433982893</v>
      </c>
      <c r="V84" s="203">
        <f t="shared" si="36"/>
        <v>296.83458439538663</v>
      </c>
      <c r="W84" s="203">
        <f t="shared" si="36"/>
        <v>318.85253030605156</v>
      </c>
      <c r="X84" s="203">
        <f t="shared" si="36"/>
        <v>340.54000016182266</v>
      </c>
      <c r="Y84" s="203">
        <f t="shared" si="36"/>
        <v>361.69246783379737</v>
      </c>
      <c r="Z84" s="203">
        <f t="shared" si="36"/>
        <v>382.16556251003527</v>
      </c>
      <c r="AA84" s="203">
        <f t="shared" si="36"/>
        <v>401.8156796675562</v>
      </c>
      <c r="AB84" s="203">
        <f t="shared" si="36"/>
        <v>420.50002258497517</v>
      </c>
      <c r="AC84" s="203">
        <f t="shared" si="36"/>
        <v>438.07664328051283</v>
      </c>
      <c r="AD84" s="203">
        <f t="shared" si="36"/>
        <v>454.40448287984759</v>
      </c>
      <c r="AE84" s="203">
        <f t="shared" si="36"/>
        <v>469.34341141824751</v>
      </c>
      <c r="AF84" s="203">
        <f t="shared" si="36"/>
        <v>482.75426708138872</v>
      </c>
      <c r="AG84" s="203">
        <f t="shared" si="37"/>
        <v>494.49889488924788</v>
      </c>
      <c r="AH84" s="217"/>
      <c r="AI84" s="124"/>
      <c r="AJ84" s="185"/>
      <c r="AL84" s="100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s="1" customFormat="1" outlineLevel="1">
      <c r="A85" s="1" t="s">
        <v>1050</v>
      </c>
      <c r="B85" s="60"/>
      <c r="C85" s="250">
        <f>C47*C66</f>
        <v>3.1998976765146331E-7</v>
      </c>
      <c r="D85" s="250">
        <f t="shared" ref="D85:AG85" si="38">D47*D66</f>
        <v>4.5780409623145698E-5</v>
      </c>
      <c r="E85" s="250">
        <f t="shared" si="38"/>
        <v>1.026178000743496E-4</v>
      </c>
      <c r="F85" s="250">
        <f t="shared" si="38"/>
        <v>1.7179337892500129E-4</v>
      </c>
      <c r="G85" s="250">
        <f t="shared" si="38"/>
        <v>2.5426836397883902E-4</v>
      </c>
      <c r="H85" s="250">
        <f t="shared" si="38"/>
        <v>3.51003973039601E-4</v>
      </c>
      <c r="I85" s="250">
        <f t="shared" si="38"/>
        <v>4.6296142391102517E-4</v>
      </c>
      <c r="J85" s="250">
        <f t="shared" si="38"/>
        <v>5.9110193439684995E-4</v>
      </c>
      <c r="K85" s="250">
        <f t="shared" si="38"/>
        <v>7.3638672230081368E-4</v>
      </c>
      <c r="L85" s="250">
        <f t="shared" si="38"/>
        <v>8.9977700542665407E-4</v>
      </c>
      <c r="M85" s="250">
        <f t="shared" si="38"/>
        <v>1.0822340015781097E-3</v>
      </c>
      <c r="N85" s="250">
        <f t="shared" si="38"/>
        <v>1.2674713344600329E-3</v>
      </c>
      <c r="O85" s="250">
        <f t="shared" si="38"/>
        <v>1.4674179290242897E-3</v>
      </c>
      <c r="P85" s="250">
        <f t="shared" si="38"/>
        <v>1.6822489672156115E-3</v>
      </c>
      <c r="Q85" s="250">
        <f t="shared" si="38"/>
        <v>1.9121396309787295E-3</v>
      </c>
      <c r="R85" s="250">
        <f t="shared" si="38"/>
        <v>2.1572651022583756E-3</v>
      </c>
      <c r="S85" s="250">
        <f t="shared" si="38"/>
        <v>2.4178005629992803E-3</v>
      </c>
      <c r="T85" s="250">
        <f t="shared" si="38"/>
        <v>2.6939211951461759E-3</v>
      </c>
      <c r="U85" s="250">
        <f t="shared" si="38"/>
        <v>2.9858021806437917E-3</v>
      </c>
      <c r="V85" s="250">
        <f t="shared" si="38"/>
        <v>3.2936187014368607E-3</v>
      </c>
      <c r="W85" s="250">
        <f t="shared" si="38"/>
        <v>3.6175459394701143E-3</v>
      </c>
      <c r="X85" s="250">
        <f t="shared" si="38"/>
        <v>4.0443702031643068E-3</v>
      </c>
      <c r="Y85" s="250">
        <f t="shared" si="38"/>
        <v>4.4967646997633301E-3</v>
      </c>
      <c r="Z85" s="250">
        <f t="shared" si="38"/>
        <v>4.9750223334787758E-3</v>
      </c>
      <c r="AA85" s="250">
        <f t="shared" si="38"/>
        <v>5.4794360085222331E-3</v>
      </c>
      <c r="AB85" s="250">
        <f t="shared" si="38"/>
        <v>6.0102986291052946E-3</v>
      </c>
      <c r="AC85" s="250">
        <f t="shared" si="38"/>
        <v>6.5679030994395511E-3</v>
      </c>
      <c r="AD85" s="250">
        <f t="shared" si="38"/>
        <v>7.1525423237365892E-3</v>
      </c>
      <c r="AE85" s="250">
        <f t="shared" si="38"/>
        <v>7.764509206208004E-3</v>
      </c>
      <c r="AF85" s="250">
        <f t="shared" si="38"/>
        <v>8.4040966510653837E-3</v>
      </c>
      <c r="AG85" s="250">
        <f t="shared" si="38"/>
        <v>9.0715975625203175E-3</v>
      </c>
      <c r="AH85" s="217"/>
      <c r="AI85" s="368"/>
      <c r="AJ85" s="369"/>
      <c r="AL85" s="194"/>
      <c r="AM85" s="116"/>
      <c r="AN85" s="116"/>
      <c r="AO85" s="116"/>
      <c r="BD85" s="116"/>
      <c r="BE85" s="116"/>
      <c r="BF85" s="116"/>
      <c r="BG85" s="116"/>
      <c r="BH85" s="116"/>
      <c r="BI85" s="116"/>
      <c r="BJ85" s="116"/>
      <c r="BK85" s="116"/>
    </row>
    <row r="86" spans="1:63" outlineLevel="1">
      <c r="A86" s="4" t="s">
        <v>35</v>
      </c>
      <c r="C86" s="203">
        <f>C$85*'Methanol recycling rates'!E44</f>
        <v>0</v>
      </c>
      <c r="D86" s="203">
        <f>D$85*'Methanol recycling rates'!F44</f>
        <v>7.630068270524283E-7</v>
      </c>
      <c r="E86" s="203">
        <f>E$85*'Methanol recycling rates'!G44</f>
        <v>3.4205933358116532E-6</v>
      </c>
      <c r="F86" s="203">
        <f>F$85*'Methanol recycling rates'!H44</f>
        <v>8.5896689462500644E-6</v>
      </c>
      <c r="G86" s="203">
        <f>G$85*'Methanol recycling rates'!I44</f>
        <v>1.6951224265255933E-5</v>
      </c>
      <c r="H86" s="203">
        <f>H$85*'Methanol recycling rates'!J44</f>
        <v>2.9250331086633417E-5</v>
      </c>
      <c r="I86" s="203">
        <f>I$85*'Methanol recycling rates'!K44</f>
        <v>4.6296142391102515E-5</v>
      </c>
      <c r="J86" s="203">
        <f>J$85*'Methanol recycling rates'!L44</f>
        <v>6.8961892346299154E-5</v>
      </c>
      <c r="K86" s="203">
        <f>K$85*'Methanol recycling rates'!M44</f>
        <v>9.8184896306775159E-5</v>
      </c>
      <c r="L86" s="203">
        <f>L$85*'Methanol recycling rates'!N44</f>
        <v>1.349665508139981E-4</v>
      </c>
      <c r="M86" s="203">
        <f>M$85*'Methanol recycling rates'!O44</f>
        <v>1.8037233359635159E-4</v>
      </c>
      <c r="N86" s="203">
        <f>N$85*'Methanol recycling rates'!P44</f>
        <v>2.3236974465100602E-4</v>
      </c>
      <c r="O86" s="203">
        <f>O$85*'Methanol recycling rates'!Q44</f>
        <v>2.9348358580485795E-4</v>
      </c>
      <c r="P86" s="203">
        <f>P$85*'Methanol recycling rates'!R44</f>
        <v>3.6448727623004912E-4</v>
      </c>
      <c r="Q86" s="203">
        <f>Q$85*'Methanol recycling rates'!S44</f>
        <v>4.4616591389503684E-4</v>
      </c>
      <c r="R86" s="203">
        <f>R$85*'Methanol recycling rates'!T44</f>
        <v>5.3931627556459379E-4</v>
      </c>
      <c r="S86" s="203">
        <f>S$85*'Methanol recycling rates'!U44</f>
        <v>6.447468167998081E-4</v>
      </c>
      <c r="T86" s="203">
        <f>T$85*'Methanol recycling rates'!V44</f>
        <v>7.6327767195808317E-4</v>
      </c>
      <c r="U86" s="203">
        <f>U$85*'Methanol recycling rates'!W44</f>
        <v>8.957406541931375E-4</v>
      </c>
      <c r="V86" s="203">
        <f>V$85*'Methanol recycling rates'!X44</f>
        <v>1.0429792554550058E-3</v>
      </c>
      <c r="W86" s="203">
        <f>W$85*'Methanol recycling rates'!Y44</f>
        <v>1.205848646490038E-3</v>
      </c>
      <c r="X86" s="203">
        <f>X$85*'Methanol recycling rates'!Z44</f>
        <v>1.4155295711075072E-3</v>
      </c>
      <c r="Y86" s="203">
        <f>Y$85*'Methanol recycling rates'!AA44</f>
        <v>1.6488137232465543E-3</v>
      </c>
      <c r="Z86" s="203">
        <f>Z$85*'Methanol recycling rates'!AB44</f>
        <v>1.9070918945001973E-3</v>
      </c>
      <c r="AA86" s="203">
        <f>AA$85*'Methanol recycling rates'!AC44</f>
        <v>2.1917744034088932E-3</v>
      </c>
      <c r="AB86" s="203">
        <f>AB$85*'Methanol recycling rates'!AD44</f>
        <v>2.5042910954605393E-3</v>
      </c>
      <c r="AC86" s="203">
        <f>AC$85*'Methanol recycling rates'!AE44</f>
        <v>2.8460913430904721E-3</v>
      </c>
      <c r="AD86" s="203">
        <f>AD$85*'Methanol recycling rates'!AF44</f>
        <v>3.2186440456814648E-3</v>
      </c>
      <c r="AE86" s="203">
        <f>AE$85*'Methanol recycling rates'!AG44</f>
        <v>3.6234376295637347E-3</v>
      </c>
      <c r="AF86" s="203">
        <f>AF$85*'Methanol recycling rates'!AH44</f>
        <v>4.0619800480149347E-3</v>
      </c>
      <c r="AG86" s="203">
        <f>AG$85*'Methanol recycling rates'!AI44</f>
        <v>4.5357987812601587E-3</v>
      </c>
      <c r="AH86" s="217"/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03">
        <f>C$85*'Methanol recycling rates'!E45</f>
        <v>3.1998976765146331E-7</v>
      </c>
      <c r="D87" s="203">
        <f>D$85*'Methanol recycling rates'!F45</f>
        <v>4.4254445620251372E-5</v>
      </c>
      <c r="E87" s="203">
        <f>E$85*'Methanol recycling rates'!G45</f>
        <v>9.5776835991298037E-5</v>
      </c>
      <c r="F87" s="203">
        <f>F$85*'Methanol recycling rates'!H45</f>
        <v>1.5461459998878586E-4</v>
      </c>
      <c r="G87" s="203">
        <f>G$85*'Methanol recycling rates'!I45</f>
        <v>2.2036701851683838E-4</v>
      </c>
      <c r="H87" s="203">
        <f>H$85*'Methanol recycling rates'!J45</f>
        <v>2.92505214275708E-4</v>
      </c>
      <c r="I87" s="203">
        <f>I$85*'Methanol recycling rates'!K45</f>
        <v>3.7037215176177594E-4</v>
      </c>
      <c r="J87" s="203">
        <f>J$85*'Methanol recycling rates'!L45</f>
        <v>4.5318263726755275E-4</v>
      </c>
      <c r="K87" s="203">
        <f>K$85*'Methanol recycling rates'!M45</f>
        <v>5.4002331888167783E-4</v>
      </c>
      <c r="L87" s="203">
        <f>L$85*'Methanol recycling rates'!N45</f>
        <v>6.2985268648891918E-4</v>
      </c>
      <c r="M87" s="203">
        <f>M$85*'Methanol recycling rates'!O45</f>
        <v>7.2150107177017427E-4</v>
      </c>
      <c r="N87" s="203">
        <f>N$85*'Methanol recycling rates'!P45</f>
        <v>8.027469661749029E-4</v>
      </c>
      <c r="O87" s="203">
        <f>O$85*'Methanol recycling rates'!Q45</f>
        <v>8.8046985529782989E-4</v>
      </c>
      <c r="P87" s="203">
        <f>P$85*'Methanol recycling rates'!R45</f>
        <v>9.532981330681768E-4</v>
      </c>
      <c r="Q87" s="203">
        <f>Q$85*'Methanol recycling rates'!S45</f>
        <v>1.01983683658251E-3</v>
      </c>
      <c r="R87" s="203">
        <f>R$85*'Methanol recycling rates'!T45</f>
        <v>1.07866764610474E-3</v>
      </c>
      <c r="S87" s="203">
        <f>S$85*'Methanol recycling rates'!U45</f>
        <v>1.1283488850661221E-3</v>
      </c>
      <c r="T87" s="203">
        <f>T$85*'Methanol recycling rates'!V45</f>
        <v>1.1674155200652565E-3</v>
      </c>
      <c r="U87" s="203">
        <f>U$85*'Methanol recycling rates'!W45</f>
        <v>1.194379160868086E-3</v>
      </c>
      <c r="V87" s="203">
        <f>V$85*'Methanol recycling rates'!X45</f>
        <v>1.2077280604079004E-3</v>
      </c>
      <c r="W87" s="203">
        <f>W$85*'Methanol recycling rates'!Y45</f>
        <v>1.2059271147853328E-3</v>
      </c>
      <c r="X87" s="203">
        <f>X$85*'Methanol recycling rates'!Z45</f>
        <v>1.2134031738298824E-3</v>
      </c>
      <c r="Y87" s="203">
        <f>Y$85*'Methanol recycling rates'!AA45</f>
        <v>1.1992445466710128E-3</v>
      </c>
      <c r="Z87" s="203">
        <f>Z$85*'Methanol recycling rates'!AB45</f>
        <v>1.1609626448373836E-3</v>
      </c>
      <c r="AA87" s="203">
        <f>AA$85*'Methanol recycling rates'!AC45</f>
        <v>1.0960298272334524E-3</v>
      </c>
      <c r="AB87" s="203">
        <f>AB$85*'Methanol recycling rates'!AD45</f>
        <v>1.0018794001394789E-3</v>
      </c>
      <c r="AC87" s="203">
        <f>AC$85*'Methanol recycling rates'!AE45</f>
        <v>8.7590561721152121E-4</v>
      </c>
      <c r="AD87" s="203">
        <f>AD$85*'Methanol recycling rates'!AF45</f>
        <v>7.1546367948143797E-4</v>
      </c>
      <c r="AE87" s="203">
        <f>AE$85*'Methanol recycling rates'!AG45</f>
        <v>5.1786973535688824E-4</v>
      </c>
      <c r="AF87" s="203">
        <f>AF$85*'Methanol recycling rates'!AH45</f>
        <v>2.8040088062133062E-4</v>
      </c>
      <c r="AG87" s="203">
        <f>AG$85*'Methanol recycling rates'!AI45</f>
        <v>2.9515843402791571E-7</v>
      </c>
      <c r="AH87" s="217"/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1040</v>
      </c>
      <c r="C88" s="203">
        <f>C$85*'Methanol recycling rates'!E46</f>
        <v>0</v>
      </c>
      <c r="D88" s="203">
        <f>D$85*'Methanol recycling rates'!F46</f>
        <v>8.6889970671470668E-8</v>
      </c>
      <c r="E88" s="203">
        <f>E$85*'Methanol recycling rates'!G46</f>
        <v>3.895315796529303E-7</v>
      </c>
      <c r="F88" s="203">
        <f>F$85*'Methanol recycling rates'!H46</f>
        <v>9.7817746362841681E-7</v>
      </c>
      <c r="G88" s="203">
        <f>G$85*'Methanol recycling rates'!I46</f>
        <v>1.9303777201359219E-6</v>
      </c>
      <c r="H88" s="203">
        <f>H$85*'Methanol recycling rates'!J46</f>
        <v>3.3309799075673893E-6</v>
      </c>
      <c r="I88" s="203">
        <f>I$85*'Methanol recycling rates'!K46</f>
        <v>5.272129045168713E-6</v>
      </c>
      <c r="J88" s="203">
        <f>J$85*'Methanol recycling rates'!L46</f>
        <v>7.8532676130397445E-6</v>
      </c>
      <c r="K88" s="203">
        <f>K$85*'Methanol recycling rates'!M46</f>
        <v>1.1181135552134288E-5</v>
      </c>
      <c r="L88" s="203">
        <f>L$85*'Methanol recycling rates'!N46</f>
        <v>1.5369770264260088E-5</v>
      </c>
      <c r="M88" s="203">
        <f>M$85*'Methanol recycling rates'!O46</f>
        <v>2.0540506612078863E-5</v>
      </c>
      <c r="N88" s="203">
        <f>N$85*'Methanol recycling rates'!P46</f>
        <v>2.6461886816480201E-5</v>
      </c>
      <c r="O88" s="203">
        <f>O$85*'Methanol recycling rates'!Q46</f>
        <v>3.3421431183852204E-5</v>
      </c>
      <c r="P88" s="203">
        <f>P$85*'Methanol recycling rates'!R46</f>
        <v>4.1507215425710793E-5</v>
      </c>
      <c r="Q88" s="203">
        <f>Q$85*'Methanol recycling rates'!S46</f>
        <v>5.0808645215812526E-5</v>
      </c>
      <c r="R88" s="203">
        <f>R$85*'Methanol recycling rates'!T46</f>
        <v>6.1416456190154618E-5</v>
      </c>
      <c r="S88" s="203">
        <f>S$85*'Methanol recycling rates'!U46</f>
        <v>7.3422713946974893E-5</v>
      </c>
      <c r="T88" s="203">
        <f>T$85*'Methanol recycling rates'!V46</f>
        <v>8.6920814046751815E-5</v>
      </c>
      <c r="U88" s="203">
        <f>U$85*'Methanol recycling rates'!W46</f>
        <v>1.0200548201220444E-4</v>
      </c>
      <c r="V88" s="203">
        <f>V$85*'Methanol recycling rates'!X46</f>
        <v>1.1877277332829255E-4</v>
      </c>
      <c r="W88" s="203">
        <f>W$85*'Methanol recycling rates'!Y46</f>
        <v>1.3732007344221647E-4</v>
      </c>
      <c r="X88" s="203">
        <f>X$85*'Methanol recycling rates'!Z46</f>
        <v>1.61198194508002E-4</v>
      </c>
      <c r="Y88" s="203">
        <f>Y$85*'Methanol recycling rates'!AA46</f>
        <v>1.8776421255503042E-4</v>
      </c>
      <c r="Z88" s="203">
        <f>Z$85*'Methanol recycling rates'!AB46</f>
        <v>2.1717650865728811E-4</v>
      </c>
      <c r="AA88" s="203">
        <f>AA$85*'Methanol recycling rates'!AC46</f>
        <v>2.4959568758562762E-4</v>
      </c>
      <c r="AB88" s="203">
        <f>AB$85*'Methanol recycling rates'!AD46</f>
        <v>2.8518457780776806E-4</v>
      </c>
      <c r="AC88" s="203">
        <f>AC$85*'Methanol recycling rates'!AE46</f>
        <v>3.2410823148829482E-4</v>
      </c>
      <c r="AD88" s="203">
        <f>AD$85*'Methanol recycling rates'!AF46</f>
        <v>3.6653392448865934E-4</v>
      </c>
      <c r="AE88" s="203">
        <f>AE$85*'Methanol recycling rates'!AG46</f>
        <v>4.1263115636717984E-4</v>
      </c>
      <c r="AF88" s="203">
        <f>AF$85*'Methanol recycling rates'!AH46</f>
        <v>4.625716503790405E-4</v>
      </c>
      <c r="AG88" s="203">
        <f>AG$85*'Methanol recycling rates'!AI46</f>
        <v>5.165293534762918E-4</v>
      </c>
      <c r="AH88" s="217"/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1051</v>
      </c>
      <c r="B89" s="60"/>
      <c r="C89" s="250">
        <f>C85-$C85</f>
        <v>0</v>
      </c>
      <c r="D89" s="250">
        <f t="shared" ref="D89:AG89" si="39">D85-$C85</f>
        <v>4.5460419855494232E-5</v>
      </c>
      <c r="E89" s="250">
        <f t="shared" si="39"/>
        <v>1.0229781030669814E-4</v>
      </c>
      <c r="F89" s="250">
        <f t="shared" si="39"/>
        <v>1.7147338915734982E-4</v>
      </c>
      <c r="G89" s="250">
        <f t="shared" si="39"/>
        <v>2.5394837421118758E-4</v>
      </c>
      <c r="H89" s="250">
        <f t="shared" si="39"/>
        <v>3.5068398327194956E-4</v>
      </c>
      <c r="I89" s="250">
        <f t="shared" si="39"/>
        <v>4.6264143414337372E-4</v>
      </c>
      <c r="J89" s="250">
        <f t="shared" si="39"/>
        <v>5.9078194462919851E-4</v>
      </c>
      <c r="K89" s="250">
        <f t="shared" si="39"/>
        <v>7.3606673253316223E-4</v>
      </c>
      <c r="L89" s="250">
        <f t="shared" si="39"/>
        <v>8.9945701565900262E-4</v>
      </c>
      <c r="M89" s="250">
        <f t="shared" si="39"/>
        <v>1.0819140118104582E-3</v>
      </c>
      <c r="N89" s="250">
        <f t="shared" si="39"/>
        <v>1.2671513446923814E-3</v>
      </c>
      <c r="O89" s="250">
        <f t="shared" si="39"/>
        <v>1.4670979392566383E-3</v>
      </c>
      <c r="P89" s="250">
        <f t="shared" si="39"/>
        <v>1.6819289774479601E-3</v>
      </c>
      <c r="Q89" s="250">
        <f t="shared" si="39"/>
        <v>1.9118196412110781E-3</v>
      </c>
      <c r="R89" s="250">
        <f t="shared" si="39"/>
        <v>2.1569451124907242E-3</v>
      </c>
      <c r="S89" s="250">
        <f t="shared" si="39"/>
        <v>2.4174805732316289E-3</v>
      </c>
      <c r="T89" s="250">
        <f t="shared" si="39"/>
        <v>2.6936012053785244E-3</v>
      </c>
      <c r="U89" s="250">
        <f t="shared" si="39"/>
        <v>2.9854821908761402E-3</v>
      </c>
      <c r="V89" s="250">
        <f t="shared" si="39"/>
        <v>3.2932987116692093E-3</v>
      </c>
      <c r="W89" s="250">
        <f t="shared" si="39"/>
        <v>3.6172259497024629E-3</v>
      </c>
      <c r="X89" s="250">
        <f t="shared" si="39"/>
        <v>4.0440502133966549E-3</v>
      </c>
      <c r="Y89" s="250">
        <f t="shared" si="39"/>
        <v>4.4964447099956782E-3</v>
      </c>
      <c r="Z89" s="250">
        <f t="shared" si="39"/>
        <v>4.9747023437111239E-3</v>
      </c>
      <c r="AA89" s="250">
        <f t="shared" si="39"/>
        <v>5.4791160187545812E-3</v>
      </c>
      <c r="AB89" s="250">
        <f t="shared" si="39"/>
        <v>6.0099786393376427E-3</v>
      </c>
      <c r="AC89" s="250">
        <f t="shared" si="39"/>
        <v>6.5675831096718993E-3</v>
      </c>
      <c r="AD89" s="250">
        <f t="shared" si="39"/>
        <v>7.1522223339689373E-3</v>
      </c>
      <c r="AE89" s="250">
        <f t="shared" si="39"/>
        <v>7.7641892164403521E-3</v>
      </c>
      <c r="AF89" s="250">
        <f t="shared" si="39"/>
        <v>8.4037766612977318E-3</v>
      </c>
      <c r="AG89" s="250">
        <f t="shared" si="39"/>
        <v>9.0712775727526656E-3</v>
      </c>
      <c r="AH89" s="217"/>
      <c r="AI89" s="368"/>
      <c r="AJ89" s="369"/>
      <c r="AL89" s="194"/>
      <c r="AM89" s="116"/>
      <c r="AN89" s="116"/>
      <c r="AO89" s="116"/>
      <c r="BD89" s="116"/>
      <c r="BE89" s="116"/>
      <c r="BF89" s="116"/>
      <c r="BG89" s="116"/>
      <c r="BH89" s="116"/>
      <c r="BI89" s="116"/>
      <c r="BJ89" s="116"/>
      <c r="BK89" s="116"/>
    </row>
    <row r="90" spans="1:63" outlineLevel="1">
      <c r="A90" s="4" t="s">
        <v>35</v>
      </c>
      <c r="C90" s="203">
        <f t="shared" ref="C90:AF92" si="40">C86-$C86</f>
        <v>0</v>
      </c>
      <c r="D90" s="203">
        <f t="shared" si="40"/>
        <v>7.630068270524283E-7</v>
      </c>
      <c r="E90" s="203">
        <f t="shared" si="40"/>
        <v>3.4205933358116532E-6</v>
      </c>
      <c r="F90" s="203">
        <f t="shared" si="40"/>
        <v>8.5896689462500644E-6</v>
      </c>
      <c r="G90" s="203">
        <f t="shared" si="40"/>
        <v>1.6951224265255933E-5</v>
      </c>
      <c r="H90" s="203">
        <f t="shared" si="40"/>
        <v>2.9250331086633417E-5</v>
      </c>
      <c r="I90" s="203">
        <f t="shared" si="40"/>
        <v>4.6296142391102515E-5</v>
      </c>
      <c r="J90" s="203">
        <f t="shared" si="40"/>
        <v>6.8961892346299154E-5</v>
      </c>
      <c r="K90" s="203">
        <f t="shared" si="40"/>
        <v>9.8184896306775159E-5</v>
      </c>
      <c r="L90" s="203">
        <f t="shared" si="40"/>
        <v>1.349665508139981E-4</v>
      </c>
      <c r="M90" s="203">
        <f t="shared" si="40"/>
        <v>1.8037233359635159E-4</v>
      </c>
      <c r="N90" s="203">
        <f t="shared" si="40"/>
        <v>2.3236974465100602E-4</v>
      </c>
      <c r="O90" s="203">
        <f t="shared" si="40"/>
        <v>2.9348358580485795E-4</v>
      </c>
      <c r="P90" s="203">
        <f t="shared" si="40"/>
        <v>3.6448727623004912E-4</v>
      </c>
      <c r="Q90" s="203">
        <f t="shared" si="40"/>
        <v>4.4616591389503684E-4</v>
      </c>
      <c r="R90" s="203">
        <f t="shared" si="40"/>
        <v>5.3931627556459379E-4</v>
      </c>
      <c r="S90" s="203">
        <f t="shared" si="40"/>
        <v>6.447468167998081E-4</v>
      </c>
      <c r="T90" s="203">
        <f t="shared" si="40"/>
        <v>7.6327767195808317E-4</v>
      </c>
      <c r="U90" s="203">
        <f t="shared" si="40"/>
        <v>8.957406541931375E-4</v>
      </c>
      <c r="V90" s="203">
        <f t="shared" si="40"/>
        <v>1.0429792554550058E-3</v>
      </c>
      <c r="W90" s="203">
        <f t="shared" si="40"/>
        <v>1.205848646490038E-3</v>
      </c>
      <c r="X90" s="203">
        <f t="shared" si="40"/>
        <v>1.4155295711075072E-3</v>
      </c>
      <c r="Y90" s="203">
        <f t="shared" si="40"/>
        <v>1.6488137232465543E-3</v>
      </c>
      <c r="Z90" s="203">
        <f t="shared" si="40"/>
        <v>1.9070918945001973E-3</v>
      </c>
      <c r="AA90" s="203">
        <f t="shared" si="40"/>
        <v>2.1917744034088932E-3</v>
      </c>
      <c r="AB90" s="203">
        <f t="shared" si="40"/>
        <v>2.5042910954605393E-3</v>
      </c>
      <c r="AC90" s="203">
        <f t="shared" si="40"/>
        <v>2.8460913430904721E-3</v>
      </c>
      <c r="AD90" s="203">
        <f t="shared" si="40"/>
        <v>3.2186440456814648E-3</v>
      </c>
      <c r="AE90" s="203">
        <f t="shared" si="40"/>
        <v>3.6234376295637347E-3</v>
      </c>
      <c r="AF90" s="203">
        <f t="shared" si="40"/>
        <v>4.0619800480149347E-3</v>
      </c>
      <c r="AG90" s="203">
        <f>AG86-$C86</f>
        <v>4.5357987812601587E-3</v>
      </c>
      <c r="AH90" s="217"/>
      <c r="AI90" s="124"/>
      <c r="AJ90" s="185"/>
      <c r="AL90" s="100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160</v>
      </c>
      <c r="C91" s="203">
        <f t="shared" si="40"/>
        <v>0</v>
      </c>
      <c r="D91" s="203">
        <f t="shared" si="40"/>
        <v>4.3934455852599906E-5</v>
      </c>
      <c r="E91" s="203">
        <f t="shared" si="40"/>
        <v>9.5456846223646578E-5</v>
      </c>
      <c r="F91" s="203">
        <f t="shared" si="40"/>
        <v>1.5429461022113439E-4</v>
      </c>
      <c r="G91" s="203">
        <f t="shared" si="40"/>
        <v>2.2004702874918691E-4</v>
      </c>
      <c r="H91" s="203">
        <f t="shared" si="40"/>
        <v>2.9218522450805655E-4</v>
      </c>
      <c r="I91" s="203">
        <f t="shared" si="40"/>
        <v>3.700521619941245E-4</v>
      </c>
      <c r="J91" s="203">
        <f t="shared" si="40"/>
        <v>4.528626474999013E-4</v>
      </c>
      <c r="K91" s="203">
        <f t="shared" si="40"/>
        <v>5.3970332911402639E-4</v>
      </c>
      <c r="L91" s="203">
        <f t="shared" si="40"/>
        <v>6.2953269672126773E-4</v>
      </c>
      <c r="M91" s="203">
        <f t="shared" si="40"/>
        <v>7.2118108200252282E-4</v>
      </c>
      <c r="N91" s="203">
        <f t="shared" si="40"/>
        <v>8.0242697640725146E-4</v>
      </c>
      <c r="O91" s="203">
        <f t="shared" si="40"/>
        <v>8.8014986553017845E-4</v>
      </c>
      <c r="P91" s="203">
        <f t="shared" si="40"/>
        <v>9.5297814330052536E-4</v>
      </c>
      <c r="Q91" s="203">
        <f t="shared" si="40"/>
        <v>1.0195168468148585E-3</v>
      </c>
      <c r="R91" s="203">
        <f t="shared" si="40"/>
        <v>1.0783476563370885E-3</v>
      </c>
      <c r="S91" s="203">
        <f t="shared" si="40"/>
        <v>1.1280288952984707E-3</v>
      </c>
      <c r="T91" s="203">
        <f t="shared" si="40"/>
        <v>1.167095530297605E-3</v>
      </c>
      <c r="U91" s="203">
        <f t="shared" si="40"/>
        <v>1.1940591711004345E-3</v>
      </c>
      <c r="V91" s="203">
        <f t="shared" si="40"/>
        <v>1.207408070640249E-3</v>
      </c>
      <c r="W91" s="203">
        <f t="shared" si="40"/>
        <v>1.2056071250176814E-3</v>
      </c>
      <c r="X91" s="203">
        <f t="shared" si="40"/>
        <v>1.213083184062231E-3</v>
      </c>
      <c r="Y91" s="203">
        <f t="shared" si="40"/>
        <v>1.1989245569033614E-3</v>
      </c>
      <c r="Z91" s="203">
        <f t="shared" si="40"/>
        <v>1.1606426550697321E-3</v>
      </c>
      <c r="AA91" s="203">
        <f t="shared" si="40"/>
        <v>1.095709837465801E-3</v>
      </c>
      <c r="AB91" s="203">
        <f t="shared" si="40"/>
        <v>1.0015594103718274E-3</v>
      </c>
      <c r="AC91" s="203">
        <f t="shared" si="40"/>
        <v>8.7558562744386977E-4</v>
      </c>
      <c r="AD91" s="203">
        <f t="shared" si="40"/>
        <v>7.1514368971378652E-4</v>
      </c>
      <c r="AE91" s="203">
        <f t="shared" si="40"/>
        <v>5.175497455892368E-4</v>
      </c>
      <c r="AF91" s="203">
        <f t="shared" si="40"/>
        <v>2.8008089085367917E-4</v>
      </c>
      <c r="AG91" s="203">
        <f t="shared" ref="AG91:AG92" si="41">AG87-$C87</f>
        <v>-2.4831333623547602E-8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1040</v>
      </c>
      <c r="C92" s="203">
        <f t="shared" si="40"/>
        <v>0</v>
      </c>
      <c r="D92" s="203">
        <f t="shared" si="40"/>
        <v>8.6889970671470668E-8</v>
      </c>
      <c r="E92" s="203">
        <f t="shared" si="40"/>
        <v>3.895315796529303E-7</v>
      </c>
      <c r="F92" s="203">
        <f t="shared" si="40"/>
        <v>9.7817746362841681E-7</v>
      </c>
      <c r="G92" s="203">
        <f t="shared" si="40"/>
        <v>1.9303777201359219E-6</v>
      </c>
      <c r="H92" s="203">
        <f t="shared" si="40"/>
        <v>3.3309799075673893E-6</v>
      </c>
      <c r="I92" s="203">
        <f t="shared" si="40"/>
        <v>5.272129045168713E-6</v>
      </c>
      <c r="J92" s="203">
        <f t="shared" si="40"/>
        <v>7.8532676130397445E-6</v>
      </c>
      <c r="K92" s="203">
        <f t="shared" si="40"/>
        <v>1.1181135552134288E-5</v>
      </c>
      <c r="L92" s="203">
        <f t="shared" si="40"/>
        <v>1.5369770264260088E-5</v>
      </c>
      <c r="M92" s="203">
        <f t="shared" si="40"/>
        <v>2.0540506612078863E-5</v>
      </c>
      <c r="N92" s="203">
        <f t="shared" si="40"/>
        <v>2.6461886816480201E-5</v>
      </c>
      <c r="O92" s="203">
        <f t="shared" si="40"/>
        <v>3.3421431183852204E-5</v>
      </c>
      <c r="P92" s="203">
        <f t="shared" si="40"/>
        <v>4.1507215425710793E-5</v>
      </c>
      <c r="Q92" s="203">
        <f t="shared" si="40"/>
        <v>5.0808645215812526E-5</v>
      </c>
      <c r="R92" s="203">
        <f t="shared" si="40"/>
        <v>6.1416456190154618E-5</v>
      </c>
      <c r="S92" s="203">
        <f t="shared" si="40"/>
        <v>7.3422713946974893E-5</v>
      </c>
      <c r="T92" s="203">
        <f t="shared" si="40"/>
        <v>8.6920814046751815E-5</v>
      </c>
      <c r="U92" s="203">
        <f t="shared" si="40"/>
        <v>1.0200548201220444E-4</v>
      </c>
      <c r="V92" s="203">
        <f t="shared" si="40"/>
        <v>1.1877277332829255E-4</v>
      </c>
      <c r="W92" s="203">
        <f t="shared" si="40"/>
        <v>1.3732007344221647E-4</v>
      </c>
      <c r="X92" s="203">
        <f t="shared" si="40"/>
        <v>1.61198194508002E-4</v>
      </c>
      <c r="Y92" s="203">
        <f t="shared" si="40"/>
        <v>1.8776421255503042E-4</v>
      </c>
      <c r="Z92" s="203">
        <f t="shared" si="40"/>
        <v>2.1717650865728811E-4</v>
      </c>
      <c r="AA92" s="203">
        <f t="shared" si="40"/>
        <v>2.4959568758562762E-4</v>
      </c>
      <c r="AB92" s="203">
        <f t="shared" si="40"/>
        <v>2.8518457780776806E-4</v>
      </c>
      <c r="AC92" s="203">
        <f t="shared" si="40"/>
        <v>3.2410823148829482E-4</v>
      </c>
      <c r="AD92" s="203">
        <f t="shared" si="40"/>
        <v>3.6653392448865934E-4</v>
      </c>
      <c r="AE92" s="203">
        <f t="shared" si="40"/>
        <v>4.1263115636717984E-4</v>
      </c>
      <c r="AF92" s="203">
        <f t="shared" si="40"/>
        <v>4.625716503790405E-4</v>
      </c>
      <c r="AG92" s="203">
        <f t="shared" si="41"/>
        <v>5.165293534762918E-4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s="1" customFormat="1" outlineLevel="1">
      <c r="A93" s="1" t="s">
        <v>1043</v>
      </c>
      <c r="B93" s="60"/>
      <c r="C93" s="250">
        <f>C39*C65</f>
        <v>0.27239027607114957</v>
      </c>
      <c r="D93" s="250">
        <f t="shared" ref="D93:AG93" si="42">D39*D65</f>
        <v>35.953345859287531</v>
      </c>
      <c r="E93" s="250">
        <f t="shared" si="42"/>
        <v>74.76100398929843</v>
      </c>
      <c r="F93" s="250">
        <f t="shared" si="42"/>
        <v>116.65982061636755</v>
      </c>
      <c r="G93" s="250">
        <f t="shared" si="42"/>
        <v>161.61447259409184</v>
      </c>
      <c r="H93" s="250">
        <f t="shared" si="42"/>
        <v>209.58985663267839</v>
      </c>
      <c r="I93" s="250">
        <f t="shared" si="42"/>
        <v>260.55108825645937</v>
      </c>
      <c r="J93" s="250">
        <f t="shared" si="42"/>
        <v>314.46350076563169</v>
      </c>
      <c r="K93" s="250">
        <f t="shared" si="42"/>
        <v>371.29264420220346</v>
      </c>
      <c r="L93" s="250">
        <f t="shared" si="42"/>
        <v>431.00428432013319</v>
      </c>
      <c r="M93" s="250">
        <f t="shared" si="42"/>
        <v>493.56440155964788</v>
      </c>
      <c r="N93" s="250">
        <f t="shared" si="42"/>
        <v>542.36265012687954</v>
      </c>
      <c r="O93" s="250">
        <f t="shared" si="42"/>
        <v>591.04911123993338</v>
      </c>
      <c r="P93" s="250">
        <f t="shared" si="42"/>
        <v>639.6195329935299</v>
      </c>
      <c r="Q93" s="250">
        <f t="shared" si="42"/>
        <v>688.06970218500771</v>
      </c>
      <c r="R93" s="250">
        <f t="shared" si="42"/>
        <v>736.39544410054543</v>
      </c>
      <c r="S93" s="250">
        <f t="shared" si="42"/>
        <v>784.59262230232628</v>
      </c>
      <c r="T93" s="250">
        <f t="shared" si="42"/>
        <v>832.65713841664126</v>
      </c>
      <c r="U93" s="250">
        <f t="shared" si="42"/>
        <v>880.58493192292622</v>
      </c>
      <c r="V93" s="250">
        <f t="shared" si="42"/>
        <v>928.37197994372991</v>
      </c>
      <c r="W93" s="250">
        <f t="shared" si="42"/>
        <v>976.01429703560837</v>
      </c>
      <c r="X93" s="250">
        <f t="shared" si="42"/>
        <v>1023.7111903859839</v>
      </c>
      <c r="Y93" s="250">
        <f t="shared" si="42"/>
        <v>1071.2725746276635</v>
      </c>
      <c r="Z93" s="250">
        <f t="shared" si="42"/>
        <v>1118.6942785246749</v>
      </c>
      <c r="AA93" s="250">
        <f t="shared" si="42"/>
        <v>1165.9721695608951</v>
      </c>
      <c r="AB93" s="250">
        <f t="shared" si="42"/>
        <v>1213.1021537248103</v>
      </c>
      <c r="AC93" s="250">
        <f t="shared" si="42"/>
        <v>1260.0801752952229</v>
      </c>
      <c r="AD93" s="250">
        <f t="shared" si="42"/>
        <v>1306.9022166279121</v>
      </c>
      <c r="AE93" s="250">
        <f t="shared" si="42"/>
        <v>1353.5642979432348</v>
      </c>
      <c r="AF93" s="250">
        <f t="shared" si="42"/>
        <v>1400.0624771146659</v>
      </c>
      <c r="AG93" s="250">
        <f t="shared" si="42"/>
        <v>1446.3928494582788</v>
      </c>
      <c r="AH93" s="217"/>
      <c r="AI93" s="368"/>
      <c r="AJ93" s="369"/>
      <c r="AL93" s="194"/>
      <c r="AM93" s="116"/>
      <c r="AN93" s="116"/>
      <c r="AO93" s="116"/>
      <c r="BD93" s="116"/>
      <c r="BE93" s="116"/>
      <c r="BF93" s="116"/>
      <c r="BG93" s="116"/>
      <c r="BH93" s="116"/>
      <c r="BI93" s="116"/>
      <c r="BJ93" s="116"/>
      <c r="BK93" s="116"/>
    </row>
    <row r="94" spans="1:63" outlineLevel="1">
      <c r="A94" s="4" t="s">
        <v>35</v>
      </c>
      <c r="C94" s="203">
        <f>C$93*'Methanol recycling rates'!E45</f>
        <v>0.27239027607114957</v>
      </c>
      <c r="D94" s="203">
        <f>D$93*'Methanol recycling rates'!F45</f>
        <v>34.754939990565369</v>
      </c>
      <c r="E94" s="203">
        <f>E$93*'Methanol recycling rates'!G45</f>
        <v>69.777099220992014</v>
      </c>
      <c r="F94" s="203">
        <f>F$93*'Methanol recycling rates'!H45</f>
        <v>104.99421812547045</v>
      </c>
      <c r="G94" s="203">
        <f>G$93*'Methanol recycling rates'!I45</f>
        <v>140.06657736506793</v>
      </c>
      <c r="H94" s="203">
        <f>H$93*'Methanol recycling rates'!J45</f>
        <v>174.65935041550037</v>
      </c>
      <c r="I94" s="203">
        <f>I$93*'Methanol recycling rates'!K45</f>
        <v>208.44256609156142</v>
      </c>
      <c r="J94" s="203">
        <f>J$93*'Methanol recycling rates'!L45</f>
        <v>241.09107128328071</v>
      </c>
      <c r="K94" s="203">
        <f>K$93*'Methanol recycling rates'!M45</f>
        <v>272.28449390281236</v>
      </c>
      <c r="L94" s="203">
        <f>L$93*'Methanol recycling rates'!N45</f>
        <v>301.70720604106265</v>
      </c>
      <c r="M94" s="203">
        <f>M$93*'Methanol recycling rates'!O45</f>
        <v>329.04828733306874</v>
      </c>
      <c r="N94" s="203">
        <f>N$93*'Methanol recycling rates'!P45</f>
        <v>343.50281550265839</v>
      </c>
      <c r="O94" s="203">
        <f>O$93*'Methanol recycling rates'!Q45</f>
        <v>354.63715902214591</v>
      </c>
      <c r="P94" s="203">
        <f>P$93*'Methanol recycling rates'!R45</f>
        <v>362.46008680029144</v>
      </c>
      <c r="Q94" s="203">
        <f>Q$93*'Methanol recycling rates'!S45</f>
        <v>366.98095529009714</v>
      </c>
      <c r="R94" s="203">
        <f>R$93*'Methanol recycling rates'!T45</f>
        <v>368.20970193168853</v>
      </c>
      <c r="S94" s="203">
        <f>S$93*'Methanol recycling rates'!U45</f>
        <v>366.15683863838956</v>
      </c>
      <c r="T94" s="203">
        <f>T$93*'Methanol recycling rates'!V45</f>
        <v>360.8334453257703</v>
      </c>
      <c r="U94" s="203">
        <f>U$93*'Methanol recycling rates'!W45</f>
        <v>352.25116348344579</v>
      </c>
      <c r="V94" s="203">
        <f>V$93*'Methanol recycling rates'!X45</f>
        <v>340.42218978940821</v>
      </c>
      <c r="W94" s="203">
        <f>W$93*'Methanol recycling rates'!Y45</f>
        <v>325.35926976667207</v>
      </c>
      <c r="X94" s="203">
        <f>X$93*'Methanol recycling rates'!Z45</f>
        <v>307.13667273278918</v>
      </c>
      <c r="Y94" s="203">
        <f>Y$93*'Methanol recycling rates'!AA45</f>
        <v>285.69824727276864</v>
      </c>
      <c r="Z94" s="203">
        <f>Z$93*'Methanol recycling rates'!AB45</f>
        <v>261.0565704641366</v>
      </c>
      <c r="AA94" s="203">
        <f>AA$93*'Methanol recycling rates'!AC45</f>
        <v>233.22478327609733</v>
      </c>
      <c r="AB94" s="203">
        <f>AB$93*'Methanol recycling rates'!AD45</f>
        <v>202.21658408055623</v>
      </c>
      <c r="AC94" s="203">
        <f>AC$93*'Methanol recycling rates'!AE45</f>
        <v>168.04622220631504</v>
      </c>
      <c r="AD94" s="203">
        <f>AD$93*'Methanol recycling rates'!AF45</f>
        <v>130.72849153621991</v>
      </c>
      <c r="AE94" s="203">
        <f>AE$93*'Methanol recycling rates'!AG45</f>
        <v>90.278724147038744</v>
      </c>
      <c r="AF94" s="203">
        <f>AF$93*'Methanol recycling rates'!AH45</f>
        <v>46.712783991848404</v>
      </c>
      <c r="AG94" s="203">
        <f>AG$93*'Methanol recycling rates'!AI45</f>
        <v>4.7060624712795637E-2</v>
      </c>
      <c r="AH94" s="217"/>
      <c r="AI94" s="124"/>
      <c r="AJ94" s="185"/>
      <c r="AL94" s="100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160</v>
      </c>
      <c r="C95" s="203">
        <f>C$93*'Methanol recycling rates'!E46</f>
        <v>0</v>
      </c>
      <c r="D95" s="203">
        <f>D$93*'Methanol recycling rates'!F46</f>
        <v>6.8238471279979729E-2</v>
      </c>
      <c r="E95" s="203">
        <f>E$93*'Methanol recycling rates'!G46</f>
        <v>0.28378869902970894</v>
      </c>
      <c r="F95" s="203">
        <f>F$93*'Methanol recycling rates'!H46</f>
        <v>0.66425148717566418</v>
      </c>
      <c r="G95" s="203">
        <f>G$93*'Methanol recycling rates'!I46</f>
        <v>1.2269594701648219</v>
      </c>
      <c r="H95" s="203">
        <f>H$93*'Methanol recycling rates'!J46</f>
        <v>1.9889791993739507</v>
      </c>
      <c r="I95" s="203">
        <f>I$93*'Methanol recycling rates'!K46</f>
        <v>2.9671132176472539</v>
      </c>
      <c r="J95" s="203">
        <f>J$93*'Methanol recycling rates'!L46</f>
        <v>4.1779021220184909</v>
      </c>
      <c r="K95" s="203">
        <f>K$93*'Methanol recycling rates'!M46</f>
        <v>5.6376266146734357</v>
      </c>
      <c r="L95" s="203">
        <f>L$93*'Methanol recycling rates'!N46</f>
        <v>7.3623095422083216</v>
      </c>
      <c r="M95" s="203">
        <f>M$93*'Methanol recycling rates'!O46</f>
        <v>9.367717923239713</v>
      </c>
      <c r="N95" s="203">
        <f>N$93*'Methanol recycling rates'!P46</f>
        <v>11.323284930351454</v>
      </c>
      <c r="O95" s="203">
        <f>O$93*'Methanol recycling rates'!Q46</f>
        <v>13.461541396537934</v>
      </c>
      <c r="P95" s="203">
        <f>P$93*'Methanol recycling rates'!R46</f>
        <v>15.781745903162888</v>
      </c>
      <c r="Q95" s="203">
        <f>Q$93*'Methanol recycling rates'!S46</f>
        <v>18.283125779979574</v>
      </c>
      <c r="R95" s="203">
        <f>R$93*'Methanol recycling rates'!T46</f>
        <v>20.964877466327174</v>
      </c>
      <c r="S95" s="203">
        <f>S$93*'Methanol recycling rates'!U46</f>
        <v>23.826166869921337</v>
      </c>
      <c r="T95" s="203">
        <f>T$93*'Methanol recycling rates'!V46</f>
        <v>26.866129723251309</v>
      </c>
      <c r="U95" s="203">
        <f>U$93*'Methanol recycling rates'!W46</f>
        <v>30.083871937595873</v>
      </c>
      <c r="V95" s="203">
        <f>V$93*'Methanol recycling rates'!X46</f>
        <v>33.478469954670494</v>
      </c>
      <c r="W95" s="203">
        <f>W$93*'Methanol recycling rates'!Y46</f>
        <v>37.048971095917786</v>
      </c>
      <c r="X95" s="203">
        <f>X$93*'Methanol recycling rates'!Z46</f>
        <v>40.802495147142189</v>
      </c>
      <c r="Y95" s="203">
        <f>Y$93*'Methanol recycling rates'!AA46</f>
        <v>44.731415770398193</v>
      </c>
      <c r="Z95" s="203">
        <f>Z$93*'Methanol recycling rates'!AB46</f>
        <v>48.834779299369998</v>
      </c>
      <c r="AA95" s="203">
        <f>AA$93*'Methanol recycling rates'!AC46</f>
        <v>53.111602163913979</v>
      </c>
      <c r="AB95" s="203">
        <f>AB$93*'Methanol recycling rates'!AD46</f>
        <v>57.560871247291786</v>
      </c>
      <c r="AC95" s="203">
        <f>AC$93*'Methanol recycling rates'!AE46</f>
        <v>62.181544240999052</v>
      </c>
      <c r="AD95" s="203">
        <f>AD$93*'Methanol recycling rates'!AF46</f>
        <v>66.972549997202634</v>
      </c>
      <c r="AE95" s="203">
        <f>AE$93*'Methanol recycling rates'!AG46</f>
        <v>71.932788878798405</v>
      </c>
      <c r="AF95" s="203">
        <f>AF$93*'Methanol recycling rates'!AH46</f>
        <v>77.061133107101881</v>
      </c>
      <c r="AG95" s="203">
        <f>AG$93*'Methanol recycling rates'!AI46</f>
        <v>82.356427107184402</v>
      </c>
      <c r="AH95" s="217"/>
      <c r="AI95" s="124"/>
      <c r="AJ95" s="185"/>
      <c r="AL95" s="100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1040</v>
      </c>
      <c r="C96" s="203">
        <f>C$93*'Methanol recycling rates'!E47</f>
        <v>0</v>
      </c>
      <c r="D96" s="203">
        <f>D$93*'Methanol recycling rates'!F47</f>
        <v>1.1301673974421846</v>
      </c>
      <c r="E96" s="203">
        <f>E$93*'Methanol recycling rates'!G47</f>
        <v>4.7001160692767039</v>
      </c>
      <c r="F96" s="203">
        <f>F$93*'Methanol recycling rates'!H47</f>
        <v>11.001351003721432</v>
      </c>
      <c r="G96" s="203">
        <f>G$93*'Methanol recycling rates'!I47</f>
        <v>20.320935758859083</v>
      </c>
      <c r="H96" s="203">
        <f>H$93*'Methanol recycling rates'!J47</f>
        <v>32.941527017804049</v>
      </c>
      <c r="I96" s="203">
        <f>I$93*'Methanol recycling rates'!K47</f>
        <v>49.141408947250653</v>
      </c>
      <c r="J96" s="203">
        <f>J$93*'Methanol recycling rates'!L47</f>
        <v>69.194527360332444</v>
      </c>
      <c r="K96" s="203">
        <f>K$93*'Methanol recycling rates'!M47</f>
        <v>93.370523684717597</v>
      </c>
      <c r="L96" s="203">
        <f>L$93*'Methanol recycling rates'!N47</f>
        <v>121.93476873686215</v>
      </c>
      <c r="M96" s="203">
        <f>M$93*'Methanol recycling rates'!O47</f>
        <v>155.14839630333927</v>
      </c>
      <c r="N96" s="203">
        <f>N$93*'Methanol recycling rates'!P47</f>
        <v>187.53654969386955</v>
      </c>
      <c r="O96" s="203">
        <f>O$93*'Methanol recycling rates'!Q47</f>
        <v>222.95041082124933</v>
      </c>
      <c r="P96" s="203">
        <f>P$93*'Methanol recycling rates'!R47</f>
        <v>261.37770029007538</v>
      </c>
      <c r="Q96" s="203">
        <f>Q$93*'Methanol recycling rates'!S47</f>
        <v>302.80562111493077</v>
      </c>
      <c r="R96" s="203">
        <f>R$93*'Methanol recycling rates'!T47</f>
        <v>347.22086470252947</v>
      </c>
      <c r="S96" s="203">
        <f>S$93*'Methanol recycling rates'!U47</f>
        <v>394.60961679401504</v>
      </c>
      <c r="T96" s="203">
        <f>T$93*'Methanol recycling rates'!V47</f>
        <v>444.95756336761934</v>
      </c>
      <c r="U96" s="203">
        <f>U$93*'Methanol recycling rates'!W47</f>
        <v>498.24989650188428</v>
      </c>
      <c r="V96" s="203">
        <f>V$93*'Methanol recycling rates'!X47</f>
        <v>554.4713201996509</v>
      </c>
      <c r="W96" s="203">
        <f>W$93*'Methanol recycling rates'!Y47</f>
        <v>613.60605617301826</v>
      </c>
      <c r="X96" s="203">
        <f>X$93*'Methanol recycling rates'!Z47</f>
        <v>675.77202250605228</v>
      </c>
      <c r="Y96" s="203">
        <f>Y$93*'Methanol recycling rates'!AA47</f>
        <v>740.84291158449639</v>
      </c>
      <c r="Z96" s="203">
        <f>Z$93*'Methanol recycling rates'!AB47</f>
        <v>808.80292876116823</v>
      </c>
      <c r="AA96" s="203">
        <f>AA$93*'Methanol recycling rates'!AC47</f>
        <v>879.63578412088361</v>
      </c>
      <c r="AB96" s="203">
        <f>AB$93*'Methanol recycling rates'!AD47</f>
        <v>953.32469839696216</v>
      </c>
      <c r="AC96" s="203">
        <f>AC$93*'Methanol recycling rates'!AE47</f>
        <v>1029.8524088479089</v>
      </c>
      <c r="AD96" s="203">
        <f>AD$93*'Methanol recycling rates'!AF47</f>
        <v>1109.2011750944896</v>
      </c>
      <c r="AE96" s="203">
        <f>AE$93*'Methanol recycling rates'!AG47</f>
        <v>1191.3527849173979</v>
      </c>
      <c r="AF96" s="203">
        <f>AF$93*'Methanol recycling rates'!AH47</f>
        <v>1276.2885600157158</v>
      </c>
      <c r="AG96" s="203">
        <f>AG$93*'Methanol recycling rates'!AI47</f>
        <v>1363.9893617263817</v>
      </c>
      <c r="AH96" s="217"/>
      <c r="AI96" s="124"/>
      <c r="AJ96" s="185"/>
      <c r="AL96" s="100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s="1" customFormat="1" outlineLevel="1">
      <c r="A97" s="1" t="s">
        <v>1046</v>
      </c>
      <c r="B97" s="60"/>
      <c r="C97" s="250">
        <f>C93-$C93</f>
        <v>0</v>
      </c>
      <c r="D97" s="250">
        <f t="shared" ref="D97:AG97" si="43">D93-$C93</f>
        <v>35.680955583216381</v>
      </c>
      <c r="E97" s="250">
        <f t="shared" si="43"/>
        <v>74.488613713227281</v>
      </c>
      <c r="F97" s="250">
        <f t="shared" si="43"/>
        <v>116.3874303402964</v>
      </c>
      <c r="G97" s="250">
        <f t="shared" si="43"/>
        <v>161.34208231802069</v>
      </c>
      <c r="H97" s="250">
        <f t="shared" si="43"/>
        <v>209.31746635660724</v>
      </c>
      <c r="I97" s="250">
        <f t="shared" si="43"/>
        <v>260.27869798038824</v>
      </c>
      <c r="J97" s="250">
        <f t="shared" si="43"/>
        <v>314.19111048956057</v>
      </c>
      <c r="K97" s="250">
        <f t="shared" si="43"/>
        <v>371.02025392613234</v>
      </c>
      <c r="L97" s="250">
        <f t="shared" si="43"/>
        <v>430.73189404406207</v>
      </c>
      <c r="M97" s="250">
        <f t="shared" si="43"/>
        <v>493.29201128357676</v>
      </c>
      <c r="N97" s="250">
        <f t="shared" si="43"/>
        <v>542.09025985080837</v>
      </c>
      <c r="O97" s="250">
        <f t="shared" si="43"/>
        <v>590.7767209638622</v>
      </c>
      <c r="P97" s="250">
        <f t="shared" si="43"/>
        <v>639.34714271745872</v>
      </c>
      <c r="Q97" s="250">
        <f t="shared" si="43"/>
        <v>687.79731190893654</v>
      </c>
      <c r="R97" s="250">
        <f t="shared" si="43"/>
        <v>736.12305382447425</v>
      </c>
      <c r="S97" s="250">
        <f t="shared" si="43"/>
        <v>784.3202320262551</v>
      </c>
      <c r="T97" s="250">
        <f t="shared" si="43"/>
        <v>832.38474814057008</v>
      </c>
      <c r="U97" s="250">
        <f t="shared" si="43"/>
        <v>880.31254164685504</v>
      </c>
      <c r="V97" s="250">
        <f t="shared" si="43"/>
        <v>928.09958966765873</v>
      </c>
      <c r="W97" s="250">
        <f t="shared" si="43"/>
        <v>975.74190675953719</v>
      </c>
      <c r="X97" s="250">
        <f t="shared" si="43"/>
        <v>1023.4388001099127</v>
      </c>
      <c r="Y97" s="250">
        <f t="shared" si="43"/>
        <v>1071.0001843515925</v>
      </c>
      <c r="Z97" s="250">
        <f t="shared" si="43"/>
        <v>1118.4218882486039</v>
      </c>
      <c r="AA97" s="250">
        <f t="shared" si="43"/>
        <v>1165.699779284824</v>
      </c>
      <c r="AB97" s="250">
        <f t="shared" si="43"/>
        <v>1212.8297634487392</v>
      </c>
      <c r="AC97" s="250">
        <f t="shared" si="43"/>
        <v>1259.8077850191519</v>
      </c>
      <c r="AD97" s="250">
        <f t="shared" si="43"/>
        <v>1306.6298263518411</v>
      </c>
      <c r="AE97" s="250">
        <f t="shared" si="43"/>
        <v>1353.2919076671637</v>
      </c>
      <c r="AF97" s="250">
        <f t="shared" si="43"/>
        <v>1399.7900868385948</v>
      </c>
      <c r="AG97" s="250">
        <f t="shared" si="43"/>
        <v>1446.1204591822077</v>
      </c>
      <c r="AH97" s="217"/>
      <c r="AI97" s="368"/>
      <c r="AJ97" s="369"/>
      <c r="AL97" s="194"/>
      <c r="AM97" s="116"/>
      <c r="AN97" s="116"/>
      <c r="AO97" s="116"/>
      <c r="BD97" s="116"/>
      <c r="BE97" s="116"/>
      <c r="BF97" s="116"/>
      <c r="BG97" s="116"/>
      <c r="BH97" s="116"/>
      <c r="BI97" s="116"/>
      <c r="BJ97" s="116"/>
      <c r="BK97" s="116"/>
    </row>
    <row r="98" spans="1:63" outlineLevel="1">
      <c r="A98" s="4" t="s">
        <v>35</v>
      </c>
      <c r="C98" s="203">
        <f t="shared" ref="C98:AF100" si="44">C94-$C94</f>
        <v>0</v>
      </c>
      <c r="D98" s="203">
        <f t="shared" si="44"/>
        <v>34.482549714494219</v>
      </c>
      <c r="E98" s="203">
        <f t="shared" si="44"/>
        <v>69.504708944920864</v>
      </c>
      <c r="F98" s="203">
        <f t="shared" si="44"/>
        <v>104.7218278493993</v>
      </c>
      <c r="G98" s="203">
        <f t="shared" si="44"/>
        <v>139.79418708899678</v>
      </c>
      <c r="H98" s="203">
        <f t="shared" si="44"/>
        <v>174.38696013942922</v>
      </c>
      <c r="I98" s="203">
        <f t="shared" si="44"/>
        <v>208.17017581549027</v>
      </c>
      <c r="J98" s="203">
        <f t="shared" si="44"/>
        <v>240.81868100720956</v>
      </c>
      <c r="K98" s="203">
        <f t="shared" si="44"/>
        <v>272.01210362674124</v>
      </c>
      <c r="L98" s="203">
        <f t="shared" si="44"/>
        <v>301.43481576499153</v>
      </c>
      <c r="M98" s="203">
        <f t="shared" si="44"/>
        <v>328.77589705699762</v>
      </c>
      <c r="N98" s="203">
        <f t="shared" si="44"/>
        <v>343.23042522658727</v>
      </c>
      <c r="O98" s="203">
        <f t="shared" si="44"/>
        <v>354.36476874607479</v>
      </c>
      <c r="P98" s="203">
        <f t="shared" si="44"/>
        <v>362.18769652422031</v>
      </c>
      <c r="Q98" s="203">
        <f t="shared" si="44"/>
        <v>366.70856501402602</v>
      </c>
      <c r="R98" s="203">
        <f t="shared" si="44"/>
        <v>367.93731165561741</v>
      </c>
      <c r="S98" s="203">
        <f t="shared" si="44"/>
        <v>365.88444836231844</v>
      </c>
      <c r="T98" s="203">
        <f t="shared" si="44"/>
        <v>360.56105504969918</v>
      </c>
      <c r="U98" s="203">
        <f t="shared" si="44"/>
        <v>351.97877320737467</v>
      </c>
      <c r="V98" s="203">
        <f t="shared" si="44"/>
        <v>340.14979951333709</v>
      </c>
      <c r="W98" s="203">
        <f t="shared" si="44"/>
        <v>325.08687949060095</v>
      </c>
      <c r="X98" s="203">
        <f t="shared" si="44"/>
        <v>306.86428245671806</v>
      </c>
      <c r="Y98" s="203">
        <f t="shared" si="44"/>
        <v>285.42585699669752</v>
      </c>
      <c r="Z98" s="203">
        <f t="shared" si="44"/>
        <v>260.78418018806548</v>
      </c>
      <c r="AA98" s="203">
        <f t="shared" si="44"/>
        <v>232.95239300002618</v>
      </c>
      <c r="AB98" s="203">
        <f t="shared" si="44"/>
        <v>201.94419380448508</v>
      </c>
      <c r="AC98" s="203">
        <f t="shared" si="44"/>
        <v>167.77383193024389</v>
      </c>
      <c r="AD98" s="203">
        <f t="shared" si="44"/>
        <v>130.45610126014876</v>
      </c>
      <c r="AE98" s="203">
        <f t="shared" si="44"/>
        <v>90.006333870967595</v>
      </c>
      <c r="AF98" s="203">
        <f t="shared" si="44"/>
        <v>46.440393715777255</v>
      </c>
      <c r="AG98" s="203">
        <f>AG94-$C94</f>
        <v>-0.22532965135835392</v>
      </c>
      <c r="AH98" s="217"/>
      <c r="AI98" s="124"/>
      <c r="AJ98" s="185"/>
      <c r="AL98" s="100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160</v>
      </c>
      <c r="C99" s="203">
        <f t="shared" si="44"/>
        <v>0</v>
      </c>
      <c r="D99" s="203">
        <f t="shared" si="44"/>
        <v>6.8238471279979729E-2</v>
      </c>
      <c r="E99" s="203">
        <f t="shared" si="44"/>
        <v>0.28378869902970894</v>
      </c>
      <c r="F99" s="203">
        <f t="shared" si="44"/>
        <v>0.66425148717566418</v>
      </c>
      <c r="G99" s="203">
        <f t="shared" si="44"/>
        <v>1.2269594701648219</v>
      </c>
      <c r="H99" s="203">
        <f t="shared" si="44"/>
        <v>1.9889791993739507</v>
      </c>
      <c r="I99" s="203">
        <f t="shared" si="44"/>
        <v>2.9671132176472539</v>
      </c>
      <c r="J99" s="203">
        <f t="shared" si="44"/>
        <v>4.1779021220184909</v>
      </c>
      <c r="K99" s="203">
        <f t="shared" si="44"/>
        <v>5.6376266146734357</v>
      </c>
      <c r="L99" s="203">
        <f t="shared" si="44"/>
        <v>7.3623095422083216</v>
      </c>
      <c r="M99" s="203">
        <f t="shared" si="44"/>
        <v>9.367717923239713</v>
      </c>
      <c r="N99" s="203">
        <f t="shared" si="44"/>
        <v>11.323284930351454</v>
      </c>
      <c r="O99" s="203">
        <f t="shared" si="44"/>
        <v>13.461541396537934</v>
      </c>
      <c r="P99" s="203">
        <f t="shared" si="44"/>
        <v>15.781745903162888</v>
      </c>
      <c r="Q99" s="203">
        <f t="shared" si="44"/>
        <v>18.283125779979574</v>
      </c>
      <c r="R99" s="203">
        <f t="shared" si="44"/>
        <v>20.964877466327174</v>
      </c>
      <c r="S99" s="203">
        <f t="shared" si="44"/>
        <v>23.826166869921337</v>
      </c>
      <c r="T99" s="203">
        <f t="shared" si="44"/>
        <v>26.866129723251309</v>
      </c>
      <c r="U99" s="203">
        <f t="shared" si="44"/>
        <v>30.083871937595873</v>
      </c>
      <c r="V99" s="203">
        <f t="shared" si="44"/>
        <v>33.478469954670494</v>
      </c>
      <c r="W99" s="203">
        <f t="shared" si="44"/>
        <v>37.048971095917786</v>
      </c>
      <c r="X99" s="203">
        <f t="shared" si="44"/>
        <v>40.802495147142189</v>
      </c>
      <c r="Y99" s="203">
        <f t="shared" si="44"/>
        <v>44.731415770398193</v>
      </c>
      <c r="Z99" s="203">
        <f t="shared" si="44"/>
        <v>48.834779299369998</v>
      </c>
      <c r="AA99" s="203">
        <f t="shared" si="44"/>
        <v>53.111602163913979</v>
      </c>
      <c r="AB99" s="203">
        <f t="shared" si="44"/>
        <v>57.560871247291786</v>
      </c>
      <c r="AC99" s="203">
        <f t="shared" si="44"/>
        <v>62.181544240999052</v>
      </c>
      <c r="AD99" s="203">
        <f t="shared" si="44"/>
        <v>66.972549997202634</v>
      </c>
      <c r="AE99" s="203">
        <f t="shared" si="44"/>
        <v>71.932788878798405</v>
      </c>
      <c r="AF99" s="203">
        <f t="shared" si="44"/>
        <v>77.061133107101881</v>
      </c>
      <c r="AG99" s="203">
        <f t="shared" ref="AG99:AG100" si="45">AG95-$C95</f>
        <v>82.356427107184402</v>
      </c>
      <c r="AH99" s="217"/>
      <c r="AI99" s="124"/>
      <c r="AJ99" s="185"/>
      <c r="AL99" s="100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1040</v>
      </c>
      <c r="C100" s="203">
        <f t="shared" si="44"/>
        <v>0</v>
      </c>
      <c r="D100" s="203">
        <f t="shared" si="44"/>
        <v>1.1301673974421846</v>
      </c>
      <c r="E100" s="203">
        <f t="shared" si="44"/>
        <v>4.7001160692767039</v>
      </c>
      <c r="F100" s="203">
        <f t="shared" si="44"/>
        <v>11.001351003721432</v>
      </c>
      <c r="G100" s="203">
        <f t="shared" si="44"/>
        <v>20.320935758859083</v>
      </c>
      <c r="H100" s="203">
        <f t="shared" si="44"/>
        <v>32.941527017804049</v>
      </c>
      <c r="I100" s="203">
        <f t="shared" si="44"/>
        <v>49.141408947250653</v>
      </c>
      <c r="J100" s="203">
        <f t="shared" si="44"/>
        <v>69.194527360332444</v>
      </c>
      <c r="K100" s="203">
        <f t="shared" si="44"/>
        <v>93.370523684717597</v>
      </c>
      <c r="L100" s="203">
        <f t="shared" si="44"/>
        <v>121.93476873686215</v>
      </c>
      <c r="M100" s="203">
        <f t="shared" si="44"/>
        <v>155.14839630333927</v>
      </c>
      <c r="N100" s="203">
        <f t="shared" si="44"/>
        <v>187.53654969386955</v>
      </c>
      <c r="O100" s="203">
        <f t="shared" si="44"/>
        <v>222.95041082124933</v>
      </c>
      <c r="P100" s="203">
        <f t="shared" si="44"/>
        <v>261.37770029007538</v>
      </c>
      <c r="Q100" s="203">
        <f t="shared" si="44"/>
        <v>302.80562111493077</v>
      </c>
      <c r="R100" s="203">
        <f t="shared" si="44"/>
        <v>347.22086470252947</v>
      </c>
      <c r="S100" s="203">
        <f t="shared" si="44"/>
        <v>394.60961679401504</v>
      </c>
      <c r="T100" s="203">
        <f t="shared" si="44"/>
        <v>444.95756336761934</v>
      </c>
      <c r="U100" s="203">
        <f t="shared" si="44"/>
        <v>498.24989650188428</v>
      </c>
      <c r="V100" s="203">
        <f t="shared" si="44"/>
        <v>554.4713201996509</v>
      </c>
      <c r="W100" s="203">
        <f t="shared" si="44"/>
        <v>613.60605617301826</v>
      </c>
      <c r="X100" s="203">
        <f t="shared" si="44"/>
        <v>675.77202250605228</v>
      </c>
      <c r="Y100" s="203">
        <f t="shared" si="44"/>
        <v>740.84291158449639</v>
      </c>
      <c r="Z100" s="203">
        <f t="shared" si="44"/>
        <v>808.80292876116823</v>
      </c>
      <c r="AA100" s="203">
        <f t="shared" si="44"/>
        <v>879.63578412088361</v>
      </c>
      <c r="AB100" s="203">
        <f t="shared" si="44"/>
        <v>953.32469839696216</v>
      </c>
      <c r="AC100" s="203">
        <f t="shared" si="44"/>
        <v>1029.8524088479089</v>
      </c>
      <c r="AD100" s="203">
        <f t="shared" si="44"/>
        <v>1109.2011750944896</v>
      </c>
      <c r="AE100" s="203">
        <f t="shared" si="44"/>
        <v>1191.3527849173979</v>
      </c>
      <c r="AF100" s="203">
        <f t="shared" si="44"/>
        <v>1276.2885600157158</v>
      </c>
      <c r="AG100" s="203">
        <f t="shared" si="45"/>
        <v>1363.9893617263817</v>
      </c>
      <c r="AH100" s="217"/>
      <c r="AI100" s="124"/>
      <c r="AJ100" s="185"/>
      <c r="AL100" s="100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s="1" customFormat="1" outlineLevel="1">
      <c r="A101" s="1" t="s">
        <v>1044</v>
      </c>
      <c r="B101" s="60"/>
      <c r="C101" s="250">
        <f>C39*C67</f>
        <v>1.2611295527884407</v>
      </c>
      <c r="D101" s="250">
        <f t="shared" ref="D101:AG101" si="46">D39*D67</f>
        <v>167.02387321880374</v>
      </c>
      <c r="E101" s="250">
        <f t="shared" si="46"/>
        <v>348.48214522185367</v>
      </c>
      <c r="F101" s="250">
        <f t="shared" si="46"/>
        <v>545.61706642413662</v>
      </c>
      <c r="G101" s="250">
        <f t="shared" si="46"/>
        <v>758.40856075430327</v>
      </c>
      <c r="H101" s="250">
        <f t="shared" si="46"/>
        <v>986.83536763084601</v>
      </c>
      <c r="I101" s="250">
        <f t="shared" si="46"/>
        <v>1230.8750543068486</v>
      </c>
      <c r="J101" s="250">
        <f t="shared" si="46"/>
        <v>1490.5040281364918</v>
      </c>
      <c r="K101" s="250">
        <f t="shared" si="46"/>
        <v>1765.6975487637048</v>
      </c>
      <c r="L101" s="250">
        <f t="shared" si="46"/>
        <v>2056.4297402333486</v>
      </c>
      <c r="M101" s="250">
        <f t="shared" si="46"/>
        <v>2362.6736030253301</v>
      </c>
      <c r="N101" s="250">
        <f t="shared" si="46"/>
        <v>2604.7893589357991</v>
      </c>
      <c r="O101" s="250">
        <f t="shared" si="46"/>
        <v>2847.8997068601402</v>
      </c>
      <c r="P101" s="250">
        <f t="shared" si="46"/>
        <v>3091.9788242095301</v>
      </c>
      <c r="Q101" s="250">
        <f t="shared" si="46"/>
        <v>3337.0008089079138</v>
      </c>
      <c r="R101" s="250">
        <f t="shared" si="46"/>
        <v>3582.9396813919216</v>
      </c>
      <c r="S101" s="250">
        <f t="shared" si="46"/>
        <v>3829.7693865952438</v>
      </c>
      <c r="T101" s="250">
        <f t="shared" si="46"/>
        <v>4077.4637959175398</v>
      </c>
      <c r="U101" s="250">
        <f t="shared" si="46"/>
        <v>4325.9967091779608</v>
      </c>
      <c r="V101" s="250">
        <f t="shared" si="46"/>
        <v>4575.3418565533757</v>
      </c>
      <c r="W101" s="250">
        <f t="shared" si="46"/>
        <v>4825.4729005013769</v>
      </c>
      <c r="X101" s="250">
        <f t="shared" si="46"/>
        <v>5077.3715376265445</v>
      </c>
      <c r="Y101" s="250">
        <f t="shared" si="46"/>
        <v>5330.0945742643516</v>
      </c>
      <c r="Z101" s="250">
        <f t="shared" si="46"/>
        <v>5583.6148045026648</v>
      </c>
      <c r="AA101" s="250">
        <f t="shared" si="46"/>
        <v>5837.904954177724</v>
      </c>
      <c r="AB101" s="250">
        <f t="shared" si="46"/>
        <v>6092.9376828344921</v>
      </c>
      <c r="AC101" s="250">
        <f t="shared" si="46"/>
        <v>6348.6855856714938</v>
      </c>
      <c r="AD101" s="250">
        <f t="shared" si="46"/>
        <v>6605.121195470254</v>
      </c>
      <c r="AE101" s="250">
        <f t="shared" si="46"/>
        <v>6862.2169845094231</v>
      </c>
      <c r="AF101" s="250">
        <f t="shared" si="46"/>
        <v>7119.9453664636349</v>
      </c>
      <c r="AG101" s="250">
        <f t="shared" si="46"/>
        <v>7378.2786982872431</v>
      </c>
      <c r="AH101" s="217"/>
      <c r="AI101" s="368"/>
      <c r="AJ101" s="369"/>
      <c r="AL101" s="194"/>
      <c r="AM101" s="116"/>
      <c r="AN101" s="116"/>
      <c r="AO101" s="116"/>
      <c r="BD101" s="116"/>
      <c r="BE101" s="116"/>
      <c r="BF101" s="116"/>
      <c r="BG101" s="116"/>
      <c r="BH101" s="116"/>
      <c r="BI101" s="116"/>
      <c r="BJ101" s="116"/>
      <c r="BK101" s="116"/>
    </row>
    <row r="102" spans="1:63" outlineLevel="1">
      <c r="A102" s="4" t="s">
        <v>35</v>
      </c>
      <c r="C102" s="203">
        <f>C$101*'Methanol recycling rates'!E42</f>
        <v>1.2611295527884407</v>
      </c>
      <c r="D102" s="203">
        <f>D$101*'Methanol recycling rates'!F42</f>
        <v>161.45641077817695</v>
      </c>
      <c r="E102" s="203">
        <f>E$101*'Methanol recycling rates'!G42</f>
        <v>325.2500022070634</v>
      </c>
      <c r="F102" s="203">
        <f>F$101*'Methanol recycling rates'!H42</f>
        <v>491.05535978172298</v>
      </c>
      <c r="G102" s="203">
        <f>G$101*'Methanol recycling rates'!I42</f>
        <v>657.28741932039622</v>
      </c>
      <c r="H102" s="203">
        <f>H$101*'Methanol recycling rates'!J42</f>
        <v>822.36280635903836</v>
      </c>
      <c r="I102" s="203">
        <f>I$101*'Methanol recycling rates'!K42</f>
        <v>984.70004344547897</v>
      </c>
      <c r="J102" s="203">
        <f>J$101*'Methanol recycling rates'!L42</f>
        <v>1142.7197549046439</v>
      </c>
      <c r="K102" s="203">
        <f>K$101*'Methanol recycling rates'!M42</f>
        <v>1294.8448690933837</v>
      </c>
      <c r="L102" s="203">
        <f>L$101*'Methanol recycling rates'!N42</f>
        <v>1439.5008181633441</v>
      </c>
      <c r="M102" s="203">
        <f>M$101*'Methanol recycling rates'!O42</f>
        <v>1575.1157353502201</v>
      </c>
      <c r="N102" s="203">
        <f>N$101*'Methanol recycling rates'!P42</f>
        <v>1649.6999273260062</v>
      </c>
      <c r="O102" s="203">
        <f>O$101*'Methanol recycling rates'!Q42</f>
        <v>1708.7398241160845</v>
      </c>
      <c r="P102" s="203">
        <f>P$101*'Methanol recycling rates'!R42</f>
        <v>1752.1213337187339</v>
      </c>
      <c r="Q102" s="203">
        <f>Q$101*'Methanol recycling rates'!S42</f>
        <v>1779.7337647508878</v>
      </c>
      <c r="R102" s="203">
        <f>R$101*'Methanol recycling rates'!T42</f>
        <v>1791.4698406959612</v>
      </c>
      <c r="S102" s="203">
        <f>S$101*'Methanol recycling rates'!U42</f>
        <v>1787.2257137444476</v>
      </c>
      <c r="T102" s="203">
        <f>T$101*'Methanol recycling rates'!V42</f>
        <v>1766.9009782309345</v>
      </c>
      <c r="U102" s="203">
        <f>U$101*'Methanol recycling rates'!W42</f>
        <v>1730.3986836711849</v>
      </c>
      <c r="V102" s="203">
        <f>V$101*'Methanol recycling rates'!X42</f>
        <v>1677.6253474029052</v>
      </c>
      <c r="W102" s="203">
        <f>W$101*'Methanol recycling rates'!Y42</f>
        <v>1608.490966833793</v>
      </c>
      <c r="X102" s="203">
        <f>X$101*'Methanol recycling rates'!Z42</f>
        <v>1523.2114612879641</v>
      </c>
      <c r="Y102" s="203">
        <f>Y$101*'Methanol recycling rates'!AA42</f>
        <v>1421.3585531371614</v>
      </c>
      <c r="Z102" s="203">
        <f>Z$101*'Methanol recycling rates'!AB42</f>
        <v>1302.843454383956</v>
      </c>
      <c r="AA102" s="203">
        <f>AA$101*'Methanol recycling rates'!AC42</f>
        <v>1167.5809908355459</v>
      </c>
      <c r="AB102" s="203">
        <f>AB$101*'Methanol recycling rates'!AD42</f>
        <v>1015.4896138057499</v>
      </c>
      <c r="AC102" s="203">
        <f>AC$101*'Methanol recycling rates'!AE42</f>
        <v>846.49141142286703</v>
      </c>
      <c r="AD102" s="203">
        <f>AD$101*'Methanol recycling rates'!AF42</f>
        <v>660.51211954702671</v>
      </c>
      <c r="AE102" s="203">
        <f>AE$101*'Methanol recycling rates'!AG42</f>
        <v>457.48113230062961</v>
      </c>
      <c r="AF102" s="203">
        <f>AF$101*'Methanol recycling rates'!AH42</f>
        <v>237.33151221545597</v>
      </c>
      <c r="AG102" s="203">
        <f>AG$101*'Methanol recycling rates'!AI42</f>
        <v>0</v>
      </c>
      <c r="AH102" s="217"/>
      <c r="AI102" s="124"/>
      <c r="AJ102" s="185"/>
      <c r="AL102" s="100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160</v>
      </c>
      <c r="C103" s="203">
        <f>C$101*'Methanol recycling rates'!E43</f>
        <v>0</v>
      </c>
      <c r="D103" s="203">
        <f>D$101*'Methanol recycling rates'!F43</f>
        <v>2.7837312203133955</v>
      </c>
      <c r="E103" s="203">
        <f>E$101*'Methanol recycling rates'!G43</f>
        <v>11.616071507395123</v>
      </c>
      <c r="F103" s="203">
        <f>F$101*'Methanol recycling rates'!H43</f>
        <v>27.280853321206834</v>
      </c>
      <c r="G103" s="203">
        <f>G$101*'Methanol recycling rates'!I43</f>
        <v>50.560570716953549</v>
      </c>
      <c r="H103" s="203">
        <f>H$101*'Methanol recycling rates'!J43</f>
        <v>82.236280635903825</v>
      </c>
      <c r="I103" s="203">
        <f>I$101*'Methanol recycling rates'!K43</f>
        <v>123.08750543068484</v>
      </c>
      <c r="J103" s="203">
        <f>J$101*'Methanol recycling rates'!L43</f>
        <v>173.89213661592402</v>
      </c>
      <c r="K103" s="203">
        <f>K$101*'Methanol recycling rates'!M43</f>
        <v>235.42633983516063</v>
      </c>
      <c r="L103" s="203">
        <f>L$101*'Methanol recycling rates'!N43</f>
        <v>308.46446103500227</v>
      </c>
      <c r="M103" s="203">
        <f>M$101*'Methanol recycling rates'!O43</f>
        <v>393.77893383755497</v>
      </c>
      <c r="N103" s="203">
        <f>N$101*'Methanol recycling rates'!P43</f>
        <v>477.54471580489644</v>
      </c>
      <c r="O103" s="203">
        <f>O$101*'Methanol recycling rates'!Q43</f>
        <v>569.57994137202797</v>
      </c>
      <c r="P103" s="203">
        <f>P$101*'Methanol recycling rates'!R43</f>
        <v>669.92874524539809</v>
      </c>
      <c r="Q103" s="203">
        <f>Q$101*'Methanol recycling rates'!S43</f>
        <v>778.63352207851312</v>
      </c>
      <c r="R103" s="203">
        <f>R$101*'Methanol recycling rates'!T43</f>
        <v>895.73492034798028</v>
      </c>
      <c r="S103" s="203">
        <f>S$101*'Methanol recycling rates'!U43</f>
        <v>1021.2718364253983</v>
      </c>
      <c r="T103" s="203">
        <f>T$101*'Methanol recycling rates'!V43</f>
        <v>1155.2814088433029</v>
      </c>
      <c r="U103" s="203">
        <f>U$101*'Methanol recycling rates'!W43</f>
        <v>1297.7990127533883</v>
      </c>
      <c r="V103" s="203">
        <f>V$101*'Methanol recycling rates'!X43</f>
        <v>1448.8582545752356</v>
      </c>
      <c r="W103" s="203">
        <f>W$101*'Methanol recycling rates'!Y43</f>
        <v>1608.4909668337923</v>
      </c>
      <c r="X103" s="203">
        <f>X$101*'Methanol recycling rates'!Z43</f>
        <v>1777.0800381692904</v>
      </c>
      <c r="Y103" s="203">
        <f>Y$101*'Methanol recycling rates'!AA43</f>
        <v>1954.3680105635954</v>
      </c>
      <c r="Z103" s="203">
        <f>Z$101*'Methanol recycling rates'!AB43</f>
        <v>2140.3856750593545</v>
      </c>
      <c r="AA103" s="203">
        <f>AA$101*'Methanol recycling rates'!AC43</f>
        <v>2335.1619816710895</v>
      </c>
      <c r="AB103" s="203">
        <f>AB$101*'Methanol recycling rates'!AD43</f>
        <v>2538.7240345143714</v>
      </c>
      <c r="AC103" s="203">
        <f>AC$101*'Methanol recycling rates'!AE43</f>
        <v>2751.0970871243135</v>
      </c>
      <c r="AD103" s="203">
        <f>AD$101*'Methanol recycling rates'!AF43</f>
        <v>2972.3045379616142</v>
      </c>
      <c r="AE103" s="203">
        <f>AE$101*'Methanol recycling rates'!AG43</f>
        <v>3202.3679261043972</v>
      </c>
      <c r="AF103" s="203">
        <f>AF$101*'Methanol recycling rates'!AH43</f>
        <v>3441.3069271240897</v>
      </c>
      <c r="AG103" s="203">
        <f>AG$101*'Methanol recycling rates'!AI43</f>
        <v>3689.1393491436215</v>
      </c>
      <c r="AH103" s="217"/>
      <c r="AI103" s="124"/>
      <c r="AJ103" s="185"/>
      <c r="AL103" s="100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outlineLevel="1">
      <c r="A104" s="4" t="s">
        <v>1040</v>
      </c>
      <c r="C104" s="203">
        <f>C$101*'Methanol recycling rates'!E44</f>
        <v>0</v>
      </c>
      <c r="D104" s="203">
        <f>D$101*'Methanol recycling rates'!F44</f>
        <v>2.7837312203133955</v>
      </c>
      <c r="E104" s="203">
        <f>E$101*'Methanol recycling rates'!G44</f>
        <v>11.616071507395123</v>
      </c>
      <c r="F104" s="203">
        <f>F$101*'Methanol recycling rates'!H44</f>
        <v>27.280853321206834</v>
      </c>
      <c r="G104" s="203">
        <f>G$101*'Methanol recycling rates'!I44</f>
        <v>50.560570716953549</v>
      </c>
      <c r="H104" s="203">
        <f>H$101*'Methanol recycling rates'!J44</f>
        <v>82.236280635903825</v>
      </c>
      <c r="I104" s="203">
        <f>I$101*'Methanol recycling rates'!K44</f>
        <v>123.08750543068484</v>
      </c>
      <c r="J104" s="203">
        <f>J$101*'Methanol recycling rates'!L44</f>
        <v>173.89213661592402</v>
      </c>
      <c r="K104" s="203">
        <f>K$101*'Methanol recycling rates'!M44</f>
        <v>235.42633983516063</v>
      </c>
      <c r="L104" s="203">
        <f>L$101*'Methanol recycling rates'!N44</f>
        <v>308.46446103500227</v>
      </c>
      <c r="M104" s="203">
        <f>M$101*'Methanol recycling rates'!O44</f>
        <v>393.77893383755497</v>
      </c>
      <c r="N104" s="203">
        <f>N$101*'Methanol recycling rates'!P44</f>
        <v>477.54471580489644</v>
      </c>
      <c r="O104" s="203">
        <f>O$101*'Methanol recycling rates'!Q44</f>
        <v>569.57994137202797</v>
      </c>
      <c r="P104" s="203">
        <f>P$101*'Methanol recycling rates'!R44</f>
        <v>669.92874524539809</v>
      </c>
      <c r="Q104" s="203">
        <f>Q$101*'Methanol recycling rates'!S44</f>
        <v>778.63352207851312</v>
      </c>
      <c r="R104" s="203">
        <f>R$101*'Methanol recycling rates'!T44</f>
        <v>895.73492034798028</v>
      </c>
      <c r="S104" s="203">
        <f>S$101*'Methanol recycling rates'!U44</f>
        <v>1021.2718364253983</v>
      </c>
      <c r="T104" s="203">
        <f>T$101*'Methanol recycling rates'!V44</f>
        <v>1155.2814088433029</v>
      </c>
      <c r="U104" s="203">
        <f>U$101*'Methanol recycling rates'!W44</f>
        <v>1297.7990127533883</v>
      </c>
      <c r="V104" s="203">
        <f>V$101*'Methanol recycling rates'!X44</f>
        <v>1448.8582545752356</v>
      </c>
      <c r="W104" s="203">
        <f>W$101*'Methanol recycling rates'!Y44</f>
        <v>1608.4909668337923</v>
      </c>
      <c r="X104" s="203">
        <f>X$101*'Methanol recycling rates'!Z44</f>
        <v>1777.0800381692904</v>
      </c>
      <c r="Y104" s="203">
        <f>Y$101*'Methanol recycling rates'!AA44</f>
        <v>1954.3680105635954</v>
      </c>
      <c r="Z104" s="203">
        <f>Z$101*'Methanol recycling rates'!AB44</f>
        <v>2140.3856750593545</v>
      </c>
      <c r="AA104" s="203">
        <f>AA$101*'Methanol recycling rates'!AC44</f>
        <v>2335.1619816710895</v>
      </c>
      <c r="AB104" s="203">
        <f>AB$101*'Methanol recycling rates'!AD44</f>
        <v>2538.7240345143714</v>
      </c>
      <c r="AC104" s="203">
        <f>AC$101*'Methanol recycling rates'!AE44</f>
        <v>2751.0970871243135</v>
      </c>
      <c r="AD104" s="203">
        <f>AD$101*'Methanol recycling rates'!AF44</f>
        <v>2972.3045379616142</v>
      </c>
      <c r="AE104" s="203">
        <f>AE$101*'Methanol recycling rates'!AG44</f>
        <v>3202.3679261043972</v>
      </c>
      <c r="AF104" s="203">
        <f>AF$101*'Methanol recycling rates'!AH44</f>
        <v>3441.3069271240897</v>
      </c>
      <c r="AG104" s="203">
        <f>AG$101*'Methanol recycling rates'!AI44</f>
        <v>3689.1393491436215</v>
      </c>
      <c r="AH104" s="217"/>
      <c r="AI104" s="124"/>
      <c r="AJ104" s="185"/>
      <c r="AL104" s="100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s="1" customFormat="1" outlineLevel="1">
      <c r="A105" s="1" t="s">
        <v>1047</v>
      </c>
      <c r="B105" s="60"/>
      <c r="C105" s="250">
        <f>C101-$C101</f>
        <v>0</v>
      </c>
      <c r="D105" s="250">
        <f t="shared" ref="D105:AG105" si="47">D101-$C101</f>
        <v>165.7627436660153</v>
      </c>
      <c r="E105" s="250">
        <f t="shared" si="47"/>
        <v>347.22101566906525</v>
      </c>
      <c r="F105" s="250">
        <f t="shared" si="47"/>
        <v>544.35593687134815</v>
      </c>
      <c r="G105" s="250">
        <f t="shared" si="47"/>
        <v>757.14743120151479</v>
      </c>
      <c r="H105" s="250">
        <f t="shared" si="47"/>
        <v>985.57423807805753</v>
      </c>
      <c r="I105" s="250">
        <f t="shared" si="47"/>
        <v>1229.6139247540602</v>
      </c>
      <c r="J105" s="250">
        <f t="shared" si="47"/>
        <v>1489.2428985837034</v>
      </c>
      <c r="K105" s="250">
        <f t="shared" si="47"/>
        <v>1764.4364192109165</v>
      </c>
      <c r="L105" s="250">
        <f t="shared" si="47"/>
        <v>2055.1686106805601</v>
      </c>
      <c r="M105" s="250">
        <f t="shared" si="47"/>
        <v>2361.4124734725415</v>
      </c>
      <c r="N105" s="250">
        <f t="shared" si="47"/>
        <v>2603.5282293830105</v>
      </c>
      <c r="O105" s="250">
        <f t="shared" si="47"/>
        <v>2846.6385773073516</v>
      </c>
      <c r="P105" s="250">
        <f t="shared" si="47"/>
        <v>3090.7176946567415</v>
      </c>
      <c r="Q105" s="250">
        <f t="shared" si="47"/>
        <v>3335.7396793551252</v>
      </c>
      <c r="R105" s="250">
        <f t="shared" si="47"/>
        <v>3581.678551839133</v>
      </c>
      <c r="S105" s="250">
        <f t="shared" si="47"/>
        <v>3828.5082570424552</v>
      </c>
      <c r="T105" s="250">
        <f t="shared" si="47"/>
        <v>4076.2026663647512</v>
      </c>
      <c r="U105" s="250">
        <f t="shared" si="47"/>
        <v>4324.7355796251722</v>
      </c>
      <c r="V105" s="250">
        <f t="shared" si="47"/>
        <v>4574.0807270005871</v>
      </c>
      <c r="W105" s="250">
        <f t="shared" si="47"/>
        <v>4824.2117709485883</v>
      </c>
      <c r="X105" s="250">
        <f t="shared" si="47"/>
        <v>5076.1104080737559</v>
      </c>
      <c r="Y105" s="250">
        <f t="shared" si="47"/>
        <v>5328.8334447115631</v>
      </c>
      <c r="Z105" s="250">
        <f t="shared" si="47"/>
        <v>5582.3536749498762</v>
      </c>
      <c r="AA105" s="250">
        <f t="shared" si="47"/>
        <v>5836.6438246249354</v>
      </c>
      <c r="AB105" s="250">
        <f t="shared" si="47"/>
        <v>6091.6765532817035</v>
      </c>
      <c r="AC105" s="250">
        <f t="shared" si="47"/>
        <v>6347.4244561187052</v>
      </c>
      <c r="AD105" s="250">
        <f t="shared" si="47"/>
        <v>6603.8600659174654</v>
      </c>
      <c r="AE105" s="250">
        <f t="shared" si="47"/>
        <v>6860.9558549566345</v>
      </c>
      <c r="AF105" s="250">
        <f t="shared" si="47"/>
        <v>7118.6842369108463</v>
      </c>
      <c r="AG105" s="250">
        <f t="shared" si="47"/>
        <v>7377.0175687344545</v>
      </c>
      <c r="AH105" s="217"/>
      <c r="AI105" s="368"/>
      <c r="AJ105" s="369"/>
      <c r="AL105" s="194"/>
      <c r="AM105" s="116"/>
      <c r="AN105" s="116"/>
      <c r="AO105" s="116"/>
      <c r="BD105" s="116"/>
      <c r="BE105" s="116"/>
      <c r="BF105" s="116"/>
      <c r="BG105" s="116"/>
      <c r="BH105" s="116"/>
      <c r="BI105" s="116"/>
      <c r="BJ105" s="116"/>
      <c r="BK105" s="116"/>
    </row>
    <row r="106" spans="1:63" outlineLevel="1">
      <c r="A106" s="4" t="s">
        <v>35</v>
      </c>
      <c r="C106" s="203">
        <f t="shared" ref="C106:AF108" si="48">C102-$C102</f>
        <v>0</v>
      </c>
      <c r="D106" s="203">
        <f t="shared" si="48"/>
        <v>160.1952812253885</v>
      </c>
      <c r="E106" s="203">
        <f t="shared" si="48"/>
        <v>323.98887265427499</v>
      </c>
      <c r="F106" s="203">
        <f t="shared" si="48"/>
        <v>489.79423022893457</v>
      </c>
      <c r="G106" s="203">
        <f t="shared" si="48"/>
        <v>656.02628976760775</v>
      </c>
      <c r="H106" s="203">
        <f t="shared" si="48"/>
        <v>821.10167680624988</v>
      </c>
      <c r="I106" s="203">
        <f t="shared" si="48"/>
        <v>983.43891389269049</v>
      </c>
      <c r="J106" s="203">
        <f t="shared" si="48"/>
        <v>1141.4586253518555</v>
      </c>
      <c r="K106" s="203">
        <f t="shared" si="48"/>
        <v>1293.5837395405954</v>
      </c>
      <c r="L106" s="203">
        <f t="shared" si="48"/>
        <v>1438.2396886105557</v>
      </c>
      <c r="M106" s="203">
        <f t="shared" si="48"/>
        <v>1573.8546057974318</v>
      </c>
      <c r="N106" s="203">
        <f t="shared" si="48"/>
        <v>1648.4387977732179</v>
      </c>
      <c r="O106" s="203">
        <f t="shared" si="48"/>
        <v>1707.4786945632961</v>
      </c>
      <c r="P106" s="203">
        <f t="shared" si="48"/>
        <v>1750.8602041659456</v>
      </c>
      <c r="Q106" s="203">
        <f t="shared" si="48"/>
        <v>1778.4726351980994</v>
      </c>
      <c r="R106" s="203">
        <f t="shared" si="48"/>
        <v>1790.2087111431729</v>
      </c>
      <c r="S106" s="203">
        <f t="shared" si="48"/>
        <v>1785.9645841916592</v>
      </c>
      <c r="T106" s="203">
        <f t="shared" si="48"/>
        <v>1765.6398486781461</v>
      </c>
      <c r="U106" s="203">
        <f t="shared" si="48"/>
        <v>1729.1375541183966</v>
      </c>
      <c r="V106" s="203">
        <f t="shared" si="48"/>
        <v>1676.3642178501168</v>
      </c>
      <c r="W106" s="203">
        <f t="shared" si="48"/>
        <v>1607.2298372810046</v>
      </c>
      <c r="X106" s="203">
        <f t="shared" si="48"/>
        <v>1521.9503317351757</v>
      </c>
      <c r="Y106" s="203">
        <f t="shared" si="48"/>
        <v>1420.097423584373</v>
      </c>
      <c r="Z106" s="203">
        <f t="shared" si="48"/>
        <v>1301.5823248311676</v>
      </c>
      <c r="AA106" s="203">
        <f t="shared" si="48"/>
        <v>1166.3198612827575</v>
      </c>
      <c r="AB106" s="203">
        <f t="shared" si="48"/>
        <v>1014.2284842529614</v>
      </c>
      <c r="AC106" s="203">
        <f t="shared" si="48"/>
        <v>845.23028187007856</v>
      </c>
      <c r="AD106" s="203">
        <f t="shared" si="48"/>
        <v>659.25098999423824</v>
      </c>
      <c r="AE106" s="203">
        <f t="shared" si="48"/>
        <v>456.22000274784119</v>
      </c>
      <c r="AF106" s="203">
        <f t="shared" si="48"/>
        <v>236.07038266266753</v>
      </c>
      <c r="AG106" s="203">
        <f>AG102-$C102</f>
        <v>-1.2611295527884407</v>
      </c>
      <c r="AH106" s="217"/>
      <c r="AI106" s="124"/>
      <c r="AJ106" s="185"/>
      <c r="AL106" s="100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03">
        <f t="shared" si="48"/>
        <v>0</v>
      </c>
      <c r="D107" s="203">
        <f t="shared" si="48"/>
        <v>2.7837312203133955</v>
      </c>
      <c r="E107" s="203">
        <f t="shared" si="48"/>
        <v>11.616071507395123</v>
      </c>
      <c r="F107" s="203">
        <f t="shared" si="48"/>
        <v>27.280853321206834</v>
      </c>
      <c r="G107" s="203">
        <f t="shared" si="48"/>
        <v>50.560570716953549</v>
      </c>
      <c r="H107" s="203">
        <f t="shared" si="48"/>
        <v>82.236280635903825</v>
      </c>
      <c r="I107" s="203">
        <f t="shared" si="48"/>
        <v>123.08750543068484</v>
      </c>
      <c r="J107" s="203">
        <f t="shared" si="48"/>
        <v>173.89213661592402</v>
      </c>
      <c r="K107" s="203">
        <f t="shared" si="48"/>
        <v>235.42633983516063</v>
      </c>
      <c r="L107" s="203">
        <f t="shared" si="48"/>
        <v>308.46446103500227</v>
      </c>
      <c r="M107" s="203">
        <f t="shared" si="48"/>
        <v>393.77893383755497</v>
      </c>
      <c r="N107" s="203">
        <f t="shared" si="48"/>
        <v>477.54471580489644</v>
      </c>
      <c r="O107" s="203">
        <f t="shared" si="48"/>
        <v>569.57994137202797</v>
      </c>
      <c r="P107" s="203">
        <f t="shared" si="48"/>
        <v>669.92874524539809</v>
      </c>
      <c r="Q107" s="203">
        <f t="shared" si="48"/>
        <v>778.63352207851312</v>
      </c>
      <c r="R107" s="203">
        <f t="shared" si="48"/>
        <v>895.73492034798028</v>
      </c>
      <c r="S107" s="203">
        <f t="shared" si="48"/>
        <v>1021.2718364253983</v>
      </c>
      <c r="T107" s="203">
        <f t="shared" si="48"/>
        <v>1155.2814088433029</v>
      </c>
      <c r="U107" s="203">
        <f t="shared" si="48"/>
        <v>1297.7990127533883</v>
      </c>
      <c r="V107" s="203">
        <f t="shared" si="48"/>
        <v>1448.8582545752356</v>
      </c>
      <c r="W107" s="203">
        <f t="shared" si="48"/>
        <v>1608.4909668337923</v>
      </c>
      <c r="X107" s="203">
        <f t="shared" si="48"/>
        <v>1777.0800381692904</v>
      </c>
      <c r="Y107" s="203">
        <f t="shared" si="48"/>
        <v>1954.3680105635954</v>
      </c>
      <c r="Z107" s="203">
        <f t="shared" si="48"/>
        <v>2140.3856750593545</v>
      </c>
      <c r="AA107" s="203">
        <f t="shared" si="48"/>
        <v>2335.1619816710895</v>
      </c>
      <c r="AB107" s="203">
        <f t="shared" si="48"/>
        <v>2538.7240345143714</v>
      </c>
      <c r="AC107" s="203">
        <f t="shared" si="48"/>
        <v>2751.0970871243135</v>
      </c>
      <c r="AD107" s="203">
        <f t="shared" si="48"/>
        <v>2972.3045379616142</v>
      </c>
      <c r="AE107" s="203">
        <f t="shared" si="48"/>
        <v>3202.3679261043972</v>
      </c>
      <c r="AF107" s="203">
        <f t="shared" si="48"/>
        <v>3441.3069271240897</v>
      </c>
      <c r="AG107" s="203">
        <f t="shared" ref="AG107:AG108" si="49">AG103-$C103</f>
        <v>3689.1393491436215</v>
      </c>
      <c r="AH107" s="217"/>
      <c r="AI107" s="124"/>
      <c r="AJ107" s="185"/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1040</v>
      </c>
      <c r="C108" s="203">
        <f t="shared" si="48"/>
        <v>0</v>
      </c>
      <c r="D108" s="203">
        <f t="shared" si="48"/>
        <v>2.7837312203133955</v>
      </c>
      <c r="E108" s="203">
        <f t="shared" si="48"/>
        <v>11.616071507395123</v>
      </c>
      <c r="F108" s="203">
        <f t="shared" si="48"/>
        <v>27.280853321206834</v>
      </c>
      <c r="G108" s="203">
        <f t="shared" si="48"/>
        <v>50.560570716953549</v>
      </c>
      <c r="H108" s="203">
        <f t="shared" si="48"/>
        <v>82.236280635903825</v>
      </c>
      <c r="I108" s="203">
        <f t="shared" si="48"/>
        <v>123.08750543068484</v>
      </c>
      <c r="J108" s="203">
        <f t="shared" si="48"/>
        <v>173.89213661592402</v>
      </c>
      <c r="K108" s="203">
        <f t="shared" si="48"/>
        <v>235.42633983516063</v>
      </c>
      <c r="L108" s="203">
        <f t="shared" si="48"/>
        <v>308.46446103500227</v>
      </c>
      <c r="M108" s="203">
        <f t="shared" si="48"/>
        <v>393.77893383755497</v>
      </c>
      <c r="N108" s="203">
        <f t="shared" si="48"/>
        <v>477.54471580489644</v>
      </c>
      <c r="O108" s="203">
        <f t="shared" si="48"/>
        <v>569.57994137202797</v>
      </c>
      <c r="P108" s="203">
        <f t="shared" si="48"/>
        <v>669.92874524539809</v>
      </c>
      <c r="Q108" s="203">
        <f t="shared" si="48"/>
        <v>778.63352207851312</v>
      </c>
      <c r="R108" s="203">
        <f t="shared" si="48"/>
        <v>895.73492034798028</v>
      </c>
      <c r="S108" s="203">
        <f t="shared" si="48"/>
        <v>1021.2718364253983</v>
      </c>
      <c r="T108" s="203">
        <f t="shared" si="48"/>
        <v>1155.2814088433029</v>
      </c>
      <c r="U108" s="203">
        <f t="shared" si="48"/>
        <v>1297.7990127533883</v>
      </c>
      <c r="V108" s="203">
        <f t="shared" si="48"/>
        <v>1448.8582545752356</v>
      </c>
      <c r="W108" s="203">
        <f t="shared" si="48"/>
        <v>1608.4909668337923</v>
      </c>
      <c r="X108" s="203">
        <f t="shared" si="48"/>
        <v>1777.0800381692904</v>
      </c>
      <c r="Y108" s="203">
        <f t="shared" si="48"/>
        <v>1954.3680105635954</v>
      </c>
      <c r="Z108" s="203">
        <f t="shared" si="48"/>
        <v>2140.3856750593545</v>
      </c>
      <c r="AA108" s="203">
        <f t="shared" si="48"/>
        <v>2335.1619816710895</v>
      </c>
      <c r="AB108" s="203">
        <f t="shared" si="48"/>
        <v>2538.7240345143714</v>
      </c>
      <c r="AC108" s="203">
        <f t="shared" si="48"/>
        <v>2751.0970871243135</v>
      </c>
      <c r="AD108" s="203">
        <f t="shared" si="48"/>
        <v>2972.3045379616142</v>
      </c>
      <c r="AE108" s="203">
        <f t="shared" si="48"/>
        <v>3202.3679261043972</v>
      </c>
      <c r="AF108" s="203">
        <f t="shared" si="48"/>
        <v>3441.3069271240897</v>
      </c>
      <c r="AG108" s="203">
        <f t="shared" si="49"/>
        <v>3689.1393491436215</v>
      </c>
      <c r="AH108" s="217"/>
      <c r="AI108" s="124"/>
      <c r="AJ108" s="185"/>
      <c r="AL108" s="100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outlineLevel="1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I109" s="125"/>
      <c r="AJ109" s="185"/>
      <c r="AL109" s="100"/>
      <c r="AM109" s="123"/>
      <c r="AN109" s="2"/>
      <c r="AO109" s="2"/>
    </row>
    <row r="110" spans="1:63" s="174" customFormat="1" ht="15.5" thickBot="1">
      <c r="A110" s="174" t="s">
        <v>421</v>
      </c>
      <c r="B110" s="189"/>
      <c r="C110" s="195">
        <f>C111</f>
        <v>0.19</v>
      </c>
      <c r="D110" s="195">
        <f t="shared" ref="D110:AG110" si="50">D111</f>
        <v>0.20515750741304789</v>
      </c>
      <c r="E110" s="195">
        <f t="shared" si="50"/>
        <v>0.22031501482609578</v>
      </c>
      <c r="F110" s="195">
        <f t="shared" si="50"/>
        <v>0.23547252223914367</v>
      </c>
      <c r="G110" s="195">
        <f t="shared" si="50"/>
        <v>0.25063002965219155</v>
      </c>
      <c r="H110" s="195">
        <f t="shared" si="50"/>
        <v>0.26578753706523939</v>
      </c>
      <c r="I110" s="195">
        <f t="shared" si="50"/>
        <v>0.28094504447828728</v>
      </c>
      <c r="J110" s="195">
        <f t="shared" si="50"/>
        <v>0.29610255189133516</v>
      </c>
      <c r="K110" s="195">
        <f t="shared" si="50"/>
        <v>0.31126005930438305</v>
      </c>
      <c r="L110" s="195">
        <f t="shared" si="50"/>
        <v>0.32641756671743094</v>
      </c>
      <c r="M110" s="195">
        <f t="shared" si="50"/>
        <v>0.34157507413047883</v>
      </c>
      <c r="N110" s="195">
        <f t="shared" si="50"/>
        <v>0.35175830083520832</v>
      </c>
      <c r="O110" s="195">
        <f t="shared" si="50"/>
        <v>0.3619415275399378</v>
      </c>
      <c r="P110" s="195">
        <f t="shared" si="50"/>
        <v>0.37212475424466734</v>
      </c>
      <c r="Q110" s="195">
        <f t="shared" si="50"/>
        <v>0.38230798094939683</v>
      </c>
      <c r="R110" s="195">
        <f t="shared" si="50"/>
        <v>0.39249120765412632</v>
      </c>
      <c r="S110" s="195">
        <f t="shared" si="50"/>
        <v>0.4026744343588558</v>
      </c>
      <c r="T110" s="195">
        <f t="shared" si="50"/>
        <v>0.41285766106358529</v>
      </c>
      <c r="U110" s="195">
        <f t="shared" si="50"/>
        <v>0.42304088776831483</v>
      </c>
      <c r="V110" s="195">
        <f t="shared" si="50"/>
        <v>0.43322411447304432</v>
      </c>
      <c r="W110" s="195">
        <f t="shared" si="50"/>
        <v>0.44340734117777381</v>
      </c>
      <c r="X110" s="195">
        <f t="shared" si="50"/>
        <v>0.45906660705999641</v>
      </c>
      <c r="Y110" s="195">
        <f t="shared" si="50"/>
        <v>0.47472587294221902</v>
      </c>
      <c r="Z110" s="195">
        <f t="shared" si="50"/>
        <v>0.49038513882444168</v>
      </c>
      <c r="AA110" s="195">
        <f t="shared" si="50"/>
        <v>0.50604440470666423</v>
      </c>
      <c r="AB110" s="195">
        <f t="shared" si="50"/>
        <v>0.52170367058888689</v>
      </c>
      <c r="AC110" s="195">
        <f t="shared" si="50"/>
        <v>0.53736293647110944</v>
      </c>
      <c r="AD110" s="195">
        <f t="shared" si="50"/>
        <v>0.5530222023533321</v>
      </c>
      <c r="AE110" s="195">
        <f t="shared" si="50"/>
        <v>0.56868146823555477</v>
      </c>
      <c r="AF110" s="195">
        <f t="shared" si="50"/>
        <v>0.58434073411777732</v>
      </c>
      <c r="AG110" s="195">
        <f t="shared" si="50"/>
        <v>0.6</v>
      </c>
      <c r="AJ110" s="204" t="s">
        <v>457</v>
      </c>
      <c r="AL110" s="191"/>
      <c r="AM110" s="192"/>
      <c r="AN110" s="192"/>
      <c r="AO110" s="192"/>
    </row>
    <row r="111" spans="1:63" ht="15.5" outlineLevel="1" thickTop="1">
      <c r="A111" t="s">
        <v>413</v>
      </c>
      <c r="B111" s="50" t="s">
        <v>126</v>
      </c>
      <c r="C111" s="118">
        <f>'Ethylene Recycling HC'!C104</f>
        <v>0.19</v>
      </c>
      <c r="D111" s="102">
        <f>'Ethylene Recycling HC'!D104</f>
        <v>0.20515750741304789</v>
      </c>
      <c r="E111" s="102">
        <f>'Ethylene Recycling HC'!E104</f>
        <v>0.22031501482609578</v>
      </c>
      <c r="F111" s="102">
        <f>'Ethylene Recycling HC'!F104</f>
        <v>0.23547252223914367</v>
      </c>
      <c r="G111" s="102">
        <f>'Ethylene Recycling HC'!G104</f>
        <v>0.25063002965219155</v>
      </c>
      <c r="H111" s="102">
        <f>'Ethylene Recycling HC'!H104</f>
        <v>0.26578753706523939</v>
      </c>
      <c r="I111" s="102">
        <f>'Ethylene Recycling HC'!I104</f>
        <v>0.28094504447828728</v>
      </c>
      <c r="J111" s="102">
        <f>'Ethylene Recycling HC'!J104</f>
        <v>0.29610255189133516</v>
      </c>
      <c r="K111" s="102">
        <f>'Ethylene Recycling HC'!K104</f>
        <v>0.31126005930438305</v>
      </c>
      <c r="L111" s="102">
        <f>'Ethylene Recycling HC'!L104</f>
        <v>0.32641756671743094</v>
      </c>
      <c r="M111" s="113">
        <f>'Ethylene Recycling HC'!M104</f>
        <v>0.34157507413047883</v>
      </c>
      <c r="N111" s="113">
        <f>'Ethylene Recycling HC'!N104</f>
        <v>0.35175830083520832</v>
      </c>
      <c r="O111" s="113">
        <f>'Ethylene Recycling HC'!O104</f>
        <v>0.3619415275399378</v>
      </c>
      <c r="P111" s="113">
        <f>'Ethylene Recycling HC'!P104</f>
        <v>0.37212475424466734</v>
      </c>
      <c r="Q111" s="113">
        <f>'Ethylene Recycling HC'!Q104</f>
        <v>0.38230798094939683</v>
      </c>
      <c r="R111" s="113">
        <f>'Ethylene Recycling HC'!R104</f>
        <v>0.39249120765412632</v>
      </c>
      <c r="S111" s="113">
        <f>'Ethylene Recycling HC'!S104</f>
        <v>0.4026744343588558</v>
      </c>
      <c r="T111" s="113">
        <f>'Ethylene Recycling HC'!T104</f>
        <v>0.41285766106358529</v>
      </c>
      <c r="U111" s="113">
        <f>'Ethylene Recycling HC'!U104</f>
        <v>0.42304088776831483</v>
      </c>
      <c r="V111" s="113">
        <f>'Ethylene Recycling HC'!V104</f>
        <v>0.43322411447304432</v>
      </c>
      <c r="W111" s="113">
        <f>'Ethylene Recycling HC'!W104</f>
        <v>0.44340734117777381</v>
      </c>
      <c r="X111" s="102">
        <f>'Ethylene Recycling HC'!X104</f>
        <v>0.45906660705999641</v>
      </c>
      <c r="Y111" s="102">
        <f>'Ethylene Recycling HC'!Y104</f>
        <v>0.47472587294221902</v>
      </c>
      <c r="Z111" s="102">
        <f>'Ethylene Recycling HC'!Z104</f>
        <v>0.49038513882444168</v>
      </c>
      <c r="AA111" s="102">
        <f>'Ethylene Recycling HC'!AA104</f>
        <v>0.50604440470666423</v>
      </c>
      <c r="AB111" s="102">
        <f>'Ethylene Recycling HC'!AB104</f>
        <v>0.52170367058888689</v>
      </c>
      <c r="AC111" s="102">
        <f>'Ethylene Recycling HC'!AC104</f>
        <v>0.53736293647110944</v>
      </c>
      <c r="AD111" s="102">
        <f>'Ethylene Recycling HC'!AD104</f>
        <v>0.5530222023533321</v>
      </c>
      <c r="AE111" s="102">
        <f>'Ethylene Recycling HC'!AE104</f>
        <v>0.56868146823555477</v>
      </c>
      <c r="AF111" s="102">
        <f>'Ethylene Recycling HC'!AF104</f>
        <v>0.58434073411777732</v>
      </c>
      <c r="AG111" s="118">
        <f>'Ethylene Recycling HC'!AG104</f>
        <v>0.6</v>
      </c>
      <c r="AJ111" s="185" t="s">
        <v>412</v>
      </c>
    </row>
    <row r="112" spans="1:63" outlineLevel="1">
      <c r="A112" t="s">
        <v>414</v>
      </c>
      <c r="B112" s="50" t="s">
        <v>126</v>
      </c>
      <c r="C112" s="188">
        <v>0.08</v>
      </c>
      <c r="D112" s="102">
        <f t="shared" ref="D112:AF112" si="51">C112-($C$112-$AG$112)/($AG$1-$C$1)</f>
        <v>0.10400000000000001</v>
      </c>
      <c r="E112" s="102">
        <f t="shared" si="51"/>
        <v>0.128</v>
      </c>
      <c r="F112" s="102">
        <f t="shared" si="51"/>
        <v>0.152</v>
      </c>
      <c r="G112" s="102">
        <f t="shared" si="51"/>
        <v>0.17599999999999999</v>
      </c>
      <c r="H112" s="102">
        <f t="shared" si="51"/>
        <v>0.19999999999999998</v>
      </c>
      <c r="I112" s="102">
        <f t="shared" si="51"/>
        <v>0.22399999999999998</v>
      </c>
      <c r="J112" s="102">
        <f t="shared" si="51"/>
        <v>0.24799999999999997</v>
      </c>
      <c r="K112" s="102">
        <f t="shared" si="51"/>
        <v>0.27199999999999996</v>
      </c>
      <c r="L112" s="102">
        <f t="shared" si="51"/>
        <v>0.29599999999999999</v>
      </c>
      <c r="M112" s="102">
        <f t="shared" si="51"/>
        <v>0.32</v>
      </c>
      <c r="N112" s="102">
        <f t="shared" si="51"/>
        <v>0.34400000000000003</v>
      </c>
      <c r="O112" s="102">
        <f t="shared" si="51"/>
        <v>0.36800000000000005</v>
      </c>
      <c r="P112" s="102">
        <f t="shared" si="51"/>
        <v>0.39200000000000007</v>
      </c>
      <c r="Q112" s="102">
        <f t="shared" si="51"/>
        <v>0.41600000000000009</v>
      </c>
      <c r="R112" s="102">
        <f t="shared" si="51"/>
        <v>0.44000000000000011</v>
      </c>
      <c r="S112" s="102">
        <f t="shared" si="51"/>
        <v>0.46400000000000013</v>
      </c>
      <c r="T112" s="102">
        <f t="shared" si="51"/>
        <v>0.48800000000000016</v>
      </c>
      <c r="U112" s="102">
        <f t="shared" si="51"/>
        <v>0.51200000000000012</v>
      </c>
      <c r="V112" s="102">
        <f t="shared" si="51"/>
        <v>0.53600000000000014</v>
      </c>
      <c r="W112" s="102">
        <f t="shared" si="51"/>
        <v>0.56000000000000016</v>
      </c>
      <c r="X112" s="102">
        <f t="shared" si="51"/>
        <v>0.58400000000000019</v>
      </c>
      <c r="Y112" s="102">
        <f t="shared" si="51"/>
        <v>0.60800000000000021</v>
      </c>
      <c r="Z112" s="102">
        <f t="shared" si="51"/>
        <v>0.63200000000000023</v>
      </c>
      <c r="AA112" s="102">
        <f t="shared" si="51"/>
        <v>0.65600000000000025</v>
      </c>
      <c r="AB112" s="102">
        <f t="shared" si="51"/>
        <v>0.68000000000000027</v>
      </c>
      <c r="AC112" s="102">
        <f t="shared" si="51"/>
        <v>0.70400000000000029</v>
      </c>
      <c r="AD112" s="102">
        <f t="shared" si="51"/>
        <v>0.72800000000000031</v>
      </c>
      <c r="AE112" s="102">
        <f t="shared" si="51"/>
        <v>0.75200000000000033</v>
      </c>
      <c r="AF112" s="102">
        <f t="shared" si="51"/>
        <v>0.77600000000000036</v>
      </c>
      <c r="AG112" s="188">
        <v>0.8</v>
      </c>
      <c r="AI112" s="125"/>
      <c r="AJ112" s="185" t="s">
        <v>444</v>
      </c>
      <c r="AL112" s="50" t="s">
        <v>298</v>
      </c>
    </row>
    <row r="113" spans="1:63" outlineLevel="1">
      <c r="A113" t="s">
        <v>415</v>
      </c>
      <c r="B113" s="156" t="s">
        <v>126</v>
      </c>
      <c r="C113" s="102">
        <f>1-C112</f>
        <v>0.92</v>
      </c>
      <c r="D113" s="102">
        <f t="shared" ref="D113:AG113" si="52">1-D112</f>
        <v>0.89600000000000002</v>
      </c>
      <c r="E113" s="102">
        <f t="shared" si="52"/>
        <v>0.872</v>
      </c>
      <c r="F113" s="102">
        <f t="shared" si="52"/>
        <v>0.84799999999999998</v>
      </c>
      <c r="G113" s="102">
        <f t="shared" si="52"/>
        <v>0.82400000000000007</v>
      </c>
      <c r="H113" s="102">
        <f t="shared" si="52"/>
        <v>0.8</v>
      </c>
      <c r="I113" s="102">
        <f t="shared" si="52"/>
        <v>0.77600000000000002</v>
      </c>
      <c r="J113" s="102">
        <f t="shared" si="52"/>
        <v>0.752</v>
      </c>
      <c r="K113" s="102">
        <f t="shared" si="52"/>
        <v>0.72799999999999998</v>
      </c>
      <c r="L113" s="102">
        <f t="shared" si="52"/>
        <v>0.70399999999999996</v>
      </c>
      <c r="M113" s="102">
        <f t="shared" si="52"/>
        <v>0.67999999999999994</v>
      </c>
      <c r="N113" s="102">
        <f t="shared" si="52"/>
        <v>0.65599999999999992</v>
      </c>
      <c r="O113" s="102">
        <f t="shared" si="52"/>
        <v>0.6319999999999999</v>
      </c>
      <c r="P113" s="102">
        <f t="shared" si="52"/>
        <v>0.60799999999999987</v>
      </c>
      <c r="Q113" s="102">
        <f t="shared" si="52"/>
        <v>0.58399999999999985</v>
      </c>
      <c r="R113" s="102">
        <f t="shared" si="52"/>
        <v>0.55999999999999983</v>
      </c>
      <c r="S113" s="102">
        <f t="shared" si="52"/>
        <v>0.53599999999999981</v>
      </c>
      <c r="T113" s="102">
        <f t="shared" si="52"/>
        <v>0.51199999999999979</v>
      </c>
      <c r="U113" s="102">
        <f t="shared" si="52"/>
        <v>0.48799999999999988</v>
      </c>
      <c r="V113" s="102">
        <f t="shared" si="52"/>
        <v>0.46399999999999986</v>
      </c>
      <c r="W113" s="102">
        <f t="shared" si="52"/>
        <v>0.43999999999999984</v>
      </c>
      <c r="X113" s="102">
        <f t="shared" si="52"/>
        <v>0.41599999999999981</v>
      </c>
      <c r="Y113" s="102">
        <f t="shared" si="52"/>
        <v>0.39199999999999979</v>
      </c>
      <c r="Z113" s="102">
        <f t="shared" si="52"/>
        <v>0.36799999999999977</v>
      </c>
      <c r="AA113" s="102">
        <f t="shared" si="52"/>
        <v>0.34399999999999975</v>
      </c>
      <c r="AB113" s="102">
        <f t="shared" si="52"/>
        <v>0.31999999999999973</v>
      </c>
      <c r="AC113" s="102">
        <f t="shared" si="52"/>
        <v>0.29599999999999971</v>
      </c>
      <c r="AD113" s="102">
        <f t="shared" si="52"/>
        <v>0.27199999999999969</v>
      </c>
      <c r="AE113" s="102">
        <f t="shared" si="52"/>
        <v>0.24799999999999967</v>
      </c>
      <c r="AF113" s="102">
        <f t="shared" si="52"/>
        <v>0.22399999999999964</v>
      </c>
      <c r="AG113" s="102">
        <f t="shared" si="52"/>
        <v>0.19999999999999996</v>
      </c>
      <c r="AI113" s="125"/>
      <c r="AJ113" s="185"/>
      <c r="BD113" s="605"/>
      <c r="BE113" s="605"/>
    </row>
    <row r="114" spans="1:63" outlineLevel="1">
      <c r="A114" t="s">
        <v>480</v>
      </c>
      <c r="B114" s="50" t="s">
        <v>126</v>
      </c>
      <c r="C114" s="102">
        <f>C111*C112</f>
        <v>1.52E-2</v>
      </c>
      <c r="D114" s="102">
        <f t="shared" ref="D114:AG114" si="53">D111*D112</f>
        <v>2.1336380770956981E-2</v>
      </c>
      <c r="E114" s="102">
        <f t="shared" si="53"/>
        <v>2.8200321897740261E-2</v>
      </c>
      <c r="F114" s="102">
        <f t="shared" si="53"/>
        <v>3.5791823380349835E-2</v>
      </c>
      <c r="G114" s="102">
        <f t="shared" si="53"/>
        <v>4.4110885218785714E-2</v>
      </c>
      <c r="H114" s="102">
        <f t="shared" si="53"/>
        <v>5.3157507413047873E-2</v>
      </c>
      <c r="I114" s="102">
        <f t="shared" si="53"/>
        <v>6.2931689963136347E-2</v>
      </c>
      <c r="J114" s="102">
        <f t="shared" si="53"/>
        <v>7.3433432869051116E-2</v>
      </c>
      <c r="K114" s="102">
        <f t="shared" si="53"/>
        <v>8.4662736130792185E-2</v>
      </c>
      <c r="L114" s="102">
        <f t="shared" si="53"/>
        <v>9.6619599748359555E-2</v>
      </c>
      <c r="M114" s="102">
        <f t="shared" si="53"/>
        <v>0.10930402372175323</v>
      </c>
      <c r="N114" s="102">
        <f t="shared" si="53"/>
        <v>0.12100485548731167</v>
      </c>
      <c r="O114" s="102">
        <f t="shared" si="53"/>
        <v>0.13319448213469712</v>
      </c>
      <c r="P114" s="102">
        <f t="shared" si="53"/>
        <v>0.14587290366390962</v>
      </c>
      <c r="Q114" s="102">
        <f t="shared" si="53"/>
        <v>0.15904012007494911</v>
      </c>
      <c r="R114" s="102">
        <f t="shared" si="53"/>
        <v>0.17269613136781561</v>
      </c>
      <c r="S114" s="102">
        <f t="shared" si="53"/>
        <v>0.18684093754250913</v>
      </c>
      <c r="T114" s="102">
        <f t="shared" si="53"/>
        <v>0.2014745385990297</v>
      </c>
      <c r="U114" s="102">
        <f t="shared" si="53"/>
        <v>0.21659693453737724</v>
      </c>
      <c r="V114" s="102">
        <f t="shared" si="53"/>
        <v>0.23220812535755181</v>
      </c>
      <c r="W114" s="102">
        <f t="shared" si="53"/>
        <v>0.24830811105955342</v>
      </c>
      <c r="X114" s="102">
        <f t="shared" si="53"/>
        <v>0.26809489852303797</v>
      </c>
      <c r="Y114" s="102">
        <f t="shared" si="53"/>
        <v>0.28863333074886927</v>
      </c>
      <c r="Z114" s="102">
        <f t="shared" si="53"/>
        <v>0.30992340773704724</v>
      </c>
      <c r="AA114" s="102">
        <f t="shared" si="53"/>
        <v>0.33196512948757184</v>
      </c>
      <c r="AB114" s="102">
        <f t="shared" si="53"/>
        <v>0.35475849600044324</v>
      </c>
      <c r="AC114" s="102">
        <f t="shared" si="53"/>
        <v>0.3783035072756612</v>
      </c>
      <c r="AD114" s="102">
        <f t="shared" si="53"/>
        <v>0.40260016331322596</v>
      </c>
      <c r="AE114" s="102">
        <f t="shared" si="53"/>
        <v>0.42764846411313739</v>
      </c>
      <c r="AF114" s="102">
        <f t="shared" si="53"/>
        <v>0.4534484096753954</v>
      </c>
      <c r="AG114" s="102">
        <f t="shared" si="53"/>
        <v>0.48</v>
      </c>
      <c r="AI114" s="125"/>
      <c r="AJ114" s="185"/>
      <c r="BD114" s="177"/>
      <c r="BE114" s="177"/>
    </row>
    <row r="115" spans="1:63" outlineLevel="1">
      <c r="A115" t="s">
        <v>481</v>
      </c>
      <c r="B115" s="50" t="s">
        <v>126</v>
      </c>
      <c r="C115" s="102">
        <f>C111*C113</f>
        <v>0.17480000000000001</v>
      </c>
      <c r="D115" s="102">
        <f t="shared" ref="D115:AG115" si="54">D111*D113</f>
        <v>0.18382112664209091</v>
      </c>
      <c r="E115" s="102">
        <f t="shared" si="54"/>
        <v>0.19211469292835551</v>
      </c>
      <c r="F115" s="102">
        <f t="shared" si="54"/>
        <v>0.19968069885879383</v>
      </c>
      <c r="G115" s="102">
        <f t="shared" si="54"/>
        <v>0.20651914443340585</v>
      </c>
      <c r="H115" s="102">
        <f t="shared" si="54"/>
        <v>0.21263002965219152</v>
      </c>
      <c r="I115" s="102">
        <f t="shared" si="54"/>
        <v>0.21801335451515094</v>
      </c>
      <c r="J115" s="102">
        <f t="shared" si="54"/>
        <v>0.22266911902228403</v>
      </c>
      <c r="K115" s="102">
        <f t="shared" si="54"/>
        <v>0.22659732317359085</v>
      </c>
      <c r="L115" s="102">
        <f t="shared" si="54"/>
        <v>0.22979796696907137</v>
      </c>
      <c r="M115" s="102">
        <f t="shared" si="54"/>
        <v>0.23227105040872559</v>
      </c>
      <c r="N115" s="102">
        <f t="shared" si="54"/>
        <v>0.23075344534789663</v>
      </c>
      <c r="O115" s="102">
        <f t="shared" si="54"/>
        <v>0.22874704540524066</v>
      </c>
      <c r="P115" s="102">
        <f t="shared" si="54"/>
        <v>0.2262518505807577</v>
      </c>
      <c r="Q115" s="102">
        <f t="shared" si="54"/>
        <v>0.22326786087444769</v>
      </c>
      <c r="R115" s="102">
        <f t="shared" si="54"/>
        <v>0.21979507628631068</v>
      </c>
      <c r="S115" s="102">
        <f t="shared" si="54"/>
        <v>0.21583349681634664</v>
      </c>
      <c r="T115" s="102">
        <f t="shared" si="54"/>
        <v>0.2113831224645556</v>
      </c>
      <c r="U115" s="102">
        <f t="shared" si="54"/>
        <v>0.20644395323093759</v>
      </c>
      <c r="V115" s="102">
        <f t="shared" si="54"/>
        <v>0.20101598911549251</v>
      </c>
      <c r="W115" s="102">
        <f t="shared" si="54"/>
        <v>0.19509923011822039</v>
      </c>
      <c r="X115" s="102">
        <f t="shared" si="54"/>
        <v>0.19097170853695841</v>
      </c>
      <c r="Y115" s="102">
        <f t="shared" si="54"/>
        <v>0.18609254219334975</v>
      </c>
      <c r="Z115" s="102">
        <f t="shared" si="54"/>
        <v>0.18046173108739444</v>
      </c>
      <c r="AA115" s="102">
        <f t="shared" si="54"/>
        <v>0.17407927521909236</v>
      </c>
      <c r="AB115" s="102">
        <f t="shared" si="54"/>
        <v>0.16694517458844366</v>
      </c>
      <c r="AC115" s="102">
        <f t="shared" si="54"/>
        <v>0.15905942919544824</v>
      </c>
      <c r="AD115" s="102">
        <f t="shared" si="54"/>
        <v>0.15042203904010615</v>
      </c>
      <c r="AE115" s="102">
        <f t="shared" si="54"/>
        <v>0.1410330041224174</v>
      </c>
      <c r="AF115" s="102">
        <f t="shared" si="54"/>
        <v>0.13089232444238191</v>
      </c>
      <c r="AG115" s="102">
        <f t="shared" si="54"/>
        <v>0.11999999999999997</v>
      </c>
      <c r="AI115" s="125"/>
      <c r="AJ115" s="185"/>
      <c r="BD115" s="177"/>
      <c r="BE115" s="177"/>
    </row>
    <row r="116" spans="1:63" outlineLevel="1">
      <c r="B116" s="156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I116" s="125"/>
      <c r="AJ116" s="185"/>
      <c r="BD116" s="177"/>
      <c r="BE116" s="177"/>
    </row>
    <row r="117" spans="1:63" outlineLevel="1">
      <c r="A117" t="s">
        <v>422</v>
      </c>
      <c r="B117" s="50" t="s">
        <v>126</v>
      </c>
      <c r="C117" s="188">
        <v>0.52</v>
      </c>
      <c r="D117" s="102">
        <f>C117</f>
        <v>0.52</v>
      </c>
      <c r="E117" s="102">
        <f t="shared" ref="E117:T117" si="55">D117</f>
        <v>0.52</v>
      </c>
      <c r="F117" s="102">
        <f t="shared" si="55"/>
        <v>0.52</v>
      </c>
      <c r="G117" s="102">
        <f t="shared" si="55"/>
        <v>0.52</v>
      </c>
      <c r="H117" s="102">
        <f t="shared" si="55"/>
        <v>0.52</v>
      </c>
      <c r="I117" s="102">
        <f t="shared" si="55"/>
        <v>0.52</v>
      </c>
      <c r="J117" s="102">
        <f t="shared" si="55"/>
        <v>0.52</v>
      </c>
      <c r="K117" s="102">
        <f t="shared" si="55"/>
        <v>0.52</v>
      </c>
      <c r="L117" s="102">
        <f t="shared" si="55"/>
        <v>0.52</v>
      </c>
      <c r="M117" s="102">
        <f t="shared" si="55"/>
        <v>0.52</v>
      </c>
      <c r="N117" s="102">
        <f t="shared" si="55"/>
        <v>0.52</v>
      </c>
      <c r="O117" s="102">
        <f t="shared" si="55"/>
        <v>0.52</v>
      </c>
      <c r="P117" s="102">
        <f t="shared" si="55"/>
        <v>0.52</v>
      </c>
      <c r="Q117" s="102">
        <f t="shared" si="55"/>
        <v>0.52</v>
      </c>
      <c r="R117" s="102">
        <f t="shared" si="55"/>
        <v>0.52</v>
      </c>
      <c r="S117" s="102">
        <f t="shared" si="55"/>
        <v>0.52</v>
      </c>
      <c r="T117" s="102">
        <f t="shared" si="55"/>
        <v>0.52</v>
      </c>
      <c r="U117" s="102">
        <f t="shared" ref="T117:AG119" si="56">T117</f>
        <v>0.52</v>
      </c>
      <c r="V117" s="102">
        <f t="shared" si="56"/>
        <v>0.52</v>
      </c>
      <c r="W117" s="102">
        <f t="shared" si="56"/>
        <v>0.52</v>
      </c>
      <c r="X117" s="102">
        <f t="shared" si="56"/>
        <v>0.52</v>
      </c>
      <c r="Y117" s="102">
        <f t="shared" si="56"/>
        <v>0.52</v>
      </c>
      <c r="Z117" s="102">
        <f t="shared" si="56"/>
        <v>0.52</v>
      </c>
      <c r="AA117" s="102">
        <f t="shared" si="56"/>
        <v>0.52</v>
      </c>
      <c r="AB117" s="102">
        <f t="shared" si="56"/>
        <v>0.52</v>
      </c>
      <c r="AC117" s="102">
        <f t="shared" si="56"/>
        <v>0.52</v>
      </c>
      <c r="AD117" s="102">
        <f t="shared" si="56"/>
        <v>0.52</v>
      </c>
      <c r="AE117" s="102">
        <f t="shared" si="56"/>
        <v>0.52</v>
      </c>
      <c r="AF117" s="102">
        <f t="shared" si="56"/>
        <v>0.52</v>
      </c>
      <c r="AG117" s="102">
        <f t="shared" si="56"/>
        <v>0.52</v>
      </c>
      <c r="AI117" s="124" t="s">
        <v>431</v>
      </c>
      <c r="AJ117" s="205" t="s">
        <v>443</v>
      </c>
      <c r="BD117" s="177"/>
      <c r="BE117" s="177"/>
    </row>
    <row r="118" spans="1:63" outlineLevel="1">
      <c r="A118" t="s">
        <v>429</v>
      </c>
      <c r="B118" s="50" t="s">
        <v>126</v>
      </c>
      <c r="C118" s="188">
        <v>0.12</v>
      </c>
      <c r="D118" s="102">
        <f t="shared" ref="D118:S119" si="57">C118</f>
        <v>0.12</v>
      </c>
      <c r="E118" s="102">
        <f t="shared" si="57"/>
        <v>0.12</v>
      </c>
      <c r="F118" s="102">
        <f t="shared" si="57"/>
        <v>0.12</v>
      </c>
      <c r="G118" s="102">
        <f t="shared" si="57"/>
        <v>0.12</v>
      </c>
      <c r="H118" s="102">
        <f t="shared" si="57"/>
        <v>0.12</v>
      </c>
      <c r="I118" s="102">
        <f t="shared" si="57"/>
        <v>0.12</v>
      </c>
      <c r="J118" s="102">
        <f t="shared" si="57"/>
        <v>0.12</v>
      </c>
      <c r="K118" s="102">
        <f t="shared" si="57"/>
        <v>0.12</v>
      </c>
      <c r="L118" s="102">
        <f t="shared" si="57"/>
        <v>0.12</v>
      </c>
      <c r="M118" s="102">
        <f t="shared" si="57"/>
        <v>0.12</v>
      </c>
      <c r="N118" s="102">
        <f t="shared" si="57"/>
        <v>0.12</v>
      </c>
      <c r="O118" s="102">
        <f t="shared" si="57"/>
        <v>0.12</v>
      </c>
      <c r="P118" s="102">
        <f t="shared" si="57"/>
        <v>0.12</v>
      </c>
      <c r="Q118" s="102">
        <f t="shared" si="57"/>
        <v>0.12</v>
      </c>
      <c r="R118" s="102">
        <f t="shared" si="57"/>
        <v>0.12</v>
      </c>
      <c r="S118" s="102">
        <f t="shared" si="57"/>
        <v>0.12</v>
      </c>
      <c r="T118" s="102">
        <f t="shared" si="56"/>
        <v>0.12</v>
      </c>
      <c r="U118" s="102">
        <f t="shared" si="56"/>
        <v>0.12</v>
      </c>
      <c r="V118" s="102">
        <f t="shared" si="56"/>
        <v>0.12</v>
      </c>
      <c r="W118" s="102">
        <f t="shared" si="56"/>
        <v>0.12</v>
      </c>
      <c r="X118" s="102">
        <f t="shared" si="56"/>
        <v>0.12</v>
      </c>
      <c r="Y118" s="102">
        <f t="shared" si="56"/>
        <v>0.12</v>
      </c>
      <c r="Z118" s="102">
        <f t="shared" si="56"/>
        <v>0.12</v>
      </c>
      <c r="AA118" s="102">
        <f t="shared" si="56"/>
        <v>0.12</v>
      </c>
      <c r="AB118" s="102">
        <f t="shared" si="56"/>
        <v>0.12</v>
      </c>
      <c r="AC118" s="102">
        <f t="shared" si="56"/>
        <v>0.12</v>
      </c>
      <c r="AD118" s="102">
        <f t="shared" si="56"/>
        <v>0.12</v>
      </c>
      <c r="AE118" s="102">
        <f t="shared" si="56"/>
        <v>0.12</v>
      </c>
      <c r="AF118" s="102">
        <f t="shared" si="56"/>
        <v>0.12</v>
      </c>
      <c r="AG118" s="102">
        <f t="shared" si="56"/>
        <v>0.12</v>
      </c>
      <c r="AI118" s="124" t="s">
        <v>431</v>
      </c>
      <c r="AJ118" s="205" t="s">
        <v>443</v>
      </c>
      <c r="AL118" s="1"/>
      <c r="BC118" s="1"/>
      <c r="BD118" s="615"/>
      <c r="BE118" s="605"/>
      <c r="BF118" s="6"/>
      <c r="BG118" s="6"/>
      <c r="BH118" s="6"/>
      <c r="BI118" s="6"/>
      <c r="BJ118" s="6"/>
    </row>
    <row r="119" spans="1:63" outlineLevel="1">
      <c r="A119" t="s">
        <v>430</v>
      </c>
      <c r="B119" s="50" t="s">
        <v>126</v>
      </c>
      <c r="C119" s="113">
        <f>1-C117-C118</f>
        <v>0.36</v>
      </c>
      <c r="D119" s="102">
        <f t="shared" si="57"/>
        <v>0.36</v>
      </c>
      <c r="E119" s="102">
        <f t="shared" si="57"/>
        <v>0.36</v>
      </c>
      <c r="F119" s="102">
        <f t="shared" si="57"/>
        <v>0.36</v>
      </c>
      <c r="G119" s="102">
        <f t="shared" si="57"/>
        <v>0.36</v>
      </c>
      <c r="H119" s="102">
        <f t="shared" si="57"/>
        <v>0.36</v>
      </c>
      <c r="I119" s="102">
        <f t="shared" si="57"/>
        <v>0.36</v>
      </c>
      <c r="J119" s="102">
        <f t="shared" si="57"/>
        <v>0.36</v>
      </c>
      <c r="K119" s="102">
        <f t="shared" si="57"/>
        <v>0.36</v>
      </c>
      <c r="L119" s="102">
        <f t="shared" si="57"/>
        <v>0.36</v>
      </c>
      <c r="M119" s="102">
        <f t="shared" si="57"/>
        <v>0.36</v>
      </c>
      <c r="N119" s="102">
        <f t="shared" si="57"/>
        <v>0.36</v>
      </c>
      <c r="O119" s="102">
        <f t="shared" si="57"/>
        <v>0.36</v>
      </c>
      <c r="P119" s="102">
        <f t="shared" si="57"/>
        <v>0.36</v>
      </c>
      <c r="Q119" s="102">
        <f t="shared" si="57"/>
        <v>0.36</v>
      </c>
      <c r="R119" s="102">
        <f t="shared" si="57"/>
        <v>0.36</v>
      </c>
      <c r="S119" s="102">
        <f t="shared" si="57"/>
        <v>0.36</v>
      </c>
      <c r="T119" s="102">
        <f t="shared" si="56"/>
        <v>0.36</v>
      </c>
      <c r="U119" s="102">
        <f t="shared" si="56"/>
        <v>0.36</v>
      </c>
      <c r="V119" s="102">
        <f t="shared" si="56"/>
        <v>0.36</v>
      </c>
      <c r="W119" s="102">
        <f t="shared" si="56"/>
        <v>0.36</v>
      </c>
      <c r="X119" s="102">
        <f t="shared" si="56"/>
        <v>0.36</v>
      </c>
      <c r="Y119" s="102">
        <f t="shared" si="56"/>
        <v>0.36</v>
      </c>
      <c r="Z119" s="102">
        <f t="shared" si="56"/>
        <v>0.36</v>
      </c>
      <c r="AA119" s="102">
        <f t="shared" si="56"/>
        <v>0.36</v>
      </c>
      <c r="AB119" s="102">
        <f t="shared" si="56"/>
        <v>0.36</v>
      </c>
      <c r="AC119" s="102">
        <f t="shared" si="56"/>
        <v>0.36</v>
      </c>
      <c r="AD119" s="102">
        <f t="shared" si="56"/>
        <v>0.36</v>
      </c>
      <c r="AE119" s="102">
        <f t="shared" si="56"/>
        <v>0.36</v>
      </c>
      <c r="AF119" s="102">
        <f t="shared" si="56"/>
        <v>0.36</v>
      </c>
      <c r="AG119" s="102">
        <f t="shared" si="56"/>
        <v>0.36</v>
      </c>
      <c r="AI119" s="124"/>
      <c r="AJ119" s="196"/>
      <c r="BC119" s="1"/>
      <c r="BD119" s="37"/>
      <c r="BF119" s="6"/>
      <c r="BG119" s="6"/>
      <c r="BH119" s="6"/>
      <c r="BI119" s="6"/>
      <c r="BJ119" s="6"/>
    </row>
    <row r="120" spans="1:63" outlineLevel="1">
      <c r="A120" t="s">
        <v>418</v>
      </c>
      <c r="B120" s="50" t="s">
        <v>126</v>
      </c>
      <c r="C120" s="102">
        <f>SUM(C117:C119)</f>
        <v>1</v>
      </c>
      <c r="D120" s="102">
        <f t="shared" ref="D120:AG120" si="58">SUM(D117:D119)</f>
        <v>1</v>
      </c>
      <c r="E120" s="102">
        <f t="shared" si="58"/>
        <v>1</v>
      </c>
      <c r="F120" s="102">
        <f t="shared" si="58"/>
        <v>1</v>
      </c>
      <c r="G120" s="102">
        <f t="shared" si="58"/>
        <v>1</v>
      </c>
      <c r="H120" s="102">
        <f t="shared" si="58"/>
        <v>1</v>
      </c>
      <c r="I120" s="102">
        <f t="shared" si="58"/>
        <v>1</v>
      </c>
      <c r="J120" s="102">
        <f t="shared" si="58"/>
        <v>1</v>
      </c>
      <c r="K120" s="102">
        <f t="shared" si="58"/>
        <v>1</v>
      </c>
      <c r="L120" s="102">
        <f t="shared" si="58"/>
        <v>1</v>
      </c>
      <c r="M120" s="102">
        <f t="shared" si="58"/>
        <v>1</v>
      </c>
      <c r="N120" s="102">
        <f t="shared" si="58"/>
        <v>1</v>
      </c>
      <c r="O120" s="102">
        <f t="shared" si="58"/>
        <v>1</v>
      </c>
      <c r="P120" s="102">
        <f t="shared" si="58"/>
        <v>1</v>
      </c>
      <c r="Q120" s="102">
        <f t="shared" si="58"/>
        <v>1</v>
      </c>
      <c r="R120" s="102">
        <f t="shared" si="58"/>
        <v>1</v>
      </c>
      <c r="S120" s="102">
        <f t="shared" si="58"/>
        <v>1</v>
      </c>
      <c r="T120" s="102">
        <f t="shared" si="58"/>
        <v>1</v>
      </c>
      <c r="U120" s="102">
        <f t="shared" si="58"/>
        <v>1</v>
      </c>
      <c r="V120" s="102">
        <f t="shared" si="58"/>
        <v>1</v>
      </c>
      <c r="W120" s="102">
        <f t="shared" si="58"/>
        <v>1</v>
      </c>
      <c r="X120" s="102">
        <f t="shared" si="58"/>
        <v>1</v>
      </c>
      <c r="Y120" s="102">
        <f t="shared" si="58"/>
        <v>1</v>
      </c>
      <c r="Z120" s="102">
        <f t="shared" si="58"/>
        <v>1</v>
      </c>
      <c r="AA120" s="102">
        <f t="shared" si="58"/>
        <v>1</v>
      </c>
      <c r="AB120" s="102">
        <f t="shared" si="58"/>
        <v>1</v>
      </c>
      <c r="AC120" s="102">
        <f t="shared" si="58"/>
        <v>1</v>
      </c>
      <c r="AD120" s="102">
        <f t="shared" si="58"/>
        <v>1</v>
      </c>
      <c r="AE120" s="102">
        <f t="shared" si="58"/>
        <v>1</v>
      </c>
      <c r="AF120" s="102">
        <f t="shared" si="58"/>
        <v>1</v>
      </c>
      <c r="AG120" s="102">
        <f t="shared" si="58"/>
        <v>1</v>
      </c>
      <c r="AI120" s="124"/>
      <c r="AJ120" s="185"/>
      <c r="BC120" s="1"/>
      <c r="BD120" s="37"/>
      <c r="BF120" s="6"/>
      <c r="BG120" s="6"/>
      <c r="BH120" s="6"/>
      <c r="BI120" s="6"/>
      <c r="BJ120" s="6"/>
    </row>
    <row r="121" spans="1:63" outlineLevel="1">
      <c r="C121" s="188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I121" s="124"/>
      <c r="AJ121" s="185"/>
      <c r="BC121" s="1"/>
      <c r="BD121" s="37"/>
      <c r="BF121" s="6"/>
      <c r="BG121" s="6"/>
      <c r="BH121" s="6"/>
      <c r="BI121" s="6"/>
      <c r="BJ121" s="6"/>
    </row>
    <row r="122" spans="1:63" outlineLevel="1">
      <c r="A122" t="s">
        <v>426</v>
      </c>
      <c r="B122" s="50" t="s">
        <v>126</v>
      </c>
      <c r="C122" s="102">
        <f>C117*C115</f>
        <v>9.0896000000000005E-2</v>
      </c>
      <c r="D122" s="102">
        <f t="shared" ref="D122:AG122" si="59">D117*D115</f>
        <v>9.558698585388728E-2</v>
      </c>
      <c r="E122" s="102">
        <f t="shared" si="59"/>
        <v>9.989964032274487E-2</v>
      </c>
      <c r="F122" s="102">
        <f t="shared" si="59"/>
        <v>0.10383396340657279</v>
      </c>
      <c r="G122" s="102">
        <f t="shared" si="59"/>
        <v>0.10738995510537105</v>
      </c>
      <c r="H122" s="102">
        <f t="shared" si="59"/>
        <v>0.11056761541913959</v>
      </c>
      <c r="I122" s="102">
        <f t="shared" si="59"/>
        <v>0.11336694434787849</v>
      </c>
      <c r="J122" s="102">
        <f t="shared" si="59"/>
        <v>0.1157879418915877</v>
      </c>
      <c r="K122" s="102">
        <f t="shared" si="59"/>
        <v>0.11783060805026725</v>
      </c>
      <c r="L122" s="102">
        <f t="shared" si="59"/>
        <v>0.11949494282391712</v>
      </c>
      <c r="M122" s="102">
        <f t="shared" si="59"/>
        <v>0.12078094621253731</v>
      </c>
      <c r="N122" s="102">
        <f t="shared" si="59"/>
        <v>0.11999179158090625</v>
      </c>
      <c r="O122" s="102">
        <f t="shared" si="59"/>
        <v>0.11894846361072514</v>
      </c>
      <c r="P122" s="102">
        <f t="shared" si="59"/>
        <v>0.11765096230199401</v>
      </c>
      <c r="Q122" s="102">
        <f t="shared" si="59"/>
        <v>0.11609928765471281</v>
      </c>
      <c r="R122" s="102">
        <f t="shared" si="59"/>
        <v>0.11429343966888156</v>
      </c>
      <c r="S122" s="102">
        <f t="shared" si="59"/>
        <v>0.11223341834450026</v>
      </c>
      <c r="T122" s="102">
        <f t="shared" si="59"/>
        <v>0.10991922368156891</v>
      </c>
      <c r="U122" s="102">
        <f t="shared" si="59"/>
        <v>0.10735085568008755</v>
      </c>
      <c r="V122" s="102">
        <f t="shared" si="59"/>
        <v>0.10452831434005611</v>
      </c>
      <c r="W122" s="102">
        <f t="shared" si="59"/>
        <v>0.1014515996614746</v>
      </c>
      <c r="X122" s="102">
        <f t="shared" si="59"/>
        <v>9.9305288439218375E-2</v>
      </c>
      <c r="Y122" s="102">
        <f t="shared" si="59"/>
        <v>9.6768121940541879E-2</v>
      </c>
      <c r="Z122" s="102">
        <f t="shared" si="59"/>
        <v>9.3840100165445112E-2</v>
      </c>
      <c r="AA122" s="102">
        <f t="shared" si="59"/>
        <v>9.0521223113928032E-2</v>
      </c>
      <c r="AB122" s="102">
        <f t="shared" si="59"/>
        <v>8.6811490785990708E-2</v>
      </c>
      <c r="AC122" s="102">
        <f t="shared" si="59"/>
        <v>8.2710903181633086E-2</v>
      </c>
      <c r="AD122" s="102">
        <f t="shared" si="59"/>
        <v>7.8219460300855206E-2</v>
      </c>
      <c r="AE122" s="102">
        <f t="shared" si="59"/>
        <v>7.3337162143657056E-2</v>
      </c>
      <c r="AF122" s="102">
        <f t="shared" si="59"/>
        <v>6.8064008710038593E-2</v>
      </c>
      <c r="AG122" s="102">
        <f t="shared" si="59"/>
        <v>6.2399999999999983E-2</v>
      </c>
      <c r="AI122" s="124"/>
      <c r="AJ122" s="185"/>
      <c r="BD122" s="177"/>
      <c r="BE122" s="177"/>
    </row>
    <row r="123" spans="1:63" outlineLevel="1">
      <c r="A123" t="s">
        <v>427</v>
      </c>
      <c r="B123" s="50" t="s">
        <v>126</v>
      </c>
      <c r="C123" s="102">
        <f>C115*C118</f>
        <v>2.0976000000000002E-2</v>
      </c>
      <c r="D123" s="102">
        <f t="shared" ref="D123:AG123" si="60">D115*D118</f>
        <v>2.2058535197050907E-2</v>
      </c>
      <c r="E123" s="102">
        <f t="shared" si="60"/>
        <v>2.3053763151402659E-2</v>
      </c>
      <c r="F123" s="102">
        <f t="shared" si="60"/>
        <v>2.396168386305526E-2</v>
      </c>
      <c r="G123" s="102">
        <f t="shared" si="60"/>
        <v>2.47822973320087E-2</v>
      </c>
      <c r="H123" s="102">
        <f t="shared" si="60"/>
        <v>2.5515603558262982E-2</v>
      </c>
      <c r="I123" s="102">
        <f t="shared" si="60"/>
        <v>2.6161602541818114E-2</v>
      </c>
      <c r="J123" s="102">
        <f t="shared" si="60"/>
        <v>2.6720294282674084E-2</v>
      </c>
      <c r="K123" s="102">
        <f t="shared" si="60"/>
        <v>2.71916787808309E-2</v>
      </c>
      <c r="L123" s="102">
        <f t="shared" si="60"/>
        <v>2.7575756036288562E-2</v>
      </c>
      <c r="M123" s="102">
        <f t="shared" si="60"/>
        <v>2.787252604904707E-2</v>
      </c>
      <c r="N123" s="102">
        <f t="shared" si="60"/>
        <v>2.7690413441747594E-2</v>
      </c>
      <c r="O123" s="102">
        <f t="shared" si="60"/>
        <v>2.7449645448628879E-2</v>
      </c>
      <c r="P123" s="102">
        <f t="shared" si="60"/>
        <v>2.7150222069690921E-2</v>
      </c>
      <c r="Q123" s="102">
        <f t="shared" si="60"/>
        <v>2.6792143304933722E-2</v>
      </c>
      <c r="R123" s="102">
        <f t="shared" si="60"/>
        <v>2.6375409154357279E-2</v>
      </c>
      <c r="S123" s="102">
        <f t="shared" si="60"/>
        <v>2.5900019617961595E-2</v>
      </c>
      <c r="T123" s="102">
        <f t="shared" si="60"/>
        <v>2.5365974695746672E-2</v>
      </c>
      <c r="U123" s="102">
        <f t="shared" si="60"/>
        <v>2.4773274387712509E-2</v>
      </c>
      <c r="V123" s="102">
        <f t="shared" si="60"/>
        <v>2.4121918693859101E-2</v>
      </c>
      <c r="W123" s="102">
        <f t="shared" si="60"/>
        <v>2.3411907614186447E-2</v>
      </c>
      <c r="X123" s="102">
        <f t="shared" si="60"/>
        <v>2.2916605024435009E-2</v>
      </c>
      <c r="Y123" s="102">
        <f t="shared" si="60"/>
        <v>2.2331105063201968E-2</v>
      </c>
      <c r="Z123" s="102">
        <f t="shared" si="60"/>
        <v>2.1655407730487332E-2</v>
      </c>
      <c r="AA123" s="102">
        <f t="shared" si="60"/>
        <v>2.0889513026291082E-2</v>
      </c>
      <c r="AB123" s="102">
        <f t="shared" si="60"/>
        <v>2.0033420950613237E-2</v>
      </c>
      <c r="AC123" s="102">
        <f t="shared" si="60"/>
        <v>1.9087131503453789E-2</v>
      </c>
      <c r="AD123" s="102">
        <f t="shared" si="60"/>
        <v>1.8050644684812735E-2</v>
      </c>
      <c r="AE123" s="102">
        <f t="shared" si="60"/>
        <v>1.6923960494690086E-2</v>
      </c>
      <c r="AF123" s="102">
        <f t="shared" si="60"/>
        <v>1.570707893308583E-2</v>
      </c>
      <c r="AG123" s="102">
        <f t="shared" si="60"/>
        <v>1.4399999999999996E-2</v>
      </c>
      <c r="AI123" s="124"/>
      <c r="AJ123" s="185"/>
      <c r="AL123" s="1"/>
      <c r="BC123" s="1"/>
      <c r="BD123" s="615"/>
      <c r="BE123" s="605"/>
      <c r="BF123" s="6"/>
      <c r="BG123" s="6"/>
      <c r="BH123" s="6"/>
      <c r="BI123" s="6"/>
      <c r="BJ123" s="6"/>
    </row>
    <row r="124" spans="1:63" outlineLevel="1">
      <c r="A124" t="s">
        <v>428</v>
      </c>
      <c r="B124" s="50" t="s">
        <v>126</v>
      </c>
      <c r="C124" s="102">
        <f>C115*C119</f>
        <v>6.2927999999999998E-2</v>
      </c>
      <c r="D124" s="102">
        <f t="shared" ref="D124:AG124" si="61">D115*D119</f>
        <v>6.6175605591152722E-2</v>
      </c>
      <c r="E124" s="102">
        <f t="shared" si="61"/>
        <v>6.9161289454207978E-2</v>
      </c>
      <c r="F124" s="102">
        <f t="shared" si="61"/>
        <v>7.1885051589165777E-2</v>
      </c>
      <c r="G124" s="102">
        <f t="shared" si="61"/>
        <v>7.4346891996026107E-2</v>
      </c>
      <c r="H124" s="102">
        <f t="shared" si="61"/>
        <v>7.654681067478894E-2</v>
      </c>
      <c r="I124" s="102">
        <f t="shared" si="61"/>
        <v>7.8484807625454331E-2</v>
      </c>
      <c r="J124" s="102">
        <f t="shared" si="61"/>
        <v>8.0160882848022252E-2</v>
      </c>
      <c r="K124" s="102">
        <f t="shared" si="61"/>
        <v>8.1575036342492704E-2</v>
      </c>
      <c r="L124" s="102">
        <f t="shared" si="61"/>
        <v>8.2727268108865687E-2</v>
      </c>
      <c r="M124" s="102">
        <f t="shared" si="61"/>
        <v>8.3617578147141214E-2</v>
      </c>
      <c r="N124" s="102">
        <f t="shared" si="61"/>
        <v>8.3071240325242782E-2</v>
      </c>
      <c r="O124" s="102">
        <f t="shared" si="61"/>
        <v>8.2348936345886636E-2</v>
      </c>
      <c r="P124" s="102">
        <f t="shared" si="61"/>
        <v>8.1450666209072764E-2</v>
      </c>
      <c r="Q124" s="102">
        <f t="shared" si="61"/>
        <v>8.0376429914801165E-2</v>
      </c>
      <c r="R124" s="102">
        <f t="shared" si="61"/>
        <v>7.9126227463071838E-2</v>
      </c>
      <c r="S124" s="102">
        <f t="shared" si="61"/>
        <v>7.7700058853884785E-2</v>
      </c>
      <c r="T124" s="102">
        <f t="shared" si="61"/>
        <v>7.6097924087240018E-2</v>
      </c>
      <c r="U124" s="102">
        <f t="shared" si="61"/>
        <v>7.4319823163137524E-2</v>
      </c>
      <c r="V124" s="102">
        <f t="shared" si="61"/>
        <v>7.2365756081577304E-2</v>
      </c>
      <c r="W124" s="102">
        <f t="shared" si="61"/>
        <v>7.0235722842559342E-2</v>
      </c>
      <c r="X124" s="102">
        <f t="shared" si="61"/>
        <v>6.8749815073305021E-2</v>
      </c>
      <c r="Y124" s="102">
        <f t="shared" si="61"/>
        <v>6.6993315189605912E-2</v>
      </c>
      <c r="Z124" s="102">
        <f t="shared" si="61"/>
        <v>6.4966223191462003E-2</v>
      </c>
      <c r="AA124" s="102">
        <f t="shared" si="61"/>
        <v>6.266853907887325E-2</v>
      </c>
      <c r="AB124" s="102">
        <f t="shared" si="61"/>
        <v>6.0100262851839711E-2</v>
      </c>
      <c r="AC124" s="102">
        <f t="shared" si="61"/>
        <v>5.7261394510361364E-2</v>
      </c>
      <c r="AD124" s="102">
        <f t="shared" si="61"/>
        <v>5.415193405443821E-2</v>
      </c>
      <c r="AE124" s="102">
        <f t="shared" si="61"/>
        <v>5.0771881484070261E-2</v>
      </c>
      <c r="AF124" s="102">
        <f t="shared" si="61"/>
        <v>4.712123679925749E-2</v>
      </c>
      <c r="AG124" s="102">
        <f t="shared" si="61"/>
        <v>4.3199999999999988E-2</v>
      </c>
      <c r="AI124" s="125"/>
      <c r="AJ124" s="185"/>
      <c r="BC124" s="1"/>
      <c r="BD124" s="37"/>
      <c r="BF124" s="6"/>
      <c r="BG124" s="6"/>
      <c r="BH124" s="6"/>
      <c r="BI124" s="6"/>
      <c r="BJ124" s="6"/>
    </row>
    <row r="125" spans="1:63" outlineLevel="1"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I125" s="125"/>
      <c r="AJ125" s="185"/>
      <c r="BC125" s="1"/>
      <c r="BD125" s="37"/>
      <c r="BF125" s="6"/>
      <c r="BG125" s="6"/>
      <c r="BH125" s="6"/>
      <c r="BI125" s="6"/>
      <c r="BJ125" s="6"/>
    </row>
    <row r="126" spans="1:63" outlineLevel="1">
      <c r="A126" t="s">
        <v>992</v>
      </c>
      <c r="C126" s="203">
        <f>'Overall recycling rates'!E86</f>
        <v>0.24090994458682721</v>
      </c>
      <c r="D126" s="203">
        <f>C126-($C126-$AG126)/($AG$1-$C$1)</f>
        <v>0.2595462797672663</v>
      </c>
      <c r="E126" s="203">
        <f t="shared" ref="E126:AF126" si="62">D126-($C126-$AG126)/($AG$1-$C$1)</f>
        <v>0.27818261494770541</v>
      </c>
      <c r="F126" s="203">
        <f t="shared" si="62"/>
        <v>0.29681895012814452</v>
      </c>
      <c r="G126" s="203">
        <f t="shared" si="62"/>
        <v>0.31545528530858363</v>
      </c>
      <c r="H126" s="203">
        <f t="shared" si="62"/>
        <v>0.33409162048902274</v>
      </c>
      <c r="I126" s="203">
        <f t="shared" si="62"/>
        <v>0.35272795566946186</v>
      </c>
      <c r="J126" s="203">
        <f t="shared" si="62"/>
        <v>0.37136429084990097</v>
      </c>
      <c r="K126" s="203">
        <f t="shared" si="62"/>
        <v>0.39000062603034008</v>
      </c>
      <c r="L126" s="203">
        <f t="shared" si="62"/>
        <v>0.40863696121077919</v>
      </c>
      <c r="M126" s="203">
        <f t="shared" si="62"/>
        <v>0.4272732963912183</v>
      </c>
      <c r="N126" s="203">
        <f t="shared" si="62"/>
        <v>0.44590963157165742</v>
      </c>
      <c r="O126" s="203">
        <f t="shared" si="62"/>
        <v>0.46454596675209653</v>
      </c>
      <c r="P126" s="203">
        <f t="shared" si="62"/>
        <v>0.48318230193253564</v>
      </c>
      <c r="Q126" s="203">
        <f t="shared" si="62"/>
        <v>0.5018186371129747</v>
      </c>
      <c r="R126" s="203">
        <f t="shared" si="62"/>
        <v>0.52045497229341375</v>
      </c>
      <c r="S126" s="203">
        <f t="shared" si="62"/>
        <v>0.53909130747385281</v>
      </c>
      <c r="T126" s="203">
        <f t="shared" si="62"/>
        <v>0.55772764265429187</v>
      </c>
      <c r="U126" s="203">
        <f t="shared" si="62"/>
        <v>0.57636397783473092</v>
      </c>
      <c r="V126" s="203">
        <f t="shared" si="62"/>
        <v>0.59500031301516998</v>
      </c>
      <c r="W126" s="203">
        <f t="shared" si="62"/>
        <v>0.61363664819560904</v>
      </c>
      <c r="X126" s="203">
        <f t="shared" si="62"/>
        <v>0.63227298337604809</v>
      </c>
      <c r="Y126" s="203">
        <f t="shared" si="62"/>
        <v>0.65090931855648715</v>
      </c>
      <c r="Z126" s="203">
        <f t="shared" si="62"/>
        <v>0.66954565373692621</v>
      </c>
      <c r="AA126" s="203">
        <f t="shared" si="62"/>
        <v>0.68818198891736526</v>
      </c>
      <c r="AB126" s="203">
        <f t="shared" si="62"/>
        <v>0.70681832409780432</v>
      </c>
      <c r="AC126" s="203">
        <f t="shared" si="62"/>
        <v>0.72545465927824337</v>
      </c>
      <c r="AD126" s="203">
        <f t="shared" si="62"/>
        <v>0.74409099445868243</v>
      </c>
      <c r="AE126" s="203">
        <f t="shared" si="62"/>
        <v>0.76272732963912149</v>
      </c>
      <c r="AF126" s="203">
        <f t="shared" si="62"/>
        <v>0.78136366481956054</v>
      </c>
      <c r="AG126" s="203">
        <f>'Overall recycling rates'!E95</f>
        <v>0.8</v>
      </c>
      <c r="AI126" s="124"/>
      <c r="AJ126" s="185" t="s">
        <v>993</v>
      </c>
      <c r="AL126" s="100"/>
      <c r="AM126" s="181"/>
      <c r="AN126" s="181"/>
      <c r="AO126" s="181"/>
      <c r="BC126" s="1"/>
      <c r="BD126" s="181"/>
      <c r="BE126" s="181"/>
      <c r="BF126" s="181"/>
      <c r="BG126" s="181"/>
      <c r="BH126" s="181"/>
      <c r="BI126" s="181"/>
      <c r="BJ126" s="181"/>
      <c r="BK126" s="181"/>
    </row>
    <row r="127" spans="1:63" outlineLevel="1">
      <c r="A127" t="s">
        <v>1032</v>
      </c>
      <c r="B127" s="50" t="s">
        <v>126</v>
      </c>
      <c r="C127" s="102">
        <f>C114*C$126</f>
        <v>3.6618311577197738E-3</v>
      </c>
      <c r="D127" s="102">
        <f t="shared" ref="D127:AG128" si="63">D114*D$126</f>
        <v>5.5377782527997214E-3</v>
      </c>
      <c r="E127" s="102">
        <f t="shared" si="63"/>
        <v>7.8448392878804236E-3</v>
      </c>
      <c r="F127" s="102">
        <f t="shared" si="63"/>
        <v>1.0623691438927415E-2</v>
      </c>
      <c r="G127" s="102">
        <f t="shared" si="63"/>
        <v>1.3915011881906232E-2</v>
      </c>
      <c r="H127" s="102">
        <f t="shared" si="63"/>
        <v>1.7759477792782405E-2</v>
      </c>
      <c r="I127" s="102">
        <f t="shared" si="63"/>
        <v>2.2197766347521474E-2</v>
      </c>
      <c r="J127" s="102">
        <f t="shared" si="63"/>
        <v>2.7270554722088978E-2</v>
      </c>
      <c r="K127" s="102">
        <f t="shared" si="63"/>
        <v>3.3018520092450446E-2</v>
      </c>
      <c r="L127" s="102">
        <f t="shared" si="63"/>
        <v>3.9482339634571414E-2</v>
      </c>
      <c r="M127" s="102">
        <f t="shared" si="63"/>
        <v>4.6702690524417424E-2</v>
      </c>
      <c r="N127" s="102">
        <f t="shared" si="63"/>
        <v>5.3957230528728799E-2</v>
      </c>
      <c r="O127" s="102">
        <f t="shared" si="63"/>
        <v>6.1874959469307725E-2</v>
      </c>
      <c r="P127" s="102">
        <f t="shared" si="63"/>
        <v>7.0483205381910857E-2</v>
      </c>
      <c r="Q127" s="102">
        <f t="shared" si="63"/>
        <v>7.9809296302294816E-2</v>
      </c>
      <c r="R127" s="102">
        <f t="shared" si="63"/>
        <v>8.9880560266216214E-2</v>
      </c>
      <c r="S127" s="102">
        <f t="shared" si="63"/>
        <v>0.10072432530943172</v>
      </c>
      <c r="T127" s="102">
        <f t="shared" si="63"/>
        <v>0.11236791946769797</v>
      </c>
      <c r="U127" s="102">
        <f t="shared" si="63"/>
        <v>0.12483867077677156</v>
      </c>
      <c r="V127" s="102">
        <f t="shared" si="63"/>
        <v>0.13816390727240915</v>
      </c>
      <c r="W127" s="102">
        <f t="shared" si="63"/>
        <v>0.1523709569903674</v>
      </c>
      <c r="X127" s="102">
        <f t="shared" si="63"/>
        <v>0.16950916131706009</v>
      </c>
      <c r="Y127" s="102">
        <f t="shared" si="63"/>
        <v>0.18787412463043565</v>
      </c>
      <c r="Z127" s="102">
        <f t="shared" si="63"/>
        <v>0.20750787064167722</v>
      </c>
      <c r="AA127" s="102">
        <f t="shared" si="63"/>
        <v>0.22845242306196789</v>
      </c>
      <c r="AB127" s="102">
        <f t="shared" si="63"/>
        <v>0.25074980560249088</v>
      </c>
      <c r="AC127" s="102">
        <f t="shared" si="63"/>
        <v>0.27444204197442928</v>
      </c>
      <c r="AD127" s="102">
        <f t="shared" si="63"/>
        <v>0.29957115588896627</v>
      </c>
      <c r="AE127" s="102">
        <f t="shared" si="63"/>
        <v>0.32617917105728494</v>
      </c>
      <c r="AF127" s="102">
        <f t="shared" si="63"/>
        <v>0.35430811119056843</v>
      </c>
      <c r="AG127" s="102">
        <f t="shared" si="63"/>
        <v>0.38400000000000001</v>
      </c>
      <c r="AI127" s="124"/>
      <c r="AJ127"/>
      <c r="AL127" s="100"/>
      <c r="AM127" s="2"/>
      <c r="AN127" s="2"/>
      <c r="AO127" s="2"/>
      <c r="AV127" s="37"/>
    </row>
    <row r="128" spans="1:63" outlineLevel="1">
      <c r="A128" t="s">
        <v>1033</v>
      </c>
      <c r="B128" s="50" t="s">
        <v>126</v>
      </c>
      <c r="C128" s="102">
        <f>C115*C$126</f>
        <v>4.21110583137774E-2</v>
      </c>
      <c r="D128" s="102">
        <f t="shared" si="63"/>
        <v>4.7710089562582214E-2</v>
      </c>
      <c r="E128" s="102">
        <f t="shared" si="63"/>
        <v>5.3442967648685384E-2</v>
      </c>
      <c r="F128" s="102">
        <f t="shared" si="63"/>
        <v>5.9269015396121373E-2</v>
      </c>
      <c r="G128" s="102">
        <f t="shared" si="63"/>
        <v>6.514755562892463E-2</v>
      </c>
      <c r="H128" s="102">
        <f t="shared" si="63"/>
        <v>7.103791117112962E-2</v>
      </c>
      <c r="I128" s="102">
        <f t="shared" si="63"/>
        <v>7.6899404846770839E-2</v>
      </c>
      <c r="J128" s="102">
        <f t="shared" si="63"/>
        <v>8.2691359479882709E-2</v>
      </c>
      <c r="K128" s="102">
        <f t="shared" si="63"/>
        <v>8.8373097894499722E-2</v>
      </c>
      <c r="L128" s="102">
        <f t="shared" si="63"/>
        <v>9.3903942914656341E-2</v>
      </c>
      <c r="M128" s="102">
        <f t="shared" si="63"/>
        <v>9.9243217364387015E-2</v>
      </c>
      <c r="N128" s="102">
        <f t="shared" si="63"/>
        <v>0.10289518379897117</v>
      </c>
      <c r="O128" s="102">
        <f t="shared" si="63"/>
        <v>0.10626351734946324</v>
      </c>
      <c r="P128" s="102">
        <f t="shared" si="63"/>
        <v>0.1093208899801066</v>
      </c>
      <c r="Q128" s="102">
        <f t="shared" si="63"/>
        <v>0.11203997365514459</v>
      </c>
      <c r="R128" s="102">
        <f t="shared" si="63"/>
        <v>0.11439344033882058</v>
      </c>
      <c r="S128" s="102">
        <f t="shared" si="63"/>
        <v>0.11635396199537797</v>
      </c>
      <c r="T128" s="102">
        <f t="shared" si="63"/>
        <v>0.11789421058906008</v>
      </c>
      <c r="U128" s="102">
        <f t="shared" si="63"/>
        <v>0.11898685808411034</v>
      </c>
      <c r="V128" s="102">
        <f t="shared" si="63"/>
        <v>0.11960457644477204</v>
      </c>
      <c r="W128" s="102">
        <f t="shared" si="63"/>
        <v>0.11972003763528857</v>
      </c>
      <c r="X128" s="102">
        <f t="shared" si="63"/>
        <v>0.12074625189708381</v>
      </c>
      <c r="Y128" s="102">
        <f t="shared" si="63"/>
        <v>0.12112936982751762</v>
      </c>
      <c r="Z128" s="102">
        <f t="shared" si="63"/>
        <v>0.12082736771540689</v>
      </c>
      <c r="AA128" s="102">
        <f t="shared" si="63"/>
        <v>0.1197982218495684</v>
      </c>
      <c r="AB128" s="102">
        <f t="shared" si="63"/>
        <v>0.1179999085188191</v>
      </c>
      <c r="AC128" s="102">
        <f t="shared" si="63"/>
        <v>0.11539040401197578</v>
      </c>
      <c r="AD128" s="102">
        <f t="shared" si="63"/>
        <v>0.11192768461785534</v>
      </c>
      <c r="AE128" s="102">
        <f t="shared" si="63"/>
        <v>0.10756972662527464</v>
      </c>
      <c r="AF128" s="102">
        <f t="shared" si="63"/>
        <v>0.10227450632305048</v>
      </c>
      <c r="AG128" s="102">
        <f t="shared" si="63"/>
        <v>9.5999999999999974E-2</v>
      </c>
      <c r="AH128" s="217"/>
      <c r="AI128" s="124"/>
      <c r="AJ128" s="185"/>
      <c r="AL128" s="100"/>
      <c r="AM128" s="2"/>
      <c r="AN128" s="2"/>
      <c r="AO128" s="2"/>
      <c r="AV128" s="37"/>
    </row>
    <row r="129" spans="1:63" outlineLevel="1">
      <c r="A129" t="s">
        <v>1034</v>
      </c>
      <c r="B129" s="156" t="s">
        <v>126</v>
      </c>
      <c r="C129" s="102">
        <f>SUM(C127:C128)</f>
        <v>4.5772889471497172E-2</v>
      </c>
      <c r="D129" s="102">
        <f t="shared" ref="D129:AG129" si="64">SUM(D127:D128)</f>
        <v>5.3247867815381933E-2</v>
      </c>
      <c r="E129" s="102">
        <f t="shared" si="64"/>
        <v>6.1287806936565811E-2</v>
      </c>
      <c r="F129" s="102">
        <f t="shared" si="64"/>
        <v>6.9892706835048793E-2</v>
      </c>
      <c r="G129" s="102">
        <f t="shared" si="64"/>
        <v>7.9062567510830864E-2</v>
      </c>
      <c r="H129" s="102">
        <f t="shared" si="64"/>
        <v>8.8797388963912025E-2</v>
      </c>
      <c r="I129" s="102">
        <f t="shared" si="64"/>
        <v>9.9097171194292316E-2</v>
      </c>
      <c r="J129" s="102">
        <f t="shared" si="64"/>
        <v>0.10996191420197168</v>
      </c>
      <c r="K129" s="102">
        <f t="shared" si="64"/>
        <v>0.12139161798695017</v>
      </c>
      <c r="L129" s="102">
        <f t="shared" si="64"/>
        <v>0.13338628254922774</v>
      </c>
      <c r="M129" s="102">
        <f t="shared" si="64"/>
        <v>0.14594590788880443</v>
      </c>
      <c r="N129" s="102">
        <f t="shared" si="64"/>
        <v>0.15685241432769997</v>
      </c>
      <c r="O129" s="102">
        <f t="shared" si="64"/>
        <v>0.16813847681877098</v>
      </c>
      <c r="P129" s="102">
        <f t="shared" si="64"/>
        <v>0.17980409536201747</v>
      </c>
      <c r="Q129" s="102">
        <f t="shared" si="64"/>
        <v>0.19184926995743939</v>
      </c>
      <c r="R129" s="102">
        <f t="shared" si="64"/>
        <v>0.20427400060503681</v>
      </c>
      <c r="S129" s="102">
        <f t="shared" si="64"/>
        <v>0.21707828730480969</v>
      </c>
      <c r="T129" s="102">
        <f t="shared" si="64"/>
        <v>0.23026213005675805</v>
      </c>
      <c r="U129" s="102">
        <f t="shared" si="64"/>
        <v>0.24382552886088191</v>
      </c>
      <c r="V129" s="102">
        <f t="shared" si="64"/>
        <v>0.2577684837171812</v>
      </c>
      <c r="W129" s="102">
        <f t="shared" si="64"/>
        <v>0.272090994625656</v>
      </c>
      <c r="X129" s="102">
        <f t="shared" si="64"/>
        <v>0.29025541321414389</v>
      </c>
      <c r="Y129" s="102">
        <f t="shared" si="64"/>
        <v>0.30900349445795328</v>
      </c>
      <c r="Z129" s="102">
        <f t="shared" si="64"/>
        <v>0.32833523835708411</v>
      </c>
      <c r="AA129" s="102">
        <f t="shared" si="64"/>
        <v>0.34825064491153629</v>
      </c>
      <c r="AB129" s="102">
        <f t="shared" si="64"/>
        <v>0.36874971412130997</v>
      </c>
      <c r="AC129" s="102">
        <f t="shared" si="64"/>
        <v>0.3898324459864051</v>
      </c>
      <c r="AD129" s="102">
        <f t="shared" si="64"/>
        <v>0.41149884050682162</v>
      </c>
      <c r="AE129" s="102">
        <f t="shared" si="64"/>
        <v>0.43374889768255959</v>
      </c>
      <c r="AF129" s="102">
        <f t="shared" si="64"/>
        <v>0.45658261751361889</v>
      </c>
      <c r="AG129" s="102">
        <f t="shared" si="64"/>
        <v>0.48</v>
      </c>
      <c r="AI129" s="124"/>
      <c r="AJ129" s="185"/>
      <c r="AL129" s="100"/>
      <c r="AM129" s="2"/>
      <c r="AN129" s="2"/>
      <c r="AO129" s="2"/>
    </row>
    <row r="130" spans="1:63" outlineLevel="1">
      <c r="A130" t="s">
        <v>1035</v>
      </c>
      <c r="B130" s="50" t="s">
        <v>126</v>
      </c>
      <c r="C130" s="102">
        <f>C117*C128</f>
        <v>2.1897750323164249E-2</v>
      </c>
      <c r="D130" s="102">
        <f t="shared" ref="D130:AG130" si="65">D117*D128</f>
        <v>2.4809246572542753E-2</v>
      </c>
      <c r="E130" s="102">
        <f t="shared" si="65"/>
        <v>2.77903431773164E-2</v>
      </c>
      <c r="F130" s="102">
        <f t="shared" si="65"/>
        <v>3.0819888005983113E-2</v>
      </c>
      <c r="G130" s="102">
        <f t="shared" si="65"/>
        <v>3.3876728927040807E-2</v>
      </c>
      <c r="H130" s="102">
        <f t="shared" si="65"/>
        <v>3.6939713808987404E-2</v>
      </c>
      <c r="I130" s="102">
        <f t="shared" si="65"/>
        <v>3.9987690520320834E-2</v>
      </c>
      <c r="J130" s="102">
        <f t="shared" si="65"/>
        <v>4.2999506929539008E-2</v>
      </c>
      <c r="K130" s="102">
        <f t="shared" si="65"/>
        <v>4.5954010905139855E-2</v>
      </c>
      <c r="L130" s="102">
        <f t="shared" si="65"/>
        <v>4.88300503156213E-2</v>
      </c>
      <c r="M130" s="102">
        <f t="shared" si="65"/>
        <v>5.1606473029481251E-2</v>
      </c>
      <c r="N130" s="102">
        <f t="shared" si="65"/>
        <v>5.3505495575465009E-2</v>
      </c>
      <c r="O130" s="102">
        <f t="shared" si="65"/>
        <v>5.5257029021720888E-2</v>
      </c>
      <c r="P130" s="102">
        <f t="shared" si="65"/>
        <v>5.6846862789655429E-2</v>
      </c>
      <c r="Q130" s="102">
        <f t="shared" si="65"/>
        <v>5.8260786300675188E-2</v>
      </c>
      <c r="R130" s="102">
        <f t="shared" si="65"/>
        <v>5.9484588976186706E-2</v>
      </c>
      <c r="S130" s="102">
        <f t="shared" si="65"/>
        <v>6.0504060237596545E-2</v>
      </c>
      <c r="T130" s="102">
        <f t="shared" si="65"/>
        <v>6.130498950631124E-2</v>
      </c>
      <c r="U130" s="102">
        <f t="shared" si="65"/>
        <v>6.1873166203737381E-2</v>
      </c>
      <c r="V130" s="102">
        <f t="shared" si="65"/>
        <v>6.2194379751281462E-2</v>
      </c>
      <c r="W130" s="102">
        <f t="shared" si="65"/>
        <v>6.2254419570350057E-2</v>
      </c>
      <c r="X130" s="102">
        <f t="shared" si="65"/>
        <v>6.2788050986483587E-2</v>
      </c>
      <c r="Y130" s="102">
        <f t="shared" si="65"/>
        <v>6.2987272310309164E-2</v>
      </c>
      <c r="Z130" s="102">
        <f t="shared" si="65"/>
        <v>6.2830231212011589E-2</v>
      </c>
      <c r="AA130" s="102">
        <f t="shared" si="65"/>
        <v>6.2295075361775566E-2</v>
      </c>
      <c r="AB130" s="102">
        <f t="shared" si="65"/>
        <v>6.1359952429785931E-2</v>
      </c>
      <c r="AC130" s="102">
        <f t="shared" si="65"/>
        <v>6.000301008622741E-2</v>
      </c>
      <c r="AD130" s="102">
        <f t="shared" si="65"/>
        <v>5.8202396001284774E-2</v>
      </c>
      <c r="AE130" s="102">
        <f t="shared" si="65"/>
        <v>5.5936257845142813E-2</v>
      </c>
      <c r="AF130" s="102">
        <f t="shared" si="65"/>
        <v>5.3182743287986251E-2</v>
      </c>
      <c r="AG130" s="102">
        <f t="shared" si="65"/>
        <v>4.9919999999999985E-2</v>
      </c>
      <c r="AI130" s="124"/>
      <c r="AJ130" s="185"/>
      <c r="BD130" s="177"/>
      <c r="BE130" s="177"/>
    </row>
    <row r="131" spans="1:63" outlineLevel="1">
      <c r="A131" t="s">
        <v>1036</v>
      </c>
      <c r="B131" s="50" t="s">
        <v>126</v>
      </c>
      <c r="C131" s="102">
        <f>C118*C128</f>
        <v>5.0533269976532876E-3</v>
      </c>
      <c r="D131" s="102">
        <f t="shared" ref="D131:AG131" si="66">D118*D128</f>
        <v>5.7252107475098653E-3</v>
      </c>
      <c r="E131" s="102">
        <f t="shared" si="66"/>
        <v>6.4131561178422461E-3</v>
      </c>
      <c r="F131" s="102">
        <f t="shared" si="66"/>
        <v>7.1122818475345649E-3</v>
      </c>
      <c r="G131" s="102">
        <f t="shared" si="66"/>
        <v>7.8177066754709559E-3</v>
      </c>
      <c r="H131" s="102">
        <f t="shared" si="66"/>
        <v>8.5245493405355539E-3</v>
      </c>
      <c r="I131" s="102">
        <f t="shared" si="66"/>
        <v>9.227928581612501E-3</v>
      </c>
      <c r="J131" s="102">
        <f t="shared" si="66"/>
        <v>9.9229631375859252E-3</v>
      </c>
      <c r="K131" s="102">
        <f t="shared" si="66"/>
        <v>1.0604771747339967E-2</v>
      </c>
      <c r="L131" s="102">
        <f t="shared" si="66"/>
        <v>1.126847314975876E-2</v>
      </c>
      <c r="M131" s="102">
        <f t="shared" si="66"/>
        <v>1.1909186083726441E-2</v>
      </c>
      <c r="N131" s="102">
        <f t="shared" si="66"/>
        <v>1.234742205587654E-2</v>
      </c>
      <c r="O131" s="102">
        <f t="shared" si="66"/>
        <v>1.2751622081935587E-2</v>
      </c>
      <c r="P131" s="102">
        <f t="shared" si="66"/>
        <v>1.3118506797612792E-2</v>
      </c>
      <c r="Q131" s="102">
        <f t="shared" si="66"/>
        <v>1.3444796838617351E-2</v>
      </c>
      <c r="R131" s="102">
        <f t="shared" si="66"/>
        <v>1.3727212840658469E-2</v>
      </c>
      <c r="S131" s="102">
        <f t="shared" si="66"/>
        <v>1.3962475439445355E-2</v>
      </c>
      <c r="T131" s="102">
        <f t="shared" si="66"/>
        <v>1.4147305270687209E-2</v>
      </c>
      <c r="U131" s="102">
        <f t="shared" si="66"/>
        <v>1.4278422970093241E-2</v>
      </c>
      <c r="V131" s="102">
        <f t="shared" si="66"/>
        <v>1.4352549173372645E-2</v>
      </c>
      <c r="W131" s="102">
        <f t="shared" si="66"/>
        <v>1.4366404516234629E-2</v>
      </c>
      <c r="X131" s="102">
        <f t="shared" si="66"/>
        <v>1.4489550227650057E-2</v>
      </c>
      <c r="Y131" s="102">
        <f t="shared" si="66"/>
        <v>1.4535524379302115E-2</v>
      </c>
      <c r="Z131" s="102">
        <f t="shared" si="66"/>
        <v>1.4499284125848826E-2</v>
      </c>
      <c r="AA131" s="102">
        <f t="shared" si="66"/>
        <v>1.4375786621948208E-2</v>
      </c>
      <c r="AB131" s="102">
        <f t="shared" si="66"/>
        <v>1.4159989022258292E-2</v>
      </c>
      <c r="AC131" s="102">
        <f t="shared" si="66"/>
        <v>1.3846848481437093E-2</v>
      </c>
      <c r="AD131" s="102">
        <f t="shared" si="66"/>
        <v>1.343132215414264E-2</v>
      </c>
      <c r="AE131" s="102">
        <f t="shared" si="66"/>
        <v>1.2908367195032957E-2</v>
      </c>
      <c r="AF131" s="102">
        <f t="shared" si="66"/>
        <v>1.2272940758766056E-2</v>
      </c>
      <c r="AG131" s="102">
        <f t="shared" si="66"/>
        <v>1.1519999999999997E-2</v>
      </c>
      <c r="AI131" s="124"/>
      <c r="AJ131" s="185"/>
      <c r="AL131" s="1"/>
      <c r="BC131" s="1"/>
      <c r="BD131" s="615"/>
      <c r="BE131" s="605"/>
      <c r="BF131" s="6"/>
      <c r="BG131" s="6"/>
      <c r="BH131" s="6"/>
      <c r="BI131" s="6"/>
      <c r="BJ131" s="6"/>
    </row>
    <row r="132" spans="1:63" outlineLevel="1">
      <c r="A132" t="s">
        <v>1037</v>
      </c>
      <c r="B132" s="50" t="s">
        <v>126</v>
      </c>
      <c r="C132" s="102">
        <f>C119*C128</f>
        <v>1.5159980992959864E-2</v>
      </c>
      <c r="D132" s="102">
        <f t="shared" ref="D132:AG132" si="67">D119*D128</f>
        <v>1.7175632242529597E-2</v>
      </c>
      <c r="E132" s="102">
        <f t="shared" si="67"/>
        <v>1.9239468353526738E-2</v>
      </c>
      <c r="F132" s="102">
        <f t="shared" si="67"/>
        <v>2.1336845542603695E-2</v>
      </c>
      <c r="G132" s="102">
        <f t="shared" si="67"/>
        <v>2.3453120026412866E-2</v>
      </c>
      <c r="H132" s="102">
        <f t="shared" si="67"/>
        <v>2.5573648021606662E-2</v>
      </c>
      <c r="I132" s="102">
        <f t="shared" si="67"/>
        <v>2.76837857448375E-2</v>
      </c>
      <c r="J132" s="102">
        <f t="shared" si="67"/>
        <v>2.9768889412757776E-2</v>
      </c>
      <c r="K132" s="102">
        <f t="shared" si="67"/>
        <v>3.18143152420199E-2</v>
      </c>
      <c r="L132" s="102">
        <f t="shared" si="67"/>
        <v>3.3805419449276279E-2</v>
      </c>
      <c r="M132" s="102">
        <f t="shared" si="67"/>
        <v>3.5727558251179327E-2</v>
      </c>
      <c r="N132" s="102">
        <f t="shared" si="67"/>
        <v>3.7042266167629616E-2</v>
      </c>
      <c r="O132" s="102">
        <f t="shared" si="67"/>
        <v>3.8254866245806762E-2</v>
      </c>
      <c r="P132" s="102">
        <f t="shared" si="67"/>
        <v>3.9355520392838371E-2</v>
      </c>
      <c r="Q132" s="102">
        <f t="shared" si="67"/>
        <v>4.0334390515852053E-2</v>
      </c>
      <c r="R132" s="102">
        <f t="shared" si="67"/>
        <v>4.1181638521975407E-2</v>
      </c>
      <c r="S132" s="102">
        <f t="shared" si="67"/>
        <v>4.1887426318336064E-2</v>
      </c>
      <c r="T132" s="102">
        <f t="shared" si="67"/>
        <v>4.2441915812061623E-2</v>
      </c>
      <c r="U132" s="102">
        <f t="shared" si="67"/>
        <v>4.2835268910279722E-2</v>
      </c>
      <c r="V132" s="102">
        <f t="shared" si="67"/>
        <v>4.3057647520117932E-2</v>
      </c>
      <c r="W132" s="102">
        <f t="shared" si="67"/>
        <v>4.3099213548703885E-2</v>
      </c>
      <c r="X132" s="102">
        <f t="shared" si="67"/>
        <v>4.3468650682950166E-2</v>
      </c>
      <c r="Y132" s="102">
        <f t="shared" si="67"/>
        <v>4.3606573137906342E-2</v>
      </c>
      <c r="Z132" s="102">
        <f t="shared" si="67"/>
        <v>4.3497852377546477E-2</v>
      </c>
      <c r="AA132" s="102">
        <f t="shared" si="67"/>
        <v>4.3127359865844622E-2</v>
      </c>
      <c r="AB132" s="102">
        <f t="shared" si="67"/>
        <v>4.2479967066774871E-2</v>
      </c>
      <c r="AC132" s="102">
        <f t="shared" si="67"/>
        <v>4.154054544431128E-2</v>
      </c>
      <c r="AD132" s="102">
        <f t="shared" si="67"/>
        <v>4.0293966462427923E-2</v>
      </c>
      <c r="AE132" s="102">
        <f t="shared" si="67"/>
        <v>3.872510158509887E-2</v>
      </c>
      <c r="AF132" s="102">
        <f t="shared" si="67"/>
        <v>3.6818822276298173E-2</v>
      </c>
      <c r="AG132" s="102">
        <f t="shared" si="67"/>
        <v>3.4559999999999987E-2</v>
      </c>
      <c r="AI132" s="125"/>
      <c r="AJ132" s="185"/>
      <c r="BC132" s="1"/>
      <c r="BD132" s="37"/>
      <c r="BF132" s="6"/>
      <c r="BG132" s="6"/>
      <c r="BH132" s="6"/>
      <c r="BI132" s="6"/>
      <c r="BJ132" s="6"/>
    </row>
    <row r="133" spans="1:63" outlineLevel="1"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I133" s="125"/>
      <c r="AJ133" s="185"/>
      <c r="BC133" s="1"/>
      <c r="BD133" s="37"/>
      <c r="BF133" s="6"/>
      <c r="BG133" s="6"/>
      <c r="BH133" s="6"/>
      <c r="BI133" s="6"/>
      <c r="BJ133" s="6"/>
    </row>
    <row r="134" spans="1:63" s="1" customFormat="1" outlineLevel="1">
      <c r="A134" s="1" t="s">
        <v>265</v>
      </c>
      <c r="B134" s="60"/>
      <c r="C134" s="250">
        <f>C40*C127</f>
        <v>66.538367980605159</v>
      </c>
      <c r="D134" s="250">
        <f t="shared" ref="D134:AG134" si="68">D40*D127</f>
        <v>100.40367122822593</v>
      </c>
      <c r="E134" s="250">
        <f t="shared" si="68"/>
        <v>141.91826235237022</v>
      </c>
      <c r="F134" s="250">
        <f t="shared" si="68"/>
        <v>191.76523855214353</v>
      </c>
      <c r="G134" s="250">
        <f t="shared" si="68"/>
        <v>250.62143994742453</v>
      </c>
      <c r="H134" s="250">
        <f t="shared" si="68"/>
        <v>319.15748452678719</v>
      </c>
      <c r="I134" s="250">
        <f t="shared" si="68"/>
        <v>398.03780294020362</v>
      </c>
      <c r="J134" s="250">
        <f t="shared" si="68"/>
        <v>487.92067313712931</v>
      </c>
      <c r="K134" s="250">
        <f t="shared" si="68"/>
        <v>589.45825485057026</v>
      </c>
      <c r="L134" s="250">
        <f t="shared" si="68"/>
        <v>703.29662392773082</v>
      </c>
      <c r="M134" s="250">
        <f t="shared" si="68"/>
        <v>830.07580650783495</v>
      </c>
      <c r="N134" s="250">
        <f t="shared" si="68"/>
        <v>956.89813540578791</v>
      </c>
      <c r="O134" s="250">
        <f t="shared" si="68"/>
        <v>1094.8917615391333</v>
      </c>
      <c r="P134" s="250">
        <f t="shared" si="68"/>
        <v>1243.5855013498028</v>
      </c>
      <c r="Q134" s="250">
        <f t="shared" si="68"/>
        <v>1404.016834175379</v>
      </c>
      <c r="R134" s="250">
        <f t="shared" si="68"/>
        <v>1576.5527640768598</v>
      </c>
      <c r="S134" s="250">
        <f t="shared" si="68"/>
        <v>1761.5544742814263</v>
      </c>
      <c r="T134" s="250">
        <f t="shared" si="68"/>
        <v>1959.3773206137807</v>
      </c>
      <c r="U134" s="250">
        <f t="shared" si="68"/>
        <v>2170.3708253568057</v>
      </c>
      <c r="V134" s="250">
        <f t="shared" si="68"/>
        <v>2394.8786715374554</v>
      </c>
      <c r="W134" s="250">
        <f t="shared" si="68"/>
        <v>2633.2386976338039</v>
      </c>
      <c r="X134" s="250">
        <f t="shared" si="68"/>
        <v>2920.6219332285182</v>
      </c>
      <c r="Y134" s="250">
        <f t="shared" si="68"/>
        <v>3227.2920561339379</v>
      </c>
      <c r="Z134" s="250">
        <f t="shared" si="68"/>
        <v>3544.3714951517632</v>
      </c>
      <c r="AA134" s="250">
        <f t="shared" si="68"/>
        <v>3879.6527196715851</v>
      </c>
      <c r="AB134" s="250">
        <f t="shared" si="68"/>
        <v>4233.3945870091202</v>
      </c>
      <c r="AC134" s="250">
        <f t="shared" si="68"/>
        <v>4605.831579375098</v>
      </c>
      <c r="AD134" s="250">
        <f t="shared" si="68"/>
        <v>4997.1734756218975</v>
      </c>
      <c r="AE134" s="250">
        <f t="shared" si="68"/>
        <v>5407.6050290576022</v>
      </c>
      <c r="AF134" s="250">
        <f t="shared" si="68"/>
        <v>5837.2856512762455</v>
      </c>
      <c r="AG134" s="250">
        <f t="shared" si="68"/>
        <v>6286.3491019533558</v>
      </c>
      <c r="AH134" s="217"/>
      <c r="AI134" s="368"/>
      <c r="AJ134" s="369"/>
      <c r="AL134" s="194"/>
      <c r="AM134" s="116"/>
      <c r="AN134" s="116"/>
      <c r="AO134" s="116"/>
      <c r="BD134" s="116"/>
      <c r="BE134" s="116"/>
      <c r="BF134" s="116"/>
      <c r="BG134" s="116"/>
      <c r="BH134" s="116"/>
      <c r="BI134" s="116"/>
      <c r="BJ134" s="116"/>
      <c r="BK134" s="116"/>
    </row>
    <row r="135" spans="1:63" outlineLevel="1">
      <c r="A135" s="4" t="s">
        <v>35</v>
      </c>
      <c r="C135" s="203">
        <f>C$134*'Methanol recycling rates'!E48</f>
        <v>0</v>
      </c>
      <c r="D135" s="203">
        <f>D$134*'Methanol recycling rates'!F48</f>
        <v>0</v>
      </c>
      <c r="E135" s="203">
        <f>E$134*'Methanol recycling rates'!G48</f>
        <v>0</v>
      </c>
      <c r="F135" s="203">
        <f>F$134*'Methanol recycling rates'!H48</f>
        <v>0</v>
      </c>
      <c r="G135" s="203">
        <f>G$134*'Methanol recycling rates'!I48</f>
        <v>0</v>
      </c>
      <c r="H135" s="203">
        <f>H$134*'Methanol recycling rates'!J48</f>
        <v>0</v>
      </c>
      <c r="I135" s="203">
        <f>I$134*'Methanol recycling rates'!K48</f>
        <v>0</v>
      </c>
      <c r="J135" s="203">
        <f>J$134*'Methanol recycling rates'!L48</f>
        <v>0</v>
      </c>
      <c r="K135" s="203">
        <f>K$134*'Methanol recycling rates'!M48</f>
        <v>0</v>
      </c>
      <c r="L135" s="203">
        <f>L$134*'Methanol recycling rates'!N48</f>
        <v>0</v>
      </c>
      <c r="M135" s="203">
        <f>M$134*'Methanol recycling rates'!O48</f>
        <v>0</v>
      </c>
      <c r="N135" s="203">
        <f>N$134*'Methanol recycling rates'!P48</f>
        <v>0</v>
      </c>
      <c r="O135" s="203">
        <f>O$134*'Methanol recycling rates'!Q48</f>
        <v>0</v>
      </c>
      <c r="P135" s="203">
        <f>P$134*'Methanol recycling rates'!R48</f>
        <v>0</v>
      </c>
      <c r="Q135" s="203">
        <f>Q$134*'Methanol recycling rates'!S48</f>
        <v>0</v>
      </c>
      <c r="R135" s="203">
        <f>R$134*'Methanol recycling rates'!T48</f>
        <v>0</v>
      </c>
      <c r="S135" s="203">
        <f>S$134*'Methanol recycling rates'!U48</f>
        <v>0</v>
      </c>
      <c r="T135" s="203">
        <f>T$134*'Methanol recycling rates'!V48</f>
        <v>0</v>
      </c>
      <c r="U135" s="203">
        <f>U$134*'Methanol recycling rates'!W48</f>
        <v>0</v>
      </c>
      <c r="V135" s="203">
        <f>V$134*'Methanol recycling rates'!X48</f>
        <v>0</v>
      </c>
      <c r="W135" s="203">
        <f>W$134*'Methanol recycling rates'!Y48</f>
        <v>0</v>
      </c>
      <c r="X135" s="203">
        <f>X$134*'Methanol recycling rates'!Z48</f>
        <v>0</v>
      </c>
      <c r="Y135" s="203">
        <f>Y$134*'Methanol recycling rates'!AA48</f>
        <v>0</v>
      </c>
      <c r="Z135" s="203">
        <f>Z$134*'Methanol recycling rates'!AB48</f>
        <v>0</v>
      </c>
      <c r="AA135" s="203">
        <f>AA$134*'Methanol recycling rates'!AC48</f>
        <v>0</v>
      </c>
      <c r="AB135" s="203">
        <f>AB$134*'Methanol recycling rates'!AD48</f>
        <v>0</v>
      </c>
      <c r="AC135" s="203">
        <f>AC$134*'Methanol recycling rates'!AE48</f>
        <v>0</v>
      </c>
      <c r="AD135" s="203">
        <f>AD$134*'Methanol recycling rates'!AF48</f>
        <v>0</v>
      </c>
      <c r="AE135" s="203">
        <f>AE$134*'Methanol recycling rates'!AG48</f>
        <v>0</v>
      </c>
      <c r="AF135" s="203">
        <f>AF$134*'Methanol recycling rates'!AH48</f>
        <v>0</v>
      </c>
      <c r="AG135" s="203">
        <f>AG$134*'Methanol recycling rates'!AI48</f>
        <v>0</v>
      </c>
      <c r="AH135" s="217"/>
      <c r="AI135" s="124"/>
      <c r="AJ135" s="185"/>
      <c r="AL135" s="100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160</v>
      </c>
      <c r="C136" s="203">
        <f>C$134*'Methanol recycling rates'!E49</f>
        <v>0</v>
      </c>
      <c r="D136" s="203">
        <f>D$134*'Methanol recycling rates'!F49</f>
        <v>5.6756892768124026E-2</v>
      </c>
      <c r="E136" s="203">
        <f>E$134*'Methanol recycling rates'!G49</f>
        <v>0.1604491050902441</v>
      </c>
      <c r="F136" s="203">
        <f>F$134*'Methanol recycling rates'!H49</f>
        <v>0.32520720451797508</v>
      </c>
      <c r="G136" s="203">
        <f>G$134*'Methanol recycling rates'!I49</f>
        <v>0.56669219435832563</v>
      </c>
      <c r="H136" s="203">
        <f>H$134*'Methanol recycling rates'!J49</f>
        <v>0.90207792722317648</v>
      </c>
      <c r="I136" s="203">
        <f>I$134*'Methanol recycling rates'!K49</f>
        <v>1.3500336365859396</v>
      </c>
      <c r="J136" s="203">
        <f>J$134*'Methanol recycling rates'!L49</f>
        <v>1.9307065857335766</v>
      </c>
      <c r="K136" s="203">
        <f>K$134*'Methanol recycling rates'!M49</f>
        <v>2.6657048335048605</v>
      </c>
      <c r="L136" s="203">
        <f>L$134*'Methanol recycling rates'!N49</f>
        <v>3.5780801162084823</v>
      </c>
      <c r="M136" s="203">
        <f>M$134*'Methanol recycling rates'!O49</f>
        <v>4.6923108451172633</v>
      </c>
      <c r="N136" s="203">
        <f>N$134*'Methanol recycling rates'!P49</f>
        <v>5.95014311892748</v>
      </c>
      <c r="O136" s="203">
        <f>O$134*'Methanol recycling rates'!Q49</f>
        <v>7.4271372999248504</v>
      </c>
      <c r="P136" s="203">
        <f>P$134*'Methanol recycling rates'!R49</f>
        <v>9.1387757549188944</v>
      </c>
      <c r="Q136" s="203">
        <f>Q$134*'Methanol recycling rates'!S49</f>
        <v>11.111415020782941</v>
      </c>
      <c r="R136" s="203">
        <f>R$134*'Methanol recycling rates'!T49</f>
        <v>13.368072364197294</v>
      </c>
      <c r="S136" s="203">
        <f>S$134*'Methanol recycling rates'!U49</f>
        <v>15.932542255310375</v>
      </c>
      <c r="T136" s="203">
        <f>T$134*'Methanol recycling rates'!V49</f>
        <v>18.829379852405456</v>
      </c>
      <c r="U136" s="203">
        <f>U$134*'Methanol recycling rates'!W49</f>
        <v>22.083884468656766</v>
      </c>
      <c r="V136" s="203">
        <f>V$134*'Methanol recycling rates'!X49</f>
        <v>25.7220830226298</v>
      </c>
      <c r="W136" s="203">
        <f>W$134*'Methanol recycling rates'!Y49</f>
        <v>29.770713474162495</v>
      </c>
      <c r="X136" s="203">
        <f>X$134*'Methanol recycling rates'!Z49</f>
        <v>34.670783457482855</v>
      </c>
      <c r="Y136" s="203">
        <f>Y$134*'Methanol recycling rates'!AA49</f>
        <v>40.135619268254473</v>
      </c>
      <c r="Z136" s="203">
        <f>Z$134*'Methanol recycling rates'!AB49</f>
        <v>46.082506144017671</v>
      </c>
      <c r="AA136" s="203">
        <f>AA$134*'Methanol recycling rates'!AC49</f>
        <v>52.634816403261091</v>
      </c>
      <c r="AB136" s="203">
        <f>AB$134*'Methanol recycling rates'!AD49</f>
        <v>59.827075962658185</v>
      </c>
      <c r="AC136" s="203">
        <f>AC$134*'Methanol recycling rates'!AE49</f>
        <v>67.694037801415533</v>
      </c>
      <c r="AD136" s="203">
        <f>AD$134*'Methanol recycling rates'!AF49</f>
        <v>76.270608056570751</v>
      </c>
      <c r="AE136" s="203">
        <f>AE$134*'Methanol recycling rates'!AG49</f>
        <v>85.591771100981646</v>
      </c>
      <c r="AF136" s="203">
        <f>AF$134*'Methanol recycling rates'!AH49</f>
        <v>95.692513627175387</v>
      </c>
      <c r="AG136" s="203">
        <f>AG$134*'Methanol recycling rates'!AI49</f>
        <v>106.60774776000103</v>
      </c>
      <c r="AH136" s="217"/>
      <c r="AI136" s="124"/>
      <c r="AJ136" s="185"/>
      <c r="AL136" s="100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1040</v>
      </c>
      <c r="C137" s="203">
        <f>C$134*'Methanol recycling rates'!E50</f>
        <v>66.538367980605159</v>
      </c>
      <c r="D137" s="203">
        <f>D$134*'Methanol recycling rates'!F50</f>
        <v>100.34691433545781</v>
      </c>
      <c r="E137" s="203">
        <f>E$134*'Methanol recycling rates'!G50</f>
        <v>141.75781324727998</v>
      </c>
      <c r="F137" s="203">
        <f>F$134*'Methanol recycling rates'!H50</f>
        <v>191.44003134762556</v>
      </c>
      <c r="G137" s="203">
        <f>G$134*'Methanol recycling rates'!I50</f>
        <v>250.05474775306621</v>
      </c>
      <c r="H137" s="203">
        <f>H$134*'Methanol recycling rates'!J50</f>
        <v>318.25540659956403</v>
      </c>
      <c r="I137" s="203">
        <f>I$134*'Methanol recycling rates'!K50</f>
        <v>396.6877693036177</v>
      </c>
      <c r="J137" s="203">
        <f>J$134*'Methanol recycling rates'!L50</f>
        <v>485.98996655139575</v>
      </c>
      <c r="K137" s="203">
        <f>K$134*'Methanol recycling rates'!M50</f>
        <v>586.79255001706542</v>
      </c>
      <c r="L137" s="203">
        <f>L$134*'Methanol recycling rates'!N50</f>
        <v>699.7185438115223</v>
      </c>
      <c r="M137" s="203">
        <f>M$134*'Methanol recycling rates'!O50</f>
        <v>825.38349566271768</v>
      </c>
      <c r="N137" s="203">
        <f>N$134*'Methanol recycling rates'!P50</f>
        <v>950.94799228686043</v>
      </c>
      <c r="O137" s="203">
        <f>O$134*'Methanol recycling rates'!Q50</f>
        <v>1087.4646242392084</v>
      </c>
      <c r="P137" s="203">
        <f>P$134*'Methanol recycling rates'!R50</f>
        <v>1234.4467255948839</v>
      </c>
      <c r="Q137" s="203">
        <f>Q$134*'Methanol recycling rates'!S50</f>
        <v>1392.9054191545961</v>
      </c>
      <c r="R137" s="203">
        <f>R$134*'Methanol recycling rates'!T50</f>
        <v>1563.1846917126625</v>
      </c>
      <c r="S137" s="203">
        <f>S$134*'Methanol recycling rates'!U50</f>
        <v>1745.6219320261159</v>
      </c>
      <c r="T137" s="203">
        <f>T$134*'Methanol recycling rates'!V50</f>
        <v>1940.5479407613752</v>
      </c>
      <c r="U137" s="203">
        <f>U$134*'Methanol recycling rates'!W50</f>
        <v>2148.2869408881488</v>
      </c>
      <c r="V137" s="203">
        <f>V$134*'Methanol recycling rates'!X50</f>
        <v>2369.1565885148257</v>
      </c>
      <c r="W137" s="203">
        <f>W$134*'Methanol recycling rates'!Y50</f>
        <v>2603.4679841596412</v>
      </c>
      <c r="X137" s="203">
        <f>X$134*'Methanol recycling rates'!Z50</f>
        <v>2885.951149771035</v>
      </c>
      <c r="Y137" s="203">
        <f>Y$134*'Methanol recycling rates'!AA50</f>
        <v>3187.1564368656832</v>
      </c>
      <c r="Z137" s="203">
        <f>Z$134*'Methanol recycling rates'!AB50</f>
        <v>3498.2889890077454</v>
      </c>
      <c r="AA137" s="203">
        <f>AA$134*'Methanol recycling rates'!AC50</f>
        <v>3827.0179032683241</v>
      </c>
      <c r="AB137" s="203">
        <f>AB$134*'Methanol recycling rates'!AD50</f>
        <v>4173.5675110464617</v>
      </c>
      <c r="AC137" s="203">
        <f>AC$134*'Methanol recycling rates'!AE50</f>
        <v>4538.137541573682</v>
      </c>
      <c r="AD137" s="203">
        <f>AD$134*'Methanol recycling rates'!AF50</f>
        <v>4920.9028675653262</v>
      </c>
      <c r="AE137" s="203">
        <f>AE$134*'Methanol recycling rates'!AG50</f>
        <v>5322.0132579566207</v>
      </c>
      <c r="AF137" s="203">
        <f>AF$134*'Methanol recycling rates'!AH50</f>
        <v>5741.5931376490698</v>
      </c>
      <c r="AG137" s="203">
        <f>AG$134*'Methanol recycling rates'!AI50</f>
        <v>6179.7413541933547</v>
      </c>
      <c r="AH137" s="217"/>
      <c r="AI137" s="124"/>
      <c r="AJ137" s="185"/>
      <c r="AL137" s="100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s="1" customFormat="1" outlineLevel="1">
      <c r="A138" s="1" t="s">
        <v>1041</v>
      </c>
      <c r="B138" s="60"/>
      <c r="C138" s="250">
        <f>C134-$C134</f>
        <v>0</v>
      </c>
      <c r="D138" s="250">
        <f t="shared" ref="D138:AG139" si="69">D134-$C134</f>
        <v>33.865303247620773</v>
      </c>
      <c r="E138" s="250">
        <f t="shared" si="69"/>
        <v>75.379894371765062</v>
      </c>
      <c r="F138" s="250">
        <f t="shared" si="69"/>
        <v>125.22687057153837</v>
      </c>
      <c r="G138" s="250">
        <f t="shared" si="69"/>
        <v>184.08307196681938</v>
      </c>
      <c r="H138" s="250">
        <f t="shared" si="69"/>
        <v>252.61911654618203</v>
      </c>
      <c r="I138" s="250">
        <f t="shared" si="69"/>
        <v>331.49943495959849</v>
      </c>
      <c r="J138" s="250">
        <f t="shared" si="69"/>
        <v>421.38230515652413</v>
      </c>
      <c r="K138" s="250">
        <f t="shared" si="69"/>
        <v>522.91988686996513</v>
      </c>
      <c r="L138" s="250">
        <f t="shared" si="69"/>
        <v>636.75825594712569</v>
      </c>
      <c r="M138" s="250">
        <f t="shared" si="69"/>
        <v>763.53743852722982</v>
      </c>
      <c r="N138" s="250">
        <f t="shared" si="69"/>
        <v>890.35976742518278</v>
      </c>
      <c r="O138" s="250">
        <f t="shared" si="69"/>
        <v>1028.3533935585281</v>
      </c>
      <c r="P138" s="250">
        <f t="shared" si="69"/>
        <v>1177.0471333691976</v>
      </c>
      <c r="Q138" s="250">
        <f t="shared" si="69"/>
        <v>1337.4784661947738</v>
      </c>
      <c r="R138" s="250">
        <f t="shared" si="69"/>
        <v>1510.0143960962546</v>
      </c>
      <c r="S138" s="250">
        <f t="shared" si="69"/>
        <v>1695.0161063008211</v>
      </c>
      <c r="T138" s="250">
        <f t="shared" si="69"/>
        <v>1892.8389526331755</v>
      </c>
      <c r="U138" s="250">
        <f t="shared" si="69"/>
        <v>2103.8324573762006</v>
      </c>
      <c r="V138" s="250">
        <f t="shared" si="69"/>
        <v>2328.3403035568504</v>
      </c>
      <c r="W138" s="250">
        <f t="shared" si="69"/>
        <v>2566.7003296531989</v>
      </c>
      <c r="X138" s="250">
        <f t="shared" si="69"/>
        <v>2854.0835652479132</v>
      </c>
      <c r="Y138" s="250">
        <f t="shared" si="69"/>
        <v>3160.7536881533329</v>
      </c>
      <c r="Z138" s="250">
        <f t="shared" si="69"/>
        <v>3477.8331271711581</v>
      </c>
      <c r="AA138" s="250">
        <f t="shared" si="69"/>
        <v>3813.1143516909801</v>
      </c>
      <c r="AB138" s="250">
        <f t="shared" si="69"/>
        <v>4166.8562190285147</v>
      </c>
      <c r="AC138" s="250">
        <f t="shared" si="69"/>
        <v>4539.2932113944926</v>
      </c>
      <c r="AD138" s="250">
        <f t="shared" si="69"/>
        <v>4930.6351076412921</v>
      </c>
      <c r="AE138" s="250">
        <f t="shared" si="69"/>
        <v>5341.0666610769968</v>
      </c>
      <c r="AF138" s="250">
        <f t="shared" si="69"/>
        <v>5770.74728329564</v>
      </c>
      <c r="AG138" s="250">
        <f t="shared" si="69"/>
        <v>6219.8107339727503</v>
      </c>
      <c r="AH138" s="217"/>
      <c r="AI138" s="368"/>
      <c r="AJ138" s="369"/>
      <c r="AL138" s="194"/>
      <c r="AM138" s="116"/>
      <c r="AN138" s="116"/>
      <c r="AO138" s="116"/>
      <c r="BD138" s="116"/>
      <c r="BE138" s="116"/>
      <c r="BF138" s="116"/>
      <c r="BG138" s="116"/>
      <c r="BH138" s="116"/>
      <c r="BI138" s="116"/>
      <c r="BJ138" s="116"/>
      <c r="BK138" s="116"/>
    </row>
    <row r="139" spans="1:63" outlineLevel="1">
      <c r="A139" s="4" t="s">
        <v>35</v>
      </c>
      <c r="C139" s="203">
        <f>C135-$C135</f>
        <v>0</v>
      </c>
      <c r="D139" s="203">
        <f t="shared" si="69"/>
        <v>0</v>
      </c>
      <c r="E139" s="203">
        <f t="shared" si="69"/>
        <v>0</v>
      </c>
      <c r="F139" s="203">
        <f t="shared" si="69"/>
        <v>0</v>
      </c>
      <c r="G139" s="203">
        <f t="shared" si="69"/>
        <v>0</v>
      </c>
      <c r="H139" s="203">
        <f t="shared" si="69"/>
        <v>0</v>
      </c>
      <c r="I139" s="203">
        <f t="shared" si="69"/>
        <v>0</v>
      </c>
      <c r="J139" s="203">
        <f t="shared" si="69"/>
        <v>0</v>
      </c>
      <c r="K139" s="203">
        <f t="shared" si="69"/>
        <v>0</v>
      </c>
      <c r="L139" s="203">
        <f t="shared" si="69"/>
        <v>0</v>
      </c>
      <c r="M139" s="203">
        <f t="shared" si="69"/>
        <v>0</v>
      </c>
      <c r="N139" s="203">
        <f t="shared" si="69"/>
        <v>0</v>
      </c>
      <c r="O139" s="203">
        <f t="shared" si="69"/>
        <v>0</v>
      </c>
      <c r="P139" s="203">
        <f t="shared" si="69"/>
        <v>0</v>
      </c>
      <c r="Q139" s="203">
        <f t="shared" si="69"/>
        <v>0</v>
      </c>
      <c r="R139" s="203">
        <f t="shared" si="69"/>
        <v>0</v>
      </c>
      <c r="S139" s="203">
        <f t="shared" si="69"/>
        <v>0</v>
      </c>
      <c r="T139" s="203">
        <f t="shared" si="69"/>
        <v>0</v>
      </c>
      <c r="U139" s="203">
        <f t="shared" si="69"/>
        <v>0</v>
      </c>
      <c r="V139" s="203">
        <f t="shared" si="69"/>
        <v>0</v>
      </c>
      <c r="W139" s="203">
        <f t="shared" si="69"/>
        <v>0</v>
      </c>
      <c r="X139" s="203">
        <f t="shared" si="69"/>
        <v>0</v>
      </c>
      <c r="Y139" s="203">
        <f t="shared" si="69"/>
        <v>0</v>
      </c>
      <c r="Z139" s="203">
        <f t="shared" si="69"/>
        <v>0</v>
      </c>
      <c r="AA139" s="203">
        <f t="shared" si="69"/>
        <v>0</v>
      </c>
      <c r="AB139" s="203">
        <f t="shared" si="69"/>
        <v>0</v>
      </c>
      <c r="AC139" s="203">
        <f t="shared" si="69"/>
        <v>0</v>
      </c>
      <c r="AD139" s="203">
        <f t="shared" si="69"/>
        <v>0</v>
      </c>
      <c r="AE139" s="203">
        <f t="shared" si="69"/>
        <v>0</v>
      </c>
      <c r="AF139" s="203">
        <f t="shared" si="69"/>
        <v>0</v>
      </c>
      <c r="AG139" s="203">
        <f>AG135-$C135</f>
        <v>0</v>
      </c>
      <c r="AH139" s="217"/>
      <c r="AI139" s="124"/>
      <c r="AJ139" s="185"/>
      <c r="AL139" s="100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160</v>
      </c>
      <c r="C140" s="203">
        <f t="shared" ref="C140:AG141" si="70">C136-$C136</f>
        <v>0</v>
      </c>
      <c r="D140" s="203">
        <f t="shared" si="70"/>
        <v>5.6756892768124026E-2</v>
      </c>
      <c r="E140" s="203">
        <f t="shared" si="70"/>
        <v>0.1604491050902441</v>
      </c>
      <c r="F140" s="203">
        <f t="shared" si="70"/>
        <v>0.32520720451797508</v>
      </c>
      <c r="G140" s="203">
        <f t="shared" si="70"/>
        <v>0.56669219435832563</v>
      </c>
      <c r="H140" s="203">
        <f t="shared" si="70"/>
        <v>0.90207792722317648</v>
      </c>
      <c r="I140" s="203">
        <f t="shared" si="70"/>
        <v>1.3500336365859396</v>
      </c>
      <c r="J140" s="203">
        <f t="shared" si="70"/>
        <v>1.9307065857335766</v>
      </c>
      <c r="K140" s="203">
        <f t="shared" si="70"/>
        <v>2.6657048335048605</v>
      </c>
      <c r="L140" s="203">
        <f t="shared" si="70"/>
        <v>3.5780801162084823</v>
      </c>
      <c r="M140" s="203">
        <f t="shared" si="70"/>
        <v>4.6923108451172633</v>
      </c>
      <c r="N140" s="203">
        <f t="shared" si="70"/>
        <v>5.95014311892748</v>
      </c>
      <c r="O140" s="203">
        <f t="shared" si="70"/>
        <v>7.4271372999248504</v>
      </c>
      <c r="P140" s="203">
        <f t="shared" si="70"/>
        <v>9.1387757549188944</v>
      </c>
      <c r="Q140" s="203">
        <f t="shared" si="70"/>
        <v>11.111415020782941</v>
      </c>
      <c r="R140" s="203">
        <f t="shared" si="70"/>
        <v>13.368072364197294</v>
      </c>
      <c r="S140" s="203">
        <f t="shared" si="70"/>
        <v>15.932542255310375</v>
      </c>
      <c r="T140" s="203">
        <f t="shared" si="70"/>
        <v>18.829379852405456</v>
      </c>
      <c r="U140" s="203">
        <f t="shared" si="70"/>
        <v>22.083884468656766</v>
      </c>
      <c r="V140" s="203">
        <f t="shared" si="70"/>
        <v>25.7220830226298</v>
      </c>
      <c r="W140" s="203">
        <f t="shared" si="70"/>
        <v>29.770713474162495</v>
      </c>
      <c r="X140" s="203">
        <f t="shared" si="70"/>
        <v>34.670783457482855</v>
      </c>
      <c r="Y140" s="203">
        <f t="shared" si="70"/>
        <v>40.135619268254473</v>
      </c>
      <c r="Z140" s="203">
        <f t="shared" si="70"/>
        <v>46.082506144017671</v>
      </c>
      <c r="AA140" s="203">
        <f t="shared" si="70"/>
        <v>52.634816403261091</v>
      </c>
      <c r="AB140" s="203">
        <f t="shared" si="70"/>
        <v>59.827075962658185</v>
      </c>
      <c r="AC140" s="203">
        <f t="shared" si="70"/>
        <v>67.694037801415533</v>
      </c>
      <c r="AD140" s="203">
        <f t="shared" si="70"/>
        <v>76.270608056570751</v>
      </c>
      <c r="AE140" s="203">
        <f t="shared" si="70"/>
        <v>85.591771100981646</v>
      </c>
      <c r="AF140" s="203">
        <f t="shared" si="70"/>
        <v>95.692513627175387</v>
      </c>
      <c r="AG140" s="203">
        <f t="shared" si="70"/>
        <v>106.60774776000103</v>
      </c>
      <c r="AH140" s="217"/>
      <c r="AI140" s="124"/>
      <c r="AJ140" s="185"/>
      <c r="AL140" s="100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1040</v>
      </c>
      <c r="C141" s="203">
        <f t="shared" si="70"/>
        <v>0</v>
      </c>
      <c r="D141" s="203">
        <f t="shared" si="70"/>
        <v>33.808546354852652</v>
      </c>
      <c r="E141" s="203">
        <f t="shared" si="70"/>
        <v>75.219445266674825</v>
      </c>
      <c r="F141" s="203">
        <f t="shared" si="70"/>
        <v>124.9016633670204</v>
      </c>
      <c r="G141" s="203">
        <f t="shared" si="70"/>
        <v>183.51637977246105</v>
      </c>
      <c r="H141" s="203">
        <f t="shared" si="70"/>
        <v>251.71703861895887</v>
      </c>
      <c r="I141" s="203">
        <f t="shared" si="70"/>
        <v>330.14940132301251</v>
      </c>
      <c r="J141" s="203">
        <f t="shared" si="70"/>
        <v>419.45159857079057</v>
      </c>
      <c r="K141" s="203">
        <f t="shared" si="70"/>
        <v>520.25418203646029</v>
      </c>
      <c r="L141" s="203">
        <f t="shared" si="70"/>
        <v>633.18017583091716</v>
      </c>
      <c r="M141" s="203">
        <f t="shared" si="70"/>
        <v>758.84512768211255</v>
      </c>
      <c r="N141" s="203">
        <f t="shared" si="70"/>
        <v>884.4096243062553</v>
      </c>
      <c r="O141" s="203">
        <f t="shared" si="70"/>
        <v>1020.9262562586033</v>
      </c>
      <c r="P141" s="203">
        <f t="shared" si="70"/>
        <v>1167.9083576142787</v>
      </c>
      <c r="Q141" s="203">
        <f t="shared" si="70"/>
        <v>1326.3670511739908</v>
      </c>
      <c r="R141" s="203">
        <f t="shared" si="70"/>
        <v>1496.6463237320572</v>
      </c>
      <c r="S141" s="203">
        <f t="shared" si="70"/>
        <v>1679.0835640455107</v>
      </c>
      <c r="T141" s="203">
        <f t="shared" si="70"/>
        <v>1874.00957278077</v>
      </c>
      <c r="U141" s="203">
        <f t="shared" si="70"/>
        <v>2081.7485729075438</v>
      </c>
      <c r="V141" s="203">
        <f t="shared" si="70"/>
        <v>2302.6182205342207</v>
      </c>
      <c r="W141" s="203">
        <f t="shared" si="70"/>
        <v>2536.9296161790362</v>
      </c>
      <c r="X141" s="203">
        <f t="shared" si="70"/>
        <v>2819.41278179043</v>
      </c>
      <c r="Y141" s="203">
        <f t="shared" si="70"/>
        <v>3120.6180688850782</v>
      </c>
      <c r="Z141" s="203">
        <f t="shared" si="70"/>
        <v>3431.7506210271404</v>
      </c>
      <c r="AA141" s="203">
        <f t="shared" si="70"/>
        <v>3760.479535287719</v>
      </c>
      <c r="AB141" s="203">
        <f t="shared" si="70"/>
        <v>4107.0291430658563</v>
      </c>
      <c r="AC141" s="203">
        <f t="shared" si="70"/>
        <v>4471.5991735930766</v>
      </c>
      <c r="AD141" s="203">
        <f t="shared" si="70"/>
        <v>4854.3644995847208</v>
      </c>
      <c r="AE141" s="203">
        <f t="shared" si="70"/>
        <v>5255.4748899760152</v>
      </c>
      <c r="AF141" s="203">
        <f t="shared" si="70"/>
        <v>5675.0547696684644</v>
      </c>
      <c r="AG141" s="203">
        <f t="shared" si="70"/>
        <v>6113.2029862127492</v>
      </c>
      <c r="AH141" s="217"/>
      <c r="AI141" s="124"/>
      <c r="AJ141" s="185"/>
      <c r="AL141" s="100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s="1" customFormat="1" outlineLevel="1">
      <c r="A142" s="1" t="s">
        <v>1044</v>
      </c>
      <c r="B142" s="60"/>
      <c r="C142" s="250">
        <f>C40*C130</f>
        <v>397.89944052401887</v>
      </c>
      <c r="D142" s="250">
        <f t="shared" ref="D142:AG142" si="71">D40*D130</f>
        <v>449.80844710245219</v>
      </c>
      <c r="E142" s="250">
        <f t="shared" si="71"/>
        <v>502.74544438327143</v>
      </c>
      <c r="F142" s="250">
        <f t="shared" si="71"/>
        <v>556.32104994706071</v>
      </c>
      <c r="G142" s="250">
        <f t="shared" si="71"/>
        <v>610.14928743563905</v>
      </c>
      <c r="H142" s="250">
        <f t="shared" si="71"/>
        <v>663.84756781571741</v>
      </c>
      <c r="I142" s="250">
        <f t="shared" si="71"/>
        <v>717.03667072513838</v>
      </c>
      <c r="J142" s="250">
        <f t="shared" si="71"/>
        <v>769.34072590138328</v>
      </c>
      <c r="K142" s="250">
        <f t="shared" si="71"/>
        <v>820.38719469202897</v>
      </c>
      <c r="L142" s="250">
        <f t="shared" si="71"/>
        <v>869.80685164683689</v>
      </c>
      <c r="M142" s="250">
        <f t="shared" si="71"/>
        <v>917.23376619115754</v>
      </c>
      <c r="N142" s="250">
        <f t="shared" si="71"/>
        <v>948.88689520239029</v>
      </c>
      <c r="O142" s="250">
        <f t="shared" si="71"/>
        <v>977.78594704407794</v>
      </c>
      <c r="P142" s="250">
        <f t="shared" si="71"/>
        <v>1002.9897757825346</v>
      </c>
      <c r="Q142" s="250">
        <f t="shared" si="71"/>
        <v>1024.9322889480261</v>
      </c>
      <c r="R142" s="250">
        <f t="shared" si="71"/>
        <v>1043.3912838617759</v>
      </c>
      <c r="S142" s="250">
        <f t="shared" si="71"/>
        <v>1058.1475497235322</v>
      </c>
      <c r="T142" s="250">
        <f t="shared" si="71"/>
        <v>1068.9848726233865</v>
      </c>
      <c r="U142" s="250">
        <f t="shared" si="71"/>
        <v>1075.6900403174664</v>
      </c>
      <c r="V142" s="250">
        <f t="shared" si="71"/>
        <v>1078.0528467696956</v>
      </c>
      <c r="W142" s="250">
        <f t="shared" si="71"/>
        <v>1075.8660964618105</v>
      </c>
      <c r="X142" s="250">
        <f t="shared" si="71"/>
        <v>1081.830370883549</v>
      </c>
      <c r="Y142" s="250">
        <f t="shared" si="71"/>
        <v>1081.9921261880615</v>
      </c>
      <c r="Z142" s="250">
        <f t="shared" si="71"/>
        <v>1073.1818501775965</v>
      </c>
      <c r="AA142" s="250">
        <f t="shared" si="71"/>
        <v>1057.9150586811775</v>
      </c>
      <c r="AB142" s="250">
        <f t="shared" si="71"/>
        <v>1035.9365577622304</v>
      </c>
      <c r="AC142" s="250">
        <f t="shared" si="71"/>
        <v>1007.0022680360996</v>
      </c>
      <c r="AD142" s="250">
        <f t="shared" si="71"/>
        <v>970.87941812082408</v>
      </c>
      <c r="AE142" s="250">
        <f t="shared" si="71"/>
        <v>927.34673477030219</v>
      </c>
      <c r="AF142" s="250">
        <f t="shared" si="71"/>
        <v>876.19462971733992</v>
      </c>
      <c r="AG142" s="250">
        <f t="shared" si="71"/>
        <v>817.225383253936</v>
      </c>
      <c r="AH142" s="217"/>
      <c r="AI142" s="368"/>
      <c r="AJ142" s="369"/>
      <c r="AL142" s="194"/>
      <c r="AM142" s="116"/>
      <c r="AN142" s="116"/>
      <c r="AO142" s="116"/>
      <c r="BD142" s="116"/>
      <c r="BE142" s="116"/>
      <c r="BF142" s="116"/>
      <c r="BG142" s="116"/>
      <c r="BH142" s="116"/>
      <c r="BI142" s="116"/>
      <c r="BJ142" s="116"/>
      <c r="BK142" s="116"/>
    </row>
    <row r="143" spans="1:63" outlineLevel="1">
      <c r="A143" s="4" t="s">
        <v>35</v>
      </c>
      <c r="C143" s="203">
        <f>C$142*'Methanol recycling rates'!E51</f>
        <v>0</v>
      </c>
      <c r="D143" s="203">
        <f>D$142*'Methanol recycling rates'!F51</f>
        <v>0</v>
      </c>
      <c r="E143" s="203">
        <f>E$142*'Methanol recycling rates'!G51</f>
        <v>0</v>
      </c>
      <c r="F143" s="203">
        <f>F$142*'Methanol recycling rates'!H51</f>
        <v>0</v>
      </c>
      <c r="G143" s="203">
        <f>G$142*'Methanol recycling rates'!I51</f>
        <v>0</v>
      </c>
      <c r="H143" s="203">
        <f>H$142*'Methanol recycling rates'!J51</f>
        <v>0</v>
      </c>
      <c r="I143" s="203">
        <f>I$142*'Methanol recycling rates'!K51</f>
        <v>0</v>
      </c>
      <c r="J143" s="203">
        <f>J$142*'Methanol recycling rates'!L51</f>
        <v>0</v>
      </c>
      <c r="K143" s="203">
        <f>K$142*'Methanol recycling rates'!M51</f>
        <v>0</v>
      </c>
      <c r="L143" s="203">
        <f>L$142*'Methanol recycling rates'!N51</f>
        <v>0</v>
      </c>
      <c r="M143" s="203">
        <f>M$142*'Methanol recycling rates'!O51</f>
        <v>0</v>
      </c>
      <c r="N143" s="203">
        <f>N$142*'Methanol recycling rates'!P51</f>
        <v>0</v>
      </c>
      <c r="O143" s="203">
        <f>O$142*'Methanol recycling rates'!Q51</f>
        <v>0</v>
      </c>
      <c r="P143" s="203">
        <f>P$142*'Methanol recycling rates'!R51</f>
        <v>0</v>
      </c>
      <c r="Q143" s="203">
        <f>Q$142*'Methanol recycling rates'!S51</f>
        <v>0</v>
      </c>
      <c r="R143" s="203">
        <f>R$142*'Methanol recycling rates'!T51</f>
        <v>0</v>
      </c>
      <c r="S143" s="203">
        <f>S$142*'Methanol recycling rates'!U51</f>
        <v>0</v>
      </c>
      <c r="T143" s="203">
        <f>T$142*'Methanol recycling rates'!V51</f>
        <v>0</v>
      </c>
      <c r="U143" s="203">
        <f>U$142*'Methanol recycling rates'!W51</f>
        <v>0</v>
      </c>
      <c r="V143" s="203">
        <f>V$142*'Methanol recycling rates'!X51</f>
        <v>0</v>
      </c>
      <c r="W143" s="203">
        <f>W$142*'Methanol recycling rates'!Y51</f>
        <v>0</v>
      </c>
      <c r="X143" s="203">
        <f>X$142*'Methanol recycling rates'!Z51</f>
        <v>0</v>
      </c>
      <c r="Y143" s="203">
        <f>Y$142*'Methanol recycling rates'!AA51</f>
        <v>0</v>
      </c>
      <c r="Z143" s="203">
        <f>Z$142*'Methanol recycling rates'!AB51</f>
        <v>0</v>
      </c>
      <c r="AA143" s="203">
        <f>AA$142*'Methanol recycling rates'!AC51</f>
        <v>0</v>
      </c>
      <c r="AB143" s="203">
        <f>AB$142*'Methanol recycling rates'!AD51</f>
        <v>0</v>
      </c>
      <c r="AC143" s="203">
        <f>AC$142*'Methanol recycling rates'!AE51</f>
        <v>0</v>
      </c>
      <c r="AD143" s="203">
        <f>AD$142*'Methanol recycling rates'!AF51</f>
        <v>0</v>
      </c>
      <c r="AE143" s="203">
        <f>AE$142*'Methanol recycling rates'!AG51</f>
        <v>0</v>
      </c>
      <c r="AF143" s="203">
        <f>AF$142*'Methanol recycling rates'!AH51</f>
        <v>0</v>
      </c>
      <c r="AG143" s="203">
        <f>AG$142*'Methanol recycling rates'!AI51</f>
        <v>0</v>
      </c>
      <c r="AH143" s="217"/>
      <c r="AI143" s="124"/>
      <c r="AJ143" s="185"/>
      <c r="AL143" s="100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160</v>
      </c>
      <c r="C144" s="203">
        <f>C$142*'Methanol recycling rates'!E52</f>
        <v>0</v>
      </c>
      <c r="D144" s="203">
        <f>D$142*'Methanol recycling rates'!F52</f>
        <v>0.25427087960119565</v>
      </c>
      <c r="E144" s="203">
        <f>E$142*'Methanol recycling rates'!G52</f>
        <v>0.56839095478218959</v>
      </c>
      <c r="F144" s="203">
        <f>F$142*'Methanol recycling rates'!H52</f>
        <v>0.94344321647530482</v>
      </c>
      <c r="G144" s="203">
        <f>G$142*'Methanol recycling rates'!I52</f>
        <v>1.3796379059014512</v>
      </c>
      <c r="H144" s="203">
        <f>H$142*'Methanol recycling rates'!J52</f>
        <v>1.8763220886242071</v>
      </c>
      <c r="I144" s="203">
        <f>I$142*'Methanol recycling rates'!K52</f>
        <v>2.431989165335529</v>
      </c>
      <c r="J144" s="203">
        <f>J$142*'Methanol recycling rates'!L52</f>
        <v>3.0442883196986203</v>
      </c>
      <c r="K144" s="203">
        <f>K$142*'Methanol recycling rates'!M52</f>
        <v>3.7100339035720591</v>
      </c>
      <c r="L144" s="203">
        <f>L$142*'Methanol recycling rates'!N52</f>
        <v>4.425214759937842</v>
      </c>
      <c r="M144" s="203">
        <f>M$142*'Methanol recycling rates'!O52</f>
        <v>5.1850034838545751</v>
      </c>
      <c r="N144" s="203">
        <f>N$142*'Methanol recycling rates'!P52</f>
        <v>5.9003279672341318</v>
      </c>
      <c r="O144" s="203">
        <f>O$142*'Methanol recycling rates'!Q52</f>
        <v>6.6327565278459302</v>
      </c>
      <c r="P144" s="203">
        <f>P$142*'Methanol recycling rates'!R52</f>
        <v>7.3707024047835636</v>
      </c>
      <c r="Q144" s="203">
        <f>Q$142*'Methanol recycling rates'!S52</f>
        <v>8.1113329651715418</v>
      </c>
      <c r="R144" s="203">
        <f>R$142*'Methanol recycling rates'!T52</f>
        <v>8.8472333464869344</v>
      </c>
      <c r="S144" s="203">
        <f>S$142*'Methanol recycling rates'!U52</f>
        <v>9.5705133133622962</v>
      </c>
      <c r="T144" s="203">
        <f>T$142*'Methanol recycling rates'!V52</f>
        <v>10.272815762099233</v>
      </c>
      <c r="U144" s="203">
        <f>U$142*'Methanol recycling rates'!W52</f>
        <v>10.945325239778004</v>
      </c>
      <c r="V144" s="203">
        <f>V$142*'Methanol recycling rates'!X52</f>
        <v>11.578776477052452</v>
      </c>
      <c r="W144" s="203">
        <f>W$142*'Methanol recycling rates'!Y52</f>
        <v>12.163462933729237</v>
      </c>
      <c r="X144" s="203">
        <f>X$142*'Methanol recycling rates'!Z52</f>
        <v>12.842438146442957</v>
      </c>
      <c r="Y144" s="203">
        <f>Y$142*'Methanol recycling rates'!AA52</f>
        <v>13.455994459935832</v>
      </c>
      <c r="Z144" s="203">
        <f>Z$142*'Methanol recycling rates'!AB52</f>
        <v>13.953082872973443</v>
      </c>
      <c r="AA144" s="203">
        <f>AA$142*'Methanol recycling rates'!AC52</f>
        <v>14.352615789962398</v>
      </c>
      <c r="AB144" s="203">
        <f>AB$142*'Methanol recycling rates'!AD52</f>
        <v>14.640037412038691</v>
      </c>
      <c r="AC144" s="203">
        <f>AC$142*'Methanol recycling rates'!AE52</f>
        <v>14.800378264764012</v>
      </c>
      <c r="AD144" s="203">
        <f>AD$142*'Methanol recycling rates'!AF52</f>
        <v>14.818289565276578</v>
      </c>
      <c r="AE144" s="203">
        <f>AE$142*'Methanol recycling rates'!AG52</f>
        <v>14.678078193061936</v>
      </c>
      <c r="AF144" s="203">
        <f>AF$142*'Methanol recycling rates'!AH52</f>
        <v>14.363742251666713</v>
      </c>
      <c r="AG144" s="203">
        <f>AG$142*'Methanol recycling rates'!AI52</f>
        <v>13.859007208800129</v>
      </c>
      <c r="AH144" s="217"/>
      <c r="AI144" s="124"/>
      <c r="AJ144" s="185"/>
      <c r="AL144" s="100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1040</v>
      </c>
      <c r="C145" s="203">
        <f>C$142*'Methanol recycling rates'!E53</f>
        <v>397.89944052401887</v>
      </c>
      <c r="D145" s="203">
        <f>D$142*'Methanol recycling rates'!F53</f>
        <v>449.55417622285097</v>
      </c>
      <c r="E145" s="203">
        <f>E$142*'Methanol recycling rates'!G53</f>
        <v>502.17705342848922</v>
      </c>
      <c r="F145" s="203">
        <f>F$142*'Methanol recycling rates'!H53</f>
        <v>555.3776067305854</v>
      </c>
      <c r="G145" s="203">
        <f>G$142*'Methanol recycling rates'!I53</f>
        <v>608.76964952973765</v>
      </c>
      <c r="H145" s="203">
        <f>H$142*'Methanol recycling rates'!J53</f>
        <v>661.97124572709322</v>
      </c>
      <c r="I145" s="203">
        <f>I$142*'Methanol recycling rates'!K53</f>
        <v>714.60468155980288</v>
      </c>
      <c r="J145" s="203">
        <f>J$142*'Methanol recycling rates'!L53</f>
        <v>766.2964375816847</v>
      </c>
      <c r="K145" s="203">
        <f>K$142*'Methanol recycling rates'!M53</f>
        <v>816.67716078845694</v>
      </c>
      <c r="L145" s="203">
        <f>L$142*'Methanol recycling rates'!N53</f>
        <v>865.38163688689906</v>
      </c>
      <c r="M145" s="203">
        <f>M$142*'Methanol recycling rates'!O53</f>
        <v>912.04876270730301</v>
      </c>
      <c r="N145" s="203">
        <f>N$142*'Methanol recycling rates'!P53</f>
        <v>942.98656723515614</v>
      </c>
      <c r="O145" s="203">
        <f>O$142*'Methanol recycling rates'!Q53</f>
        <v>971.15319051623203</v>
      </c>
      <c r="P145" s="203">
        <f>P$142*'Methanol recycling rates'!R53</f>
        <v>995.61907337775096</v>
      </c>
      <c r="Q145" s="203">
        <f>Q$142*'Methanol recycling rates'!S53</f>
        <v>1016.8209559828546</v>
      </c>
      <c r="R145" s="203">
        <f>R$142*'Methanol recycling rates'!T53</f>
        <v>1034.544050515289</v>
      </c>
      <c r="S145" s="203">
        <f>S$142*'Methanol recycling rates'!U53</f>
        <v>1048.5770364101697</v>
      </c>
      <c r="T145" s="203">
        <f>T$142*'Methanol recycling rates'!V53</f>
        <v>1058.7120568612872</v>
      </c>
      <c r="U145" s="203">
        <f>U$142*'Methanol recycling rates'!W53</f>
        <v>1064.7447150776884</v>
      </c>
      <c r="V145" s="203">
        <f>V$142*'Methanol recycling rates'!X53</f>
        <v>1066.4740702926431</v>
      </c>
      <c r="W145" s="203">
        <f>W$142*'Methanol recycling rates'!Y53</f>
        <v>1063.7026335280812</v>
      </c>
      <c r="X145" s="203">
        <f>X$142*'Methanol recycling rates'!Z53</f>
        <v>1068.9879327371061</v>
      </c>
      <c r="Y145" s="203">
        <f>Y$142*'Methanol recycling rates'!AA53</f>
        <v>1068.5361317281256</v>
      </c>
      <c r="Z145" s="203">
        <f>Z$142*'Methanol recycling rates'!AB53</f>
        <v>1059.228767304623</v>
      </c>
      <c r="AA145" s="203">
        <f>AA$142*'Methanol recycling rates'!AC53</f>
        <v>1043.5624428912151</v>
      </c>
      <c r="AB145" s="203">
        <f>AB$142*'Methanol recycling rates'!AD53</f>
        <v>1021.2965203501917</v>
      </c>
      <c r="AC145" s="203">
        <f>AC$142*'Methanol recycling rates'!AE53</f>
        <v>992.20188977133557</v>
      </c>
      <c r="AD145" s="203">
        <f>AD$142*'Methanol recycling rates'!AF53</f>
        <v>956.0611285555475</v>
      </c>
      <c r="AE145" s="203">
        <f>AE$142*'Methanol recycling rates'!AG53</f>
        <v>912.6686565772402</v>
      </c>
      <c r="AF145" s="203">
        <f>AF$142*'Methanol recycling rates'!AH53</f>
        <v>861.83088746567319</v>
      </c>
      <c r="AG145" s="203">
        <f>AG$142*'Methanol recycling rates'!AI53</f>
        <v>803.36637604513589</v>
      </c>
      <c r="AH145" s="217"/>
      <c r="AI145" s="124"/>
      <c r="AJ145" s="185"/>
      <c r="AL145" s="100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s="1" customFormat="1" outlineLevel="1">
      <c r="A146" s="1" t="s">
        <v>1047</v>
      </c>
      <c r="B146" s="60"/>
      <c r="C146" s="250">
        <f>C142-$C142</f>
        <v>0</v>
      </c>
      <c r="D146" s="250">
        <f t="shared" ref="D146:AG149" si="72">D142-$C142</f>
        <v>51.909006578433321</v>
      </c>
      <c r="E146" s="250">
        <f t="shared" si="72"/>
        <v>104.84600385925256</v>
      </c>
      <c r="F146" s="250">
        <f t="shared" si="72"/>
        <v>158.42160942304184</v>
      </c>
      <c r="G146" s="250">
        <f t="shared" si="72"/>
        <v>212.24984691162018</v>
      </c>
      <c r="H146" s="250">
        <f t="shared" si="72"/>
        <v>265.94812729169854</v>
      </c>
      <c r="I146" s="250">
        <f t="shared" si="72"/>
        <v>319.13723020111951</v>
      </c>
      <c r="J146" s="250">
        <f t="shared" si="72"/>
        <v>371.44128537736441</v>
      </c>
      <c r="K146" s="250">
        <f t="shared" si="72"/>
        <v>422.4877541680101</v>
      </c>
      <c r="L146" s="250">
        <f t="shared" si="72"/>
        <v>471.90741112281802</v>
      </c>
      <c r="M146" s="250">
        <f t="shared" si="72"/>
        <v>519.33432566713873</v>
      </c>
      <c r="N146" s="250">
        <f t="shared" si="72"/>
        <v>550.98745467837148</v>
      </c>
      <c r="O146" s="250">
        <f t="shared" si="72"/>
        <v>579.88650652005913</v>
      </c>
      <c r="P146" s="250">
        <f t="shared" si="72"/>
        <v>605.09033525851578</v>
      </c>
      <c r="Q146" s="250">
        <f t="shared" si="72"/>
        <v>627.03284842400717</v>
      </c>
      <c r="R146" s="250">
        <f t="shared" si="72"/>
        <v>645.49184333775702</v>
      </c>
      <c r="S146" s="250">
        <f t="shared" si="72"/>
        <v>660.24810919951324</v>
      </c>
      <c r="T146" s="250">
        <f t="shared" si="72"/>
        <v>671.08543209936761</v>
      </c>
      <c r="U146" s="250">
        <f t="shared" si="72"/>
        <v>677.79059979344743</v>
      </c>
      <c r="V146" s="250">
        <f t="shared" si="72"/>
        <v>680.15340624567671</v>
      </c>
      <c r="W146" s="250">
        <f t="shared" si="72"/>
        <v>677.96665593779153</v>
      </c>
      <c r="X146" s="250">
        <f t="shared" si="72"/>
        <v>683.93093035953007</v>
      </c>
      <c r="Y146" s="250">
        <f t="shared" si="72"/>
        <v>684.09268566404262</v>
      </c>
      <c r="Z146" s="250">
        <f t="shared" si="72"/>
        <v>675.28240965357759</v>
      </c>
      <c r="AA146" s="250">
        <f t="shared" si="72"/>
        <v>660.01561815715854</v>
      </c>
      <c r="AB146" s="250">
        <f t="shared" si="72"/>
        <v>638.03711723821152</v>
      </c>
      <c r="AC146" s="250">
        <f t="shared" si="72"/>
        <v>609.10282751208069</v>
      </c>
      <c r="AD146" s="250">
        <f t="shared" si="72"/>
        <v>572.97997759680516</v>
      </c>
      <c r="AE146" s="250">
        <f t="shared" si="72"/>
        <v>529.44729424628326</v>
      </c>
      <c r="AF146" s="250">
        <f t="shared" si="72"/>
        <v>478.29518919332105</v>
      </c>
      <c r="AG146" s="250">
        <f t="shared" si="72"/>
        <v>419.32594272991713</v>
      </c>
      <c r="AH146" s="217"/>
      <c r="AI146" s="368"/>
      <c r="AJ146" s="369"/>
      <c r="AL146" s="194"/>
      <c r="AM146" s="116"/>
      <c r="AN146" s="116"/>
      <c r="AO146" s="116"/>
      <c r="BD146" s="116"/>
      <c r="BE146" s="116"/>
      <c r="BF146" s="116"/>
      <c r="BG146" s="116"/>
      <c r="BH146" s="116"/>
      <c r="BI146" s="116"/>
      <c r="BJ146" s="116"/>
      <c r="BK146" s="116"/>
    </row>
    <row r="147" spans="1:63" outlineLevel="1">
      <c r="A147" s="4" t="s">
        <v>35</v>
      </c>
      <c r="C147" s="203">
        <f t="shared" ref="C147:C149" si="73">C143-$C143</f>
        <v>0</v>
      </c>
      <c r="D147" s="203">
        <f t="shared" si="72"/>
        <v>0</v>
      </c>
      <c r="E147" s="203">
        <f t="shared" si="72"/>
        <v>0</v>
      </c>
      <c r="F147" s="203">
        <f t="shared" si="72"/>
        <v>0</v>
      </c>
      <c r="G147" s="203">
        <f t="shared" si="72"/>
        <v>0</v>
      </c>
      <c r="H147" s="203">
        <f t="shared" si="72"/>
        <v>0</v>
      </c>
      <c r="I147" s="203">
        <f t="shared" si="72"/>
        <v>0</v>
      </c>
      <c r="J147" s="203">
        <f t="shared" si="72"/>
        <v>0</v>
      </c>
      <c r="K147" s="203">
        <f t="shared" si="72"/>
        <v>0</v>
      </c>
      <c r="L147" s="203">
        <f t="shared" si="72"/>
        <v>0</v>
      </c>
      <c r="M147" s="203">
        <f t="shared" si="72"/>
        <v>0</v>
      </c>
      <c r="N147" s="203">
        <f t="shared" si="72"/>
        <v>0</v>
      </c>
      <c r="O147" s="203">
        <f t="shared" si="72"/>
        <v>0</v>
      </c>
      <c r="P147" s="203">
        <f t="shared" si="72"/>
        <v>0</v>
      </c>
      <c r="Q147" s="203">
        <f t="shared" si="72"/>
        <v>0</v>
      </c>
      <c r="R147" s="203">
        <f t="shared" si="72"/>
        <v>0</v>
      </c>
      <c r="S147" s="203">
        <f t="shared" si="72"/>
        <v>0</v>
      </c>
      <c r="T147" s="203">
        <f t="shared" si="72"/>
        <v>0</v>
      </c>
      <c r="U147" s="203">
        <f t="shared" si="72"/>
        <v>0</v>
      </c>
      <c r="V147" s="203">
        <f t="shared" si="72"/>
        <v>0</v>
      </c>
      <c r="W147" s="203">
        <f t="shared" si="72"/>
        <v>0</v>
      </c>
      <c r="X147" s="203">
        <f t="shared" si="72"/>
        <v>0</v>
      </c>
      <c r="Y147" s="203">
        <f t="shared" si="72"/>
        <v>0</v>
      </c>
      <c r="Z147" s="203">
        <f t="shared" si="72"/>
        <v>0</v>
      </c>
      <c r="AA147" s="203">
        <f t="shared" si="72"/>
        <v>0</v>
      </c>
      <c r="AB147" s="203">
        <f t="shared" si="72"/>
        <v>0</v>
      </c>
      <c r="AC147" s="203">
        <f t="shared" si="72"/>
        <v>0</v>
      </c>
      <c r="AD147" s="203">
        <f t="shared" si="72"/>
        <v>0</v>
      </c>
      <c r="AE147" s="203">
        <f t="shared" si="72"/>
        <v>0</v>
      </c>
      <c r="AF147" s="203">
        <f t="shared" si="72"/>
        <v>0</v>
      </c>
      <c r="AG147" s="203">
        <f t="shared" si="72"/>
        <v>0</v>
      </c>
      <c r="AH147" s="217"/>
      <c r="AI147" s="124"/>
      <c r="AJ147" s="185"/>
      <c r="AL147" s="100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160</v>
      </c>
      <c r="C148" s="203">
        <f t="shared" si="73"/>
        <v>0</v>
      </c>
      <c r="D148" s="203">
        <f t="shared" si="72"/>
        <v>0.25427087960119565</v>
      </c>
      <c r="E148" s="203">
        <f t="shared" si="72"/>
        <v>0.56839095478218959</v>
      </c>
      <c r="F148" s="203">
        <f t="shared" si="72"/>
        <v>0.94344321647530482</v>
      </c>
      <c r="G148" s="203">
        <f t="shared" si="72"/>
        <v>1.3796379059014512</v>
      </c>
      <c r="H148" s="203">
        <f t="shared" si="72"/>
        <v>1.8763220886242071</v>
      </c>
      <c r="I148" s="203">
        <f t="shared" si="72"/>
        <v>2.431989165335529</v>
      </c>
      <c r="J148" s="203">
        <f t="shared" si="72"/>
        <v>3.0442883196986203</v>
      </c>
      <c r="K148" s="203">
        <f t="shared" si="72"/>
        <v>3.7100339035720591</v>
      </c>
      <c r="L148" s="203">
        <f t="shared" si="72"/>
        <v>4.425214759937842</v>
      </c>
      <c r="M148" s="203">
        <f t="shared" si="72"/>
        <v>5.1850034838545751</v>
      </c>
      <c r="N148" s="203">
        <f t="shared" si="72"/>
        <v>5.9003279672341318</v>
      </c>
      <c r="O148" s="203">
        <f t="shared" si="72"/>
        <v>6.6327565278459302</v>
      </c>
      <c r="P148" s="203">
        <f t="shared" si="72"/>
        <v>7.3707024047835636</v>
      </c>
      <c r="Q148" s="203">
        <f t="shared" si="72"/>
        <v>8.1113329651715418</v>
      </c>
      <c r="R148" s="203">
        <f t="shared" si="72"/>
        <v>8.8472333464869344</v>
      </c>
      <c r="S148" s="203">
        <f t="shared" si="72"/>
        <v>9.5705133133622962</v>
      </c>
      <c r="T148" s="203">
        <f t="shared" si="72"/>
        <v>10.272815762099233</v>
      </c>
      <c r="U148" s="203">
        <f t="shared" si="72"/>
        <v>10.945325239778004</v>
      </c>
      <c r="V148" s="203">
        <f t="shared" si="72"/>
        <v>11.578776477052452</v>
      </c>
      <c r="W148" s="203">
        <f t="shared" si="72"/>
        <v>12.163462933729237</v>
      </c>
      <c r="X148" s="203">
        <f t="shared" si="72"/>
        <v>12.842438146442957</v>
      </c>
      <c r="Y148" s="203">
        <f t="shared" si="72"/>
        <v>13.455994459935832</v>
      </c>
      <c r="Z148" s="203">
        <f t="shared" si="72"/>
        <v>13.953082872973443</v>
      </c>
      <c r="AA148" s="203">
        <f t="shared" si="72"/>
        <v>14.352615789962398</v>
      </c>
      <c r="AB148" s="203">
        <f t="shared" si="72"/>
        <v>14.640037412038691</v>
      </c>
      <c r="AC148" s="203">
        <f t="shared" si="72"/>
        <v>14.800378264764012</v>
      </c>
      <c r="AD148" s="203">
        <f t="shared" si="72"/>
        <v>14.818289565276578</v>
      </c>
      <c r="AE148" s="203">
        <f t="shared" si="72"/>
        <v>14.678078193061936</v>
      </c>
      <c r="AF148" s="203">
        <f t="shared" si="72"/>
        <v>14.363742251666713</v>
      </c>
      <c r="AG148" s="203">
        <f t="shared" si="72"/>
        <v>13.859007208800129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1040</v>
      </c>
      <c r="C149" s="203">
        <f t="shared" si="73"/>
        <v>0</v>
      </c>
      <c r="D149" s="203">
        <f t="shared" si="72"/>
        <v>51.654735698832098</v>
      </c>
      <c r="E149" s="203">
        <f t="shared" si="72"/>
        <v>104.27761290447035</v>
      </c>
      <c r="F149" s="203">
        <f t="shared" si="72"/>
        <v>157.47816620656653</v>
      </c>
      <c r="G149" s="203">
        <f t="shared" si="72"/>
        <v>210.87020900571878</v>
      </c>
      <c r="H149" s="203">
        <f t="shared" si="72"/>
        <v>264.07180520307435</v>
      </c>
      <c r="I149" s="203">
        <f t="shared" si="72"/>
        <v>316.70524103578401</v>
      </c>
      <c r="J149" s="203">
        <f t="shared" si="72"/>
        <v>368.39699705766583</v>
      </c>
      <c r="K149" s="203">
        <f t="shared" si="72"/>
        <v>418.77772026443807</v>
      </c>
      <c r="L149" s="203">
        <f t="shared" si="72"/>
        <v>467.48219636288019</v>
      </c>
      <c r="M149" s="203">
        <f t="shared" si="72"/>
        <v>514.14932218328408</v>
      </c>
      <c r="N149" s="203">
        <f t="shared" si="72"/>
        <v>545.08712671113722</v>
      </c>
      <c r="O149" s="203">
        <f t="shared" si="72"/>
        <v>573.25374999221322</v>
      </c>
      <c r="P149" s="203">
        <f t="shared" si="72"/>
        <v>597.71963285373204</v>
      </c>
      <c r="Q149" s="203">
        <f t="shared" si="72"/>
        <v>618.92151545883576</v>
      </c>
      <c r="R149" s="203">
        <f t="shared" si="72"/>
        <v>636.64460999127004</v>
      </c>
      <c r="S149" s="203">
        <f t="shared" si="72"/>
        <v>650.67759588615081</v>
      </c>
      <c r="T149" s="203">
        <f t="shared" si="72"/>
        <v>660.81261633726831</v>
      </c>
      <c r="U149" s="203">
        <f t="shared" si="72"/>
        <v>666.84527455366947</v>
      </c>
      <c r="V149" s="203">
        <f t="shared" si="72"/>
        <v>668.57462976862416</v>
      </c>
      <c r="W149" s="203">
        <f t="shared" si="72"/>
        <v>665.80319300406222</v>
      </c>
      <c r="X149" s="203">
        <f t="shared" si="72"/>
        <v>671.08849221308719</v>
      </c>
      <c r="Y149" s="203">
        <f t="shared" si="72"/>
        <v>670.63669120410668</v>
      </c>
      <c r="Z149" s="203">
        <f t="shared" si="72"/>
        <v>661.32932678060411</v>
      </c>
      <c r="AA149" s="203">
        <f t="shared" si="72"/>
        <v>645.66300236719621</v>
      </c>
      <c r="AB149" s="203">
        <f t="shared" si="72"/>
        <v>623.39707982617279</v>
      </c>
      <c r="AC149" s="203">
        <f t="shared" si="72"/>
        <v>594.30244924731664</v>
      </c>
      <c r="AD149" s="203">
        <f t="shared" si="72"/>
        <v>558.16168803152868</v>
      </c>
      <c r="AE149" s="203">
        <f t="shared" si="72"/>
        <v>514.76921605322127</v>
      </c>
      <c r="AF149" s="203">
        <f t="shared" si="72"/>
        <v>463.93144694165431</v>
      </c>
      <c r="AG149" s="203">
        <f t="shared" si="72"/>
        <v>405.46693552111702</v>
      </c>
      <c r="AH149" s="217"/>
      <c r="AI149" s="124"/>
      <c r="AJ149" s="185"/>
      <c r="AL149" s="100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s="1" customFormat="1" outlineLevel="1">
      <c r="A150" s="1" t="s">
        <v>1048</v>
      </c>
      <c r="B150" s="60"/>
      <c r="C150" s="250">
        <f>C40*C131</f>
        <v>91.822947813235103</v>
      </c>
      <c r="D150" s="250">
        <f t="shared" ref="D150:AG150" si="74">D40*D131</f>
        <v>103.80194933133511</v>
      </c>
      <c r="E150" s="250">
        <f t="shared" si="74"/>
        <v>116.01817947306265</v>
      </c>
      <c r="F150" s="250">
        <f t="shared" si="74"/>
        <v>128.38178075701401</v>
      </c>
      <c r="G150" s="250">
        <f t="shared" si="74"/>
        <v>140.8036817159167</v>
      </c>
      <c r="H150" s="250">
        <f t="shared" si="74"/>
        <v>153.19559257285783</v>
      </c>
      <c r="I150" s="250">
        <f t="shared" si="74"/>
        <v>165.47000093657041</v>
      </c>
      <c r="J150" s="250">
        <f t="shared" si="74"/>
        <v>177.54016751570384</v>
      </c>
      <c r="K150" s="250">
        <f t="shared" si="74"/>
        <v>189.32012185200668</v>
      </c>
      <c r="L150" s="250">
        <f t="shared" si="74"/>
        <v>200.72465807234695</v>
      </c>
      <c r="M150" s="250">
        <f t="shared" si="74"/>
        <v>211.66933065949786</v>
      </c>
      <c r="N150" s="250">
        <f t="shared" si="74"/>
        <v>218.9738988928593</v>
      </c>
      <c r="O150" s="250">
        <f t="shared" si="74"/>
        <v>225.64291085632564</v>
      </c>
      <c r="P150" s="250">
        <f t="shared" si="74"/>
        <v>231.45917902673875</v>
      </c>
      <c r="Q150" s="250">
        <f t="shared" si="74"/>
        <v>236.52283591108295</v>
      </c>
      <c r="R150" s="250">
        <f t="shared" si="74"/>
        <v>240.78260396810211</v>
      </c>
      <c r="S150" s="250">
        <f t="shared" si="74"/>
        <v>244.18789609004588</v>
      </c>
      <c r="T150" s="250">
        <f t="shared" si="74"/>
        <v>246.68881675924302</v>
      </c>
      <c r="U150" s="250">
        <f t="shared" si="74"/>
        <v>248.23616315018455</v>
      </c>
      <c r="V150" s="250">
        <f t="shared" si="74"/>
        <v>248.78142617762211</v>
      </c>
      <c r="W150" s="250">
        <f t="shared" si="74"/>
        <v>248.27679149118703</v>
      </c>
      <c r="X150" s="250">
        <f t="shared" si="74"/>
        <v>249.65316251158822</v>
      </c>
      <c r="Y150" s="250">
        <f t="shared" si="74"/>
        <v>249.6904906587834</v>
      </c>
      <c r="Z150" s="250">
        <f t="shared" si="74"/>
        <v>247.65735004098374</v>
      </c>
      <c r="AA150" s="250">
        <f t="shared" si="74"/>
        <v>244.13424431104093</v>
      </c>
      <c r="AB150" s="250">
        <f t="shared" si="74"/>
        <v>239.06228256051472</v>
      </c>
      <c r="AC150" s="250">
        <f t="shared" si="74"/>
        <v>232.38513877756142</v>
      </c>
      <c r="AD150" s="250">
        <f t="shared" si="74"/>
        <v>224.04909648942095</v>
      </c>
      <c r="AE150" s="250">
        <f t="shared" si="74"/>
        <v>214.00309263930049</v>
      </c>
      <c r="AF150" s="250">
        <f t="shared" si="74"/>
        <v>202.1987607040015</v>
      </c>
      <c r="AG150" s="250">
        <f t="shared" si="74"/>
        <v>188.59047305860062</v>
      </c>
      <c r="AH150" s="217"/>
      <c r="AI150" s="368"/>
      <c r="AJ150" s="369"/>
      <c r="AL150" s="194"/>
      <c r="AM150" s="116"/>
      <c r="AN150" s="116"/>
      <c r="AO150" s="116"/>
      <c r="BD150" s="116"/>
      <c r="BE150" s="116"/>
      <c r="BF150" s="116"/>
      <c r="BG150" s="116"/>
      <c r="BH150" s="116"/>
      <c r="BI150" s="116"/>
      <c r="BJ150" s="116"/>
      <c r="BK150" s="116"/>
    </row>
    <row r="151" spans="1:63" outlineLevel="1">
      <c r="A151" s="4" t="s">
        <v>35</v>
      </c>
      <c r="C151" s="203">
        <f>C$150*'Methanol recycling rates'!E54</f>
        <v>0</v>
      </c>
      <c r="D151" s="203">
        <f>D$150*'Methanol recycling rates'!F54</f>
        <v>0</v>
      </c>
      <c r="E151" s="203">
        <f>E$150*'Methanol recycling rates'!G54</f>
        <v>0</v>
      </c>
      <c r="F151" s="203">
        <f>F$150*'Methanol recycling rates'!H54</f>
        <v>0</v>
      </c>
      <c r="G151" s="203">
        <f>G$150*'Methanol recycling rates'!I54</f>
        <v>0</v>
      </c>
      <c r="H151" s="203">
        <f>H$150*'Methanol recycling rates'!J54</f>
        <v>0</v>
      </c>
      <c r="I151" s="203">
        <f>I$150*'Methanol recycling rates'!K54</f>
        <v>0</v>
      </c>
      <c r="J151" s="203">
        <f>J$150*'Methanol recycling rates'!L54</f>
        <v>0</v>
      </c>
      <c r="K151" s="203">
        <f>K$150*'Methanol recycling rates'!M54</f>
        <v>0</v>
      </c>
      <c r="L151" s="203">
        <f>L$150*'Methanol recycling rates'!N54</f>
        <v>0</v>
      </c>
      <c r="M151" s="203">
        <f>M$150*'Methanol recycling rates'!O54</f>
        <v>0</v>
      </c>
      <c r="N151" s="203">
        <f>N$150*'Methanol recycling rates'!P54</f>
        <v>0</v>
      </c>
      <c r="O151" s="203">
        <f>O$150*'Methanol recycling rates'!Q54</f>
        <v>0</v>
      </c>
      <c r="P151" s="203">
        <f>P$150*'Methanol recycling rates'!R54</f>
        <v>0</v>
      </c>
      <c r="Q151" s="203">
        <f>Q$150*'Methanol recycling rates'!S54</f>
        <v>0</v>
      </c>
      <c r="R151" s="203">
        <f>R$150*'Methanol recycling rates'!T54</f>
        <v>0</v>
      </c>
      <c r="S151" s="203">
        <f>S$150*'Methanol recycling rates'!U54</f>
        <v>0</v>
      </c>
      <c r="T151" s="203">
        <f>T$150*'Methanol recycling rates'!V54</f>
        <v>0</v>
      </c>
      <c r="U151" s="203">
        <f>U$150*'Methanol recycling rates'!W54</f>
        <v>0</v>
      </c>
      <c r="V151" s="203">
        <f>V$150*'Methanol recycling rates'!X54</f>
        <v>0</v>
      </c>
      <c r="W151" s="203">
        <f>W$150*'Methanol recycling rates'!Y54</f>
        <v>0</v>
      </c>
      <c r="X151" s="203">
        <f>X$150*'Methanol recycling rates'!Z54</f>
        <v>0</v>
      </c>
      <c r="Y151" s="203">
        <f>Y$150*'Methanol recycling rates'!AA54</f>
        <v>0</v>
      </c>
      <c r="Z151" s="203">
        <f>Z$150*'Methanol recycling rates'!AB54</f>
        <v>0</v>
      </c>
      <c r="AA151" s="203">
        <f>AA$150*'Methanol recycling rates'!AC54</f>
        <v>0</v>
      </c>
      <c r="AB151" s="203">
        <f>AB$150*'Methanol recycling rates'!AD54</f>
        <v>0</v>
      </c>
      <c r="AC151" s="203">
        <f>AC$150*'Methanol recycling rates'!AE54</f>
        <v>0</v>
      </c>
      <c r="AD151" s="203">
        <f>AD$150*'Methanol recycling rates'!AF54</f>
        <v>0</v>
      </c>
      <c r="AE151" s="203">
        <f>AE$150*'Methanol recycling rates'!AG54</f>
        <v>0</v>
      </c>
      <c r="AF151" s="203">
        <f>AF$150*'Methanol recycling rates'!AH54</f>
        <v>0</v>
      </c>
      <c r="AG151" s="203">
        <f>AG$150*'Methanol recycling rates'!AI54</f>
        <v>0</v>
      </c>
      <c r="AH151" s="217"/>
      <c r="AI151" s="124"/>
      <c r="AJ151" s="185"/>
      <c r="AL151" s="100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03">
        <f>C$150*'Methanol recycling rates'!E55</f>
        <v>0</v>
      </c>
      <c r="D152" s="203">
        <f>D$150*'Methanol recycling rates'!F55</f>
        <v>5.8677895292583604E-2</v>
      </c>
      <c r="E152" s="203">
        <f>E$150*'Methanol recycling rates'!G55</f>
        <v>0.13116714341127453</v>
      </c>
      <c r="F152" s="203">
        <f>F$150*'Methanol recycling rates'!H55</f>
        <v>0.21771766534045495</v>
      </c>
      <c r="G152" s="203">
        <f>G$150*'Methanol recycling rates'!I55</f>
        <v>0.31837797828495024</v>
      </c>
      <c r="H152" s="203">
        <f>H$150*'Methanol recycling rates'!J55</f>
        <v>0.43299740506712464</v>
      </c>
      <c r="I152" s="203">
        <f>I$150*'Methanol recycling rates'!K55</f>
        <v>0.56122826892358368</v>
      </c>
      <c r="J152" s="203">
        <f>J$150*'Methanol recycling rates'!L55</f>
        <v>0.70252807377660464</v>
      </c>
      <c r="K152" s="203">
        <f>K$150*'Methanol recycling rates'!M55</f>
        <v>0.85616167005509047</v>
      </c>
      <c r="L152" s="203">
        <f>L$150*'Methanol recycling rates'!N55</f>
        <v>1.0212034061395019</v>
      </c>
      <c r="M152" s="203">
        <f>M$150*'Methanol recycling rates'!O55</f>
        <v>1.1965392655049019</v>
      </c>
      <c r="N152" s="203">
        <f>N$150*'Methanol recycling rates'!P55</f>
        <v>1.3616141462847997</v>
      </c>
      <c r="O152" s="203">
        <f>O$150*'Methanol recycling rates'!Q55</f>
        <v>1.530636121810599</v>
      </c>
      <c r="P152" s="203">
        <f>P$150*'Methanol recycling rates'!R55</f>
        <v>1.7009313241808224</v>
      </c>
      <c r="Q152" s="203">
        <f>Q$150*'Methanol recycling rates'!S55</f>
        <v>1.8718460688857406</v>
      </c>
      <c r="R152" s="203">
        <f>R$150*'Methanol recycling rates'!T55</f>
        <v>2.0416692338046767</v>
      </c>
      <c r="S152" s="203">
        <f>S$150*'Methanol recycling rates'!U55</f>
        <v>2.208579995391299</v>
      </c>
      <c r="T152" s="203">
        <f>T$150*'Methanol recycling rates'!V55</f>
        <v>2.3706497912536686</v>
      </c>
      <c r="U152" s="203">
        <f>U$150*'Methanol recycling rates'!W55</f>
        <v>2.5258442861026165</v>
      </c>
      <c r="V152" s="203">
        <f>V$150*'Methanol recycling rates'!X55</f>
        <v>2.6720253408582586</v>
      </c>
      <c r="W152" s="203">
        <f>W$150*'Methanol recycling rates'!Y55</f>
        <v>2.8069529847067471</v>
      </c>
      <c r="X152" s="203">
        <f>X$150*'Methanol recycling rates'!Z55</f>
        <v>2.9636395722560667</v>
      </c>
      <c r="Y152" s="203">
        <f>Y$150*'Methanol recycling rates'!AA55</f>
        <v>3.1052294907544225</v>
      </c>
      <c r="Z152" s="203">
        <f>Z$150*'Methanol recycling rates'!AB55</f>
        <v>3.2199422014554089</v>
      </c>
      <c r="AA152" s="203">
        <f>AA$150*'Methanol recycling rates'!AC55</f>
        <v>3.3121421053759379</v>
      </c>
      <c r="AB152" s="203">
        <f>AB$150*'Methanol recycling rates'!AD55</f>
        <v>3.3784701720089285</v>
      </c>
      <c r="AC152" s="203">
        <f>AC$150*'Methanol recycling rates'!AE55</f>
        <v>3.4154719072532331</v>
      </c>
      <c r="AD152" s="203">
        <f>AD$150*'Methanol recycling rates'!AF55</f>
        <v>3.4196052842945948</v>
      </c>
      <c r="AE152" s="203">
        <f>AE$150*'Methanol recycling rates'!AG55</f>
        <v>3.3872488137835233</v>
      </c>
      <c r="AF152" s="203">
        <f>AF$150*'Methanol recycling rates'!AH55</f>
        <v>3.3147097503846257</v>
      </c>
      <c r="AG152" s="203">
        <f>AG$150*'Methanol recycling rates'!AI55</f>
        <v>3.19823243280003</v>
      </c>
      <c r="AH152" s="217"/>
      <c r="AI152" s="124"/>
      <c r="AJ152" s="185"/>
      <c r="AL152" s="100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1040</v>
      </c>
      <c r="C153" s="203">
        <f>C$150*'Methanol recycling rates'!E56</f>
        <v>91.822947813235103</v>
      </c>
      <c r="D153" s="203">
        <f>D$150*'Methanol recycling rates'!F56</f>
        <v>103.74327143604252</v>
      </c>
      <c r="E153" s="203">
        <f>E$150*'Methanol recycling rates'!G56</f>
        <v>115.88701232965137</v>
      </c>
      <c r="F153" s="203">
        <f>F$150*'Methanol recycling rates'!H56</f>
        <v>128.16406309167357</v>
      </c>
      <c r="G153" s="203">
        <f>G$150*'Methanol recycling rates'!I56</f>
        <v>140.48530373763174</v>
      </c>
      <c r="H153" s="203">
        <f>H$150*'Methanol recycling rates'!J56</f>
        <v>152.76259516779072</v>
      </c>
      <c r="I153" s="203">
        <f>I$150*'Methanol recycling rates'!K56</f>
        <v>164.90877266764684</v>
      </c>
      <c r="J153" s="203">
        <f>J$150*'Methanol recycling rates'!L56</f>
        <v>176.83763944192722</v>
      </c>
      <c r="K153" s="203">
        <f>K$150*'Methanol recycling rates'!M56</f>
        <v>188.46396018195159</v>
      </c>
      <c r="L153" s="203">
        <f>L$150*'Methanol recycling rates'!N56</f>
        <v>199.70345466620745</v>
      </c>
      <c r="M153" s="203">
        <f>M$150*'Methanol recycling rates'!O56</f>
        <v>210.47279139399296</v>
      </c>
      <c r="N153" s="203">
        <f>N$150*'Methanol recycling rates'!P56</f>
        <v>217.61228474657449</v>
      </c>
      <c r="O153" s="203">
        <f>O$150*'Methanol recycling rates'!Q56</f>
        <v>224.11227473451504</v>
      </c>
      <c r="P153" s="203">
        <f>P$150*'Methanol recycling rates'!R56</f>
        <v>229.75824770255792</v>
      </c>
      <c r="Q153" s="203">
        <f>Q$150*'Methanol recycling rates'!S56</f>
        <v>234.65098984219722</v>
      </c>
      <c r="R153" s="203">
        <f>R$150*'Methanol recycling rates'!T56</f>
        <v>238.74093473429744</v>
      </c>
      <c r="S153" s="203">
        <f>S$150*'Methanol recycling rates'!U56</f>
        <v>241.97931609465459</v>
      </c>
      <c r="T153" s="203">
        <f>T$150*'Methanol recycling rates'!V56</f>
        <v>244.31816696798936</v>
      </c>
      <c r="U153" s="203">
        <f>U$150*'Methanol recycling rates'!W56</f>
        <v>245.71031886408193</v>
      </c>
      <c r="V153" s="203">
        <f>V$150*'Methanol recycling rates'!X56</f>
        <v>246.10940083676385</v>
      </c>
      <c r="W153" s="203">
        <f>W$150*'Methanol recycling rates'!Y56</f>
        <v>245.46983850648027</v>
      </c>
      <c r="X153" s="203">
        <f>X$150*'Methanol recycling rates'!Z56</f>
        <v>246.68952293933214</v>
      </c>
      <c r="Y153" s="203">
        <f>Y$150*'Methanol recycling rates'!AA56</f>
        <v>246.58526116802898</v>
      </c>
      <c r="Z153" s="203">
        <f>Z$150*'Methanol recycling rates'!AB56</f>
        <v>244.43740783952833</v>
      </c>
      <c r="AA153" s="203">
        <f>AA$150*'Methanol recycling rates'!AC56</f>
        <v>240.82210220566498</v>
      </c>
      <c r="AB153" s="203">
        <f>AB$150*'Methanol recycling rates'!AD56</f>
        <v>235.68381238850577</v>
      </c>
      <c r="AC153" s="203">
        <f>AC$150*'Methanol recycling rates'!AE56</f>
        <v>228.96966687030817</v>
      </c>
      <c r="AD153" s="203">
        <f>AD$150*'Methanol recycling rates'!AF56</f>
        <v>220.62949120512636</v>
      </c>
      <c r="AE153" s="203">
        <f>AE$150*'Methanol recycling rates'!AG56</f>
        <v>210.61584382551695</v>
      </c>
      <c r="AF153" s="203">
        <f>AF$150*'Methanol recycling rates'!AH56</f>
        <v>198.88405095361688</v>
      </c>
      <c r="AG153" s="203">
        <f>AG$150*'Methanol recycling rates'!AI56</f>
        <v>185.39224062580058</v>
      </c>
      <c r="AH153" s="217"/>
      <c r="AI153" s="124"/>
      <c r="AJ153" s="185"/>
      <c r="AL153" s="100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1049</v>
      </c>
      <c r="B154" s="60"/>
      <c r="C154" s="250">
        <f>C150-$C150</f>
        <v>0</v>
      </c>
      <c r="D154" s="250">
        <f t="shared" ref="D154:AG157" si="75">D150-$C150</f>
        <v>11.979001518100006</v>
      </c>
      <c r="E154" s="250">
        <f t="shared" si="75"/>
        <v>24.195231659827542</v>
      </c>
      <c r="F154" s="250">
        <f t="shared" si="75"/>
        <v>36.55883294377891</v>
      </c>
      <c r="G154" s="250">
        <f t="shared" si="75"/>
        <v>48.980733902681592</v>
      </c>
      <c r="H154" s="250">
        <f t="shared" si="75"/>
        <v>61.37264475962273</v>
      </c>
      <c r="I154" s="250">
        <f t="shared" si="75"/>
        <v>73.647053123335311</v>
      </c>
      <c r="J154" s="250">
        <f t="shared" si="75"/>
        <v>85.717219702468739</v>
      </c>
      <c r="K154" s="250">
        <f t="shared" si="75"/>
        <v>97.497174038771576</v>
      </c>
      <c r="L154" s="250">
        <f t="shared" si="75"/>
        <v>108.90171025911185</v>
      </c>
      <c r="M154" s="250">
        <f t="shared" si="75"/>
        <v>119.84638284626276</v>
      </c>
      <c r="N154" s="250">
        <f t="shared" si="75"/>
        <v>127.15095107962419</v>
      </c>
      <c r="O154" s="250">
        <f t="shared" si="75"/>
        <v>133.81996304309052</v>
      </c>
      <c r="P154" s="250">
        <f t="shared" si="75"/>
        <v>139.63623121350366</v>
      </c>
      <c r="Q154" s="250">
        <f t="shared" si="75"/>
        <v>144.69988809784786</v>
      </c>
      <c r="R154" s="250">
        <f t="shared" si="75"/>
        <v>148.95965615486699</v>
      </c>
      <c r="S154" s="250">
        <f t="shared" si="75"/>
        <v>152.36494827681076</v>
      </c>
      <c r="T154" s="250">
        <f t="shared" si="75"/>
        <v>154.86586894600794</v>
      </c>
      <c r="U154" s="250">
        <f t="shared" si="75"/>
        <v>156.41321533694946</v>
      </c>
      <c r="V154" s="250">
        <f t="shared" si="75"/>
        <v>156.95847836438702</v>
      </c>
      <c r="W154" s="250">
        <f t="shared" si="75"/>
        <v>156.45384367795191</v>
      </c>
      <c r="X154" s="250">
        <f t="shared" si="75"/>
        <v>157.83021469835313</v>
      </c>
      <c r="Y154" s="250">
        <f t="shared" si="75"/>
        <v>157.86754284554831</v>
      </c>
      <c r="Z154" s="250">
        <f t="shared" si="75"/>
        <v>155.83440222774863</v>
      </c>
      <c r="AA154" s="250">
        <f t="shared" si="75"/>
        <v>152.31129649780581</v>
      </c>
      <c r="AB154" s="250">
        <f t="shared" si="75"/>
        <v>147.2393347472796</v>
      </c>
      <c r="AC154" s="250">
        <f t="shared" si="75"/>
        <v>140.56219096432631</v>
      </c>
      <c r="AD154" s="250">
        <f t="shared" si="75"/>
        <v>132.22614867618586</v>
      </c>
      <c r="AE154" s="250">
        <f t="shared" si="75"/>
        <v>122.18014482606539</v>
      </c>
      <c r="AF154" s="250">
        <f t="shared" si="75"/>
        <v>110.3758128907664</v>
      </c>
      <c r="AG154" s="250">
        <f t="shared" si="75"/>
        <v>96.767525245365519</v>
      </c>
      <c r="AH154" s="217"/>
      <c r="AI154" s="368"/>
      <c r="AJ154" s="369"/>
      <c r="AL154" s="194"/>
      <c r="AM154" s="116"/>
      <c r="AN154" s="116"/>
      <c r="AO154" s="116"/>
      <c r="BD154" s="116"/>
      <c r="BE154" s="116"/>
      <c r="BF154" s="116"/>
      <c r="BG154" s="116"/>
      <c r="BH154" s="116"/>
      <c r="BI154" s="116"/>
      <c r="BJ154" s="116"/>
      <c r="BK154" s="116"/>
    </row>
    <row r="155" spans="1:63" outlineLevel="1">
      <c r="A155" s="4" t="s">
        <v>35</v>
      </c>
      <c r="C155" s="203">
        <f t="shared" ref="C155:C157" si="76">C151-$C151</f>
        <v>0</v>
      </c>
      <c r="D155" s="203">
        <f t="shared" si="75"/>
        <v>0</v>
      </c>
      <c r="E155" s="203">
        <f t="shared" si="75"/>
        <v>0</v>
      </c>
      <c r="F155" s="203">
        <f t="shared" si="75"/>
        <v>0</v>
      </c>
      <c r="G155" s="203">
        <f t="shared" si="75"/>
        <v>0</v>
      </c>
      <c r="H155" s="203">
        <f t="shared" si="75"/>
        <v>0</v>
      </c>
      <c r="I155" s="203">
        <f t="shared" si="75"/>
        <v>0</v>
      </c>
      <c r="J155" s="203">
        <f t="shared" si="75"/>
        <v>0</v>
      </c>
      <c r="K155" s="203">
        <f t="shared" si="75"/>
        <v>0</v>
      </c>
      <c r="L155" s="203">
        <f t="shared" si="75"/>
        <v>0</v>
      </c>
      <c r="M155" s="203">
        <f t="shared" si="75"/>
        <v>0</v>
      </c>
      <c r="N155" s="203">
        <f t="shared" si="75"/>
        <v>0</v>
      </c>
      <c r="O155" s="203">
        <f t="shared" si="75"/>
        <v>0</v>
      </c>
      <c r="P155" s="203">
        <f t="shared" si="75"/>
        <v>0</v>
      </c>
      <c r="Q155" s="203">
        <f t="shared" si="75"/>
        <v>0</v>
      </c>
      <c r="R155" s="203">
        <f t="shared" si="75"/>
        <v>0</v>
      </c>
      <c r="S155" s="203">
        <f t="shared" si="75"/>
        <v>0</v>
      </c>
      <c r="T155" s="203">
        <f t="shared" si="75"/>
        <v>0</v>
      </c>
      <c r="U155" s="203">
        <f t="shared" si="75"/>
        <v>0</v>
      </c>
      <c r="V155" s="203">
        <f t="shared" si="75"/>
        <v>0</v>
      </c>
      <c r="W155" s="203">
        <f t="shared" si="75"/>
        <v>0</v>
      </c>
      <c r="X155" s="203">
        <f t="shared" si="75"/>
        <v>0</v>
      </c>
      <c r="Y155" s="203">
        <f t="shared" si="75"/>
        <v>0</v>
      </c>
      <c r="Z155" s="203">
        <f t="shared" si="75"/>
        <v>0</v>
      </c>
      <c r="AA155" s="203">
        <f t="shared" si="75"/>
        <v>0</v>
      </c>
      <c r="AB155" s="203">
        <f t="shared" si="75"/>
        <v>0</v>
      </c>
      <c r="AC155" s="203">
        <f t="shared" si="75"/>
        <v>0</v>
      </c>
      <c r="AD155" s="203">
        <f t="shared" si="75"/>
        <v>0</v>
      </c>
      <c r="AE155" s="203">
        <f t="shared" si="75"/>
        <v>0</v>
      </c>
      <c r="AF155" s="203">
        <f t="shared" si="75"/>
        <v>0</v>
      </c>
      <c r="AG155" s="203">
        <f t="shared" si="75"/>
        <v>0</v>
      </c>
      <c r="AH155" s="217"/>
      <c r="AI155" s="124"/>
      <c r="AJ155" s="185"/>
      <c r="AL155" s="100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160</v>
      </c>
      <c r="C156" s="203">
        <f t="shared" si="76"/>
        <v>0</v>
      </c>
      <c r="D156" s="203">
        <f t="shared" si="75"/>
        <v>5.8677895292583604E-2</v>
      </c>
      <c r="E156" s="203">
        <f t="shared" si="75"/>
        <v>0.13116714341127453</v>
      </c>
      <c r="F156" s="203">
        <f t="shared" si="75"/>
        <v>0.21771766534045495</v>
      </c>
      <c r="G156" s="203">
        <f t="shared" si="75"/>
        <v>0.31837797828495024</v>
      </c>
      <c r="H156" s="203">
        <f t="shared" si="75"/>
        <v>0.43299740506712464</v>
      </c>
      <c r="I156" s="203">
        <f t="shared" si="75"/>
        <v>0.56122826892358368</v>
      </c>
      <c r="J156" s="203">
        <f t="shared" si="75"/>
        <v>0.70252807377660464</v>
      </c>
      <c r="K156" s="203">
        <f t="shared" si="75"/>
        <v>0.85616167005509047</v>
      </c>
      <c r="L156" s="203">
        <f t="shared" si="75"/>
        <v>1.0212034061395019</v>
      </c>
      <c r="M156" s="203">
        <f t="shared" si="75"/>
        <v>1.1965392655049019</v>
      </c>
      <c r="N156" s="203">
        <f t="shared" si="75"/>
        <v>1.3616141462847997</v>
      </c>
      <c r="O156" s="203">
        <f t="shared" si="75"/>
        <v>1.530636121810599</v>
      </c>
      <c r="P156" s="203">
        <f t="shared" si="75"/>
        <v>1.7009313241808224</v>
      </c>
      <c r="Q156" s="203">
        <f t="shared" si="75"/>
        <v>1.8718460688857406</v>
      </c>
      <c r="R156" s="203">
        <f t="shared" si="75"/>
        <v>2.0416692338046767</v>
      </c>
      <c r="S156" s="203">
        <f t="shared" si="75"/>
        <v>2.208579995391299</v>
      </c>
      <c r="T156" s="203">
        <f t="shared" si="75"/>
        <v>2.3706497912536686</v>
      </c>
      <c r="U156" s="203">
        <f t="shared" si="75"/>
        <v>2.5258442861026165</v>
      </c>
      <c r="V156" s="203">
        <f t="shared" si="75"/>
        <v>2.6720253408582586</v>
      </c>
      <c r="W156" s="203">
        <f t="shared" si="75"/>
        <v>2.8069529847067471</v>
      </c>
      <c r="X156" s="203">
        <f t="shared" si="75"/>
        <v>2.9636395722560667</v>
      </c>
      <c r="Y156" s="203">
        <f t="shared" si="75"/>
        <v>3.1052294907544225</v>
      </c>
      <c r="Z156" s="203">
        <f t="shared" si="75"/>
        <v>3.2199422014554089</v>
      </c>
      <c r="AA156" s="203">
        <f t="shared" si="75"/>
        <v>3.3121421053759379</v>
      </c>
      <c r="AB156" s="203">
        <f t="shared" si="75"/>
        <v>3.3784701720089285</v>
      </c>
      <c r="AC156" s="203">
        <f t="shared" si="75"/>
        <v>3.4154719072532331</v>
      </c>
      <c r="AD156" s="203">
        <f t="shared" si="75"/>
        <v>3.4196052842945948</v>
      </c>
      <c r="AE156" s="203">
        <f t="shared" si="75"/>
        <v>3.3872488137835233</v>
      </c>
      <c r="AF156" s="203">
        <f t="shared" si="75"/>
        <v>3.3147097503846257</v>
      </c>
      <c r="AG156" s="203">
        <f t="shared" si="75"/>
        <v>3.19823243280003</v>
      </c>
      <c r="AH156" s="217"/>
      <c r="AI156" s="124"/>
      <c r="AJ156" s="185"/>
      <c r="AL156" s="100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1040</v>
      </c>
      <c r="C157" s="203">
        <f t="shared" si="76"/>
        <v>0</v>
      </c>
      <c r="D157" s="203">
        <f t="shared" si="75"/>
        <v>11.920323622807416</v>
      </c>
      <c r="E157" s="203">
        <f t="shared" si="75"/>
        <v>24.064064516416266</v>
      </c>
      <c r="F157" s="203">
        <f t="shared" si="75"/>
        <v>36.341115278438465</v>
      </c>
      <c r="G157" s="203">
        <f t="shared" si="75"/>
        <v>48.662355924396635</v>
      </c>
      <c r="H157" s="203">
        <f t="shared" si="75"/>
        <v>60.939647354555618</v>
      </c>
      <c r="I157" s="203">
        <f t="shared" si="75"/>
        <v>73.08582485441174</v>
      </c>
      <c r="J157" s="203">
        <f t="shared" si="75"/>
        <v>85.01469162869212</v>
      </c>
      <c r="K157" s="203">
        <f t="shared" si="75"/>
        <v>96.641012368716488</v>
      </c>
      <c r="L157" s="203">
        <f t="shared" si="75"/>
        <v>107.88050685297235</v>
      </c>
      <c r="M157" s="203">
        <f t="shared" si="75"/>
        <v>118.64984358075786</v>
      </c>
      <c r="N157" s="203">
        <f t="shared" si="75"/>
        <v>125.78933693333938</v>
      </c>
      <c r="O157" s="203">
        <f t="shared" si="75"/>
        <v>132.28932692127995</v>
      </c>
      <c r="P157" s="203">
        <f t="shared" si="75"/>
        <v>137.93529988932283</v>
      </c>
      <c r="Q157" s="203">
        <f t="shared" si="75"/>
        <v>142.8280420289621</v>
      </c>
      <c r="R157" s="203">
        <f t="shared" si="75"/>
        <v>146.91798692106232</v>
      </c>
      <c r="S157" s="203">
        <f t="shared" si="75"/>
        <v>150.15636828141947</v>
      </c>
      <c r="T157" s="203">
        <f t="shared" si="75"/>
        <v>152.49521915475424</v>
      </c>
      <c r="U157" s="203">
        <f t="shared" si="75"/>
        <v>153.88737105084681</v>
      </c>
      <c r="V157" s="203">
        <f t="shared" si="75"/>
        <v>154.28645302352874</v>
      </c>
      <c r="W157" s="203">
        <f t="shared" si="75"/>
        <v>153.64689069324515</v>
      </c>
      <c r="X157" s="203">
        <f t="shared" si="75"/>
        <v>154.86657512609702</v>
      </c>
      <c r="Y157" s="203">
        <f t="shared" si="75"/>
        <v>154.76231335479389</v>
      </c>
      <c r="Z157" s="203">
        <f t="shared" si="75"/>
        <v>152.61446002629322</v>
      </c>
      <c r="AA157" s="203">
        <f t="shared" si="75"/>
        <v>148.99915439242989</v>
      </c>
      <c r="AB157" s="203">
        <f t="shared" si="75"/>
        <v>143.86086457527068</v>
      </c>
      <c r="AC157" s="203">
        <f t="shared" si="75"/>
        <v>137.14671905707308</v>
      </c>
      <c r="AD157" s="203">
        <f t="shared" si="75"/>
        <v>128.80654339189124</v>
      </c>
      <c r="AE157" s="203">
        <f t="shared" si="75"/>
        <v>118.79289601228184</v>
      </c>
      <c r="AF157" s="203">
        <f t="shared" si="75"/>
        <v>107.06110314038177</v>
      </c>
      <c r="AG157" s="203">
        <f t="shared" si="75"/>
        <v>93.569292812565479</v>
      </c>
      <c r="AH157" s="217"/>
      <c r="AI157" s="124"/>
      <c r="AJ157" s="185"/>
      <c r="AL157" s="100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s="1" customFormat="1" outlineLevel="1">
      <c r="A158" s="1" t="s">
        <v>1043</v>
      </c>
      <c r="B158" s="60"/>
      <c r="C158" s="250">
        <f>C40*C132</f>
        <v>275.46884343970532</v>
      </c>
      <c r="D158" s="250">
        <f t="shared" ref="D158:AG158" si="77">D40*D132</f>
        <v>311.40584799400534</v>
      </c>
      <c r="E158" s="250">
        <f t="shared" si="77"/>
        <v>348.05453841918791</v>
      </c>
      <c r="F158" s="250">
        <f t="shared" si="77"/>
        <v>385.14534227104201</v>
      </c>
      <c r="G158" s="250">
        <f t="shared" si="77"/>
        <v>422.41104514775009</v>
      </c>
      <c r="H158" s="250">
        <f t="shared" si="77"/>
        <v>459.58677771857356</v>
      </c>
      <c r="I158" s="250">
        <f t="shared" si="77"/>
        <v>496.41000280971116</v>
      </c>
      <c r="J158" s="250">
        <f t="shared" si="77"/>
        <v>532.62050254711153</v>
      </c>
      <c r="K158" s="250">
        <f t="shared" si="77"/>
        <v>567.96036555602007</v>
      </c>
      <c r="L158" s="250">
        <f t="shared" si="77"/>
        <v>602.17397421704084</v>
      </c>
      <c r="M158" s="250">
        <f t="shared" si="77"/>
        <v>635.00799197849369</v>
      </c>
      <c r="N158" s="250">
        <f t="shared" si="77"/>
        <v>656.92169667857786</v>
      </c>
      <c r="O158" s="250">
        <f t="shared" si="77"/>
        <v>676.9287325689769</v>
      </c>
      <c r="P158" s="250">
        <f t="shared" si="77"/>
        <v>694.37753708021614</v>
      </c>
      <c r="Q158" s="250">
        <f t="shared" si="77"/>
        <v>709.56850773324891</v>
      </c>
      <c r="R158" s="250">
        <f t="shared" si="77"/>
        <v>722.34781190430635</v>
      </c>
      <c r="S158" s="250">
        <f t="shared" si="77"/>
        <v>732.56368827013762</v>
      </c>
      <c r="T158" s="250">
        <f t="shared" si="77"/>
        <v>740.06645027772902</v>
      </c>
      <c r="U158" s="250">
        <f t="shared" si="77"/>
        <v>744.70848945055366</v>
      </c>
      <c r="V158" s="250">
        <f t="shared" si="77"/>
        <v>746.34427853286627</v>
      </c>
      <c r="W158" s="250">
        <f t="shared" si="77"/>
        <v>744.83037447356105</v>
      </c>
      <c r="X158" s="250">
        <f t="shared" si="77"/>
        <v>748.95948753476455</v>
      </c>
      <c r="Y158" s="250">
        <f t="shared" si="77"/>
        <v>749.07147197635015</v>
      </c>
      <c r="Z158" s="250">
        <f t="shared" si="77"/>
        <v>742.97205012295126</v>
      </c>
      <c r="AA158" s="250">
        <f t="shared" si="77"/>
        <v>732.40273293312282</v>
      </c>
      <c r="AB158" s="250">
        <f t="shared" si="77"/>
        <v>717.18684768154412</v>
      </c>
      <c r="AC158" s="250">
        <f t="shared" si="77"/>
        <v>697.15541633268435</v>
      </c>
      <c r="AD158" s="250">
        <f t="shared" si="77"/>
        <v>672.1472894682629</v>
      </c>
      <c r="AE158" s="250">
        <f t="shared" si="77"/>
        <v>642.0092779179015</v>
      </c>
      <c r="AF158" s="250">
        <f t="shared" si="77"/>
        <v>606.59628211200459</v>
      </c>
      <c r="AG158" s="250">
        <f t="shared" si="77"/>
        <v>565.77141917580184</v>
      </c>
      <c r="AH158" s="217"/>
      <c r="AI158" s="368"/>
      <c r="AJ158" s="369"/>
      <c r="AL158" s="194"/>
      <c r="AM158" s="116"/>
      <c r="AN158" s="116"/>
      <c r="AO158" s="116"/>
      <c r="BD158" s="116"/>
      <c r="BE158" s="116"/>
      <c r="BF158" s="116"/>
      <c r="BG158" s="116"/>
      <c r="BH158" s="116"/>
      <c r="BI158" s="116"/>
      <c r="BJ158" s="116"/>
      <c r="BK158" s="116"/>
    </row>
    <row r="159" spans="1:63" outlineLevel="1">
      <c r="A159" s="4" t="s">
        <v>35</v>
      </c>
      <c r="C159" s="203">
        <f>C$158*'Methanol recycling rates'!E57</f>
        <v>0</v>
      </c>
      <c r="D159" s="203">
        <f>D$158*'Methanol recycling rates'!F57</f>
        <v>0</v>
      </c>
      <c r="E159" s="203">
        <f>E$158*'Methanol recycling rates'!G57</f>
        <v>0</v>
      </c>
      <c r="F159" s="203">
        <f>F$158*'Methanol recycling rates'!H57</f>
        <v>0</v>
      </c>
      <c r="G159" s="203">
        <f>G$158*'Methanol recycling rates'!I57</f>
        <v>0</v>
      </c>
      <c r="H159" s="203">
        <f>H$158*'Methanol recycling rates'!J57</f>
        <v>0</v>
      </c>
      <c r="I159" s="203">
        <f>I$158*'Methanol recycling rates'!K57</f>
        <v>0</v>
      </c>
      <c r="J159" s="203">
        <f>J$158*'Methanol recycling rates'!L57</f>
        <v>0</v>
      </c>
      <c r="K159" s="203">
        <f>K$158*'Methanol recycling rates'!M57</f>
        <v>0</v>
      </c>
      <c r="L159" s="203">
        <f>L$158*'Methanol recycling rates'!N57</f>
        <v>0</v>
      </c>
      <c r="M159" s="203">
        <f>M$158*'Methanol recycling rates'!O57</f>
        <v>0</v>
      </c>
      <c r="N159" s="203">
        <f>N$158*'Methanol recycling rates'!P57</f>
        <v>0</v>
      </c>
      <c r="O159" s="203">
        <f>O$158*'Methanol recycling rates'!Q57</f>
        <v>0</v>
      </c>
      <c r="P159" s="203">
        <f>P$158*'Methanol recycling rates'!R57</f>
        <v>0</v>
      </c>
      <c r="Q159" s="203">
        <f>Q$158*'Methanol recycling rates'!S57</f>
        <v>0</v>
      </c>
      <c r="R159" s="203">
        <f>R$158*'Methanol recycling rates'!T57</f>
        <v>0</v>
      </c>
      <c r="S159" s="203">
        <f>S$158*'Methanol recycling rates'!U57</f>
        <v>0</v>
      </c>
      <c r="T159" s="203">
        <f>T$158*'Methanol recycling rates'!V57</f>
        <v>0</v>
      </c>
      <c r="U159" s="203">
        <f>U$158*'Methanol recycling rates'!W57</f>
        <v>0</v>
      </c>
      <c r="V159" s="203">
        <f>V$158*'Methanol recycling rates'!X57</f>
        <v>0</v>
      </c>
      <c r="W159" s="203">
        <f>W$158*'Methanol recycling rates'!Y57</f>
        <v>0</v>
      </c>
      <c r="X159" s="203">
        <f>X$158*'Methanol recycling rates'!Z57</f>
        <v>0</v>
      </c>
      <c r="Y159" s="203">
        <f>Y$158*'Methanol recycling rates'!AA57</f>
        <v>0</v>
      </c>
      <c r="Z159" s="203">
        <f>Z$158*'Methanol recycling rates'!AB57</f>
        <v>0</v>
      </c>
      <c r="AA159" s="203">
        <f>AA$158*'Methanol recycling rates'!AC57</f>
        <v>0</v>
      </c>
      <c r="AB159" s="203">
        <f>AB$158*'Methanol recycling rates'!AD57</f>
        <v>0</v>
      </c>
      <c r="AC159" s="203">
        <f>AC$158*'Methanol recycling rates'!AE57</f>
        <v>0</v>
      </c>
      <c r="AD159" s="203">
        <f>AD$158*'Methanol recycling rates'!AF57</f>
        <v>0</v>
      </c>
      <c r="AE159" s="203">
        <f>AE$158*'Methanol recycling rates'!AG57</f>
        <v>0</v>
      </c>
      <c r="AF159" s="203">
        <f>AF$158*'Methanol recycling rates'!AH57</f>
        <v>0</v>
      </c>
      <c r="AG159" s="203">
        <f>AG$158*'Methanol recycling rates'!AI57</f>
        <v>0</v>
      </c>
      <c r="AH159" s="217"/>
      <c r="AI159" s="124"/>
      <c r="AJ159" s="185"/>
      <c r="AL159" s="100"/>
      <c r="AM159" s="2"/>
      <c r="AN159" s="2"/>
      <c r="AO159" s="2"/>
      <c r="BC159" s="1"/>
      <c r="BD159" s="2"/>
      <c r="BE159" s="2"/>
      <c r="BF159" s="2"/>
      <c r="BG159" s="2"/>
      <c r="BH159" s="2"/>
      <c r="BI159" s="2"/>
      <c r="BJ159" s="2"/>
      <c r="BK159" s="2"/>
    </row>
    <row r="160" spans="1:63" outlineLevel="1">
      <c r="A160" s="4" t="s">
        <v>160</v>
      </c>
      <c r="C160" s="203">
        <f>C$158*'Methanol recycling rates'!E58</f>
        <v>0</v>
      </c>
      <c r="D160" s="203">
        <f>D$158*'Methanol recycling rates'!F58</f>
        <v>0.17603368587775081</v>
      </c>
      <c r="E160" s="203">
        <f>E$158*'Methanol recycling rates'!G58</f>
        <v>0.39350143023382356</v>
      </c>
      <c r="F160" s="203">
        <f>F$158*'Methanol recycling rates'!H58</f>
        <v>0.65315299602136478</v>
      </c>
      <c r="G160" s="203">
        <f>G$158*'Methanol recycling rates'!I58</f>
        <v>0.95513393485485065</v>
      </c>
      <c r="H160" s="203">
        <f>H$158*'Methanol recycling rates'!J58</f>
        <v>1.298992215201374</v>
      </c>
      <c r="I160" s="203">
        <f>I$158*'Methanol recycling rates'!K58</f>
        <v>1.6836848067707506</v>
      </c>
      <c r="J160" s="203">
        <f>J$158*'Methanol recycling rates'!L58</f>
        <v>2.1075842213298142</v>
      </c>
      <c r="K160" s="203">
        <f>K$158*'Methanol recycling rates'!M58</f>
        <v>2.5684850101652716</v>
      </c>
      <c r="L160" s="203">
        <f>L$158*'Methanol recycling rates'!N58</f>
        <v>3.0636102184185057</v>
      </c>
      <c r="M160" s="203">
        <f>M$158*'Methanol recycling rates'!O58</f>
        <v>3.5896177965147062</v>
      </c>
      <c r="N160" s="203">
        <f>N$158*'Methanol recycling rates'!P58</f>
        <v>4.0848424388543991</v>
      </c>
      <c r="O160" s="203">
        <f>O$158*'Methanol recycling rates'!Q58</f>
        <v>4.5919083654317969</v>
      </c>
      <c r="P160" s="203">
        <f>P$158*'Methanol recycling rates'!R58</f>
        <v>5.1027939725424662</v>
      </c>
      <c r="Q160" s="203">
        <f>Q$158*'Methanol recycling rates'!S58</f>
        <v>5.6155382066572219</v>
      </c>
      <c r="R160" s="203">
        <f>R$158*'Methanol recycling rates'!T58</f>
        <v>6.1250077014140309</v>
      </c>
      <c r="S160" s="203">
        <f>S$158*'Methanol recycling rates'!U58</f>
        <v>6.6257399861738975</v>
      </c>
      <c r="T160" s="203">
        <f>T$158*'Methanol recycling rates'!V58</f>
        <v>7.1119493737610062</v>
      </c>
      <c r="U160" s="203">
        <f>U$158*'Methanol recycling rates'!W58</f>
        <v>7.5775328583078494</v>
      </c>
      <c r="V160" s="203">
        <f>V$158*'Methanol recycling rates'!X58</f>
        <v>8.0160760225747758</v>
      </c>
      <c r="W160" s="203">
        <f>W$158*'Methanol recycling rates'!Y58</f>
        <v>8.4208589541202414</v>
      </c>
      <c r="X160" s="203">
        <f>X$158*'Methanol recycling rates'!Z58</f>
        <v>8.8909187167681996</v>
      </c>
      <c r="Y160" s="203">
        <f>Y$158*'Methanol recycling rates'!AA58</f>
        <v>9.3156884722632665</v>
      </c>
      <c r="Z160" s="203">
        <f>Z$158*'Methanol recycling rates'!AB58</f>
        <v>9.6598266043662271</v>
      </c>
      <c r="AA160" s="203">
        <f>AA$158*'Methanol recycling rates'!AC58</f>
        <v>9.9364263161278146</v>
      </c>
      <c r="AB160" s="203">
        <f>AB$158*'Methanol recycling rates'!AD58</f>
        <v>10.135410516026786</v>
      </c>
      <c r="AC160" s="203">
        <f>AC$158*'Methanol recycling rates'!AE58</f>
        <v>10.2464157217597</v>
      </c>
      <c r="AD160" s="203">
        <f>AD$158*'Methanol recycling rates'!AF58</f>
        <v>10.258815852883785</v>
      </c>
      <c r="AE160" s="203">
        <f>AE$158*'Methanol recycling rates'!AG58</f>
        <v>10.161746441350571</v>
      </c>
      <c r="AF160" s="203">
        <f>AF$158*'Methanol recycling rates'!AH58</f>
        <v>9.9441292511538784</v>
      </c>
      <c r="AG160" s="203">
        <f>AG$158*'Methanol recycling rates'!AI58</f>
        <v>9.5946972984000887</v>
      </c>
      <c r="AH160" s="217"/>
      <c r="AI160" s="124"/>
      <c r="AJ160" s="185"/>
      <c r="AL160" s="100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1040</v>
      </c>
      <c r="C161" s="203">
        <f>C$158*'Methanol recycling rates'!E59</f>
        <v>275.46884343970532</v>
      </c>
      <c r="D161" s="203">
        <f>D$158*'Methanol recycling rates'!F59</f>
        <v>311.22981430812757</v>
      </c>
      <c r="E161" s="203">
        <f>E$158*'Methanol recycling rates'!G59</f>
        <v>347.66103698895409</v>
      </c>
      <c r="F161" s="203">
        <f>F$158*'Methanol recycling rates'!H59</f>
        <v>384.49218927502062</v>
      </c>
      <c r="G161" s="203">
        <f>G$158*'Methanol recycling rates'!I59</f>
        <v>421.45591121289522</v>
      </c>
      <c r="H161" s="203">
        <f>H$158*'Methanol recycling rates'!J59</f>
        <v>458.28778550337216</v>
      </c>
      <c r="I161" s="203">
        <f>I$158*'Methanol recycling rates'!K59</f>
        <v>494.72631800294039</v>
      </c>
      <c r="J161" s="203">
        <f>J$158*'Methanol recycling rates'!L59</f>
        <v>530.5129183257817</v>
      </c>
      <c r="K161" s="203">
        <f>K$158*'Methanol recycling rates'!M59</f>
        <v>565.39188054585475</v>
      </c>
      <c r="L161" s="203">
        <f>L$158*'Methanol recycling rates'!N59</f>
        <v>599.11036399862235</v>
      </c>
      <c r="M161" s="203">
        <f>M$158*'Methanol recycling rates'!O59</f>
        <v>631.41837418197895</v>
      </c>
      <c r="N161" s="203">
        <f>N$158*'Methanol recycling rates'!P59</f>
        <v>652.83685423972349</v>
      </c>
      <c r="O161" s="203">
        <f>O$158*'Methanol recycling rates'!Q59</f>
        <v>672.33682420354512</v>
      </c>
      <c r="P161" s="203">
        <f>P$158*'Methanol recycling rates'!R59</f>
        <v>689.27474310767366</v>
      </c>
      <c r="Q161" s="203">
        <f>Q$158*'Methanol recycling rates'!S59</f>
        <v>703.95296952659169</v>
      </c>
      <c r="R161" s="203">
        <f>R$158*'Methanol recycling rates'!T59</f>
        <v>716.22280420289235</v>
      </c>
      <c r="S161" s="203">
        <f>S$158*'Methanol recycling rates'!U59</f>
        <v>725.93794828396369</v>
      </c>
      <c r="T161" s="203">
        <f>T$158*'Methanol recycling rates'!V59</f>
        <v>732.95450090396798</v>
      </c>
      <c r="U161" s="203">
        <f>U$158*'Methanol recycling rates'!W59</f>
        <v>737.13095659224575</v>
      </c>
      <c r="V161" s="203">
        <f>V$158*'Methanol recycling rates'!X59</f>
        <v>738.32820251029148</v>
      </c>
      <c r="W161" s="203">
        <f>W$158*'Methanol recycling rates'!Y59</f>
        <v>736.40951551944079</v>
      </c>
      <c r="X161" s="203">
        <f>X$158*'Methanol recycling rates'!Z59</f>
        <v>740.06856881799638</v>
      </c>
      <c r="Y161" s="203">
        <f>Y$158*'Methanol recycling rates'!AA59</f>
        <v>739.75578350408682</v>
      </c>
      <c r="Z161" s="203">
        <f>Z$158*'Methanol recycling rates'!AB59</f>
        <v>733.31222351858503</v>
      </c>
      <c r="AA161" s="203">
        <f>AA$158*'Methanol recycling rates'!AC59</f>
        <v>722.46630661699498</v>
      </c>
      <c r="AB161" s="203">
        <f>AB$158*'Methanol recycling rates'!AD59</f>
        <v>707.05143716551731</v>
      </c>
      <c r="AC161" s="203">
        <f>AC$158*'Methanol recycling rates'!AE59</f>
        <v>686.90900061092464</v>
      </c>
      <c r="AD161" s="203">
        <f>AD$158*'Methanol recycling rates'!AF59</f>
        <v>661.8884736153791</v>
      </c>
      <c r="AE161" s="203">
        <f>AE$158*'Methanol recycling rates'!AG59</f>
        <v>631.8475314765509</v>
      </c>
      <c r="AF161" s="203">
        <f>AF$158*'Methanol recycling rates'!AH59</f>
        <v>596.65215286085072</v>
      </c>
      <c r="AG161" s="203">
        <f>AG$158*'Methanol recycling rates'!AI59</f>
        <v>556.17672187740175</v>
      </c>
      <c r="AH161" s="217"/>
      <c r="AI161" s="124"/>
      <c r="AJ161" s="185"/>
      <c r="AL161" s="100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s="1" customFormat="1" outlineLevel="1">
      <c r="A162" s="1" t="s">
        <v>1046</v>
      </c>
      <c r="B162" s="60"/>
      <c r="C162" s="250">
        <f>C158-$C158</f>
        <v>0</v>
      </c>
      <c r="D162" s="250">
        <f t="shared" ref="D162:AG165" si="78">D158-$C158</f>
        <v>35.937004554300017</v>
      </c>
      <c r="E162" s="250">
        <f t="shared" si="78"/>
        <v>72.585694979482582</v>
      </c>
      <c r="F162" s="250">
        <f t="shared" si="78"/>
        <v>109.67649883133669</v>
      </c>
      <c r="G162" s="250">
        <f t="shared" si="78"/>
        <v>146.94220170804476</v>
      </c>
      <c r="H162" s="250">
        <f t="shared" si="78"/>
        <v>184.11793427886823</v>
      </c>
      <c r="I162" s="250">
        <f t="shared" si="78"/>
        <v>220.94115937000583</v>
      </c>
      <c r="J162" s="250">
        <f t="shared" si="78"/>
        <v>257.1516591074062</v>
      </c>
      <c r="K162" s="250">
        <f t="shared" si="78"/>
        <v>292.49152211631474</v>
      </c>
      <c r="L162" s="250">
        <f t="shared" si="78"/>
        <v>326.70513077733551</v>
      </c>
      <c r="M162" s="250">
        <f t="shared" si="78"/>
        <v>359.53914853878837</v>
      </c>
      <c r="N162" s="250">
        <f t="shared" si="78"/>
        <v>381.45285323887254</v>
      </c>
      <c r="O162" s="250">
        <f t="shared" si="78"/>
        <v>401.45988912927157</v>
      </c>
      <c r="P162" s="250">
        <f t="shared" si="78"/>
        <v>418.90869364051082</v>
      </c>
      <c r="Q162" s="250">
        <f t="shared" si="78"/>
        <v>434.09966429354358</v>
      </c>
      <c r="R162" s="250">
        <f t="shared" si="78"/>
        <v>446.87896846460103</v>
      </c>
      <c r="S162" s="250">
        <f t="shared" si="78"/>
        <v>457.09484483043229</v>
      </c>
      <c r="T162" s="250">
        <f t="shared" si="78"/>
        <v>464.59760683802369</v>
      </c>
      <c r="U162" s="250">
        <f t="shared" si="78"/>
        <v>469.23964601084833</v>
      </c>
      <c r="V162" s="250">
        <f t="shared" si="78"/>
        <v>470.87543509316095</v>
      </c>
      <c r="W162" s="250">
        <f t="shared" si="78"/>
        <v>469.36153103385573</v>
      </c>
      <c r="X162" s="250">
        <f t="shared" si="78"/>
        <v>473.49064409505922</v>
      </c>
      <c r="Y162" s="250">
        <f t="shared" si="78"/>
        <v>473.60262853664483</v>
      </c>
      <c r="Z162" s="250">
        <f t="shared" si="78"/>
        <v>467.50320668324593</v>
      </c>
      <c r="AA162" s="250">
        <f t="shared" si="78"/>
        <v>456.9338894934175</v>
      </c>
      <c r="AB162" s="250">
        <f t="shared" si="78"/>
        <v>441.7180042418388</v>
      </c>
      <c r="AC162" s="250">
        <f t="shared" si="78"/>
        <v>421.68657289297903</v>
      </c>
      <c r="AD162" s="250">
        <f t="shared" si="78"/>
        <v>396.67844602855757</v>
      </c>
      <c r="AE162" s="250">
        <f t="shared" si="78"/>
        <v>366.54043447819618</v>
      </c>
      <c r="AF162" s="250">
        <f t="shared" si="78"/>
        <v>331.12743867229926</v>
      </c>
      <c r="AG162" s="250">
        <f t="shared" si="78"/>
        <v>290.30257573609651</v>
      </c>
      <c r="AH162" s="217"/>
      <c r="AI162" s="368"/>
      <c r="AJ162" s="369"/>
      <c r="AL162" s="194"/>
      <c r="AM162" s="116"/>
      <c r="AN162" s="116"/>
      <c r="AO162" s="116"/>
      <c r="BD162" s="116"/>
      <c r="BE162" s="116"/>
      <c r="BF162" s="116"/>
      <c r="BG162" s="116"/>
      <c r="BH162" s="116"/>
      <c r="BI162" s="116"/>
      <c r="BJ162" s="116"/>
      <c r="BK162" s="116"/>
    </row>
    <row r="163" spans="1:63" outlineLevel="1">
      <c r="A163" s="4" t="s">
        <v>35</v>
      </c>
      <c r="C163" s="203">
        <f t="shared" ref="C163:C165" si="79">C159-$C159</f>
        <v>0</v>
      </c>
      <c r="D163" s="203">
        <f t="shared" si="78"/>
        <v>0</v>
      </c>
      <c r="E163" s="203">
        <f t="shared" si="78"/>
        <v>0</v>
      </c>
      <c r="F163" s="203">
        <f t="shared" si="78"/>
        <v>0</v>
      </c>
      <c r="G163" s="203">
        <f t="shared" si="78"/>
        <v>0</v>
      </c>
      <c r="H163" s="203">
        <f t="shared" si="78"/>
        <v>0</v>
      </c>
      <c r="I163" s="203">
        <f t="shared" si="78"/>
        <v>0</v>
      </c>
      <c r="J163" s="203">
        <f t="shared" si="78"/>
        <v>0</v>
      </c>
      <c r="K163" s="203">
        <f t="shared" si="78"/>
        <v>0</v>
      </c>
      <c r="L163" s="203">
        <f t="shared" si="78"/>
        <v>0</v>
      </c>
      <c r="M163" s="203">
        <f t="shared" si="78"/>
        <v>0</v>
      </c>
      <c r="N163" s="203">
        <f t="shared" si="78"/>
        <v>0</v>
      </c>
      <c r="O163" s="203">
        <f t="shared" si="78"/>
        <v>0</v>
      </c>
      <c r="P163" s="203">
        <f t="shared" si="78"/>
        <v>0</v>
      </c>
      <c r="Q163" s="203">
        <f t="shared" si="78"/>
        <v>0</v>
      </c>
      <c r="R163" s="203">
        <f t="shared" si="78"/>
        <v>0</v>
      </c>
      <c r="S163" s="203">
        <f t="shared" si="78"/>
        <v>0</v>
      </c>
      <c r="T163" s="203">
        <f t="shared" si="78"/>
        <v>0</v>
      </c>
      <c r="U163" s="203">
        <f t="shared" si="78"/>
        <v>0</v>
      </c>
      <c r="V163" s="203">
        <f t="shared" si="78"/>
        <v>0</v>
      </c>
      <c r="W163" s="203">
        <f t="shared" si="78"/>
        <v>0</v>
      </c>
      <c r="X163" s="203">
        <f t="shared" si="78"/>
        <v>0</v>
      </c>
      <c r="Y163" s="203">
        <f t="shared" si="78"/>
        <v>0</v>
      </c>
      <c r="Z163" s="203">
        <f t="shared" si="78"/>
        <v>0</v>
      </c>
      <c r="AA163" s="203">
        <f t="shared" si="78"/>
        <v>0</v>
      </c>
      <c r="AB163" s="203">
        <f t="shared" si="78"/>
        <v>0</v>
      </c>
      <c r="AC163" s="203">
        <f t="shared" si="78"/>
        <v>0</v>
      </c>
      <c r="AD163" s="203">
        <f t="shared" si="78"/>
        <v>0</v>
      </c>
      <c r="AE163" s="203">
        <f t="shared" si="78"/>
        <v>0</v>
      </c>
      <c r="AF163" s="203">
        <f t="shared" si="78"/>
        <v>0</v>
      </c>
      <c r="AG163" s="203">
        <f t="shared" si="78"/>
        <v>0</v>
      </c>
      <c r="AH163" s="217"/>
      <c r="AI163" s="124"/>
      <c r="AJ163" s="185"/>
      <c r="AL163" s="100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160</v>
      </c>
      <c r="C164" s="203">
        <f t="shared" si="79"/>
        <v>0</v>
      </c>
      <c r="D164" s="203">
        <f t="shared" si="78"/>
        <v>0.17603368587775081</v>
      </c>
      <c r="E164" s="203">
        <f t="shared" si="78"/>
        <v>0.39350143023382356</v>
      </c>
      <c r="F164" s="203">
        <f t="shared" si="78"/>
        <v>0.65315299602136478</v>
      </c>
      <c r="G164" s="203">
        <f t="shared" si="78"/>
        <v>0.95513393485485065</v>
      </c>
      <c r="H164" s="203">
        <f t="shared" si="78"/>
        <v>1.298992215201374</v>
      </c>
      <c r="I164" s="203">
        <f t="shared" si="78"/>
        <v>1.6836848067707506</v>
      </c>
      <c r="J164" s="203">
        <f t="shared" si="78"/>
        <v>2.1075842213298142</v>
      </c>
      <c r="K164" s="203">
        <f t="shared" si="78"/>
        <v>2.5684850101652716</v>
      </c>
      <c r="L164" s="203">
        <f t="shared" si="78"/>
        <v>3.0636102184185057</v>
      </c>
      <c r="M164" s="203">
        <f t="shared" si="78"/>
        <v>3.5896177965147062</v>
      </c>
      <c r="N164" s="203">
        <f t="shared" si="78"/>
        <v>4.0848424388543991</v>
      </c>
      <c r="O164" s="203">
        <f t="shared" si="78"/>
        <v>4.5919083654317969</v>
      </c>
      <c r="P164" s="203">
        <f t="shared" si="78"/>
        <v>5.1027939725424662</v>
      </c>
      <c r="Q164" s="203">
        <f t="shared" si="78"/>
        <v>5.6155382066572219</v>
      </c>
      <c r="R164" s="203">
        <f t="shared" si="78"/>
        <v>6.1250077014140309</v>
      </c>
      <c r="S164" s="203">
        <f t="shared" si="78"/>
        <v>6.6257399861738975</v>
      </c>
      <c r="T164" s="203">
        <f t="shared" si="78"/>
        <v>7.1119493737610062</v>
      </c>
      <c r="U164" s="203">
        <f t="shared" si="78"/>
        <v>7.5775328583078494</v>
      </c>
      <c r="V164" s="203">
        <f t="shared" si="78"/>
        <v>8.0160760225747758</v>
      </c>
      <c r="W164" s="203">
        <f t="shared" si="78"/>
        <v>8.4208589541202414</v>
      </c>
      <c r="X164" s="203">
        <f t="shared" si="78"/>
        <v>8.8909187167681996</v>
      </c>
      <c r="Y164" s="203">
        <f t="shared" si="78"/>
        <v>9.3156884722632665</v>
      </c>
      <c r="Z164" s="203">
        <f t="shared" si="78"/>
        <v>9.6598266043662271</v>
      </c>
      <c r="AA164" s="203">
        <f t="shared" si="78"/>
        <v>9.9364263161278146</v>
      </c>
      <c r="AB164" s="203">
        <f t="shared" si="78"/>
        <v>10.135410516026786</v>
      </c>
      <c r="AC164" s="203">
        <f t="shared" si="78"/>
        <v>10.2464157217597</v>
      </c>
      <c r="AD164" s="203">
        <f t="shared" si="78"/>
        <v>10.258815852883785</v>
      </c>
      <c r="AE164" s="203">
        <f t="shared" si="78"/>
        <v>10.161746441350571</v>
      </c>
      <c r="AF164" s="203">
        <f t="shared" si="78"/>
        <v>9.9441292511538784</v>
      </c>
      <c r="AG164" s="203">
        <f t="shared" si="78"/>
        <v>9.5946972984000887</v>
      </c>
      <c r="AH164" s="217"/>
      <c r="AI164" s="124"/>
      <c r="AJ164" s="185"/>
      <c r="AL164" s="100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165" s="4" t="s">
        <v>1040</v>
      </c>
      <c r="C165" s="203">
        <f t="shared" si="79"/>
        <v>0</v>
      </c>
      <c r="D165" s="203">
        <f t="shared" si="78"/>
        <v>35.760970868422248</v>
      </c>
      <c r="E165" s="203">
        <f t="shared" si="78"/>
        <v>72.192193549248771</v>
      </c>
      <c r="F165" s="203">
        <f t="shared" si="78"/>
        <v>109.0233458353153</v>
      </c>
      <c r="G165" s="203">
        <f t="shared" si="78"/>
        <v>145.98706777318989</v>
      </c>
      <c r="H165" s="203">
        <f t="shared" si="78"/>
        <v>182.81894206366684</v>
      </c>
      <c r="I165" s="203">
        <f t="shared" si="78"/>
        <v>219.25747456323506</v>
      </c>
      <c r="J165" s="203">
        <f t="shared" si="78"/>
        <v>255.04407488607637</v>
      </c>
      <c r="K165" s="203">
        <f t="shared" si="78"/>
        <v>289.92303710614942</v>
      </c>
      <c r="L165" s="203">
        <f t="shared" si="78"/>
        <v>323.64152055891702</v>
      </c>
      <c r="M165" s="203">
        <f t="shared" si="78"/>
        <v>355.94953074227362</v>
      </c>
      <c r="N165" s="203">
        <f t="shared" si="78"/>
        <v>377.36801080001817</v>
      </c>
      <c r="O165" s="203">
        <f t="shared" si="78"/>
        <v>396.8679807638398</v>
      </c>
      <c r="P165" s="203">
        <f t="shared" si="78"/>
        <v>413.80589966796833</v>
      </c>
      <c r="Q165" s="203">
        <f t="shared" si="78"/>
        <v>428.48412608688636</v>
      </c>
      <c r="R165" s="203">
        <f t="shared" si="78"/>
        <v>440.75396076318702</v>
      </c>
      <c r="S165" s="203">
        <f t="shared" si="78"/>
        <v>450.46910484425837</v>
      </c>
      <c r="T165" s="203">
        <f t="shared" si="78"/>
        <v>457.48565746426266</v>
      </c>
      <c r="U165" s="203">
        <f t="shared" si="78"/>
        <v>461.66211315254043</v>
      </c>
      <c r="V165" s="203">
        <f t="shared" si="78"/>
        <v>462.85935907058615</v>
      </c>
      <c r="W165" s="203">
        <f t="shared" si="78"/>
        <v>460.94067207973546</v>
      </c>
      <c r="X165" s="203">
        <f t="shared" si="78"/>
        <v>464.59972537829105</v>
      </c>
      <c r="Y165" s="203">
        <f t="shared" si="78"/>
        <v>464.2869400643815</v>
      </c>
      <c r="Z165" s="203">
        <f t="shared" si="78"/>
        <v>457.8433800788797</v>
      </c>
      <c r="AA165" s="203">
        <f t="shared" si="78"/>
        <v>446.99746317728966</v>
      </c>
      <c r="AB165" s="203">
        <f t="shared" si="78"/>
        <v>431.58259372581199</v>
      </c>
      <c r="AC165" s="203">
        <f t="shared" si="78"/>
        <v>411.44015717121931</v>
      </c>
      <c r="AD165" s="203">
        <f t="shared" si="78"/>
        <v>386.41963017567377</v>
      </c>
      <c r="AE165" s="203">
        <f t="shared" si="78"/>
        <v>356.37868803684557</v>
      </c>
      <c r="AF165" s="203">
        <f t="shared" si="78"/>
        <v>321.1833094211454</v>
      </c>
      <c r="AG165" s="203">
        <f t="shared" si="78"/>
        <v>280.70787843769642</v>
      </c>
      <c r="AH165" s="217"/>
      <c r="AI165" s="124"/>
      <c r="AJ165" s="185"/>
      <c r="AL165" s="100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C166" s="10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J166" s="185"/>
      <c r="AM166" s="115"/>
      <c r="AN166" s="115"/>
    </row>
    <row r="167" spans="1:63" s="174" customFormat="1" ht="15.5" thickBot="1">
      <c r="A167" s="174" t="s">
        <v>432</v>
      </c>
      <c r="B167" s="189"/>
      <c r="C167" s="197">
        <f>C168</f>
        <v>0</v>
      </c>
      <c r="D167" s="197">
        <f t="shared" ref="D167:AG167" si="80">D168</f>
        <v>2.2181718165435932E-2</v>
      </c>
      <c r="E167" s="197">
        <f t="shared" si="80"/>
        <v>4.4363436330871864E-2</v>
      </c>
      <c r="F167" s="197">
        <f t="shared" si="80"/>
        <v>6.6545154496307796E-2</v>
      </c>
      <c r="G167" s="197">
        <f t="shared" si="80"/>
        <v>8.8726872661743728E-2</v>
      </c>
      <c r="H167" s="197">
        <f t="shared" si="80"/>
        <v>0.11090859082717966</v>
      </c>
      <c r="I167" s="197">
        <f t="shared" si="80"/>
        <v>0.13309030899261559</v>
      </c>
      <c r="J167" s="197">
        <f t="shared" si="80"/>
        <v>0.15527202715805152</v>
      </c>
      <c r="K167" s="197">
        <f t="shared" si="80"/>
        <v>0.17745374532348746</v>
      </c>
      <c r="L167" s="197">
        <f t="shared" si="80"/>
        <v>0.19963546348892339</v>
      </c>
      <c r="M167" s="197">
        <f t="shared" si="80"/>
        <v>0.22181718165435932</v>
      </c>
      <c r="N167" s="197">
        <f t="shared" si="80"/>
        <v>0.23671946463689028</v>
      </c>
      <c r="O167" s="197">
        <f t="shared" si="80"/>
        <v>0.25162174761942124</v>
      </c>
      <c r="P167" s="197">
        <f t="shared" si="80"/>
        <v>0.26652403060195223</v>
      </c>
      <c r="Q167" s="197">
        <f t="shared" si="80"/>
        <v>0.28142631358448317</v>
      </c>
      <c r="R167" s="197">
        <f t="shared" si="80"/>
        <v>0.29632859656701416</v>
      </c>
      <c r="S167" s="197">
        <f t="shared" si="80"/>
        <v>0.31123087954954509</v>
      </c>
      <c r="T167" s="197">
        <f t="shared" si="80"/>
        <v>0.32613316253207608</v>
      </c>
      <c r="U167" s="197">
        <f t="shared" si="80"/>
        <v>0.34103544551460707</v>
      </c>
      <c r="V167" s="197">
        <f t="shared" si="80"/>
        <v>0.35593772849713801</v>
      </c>
      <c r="W167" s="197">
        <f t="shared" si="80"/>
        <v>0.370840011479669</v>
      </c>
      <c r="X167" s="197">
        <f t="shared" si="80"/>
        <v>0.3937560103317021</v>
      </c>
      <c r="Y167" s="197">
        <f t="shared" si="80"/>
        <v>0.4166720091837352</v>
      </c>
      <c r="Z167" s="197">
        <f t="shared" si="80"/>
        <v>0.43958800803576825</v>
      </c>
      <c r="AA167" s="197">
        <f t="shared" si="80"/>
        <v>0.46250400688780136</v>
      </c>
      <c r="AB167" s="197">
        <f t="shared" si="80"/>
        <v>0.48542000573983446</v>
      </c>
      <c r="AC167" s="197">
        <f t="shared" si="80"/>
        <v>0.50833600459186756</v>
      </c>
      <c r="AD167" s="197">
        <f t="shared" si="80"/>
        <v>0.53125200344390067</v>
      </c>
      <c r="AE167" s="197">
        <f t="shared" si="80"/>
        <v>0.55416800229593377</v>
      </c>
      <c r="AF167" s="197">
        <f t="shared" si="80"/>
        <v>0.57708400114796687</v>
      </c>
      <c r="AG167" s="197">
        <f t="shared" si="80"/>
        <v>0.6</v>
      </c>
      <c r="AJ167" s="204" t="s">
        <v>456</v>
      </c>
      <c r="AL167" s="191"/>
      <c r="AM167" s="198"/>
      <c r="AN167" s="198"/>
      <c r="AO167" s="198"/>
    </row>
    <row r="168" spans="1:63" ht="15.5" outlineLevel="1" thickTop="1">
      <c r="A168" t="s">
        <v>433</v>
      </c>
      <c r="B168" s="50" t="s">
        <v>126</v>
      </c>
      <c r="C168" s="558">
        <f>'Ethylene Recycling HC'!C153</f>
        <v>0</v>
      </c>
      <c r="D168" s="102">
        <f>'Ethylene Recycling HC'!D153</f>
        <v>2.2181718165435932E-2</v>
      </c>
      <c r="E168" s="102">
        <f>'Ethylene Recycling HC'!E153</f>
        <v>4.4363436330871864E-2</v>
      </c>
      <c r="F168" s="102">
        <f>'Ethylene Recycling HC'!F153</f>
        <v>6.6545154496307796E-2</v>
      </c>
      <c r="G168" s="102">
        <f>'Ethylene Recycling HC'!G153</f>
        <v>8.8726872661743728E-2</v>
      </c>
      <c r="H168" s="102">
        <f>'Ethylene Recycling HC'!H153</f>
        <v>0.11090859082717966</v>
      </c>
      <c r="I168" s="102">
        <f>'Ethylene Recycling HC'!I153</f>
        <v>0.13309030899261559</v>
      </c>
      <c r="J168" s="102">
        <f>'Ethylene Recycling HC'!J153</f>
        <v>0.15527202715805152</v>
      </c>
      <c r="K168" s="102">
        <f>'Ethylene Recycling HC'!K153</f>
        <v>0.17745374532348746</v>
      </c>
      <c r="L168" s="102">
        <f>'Ethylene Recycling HC'!L153</f>
        <v>0.19963546348892339</v>
      </c>
      <c r="M168" s="113">
        <f>'Ethylene Recycling HC'!M153</f>
        <v>0.22181718165435932</v>
      </c>
      <c r="N168" s="113">
        <f>'Ethylene Recycling HC'!N153</f>
        <v>0.23671946463689028</v>
      </c>
      <c r="O168" s="113">
        <f>'Ethylene Recycling HC'!O153</f>
        <v>0.25162174761942124</v>
      </c>
      <c r="P168" s="113">
        <f>'Ethylene Recycling HC'!P153</f>
        <v>0.26652403060195223</v>
      </c>
      <c r="Q168" s="113">
        <f>'Ethylene Recycling HC'!Q153</f>
        <v>0.28142631358448317</v>
      </c>
      <c r="R168" s="113">
        <f>'Ethylene Recycling HC'!R153</f>
        <v>0.29632859656701416</v>
      </c>
      <c r="S168" s="113">
        <f>'Ethylene Recycling HC'!S153</f>
        <v>0.31123087954954509</v>
      </c>
      <c r="T168" s="113">
        <f>'Ethylene Recycling HC'!T153</f>
        <v>0.32613316253207608</v>
      </c>
      <c r="U168" s="113">
        <f>'Ethylene Recycling HC'!U153</f>
        <v>0.34103544551460707</v>
      </c>
      <c r="V168" s="113">
        <f>'Ethylene Recycling HC'!V153</f>
        <v>0.35593772849713801</v>
      </c>
      <c r="W168" s="113">
        <f>'Ethylene Recycling HC'!W153</f>
        <v>0.370840011479669</v>
      </c>
      <c r="X168" s="102">
        <f>'Ethylene Recycling HC'!X153</f>
        <v>0.3937560103317021</v>
      </c>
      <c r="Y168" s="102">
        <f>'Ethylene Recycling HC'!Y153</f>
        <v>0.4166720091837352</v>
      </c>
      <c r="Z168" s="102">
        <f>'Ethylene Recycling HC'!Z153</f>
        <v>0.43958800803576825</v>
      </c>
      <c r="AA168" s="102">
        <f>'Ethylene Recycling HC'!AA153</f>
        <v>0.46250400688780136</v>
      </c>
      <c r="AB168" s="102">
        <f>'Ethylene Recycling HC'!AB153</f>
        <v>0.48542000573983446</v>
      </c>
      <c r="AC168" s="102">
        <f>'Ethylene Recycling HC'!AC153</f>
        <v>0.50833600459186756</v>
      </c>
      <c r="AD168" s="102">
        <f>'Ethylene Recycling HC'!AD153</f>
        <v>0.53125200344390067</v>
      </c>
      <c r="AE168" s="102">
        <f>'Ethylene Recycling HC'!AE153</f>
        <v>0.55416800229593377</v>
      </c>
      <c r="AF168" s="102">
        <f>'Ethylene Recycling HC'!AF153</f>
        <v>0.57708400114796687</v>
      </c>
      <c r="AG168" s="558">
        <f>'Ethylene Recycling HC'!AG153</f>
        <v>0.6</v>
      </c>
      <c r="AJ168" s="185" t="s">
        <v>1469</v>
      </c>
    </row>
    <row r="169" spans="1:63" outlineLevel="1">
      <c r="A169" t="s">
        <v>434</v>
      </c>
      <c r="B169" s="50" t="s">
        <v>126</v>
      </c>
      <c r="C169" s="188">
        <v>0.05</v>
      </c>
      <c r="D169" s="102">
        <f t="shared" ref="D169:AF169" si="81">C169-($C$169-$AG$169)/($AG$1-$C$1)</f>
        <v>5.8333333333333334E-2</v>
      </c>
      <c r="E169" s="102">
        <f t="shared" si="81"/>
        <v>6.6666666666666666E-2</v>
      </c>
      <c r="F169" s="102">
        <f t="shared" si="81"/>
        <v>7.4999999999999997E-2</v>
      </c>
      <c r="G169" s="102">
        <f t="shared" si="81"/>
        <v>8.3333333333333329E-2</v>
      </c>
      <c r="H169" s="102">
        <f t="shared" si="81"/>
        <v>9.166666666666666E-2</v>
      </c>
      <c r="I169" s="102">
        <f t="shared" si="81"/>
        <v>9.9999999999999992E-2</v>
      </c>
      <c r="J169" s="102">
        <f t="shared" si="81"/>
        <v>0.10833333333333332</v>
      </c>
      <c r="K169" s="102">
        <f t="shared" si="81"/>
        <v>0.11666666666666665</v>
      </c>
      <c r="L169" s="102">
        <f t="shared" si="81"/>
        <v>0.12499999999999999</v>
      </c>
      <c r="M169" s="102">
        <f t="shared" si="81"/>
        <v>0.13333333333333333</v>
      </c>
      <c r="N169" s="102">
        <f t="shared" si="81"/>
        <v>0.14166666666666666</v>
      </c>
      <c r="O169" s="102">
        <f t="shared" si="81"/>
        <v>0.15</v>
      </c>
      <c r="P169" s="102">
        <f t="shared" si="81"/>
        <v>0.15833333333333333</v>
      </c>
      <c r="Q169" s="102">
        <f t="shared" si="81"/>
        <v>0.16666666666666666</v>
      </c>
      <c r="R169" s="102">
        <f t="shared" si="81"/>
        <v>0.17499999999999999</v>
      </c>
      <c r="S169" s="102">
        <f t="shared" si="81"/>
        <v>0.18333333333333332</v>
      </c>
      <c r="T169" s="102">
        <f t="shared" si="81"/>
        <v>0.19166666666666665</v>
      </c>
      <c r="U169" s="102">
        <f t="shared" si="81"/>
        <v>0.19999999999999998</v>
      </c>
      <c r="V169" s="102">
        <f t="shared" si="81"/>
        <v>0.20833333333333331</v>
      </c>
      <c r="W169" s="102">
        <f t="shared" si="81"/>
        <v>0.21666666666666665</v>
      </c>
      <c r="X169" s="102">
        <f t="shared" si="81"/>
        <v>0.22499999999999998</v>
      </c>
      <c r="Y169" s="102">
        <f t="shared" si="81"/>
        <v>0.23333333333333331</v>
      </c>
      <c r="Z169" s="102">
        <f t="shared" si="81"/>
        <v>0.24166666666666664</v>
      </c>
      <c r="AA169" s="102">
        <f t="shared" si="81"/>
        <v>0.24999999999999997</v>
      </c>
      <c r="AB169" s="102">
        <f t="shared" si="81"/>
        <v>0.2583333333333333</v>
      </c>
      <c r="AC169" s="102">
        <f t="shared" si="81"/>
        <v>0.26666666666666666</v>
      </c>
      <c r="AD169" s="102">
        <f t="shared" si="81"/>
        <v>0.27500000000000002</v>
      </c>
      <c r="AE169" s="102">
        <f t="shared" si="81"/>
        <v>0.28333333333333338</v>
      </c>
      <c r="AF169" s="102">
        <f t="shared" si="81"/>
        <v>0.29166666666666674</v>
      </c>
      <c r="AG169" s="188">
        <v>0.3</v>
      </c>
      <c r="AI169" s="126"/>
      <c r="AJ169" s="185" t="s">
        <v>568</v>
      </c>
      <c r="AM169" s="115"/>
      <c r="AN169" s="115"/>
    </row>
    <row r="170" spans="1:63" ht="14.5" customHeight="1" outlineLevel="1">
      <c r="A170" t="s">
        <v>435</v>
      </c>
      <c r="B170" s="156" t="s">
        <v>126</v>
      </c>
      <c r="C170" s="102">
        <f>1-C169</f>
        <v>0.95</v>
      </c>
      <c r="D170" s="102">
        <f t="shared" ref="D170:AG170" si="82">1-D169</f>
        <v>0.94166666666666665</v>
      </c>
      <c r="E170" s="102">
        <f t="shared" si="82"/>
        <v>0.93333333333333335</v>
      </c>
      <c r="F170" s="102">
        <f t="shared" si="82"/>
        <v>0.92500000000000004</v>
      </c>
      <c r="G170" s="102">
        <f t="shared" si="82"/>
        <v>0.91666666666666663</v>
      </c>
      <c r="H170" s="102">
        <f t="shared" si="82"/>
        <v>0.90833333333333333</v>
      </c>
      <c r="I170" s="102">
        <f t="shared" si="82"/>
        <v>0.9</v>
      </c>
      <c r="J170" s="102">
        <f t="shared" si="82"/>
        <v>0.89166666666666672</v>
      </c>
      <c r="K170" s="102">
        <f t="shared" si="82"/>
        <v>0.8833333333333333</v>
      </c>
      <c r="L170" s="102">
        <f t="shared" si="82"/>
        <v>0.875</v>
      </c>
      <c r="M170" s="102">
        <f t="shared" si="82"/>
        <v>0.8666666666666667</v>
      </c>
      <c r="N170" s="102">
        <f t="shared" si="82"/>
        <v>0.85833333333333339</v>
      </c>
      <c r="O170" s="102">
        <f t="shared" si="82"/>
        <v>0.85</v>
      </c>
      <c r="P170" s="102">
        <f t="shared" si="82"/>
        <v>0.84166666666666667</v>
      </c>
      <c r="Q170" s="102">
        <f t="shared" si="82"/>
        <v>0.83333333333333337</v>
      </c>
      <c r="R170" s="102">
        <f t="shared" si="82"/>
        <v>0.82499999999999996</v>
      </c>
      <c r="S170" s="102">
        <f t="shared" si="82"/>
        <v>0.81666666666666665</v>
      </c>
      <c r="T170" s="102">
        <f t="shared" si="82"/>
        <v>0.80833333333333335</v>
      </c>
      <c r="U170" s="102">
        <f t="shared" si="82"/>
        <v>0.8</v>
      </c>
      <c r="V170" s="102">
        <f t="shared" si="82"/>
        <v>0.79166666666666674</v>
      </c>
      <c r="W170" s="102">
        <f t="shared" si="82"/>
        <v>0.78333333333333333</v>
      </c>
      <c r="X170" s="102">
        <f t="shared" si="82"/>
        <v>0.77500000000000002</v>
      </c>
      <c r="Y170" s="102">
        <f t="shared" si="82"/>
        <v>0.76666666666666672</v>
      </c>
      <c r="Z170" s="102">
        <f t="shared" si="82"/>
        <v>0.7583333333333333</v>
      </c>
      <c r="AA170" s="102">
        <f t="shared" si="82"/>
        <v>0.75</v>
      </c>
      <c r="AB170" s="102">
        <f t="shared" si="82"/>
        <v>0.7416666666666667</v>
      </c>
      <c r="AC170" s="102">
        <f t="shared" si="82"/>
        <v>0.73333333333333339</v>
      </c>
      <c r="AD170" s="102">
        <f t="shared" si="82"/>
        <v>0.72499999999999998</v>
      </c>
      <c r="AE170" s="102">
        <f t="shared" si="82"/>
        <v>0.71666666666666656</v>
      </c>
      <c r="AF170" s="102">
        <f t="shared" si="82"/>
        <v>0.70833333333333326</v>
      </c>
      <c r="AG170" s="102">
        <f t="shared" si="82"/>
        <v>0.7</v>
      </c>
      <c r="AI170" s="126" t="s">
        <v>289</v>
      </c>
      <c r="AJ170" s="185"/>
    </row>
    <row r="171" spans="1:63" outlineLevel="1">
      <c r="A171" t="s">
        <v>436</v>
      </c>
      <c r="B171" s="50" t="s">
        <v>126</v>
      </c>
      <c r="C171" s="102">
        <f>C168*C169</f>
        <v>0</v>
      </c>
      <c r="D171" s="102">
        <f t="shared" ref="D171:AG171" si="83">D168*D169</f>
        <v>1.2939335596504294E-3</v>
      </c>
      <c r="E171" s="102">
        <f t="shared" si="83"/>
        <v>2.9575624220581241E-3</v>
      </c>
      <c r="F171" s="102">
        <f t="shared" si="83"/>
        <v>4.9908865872230843E-3</v>
      </c>
      <c r="G171" s="102">
        <f t="shared" si="83"/>
        <v>7.3939060551453106E-3</v>
      </c>
      <c r="H171" s="102">
        <f t="shared" si="83"/>
        <v>1.0166620825824802E-2</v>
      </c>
      <c r="I171" s="102">
        <f t="shared" si="83"/>
        <v>1.3309030899261559E-2</v>
      </c>
      <c r="J171" s="102">
        <f t="shared" si="83"/>
        <v>1.6821136275455579E-2</v>
      </c>
      <c r="K171" s="102">
        <f t="shared" si="83"/>
        <v>2.0702936954406868E-2</v>
      </c>
      <c r="L171" s="102">
        <f t="shared" si="83"/>
        <v>2.495443293611542E-2</v>
      </c>
      <c r="M171" s="102">
        <f t="shared" si="83"/>
        <v>2.9575624220581243E-2</v>
      </c>
      <c r="N171" s="102">
        <f t="shared" si="83"/>
        <v>3.3535257490226122E-2</v>
      </c>
      <c r="O171" s="102">
        <f t="shared" si="83"/>
        <v>3.7743262142913188E-2</v>
      </c>
      <c r="P171" s="102">
        <f t="shared" si="83"/>
        <v>4.2199638178642432E-2</v>
      </c>
      <c r="Q171" s="102">
        <f t="shared" si="83"/>
        <v>4.6904385597413861E-2</v>
      </c>
      <c r="R171" s="102">
        <f t="shared" si="83"/>
        <v>5.1857504399227476E-2</v>
      </c>
      <c r="S171" s="102">
        <f t="shared" si="83"/>
        <v>5.7058994584083263E-2</v>
      </c>
      <c r="T171" s="102">
        <f t="shared" si="83"/>
        <v>6.2508856151981249E-2</v>
      </c>
      <c r="U171" s="102">
        <f t="shared" si="83"/>
        <v>6.8207089102921406E-2</v>
      </c>
      <c r="V171" s="102">
        <f t="shared" si="83"/>
        <v>7.4153693436903742E-2</v>
      </c>
      <c r="W171" s="102">
        <f t="shared" si="83"/>
        <v>8.034866915392827E-2</v>
      </c>
      <c r="X171" s="102">
        <f t="shared" si="83"/>
        <v>8.8595102324632968E-2</v>
      </c>
      <c r="Y171" s="102">
        <f t="shared" si="83"/>
        <v>9.7223468809538208E-2</v>
      </c>
      <c r="Z171" s="102">
        <f t="shared" si="83"/>
        <v>0.10623376860864399</v>
      </c>
      <c r="AA171" s="102">
        <f t="shared" si="83"/>
        <v>0.11562600172195032</v>
      </c>
      <c r="AB171" s="102">
        <f t="shared" si="83"/>
        <v>0.12540016814945723</v>
      </c>
      <c r="AC171" s="102">
        <f t="shared" si="83"/>
        <v>0.13555626789116468</v>
      </c>
      <c r="AD171" s="102">
        <f t="shared" si="83"/>
        <v>0.14609430094707271</v>
      </c>
      <c r="AE171" s="102">
        <f t="shared" si="83"/>
        <v>0.15701426731718127</v>
      </c>
      <c r="AF171" s="102">
        <f t="shared" si="83"/>
        <v>0.16831616700149038</v>
      </c>
      <c r="AG171" s="102">
        <f t="shared" si="83"/>
        <v>0.18</v>
      </c>
      <c r="AI171" s="125"/>
      <c r="AJ171" s="185"/>
      <c r="BD171" s="177"/>
      <c r="BE171" s="177"/>
    </row>
    <row r="172" spans="1:63" outlineLevel="1">
      <c r="A172" t="s">
        <v>437</v>
      </c>
      <c r="B172" s="50" t="s">
        <v>126</v>
      </c>
      <c r="C172" s="102">
        <f>C168*C170</f>
        <v>0</v>
      </c>
      <c r="D172" s="102">
        <f t="shared" ref="D172:AG172" si="84">D168*D170</f>
        <v>2.0887784605785501E-2</v>
      </c>
      <c r="E172" s="102">
        <f t="shared" si="84"/>
        <v>4.1405873908813742E-2</v>
      </c>
      <c r="F172" s="102">
        <f t="shared" si="84"/>
        <v>6.1554267909084713E-2</v>
      </c>
      <c r="G172" s="102">
        <f t="shared" si="84"/>
        <v>8.1332966606598417E-2</v>
      </c>
      <c r="H172" s="102">
        <f t="shared" si="84"/>
        <v>0.10074197000135486</v>
      </c>
      <c r="I172" s="102">
        <f t="shared" si="84"/>
        <v>0.11978127809335404</v>
      </c>
      <c r="J172" s="102">
        <f t="shared" si="84"/>
        <v>0.13845089088259596</v>
      </c>
      <c r="K172" s="102">
        <f t="shared" si="84"/>
        <v>0.15675080836908059</v>
      </c>
      <c r="L172" s="102">
        <f t="shared" si="84"/>
        <v>0.17468103055280795</v>
      </c>
      <c r="M172" s="102">
        <f t="shared" si="84"/>
        <v>0.19224155743377808</v>
      </c>
      <c r="N172" s="102">
        <f t="shared" si="84"/>
        <v>0.20318420714666416</v>
      </c>
      <c r="O172" s="102">
        <f t="shared" si="84"/>
        <v>0.21387848547650806</v>
      </c>
      <c r="P172" s="102">
        <f t="shared" si="84"/>
        <v>0.22432439242330979</v>
      </c>
      <c r="Q172" s="102">
        <f t="shared" si="84"/>
        <v>0.23452192798706931</v>
      </c>
      <c r="R172" s="102">
        <f t="shared" si="84"/>
        <v>0.24447109216778667</v>
      </c>
      <c r="S172" s="102">
        <f t="shared" si="84"/>
        <v>0.25417188496546184</v>
      </c>
      <c r="T172" s="102">
        <f t="shared" si="84"/>
        <v>0.26362430638009482</v>
      </c>
      <c r="U172" s="102">
        <f t="shared" si="84"/>
        <v>0.27282835641168568</v>
      </c>
      <c r="V172" s="102">
        <f t="shared" si="84"/>
        <v>0.28178403506023431</v>
      </c>
      <c r="W172" s="102">
        <f t="shared" si="84"/>
        <v>0.2904913423257407</v>
      </c>
      <c r="X172" s="102">
        <f t="shared" si="84"/>
        <v>0.30516090800706913</v>
      </c>
      <c r="Y172" s="102">
        <f t="shared" si="84"/>
        <v>0.31944854037419701</v>
      </c>
      <c r="Z172" s="102">
        <f t="shared" si="84"/>
        <v>0.33335423942712422</v>
      </c>
      <c r="AA172" s="102">
        <f t="shared" si="84"/>
        <v>0.34687800516585099</v>
      </c>
      <c r="AB172" s="102">
        <f t="shared" si="84"/>
        <v>0.36001983759037726</v>
      </c>
      <c r="AC172" s="102">
        <f t="shared" si="84"/>
        <v>0.37277973670070291</v>
      </c>
      <c r="AD172" s="102">
        <f t="shared" si="84"/>
        <v>0.38515770249682796</v>
      </c>
      <c r="AE172" s="102">
        <f t="shared" si="84"/>
        <v>0.3971537349787525</v>
      </c>
      <c r="AF172" s="102">
        <f t="shared" si="84"/>
        <v>0.40876783414647649</v>
      </c>
      <c r="AG172" s="102">
        <f t="shared" si="84"/>
        <v>0.42</v>
      </c>
      <c r="AI172" s="125"/>
      <c r="AJ172" s="185"/>
      <c r="BD172" s="177"/>
      <c r="BE172" s="177"/>
    </row>
    <row r="173" spans="1:63" outlineLevel="1">
      <c r="C173" s="10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J173" s="185"/>
    </row>
    <row r="174" spans="1:63" outlineLevel="1">
      <c r="A174" t="s">
        <v>422</v>
      </c>
      <c r="B174" s="50" t="s">
        <v>126</v>
      </c>
      <c r="C174" s="188">
        <v>0.5</v>
      </c>
      <c r="D174" s="102">
        <f>C174</f>
        <v>0.5</v>
      </c>
      <c r="E174" s="102">
        <f t="shared" ref="E174:AG174" si="85">D174</f>
        <v>0.5</v>
      </c>
      <c r="F174" s="102">
        <f t="shared" si="85"/>
        <v>0.5</v>
      </c>
      <c r="G174" s="102">
        <f t="shared" si="85"/>
        <v>0.5</v>
      </c>
      <c r="H174" s="102">
        <f t="shared" si="85"/>
        <v>0.5</v>
      </c>
      <c r="I174" s="102">
        <f t="shared" si="85"/>
        <v>0.5</v>
      </c>
      <c r="J174" s="102">
        <f t="shared" si="85"/>
        <v>0.5</v>
      </c>
      <c r="K174" s="102">
        <f t="shared" si="85"/>
        <v>0.5</v>
      </c>
      <c r="L174" s="102">
        <f t="shared" si="85"/>
        <v>0.5</v>
      </c>
      <c r="M174" s="102">
        <f t="shared" si="85"/>
        <v>0.5</v>
      </c>
      <c r="N174" s="102">
        <f t="shared" si="85"/>
        <v>0.5</v>
      </c>
      <c r="O174" s="102">
        <f t="shared" si="85"/>
        <v>0.5</v>
      </c>
      <c r="P174" s="102">
        <f t="shared" si="85"/>
        <v>0.5</v>
      </c>
      <c r="Q174" s="102">
        <f t="shared" si="85"/>
        <v>0.5</v>
      </c>
      <c r="R174" s="102">
        <f t="shared" si="85"/>
        <v>0.5</v>
      </c>
      <c r="S174" s="102">
        <f t="shared" si="85"/>
        <v>0.5</v>
      </c>
      <c r="T174" s="102">
        <f t="shared" si="85"/>
        <v>0.5</v>
      </c>
      <c r="U174" s="102">
        <f t="shared" si="85"/>
        <v>0.5</v>
      </c>
      <c r="V174" s="102">
        <f t="shared" si="85"/>
        <v>0.5</v>
      </c>
      <c r="W174" s="102">
        <f t="shared" si="85"/>
        <v>0.5</v>
      </c>
      <c r="X174" s="102">
        <f t="shared" si="85"/>
        <v>0.5</v>
      </c>
      <c r="Y174" s="102">
        <f t="shared" si="85"/>
        <v>0.5</v>
      </c>
      <c r="Z174" s="102">
        <f t="shared" si="85"/>
        <v>0.5</v>
      </c>
      <c r="AA174" s="102">
        <f t="shared" si="85"/>
        <v>0.5</v>
      </c>
      <c r="AB174" s="102">
        <f t="shared" si="85"/>
        <v>0.5</v>
      </c>
      <c r="AC174" s="102">
        <f t="shared" si="85"/>
        <v>0.5</v>
      </c>
      <c r="AD174" s="102">
        <f t="shared" si="85"/>
        <v>0.5</v>
      </c>
      <c r="AE174" s="102">
        <f t="shared" si="85"/>
        <v>0.5</v>
      </c>
      <c r="AF174" s="102">
        <f t="shared" si="85"/>
        <v>0.5</v>
      </c>
      <c r="AG174" s="102">
        <f t="shared" si="85"/>
        <v>0.5</v>
      </c>
      <c r="AI174" s="50"/>
      <c r="AJ174" s="185" t="s">
        <v>445</v>
      </c>
    </row>
    <row r="175" spans="1:63" outlineLevel="1">
      <c r="A175" t="s">
        <v>430</v>
      </c>
      <c r="B175" s="50" t="s">
        <v>126</v>
      </c>
      <c r="C175" s="113">
        <f>1-C174</f>
        <v>0.5</v>
      </c>
      <c r="D175" s="102">
        <f t="shared" ref="D175:AG175" si="86">C175</f>
        <v>0.5</v>
      </c>
      <c r="E175" s="102">
        <f t="shared" si="86"/>
        <v>0.5</v>
      </c>
      <c r="F175" s="102">
        <f t="shared" si="86"/>
        <v>0.5</v>
      </c>
      <c r="G175" s="102">
        <f t="shared" si="86"/>
        <v>0.5</v>
      </c>
      <c r="H175" s="102">
        <f t="shared" si="86"/>
        <v>0.5</v>
      </c>
      <c r="I175" s="102">
        <f t="shared" si="86"/>
        <v>0.5</v>
      </c>
      <c r="J175" s="102">
        <f t="shared" si="86"/>
        <v>0.5</v>
      </c>
      <c r="K175" s="102">
        <f t="shared" si="86"/>
        <v>0.5</v>
      </c>
      <c r="L175" s="102">
        <f t="shared" si="86"/>
        <v>0.5</v>
      </c>
      <c r="M175" s="102">
        <f t="shared" si="86"/>
        <v>0.5</v>
      </c>
      <c r="N175" s="102">
        <f t="shared" si="86"/>
        <v>0.5</v>
      </c>
      <c r="O175" s="102">
        <f t="shared" si="86"/>
        <v>0.5</v>
      </c>
      <c r="P175" s="102">
        <f t="shared" si="86"/>
        <v>0.5</v>
      </c>
      <c r="Q175" s="102">
        <f t="shared" si="86"/>
        <v>0.5</v>
      </c>
      <c r="R175" s="102">
        <f t="shared" si="86"/>
        <v>0.5</v>
      </c>
      <c r="S175" s="102">
        <f t="shared" si="86"/>
        <v>0.5</v>
      </c>
      <c r="T175" s="102">
        <f t="shared" si="86"/>
        <v>0.5</v>
      </c>
      <c r="U175" s="102">
        <f t="shared" si="86"/>
        <v>0.5</v>
      </c>
      <c r="V175" s="102">
        <f t="shared" si="86"/>
        <v>0.5</v>
      </c>
      <c r="W175" s="102">
        <f t="shared" si="86"/>
        <v>0.5</v>
      </c>
      <c r="X175" s="102">
        <f t="shared" si="86"/>
        <v>0.5</v>
      </c>
      <c r="Y175" s="102">
        <f t="shared" si="86"/>
        <v>0.5</v>
      </c>
      <c r="Z175" s="102">
        <f t="shared" si="86"/>
        <v>0.5</v>
      </c>
      <c r="AA175" s="102">
        <f t="shared" si="86"/>
        <v>0.5</v>
      </c>
      <c r="AB175" s="102">
        <f t="shared" si="86"/>
        <v>0.5</v>
      </c>
      <c r="AC175" s="102">
        <f t="shared" si="86"/>
        <v>0.5</v>
      </c>
      <c r="AD175" s="102">
        <f t="shared" si="86"/>
        <v>0.5</v>
      </c>
      <c r="AE175" s="102">
        <f t="shared" si="86"/>
        <v>0.5</v>
      </c>
      <c r="AF175" s="102">
        <f t="shared" si="86"/>
        <v>0.5</v>
      </c>
      <c r="AG175" s="102">
        <f t="shared" si="86"/>
        <v>0.5</v>
      </c>
      <c r="AJ175" s="196"/>
    </row>
    <row r="176" spans="1:63" outlineLevel="1">
      <c r="A176" t="s">
        <v>418</v>
      </c>
      <c r="B176" s="50" t="s">
        <v>126</v>
      </c>
      <c r="C176" s="102">
        <f t="shared" ref="C176:AG176" si="87">SUM(C174:C175)</f>
        <v>1</v>
      </c>
      <c r="D176" s="102">
        <f t="shared" si="87"/>
        <v>1</v>
      </c>
      <c r="E176" s="102">
        <f t="shared" si="87"/>
        <v>1</v>
      </c>
      <c r="F176" s="102">
        <f t="shared" si="87"/>
        <v>1</v>
      </c>
      <c r="G176" s="102">
        <f t="shared" si="87"/>
        <v>1</v>
      </c>
      <c r="H176" s="102">
        <f t="shared" si="87"/>
        <v>1</v>
      </c>
      <c r="I176" s="102">
        <f t="shared" si="87"/>
        <v>1</v>
      </c>
      <c r="J176" s="102">
        <f t="shared" si="87"/>
        <v>1</v>
      </c>
      <c r="K176" s="102">
        <f t="shared" si="87"/>
        <v>1</v>
      </c>
      <c r="L176" s="102">
        <f t="shared" si="87"/>
        <v>1</v>
      </c>
      <c r="M176" s="102">
        <f t="shared" si="87"/>
        <v>1</v>
      </c>
      <c r="N176" s="102">
        <f t="shared" si="87"/>
        <v>1</v>
      </c>
      <c r="O176" s="102">
        <f t="shared" si="87"/>
        <v>1</v>
      </c>
      <c r="P176" s="102">
        <f t="shared" si="87"/>
        <v>1</v>
      </c>
      <c r="Q176" s="102">
        <f t="shared" si="87"/>
        <v>1</v>
      </c>
      <c r="R176" s="102">
        <f t="shared" si="87"/>
        <v>1</v>
      </c>
      <c r="S176" s="102">
        <f t="shared" si="87"/>
        <v>1</v>
      </c>
      <c r="T176" s="102">
        <f t="shared" si="87"/>
        <v>1</v>
      </c>
      <c r="U176" s="102">
        <f t="shared" si="87"/>
        <v>1</v>
      </c>
      <c r="V176" s="102">
        <f t="shared" si="87"/>
        <v>1</v>
      </c>
      <c r="W176" s="102">
        <f t="shared" si="87"/>
        <v>1</v>
      </c>
      <c r="X176" s="102">
        <f t="shared" si="87"/>
        <v>1</v>
      </c>
      <c r="Y176" s="102">
        <f t="shared" si="87"/>
        <v>1</v>
      </c>
      <c r="Z176" s="102">
        <f t="shared" si="87"/>
        <v>1</v>
      </c>
      <c r="AA176" s="102">
        <f t="shared" si="87"/>
        <v>1</v>
      </c>
      <c r="AB176" s="102">
        <f t="shared" si="87"/>
        <v>1</v>
      </c>
      <c r="AC176" s="102">
        <f t="shared" si="87"/>
        <v>1</v>
      </c>
      <c r="AD176" s="102">
        <f t="shared" si="87"/>
        <v>1</v>
      </c>
      <c r="AE176" s="102">
        <f t="shared" si="87"/>
        <v>1</v>
      </c>
      <c r="AF176" s="102">
        <f t="shared" si="87"/>
        <v>1</v>
      </c>
      <c r="AG176" s="102">
        <f t="shared" si="87"/>
        <v>1</v>
      </c>
      <c r="AH176" s="122"/>
      <c r="AI176" s="50"/>
      <c r="AJ176" s="196"/>
    </row>
    <row r="177" spans="1:63" outlineLevel="1">
      <c r="C177" s="188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22"/>
      <c r="AI177" s="122"/>
      <c r="AJ177" s="196"/>
    </row>
    <row r="178" spans="1:63" outlineLevel="1">
      <c r="A178" t="s">
        <v>440</v>
      </c>
      <c r="B178" s="50" t="s">
        <v>126</v>
      </c>
      <c r="C178" s="102">
        <f>C174*C172</f>
        <v>0</v>
      </c>
      <c r="D178" s="102">
        <f t="shared" ref="D178:AG178" si="88">D174*D172</f>
        <v>1.0443892302892751E-2</v>
      </c>
      <c r="E178" s="102">
        <f t="shared" si="88"/>
        <v>2.0702936954406871E-2</v>
      </c>
      <c r="F178" s="102">
        <f t="shared" si="88"/>
        <v>3.0777133954542357E-2</v>
      </c>
      <c r="G178" s="102">
        <f t="shared" si="88"/>
        <v>4.0666483303299208E-2</v>
      </c>
      <c r="H178" s="102">
        <f t="shared" si="88"/>
        <v>5.037098500067743E-2</v>
      </c>
      <c r="I178" s="102">
        <f t="shared" si="88"/>
        <v>5.9890639046677019E-2</v>
      </c>
      <c r="J178" s="102">
        <f t="shared" si="88"/>
        <v>6.9225445441297981E-2</v>
      </c>
      <c r="K178" s="102">
        <f t="shared" si="88"/>
        <v>7.8375404184540295E-2</v>
      </c>
      <c r="L178" s="102">
        <f t="shared" si="88"/>
        <v>8.7340515276403977E-2</v>
      </c>
      <c r="M178" s="102">
        <f t="shared" si="88"/>
        <v>9.6120778716889038E-2</v>
      </c>
      <c r="N178" s="102">
        <f t="shared" si="88"/>
        <v>0.10159210357333208</v>
      </c>
      <c r="O178" s="102">
        <f t="shared" si="88"/>
        <v>0.10693924273825403</v>
      </c>
      <c r="P178" s="102">
        <f t="shared" si="88"/>
        <v>0.11216219621165489</v>
      </c>
      <c r="Q178" s="102">
        <f t="shared" si="88"/>
        <v>0.11726096399353465</v>
      </c>
      <c r="R178" s="102">
        <f t="shared" si="88"/>
        <v>0.12223554608389334</v>
      </c>
      <c r="S178" s="102">
        <f t="shared" si="88"/>
        <v>0.12708594248273092</v>
      </c>
      <c r="T178" s="102">
        <f t="shared" si="88"/>
        <v>0.13181215319004741</v>
      </c>
      <c r="U178" s="102">
        <f t="shared" si="88"/>
        <v>0.13641417820584284</v>
      </c>
      <c r="V178" s="102">
        <f t="shared" si="88"/>
        <v>0.14089201753011715</v>
      </c>
      <c r="W178" s="102">
        <f t="shared" si="88"/>
        <v>0.14524567116287035</v>
      </c>
      <c r="X178" s="102">
        <f t="shared" si="88"/>
        <v>0.15258045400353457</v>
      </c>
      <c r="Y178" s="102">
        <f t="shared" si="88"/>
        <v>0.1597242701870985</v>
      </c>
      <c r="Z178" s="102">
        <f t="shared" si="88"/>
        <v>0.16667711971356211</v>
      </c>
      <c r="AA178" s="102">
        <f t="shared" si="88"/>
        <v>0.17343900258292549</v>
      </c>
      <c r="AB178" s="102">
        <f t="shared" si="88"/>
        <v>0.18000991879518863</v>
      </c>
      <c r="AC178" s="102">
        <f t="shared" si="88"/>
        <v>0.18638986835035146</v>
      </c>
      <c r="AD178" s="102">
        <f t="shared" si="88"/>
        <v>0.19257885124841398</v>
      </c>
      <c r="AE178" s="102">
        <f t="shared" si="88"/>
        <v>0.19857686748937625</v>
      </c>
      <c r="AF178" s="102">
        <f t="shared" si="88"/>
        <v>0.20438391707323825</v>
      </c>
      <c r="AG178" s="102">
        <f t="shared" si="88"/>
        <v>0.21</v>
      </c>
      <c r="AH178" s="122"/>
      <c r="AI178" s="122"/>
      <c r="AJ178" s="185"/>
    </row>
    <row r="179" spans="1:63" outlineLevel="1">
      <c r="A179" t="s">
        <v>518</v>
      </c>
      <c r="B179" s="50" t="s">
        <v>126</v>
      </c>
      <c r="C179" s="102">
        <f>C172*C175</f>
        <v>0</v>
      </c>
      <c r="D179" s="102">
        <f t="shared" ref="D179:AG179" si="89">D172*D175</f>
        <v>1.0443892302892751E-2</v>
      </c>
      <c r="E179" s="102">
        <f t="shared" si="89"/>
        <v>2.0702936954406871E-2</v>
      </c>
      <c r="F179" s="102">
        <f t="shared" si="89"/>
        <v>3.0777133954542357E-2</v>
      </c>
      <c r="G179" s="102">
        <f t="shared" si="89"/>
        <v>4.0666483303299208E-2</v>
      </c>
      <c r="H179" s="102">
        <f t="shared" si="89"/>
        <v>5.037098500067743E-2</v>
      </c>
      <c r="I179" s="102">
        <f t="shared" si="89"/>
        <v>5.9890639046677019E-2</v>
      </c>
      <c r="J179" s="102">
        <f t="shared" si="89"/>
        <v>6.9225445441297981E-2</v>
      </c>
      <c r="K179" s="102">
        <f t="shared" si="89"/>
        <v>7.8375404184540295E-2</v>
      </c>
      <c r="L179" s="102">
        <f t="shared" si="89"/>
        <v>8.7340515276403977E-2</v>
      </c>
      <c r="M179" s="102">
        <f t="shared" si="89"/>
        <v>9.6120778716889038E-2</v>
      </c>
      <c r="N179" s="102">
        <f t="shared" si="89"/>
        <v>0.10159210357333208</v>
      </c>
      <c r="O179" s="102">
        <f t="shared" si="89"/>
        <v>0.10693924273825403</v>
      </c>
      <c r="P179" s="102">
        <f t="shared" si="89"/>
        <v>0.11216219621165489</v>
      </c>
      <c r="Q179" s="102">
        <f t="shared" si="89"/>
        <v>0.11726096399353465</v>
      </c>
      <c r="R179" s="102">
        <f t="shared" si="89"/>
        <v>0.12223554608389334</v>
      </c>
      <c r="S179" s="102">
        <f t="shared" si="89"/>
        <v>0.12708594248273092</v>
      </c>
      <c r="T179" s="102">
        <f t="shared" si="89"/>
        <v>0.13181215319004741</v>
      </c>
      <c r="U179" s="102">
        <f t="shared" si="89"/>
        <v>0.13641417820584284</v>
      </c>
      <c r="V179" s="102">
        <f t="shared" si="89"/>
        <v>0.14089201753011715</v>
      </c>
      <c r="W179" s="102">
        <f t="shared" si="89"/>
        <v>0.14524567116287035</v>
      </c>
      <c r="X179" s="102">
        <f t="shared" si="89"/>
        <v>0.15258045400353457</v>
      </c>
      <c r="Y179" s="102">
        <f t="shared" si="89"/>
        <v>0.1597242701870985</v>
      </c>
      <c r="Z179" s="102">
        <f t="shared" si="89"/>
        <v>0.16667711971356211</v>
      </c>
      <c r="AA179" s="102">
        <f t="shared" si="89"/>
        <v>0.17343900258292549</v>
      </c>
      <c r="AB179" s="102">
        <f t="shared" si="89"/>
        <v>0.18000991879518863</v>
      </c>
      <c r="AC179" s="102">
        <f t="shared" si="89"/>
        <v>0.18638986835035146</v>
      </c>
      <c r="AD179" s="102">
        <f t="shared" si="89"/>
        <v>0.19257885124841398</v>
      </c>
      <c r="AE179" s="102">
        <f t="shared" si="89"/>
        <v>0.19857686748937625</v>
      </c>
      <c r="AF179" s="102">
        <f t="shared" si="89"/>
        <v>0.20438391707323825</v>
      </c>
      <c r="AG179" s="102">
        <f t="shared" si="89"/>
        <v>0.21</v>
      </c>
      <c r="AJ179" s="185"/>
    </row>
    <row r="180" spans="1:63" outlineLevel="1"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J180" s="185"/>
    </row>
    <row r="181" spans="1:63" outlineLevel="1">
      <c r="A181" t="s">
        <v>992</v>
      </c>
      <c r="C181" s="203">
        <f>'Overall recycling rates'!E87</f>
        <v>1</v>
      </c>
      <c r="D181" s="203">
        <f>C181-($C181-$AG181)/($AG$1-$C$1)</f>
        <v>1</v>
      </c>
      <c r="E181" s="203">
        <f t="shared" ref="E181:AF181" si="90">D181-($C181-$AG181)/($AG$1-$C$1)</f>
        <v>1</v>
      </c>
      <c r="F181" s="203">
        <f t="shared" si="90"/>
        <v>1</v>
      </c>
      <c r="G181" s="203">
        <f t="shared" si="90"/>
        <v>1</v>
      </c>
      <c r="H181" s="203">
        <f t="shared" si="90"/>
        <v>1</v>
      </c>
      <c r="I181" s="203">
        <f t="shared" si="90"/>
        <v>1</v>
      </c>
      <c r="J181" s="203">
        <f t="shared" si="90"/>
        <v>1</v>
      </c>
      <c r="K181" s="203">
        <f t="shared" si="90"/>
        <v>1</v>
      </c>
      <c r="L181" s="203">
        <f t="shared" si="90"/>
        <v>1</v>
      </c>
      <c r="M181" s="203">
        <f t="shared" si="90"/>
        <v>1</v>
      </c>
      <c r="N181" s="203">
        <f t="shared" si="90"/>
        <v>1</v>
      </c>
      <c r="O181" s="203">
        <f t="shared" si="90"/>
        <v>1</v>
      </c>
      <c r="P181" s="203">
        <f t="shared" si="90"/>
        <v>1</v>
      </c>
      <c r="Q181" s="203">
        <f t="shared" si="90"/>
        <v>1</v>
      </c>
      <c r="R181" s="203">
        <f t="shared" si="90"/>
        <v>1</v>
      </c>
      <c r="S181" s="203">
        <f t="shared" si="90"/>
        <v>1</v>
      </c>
      <c r="T181" s="203">
        <f t="shared" si="90"/>
        <v>1</v>
      </c>
      <c r="U181" s="203">
        <f t="shared" si="90"/>
        <v>1</v>
      </c>
      <c r="V181" s="203">
        <f t="shared" si="90"/>
        <v>1</v>
      </c>
      <c r="W181" s="203">
        <f t="shared" si="90"/>
        <v>1</v>
      </c>
      <c r="X181" s="203">
        <f t="shared" si="90"/>
        <v>1</v>
      </c>
      <c r="Y181" s="203">
        <f t="shared" si="90"/>
        <v>1</v>
      </c>
      <c r="Z181" s="203">
        <f t="shared" si="90"/>
        <v>1</v>
      </c>
      <c r="AA181" s="203">
        <f t="shared" si="90"/>
        <v>1</v>
      </c>
      <c r="AB181" s="203">
        <f t="shared" si="90"/>
        <v>1</v>
      </c>
      <c r="AC181" s="203">
        <f t="shared" si="90"/>
        <v>1</v>
      </c>
      <c r="AD181" s="203">
        <f t="shared" si="90"/>
        <v>1</v>
      </c>
      <c r="AE181" s="203">
        <f t="shared" si="90"/>
        <v>1</v>
      </c>
      <c r="AF181" s="203">
        <f t="shared" si="90"/>
        <v>1</v>
      </c>
      <c r="AG181" s="203">
        <f>'Overall recycling rates'!E96</f>
        <v>1</v>
      </c>
      <c r="AI181" s="124"/>
      <c r="AJ181" s="185" t="s">
        <v>993</v>
      </c>
      <c r="AL181" s="100"/>
      <c r="AM181" s="181"/>
      <c r="AN181" s="181"/>
      <c r="AO181" s="181"/>
      <c r="BC181" s="1"/>
      <c r="BD181" s="181"/>
      <c r="BE181" s="181"/>
      <c r="BF181" s="181"/>
      <c r="BG181" s="181"/>
      <c r="BH181" s="181"/>
      <c r="BI181" s="181"/>
      <c r="BJ181" s="181"/>
      <c r="BK181" s="181"/>
    </row>
    <row r="182" spans="1:63" outlineLevel="1">
      <c r="A182" t="s">
        <v>1032</v>
      </c>
      <c r="B182" s="50" t="s">
        <v>126</v>
      </c>
      <c r="C182" s="102">
        <f t="shared" ref="C182:AG182" si="91">C171*C$181</f>
        <v>0</v>
      </c>
      <c r="D182" s="102">
        <f t="shared" si="91"/>
        <v>1.2939335596504294E-3</v>
      </c>
      <c r="E182" s="102">
        <f t="shared" si="91"/>
        <v>2.9575624220581241E-3</v>
      </c>
      <c r="F182" s="102">
        <f t="shared" si="91"/>
        <v>4.9908865872230843E-3</v>
      </c>
      <c r="G182" s="102">
        <f t="shared" si="91"/>
        <v>7.3939060551453106E-3</v>
      </c>
      <c r="H182" s="102">
        <f t="shared" si="91"/>
        <v>1.0166620825824802E-2</v>
      </c>
      <c r="I182" s="102">
        <f t="shared" si="91"/>
        <v>1.3309030899261559E-2</v>
      </c>
      <c r="J182" s="102">
        <f t="shared" si="91"/>
        <v>1.6821136275455579E-2</v>
      </c>
      <c r="K182" s="102">
        <f t="shared" si="91"/>
        <v>2.0702936954406868E-2</v>
      </c>
      <c r="L182" s="102">
        <f t="shared" si="91"/>
        <v>2.495443293611542E-2</v>
      </c>
      <c r="M182" s="102">
        <f t="shared" si="91"/>
        <v>2.9575624220581243E-2</v>
      </c>
      <c r="N182" s="102">
        <f t="shared" si="91"/>
        <v>3.3535257490226122E-2</v>
      </c>
      <c r="O182" s="102">
        <f t="shared" si="91"/>
        <v>3.7743262142913188E-2</v>
      </c>
      <c r="P182" s="102">
        <f t="shared" si="91"/>
        <v>4.2199638178642432E-2</v>
      </c>
      <c r="Q182" s="102">
        <f t="shared" si="91"/>
        <v>4.6904385597413861E-2</v>
      </c>
      <c r="R182" s="102">
        <f t="shared" si="91"/>
        <v>5.1857504399227476E-2</v>
      </c>
      <c r="S182" s="102">
        <f t="shared" si="91"/>
        <v>5.7058994584083263E-2</v>
      </c>
      <c r="T182" s="102">
        <f t="shared" si="91"/>
        <v>6.2508856151981249E-2</v>
      </c>
      <c r="U182" s="102">
        <f t="shared" si="91"/>
        <v>6.8207089102921406E-2</v>
      </c>
      <c r="V182" s="102">
        <f t="shared" si="91"/>
        <v>7.4153693436903742E-2</v>
      </c>
      <c r="W182" s="102">
        <f t="shared" si="91"/>
        <v>8.034866915392827E-2</v>
      </c>
      <c r="X182" s="102">
        <f t="shared" si="91"/>
        <v>8.8595102324632968E-2</v>
      </c>
      <c r="Y182" s="102">
        <f t="shared" si="91"/>
        <v>9.7223468809538208E-2</v>
      </c>
      <c r="Z182" s="102">
        <f t="shared" si="91"/>
        <v>0.10623376860864399</v>
      </c>
      <c r="AA182" s="102">
        <f t="shared" si="91"/>
        <v>0.11562600172195032</v>
      </c>
      <c r="AB182" s="102">
        <f t="shared" si="91"/>
        <v>0.12540016814945723</v>
      </c>
      <c r="AC182" s="102">
        <f t="shared" si="91"/>
        <v>0.13555626789116468</v>
      </c>
      <c r="AD182" s="102">
        <f t="shared" si="91"/>
        <v>0.14609430094707271</v>
      </c>
      <c r="AE182" s="102">
        <f t="shared" si="91"/>
        <v>0.15701426731718127</v>
      </c>
      <c r="AF182" s="102">
        <f t="shared" si="91"/>
        <v>0.16831616700149038</v>
      </c>
      <c r="AG182" s="102">
        <f t="shared" si="91"/>
        <v>0.18</v>
      </c>
      <c r="AI182" s="124"/>
      <c r="AJ182"/>
      <c r="AL182" s="100"/>
      <c r="AM182" s="2"/>
      <c r="AN182" s="2"/>
      <c r="AO182" s="2"/>
      <c r="AV182" s="37"/>
    </row>
    <row r="183" spans="1:63" outlineLevel="1">
      <c r="A183" t="s">
        <v>1033</v>
      </c>
      <c r="B183" s="50" t="s">
        <v>126</v>
      </c>
      <c r="C183" s="102">
        <f t="shared" ref="C183:AG183" si="92">C172*C$181</f>
        <v>0</v>
      </c>
      <c r="D183" s="102">
        <f t="shared" si="92"/>
        <v>2.0887784605785501E-2</v>
      </c>
      <c r="E183" s="102">
        <f t="shared" si="92"/>
        <v>4.1405873908813742E-2</v>
      </c>
      <c r="F183" s="102">
        <f t="shared" si="92"/>
        <v>6.1554267909084713E-2</v>
      </c>
      <c r="G183" s="102">
        <f t="shared" si="92"/>
        <v>8.1332966606598417E-2</v>
      </c>
      <c r="H183" s="102">
        <f t="shared" si="92"/>
        <v>0.10074197000135486</v>
      </c>
      <c r="I183" s="102">
        <f t="shared" si="92"/>
        <v>0.11978127809335404</v>
      </c>
      <c r="J183" s="102">
        <f t="shared" si="92"/>
        <v>0.13845089088259596</v>
      </c>
      <c r="K183" s="102">
        <f t="shared" si="92"/>
        <v>0.15675080836908059</v>
      </c>
      <c r="L183" s="102">
        <f t="shared" si="92"/>
        <v>0.17468103055280795</v>
      </c>
      <c r="M183" s="102">
        <f t="shared" si="92"/>
        <v>0.19224155743377808</v>
      </c>
      <c r="N183" s="102">
        <f t="shared" si="92"/>
        <v>0.20318420714666416</v>
      </c>
      <c r="O183" s="102">
        <f t="shared" si="92"/>
        <v>0.21387848547650806</v>
      </c>
      <c r="P183" s="102">
        <f t="shared" si="92"/>
        <v>0.22432439242330979</v>
      </c>
      <c r="Q183" s="102">
        <f t="shared" si="92"/>
        <v>0.23452192798706931</v>
      </c>
      <c r="R183" s="102">
        <f t="shared" si="92"/>
        <v>0.24447109216778667</v>
      </c>
      <c r="S183" s="102">
        <f t="shared" si="92"/>
        <v>0.25417188496546184</v>
      </c>
      <c r="T183" s="102">
        <f t="shared" si="92"/>
        <v>0.26362430638009482</v>
      </c>
      <c r="U183" s="102">
        <f t="shared" si="92"/>
        <v>0.27282835641168568</v>
      </c>
      <c r="V183" s="102">
        <f t="shared" si="92"/>
        <v>0.28178403506023431</v>
      </c>
      <c r="W183" s="102">
        <f t="shared" si="92"/>
        <v>0.2904913423257407</v>
      </c>
      <c r="X183" s="102">
        <f t="shared" si="92"/>
        <v>0.30516090800706913</v>
      </c>
      <c r="Y183" s="102">
        <f t="shared" si="92"/>
        <v>0.31944854037419701</v>
      </c>
      <c r="Z183" s="102">
        <f t="shared" si="92"/>
        <v>0.33335423942712422</v>
      </c>
      <c r="AA183" s="102">
        <f t="shared" si="92"/>
        <v>0.34687800516585099</v>
      </c>
      <c r="AB183" s="102">
        <f t="shared" si="92"/>
        <v>0.36001983759037726</v>
      </c>
      <c r="AC183" s="102">
        <f t="shared" si="92"/>
        <v>0.37277973670070291</v>
      </c>
      <c r="AD183" s="102">
        <f t="shared" si="92"/>
        <v>0.38515770249682796</v>
      </c>
      <c r="AE183" s="102">
        <f t="shared" si="92"/>
        <v>0.3971537349787525</v>
      </c>
      <c r="AF183" s="102">
        <f t="shared" si="92"/>
        <v>0.40876783414647649</v>
      </c>
      <c r="AG183" s="102">
        <f t="shared" si="92"/>
        <v>0.42</v>
      </c>
      <c r="AH183" s="217"/>
      <c r="AI183" s="124"/>
      <c r="AJ183" s="185"/>
      <c r="AL183" s="100"/>
      <c r="AM183" s="2"/>
      <c r="AN183" s="2"/>
      <c r="AO183" s="2"/>
      <c r="AV183" s="37"/>
    </row>
    <row r="184" spans="1:63" outlineLevel="1">
      <c r="A184" t="s">
        <v>1034</v>
      </c>
      <c r="B184" s="156" t="s">
        <v>126</v>
      </c>
      <c r="C184" s="102">
        <f>SUM(C182:C183)</f>
        <v>0</v>
      </c>
      <c r="D184" s="102">
        <f t="shared" ref="D184:AG184" si="93">SUM(D182:D183)</f>
        <v>2.2181718165435932E-2</v>
      </c>
      <c r="E184" s="102">
        <f t="shared" si="93"/>
        <v>4.4363436330871864E-2</v>
      </c>
      <c r="F184" s="102">
        <f t="shared" si="93"/>
        <v>6.6545154496307796E-2</v>
      </c>
      <c r="G184" s="102">
        <f t="shared" si="93"/>
        <v>8.8726872661743728E-2</v>
      </c>
      <c r="H184" s="102">
        <f t="shared" si="93"/>
        <v>0.11090859082717966</v>
      </c>
      <c r="I184" s="102">
        <f t="shared" si="93"/>
        <v>0.13309030899261559</v>
      </c>
      <c r="J184" s="102">
        <f t="shared" si="93"/>
        <v>0.15527202715805155</v>
      </c>
      <c r="K184" s="102">
        <f t="shared" si="93"/>
        <v>0.17745374532348746</v>
      </c>
      <c r="L184" s="102">
        <f t="shared" si="93"/>
        <v>0.19963546348892336</v>
      </c>
      <c r="M184" s="102">
        <f t="shared" si="93"/>
        <v>0.22181718165435932</v>
      </c>
      <c r="N184" s="102">
        <f t="shared" si="93"/>
        <v>0.23671946463689028</v>
      </c>
      <c r="O184" s="102">
        <f t="shared" si="93"/>
        <v>0.25162174761942124</v>
      </c>
      <c r="P184" s="102">
        <f t="shared" si="93"/>
        <v>0.26652403060195223</v>
      </c>
      <c r="Q184" s="102">
        <f t="shared" si="93"/>
        <v>0.28142631358448317</v>
      </c>
      <c r="R184" s="102">
        <f t="shared" si="93"/>
        <v>0.29632859656701416</v>
      </c>
      <c r="S184" s="102">
        <f t="shared" si="93"/>
        <v>0.31123087954954509</v>
      </c>
      <c r="T184" s="102">
        <f t="shared" si="93"/>
        <v>0.32613316253207608</v>
      </c>
      <c r="U184" s="102">
        <f t="shared" si="93"/>
        <v>0.34103544551460707</v>
      </c>
      <c r="V184" s="102">
        <f t="shared" si="93"/>
        <v>0.35593772849713806</v>
      </c>
      <c r="W184" s="102">
        <f t="shared" si="93"/>
        <v>0.37084001147966894</v>
      </c>
      <c r="X184" s="102">
        <f t="shared" si="93"/>
        <v>0.3937560103317021</v>
      </c>
      <c r="Y184" s="102">
        <f t="shared" si="93"/>
        <v>0.4166720091837352</v>
      </c>
      <c r="Z184" s="102">
        <f t="shared" si="93"/>
        <v>0.4395880080357682</v>
      </c>
      <c r="AA184" s="102">
        <f t="shared" si="93"/>
        <v>0.4625040068878013</v>
      </c>
      <c r="AB184" s="102">
        <f t="shared" si="93"/>
        <v>0.48542000573983446</v>
      </c>
      <c r="AC184" s="102">
        <f t="shared" si="93"/>
        <v>0.50833600459186756</v>
      </c>
      <c r="AD184" s="102">
        <f t="shared" si="93"/>
        <v>0.53125200344390067</v>
      </c>
      <c r="AE184" s="102">
        <f t="shared" si="93"/>
        <v>0.55416800229593377</v>
      </c>
      <c r="AF184" s="102">
        <f t="shared" si="93"/>
        <v>0.57708400114796687</v>
      </c>
      <c r="AG184" s="102">
        <f t="shared" si="93"/>
        <v>0.6</v>
      </c>
      <c r="AI184" s="124"/>
      <c r="AJ184" s="185"/>
      <c r="AL184" s="100"/>
      <c r="AM184" s="2"/>
      <c r="AN184" s="2"/>
      <c r="AO184" s="2"/>
    </row>
    <row r="185" spans="1:63" outlineLevel="1">
      <c r="A185" t="s">
        <v>1038</v>
      </c>
      <c r="B185" s="50" t="s">
        <v>126</v>
      </c>
      <c r="C185" s="102">
        <f>C174*C183</f>
        <v>0</v>
      </c>
      <c r="D185" s="102">
        <f t="shared" ref="D185:AG185" si="94">D171*D183</f>
        <v>2.7027405488175474E-5</v>
      </c>
      <c r="E185" s="102">
        <f t="shared" si="94"/>
        <v>1.2246045672518446E-4</v>
      </c>
      <c r="F185" s="102">
        <f t="shared" si="94"/>
        <v>3.0721037009378725E-4</v>
      </c>
      <c r="G185" s="102">
        <f t="shared" si="94"/>
        <v>6.0136831427545941E-4</v>
      </c>
      <c r="H185" s="102">
        <f t="shared" si="94"/>
        <v>1.0242054102503919E-3</v>
      </c>
      <c r="I185" s="102">
        <f t="shared" si="94"/>
        <v>1.5941727312974905E-3</v>
      </c>
      <c r="J185" s="102">
        <f t="shared" si="94"/>
        <v>2.328901302994377E-3</v>
      </c>
      <c r="K185" s="102">
        <f t="shared" si="94"/>
        <v>3.2452021032173877E-3</v>
      </c>
      <c r="L185" s="102">
        <f t="shared" si="94"/>
        <v>4.3590660621415749E-3</v>
      </c>
      <c r="M185" s="102">
        <f t="shared" si="94"/>
        <v>5.6856640622407065E-3</v>
      </c>
      <c r="N185" s="102">
        <f t="shared" si="94"/>
        <v>6.8138347046108249E-3</v>
      </c>
      <c r="O185" s="102">
        <f t="shared" si="94"/>
        <v>8.072471744069094E-3</v>
      </c>
      <c r="P185" s="102">
        <f t="shared" si="94"/>
        <v>9.4664081949074712E-3</v>
      </c>
      <c r="Q185" s="102">
        <f t="shared" si="94"/>
        <v>1.1000106941354424E-2</v>
      </c>
      <c r="R185" s="102">
        <f t="shared" si="94"/>
        <v>1.2677660737574942E-2</v>
      </c>
      <c r="S185" s="102">
        <f t="shared" si="94"/>
        <v>1.450279220767052E-2</v>
      </c>
      <c r="T185" s="102">
        <f t="shared" si="94"/>
        <v>1.6478853845679181E-2</v>
      </c>
      <c r="U185" s="102">
        <f t="shared" si="94"/>
        <v>1.8608828015575445E-2</v>
      </c>
      <c r="V185" s="102">
        <f t="shared" si="94"/>
        <v>2.0895326951270349E-2</v>
      </c>
      <c r="W185" s="102">
        <f t="shared" si="94"/>
        <v>2.3340592756611458E-2</v>
      </c>
      <c r="X185" s="102">
        <f t="shared" si="94"/>
        <v>2.7035761870364199E-2</v>
      </c>
      <c r="Y185" s="102">
        <f t="shared" si="94"/>
        <v>3.1057895201323248E-2</v>
      </c>
      <c r="Z185" s="102">
        <f t="shared" si="94"/>
        <v>3.5413477136011624E-2</v>
      </c>
      <c r="AA185" s="102">
        <f t="shared" si="94"/>
        <v>4.0108116822613379E-2</v>
      </c>
      <c r="AB185" s="102">
        <f t="shared" si="94"/>
        <v>4.5146548170973591E-2</v>
      </c>
      <c r="AC185" s="102">
        <f t="shared" si="94"/>
        <v>5.0532629852598314E-2</v>
      </c>
      <c r="AD185" s="102">
        <f t="shared" si="94"/>
        <v>5.626934530065468E-2</v>
      </c>
      <c r="AE185" s="102">
        <f t="shared" si="94"/>
        <v>6.2358802709970809E-2</v>
      </c>
      <c r="AF185" s="102">
        <f t="shared" si="94"/>
        <v>6.8802235037035864E-2</v>
      </c>
      <c r="AG185" s="102">
        <f t="shared" si="94"/>
        <v>7.5600000000000001E-2</v>
      </c>
      <c r="AI185" s="124"/>
      <c r="AJ185" s="185"/>
      <c r="BD185" s="177"/>
      <c r="BE185" s="177"/>
    </row>
    <row r="186" spans="1:63" outlineLevel="1">
      <c r="A186" t="s">
        <v>1039</v>
      </c>
      <c r="B186" s="50" t="s">
        <v>126</v>
      </c>
      <c r="C186" s="102">
        <f>C175*C183</f>
        <v>0</v>
      </c>
      <c r="D186" s="102">
        <f t="shared" ref="D186:AG186" si="95">D173*D183</f>
        <v>0</v>
      </c>
      <c r="E186" s="102">
        <f t="shared" si="95"/>
        <v>0</v>
      </c>
      <c r="F186" s="102">
        <f t="shared" si="95"/>
        <v>0</v>
      </c>
      <c r="G186" s="102">
        <f t="shared" si="95"/>
        <v>0</v>
      </c>
      <c r="H186" s="102">
        <f t="shared" si="95"/>
        <v>0</v>
      </c>
      <c r="I186" s="102">
        <f t="shared" si="95"/>
        <v>0</v>
      </c>
      <c r="J186" s="102">
        <f t="shared" si="95"/>
        <v>0</v>
      </c>
      <c r="K186" s="102">
        <f t="shared" si="95"/>
        <v>0</v>
      </c>
      <c r="L186" s="102">
        <f t="shared" si="95"/>
        <v>0</v>
      </c>
      <c r="M186" s="102">
        <f t="shared" si="95"/>
        <v>0</v>
      </c>
      <c r="N186" s="102">
        <f t="shared" si="95"/>
        <v>0</v>
      </c>
      <c r="O186" s="102">
        <f t="shared" si="95"/>
        <v>0</v>
      </c>
      <c r="P186" s="102">
        <f t="shared" si="95"/>
        <v>0</v>
      </c>
      <c r="Q186" s="102">
        <f t="shared" si="95"/>
        <v>0</v>
      </c>
      <c r="R186" s="102">
        <f t="shared" si="95"/>
        <v>0</v>
      </c>
      <c r="S186" s="102">
        <f t="shared" si="95"/>
        <v>0</v>
      </c>
      <c r="T186" s="102">
        <f t="shared" si="95"/>
        <v>0</v>
      </c>
      <c r="U186" s="102">
        <f t="shared" si="95"/>
        <v>0</v>
      </c>
      <c r="V186" s="102">
        <f t="shared" si="95"/>
        <v>0</v>
      </c>
      <c r="W186" s="102">
        <f t="shared" si="95"/>
        <v>0</v>
      </c>
      <c r="X186" s="102">
        <f t="shared" si="95"/>
        <v>0</v>
      </c>
      <c r="Y186" s="102">
        <f t="shared" si="95"/>
        <v>0</v>
      </c>
      <c r="Z186" s="102">
        <f t="shared" si="95"/>
        <v>0</v>
      </c>
      <c r="AA186" s="102">
        <f t="shared" si="95"/>
        <v>0</v>
      </c>
      <c r="AB186" s="102">
        <f t="shared" si="95"/>
        <v>0</v>
      </c>
      <c r="AC186" s="102">
        <f t="shared" si="95"/>
        <v>0</v>
      </c>
      <c r="AD186" s="102">
        <f t="shared" si="95"/>
        <v>0</v>
      </c>
      <c r="AE186" s="102">
        <f t="shared" si="95"/>
        <v>0</v>
      </c>
      <c r="AF186" s="102">
        <f t="shared" si="95"/>
        <v>0</v>
      </c>
      <c r="AG186" s="102">
        <f t="shared" si="95"/>
        <v>0</v>
      </c>
      <c r="AI186" s="125"/>
      <c r="AJ186" s="185"/>
      <c r="BC186" s="1"/>
      <c r="BD186" s="37"/>
      <c r="BF186" s="6"/>
      <c r="BG186" s="6"/>
      <c r="BH186" s="6"/>
      <c r="BI186" s="6"/>
      <c r="BJ186" s="6"/>
    </row>
    <row r="187" spans="1:63" outlineLevel="1"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I187" s="125"/>
      <c r="AJ187" s="185"/>
      <c r="BC187" s="1"/>
      <c r="BD187" s="37"/>
      <c r="BF187" s="6"/>
      <c r="BG187" s="6"/>
      <c r="BH187" s="6"/>
      <c r="BI187" s="6"/>
      <c r="BJ187" s="6"/>
    </row>
    <row r="188" spans="1:63" s="1" customFormat="1" outlineLevel="1">
      <c r="A188" s="1" t="s">
        <v>265</v>
      </c>
      <c r="B188" s="60"/>
      <c r="C188" s="250">
        <f>C182*C42</f>
        <v>0</v>
      </c>
      <c r="D188" s="250">
        <f t="shared" ref="D188:AG188" si="96">D182*D42</f>
        <v>7.7000585663109964E-3</v>
      </c>
      <c r="E188" s="250">
        <f t="shared" si="96"/>
        <v>1.7561280253632641E-2</v>
      </c>
      <c r="F188" s="250">
        <f t="shared" si="96"/>
        <v>2.9569239698063566E-2</v>
      </c>
      <c r="G188" s="250">
        <f t="shared" si="96"/>
        <v>4.3709575391522509E-2</v>
      </c>
      <c r="H188" s="250">
        <f t="shared" si="96"/>
        <v>5.9967989446499351E-2</v>
      </c>
      <c r="I188" s="250">
        <f t="shared" si="96"/>
        <v>7.7120045039849261E-2</v>
      </c>
      <c r="J188" s="250">
        <f t="shared" si="96"/>
        <v>9.5729808494140575E-2</v>
      </c>
      <c r="K188" s="250">
        <f t="shared" si="96"/>
        <v>0.11568696898468449</v>
      </c>
      <c r="L188" s="250">
        <f t="shared" si="96"/>
        <v>0.13688214640100477</v>
      </c>
      <c r="M188" s="250">
        <f t="shared" si="96"/>
        <v>0.15920688629073915</v>
      </c>
      <c r="N188" s="250">
        <f t="shared" si="96"/>
        <v>0.17710737003223975</v>
      </c>
      <c r="O188" s="250">
        <f t="shared" si="96"/>
        <v>0.19550394738534782</v>
      </c>
      <c r="P188" s="250">
        <f t="shared" si="96"/>
        <v>0.21432635562289257</v>
      </c>
      <c r="Q188" s="250">
        <f t="shared" si="96"/>
        <v>0.23350493717857398</v>
      </c>
      <c r="R188" s="250">
        <f t="shared" si="96"/>
        <v>0.25297063633594147</v>
      </c>
      <c r="S188" s="250">
        <f t="shared" si="96"/>
        <v>0.27414958087438934</v>
      </c>
      <c r="T188" s="250">
        <f t="shared" si="96"/>
        <v>0.29575759871283885</v>
      </c>
      <c r="U188" s="250">
        <f t="shared" si="96"/>
        <v>0.31774498637909299</v>
      </c>
      <c r="V188" s="250">
        <f t="shared" si="96"/>
        <v>0.34006246583383642</v>
      </c>
      <c r="W188" s="250">
        <f t="shared" si="96"/>
        <v>0.36266118214831394</v>
      </c>
      <c r="X188" s="250">
        <f t="shared" si="96"/>
        <v>0.39350123181347813</v>
      </c>
      <c r="Y188" s="250">
        <f t="shared" si="96"/>
        <v>0.42485104862803819</v>
      </c>
      <c r="Z188" s="250">
        <f t="shared" si="96"/>
        <v>0.45663600688409833</v>
      </c>
      <c r="AA188" s="250">
        <f t="shared" si="96"/>
        <v>0.48878212359957407</v>
      </c>
      <c r="AB188" s="250">
        <f t="shared" si="96"/>
        <v>0.52121605500214063</v>
      </c>
      <c r="AC188" s="250">
        <f t="shared" si="96"/>
        <v>0.55214762271535744</v>
      </c>
      <c r="AD188" s="250">
        <f t="shared" si="96"/>
        <v>0.58296336412293892</v>
      </c>
      <c r="AE188" s="250">
        <f t="shared" si="96"/>
        <v>0.6135791185608741</v>
      </c>
      <c r="AF188" s="250">
        <f t="shared" si="96"/>
        <v>0.643911470572328</v>
      </c>
      <c r="AG188" s="250">
        <f t="shared" si="96"/>
        <v>0.67387774579237203</v>
      </c>
      <c r="AH188" s="217"/>
      <c r="AI188" s="368"/>
      <c r="AJ188" s="369"/>
      <c r="AL188" s="194"/>
      <c r="AM188" s="116"/>
      <c r="AN188" s="116"/>
      <c r="AO188" s="116"/>
      <c r="BD188" s="116"/>
      <c r="BE188" s="116"/>
      <c r="BF188" s="116"/>
      <c r="BG188" s="116"/>
      <c r="BH188" s="116"/>
      <c r="BI188" s="116"/>
      <c r="BJ188" s="116"/>
      <c r="BK188" s="116"/>
    </row>
    <row r="189" spans="1:63" outlineLevel="1">
      <c r="A189" s="4" t="s">
        <v>35</v>
      </c>
      <c r="C189" s="203">
        <f>C$188*'Methanol recycling rates'!E60</f>
        <v>0</v>
      </c>
      <c r="D189" s="203">
        <f>D$188*'Methanol recycling rates'!F60</f>
        <v>8.9405691171619696E-5</v>
      </c>
      <c r="E189" s="203">
        <f>E$188*'Methanol recycling rates'!G60</f>
        <v>4.0780946934712689E-4</v>
      </c>
      <c r="F189" s="203">
        <f>F$188*'Methanol recycling rates'!H60</f>
        <v>1.0299889110679371E-3</v>
      </c>
      <c r="G189" s="203">
        <f>G$188*'Methanol recycling rates'!I60</f>
        <v>2.030054584672755E-3</v>
      </c>
      <c r="H189" s="203">
        <f>H$188*'Methanol recycling rates'!J60</f>
        <v>3.4814537438026846E-3</v>
      </c>
      <c r="I189" s="203">
        <f>I$188*'Methanol recycling rates'!K60</f>
        <v>5.3726637562011119E-3</v>
      </c>
      <c r="J189" s="203">
        <f>J$188*'Methanol recycling rates'!L60</f>
        <v>7.7806587239661572E-3</v>
      </c>
      <c r="K189" s="203">
        <f>K$188*'Methanol recycling rates'!M60</f>
        <v>1.0745968574190403E-2</v>
      </c>
      <c r="L189" s="203">
        <f>L$188*'Methanol recycling rates'!N60</f>
        <v>1.4304097199237E-2</v>
      </c>
      <c r="M189" s="203">
        <f>M$188*'Methanol recycling rates'!O60</f>
        <v>1.8485575902475678E-2</v>
      </c>
      <c r="N189" s="203">
        <f>N$188*'Methanol recycling rates'!P60</f>
        <v>2.26204091335852E-2</v>
      </c>
      <c r="O189" s="203">
        <f>O$188*'Methanol recycling rates'!Q60</f>
        <v>2.7240050800508724E-2</v>
      </c>
      <c r="P189" s="203">
        <f>P$188*'Methanol recycling rates'!R60</f>
        <v>3.235117568842226E-2</v>
      </c>
      <c r="Q189" s="203">
        <f>Q$188*'Methanol recycling rates'!S60</f>
        <v>3.7957293660706423E-2</v>
      </c>
      <c r="R189" s="203">
        <f>R$188*'Methanol recycling rates'!T60</f>
        <v>4.4058784215017001E-2</v>
      </c>
      <c r="S189" s="203">
        <f>S$188*'Methanol recycling rates'!U60</f>
        <v>5.0930589789999106E-2</v>
      </c>
      <c r="T189" s="203">
        <f>T$188*'Methanol recycling rates'!V60</f>
        <v>5.8378908312955613E-2</v>
      </c>
      <c r="U189" s="203">
        <f>U$188*'Methanol recycling rates'!W60</f>
        <v>6.6408297783726436E-2</v>
      </c>
      <c r="V189" s="203">
        <f>V$188*'Methanol recycling rates'!X60</f>
        <v>7.5021101620703967E-2</v>
      </c>
      <c r="W189" s="203">
        <f>W$188*'Methanol recycling rates'!Y60</f>
        <v>8.4217472820133588E-2</v>
      </c>
      <c r="X189" s="203">
        <f>X$188*'Methanol recycling rates'!Z60</f>
        <v>9.5948132782121887E-2</v>
      </c>
      <c r="Y189" s="203">
        <f>Y$188*'Methanol recycling rates'!AA60</f>
        <v>0.10852517926328541</v>
      </c>
      <c r="Z189" s="203">
        <f>Z$188*'Methanol recycling rates'!AB60</f>
        <v>0.12194643995600807</v>
      </c>
      <c r="AA189" s="203">
        <f>AA$188*'Methanol recycling rates'!AC60</f>
        <v>0.13620645572940268</v>
      </c>
      <c r="AB189" s="203">
        <f>AB$188*'Methanol recycling rates'!AD60</f>
        <v>0.15129651692226234</v>
      </c>
      <c r="AC189" s="203">
        <f>AC$188*'Methanol recycling rates'!AE60</f>
        <v>0.16668621734826228</v>
      </c>
      <c r="AD189" s="203">
        <f>AD$188*'Methanol recycling rates'!AF60</f>
        <v>0.18275790181386642</v>
      </c>
      <c r="AE189" s="203">
        <f>AE$188*'Methanol recycling rates'!AG60</f>
        <v>0.19948017432694801</v>
      </c>
      <c r="AF189" s="203">
        <f>AF$188*'Methanol recycling rates'!AH60</f>
        <v>0.21681798105018565</v>
      </c>
      <c r="AG189" s="203">
        <f>AG$188*'Methanol recycling rates'!AI60</f>
        <v>0.23473265213073977</v>
      </c>
      <c r="AH189" s="217"/>
      <c r="AI189" s="124"/>
      <c r="AJ189" s="185"/>
      <c r="AL189" s="100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160</v>
      </c>
      <c r="C190" s="203">
        <f>C$188*'Methanol recycling rates'!E61</f>
        <v>0</v>
      </c>
      <c r="D190" s="203">
        <f>D$188*'Methanol recycling rates'!F61</f>
        <v>0</v>
      </c>
      <c r="E190" s="203">
        <f>E$188*'Methanol recycling rates'!G61</f>
        <v>0</v>
      </c>
      <c r="F190" s="203">
        <f>F$188*'Methanol recycling rates'!H61</f>
        <v>0</v>
      </c>
      <c r="G190" s="203">
        <f>G$188*'Methanol recycling rates'!I61</f>
        <v>0</v>
      </c>
      <c r="H190" s="203">
        <f>H$188*'Methanol recycling rates'!J61</f>
        <v>0</v>
      </c>
      <c r="I190" s="203">
        <f>I$188*'Methanol recycling rates'!K61</f>
        <v>0</v>
      </c>
      <c r="J190" s="203">
        <f>J$188*'Methanol recycling rates'!L61</f>
        <v>0</v>
      </c>
      <c r="K190" s="203">
        <f>K$188*'Methanol recycling rates'!M61</f>
        <v>0</v>
      </c>
      <c r="L190" s="203">
        <f>L$188*'Methanol recycling rates'!N61</f>
        <v>0</v>
      </c>
      <c r="M190" s="203">
        <f>M$188*'Methanol recycling rates'!O61</f>
        <v>0</v>
      </c>
      <c r="N190" s="203">
        <f>N$188*'Methanol recycling rates'!P61</f>
        <v>0</v>
      </c>
      <c r="O190" s="203">
        <f>O$188*'Methanol recycling rates'!Q61</f>
        <v>0</v>
      </c>
      <c r="P190" s="203">
        <f>P$188*'Methanol recycling rates'!R61</f>
        <v>0</v>
      </c>
      <c r="Q190" s="203">
        <f>Q$188*'Methanol recycling rates'!S61</f>
        <v>0</v>
      </c>
      <c r="R190" s="203">
        <f>R$188*'Methanol recycling rates'!T61</f>
        <v>0</v>
      </c>
      <c r="S190" s="203">
        <f>S$188*'Methanol recycling rates'!U61</f>
        <v>0</v>
      </c>
      <c r="T190" s="203">
        <f>T$188*'Methanol recycling rates'!V61</f>
        <v>0</v>
      </c>
      <c r="U190" s="203">
        <f>U$188*'Methanol recycling rates'!W61</f>
        <v>0</v>
      </c>
      <c r="V190" s="203">
        <f>V$188*'Methanol recycling rates'!X61</f>
        <v>0</v>
      </c>
      <c r="W190" s="203">
        <f>W$188*'Methanol recycling rates'!Y61</f>
        <v>0</v>
      </c>
      <c r="X190" s="203">
        <f>X$188*'Methanol recycling rates'!Z61</f>
        <v>0</v>
      </c>
      <c r="Y190" s="203">
        <f>Y$188*'Methanol recycling rates'!AA61</f>
        <v>0</v>
      </c>
      <c r="Z190" s="203">
        <f>Z$188*'Methanol recycling rates'!AB61</f>
        <v>0</v>
      </c>
      <c r="AA190" s="203">
        <f>AA$188*'Methanol recycling rates'!AC61</f>
        <v>0</v>
      </c>
      <c r="AB190" s="203">
        <f>AB$188*'Methanol recycling rates'!AD61</f>
        <v>0</v>
      </c>
      <c r="AC190" s="203">
        <f>AC$188*'Methanol recycling rates'!AE61</f>
        <v>0</v>
      </c>
      <c r="AD190" s="203">
        <f>AD$188*'Methanol recycling rates'!AF61</f>
        <v>0</v>
      </c>
      <c r="AE190" s="203">
        <f>AE$188*'Methanol recycling rates'!AG61</f>
        <v>0</v>
      </c>
      <c r="AF190" s="203">
        <f>AF$188*'Methanol recycling rates'!AH61</f>
        <v>0</v>
      </c>
      <c r="AG190" s="203">
        <f>AG$188*'Methanol recycling rates'!AI61</f>
        <v>0</v>
      </c>
      <c r="AH190" s="217"/>
      <c r="AI190" s="124"/>
      <c r="AJ190" s="185"/>
      <c r="AL190" s="100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A191" s="4" t="s">
        <v>1040</v>
      </c>
      <c r="C191" s="203">
        <f>C$188*'Methanol recycling rates'!E62</f>
        <v>0</v>
      </c>
      <c r="D191" s="203">
        <f>D$188*'Methanol recycling rates'!F62</f>
        <v>1.6726292770541352E-4</v>
      </c>
      <c r="E191" s="203">
        <f>E$188*'Methanol recycling rates'!G62</f>
        <v>7.6294254756171587E-4</v>
      </c>
      <c r="F191" s="203">
        <f>F$188*'Methanol recycling rates'!H62</f>
        <v>1.9269350587384194E-3</v>
      </c>
      <c r="G191" s="203">
        <f>G$188*'Methanol recycling rates'!I62</f>
        <v>3.79788880086358E-3</v>
      </c>
      <c r="H191" s="203">
        <f>H$188*'Methanol recycling rates'!J62</f>
        <v>6.5132111639472079E-3</v>
      </c>
      <c r="I191" s="203">
        <f>I$188*'Methanol recycling rates'!K62</f>
        <v>1.0051345251768741E-2</v>
      </c>
      <c r="J191" s="203">
        <f>J$188*'Methanol recycling rates'!L62</f>
        <v>1.455629659133331E-2</v>
      </c>
      <c r="K191" s="203">
        <f>K$188*'Methanol recycling rates'!M62</f>
        <v>2.0103889821725462E-2</v>
      </c>
      <c r="L191" s="203">
        <f>L$188*'Methanol recycling rates'!N62</f>
        <v>2.676054672106443E-2</v>
      </c>
      <c r="M191" s="203">
        <f>M$188*'Methanol recycling rates'!O62</f>
        <v>3.4583386194437377E-2</v>
      </c>
      <c r="N191" s="203">
        <f>N$188*'Methanol recycling rates'!P62</f>
        <v>4.231895987823605E-2</v>
      </c>
      <c r="O191" s="203">
        <f>O$188*'Methanol recycling rates'!Q62</f>
        <v>5.0961528153630406E-2</v>
      </c>
      <c r="P191" s="203">
        <f>P$188*'Methanol recycling rates'!R62</f>
        <v>6.0523578414831185E-2</v>
      </c>
      <c r="Q191" s="203">
        <f>Q$188*'Methanol recycling rates'!S62</f>
        <v>7.1011677022628103E-2</v>
      </c>
      <c r="R191" s="203">
        <f>R$188*'Methanol recycling rates'!T62</f>
        <v>8.2426533952953726E-2</v>
      </c>
      <c r="S191" s="203">
        <f>S$188*'Methanol recycling rates'!U62</f>
        <v>9.5282520009675201E-2</v>
      </c>
      <c r="T191" s="203">
        <f>T$188*'Methanol recycling rates'!V62</f>
        <v>0.10921706429098639</v>
      </c>
      <c r="U191" s="203">
        <f>U$188*'Methanol recycling rates'!W62</f>
        <v>0.12423869404372934</v>
      </c>
      <c r="V191" s="203">
        <f>V$188*'Methanol recycling rates'!X62</f>
        <v>0.1403517934073924</v>
      </c>
      <c r="W191" s="203">
        <f>W$188*'Methanol recycling rates'!Y62</f>
        <v>0.15755664861207569</v>
      </c>
      <c r="X191" s="203">
        <f>X$188*'Methanol recycling rates'!Z62</f>
        <v>0.17950272948731277</v>
      </c>
      <c r="Y191" s="203">
        <f>Y$188*'Methanol recycling rates'!AA62</f>
        <v>0.2030322563972759</v>
      </c>
      <c r="Z191" s="203">
        <f>Z$188*'Methanol recycling rates'!AB62</f>
        <v>0.22814116532180062</v>
      </c>
      <c r="AA191" s="203">
        <f>AA$188*'Methanol recycling rates'!AC62</f>
        <v>0.2548192431502565</v>
      </c>
      <c r="AB191" s="203">
        <f>AB$188*'Methanol recycling rates'!AD62</f>
        <v>0.28305019557952144</v>
      </c>
      <c r="AC191" s="203">
        <f>AC$188*'Methanol recycling rates'!AE62</f>
        <v>0.3118417223383807</v>
      </c>
      <c r="AD191" s="203">
        <f>AD$188*'Methanol recycling rates'!AF62</f>
        <v>0.34190912589677841</v>
      </c>
      <c r="AE191" s="203">
        <f>AE$188*'Methanol recycling rates'!AG62</f>
        <v>0.37319366966320089</v>
      </c>
      <c r="AF191" s="203">
        <f>AF$188*'Methanol recycling rates'!AH62</f>
        <v>0.40562977383639781</v>
      </c>
      <c r="AG191" s="203">
        <f>AG$188*'Methanol recycling rates'!AI62</f>
        <v>0.43914509366163229</v>
      </c>
      <c r="AH191" s="217"/>
      <c r="AI191" s="124"/>
      <c r="AJ191" s="185"/>
      <c r="AL191" s="100"/>
      <c r="AM191" s="2"/>
      <c r="AN191" s="2"/>
      <c r="AO191" s="2"/>
      <c r="BC191" s="1"/>
      <c r="BD191" s="2"/>
      <c r="BE191" s="2"/>
      <c r="BF191" s="2"/>
      <c r="BG191" s="2"/>
      <c r="BH191" s="2"/>
      <c r="BI191" s="2"/>
      <c r="BJ191" s="2"/>
      <c r="BK191" s="2"/>
    </row>
    <row r="192" spans="1:63" s="1" customFormat="1" outlineLevel="1">
      <c r="A192" s="1" t="s">
        <v>1041</v>
      </c>
      <c r="B192" s="60"/>
      <c r="C192" s="250">
        <f>C188-$C188</f>
        <v>0</v>
      </c>
      <c r="D192" s="250">
        <f t="shared" ref="D192:AG193" si="97">D188-$C188</f>
        <v>7.7000585663109964E-3</v>
      </c>
      <c r="E192" s="250">
        <f t="shared" si="97"/>
        <v>1.7561280253632641E-2</v>
      </c>
      <c r="F192" s="250">
        <f t="shared" si="97"/>
        <v>2.9569239698063566E-2</v>
      </c>
      <c r="G192" s="250">
        <f t="shared" si="97"/>
        <v>4.3709575391522509E-2</v>
      </c>
      <c r="H192" s="250">
        <f t="shared" si="97"/>
        <v>5.9967989446499351E-2</v>
      </c>
      <c r="I192" s="250">
        <f t="shared" si="97"/>
        <v>7.7120045039849261E-2</v>
      </c>
      <c r="J192" s="250">
        <f t="shared" si="97"/>
        <v>9.5729808494140575E-2</v>
      </c>
      <c r="K192" s="250">
        <f t="shared" si="97"/>
        <v>0.11568696898468449</v>
      </c>
      <c r="L192" s="250">
        <f t="shared" si="97"/>
        <v>0.13688214640100477</v>
      </c>
      <c r="M192" s="250">
        <f t="shared" si="97"/>
        <v>0.15920688629073915</v>
      </c>
      <c r="N192" s="250">
        <f t="shared" si="97"/>
        <v>0.17710737003223975</v>
      </c>
      <c r="O192" s="250">
        <f t="shared" si="97"/>
        <v>0.19550394738534782</v>
      </c>
      <c r="P192" s="250">
        <f t="shared" si="97"/>
        <v>0.21432635562289257</v>
      </c>
      <c r="Q192" s="250">
        <f t="shared" si="97"/>
        <v>0.23350493717857398</v>
      </c>
      <c r="R192" s="250">
        <f t="shared" si="97"/>
        <v>0.25297063633594147</v>
      </c>
      <c r="S192" s="250">
        <f t="shared" si="97"/>
        <v>0.27414958087438934</v>
      </c>
      <c r="T192" s="250">
        <f t="shared" si="97"/>
        <v>0.29575759871283885</v>
      </c>
      <c r="U192" s="250">
        <f t="shared" si="97"/>
        <v>0.31774498637909299</v>
      </c>
      <c r="V192" s="250">
        <f t="shared" si="97"/>
        <v>0.34006246583383642</v>
      </c>
      <c r="W192" s="250">
        <f t="shared" si="97"/>
        <v>0.36266118214831394</v>
      </c>
      <c r="X192" s="250">
        <f t="shared" si="97"/>
        <v>0.39350123181347813</v>
      </c>
      <c r="Y192" s="250">
        <f t="shared" si="97"/>
        <v>0.42485104862803819</v>
      </c>
      <c r="Z192" s="250">
        <f t="shared" si="97"/>
        <v>0.45663600688409833</v>
      </c>
      <c r="AA192" s="250">
        <f t="shared" si="97"/>
        <v>0.48878212359957407</v>
      </c>
      <c r="AB192" s="250">
        <f t="shared" si="97"/>
        <v>0.52121605500214063</v>
      </c>
      <c r="AC192" s="250">
        <f t="shared" si="97"/>
        <v>0.55214762271535744</v>
      </c>
      <c r="AD192" s="250">
        <f t="shared" si="97"/>
        <v>0.58296336412293892</v>
      </c>
      <c r="AE192" s="250">
        <f t="shared" si="97"/>
        <v>0.6135791185608741</v>
      </c>
      <c r="AF192" s="250">
        <f t="shared" si="97"/>
        <v>0.643911470572328</v>
      </c>
      <c r="AG192" s="250">
        <f t="shared" si="97"/>
        <v>0.67387774579237203</v>
      </c>
      <c r="AH192" s="217"/>
      <c r="AI192" s="368"/>
      <c r="AJ192" s="369"/>
      <c r="AL192" s="194"/>
      <c r="AM192" s="116"/>
      <c r="AN192" s="116"/>
      <c r="AO192" s="116"/>
      <c r="BD192" s="116"/>
      <c r="BE192" s="116"/>
      <c r="BF192" s="116"/>
      <c r="BG192" s="116"/>
      <c r="BH192" s="116"/>
      <c r="BI192" s="116"/>
      <c r="BJ192" s="116"/>
      <c r="BK192" s="116"/>
    </row>
    <row r="193" spans="1:63" outlineLevel="1">
      <c r="A193" s="4" t="s">
        <v>35</v>
      </c>
      <c r="C193" s="203">
        <f>C189-$C189</f>
        <v>0</v>
      </c>
      <c r="D193" s="203">
        <f t="shared" si="97"/>
        <v>8.9405691171619696E-5</v>
      </c>
      <c r="E193" s="203">
        <f t="shared" si="97"/>
        <v>4.0780946934712689E-4</v>
      </c>
      <c r="F193" s="203">
        <f t="shared" si="97"/>
        <v>1.0299889110679371E-3</v>
      </c>
      <c r="G193" s="203">
        <f t="shared" si="97"/>
        <v>2.030054584672755E-3</v>
      </c>
      <c r="H193" s="203">
        <f t="shared" si="97"/>
        <v>3.4814537438026846E-3</v>
      </c>
      <c r="I193" s="203">
        <f t="shared" si="97"/>
        <v>5.3726637562011119E-3</v>
      </c>
      <c r="J193" s="203">
        <f t="shared" si="97"/>
        <v>7.7806587239661572E-3</v>
      </c>
      <c r="K193" s="203">
        <f t="shared" si="97"/>
        <v>1.0745968574190403E-2</v>
      </c>
      <c r="L193" s="203">
        <f t="shared" si="97"/>
        <v>1.4304097199237E-2</v>
      </c>
      <c r="M193" s="203">
        <f t="shared" si="97"/>
        <v>1.8485575902475678E-2</v>
      </c>
      <c r="N193" s="203">
        <f t="shared" si="97"/>
        <v>2.26204091335852E-2</v>
      </c>
      <c r="O193" s="203">
        <f t="shared" si="97"/>
        <v>2.7240050800508724E-2</v>
      </c>
      <c r="P193" s="203">
        <f t="shared" si="97"/>
        <v>3.235117568842226E-2</v>
      </c>
      <c r="Q193" s="203">
        <f t="shared" si="97"/>
        <v>3.7957293660706423E-2</v>
      </c>
      <c r="R193" s="203">
        <f t="shared" si="97"/>
        <v>4.4058784215017001E-2</v>
      </c>
      <c r="S193" s="203">
        <f t="shared" si="97"/>
        <v>5.0930589789999106E-2</v>
      </c>
      <c r="T193" s="203">
        <f t="shared" si="97"/>
        <v>5.8378908312955613E-2</v>
      </c>
      <c r="U193" s="203">
        <f t="shared" si="97"/>
        <v>6.6408297783726436E-2</v>
      </c>
      <c r="V193" s="203">
        <f t="shared" si="97"/>
        <v>7.5021101620703967E-2</v>
      </c>
      <c r="W193" s="203">
        <f t="shared" si="97"/>
        <v>8.4217472820133588E-2</v>
      </c>
      <c r="X193" s="203">
        <f t="shared" si="97"/>
        <v>9.5948132782121887E-2</v>
      </c>
      <c r="Y193" s="203">
        <f t="shared" si="97"/>
        <v>0.10852517926328541</v>
      </c>
      <c r="Z193" s="203">
        <f t="shared" si="97"/>
        <v>0.12194643995600807</v>
      </c>
      <c r="AA193" s="203">
        <f t="shared" si="97"/>
        <v>0.13620645572940268</v>
      </c>
      <c r="AB193" s="203">
        <f t="shared" si="97"/>
        <v>0.15129651692226234</v>
      </c>
      <c r="AC193" s="203">
        <f t="shared" si="97"/>
        <v>0.16668621734826228</v>
      </c>
      <c r="AD193" s="203">
        <f t="shared" si="97"/>
        <v>0.18275790181386642</v>
      </c>
      <c r="AE193" s="203">
        <f t="shared" si="97"/>
        <v>0.19948017432694801</v>
      </c>
      <c r="AF193" s="203">
        <f t="shared" si="97"/>
        <v>0.21681798105018565</v>
      </c>
      <c r="AG193" s="203">
        <f>AG189-$C189</f>
        <v>0.23473265213073977</v>
      </c>
      <c r="AH193" s="217"/>
      <c r="AI193" s="124"/>
      <c r="AJ193" s="185"/>
      <c r="AL193" s="100"/>
      <c r="AM193" s="2"/>
      <c r="AN193" s="2"/>
      <c r="AO193" s="2"/>
      <c r="BC193" s="1"/>
      <c r="BD193" s="2"/>
      <c r="BE193" s="2"/>
      <c r="BF193" s="2"/>
      <c r="BG193" s="2"/>
      <c r="BH193" s="2"/>
      <c r="BI193" s="2"/>
      <c r="BJ193" s="2"/>
      <c r="BK193" s="2"/>
    </row>
    <row r="194" spans="1:63" outlineLevel="1">
      <c r="A194" s="4" t="s">
        <v>160</v>
      </c>
      <c r="C194" s="203">
        <f t="shared" ref="C194:AG195" si="98">C190-$C190</f>
        <v>0</v>
      </c>
      <c r="D194" s="203">
        <f t="shared" si="98"/>
        <v>0</v>
      </c>
      <c r="E194" s="203">
        <f t="shared" si="98"/>
        <v>0</v>
      </c>
      <c r="F194" s="203">
        <f t="shared" si="98"/>
        <v>0</v>
      </c>
      <c r="G194" s="203">
        <f t="shared" si="98"/>
        <v>0</v>
      </c>
      <c r="H194" s="203">
        <f t="shared" si="98"/>
        <v>0</v>
      </c>
      <c r="I194" s="203">
        <f t="shared" si="98"/>
        <v>0</v>
      </c>
      <c r="J194" s="203">
        <f t="shared" si="98"/>
        <v>0</v>
      </c>
      <c r="K194" s="203">
        <f t="shared" si="98"/>
        <v>0</v>
      </c>
      <c r="L194" s="203">
        <f t="shared" si="98"/>
        <v>0</v>
      </c>
      <c r="M194" s="203">
        <f t="shared" si="98"/>
        <v>0</v>
      </c>
      <c r="N194" s="203">
        <f t="shared" si="98"/>
        <v>0</v>
      </c>
      <c r="O194" s="203">
        <f t="shared" si="98"/>
        <v>0</v>
      </c>
      <c r="P194" s="203">
        <f t="shared" si="98"/>
        <v>0</v>
      </c>
      <c r="Q194" s="203">
        <f t="shared" si="98"/>
        <v>0</v>
      </c>
      <c r="R194" s="203">
        <f t="shared" si="98"/>
        <v>0</v>
      </c>
      <c r="S194" s="203">
        <f t="shared" si="98"/>
        <v>0</v>
      </c>
      <c r="T194" s="203">
        <f t="shared" si="98"/>
        <v>0</v>
      </c>
      <c r="U194" s="203">
        <f t="shared" si="98"/>
        <v>0</v>
      </c>
      <c r="V194" s="203">
        <f t="shared" si="98"/>
        <v>0</v>
      </c>
      <c r="W194" s="203">
        <f t="shared" si="98"/>
        <v>0</v>
      </c>
      <c r="X194" s="203">
        <f t="shared" si="98"/>
        <v>0</v>
      </c>
      <c r="Y194" s="203">
        <f t="shared" si="98"/>
        <v>0</v>
      </c>
      <c r="Z194" s="203">
        <f t="shared" si="98"/>
        <v>0</v>
      </c>
      <c r="AA194" s="203">
        <f t="shared" si="98"/>
        <v>0</v>
      </c>
      <c r="AB194" s="203">
        <f t="shared" si="98"/>
        <v>0</v>
      </c>
      <c r="AC194" s="203">
        <f t="shared" si="98"/>
        <v>0</v>
      </c>
      <c r="AD194" s="203">
        <f t="shared" si="98"/>
        <v>0</v>
      </c>
      <c r="AE194" s="203">
        <f t="shared" si="98"/>
        <v>0</v>
      </c>
      <c r="AF194" s="203">
        <f t="shared" si="98"/>
        <v>0</v>
      </c>
      <c r="AG194" s="203">
        <f t="shared" si="98"/>
        <v>0</v>
      </c>
      <c r="AH194" s="217"/>
      <c r="AI194" s="124"/>
      <c r="AJ194" s="185"/>
      <c r="AL194" s="100"/>
      <c r="AM194" s="2"/>
      <c r="AN194" s="2"/>
      <c r="AO194" s="2"/>
      <c r="BC194" s="1"/>
      <c r="BD194" s="2"/>
      <c r="BE194" s="2"/>
      <c r="BF194" s="2"/>
      <c r="BG194" s="2"/>
      <c r="BH194" s="2"/>
      <c r="BI194" s="2"/>
      <c r="BJ194" s="2"/>
      <c r="BK194" s="2"/>
    </row>
    <row r="195" spans="1:63" outlineLevel="1">
      <c r="A195" s="4" t="s">
        <v>1040</v>
      </c>
      <c r="C195" s="203">
        <f t="shared" si="98"/>
        <v>0</v>
      </c>
      <c r="D195" s="203">
        <f t="shared" si="98"/>
        <v>1.6726292770541352E-4</v>
      </c>
      <c r="E195" s="203">
        <f t="shared" si="98"/>
        <v>7.6294254756171587E-4</v>
      </c>
      <c r="F195" s="203">
        <f t="shared" si="98"/>
        <v>1.9269350587384194E-3</v>
      </c>
      <c r="G195" s="203">
        <f t="shared" si="98"/>
        <v>3.79788880086358E-3</v>
      </c>
      <c r="H195" s="203">
        <f t="shared" si="98"/>
        <v>6.5132111639472079E-3</v>
      </c>
      <c r="I195" s="203">
        <f t="shared" si="98"/>
        <v>1.0051345251768741E-2</v>
      </c>
      <c r="J195" s="203">
        <f t="shared" si="98"/>
        <v>1.455629659133331E-2</v>
      </c>
      <c r="K195" s="203">
        <f t="shared" si="98"/>
        <v>2.0103889821725462E-2</v>
      </c>
      <c r="L195" s="203">
        <f t="shared" si="98"/>
        <v>2.676054672106443E-2</v>
      </c>
      <c r="M195" s="203">
        <f t="shared" si="98"/>
        <v>3.4583386194437377E-2</v>
      </c>
      <c r="N195" s="203">
        <f t="shared" si="98"/>
        <v>4.231895987823605E-2</v>
      </c>
      <c r="O195" s="203">
        <f t="shared" si="98"/>
        <v>5.0961528153630406E-2</v>
      </c>
      <c r="P195" s="203">
        <f t="shared" si="98"/>
        <v>6.0523578414831185E-2</v>
      </c>
      <c r="Q195" s="203">
        <f t="shared" si="98"/>
        <v>7.1011677022628103E-2</v>
      </c>
      <c r="R195" s="203">
        <f t="shared" si="98"/>
        <v>8.2426533952953726E-2</v>
      </c>
      <c r="S195" s="203">
        <f t="shared" si="98"/>
        <v>9.5282520009675201E-2</v>
      </c>
      <c r="T195" s="203">
        <f t="shared" si="98"/>
        <v>0.10921706429098639</v>
      </c>
      <c r="U195" s="203">
        <f t="shared" si="98"/>
        <v>0.12423869404372934</v>
      </c>
      <c r="V195" s="203">
        <f t="shared" si="98"/>
        <v>0.1403517934073924</v>
      </c>
      <c r="W195" s="203">
        <f t="shared" si="98"/>
        <v>0.15755664861207569</v>
      </c>
      <c r="X195" s="203">
        <f t="shared" si="98"/>
        <v>0.17950272948731277</v>
      </c>
      <c r="Y195" s="203">
        <f t="shared" si="98"/>
        <v>0.2030322563972759</v>
      </c>
      <c r="Z195" s="203">
        <f t="shared" si="98"/>
        <v>0.22814116532180062</v>
      </c>
      <c r="AA195" s="203">
        <f t="shared" si="98"/>
        <v>0.2548192431502565</v>
      </c>
      <c r="AB195" s="203">
        <f t="shared" si="98"/>
        <v>0.28305019557952144</v>
      </c>
      <c r="AC195" s="203">
        <f t="shared" si="98"/>
        <v>0.3118417223383807</v>
      </c>
      <c r="AD195" s="203">
        <f t="shared" si="98"/>
        <v>0.34190912589677841</v>
      </c>
      <c r="AE195" s="203">
        <f t="shared" si="98"/>
        <v>0.37319366966320089</v>
      </c>
      <c r="AF195" s="203">
        <f t="shared" si="98"/>
        <v>0.40562977383639781</v>
      </c>
      <c r="AG195" s="203">
        <f t="shared" si="98"/>
        <v>0.43914509366163229</v>
      </c>
      <c r="AH195" s="217"/>
      <c r="AI195" s="124"/>
      <c r="AJ195" s="185"/>
      <c r="AL195" s="100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s="1" customFormat="1" outlineLevel="1">
      <c r="A196" s="1" t="s">
        <v>1044</v>
      </c>
      <c r="B196" s="60"/>
      <c r="C196" s="250">
        <f>C182*C42</f>
        <v>0</v>
      </c>
      <c r="D196" s="250">
        <f t="shared" ref="D196:AG196" si="99">D182*D42</f>
        <v>7.7000585663109964E-3</v>
      </c>
      <c r="E196" s="250">
        <f t="shared" si="99"/>
        <v>1.7561280253632641E-2</v>
      </c>
      <c r="F196" s="250">
        <f t="shared" si="99"/>
        <v>2.9569239698063566E-2</v>
      </c>
      <c r="G196" s="250">
        <f t="shared" si="99"/>
        <v>4.3709575391522509E-2</v>
      </c>
      <c r="H196" s="250">
        <f t="shared" si="99"/>
        <v>5.9967989446499351E-2</v>
      </c>
      <c r="I196" s="250">
        <f t="shared" si="99"/>
        <v>7.7120045039849261E-2</v>
      </c>
      <c r="J196" s="250">
        <f t="shared" si="99"/>
        <v>9.5729808494140575E-2</v>
      </c>
      <c r="K196" s="250">
        <f t="shared" si="99"/>
        <v>0.11568696898468449</v>
      </c>
      <c r="L196" s="250">
        <f t="shared" si="99"/>
        <v>0.13688214640100477</v>
      </c>
      <c r="M196" s="250">
        <f t="shared" si="99"/>
        <v>0.15920688629073915</v>
      </c>
      <c r="N196" s="250">
        <f t="shared" si="99"/>
        <v>0.17710737003223975</v>
      </c>
      <c r="O196" s="250">
        <f t="shared" si="99"/>
        <v>0.19550394738534782</v>
      </c>
      <c r="P196" s="250">
        <f t="shared" si="99"/>
        <v>0.21432635562289257</v>
      </c>
      <c r="Q196" s="250">
        <f t="shared" si="99"/>
        <v>0.23350493717857398</v>
      </c>
      <c r="R196" s="250">
        <f t="shared" si="99"/>
        <v>0.25297063633594147</v>
      </c>
      <c r="S196" s="250">
        <f t="shared" si="99"/>
        <v>0.27414958087438934</v>
      </c>
      <c r="T196" s="250">
        <f t="shared" si="99"/>
        <v>0.29575759871283885</v>
      </c>
      <c r="U196" s="250">
        <f t="shared" si="99"/>
        <v>0.31774498637909299</v>
      </c>
      <c r="V196" s="250">
        <f t="shared" si="99"/>
        <v>0.34006246583383642</v>
      </c>
      <c r="W196" s="250">
        <f t="shared" si="99"/>
        <v>0.36266118214831394</v>
      </c>
      <c r="X196" s="250">
        <f t="shared" si="99"/>
        <v>0.39350123181347813</v>
      </c>
      <c r="Y196" s="250">
        <f t="shared" si="99"/>
        <v>0.42485104862803819</v>
      </c>
      <c r="Z196" s="250">
        <f t="shared" si="99"/>
        <v>0.45663600688409833</v>
      </c>
      <c r="AA196" s="250">
        <f t="shared" si="99"/>
        <v>0.48878212359957407</v>
      </c>
      <c r="AB196" s="250">
        <f t="shared" si="99"/>
        <v>0.52121605500214063</v>
      </c>
      <c r="AC196" s="250">
        <f t="shared" si="99"/>
        <v>0.55214762271535744</v>
      </c>
      <c r="AD196" s="250">
        <f t="shared" si="99"/>
        <v>0.58296336412293892</v>
      </c>
      <c r="AE196" s="250">
        <f t="shared" si="99"/>
        <v>0.6135791185608741</v>
      </c>
      <c r="AF196" s="250">
        <f t="shared" si="99"/>
        <v>0.643911470572328</v>
      </c>
      <c r="AG196" s="250">
        <f t="shared" si="99"/>
        <v>0.67387774579237203</v>
      </c>
      <c r="AH196" s="217"/>
      <c r="AI196" s="368"/>
      <c r="AJ196" s="369"/>
      <c r="AL196" s="194"/>
      <c r="AM196" s="116"/>
      <c r="AN196" s="116"/>
      <c r="AO196" s="116"/>
      <c r="BD196" s="116"/>
      <c r="BE196" s="116"/>
      <c r="BF196" s="116"/>
      <c r="BG196" s="116"/>
      <c r="BH196" s="116"/>
      <c r="BI196" s="116"/>
      <c r="BJ196" s="116"/>
      <c r="BK196" s="116"/>
    </row>
    <row r="197" spans="1:63" outlineLevel="1">
      <c r="A197" s="4" t="s">
        <v>35</v>
      </c>
      <c r="C197" s="203">
        <f>C$196*'Methanol recycling rates'!E63</f>
        <v>0</v>
      </c>
      <c r="D197" s="203">
        <f>D$196*'Methanol recycling rates'!F63</f>
        <v>8.9405691171619696E-5</v>
      </c>
      <c r="E197" s="203">
        <f>E$196*'Methanol recycling rates'!G63</f>
        <v>4.0780946934712689E-4</v>
      </c>
      <c r="F197" s="203">
        <f>F$196*'Methanol recycling rates'!H63</f>
        <v>1.0299889110679371E-3</v>
      </c>
      <c r="G197" s="203">
        <f>G$196*'Methanol recycling rates'!I63</f>
        <v>2.030054584672755E-3</v>
      </c>
      <c r="H197" s="203">
        <f>H$196*'Methanol recycling rates'!J63</f>
        <v>3.4814537438026846E-3</v>
      </c>
      <c r="I197" s="203">
        <f>I$196*'Methanol recycling rates'!K63</f>
        <v>5.3726637562011119E-3</v>
      </c>
      <c r="J197" s="203">
        <f>J$196*'Methanol recycling rates'!L63</f>
        <v>7.7806587239661572E-3</v>
      </c>
      <c r="K197" s="203">
        <f>K$196*'Methanol recycling rates'!M63</f>
        <v>1.0745968574190403E-2</v>
      </c>
      <c r="L197" s="203">
        <f>L$196*'Methanol recycling rates'!N63</f>
        <v>1.4304097199237E-2</v>
      </c>
      <c r="M197" s="203">
        <f>M$196*'Methanol recycling rates'!O63</f>
        <v>1.8485575902475678E-2</v>
      </c>
      <c r="N197" s="203">
        <f>N$196*'Methanol recycling rates'!P63</f>
        <v>2.26204091335852E-2</v>
      </c>
      <c r="O197" s="203">
        <f>O$196*'Methanol recycling rates'!Q63</f>
        <v>2.7240050800508724E-2</v>
      </c>
      <c r="P197" s="203">
        <f>P$196*'Methanol recycling rates'!R63</f>
        <v>3.235117568842226E-2</v>
      </c>
      <c r="Q197" s="203">
        <f>Q$196*'Methanol recycling rates'!S63</f>
        <v>3.7957293660706423E-2</v>
      </c>
      <c r="R197" s="203">
        <f>R$196*'Methanol recycling rates'!T63</f>
        <v>4.4058784215017001E-2</v>
      </c>
      <c r="S197" s="203">
        <f>S$196*'Methanol recycling rates'!U63</f>
        <v>5.0930589789999106E-2</v>
      </c>
      <c r="T197" s="203">
        <f>T$196*'Methanol recycling rates'!V63</f>
        <v>5.8378908312955613E-2</v>
      </c>
      <c r="U197" s="203">
        <f>U$196*'Methanol recycling rates'!W63</f>
        <v>6.6408297783726436E-2</v>
      </c>
      <c r="V197" s="203">
        <f>V$196*'Methanol recycling rates'!X63</f>
        <v>7.5021101620703967E-2</v>
      </c>
      <c r="W197" s="203">
        <f>W$196*'Methanol recycling rates'!Y63</f>
        <v>8.4217472820133588E-2</v>
      </c>
      <c r="X197" s="203">
        <f>X$196*'Methanol recycling rates'!Z63</f>
        <v>9.5948132782121887E-2</v>
      </c>
      <c r="Y197" s="203">
        <f>Y$196*'Methanol recycling rates'!AA63</f>
        <v>0.10852517926328541</v>
      </c>
      <c r="Z197" s="203">
        <f>Z$196*'Methanol recycling rates'!AB63</f>
        <v>0.12194643995600807</v>
      </c>
      <c r="AA197" s="203">
        <f>AA$196*'Methanol recycling rates'!AC63</f>
        <v>0.13620645572940268</v>
      </c>
      <c r="AB197" s="203">
        <f>AB$196*'Methanol recycling rates'!AD63</f>
        <v>0.15129651692226234</v>
      </c>
      <c r="AC197" s="203">
        <f>AC$196*'Methanol recycling rates'!AE63</f>
        <v>0.16668621734826228</v>
      </c>
      <c r="AD197" s="203">
        <f>AD$196*'Methanol recycling rates'!AF63</f>
        <v>0.18275790181386642</v>
      </c>
      <c r="AE197" s="203">
        <f>AE$196*'Methanol recycling rates'!AG63</f>
        <v>0.19948017432694801</v>
      </c>
      <c r="AF197" s="203">
        <f>AF$196*'Methanol recycling rates'!AH63</f>
        <v>0.21681798105018565</v>
      </c>
      <c r="AG197" s="203">
        <f>AG$196*'Methanol recycling rates'!AI63</f>
        <v>0.23473265213073977</v>
      </c>
      <c r="AH197" s="217"/>
      <c r="AI197" s="124"/>
      <c r="AJ197" s="185"/>
      <c r="AL197" s="100"/>
      <c r="AM197" s="2"/>
      <c r="AN197" s="2"/>
      <c r="AO197" s="2"/>
      <c r="BC197" s="1"/>
      <c r="BD197" s="2"/>
      <c r="BE197" s="2"/>
      <c r="BF197" s="2"/>
      <c r="BG197" s="2"/>
      <c r="BH197" s="2"/>
      <c r="BI197" s="2"/>
      <c r="BJ197" s="2"/>
      <c r="BK197" s="2"/>
    </row>
    <row r="198" spans="1:63" outlineLevel="1">
      <c r="A198" s="4" t="s">
        <v>160</v>
      </c>
      <c r="C198" s="203">
        <f>C$196*'Methanol recycling rates'!E64</f>
        <v>0</v>
      </c>
      <c r="D198" s="203">
        <f>D$196*'Methanol recycling rates'!F64</f>
        <v>0</v>
      </c>
      <c r="E198" s="203">
        <f>E$196*'Methanol recycling rates'!G64</f>
        <v>0</v>
      </c>
      <c r="F198" s="203">
        <f>F$196*'Methanol recycling rates'!H64</f>
        <v>0</v>
      </c>
      <c r="G198" s="203">
        <f>G$196*'Methanol recycling rates'!I64</f>
        <v>0</v>
      </c>
      <c r="H198" s="203">
        <f>H$196*'Methanol recycling rates'!J64</f>
        <v>0</v>
      </c>
      <c r="I198" s="203">
        <f>I$196*'Methanol recycling rates'!K64</f>
        <v>0</v>
      </c>
      <c r="J198" s="203">
        <f>J$196*'Methanol recycling rates'!L64</f>
        <v>0</v>
      </c>
      <c r="K198" s="203">
        <f>K$196*'Methanol recycling rates'!M64</f>
        <v>0</v>
      </c>
      <c r="L198" s="203">
        <f>L$196*'Methanol recycling rates'!N64</f>
        <v>0</v>
      </c>
      <c r="M198" s="203">
        <f>M$196*'Methanol recycling rates'!O64</f>
        <v>0</v>
      </c>
      <c r="N198" s="203">
        <f>N$196*'Methanol recycling rates'!P64</f>
        <v>0</v>
      </c>
      <c r="O198" s="203">
        <f>O$196*'Methanol recycling rates'!Q64</f>
        <v>0</v>
      </c>
      <c r="P198" s="203">
        <f>P$196*'Methanol recycling rates'!R64</f>
        <v>0</v>
      </c>
      <c r="Q198" s="203">
        <f>Q$196*'Methanol recycling rates'!S64</f>
        <v>0</v>
      </c>
      <c r="R198" s="203">
        <f>R$196*'Methanol recycling rates'!T64</f>
        <v>0</v>
      </c>
      <c r="S198" s="203">
        <f>S$196*'Methanol recycling rates'!U64</f>
        <v>0</v>
      </c>
      <c r="T198" s="203">
        <f>T$196*'Methanol recycling rates'!V64</f>
        <v>0</v>
      </c>
      <c r="U198" s="203">
        <f>U$196*'Methanol recycling rates'!W64</f>
        <v>0</v>
      </c>
      <c r="V198" s="203">
        <f>V$196*'Methanol recycling rates'!X64</f>
        <v>0</v>
      </c>
      <c r="W198" s="203">
        <f>W$196*'Methanol recycling rates'!Y64</f>
        <v>0</v>
      </c>
      <c r="X198" s="203">
        <f>X$196*'Methanol recycling rates'!Z64</f>
        <v>0</v>
      </c>
      <c r="Y198" s="203">
        <f>Y$196*'Methanol recycling rates'!AA64</f>
        <v>0</v>
      </c>
      <c r="Z198" s="203">
        <f>Z$196*'Methanol recycling rates'!AB64</f>
        <v>0</v>
      </c>
      <c r="AA198" s="203">
        <f>AA$196*'Methanol recycling rates'!AC64</f>
        <v>0</v>
      </c>
      <c r="AB198" s="203">
        <f>AB$196*'Methanol recycling rates'!AD64</f>
        <v>0</v>
      </c>
      <c r="AC198" s="203">
        <f>AC$196*'Methanol recycling rates'!AE64</f>
        <v>0</v>
      </c>
      <c r="AD198" s="203">
        <f>AD$196*'Methanol recycling rates'!AF64</f>
        <v>0</v>
      </c>
      <c r="AE198" s="203">
        <f>AE$196*'Methanol recycling rates'!AG64</f>
        <v>0</v>
      </c>
      <c r="AF198" s="203">
        <f>AF$196*'Methanol recycling rates'!AH64</f>
        <v>0</v>
      </c>
      <c r="AG198" s="203">
        <f>AG$196*'Methanol recycling rates'!AI64</f>
        <v>0</v>
      </c>
      <c r="AH198" s="217"/>
      <c r="AI198" s="124"/>
      <c r="AJ198" s="185"/>
      <c r="AL198" s="100"/>
      <c r="AM198" s="2"/>
      <c r="AN198" s="2"/>
      <c r="AO198" s="2"/>
      <c r="BC198" s="1"/>
      <c r="BD198" s="2"/>
      <c r="BE198" s="2"/>
      <c r="BF198" s="2"/>
      <c r="BG198" s="2"/>
      <c r="BH198" s="2"/>
      <c r="BI198" s="2"/>
      <c r="BJ198" s="2"/>
      <c r="BK198" s="2"/>
    </row>
    <row r="199" spans="1:63" outlineLevel="1">
      <c r="A199" s="4" t="s">
        <v>1040</v>
      </c>
      <c r="C199" s="203">
        <f>C$196*'Methanol recycling rates'!E65</f>
        <v>0</v>
      </c>
      <c r="D199" s="203">
        <f>D$196*'Methanol recycling rates'!F65</f>
        <v>1.6726292770541352E-4</v>
      </c>
      <c r="E199" s="203">
        <f>E$196*'Methanol recycling rates'!G65</f>
        <v>7.6294254756171587E-4</v>
      </c>
      <c r="F199" s="203">
        <f>F$196*'Methanol recycling rates'!H65</f>
        <v>1.9269350587384194E-3</v>
      </c>
      <c r="G199" s="203">
        <f>G$196*'Methanol recycling rates'!I65</f>
        <v>3.79788880086358E-3</v>
      </c>
      <c r="H199" s="203">
        <f>H$196*'Methanol recycling rates'!J65</f>
        <v>6.5132111639472079E-3</v>
      </c>
      <c r="I199" s="203">
        <f>I$196*'Methanol recycling rates'!K65</f>
        <v>1.0051345251768741E-2</v>
      </c>
      <c r="J199" s="203">
        <f>J$196*'Methanol recycling rates'!L65</f>
        <v>1.455629659133331E-2</v>
      </c>
      <c r="K199" s="203">
        <f>K$196*'Methanol recycling rates'!M65</f>
        <v>2.0103889821725462E-2</v>
      </c>
      <c r="L199" s="203">
        <f>L$196*'Methanol recycling rates'!N65</f>
        <v>2.676054672106443E-2</v>
      </c>
      <c r="M199" s="203">
        <f>M$196*'Methanol recycling rates'!O65</f>
        <v>3.4583386194437377E-2</v>
      </c>
      <c r="N199" s="203">
        <f>N$196*'Methanol recycling rates'!P65</f>
        <v>4.231895987823605E-2</v>
      </c>
      <c r="O199" s="203">
        <f>O$196*'Methanol recycling rates'!Q65</f>
        <v>5.0961528153630406E-2</v>
      </c>
      <c r="P199" s="203">
        <f>P$196*'Methanol recycling rates'!R65</f>
        <v>6.0523578414831185E-2</v>
      </c>
      <c r="Q199" s="203">
        <f>Q$196*'Methanol recycling rates'!S65</f>
        <v>7.1011677022628103E-2</v>
      </c>
      <c r="R199" s="203">
        <f>R$196*'Methanol recycling rates'!T65</f>
        <v>8.2426533952953726E-2</v>
      </c>
      <c r="S199" s="203">
        <f>S$196*'Methanol recycling rates'!U65</f>
        <v>9.5282520009675201E-2</v>
      </c>
      <c r="T199" s="203">
        <f>T$196*'Methanol recycling rates'!V65</f>
        <v>0.10921706429098639</v>
      </c>
      <c r="U199" s="203">
        <f>U$196*'Methanol recycling rates'!W65</f>
        <v>0.12423869404372934</v>
      </c>
      <c r="V199" s="203">
        <f>V$196*'Methanol recycling rates'!X65</f>
        <v>0.1403517934073924</v>
      </c>
      <c r="W199" s="203">
        <f>W$196*'Methanol recycling rates'!Y65</f>
        <v>0.15755664861207569</v>
      </c>
      <c r="X199" s="203">
        <f>X$196*'Methanol recycling rates'!Z65</f>
        <v>0.17950272948731277</v>
      </c>
      <c r="Y199" s="203">
        <f>Y$196*'Methanol recycling rates'!AA65</f>
        <v>0.2030322563972759</v>
      </c>
      <c r="Z199" s="203">
        <f>Z$196*'Methanol recycling rates'!AB65</f>
        <v>0.22814116532180062</v>
      </c>
      <c r="AA199" s="203">
        <f>AA$196*'Methanol recycling rates'!AC65</f>
        <v>0.2548192431502565</v>
      </c>
      <c r="AB199" s="203">
        <f>AB$196*'Methanol recycling rates'!AD65</f>
        <v>0.28305019557952144</v>
      </c>
      <c r="AC199" s="203">
        <f>AC$196*'Methanol recycling rates'!AE65</f>
        <v>0.3118417223383807</v>
      </c>
      <c r="AD199" s="203">
        <f>AD$196*'Methanol recycling rates'!AF65</f>
        <v>0.34190912589677841</v>
      </c>
      <c r="AE199" s="203">
        <f>AE$196*'Methanol recycling rates'!AG65</f>
        <v>0.37319366966320089</v>
      </c>
      <c r="AF199" s="203">
        <f>AF$196*'Methanol recycling rates'!AH65</f>
        <v>0.40562977383639781</v>
      </c>
      <c r="AG199" s="203">
        <f>AG$196*'Methanol recycling rates'!AI65</f>
        <v>0.43914509366163229</v>
      </c>
      <c r="AH199" s="217"/>
      <c r="AI199" s="124"/>
      <c r="AJ199" s="185"/>
      <c r="AL199" s="100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s="1" customFormat="1" outlineLevel="1">
      <c r="A200" s="1" t="s">
        <v>1047</v>
      </c>
      <c r="B200" s="60"/>
      <c r="C200" s="250">
        <f>C196-$C196</f>
        <v>0</v>
      </c>
      <c r="D200" s="250">
        <f t="shared" ref="D200:AG203" si="100">D196-$C196</f>
        <v>7.7000585663109964E-3</v>
      </c>
      <c r="E200" s="250">
        <f t="shared" si="100"/>
        <v>1.7561280253632641E-2</v>
      </c>
      <c r="F200" s="250">
        <f t="shared" si="100"/>
        <v>2.9569239698063566E-2</v>
      </c>
      <c r="G200" s="250">
        <f t="shared" si="100"/>
        <v>4.3709575391522509E-2</v>
      </c>
      <c r="H200" s="250">
        <f t="shared" si="100"/>
        <v>5.9967989446499351E-2</v>
      </c>
      <c r="I200" s="250">
        <f t="shared" si="100"/>
        <v>7.7120045039849261E-2</v>
      </c>
      <c r="J200" s="250">
        <f t="shared" si="100"/>
        <v>9.5729808494140575E-2</v>
      </c>
      <c r="K200" s="250">
        <f t="shared" si="100"/>
        <v>0.11568696898468449</v>
      </c>
      <c r="L200" s="250">
        <f t="shared" si="100"/>
        <v>0.13688214640100477</v>
      </c>
      <c r="M200" s="250">
        <f t="shared" si="100"/>
        <v>0.15920688629073915</v>
      </c>
      <c r="N200" s="250">
        <f t="shared" si="100"/>
        <v>0.17710737003223975</v>
      </c>
      <c r="O200" s="250">
        <f t="shared" si="100"/>
        <v>0.19550394738534782</v>
      </c>
      <c r="P200" s="250">
        <f t="shared" si="100"/>
        <v>0.21432635562289257</v>
      </c>
      <c r="Q200" s="250">
        <f t="shared" si="100"/>
        <v>0.23350493717857398</v>
      </c>
      <c r="R200" s="250">
        <f t="shared" si="100"/>
        <v>0.25297063633594147</v>
      </c>
      <c r="S200" s="250">
        <f t="shared" si="100"/>
        <v>0.27414958087438934</v>
      </c>
      <c r="T200" s="250">
        <f t="shared" si="100"/>
        <v>0.29575759871283885</v>
      </c>
      <c r="U200" s="250">
        <f t="shared" si="100"/>
        <v>0.31774498637909299</v>
      </c>
      <c r="V200" s="250">
        <f t="shared" si="100"/>
        <v>0.34006246583383642</v>
      </c>
      <c r="W200" s="250">
        <f t="shared" si="100"/>
        <v>0.36266118214831394</v>
      </c>
      <c r="X200" s="250">
        <f t="shared" si="100"/>
        <v>0.39350123181347813</v>
      </c>
      <c r="Y200" s="250">
        <f t="shared" si="100"/>
        <v>0.42485104862803819</v>
      </c>
      <c r="Z200" s="250">
        <f t="shared" si="100"/>
        <v>0.45663600688409833</v>
      </c>
      <c r="AA200" s="250">
        <f t="shared" si="100"/>
        <v>0.48878212359957407</v>
      </c>
      <c r="AB200" s="250">
        <f t="shared" si="100"/>
        <v>0.52121605500214063</v>
      </c>
      <c r="AC200" s="250">
        <f t="shared" si="100"/>
        <v>0.55214762271535744</v>
      </c>
      <c r="AD200" s="250">
        <f t="shared" si="100"/>
        <v>0.58296336412293892</v>
      </c>
      <c r="AE200" s="250">
        <f t="shared" si="100"/>
        <v>0.6135791185608741</v>
      </c>
      <c r="AF200" s="250">
        <f t="shared" si="100"/>
        <v>0.643911470572328</v>
      </c>
      <c r="AG200" s="250">
        <f t="shared" si="100"/>
        <v>0.67387774579237203</v>
      </c>
      <c r="AH200" s="217"/>
      <c r="AI200" s="368"/>
      <c r="AJ200" s="369"/>
      <c r="AL200" s="194"/>
      <c r="AM200" s="116"/>
      <c r="AN200" s="116"/>
      <c r="AO200" s="116"/>
      <c r="BD200" s="116"/>
      <c r="BE200" s="116"/>
      <c r="BF200" s="116"/>
      <c r="BG200" s="116"/>
      <c r="BH200" s="116"/>
      <c r="BI200" s="116"/>
      <c r="BJ200" s="116"/>
      <c r="BK200" s="116"/>
    </row>
    <row r="201" spans="1:63" outlineLevel="1">
      <c r="A201" s="4" t="s">
        <v>35</v>
      </c>
      <c r="C201" s="203">
        <f t="shared" ref="C201:C203" si="101">C197-$C197</f>
        <v>0</v>
      </c>
      <c r="D201" s="203">
        <f t="shared" si="100"/>
        <v>8.9405691171619696E-5</v>
      </c>
      <c r="E201" s="203">
        <f t="shared" si="100"/>
        <v>4.0780946934712689E-4</v>
      </c>
      <c r="F201" s="203">
        <f t="shared" si="100"/>
        <v>1.0299889110679371E-3</v>
      </c>
      <c r="G201" s="203">
        <f t="shared" si="100"/>
        <v>2.030054584672755E-3</v>
      </c>
      <c r="H201" s="203">
        <f t="shared" si="100"/>
        <v>3.4814537438026846E-3</v>
      </c>
      <c r="I201" s="203">
        <f t="shared" si="100"/>
        <v>5.3726637562011119E-3</v>
      </c>
      <c r="J201" s="203">
        <f t="shared" si="100"/>
        <v>7.7806587239661572E-3</v>
      </c>
      <c r="K201" s="203">
        <f t="shared" si="100"/>
        <v>1.0745968574190403E-2</v>
      </c>
      <c r="L201" s="203">
        <f t="shared" si="100"/>
        <v>1.4304097199237E-2</v>
      </c>
      <c r="M201" s="203">
        <f t="shared" si="100"/>
        <v>1.8485575902475678E-2</v>
      </c>
      <c r="N201" s="203">
        <f t="shared" si="100"/>
        <v>2.26204091335852E-2</v>
      </c>
      <c r="O201" s="203">
        <f t="shared" si="100"/>
        <v>2.7240050800508724E-2</v>
      </c>
      <c r="P201" s="203">
        <f t="shared" si="100"/>
        <v>3.235117568842226E-2</v>
      </c>
      <c r="Q201" s="203">
        <f t="shared" si="100"/>
        <v>3.7957293660706423E-2</v>
      </c>
      <c r="R201" s="203">
        <f t="shared" si="100"/>
        <v>4.4058784215017001E-2</v>
      </c>
      <c r="S201" s="203">
        <f t="shared" si="100"/>
        <v>5.0930589789999106E-2</v>
      </c>
      <c r="T201" s="203">
        <f t="shared" si="100"/>
        <v>5.8378908312955613E-2</v>
      </c>
      <c r="U201" s="203">
        <f t="shared" si="100"/>
        <v>6.6408297783726436E-2</v>
      </c>
      <c r="V201" s="203">
        <f t="shared" si="100"/>
        <v>7.5021101620703967E-2</v>
      </c>
      <c r="W201" s="203">
        <f t="shared" si="100"/>
        <v>8.4217472820133588E-2</v>
      </c>
      <c r="X201" s="203">
        <f t="shared" si="100"/>
        <v>9.5948132782121887E-2</v>
      </c>
      <c r="Y201" s="203">
        <f t="shared" si="100"/>
        <v>0.10852517926328541</v>
      </c>
      <c r="Z201" s="203">
        <f t="shared" si="100"/>
        <v>0.12194643995600807</v>
      </c>
      <c r="AA201" s="203">
        <f t="shared" si="100"/>
        <v>0.13620645572940268</v>
      </c>
      <c r="AB201" s="203">
        <f t="shared" si="100"/>
        <v>0.15129651692226234</v>
      </c>
      <c r="AC201" s="203">
        <f t="shared" si="100"/>
        <v>0.16668621734826228</v>
      </c>
      <c r="AD201" s="203">
        <f t="shared" si="100"/>
        <v>0.18275790181386642</v>
      </c>
      <c r="AE201" s="203">
        <f t="shared" si="100"/>
        <v>0.19948017432694801</v>
      </c>
      <c r="AF201" s="203">
        <f t="shared" si="100"/>
        <v>0.21681798105018565</v>
      </c>
      <c r="AG201" s="203">
        <f t="shared" si="100"/>
        <v>0.23473265213073977</v>
      </c>
      <c r="AH201" s="217"/>
      <c r="AI201" s="124"/>
      <c r="AJ201" s="185"/>
      <c r="AL201" s="100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160</v>
      </c>
      <c r="C202" s="203">
        <f t="shared" si="101"/>
        <v>0</v>
      </c>
      <c r="D202" s="203">
        <f t="shared" si="100"/>
        <v>0</v>
      </c>
      <c r="E202" s="203">
        <f t="shared" si="100"/>
        <v>0</v>
      </c>
      <c r="F202" s="203">
        <f t="shared" si="100"/>
        <v>0</v>
      </c>
      <c r="G202" s="203">
        <f t="shared" si="100"/>
        <v>0</v>
      </c>
      <c r="H202" s="203">
        <f t="shared" si="100"/>
        <v>0</v>
      </c>
      <c r="I202" s="203">
        <f t="shared" si="100"/>
        <v>0</v>
      </c>
      <c r="J202" s="203">
        <f t="shared" si="100"/>
        <v>0</v>
      </c>
      <c r="K202" s="203">
        <f t="shared" si="100"/>
        <v>0</v>
      </c>
      <c r="L202" s="203">
        <f t="shared" si="100"/>
        <v>0</v>
      </c>
      <c r="M202" s="203">
        <f t="shared" si="100"/>
        <v>0</v>
      </c>
      <c r="N202" s="203">
        <f t="shared" si="100"/>
        <v>0</v>
      </c>
      <c r="O202" s="203">
        <f t="shared" si="100"/>
        <v>0</v>
      </c>
      <c r="P202" s="203">
        <f t="shared" si="100"/>
        <v>0</v>
      </c>
      <c r="Q202" s="203">
        <f t="shared" si="100"/>
        <v>0</v>
      </c>
      <c r="R202" s="203">
        <f t="shared" si="100"/>
        <v>0</v>
      </c>
      <c r="S202" s="203">
        <f t="shared" si="100"/>
        <v>0</v>
      </c>
      <c r="T202" s="203">
        <f t="shared" si="100"/>
        <v>0</v>
      </c>
      <c r="U202" s="203">
        <f t="shared" si="100"/>
        <v>0</v>
      </c>
      <c r="V202" s="203">
        <f t="shared" si="100"/>
        <v>0</v>
      </c>
      <c r="W202" s="203">
        <f t="shared" si="100"/>
        <v>0</v>
      </c>
      <c r="X202" s="203">
        <f t="shared" si="100"/>
        <v>0</v>
      </c>
      <c r="Y202" s="203">
        <f t="shared" si="100"/>
        <v>0</v>
      </c>
      <c r="Z202" s="203">
        <f t="shared" si="100"/>
        <v>0</v>
      </c>
      <c r="AA202" s="203">
        <f t="shared" si="100"/>
        <v>0</v>
      </c>
      <c r="AB202" s="203">
        <f t="shared" si="100"/>
        <v>0</v>
      </c>
      <c r="AC202" s="203">
        <f t="shared" si="100"/>
        <v>0</v>
      </c>
      <c r="AD202" s="203">
        <f t="shared" si="100"/>
        <v>0</v>
      </c>
      <c r="AE202" s="203">
        <f t="shared" si="100"/>
        <v>0</v>
      </c>
      <c r="AF202" s="203">
        <f t="shared" si="100"/>
        <v>0</v>
      </c>
      <c r="AG202" s="203">
        <f t="shared" si="100"/>
        <v>0</v>
      </c>
      <c r="AH202" s="217"/>
      <c r="AI202" s="124"/>
      <c r="AJ202" s="185"/>
      <c r="AL202" s="100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1040</v>
      </c>
      <c r="C203" s="203">
        <f t="shared" si="101"/>
        <v>0</v>
      </c>
      <c r="D203" s="203">
        <f t="shared" si="100"/>
        <v>1.6726292770541352E-4</v>
      </c>
      <c r="E203" s="203">
        <f t="shared" si="100"/>
        <v>7.6294254756171587E-4</v>
      </c>
      <c r="F203" s="203">
        <f t="shared" si="100"/>
        <v>1.9269350587384194E-3</v>
      </c>
      <c r="G203" s="203">
        <f t="shared" si="100"/>
        <v>3.79788880086358E-3</v>
      </c>
      <c r="H203" s="203">
        <f t="shared" si="100"/>
        <v>6.5132111639472079E-3</v>
      </c>
      <c r="I203" s="203">
        <f t="shared" si="100"/>
        <v>1.0051345251768741E-2</v>
      </c>
      <c r="J203" s="203">
        <f t="shared" si="100"/>
        <v>1.455629659133331E-2</v>
      </c>
      <c r="K203" s="203">
        <f t="shared" si="100"/>
        <v>2.0103889821725462E-2</v>
      </c>
      <c r="L203" s="203">
        <f t="shared" si="100"/>
        <v>2.676054672106443E-2</v>
      </c>
      <c r="M203" s="203">
        <f t="shared" si="100"/>
        <v>3.4583386194437377E-2</v>
      </c>
      <c r="N203" s="203">
        <f t="shared" si="100"/>
        <v>4.231895987823605E-2</v>
      </c>
      <c r="O203" s="203">
        <f t="shared" si="100"/>
        <v>5.0961528153630406E-2</v>
      </c>
      <c r="P203" s="203">
        <f t="shared" si="100"/>
        <v>6.0523578414831185E-2</v>
      </c>
      <c r="Q203" s="203">
        <f t="shared" si="100"/>
        <v>7.1011677022628103E-2</v>
      </c>
      <c r="R203" s="203">
        <f t="shared" si="100"/>
        <v>8.2426533952953726E-2</v>
      </c>
      <c r="S203" s="203">
        <f t="shared" si="100"/>
        <v>9.5282520009675201E-2</v>
      </c>
      <c r="T203" s="203">
        <f t="shared" si="100"/>
        <v>0.10921706429098639</v>
      </c>
      <c r="U203" s="203">
        <f t="shared" si="100"/>
        <v>0.12423869404372934</v>
      </c>
      <c r="V203" s="203">
        <f t="shared" si="100"/>
        <v>0.1403517934073924</v>
      </c>
      <c r="W203" s="203">
        <f t="shared" si="100"/>
        <v>0.15755664861207569</v>
      </c>
      <c r="X203" s="203">
        <f t="shared" si="100"/>
        <v>0.17950272948731277</v>
      </c>
      <c r="Y203" s="203">
        <f t="shared" si="100"/>
        <v>0.2030322563972759</v>
      </c>
      <c r="Z203" s="203">
        <f t="shared" si="100"/>
        <v>0.22814116532180062</v>
      </c>
      <c r="AA203" s="203">
        <f t="shared" si="100"/>
        <v>0.2548192431502565</v>
      </c>
      <c r="AB203" s="203">
        <f t="shared" si="100"/>
        <v>0.28305019557952144</v>
      </c>
      <c r="AC203" s="203">
        <f t="shared" si="100"/>
        <v>0.3118417223383807</v>
      </c>
      <c r="AD203" s="203">
        <f t="shared" si="100"/>
        <v>0.34190912589677841</v>
      </c>
      <c r="AE203" s="203">
        <f t="shared" si="100"/>
        <v>0.37319366966320089</v>
      </c>
      <c r="AF203" s="203">
        <f t="shared" si="100"/>
        <v>0.40562977383639781</v>
      </c>
      <c r="AG203" s="203">
        <f t="shared" si="100"/>
        <v>0.43914509366163229</v>
      </c>
      <c r="AH203" s="217"/>
      <c r="AI203" s="124"/>
      <c r="AJ203" s="185"/>
      <c r="AL203" s="100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s="1" customFormat="1" outlineLevel="1">
      <c r="A204" s="1" t="s">
        <v>1043</v>
      </c>
      <c r="B204" s="60"/>
      <c r="C204" s="250">
        <f>C182*C42</f>
        <v>0</v>
      </c>
      <c r="D204" s="250">
        <f t="shared" ref="D204:AG204" si="102">D182*D42</f>
        <v>7.7000585663109964E-3</v>
      </c>
      <c r="E204" s="250">
        <f t="shared" si="102"/>
        <v>1.7561280253632641E-2</v>
      </c>
      <c r="F204" s="250">
        <f t="shared" si="102"/>
        <v>2.9569239698063566E-2</v>
      </c>
      <c r="G204" s="250">
        <f t="shared" si="102"/>
        <v>4.3709575391522509E-2</v>
      </c>
      <c r="H204" s="250">
        <f t="shared" si="102"/>
        <v>5.9967989446499351E-2</v>
      </c>
      <c r="I204" s="250">
        <f t="shared" si="102"/>
        <v>7.7120045039849261E-2</v>
      </c>
      <c r="J204" s="250">
        <f t="shared" si="102"/>
        <v>9.5729808494140575E-2</v>
      </c>
      <c r="K204" s="250">
        <f t="shared" si="102"/>
        <v>0.11568696898468449</v>
      </c>
      <c r="L204" s="250">
        <f t="shared" si="102"/>
        <v>0.13688214640100477</v>
      </c>
      <c r="M204" s="250">
        <f t="shared" si="102"/>
        <v>0.15920688629073915</v>
      </c>
      <c r="N204" s="250">
        <f t="shared" si="102"/>
        <v>0.17710737003223975</v>
      </c>
      <c r="O204" s="250">
        <f t="shared" si="102"/>
        <v>0.19550394738534782</v>
      </c>
      <c r="P204" s="250">
        <f t="shared" si="102"/>
        <v>0.21432635562289257</v>
      </c>
      <c r="Q204" s="250">
        <f t="shared" si="102"/>
        <v>0.23350493717857398</v>
      </c>
      <c r="R204" s="250">
        <f t="shared" si="102"/>
        <v>0.25297063633594147</v>
      </c>
      <c r="S204" s="250">
        <f t="shared" si="102"/>
        <v>0.27414958087438934</v>
      </c>
      <c r="T204" s="250">
        <f t="shared" si="102"/>
        <v>0.29575759871283885</v>
      </c>
      <c r="U204" s="250">
        <f t="shared" si="102"/>
        <v>0.31774498637909299</v>
      </c>
      <c r="V204" s="250">
        <f t="shared" si="102"/>
        <v>0.34006246583383642</v>
      </c>
      <c r="W204" s="250">
        <f t="shared" si="102"/>
        <v>0.36266118214831394</v>
      </c>
      <c r="X204" s="250">
        <f t="shared" si="102"/>
        <v>0.39350123181347813</v>
      </c>
      <c r="Y204" s="250">
        <f t="shared" si="102"/>
        <v>0.42485104862803819</v>
      </c>
      <c r="Z204" s="250">
        <f t="shared" si="102"/>
        <v>0.45663600688409833</v>
      </c>
      <c r="AA204" s="250">
        <f t="shared" si="102"/>
        <v>0.48878212359957407</v>
      </c>
      <c r="AB204" s="250">
        <f t="shared" si="102"/>
        <v>0.52121605500214063</v>
      </c>
      <c r="AC204" s="250">
        <f t="shared" si="102"/>
        <v>0.55214762271535744</v>
      </c>
      <c r="AD204" s="250">
        <f t="shared" si="102"/>
        <v>0.58296336412293892</v>
      </c>
      <c r="AE204" s="250">
        <f t="shared" si="102"/>
        <v>0.6135791185608741</v>
      </c>
      <c r="AF204" s="250">
        <f t="shared" si="102"/>
        <v>0.643911470572328</v>
      </c>
      <c r="AG204" s="250">
        <f t="shared" si="102"/>
        <v>0.67387774579237203</v>
      </c>
      <c r="AH204" s="217"/>
      <c r="AI204" s="368"/>
      <c r="AJ204" s="369"/>
      <c r="AL204" s="194"/>
      <c r="AM204" s="116"/>
      <c r="AN204" s="116"/>
      <c r="AO204" s="116"/>
      <c r="BD204" s="116"/>
      <c r="BE204" s="116"/>
      <c r="BF204" s="116"/>
      <c r="BG204" s="116"/>
      <c r="BH204" s="116"/>
      <c r="BI204" s="116"/>
      <c r="BJ204" s="116"/>
      <c r="BK204" s="116"/>
    </row>
    <row r="205" spans="1:63" outlineLevel="1">
      <c r="A205" s="4" t="s">
        <v>35</v>
      </c>
      <c r="C205" s="203">
        <f>C$204*'Methanol recycling rates'!E66</f>
        <v>0</v>
      </c>
      <c r="D205" s="203">
        <f>D$204*'Methanol recycling rates'!F66</f>
        <v>8.9405691171619696E-5</v>
      </c>
      <c r="E205" s="203">
        <f>E$204*'Methanol recycling rates'!G66</f>
        <v>4.0780946934712689E-4</v>
      </c>
      <c r="F205" s="203">
        <f>F$204*'Methanol recycling rates'!H66</f>
        <v>1.0299889110679371E-3</v>
      </c>
      <c r="G205" s="203">
        <f>G$204*'Methanol recycling rates'!I66</f>
        <v>2.030054584672755E-3</v>
      </c>
      <c r="H205" s="203">
        <f>H$204*'Methanol recycling rates'!J66</f>
        <v>3.4814537438026846E-3</v>
      </c>
      <c r="I205" s="203">
        <f>I$204*'Methanol recycling rates'!K66</f>
        <v>5.3726637562011119E-3</v>
      </c>
      <c r="J205" s="203">
        <f>J$204*'Methanol recycling rates'!L66</f>
        <v>7.7806587239661572E-3</v>
      </c>
      <c r="K205" s="203">
        <f>K$204*'Methanol recycling rates'!M66</f>
        <v>1.0745968574190403E-2</v>
      </c>
      <c r="L205" s="203">
        <f>L$204*'Methanol recycling rates'!N66</f>
        <v>1.4304097199237E-2</v>
      </c>
      <c r="M205" s="203">
        <f>M$204*'Methanol recycling rates'!O66</f>
        <v>1.8485575902475678E-2</v>
      </c>
      <c r="N205" s="203">
        <f>N$204*'Methanol recycling rates'!P66</f>
        <v>2.26204091335852E-2</v>
      </c>
      <c r="O205" s="203">
        <f>O$204*'Methanol recycling rates'!Q66</f>
        <v>2.7240050800508724E-2</v>
      </c>
      <c r="P205" s="203">
        <f>P$204*'Methanol recycling rates'!R66</f>
        <v>3.235117568842226E-2</v>
      </c>
      <c r="Q205" s="203">
        <f>Q$204*'Methanol recycling rates'!S66</f>
        <v>3.7957293660706423E-2</v>
      </c>
      <c r="R205" s="203">
        <f>R$204*'Methanol recycling rates'!T66</f>
        <v>4.4058784215017001E-2</v>
      </c>
      <c r="S205" s="203">
        <f>S$204*'Methanol recycling rates'!U66</f>
        <v>5.0930589789999106E-2</v>
      </c>
      <c r="T205" s="203">
        <f>T$204*'Methanol recycling rates'!V66</f>
        <v>5.8378908312955613E-2</v>
      </c>
      <c r="U205" s="203">
        <f>U$204*'Methanol recycling rates'!W66</f>
        <v>6.6408297783726436E-2</v>
      </c>
      <c r="V205" s="203">
        <f>V$204*'Methanol recycling rates'!X66</f>
        <v>7.5021101620703967E-2</v>
      </c>
      <c r="W205" s="203">
        <f>W$204*'Methanol recycling rates'!Y66</f>
        <v>8.4217472820133588E-2</v>
      </c>
      <c r="X205" s="203">
        <f>X$204*'Methanol recycling rates'!Z66</f>
        <v>9.5948132782121887E-2</v>
      </c>
      <c r="Y205" s="203">
        <f>Y$204*'Methanol recycling rates'!AA66</f>
        <v>0.10852517926328541</v>
      </c>
      <c r="Z205" s="203">
        <f>Z$204*'Methanol recycling rates'!AB66</f>
        <v>0.12194643995600807</v>
      </c>
      <c r="AA205" s="203">
        <f>AA$204*'Methanol recycling rates'!AC66</f>
        <v>0.13620645572940268</v>
      </c>
      <c r="AB205" s="203">
        <f>AB$204*'Methanol recycling rates'!AD66</f>
        <v>0.15129651692226234</v>
      </c>
      <c r="AC205" s="203">
        <f>AC$204*'Methanol recycling rates'!AE66</f>
        <v>0.16668621734826228</v>
      </c>
      <c r="AD205" s="203">
        <f>AD$204*'Methanol recycling rates'!AF66</f>
        <v>0.18275790181386642</v>
      </c>
      <c r="AE205" s="203">
        <f>AE$204*'Methanol recycling rates'!AG66</f>
        <v>0.19948017432694801</v>
      </c>
      <c r="AF205" s="203">
        <f>AF$204*'Methanol recycling rates'!AH66</f>
        <v>0.21681798105018565</v>
      </c>
      <c r="AG205" s="203">
        <f>AG$204*'Methanol recycling rates'!AI66</f>
        <v>0.23473265213073977</v>
      </c>
      <c r="AH205" s="217"/>
      <c r="AI205" s="124"/>
      <c r="AJ205" s="185"/>
      <c r="AL205" s="100"/>
      <c r="AM205" s="2"/>
      <c r="AN205" s="2"/>
      <c r="AO205" s="2"/>
      <c r="BC205" s="1"/>
      <c r="BD205" s="2"/>
      <c r="BE205" s="2"/>
      <c r="BF205" s="2"/>
      <c r="BG205" s="2"/>
      <c r="BH205" s="2"/>
      <c r="BI205" s="2"/>
      <c r="BJ205" s="2"/>
      <c r="BK205" s="2"/>
    </row>
    <row r="206" spans="1:63" outlineLevel="1">
      <c r="A206" s="4" t="s">
        <v>160</v>
      </c>
      <c r="C206" s="203">
        <f>C$204*'Methanol recycling rates'!E67</f>
        <v>0</v>
      </c>
      <c r="D206" s="203">
        <f>D$204*'Methanol recycling rates'!F67</f>
        <v>0</v>
      </c>
      <c r="E206" s="203">
        <f>E$204*'Methanol recycling rates'!G67</f>
        <v>0</v>
      </c>
      <c r="F206" s="203">
        <f>F$204*'Methanol recycling rates'!H67</f>
        <v>0</v>
      </c>
      <c r="G206" s="203">
        <f>G$204*'Methanol recycling rates'!I67</f>
        <v>0</v>
      </c>
      <c r="H206" s="203">
        <f>H$204*'Methanol recycling rates'!J67</f>
        <v>0</v>
      </c>
      <c r="I206" s="203">
        <f>I$204*'Methanol recycling rates'!K67</f>
        <v>0</v>
      </c>
      <c r="J206" s="203">
        <f>J$204*'Methanol recycling rates'!L67</f>
        <v>0</v>
      </c>
      <c r="K206" s="203">
        <f>K$204*'Methanol recycling rates'!M67</f>
        <v>0</v>
      </c>
      <c r="L206" s="203">
        <f>L$204*'Methanol recycling rates'!N67</f>
        <v>0</v>
      </c>
      <c r="M206" s="203">
        <f>M$204*'Methanol recycling rates'!O67</f>
        <v>0</v>
      </c>
      <c r="N206" s="203">
        <f>N$204*'Methanol recycling rates'!P67</f>
        <v>0</v>
      </c>
      <c r="O206" s="203">
        <f>O$204*'Methanol recycling rates'!Q67</f>
        <v>0</v>
      </c>
      <c r="P206" s="203">
        <f>P$204*'Methanol recycling rates'!R67</f>
        <v>0</v>
      </c>
      <c r="Q206" s="203">
        <f>Q$204*'Methanol recycling rates'!S67</f>
        <v>0</v>
      </c>
      <c r="R206" s="203">
        <f>R$204*'Methanol recycling rates'!T67</f>
        <v>0</v>
      </c>
      <c r="S206" s="203">
        <f>S$204*'Methanol recycling rates'!U67</f>
        <v>0</v>
      </c>
      <c r="T206" s="203">
        <f>T$204*'Methanol recycling rates'!V67</f>
        <v>0</v>
      </c>
      <c r="U206" s="203">
        <f>U$204*'Methanol recycling rates'!W67</f>
        <v>0</v>
      </c>
      <c r="V206" s="203">
        <f>V$204*'Methanol recycling rates'!X67</f>
        <v>0</v>
      </c>
      <c r="W206" s="203">
        <f>W$204*'Methanol recycling rates'!Y67</f>
        <v>0</v>
      </c>
      <c r="X206" s="203">
        <f>X$204*'Methanol recycling rates'!Z67</f>
        <v>0</v>
      </c>
      <c r="Y206" s="203">
        <f>Y$204*'Methanol recycling rates'!AA67</f>
        <v>0</v>
      </c>
      <c r="Z206" s="203">
        <f>Z$204*'Methanol recycling rates'!AB67</f>
        <v>0</v>
      </c>
      <c r="AA206" s="203">
        <f>AA$204*'Methanol recycling rates'!AC67</f>
        <v>0</v>
      </c>
      <c r="AB206" s="203">
        <f>AB$204*'Methanol recycling rates'!AD67</f>
        <v>0</v>
      </c>
      <c r="AC206" s="203">
        <f>AC$204*'Methanol recycling rates'!AE67</f>
        <v>0</v>
      </c>
      <c r="AD206" s="203">
        <f>AD$204*'Methanol recycling rates'!AF67</f>
        <v>0</v>
      </c>
      <c r="AE206" s="203">
        <f>AE$204*'Methanol recycling rates'!AG67</f>
        <v>0</v>
      </c>
      <c r="AF206" s="203">
        <f>AF$204*'Methanol recycling rates'!AH67</f>
        <v>0</v>
      </c>
      <c r="AG206" s="203">
        <f>AG$204*'Methanol recycling rates'!AI67</f>
        <v>0</v>
      </c>
      <c r="AH206" s="217"/>
      <c r="AI206" s="124"/>
      <c r="AJ206" s="185"/>
      <c r="AL206" s="100"/>
      <c r="AM206" s="2"/>
      <c r="AN206" s="2"/>
      <c r="AO206" s="2"/>
      <c r="BC206" s="1"/>
      <c r="BD206" s="2"/>
      <c r="BE206" s="2"/>
      <c r="BF206" s="2"/>
      <c r="BG206" s="2"/>
      <c r="BH206" s="2"/>
      <c r="BI206" s="2"/>
      <c r="BJ206" s="2"/>
      <c r="BK206" s="2"/>
    </row>
    <row r="207" spans="1:63" outlineLevel="1">
      <c r="A207" s="4" t="s">
        <v>1040</v>
      </c>
      <c r="C207" s="203">
        <f>C$204*'Methanol recycling rates'!E68</f>
        <v>0</v>
      </c>
      <c r="D207" s="203">
        <f>D$204*'Methanol recycling rates'!F68</f>
        <v>1.6726292770541352E-4</v>
      </c>
      <c r="E207" s="203">
        <f>E$204*'Methanol recycling rates'!G68</f>
        <v>7.6294254756171587E-4</v>
      </c>
      <c r="F207" s="203">
        <f>F$204*'Methanol recycling rates'!H68</f>
        <v>1.9269350587384194E-3</v>
      </c>
      <c r="G207" s="203">
        <f>G$204*'Methanol recycling rates'!I68</f>
        <v>3.79788880086358E-3</v>
      </c>
      <c r="H207" s="203">
        <f>H$204*'Methanol recycling rates'!J68</f>
        <v>6.5132111639472079E-3</v>
      </c>
      <c r="I207" s="203">
        <f>I$204*'Methanol recycling rates'!K68</f>
        <v>1.0051345251768741E-2</v>
      </c>
      <c r="J207" s="203">
        <f>J$204*'Methanol recycling rates'!L68</f>
        <v>1.455629659133331E-2</v>
      </c>
      <c r="K207" s="203">
        <f>K$204*'Methanol recycling rates'!M68</f>
        <v>2.0103889821725462E-2</v>
      </c>
      <c r="L207" s="203">
        <f>L$204*'Methanol recycling rates'!N68</f>
        <v>2.676054672106443E-2</v>
      </c>
      <c r="M207" s="203">
        <f>M$204*'Methanol recycling rates'!O68</f>
        <v>3.4583386194437377E-2</v>
      </c>
      <c r="N207" s="203">
        <f>N$204*'Methanol recycling rates'!P68</f>
        <v>4.231895987823605E-2</v>
      </c>
      <c r="O207" s="203">
        <f>O$204*'Methanol recycling rates'!Q68</f>
        <v>5.0961528153630406E-2</v>
      </c>
      <c r="P207" s="203">
        <f>P$204*'Methanol recycling rates'!R68</f>
        <v>6.0523578414831185E-2</v>
      </c>
      <c r="Q207" s="203">
        <f>Q$204*'Methanol recycling rates'!S68</f>
        <v>7.1011677022628103E-2</v>
      </c>
      <c r="R207" s="203">
        <f>R$204*'Methanol recycling rates'!T68</f>
        <v>8.2426533952953726E-2</v>
      </c>
      <c r="S207" s="203">
        <f>S$204*'Methanol recycling rates'!U68</f>
        <v>9.5282520009675201E-2</v>
      </c>
      <c r="T207" s="203">
        <f>T$204*'Methanol recycling rates'!V68</f>
        <v>0.10921706429098639</v>
      </c>
      <c r="U207" s="203">
        <f>U$204*'Methanol recycling rates'!W68</f>
        <v>0.12423869404372934</v>
      </c>
      <c r="V207" s="203">
        <f>V$204*'Methanol recycling rates'!X68</f>
        <v>0.1403517934073924</v>
      </c>
      <c r="W207" s="203">
        <f>W$204*'Methanol recycling rates'!Y68</f>
        <v>0.15755664861207569</v>
      </c>
      <c r="X207" s="203">
        <f>X$204*'Methanol recycling rates'!Z68</f>
        <v>0.17950272948731277</v>
      </c>
      <c r="Y207" s="203">
        <f>Y$204*'Methanol recycling rates'!AA68</f>
        <v>0.2030322563972759</v>
      </c>
      <c r="Z207" s="203">
        <f>Z$204*'Methanol recycling rates'!AB68</f>
        <v>0.22814116532180062</v>
      </c>
      <c r="AA207" s="203">
        <f>AA$204*'Methanol recycling rates'!AC68</f>
        <v>0.2548192431502565</v>
      </c>
      <c r="AB207" s="203">
        <f>AB$204*'Methanol recycling rates'!AD68</f>
        <v>0.28305019557952144</v>
      </c>
      <c r="AC207" s="203">
        <f>AC$204*'Methanol recycling rates'!AE68</f>
        <v>0.3118417223383807</v>
      </c>
      <c r="AD207" s="203">
        <f>AD$204*'Methanol recycling rates'!AF68</f>
        <v>0.34190912589677841</v>
      </c>
      <c r="AE207" s="203">
        <f>AE$204*'Methanol recycling rates'!AG68</f>
        <v>0.37319366966320089</v>
      </c>
      <c r="AF207" s="203">
        <f>AF$204*'Methanol recycling rates'!AH68</f>
        <v>0.40562977383639781</v>
      </c>
      <c r="AG207" s="203">
        <f>AG$204*'Methanol recycling rates'!AI68</f>
        <v>0.43914509366163229</v>
      </c>
      <c r="AH207" s="217"/>
      <c r="AI207" s="124"/>
      <c r="AJ207" s="185"/>
      <c r="AL207" s="100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s="1" customFormat="1" outlineLevel="1">
      <c r="A208" s="1" t="s">
        <v>1046</v>
      </c>
      <c r="B208" s="60"/>
      <c r="C208" s="250">
        <f>C204-$C204</f>
        <v>0</v>
      </c>
      <c r="D208" s="250">
        <f t="shared" ref="D208:AG211" si="103">D204-$C204</f>
        <v>7.7000585663109964E-3</v>
      </c>
      <c r="E208" s="250">
        <f t="shared" si="103"/>
        <v>1.7561280253632641E-2</v>
      </c>
      <c r="F208" s="250">
        <f t="shared" si="103"/>
        <v>2.9569239698063566E-2</v>
      </c>
      <c r="G208" s="250">
        <f t="shared" si="103"/>
        <v>4.3709575391522509E-2</v>
      </c>
      <c r="H208" s="250">
        <f t="shared" si="103"/>
        <v>5.9967989446499351E-2</v>
      </c>
      <c r="I208" s="250">
        <f t="shared" si="103"/>
        <v>7.7120045039849261E-2</v>
      </c>
      <c r="J208" s="250">
        <f t="shared" si="103"/>
        <v>9.5729808494140575E-2</v>
      </c>
      <c r="K208" s="250">
        <f t="shared" si="103"/>
        <v>0.11568696898468449</v>
      </c>
      <c r="L208" s="250">
        <f t="shared" si="103"/>
        <v>0.13688214640100477</v>
      </c>
      <c r="M208" s="250">
        <f t="shared" si="103"/>
        <v>0.15920688629073915</v>
      </c>
      <c r="N208" s="250">
        <f t="shared" si="103"/>
        <v>0.17710737003223975</v>
      </c>
      <c r="O208" s="250">
        <f t="shared" si="103"/>
        <v>0.19550394738534782</v>
      </c>
      <c r="P208" s="250">
        <f t="shared" si="103"/>
        <v>0.21432635562289257</v>
      </c>
      <c r="Q208" s="250">
        <f t="shared" si="103"/>
        <v>0.23350493717857398</v>
      </c>
      <c r="R208" s="250">
        <f t="shared" si="103"/>
        <v>0.25297063633594147</v>
      </c>
      <c r="S208" s="250">
        <f t="shared" si="103"/>
        <v>0.27414958087438934</v>
      </c>
      <c r="T208" s="250">
        <f t="shared" si="103"/>
        <v>0.29575759871283885</v>
      </c>
      <c r="U208" s="250">
        <f t="shared" si="103"/>
        <v>0.31774498637909299</v>
      </c>
      <c r="V208" s="250">
        <f t="shared" si="103"/>
        <v>0.34006246583383642</v>
      </c>
      <c r="W208" s="250">
        <f t="shared" si="103"/>
        <v>0.36266118214831394</v>
      </c>
      <c r="X208" s="250">
        <f t="shared" si="103"/>
        <v>0.39350123181347813</v>
      </c>
      <c r="Y208" s="250">
        <f t="shared" si="103"/>
        <v>0.42485104862803819</v>
      </c>
      <c r="Z208" s="250">
        <f t="shared" si="103"/>
        <v>0.45663600688409833</v>
      </c>
      <c r="AA208" s="250">
        <f t="shared" si="103"/>
        <v>0.48878212359957407</v>
      </c>
      <c r="AB208" s="250">
        <f t="shared" si="103"/>
        <v>0.52121605500214063</v>
      </c>
      <c r="AC208" s="250">
        <f t="shared" si="103"/>
        <v>0.55214762271535744</v>
      </c>
      <c r="AD208" s="250">
        <f t="shared" si="103"/>
        <v>0.58296336412293892</v>
      </c>
      <c r="AE208" s="250">
        <f t="shared" si="103"/>
        <v>0.6135791185608741</v>
      </c>
      <c r="AF208" s="250">
        <f t="shared" si="103"/>
        <v>0.643911470572328</v>
      </c>
      <c r="AG208" s="250">
        <f t="shared" si="103"/>
        <v>0.67387774579237203</v>
      </c>
      <c r="AH208" s="217"/>
      <c r="AI208" s="368"/>
      <c r="AJ208" s="369"/>
      <c r="AL208" s="194"/>
      <c r="AM208" s="116"/>
      <c r="AN208" s="116"/>
      <c r="AO208" s="116"/>
      <c r="BD208" s="116"/>
      <c r="BE208" s="116"/>
      <c r="BF208" s="116"/>
      <c r="BG208" s="116"/>
      <c r="BH208" s="116"/>
      <c r="BI208" s="116"/>
      <c r="BJ208" s="116"/>
      <c r="BK208" s="116"/>
    </row>
    <row r="209" spans="1:63" outlineLevel="1">
      <c r="A209" s="4" t="s">
        <v>35</v>
      </c>
      <c r="C209" s="203">
        <f t="shared" ref="C209:C211" si="104">C205-$C205</f>
        <v>0</v>
      </c>
      <c r="D209" s="203">
        <f t="shared" si="103"/>
        <v>8.9405691171619696E-5</v>
      </c>
      <c r="E209" s="203">
        <f t="shared" si="103"/>
        <v>4.0780946934712689E-4</v>
      </c>
      <c r="F209" s="203">
        <f t="shared" si="103"/>
        <v>1.0299889110679371E-3</v>
      </c>
      <c r="G209" s="203">
        <f t="shared" si="103"/>
        <v>2.030054584672755E-3</v>
      </c>
      <c r="H209" s="203">
        <f t="shared" si="103"/>
        <v>3.4814537438026846E-3</v>
      </c>
      <c r="I209" s="203">
        <f t="shared" si="103"/>
        <v>5.3726637562011119E-3</v>
      </c>
      <c r="J209" s="203">
        <f t="shared" si="103"/>
        <v>7.7806587239661572E-3</v>
      </c>
      <c r="K209" s="203">
        <f t="shared" si="103"/>
        <v>1.0745968574190403E-2</v>
      </c>
      <c r="L209" s="203">
        <f t="shared" si="103"/>
        <v>1.4304097199237E-2</v>
      </c>
      <c r="M209" s="203">
        <f t="shared" si="103"/>
        <v>1.8485575902475678E-2</v>
      </c>
      <c r="N209" s="203">
        <f t="shared" si="103"/>
        <v>2.26204091335852E-2</v>
      </c>
      <c r="O209" s="203">
        <f t="shared" si="103"/>
        <v>2.7240050800508724E-2</v>
      </c>
      <c r="P209" s="203">
        <f t="shared" si="103"/>
        <v>3.235117568842226E-2</v>
      </c>
      <c r="Q209" s="203">
        <f t="shared" si="103"/>
        <v>3.7957293660706423E-2</v>
      </c>
      <c r="R209" s="203">
        <f t="shared" si="103"/>
        <v>4.4058784215017001E-2</v>
      </c>
      <c r="S209" s="203">
        <f t="shared" si="103"/>
        <v>5.0930589789999106E-2</v>
      </c>
      <c r="T209" s="203">
        <f t="shared" si="103"/>
        <v>5.8378908312955613E-2</v>
      </c>
      <c r="U209" s="203">
        <f t="shared" si="103"/>
        <v>6.6408297783726436E-2</v>
      </c>
      <c r="V209" s="203">
        <f t="shared" si="103"/>
        <v>7.5021101620703967E-2</v>
      </c>
      <c r="W209" s="203">
        <f t="shared" si="103"/>
        <v>8.4217472820133588E-2</v>
      </c>
      <c r="X209" s="203">
        <f t="shared" si="103"/>
        <v>9.5948132782121887E-2</v>
      </c>
      <c r="Y209" s="203">
        <f t="shared" si="103"/>
        <v>0.10852517926328541</v>
      </c>
      <c r="Z209" s="203">
        <f t="shared" si="103"/>
        <v>0.12194643995600807</v>
      </c>
      <c r="AA209" s="203">
        <f t="shared" si="103"/>
        <v>0.13620645572940268</v>
      </c>
      <c r="AB209" s="203">
        <f t="shared" si="103"/>
        <v>0.15129651692226234</v>
      </c>
      <c r="AC209" s="203">
        <f t="shared" si="103"/>
        <v>0.16668621734826228</v>
      </c>
      <c r="AD209" s="203">
        <f t="shared" si="103"/>
        <v>0.18275790181386642</v>
      </c>
      <c r="AE209" s="203">
        <f t="shared" si="103"/>
        <v>0.19948017432694801</v>
      </c>
      <c r="AF209" s="203">
        <f t="shared" si="103"/>
        <v>0.21681798105018565</v>
      </c>
      <c r="AG209" s="203">
        <f t="shared" si="103"/>
        <v>0.23473265213073977</v>
      </c>
      <c r="AH209" s="217"/>
      <c r="AI209" s="124"/>
      <c r="AJ209" s="185"/>
      <c r="AL209" s="100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160</v>
      </c>
      <c r="C210" s="203">
        <f t="shared" si="104"/>
        <v>0</v>
      </c>
      <c r="D210" s="203">
        <f t="shared" si="103"/>
        <v>0</v>
      </c>
      <c r="E210" s="203">
        <f t="shared" si="103"/>
        <v>0</v>
      </c>
      <c r="F210" s="203">
        <f t="shared" si="103"/>
        <v>0</v>
      </c>
      <c r="G210" s="203">
        <f t="shared" si="103"/>
        <v>0</v>
      </c>
      <c r="H210" s="203">
        <f t="shared" si="103"/>
        <v>0</v>
      </c>
      <c r="I210" s="203">
        <f t="shared" si="103"/>
        <v>0</v>
      </c>
      <c r="J210" s="203">
        <f t="shared" si="103"/>
        <v>0</v>
      </c>
      <c r="K210" s="203">
        <f t="shared" si="103"/>
        <v>0</v>
      </c>
      <c r="L210" s="203">
        <f t="shared" si="103"/>
        <v>0</v>
      </c>
      <c r="M210" s="203">
        <f t="shared" si="103"/>
        <v>0</v>
      </c>
      <c r="N210" s="203">
        <f t="shared" si="103"/>
        <v>0</v>
      </c>
      <c r="O210" s="203">
        <f t="shared" si="103"/>
        <v>0</v>
      </c>
      <c r="P210" s="203">
        <f t="shared" si="103"/>
        <v>0</v>
      </c>
      <c r="Q210" s="203">
        <f t="shared" si="103"/>
        <v>0</v>
      </c>
      <c r="R210" s="203">
        <f t="shared" si="103"/>
        <v>0</v>
      </c>
      <c r="S210" s="203">
        <f t="shared" si="103"/>
        <v>0</v>
      </c>
      <c r="T210" s="203">
        <f t="shared" si="103"/>
        <v>0</v>
      </c>
      <c r="U210" s="203">
        <f t="shared" si="103"/>
        <v>0</v>
      </c>
      <c r="V210" s="203">
        <f t="shared" si="103"/>
        <v>0</v>
      </c>
      <c r="W210" s="203">
        <f t="shared" si="103"/>
        <v>0</v>
      </c>
      <c r="X210" s="203">
        <f t="shared" si="103"/>
        <v>0</v>
      </c>
      <c r="Y210" s="203">
        <f t="shared" si="103"/>
        <v>0</v>
      </c>
      <c r="Z210" s="203">
        <f t="shared" si="103"/>
        <v>0</v>
      </c>
      <c r="AA210" s="203">
        <f t="shared" si="103"/>
        <v>0</v>
      </c>
      <c r="AB210" s="203">
        <f t="shared" si="103"/>
        <v>0</v>
      </c>
      <c r="AC210" s="203">
        <f t="shared" si="103"/>
        <v>0</v>
      </c>
      <c r="AD210" s="203">
        <f t="shared" si="103"/>
        <v>0</v>
      </c>
      <c r="AE210" s="203">
        <f t="shared" si="103"/>
        <v>0</v>
      </c>
      <c r="AF210" s="203">
        <f t="shared" si="103"/>
        <v>0</v>
      </c>
      <c r="AG210" s="203">
        <f t="shared" si="103"/>
        <v>0</v>
      </c>
      <c r="AH210" s="217"/>
      <c r="AI210" s="124"/>
      <c r="AJ210" s="185"/>
      <c r="AL210" s="100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outlineLevel="1">
      <c r="A211" s="4" t="s">
        <v>1040</v>
      </c>
      <c r="C211" s="203">
        <f t="shared" si="104"/>
        <v>0</v>
      </c>
      <c r="D211" s="203">
        <f t="shared" si="103"/>
        <v>1.6726292770541352E-4</v>
      </c>
      <c r="E211" s="203">
        <f t="shared" si="103"/>
        <v>7.6294254756171587E-4</v>
      </c>
      <c r="F211" s="203">
        <f t="shared" si="103"/>
        <v>1.9269350587384194E-3</v>
      </c>
      <c r="G211" s="203">
        <f t="shared" si="103"/>
        <v>3.79788880086358E-3</v>
      </c>
      <c r="H211" s="203">
        <f t="shared" si="103"/>
        <v>6.5132111639472079E-3</v>
      </c>
      <c r="I211" s="203">
        <f t="shared" si="103"/>
        <v>1.0051345251768741E-2</v>
      </c>
      <c r="J211" s="203">
        <f t="shared" si="103"/>
        <v>1.455629659133331E-2</v>
      </c>
      <c r="K211" s="203">
        <f t="shared" si="103"/>
        <v>2.0103889821725462E-2</v>
      </c>
      <c r="L211" s="203">
        <f t="shared" si="103"/>
        <v>2.676054672106443E-2</v>
      </c>
      <c r="M211" s="203">
        <f t="shared" si="103"/>
        <v>3.4583386194437377E-2</v>
      </c>
      <c r="N211" s="203">
        <f t="shared" si="103"/>
        <v>4.231895987823605E-2</v>
      </c>
      <c r="O211" s="203">
        <f t="shared" si="103"/>
        <v>5.0961528153630406E-2</v>
      </c>
      <c r="P211" s="203">
        <f t="shared" si="103"/>
        <v>6.0523578414831185E-2</v>
      </c>
      <c r="Q211" s="203">
        <f t="shared" si="103"/>
        <v>7.1011677022628103E-2</v>
      </c>
      <c r="R211" s="203">
        <f t="shared" si="103"/>
        <v>8.2426533952953726E-2</v>
      </c>
      <c r="S211" s="203">
        <f t="shared" si="103"/>
        <v>9.5282520009675201E-2</v>
      </c>
      <c r="T211" s="203">
        <f t="shared" si="103"/>
        <v>0.10921706429098639</v>
      </c>
      <c r="U211" s="203">
        <f t="shared" si="103"/>
        <v>0.12423869404372934</v>
      </c>
      <c r="V211" s="203">
        <f t="shared" si="103"/>
        <v>0.1403517934073924</v>
      </c>
      <c r="W211" s="203">
        <f t="shared" si="103"/>
        <v>0.15755664861207569</v>
      </c>
      <c r="X211" s="203">
        <f t="shared" si="103"/>
        <v>0.17950272948731277</v>
      </c>
      <c r="Y211" s="203">
        <f t="shared" si="103"/>
        <v>0.2030322563972759</v>
      </c>
      <c r="Z211" s="203">
        <f t="shared" si="103"/>
        <v>0.22814116532180062</v>
      </c>
      <c r="AA211" s="203">
        <f t="shared" si="103"/>
        <v>0.2548192431502565</v>
      </c>
      <c r="AB211" s="203">
        <f t="shared" si="103"/>
        <v>0.28305019557952144</v>
      </c>
      <c r="AC211" s="203">
        <f t="shared" si="103"/>
        <v>0.3118417223383807</v>
      </c>
      <c r="AD211" s="203">
        <f t="shared" si="103"/>
        <v>0.34190912589677841</v>
      </c>
      <c r="AE211" s="203">
        <f t="shared" si="103"/>
        <v>0.37319366966320089</v>
      </c>
      <c r="AF211" s="203">
        <f t="shared" si="103"/>
        <v>0.40562977383639781</v>
      </c>
      <c r="AG211" s="203">
        <f t="shared" si="103"/>
        <v>0.43914509366163229</v>
      </c>
      <c r="AH211" s="217"/>
      <c r="AI211" s="124"/>
      <c r="AJ211" s="185"/>
      <c r="AL211" s="100"/>
      <c r="AM211" s="2"/>
      <c r="AN211" s="2"/>
      <c r="AO211" s="2"/>
      <c r="BC211" s="1"/>
      <c r="BD211" s="2"/>
      <c r="BE211" s="2"/>
      <c r="BF211" s="2"/>
      <c r="BG211" s="2"/>
      <c r="BH211" s="2"/>
      <c r="BI211" s="2"/>
      <c r="BJ211" s="2"/>
      <c r="BK211" s="2"/>
    </row>
    <row r="212" spans="1:63" outlineLevel="1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J212" s="185"/>
    </row>
    <row r="213" spans="1:63" s="174" customFormat="1" ht="15.5" thickBot="1">
      <c r="A213" s="174" t="s">
        <v>446</v>
      </c>
      <c r="B213" s="189"/>
      <c r="C213" s="197">
        <f>C214</f>
        <v>0.02</v>
      </c>
      <c r="D213" s="197">
        <f t="shared" ref="D213:AG213" si="105">D214</f>
        <v>4.1442327559921402E-2</v>
      </c>
      <c r="E213" s="197">
        <f t="shared" si="105"/>
        <v>6.28846551198428E-2</v>
      </c>
      <c r="F213" s="197">
        <f t="shared" si="105"/>
        <v>8.4326982679764198E-2</v>
      </c>
      <c r="G213" s="197">
        <f t="shared" si="105"/>
        <v>0.1057693102396856</v>
      </c>
      <c r="H213" s="197">
        <f t="shared" si="105"/>
        <v>0.12721163779960698</v>
      </c>
      <c r="I213" s="197">
        <f t="shared" si="105"/>
        <v>0.14865396535952838</v>
      </c>
      <c r="J213" s="197">
        <f t="shared" si="105"/>
        <v>0.17009629291944978</v>
      </c>
      <c r="K213" s="197">
        <f t="shared" si="105"/>
        <v>0.19153862047937117</v>
      </c>
      <c r="L213" s="197">
        <f t="shared" si="105"/>
        <v>0.21298094803929257</v>
      </c>
      <c r="M213" s="197">
        <f t="shared" si="105"/>
        <v>0.23442327559921397</v>
      </c>
      <c r="N213" s="197">
        <f t="shared" si="105"/>
        <v>0.24882881581566058</v>
      </c>
      <c r="O213" s="197">
        <f t="shared" si="105"/>
        <v>0.26323435603210721</v>
      </c>
      <c r="P213" s="197">
        <f t="shared" si="105"/>
        <v>0.27763989624855379</v>
      </c>
      <c r="Q213" s="197">
        <f t="shared" si="105"/>
        <v>0.29204543646500042</v>
      </c>
      <c r="R213" s="197">
        <f t="shared" si="105"/>
        <v>0.306450976681447</v>
      </c>
      <c r="S213" s="197">
        <f t="shared" si="105"/>
        <v>0.32085651689789363</v>
      </c>
      <c r="T213" s="197">
        <f t="shared" si="105"/>
        <v>0.33526205711434021</v>
      </c>
      <c r="U213" s="197">
        <f t="shared" si="105"/>
        <v>0.34966759733078684</v>
      </c>
      <c r="V213" s="197">
        <f t="shared" si="105"/>
        <v>0.36407313754723347</v>
      </c>
      <c r="W213" s="197">
        <f t="shared" si="105"/>
        <v>0.37847867776368005</v>
      </c>
      <c r="X213" s="197">
        <f t="shared" si="105"/>
        <v>0.40063080998731204</v>
      </c>
      <c r="Y213" s="197">
        <f t="shared" si="105"/>
        <v>0.42278294221094403</v>
      </c>
      <c r="Z213" s="197">
        <f t="shared" si="105"/>
        <v>0.44493507443457603</v>
      </c>
      <c r="AA213" s="197">
        <f t="shared" si="105"/>
        <v>0.46708720665820802</v>
      </c>
      <c r="AB213" s="197">
        <f t="shared" si="105"/>
        <v>0.48923933888184001</v>
      </c>
      <c r="AC213" s="197">
        <f t="shared" si="105"/>
        <v>0.51139147110547201</v>
      </c>
      <c r="AD213" s="197">
        <f t="shared" si="105"/>
        <v>0.533543603329104</v>
      </c>
      <c r="AE213" s="197">
        <f t="shared" si="105"/>
        <v>0.55569573555273599</v>
      </c>
      <c r="AF213" s="197">
        <f t="shared" si="105"/>
        <v>0.57784786777636798</v>
      </c>
      <c r="AG213" s="197">
        <f t="shared" si="105"/>
        <v>0.6</v>
      </c>
      <c r="AJ213" s="204" t="s">
        <v>458</v>
      </c>
      <c r="AL213" s="191"/>
      <c r="AM213" s="198"/>
      <c r="AN213" s="198"/>
      <c r="AO213" s="198"/>
    </row>
    <row r="214" spans="1:63" ht="15.5" outlineLevel="1" thickTop="1">
      <c r="A214" t="s">
        <v>454</v>
      </c>
      <c r="B214" s="50" t="s">
        <v>126</v>
      </c>
      <c r="C214" s="558">
        <f>'Ethylene Recycling HC'!C193</f>
        <v>0.02</v>
      </c>
      <c r="D214" s="102">
        <f>'Ethylene Recycling HC'!D193</f>
        <v>4.1442327559921402E-2</v>
      </c>
      <c r="E214" s="102">
        <f>'Ethylene Recycling HC'!E193</f>
        <v>6.28846551198428E-2</v>
      </c>
      <c r="F214" s="102">
        <f>'Ethylene Recycling HC'!F193</f>
        <v>8.4326982679764198E-2</v>
      </c>
      <c r="G214" s="102">
        <f>'Ethylene Recycling HC'!G193</f>
        <v>0.1057693102396856</v>
      </c>
      <c r="H214" s="102">
        <f>'Ethylene Recycling HC'!H193</f>
        <v>0.12721163779960698</v>
      </c>
      <c r="I214" s="102">
        <f>'Ethylene Recycling HC'!I193</f>
        <v>0.14865396535952838</v>
      </c>
      <c r="J214" s="102">
        <f>'Ethylene Recycling HC'!J193</f>
        <v>0.17009629291944978</v>
      </c>
      <c r="K214" s="102">
        <f>'Ethylene Recycling HC'!K193</f>
        <v>0.19153862047937117</v>
      </c>
      <c r="L214" s="102">
        <f>'Ethylene Recycling HC'!L193</f>
        <v>0.21298094803929257</v>
      </c>
      <c r="M214" s="113">
        <f>'Ethylene Recycling HC'!M193</f>
        <v>0.23442327559921397</v>
      </c>
      <c r="N214" s="113">
        <f>'Ethylene Recycling HC'!N193</f>
        <v>0.24882881581566058</v>
      </c>
      <c r="O214" s="113">
        <f>'Ethylene Recycling HC'!O193</f>
        <v>0.26323435603210721</v>
      </c>
      <c r="P214" s="113">
        <f>'Ethylene Recycling HC'!P193</f>
        <v>0.27763989624855379</v>
      </c>
      <c r="Q214" s="113">
        <f>'Ethylene Recycling HC'!Q193</f>
        <v>0.29204543646500042</v>
      </c>
      <c r="R214" s="113">
        <f>'Ethylene Recycling HC'!R193</f>
        <v>0.306450976681447</v>
      </c>
      <c r="S214" s="113">
        <f>'Ethylene Recycling HC'!S193</f>
        <v>0.32085651689789363</v>
      </c>
      <c r="T214" s="113">
        <f>'Ethylene Recycling HC'!T193</f>
        <v>0.33526205711434021</v>
      </c>
      <c r="U214" s="113">
        <f>'Ethylene Recycling HC'!U193</f>
        <v>0.34966759733078684</v>
      </c>
      <c r="V214" s="113">
        <f>'Ethylene Recycling HC'!V193</f>
        <v>0.36407313754723347</v>
      </c>
      <c r="W214" s="113">
        <f>'Ethylene Recycling HC'!W193</f>
        <v>0.37847867776368005</v>
      </c>
      <c r="X214" s="22">
        <f>'Ethylene Recycling HC'!X193</f>
        <v>0.40063080998731204</v>
      </c>
      <c r="Y214" s="22">
        <f>'Ethylene Recycling HC'!Y193</f>
        <v>0.42278294221094403</v>
      </c>
      <c r="Z214" s="22">
        <f>'Ethylene Recycling HC'!Z193</f>
        <v>0.44493507443457603</v>
      </c>
      <c r="AA214" s="22">
        <f>'Ethylene Recycling HC'!AA193</f>
        <v>0.46708720665820802</v>
      </c>
      <c r="AB214" s="22">
        <f>'Ethylene Recycling HC'!AB193</f>
        <v>0.48923933888184001</v>
      </c>
      <c r="AC214" s="22">
        <f>'Ethylene Recycling HC'!AC193</f>
        <v>0.51139147110547201</v>
      </c>
      <c r="AD214" s="22">
        <f>'Ethylene Recycling HC'!AD193</f>
        <v>0.533543603329104</v>
      </c>
      <c r="AE214" s="22">
        <f>'Ethylene Recycling HC'!AE193</f>
        <v>0.55569573555273599</v>
      </c>
      <c r="AF214" s="22">
        <f>'Ethylene Recycling HC'!AF193</f>
        <v>0.57784786777636798</v>
      </c>
      <c r="AG214" s="558">
        <f>'Ethylene Recycling HC'!AG193</f>
        <v>0.6</v>
      </c>
      <c r="AJ214" s="185" t="s">
        <v>1469</v>
      </c>
    </row>
    <row r="215" spans="1:63" outlineLevel="1">
      <c r="C215" s="105"/>
      <c r="D215" s="102"/>
      <c r="E215" s="102"/>
      <c r="F215" s="102"/>
      <c r="G215" s="102"/>
      <c r="H215" s="102"/>
      <c r="I215" s="102"/>
      <c r="J215" s="102"/>
      <c r="K215" s="102"/>
      <c r="L215" s="102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22"/>
      <c r="Y215" s="22"/>
      <c r="Z215" s="22"/>
      <c r="AA215" s="22"/>
      <c r="AB215" s="22"/>
      <c r="AC215" s="22"/>
      <c r="AD215" s="22"/>
      <c r="AE215" s="22"/>
      <c r="AF215" s="22"/>
      <c r="AG215" s="98"/>
      <c r="AJ215" s="185"/>
    </row>
    <row r="216" spans="1:63" outlineLevel="1">
      <c r="A216" t="s">
        <v>992</v>
      </c>
      <c r="C216" s="437">
        <f>'Overall recycling rates'!E85</f>
        <v>0</v>
      </c>
      <c r="D216" s="437">
        <f>C216-($C216-$AG216)/($AG$1-$C$1)</f>
        <v>2.6666666666666668E-2</v>
      </c>
      <c r="E216" s="437">
        <f t="shared" ref="E216:AF216" si="106">D216-($C216-$AG216)/($AG$1-$C$1)</f>
        <v>5.3333333333333337E-2</v>
      </c>
      <c r="F216" s="437">
        <f t="shared" si="106"/>
        <v>0.08</v>
      </c>
      <c r="G216" s="437">
        <f t="shared" si="106"/>
        <v>0.10666666666666667</v>
      </c>
      <c r="H216" s="437">
        <f t="shared" si="106"/>
        <v>0.13333333333333333</v>
      </c>
      <c r="I216" s="437">
        <f t="shared" si="106"/>
        <v>0.16</v>
      </c>
      <c r="J216" s="437">
        <f t="shared" si="106"/>
        <v>0.18666666666666668</v>
      </c>
      <c r="K216" s="437">
        <f t="shared" si="106"/>
        <v>0.21333333333333335</v>
      </c>
      <c r="L216" s="437">
        <f t="shared" si="106"/>
        <v>0.24000000000000002</v>
      </c>
      <c r="M216" s="437">
        <f t="shared" si="106"/>
        <v>0.26666666666666666</v>
      </c>
      <c r="N216" s="437">
        <f t="shared" si="106"/>
        <v>0.29333333333333333</v>
      </c>
      <c r="O216" s="437">
        <f t="shared" si="106"/>
        <v>0.32</v>
      </c>
      <c r="P216" s="437">
        <f t="shared" si="106"/>
        <v>0.34666666666666668</v>
      </c>
      <c r="Q216" s="437">
        <f t="shared" si="106"/>
        <v>0.37333333333333335</v>
      </c>
      <c r="R216" s="437">
        <f t="shared" si="106"/>
        <v>0.4</v>
      </c>
      <c r="S216" s="437">
        <f t="shared" si="106"/>
        <v>0.42666666666666669</v>
      </c>
      <c r="T216" s="437">
        <f t="shared" si="106"/>
        <v>0.45333333333333337</v>
      </c>
      <c r="U216" s="437">
        <f t="shared" si="106"/>
        <v>0.48000000000000004</v>
      </c>
      <c r="V216" s="437">
        <f t="shared" si="106"/>
        <v>0.50666666666666671</v>
      </c>
      <c r="W216" s="437">
        <f t="shared" si="106"/>
        <v>0.53333333333333333</v>
      </c>
      <c r="X216" s="437">
        <f t="shared" si="106"/>
        <v>0.55999999999999994</v>
      </c>
      <c r="Y216" s="437">
        <f t="shared" si="106"/>
        <v>0.58666666666666656</v>
      </c>
      <c r="Z216" s="437">
        <f t="shared" si="106"/>
        <v>0.61333333333333317</v>
      </c>
      <c r="AA216" s="437">
        <f t="shared" si="106"/>
        <v>0.63999999999999979</v>
      </c>
      <c r="AB216" s="437">
        <f t="shared" si="106"/>
        <v>0.66666666666666641</v>
      </c>
      <c r="AC216" s="437">
        <f t="shared" si="106"/>
        <v>0.69333333333333302</v>
      </c>
      <c r="AD216" s="437">
        <f t="shared" si="106"/>
        <v>0.71999999999999964</v>
      </c>
      <c r="AE216" s="437">
        <f t="shared" si="106"/>
        <v>0.74666666666666626</v>
      </c>
      <c r="AF216" s="437">
        <f t="shared" si="106"/>
        <v>0.77333333333333287</v>
      </c>
      <c r="AG216" s="437">
        <f>'Overall recycling rates'!E94</f>
        <v>0.8</v>
      </c>
      <c r="AI216" s="124"/>
      <c r="AJ216" s="185" t="s">
        <v>1000</v>
      </c>
      <c r="AL216" s="100"/>
      <c r="AM216" s="181"/>
      <c r="AN216" s="181"/>
      <c r="AO216" s="181"/>
      <c r="BC216" s="1"/>
      <c r="BD216" s="181"/>
      <c r="BE216" s="181"/>
      <c r="BF216" s="181"/>
      <c r="BG216" s="181"/>
      <c r="BH216" s="181"/>
      <c r="BI216" s="181"/>
      <c r="BJ216" s="181"/>
      <c r="BK216" s="181"/>
    </row>
    <row r="217" spans="1:63" outlineLevel="1">
      <c r="A217" t="s">
        <v>1001</v>
      </c>
      <c r="B217" s="50" t="s">
        <v>126</v>
      </c>
      <c r="C217" s="102">
        <f>C214*C216</f>
        <v>0</v>
      </c>
      <c r="D217" s="102">
        <f t="shared" ref="D217:AG217" si="107">D214*D216</f>
        <v>1.1051287349312375E-3</v>
      </c>
      <c r="E217" s="102">
        <f t="shared" si="107"/>
        <v>3.353848273058283E-3</v>
      </c>
      <c r="F217" s="102">
        <f t="shared" si="107"/>
        <v>6.7461586143811357E-3</v>
      </c>
      <c r="G217" s="102">
        <f t="shared" si="107"/>
        <v>1.1282059758899798E-2</v>
      </c>
      <c r="H217" s="102">
        <f t="shared" si="107"/>
        <v>1.6961551706614265E-2</v>
      </c>
      <c r="I217" s="102">
        <f t="shared" si="107"/>
        <v>2.3784634457524542E-2</v>
      </c>
      <c r="J217" s="102">
        <f t="shared" si="107"/>
        <v>3.1751308011630626E-2</v>
      </c>
      <c r="K217" s="102">
        <f t="shared" si="107"/>
        <v>4.0861572368932522E-2</v>
      </c>
      <c r="L217" s="102">
        <f t="shared" si="107"/>
        <v>5.111542752943022E-2</v>
      </c>
      <c r="M217" s="102">
        <f t="shared" si="107"/>
        <v>6.2512873493123719E-2</v>
      </c>
      <c r="N217" s="102">
        <f t="shared" si="107"/>
        <v>7.2989785972593771E-2</v>
      </c>
      <c r="O217" s="102">
        <f t="shared" si="107"/>
        <v>8.423499393027431E-2</v>
      </c>
      <c r="P217" s="102">
        <f t="shared" si="107"/>
        <v>9.6248497366165323E-2</v>
      </c>
      <c r="Q217" s="102">
        <f t="shared" si="107"/>
        <v>0.10903029628026682</v>
      </c>
      <c r="R217" s="102">
        <f t="shared" si="107"/>
        <v>0.12258039067257881</v>
      </c>
      <c r="S217" s="102">
        <f t="shared" si="107"/>
        <v>0.13689878054310128</v>
      </c>
      <c r="T217" s="102">
        <f t="shared" si="107"/>
        <v>0.15198546589183423</v>
      </c>
      <c r="U217" s="102">
        <f t="shared" si="107"/>
        <v>0.16784044671877771</v>
      </c>
      <c r="V217" s="102">
        <f t="shared" si="107"/>
        <v>0.18446372302393163</v>
      </c>
      <c r="W217" s="102">
        <f t="shared" si="107"/>
        <v>0.20185529480729603</v>
      </c>
      <c r="X217" s="102">
        <f t="shared" si="107"/>
        <v>0.22435325359289471</v>
      </c>
      <c r="Y217" s="102">
        <f t="shared" si="107"/>
        <v>0.24803265943042047</v>
      </c>
      <c r="Z217" s="102">
        <f t="shared" si="107"/>
        <v>0.27289351231987324</v>
      </c>
      <c r="AA217" s="102">
        <f t="shared" si="107"/>
        <v>0.29893581226125304</v>
      </c>
      <c r="AB217" s="102">
        <f t="shared" si="107"/>
        <v>0.32615955925455986</v>
      </c>
      <c r="AC217" s="102">
        <f t="shared" si="107"/>
        <v>0.35456475329979376</v>
      </c>
      <c r="AD217" s="102">
        <f t="shared" si="107"/>
        <v>0.38415139439695467</v>
      </c>
      <c r="AE217" s="102">
        <f t="shared" si="107"/>
        <v>0.41491948254604266</v>
      </c>
      <c r="AF217" s="102">
        <f t="shared" si="107"/>
        <v>0.44686901774705762</v>
      </c>
      <c r="AG217" s="102">
        <f t="shared" si="107"/>
        <v>0.48</v>
      </c>
      <c r="AJ217" s="185" t="s">
        <v>447</v>
      </c>
    </row>
    <row r="218" spans="1:63" outlineLevel="1"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I218" s="125"/>
      <c r="AJ218" s="185"/>
      <c r="BC218" s="1"/>
      <c r="BD218" s="37"/>
      <c r="BF218" s="6"/>
      <c r="BG218" s="6"/>
      <c r="BH218" s="6"/>
      <c r="BI218" s="6"/>
      <c r="BJ218" s="6"/>
    </row>
    <row r="219" spans="1:63" s="1" customFormat="1" outlineLevel="1">
      <c r="A219" s="1" t="s">
        <v>265</v>
      </c>
      <c r="B219" s="60"/>
      <c r="C219" s="250">
        <f>C217*C41</f>
        <v>0</v>
      </c>
      <c r="D219" s="250">
        <f t="shared" ref="D219:AG219" si="108">D217*D41</f>
        <v>25.351732512652081</v>
      </c>
      <c r="E219" s="250">
        <f t="shared" si="108"/>
        <v>76.767674813385128</v>
      </c>
      <c r="F219" s="250">
        <f t="shared" si="108"/>
        <v>154.07484017670481</v>
      </c>
      <c r="G219" s="250">
        <f t="shared" si="108"/>
        <v>257.10100618487951</v>
      </c>
      <c r="H219" s="250">
        <f t="shared" si="108"/>
        <v>385.67471191482559</v>
      </c>
      <c r="I219" s="250">
        <f t="shared" si="108"/>
        <v>539.62525513431081</v>
      </c>
      <c r="J219" s="250">
        <f t="shared" si="108"/>
        <v>718.78268950744473</v>
      </c>
      <c r="K219" s="250">
        <f t="shared" si="108"/>
        <v>922.97782180943057</v>
      </c>
      <c r="L219" s="250">
        <f t="shared" si="108"/>
        <v>1152.0422091505459</v>
      </c>
      <c r="M219" s="250">
        <f t="shared" si="108"/>
        <v>1405.8081562093287</v>
      </c>
      <c r="N219" s="250">
        <f t="shared" si="108"/>
        <v>1637.7925420844642</v>
      </c>
      <c r="O219" s="250">
        <f t="shared" si="108"/>
        <v>1885.9472899074453</v>
      </c>
      <c r="P219" s="250">
        <f t="shared" si="108"/>
        <v>2150.1619010540726</v>
      </c>
      <c r="Q219" s="250">
        <f t="shared" si="108"/>
        <v>2430.3263697930379</v>
      </c>
      <c r="R219" s="250">
        <f t="shared" si="108"/>
        <v>2726.3311814631775</v>
      </c>
      <c r="S219" s="250">
        <f t="shared" si="108"/>
        <v>3038.0673106567629</v>
      </c>
      <c r="T219" s="250">
        <f t="shared" si="108"/>
        <v>3365.426219408846</v>
      </c>
      <c r="U219" s="250">
        <f t="shared" si="108"/>
        <v>3708.2998553926118</v>
      </c>
      <c r="V219" s="250">
        <f t="shared" si="108"/>
        <v>4066.5806501207239</v>
      </c>
      <c r="W219" s="250">
        <f t="shared" si="108"/>
        <v>4440.1615171526619</v>
      </c>
      <c r="X219" s="250">
        <f t="shared" si="108"/>
        <v>4924.149132362264</v>
      </c>
      <c r="Y219" s="250">
        <f t="shared" si="108"/>
        <v>5431.8516185943827</v>
      </c>
      <c r="Z219" s="250">
        <f t="shared" si="108"/>
        <v>5963.1047950480661</v>
      </c>
      <c r="AA219" s="250">
        <f t="shared" si="108"/>
        <v>6517.7452163244525</v>
      </c>
      <c r="AB219" s="250">
        <f t="shared" si="108"/>
        <v>7095.6101697016165</v>
      </c>
      <c r="AC219" s="250">
        <f t="shared" si="108"/>
        <v>7696.5376724184807</v>
      </c>
      <c r="AD219" s="250">
        <f t="shared" si="108"/>
        <v>8320.3664689677698</v>
      </c>
      <c r="AE219" s="250">
        <f t="shared" si="108"/>
        <v>8966.9360283979604</v>
      </c>
      <c r="AF219" s="250">
        <f t="shared" si="108"/>
        <v>9636.0865416242123</v>
      </c>
      <c r="AG219" s="250">
        <f t="shared" si="108"/>
        <v>10327.658918748268</v>
      </c>
      <c r="AH219" s="217"/>
      <c r="AI219" s="368"/>
      <c r="AJ219" s="369"/>
      <c r="AL219" s="194"/>
      <c r="AM219" s="116"/>
      <c r="AN219" s="116"/>
      <c r="AO219" s="116"/>
      <c r="BD219" s="116"/>
      <c r="BE219" s="116"/>
      <c r="BF219" s="116"/>
      <c r="BG219" s="116"/>
      <c r="BH219" s="116"/>
      <c r="BI219" s="116"/>
      <c r="BJ219" s="116"/>
      <c r="BK219" s="116"/>
    </row>
    <row r="220" spans="1:63" outlineLevel="1">
      <c r="A220" s="4" t="s">
        <v>35</v>
      </c>
      <c r="C220" s="203">
        <f>C$219*'Methanol recycling rates'!E69</f>
        <v>0</v>
      </c>
      <c r="D220" s="203">
        <f>D$219*'Methanol recycling rates'!F69</f>
        <v>2.7495258752234161E-5</v>
      </c>
      <c r="E220" s="203">
        <f>E$219*'Methanol recycling rates'!G69</f>
        <v>1.6651698906557964E-4</v>
      </c>
      <c r="F220" s="203">
        <f>F$219*'Methanol recycling rates'!H69</f>
        <v>5.013062830029585E-4</v>
      </c>
      <c r="G220" s="203">
        <f>G$219*'Methanol recycling rates'!I69</f>
        <v>1.1153570963223314E-3</v>
      </c>
      <c r="H220" s="203">
        <f>H$219*'Methanol recycling rates'!J69</f>
        <v>2.0914203778773961E-3</v>
      </c>
      <c r="I220" s="203">
        <f>I$219*'Methanol recycling rates'!K69</f>
        <v>3.5115081807731135E-3</v>
      </c>
      <c r="J220" s="203">
        <f>J$219*'Methanol recycling rates'!L69</f>
        <v>5.4568977553465714E-3</v>
      </c>
      <c r="K220" s="203">
        <f>K$219*'Methanol recycling rates'!M69</f>
        <v>8.0081356240434675E-3</v>
      </c>
      <c r="L220" s="203">
        <f>L$219*'Methanol recycling rates'!N69</f>
        <v>1.1245041638260199E-2</v>
      </c>
      <c r="M220" s="203">
        <f>M$219*'Methanol recycling rates'!O69</f>
        <v>1.5246713017221386E-2</v>
      </c>
      <c r="N220" s="203">
        <f>N$219*'Methanol recycling rates'!P69</f>
        <v>1.9538973391692263E-2</v>
      </c>
      <c r="O220" s="203">
        <f>O$219*'Methanol recycling rates'!Q69</f>
        <v>2.4544882857154473E-2</v>
      </c>
      <c r="P220" s="203">
        <f>P$219*'Methanol recycling rates'!R69</f>
        <v>3.031549624426072E-2</v>
      </c>
      <c r="Q220" s="203">
        <f>Q$219*'Methanol recycling rates'!S69</f>
        <v>3.6901396501830615E-2</v>
      </c>
      <c r="R220" s="203">
        <f>R$219*'Methanol recycling rates'!T69</f>
        <v>4.4352697340036266E-2</v>
      </c>
      <c r="S220" s="203">
        <f>S$219*'Methanol recycling rates'!U69</f>
        <v>5.2719045861831494E-2</v>
      </c>
      <c r="T220" s="203">
        <f>T$219*'Methanol recycling rates'!V69</f>
        <v>6.2049625182670765E-2</v>
      </c>
      <c r="U220" s="203">
        <f>U$219*'Methanol recycling rates'!W69</f>
        <v>7.2393157038562903E-2</v>
      </c>
      <c r="V220" s="203">
        <f>V$219*'Methanol recycling rates'!X69</f>
        <v>8.3797904382504937E-2</v>
      </c>
      <c r="W220" s="203">
        <f>W$219*'Methanol recycling rates'!Y69</f>
        <v>9.6311673969341469E-2</v>
      </c>
      <c r="X220" s="203">
        <f>X$219*'Methanol recycling rates'!Z69</f>
        <v>0.11215035673351914</v>
      </c>
      <c r="Y220" s="203">
        <f>Y$219*'Methanol recycling rates'!AA69</f>
        <v>0.12960469841712438</v>
      </c>
      <c r="Z220" s="203">
        <f>Z$219*'Methanol recycling rates'!AB69</f>
        <v>0.14874776357664446</v>
      </c>
      <c r="AA220" s="203">
        <f>AA$219*'Methanol recycling rates'!AC69</f>
        <v>0.16965192366040488</v>
      </c>
      <c r="AB220" s="203">
        <f>AB$219*'Methanol recycling rates'!AD69</f>
        <v>0.19238886092258725</v>
      </c>
      <c r="AC220" s="203">
        <f>AC$219*'Methanol recycling rates'!AE69</f>
        <v>0.2170295723197693</v>
      </c>
      <c r="AD220" s="203">
        <f>AD$219*'Methanol recycling rates'!AF69</f>
        <v>0.24364437339005535</v>
      </c>
      <c r="AE220" s="203">
        <f>AE$219*'Methanol recycling rates'!AG69</f>
        <v>0.27230290211486435</v>
      </c>
      <c r="AF220" s="203">
        <f>AF$219*'Methanol recycling rates'!AH69</f>
        <v>0.30307412276344325</v>
      </c>
      <c r="AG220" s="203">
        <f>AG$219*'Methanol recycling rates'!AI69</f>
        <v>0.3360263297201736</v>
      </c>
      <c r="AH220" s="217"/>
      <c r="AI220" s="124"/>
      <c r="AJ220" s="185"/>
      <c r="AL220" s="100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outlineLevel="1">
      <c r="A221" s="4" t="s">
        <v>160</v>
      </c>
      <c r="C221" s="203">
        <f>C$219*'Methanol recycling rates'!E70</f>
        <v>0</v>
      </c>
      <c r="D221" s="203">
        <f>D$219*'Methanol recycling rates'!F70</f>
        <v>4.8116897874622984E-2</v>
      </c>
      <c r="E221" s="203">
        <f>E$219*'Methanol recycling rates'!G70</f>
        <v>0.29140591217775541</v>
      </c>
      <c r="F221" s="203">
        <f>F$219*'Methanol recycling rates'!H70</f>
        <v>0.87728955164679767</v>
      </c>
      <c r="G221" s="203">
        <f>G$219*'Methanol recycling rates'!I70</f>
        <v>1.9518828311850978</v>
      </c>
      <c r="H221" s="203">
        <f>H$219*'Methanol recycling rates'!J70</f>
        <v>3.6600004983424661</v>
      </c>
      <c r="I221" s="203">
        <f>I$219*'Methanol recycling rates'!K70</f>
        <v>6.1451642278665144</v>
      </c>
      <c r="J221" s="203">
        <f>J$219*'Methanol recycling rates'!L70</f>
        <v>9.5496097844482026</v>
      </c>
      <c r="K221" s="203">
        <f>K$219*'Methanol recycling rates'!M70</f>
        <v>14.01429415378459</v>
      </c>
      <c r="L221" s="203">
        <f>L$219*'Methanol recycling rates'!N70</f>
        <v>19.678902642081276</v>
      </c>
      <c r="M221" s="203">
        <f>M$219*'Methanol recycling rates'!O70</f>
        <v>26.68185594411672</v>
      </c>
      <c r="N221" s="203">
        <f>N$219*'Methanol recycling rates'!P70</f>
        <v>34.193342049804826</v>
      </c>
      <c r="O221" s="203">
        <f>O$219*'Methanol recycling rates'!Q70</f>
        <v>42.953719127532146</v>
      </c>
      <c r="P221" s="203">
        <f>P$219*'Methanol recycling rates'!R70</f>
        <v>53.052333493136601</v>
      </c>
      <c r="Q221" s="203">
        <f>Q$219*'Methanol recycling rates'!S70</f>
        <v>64.577705665900538</v>
      </c>
      <c r="R221" s="203">
        <f>R$219*'Methanol recycling rates'!T70</f>
        <v>77.617534994144293</v>
      </c>
      <c r="S221" s="203">
        <f>S$219*'Methanol recycling rates'!U70</f>
        <v>92.258704260245963</v>
      </c>
      <c r="T221" s="203">
        <f>T$219*'Methanol recycling rates'!V70</f>
        <v>108.58728426516814</v>
      </c>
      <c r="U221" s="203">
        <f>U$219*'Methanol recycling rates'!W70</f>
        <v>126.68853839257039</v>
      </c>
      <c r="V221" s="203">
        <f>V$219*'Methanol recycling rates'!X70</f>
        <v>146.64692715258693</v>
      </c>
      <c r="W221" s="203">
        <f>W$219*'Methanol recycling rates'!Y70</f>
        <v>168.54611270534883</v>
      </c>
      <c r="X221" s="203">
        <f>X$219*'Methanol recycling rates'!Z70</f>
        <v>196.26391990621983</v>
      </c>
      <c r="Y221" s="203">
        <f>Y$219*'Methanol recycling rates'!AA70</f>
        <v>226.80914167797587</v>
      </c>
      <c r="Z221" s="203">
        <f>Z$219*'Methanol recycling rates'!AB70</f>
        <v>260.30964151280779</v>
      </c>
      <c r="AA221" s="203">
        <f>AA$219*'Methanol recycling rates'!AC70</f>
        <v>296.89206995870626</v>
      </c>
      <c r="AB221" s="203">
        <f>AB$219*'Methanol recycling rates'!AD70</f>
        <v>336.68187146902085</v>
      </c>
      <c r="AC221" s="203">
        <f>AC$219*'Methanol recycling rates'!AE70</f>
        <v>379.8032912214328</v>
      </c>
      <c r="AD221" s="203">
        <f>AD$219*'Methanol recycling rates'!AF70</f>
        <v>426.37938190646048</v>
      </c>
      <c r="AE221" s="203">
        <f>AE$219*'Methanol recycling rates'!AG70</f>
        <v>476.53201048561635</v>
      </c>
      <c r="AF221" s="203">
        <f>AF$219*'Methanol recycling rates'!AH70</f>
        <v>530.3818649193322</v>
      </c>
      <c r="AG221" s="203">
        <f>AG$219*'Methanol recycling rates'!AI70</f>
        <v>588.04846086477335</v>
      </c>
      <c r="AH221" s="217"/>
      <c r="AI221" s="124"/>
      <c r="AJ221" s="185"/>
      <c r="AL221" s="100"/>
      <c r="AM221" s="2"/>
      <c r="AN221" s="2"/>
      <c r="AO221" s="2"/>
      <c r="BC221" s="1"/>
      <c r="BD221" s="2"/>
      <c r="BE221" s="2"/>
      <c r="BF221" s="2"/>
      <c r="BG221" s="2"/>
      <c r="BH221" s="2"/>
      <c r="BI221" s="2"/>
      <c r="BJ221" s="2"/>
      <c r="BK221" s="2"/>
    </row>
    <row r="222" spans="1:63" outlineLevel="1">
      <c r="A222" s="4" t="s">
        <v>1040</v>
      </c>
      <c r="C222" s="203">
        <f>C$219*'Methanol recycling rates'!E71</f>
        <v>0</v>
      </c>
      <c r="D222" s="203">
        <f>D$219*'Methanol recycling rates'!F71</f>
        <v>0.79691335728836099</v>
      </c>
      <c r="E222" s="203">
        <f>E$219*'Methanol recycling rates'!G71</f>
        <v>4.8262725583921879</v>
      </c>
      <c r="F222" s="203">
        <f>F$219*'Methanol recycling rates'!H71</f>
        <v>14.529693159740683</v>
      </c>
      <c r="G222" s="203">
        <f>G$219*'Methanol recycling rates'!I71</f>
        <v>32.327135969702518</v>
      </c>
      <c r="H222" s="203">
        <f>H$219*'Methanol recycling rates'!J71</f>
        <v>60.617026733750592</v>
      </c>
      <c r="I222" s="203">
        <f>I$219*'Methanol recycling rates'!K71</f>
        <v>101.77637529081487</v>
      </c>
      <c r="J222" s="203">
        <f>J$219*'Methanol recycling rates'!L71</f>
        <v>158.1608942028669</v>
      </c>
      <c r="K222" s="203">
        <f>K$219*'Methanol recycling rates'!M71</f>
        <v>232.10511685977283</v>
      </c>
      <c r="L222" s="203">
        <f>L$219*'Methanol recycling rates'!N71</f>
        <v>325.92251506144419</v>
      </c>
      <c r="M222" s="203">
        <f>M$219*'Methanol recycling rates'!O71</f>
        <v>441.90561607930891</v>
      </c>
      <c r="N222" s="203">
        <f>N$219*'Methanol recycling rates'!P71</f>
        <v>566.31105107444034</v>
      </c>
      <c r="O222" s="203">
        <f>O$219*'Methanol recycling rates'!Q71</f>
        <v>711.40065195258876</v>
      </c>
      <c r="P222" s="203">
        <f>P$219*'Methanol recycling rates'!R71</f>
        <v>878.6541748007171</v>
      </c>
      <c r="Q222" s="203">
        <f>Q$219*'Methanol recycling rates'!S71</f>
        <v>1069.5376988410151</v>
      </c>
      <c r="R222" s="203">
        <f>R$219*'Methanol recycling rates'!T71</f>
        <v>1285.5037030401043</v>
      </c>
      <c r="S222" s="203">
        <f>S$219*'Methanol recycling rates'!U71</f>
        <v>1527.991142377499</v>
      </c>
      <c r="T222" s="203">
        <f>T$219*'Methanol recycling rates'!V71</f>
        <v>1798.425523774662</v>
      </c>
      <c r="U222" s="203">
        <f>U$219*'Methanol recycling rates'!W71</f>
        <v>2098.2189816859582</v>
      </c>
      <c r="V222" s="203">
        <f>V$219*'Methanol recycling rates'!X71</f>
        <v>2428.7703533528229</v>
      </c>
      <c r="W222" s="203">
        <f>W$219*'Methanol recycling rates'!Y71</f>
        <v>2791.465253722457</v>
      </c>
      <c r="X222" s="203">
        <f>X$219*'Methanol recycling rates'!Z71</f>
        <v>3250.5283223906326</v>
      </c>
      <c r="Y222" s="203">
        <f>Y$219*'Methanol recycling rates'!AA71</f>
        <v>3756.419107259489</v>
      </c>
      <c r="Z222" s="203">
        <f>Z$219*'Methanol recycling rates'!AB71</f>
        <v>4311.2552869271349</v>
      </c>
      <c r="AA222" s="203">
        <f>AA$219*'Methanol recycling rates'!AC71</f>
        <v>4917.1344511771977</v>
      </c>
      <c r="AB222" s="203">
        <f>AB$219*'Methanol recycling rates'!AD71</f>
        <v>5576.1342144214068</v>
      </c>
      <c r="AC222" s="203">
        <f>AC$219*'Methanol recycling rates'!AE71</f>
        <v>6290.3123286356013</v>
      </c>
      <c r="AD222" s="203">
        <f>AD$219*'Methanol recycling rates'!AF71</f>
        <v>7061.7067957911468</v>
      </c>
      <c r="AE222" s="203">
        <f>AE$219*'Methanol recycling rates'!AG71</f>
        <v>7892.3359797837038</v>
      </c>
      <c r="AF222" s="203">
        <f>AF$219*'Methanol recycling rates'!AH71</f>
        <v>8784.1987178613144</v>
      </c>
      <c r="AG222" s="203">
        <f>AG$219*'Methanol recycling rates'!AI71</f>
        <v>9739.2744315537748</v>
      </c>
      <c r="AH222" s="217"/>
      <c r="AI222" s="124"/>
      <c r="AJ222" s="185"/>
      <c r="AL222" s="100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s="1" customFormat="1" outlineLevel="1">
      <c r="A223" s="1" t="s">
        <v>1041</v>
      </c>
      <c r="B223" s="60"/>
      <c r="C223" s="250">
        <f>C219-$C219</f>
        <v>0</v>
      </c>
      <c r="D223" s="250">
        <f t="shared" ref="D223:AG224" si="109">D219-$C219</f>
        <v>25.351732512652081</v>
      </c>
      <c r="E223" s="250">
        <f t="shared" si="109"/>
        <v>76.767674813385128</v>
      </c>
      <c r="F223" s="250">
        <f t="shared" si="109"/>
        <v>154.07484017670481</v>
      </c>
      <c r="G223" s="250">
        <f t="shared" si="109"/>
        <v>257.10100618487951</v>
      </c>
      <c r="H223" s="250">
        <f t="shared" si="109"/>
        <v>385.67471191482559</v>
      </c>
      <c r="I223" s="250">
        <f t="shared" si="109"/>
        <v>539.62525513431081</v>
      </c>
      <c r="J223" s="250">
        <f t="shared" si="109"/>
        <v>718.78268950744473</v>
      </c>
      <c r="K223" s="250">
        <f t="shared" si="109"/>
        <v>922.97782180943057</v>
      </c>
      <c r="L223" s="250">
        <f t="shared" si="109"/>
        <v>1152.0422091505459</v>
      </c>
      <c r="M223" s="250">
        <f t="shared" si="109"/>
        <v>1405.8081562093287</v>
      </c>
      <c r="N223" s="250">
        <f t="shared" si="109"/>
        <v>1637.7925420844642</v>
      </c>
      <c r="O223" s="250">
        <f t="shared" si="109"/>
        <v>1885.9472899074453</v>
      </c>
      <c r="P223" s="250">
        <f t="shared" si="109"/>
        <v>2150.1619010540726</v>
      </c>
      <c r="Q223" s="250">
        <f t="shared" si="109"/>
        <v>2430.3263697930379</v>
      </c>
      <c r="R223" s="250">
        <f t="shared" si="109"/>
        <v>2726.3311814631775</v>
      </c>
      <c r="S223" s="250">
        <f t="shared" si="109"/>
        <v>3038.0673106567629</v>
      </c>
      <c r="T223" s="250">
        <f t="shared" si="109"/>
        <v>3365.426219408846</v>
      </c>
      <c r="U223" s="250">
        <f t="shared" si="109"/>
        <v>3708.2998553926118</v>
      </c>
      <c r="V223" s="250">
        <f t="shared" si="109"/>
        <v>4066.5806501207239</v>
      </c>
      <c r="W223" s="250">
        <f t="shared" si="109"/>
        <v>4440.1615171526619</v>
      </c>
      <c r="X223" s="250">
        <f t="shared" si="109"/>
        <v>4924.149132362264</v>
      </c>
      <c r="Y223" s="250">
        <f t="shared" si="109"/>
        <v>5431.8516185943827</v>
      </c>
      <c r="Z223" s="250">
        <f t="shared" si="109"/>
        <v>5963.1047950480661</v>
      </c>
      <c r="AA223" s="250">
        <f t="shared" si="109"/>
        <v>6517.7452163244525</v>
      </c>
      <c r="AB223" s="250">
        <f t="shared" si="109"/>
        <v>7095.6101697016165</v>
      </c>
      <c r="AC223" s="250">
        <f t="shared" si="109"/>
        <v>7696.5376724184807</v>
      </c>
      <c r="AD223" s="250">
        <f t="shared" si="109"/>
        <v>8320.3664689677698</v>
      </c>
      <c r="AE223" s="250">
        <f t="shared" si="109"/>
        <v>8966.9360283979604</v>
      </c>
      <c r="AF223" s="250">
        <f t="shared" si="109"/>
        <v>9636.0865416242123</v>
      </c>
      <c r="AG223" s="250">
        <f t="shared" si="109"/>
        <v>10327.658918748268</v>
      </c>
      <c r="AH223" s="217"/>
      <c r="AI223" s="368"/>
      <c r="AJ223" s="369"/>
      <c r="AL223" s="194"/>
      <c r="AM223" s="116"/>
      <c r="AN223" s="116"/>
      <c r="AO223" s="116"/>
      <c r="BD223" s="116"/>
      <c r="BE223" s="116"/>
      <c r="BF223" s="116"/>
      <c r="BG223" s="116"/>
      <c r="BH223" s="116"/>
      <c r="BI223" s="116"/>
      <c r="BJ223" s="116"/>
      <c r="BK223" s="116"/>
    </row>
    <row r="224" spans="1:63" outlineLevel="1">
      <c r="A224" s="4" t="s">
        <v>35</v>
      </c>
      <c r="C224" s="203">
        <f>C220-$C220</f>
        <v>0</v>
      </c>
      <c r="D224" s="203">
        <f t="shared" si="109"/>
        <v>2.7495258752234161E-5</v>
      </c>
      <c r="E224" s="203">
        <f t="shared" si="109"/>
        <v>1.6651698906557964E-4</v>
      </c>
      <c r="F224" s="203">
        <f t="shared" si="109"/>
        <v>5.013062830029585E-4</v>
      </c>
      <c r="G224" s="203">
        <f t="shared" si="109"/>
        <v>1.1153570963223314E-3</v>
      </c>
      <c r="H224" s="203">
        <f t="shared" si="109"/>
        <v>2.0914203778773961E-3</v>
      </c>
      <c r="I224" s="203">
        <f t="shared" si="109"/>
        <v>3.5115081807731135E-3</v>
      </c>
      <c r="J224" s="203">
        <f t="shared" si="109"/>
        <v>5.4568977553465714E-3</v>
      </c>
      <c r="K224" s="203">
        <f t="shared" si="109"/>
        <v>8.0081356240434675E-3</v>
      </c>
      <c r="L224" s="203">
        <f t="shared" si="109"/>
        <v>1.1245041638260199E-2</v>
      </c>
      <c r="M224" s="203">
        <f t="shared" si="109"/>
        <v>1.5246713017221386E-2</v>
      </c>
      <c r="N224" s="203">
        <f t="shared" si="109"/>
        <v>1.9538973391692263E-2</v>
      </c>
      <c r="O224" s="203">
        <f t="shared" si="109"/>
        <v>2.4544882857154473E-2</v>
      </c>
      <c r="P224" s="203">
        <f t="shared" si="109"/>
        <v>3.031549624426072E-2</v>
      </c>
      <c r="Q224" s="203">
        <f t="shared" si="109"/>
        <v>3.6901396501830615E-2</v>
      </c>
      <c r="R224" s="203">
        <f t="shared" si="109"/>
        <v>4.4352697340036266E-2</v>
      </c>
      <c r="S224" s="203">
        <f t="shared" si="109"/>
        <v>5.2719045861831494E-2</v>
      </c>
      <c r="T224" s="203">
        <f t="shared" si="109"/>
        <v>6.2049625182670765E-2</v>
      </c>
      <c r="U224" s="203">
        <f t="shared" si="109"/>
        <v>7.2393157038562903E-2</v>
      </c>
      <c r="V224" s="203">
        <f t="shared" si="109"/>
        <v>8.3797904382504937E-2</v>
      </c>
      <c r="W224" s="203">
        <f t="shared" si="109"/>
        <v>9.6311673969341469E-2</v>
      </c>
      <c r="X224" s="203">
        <f t="shared" si="109"/>
        <v>0.11215035673351914</v>
      </c>
      <c r="Y224" s="203">
        <f t="shared" si="109"/>
        <v>0.12960469841712438</v>
      </c>
      <c r="Z224" s="203">
        <f t="shared" si="109"/>
        <v>0.14874776357664446</v>
      </c>
      <c r="AA224" s="203">
        <f t="shared" si="109"/>
        <v>0.16965192366040488</v>
      </c>
      <c r="AB224" s="203">
        <f t="shared" si="109"/>
        <v>0.19238886092258725</v>
      </c>
      <c r="AC224" s="203">
        <f t="shared" si="109"/>
        <v>0.2170295723197693</v>
      </c>
      <c r="AD224" s="203">
        <f t="shared" si="109"/>
        <v>0.24364437339005535</v>
      </c>
      <c r="AE224" s="203">
        <f t="shared" si="109"/>
        <v>0.27230290211486435</v>
      </c>
      <c r="AF224" s="203">
        <f t="shared" si="109"/>
        <v>0.30307412276344325</v>
      </c>
      <c r="AG224" s="203">
        <f>AG220-$C220</f>
        <v>0.3360263297201736</v>
      </c>
      <c r="AH224" s="217"/>
      <c r="AI224" s="124"/>
      <c r="AJ224" s="185"/>
      <c r="AL224" s="100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160</v>
      </c>
      <c r="C225" s="203">
        <f t="shared" ref="C225:AG226" si="110">C221-$C221</f>
        <v>0</v>
      </c>
      <c r="D225" s="203">
        <f t="shared" si="110"/>
        <v>4.8116897874622984E-2</v>
      </c>
      <c r="E225" s="203">
        <f t="shared" si="110"/>
        <v>0.29140591217775541</v>
      </c>
      <c r="F225" s="203">
        <f t="shared" si="110"/>
        <v>0.87728955164679767</v>
      </c>
      <c r="G225" s="203">
        <f t="shared" si="110"/>
        <v>1.9518828311850978</v>
      </c>
      <c r="H225" s="203">
        <f t="shared" si="110"/>
        <v>3.6600004983424661</v>
      </c>
      <c r="I225" s="203">
        <f t="shared" si="110"/>
        <v>6.1451642278665144</v>
      </c>
      <c r="J225" s="203">
        <f t="shared" si="110"/>
        <v>9.5496097844482026</v>
      </c>
      <c r="K225" s="203">
        <f t="shared" si="110"/>
        <v>14.01429415378459</v>
      </c>
      <c r="L225" s="203">
        <f t="shared" si="110"/>
        <v>19.678902642081276</v>
      </c>
      <c r="M225" s="203">
        <f t="shared" si="110"/>
        <v>26.68185594411672</v>
      </c>
      <c r="N225" s="203">
        <f t="shared" si="110"/>
        <v>34.193342049804826</v>
      </c>
      <c r="O225" s="203">
        <f t="shared" si="110"/>
        <v>42.953719127532146</v>
      </c>
      <c r="P225" s="203">
        <f t="shared" si="110"/>
        <v>53.052333493136601</v>
      </c>
      <c r="Q225" s="203">
        <f t="shared" si="110"/>
        <v>64.577705665900538</v>
      </c>
      <c r="R225" s="203">
        <f t="shared" si="110"/>
        <v>77.617534994144293</v>
      </c>
      <c r="S225" s="203">
        <f t="shared" si="110"/>
        <v>92.258704260245963</v>
      </c>
      <c r="T225" s="203">
        <f t="shared" si="110"/>
        <v>108.58728426516814</v>
      </c>
      <c r="U225" s="203">
        <f t="shared" si="110"/>
        <v>126.68853839257039</v>
      </c>
      <c r="V225" s="203">
        <f t="shared" si="110"/>
        <v>146.64692715258693</v>
      </c>
      <c r="W225" s="203">
        <f t="shared" si="110"/>
        <v>168.54611270534883</v>
      </c>
      <c r="X225" s="203">
        <f t="shared" si="110"/>
        <v>196.26391990621983</v>
      </c>
      <c r="Y225" s="203">
        <f t="shared" si="110"/>
        <v>226.80914167797587</v>
      </c>
      <c r="Z225" s="203">
        <f t="shared" si="110"/>
        <v>260.30964151280779</v>
      </c>
      <c r="AA225" s="203">
        <f t="shared" si="110"/>
        <v>296.89206995870626</v>
      </c>
      <c r="AB225" s="203">
        <f t="shared" si="110"/>
        <v>336.68187146902085</v>
      </c>
      <c r="AC225" s="203">
        <f t="shared" si="110"/>
        <v>379.8032912214328</v>
      </c>
      <c r="AD225" s="203">
        <f t="shared" si="110"/>
        <v>426.37938190646048</v>
      </c>
      <c r="AE225" s="203">
        <f t="shared" si="110"/>
        <v>476.53201048561635</v>
      </c>
      <c r="AF225" s="203">
        <f t="shared" si="110"/>
        <v>530.3818649193322</v>
      </c>
      <c r="AG225" s="203">
        <f t="shared" si="110"/>
        <v>588.04846086477335</v>
      </c>
      <c r="AH225" s="217"/>
      <c r="AI225" s="124"/>
      <c r="AJ225" s="185"/>
      <c r="AL225" s="100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outlineLevel="1">
      <c r="A226" s="4" t="s">
        <v>1040</v>
      </c>
      <c r="C226" s="203">
        <f t="shared" si="110"/>
        <v>0</v>
      </c>
      <c r="D226" s="203">
        <f t="shared" si="110"/>
        <v>0.79691335728836099</v>
      </c>
      <c r="E226" s="203">
        <f t="shared" si="110"/>
        <v>4.8262725583921879</v>
      </c>
      <c r="F226" s="203">
        <f t="shared" si="110"/>
        <v>14.529693159740683</v>
      </c>
      <c r="G226" s="203">
        <f t="shared" si="110"/>
        <v>32.327135969702518</v>
      </c>
      <c r="H226" s="203">
        <f t="shared" si="110"/>
        <v>60.617026733750592</v>
      </c>
      <c r="I226" s="203">
        <f t="shared" si="110"/>
        <v>101.77637529081487</v>
      </c>
      <c r="J226" s="203">
        <f t="shared" si="110"/>
        <v>158.1608942028669</v>
      </c>
      <c r="K226" s="203">
        <f t="shared" si="110"/>
        <v>232.10511685977283</v>
      </c>
      <c r="L226" s="203">
        <f t="shared" si="110"/>
        <v>325.92251506144419</v>
      </c>
      <c r="M226" s="203">
        <f t="shared" si="110"/>
        <v>441.90561607930891</v>
      </c>
      <c r="N226" s="203">
        <f t="shared" si="110"/>
        <v>566.31105107444034</v>
      </c>
      <c r="O226" s="203">
        <f t="shared" si="110"/>
        <v>711.40065195258876</v>
      </c>
      <c r="P226" s="203">
        <f t="shared" si="110"/>
        <v>878.6541748007171</v>
      </c>
      <c r="Q226" s="203">
        <f t="shared" si="110"/>
        <v>1069.5376988410151</v>
      </c>
      <c r="R226" s="203">
        <f t="shared" si="110"/>
        <v>1285.5037030401043</v>
      </c>
      <c r="S226" s="203">
        <f t="shared" si="110"/>
        <v>1527.991142377499</v>
      </c>
      <c r="T226" s="203">
        <f t="shared" si="110"/>
        <v>1798.425523774662</v>
      </c>
      <c r="U226" s="203">
        <f t="shared" si="110"/>
        <v>2098.2189816859582</v>
      </c>
      <c r="V226" s="203">
        <f t="shared" si="110"/>
        <v>2428.7703533528229</v>
      </c>
      <c r="W226" s="203">
        <f t="shared" si="110"/>
        <v>2791.465253722457</v>
      </c>
      <c r="X226" s="203">
        <f t="shared" si="110"/>
        <v>3250.5283223906326</v>
      </c>
      <c r="Y226" s="203">
        <f t="shared" si="110"/>
        <v>3756.419107259489</v>
      </c>
      <c r="Z226" s="203">
        <f t="shared" si="110"/>
        <v>4311.2552869271349</v>
      </c>
      <c r="AA226" s="203">
        <f t="shared" si="110"/>
        <v>4917.1344511771977</v>
      </c>
      <c r="AB226" s="203">
        <f t="shared" si="110"/>
        <v>5576.1342144214068</v>
      </c>
      <c r="AC226" s="203">
        <f t="shared" si="110"/>
        <v>6290.3123286356013</v>
      </c>
      <c r="AD226" s="203">
        <f t="shared" si="110"/>
        <v>7061.7067957911468</v>
      </c>
      <c r="AE226" s="203">
        <f t="shared" si="110"/>
        <v>7892.3359797837038</v>
      </c>
      <c r="AF226" s="203">
        <f t="shared" si="110"/>
        <v>8784.1987178613144</v>
      </c>
      <c r="AG226" s="203">
        <f t="shared" si="110"/>
        <v>9739.2744315537748</v>
      </c>
      <c r="AH226" s="217"/>
      <c r="AI226" s="124"/>
      <c r="AJ226" s="185"/>
      <c r="AL226" s="100"/>
      <c r="AM226" s="2"/>
      <c r="AN226" s="2"/>
      <c r="AO226" s="2"/>
      <c r="BC226" s="1"/>
      <c r="BD226" s="2"/>
      <c r="BE226" s="2"/>
      <c r="BF226" s="2"/>
      <c r="BG226" s="2"/>
      <c r="BH226" s="2"/>
      <c r="BI226" s="2"/>
      <c r="BJ226" s="2"/>
      <c r="BK226" s="2"/>
    </row>
    <row r="227" spans="1:63" outlineLevel="1">
      <c r="AJ227" s="185"/>
    </row>
    <row r="228" spans="1:63" s="174" customFormat="1" ht="15.5" thickBot="1">
      <c r="A228" s="174" t="s">
        <v>448</v>
      </c>
      <c r="B228" s="189"/>
      <c r="C228" s="197">
        <f>C229</f>
        <v>0.14000000000000001</v>
      </c>
      <c r="D228" s="197">
        <f t="shared" ref="D228:AG228" si="111">D229</f>
        <v>0.15700598392683424</v>
      </c>
      <c r="E228" s="197">
        <f t="shared" si="111"/>
        <v>0.17401196785366843</v>
      </c>
      <c r="F228" s="197">
        <f t="shared" si="111"/>
        <v>0.19101795178050265</v>
      </c>
      <c r="G228" s="197">
        <f t="shared" si="111"/>
        <v>0.20802393570733685</v>
      </c>
      <c r="H228" s="197">
        <f t="shared" si="111"/>
        <v>0.22502991963417107</v>
      </c>
      <c r="I228" s="197">
        <f t="shared" si="111"/>
        <v>0.24203590356100529</v>
      </c>
      <c r="J228" s="197">
        <f t="shared" si="111"/>
        <v>0.25904188748783952</v>
      </c>
      <c r="K228" s="197">
        <f t="shared" si="111"/>
        <v>0.27604787141467368</v>
      </c>
      <c r="L228" s="197">
        <f t="shared" si="111"/>
        <v>0.29305385534150796</v>
      </c>
      <c r="M228" s="197">
        <f t="shared" si="111"/>
        <v>0.31005983926834213</v>
      </c>
      <c r="N228" s="197">
        <f t="shared" si="111"/>
        <v>0.32148492288828256</v>
      </c>
      <c r="O228" s="197">
        <f t="shared" si="111"/>
        <v>0.33291000650822294</v>
      </c>
      <c r="P228" s="197">
        <f t="shared" si="111"/>
        <v>0.34433509012816338</v>
      </c>
      <c r="Q228" s="197">
        <f t="shared" si="111"/>
        <v>0.35576017374810376</v>
      </c>
      <c r="R228" s="197">
        <f t="shared" si="111"/>
        <v>0.36718525736804419</v>
      </c>
      <c r="S228" s="197">
        <f t="shared" si="111"/>
        <v>0.37861034098798463</v>
      </c>
      <c r="T228" s="197">
        <f t="shared" si="111"/>
        <v>0.39003542460792501</v>
      </c>
      <c r="U228" s="197">
        <f t="shared" si="111"/>
        <v>0.40146050822786544</v>
      </c>
      <c r="V228" s="197">
        <f t="shared" si="111"/>
        <v>0.41288559184780582</v>
      </c>
      <c r="W228" s="197">
        <f t="shared" si="111"/>
        <v>0.42431067546774626</v>
      </c>
      <c r="X228" s="197">
        <f t="shared" si="111"/>
        <v>0.44187960792097164</v>
      </c>
      <c r="Y228" s="197">
        <f t="shared" si="111"/>
        <v>0.45944854037419702</v>
      </c>
      <c r="Z228" s="197">
        <f t="shared" si="111"/>
        <v>0.47701747282742235</v>
      </c>
      <c r="AA228" s="197">
        <f t="shared" si="111"/>
        <v>0.49458640528064773</v>
      </c>
      <c r="AB228" s="197">
        <f t="shared" si="111"/>
        <v>0.51215533773387312</v>
      </c>
      <c r="AC228" s="197">
        <f t="shared" si="111"/>
        <v>0.52972427018709856</v>
      </c>
      <c r="AD228" s="197">
        <f t="shared" si="111"/>
        <v>0.54729320264032388</v>
      </c>
      <c r="AE228" s="197">
        <f t="shared" si="111"/>
        <v>0.56486213509354921</v>
      </c>
      <c r="AF228" s="197">
        <f t="shared" si="111"/>
        <v>0.58243106754677465</v>
      </c>
      <c r="AG228" s="197">
        <f t="shared" si="111"/>
        <v>0.6</v>
      </c>
      <c r="AJ228" s="204" t="s">
        <v>457</v>
      </c>
      <c r="AL228" s="191"/>
      <c r="AM228" s="198"/>
      <c r="AN228" s="198"/>
      <c r="AO228" s="198"/>
    </row>
    <row r="229" spans="1:63" ht="15.5" outlineLevel="2" thickTop="1">
      <c r="A229" t="s">
        <v>449</v>
      </c>
      <c r="B229" s="50" t="s">
        <v>126</v>
      </c>
      <c r="C229" s="118">
        <f>'Ethylene Recycling HC'!C206</f>
        <v>0.14000000000000001</v>
      </c>
      <c r="D229" s="102">
        <f>'Ethylene Recycling HC'!D206</f>
        <v>0.15700598392683424</v>
      </c>
      <c r="E229" s="102">
        <f>'Ethylene Recycling HC'!E206</f>
        <v>0.17401196785366843</v>
      </c>
      <c r="F229" s="102">
        <f>'Ethylene Recycling HC'!F206</f>
        <v>0.19101795178050265</v>
      </c>
      <c r="G229" s="102">
        <f>'Ethylene Recycling HC'!G206</f>
        <v>0.20802393570733685</v>
      </c>
      <c r="H229" s="102">
        <f>'Ethylene Recycling HC'!H206</f>
        <v>0.22502991963417107</v>
      </c>
      <c r="I229" s="102">
        <f>'Ethylene Recycling HC'!I206</f>
        <v>0.24203590356100529</v>
      </c>
      <c r="J229" s="102">
        <f>'Ethylene Recycling HC'!J206</f>
        <v>0.25904188748783952</v>
      </c>
      <c r="K229" s="102">
        <f>'Ethylene Recycling HC'!K206</f>
        <v>0.27604787141467368</v>
      </c>
      <c r="L229" s="102">
        <f>'Ethylene Recycling HC'!L206</f>
        <v>0.29305385534150796</v>
      </c>
      <c r="M229" s="113">
        <f>'Ethylene Recycling HC'!M206</f>
        <v>0.31005983926834213</v>
      </c>
      <c r="N229" s="113">
        <f>'Ethylene Recycling HC'!N206</f>
        <v>0.32148492288828256</v>
      </c>
      <c r="O229" s="113">
        <f>'Ethylene Recycling HC'!O206</f>
        <v>0.33291000650822294</v>
      </c>
      <c r="P229" s="113">
        <f>'Ethylene Recycling HC'!P206</f>
        <v>0.34433509012816338</v>
      </c>
      <c r="Q229" s="113">
        <f>'Ethylene Recycling HC'!Q206</f>
        <v>0.35576017374810376</v>
      </c>
      <c r="R229" s="113">
        <f>'Ethylene Recycling HC'!R206</f>
        <v>0.36718525736804419</v>
      </c>
      <c r="S229" s="113">
        <f>'Ethylene Recycling HC'!S206</f>
        <v>0.37861034098798463</v>
      </c>
      <c r="T229" s="113">
        <f>'Ethylene Recycling HC'!T206</f>
        <v>0.39003542460792501</v>
      </c>
      <c r="U229" s="113">
        <f>'Ethylene Recycling HC'!U206</f>
        <v>0.40146050822786544</v>
      </c>
      <c r="V229" s="113">
        <f>'Ethylene Recycling HC'!V206</f>
        <v>0.41288559184780582</v>
      </c>
      <c r="W229" s="113">
        <f>'Ethylene Recycling HC'!W206</f>
        <v>0.42431067546774626</v>
      </c>
      <c r="X229" s="22">
        <f>'Ethylene Recycling HC'!X206</f>
        <v>0.44187960792097164</v>
      </c>
      <c r="Y229" s="22">
        <f>'Ethylene Recycling HC'!Y206</f>
        <v>0.45944854037419702</v>
      </c>
      <c r="Z229" s="22">
        <f>'Ethylene Recycling HC'!Z206</f>
        <v>0.47701747282742235</v>
      </c>
      <c r="AA229" s="22">
        <f>'Ethylene Recycling HC'!AA206</f>
        <v>0.49458640528064773</v>
      </c>
      <c r="AB229" s="22">
        <f>'Ethylene Recycling HC'!AB206</f>
        <v>0.51215533773387312</v>
      </c>
      <c r="AC229" s="22">
        <f>'Ethylene Recycling HC'!AC206</f>
        <v>0.52972427018709856</v>
      </c>
      <c r="AD229" s="22">
        <f>'Ethylene Recycling HC'!AD206</f>
        <v>0.54729320264032388</v>
      </c>
      <c r="AE229" s="22">
        <f>'Ethylene Recycling HC'!AE206</f>
        <v>0.56486213509354921</v>
      </c>
      <c r="AF229" s="22">
        <f>'Ethylene Recycling HC'!AF206</f>
        <v>0.58243106754677465</v>
      </c>
      <c r="AG229" s="118">
        <f>'Ethylene Recycling HC'!AG206</f>
        <v>0.6</v>
      </c>
      <c r="AJ229" s="185" t="s">
        <v>1469</v>
      </c>
    </row>
    <row r="230" spans="1:63" outlineLevel="2">
      <c r="C230" s="105"/>
      <c r="D230" s="102"/>
      <c r="E230" s="102"/>
      <c r="F230" s="102"/>
      <c r="G230" s="102"/>
      <c r="H230" s="102"/>
      <c r="I230" s="102"/>
      <c r="J230" s="102"/>
      <c r="K230" s="102"/>
      <c r="L230" s="102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22"/>
      <c r="Y230" s="22"/>
      <c r="Z230" s="22"/>
      <c r="AA230" s="22"/>
      <c r="AB230" s="22"/>
      <c r="AC230" s="22"/>
      <c r="AD230" s="22"/>
      <c r="AE230" s="22"/>
      <c r="AF230" s="22"/>
      <c r="AG230" s="98"/>
      <c r="AJ230" s="185"/>
    </row>
    <row r="231" spans="1:63" outlineLevel="1">
      <c r="A231" t="s">
        <v>992</v>
      </c>
      <c r="C231" s="437">
        <f>'Overall recycling rates'!E88</f>
        <v>1</v>
      </c>
      <c r="D231" s="437">
        <f>C231-($C231-$AG231)/($AG$1-$C$1)</f>
        <v>1</v>
      </c>
      <c r="E231" s="437">
        <f t="shared" ref="E231:AF231" si="112">D231-($C231-$AG231)/($AG$1-$C$1)</f>
        <v>1</v>
      </c>
      <c r="F231" s="437">
        <f t="shared" si="112"/>
        <v>1</v>
      </c>
      <c r="G231" s="437">
        <f t="shared" si="112"/>
        <v>1</v>
      </c>
      <c r="H231" s="437">
        <f t="shared" si="112"/>
        <v>1</v>
      </c>
      <c r="I231" s="437">
        <f t="shared" si="112"/>
        <v>1</v>
      </c>
      <c r="J231" s="437">
        <f t="shared" si="112"/>
        <v>1</v>
      </c>
      <c r="K231" s="437">
        <f t="shared" si="112"/>
        <v>1</v>
      </c>
      <c r="L231" s="437">
        <f t="shared" si="112"/>
        <v>1</v>
      </c>
      <c r="M231" s="437">
        <f t="shared" si="112"/>
        <v>1</v>
      </c>
      <c r="N231" s="437">
        <f t="shared" si="112"/>
        <v>1</v>
      </c>
      <c r="O231" s="437">
        <f t="shared" si="112"/>
        <v>1</v>
      </c>
      <c r="P231" s="437">
        <f t="shared" si="112"/>
        <v>1</v>
      </c>
      <c r="Q231" s="437">
        <f t="shared" si="112"/>
        <v>1</v>
      </c>
      <c r="R231" s="437">
        <f t="shared" si="112"/>
        <v>1</v>
      </c>
      <c r="S231" s="437">
        <f t="shared" si="112"/>
        <v>1</v>
      </c>
      <c r="T231" s="437">
        <f t="shared" si="112"/>
        <v>1</v>
      </c>
      <c r="U231" s="437">
        <f t="shared" si="112"/>
        <v>1</v>
      </c>
      <c r="V231" s="437">
        <f t="shared" si="112"/>
        <v>1</v>
      </c>
      <c r="W231" s="437">
        <f t="shared" si="112"/>
        <v>1</v>
      </c>
      <c r="X231" s="437">
        <f t="shared" si="112"/>
        <v>1</v>
      </c>
      <c r="Y231" s="437">
        <f t="shared" si="112"/>
        <v>1</v>
      </c>
      <c r="Z231" s="437">
        <f t="shared" si="112"/>
        <v>1</v>
      </c>
      <c r="AA231" s="437">
        <f t="shared" si="112"/>
        <v>1</v>
      </c>
      <c r="AB231" s="437">
        <f t="shared" si="112"/>
        <v>1</v>
      </c>
      <c r="AC231" s="437">
        <f t="shared" si="112"/>
        <v>1</v>
      </c>
      <c r="AD231" s="437">
        <f t="shared" si="112"/>
        <v>1</v>
      </c>
      <c r="AE231" s="437">
        <f t="shared" si="112"/>
        <v>1</v>
      </c>
      <c r="AF231" s="437">
        <f t="shared" si="112"/>
        <v>1</v>
      </c>
      <c r="AG231" s="437">
        <f>'Overall recycling rates'!E97</f>
        <v>1</v>
      </c>
      <c r="AI231" s="124"/>
      <c r="AJ231" s="185" t="s">
        <v>1000</v>
      </c>
      <c r="AL231" s="100"/>
      <c r="AM231" s="181"/>
      <c r="AN231" s="181"/>
      <c r="AO231" s="181"/>
      <c r="BC231" s="1"/>
      <c r="BD231" s="181"/>
      <c r="BE231" s="181"/>
      <c r="BF231" s="181"/>
      <c r="BG231" s="181"/>
      <c r="BH231" s="181"/>
      <c r="BI231" s="181"/>
      <c r="BJ231" s="181"/>
      <c r="BK231" s="181"/>
    </row>
    <row r="232" spans="1:63" outlineLevel="1">
      <c r="A232" t="s">
        <v>1001</v>
      </c>
      <c r="B232" s="50" t="s">
        <v>126</v>
      </c>
      <c r="C232" s="102">
        <f>C229*C231</f>
        <v>0.14000000000000001</v>
      </c>
      <c r="D232" s="102">
        <f t="shared" ref="D232:AG232" si="113">D229*D231</f>
        <v>0.15700598392683424</v>
      </c>
      <c r="E232" s="102">
        <f t="shared" si="113"/>
        <v>0.17401196785366843</v>
      </c>
      <c r="F232" s="102">
        <f t="shared" si="113"/>
        <v>0.19101795178050265</v>
      </c>
      <c r="G232" s="102">
        <f t="shared" si="113"/>
        <v>0.20802393570733685</v>
      </c>
      <c r="H232" s="102">
        <f t="shared" si="113"/>
        <v>0.22502991963417107</v>
      </c>
      <c r="I232" s="102">
        <f t="shared" si="113"/>
        <v>0.24203590356100529</v>
      </c>
      <c r="J232" s="102">
        <f t="shared" si="113"/>
        <v>0.25904188748783952</v>
      </c>
      <c r="K232" s="102">
        <f t="shared" si="113"/>
        <v>0.27604787141467368</v>
      </c>
      <c r="L232" s="102">
        <f t="shared" si="113"/>
        <v>0.29305385534150796</v>
      </c>
      <c r="M232" s="102">
        <f t="shared" si="113"/>
        <v>0.31005983926834213</v>
      </c>
      <c r="N232" s="102">
        <f t="shared" si="113"/>
        <v>0.32148492288828256</v>
      </c>
      <c r="O232" s="102">
        <f t="shared" si="113"/>
        <v>0.33291000650822294</v>
      </c>
      <c r="P232" s="102">
        <f t="shared" si="113"/>
        <v>0.34433509012816338</v>
      </c>
      <c r="Q232" s="102">
        <f t="shared" si="113"/>
        <v>0.35576017374810376</v>
      </c>
      <c r="R232" s="102">
        <f t="shared" si="113"/>
        <v>0.36718525736804419</v>
      </c>
      <c r="S232" s="102">
        <f t="shared" si="113"/>
        <v>0.37861034098798463</v>
      </c>
      <c r="T232" s="102">
        <f t="shared" si="113"/>
        <v>0.39003542460792501</v>
      </c>
      <c r="U232" s="102">
        <f t="shared" si="113"/>
        <v>0.40146050822786544</v>
      </c>
      <c r="V232" s="102">
        <f t="shared" si="113"/>
        <v>0.41288559184780582</v>
      </c>
      <c r="W232" s="102">
        <f t="shared" si="113"/>
        <v>0.42431067546774626</v>
      </c>
      <c r="X232" s="102">
        <f t="shared" si="113"/>
        <v>0.44187960792097164</v>
      </c>
      <c r="Y232" s="102">
        <f t="shared" si="113"/>
        <v>0.45944854037419702</v>
      </c>
      <c r="Z232" s="102">
        <f t="shared" si="113"/>
        <v>0.47701747282742235</v>
      </c>
      <c r="AA232" s="102">
        <f t="shared" si="113"/>
        <v>0.49458640528064773</v>
      </c>
      <c r="AB232" s="102">
        <f t="shared" si="113"/>
        <v>0.51215533773387312</v>
      </c>
      <c r="AC232" s="102">
        <f t="shared" si="113"/>
        <v>0.52972427018709856</v>
      </c>
      <c r="AD232" s="102">
        <f t="shared" si="113"/>
        <v>0.54729320264032388</v>
      </c>
      <c r="AE232" s="102">
        <f t="shared" si="113"/>
        <v>0.56486213509354921</v>
      </c>
      <c r="AF232" s="102">
        <f t="shared" si="113"/>
        <v>0.58243106754677465</v>
      </c>
      <c r="AG232" s="102">
        <f t="shared" si="113"/>
        <v>0.6</v>
      </c>
      <c r="AJ232" s="185" t="s">
        <v>447</v>
      </c>
    </row>
    <row r="233" spans="1:63" outlineLevel="1"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J233" s="185"/>
    </row>
    <row r="234" spans="1:63" s="1" customFormat="1" outlineLevel="1">
      <c r="A234" s="1" t="s">
        <v>265</v>
      </c>
      <c r="B234" s="60"/>
      <c r="C234" s="250">
        <f>C232*C43</f>
        <v>64035.344910281616</v>
      </c>
      <c r="D234" s="250">
        <f t="shared" ref="D234:AG234" si="114">D232*D43</f>
        <v>71655.268042465628</v>
      </c>
      <c r="E234" s="250">
        <f t="shared" si="114"/>
        <v>79241.236004899358</v>
      </c>
      <c r="F234" s="250">
        <f t="shared" si="114"/>
        <v>86793.361579906865</v>
      </c>
      <c r="G234" s="250">
        <f t="shared" si="114"/>
        <v>94311.757217338032</v>
      </c>
      <c r="H234" s="250">
        <f t="shared" si="114"/>
        <v>101796.53503548689</v>
      </c>
      <c r="I234" s="250">
        <f t="shared" si="114"/>
        <v>108887.28905949483</v>
      </c>
      <c r="J234" s="250">
        <f t="shared" si="114"/>
        <v>115895.69052019725</v>
      </c>
      <c r="K234" s="250">
        <f t="shared" si="114"/>
        <v>122822.18005280741</v>
      </c>
      <c r="L234" s="250">
        <f t="shared" si="114"/>
        <v>129667.1965020558</v>
      </c>
      <c r="M234" s="250">
        <f t="shared" si="114"/>
        <v>136431.17692849145</v>
      </c>
      <c r="N234" s="250">
        <f t="shared" si="114"/>
        <v>140672.5158502181</v>
      </c>
      <c r="O234" s="250">
        <f t="shared" si="114"/>
        <v>144860.87626017784</v>
      </c>
      <c r="P234" s="250">
        <f t="shared" si="114"/>
        <v>148996.54554362662</v>
      </c>
      <c r="Q234" s="250">
        <f t="shared" si="114"/>
        <v>153079.80991147136</v>
      </c>
      <c r="R234" s="250">
        <f t="shared" si="114"/>
        <v>157110.95440441585</v>
      </c>
      <c r="S234" s="250">
        <f t="shared" si="114"/>
        <v>161090.26289709305</v>
      </c>
      <c r="T234" s="250">
        <f t="shared" si="114"/>
        <v>165018.018102184</v>
      </c>
      <c r="U234" s="250">
        <f t="shared" si="114"/>
        <v>168894.50157452369</v>
      </c>
      <c r="V234" s="250">
        <f t="shared" si="114"/>
        <v>172719.99371519353</v>
      </c>
      <c r="W234" s="250">
        <f t="shared" si="114"/>
        <v>176494.77377560042</v>
      </c>
      <c r="X234" s="250">
        <f t="shared" si="114"/>
        <v>182760.19895868952</v>
      </c>
      <c r="Y234" s="250">
        <f t="shared" si="114"/>
        <v>188946.58097567441</v>
      </c>
      <c r="Z234" s="250">
        <f t="shared" si="114"/>
        <v>195054.34980735098</v>
      </c>
      <c r="AA234" s="250">
        <f t="shared" si="114"/>
        <v>201083.93367508907</v>
      </c>
      <c r="AB234" s="250">
        <f t="shared" si="114"/>
        <v>207035.75904704817</v>
      </c>
      <c r="AC234" s="250">
        <f t="shared" si="114"/>
        <v>212887.37428779854</v>
      </c>
      <c r="AD234" s="250">
        <f t="shared" si="114"/>
        <v>218660.66564373981</v>
      </c>
      <c r="AE234" s="250">
        <f t="shared" si="114"/>
        <v>224356.06405346241</v>
      </c>
      <c r="AF234" s="250">
        <f t="shared" si="114"/>
        <v>229973.9986837233</v>
      </c>
      <c r="AG234" s="250">
        <f t="shared" si="114"/>
        <v>235514.89693572244</v>
      </c>
      <c r="AH234" s="217"/>
      <c r="AI234" s="368"/>
      <c r="AJ234" s="369"/>
      <c r="AL234" s="194"/>
      <c r="AM234" s="116"/>
      <c r="AN234" s="116"/>
      <c r="AO234" s="116"/>
      <c r="BD234" s="116"/>
      <c r="BE234" s="116"/>
      <c r="BF234" s="116"/>
      <c r="BG234" s="116"/>
      <c r="BH234" s="116"/>
      <c r="BI234" s="116"/>
      <c r="BJ234" s="116"/>
      <c r="BK234" s="116"/>
    </row>
    <row r="235" spans="1:63" outlineLevel="1">
      <c r="A235" s="4" t="s">
        <v>35</v>
      </c>
      <c r="C235" s="203">
        <f>C$234*'Methanol recycling rates'!E72</f>
        <v>0</v>
      </c>
      <c r="D235" s="203">
        <f>D$234*'Methanol recycling rates'!F72</f>
        <v>0</v>
      </c>
      <c r="E235" s="203">
        <f>E$234*'Methanol recycling rates'!G72</f>
        <v>0</v>
      </c>
      <c r="F235" s="203">
        <f>F$234*'Methanol recycling rates'!H72</f>
        <v>0</v>
      </c>
      <c r="G235" s="203">
        <f>G$234*'Methanol recycling rates'!I72</f>
        <v>0</v>
      </c>
      <c r="H235" s="203">
        <f>H$234*'Methanol recycling rates'!J72</f>
        <v>0</v>
      </c>
      <c r="I235" s="203">
        <f>I$234*'Methanol recycling rates'!K72</f>
        <v>0</v>
      </c>
      <c r="J235" s="203">
        <f>J$234*'Methanol recycling rates'!L72</f>
        <v>0</v>
      </c>
      <c r="K235" s="203">
        <f>K$234*'Methanol recycling rates'!M72</f>
        <v>0</v>
      </c>
      <c r="L235" s="203">
        <f>L$234*'Methanol recycling rates'!N72</f>
        <v>0</v>
      </c>
      <c r="M235" s="203">
        <f>M$234*'Methanol recycling rates'!O72</f>
        <v>0</v>
      </c>
      <c r="N235" s="203">
        <f>N$234*'Methanol recycling rates'!P72</f>
        <v>0</v>
      </c>
      <c r="O235" s="203">
        <f>O$234*'Methanol recycling rates'!Q72</f>
        <v>0</v>
      </c>
      <c r="P235" s="203">
        <f>P$234*'Methanol recycling rates'!R72</f>
        <v>0</v>
      </c>
      <c r="Q235" s="203">
        <f>Q$234*'Methanol recycling rates'!S72</f>
        <v>0</v>
      </c>
      <c r="R235" s="203">
        <f>R$234*'Methanol recycling rates'!T72</f>
        <v>0</v>
      </c>
      <c r="S235" s="203">
        <f>S$234*'Methanol recycling rates'!U72</f>
        <v>0</v>
      </c>
      <c r="T235" s="203">
        <f>T$234*'Methanol recycling rates'!V72</f>
        <v>0</v>
      </c>
      <c r="U235" s="203">
        <f>U$234*'Methanol recycling rates'!W72</f>
        <v>0</v>
      </c>
      <c r="V235" s="203">
        <f>V$234*'Methanol recycling rates'!X72</f>
        <v>0</v>
      </c>
      <c r="W235" s="203">
        <f>W$234*'Methanol recycling rates'!Y72</f>
        <v>0</v>
      </c>
      <c r="X235" s="203">
        <f>X$234*'Methanol recycling rates'!Z72</f>
        <v>0</v>
      </c>
      <c r="Y235" s="203">
        <f>Y$234*'Methanol recycling rates'!AA72</f>
        <v>0</v>
      </c>
      <c r="Z235" s="203">
        <f>Z$234*'Methanol recycling rates'!AB72</f>
        <v>0</v>
      </c>
      <c r="AA235" s="203">
        <f>AA$234*'Methanol recycling rates'!AC72</f>
        <v>0</v>
      </c>
      <c r="AB235" s="203">
        <f>AB$234*'Methanol recycling rates'!AD72</f>
        <v>0</v>
      </c>
      <c r="AC235" s="203">
        <f>AC$234*'Methanol recycling rates'!AE72</f>
        <v>0</v>
      </c>
      <c r="AD235" s="203">
        <f>AD$234*'Methanol recycling rates'!AF72</f>
        <v>0</v>
      </c>
      <c r="AE235" s="203">
        <f>AE$234*'Methanol recycling rates'!AG72</f>
        <v>0</v>
      </c>
      <c r="AF235" s="203">
        <f>AF$234*'Methanol recycling rates'!AH72</f>
        <v>0</v>
      </c>
      <c r="AG235" s="203">
        <f>AG$234*'Methanol recycling rates'!AI72</f>
        <v>0</v>
      </c>
      <c r="AH235" s="217"/>
      <c r="AI235" s="124"/>
      <c r="AJ235" s="185"/>
      <c r="AL235" s="100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A236" s="4" t="s">
        <v>160</v>
      </c>
      <c r="C236" s="203">
        <f>C$234*'Methanol recycling rates'!E73</f>
        <v>1167.9615290796132</v>
      </c>
      <c r="D236" s="203">
        <f>D$234*'Methanol recycling rates'!F73</f>
        <v>1306.9437909133555</v>
      </c>
      <c r="E236" s="203">
        <f>E$234*'Methanol recycling rates'!G73</f>
        <v>1445.3067333378362</v>
      </c>
      <c r="F236" s="203">
        <f>F$234*'Methanol recycling rates'!H73</f>
        <v>1583.052413426627</v>
      </c>
      <c r="G236" s="203">
        <f>G$234*'Methanol recycling rates'!I73</f>
        <v>1720.1828821891943</v>
      </c>
      <c r="H236" s="203">
        <f>H$234*'Methanol recycling rates'!J73</f>
        <v>1856.7001845876498</v>
      </c>
      <c r="I236" s="203">
        <f>I$234*'Methanol recycling rates'!K73</f>
        <v>1986.0307585669275</v>
      </c>
      <c r="J236" s="203">
        <f>J$234*'Methanol recycling rates'!L73</f>
        <v>2113.8592773000487</v>
      </c>
      <c r="K236" s="203">
        <f>K$234*'Methanol recycling rates'!M73</f>
        <v>2240.1937776762989</v>
      </c>
      <c r="L236" s="203">
        <f>L$234*'Methanol recycling rates'!N73</f>
        <v>2365.0422639277658</v>
      </c>
      <c r="M236" s="203">
        <f>M$234*'Methanol recycling rates'!O73</f>
        <v>2488.4127077442699</v>
      </c>
      <c r="N236" s="203">
        <f>N$234*'Methanol recycling rates'!P73</f>
        <v>2565.7718708643451</v>
      </c>
      <c r="O236" s="203">
        <f>O$234*'Methanol recycling rates'!Q73</f>
        <v>2642.1647416391797</v>
      </c>
      <c r="P236" s="203">
        <f>P$234*'Methanol recycling rates'!R73</f>
        <v>2717.5965617821339</v>
      </c>
      <c r="Q236" s="203">
        <f>Q$234*'Methanol recycling rates'!S73</f>
        <v>2792.0725515872346</v>
      </c>
      <c r="R236" s="203">
        <f>R$234*'Methanol recycling rates'!T73</f>
        <v>2865.5979100047912</v>
      </c>
      <c r="S236" s="203">
        <f>S$234*'Methanol recycling rates'!U73</f>
        <v>2938.1778147167674</v>
      </c>
      <c r="T236" s="203">
        <f>T$234*'Methanol recycling rates'!V73</f>
        <v>3009.8174222119064</v>
      </c>
      <c r="U236" s="203">
        <f>U$234*'Methanol recycling rates'!W73</f>
        <v>3080.5218678606211</v>
      </c>
      <c r="V236" s="203">
        <f>V$234*'Methanol recycling rates'!X73</f>
        <v>3150.2962659896366</v>
      </c>
      <c r="W236" s="203">
        <f>W$234*'Methanol recycling rates'!Y73</f>
        <v>3219.1457099563881</v>
      </c>
      <c r="X236" s="203">
        <f>X$234*'Methanol recycling rates'!Z73</f>
        <v>3333.4228421780922</v>
      </c>
      <c r="Y236" s="203">
        <f>Y$234*'Methanol recycling rates'!AA73</f>
        <v>3446.2582803279406</v>
      </c>
      <c r="Z236" s="203">
        <f>Z$234*'Methanol recycling rates'!AB73</f>
        <v>3557.6598669658288</v>
      </c>
      <c r="AA236" s="203">
        <f>AA$234*'Methanol recycling rates'!AC73</f>
        <v>3667.635412560905</v>
      </c>
      <c r="AB236" s="203">
        <f>AB$234*'Methanol recycling rates'!AD73</f>
        <v>3776.1926956049456</v>
      </c>
      <c r="AC236" s="203">
        <f>AC$234*'Methanol recycling rates'!AE73</f>
        <v>3882.922213400906</v>
      </c>
      <c r="AD236" s="203">
        <f>AD$234*'Methanol recycling rates'!AF73</f>
        <v>3988.2231563310129</v>
      </c>
      <c r="AE236" s="203">
        <f>AE$234*'Methanol recycling rates'!AG73</f>
        <v>4092.1033844246881</v>
      </c>
      <c r="AF236" s="203">
        <f>AF$234*'Methanol recycling rates'!AH73</f>
        <v>4194.5707253943046</v>
      </c>
      <c r="AG236" s="203">
        <f>AG$234*'Methanol recycling rates'!AI73</f>
        <v>4295.6329747496657</v>
      </c>
      <c r="AH236" s="217"/>
      <c r="AI236" s="124"/>
      <c r="AJ236" s="185"/>
      <c r="AL236" s="100"/>
      <c r="AM236" s="2"/>
      <c r="AN236" s="2"/>
      <c r="AO236" s="2"/>
      <c r="BC236" s="1"/>
      <c r="BD236" s="2"/>
      <c r="BE236" s="2"/>
      <c r="BF236" s="2"/>
      <c r="BG236" s="2"/>
      <c r="BH236" s="2"/>
      <c r="BI236" s="2"/>
      <c r="BJ236" s="2"/>
      <c r="BK236" s="2"/>
    </row>
    <row r="237" spans="1:63" outlineLevel="1">
      <c r="A237" s="4" t="s">
        <v>1040</v>
      </c>
      <c r="C237" s="203">
        <f>C$234*'Methanol recycling rates'!E74</f>
        <v>62867.383381202002</v>
      </c>
      <c r="D237" s="203">
        <f>D$234*'Methanol recycling rates'!F74</f>
        <v>70348.324251552272</v>
      </c>
      <c r="E237" s="203">
        <f>E$234*'Methanol recycling rates'!G74</f>
        <v>77795.92927156153</v>
      </c>
      <c r="F237" s="203">
        <f>F$234*'Methanol recycling rates'!H74</f>
        <v>85210.309166480234</v>
      </c>
      <c r="G237" s="203">
        <f>G$234*'Methanol recycling rates'!I74</f>
        <v>92591.574335148835</v>
      </c>
      <c r="H237" s="203">
        <f>H$234*'Methanol recycling rates'!J74</f>
        <v>99939.834850899235</v>
      </c>
      <c r="I237" s="203">
        <f>I$234*'Methanol recycling rates'!K74</f>
        <v>106901.2583009279</v>
      </c>
      <c r="J237" s="203">
        <f>J$234*'Methanol recycling rates'!L74</f>
        <v>113781.83124289721</v>
      </c>
      <c r="K237" s="203">
        <f>K$234*'Methanol recycling rates'!M74</f>
        <v>120581.98627513112</v>
      </c>
      <c r="L237" s="203">
        <f>L$234*'Methanol recycling rates'!N74</f>
        <v>127302.15423812803</v>
      </c>
      <c r="M237" s="203">
        <f>M$234*'Methanol recycling rates'!O74</f>
        <v>133942.76422074719</v>
      </c>
      <c r="N237" s="203">
        <f>N$234*'Methanol recycling rates'!P74</f>
        <v>138106.74397935375</v>
      </c>
      <c r="O237" s="203">
        <f>O$234*'Methanol recycling rates'!Q74</f>
        <v>142218.71151853868</v>
      </c>
      <c r="P237" s="203">
        <f>P$234*'Methanol recycling rates'!R74</f>
        <v>146278.9489818445</v>
      </c>
      <c r="Q237" s="203">
        <f>Q$234*'Methanol recycling rates'!S74</f>
        <v>150287.73735988414</v>
      </c>
      <c r="R237" s="203">
        <f>R$234*'Methanol recycling rates'!T74</f>
        <v>154245.35649441107</v>
      </c>
      <c r="S237" s="203">
        <f>S$234*'Methanol recycling rates'!U74</f>
        <v>158152.08508237629</v>
      </c>
      <c r="T237" s="203">
        <f>T$234*'Methanol recycling rates'!V74</f>
        <v>162008.2006799721</v>
      </c>
      <c r="U237" s="203">
        <f>U$234*'Methanol recycling rates'!W74</f>
        <v>165813.97970666309</v>
      </c>
      <c r="V237" s="203">
        <f>V$234*'Methanol recycling rates'!X74</f>
        <v>169569.6974492039</v>
      </c>
      <c r="W237" s="203">
        <f>W$234*'Methanol recycling rates'!Y74</f>
        <v>173275.62806564404</v>
      </c>
      <c r="X237" s="203">
        <f>X$234*'Methanol recycling rates'!Z74</f>
        <v>179426.77611651144</v>
      </c>
      <c r="Y237" s="203">
        <f>Y$234*'Methanol recycling rates'!AA74</f>
        <v>185500.32269534649</v>
      </c>
      <c r="Z237" s="203">
        <f>Z$234*'Methanol recycling rates'!AB74</f>
        <v>191496.68994038517</v>
      </c>
      <c r="AA237" s="203">
        <f>AA$234*'Methanol recycling rates'!AC74</f>
        <v>197416.29826252817</v>
      </c>
      <c r="AB237" s="203">
        <f>AB$234*'Methanol recycling rates'!AD74</f>
        <v>203259.56635144324</v>
      </c>
      <c r="AC237" s="203">
        <f>AC$234*'Methanol recycling rates'!AE74</f>
        <v>209004.45207439765</v>
      </c>
      <c r="AD237" s="203">
        <f>AD$234*'Methanol recycling rates'!AF74</f>
        <v>214672.44248740881</v>
      </c>
      <c r="AE237" s="203">
        <f>AE$234*'Methanol recycling rates'!AG74</f>
        <v>220263.96066903774</v>
      </c>
      <c r="AF237" s="203">
        <f>AF$234*'Methanol recycling rates'!AH74</f>
        <v>225779.427958329</v>
      </c>
      <c r="AG237" s="203">
        <f>AG$234*'Methanol recycling rates'!AI74</f>
        <v>231219.26396097275</v>
      </c>
      <c r="AH237" s="217"/>
      <c r="AI237" s="124"/>
      <c r="AJ237" s="185"/>
      <c r="AL237" s="100"/>
      <c r="AM237" s="2"/>
      <c r="AN237" s="2"/>
      <c r="AO237" s="2"/>
      <c r="BC237" s="1"/>
      <c r="BD237" s="2"/>
      <c r="BE237" s="2"/>
      <c r="BF237" s="2"/>
      <c r="BG237" s="2"/>
      <c r="BH237" s="2"/>
      <c r="BI237" s="2"/>
      <c r="BJ237" s="2"/>
      <c r="BK237" s="2"/>
    </row>
    <row r="238" spans="1:63" s="1" customFormat="1" outlineLevel="1">
      <c r="A238" s="1" t="s">
        <v>1041</v>
      </c>
      <c r="B238" s="60"/>
      <c r="C238" s="250">
        <f>C234-$C234</f>
        <v>0</v>
      </c>
      <c r="D238" s="250">
        <f t="shared" ref="D238:AG239" si="115">D234-$C234</f>
        <v>7619.9231321840125</v>
      </c>
      <c r="E238" s="250">
        <f t="shared" si="115"/>
        <v>15205.891094617742</v>
      </c>
      <c r="F238" s="250">
        <f t="shared" si="115"/>
        <v>22758.016669625249</v>
      </c>
      <c r="G238" s="250">
        <f t="shared" si="115"/>
        <v>30276.412307056416</v>
      </c>
      <c r="H238" s="250">
        <f t="shared" si="115"/>
        <v>37761.19012520527</v>
      </c>
      <c r="I238" s="250">
        <f t="shared" si="115"/>
        <v>44851.94414921321</v>
      </c>
      <c r="J238" s="250">
        <f t="shared" si="115"/>
        <v>51860.345609915639</v>
      </c>
      <c r="K238" s="250">
        <f t="shared" si="115"/>
        <v>58786.835142525793</v>
      </c>
      <c r="L238" s="250">
        <f t="shared" si="115"/>
        <v>65631.851591774175</v>
      </c>
      <c r="M238" s="250">
        <f t="shared" si="115"/>
        <v>72395.832018209825</v>
      </c>
      <c r="N238" s="250">
        <f t="shared" si="115"/>
        <v>76637.170939936477</v>
      </c>
      <c r="O238" s="250">
        <f t="shared" si="115"/>
        <v>80825.53134989622</v>
      </c>
      <c r="P238" s="250">
        <f t="shared" si="115"/>
        <v>84961.200633344997</v>
      </c>
      <c r="Q238" s="250">
        <f t="shared" si="115"/>
        <v>89044.465001189732</v>
      </c>
      <c r="R238" s="250">
        <f t="shared" si="115"/>
        <v>93075.609494134231</v>
      </c>
      <c r="S238" s="250">
        <f t="shared" si="115"/>
        <v>97054.91798681143</v>
      </c>
      <c r="T238" s="250">
        <f t="shared" si="115"/>
        <v>100982.67319190237</v>
      </c>
      <c r="U238" s="250">
        <f t="shared" si="115"/>
        <v>104859.15666424207</v>
      </c>
      <c r="V238" s="250">
        <f t="shared" si="115"/>
        <v>108684.64880491191</v>
      </c>
      <c r="W238" s="250">
        <f t="shared" si="115"/>
        <v>112459.4288653188</v>
      </c>
      <c r="X238" s="250">
        <f t="shared" si="115"/>
        <v>118724.8540484079</v>
      </c>
      <c r="Y238" s="250">
        <f t="shared" si="115"/>
        <v>124911.23606539279</v>
      </c>
      <c r="Z238" s="250">
        <f t="shared" si="115"/>
        <v>131019.00489706936</v>
      </c>
      <c r="AA238" s="250">
        <f t="shared" si="115"/>
        <v>137048.58876480744</v>
      </c>
      <c r="AB238" s="250">
        <f t="shared" si="115"/>
        <v>143000.41413676654</v>
      </c>
      <c r="AC238" s="250">
        <f t="shared" si="115"/>
        <v>148852.02937751691</v>
      </c>
      <c r="AD238" s="250">
        <f t="shared" si="115"/>
        <v>154625.32073345818</v>
      </c>
      <c r="AE238" s="250">
        <f t="shared" si="115"/>
        <v>160320.71914318079</v>
      </c>
      <c r="AF238" s="250">
        <f t="shared" si="115"/>
        <v>165938.65377344168</v>
      </c>
      <c r="AG238" s="250">
        <f t="shared" si="115"/>
        <v>171479.55202544082</v>
      </c>
      <c r="AH238" s="217"/>
      <c r="AI238" s="368"/>
      <c r="AJ238" s="369"/>
      <c r="AL238" s="194"/>
      <c r="AM238" s="116"/>
      <c r="AN238" s="116"/>
      <c r="AO238" s="116"/>
      <c r="BD238" s="116"/>
      <c r="BE238" s="116"/>
      <c r="BF238" s="116"/>
      <c r="BG238" s="116"/>
      <c r="BH238" s="116"/>
      <c r="BI238" s="116"/>
      <c r="BJ238" s="116"/>
      <c r="BK238" s="116"/>
    </row>
    <row r="239" spans="1:63" outlineLevel="1">
      <c r="A239" s="4" t="s">
        <v>35</v>
      </c>
      <c r="C239" s="203">
        <f>C235-$C235</f>
        <v>0</v>
      </c>
      <c r="D239" s="203">
        <f t="shared" si="115"/>
        <v>0</v>
      </c>
      <c r="E239" s="203">
        <f t="shared" si="115"/>
        <v>0</v>
      </c>
      <c r="F239" s="203">
        <f t="shared" si="115"/>
        <v>0</v>
      </c>
      <c r="G239" s="203">
        <f t="shared" si="115"/>
        <v>0</v>
      </c>
      <c r="H239" s="203">
        <f t="shared" si="115"/>
        <v>0</v>
      </c>
      <c r="I239" s="203">
        <f t="shared" si="115"/>
        <v>0</v>
      </c>
      <c r="J239" s="203">
        <f t="shared" si="115"/>
        <v>0</v>
      </c>
      <c r="K239" s="203">
        <f t="shared" si="115"/>
        <v>0</v>
      </c>
      <c r="L239" s="203">
        <f t="shared" si="115"/>
        <v>0</v>
      </c>
      <c r="M239" s="203">
        <f t="shared" si="115"/>
        <v>0</v>
      </c>
      <c r="N239" s="203">
        <f t="shared" si="115"/>
        <v>0</v>
      </c>
      <c r="O239" s="203">
        <f t="shared" si="115"/>
        <v>0</v>
      </c>
      <c r="P239" s="203">
        <f t="shared" si="115"/>
        <v>0</v>
      </c>
      <c r="Q239" s="203">
        <f t="shared" si="115"/>
        <v>0</v>
      </c>
      <c r="R239" s="203">
        <f t="shared" si="115"/>
        <v>0</v>
      </c>
      <c r="S239" s="203">
        <f t="shared" si="115"/>
        <v>0</v>
      </c>
      <c r="T239" s="203">
        <f t="shared" si="115"/>
        <v>0</v>
      </c>
      <c r="U239" s="203">
        <f t="shared" si="115"/>
        <v>0</v>
      </c>
      <c r="V239" s="203">
        <f t="shared" si="115"/>
        <v>0</v>
      </c>
      <c r="W239" s="203">
        <f t="shared" si="115"/>
        <v>0</v>
      </c>
      <c r="X239" s="203">
        <f t="shared" si="115"/>
        <v>0</v>
      </c>
      <c r="Y239" s="203">
        <f t="shared" si="115"/>
        <v>0</v>
      </c>
      <c r="Z239" s="203">
        <f t="shared" si="115"/>
        <v>0</v>
      </c>
      <c r="AA239" s="203">
        <f t="shared" si="115"/>
        <v>0</v>
      </c>
      <c r="AB239" s="203">
        <f t="shared" si="115"/>
        <v>0</v>
      </c>
      <c r="AC239" s="203">
        <f t="shared" si="115"/>
        <v>0</v>
      </c>
      <c r="AD239" s="203">
        <f t="shared" si="115"/>
        <v>0</v>
      </c>
      <c r="AE239" s="203">
        <f t="shared" si="115"/>
        <v>0</v>
      </c>
      <c r="AF239" s="203">
        <f t="shared" si="115"/>
        <v>0</v>
      </c>
      <c r="AG239" s="203">
        <f>AG235-$C235</f>
        <v>0</v>
      </c>
      <c r="AH239" s="217"/>
      <c r="AI239" s="124"/>
      <c r="AJ239" s="185"/>
      <c r="AL239" s="100"/>
      <c r="AM239" s="2"/>
      <c r="AN239" s="2"/>
      <c r="AO239" s="2"/>
      <c r="BC239" s="1"/>
      <c r="BD239" s="2"/>
      <c r="BE239" s="2"/>
      <c r="BF239" s="2"/>
      <c r="BG239" s="2"/>
      <c r="BH239" s="2"/>
      <c r="BI239" s="2"/>
      <c r="BJ239" s="2"/>
      <c r="BK239" s="2"/>
    </row>
    <row r="240" spans="1:63" outlineLevel="1">
      <c r="A240" s="4" t="s">
        <v>160</v>
      </c>
      <c r="C240" s="203">
        <f t="shared" ref="C240:AG241" si="116">C236-$C236</f>
        <v>0</v>
      </c>
      <c r="D240" s="203">
        <f t="shared" si="116"/>
        <v>138.98226183374231</v>
      </c>
      <c r="E240" s="203">
        <f t="shared" si="116"/>
        <v>277.34520425822302</v>
      </c>
      <c r="F240" s="203">
        <f t="shared" si="116"/>
        <v>415.0908843470138</v>
      </c>
      <c r="G240" s="203">
        <f t="shared" si="116"/>
        <v>552.22135310958106</v>
      </c>
      <c r="H240" s="203">
        <f t="shared" si="116"/>
        <v>688.73865550803657</v>
      </c>
      <c r="I240" s="203">
        <f t="shared" si="116"/>
        <v>818.06922948731426</v>
      </c>
      <c r="J240" s="203">
        <f t="shared" si="116"/>
        <v>945.89774822043546</v>
      </c>
      <c r="K240" s="203">
        <f t="shared" si="116"/>
        <v>1072.2322485966856</v>
      </c>
      <c r="L240" s="203">
        <f t="shared" si="116"/>
        <v>1197.0807348481526</v>
      </c>
      <c r="M240" s="203">
        <f t="shared" si="116"/>
        <v>1320.4511786646567</v>
      </c>
      <c r="N240" s="203">
        <f t="shared" si="116"/>
        <v>1397.8103417847319</v>
      </c>
      <c r="O240" s="203">
        <f t="shared" si="116"/>
        <v>1474.2032125595665</v>
      </c>
      <c r="P240" s="203">
        <f t="shared" si="116"/>
        <v>1549.6350327025207</v>
      </c>
      <c r="Q240" s="203">
        <f t="shared" si="116"/>
        <v>1624.1110225076213</v>
      </c>
      <c r="R240" s="203">
        <f t="shared" si="116"/>
        <v>1697.6363809251779</v>
      </c>
      <c r="S240" s="203">
        <f t="shared" si="116"/>
        <v>1770.2162856371542</v>
      </c>
      <c r="T240" s="203">
        <f t="shared" si="116"/>
        <v>1841.8558931322932</v>
      </c>
      <c r="U240" s="203">
        <f t="shared" si="116"/>
        <v>1912.5603387810079</v>
      </c>
      <c r="V240" s="203">
        <f t="shared" si="116"/>
        <v>1982.3347369100234</v>
      </c>
      <c r="W240" s="203">
        <f t="shared" si="116"/>
        <v>2051.1841808767749</v>
      </c>
      <c r="X240" s="203">
        <f t="shared" si="116"/>
        <v>2165.461313098479</v>
      </c>
      <c r="Y240" s="203">
        <f t="shared" si="116"/>
        <v>2278.2967512483274</v>
      </c>
      <c r="Z240" s="203">
        <f t="shared" si="116"/>
        <v>2389.6983378862155</v>
      </c>
      <c r="AA240" s="203">
        <f t="shared" si="116"/>
        <v>2499.6738834812918</v>
      </c>
      <c r="AB240" s="203">
        <f t="shared" si="116"/>
        <v>2608.2311665253324</v>
      </c>
      <c r="AC240" s="203">
        <f t="shared" si="116"/>
        <v>2714.9606843212928</v>
      </c>
      <c r="AD240" s="203">
        <f t="shared" si="116"/>
        <v>2820.2616272513997</v>
      </c>
      <c r="AE240" s="203">
        <f t="shared" si="116"/>
        <v>2924.1418553450749</v>
      </c>
      <c r="AF240" s="203">
        <f t="shared" si="116"/>
        <v>3026.6091963146914</v>
      </c>
      <c r="AG240" s="203">
        <f t="shared" si="116"/>
        <v>3127.6714456700524</v>
      </c>
      <c r="AH240" s="217"/>
      <c r="AI240" s="124"/>
      <c r="AJ240" s="185"/>
      <c r="AL240" s="100"/>
      <c r="AM240" s="2"/>
      <c r="AN240" s="2"/>
      <c r="AO240" s="2"/>
      <c r="BC240" s="1"/>
      <c r="BD240" s="2"/>
      <c r="BE240" s="2"/>
      <c r="BF240" s="2"/>
      <c r="BG240" s="2"/>
      <c r="BH240" s="2"/>
      <c r="BI240" s="2"/>
      <c r="BJ240" s="2"/>
      <c r="BK240" s="2"/>
    </row>
    <row r="241" spans="1:63" outlineLevel="1">
      <c r="A241" s="4" t="s">
        <v>1040</v>
      </c>
      <c r="C241" s="203">
        <f t="shared" si="116"/>
        <v>0</v>
      </c>
      <c r="D241" s="203">
        <f t="shared" si="116"/>
        <v>7480.9408703502704</v>
      </c>
      <c r="E241" s="203">
        <f t="shared" si="116"/>
        <v>14928.545890359528</v>
      </c>
      <c r="F241" s="203">
        <f t="shared" si="116"/>
        <v>22342.925785278232</v>
      </c>
      <c r="G241" s="203">
        <f t="shared" si="116"/>
        <v>29724.190953946832</v>
      </c>
      <c r="H241" s="203">
        <f t="shared" si="116"/>
        <v>37072.451469697233</v>
      </c>
      <c r="I241" s="203">
        <f t="shared" si="116"/>
        <v>44033.874919725902</v>
      </c>
      <c r="J241" s="203">
        <f t="shared" si="116"/>
        <v>50914.447861695211</v>
      </c>
      <c r="K241" s="203">
        <f t="shared" si="116"/>
        <v>57714.602893929114</v>
      </c>
      <c r="L241" s="203">
        <f t="shared" si="116"/>
        <v>64434.770856926029</v>
      </c>
      <c r="M241" s="203">
        <f t="shared" si="116"/>
        <v>71075.380839545192</v>
      </c>
      <c r="N241" s="203">
        <f t="shared" si="116"/>
        <v>75239.360598151747</v>
      </c>
      <c r="O241" s="203">
        <f t="shared" si="116"/>
        <v>79351.328137336677</v>
      </c>
      <c r="P241" s="203">
        <f t="shared" si="116"/>
        <v>83411.565600642498</v>
      </c>
      <c r="Q241" s="203">
        <f t="shared" si="116"/>
        <v>87420.353978682135</v>
      </c>
      <c r="R241" s="203">
        <f t="shared" si="116"/>
        <v>91377.973113209067</v>
      </c>
      <c r="S241" s="203">
        <f t="shared" si="116"/>
        <v>95284.701701174286</v>
      </c>
      <c r="T241" s="203">
        <f t="shared" si="116"/>
        <v>99140.817298770096</v>
      </c>
      <c r="U241" s="203">
        <f t="shared" si="116"/>
        <v>102946.59632546108</v>
      </c>
      <c r="V241" s="203">
        <f t="shared" si="116"/>
        <v>106702.3140680019</v>
      </c>
      <c r="W241" s="203">
        <f t="shared" si="116"/>
        <v>110408.24468444203</v>
      </c>
      <c r="X241" s="203">
        <f t="shared" si="116"/>
        <v>116559.39273530943</v>
      </c>
      <c r="Y241" s="203">
        <f t="shared" si="116"/>
        <v>122632.93931414449</v>
      </c>
      <c r="Z241" s="203">
        <f t="shared" si="116"/>
        <v>128629.30655918317</v>
      </c>
      <c r="AA241" s="203">
        <f t="shared" si="116"/>
        <v>134548.91488132617</v>
      </c>
      <c r="AB241" s="203">
        <f t="shared" si="116"/>
        <v>140392.18297024124</v>
      </c>
      <c r="AC241" s="203">
        <f t="shared" si="116"/>
        <v>146137.06869319564</v>
      </c>
      <c r="AD241" s="203">
        <f t="shared" si="116"/>
        <v>151805.05910620681</v>
      </c>
      <c r="AE241" s="203">
        <f t="shared" si="116"/>
        <v>157396.57728783574</v>
      </c>
      <c r="AF241" s="203">
        <f t="shared" si="116"/>
        <v>162912.044577127</v>
      </c>
      <c r="AG241" s="203">
        <f t="shared" si="116"/>
        <v>168351.88057977075</v>
      </c>
      <c r="AH241" s="217"/>
      <c r="AI241" s="124"/>
      <c r="AJ241" s="185"/>
      <c r="AL241" s="100"/>
      <c r="AM241" s="2"/>
      <c r="AN241" s="2"/>
      <c r="AO241" s="2"/>
      <c r="BC241" s="1"/>
      <c r="BD241" s="2"/>
      <c r="BE241" s="2"/>
      <c r="BF241" s="2"/>
      <c r="BG241" s="2"/>
      <c r="BH241" s="2"/>
      <c r="BI241" s="2"/>
      <c r="BJ241" s="2"/>
      <c r="BK241" s="2"/>
    </row>
    <row r="242" spans="1:63" outlineLevel="2">
      <c r="C242" s="105"/>
      <c r="D242" s="102"/>
      <c r="E242" s="102"/>
      <c r="F242" s="102"/>
      <c r="G242" s="102"/>
      <c r="H242" s="102"/>
      <c r="I242" s="102"/>
      <c r="J242" s="102"/>
      <c r="K242" s="102"/>
      <c r="L242" s="102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22"/>
      <c r="Y242" s="22"/>
      <c r="Z242" s="22"/>
      <c r="AA242" s="22"/>
      <c r="AB242" s="22"/>
      <c r="AC242" s="22"/>
      <c r="AD242" s="22"/>
      <c r="AE242" s="22"/>
      <c r="AF242" s="22"/>
      <c r="AG242" s="98"/>
      <c r="AJ242" s="185"/>
    </row>
    <row r="243" spans="1:63" s="174" customFormat="1" ht="15.5" thickBot="1">
      <c r="A243" s="200" t="s">
        <v>1002</v>
      </c>
      <c r="B243" s="201"/>
      <c r="C243" s="202">
        <f>(C39*C63+C40*C129+C42*C184+C41*C217+C43*C232)/C44</f>
        <v>0.11709332918781439</v>
      </c>
      <c r="D243" s="202">
        <f t="shared" ref="D243:AG243" si="117">(D39*D63+D40*D129+D42*D184+D41*D217+D43*D232)/D44</f>
        <v>0.13214995377529071</v>
      </c>
      <c r="E243" s="202">
        <f t="shared" si="117"/>
        <v>0.14735457816879657</v>
      </c>
      <c r="F243" s="202">
        <f t="shared" si="117"/>
        <v>0.16270692695728844</v>
      </c>
      <c r="G243" s="202">
        <f t="shared" si="117"/>
        <v>0.17820672457431147</v>
      </c>
      <c r="H243" s="202">
        <f t="shared" si="117"/>
        <v>0.19385369529788973</v>
      </c>
      <c r="I243" s="202">
        <f t="shared" si="117"/>
        <v>0.2095590163727945</v>
      </c>
      <c r="J243" s="202">
        <f t="shared" si="117"/>
        <v>0.2254046021830404</v>
      </c>
      <c r="K243" s="202">
        <f t="shared" si="117"/>
        <v>0.24139132885417119</v>
      </c>
      <c r="L243" s="202">
        <f t="shared" si="117"/>
        <v>0.25752008267829563</v>
      </c>
      <c r="M243" s="202">
        <f t="shared" si="117"/>
        <v>0.27379176026198193</v>
      </c>
      <c r="N243" s="202">
        <f t="shared" si="117"/>
        <v>0.28533224076716823</v>
      </c>
      <c r="O243" s="202">
        <f t="shared" si="117"/>
        <v>0.29697104561642657</v>
      </c>
      <c r="P243" s="202">
        <f t="shared" si="117"/>
        <v>0.30871162518226192</v>
      </c>
      <c r="Q243" s="202">
        <f t="shared" si="117"/>
        <v>0.3205513783473885</v>
      </c>
      <c r="R243" s="202">
        <f t="shared" si="117"/>
        <v>0.33249068906140916</v>
      </c>
      <c r="S243" s="202">
        <f t="shared" si="117"/>
        <v>0.34452994384405294</v>
      </c>
      <c r="T243" s="202">
        <f t="shared" si="117"/>
        <v>0.35666953718675143</v>
      </c>
      <c r="U243" s="202">
        <f t="shared" si="117"/>
        <v>0.36890986600783288</v>
      </c>
      <c r="V243" s="202">
        <f t="shared" si="117"/>
        <v>0.3812513316945807</v>
      </c>
      <c r="W243" s="202">
        <f t="shared" si="117"/>
        <v>0.39369434017656441</v>
      </c>
      <c r="X243" s="202">
        <f t="shared" si="117"/>
        <v>0.4119011595937081</v>
      </c>
      <c r="Y243" s="202">
        <f t="shared" si="117"/>
        <v>0.43026342758218622</v>
      </c>
      <c r="Z243" s="202">
        <f t="shared" si="117"/>
        <v>0.44879274519390205</v>
      </c>
      <c r="AA243" s="202">
        <f t="shared" si="117"/>
        <v>0.4674789201402732</v>
      </c>
      <c r="AB243" s="202">
        <f t="shared" si="117"/>
        <v>0.48632247064865847</v>
      </c>
      <c r="AC243" s="202">
        <f t="shared" si="117"/>
        <v>0.50532176111860327</v>
      </c>
      <c r="AD243" s="202">
        <f t="shared" si="117"/>
        <v>0.52447972941931842</v>
      </c>
      <c r="AE243" s="202">
        <f t="shared" si="117"/>
        <v>0.543796938188848</v>
      </c>
      <c r="AF243" s="202">
        <f t="shared" si="117"/>
        <v>0.56327395065851948</v>
      </c>
      <c r="AG243" s="202">
        <f t="shared" si="117"/>
        <v>0.58291133067962131</v>
      </c>
      <c r="AJ243" s="421"/>
      <c r="AL243" s="191"/>
      <c r="AM243" s="198"/>
      <c r="AN243" s="198"/>
      <c r="AO243" s="198"/>
    </row>
    <row r="244" spans="1:63" s="174" customFormat="1" ht="16.25" thickTop="1" thickBot="1">
      <c r="A244" s="200" t="s">
        <v>452</v>
      </c>
      <c r="B244" s="201"/>
      <c r="C244" s="202">
        <f t="shared" ref="C244:AG244" si="118">(C11*C46+C110*C12+C14*C167+C213*C13+C228*C15)/C16</f>
        <v>0.18370882040382572</v>
      </c>
      <c r="D244" s="202">
        <f t="shared" si="118"/>
        <v>0.20016277671844832</v>
      </c>
      <c r="E244" s="202">
        <f t="shared" si="118"/>
        <v>0.21661673303307094</v>
      </c>
      <c r="F244" s="202">
        <f t="shared" si="118"/>
        <v>0.23307068934769359</v>
      </c>
      <c r="G244" s="202">
        <f t="shared" si="118"/>
        <v>0.24952464566231622</v>
      </c>
      <c r="H244" s="202">
        <f t="shared" si="118"/>
        <v>0.26597860197693879</v>
      </c>
      <c r="I244" s="202">
        <f t="shared" si="118"/>
        <v>0.28243255829156144</v>
      </c>
      <c r="J244" s="202">
        <f t="shared" si="118"/>
        <v>0.29888651460618398</v>
      </c>
      <c r="K244" s="202">
        <f t="shared" si="118"/>
        <v>0.31534047092080664</v>
      </c>
      <c r="L244" s="202">
        <f t="shared" si="118"/>
        <v>0.33179442723542923</v>
      </c>
      <c r="M244" s="202">
        <f t="shared" si="118"/>
        <v>0.34824838355005183</v>
      </c>
      <c r="N244" s="202">
        <f t="shared" si="118"/>
        <v>0.35930259997070713</v>
      </c>
      <c r="O244" s="202">
        <f t="shared" si="118"/>
        <v>0.37035681639136236</v>
      </c>
      <c r="P244" s="202">
        <f t="shared" si="118"/>
        <v>0.38141103281201755</v>
      </c>
      <c r="Q244" s="202">
        <f t="shared" si="118"/>
        <v>0.39246524923267279</v>
      </c>
      <c r="R244" s="202">
        <f t="shared" si="118"/>
        <v>0.40351946565332808</v>
      </c>
      <c r="S244" s="202">
        <f t="shared" si="118"/>
        <v>0.41457368207398337</v>
      </c>
      <c r="T244" s="202">
        <f t="shared" si="118"/>
        <v>0.42562789849463861</v>
      </c>
      <c r="U244" s="202">
        <f t="shared" si="118"/>
        <v>0.4366821149152938</v>
      </c>
      <c r="V244" s="202">
        <f t="shared" si="118"/>
        <v>0.44773633133594903</v>
      </c>
      <c r="W244" s="202">
        <f t="shared" si="118"/>
        <v>0.45879054775660427</v>
      </c>
      <c r="X244" s="202">
        <f t="shared" si="118"/>
        <v>0.47578917884573413</v>
      </c>
      <c r="Y244" s="202">
        <f t="shared" si="118"/>
        <v>0.49278780993486387</v>
      </c>
      <c r="Z244" s="202">
        <f t="shared" si="118"/>
        <v>0.50978644102399373</v>
      </c>
      <c r="AA244" s="202">
        <f t="shared" si="118"/>
        <v>0.52678507211312331</v>
      </c>
      <c r="AB244" s="202">
        <f t="shared" si="118"/>
        <v>0.54378370320225333</v>
      </c>
      <c r="AC244" s="202">
        <f t="shared" si="118"/>
        <v>0.56078233429138302</v>
      </c>
      <c r="AD244" s="202">
        <f t="shared" si="118"/>
        <v>0.57778096538051282</v>
      </c>
      <c r="AE244" s="202">
        <f t="shared" si="118"/>
        <v>0.59477959646964262</v>
      </c>
      <c r="AF244" s="202">
        <f t="shared" si="118"/>
        <v>0.61177822755877254</v>
      </c>
      <c r="AG244" s="202">
        <f t="shared" si="118"/>
        <v>0.62877685864790223</v>
      </c>
      <c r="AJ244" s="199"/>
      <c r="AL244" s="191"/>
      <c r="AM244" s="198"/>
      <c r="AN244" s="198"/>
      <c r="AO244" s="198"/>
    </row>
    <row r="245" spans="1:63" ht="15.5" thickTop="1">
      <c r="B245" s="121"/>
      <c r="C245" s="105"/>
      <c r="D245" s="22"/>
      <c r="E245" s="22"/>
      <c r="F245" s="22"/>
      <c r="G245" s="22"/>
      <c r="H245" s="22"/>
      <c r="I245" s="22"/>
      <c r="J245" s="22"/>
      <c r="K245" s="22"/>
      <c r="L245" s="22"/>
      <c r="M245" s="118"/>
      <c r="N245" s="102"/>
      <c r="O245" s="102"/>
      <c r="P245" s="102"/>
      <c r="Q245" s="102"/>
      <c r="R245" s="102"/>
      <c r="S245" s="102"/>
      <c r="T245" s="102"/>
      <c r="U245" s="102"/>
      <c r="V245" s="102"/>
      <c r="W245" s="118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5"/>
    </row>
    <row r="246" spans="1:63">
      <c r="A246" t="s">
        <v>1003</v>
      </c>
      <c r="B246" s="121"/>
      <c r="C246" s="203">
        <f>(C39*C63+C40*C129+C42*C184+C41*C217+C43*C232)</f>
        <v>64870.026675377754</v>
      </c>
      <c r="D246" s="203">
        <f t="shared" ref="D246:AG246" si="119">(D39*D63+D40*D129+D42*D184+D41*D217+D43*D232)</f>
        <v>73039.518926795776</v>
      </c>
      <c r="E246" s="203">
        <f t="shared" si="119"/>
        <v>81251.891401690969</v>
      </c>
      <c r="F246" s="203">
        <f t="shared" si="119"/>
        <v>89506.554021114847</v>
      </c>
      <c r="G246" s="203">
        <f t="shared" si="119"/>
        <v>97802.920309759036</v>
      </c>
      <c r="H246" s="203">
        <f t="shared" si="119"/>
        <v>106140.40737934879</v>
      </c>
      <c r="I246" s="203">
        <f t="shared" si="119"/>
        <v>114157.90604756644</v>
      </c>
      <c r="J246" s="203">
        <f t="shared" si="119"/>
        <v>122166.40845390866</v>
      </c>
      <c r="K246" s="203">
        <f t="shared" si="119"/>
        <v>130165.67190479996</v>
      </c>
      <c r="L246" s="203">
        <f t="shared" si="119"/>
        <v>138155.4557652339</v>
      </c>
      <c r="M246" s="203">
        <f t="shared" si="119"/>
        <v>146135.52144788811</v>
      </c>
      <c r="N246" s="203">
        <f t="shared" si="119"/>
        <v>151489.47492822111</v>
      </c>
      <c r="O246" s="203">
        <f t="shared" si="119"/>
        <v>156833.10575509141</v>
      </c>
      <c r="P246" s="203">
        <f t="shared" si="119"/>
        <v>162163.88677974613</v>
      </c>
      <c r="Q246" s="203">
        <f t="shared" si="119"/>
        <v>167483.4462706701</v>
      </c>
      <c r="R246" s="203">
        <f t="shared" si="119"/>
        <v>172791.48267782087</v>
      </c>
      <c r="S246" s="203">
        <f t="shared" si="119"/>
        <v>178087.70492982102</v>
      </c>
      <c r="T246" s="203">
        <f t="shared" si="119"/>
        <v>183371.80870967143</v>
      </c>
      <c r="U246" s="203">
        <f t="shared" si="119"/>
        <v>188643.49941022613</v>
      </c>
      <c r="V246" s="203">
        <f t="shared" si="119"/>
        <v>193902.48471960059</v>
      </c>
      <c r="W246" s="203">
        <f t="shared" si="119"/>
        <v>199148.47461085988</v>
      </c>
      <c r="X246" s="203">
        <f t="shared" si="119"/>
        <v>207229.80923729</v>
      </c>
      <c r="Y246" s="203">
        <f t="shared" si="119"/>
        <v>215293.22470371108</v>
      </c>
      <c r="Z246" s="203">
        <f t="shared" si="119"/>
        <v>223323.39001146361</v>
      </c>
      <c r="AA246" s="203">
        <f t="shared" si="119"/>
        <v>231332.58053390586</v>
      </c>
      <c r="AB246" s="203">
        <f t="shared" si="119"/>
        <v>239320.21330928741</v>
      </c>
      <c r="AC246" s="203">
        <f t="shared" si="119"/>
        <v>247262.82312261991</v>
      </c>
      <c r="AD246" s="203">
        <f t="shared" si="119"/>
        <v>255181.29727919502</v>
      </c>
      <c r="AE246" s="203">
        <f t="shared" si="119"/>
        <v>263075.0642163959</v>
      </c>
      <c r="AF246" s="203">
        <f t="shared" si="119"/>
        <v>270943.55294257955</v>
      </c>
      <c r="AG246" s="203">
        <f t="shared" si="119"/>
        <v>278786.19306026987</v>
      </c>
      <c r="AI246" s="22">
        <f>(AG246/C246)^(1/30)-1</f>
        <v>4.9802427889304335E-2</v>
      </c>
      <c r="AJ246" s="448">
        <f>AG246-C246</f>
        <v>213916.16638489213</v>
      </c>
    </row>
    <row r="247" spans="1:63">
      <c r="A247" t="s">
        <v>1004</v>
      </c>
      <c r="B247" s="121"/>
      <c r="C247" s="203">
        <f>C246</f>
        <v>64870.026675377754</v>
      </c>
      <c r="D247" s="203">
        <f>C247*(1+$AI$247)</f>
        <v>65953.356120856552</v>
      </c>
      <c r="E247" s="203">
        <f t="shared" ref="E247:AG247" si="120">D247*(1+$AI$247)</f>
        <v>67054.777168074856</v>
      </c>
      <c r="F247" s="203">
        <f t="shared" si="120"/>
        <v>68174.5919467817</v>
      </c>
      <c r="G247" s="203">
        <f t="shared" si="120"/>
        <v>69313.107632292944</v>
      </c>
      <c r="H247" s="203">
        <f t="shared" si="120"/>
        <v>70470.636529752228</v>
      </c>
      <c r="I247" s="203">
        <f t="shared" si="120"/>
        <v>71647.496159799091</v>
      </c>
      <c r="J247" s="203">
        <f t="shared" si="120"/>
        <v>72844.009345667728</v>
      </c>
      <c r="K247" s="203">
        <f t="shared" si="120"/>
        <v>74060.50430174038</v>
      </c>
      <c r="L247" s="203">
        <f t="shared" si="120"/>
        <v>75297.314723579446</v>
      </c>
      <c r="M247" s="203">
        <f>L247*(1+$AI$247)</f>
        <v>76554.779879463211</v>
      </c>
      <c r="N247" s="203">
        <f t="shared" si="120"/>
        <v>77833.24470345024</v>
      </c>
      <c r="O247" s="203">
        <f t="shared" si="120"/>
        <v>79133.05988999785</v>
      </c>
      <c r="P247" s="203">
        <f t="shared" si="120"/>
        <v>80454.581990160805</v>
      </c>
      <c r="Q247" s="203">
        <f t="shared" si="120"/>
        <v>81798.173509396482</v>
      </c>
      <c r="R247" s="203">
        <f t="shared" si="120"/>
        <v>83164.203007003394</v>
      </c>
      <c r="S247" s="203">
        <f t="shared" si="120"/>
        <v>84553.045197220345</v>
      </c>
      <c r="T247" s="203">
        <f t="shared" si="120"/>
        <v>85965.08105201392</v>
      </c>
      <c r="U247" s="203">
        <f t="shared" si="120"/>
        <v>87400.69790558255</v>
      </c>
      <c r="V247" s="203">
        <f t="shared" si="120"/>
        <v>88860.289560605772</v>
      </c>
      <c r="W247" s="203">
        <f t="shared" si="120"/>
        <v>90344.256396267883</v>
      </c>
      <c r="X247" s="203">
        <f t="shared" si="120"/>
        <v>91853.005478085557</v>
      </c>
      <c r="Y247" s="203">
        <f t="shared" si="120"/>
        <v>93386.950669569575</v>
      </c>
      <c r="Z247" s="203">
        <f t="shared" si="120"/>
        <v>94946.512745751374</v>
      </c>
      <c r="AA247" s="203">
        <f t="shared" si="120"/>
        <v>96532.119508605421</v>
      </c>
      <c r="AB247" s="203">
        <f t="shared" si="120"/>
        <v>98144.205904399132</v>
      </c>
      <c r="AC247" s="203">
        <f t="shared" si="120"/>
        <v>99783.214143002595</v>
      </c>
      <c r="AD247" s="203">
        <f t="shared" si="120"/>
        <v>101449.59381919073</v>
      </c>
      <c r="AE247" s="203">
        <f t="shared" si="120"/>
        <v>103143.80203597121</v>
      </c>
      <c r="AF247" s="203">
        <f t="shared" si="120"/>
        <v>104866.30352997192</v>
      </c>
      <c r="AG247" s="203">
        <f t="shared" si="120"/>
        <v>106617.57079892245</v>
      </c>
      <c r="AI247" s="188">
        <v>1.67E-2</v>
      </c>
      <c r="AJ247" s="3" t="s">
        <v>599</v>
      </c>
    </row>
    <row r="248" spans="1:63">
      <c r="B248" s="47"/>
    </row>
    <row r="249" spans="1:63" s="54" customFormat="1">
      <c r="A249" s="54" t="s">
        <v>626</v>
      </c>
      <c r="B249" s="253"/>
      <c r="C249" s="254"/>
      <c r="D249" s="254"/>
      <c r="E249" s="254"/>
      <c r="F249" s="254"/>
      <c r="G249" s="254"/>
      <c r="H249" s="254"/>
      <c r="I249" s="254"/>
      <c r="J249" s="254"/>
      <c r="K249" s="254"/>
      <c r="L249" s="254"/>
      <c r="M249" s="254"/>
      <c r="N249" s="254"/>
      <c r="O249" s="254"/>
      <c r="P249" s="254"/>
      <c r="Q249" s="254"/>
      <c r="R249" s="254"/>
      <c r="S249" s="254"/>
      <c r="T249" s="254"/>
      <c r="U249" s="254"/>
      <c r="V249" s="254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I249" s="255"/>
      <c r="AJ249" s="256"/>
    </row>
    <row r="250" spans="1:63" s="166" customFormat="1" outlineLevel="1">
      <c r="A250" s="293" t="s">
        <v>630</v>
      </c>
      <c r="B250" s="268" t="s">
        <v>126</v>
      </c>
      <c r="C250" s="561">
        <v>0.98</v>
      </c>
      <c r="D250" s="269">
        <f>-($C250-$AG250)/30+C250</f>
        <v>0.98033333333333328</v>
      </c>
      <c r="E250" s="269">
        <f t="shared" ref="E250:AF252" si="121">-($C250-$AG250)/30+D250</f>
        <v>0.98066666666666658</v>
      </c>
      <c r="F250" s="269">
        <f t="shared" si="121"/>
        <v>0.98099999999999987</v>
      </c>
      <c r="G250" s="269">
        <f t="shared" si="121"/>
        <v>0.98133333333333317</v>
      </c>
      <c r="H250" s="269">
        <f t="shared" si="121"/>
        <v>0.98166666666666647</v>
      </c>
      <c r="I250" s="269">
        <f t="shared" si="121"/>
        <v>0.98199999999999976</v>
      </c>
      <c r="J250" s="269">
        <f t="shared" si="121"/>
        <v>0.98233333333333306</v>
      </c>
      <c r="K250" s="269">
        <f t="shared" si="121"/>
        <v>0.98266666666666636</v>
      </c>
      <c r="L250" s="269">
        <f t="shared" si="121"/>
        <v>0.98299999999999965</v>
      </c>
      <c r="M250" s="269">
        <f t="shared" si="121"/>
        <v>0.98333333333333295</v>
      </c>
      <c r="N250" s="269">
        <f t="shared" si="121"/>
        <v>0.98366666666666625</v>
      </c>
      <c r="O250" s="269">
        <f t="shared" si="121"/>
        <v>0.98399999999999954</v>
      </c>
      <c r="P250" s="269">
        <f t="shared" si="121"/>
        <v>0.98433333333333284</v>
      </c>
      <c r="Q250" s="269">
        <f t="shared" si="121"/>
        <v>0.98466666666666613</v>
      </c>
      <c r="R250" s="269">
        <f t="shared" si="121"/>
        <v>0.98499999999999943</v>
      </c>
      <c r="S250" s="269">
        <f t="shared" si="121"/>
        <v>0.98533333333333273</v>
      </c>
      <c r="T250" s="269">
        <f t="shared" si="121"/>
        <v>0.98566666666666602</v>
      </c>
      <c r="U250" s="269">
        <f t="shared" si="121"/>
        <v>0.98599999999999932</v>
      </c>
      <c r="V250" s="269">
        <f t="shared" si="121"/>
        <v>0.98633333333333262</v>
      </c>
      <c r="W250" s="269">
        <f t="shared" si="121"/>
        <v>0.98666666666666591</v>
      </c>
      <c r="X250" s="269">
        <f t="shared" si="121"/>
        <v>0.98699999999999921</v>
      </c>
      <c r="Y250" s="269">
        <f t="shared" si="121"/>
        <v>0.98733333333333251</v>
      </c>
      <c r="Z250" s="269">
        <f t="shared" si="121"/>
        <v>0.9876666666666658</v>
      </c>
      <c r="AA250" s="269">
        <f t="shared" si="121"/>
        <v>0.9879999999999991</v>
      </c>
      <c r="AB250" s="269">
        <f t="shared" si="121"/>
        <v>0.9883333333333324</v>
      </c>
      <c r="AC250" s="269">
        <f t="shared" si="121"/>
        <v>0.98866666666666569</v>
      </c>
      <c r="AD250" s="269">
        <f t="shared" si="121"/>
        <v>0.98899999999999899</v>
      </c>
      <c r="AE250" s="269">
        <f t="shared" si="121"/>
        <v>0.98933333333333229</v>
      </c>
      <c r="AF250" s="269">
        <f t="shared" si="121"/>
        <v>0.98966666666666558</v>
      </c>
      <c r="AG250" s="561">
        <v>0.99</v>
      </c>
      <c r="AI250" s="270"/>
      <c r="AJ250" s="271" t="s">
        <v>1469</v>
      </c>
    </row>
    <row r="251" spans="1:63" outlineLevel="1">
      <c r="A251" s="3" t="s">
        <v>621</v>
      </c>
      <c r="B251" s="252" t="s">
        <v>126</v>
      </c>
      <c r="C251" s="255">
        <f>1-SUM(C252:C256)</f>
        <v>0.97</v>
      </c>
      <c r="D251" s="287">
        <f t="shared" ref="D251:S252" si="122">-($C251-$AG251)/30+C251</f>
        <v>0.97033333333333327</v>
      </c>
      <c r="E251" s="287">
        <f t="shared" si="122"/>
        <v>0.97066666666666657</v>
      </c>
      <c r="F251" s="287">
        <f t="shared" si="122"/>
        <v>0.97099999999999986</v>
      </c>
      <c r="G251" s="287">
        <f t="shared" si="122"/>
        <v>0.97133333333333316</v>
      </c>
      <c r="H251" s="287">
        <f t="shared" si="122"/>
        <v>0.97166666666666646</v>
      </c>
      <c r="I251" s="287">
        <f t="shared" si="122"/>
        <v>0.97199999999999975</v>
      </c>
      <c r="J251" s="287">
        <f t="shared" si="122"/>
        <v>0.97233333333333305</v>
      </c>
      <c r="K251" s="287">
        <f t="shared" si="122"/>
        <v>0.97266666666666635</v>
      </c>
      <c r="L251" s="287">
        <f t="shared" si="122"/>
        <v>0.97299999999999964</v>
      </c>
      <c r="M251" s="287">
        <f t="shared" si="122"/>
        <v>0.97333333333333294</v>
      </c>
      <c r="N251" s="287">
        <f t="shared" si="122"/>
        <v>0.97366666666666624</v>
      </c>
      <c r="O251" s="287">
        <f t="shared" si="122"/>
        <v>0.97399999999999953</v>
      </c>
      <c r="P251" s="287">
        <f t="shared" si="122"/>
        <v>0.97433333333333283</v>
      </c>
      <c r="Q251" s="287">
        <f t="shared" si="122"/>
        <v>0.97466666666666613</v>
      </c>
      <c r="R251" s="287">
        <f t="shared" si="122"/>
        <v>0.97499999999999942</v>
      </c>
      <c r="S251" s="287">
        <f t="shared" si="122"/>
        <v>0.97533333333333272</v>
      </c>
      <c r="T251" s="287">
        <f t="shared" si="121"/>
        <v>0.97566666666666602</v>
      </c>
      <c r="U251" s="287">
        <f t="shared" si="121"/>
        <v>0.97599999999999931</v>
      </c>
      <c r="V251" s="287">
        <f t="shared" si="121"/>
        <v>0.97633333333333261</v>
      </c>
      <c r="W251" s="287">
        <f t="shared" si="121"/>
        <v>0.97666666666666591</v>
      </c>
      <c r="X251" s="287">
        <f t="shared" si="121"/>
        <v>0.9769999999999992</v>
      </c>
      <c r="Y251" s="287">
        <f t="shared" si="121"/>
        <v>0.9773333333333325</v>
      </c>
      <c r="Z251" s="287">
        <f t="shared" si="121"/>
        <v>0.9776666666666658</v>
      </c>
      <c r="AA251" s="287">
        <f t="shared" si="121"/>
        <v>0.97799999999999909</v>
      </c>
      <c r="AB251" s="287">
        <f t="shared" si="121"/>
        <v>0.97833333333333239</v>
      </c>
      <c r="AC251" s="287">
        <f t="shared" si="121"/>
        <v>0.97866666666666569</v>
      </c>
      <c r="AD251" s="287">
        <f t="shared" si="121"/>
        <v>0.97899999999999898</v>
      </c>
      <c r="AE251" s="287">
        <f t="shared" si="121"/>
        <v>0.97933333333333228</v>
      </c>
      <c r="AF251" s="287">
        <f t="shared" si="121"/>
        <v>0.97966666666666558</v>
      </c>
      <c r="AG251" s="255">
        <f>1-SUM(AG252:AG256)</f>
        <v>0.98</v>
      </c>
      <c r="AI251" s="188"/>
      <c r="AJ251" s="271"/>
    </row>
    <row r="252" spans="1:63" outlineLevel="1">
      <c r="A252" s="3" t="s">
        <v>620</v>
      </c>
      <c r="B252" s="252" t="s">
        <v>126</v>
      </c>
      <c r="C252" s="266">
        <v>0.01</v>
      </c>
      <c r="D252" s="267">
        <f t="shared" si="122"/>
        <v>0.01</v>
      </c>
      <c r="E252" s="267">
        <f t="shared" si="122"/>
        <v>0.01</v>
      </c>
      <c r="F252" s="267">
        <f t="shared" si="122"/>
        <v>0.01</v>
      </c>
      <c r="G252" s="267">
        <f t="shared" si="122"/>
        <v>0.01</v>
      </c>
      <c r="H252" s="267">
        <f t="shared" si="122"/>
        <v>0.01</v>
      </c>
      <c r="I252" s="267">
        <f t="shared" si="122"/>
        <v>0.01</v>
      </c>
      <c r="J252" s="267">
        <f t="shared" si="122"/>
        <v>0.01</v>
      </c>
      <c r="K252" s="267">
        <f t="shared" si="122"/>
        <v>0.01</v>
      </c>
      <c r="L252" s="267">
        <f t="shared" si="122"/>
        <v>0.01</v>
      </c>
      <c r="M252" s="267">
        <f t="shared" si="122"/>
        <v>0.01</v>
      </c>
      <c r="N252" s="267">
        <f t="shared" si="122"/>
        <v>0.01</v>
      </c>
      <c r="O252" s="267">
        <f t="shared" si="122"/>
        <v>0.01</v>
      </c>
      <c r="P252" s="267">
        <f t="shared" si="122"/>
        <v>0.01</v>
      </c>
      <c r="Q252" s="267">
        <f t="shared" si="122"/>
        <v>0.01</v>
      </c>
      <c r="R252" s="267">
        <f t="shared" si="122"/>
        <v>0.01</v>
      </c>
      <c r="S252" s="267">
        <f t="shared" si="122"/>
        <v>0.01</v>
      </c>
      <c r="T252" s="267">
        <f t="shared" si="121"/>
        <v>0.01</v>
      </c>
      <c r="U252" s="267">
        <f t="shared" si="121"/>
        <v>0.01</v>
      </c>
      <c r="V252" s="267">
        <f t="shared" si="121"/>
        <v>0.01</v>
      </c>
      <c r="W252" s="267">
        <f t="shared" si="121"/>
        <v>0.01</v>
      </c>
      <c r="X252" s="267">
        <f t="shared" si="121"/>
        <v>0.01</v>
      </c>
      <c r="Y252" s="267">
        <f t="shared" si="121"/>
        <v>0.01</v>
      </c>
      <c r="Z252" s="267">
        <f t="shared" si="121"/>
        <v>0.01</v>
      </c>
      <c r="AA252" s="267">
        <f t="shared" si="121"/>
        <v>0.01</v>
      </c>
      <c r="AB252" s="267">
        <f t="shared" si="121"/>
        <v>0.01</v>
      </c>
      <c r="AC252" s="267">
        <f t="shared" si="121"/>
        <v>0.01</v>
      </c>
      <c r="AD252" s="267">
        <f t="shared" si="121"/>
        <v>0.01</v>
      </c>
      <c r="AE252" s="267">
        <f t="shared" si="121"/>
        <v>0.01</v>
      </c>
      <c r="AF252" s="267">
        <f t="shared" si="121"/>
        <v>0.01</v>
      </c>
      <c r="AG252" s="266">
        <v>0.01</v>
      </c>
      <c r="AI252" s="188"/>
      <c r="AJ252" s="271" t="s">
        <v>1469</v>
      </c>
    </row>
    <row r="253" spans="1:63" outlineLevel="1">
      <c r="A253" s="3" t="s">
        <v>622</v>
      </c>
      <c r="B253" s="252" t="s">
        <v>126</v>
      </c>
      <c r="C253" s="562">
        <v>0</v>
      </c>
      <c r="D253" s="267">
        <f t="shared" ref="D253:AF256" si="123">-($C253-$AG253)/30+C253</f>
        <v>0</v>
      </c>
      <c r="E253" s="267">
        <f t="shared" si="123"/>
        <v>0</v>
      </c>
      <c r="F253" s="267">
        <f t="shared" si="123"/>
        <v>0</v>
      </c>
      <c r="G253" s="267">
        <f t="shared" si="123"/>
        <v>0</v>
      </c>
      <c r="H253" s="267">
        <f t="shared" si="123"/>
        <v>0</v>
      </c>
      <c r="I253" s="267">
        <f t="shared" si="123"/>
        <v>0</v>
      </c>
      <c r="J253" s="267">
        <f t="shared" si="123"/>
        <v>0</v>
      </c>
      <c r="K253" s="267">
        <f t="shared" si="123"/>
        <v>0</v>
      </c>
      <c r="L253" s="267">
        <f t="shared" si="123"/>
        <v>0</v>
      </c>
      <c r="M253" s="267">
        <f t="shared" si="123"/>
        <v>0</v>
      </c>
      <c r="N253" s="267">
        <f t="shared" si="123"/>
        <v>0</v>
      </c>
      <c r="O253" s="267">
        <f t="shared" si="123"/>
        <v>0</v>
      </c>
      <c r="P253" s="267">
        <f t="shared" si="123"/>
        <v>0</v>
      </c>
      <c r="Q253" s="267">
        <f t="shared" si="123"/>
        <v>0</v>
      </c>
      <c r="R253" s="267">
        <f t="shared" si="123"/>
        <v>0</v>
      </c>
      <c r="S253" s="267">
        <f t="shared" si="123"/>
        <v>0</v>
      </c>
      <c r="T253" s="267">
        <f t="shared" si="123"/>
        <v>0</v>
      </c>
      <c r="U253" s="267">
        <f t="shared" si="123"/>
        <v>0</v>
      </c>
      <c r="V253" s="267">
        <f t="shared" si="123"/>
        <v>0</v>
      </c>
      <c r="W253" s="267">
        <f t="shared" si="123"/>
        <v>0</v>
      </c>
      <c r="X253" s="267">
        <f t="shared" si="123"/>
        <v>0</v>
      </c>
      <c r="Y253" s="267">
        <f t="shared" si="123"/>
        <v>0</v>
      </c>
      <c r="Z253" s="267">
        <f t="shared" si="123"/>
        <v>0</v>
      </c>
      <c r="AA253" s="267">
        <f t="shared" si="123"/>
        <v>0</v>
      </c>
      <c r="AB253" s="267">
        <f t="shared" si="123"/>
        <v>0</v>
      </c>
      <c r="AC253" s="267">
        <f t="shared" si="123"/>
        <v>0</v>
      </c>
      <c r="AD253" s="267">
        <f t="shared" si="123"/>
        <v>0</v>
      </c>
      <c r="AE253" s="267">
        <f t="shared" si="123"/>
        <v>0</v>
      </c>
      <c r="AF253" s="267">
        <f t="shared" si="123"/>
        <v>0</v>
      </c>
      <c r="AG253" s="562">
        <v>0</v>
      </c>
      <c r="AI253" s="188"/>
      <c r="AJ253" t="s">
        <v>1470</v>
      </c>
    </row>
    <row r="254" spans="1:63" outlineLevel="1">
      <c r="A254" s="3" t="s">
        <v>623</v>
      </c>
      <c r="B254" s="252" t="s">
        <v>126</v>
      </c>
      <c r="C254" s="562">
        <v>0</v>
      </c>
      <c r="D254" s="267">
        <f t="shared" si="123"/>
        <v>0</v>
      </c>
      <c r="E254" s="267">
        <f t="shared" si="123"/>
        <v>0</v>
      </c>
      <c r="F254" s="267">
        <f t="shared" si="123"/>
        <v>0</v>
      </c>
      <c r="G254" s="267">
        <f t="shared" si="123"/>
        <v>0</v>
      </c>
      <c r="H254" s="267">
        <f t="shared" si="123"/>
        <v>0</v>
      </c>
      <c r="I254" s="267">
        <f t="shared" si="123"/>
        <v>0</v>
      </c>
      <c r="J254" s="267">
        <f t="shared" si="123"/>
        <v>0</v>
      </c>
      <c r="K254" s="267">
        <f t="shared" si="123"/>
        <v>0</v>
      </c>
      <c r="L254" s="267">
        <f t="shared" si="123"/>
        <v>0</v>
      </c>
      <c r="M254" s="267">
        <f t="shared" si="123"/>
        <v>0</v>
      </c>
      <c r="N254" s="267">
        <f t="shared" si="123"/>
        <v>0</v>
      </c>
      <c r="O254" s="267">
        <f t="shared" si="123"/>
        <v>0</v>
      </c>
      <c r="P254" s="267">
        <f t="shared" si="123"/>
        <v>0</v>
      </c>
      <c r="Q254" s="267">
        <f t="shared" si="123"/>
        <v>0</v>
      </c>
      <c r="R254" s="267">
        <f t="shared" si="123"/>
        <v>0</v>
      </c>
      <c r="S254" s="267">
        <f t="shared" si="123"/>
        <v>0</v>
      </c>
      <c r="T254" s="267">
        <f t="shared" si="123"/>
        <v>0</v>
      </c>
      <c r="U254" s="267">
        <f t="shared" si="123"/>
        <v>0</v>
      </c>
      <c r="V254" s="267">
        <f t="shared" si="123"/>
        <v>0</v>
      </c>
      <c r="W254" s="267">
        <f t="shared" si="123"/>
        <v>0</v>
      </c>
      <c r="X254" s="267">
        <f t="shared" si="123"/>
        <v>0</v>
      </c>
      <c r="Y254" s="267">
        <f t="shared" si="123"/>
        <v>0</v>
      </c>
      <c r="Z254" s="267">
        <f t="shared" si="123"/>
        <v>0</v>
      </c>
      <c r="AA254" s="267">
        <f t="shared" si="123"/>
        <v>0</v>
      </c>
      <c r="AB254" s="267">
        <f t="shared" si="123"/>
        <v>0</v>
      </c>
      <c r="AC254" s="267">
        <f t="shared" si="123"/>
        <v>0</v>
      </c>
      <c r="AD254" s="267">
        <f t="shared" si="123"/>
        <v>0</v>
      </c>
      <c r="AE254" s="267">
        <f t="shared" si="123"/>
        <v>0</v>
      </c>
      <c r="AF254" s="267">
        <f t="shared" si="123"/>
        <v>0</v>
      </c>
      <c r="AG254" s="562">
        <v>0</v>
      </c>
      <c r="AI254" s="188"/>
      <c r="AJ254" t="s">
        <v>1470</v>
      </c>
    </row>
    <row r="255" spans="1:63" outlineLevel="1">
      <c r="A255" s="3" t="s">
        <v>624</v>
      </c>
      <c r="B255" s="252" t="s">
        <v>126</v>
      </c>
      <c r="C255" s="562">
        <v>1.4999999999999999E-2</v>
      </c>
      <c r="D255" s="267">
        <f t="shared" si="123"/>
        <v>1.4733333333333333E-2</v>
      </c>
      <c r="E255" s="267">
        <f t="shared" si="123"/>
        <v>1.4466666666666666E-2</v>
      </c>
      <c r="F255" s="267">
        <f t="shared" si="123"/>
        <v>1.4199999999999999E-2</v>
      </c>
      <c r="G255" s="267">
        <f t="shared" si="123"/>
        <v>1.3933333333333332E-2</v>
      </c>
      <c r="H255" s="267">
        <f t="shared" si="123"/>
        <v>1.3666666666666666E-2</v>
      </c>
      <c r="I255" s="267">
        <f t="shared" si="123"/>
        <v>1.3399999999999999E-2</v>
      </c>
      <c r="J255" s="267">
        <f t="shared" si="123"/>
        <v>1.3133333333333332E-2</v>
      </c>
      <c r="K255" s="267">
        <f t="shared" si="123"/>
        <v>1.2866666666666665E-2</v>
      </c>
      <c r="L255" s="267">
        <f t="shared" si="123"/>
        <v>1.2599999999999998E-2</v>
      </c>
      <c r="M255" s="267">
        <f t="shared" si="123"/>
        <v>1.2333333333333332E-2</v>
      </c>
      <c r="N255" s="267">
        <f t="shared" si="123"/>
        <v>1.2066666666666665E-2</v>
      </c>
      <c r="O255" s="267">
        <f t="shared" si="123"/>
        <v>1.1799999999999998E-2</v>
      </c>
      <c r="P255" s="267">
        <f t="shared" si="123"/>
        <v>1.1533333333333331E-2</v>
      </c>
      <c r="Q255" s="267">
        <f t="shared" si="123"/>
        <v>1.1266666666666664E-2</v>
      </c>
      <c r="R255" s="267">
        <f t="shared" si="123"/>
        <v>1.0999999999999998E-2</v>
      </c>
      <c r="S255" s="267">
        <f t="shared" si="123"/>
        <v>1.0733333333333331E-2</v>
      </c>
      <c r="T255" s="267">
        <f t="shared" si="123"/>
        <v>1.0466666666666664E-2</v>
      </c>
      <c r="U255" s="267">
        <f t="shared" si="123"/>
        <v>1.0199999999999997E-2</v>
      </c>
      <c r="V255" s="267">
        <f t="shared" si="123"/>
        <v>9.9333333333333305E-3</v>
      </c>
      <c r="W255" s="267">
        <f t="shared" si="123"/>
        <v>9.6666666666666637E-3</v>
      </c>
      <c r="X255" s="267">
        <f t="shared" si="123"/>
        <v>9.3999999999999969E-3</v>
      </c>
      <c r="Y255" s="267">
        <f t="shared" si="123"/>
        <v>9.1333333333333301E-3</v>
      </c>
      <c r="Z255" s="267">
        <f t="shared" si="123"/>
        <v>8.8666666666666633E-3</v>
      </c>
      <c r="AA255" s="267">
        <f t="shared" si="123"/>
        <v>8.5999999999999965E-3</v>
      </c>
      <c r="AB255" s="267">
        <f t="shared" si="123"/>
        <v>8.3333333333333297E-3</v>
      </c>
      <c r="AC255" s="267">
        <f t="shared" si="123"/>
        <v>8.066666666666663E-3</v>
      </c>
      <c r="AD255" s="267">
        <f t="shared" si="123"/>
        <v>7.7999999999999962E-3</v>
      </c>
      <c r="AE255" s="267">
        <f t="shared" si="123"/>
        <v>7.5333333333333294E-3</v>
      </c>
      <c r="AF255" s="267">
        <f t="shared" si="123"/>
        <v>7.2666666666666626E-3</v>
      </c>
      <c r="AG255" s="562">
        <v>7.0000000000000001E-3</v>
      </c>
      <c r="AI255" s="188"/>
      <c r="AJ255" t="s">
        <v>1470</v>
      </c>
    </row>
    <row r="256" spans="1:63" outlineLevel="1">
      <c r="A256" s="3" t="s">
        <v>625</v>
      </c>
      <c r="B256" s="252" t="s">
        <v>126</v>
      </c>
      <c r="C256" s="562">
        <v>5.0000000000000001E-3</v>
      </c>
      <c r="D256" s="267">
        <f t="shared" si="123"/>
        <v>4.9333333333333338E-3</v>
      </c>
      <c r="E256" s="267">
        <f t="shared" si="123"/>
        <v>4.8666666666666676E-3</v>
      </c>
      <c r="F256" s="267">
        <f t="shared" si="123"/>
        <v>4.8000000000000013E-3</v>
      </c>
      <c r="G256" s="267">
        <f t="shared" si="123"/>
        <v>4.7333333333333351E-3</v>
      </c>
      <c r="H256" s="267">
        <f t="shared" si="123"/>
        <v>4.6666666666666688E-3</v>
      </c>
      <c r="I256" s="267">
        <f t="shared" si="123"/>
        <v>4.6000000000000025E-3</v>
      </c>
      <c r="J256" s="267">
        <f t="shared" si="123"/>
        <v>4.5333333333333363E-3</v>
      </c>
      <c r="K256" s="267">
        <f t="shared" si="123"/>
        <v>4.46666666666667E-3</v>
      </c>
      <c r="L256" s="267">
        <f t="shared" si="123"/>
        <v>4.4000000000000037E-3</v>
      </c>
      <c r="M256" s="267">
        <f t="shared" si="123"/>
        <v>4.3333333333333375E-3</v>
      </c>
      <c r="N256" s="267">
        <f t="shared" si="123"/>
        <v>4.2666666666666712E-3</v>
      </c>
      <c r="O256" s="267">
        <f t="shared" si="123"/>
        <v>4.2000000000000049E-3</v>
      </c>
      <c r="P256" s="267">
        <f t="shared" si="123"/>
        <v>4.1333333333333387E-3</v>
      </c>
      <c r="Q256" s="267">
        <f t="shared" si="123"/>
        <v>4.0666666666666724E-3</v>
      </c>
      <c r="R256" s="267">
        <f t="shared" si="123"/>
        <v>4.0000000000000062E-3</v>
      </c>
      <c r="S256" s="267">
        <f t="shared" si="123"/>
        <v>3.9333333333333399E-3</v>
      </c>
      <c r="T256" s="267">
        <f t="shared" si="123"/>
        <v>3.8666666666666732E-3</v>
      </c>
      <c r="U256" s="267">
        <f t="shared" si="123"/>
        <v>3.8000000000000065E-3</v>
      </c>
      <c r="V256" s="267">
        <f t="shared" si="123"/>
        <v>3.7333333333333398E-3</v>
      </c>
      <c r="W256" s="267">
        <f t="shared" si="123"/>
        <v>3.6666666666666731E-3</v>
      </c>
      <c r="X256" s="267">
        <f t="shared" si="123"/>
        <v>3.6000000000000064E-3</v>
      </c>
      <c r="Y256" s="267">
        <f t="shared" si="123"/>
        <v>3.5333333333333397E-3</v>
      </c>
      <c r="Z256" s="267">
        <f t="shared" si="123"/>
        <v>3.466666666666673E-3</v>
      </c>
      <c r="AA256" s="267">
        <f t="shared" si="123"/>
        <v>3.4000000000000063E-3</v>
      </c>
      <c r="AB256" s="267">
        <f t="shared" si="123"/>
        <v>3.3333333333333396E-3</v>
      </c>
      <c r="AC256" s="267">
        <f t="shared" si="123"/>
        <v>3.2666666666666729E-3</v>
      </c>
      <c r="AD256" s="267">
        <f t="shared" si="123"/>
        <v>3.2000000000000062E-3</v>
      </c>
      <c r="AE256" s="267">
        <f t="shared" si="123"/>
        <v>3.1333333333333395E-3</v>
      </c>
      <c r="AF256" s="267">
        <f t="shared" si="123"/>
        <v>3.0666666666666728E-3</v>
      </c>
      <c r="AG256" s="562">
        <v>3.0000000000000001E-3</v>
      </c>
      <c r="AI256" s="188"/>
      <c r="AJ256" t="s">
        <v>1470</v>
      </c>
    </row>
    <row r="257" spans="1:36" s="54" customFormat="1" outlineLevel="1">
      <c r="A257" s="256" t="s">
        <v>627</v>
      </c>
      <c r="B257" s="253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254"/>
      <c r="T257" s="254"/>
      <c r="U257" s="254"/>
      <c r="V257" s="254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I257" s="255"/>
      <c r="AJ257" s="256"/>
    </row>
    <row r="258" spans="1:36" s="54" customFormat="1" outlineLevel="1">
      <c r="A258" s="257" t="s">
        <v>656</v>
      </c>
      <c r="B258" s="258" t="s">
        <v>126</v>
      </c>
      <c r="C258" s="563">
        <f>C250</f>
        <v>0.98</v>
      </c>
      <c r="D258" s="287">
        <f>-($C258-$AG258)/30+C258</f>
        <v>0.98033333333333328</v>
      </c>
      <c r="E258" s="287">
        <f t="shared" ref="E258:AF259" si="124">-($C258-$AG258)/30+D258</f>
        <v>0.98066666666666658</v>
      </c>
      <c r="F258" s="287">
        <f t="shared" si="124"/>
        <v>0.98099999999999987</v>
      </c>
      <c r="G258" s="287">
        <f t="shared" si="124"/>
        <v>0.98133333333333317</v>
      </c>
      <c r="H258" s="287">
        <f t="shared" si="124"/>
        <v>0.98166666666666647</v>
      </c>
      <c r="I258" s="287">
        <f t="shared" si="124"/>
        <v>0.98199999999999976</v>
      </c>
      <c r="J258" s="287">
        <f t="shared" si="124"/>
        <v>0.98233333333333306</v>
      </c>
      <c r="K258" s="287">
        <f t="shared" si="124"/>
        <v>0.98266666666666636</v>
      </c>
      <c r="L258" s="287">
        <f t="shared" si="124"/>
        <v>0.98299999999999965</v>
      </c>
      <c r="M258" s="287">
        <f t="shared" si="124"/>
        <v>0.98333333333333295</v>
      </c>
      <c r="N258" s="287">
        <f t="shared" si="124"/>
        <v>0.98366666666666625</v>
      </c>
      <c r="O258" s="287">
        <f t="shared" si="124"/>
        <v>0.98399999999999954</v>
      </c>
      <c r="P258" s="287">
        <f t="shared" si="124"/>
        <v>0.98433333333333284</v>
      </c>
      <c r="Q258" s="287">
        <f t="shared" si="124"/>
        <v>0.98466666666666613</v>
      </c>
      <c r="R258" s="287">
        <f t="shared" si="124"/>
        <v>0.98499999999999943</v>
      </c>
      <c r="S258" s="287">
        <f t="shared" si="124"/>
        <v>0.98533333333333273</v>
      </c>
      <c r="T258" s="287">
        <f t="shared" si="124"/>
        <v>0.98566666666666602</v>
      </c>
      <c r="U258" s="287">
        <f t="shared" si="124"/>
        <v>0.98599999999999932</v>
      </c>
      <c r="V258" s="287">
        <f t="shared" si="124"/>
        <v>0.98633333333333262</v>
      </c>
      <c r="W258" s="287">
        <f t="shared" si="124"/>
        <v>0.98666666666666591</v>
      </c>
      <c r="X258" s="287">
        <f t="shared" si="124"/>
        <v>0.98699999999999921</v>
      </c>
      <c r="Y258" s="287">
        <f t="shared" si="124"/>
        <v>0.98733333333333251</v>
      </c>
      <c r="Z258" s="287">
        <f t="shared" si="124"/>
        <v>0.9876666666666658</v>
      </c>
      <c r="AA258" s="287">
        <f t="shared" si="124"/>
        <v>0.9879999999999991</v>
      </c>
      <c r="AB258" s="287">
        <f t="shared" si="124"/>
        <v>0.9883333333333324</v>
      </c>
      <c r="AC258" s="287">
        <f t="shared" si="124"/>
        <v>0.98866666666666569</v>
      </c>
      <c r="AD258" s="287">
        <f t="shared" si="124"/>
        <v>0.98899999999999899</v>
      </c>
      <c r="AE258" s="287">
        <f t="shared" si="124"/>
        <v>0.98933333333333229</v>
      </c>
      <c r="AF258" s="287">
        <f t="shared" si="124"/>
        <v>0.98966666666666558</v>
      </c>
      <c r="AG258" s="563">
        <f>AG250</f>
        <v>0.99</v>
      </c>
      <c r="AI258" s="255"/>
      <c r="AJ258" s="271" t="s">
        <v>1469</v>
      </c>
    </row>
    <row r="259" spans="1:36" s="54" customFormat="1" outlineLevel="1">
      <c r="A259" s="257" t="s">
        <v>667</v>
      </c>
      <c r="B259" s="258" t="s">
        <v>126</v>
      </c>
      <c r="C259" s="563">
        <v>1</v>
      </c>
      <c r="D259" s="287">
        <f>-($C259-$AG259)/30+C259</f>
        <v>1</v>
      </c>
      <c r="E259" s="287">
        <f t="shared" si="124"/>
        <v>1</v>
      </c>
      <c r="F259" s="287">
        <f t="shared" si="124"/>
        <v>1</v>
      </c>
      <c r="G259" s="287">
        <f t="shared" si="124"/>
        <v>1</v>
      </c>
      <c r="H259" s="287">
        <f t="shared" si="124"/>
        <v>1</v>
      </c>
      <c r="I259" s="287">
        <f t="shared" si="124"/>
        <v>1</v>
      </c>
      <c r="J259" s="287">
        <f t="shared" si="124"/>
        <v>1</v>
      </c>
      <c r="K259" s="287">
        <f t="shared" si="124"/>
        <v>1</v>
      </c>
      <c r="L259" s="287">
        <f t="shared" si="124"/>
        <v>1</v>
      </c>
      <c r="M259" s="287">
        <f t="shared" si="124"/>
        <v>1</v>
      </c>
      <c r="N259" s="287">
        <f t="shared" si="124"/>
        <v>1</v>
      </c>
      <c r="O259" s="287">
        <f t="shared" si="124"/>
        <v>1</v>
      </c>
      <c r="P259" s="287">
        <f t="shared" si="124"/>
        <v>1</v>
      </c>
      <c r="Q259" s="287">
        <f t="shared" si="124"/>
        <v>1</v>
      </c>
      <c r="R259" s="287">
        <f t="shared" si="124"/>
        <v>1</v>
      </c>
      <c r="S259" s="287">
        <f t="shared" si="124"/>
        <v>1</v>
      </c>
      <c r="T259" s="287">
        <f t="shared" si="124"/>
        <v>1</v>
      </c>
      <c r="U259" s="287">
        <f t="shared" si="124"/>
        <v>1</v>
      </c>
      <c r="V259" s="287">
        <f t="shared" si="124"/>
        <v>1</v>
      </c>
      <c r="W259" s="287">
        <f t="shared" si="124"/>
        <v>1</v>
      </c>
      <c r="X259" s="287">
        <f t="shared" si="124"/>
        <v>1</v>
      </c>
      <c r="Y259" s="287">
        <f t="shared" si="124"/>
        <v>1</v>
      </c>
      <c r="Z259" s="287">
        <f t="shared" si="124"/>
        <v>1</v>
      </c>
      <c r="AA259" s="287">
        <f t="shared" si="124"/>
        <v>1</v>
      </c>
      <c r="AB259" s="287">
        <f t="shared" si="124"/>
        <v>1</v>
      </c>
      <c r="AC259" s="287">
        <f t="shared" si="124"/>
        <v>1</v>
      </c>
      <c r="AD259" s="287">
        <f t="shared" si="124"/>
        <v>1</v>
      </c>
      <c r="AE259" s="287">
        <f t="shared" si="124"/>
        <v>1</v>
      </c>
      <c r="AF259" s="287">
        <f t="shared" si="124"/>
        <v>1</v>
      </c>
      <c r="AG259" s="563">
        <v>1</v>
      </c>
      <c r="AI259" s="255"/>
      <c r="AJ259" t="s">
        <v>1470</v>
      </c>
    </row>
    <row r="260" spans="1:36" s="58" customFormat="1" outlineLevel="1">
      <c r="A260" s="261" t="s">
        <v>668</v>
      </c>
      <c r="B260" s="262" t="s">
        <v>126</v>
      </c>
      <c r="C260" s="289">
        <f>1-C259</f>
        <v>0</v>
      </c>
      <c r="D260" s="289">
        <f t="shared" ref="D260:AG260" si="125">1-D259</f>
        <v>0</v>
      </c>
      <c r="E260" s="289">
        <f t="shared" si="125"/>
        <v>0</v>
      </c>
      <c r="F260" s="289">
        <f t="shared" si="125"/>
        <v>0</v>
      </c>
      <c r="G260" s="289">
        <f t="shared" si="125"/>
        <v>0</v>
      </c>
      <c r="H260" s="289">
        <f t="shared" si="125"/>
        <v>0</v>
      </c>
      <c r="I260" s="289">
        <f t="shared" si="125"/>
        <v>0</v>
      </c>
      <c r="J260" s="289">
        <f t="shared" si="125"/>
        <v>0</v>
      </c>
      <c r="K260" s="289">
        <f t="shared" si="125"/>
        <v>0</v>
      </c>
      <c r="L260" s="289">
        <f t="shared" si="125"/>
        <v>0</v>
      </c>
      <c r="M260" s="289">
        <f t="shared" si="125"/>
        <v>0</v>
      </c>
      <c r="N260" s="289">
        <f t="shared" si="125"/>
        <v>0</v>
      </c>
      <c r="O260" s="289">
        <f t="shared" si="125"/>
        <v>0</v>
      </c>
      <c r="P260" s="289">
        <f t="shared" si="125"/>
        <v>0</v>
      </c>
      <c r="Q260" s="289">
        <f t="shared" si="125"/>
        <v>0</v>
      </c>
      <c r="R260" s="289">
        <f t="shared" si="125"/>
        <v>0</v>
      </c>
      <c r="S260" s="289">
        <f t="shared" si="125"/>
        <v>0</v>
      </c>
      <c r="T260" s="289">
        <f t="shared" si="125"/>
        <v>0</v>
      </c>
      <c r="U260" s="289">
        <f t="shared" si="125"/>
        <v>0</v>
      </c>
      <c r="V260" s="289">
        <f t="shared" si="125"/>
        <v>0</v>
      </c>
      <c r="W260" s="289">
        <f t="shared" si="125"/>
        <v>0</v>
      </c>
      <c r="X260" s="289">
        <f t="shared" si="125"/>
        <v>0</v>
      </c>
      <c r="Y260" s="289">
        <f t="shared" si="125"/>
        <v>0</v>
      </c>
      <c r="Z260" s="289">
        <f t="shared" si="125"/>
        <v>0</v>
      </c>
      <c r="AA260" s="289">
        <f t="shared" si="125"/>
        <v>0</v>
      </c>
      <c r="AB260" s="289">
        <f t="shared" si="125"/>
        <v>0</v>
      </c>
      <c r="AC260" s="289">
        <f t="shared" si="125"/>
        <v>0</v>
      </c>
      <c r="AD260" s="289">
        <f t="shared" si="125"/>
        <v>0</v>
      </c>
      <c r="AE260" s="289">
        <f t="shared" si="125"/>
        <v>0</v>
      </c>
      <c r="AF260" s="289">
        <f t="shared" si="125"/>
        <v>0</v>
      </c>
      <c r="AG260" s="289">
        <f t="shared" si="125"/>
        <v>0</v>
      </c>
      <c r="AI260" s="291"/>
      <c r="AJ260" s="290"/>
    </row>
    <row r="261" spans="1:36" s="1" customFormat="1" outlineLevel="1">
      <c r="A261" t="s">
        <v>649</v>
      </c>
      <c r="B261" s="252" t="s">
        <v>126</v>
      </c>
      <c r="C261" s="562">
        <v>1</v>
      </c>
      <c r="D261" s="267">
        <f t="shared" ref="D261:S276" si="126">-($C261-$AG261)/30+C261</f>
        <v>1</v>
      </c>
      <c r="E261" s="267">
        <f t="shared" si="126"/>
        <v>1</v>
      </c>
      <c r="F261" s="267">
        <f t="shared" si="126"/>
        <v>1</v>
      </c>
      <c r="G261" s="267">
        <f t="shared" si="126"/>
        <v>1</v>
      </c>
      <c r="H261" s="267">
        <f t="shared" si="126"/>
        <v>1</v>
      </c>
      <c r="I261" s="267">
        <f t="shared" si="126"/>
        <v>1</v>
      </c>
      <c r="J261" s="267">
        <f t="shared" si="126"/>
        <v>1</v>
      </c>
      <c r="K261" s="267">
        <f t="shared" si="126"/>
        <v>1</v>
      </c>
      <c r="L261" s="267">
        <f t="shared" si="126"/>
        <v>1</v>
      </c>
      <c r="M261" s="267">
        <f t="shared" si="126"/>
        <v>1</v>
      </c>
      <c r="N261" s="267">
        <f t="shared" si="126"/>
        <v>1</v>
      </c>
      <c r="O261" s="267">
        <f t="shared" si="126"/>
        <v>1</v>
      </c>
      <c r="P261" s="267">
        <f t="shared" si="126"/>
        <v>1</v>
      </c>
      <c r="Q261" s="267">
        <f t="shared" si="126"/>
        <v>1</v>
      </c>
      <c r="R261" s="267">
        <f t="shared" si="126"/>
        <v>1</v>
      </c>
      <c r="S261" s="267">
        <f t="shared" si="126"/>
        <v>1</v>
      </c>
      <c r="T261" s="267">
        <f t="shared" ref="T261:AF275" si="127">-($C261-$AG261)/30+S261</f>
        <v>1</v>
      </c>
      <c r="U261" s="267">
        <f t="shared" si="127"/>
        <v>1</v>
      </c>
      <c r="V261" s="267">
        <f t="shared" si="127"/>
        <v>1</v>
      </c>
      <c r="W261" s="267">
        <f t="shared" si="127"/>
        <v>1</v>
      </c>
      <c r="X261" s="267">
        <f t="shared" si="127"/>
        <v>1</v>
      </c>
      <c r="Y261" s="267">
        <f t="shared" si="127"/>
        <v>1</v>
      </c>
      <c r="Z261" s="267">
        <f t="shared" si="127"/>
        <v>1</v>
      </c>
      <c r="AA261" s="267">
        <f t="shared" si="127"/>
        <v>1</v>
      </c>
      <c r="AB261" s="267">
        <f t="shared" si="127"/>
        <v>1</v>
      </c>
      <c r="AC261" s="267">
        <f t="shared" si="127"/>
        <v>1</v>
      </c>
      <c r="AD261" s="267">
        <f t="shared" si="127"/>
        <v>1</v>
      </c>
      <c r="AE261" s="267">
        <f t="shared" si="127"/>
        <v>1</v>
      </c>
      <c r="AF261" s="267">
        <f t="shared" si="127"/>
        <v>1</v>
      </c>
      <c r="AG261" s="562">
        <v>1</v>
      </c>
      <c r="AI261" s="266"/>
      <c r="AJ261" s="185"/>
    </row>
    <row r="262" spans="1:36" s="1" customFormat="1" outlineLevel="1">
      <c r="A262" t="s">
        <v>655</v>
      </c>
      <c r="B262" s="252" t="s">
        <v>126</v>
      </c>
      <c r="C262" s="562">
        <v>0</v>
      </c>
      <c r="D262" s="267">
        <f t="shared" si="126"/>
        <v>0</v>
      </c>
      <c r="E262" s="267">
        <f t="shared" si="126"/>
        <v>0</v>
      </c>
      <c r="F262" s="267">
        <f t="shared" si="126"/>
        <v>0</v>
      </c>
      <c r="G262" s="267">
        <f t="shared" si="126"/>
        <v>0</v>
      </c>
      <c r="H262" s="267">
        <f t="shared" si="126"/>
        <v>0</v>
      </c>
      <c r="I262" s="267">
        <f t="shared" si="126"/>
        <v>0</v>
      </c>
      <c r="J262" s="267">
        <f t="shared" si="126"/>
        <v>0</v>
      </c>
      <c r="K262" s="267">
        <f t="shared" si="126"/>
        <v>0</v>
      </c>
      <c r="L262" s="267">
        <f t="shared" si="126"/>
        <v>0</v>
      </c>
      <c r="M262" s="267">
        <f t="shared" si="126"/>
        <v>0</v>
      </c>
      <c r="N262" s="267">
        <f t="shared" si="126"/>
        <v>0</v>
      </c>
      <c r="O262" s="267">
        <f t="shared" si="126"/>
        <v>0</v>
      </c>
      <c r="P262" s="267">
        <f t="shared" si="126"/>
        <v>0</v>
      </c>
      <c r="Q262" s="267">
        <f t="shared" si="126"/>
        <v>0</v>
      </c>
      <c r="R262" s="267">
        <f t="shared" si="126"/>
        <v>0</v>
      </c>
      <c r="S262" s="267">
        <f t="shared" si="126"/>
        <v>0</v>
      </c>
      <c r="T262" s="267">
        <f t="shared" si="127"/>
        <v>0</v>
      </c>
      <c r="U262" s="267">
        <f t="shared" si="127"/>
        <v>0</v>
      </c>
      <c r="V262" s="267">
        <f t="shared" si="127"/>
        <v>0</v>
      </c>
      <c r="W262" s="267">
        <f t="shared" si="127"/>
        <v>0</v>
      </c>
      <c r="X262" s="267">
        <f t="shared" si="127"/>
        <v>0</v>
      </c>
      <c r="Y262" s="267">
        <f t="shared" si="127"/>
        <v>0</v>
      </c>
      <c r="Z262" s="267">
        <f t="shared" si="127"/>
        <v>0</v>
      </c>
      <c r="AA262" s="267">
        <f t="shared" si="127"/>
        <v>0</v>
      </c>
      <c r="AB262" s="267">
        <f t="shared" si="127"/>
        <v>0</v>
      </c>
      <c r="AC262" s="267">
        <f t="shared" si="127"/>
        <v>0</v>
      </c>
      <c r="AD262" s="267">
        <f t="shared" si="127"/>
        <v>0</v>
      </c>
      <c r="AE262" s="267">
        <f t="shared" si="127"/>
        <v>0</v>
      </c>
      <c r="AF262" s="267">
        <f t="shared" si="127"/>
        <v>0</v>
      </c>
      <c r="AG262" s="562">
        <v>0</v>
      </c>
      <c r="AI262" s="380" t="s">
        <v>777</v>
      </c>
      <c r="AJ262" s="185" t="s">
        <v>1471</v>
      </c>
    </row>
    <row r="263" spans="1:36" s="1" customFormat="1" outlineLevel="1">
      <c r="A263" t="s">
        <v>650</v>
      </c>
      <c r="B263" s="252" t="s">
        <v>126</v>
      </c>
      <c r="C263" s="246">
        <v>0.15</v>
      </c>
      <c r="D263" s="267">
        <f t="shared" si="126"/>
        <v>0.15633333333333332</v>
      </c>
      <c r="E263" s="267">
        <f t="shared" si="126"/>
        <v>0.16266666666666665</v>
      </c>
      <c r="F263" s="267">
        <f t="shared" si="126"/>
        <v>0.16899999999999998</v>
      </c>
      <c r="G263" s="267">
        <f t="shared" si="126"/>
        <v>0.17533333333333331</v>
      </c>
      <c r="H263" s="267">
        <f t="shared" si="126"/>
        <v>0.18166666666666664</v>
      </c>
      <c r="I263" s="267">
        <f t="shared" si="126"/>
        <v>0.18799999999999997</v>
      </c>
      <c r="J263" s="267">
        <f t="shared" si="126"/>
        <v>0.1943333333333333</v>
      </c>
      <c r="K263" s="267">
        <f t="shared" si="126"/>
        <v>0.20066666666666663</v>
      </c>
      <c r="L263" s="267">
        <f t="shared" si="126"/>
        <v>0.20699999999999996</v>
      </c>
      <c r="M263" s="267">
        <f t="shared" si="126"/>
        <v>0.21333333333333329</v>
      </c>
      <c r="N263" s="267">
        <f t="shared" si="126"/>
        <v>0.21966666666666662</v>
      </c>
      <c r="O263" s="267">
        <f t="shared" si="126"/>
        <v>0.22599999999999995</v>
      </c>
      <c r="P263" s="267">
        <f t="shared" si="126"/>
        <v>0.23233333333333328</v>
      </c>
      <c r="Q263" s="267">
        <f t="shared" si="126"/>
        <v>0.23866666666666661</v>
      </c>
      <c r="R263" s="267">
        <f t="shared" si="126"/>
        <v>0.24499999999999994</v>
      </c>
      <c r="S263" s="267">
        <f t="shared" si="126"/>
        <v>0.2513333333333333</v>
      </c>
      <c r="T263" s="267">
        <f t="shared" si="127"/>
        <v>0.25766666666666665</v>
      </c>
      <c r="U263" s="267">
        <f t="shared" si="127"/>
        <v>0.26400000000000001</v>
      </c>
      <c r="V263" s="267">
        <f t="shared" si="127"/>
        <v>0.27033333333333337</v>
      </c>
      <c r="W263" s="267">
        <f t="shared" si="127"/>
        <v>0.27666666666666673</v>
      </c>
      <c r="X263" s="267">
        <f t="shared" si="127"/>
        <v>0.28300000000000008</v>
      </c>
      <c r="Y263" s="267">
        <f t="shared" si="127"/>
        <v>0.28933333333333344</v>
      </c>
      <c r="Z263" s="267">
        <f t="shared" si="127"/>
        <v>0.2956666666666668</v>
      </c>
      <c r="AA263" s="267">
        <f t="shared" si="127"/>
        <v>0.30200000000000016</v>
      </c>
      <c r="AB263" s="267">
        <f t="shared" si="127"/>
        <v>0.30833333333333351</v>
      </c>
      <c r="AC263" s="267">
        <f t="shared" si="127"/>
        <v>0.31466666666666687</v>
      </c>
      <c r="AD263" s="267">
        <f t="shared" si="127"/>
        <v>0.32100000000000023</v>
      </c>
      <c r="AE263" s="267">
        <f t="shared" si="127"/>
        <v>0.32733333333333359</v>
      </c>
      <c r="AF263" s="267">
        <f t="shared" si="127"/>
        <v>0.33366666666666694</v>
      </c>
      <c r="AG263" s="246">
        <v>0.34</v>
      </c>
      <c r="AI263" s="266"/>
      <c r="AJ263" t="s">
        <v>1470</v>
      </c>
    </row>
    <row r="264" spans="1:36" s="1" customFormat="1" outlineLevel="1">
      <c r="A264" t="s">
        <v>651</v>
      </c>
      <c r="B264" s="252" t="s">
        <v>126</v>
      </c>
      <c r="C264" s="267">
        <f>1-C263</f>
        <v>0.85</v>
      </c>
      <c r="D264" s="267">
        <f t="shared" si="126"/>
        <v>0.84366666666666668</v>
      </c>
      <c r="E264" s="267">
        <f t="shared" si="126"/>
        <v>0.83733333333333337</v>
      </c>
      <c r="F264" s="267">
        <f t="shared" si="126"/>
        <v>0.83100000000000007</v>
      </c>
      <c r="G264" s="267">
        <f t="shared" si="126"/>
        <v>0.82466666666666677</v>
      </c>
      <c r="H264" s="267">
        <f t="shared" si="126"/>
        <v>0.81833333333333347</v>
      </c>
      <c r="I264" s="267">
        <f t="shared" si="126"/>
        <v>0.81200000000000017</v>
      </c>
      <c r="J264" s="267">
        <f t="shared" si="126"/>
        <v>0.80566666666666686</v>
      </c>
      <c r="K264" s="267">
        <f t="shared" si="126"/>
        <v>0.79933333333333356</v>
      </c>
      <c r="L264" s="267">
        <f t="shared" si="126"/>
        <v>0.79300000000000026</v>
      </c>
      <c r="M264" s="267">
        <f t="shared" si="126"/>
        <v>0.78666666666666696</v>
      </c>
      <c r="N264" s="267">
        <f t="shared" si="126"/>
        <v>0.78033333333333366</v>
      </c>
      <c r="O264" s="267">
        <f t="shared" si="126"/>
        <v>0.77400000000000035</v>
      </c>
      <c r="P264" s="267">
        <f t="shared" si="126"/>
        <v>0.76766666666666705</v>
      </c>
      <c r="Q264" s="267">
        <f t="shared" si="126"/>
        <v>0.76133333333333375</v>
      </c>
      <c r="R264" s="267">
        <f t="shared" si="126"/>
        <v>0.75500000000000045</v>
      </c>
      <c r="S264" s="267">
        <f t="shared" si="126"/>
        <v>0.74866666666666715</v>
      </c>
      <c r="T264" s="267">
        <f t="shared" si="127"/>
        <v>0.74233333333333384</v>
      </c>
      <c r="U264" s="267">
        <f t="shared" si="127"/>
        <v>0.73600000000000054</v>
      </c>
      <c r="V264" s="267">
        <f t="shared" si="127"/>
        <v>0.72966666666666724</v>
      </c>
      <c r="W264" s="267">
        <f t="shared" si="127"/>
        <v>0.72333333333333394</v>
      </c>
      <c r="X264" s="267">
        <f t="shared" si="127"/>
        <v>0.71700000000000064</v>
      </c>
      <c r="Y264" s="267">
        <f t="shared" si="127"/>
        <v>0.71066666666666733</v>
      </c>
      <c r="Z264" s="267">
        <f t="shared" si="127"/>
        <v>0.70433333333333403</v>
      </c>
      <c r="AA264" s="267">
        <f t="shared" si="127"/>
        <v>0.69800000000000073</v>
      </c>
      <c r="AB264" s="267">
        <f t="shared" si="127"/>
        <v>0.69166666666666743</v>
      </c>
      <c r="AC264" s="267">
        <f t="shared" si="127"/>
        <v>0.68533333333333413</v>
      </c>
      <c r="AD264" s="267">
        <f t="shared" si="127"/>
        <v>0.67900000000000083</v>
      </c>
      <c r="AE264" s="267">
        <f t="shared" si="127"/>
        <v>0.67266666666666752</v>
      </c>
      <c r="AF264" s="267">
        <f t="shared" si="127"/>
        <v>0.66633333333333422</v>
      </c>
      <c r="AG264" s="267">
        <f>1-AG263</f>
        <v>0.65999999999999992</v>
      </c>
      <c r="AI264" s="266"/>
      <c r="AJ264" t="s">
        <v>1470</v>
      </c>
    </row>
    <row r="265" spans="1:36" s="1" customFormat="1" outlineLevel="1">
      <c r="A265" t="s">
        <v>654</v>
      </c>
      <c r="B265" s="252" t="s">
        <v>126</v>
      </c>
      <c r="C265" s="246">
        <v>0</v>
      </c>
      <c r="D265" s="267">
        <f t="shared" si="126"/>
        <v>0</v>
      </c>
      <c r="E265" s="267">
        <f t="shared" si="126"/>
        <v>0</v>
      </c>
      <c r="F265" s="267">
        <f t="shared" si="126"/>
        <v>0</v>
      </c>
      <c r="G265" s="267">
        <f t="shared" si="126"/>
        <v>0</v>
      </c>
      <c r="H265" s="267">
        <f t="shared" si="126"/>
        <v>0</v>
      </c>
      <c r="I265" s="267">
        <f t="shared" si="126"/>
        <v>0</v>
      </c>
      <c r="J265" s="267">
        <f t="shared" si="126"/>
        <v>0</v>
      </c>
      <c r="K265" s="267">
        <f t="shared" si="126"/>
        <v>0</v>
      </c>
      <c r="L265" s="267">
        <f t="shared" si="126"/>
        <v>0</v>
      </c>
      <c r="M265" s="267">
        <f t="shared" si="126"/>
        <v>0</v>
      </c>
      <c r="N265" s="267">
        <f t="shared" si="126"/>
        <v>0</v>
      </c>
      <c r="O265" s="267">
        <f t="shared" si="126"/>
        <v>0</v>
      </c>
      <c r="P265" s="267">
        <f t="shared" si="126"/>
        <v>0</v>
      </c>
      <c r="Q265" s="267">
        <f t="shared" si="126"/>
        <v>0</v>
      </c>
      <c r="R265" s="267">
        <f t="shared" si="126"/>
        <v>0</v>
      </c>
      <c r="S265" s="267">
        <f t="shared" si="126"/>
        <v>0</v>
      </c>
      <c r="T265" s="267">
        <f t="shared" si="127"/>
        <v>0</v>
      </c>
      <c r="U265" s="267">
        <f t="shared" si="127"/>
        <v>0</v>
      </c>
      <c r="V265" s="267">
        <f t="shared" si="127"/>
        <v>0</v>
      </c>
      <c r="W265" s="267">
        <f t="shared" si="127"/>
        <v>0</v>
      </c>
      <c r="X265" s="267">
        <f t="shared" si="127"/>
        <v>0</v>
      </c>
      <c r="Y265" s="267">
        <f t="shared" si="127"/>
        <v>0</v>
      </c>
      <c r="Z265" s="267">
        <f t="shared" si="127"/>
        <v>0</v>
      </c>
      <c r="AA265" s="267">
        <f t="shared" si="127"/>
        <v>0</v>
      </c>
      <c r="AB265" s="267">
        <f t="shared" si="127"/>
        <v>0</v>
      </c>
      <c r="AC265" s="267">
        <f t="shared" si="127"/>
        <v>0</v>
      </c>
      <c r="AD265" s="267">
        <f t="shared" si="127"/>
        <v>0</v>
      </c>
      <c r="AE265" s="267">
        <f t="shared" si="127"/>
        <v>0</v>
      </c>
      <c r="AF265" s="267">
        <f t="shared" si="127"/>
        <v>0</v>
      </c>
      <c r="AG265" s="246">
        <v>0</v>
      </c>
      <c r="AI265" s="266"/>
      <c r="AJ265" t="s">
        <v>1470</v>
      </c>
    </row>
    <row r="266" spans="1:36" s="1" customFormat="1" outlineLevel="1">
      <c r="A266" t="s">
        <v>665</v>
      </c>
      <c r="B266" s="252" t="s">
        <v>126</v>
      </c>
      <c r="C266" s="246">
        <v>1</v>
      </c>
      <c r="D266" s="267">
        <f t="shared" si="126"/>
        <v>1</v>
      </c>
      <c r="E266" s="267">
        <f t="shared" si="126"/>
        <v>1</v>
      </c>
      <c r="F266" s="267">
        <f t="shared" si="126"/>
        <v>1</v>
      </c>
      <c r="G266" s="267">
        <f t="shared" si="126"/>
        <v>1</v>
      </c>
      <c r="H266" s="267">
        <f t="shared" si="126"/>
        <v>1</v>
      </c>
      <c r="I266" s="267">
        <f t="shared" si="126"/>
        <v>1</v>
      </c>
      <c r="J266" s="267">
        <f t="shared" si="126"/>
        <v>1</v>
      </c>
      <c r="K266" s="267">
        <f t="shared" si="126"/>
        <v>1</v>
      </c>
      <c r="L266" s="267">
        <f t="shared" si="126"/>
        <v>1</v>
      </c>
      <c r="M266" s="267">
        <f t="shared" si="126"/>
        <v>1</v>
      </c>
      <c r="N266" s="267">
        <f t="shared" si="126"/>
        <v>1</v>
      </c>
      <c r="O266" s="267">
        <f t="shared" si="126"/>
        <v>1</v>
      </c>
      <c r="P266" s="267">
        <f t="shared" si="126"/>
        <v>1</v>
      </c>
      <c r="Q266" s="267">
        <f t="shared" si="126"/>
        <v>1</v>
      </c>
      <c r="R266" s="267">
        <f t="shared" si="126"/>
        <v>1</v>
      </c>
      <c r="S266" s="267">
        <f t="shared" si="126"/>
        <v>1</v>
      </c>
      <c r="T266" s="267">
        <f t="shared" si="127"/>
        <v>1</v>
      </c>
      <c r="U266" s="267">
        <f t="shared" si="127"/>
        <v>1</v>
      </c>
      <c r="V266" s="267">
        <f t="shared" si="127"/>
        <v>1</v>
      </c>
      <c r="W266" s="267">
        <f t="shared" si="127"/>
        <v>1</v>
      </c>
      <c r="X266" s="267">
        <f t="shared" si="127"/>
        <v>1</v>
      </c>
      <c r="Y266" s="267">
        <f t="shared" si="127"/>
        <v>1</v>
      </c>
      <c r="Z266" s="267">
        <f t="shared" si="127"/>
        <v>1</v>
      </c>
      <c r="AA266" s="267">
        <f t="shared" si="127"/>
        <v>1</v>
      </c>
      <c r="AB266" s="267">
        <f t="shared" si="127"/>
        <v>1</v>
      </c>
      <c r="AC266" s="267">
        <f t="shared" si="127"/>
        <v>1</v>
      </c>
      <c r="AD266" s="267">
        <f t="shared" si="127"/>
        <v>1</v>
      </c>
      <c r="AE266" s="267">
        <f t="shared" si="127"/>
        <v>1</v>
      </c>
      <c r="AF266" s="267">
        <f t="shared" si="127"/>
        <v>1</v>
      </c>
      <c r="AG266" s="246">
        <v>1</v>
      </c>
      <c r="AI266" s="266"/>
      <c r="AJ266" t="s">
        <v>1470</v>
      </c>
    </row>
    <row r="267" spans="1:36" s="1" customFormat="1" outlineLevel="1">
      <c r="A267" t="s">
        <v>652</v>
      </c>
      <c r="B267" s="252" t="s">
        <v>126</v>
      </c>
      <c r="C267" s="246">
        <v>0.8</v>
      </c>
      <c r="D267" s="267">
        <f t="shared" si="126"/>
        <v>0.80333333333333334</v>
      </c>
      <c r="E267" s="267">
        <f t="shared" si="126"/>
        <v>0.80666666666666664</v>
      </c>
      <c r="F267" s="267">
        <f t="shared" si="126"/>
        <v>0.80999999999999994</v>
      </c>
      <c r="G267" s="267">
        <f t="shared" si="126"/>
        <v>0.81333333333333324</v>
      </c>
      <c r="H267" s="267">
        <f t="shared" si="126"/>
        <v>0.81666666666666654</v>
      </c>
      <c r="I267" s="267">
        <f t="shared" si="126"/>
        <v>0.81999999999999984</v>
      </c>
      <c r="J267" s="267">
        <f t="shared" si="126"/>
        <v>0.82333333333333314</v>
      </c>
      <c r="K267" s="267">
        <f t="shared" si="126"/>
        <v>0.82666666666666644</v>
      </c>
      <c r="L267" s="267">
        <f t="shared" si="126"/>
        <v>0.82999999999999974</v>
      </c>
      <c r="M267" s="267">
        <f t="shared" si="126"/>
        <v>0.83333333333333304</v>
      </c>
      <c r="N267" s="267">
        <f t="shared" si="126"/>
        <v>0.83666666666666634</v>
      </c>
      <c r="O267" s="267">
        <f t="shared" si="126"/>
        <v>0.83999999999999964</v>
      </c>
      <c r="P267" s="267">
        <f t="shared" si="126"/>
        <v>0.84333333333333294</v>
      </c>
      <c r="Q267" s="267">
        <f t="shared" si="126"/>
        <v>0.84666666666666623</v>
      </c>
      <c r="R267" s="267">
        <f t="shared" si="126"/>
        <v>0.84999999999999953</v>
      </c>
      <c r="S267" s="267">
        <f t="shared" si="126"/>
        <v>0.85333333333333283</v>
      </c>
      <c r="T267" s="267">
        <f t="shared" si="127"/>
        <v>0.85666666666666613</v>
      </c>
      <c r="U267" s="267">
        <f t="shared" si="127"/>
        <v>0.85999999999999943</v>
      </c>
      <c r="V267" s="267">
        <f t="shared" si="127"/>
        <v>0.86333333333333273</v>
      </c>
      <c r="W267" s="267">
        <f t="shared" si="127"/>
        <v>0.86666666666666603</v>
      </c>
      <c r="X267" s="267">
        <f t="shared" si="127"/>
        <v>0.86999999999999933</v>
      </c>
      <c r="Y267" s="267">
        <f t="shared" si="127"/>
        <v>0.87333333333333263</v>
      </c>
      <c r="Z267" s="267">
        <f t="shared" si="127"/>
        <v>0.87666666666666593</v>
      </c>
      <c r="AA267" s="267">
        <f t="shared" si="127"/>
        <v>0.87999999999999923</v>
      </c>
      <c r="AB267" s="267">
        <f t="shared" si="127"/>
        <v>0.88333333333333253</v>
      </c>
      <c r="AC267" s="267">
        <f t="shared" si="127"/>
        <v>0.88666666666666583</v>
      </c>
      <c r="AD267" s="267">
        <f t="shared" si="127"/>
        <v>0.88999999999999913</v>
      </c>
      <c r="AE267" s="267">
        <f t="shared" si="127"/>
        <v>0.89333333333333242</v>
      </c>
      <c r="AF267" s="267">
        <f t="shared" si="127"/>
        <v>0.89666666666666572</v>
      </c>
      <c r="AG267" s="246">
        <v>0.9</v>
      </c>
      <c r="AI267" s="266"/>
      <c r="AJ267" t="s">
        <v>1470</v>
      </c>
    </row>
    <row r="268" spans="1:36" s="1" customFormat="1" outlineLevel="1">
      <c r="A268" t="s">
        <v>653</v>
      </c>
      <c r="B268" s="252" t="s">
        <v>126</v>
      </c>
      <c r="C268" s="246">
        <v>0.2</v>
      </c>
      <c r="D268" s="267">
        <f t="shared" si="126"/>
        <v>0.19666666666666668</v>
      </c>
      <c r="E268" s="267">
        <f t="shared" si="126"/>
        <v>0.19333333333333336</v>
      </c>
      <c r="F268" s="267">
        <f t="shared" si="126"/>
        <v>0.19000000000000003</v>
      </c>
      <c r="G268" s="267">
        <f t="shared" si="126"/>
        <v>0.1866666666666667</v>
      </c>
      <c r="H268" s="267">
        <f t="shared" si="126"/>
        <v>0.18333333333333338</v>
      </c>
      <c r="I268" s="267">
        <f t="shared" si="126"/>
        <v>0.18000000000000005</v>
      </c>
      <c r="J268" s="267">
        <f t="shared" si="126"/>
        <v>0.17666666666666672</v>
      </c>
      <c r="K268" s="267">
        <f t="shared" si="126"/>
        <v>0.17333333333333339</v>
      </c>
      <c r="L268" s="267">
        <f t="shared" si="126"/>
        <v>0.17000000000000007</v>
      </c>
      <c r="M268" s="267">
        <f t="shared" si="126"/>
        <v>0.16666666666666674</v>
      </c>
      <c r="N268" s="267">
        <f t="shared" si="126"/>
        <v>0.16333333333333341</v>
      </c>
      <c r="O268" s="267">
        <f t="shared" si="126"/>
        <v>0.16000000000000009</v>
      </c>
      <c r="P268" s="267">
        <f t="shared" si="126"/>
        <v>0.15666666666666676</v>
      </c>
      <c r="Q268" s="267">
        <f t="shared" si="126"/>
        <v>0.15333333333333343</v>
      </c>
      <c r="R268" s="267">
        <f t="shared" si="126"/>
        <v>0.15000000000000011</v>
      </c>
      <c r="S268" s="267">
        <f t="shared" si="126"/>
        <v>0.14666666666666678</v>
      </c>
      <c r="T268" s="267">
        <f t="shared" si="127"/>
        <v>0.14333333333333345</v>
      </c>
      <c r="U268" s="267">
        <f t="shared" si="127"/>
        <v>0.14000000000000012</v>
      </c>
      <c r="V268" s="267">
        <f t="shared" si="127"/>
        <v>0.1366666666666668</v>
      </c>
      <c r="W268" s="267">
        <f t="shared" si="127"/>
        <v>0.13333333333333347</v>
      </c>
      <c r="X268" s="267">
        <f t="shared" si="127"/>
        <v>0.13000000000000014</v>
      </c>
      <c r="Y268" s="267">
        <f t="shared" si="127"/>
        <v>0.12666666666666682</v>
      </c>
      <c r="Z268" s="267">
        <f t="shared" si="127"/>
        <v>0.12333333333333349</v>
      </c>
      <c r="AA268" s="267">
        <f t="shared" si="127"/>
        <v>0.12000000000000016</v>
      </c>
      <c r="AB268" s="267">
        <f t="shared" si="127"/>
        <v>0.11666666666666684</v>
      </c>
      <c r="AC268" s="267">
        <f t="shared" si="127"/>
        <v>0.11333333333333351</v>
      </c>
      <c r="AD268" s="267">
        <f t="shared" si="127"/>
        <v>0.11000000000000018</v>
      </c>
      <c r="AE268" s="267">
        <f t="shared" si="127"/>
        <v>0.10666666666666685</v>
      </c>
      <c r="AF268" s="267">
        <f t="shared" si="127"/>
        <v>0.10333333333333353</v>
      </c>
      <c r="AG268" s="246">
        <v>0.1</v>
      </c>
      <c r="AI268" s="266"/>
      <c r="AJ268" t="s">
        <v>1470</v>
      </c>
    </row>
    <row r="269" spans="1:36" s="1" customFormat="1" outlineLevel="1">
      <c r="A269" t="s">
        <v>663</v>
      </c>
      <c r="B269" s="252" t="s">
        <v>126</v>
      </c>
      <c r="C269" s="246">
        <v>0.95</v>
      </c>
      <c r="D269" s="267">
        <f t="shared" si="126"/>
        <v>0.94866666666666666</v>
      </c>
      <c r="E269" s="267">
        <f t="shared" si="126"/>
        <v>0.94733333333333336</v>
      </c>
      <c r="F269" s="267">
        <f t="shared" si="126"/>
        <v>0.94600000000000006</v>
      </c>
      <c r="G269" s="267">
        <f t="shared" si="126"/>
        <v>0.94466666666666677</v>
      </c>
      <c r="H269" s="267">
        <f t="shared" si="126"/>
        <v>0.94333333333333347</v>
      </c>
      <c r="I269" s="267">
        <f t="shared" si="126"/>
        <v>0.94200000000000017</v>
      </c>
      <c r="J269" s="267">
        <f t="shared" si="126"/>
        <v>0.94066666666666687</v>
      </c>
      <c r="K269" s="267">
        <f t="shared" si="126"/>
        <v>0.93933333333333358</v>
      </c>
      <c r="L269" s="267">
        <f t="shared" si="126"/>
        <v>0.93800000000000028</v>
      </c>
      <c r="M269" s="267">
        <f t="shared" si="126"/>
        <v>0.93666666666666698</v>
      </c>
      <c r="N269" s="267">
        <f t="shared" si="126"/>
        <v>0.93533333333333368</v>
      </c>
      <c r="O269" s="267">
        <f t="shared" si="126"/>
        <v>0.93400000000000039</v>
      </c>
      <c r="P269" s="267">
        <f t="shared" si="126"/>
        <v>0.93266666666666709</v>
      </c>
      <c r="Q269" s="267">
        <f t="shared" si="126"/>
        <v>0.93133333333333379</v>
      </c>
      <c r="R269" s="267">
        <f t="shared" si="126"/>
        <v>0.93000000000000049</v>
      </c>
      <c r="S269" s="267">
        <f t="shared" si="126"/>
        <v>0.9286666666666672</v>
      </c>
      <c r="T269" s="267">
        <f t="shared" si="127"/>
        <v>0.9273333333333339</v>
      </c>
      <c r="U269" s="267">
        <f t="shared" si="127"/>
        <v>0.9260000000000006</v>
      </c>
      <c r="V269" s="267">
        <f t="shared" si="127"/>
        <v>0.9246666666666673</v>
      </c>
      <c r="W269" s="267">
        <f t="shared" si="127"/>
        <v>0.92333333333333401</v>
      </c>
      <c r="X269" s="267">
        <f t="shared" si="127"/>
        <v>0.92200000000000071</v>
      </c>
      <c r="Y269" s="267">
        <f t="shared" si="127"/>
        <v>0.92066666666666741</v>
      </c>
      <c r="Z269" s="267">
        <f t="shared" si="127"/>
        <v>0.91933333333333411</v>
      </c>
      <c r="AA269" s="267">
        <f t="shared" si="127"/>
        <v>0.91800000000000082</v>
      </c>
      <c r="AB269" s="267">
        <f t="shared" si="127"/>
        <v>0.91666666666666752</v>
      </c>
      <c r="AC269" s="267">
        <f t="shared" si="127"/>
        <v>0.91533333333333422</v>
      </c>
      <c r="AD269" s="267">
        <f t="shared" si="127"/>
        <v>0.91400000000000092</v>
      </c>
      <c r="AE269" s="267">
        <f t="shared" si="127"/>
        <v>0.91266666666666763</v>
      </c>
      <c r="AF269" s="267">
        <f t="shared" si="127"/>
        <v>0.91133333333333433</v>
      </c>
      <c r="AG269" s="246">
        <v>0.91</v>
      </c>
      <c r="AI269" s="266"/>
      <c r="AJ269" t="s">
        <v>1470</v>
      </c>
    </row>
    <row r="270" spans="1:36" s="1" customFormat="1" outlineLevel="1">
      <c r="A270" t="s">
        <v>664</v>
      </c>
      <c r="B270" s="252" t="s">
        <v>126</v>
      </c>
      <c r="C270" s="246">
        <v>0.05</v>
      </c>
      <c r="D270" s="267">
        <f t="shared" si="126"/>
        <v>5.1333333333333335E-2</v>
      </c>
      <c r="E270" s="267">
        <f t="shared" si="126"/>
        <v>5.2666666666666667E-2</v>
      </c>
      <c r="F270" s="267">
        <f t="shared" si="126"/>
        <v>5.3999999999999999E-2</v>
      </c>
      <c r="G270" s="267">
        <f t="shared" si="126"/>
        <v>5.5333333333333332E-2</v>
      </c>
      <c r="H270" s="267">
        <f t="shared" si="126"/>
        <v>5.6666666666666664E-2</v>
      </c>
      <c r="I270" s="267">
        <f t="shared" si="126"/>
        <v>5.7999999999999996E-2</v>
      </c>
      <c r="J270" s="267">
        <f t="shared" si="126"/>
        <v>5.9333333333333328E-2</v>
      </c>
      <c r="K270" s="267">
        <f t="shared" si="126"/>
        <v>6.066666666666666E-2</v>
      </c>
      <c r="L270" s="267">
        <f t="shared" si="126"/>
        <v>6.1999999999999993E-2</v>
      </c>
      <c r="M270" s="267">
        <f t="shared" si="126"/>
        <v>6.3333333333333325E-2</v>
      </c>
      <c r="N270" s="267">
        <f t="shared" si="126"/>
        <v>6.4666666666666664E-2</v>
      </c>
      <c r="O270" s="267">
        <f t="shared" si="126"/>
        <v>6.6000000000000003E-2</v>
      </c>
      <c r="P270" s="267">
        <f t="shared" si="126"/>
        <v>6.7333333333333342E-2</v>
      </c>
      <c r="Q270" s="267">
        <f t="shared" si="126"/>
        <v>6.8666666666666681E-2</v>
      </c>
      <c r="R270" s="267">
        <f t="shared" si="126"/>
        <v>7.0000000000000021E-2</v>
      </c>
      <c r="S270" s="267">
        <f t="shared" si="126"/>
        <v>7.133333333333336E-2</v>
      </c>
      <c r="T270" s="267">
        <f t="shared" si="127"/>
        <v>7.2666666666666699E-2</v>
      </c>
      <c r="U270" s="267">
        <f t="shared" si="127"/>
        <v>7.4000000000000038E-2</v>
      </c>
      <c r="V270" s="267">
        <f t="shared" si="127"/>
        <v>7.5333333333333377E-2</v>
      </c>
      <c r="W270" s="267">
        <f t="shared" si="127"/>
        <v>7.6666666666666716E-2</v>
      </c>
      <c r="X270" s="267">
        <f t="shared" si="127"/>
        <v>7.8000000000000055E-2</v>
      </c>
      <c r="Y270" s="267">
        <f t="shared" si="127"/>
        <v>7.9333333333333395E-2</v>
      </c>
      <c r="Z270" s="267">
        <f t="shared" si="127"/>
        <v>8.0666666666666734E-2</v>
      </c>
      <c r="AA270" s="267">
        <f t="shared" si="127"/>
        <v>8.2000000000000073E-2</v>
      </c>
      <c r="AB270" s="267">
        <f t="shared" si="127"/>
        <v>8.3333333333333412E-2</v>
      </c>
      <c r="AC270" s="267">
        <f t="shared" si="127"/>
        <v>8.4666666666666751E-2</v>
      </c>
      <c r="AD270" s="267">
        <f t="shared" si="127"/>
        <v>8.600000000000009E-2</v>
      </c>
      <c r="AE270" s="267">
        <f t="shared" si="127"/>
        <v>8.7333333333333429E-2</v>
      </c>
      <c r="AF270" s="267">
        <f t="shared" si="127"/>
        <v>8.8666666666666769E-2</v>
      </c>
      <c r="AG270" s="246">
        <v>0.09</v>
      </c>
      <c r="AI270" s="266"/>
      <c r="AJ270" t="s">
        <v>1470</v>
      </c>
    </row>
    <row r="271" spans="1:36" s="1" customFormat="1" outlineLevel="1">
      <c r="A271" t="s">
        <v>666</v>
      </c>
      <c r="B271" s="252"/>
      <c r="C271" s="246">
        <v>0.27</v>
      </c>
      <c r="D271" s="267">
        <f t="shared" si="126"/>
        <v>0.26600000000000001</v>
      </c>
      <c r="E271" s="267">
        <f t="shared" si="126"/>
        <v>0.26200000000000001</v>
      </c>
      <c r="F271" s="267">
        <f t="shared" si="126"/>
        <v>0.25800000000000001</v>
      </c>
      <c r="G271" s="267">
        <f t="shared" si="126"/>
        <v>0.254</v>
      </c>
      <c r="H271" s="267">
        <f t="shared" si="126"/>
        <v>0.25</v>
      </c>
      <c r="I271" s="267">
        <f t="shared" si="126"/>
        <v>0.246</v>
      </c>
      <c r="J271" s="267">
        <f t="shared" si="126"/>
        <v>0.24199999999999999</v>
      </c>
      <c r="K271" s="267">
        <f t="shared" si="126"/>
        <v>0.23799999999999999</v>
      </c>
      <c r="L271" s="267">
        <f t="shared" si="126"/>
        <v>0.23399999999999999</v>
      </c>
      <c r="M271" s="267">
        <f t="shared" si="126"/>
        <v>0.22999999999999998</v>
      </c>
      <c r="N271" s="267">
        <f t="shared" si="126"/>
        <v>0.22599999999999998</v>
      </c>
      <c r="O271" s="267">
        <f t="shared" si="126"/>
        <v>0.22199999999999998</v>
      </c>
      <c r="P271" s="267">
        <f t="shared" si="126"/>
        <v>0.21799999999999997</v>
      </c>
      <c r="Q271" s="267">
        <f t="shared" si="126"/>
        <v>0.21399999999999997</v>
      </c>
      <c r="R271" s="267">
        <f t="shared" si="126"/>
        <v>0.20999999999999996</v>
      </c>
      <c r="S271" s="267">
        <f t="shared" si="126"/>
        <v>0.20599999999999996</v>
      </c>
      <c r="T271" s="267">
        <f t="shared" si="127"/>
        <v>0.20199999999999996</v>
      </c>
      <c r="U271" s="267">
        <f t="shared" si="127"/>
        <v>0.19799999999999995</v>
      </c>
      <c r="V271" s="267">
        <f t="shared" si="127"/>
        <v>0.19399999999999995</v>
      </c>
      <c r="W271" s="267">
        <f t="shared" si="127"/>
        <v>0.18999999999999995</v>
      </c>
      <c r="X271" s="267">
        <f t="shared" si="127"/>
        <v>0.18599999999999994</v>
      </c>
      <c r="Y271" s="267">
        <f t="shared" si="127"/>
        <v>0.18199999999999994</v>
      </c>
      <c r="Z271" s="267">
        <f t="shared" si="127"/>
        <v>0.17799999999999994</v>
      </c>
      <c r="AA271" s="267">
        <f t="shared" si="127"/>
        <v>0.17399999999999993</v>
      </c>
      <c r="AB271" s="267">
        <f t="shared" si="127"/>
        <v>0.16999999999999993</v>
      </c>
      <c r="AC271" s="267">
        <f t="shared" si="127"/>
        <v>0.16599999999999993</v>
      </c>
      <c r="AD271" s="267">
        <f t="shared" si="127"/>
        <v>0.16199999999999992</v>
      </c>
      <c r="AE271" s="267">
        <f t="shared" si="127"/>
        <v>0.15799999999999992</v>
      </c>
      <c r="AF271" s="267">
        <f t="shared" si="127"/>
        <v>0.15399999999999991</v>
      </c>
      <c r="AG271" s="246">
        <v>0.15</v>
      </c>
      <c r="AI271" s="266"/>
      <c r="AJ271" t="s">
        <v>1470</v>
      </c>
    </row>
    <row r="272" spans="1:36" s="61" customFormat="1" outlineLevel="1">
      <c r="A272" s="294" t="s">
        <v>657</v>
      </c>
      <c r="B272" s="258" t="s">
        <v>126</v>
      </c>
      <c r="C272" s="255">
        <f>1-SUM(C273:C277)</f>
        <v>0.97</v>
      </c>
      <c r="D272" s="287">
        <f t="shared" ref="D272:S273" si="128">-($C272-$AG272)/30+C272</f>
        <v>0.97033333333333327</v>
      </c>
      <c r="E272" s="287">
        <f t="shared" si="128"/>
        <v>0.97066666666666657</v>
      </c>
      <c r="F272" s="287">
        <f t="shared" si="128"/>
        <v>0.97099999999999986</v>
      </c>
      <c r="G272" s="287">
        <f t="shared" si="128"/>
        <v>0.97133333333333316</v>
      </c>
      <c r="H272" s="287">
        <f t="shared" si="128"/>
        <v>0.97166666666666646</v>
      </c>
      <c r="I272" s="287">
        <f t="shared" si="128"/>
        <v>0.97199999999999975</v>
      </c>
      <c r="J272" s="287">
        <f t="shared" si="128"/>
        <v>0.97233333333333305</v>
      </c>
      <c r="K272" s="287">
        <f t="shared" si="128"/>
        <v>0.97266666666666635</v>
      </c>
      <c r="L272" s="287">
        <f t="shared" si="128"/>
        <v>0.97299999999999964</v>
      </c>
      <c r="M272" s="287">
        <f t="shared" si="128"/>
        <v>0.97333333333333294</v>
      </c>
      <c r="N272" s="287">
        <f t="shared" si="128"/>
        <v>0.97366666666666624</v>
      </c>
      <c r="O272" s="287">
        <f t="shared" si="128"/>
        <v>0.97399999999999953</v>
      </c>
      <c r="P272" s="287">
        <f t="shared" si="128"/>
        <v>0.97433333333333283</v>
      </c>
      <c r="Q272" s="287">
        <f t="shared" si="128"/>
        <v>0.97466666666666613</v>
      </c>
      <c r="R272" s="287">
        <f t="shared" si="128"/>
        <v>0.97499999999999942</v>
      </c>
      <c r="S272" s="287">
        <f t="shared" si="128"/>
        <v>0.97533333333333272</v>
      </c>
      <c r="T272" s="287">
        <f t="shared" si="127"/>
        <v>0.97566666666666602</v>
      </c>
      <c r="U272" s="287">
        <f t="shared" si="127"/>
        <v>0.97599999999999931</v>
      </c>
      <c r="V272" s="287">
        <f t="shared" si="127"/>
        <v>0.97633333333333261</v>
      </c>
      <c r="W272" s="287">
        <f t="shared" si="127"/>
        <v>0.97666666666666591</v>
      </c>
      <c r="X272" s="287">
        <f t="shared" si="127"/>
        <v>0.9769999999999992</v>
      </c>
      <c r="Y272" s="287">
        <f t="shared" si="127"/>
        <v>0.9773333333333325</v>
      </c>
      <c r="Z272" s="287">
        <f t="shared" si="127"/>
        <v>0.9776666666666658</v>
      </c>
      <c r="AA272" s="287">
        <f t="shared" si="127"/>
        <v>0.97799999999999909</v>
      </c>
      <c r="AB272" s="287">
        <f t="shared" si="127"/>
        <v>0.97833333333333239</v>
      </c>
      <c r="AC272" s="287">
        <f t="shared" si="127"/>
        <v>0.97866666666666569</v>
      </c>
      <c r="AD272" s="287">
        <f t="shared" si="127"/>
        <v>0.97899999999999898</v>
      </c>
      <c r="AE272" s="287">
        <f t="shared" si="127"/>
        <v>0.97933333333333228</v>
      </c>
      <c r="AF272" s="287">
        <f t="shared" si="127"/>
        <v>0.97966666666666558</v>
      </c>
      <c r="AG272" s="255">
        <f>1-SUM(AG273:AG277)</f>
        <v>0.98</v>
      </c>
      <c r="AH272"/>
      <c r="AI272" s="188"/>
      <c r="AJ272" t="s">
        <v>1470</v>
      </c>
    </row>
    <row r="273" spans="1:36" outlineLevel="1">
      <c r="A273" s="295" t="s">
        <v>658</v>
      </c>
      <c r="B273" s="252" t="s">
        <v>126</v>
      </c>
      <c r="C273" s="266">
        <v>0.01</v>
      </c>
      <c r="D273" s="267">
        <f t="shared" si="128"/>
        <v>0.01</v>
      </c>
      <c r="E273" s="267">
        <f t="shared" si="128"/>
        <v>0.01</v>
      </c>
      <c r="F273" s="267">
        <f t="shared" si="128"/>
        <v>0.01</v>
      </c>
      <c r="G273" s="267">
        <f t="shared" si="128"/>
        <v>0.01</v>
      </c>
      <c r="H273" s="267">
        <f t="shared" si="128"/>
        <v>0.01</v>
      </c>
      <c r="I273" s="267">
        <f t="shared" si="128"/>
        <v>0.01</v>
      </c>
      <c r="J273" s="267">
        <f t="shared" si="128"/>
        <v>0.01</v>
      </c>
      <c r="K273" s="267">
        <f t="shared" si="128"/>
        <v>0.01</v>
      </c>
      <c r="L273" s="267">
        <f t="shared" si="128"/>
        <v>0.01</v>
      </c>
      <c r="M273" s="267">
        <f t="shared" si="128"/>
        <v>0.01</v>
      </c>
      <c r="N273" s="267">
        <f t="shared" si="128"/>
        <v>0.01</v>
      </c>
      <c r="O273" s="267">
        <f t="shared" si="128"/>
        <v>0.01</v>
      </c>
      <c r="P273" s="267">
        <f t="shared" si="128"/>
        <v>0.01</v>
      </c>
      <c r="Q273" s="267">
        <f t="shared" si="128"/>
        <v>0.01</v>
      </c>
      <c r="R273" s="267">
        <f t="shared" si="128"/>
        <v>0.01</v>
      </c>
      <c r="S273" s="267">
        <f t="shared" si="128"/>
        <v>0.01</v>
      </c>
      <c r="T273" s="267">
        <f t="shared" si="127"/>
        <v>0.01</v>
      </c>
      <c r="U273" s="267">
        <f t="shared" si="127"/>
        <v>0.01</v>
      </c>
      <c r="V273" s="267">
        <f t="shared" si="127"/>
        <v>0.01</v>
      </c>
      <c r="W273" s="267">
        <f t="shared" si="127"/>
        <v>0.01</v>
      </c>
      <c r="X273" s="267">
        <f t="shared" si="127"/>
        <v>0.01</v>
      </c>
      <c r="Y273" s="267">
        <f t="shared" si="127"/>
        <v>0.01</v>
      </c>
      <c r="Z273" s="267">
        <f t="shared" si="127"/>
        <v>0.01</v>
      </c>
      <c r="AA273" s="267">
        <f t="shared" si="127"/>
        <v>0.01</v>
      </c>
      <c r="AB273" s="267">
        <f t="shared" si="127"/>
        <v>0.01</v>
      </c>
      <c r="AC273" s="267">
        <f t="shared" si="127"/>
        <v>0.01</v>
      </c>
      <c r="AD273" s="267">
        <f t="shared" si="127"/>
        <v>0.01</v>
      </c>
      <c r="AE273" s="267">
        <f t="shared" si="127"/>
        <v>0.01</v>
      </c>
      <c r="AF273" s="267">
        <f t="shared" si="127"/>
        <v>0.01</v>
      </c>
      <c r="AG273" s="266">
        <v>0.01</v>
      </c>
      <c r="AI273" s="188"/>
      <c r="AJ273" s="271" t="s">
        <v>1469</v>
      </c>
    </row>
    <row r="274" spans="1:36" outlineLevel="1">
      <c r="A274" s="295" t="s">
        <v>659</v>
      </c>
      <c r="B274" s="252" t="s">
        <v>126</v>
      </c>
      <c r="C274" s="562">
        <v>0</v>
      </c>
      <c r="D274" s="267">
        <f t="shared" si="126"/>
        <v>0</v>
      </c>
      <c r="E274" s="267">
        <f t="shared" si="126"/>
        <v>0</v>
      </c>
      <c r="F274" s="267">
        <f t="shared" si="126"/>
        <v>0</v>
      </c>
      <c r="G274" s="267">
        <f t="shared" si="126"/>
        <v>0</v>
      </c>
      <c r="H274" s="267">
        <f t="shared" si="126"/>
        <v>0</v>
      </c>
      <c r="I274" s="267">
        <f t="shared" si="126"/>
        <v>0</v>
      </c>
      <c r="J274" s="267">
        <f t="shared" si="126"/>
        <v>0</v>
      </c>
      <c r="K274" s="267">
        <f t="shared" si="126"/>
        <v>0</v>
      </c>
      <c r="L274" s="267">
        <f t="shared" si="126"/>
        <v>0</v>
      </c>
      <c r="M274" s="267">
        <f t="shared" si="126"/>
        <v>0</v>
      </c>
      <c r="N274" s="267">
        <f t="shared" si="126"/>
        <v>0</v>
      </c>
      <c r="O274" s="267">
        <f t="shared" si="126"/>
        <v>0</v>
      </c>
      <c r="P274" s="267">
        <f t="shared" si="126"/>
        <v>0</v>
      </c>
      <c r="Q274" s="267">
        <f t="shared" si="126"/>
        <v>0</v>
      </c>
      <c r="R274" s="267">
        <f t="shared" si="126"/>
        <v>0</v>
      </c>
      <c r="S274" s="267">
        <f t="shared" si="126"/>
        <v>0</v>
      </c>
      <c r="T274" s="267">
        <f t="shared" si="127"/>
        <v>0</v>
      </c>
      <c r="U274" s="267">
        <f t="shared" si="127"/>
        <v>0</v>
      </c>
      <c r="V274" s="267">
        <f t="shared" si="127"/>
        <v>0</v>
      </c>
      <c r="W274" s="267">
        <f t="shared" si="127"/>
        <v>0</v>
      </c>
      <c r="X274" s="267">
        <f t="shared" si="127"/>
        <v>0</v>
      </c>
      <c r="Y274" s="267">
        <f t="shared" si="127"/>
        <v>0</v>
      </c>
      <c r="Z274" s="267">
        <f t="shared" si="127"/>
        <v>0</v>
      </c>
      <c r="AA274" s="267">
        <f t="shared" si="127"/>
        <v>0</v>
      </c>
      <c r="AB274" s="267">
        <f t="shared" si="127"/>
        <v>0</v>
      </c>
      <c r="AC274" s="267">
        <f t="shared" si="127"/>
        <v>0</v>
      </c>
      <c r="AD274" s="267">
        <f t="shared" si="127"/>
        <v>0</v>
      </c>
      <c r="AE274" s="267">
        <f t="shared" si="127"/>
        <v>0</v>
      </c>
      <c r="AF274" s="267">
        <f t="shared" si="127"/>
        <v>0</v>
      </c>
      <c r="AG274" s="562">
        <v>0</v>
      </c>
      <c r="AI274" s="246"/>
      <c r="AJ274" t="s">
        <v>1470</v>
      </c>
    </row>
    <row r="275" spans="1:36" outlineLevel="1">
      <c r="A275" s="295" t="s">
        <v>660</v>
      </c>
      <c r="B275" s="252" t="s">
        <v>126</v>
      </c>
      <c r="C275" s="562">
        <v>0</v>
      </c>
      <c r="D275" s="267">
        <f t="shared" si="126"/>
        <v>0</v>
      </c>
      <c r="E275" s="267">
        <f t="shared" si="126"/>
        <v>0</v>
      </c>
      <c r="F275" s="267">
        <f t="shared" si="126"/>
        <v>0</v>
      </c>
      <c r="G275" s="267">
        <f t="shared" si="126"/>
        <v>0</v>
      </c>
      <c r="H275" s="267">
        <f t="shared" si="126"/>
        <v>0</v>
      </c>
      <c r="I275" s="267">
        <f t="shared" si="126"/>
        <v>0</v>
      </c>
      <c r="J275" s="267">
        <f t="shared" si="126"/>
        <v>0</v>
      </c>
      <c r="K275" s="267">
        <f t="shared" si="126"/>
        <v>0</v>
      </c>
      <c r="L275" s="267">
        <f t="shared" si="126"/>
        <v>0</v>
      </c>
      <c r="M275" s="267">
        <f t="shared" si="126"/>
        <v>0</v>
      </c>
      <c r="N275" s="267">
        <f t="shared" si="126"/>
        <v>0</v>
      </c>
      <c r="O275" s="267">
        <f t="shared" si="126"/>
        <v>0</v>
      </c>
      <c r="P275" s="267">
        <f t="shared" si="126"/>
        <v>0</v>
      </c>
      <c r="Q275" s="267">
        <f t="shared" si="126"/>
        <v>0</v>
      </c>
      <c r="R275" s="267">
        <f t="shared" si="126"/>
        <v>0</v>
      </c>
      <c r="S275" s="267">
        <f t="shared" si="126"/>
        <v>0</v>
      </c>
      <c r="T275" s="267">
        <f t="shared" si="127"/>
        <v>0</v>
      </c>
      <c r="U275" s="267">
        <f t="shared" si="127"/>
        <v>0</v>
      </c>
      <c r="V275" s="267">
        <f t="shared" si="127"/>
        <v>0</v>
      </c>
      <c r="W275" s="267">
        <f t="shared" si="127"/>
        <v>0</v>
      </c>
      <c r="X275" s="267">
        <f t="shared" si="127"/>
        <v>0</v>
      </c>
      <c r="Y275" s="267">
        <f t="shared" si="127"/>
        <v>0</v>
      </c>
      <c r="Z275" s="267">
        <f t="shared" si="127"/>
        <v>0</v>
      </c>
      <c r="AA275" s="267">
        <f t="shared" si="127"/>
        <v>0</v>
      </c>
      <c r="AB275" s="267">
        <f t="shared" si="127"/>
        <v>0</v>
      </c>
      <c r="AC275" s="267">
        <f t="shared" si="127"/>
        <v>0</v>
      </c>
      <c r="AD275" s="267">
        <f t="shared" si="127"/>
        <v>0</v>
      </c>
      <c r="AE275" s="267">
        <f t="shared" si="127"/>
        <v>0</v>
      </c>
      <c r="AF275" s="267">
        <f t="shared" si="127"/>
        <v>0</v>
      </c>
      <c r="AG275" s="562">
        <v>0</v>
      </c>
      <c r="AI275" s="246"/>
      <c r="AJ275" t="s">
        <v>1470</v>
      </c>
    </row>
    <row r="276" spans="1:36" outlineLevel="1">
      <c r="A276" s="295" t="s">
        <v>661</v>
      </c>
      <c r="B276" s="252" t="s">
        <v>126</v>
      </c>
      <c r="C276" s="562">
        <v>1.4999999999999999E-2</v>
      </c>
      <c r="D276" s="267">
        <f t="shared" si="126"/>
        <v>1.4733333333333333E-2</v>
      </c>
      <c r="E276" s="267">
        <f t="shared" si="126"/>
        <v>1.4466666666666666E-2</v>
      </c>
      <c r="F276" s="267">
        <f t="shared" si="126"/>
        <v>1.4199999999999999E-2</v>
      </c>
      <c r="G276" s="267">
        <f t="shared" si="126"/>
        <v>1.3933333333333332E-2</v>
      </c>
      <c r="H276" s="267">
        <f t="shared" si="126"/>
        <v>1.3666666666666666E-2</v>
      </c>
      <c r="I276" s="267">
        <f t="shared" si="126"/>
        <v>1.3399999999999999E-2</v>
      </c>
      <c r="J276" s="267">
        <f t="shared" si="126"/>
        <v>1.3133333333333332E-2</v>
      </c>
      <c r="K276" s="267">
        <f t="shared" si="126"/>
        <v>1.2866666666666665E-2</v>
      </c>
      <c r="L276" s="267">
        <f t="shared" si="126"/>
        <v>1.2599999999999998E-2</v>
      </c>
      <c r="M276" s="267">
        <f t="shared" si="126"/>
        <v>1.2333333333333332E-2</v>
      </c>
      <c r="N276" s="267">
        <f t="shared" si="126"/>
        <v>1.2066666666666665E-2</v>
      </c>
      <c r="O276" s="267">
        <f t="shared" si="126"/>
        <v>1.1799999999999998E-2</v>
      </c>
      <c r="P276" s="267">
        <f t="shared" si="126"/>
        <v>1.1533333333333331E-2</v>
      </c>
      <c r="Q276" s="267">
        <f t="shared" si="126"/>
        <v>1.1266666666666664E-2</v>
      </c>
      <c r="R276" s="267">
        <f t="shared" si="126"/>
        <v>1.0999999999999998E-2</v>
      </c>
      <c r="S276" s="267">
        <f t="shared" ref="S276:AF276" si="129">-($C276-$AG276)/30+R276</f>
        <v>1.0733333333333331E-2</v>
      </c>
      <c r="T276" s="267">
        <f t="shared" si="129"/>
        <v>1.0466666666666664E-2</v>
      </c>
      <c r="U276" s="267">
        <f t="shared" si="129"/>
        <v>1.0199999999999997E-2</v>
      </c>
      <c r="V276" s="267">
        <f t="shared" si="129"/>
        <v>9.9333333333333305E-3</v>
      </c>
      <c r="W276" s="267">
        <f t="shared" si="129"/>
        <v>9.6666666666666637E-3</v>
      </c>
      <c r="X276" s="267">
        <f t="shared" si="129"/>
        <v>9.3999999999999969E-3</v>
      </c>
      <c r="Y276" s="267">
        <f t="shared" si="129"/>
        <v>9.1333333333333301E-3</v>
      </c>
      <c r="Z276" s="267">
        <f t="shared" si="129"/>
        <v>8.8666666666666633E-3</v>
      </c>
      <c r="AA276" s="267">
        <f t="shared" si="129"/>
        <v>8.5999999999999965E-3</v>
      </c>
      <c r="AB276" s="267">
        <f t="shared" si="129"/>
        <v>8.3333333333333297E-3</v>
      </c>
      <c r="AC276" s="267">
        <f t="shared" si="129"/>
        <v>8.066666666666663E-3</v>
      </c>
      <c r="AD276" s="267">
        <f t="shared" si="129"/>
        <v>7.7999999999999962E-3</v>
      </c>
      <c r="AE276" s="267">
        <f t="shared" si="129"/>
        <v>7.5333333333333294E-3</v>
      </c>
      <c r="AF276" s="267">
        <f t="shared" si="129"/>
        <v>7.2666666666666626E-3</v>
      </c>
      <c r="AG276" s="562">
        <v>7.0000000000000001E-3</v>
      </c>
      <c r="AI276" s="246"/>
      <c r="AJ276" t="s">
        <v>1470</v>
      </c>
    </row>
    <row r="277" spans="1:36" s="62" customFormat="1" outlineLevel="1">
      <c r="A277" s="296" t="s">
        <v>662</v>
      </c>
      <c r="B277" s="262" t="s">
        <v>126</v>
      </c>
      <c r="C277" s="564">
        <v>5.0000000000000001E-3</v>
      </c>
      <c r="D277" s="289">
        <f t="shared" ref="D277:AF277" si="130">-($C277-$AG277)/30+C277</f>
        <v>4.9333333333333338E-3</v>
      </c>
      <c r="E277" s="289">
        <f t="shared" si="130"/>
        <v>4.8666666666666676E-3</v>
      </c>
      <c r="F277" s="289">
        <f t="shared" si="130"/>
        <v>4.8000000000000013E-3</v>
      </c>
      <c r="G277" s="289">
        <f t="shared" si="130"/>
        <v>4.7333333333333351E-3</v>
      </c>
      <c r="H277" s="289">
        <f t="shared" si="130"/>
        <v>4.6666666666666688E-3</v>
      </c>
      <c r="I277" s="289">
        <f t="shared" si="130"/>
        <v>4.6000000000000025E-3</v>
      </c>
      <c r="J277" s="289">
        <f t="shared" si="130"/>
        <v>4.5333333333333363E-3</v>
      </c>
      <c r="K277" s="289">
        <f t="shared" si="130"/>
        <v>4.46666666666667E-3</v>
      </c>
      <c r="L277" s="289">
        <f t="shared" si="130"/>
        <v>4.4000000000000037E-3</v>
      </c>
      <c r="M277" s="289">
        <f t="shared" si="130"/>
        <v>4.3333333333333375E-3</v>
      </c>
      <c r="N277" s="289">
        <f t="shared" si="130"/>
        <v>4.2666666666666712E-3</v>
      </c>
      <c r="O277" s="289">
        <f t="shared" si="130"/>
        <v>4.2000000000000049E-3</v>
      </c>
      <c r="P277" s="289">
        <f t="shared" si="130"/>
        <v>4.1333333333333387E-3</v>
      </c>
      <c r="Q277" s="289">
        <f t="shared" si="130"/>
        <v>4.0666666666666724E-3</v>
      </c>
      <c r="R277" s="289">
        <f t="shared" si="130"/>
        <v>4.0000000000000062E-3</v>
      </c>
      <c r="S277" s="289">
        <f t="shared" si="130"/>
        <v>3.9333333333333399E-3</v>
      </c>
      <c r="T277" s="289">
        <f t="shared" si="130"/>
        <v>3.8666666666666732E-3</v>
      </c>
      <c r="U277" s="289">
        <f t="shared" si="130"/>
        <v>3.8000000000000065E-3</v>
      </c>
      <c r="V277" s="289">
        <f t="shared" si="130"/>
        <v>3.7333333333333398E-3</v>
      </c>
      <c r="W277" s="289">
        <f t="shared" si="130"/>
        <v>3.6666666666666731E-3</v>
      </c>
      <c r="X277" s="289">
        <f t="shared" si="130"/>
        <v>3.6000000000000064E-3</v>
      </c>
      <c r="Y277" s="289">
        <f t="shared" si="130"/>
        <v>3.5333333333333397E-3</v>
      </c>
      <c r="Z277" s="289">
        <f t="shared" si="130"/>
        <v>3.466666666666673E-3</v>
      </c>
      <c r="AA277" s="289">
        <f t="shared" si="130"/>
        <v>3.4000000000000063E-3</v>
      </c>
      <c r="AB277" s="289">
        <f t="shared" si="130"/>
        <v>3.3333333333333396E-3</v>
      </c>
      <c r="AC277" s="289">
        <f t="shared" si="130"/>
        <v>3.2666666666666729E-3</v>
      </c>
      <c r="AD277" s="289">
        <f t="shared" si="130"/>
        <v>3.2000000000000062E-3</v>
      </c>
      <c r="AE277" s="289">
        <f t="shared" si="130"/>
        <v>3.1333333333333395E-3</v>
      </c>
      <c r="AF277" s="289">
        <f t="shared" si="130"/>
        <v>3.0666666666666728E-3</v>
      </c>
      <c r="AG277" s="564">
        <v>3.0000000000000001E-3</v>
      </c>
      <c r="AI277" s="264"/>
      <c r="AJ277" t="s">
        <v>1470</v>
      </c>
    </row>
    <row r="278" spans="1:36" s="54" customFormat="1" outlineLevel="1">
      <c r="A278" s="54" t="s">
        <v>626</v>
      </c>
      <c r="B278" s="253"/>
      <c r="C278" s="254">
        <f>C29</f>
        <v>554002.75255072874</v>
      </c>
      <c r="D278" s="254">
        <f t="shared" ref="D278:AG278" si="131">D29</f>
        <v>552779.75002807355</v>
      </c>
      <c r="E278" s="254">
        <f t="shared" si="131"/>
        <v>551559.44737498323</v>
      </c>
      <c r="F278" s="254">
        <f t="shared" si="131"/>
        <v>550341.83863129374</v>
      </c>
      <c r="G278" s="254">
        <f t="shared" si="131"/>
        <v>549126.91784999834</v>
      </c>
      <c r="H278" s="254">
        <f t="shared" si="131"/>
        <v>547914.67909721902</v>
      </c>
      <c r="I278" s="254">
        <f t="shared" si="131"/>
        <v>546705.11645217729</v>
      </c>
      <c r="J278" s="254">
        <f t="shared" si="131"/>
        <v>545498.22400716494</v>
      </c>
      <c r="K278" s="254">
        <f t="shared" si="131"/>
        <v>544293.9958675158</v>
      </c>
      <c r="L278" s="254">
        <f t="shared" si="131"/>
        <v>543092.42615157645</v>
      </c>
      <c r="M278" s="254">
        <f t="shared" si="131"/>
        <v>541893.50899067766</v>
      </c>
      <c r="N278" s="254">
        <f t="shared" si="131"/>
        <v>540697.23852910567</v>
      </c>
      <c r="O278" s="254">
        <f t="shared" si="131"/>
        <v>539503.60892407363</v>
      </c>
      <c r="P278" s="254">
        <f t="shared" si="131"/>
        <v>538312.61434569326</v>
      </c>
      <c r="Q278" s="254">
        <f t="shared" si="131"/>
        <v>537124.24897694623</v>
      </c>
      <c r="R278" s="254">
        <f t="shared" si="131"/>
        <v>535938.50701365538</v>
      </c>
      <c r="S278" s="254">
        <f t="shared" si="131"/>
        <v>534755.38266445685</v>
      </c>
      <c r="T278" s="254">
        <f t="shared" si="131"/>
        <v>533574.87015077204</v>
      </c>
      <c r="U278" s="254">
        <f t="shared" si="131"/>
        <v>532396.96370677825</v>
      </c>
      <c r="V278" s="254">
        <f t="shared" si="131"/>
        <v>531221.65757938195</v>
      </c>
      <c r="W278" s="254">
        <f t="shared" si="131"/>
        <v>530048.9460281895</v>
      </c>
      <c r="X278" s="254">
        <f t="shared" si="131"/>
        <v>528878.82332547999</v>
      </c>
      <c r="Y278" s="254">
        <f t="shared" si="131"/>
        <v>527711.28375617671</v>
      </c>
      <c r="Z278" s="254">
        <f t="shared" si="131"/>
        <v>526546.32161781925</v>
      </c>
      <c r="AA278" s="254">
        <f t="shared" si="131"/>
        <v>525383.93122053612</v>
      </c>
      <c r="AB278" s="254">
        <f t="shared" si="131"/>
        <v>524224.10688701656</v>
      </c>
      <c r="AC278" s="254">
        <f t="shared" si="131"/>
        <v>523066.84295248269</v>
      </c>
      <c r="AD278" s="254">
        <f t="shared" si="131"/>
        <v>521912.13376466231</v>
      </c>
      <c r="AE278" s="254">
        <f t="shared" si="131"/>
        <v>520759.97368376085</v>
      </c>
      <c r="AF278" s="254">
        <f t="shared" si="131"/>
        <v>519610.357082434</v>
      </c>
      <c r="AG278" s="254">
        <f t="shared" si="131"/>
        <v>518463.27834576054</v>
      </c>
      <c r="AI278" s="255"/>
      <c r="AJ278" s="256"/>
    </row>
    <row r="279" spans="1:36" s="54" customFormat="1" outlineLevel="1">
      <c r="A279" s="257" t="s">
        <v>178</v>
      </c>
      <c r="B279" s="258" t="s">
        <v>127</v>
      </c>
      <c r="C279" s="259">
        <v>0</v>
      </c>
      <c r="D279" s="259">
        <v>0</v>
      </c>
      <c r="E279" s="259">
        <v>0</v>
      </c>
      <c r="F279" s="259">
        <v>0</v>
      </c>
      <c r="G279" s="259">
        <v>0</v>
      </c>
      <c r="H279" s="259">
        <v>0</v>
      </c>
      <c r="I279" s="259">
        <v>0</v>
      </c>
      <c r="J279" s="259">
        <v>0</v>
      </c>
      <c r="K279" s="259">
        <v>0</v>
      </c>
      <c r="L279" s="259">
        <v>0</v>
      </c>
      <c r="M279" s="259">
        <v>0</v>
      </c>
      <c r="N279" s="259">
        <v>0</v>
      </c>
      <c r="O279" s="259">
        <v>0</v>
      </c>
      <c r="P279" s="259">
        <v>0</v>
      </c>
      <c r="Q279" s="259">
        <v>0</v>
      </c>
      <c r="R279" s="259">
        <v>0</v>
      </c>
      <c r="S279" s="259">
        <v>0</v>
      </c>
      <c r="T279" s="259">
        <v>0</v>
      </c>
      <c r="U279" s="259">
        <v>0</v>
      </c>
      <c r="V279" s="259">
        <v>0</v>
      </c>
      <c r="W279" s="259">
        <v>0</v>
      </c>
      <c r="X279" s="259">
        <v>0</v>
      </c>
      <c r="Y279" s="259">
        <v>0</v>
      </c>
      <c r="Z279" s="259">
        <v>0</v>
      </c>
      <c r="AA279" s="259">
        <v>0</v>
      </c>
      <c r="AB279" s="259">
        <v>0</v>
      </c>
      <c r="AC279" s="259">
        <v>0</v>
      </c>
      <c r="AD279" s="259">
        <v>0</v>
      </c>
      <c r="AE279" s="259">
        <v>0</v>
      </c>
      <c r="AF279" s="259">
        <v>0</v>
      </c>
      <c r="AG279" s="259">
        <v>0</v>
      </c>
      <c r="AI279" s="255"/>
      <c r="AJ279" s="256"/>
    </row>
    <row r="280" spans="1:36" outlineLevel="1">
      <c r="A280" s="260" t="s">
        <v>619</v>
      </c>
      <c r="B280" s="252" t="s">
        <v>127</v>
      </c>
      <c r="C280" s="218">
        <f t="shared" ref="C280:AG280" si="132">C247</f>
        <v>64870.026675377754</v>
      </c>
      <c r="D280" s="218">
        <f t="shared" si="132"/>
        <v>65953.356120856552</v>
      </c>
      <c r="E280" s="218">
        <f t="shared" si="132"/>
        <v>67054.777168074856</v>
      </c>
      <c r="F280" s="218">
        <f t="shared" si="132"/>
        <v>68174.5919467817</v>
      </c>
      <c r="G280" s="218">
        <f t="shared" si="132"/>
        <v>69313.107632292944</v>
      </c>
      <c r="H280" s="218">
        <f t="shared" si="132"/>
        <v>70470.636529752228</v>
      </c>
      <c r="I280" s="218">
        <f t="shared" si="132"/>
        <v>71647.496159799091</v>
      </c>
      <c r="J280" s="218">
        <f t="shared" si="132"/>
        <v>72844.009345667728</v>
      </c>
      <c r="K280" s="218">
        <f t="shared" si="132"/>
        <v>74060.50430174038</v>
      </c>
      <c r="L280" s="218">
        <f t="shared" si="132"/>
        <v>75297.314723579446</v>
      </c>
      <c r="M280" s="218">
        <f t="shared" si="132"/>
        <v>76554.779879463211</v>
      </c>
      <c r="N280" s="218">
        <f t="shared" si="132"/>
        <v>77833.24470345024</v>
      </c>
      <c r="O280" s="218">
        <f t="shared" si="132"/>
        <v>79133.05988999785</v>
      </c>
      <c r="P280" s="218">
        <f t="shared" si="132"/>
        <v>80454.581990160805</v>
      </c>
      <c r="Q280" s="218">
        <f t="shared" si="132"/>
        <v>81798.173509396482</v>
      </c>
      <c r="R280" s="218">
        <f t="shared" si="132"/>
        <v>83164.203007003394</v>
      </c>
      <c r="S280" s="218">
        <f t="shared" si="132"/>
        <v>84553.045197220345</v>
      </c>
      <c r="T280" s="218">
        <f t="shared" si="132"/>
        <v>85965.08105201392</v>
      </c>
      <c r="U280" s="218">
        <f t="shared" si="132"/>
        <v>87400.69790558255</v>
      </c>
      <c r="V280" s="218">
        <f t="shared" si="132"/>
        <v>88860.289560605772</v>
      </c>
      <c r="W280" s="218">
        <f t="shared" si="132"/>
        <v>90344.256396267883</v>
      </c>
      <c r="X280" s="218">
        <f t="shared" si="132"/>
        <v>91853.005478085557</v>
      </c>
      <c r="Y280" s="218">
        <f t="shared" si="132"/>
        <v>93386.950669569575</v>
      </c>
      <c r="Z280" s="218">
        <f t="shared" si="132"/>
        <v>94946.512745751374</v>
      </c>
      <c r="AA280" s="218">
        <f t="shared" si="132"/>
        <v>96532.119508605421</v>
      </c>
      <c r="AB280" s="218">
        <f t="shared" si="132"/>
        <v>98144.205904399132</v>
      </c>
      <c r="AC280" s="218">
        <f t="shared" si="132"/>
        <v>99783.214143002595</v>
      </c>
      <c r="AD280" s="218">
        <f t="shared" si="132"/>
        <v>101449.59381919073</v>
      </c>
      <c r="AE280" s="218">
        <f t="shared" si="132"/>
        <v>103143.80203597121</v>
      </c>
      <c r="AF280" s="218">
        <f t="shared" si="132"/>
        <v>104866.30352997192</v>
      </c>
      <c r="AG280" s="218">
        <f t="shared" si="132"/>
        <v>106617.57079892245</v>
      </c>
      <c r="AI280" s="246"/>
    </row>
    <row r="281" spans="1:36" s="62" customFormat="1" outlineLevel="1">
      <c r="A281" s="261" t="s">
        <v>628</v>
      </c>
      <c r="B281" s="262" t="s">
        <v>127</v>
      </c>
      <c r="C281" s="263">
        <f>C278-C279-C280</f>
        <v>489132.725875351</v>
      </c>
      <c r="D281" s="263">
        <f t="shared" ref="D281:AG281" si="133">D278-D279-D280</f>
        <v>486826.39390721702</v>
      </c>
      <c r="E281" s="263">
        <f t="shared" si="133"/>
        <v>484504.67020690837</v>
      </c>
      <c r="F281" s="263">
        <f t="shared" si="133"/>
        <v>482167.24668451201</v>
      </c>
      <c r="G281" s="263">
        <f t="shared" si="133"/>
        <v>479813.81021770538</v>
      </c>
      <c r="H281" s="263">
        <f t="shared" si="133"/>
        <v>477444.04256746679</v>
      </c>
      <c r="I281" s="263">
        <f t="shared" si="133"/>
        <v>475057.62029237818</v>
      </c>
      <c r="J281" s="263">
        <f t="shared" si="133"/>
        <v>472654.21466149722</v>
      </c>
      <c r="K281" s="263">
        <f t="shared" si="133"/>
        <v>470233.49156577542</v>
      </c>
      <c r="L281" s="263">
        <f t="shared" si="133"/>
        <v>467795.11142799701</v>
      </c>
      <c r="M281" s="263">
        <f t="shared" si="133"/>
        <v>465338.72911121446</v>
      </c>
      <c r="N281" s="263">
        <f t="shared" si="133"/>
        <v>462863.99382565543</v>
      </c>
      <c r="O281" s="263">
        <f t="shared" si="133"/>
        <v>460370.54903407581</v>
      </c>
      <c r="P281" s="263">
        <f t="shared" si="133"/>
        <v>457858.03235553246</v>
      </c>
      <c r="Q281" s="263">
        <f t="shared" si="133"/>
        <v>455326.07546754973</v>
      </c>
      <c r="R281" s="263">
        <f t="shared" si="133"/>
        <v>452774.30400665198</v>
      </c>
      <c r="S281" s="263">
        <f t="shared" si="133"/>
        <v>450202.3374672365</v>
      </c>
      <c r="T281" s="263">
        <f t="shared" si="133"/>
        <v>447609.78909875813</v>
      </c>
      <c r="U281" s="263">
        <f t="shared" si="133"/>
        <v>444996.2658011957</v>
      </c>
      <c r="V281" s="263">
        <f t="shared" si="133"/>
        <v>442361.36801877618</v>
      </c>
      <c r="W281" s="263">
        <f t="shared" si="133"/>
        <v>439704.68963192159</v>
      </c>
      <c r="X281" s="263">
        <f t="shared" si="133"/>
        <v>437025.81784739444</v>
      </c>
      <c r="Y281" s="263">
        <f t="shared" si="133"/>
        <v>434324.33308660716</v>
      </c>
      <c r="Z281" s="263">
        <f t="shared" si="133"/>
        <v>431599.80887206789</v>
      </c>
      <c r="AA281" s="263">
        <f t="shared" si="133"/>
        <v>428851.81171193067</v>
      </c>
      <c r="AB281" s="263">
        <f t="shared" si="133"/>
        <v>426079.9009826174</v>
      </c>
      <c r="AC281" s="263">
        <f t="shared" si="133"/>
        <v>423283.62880948011</v>
      </c>
      <c r="AD281" s="263">
        <f t="shared" si="133"/>
        <v>420462.53994547157</v>
      </c>
      <c r="AE281" s="263">
        <f t="shared" si="133"/>
        <v>417616.17164778966</v>
      </c>
      <c r="AF281" s="263">
        <f t="shared" si="133"/>
        <v>414744.05355246208</v>
      </c>
      <c r="AG281" s="263">
        <f t="shared" si="133"/>
        <v>411845.70754683809</v>
      </c>
      <c r="AI281" s="264"/>
      <c r="AJ281" s="265"/>
    </row>
    <row r="282" spans="1:36" outlineLevel="1">
      <c r="A282" s="104" t="s">
        <v>621</v>
      </c>
      <c r="B282" s="252" t="s">
        <v>127</v>
      </c>
      <c r="C282" s="203">
        <f>C251*C$281</f>
        <v>474458.74409909046</v>
      </c>
      <c r="D282" s="203">
        <f t="shared" ref="D282:AG282" si="134">D251*D$281</f>
        <v>472383.87755463622</v>
      </c>
      <c r="E282" s="203">
        <f t="shared" si="134"/>
        <v>470292.53321417235</v>
      </c>
      <c r="F282" s="203">
        <f t="shared" si="134"/>
        <v>468184.39653066109</v>
      </c>
      <c r="G282" s="203">
        <f t="shared" si="134"/>
        <v>466059.14765813109</v>
      </c>
      <c r="H282" s="203">
        <f t="shared" si="134"/>
        <v>463916.46136138844</v>
      </c>
      <c r="I282" s="203">
        <f t="shared" si="134"/>
        <v>461756.00692419149</v>
      </c>
      <c r="J282" s="203">
        <f t="shared" si="134"/>
        <v>459577.44805586233</v>
      </c>
      <c r="K282" s="203">
        <f t="shared" si="134"/>
        <v>457380.44279631076</v>
      </c>
      <c r="L282" s="203">
        <f t="shared" si="134"/>
        <v>455164.64341944089</v>
      </c>
      <c r="M282" s="203">
        <f t="shared" si="134"/>
        <v>452929.69633491524</v>
      </c>
      <c r="N282" s="203">
        <f t="shared" si="134"/>
        <v>450675.24198824633</v>
      </c>
      <c r="O282" s="203">
        <f t="shared" si="134"/>
        <v>448400.91475918965</v>
      </c>
      <c r="P282" s="203">
        <f t="shared" si="134"/>
        <v>446106.34285840689</v>
      </c>
      <c r="Q282" s="203">
        <f t="shared" si="134"/>
        <v>443791.14822237153</v>
      </c>
      <c r="R282" s="203">
        <f t="shared" si="134"/>
        <v>441454.9464064854</v>
      </c>
      <c r="S282" s="203">
        <f t="shared" si="134"/>
        <v>439097.34647637774</v>
      </c>
      <c r="T282" s="203">
        <f t="shared" si="134"/>
        <v>436717.95089735475</v>
      </c>
      <c r="U282" s="203">
        <f t="shared" si="134"/>
        <v>434316.3554219667</v>
      </c>
      <c r="V282" s="203">
        <f t="shared" si="134"/>
        <v>431892.14897566481</v>
      </c>
      <c r="W282" s="203">
        <f t="shared" si="134"/>
        <v>429444.91354050976</v>
      </c>
      <c r="X282" s="203">
        <f t="shared" si="134"/>
        <v>426974.22403690399</v>
      </c>
      <c r="Y282" s="203">
        <f t="shared" si="134"/>
        <v>424479.64820331038</v>
      </c>
      <c r="Z282" s="203">
        <f t="shared" si="134"/>
        <v>421960.74647392466</v>
      </c>
      <c r="AA282" s="203">
        <f t="shared" si="134"/>
        <v>419417.07185426779</v>
      </c>
      <c r="AB282" s="203">
        <f t="shared" si="134"/>
        <v>416848.16979466029</v>
      </c>
      <c r="AC282" s="203">
        <f t="shared" si="134"/>
        <v>414253.5780615441</v>
      </c>
      <c r="AD282" s="203">
        <f t="shared" si="134"/>
        <v>411632.82660661626</v>
      </c>
      <c r="AE282" s="203">
        <f t="shared" si="134"/>
        <v>408985.43743373489</v>
      </c>
      <c r="AF282" s="203">
        <f t="shared" si="134"/>
        <v>406310.92446356156</v>
      </c>
      <c r="AG282" s="203">
        <f t="shared" si="134"/>
        <v>403608.79339590133</v>
      </c>
      <c r="AI282" s="188"/>
    </row>
    <row r="283" spans="1:36" outlineLevel="1">
      <c r="A283" s="104" t="s">
        <v>620</v>
      </c>
      <c r="B283" s="252" t="s">
        <v>127</v>
      </c>
      <c r="C283" s="203">
        <f t="shared" ref="C283:AG283" si="135">C252*C$281</f>
        <v>4891.3272587535103</v>
      </c>
      <c r="D283" s="203">
        <f t="shared" si="135"/>
        <v>4868.2639390721706</v>
      </c>
      <c r="E283" s="203">
        <f t="shared" si="135"/>
        <v>4845.0467020690839</v>
      </c>
      <c r="F283" s="203">
        <f t="shared" si="135"/>
        <v>4821.6724668451197</v>
      </c>
      <c r="G283" s="203">
        <f t="shared" si="135"/>
        <v>4798.138102177054</v>
      </c>
      <c r="H283" s="203">
        <f t="shared" si="135"/>
        <v>4774.4404256746684</v>
      </c>
      <c r="I283" s="203">
        <f t="shared" si="135"/>
        <v>4750.5762029237821</v>
      </c>
      <c r="J283" s="203">
        <f t="shared" si="135"/>
        <v>4726.5421466149719</v>
      </c>
      <c r="K283" s="203">
        <f t="shared" si="135"/>
        <v>4702.3349156577542</v>
      </c>
      <c r="L283" s="203">
        <f t="shared" si="135"/>
        <v>4677.9511142799702</v>
      </c>
      <c r="M283" s="203">
        <f t="shared" si="135"/>
        <v>4653.3872911121443</v>
      </c>
      <c r="N283" s="203">
        <f t="shared" si="135"/>
        <v>4628.6399382565542</v>
      </c>
      <c r="O283" s="203">
        <f t="shared" si="135"/>
        <v>4603.7054903407579</v>
      </c>
      <c r="P283" s="203">
        <f t="shared" si="135"/>
        <v>4578.5803235553249</v>
      </c>
      <c r="Q283" s="203">
        <f t="shared" si="135"/>
        <v>4553.2607546754971</v>
      </c>
      <c r="R283" s="203">
        <f t="shared" si="135"/>
        <v>4527.7430400665198</v>
      </c>
      <c r="S283" s="203">
        <f t="shared" si="135"/>
        <v>4502.0233746723652</v>
      </c>
      <c r="T283" s="203">
        <f t="shared" si="135"/>
        <v>4476.0978909875812</v>
      </c>
      <c r="U283" s="203">
        <f t="shared" si="135"/>
        <v>4449.9626580119575</v>
      </c>
      <c r="V283" s="203">
        <f t="shared" si="135"/>
        <v>4423.6136801877619</v>
      </c>
      <c r="W283" s="203">
        <f t="shared" si="135"/>
        <v>4397.0468963192161</v>
      </c>
      <c r="X283" s="203">
        <f t="shared" si="135"/>
        <v>4370.2581784739441</v>
      </c>
      <c r="Y283" s="203">
        <f t="shared" si="135"/>
        <v>4343.243330866072</v>
      </c>
      <c r="Z283" s="203">
        <f t="shared" si="135"/>
        <v>4315.9980887206793</v>
      </c>
      <c r="AA283" s="203">
        <f t="shared" si="135"/>
        <v>4288.5181171193071</v>
      </c>
      <c r="AB283" s="203">
        <f t="shared" si="135"/>
        <v>4260.7990098261744</v>
      </c>
      <c r="AC283" s="203">
        <f t="shared" si="135"/>
        <v>4232.8362880948016</v>
      </c>
      <c r="AD283" s="203">
        <f t="shared" si="135"/>
        <v>4204.625399454716</v>
      </c>
      <c r="AE283" s="203">
        <f t="shared" si="135"/>
        <v>4176.1617164778963</v>
      </c>
      <c r="AF283" s="203">
        <f t="shared" si="135"/>
        <v>4147.4405355246208</v>
      </c>
      <c r="AG283" s="203">
        <f t="shared" si="135"/>
        <v>4118.4570754683809</v>
      </c>
      <c r="AI283" s="188"/>
    </row>
    <row r="284" spans="1:36" outlineLevel="1">
      <c r="A284" s="104" t="s">
        <v>622</v>
      </c>
      <c r="B284" s="252" t="s">
        <v>127</v>
      </c>
      <c r="C284" s="203">
        <f t="shared" ref="C284:AG284" si="136">C253*C$281</f>
        <v>0</v>
      </c>
      <c r="D284" s="203">
        <f t="shared" si="136"/>
        <v>0</v>
      </c>
      <c r="E284" s="203">
        <f t="shared" si="136"/>
        <v>0</v>
      </c>
      <c r="F284" s="203">
        <f t="shared" si="136"/>
        <v>0</v>
      </c>
      <c r="G284" s="203">
        <f t="shared" si="136"/>
        <v>0</v>
      </c>
      <c r="H284" s="203">
        <f t="shared" si="136"/>
        <v>0</v>
      </c>
      <c r="I284" s="203">
        <f t="shared" si="136"/>
        <v>0</v>
      </c>
      <c r="J284" s="203">
        <f t="shared" si="136"/>
        <v>0</v>
      </c>
      <c r="K284" s="203">
        <f t="shared" si="136"/>
        <v>0</v>
      </c>
      <c r="L284" s="203">
        <f t="shared" si="136"/>
        <v>0</v>
      </c>
      <c r="M284" s="203">
        <f t="shared" si="136"/>
        <v>0</v>
      </c>
      <c r="N284" s="203">
        <f t="shared" si="136"/>
        <v>0</v>
      </c>
      <c r="O284" s="203">
        <f t="shared" si="136"/>
        <v>0</v>
      </c>
      <c r="P284" s="203">
        <f t="shared" si="136"/>
        <v>0</v>
      </c>
      <c r="Q284" s="203">
        <f t="shared" si="136"/>
        <v>0</v>
      </c>
      <c r="R284" s="203">
        <f t="shared" si="136"/>
        <v>0</v>
      </c>
      <c r="S284" s="203">
        <f t="shared" si="136"/>
        <v>0</v>
      </c>
      <c r="T284" s="203">
        <f t="shared" si="136"/>
        <v>0</v>
      </c>
      <c r="U284" s="203">
        <f t="shared" si="136"/>
        <v>0</v>
      </c>
      <c r="V284" s="203">
        <f t="shared" si="136"/>
        <v>0</v>
      </c>
      <c r="W284" s="203">
        <f t="shared" si="136"/>
        <v>0</v>
      </c>
      <c r="X284" s="203">
        <f t="shared" si="136"/>
        <v>0</v>
      </c>
      <c r="Y284" s="203">
        <f t="shared" si="136"/>
        <v>0</v>
      </c>
      <c r="Z284" s="203">
        <f t="shared" si="136"/>
        <v>0</v>
      </c>
      <c r="AA284" s="203">
        <f t="shared" si="136"/>
        <v>0</v>
      </c>
      <c r="AB284" s="203">
        <f t="shared" si="136"/>
        <v>0</v>
      </c>
      <c r="AC284" s="203">
        <f t="shared" si="136"/>
        <v>0</v>
      </c>
      <c r="AD284" s="203">
        <f t="shared" si="136"/>
        <v>0</v>
      </c>
      <c r="AE284" s="203">
        <f t="shared" si="136"/>
        <v>0</v>
      </c>
      <c r="AF284" s="203">
        <f t="shared" si="136"/>
        <v>0</v>
      </c>
      <c r="AG284" s="203">
        <f t="shared" si="136"/>
        <v>0</v>
      </c>
      <c r="AI284" s="188"/>
    </row>
    <row r="285" spans="1:36" outlineLevel="1">
      <c r="A285" s="104" t="s">
        <v>623</v>
      </c>
      <c r="B285" s="252" t="s">
        <v>127</v>
      </c>
      <c r="C285" s="203">
        <f t="shared" ref="C285:AG285" si="137">C254*C$281</f>
        <v>0</v>
      </c>
      <c r="D285" s="203">
        <f t="shared" si="137"/>
        <v>0</v>
      </c>
      <c r="E285" s="203">
        <f t="shared" si="137"/>
        <v>0</v>
      </c>
      <c r="F285" s="203">
        <f t="shared" si="137"/>
        <v>0</v>
      </c>
      <c r="G285" s="203">
        <f t="shared" si="137"/>
        <v>0</v>
      </c>
      <c r="H285" s="203">
        <f t="shared" si="137"/>
        <v>0</v>
      </c>
      <c r="I285" s="203">
        <f t="shared" si="137"/>
        <v>0</v>
      </c>
      <c r="J285" s="203">
        <f t="shared" si="137"/>
        <v>0</v>
      </c>
      <c r="K285" s="203">
        <f t="shared" si="137"/>
        <v>0</v>
      </c>
      <c r="L285" s="203">
        <f t="shared" si="137"/>
        <v>0</v>
      </c>
      <c r="M285" s="203">
        <f t="shared" si="137"/>
        <v>0</v>
      </c>
      <c r="N285" s="203">
        <f t="shared" si="137"/>
        <v>0</v>
      </c>
      <c r="O285" s="203">
        <f t="shared" si="137"/>
        <v>0</v>
      </c>
      <c r="P285" s="203">
        <f t="shared" si="137"/>
        <v>0</v>
      </c>
      <c r="Q285" s="203">
        <f t="shared" si="137"/>
        <v>0</v>
      </c>
      <c r="R285" s="203">
        <f t="shared" si="137"/>
        <v>0</v>
      </c>
      <c r="S285" s="203">
        <f t="shared" si="137"/>
        <v>0</v>
      </c>
      <c r="T285" s="203">
        <f t="shared" si="137"/>
        <v>0</v>
      </c>
      <c r="U285" s="203">
        <f t="shared" si="137"/>
        <v>0</v>
      </c>
      <c r="V285" s="203">
        <f t="shared" si="137"/>
        <v>0</v>
      </c>
      <c r="W285" s="203">
        <f t="shared" si="137"/>
        <v>0</v>
      </c>
      <c r="X285" s="203">
        <f t="shared" si="137"/>
        <v>0</v>
      </c>
      <c r="Y285" s="203">
        <f t="shared" si="137"/>
        <v>0</v>
      </c>
      <c r="Z285" s="203">
        <f t="shared" si="137"/>
        <v>0</v>
      </c>
      <c r="AA285" s="203">
        <f t="shared" si="137"/>
        <v>0</v>
      </c>
      <c r="AB285" s="203">
        <f t="shared" si="137"/>
        <v>0</v>
      </c>
      <c r="AC285" s="203">
        <f t="shared" si="137"/>
        <v>0</v>
      </c>
      <c r="AD285" s="203">
        <f t="shared" si="137"/>
        <v>0</v>
      </c>
      <c r="AE285" s="203">
        <f t="shared" si="137"/>
        <v>0</v>
      </c>
      <c r="AF285" s="203">
        <f t="shared" si="137"/>
        <v>0</v>
      </c>
      <c r="AG285" s="203">
        <f t="shared" si="137"/>
        <v>0</v>
      </c>
      <c r="AI285" s="188"/>
    </row>
    <row r="286" spans="1:36" outlineLevel="1">
      <c r="A286" s="104" t="s">
        <v>624</v>
      </c>
      <c r="B286" s="252" t="s">
        <v>127</v>
      </c>
      <c r="C286" s="203">
        <f t="shared" ref="C286:AG286" si="138">C255*C$281</f>
        <v>7336.9908881302645</v>
      </c>
      <c r="D286" s="203">
        <f t="shared" si="138"/>
        <v>7172.5755368996633</v>
      </c>
      <c r="E286" s="203">
        <f t="shared" si="138"/>
        <v>7009.1675623266074</v>
      </c>
      <c r="F286" s="203">
        <f t="shared" si="138"/>
        <v>6846.7749029200704</v>
      </c>
      <c r="G286" s="203">
        <f t="shared" si="138"/>
        <v>6685.4057557000278</v>
      </c>
      <c r="H286" s="203">
        <f t="shared" si="138"/>
        <v>6525.0685817553785</v>
      </c>
      <c r="I286" s="203">
        <f t="shared" si="138"/>
        <v>6365.7721119178668</v>
      </c>
      <c r="J286" s="203">
        <f t="shared" si="138"/>
        <v>6207.5253525543294</v>
      </c>
      <c r="K286" s="203">
        <f t="shared" si="138"/>
        <v>6050.3375914796434</v>
      </c>
      <c r="L286" s="203">
        <f t="shared" si="138"/>
        <v>5894.2184039927615</v>
      </c>
      <c r="M286" s="203">
        <f t="shared" si="138"/>
        <v>5739.1776590383106</v>
      </c>
      <c r="N286" s="203">
        <f t="shared" si="138"/>
        <v>5585.2255254962411</v>
      </c>
      <c r="O286" s="203">
        <f t="shared" si="138"/>
        <v>5432.3724786020939</v>
      </c>
      <c r="P286" s="203">
        <f t="shared" si="138"/>
        <v>5280.6293065004729</v>
      </c>
      <c r="Q286" s="203">
        <f t="shared" si="138"/>
        <v>5130.0071169343928</v>
      </c>
      <c r="R286" s="203">
        <f t="shared" si="138"/>
        <v>4980.5173440731705</v>
      </c>
      <c r="S286" s="203">
        <f t="shared" si="138"/>
        <v>4832.1717554816705</v>
      </c>
      <c r="T286" s="203">
        <f t="shared" si="138"/>
        <v>4684.9824592336672</v>
      </c>
      <c r="U286" s="203">
        <f t="shared" si="138"/>
        <v>4538.961911172195</v>
      </c>
      <c r="V286" s="203">
        <f t="shared" si="138"/>
        <v>4394.1229223198425</v>
      </c>
      <c r="W286" s="203">
        <f t="shared" si="138"/>
        <v>4250.4786664419071</v>
      </c>
      <c r="X286" s="203">
        <f t="shared" si="138"/>
        <v>4108.0426877655063</v>
      </c>
      <c r="Y286" s="203">
        <f t="shared" si="138"/>
        <v>3966.8289088576776</v>
      </c>
      <c r="Z286" s="203">
        <f t="shared" si="138"/>
        <v>3826.851638665667</v>
      </c>
      <c r="AA286" s="203">
        <f t="shared" si="138"/>
        <v>3688.1255807226021</v>
      </c>
      <c r="AB286" s="203">
        <f t="shared" si="138"/>
        <v>3550.6658415218103</v>
      </c>
      <c r="AC286" s="203">
        <f t="shared" si="138"/>
        <v>3414.4879390631381</v>
      </c>
      <c r="AD286" s="203">
        <f t="shared" si="138"/>
        <v>3279.6078115746768</v>
      </c>
      <c r="AE286" s="203">
        <f t="shared" si="138"/>
        <v>3146.0418264133473</v>
      </c>
      <c r="AF286" s="203">
        <f t="shared" si="138"/>
        <v>3013.8067891478895</v>
      </c>
      <c r="AG286" s="203">
        <f t="shared" si="138"/>
        <v>2882.9199528278668</v>
      </c>
      <c r="AI286" s="188"/>
    </row>
    <row r="287" spans="1:36" outlineLevel="1">
      <c r="A287" s="104" t="s">
        <v>625</v>
      </c>
      <c r="B287" s="252" t="s">
        <v>127</v>
      </c>
      <c r="C287" s="203">
        <f t="shared" ref="C287:AG287" si="139">C256*C$281</f>
        <v>2445.6636293767551</v>
      </c>
      <c r="D287" s="203">
        <f t="shared" si="139"/>
        <v>2401.6768766089376</v>
      </c>
      <c r="E287" s="203">
        <f t="shared" si="139"/>
        <v>2357.9227283402879</v>
      </c>
      <c r="F287" s="203">
        <f t="shared" si="139"/>
        <v>2314.4027840856584</v>
      </c>
      <c r="G287" s="203">
        <f t="shared" si="139"/>
        <v>2271.1187016971398</v>
      </c>
      <c r="H287" s="203">
        <f t="shared" si="139"/>
        <v>2228.0721986481794</v>
      </c>
      <c r="I287" s="203">
        <f t="shared" si="139"/>
        <v>2185.265053344941</v>
      </c>
      <c r="J287" s="203">
        <f t="shared" si="139"/>
        <v>2142.6991064654553</v>
      </c>
      <c r="K287" s="203">
        <f t="shared" si="139"/>
        <v>2100.3762623271318</v>
      </c>
      <c r="L287" s="203">
        <f t="shared" si="139"/>
        <v>2058.2984902831886</v>
      </c>
      <c r="M287" s="203">
        <f t="shared" si="139"/>
        <v>2016.4678261485979</v>
      </c>
      <c r="N287" s="203">
        <f t="shared" si="139"/>
        <v>1974.886373656132</v>
      </c>
      <c r="O287" s="203">
        <f t="shared" si="139"/>
        <v>1933.5563059431206</v>
      </c>
      <c r="P287" s="203">
        <f t="shared" si="139"/>
        <v>1892.4798670695366</v>
      </c>
      <c r="Q287" s="203">
        <f t="shared" si="139"/>
        <v>1851.6593735680383</v>
      </c>
      <c r="R287" s="203">
        <f t="shared" si="139"/>
        <v>1811.0972160266108</v>
      </c>
      <c r="S287" s="203">
        <f t="shared" si="139"/>
        <v>1770.7958607044666</v>
      </c>
      <c r="T287" s="203">
        <f t="shared" si="139"/>
        <v>1730.7578511818676</v>
      </c>
      <c r="U287" s="203">
        <f t="shared" si="139"/>
        <v>1690.9858100445465</v>
      </c>
      <c r="V287" s="203">
        <f t="shared" si="139"/>
        <v>1651.4824406034338</v>
      </c>
      <c r="W287" s="203">
        <f t="shared" si="139"/>
        <v>1612.250528650382</v>
      </c>
      <c r="X287" s="203">
        <f t="shared" si="139"/>
        <v>1573.2929442506229</v>
      </c>
      <c r="Y287" s="203">
        <f t="shared" si="139"/>
        <v>1534.6126435726815</v>
      </c>
      <c r="Z287" s="203">
        <f t="shared" si="139"/>
        <v>1496.2126707565048</v>
      </c>
      <c r="AA287" s="203">
        <f t="shared" si="139"/>
        <v>1458.096159820567</v>
      </c>
      <c r="AB287" s="203">
        <f t="shared" si="139"/>
        <v>1420.2663366087274</v>
      </c>
      <c r="AC287" s="203">
        <f t="shared" si="139"/>
        <v>1382.7265207776377</v>
      </c>
      <c r="AD287" s="203">
        <f t="shared" si="139"/>
        <v>1345.4801278255115</v>
      </c>
      <c r="AE287" s="203">
        <f t="shared" si="139"/>
        <v>1308.5306711630769</v>
      </c>
      <c r="AF287" s="203">
        <f t="shared" si="139"/>
        <v>1271.8817642275528</v>
      </c>
      <c r="AG287" s="203">
        <f t="shared" si="139"/>
        <v>1235.5371226405143</v>
      </c>
      <c r="AI287" s="188"/>
    </row>
    <row r="288" spans="1:36" s="54" customFormat="1">
      <c r="A288" s="54" t="s">
        <v>627</v>
      </c>
      <c r="B288" s="253"/>
      <c r="C288" s="254">
        <f>C44</f>
        <v>554002.75255072874</v>
      </c>
      <c r="D288" s="254">
        <f t="shared" ref="D288:AG288" si="140">D44</f>
        <v>552701.81214738078</v>
      </c>
      <c r="E288" s="254">
        <f t="shared" si="140"/>
        <v>551403.91572100238</v>
      </c>
      <c r="F288" s="254">
        <f t="shared" si="140"/>
        <v>550109.05617196532</v>
      </c>
      <c r="G288" s="254">
        <f t="shared" si="140"/>
        <v>548817.22641715256</v>
      </c>
      <c r="H288" s="254">
        <f t="shared" si="140"/>
        <v>547528.41938992031</v>
      </c>
      <c r="I288" s="254">
        <f t="shared" si="140"/>
        <v>544753.0152770211</v>
      </c>
      <c r="J288" s="254">
        <f t="shared" si="140"/>
        <v>541987.19667091407</v>
      </c>
      <c r="K288" s="254">
        <f t="shared" si="140"/>
        <v>539230.93477576971</v>
      </c>
      <c r="L288" s="254">
        <f t="shared" si="140"/>
        <v>536484.20087618264</v>
      </c>
      <c r="M288" s="254">
        <f t="shared" si="140"/>
        <v>533746.96633695636</v>
      </c>
      <c r="N288" s="254">
        <f t="shared" si="140"/>
        <v>530923.08994214528</v>
      </c>
      <c r="O288" s="254">
        <f t="shared" si="140"/>
        <v>528109.08022885176</v>
      </c>
      <c r="P288" s="254">
        <f t="shared" si="140"/>
        <v>525292.45273483079</v>
      </c>
      <c r="Q288" s="254">
        <f t="shared" si="140"/>
        <v>522485.49712727999</v>
      </c>
      <c r="R288" s="254">
        <f t="shared" si="140"/>
        <v>519688.18484991393</v>
      </c>
      <c r="S288" s="254">
        <f t="shared" si="140"/>
        <v>516900.51361814322</v>
      </c>
      <c r="T288" s="254">
        <f t="shared" si="140"/>
        <v>514122.42872218811</v>
      </c>
      <c r="U288" s="254">
        <f t="shared" si="140"/>
        <v>511353.90183959121</v>
      </c>
      <c r="V288" s="254">
        <f t="shared" si="140"/>
        <v>508594.90472530411</v>
      </c>
      <c r="W288" s="254">
        <f t="shared" si="140"/>
        <v>505845.40921148518</v>
      </c>
      <c r="X288" s="254">
        <f t="shared" si="140"/>
        <v>503105.67088885535</v>
      </c>
      <c r="Y288" s="254">
        <f t="shared" si="140"/>
        <v>500375.37680933182</v>
      </c>
      <c r="Z288" s="254">
        <f t="shared" si="140"/>
        <v>497609.18019068282</v>
      </c>
      <c r="AA288" s="254">
        <f t="shared" si="140"/>
        <v>494851.36241970328</v>
      </c>
      <c r="AB288" s="254">
        <f t="shared" si="140"/>
        <v>492101.90306460927</v>
      </c>
      <c r="AC288" s="254">
        <f t="shared" si="140"/>
        <v>489317.58366247208</v>
      </c>
      <c r="AD288" s="254">
        <f t="shared" si="140"/>
        <v>486541.77266625897</v>
      </c>
      <c r="AE288" s="254">
        <f t="shared" si="140"/>
        <v>483774.44914012385</v>
      </c>
      <c r="AF288" s="254">
        <f t="shared" si="140"/>
        <v>481015.59219243389</v>
      </c>
      <c r="AG288" s="254">
        <f t="shared" si="140"/>
        <v>478265.18097569089</v>
      </c>
      <c r="AI288" s="255"/>
      <c r="AJ288" s="256"/>
    </row>
    <row r="289" spans="1:36" s="54" customFormat="1">
      <c r="A289" s="257" t="s">
        <v>178</v>
      </c>
      <c r="B289" s="258" t="s">
        <v>127</v>
      </c>
      <c r="C289" s="259">
        <f>C288-C278</f>
        <v>0</v>
      </c>
      <c r="D289" s="259">
        <f t="shared" ref="D289:AF289" si="141">D288-D278</f>
        <v>-77.937880692770705</v>
      </c>
      <c r="E289" s="259">
        <f t="shared" si="141"/>
        <v>-155.53165398084093</v>
      </c>
      <c r="F289" s="259">
        <f t="shared" si="141"/>
        <v>-232.78245932841673</v>
      </c>
      <c r="G289" s="259">
        <f t="shared" si="141"/>
        <v>-309.69143284577876</v>
      </c>
      <c r="H289" s="259">
        <f t="shared" si="141"/>
        <v>-386.25970729871187</v>
      </c>
      <c r="I289" s="259">
        <f t="shared" si="141"/>
        <v>-1952.1011751561891</v>
      </c>
      <c r="J289" s="259">
        <f t="shared" si="141"/>
        <v>-3511.0273362508742</v>
      </c>
      <c r="K289" s="259">
        <f t="shared" si="141"/>
        <v>-5063.0610917460872</v>
      </c>
      <c r="L289" s="259">
        <f t="shared" si="141"/>
        <v>-6608.2252753938083</v>
      </c>
      <c r="M289" s="259">
        <f t="shared" si="141"/>
        <v>-8146.5426537212916</v>
      </c>
      <c r="N289" s="259">
        <f t="shared" si="141"/>
        <v>-9774.148586960393</v>
      </c>
      <c r="O289" s="259">
        <f t="shared" si="141"/>
        <v>-11394.528695221874</v>
      </c>
      <c r="P289" s="259">
        <f t="shared" si="141"/>
        <v>-13020.161610862473</v>
      </c>
      <c r="Q289" s="259">
        <f t="shared" si="141"/>
        <v>-14638.751849666238</v>
      </c>
      <c r="R289" s="259">
        <f t="shared" si="141"/>
        <v>-16250.322163741454</v>
      </c>
      <c r="S289" s="259">
        <f t="shared" si="141"/>
        <v>-17854.86904631363</v>
      </c>
      <c r="T289" s="259">
        <f t="shared" si="141"/>
        <v>-19452.44142858393</v>
      </c>
      <c r="U289" s="259">
        <f t="shared" si="141"/>
        <v>-21043.061867187032</v>
      </c>
      <c r="V289" s="259">
        <f t="shared" si="141"/>
        <v>-22626.752854077844</v>
      </c>
      <c r="W289" s="259">
        <f t="shared" si="141"/>
        <v>-24203.53681670432</v>
      </c>
      <c r="X289" s="259">
        <f t="shared" si="141"/>
        <v>-25773.15243662463</v>
      </c>
      <c r="Y289" s="259">
        <f t="shared" si="141"/>
        <v>-27335.906946844887</v>
      </c>
      <c r="Z289" s="259">
        <f t="shared" si="141"/>
        <v>-28937.141427136434</v>
      </c>
      <c r="AA289" s="259">
        <f t="shared" si="141"/>
        <v>-30532.568800832843</v>
      </c>
      <c r="AB289" s="259">
        <f t="shared" si="141"/>
        <v>-32122.203822407289</v>
      </c>
      <c r="AC289" s="259">
        <f t="shared" si="141"/>
        <v>-33749.25929001061</v>
      </c>
      <c r="AD289" s="259">
        <f t="shared" si="141"/>
        <v>-35370.361098403344</v>
      </c>
      <c r="AE289" s="259">
        <f t="shared" si="141"/>
        <v>-36985.524543637002</v>
      </c>
      <c r="AF289" s="259">
        <f t="shared" si="141"/>
        <v>-38594.764890000108</v>
      </c>
      <c r="AG289" s="259">
        <f>AG288-AG278</f>
        <v>-40198.097370069649</v>
      </c>
      <c r="AI289" s="255"/>
      <c r="AJ289" s="256"/>
    </row>
    <row r="290" spans="1:36">
      <c r="A290" s="260" t="s">
        <v>619</v>
      </c>
      <c r="B290" s="252" t="s">
        <v>127</v>
      </c>
      <c r="C290" s="218">
        <f>C246</f>
        <v>64870.026675377754</v>
      </c>
      <c r="D290" s="218">
        <f t="shared" ref="D290:AG290" si="142">D246</f>
        <v>73039.518926795776</v>
      </c>
      <c r="E290" s="218">
        <f t="shared" si="142"/>
        <v>81251.891401690969</v>
      </c>
      <c r="F290" s="218">
        <f t="shared" si="142"/>
        <v>89506.554021114847</v>
      </c>
      <c r="G290" s="218">
        <f t="shared" si="142"/>
        <v>97802.920309759036</v>
      </c>
      <c r="H290" s="218">
        <f t="shared" si="142"/>
        <v>106140.40737934879</v>
      </c>
      <c r="I290" s="218">
        <f t="shared" si="142"/>
        <v>114157.90604756644</v>
      </c>
      <c r="J290" s="218">
        <f t="shared" si="142"/>
        <v>122166.40845390866</v>
      </c>
      <c r="K290" s="218">
        <f t="shared" si="142"/>
        <v>130165.67190479996</v>
      </c>
      <c r="L290" s="218">
        <f t="shared" si="142"/>
        <v>138155.4557652339</v>
      </c>
      <c r="M290" s="218">
        <f t="shared" si="142"/>
        <v>146135.52144788811</v>
      </c>
      <c r="N290" s="218">
        <f t="shared" si="142"/>
        <v>151489.47492822111</v>
      </c>
      <c r="O290" s="218">
        <f t="shared" si="142"/>
        <v>156833.10575509141</v>
      </c>
      <c r="P290" s="218">
        <f t="shared" si="142"/>
        <v>162163.88677974613</v>
      </c>
      <c r="Q290" s="218">
        <f t="shared" si="142"/>
        <v>167483.4462706701</v>
      </c>
      <c r="R290" s="218">
        <f t="shared" si="142"/>
        <v>172791.48267782087</v>
      </c>
      <c r="S290" s="218">
        <f t="shared" si="142"/>
        <v>178087.70492982102</v>
      </c>
      <c r="T290" s="218">
        <f t="shared" si="142"/>
        <v>183371.80870967143</v>
      </c>
      <c r="U290" s="218">
        <f t="shared" si="142"/>
        <v>188643.49941022613</v>
      </c>
      <c r="V290" s="218">
        <f t="shared" si="142"/>
        <v>193902.48471960059</v>
      </c>
      <c r="W290" s="218">
        <f t="shared" si="142"/>
        <v>199148.47461085988</v>
      </c>
      <c r="X290" s="218">
        <f t="shared" si="142"/>
        <v>207229.80923729</v>
      </c>
      <c r="Y290" s="218">
        <f t="shared" si="142"/>
        <v>215293.22470371108</v>
      </c>
      <c r="Z290" s="218">
        <f t="shared" si="142"/>
        <v>223323.39001146361</v>
      </c>
      <c r="AA290" s="218">
        <f t="shared" si="142"/>
        <v>231332.58053390586</v>
      </c>
      <c r="AB290" s="218">
        <f t="shared" si="142"/>
        <v>239320.21330928741</v>
      </c>
      <c r="AC290" s="218">
        <f t="shared" si="142"/>
        <v>247262.82312261991</v>
      </c>
      <c r="AD290" s="218">
        <f t="shared" si="142"/>
        <v>255181.29727919502</v>
      </c>
      <c r="AE290" s="218">
        <f t="shared" si="142"/>
        <v>263075.0642163959</v>
      </c>
      <c r="AF290" s="218">
        <f t="shared" si="142"/>
        <v>270943.55294257955</v>
      </c>
      <c r="AG290" s="218">
        <f t="shared" si="142"/>
        <v>278786.19306026987</v>
      </c>
      <c r="AI290" s="246"/>
    </row>
    <row r="291" spans="1:36" s="62" customFormat="1">
      <c r="A291" s="261" t="s">
        <v>628</v>
      </c>
      <c r="B291" s="262" t="s">
        <v>127</v>
      </c>
      <c r="C291" s="263">
        <f>C288-C290</f>
        <v>489132.725875351</v>
      </c>
      <c r="D291" s="263">
        <f t="shared" ref="D291:AG291" si="143">D288-D290</f>
        <v>479662.29322058498</v>
      </c>
      <c r="E291" s="263">
        <f t="shared" si="143"/>
        <v>470152.02431931143</v>
      </c>
      <c r="F291" s="263">
        <f t="shared" si="143"/>
        <v>460602.50215085049</v>
      </c>
      <c r="G291" s="263">
        <f t="shared" si="143"/>
        <v>451014.30610739352</v>
      </c>
      <c r="H291" s="263">
        <f t="shared" si="143"/>
        <v>441388.01201057155</v>
      </c>
      <c r="I291" s="263">
        <f t="shared" si="143"/>
        <v>430595.10922945465</v>
      </c>
      <c r="J291" s="263">
        <f t="shared" si="143"/>
        <v>419820.78821700544</v>
      </c>
      <c r="K291" s="263">
        <f t="shared" si="143"/>
        <v>409065.26287096972</v>
      </c>
      <c r="L291" s="263">
        <f t="shared" si="143"/>
        <v>398328.74511094874</v>
      </c>
      <c r="M291" s="263">
        <f t="shared" si="143"/>
        <v>387611.44488906825</v>
      </c>
      <c r="N291" s="263">
        <f t="shared" si="143"/>
        <v>379433.61501392419</v>
      </c>
      <c r="O291" s="263">
        <f t="shared" si="143"/>
        <v>371275.97447376035</v>
      </c>
      <c r="P291" s="263">
        <f t="shared" si="143"/>
        <v>363128.56595508463</v>
      </c>
      <c r="Q291" s="263">
        <f t="shared" si="143"/>
        <v>355002.05085660989</v>
      </c>
      <c r="R291" s="263">
        <f t="shared" si="143"/>
        <v>346896.70217209309</v>
      </c>
      <c r="S291" s="263">
        <f t="shared" si="143"/>
        <v>338812.8086883222</v>
      </c>
      <c r="T291" s="263">
        <f t="shared" si="143"/>
        <v>330750.62001251668</v>
      </c>
      <c r="U291" s="263">
        <f t="shared" si="143"/>
        <v>322710.40242936509</v>
      </c>
      <c r="V291" s="263">
        <f t="shared" si="143"/>
        <v>314692.42000570352</v>
      </c>
      <c r="W291" s="263">
        <f t="shared" si="143"/>
        <v>306696.9346006253</v>
      </c>
      <c r="X291" s="263">
        <f t="shared" si="143"/>
        <v>295875.86165156536</v>
      </c>
      <c r="Y291" s="263">
        <f t="shared" si="143"/>
        <v>285082.15210562071</v>
      </c>
      <c r="Z291" s="263">
        <f t="shared" si="143"/>
        <v>274285.79017921921</v>
      </c>
      <c r="AA291" s="263">
        <f t="shared" si="143"/>
        <v>263518.78188579739</v>
      </c>
      <c r="AB291" s="263">
        <f t="shared" si="143"/>
        <v>252781.68975532186</v>
      </c>
      <c r="AC291" s="263">
        <f t="shared" si="143"/>
        <v>242054.76053985217</v>
      </c>
      <c r="AD291" s="263">
        <f t="shared" si="143"/>
        <v>231360.47538706395</v>
      </c>
      <c r="AE291" s="263">
        <f t="shared" si="143"/>
        <v>220699.38492372795</v>
      </c>
      <c r="AF291" s="263">
        <f t="shared" si="143"/>
        <v>210072.03924985434</v>
      </c>
      <c r="AG291" s="263">
        <f t="shared" si="143"/>
        <v>199478.98791542102</v>
      </c>
      <c r="AI291" s="264"/>
      <c r="AJ291" s="265"/>
    </row>
    <row r="292" spans="1:36" s="54" customFormat="1" outlineLevel="1">
      <c r="A292" s="257" t="s">
        <v>656</v>
      </c>
      <c r="B292" s="258" t="s">
        <v>126</v>
      </c>
      <c r="C292" s="259">
        <f>C288*C258</f>
        <v>542922.69749971409</v>
      </c>
      <c r="D292" s="259">
        <f t="shared" ref="D292:AG292" si="144">D288*D258</f>
        <v>541832.00984181557</v>
      </c>
      <c r="E292" s="259">
        <f t="shared" si="144"/>
        <v>540743.44001706294</v>
      </c>
      <c r="F292" s="259">
        <f t="shared" si="144"/>
        <v>539656.98410469794</v>
      </c>
      <c r="G292" s="259">
        <f t="shared" si="144"/>
        <v>538572.63819069893</v>
      </c>
      <c r="H292" s="259">
        <f t="shared" si="144"/>
        <v>537490.39836777165</v>
      </c>
      <c r="I292" s="259">
        <f t="shared" si="144"/>
        <v>534947.4610020346</v>
      </c>
      <c r="J292" s="259">
        <f t="shared" si="144"/>
        <v>532412.08952972782</v>
      </c>
      <c r="K292" s="259">
        <f t="shared" si="144"/>
        <v>529884.2652396562</v>
      </c>
      <c r="L292" s="259">
        <f t="shared" si="144"/>
        <v>527363.96946128737</v>
      </c>
      <c r="M292" s="259">
        <f t="shared" si="144"/>
        <v>524851.18356467353</v>
      </c>
      <c r="N292" s="259">
        <f t="shared" si="144"/>
        <v>522251.34613975667</v>
      </c>
      <c r="O292" s="259">
        <f t="shared" si="144"/>
        <v>519659.33494518988</v>
      </c>
      <c r="P292" s="259">
        <f t="shared" si="144"/>
        <v>517062.87097531819</v>
      </c>
      <c r="Q292" s="259">
        <f t="shared" si="144"/>
        <v>514474.05283799476</v>
      </c>
      <c r="R292" s="259">
        <f t="shared" si="144"/>
        <v>511892.86207716493</v>
      </c>
      <c r="S292" s="259">
        <f t="shared" si="144"/>
        <v>509319.30608507682</v>
      </c>
      <c r="T292" s="259">
        <f t="shared" si="144"/>
        <v>506753.34057716973</v>
      </c>
      <c r="U292" s="259">
        <f t="shared" si="144"/>
        <v>504194.9472138366</v>
      </c>
      <c r="V292" s="259">
        <f t="shared" si="144"/>
        <v>501644.10769405792</v>
      </c>
      <c r="W292" s="259">
        <f t="shared" si="144"/>
        <v>499100.80375533167</v>
      </c>
      <c r="X292" s="259">
        <f t="shared" si="144"/>
        <v>496565.29716729984</v>
      </c>
      <c r="Y292" s="259">
        <f t="shared" si="144"/>
        <v>494037.28870307986</v>
      </c>
      <c r="Z292" s="259">
        <f t="shared" si="144"/>
        <v>491472.000301664</v>
      </c>
      <c r="AA292" s="259">
        <f t="shared" si="144"/>
        <v>488913.14607066638</v>
      </c>
      <c r="AB292" s="259">
        <f t="shared" si="144"/>
        <v>486360.71419552172</v>
      </c>
      <c r="AC292" s="259">
        <f t="shared" si="144"/>
        <v>483771.98438096361</v>
      </c>
      <c r="AD292" s="259">
        <f t="shared" si="144"/>
        <v>481189.81316692964</v>
      </c>
      <c r="AE292" s="259">
        <f t="shared" si="144"/>
        <v>478614.18834929535</v>
      </c>
      <c r="AF292" s="259">
        <f t="shared" si="144"/>
        <v>476045.09773977823</v>
      </c>
      <c r="AG292" s="259">
        <f t="shared" si="144"/>
        <v>473482.52916593396</v>
      </c>
      <c r="AI292" s="255"/>
      <c r="AJ292" s="288" t="s">
        <v>629</v>
      </c>
    </row>
    <row r="293" spans="1:36" s="54" customFormat="1" outlineLevel="1">
      <c r="A293" s="257" t="s">
        <v>667</v>
      </c>
      <c r="B293" s="258" t="s">
        <v>126</v>
      </c>
      <c r="C293" s="259">
        <f>C292*C259</f>
        <v>542922.69749971409</v>
      </c>
      <c r="D293" s="259">
        <f t="shared" ref="D293:AG293" si="145">D292*D259</f>
        <v>541832.00984181557</v>
      </c>
      <c r="E293" s="259">
        <f t="shared" si="145"/>
        <v>540743.44001706294</v>
      </c>
      <c r="F293" s="259">
        <f t="shared" si="145"/>
        <v>539656.98410469794</v>
      </c>
      <c r="G293" s="259">
        <f t="shared" si="145"/>
        <v>538572.63819069893</v>
      </c>
      <c r="H293" s="259">
        <f t="shared" si="145"/>
        <v>537490.39836777165</v>
      </c>
      <c r="I293" s="259">
        <f t="shared" si="145"/>
        <v>534947.4610020346</v>
      </c>
      <c r="J293" s="259">
        <f t="shared" si="145"/>
        <v>532412.08952972782</v>
      </c>
      <c r="K293" s="259">
        <f t="shared" si="145"/>
        <v>529884.2652396562</v>
      </c>
      <c r="L293" s="259">
        <f t="shared" si="145"/>
        <v>527363.96946128737</v>
      </c>
      <c r="M293" s="259">
        <f t="shared" si="145"/>
        <v>524851.18356467353</v>
      </c>
      <c r="N293" s="259">
        <f t="shared" si="145"/>
        <v>522251.34613975667</v>
      </c>
      <c r="O293" s="259">
        <f t="shared" si="145"/>
        <v>519659.33494518988</v>
      </c>
      <c r="P293" s="259">
        <f t="shared" si="145"/>
        <v>517062.87097531819</v>
      </c>
      <c r="Q293" s="259">
        <f t="shared" si="145"/>
        <v>514474.05283799476</v>
      </c>
      <c r="R293" s="259">
        <f t="shared" si="145"/>
        <v>511892.86207716493</v>
      </c>
      <c r="S293" s="259">
        <f t="shared" si="145"/>
        <v>509319.30608507682</v>
      </c>
      <c r="T293" s="259">
        <f t="shared" si="145"/>
        <v>506753.34057716973</v>
      </c>
      <c r="U293" s="259">
        <f t="shared" si="145"/>
        <v>504194.9472138366</v>
      </c>
      <c r="V293" s="259">
        <f t="shared" si="145"/>
        <v>501644.10769405792</v>
      </c>
      <c r="W293" s="259">
        <f t="shared" si="145"/>
        <v>499100.80375533167</v>
      </c>
      <c r="X293" s="259">
        <f t="shared" si="145"/>
        <v>496565.29716729984</v>
      </c>
      <c r="Y293" s="259">
        <f t="shared" si="145"/>
        <v>494037.28870307986</v>
      </c>
      <c r="Z293" s="259">
        <f t="shared" si="145"/>
        <v>491472.000301664</v>
      </c>
      <c r="AA293" s="259">
        <f t="shared" si="145"/>
        <v>488913.14607066638</v>
      </c>
      <c r="AB293" s="259">
        <f t="shared" si="145"/>
        <v>486360.71419552172</v>
      </c>
      <c r="AC293" s="259">
        <f t="shared" si="145"/>
        <v>483771.98438096361</v>
      </c>
      <c r="AD293" s="259">
        <f t="shared" si="145"/>
        <v>481189.81316692964</v>
      </c>
      <c r="AE293" s="259">
        <f t="shared" si="145"/>
        <v>478614.18834929535</v>
      </c>
      <c r="AF293" s="259">
        <f t="shared" si="145"/>
        <v>476045.09773977823</v>
      </c>
      <c r="AG293" s="259">
        <f t="shared" si="145"/>
        <v>473482.52916593396</v>
      </c>
      <c r="AI293" s="255"/>
      <c r="AJ293" s="288" t="s">
        <v>629</v>
      </c>
    </row>
    <row r="294" spans="1:36" s="58" customFormat="1" outlineLevel="1">
      <c r="A294" s="261" t="s">
        <v>668</v>
      </c>
      <c r="B294" s="262" t="s">
        <v>126</v>
      </c>
      <c r="C294" s="263">
        <f>C292*C260</f>
        <v>0</v>
      </c>
      <c r="D294" s="263">
        <f t="shared" ref="D294:AG294" si="146">D292*D260</f>
        <v>0</v>
      </c>
      <c r="E294" s="263">
        <f t="shared" si="146"/>
        <v>0</v>
      </c>
      <c r="F294" s="263">
        <f t="shared" si="146"/>
        <v>0</v>
      </c>
      <c r="G294" s="263">
        <f t="shared" si="146"/>
        <v>0</v>
      </c>
      <c r="H294" s="263">
        <f t="shared" si="146"/>
        <v>0</v>
      </c>
      <c r="I294" s="263">
        <f t="shared" si="146"/>
        <v>0</v>
      </c>
      <c r="J294" s="263">
        <f t="shared" si="146"/>
        <v>0</v>
      </c>
      <c r="K294" s="263">
        <f t="shared" si="146"/>
        <v>0</v>
      </c>
      <c r="L294" s="263">
        <f t="shared" si="146"/>
        <v>0</v>
      </c>
      <c r="M294" s="263">
        <f t="shared" si="146"/>
        <v>0</v>
      </c>
      <c r="N294" s="263">
        <f t="shared" si="146"/>
        <v>0</v>
      </c>
      <c r="O294" s="263">
        <f t="shared" si="146"/>
        <v>0</v>
      </c>
      <c r="P294" s="263">
        <f t="shared" si="146"/>
        <v>0</v>
      </c>
      <c r="Q294" s="263">
        <f t="shared" si="146"/>
        <v>0</v>
      </c>
      <c r="R294" s="263">
        <f t="shared" si="146"/>
        <v>0</v>
      </c>
      <c r="S294" s="263">
        <f t="shared" si="146"/>
        <v>0</v>
      </c>
      <c r="T294" s="263">
        <f t="shared" si="146"/>
        <v>0</v>
      </c>
      <c r="U294" s="263">
        <f t="shared" si="146"/>
        <v>0</v>
      </c>
      <c r="V294" s="263">
        <f t="shared" si="146"/>
        <v>0</v>
      </c>
      <c r="W294" s="263">
        <f t="shared" si="146"/>
        <v>0</v>
      </c>
      <c r="X294" s="263">
        <f t="shared" si="146"/>
        <v>0</v>
      </c>
      <c r="Y294" s="263">
        <f t="shared" si="146"/>
        <v>0</v>
      </c>
      <c r="Z294" s="263">
        <f t="shared" si="146"/>
        <v>0</v>
      </c>
      <c r="AA294" s="263">
        <f t="shared" si="146"/>
        <v>0</v>
      </c>
      <c r="AB294" s="263">
        <f t="shared" si="146"/>
        <v>0</v>
      </c>
      <c r="AC294" s="263">
        <f t="shared" si="146"/>
        <v>0</v>
      </c>
      <c r="AD294" s="263">
        <f t="shared" si="146"/>
        <v>0</v>
      </c>
      <c r="AE294" s="263">
        <f t="shared" si="146"/>
        <v>0</v>
      </c>
      <c r="AF294" s="263">
        <f t="shared" si="146"/>
        <v>0</v>
      </c>
      <c r="AG294" s="263">
        <f t="shared" si="146"/>
        <v>0</v>
      </c>
      <c r="AI294" s="291"/>
      <c r="AJ294" s="290" t="s">
        <v>629</v>
      </c>
    </row>
    <row r="295" spans="1:36" s="1" customFormat="1" outlineLevel="1">
      <c r="A295" t="s">
        <v>649</v>
      </c>
      <c r="B295" s="252" t="s">
        <v>127</v>
      </c>
      <c r="C295" s="218">
        <f>C261*C292</f>
        <v>542922.69749971409</v>
      </c>
      <c r="D295" s="218">
        <f t="shared" ref="D295:AG295" si="147">D261*D292</f>
        <v>541832.00984181557</v>
      </c>
      <c r="E295" s="218">
        <f t="shared" si="147"/>
        <v>540743.44001706294</v>
      </c>
      <c r="F295" s="218">
        <f t="shared" si="147"/>
        <v>539656.98410469794</v>
      </c>
      <c r="G295" s="218">
        <f t="shared" si="147"/>
        <v>538572.63819069893</v>
      </c>
      <c r="H295" s="218">
        <f t="shared" si="147"/>
        <v>537490.39836777165</v>
      </c>
      <c r="I295" s="218">
        <f t="shared" si="147"/>
        <v>534947.4610020346</v>
      </c>
      <c r="J295" s="218">
        <f t="shared" si="147"/>
        <v>532412.08952972782</v>
      </c>
      <c r="K295" s="218">
        <f t="shared" si="147"/>
        <v>529884.2652396562</v>
      </c>
      <c r="L295" s="218">
        <f t="shared" si="147"/>
        <v>527363.96946128737</v>
      </c>
      <c r="M295" s="218">
        <f t="shared" si="147"/>
        <v>524851.18356467353</v>
      </c>
      <c r="N295" s="218">
        <f t="shared" si="147"/>
        <v>522251.34613975667</v>
      </c>
      <c r="O295" s="218">
        <f t="shared" si="147"/>
        <v>519659.33494518988</v>
      </c>
      <c r="P295" s="218">
        <f t="shared" si="147"/>
        <v>517062.87097531819</v>
      </c>
      <c r="Q295" s="218">
        <f t="shared" si="147"/>
        <v>514474.05283799476</v>
      </c>
      <c r="R295" s="218">
        <f t="shared" si="147"/>
        <v>511892.86207716493</v>
      </c>
      <c r="S295" s="218">
        <f t="shared" si="147"/>
        <v>509319.30608507682</v>
      </c>
      <c r="T295" s="218">
        <f t="shared" si="147"/>
        <v>506753.34057716973</v>
      </c>
      <c r="U295" s="218">
        <f t="shared" si="147"/>
        <v>504194.9472138366</v>
      </c>
      <c r="V295" s="218">
        <f t="shared" si="147"/>
        <v>501644.10769405792</v>
      </c>
      <c r="W295" s="218">
        <f t="shared" si="147"/>
        <v>499100.80375533167</v>
      </c>
      <c r="X295" s="218">
        <f t="shared" si="147"/>
        <v>496565.29716729984</v>
      </c>
      <c r="Y295" s="218">
        <f t="shared" si="147"/>
        <v>494037.28870307986</v>
      </c>
      <c r="Z295" s="218">
        <f t="shared" si="147"/>
        <v>491472.000301664</v>
      </c>
      <c r="AA295" s="218">
        <f t="shared" si="147"/>
        <v>488913.14607066638</v>
      </c>
      <c r="AB295" s="218">
        <f t="shared" si="147"/>
        <v>486360.71419552172</v>
      </c>
      <c r="AC295" s="218">
        <f t="shared" si="147"/>
        <v>483771.98438096361</v>
      </c>
      <c r="AD295" s="218">
        <f t="shared" si="147"/>
        <v>481189.81316692964</v>
      </c>
      <c r="AE295" s="218">
        <f t="shared" si="147"/>
        <v>478614.18834929535</v>
      </c>
      <c r="AF295" s="218">
        <f t="shared" si="147"/>
        <v>476045.09773977823</v>
      </c>
      <c r="AG295" s="218">
        <f t="shared" si="147"/>
        <v>473482.52916593396</v>
      </c>
      <c r="AI295" s="266"/>
      <c r="AJ295" s="185" t="s">
        <v>629</v>
      </c>
    </row>
    <row r="296" spans="1:36" s="1" customFormat="1" outlineLevel="1">
      <c r="A296" t="s">
        <v>655</v>
      </c>
      <c r="B296" s="252" t="s">
        <v>127</v>
      </c>
      <c r="C296" s="218">
        <f>C262*C292</f>
        <v>0</v>
      </c>
      <c r="D296" s="218">
        <f t="shared" ref="D296:AG296" si="148">D262*D292</f>
        <v>0</v>
      </c>
      <c r="E296" s="218">
        <f t="shared" si="148"/>
        <v>0</v>
      </c>
      <c r="F296" s="218">
        <f t="shared" si="148"/>
        <v>0</v>
      </c>
      <c r="G296" s="218">
        <f t="shared" si="148"/>
        <v>0</v>
      </c>
      <c r="H296" s="218">
        <f t="shared" si="148"/>
        <v>0</v>
      </c>
      <c r="I296" s="218">
        <f t="shared" si="148"/>
        <v>0</v>
      </c>
      <c r="J296" s="218">
        <f t="shared" si="148"/>
        <v>0</v>
      </c>
      <c r="K296" s="218">
        <f t="shared" si="148"/>
        <v>0</v>
      </c>
      <c r="L296" s="218">
        <f t="shared" si="148"/>
        <v>0</v>
      </c>
      <c r="M296" s="218">
        <f t="shared" si="148"/>
        <v>0</v>
      </c>
      <c r="N296" s="218">
        <f t="shared" si="148"/>
        <v>0</v>
      </c>
      <c r="O296" s="218">
        <f t="shared" si="148"/>
        <v>0</v>
      </c>
      <c r="P296" s="218">
        <f t="shared" si="148"/>
        <v>0</v>
      </c>
      <c r="Q296" s="218">
        <f t="shared" si="148"/>
        <v>0</v>
      </c>
      <c r="R296" s="218">
        <f t="shared" si="148"/>
        <v>0</v>
      </c>
      <c r="S296" s="218">
        <f t="shared" si="148"/>
        <v>0</v>
      </c>
      <c r="T296" s="218">
        <f t="shared" si="148"/>
        <v>0</v>
      </c>
      <c r="U296" s="218">
        <f t="shared" si="148"/>
        <v>0</v>
      </c>
      <c r="V296" s="218">
        <f t="shared" si="148"/>
        <v>0</v>
      </c>
      <c r="W296" s="218">
        <f t="shared" si="148"/>
        <v>0</v>
      </c>
      <c r="X296" s="218">
        <f t="shared" si="148"/>
        <v>0</v>
      </c>
      <c r="Y296" s="218">
        <f t="shared" si="148"/>
        <v>0</v>
      </c>
      <c r="Z296" s="218">
        <f t="shared" si="148"/>
        <v>0</v>
      </c>
      <c r="AA296" s="218">
        <f t="shared" si="148"/>
        <v>0</v>
      </c>
      <c r="AB296" s="218">
        <f t="shared" si="148"/>
        <v>0</v>
      </c>
      <c r="AC296" s="218">
        <f t="shared" si="148"/>
        <v>0</v>
      </c>
      <c r="AD296" s="218">
        <f t="shared" si="148"/>
        <v>0</v>
      </c>
      <c r="AE296" s="218">
        <f t="shared" si="148"/>
        <v>0</v>
      </c>
      <c r="AF296" s="218">
        <f t="shared" si="148"/>
        <v>0</v>
      </c>
      <c r="AG296" s="218">
        <f t="shared" si="148"/>
        <v>0</v>
      </c>
      <c r="AI296" s="266"/>
      <c r="AJ296" s="185" t="s">
        <v>629</v>
      </c>
    </row>
    <row r="297" spans="1:36" s="1" customFormat="1" outlineLevel="1">
      <c r="A297" t="s">
        <v>650</v>
      </c>
      <c r="B297" s="252" t="s">
        <v>127</v>
      </c>
      <c r="C297" s="218">
        <f>C295*C263</f>
        <v>81438.404624957111</v>
      </c>
      <c r="D297" s="218">
        <f t="shared" ref="D297:AG297" si="149">D295*D263</f>
        <v>84706.40420527049</v>
      </c>
      <c r="E297" s="218">
        <f t="shared" si="149"/>
        <v>87960.932909442228</v>
      </c>
      <c r="F297" s="218">
        <f t="shared" si="149"/>
        <v>91202.030313693947</v>
      </c>
      <c r="G297" s="218">
        <f t="shared" si="149"/>
        <v>94429.735896102531</v>
      </c>
      <c r="H297" s="218">
        <f t="shared" si="149"/>
        <v>97644.089036811842</v>
      </c>
      <c r="I297" s="218">
        <f t="shared" si="149"/>
        <v>100570.12266838249</v>
      </c>
      <c r="J297" s="218">
        <f t="shared" si="149"/>
        <v>103465.4160652771</v>
      </c>
      <c r="K297" s="218">
        <f t="shared" si="149"/>
        <v>106330.10922475766</v>
      </c>
      <c r="L297" s="218">
        <f t="shared" si="149"/>
        <v>109164.34167848647</v>
      </c>
      <c r="M297" s="218">
        <f t="shared" si="149"/>
        <v>111968.252493797</v>
      </c>
      <c r="N297" s="218">
        <f t="shared" si="149"/>
        <v>114721.21236869985</v>
      </c>
      <c r="O297" s="218">
        <f t="shared" si="149"/>
        <v>117443.00969761288</v>
      </c>
      <c r="P297" s="218">
        <f t="shared" si="149"/>
        <v>120130.94035659891</v>
      </c>
      <c r="Q297" s="218">
        <f t="shared" si="149"/>
        <v>122787.80727733472</v>
      </c>
      <c r="R297" s="218">
        <f t="shared" si="149"/>
        <v>125413.75120890538</v>
      </c>
      <c r="S297" s="218">
        <f t="shared" si="149"/>
        <v>128008.91892938262</v>
      </c>
      <c r="T297" s="218">
        <f t="shared" si="149"/>
        <v>130573.4440887174</v>
      </c>
      <c r="U297" s="218">
        <f t="shared" si="149"/>
        <v>133107.46606445286</v>
      </c>
      <c r="V297" s="218">
        <f t="shared" si="149"/>
        <v>135611.12377996036</v>
      </c>
      <c r="W297" s="218">
        <f t="shared" si="149"/>
        <v>138084.5557056418</v>
      </c>
      <c r="X297" s="218">
        <f t="shared" si="149"/>
        <v>140527.97909834591</v>
      </c>
      <c r="Y297" s="218">
        <f t="shared" si="149"/>
        <v>142941.45553142449</v>
      </c>
      <c r="Z297" s="218">
        <f t="shared" si="149"/>
        <v>145311.88808919204</v>
      </c>
      <c r="AA297" s="218">
        <f t="shared" si="149"/>
        <v>147651.77011334134</v>
      </c>
      <c r="AB297" s="218">
        <f t="shared" si="149"/>
        <v>149961.22021028594</v>
      </c>
      <c r="AC297" s="218">
        <f t="shared" si="149"/>
        <v>152226.91775187664</v>
      </c>
      <c r="AD297" s="218">
        <f t="shared" si="149"/>
        <v>154461.93002658454</v>
      </c>
      <c r="AE297" s="218">
        <f t="shared" si="149"/>
        <v>156666.3776530028</v>
      </c>
      <c r="AF297" s="218">
        <f t="shared" si="149"/>
        <v>158840.38094583945</v>
      </c>
      <c r="AG297" s="218">
        <f t="shared" si="149"/>
        <v>160984.05991641755</v>
      </c>
      <c r="AI297" s="266"/>
      <c r="AJ297" s="185" t="s">
        <v>629</v>
      </c>
    </row>
    <row r="298" spans="1:36" s="1" customFormat="1" outlineLevel="1">
      <c r="A298" t="s">
        <v>651</v>
      </c>
      <c r="B298" s="252" t="s">
        <v>127</v>
      </c>
      <c r="C298" s="218">
        <f>C295*C264</f>
        <v>461484.29287475697</v>
      </c>
      <c r="D298" s="218">
        <f t="shared" ref="D298:AG298" si="150">D295*D264</f>
        <v>457125.60563654505</v>
      </c>
      <c r="E298" s="218">
        <f t="shared" si="150"/>
        <v>452782.50710762071</v>
      </c>
      <c r="F298" s="218">
        <f t="shared" si="150"/>
        <v>448454.95379100402</v>
      </c>
      <c r="G298" s="218">
        <f t="shared" si="150"/>
        <v>444142.90229459642</v>
      </c>
      <c r="H298" s="218">
        <f t="shared" si="150"/>
        <v>439846.30933095986</v>
      </c>
      <c r="I298" s="218">
        <f t="shared" si="150"/>
        <v>434377.33833365218</v>
      </c>
      <c r="J298" s="218">
        <f t="shared" si="150"/>
        <v>428946.67346445081</v>
      </c>
      <c r="K298" s="218">
        <f t="shared" si="150"/>
        <v>423554.15601489868</v>
      </c>
      <c r="L298" s="218">
        <f t="shared" si="150"/>
        <v>418199.62778280105</v>
      </c>
      <c r="M298" s="218">
        <f t="shared" si="150"/>
        <v>412882.93107087666</v>
      </c>
      <c r="N298" s="218">
        <f t="shared" si="150"/>
        <v>407530.13377105695</v>
      </c>
      <c r="O298" s="218">
        <f t="shared" si="150"/>
        <v>402216.32524757716</v>
      </c>
      <c r="P298" s="218">
        <f t="shared" si="150"/>
        <v>396931.93061871949</v>
      </c>
      <c r="Q298" s="218">
        <f t="shared" si="150"/>
        <v>391686.2455606602</v>
      </c>
      <c r="R298" s="218">
        <f t="shared" si="150"/>
        <v>386479.11086825974</v>
      </c>
      <c r="S298" s="218">
        <f t="shared" si="150"/>
        <v>381310.38715569442</v>
      </c>
      <c r="T298" s="218">
        <f t="shared" si="150"/>
        <v>376179.89648845256</v>
      </c>
      <c r="U298" s="218">
        <f t="shared" si="150"/>
        <v>371087.481149384</v>
      </c>
      <c r="V298" s="218">
        <f t="shared" si="150"/>
        <v>366032.98391409789</v>
      </c>
      <c r="W298" s="218">
        <f t="shared" si="150"/>
        <v>361016.24804969021</v>
      </c>
      <c r="X298" s="218">
        <f t="shared" si="150"/>
        <v>356037.31806895428</v>
      </c>
      <c r="Y298" s="218">
        <f t="shared" si="150"/>
        <v>351095.83317165577</v>
      </c>
      <c r="Z298" s="218">
        <f t="shared" si="150"/>
        <v>346160.11221247236</v>
      </c>
      <c r="AA298" s="218">
        <f t="shared" si="150"/>
        <v>341261.37595732551</v>
      </c>
      <c r="AB298" s="218">
        <f t="shared" si="150"/>
        <v>336399.49398523621</v>
      </c>
      <c r="AC298" s="218">
        <f t="shared" si="150"/>
        <v>331545.06662908744</v>
      </c>
      <c r="AD298" s="218">
        <f t="shared" si="150"/>
        <v>326727.88314034563</v>
      </c>
      <c r="AE298" s="218">
        <f t="shared" si="150"/>
        <v>321947.81069629308</v>
      </c>
      <c r="AF298" s="218">
        <f t="shared" si="150"/>
        <v>317204.7167939393</v>
      </c>
      <c r="AG298" s="218">
        <f t="shared" si="150"/>
        <v>312498.46924951638</v>
      </c>
      <c r="AI298" s="266"/>
      <c r="AJ298" s="185" t="s">
        <v>629</v>
      </c>
    </row>
    <row r="299" spans="1:36" s="1" customFormat="1" outlineLevel="1">
      <c r="A299" t="s">
        <v>654</v>
      </c>
      <c r="B299" s="252" t="s">
        <v>127</v>
      </c>
      <c r="C299" s="218">
        <f>C265*C298</f>
        <v>0</v>
      </c>
      <c r="D299" s="218">
        <f t="shared" ref="D299:AG299" si="151">D265*D298</f>
        <v>0</v>
      </c>
      <c r="E299" s="218">
        <f t="shared" si="151"/>
        <v>0</v>
      </c>
      <c r="F299" s="218">
        <f t="shared" si="151"/>
        <v>0</v>
      </c>
      <c r="G299" s="218">
        <f t="shared" si="151"/>
        <v>0</v>
      </c>
      <c r="H299" s="218">
        <f t="shared" si="151"/>
        <v>0</v>
      </c>
      <c r="I299" s="218">
        <f t="shared" si="151"/>
        <v>0</v>
      </c>
      <c r="J299" s="218">
        <f t="shared" si="151"/>
        <v>0</v>
      </c>
      <c r="K299" s="218">
        <f t="shared" si="151"/>
        <v>0</v>
      </c>
      <c r="L299" s="218">
        <f t="shared" si="151"/>
        <v>0</v>
      </c>
      <c r="M299" s="218">
        <f t="shared" si="151"/>
        <v>0</v>
      </c>
      <c r="N299" s="218">
        <f t="shared" si="151"/>
        <v>0</v>
      </c>
      <c r="O299" s="218">
        <f t="shared" si="151"/>
        <v>0</v>
      </c>
      <c r="P299" s="218">
        <f t="shared" si="151"/>
        <v>0</v>
      </c>
      <c r="Q299" s="218">
        <f t="shared" si="151"/>
        <v>0</v>
      </c>
      <c r="R299" s="218">
        <f t="shared" si="151"/>
        <v>0</v>
      </c>
      <c r="S299" s="218">
        <f t="shared" si="151"/>
        <v>0</v>
      </c>
      <c r="T299" s="218">
        <f t="shared" si="151"/>
        <v>0</v>
      </c>
      <c r="U299" s="218">
        <f t="shared" si="151"/>
        <v>0</v>
      </c>
      <c r="V299" s="218">
        <f t="shared" si="151"/>
        <v>0</v>
      </c>
      <c r="W299" s="218">
        <f t="shared" si="151"/>
        <v>0</v>
      </c>
      <c r="X299" s="218">
        <f t="shared" si="151"/>
        <v>0</v>
      </c>
      <c r="Y299" s="218">
        <f t="shared" si="151"/>
        <v>0</v>
      </c>
      <c r="Z299" s="218">
        <f t="shared" si="151"/>
        <v>0</v>
      </c>
      <c r="AA299" s="218">
        <f t="shared" si="151"/>
        <v>0</v>
      </c>
      <c r="AB299" s="218">
        <f t="shared" si="151"/>
        <v>0</v>
      </c>
      <c r="AC299" s="218">
        <f t="shared" si="151"/>
        <v>0</v>
      </c>
      <c r="AD299" s="218">
        <f t="shared" si="151"/>
        <v>0</v>
      </c>
      <c r="AE299" s="218">
        <f t="shared" si="151"/>
        <v>0</v>
      </c>
      <c r="AF299" s="218">
        <f t="shared" si="151"/>
        <v>0</v>
      </c>
      <c r="AG299" s="218">
        <f t="shared" si="151"/>
        <v>0</v>
      </c>
      <c r="AI299" s="266"/>
      <c r="AJ299" s="185" t="s">
        <v>629</v>
      </c>
    </row>
    <row r="300" spans="1:36" s="1" customFormat="1" outlineLevel="1">
      <c r="A300" t="s">
        <v>683</v>
      </c>
      <c r="B300" s="252" t="s">
        <v>127</v>
      </c>
      <c r="C300" s="218">
        <f>C266*C298</f>
        <v>461484.29287475697</v>
      </c>
      <c r="D300" s="218">
        <f t="shared" ref="D300:AG300" si="152">D266*D298</f>
        <v>457125.60563654505</v>
      </c>
      <c r="E300" s="218">
        <f t="shared" si="152"/>
        <v>452782.50710762071</v>
      </c>
      <c r="F300" s="218">
        <f t="shared" si="152"/>
        <v>448454.95379100402</v>
      </c>
      <c r="G300" s="218">
        <f t="shared" si="152"/>
        <v>444142.90229459642</v>
      </c>
      <c r="H300" s="218">
        <f t="shared" si="152"/>
        <v>439846.30933095986</v>
      </c>
      <c r="I300" s="218">
        <f t="shared" si="152"/>
        <v>434377.33833365218</v>
      </c>
      <c r="J300" s="218">
        <f t="shared" si="152"/>
        <v>428946.67346445081</v>
      </c>
      <c r="K300" s="218">
        <f t="shared" si="152"/>
        <v>423554.15601489868</v>
      </c>
      <c r="L300" s="218">
        <f t="shared" si="152"/>
        <v>418199.62778280105</v>
      </c>
      <c r="M300" s="218">
        <f t="shared" si="152"/>
        <v>412882.93107087666</v>
      </c>
      <c r="N300" s="218">
        <f t="shared" si="152"/>
        <v>407530.13377105695</v>
      </c>
      <c r="O300" s="218">
        <f t="shared" si="152"/>
        <v>402216.32524757716</v>
      </c>
      <c r="P300" s="218">
        <f t="shared" si="152"/>
        <v>396931.93061871949</v>
      </c>
      <c r="Q300" s="218">
        <f t="shared" si="152"/>
        <v>391686.2455606602</v>
      </c>
      <c r="R300" s="218">
        <f t="shared" si="152"/>
        <v>386479.11086825974</v>
      </c>
      <c r="S300" s="218">
        <f t="shared" si="152"/>
        <v>381310.38715569442</v>
      </c>
      <c r="T300" s="218">
        <f t="shared" si="152"/>
        <v>376179.89648845256</v>
      </c>
      <c r="U300" s="218">
        <f t="shared" si="152"/>
        <v>371087.481149384</v>
      </c>
      <c r="V300" s="218">
        <f t="shared" si="152"/>
        <v>366032.98391409789</v>
      </c>
      <c r="W300" s="218">
        <f t="shared" si="152"/>
        <v>361016.24804969021</v>
      </c>
      <c r="X300" s="218">
        <f t="shared" si="152"/>
        <v>356037.31806895428</v>
      </c>
      <c r="Y300" s="218">
        <f t="shared" si="152"/>
        <v>351095.83317165577</v>
      </c>
      <c r="Z300" s="218">
        <f t="shared" si="152"/>
        <v>346160.11221247236</v>
      </c>
      <c r="AA300" s="218">
        <f t="shared" si="152"/>
        <v>341261.37595732551</v>
      </c>
      <c r="AB300" s="218">
        <f t="shared" si="152"/>
        <v>336399.49398523621</v>
      </c>
      <c r="AC300" s="218">
        <f t="shared" si="152"/>
        <v>331545.06662908744</v>
      </c>
      <c r="AD300" s="218">
        <f t="shared" si="152"/>
        <v>326727.88314034563</v>
      </c>
      <c r="AE300" s="218">
        <f t="shared" si="152"/>
        <v>321947.81069629308</v>
      </c>
      <c r="AF300" s="218">
        <f t="shared" si="152"/>
        <v>317204.7167939393</v>
      </c>
      <c r="AG300" s="218">
        <f t="shared" si="152"/>
        <v>312498.46924951638</v>
      </c>
      <c r="AI300" s="266"/>
      <c r="AJ300" s="185" t="s">
        <v>629</v>
      </c>
    </row>
    <row r="301" spans="1:36" s="1" customFormat="1" outlineLevel="1">
      <c r="A301" t="s">
        <v>652</v>
      </c>
      <c r="B301" s="252" t="s">
        <v>127</v>
      </c>
      <c r="C301" s="218">
        <f>C267*(C299+C297)</f>
        <v>65150.723699965689</v>
      </c>
      <c r="D301" s="218">
        <f t="shared" ref="D301:AG301" si="153">D267*(D299+D297)</f>
        <v>68047.478044900621</v>
      </c>
      <c r="E301" s="218">
        <f t="shared" si="153"/>
        <v>70955.152546950063</v>
      </c>
      <c r="F301" s="218">
        <f t="shared" si="153"/>
        <v>73873.644554092098</v>
      </c>
      <c r="G301" s="218">
        <f t="shared" si="153"/>
        <v>76802.851862163385</v>
      </c>
      <c r="H301" s="218">
        <f t="shared" si="153"/>
        <v>79742.672713396329</v>
      </c>
      <c r="I301" s="218">
        <f t="shared" si="153"/>
        <v>82467.500588073628</v>
      </c>
      <c r="J301" s="218">
        <f t="shared" si="153"/>
        <v>85186.525893744794</v>
      </c>
      <c r="K301" s="218">
        <f t="shared" si="153"/>
        <v>87899.556959132969</v>
      </c>
      <c r="L301" s="218">
        <f t="shared" si="153"/>
        <v>90606.403593143739</v>
      </c>
      <c r="M301" s="218">
        <f t="shared" si="153"/>
        <v>93306.877078164136</v>
      </c>
      <c r="N301" s="218">
        <f t="shared" si="153"/>
        <v>95983.414348478836</v>
      </c>
      <c r="O301" s="218">
        <f t="shared" si="153"/>
        <v>98652.128145994779</v>
      </c>
      <c r="P301" s="218">
        <f t="shared" si="153"/>
        <v>101310.42636739837</v>
      </c>
      <c r="Q301" s="218">
        <f t="shared" si="153"/>
        <v>103960.34349481002</v>
      </c>
      <c r="R301" s="218">
        <f t="shared" si="153"/>
        <v>106601.68852756951</v>
      </c>
      <c r="S301" s="218">
        <f t="shared" si="153"/>
        <v>109234.27748640644</v>
      </c>
      <c r="T301" s="218">
        <f t="shared" si="153"/>
        <v>111857.91710266784</v>
      </c>
      <c r="U301" s="218">
        <f t="shared" si="153"/>
        <v>114472.42081542939</v>
      </c>
      <c r="V301" s="218">
        <f t="shared" si="153"/>
        <v>117077.60353003236</v>
      </c>
      <c r="W301" s="218">
        <f t="shared" si="153"/>
        <v>119673.28161155614</v>
      </c>
      <c r="X301" s="218">
        <f t="shared" si="153"/>
        <v>122259.34181556085</v>
      </c>
      <c r="Y301" s="218">
        <f t="shared" si="153"/>
        <v>124835.53783077729</v>
      </c>
      <c r="Z301" s="218">
        <f t="shared" si="153"/>
        <v>127390.08855819158</v>
      </c>
      <c r="AA301" s="218">
        <f t="shared" si="153"/>
        <v>129933.55769974027</v>
      </c>
      <c r="AB301" s="218">
        <f t="shared" si="153"/>
        <v>132465.7445190858</v>
      </c>
      <c r="AC301" s="218">
        <f t="shared" si="153"/>
        <v>134974.53373999716</v>
      </c>
      <c r="AD301" s="218">
        <f t="shared" si="153"/>
        <v>137471.11772366011</v>
      </c>
      <c r="AE301" s="218">
        <f t="shared" si="153"/>
        <v>139955.2973700157</v>
      </c>
      <c r="AF301" s="218">
        <f t="shared" si="153"/>
        <v>142426.87491476923</v>
      </c>
      <c r="AG301" s="218">
        <f t="shared" si="153"/>
        <v>144885.6539247758</v>
      </c>
      <c r="AH301" s="218"/>
      <c r="AI301" s="266"/>
      <c r="AJ301" s="185" t="s">
        <v>629</v>
      </c>
    </row>
    <row r="302" spans="1:36" s="1" customFormat="1" outlineLevel="1">
      <c r="A302" t="s">
        <v>653</v>
      </c>
      <c r="B302" s="252" t="s">
        <v>127</v>
      </c>
      <c r="C302" s="218">
        <f>C268*(C299+C297)</f>
        <v>16287.680924991422</v>
      </c>
      <c r="D302" s="218">
        <f t="shared" ref="D302:AG302" si="154">D268*(D299+D297)</f>
        <v>16658.926160369865</v>
      </c>
      <c r="E302" s="218">
        <f t="shared" si="154"/>
        <v>17005.780362492165</v>
      </c>
      <c r="F302" s="218">
        <f t="shared" si="154"/>
        <v>17328.385759601853</v>
      </c>
      <c r="G302" s="218">
        <f t="shared" si="154"/>
        <v>17626.884033939143</v>
      </c>
      <c r="H302" s="218">
        <f t="shared" si="154"/>
        <v>17901.416323415509</v>
      </c>
      <c r="I302" s="218">
        <f t="shared" si="154"/>
        <v>18102.622080308854</v>
      </c>
      <c r="J302" s="218">
        <f t="shared" si="154"/>
        <v>18278.890171532294</v>
      </c>
      <c r="K302" s="218">
        <f t="shared" si="154"/>
        <v>18430.552265624669</v>
      </c>
      <c r="L302" s="218">
        <f t="shared" si="154"/>
        <v>18557.938085342706</v>
      </c>
      <c r="M302" s="218">
        <f t="shared" si="154"/>
        <v>18661.375415632843</v>
      </c>
      <c r="N302" s="218">
        <f t="shared" si="154"/>
        <v>18737.798020220984</v>
      </c>
      <c r="O302" s="218">
        <f t="shared" si="154"/>
        <v>18790.881551618073</v>
      </c>
      <c r="P302" s="218">
        <f t="shared" si="154"/>
        <v>18820.513989200506</v>
      </c>
      <c r="Q302" s="218">
        <f t="shared" si="154"/>
        <v>18827.463782524668</v>
      </c>
      <c r="R302" s="218">
        <f t="shared" si="154"/>
        <v>18812.062681335821</v>
      </c>
      <c r="S302" s="218">
        <f t="shared" si="154"/>
        <v>18774.641442976132</v>
      </c>
      <c r="T302" s="218">
        <f t="shared" si="154"/>
        <v>18715.52698604951</v>
      </c>
      <c r="U302" s="218">
        <f t="shared" si="154"/>
        <v>18635.045249023417</v>
      </c>
      <c r="V302" s="218">
        <f t="shared" si="154"/>
        <v>18533.520249927933</v>
      </c>
      <c r="W302" s="218">
        <f t="shared" si="154"/>
        <v>18411.274094085591</v>
      </c>
      <c r="X302" s="218">
        <f t="shared" si="154"/>
        <v>18268.637282784988</v>
      </c>
      <c r="Y302" s="218">
        <f t="shared" si="154"/>
        <v>18105.917700647125</v>
      </c>
      <c r="Z302" s="218">
        <f t="shared" si="154"/>
        <v>17921.799531000375</v>
      </c>
      <c r="AA302" s="218">
        <f t="shared" si="154"/>
        <v>17718.212413600984</v>
      </c>
      <c r="AB302" s="218">
        <f t="shared" si="154"/>
        <v>17495.475691200052</v>
      </c>
      <c r="AC302" s="218">
        <f t="shared" si="154"/>
        <v>17252.384011879378</v>
      </c>
      <c r="AD302" s="218">
        <f t="shared" si="154"/>
        <v>16990.812302924329</v>
      </c>
      <c r="AE302" s="218">
        <f t="shared" si="154"/>
        <v>16711.080282986994</v>
      </c>
      <c r="AF302" s="218">
        <f t="shared" si="154"/>
        <v>16413.506031070108</v>
      </c>
      <c r="AG302" s="218">
        <f t="shared" si="154"/>
        <v>16098.405991641755</v>
      </c>
      <c r="AI302" s="266"/>
      <c r="AJ302" s="185" t="s">
        <v>629</v>
      </c>
    </row>
    <row r="303" spans="1:36" s="1" customFormat="1" outlineLevel="1">
      <c r="A303" t="s">
        <v>663</v>
      </c>
      <c r="B303" s="252" t="s">
        <v>127</v>
      </c>
      <c r="C303" s="218">
        <f>C296*C269</f>
        <v>0</v>
      </c>
      <c r="D303" s="218">
        <f t="shared" ref="D303:AG303" si="155">D296*D269</f>
        <v>0</v>
      </c>
      <c r="E303" s="218">
        <f t="shared" si="155"/>
        <v>0</v>
      </c>
      <c r="F303" s="218">
        <f t="shared" si="155"/>
        <v>0</v>
      </c>
      <c r="G303" s="218">
        <f t="shared" si="155"/>
        <v>0</v>
      </c>
      <c r="H303" s="218">
        <f t="shared" si="155"/>
        <v>0</v>
      </c>
      <c r="I303" s="218">
        <f t="shared" si="155"/>
        <v>0</v>
      </c>
      <c r="J303" s="218">
        <f t="shared" si="155"/>
        <v>0</v>
      </c>
      <c r="K303" s="218">
        <f t="shared" si="155"/>
        <v>0</v>
      </c>
      <c r="L303" s="218">
        <f t="shared" si="155"/>
        <v>0</v>
      </c>
      <c r="M303" s="218">
        <f t="shared" si="155"/>
        <v>0</v>
      </c>
      <c r="N303" s="218">
        <f t="shared" si="155"/>
        <v>0</v>
      </c>
      <c r="O303" s="218">
        <f t="shared" si="155"/>
        <v>0</v>
      </c>
      <c r="P303" s="218">
        <f t="shared" si="155"/>
        <v>0</v>
      </c>
      <c r="Q303" s="218">
        <f t="shared" si="155"/>
        <v>0</v>
      </c>
      <c r="R303" s="218">
        <f t="shared" si="155"/>
        <v>0</v>
      </c>
      <c r="S303" s="218">
        <f t="shared" si="155"/>
        <v>0</v>
      </c>
      <c r="T303" s="218">
        <f t="shared" si="155"/>
        <v>0</v>
      </c>
      <c r="U303" s="218">
        <f t="shared" si="155"/>
        <v>0</v>
      </c>
      <c r="V303" s="218">
        <f t="shared" si="155"/>
        <v>0</v>
      </c>
      <c r="W303" s="218">
        <f t="shared" si="155"/>
        <v>0</v>
      </c>
      <c r="X303" s="218">
        <f t="shared" si="155"/>
        <v>0</v>
      </c>
      <c r="Y303" s="218">
        <f t="shared" si="155"/>
        <v>0</v>
      </c>
      <c r="Z303" s="218">
        <f t="shared" si="155"/>
        <v>0</v>
      </c>
      <c r="AA303" s="218">
        <f t="shared" si="155"/>
        <v>0</v>
      </c>
      <c r="AB303" s="218">
        <f t="shared" si="155"/>
        <v>0</v>
      </c>
      <c r="AC303" s="218">
        <f t="shared" si="155"/>
        <v>0</v>
      </c>
      <c r="AD303" s="218">
        <f t="shared" si="155"/>
        <v>0</v>
      </c>
      <c r="AE303" s="218">
        <f t="shared" si="155"/>
        <v>0</v>
      </c>
      <c r="AF303" s="218">
        <f t="shared" si="155"/>
        <v>0</v>
      </c>
      <c r="AG303" s="218">
        <f t="shared" si="155"/>
        <v>0</v>
      </c>
      <c r="AI303" s="266"/>
      <c r="AJ303" s="185" t="s">
        <v>629</v>
      </c>
    </row>
    <row r="304" spans="1:36" s="1" customFormat="1" outlineLevel="1">
      <c r="A304" t="s">
        <v>684</v>
      </c>
      <c r="B304" s="252" t="s">
        <v>127</v>
      </c>
      <c r="C304" s="218">
        <f>C296*C270</f>
        <v>0</v>
      </c>
      <c r="D304" s="218">
        <f t="shared" ref="D304:AG304" si="156">D296*D270</f>
        <v>0</v>
      </c>
      <c r="E304" s="218">
        <f t="shared" si="156"/>
        <v>0</v>
      </c>
      <c r="F304" s="218">
        <f t="shared" si="156"/>
        <v>0</v>
      </c>
      <c r="G304" s="218">
        <f t="shared" si="156"/>
        <v>0</v>
      </c>
      <c r="H304" s="218">
        <f t="shared" si="156"/>
        <v>0</v>
      </c>
      <c r="I304" s="218">
        <f t="shared" si="156"/>
        <v>0</v>
      </c>
      <c r="J304" s="218">
        <f t="shared" si="156"/>
        <v>0</v>
      </c>
      <c r="K304" s="218">
        <f t="shared" si="156"/>
        <v>0</v>
      </c>
      <c r="L304" s="218">
        <f t="shared" si="156"/>
        <v>0</v>
      </c>
      <c r="M304" s="218">
        <f t="shared" si="156"/>
        <v>0</v>
      </c>
      <c r="N304" s="218">
        <f t="shared" si="156"/>
        <v>0</v>
      </c>
      <c r="O304" s="218">
        <f t="shared" si="156"/>
        <v>0</v>
      </c>
      <c r="P304" s="218">
        <f t="shared" si="156"/>
        <v>0</v>
      </c>
      <c r="Q304" s="218">
        <f t="shared" si="156"/>
        <v>0</v>
      </c>
      <c r="R304" s="218">
        <f t="shared" si="156"/>
        <v>0</v>
      </c>
      <c r="S304" s="218">
        <f t="shared" si="156"/>
        <v>0</v>
      </c>
      <c r="T304" s="218">
        <f t="shared" si="156"/>
        <v>0</v>
      </c>
      <c r="U304" s="218">
        <f t="shared" si="156"/>
        <v>0</v>
      </c>
      <c r="V304" s="218">
        <f t="shared" si="156"/>
        <v>0</v>
      </c>
      <c r="W304" s="218">
        <f t="shared" si="156"/>
        <v>0</v>
      </c>
      <c r="X304" s="218">
        <f t="shared" si="156"/>
        <v>0</v>
      </c>
      <c r="Y304" s="218">
        <f t="shared" si="156"/>
        <v>0</v>
      </c>
      <c r="Z304" s="218">
        <f t="shared" si="156"/>
        <v>0</v>
      </c>
      <c r="AA304" s="218">
        <f t="shared" si="156"/>
        <v>0</v>
      </c>
      <c r="AB304" s="218">
        <f t="shared" si="156"/>
        <v>0</v>
      </c>
      <c r="AC304" s="218">
        <f t="shared" si="156"/>
        <v>0</v>
      </c>
      <c r="AD304" s="218">
        <f t="shared" si="156"/>
        <v>0</v>
      </c>
      <c r="AE304" s="218">
        <f t="shared" si="156"/>
        <v>0</v>
      </c>
      <c r="AF304" s="218">
        <f t="shared" si="156"/>
        <v>0</v>
      </c>
      <c r="AG304" s="218">
        <f t="shared" si="156"/>
        <v>0</v>
      </c>
      <c r="AI304" s="266"/>
      <c r="AJ304" s="185" t="s">
        <v>629</v>
      </c>
    </row>
    <row r="305" spans="1:36" s="1" customFormat="1" outlineLevel="1">
      <c r="A305" t="s">
        <v>666</v>
      </c>
      <c r="B305" s="252" t="s">
        <v>127</v>
      </c>
      <c r="C305" s="218">
        <f t="shared" ref="C305:AG305" si="157">C301*C271</f>
        <v>17590.695398990738</v>
      </c>
      <c r="D305" s="218">
        <f t="shared" si="157"/>
        <v>18100.629159943564</v>
      </c>
      <c r="E305" s="218">
        <f t="shared" si="157"/>
        <v>18590.249967300919</v>
      </c>
      <c r="F305" s="218">
        <f t="shared" si="157"/>
        <v>19059.400294955762</v>
      </c>
      <c r="G305" s="218">
        <f t="shared" si="157"/>
        <v>19507.924372989499</v>
      </c>
      <c r="H305" s="218">
        <f t="shared" si="157"/>
        <v>19935.668178349082</v>
      </c>
      <c r="I305" s="218">
        <f t="shared" si="157"/>
        <v>20287.005144666113</v>
      </c>
      <c r="J305" s="218">
        <f t="shared" si="157"/>
        <v>20615.139266286238</v>
      </c>
      <c r="K305" s="218">
        <f t="shared" si="157"/>
        <v>20920.094556273645</v>
      </c>
      <c r="L305" s="218">
        <f t="shared" si="157"/>
        <v>21201.898440795634</v>
      </c>
      <c r="M305" s="218">
        <f t="shared" si="157"/>
        <v>21460.581727977751</v>
      </c>
      <c r="N305" s="218">
        <f t="shared" si="157"/>
        <v>21692.251642756215</v>
      </c>
      <c r="O305" s="218">
        <f t="shared" si="157"/>
        <v>21900.772448410837</v>
      </c>
      <c r="P305" s="218">
        <f t="shared" si="157"/>
        <v>22085.672948092841</v>
      </c>
      <c r="Q305" s="218">
        <f t="shared" si="157"/>
        <v>22247.51350788934</v>
      </c>
      <c r="R305" s="218">
        <f t="shared" si="157"/>
        <v>22386.354590789593</v>
      </c>
      <c r="S305" s="218">
        <f t="shared" si="157"/>
        <v>22502.261162199724</v>
      </c>
      <c r="T305" s="218">
        <f t="shared" si="157"/>
        <v>22595.299254738897</v>
      </c>
      <c r="U305" s="218">
        <f t="shared" si="157"/>
        <v>22665.539321455013</v>
      </c>
      <c r="V305" s="218">
        <f t="shared" si="157"/>
        <v>22713.055084826272</v>
      </c>
      <c r="W305" s="218">
        <f t="shared" si="157"/>
        <v>22737.923506195661</v>
      </c>
      <c r="X305" s="218">
        <f t="shared" si="157"/>
        <v>22740.237577694312</v>
      </c>
      <c r="Y305" s="218">
        <f t="shared" si="157"/>
        <v>22720.067885201461</v>
      </c>
      <c r="Z305" s="218">
        <f t="shared" si="157"/>
        <v>22675.435763358091</v>
      </c>
      <c r="AA305" s="218">
        <f t="shared" si="157"/>
        <v>22608.439039754798</v>
      </c>
      <c r="AB305" s="218">
        <f t="shared" si="157"/>
        <v>22519.176568244577</v>
      </c>
      <c r="AC305" s="218">
        <f t="shared" si="157"/>
        <v>22405.772600839518</v>
      </c>
      <c r="AD305" s="218">
        <f t="shared" si="157"/>
        <v>22270.321071232927</v>
      </c>
      <c r="AE305" s="218">
        <f t="shared" si="157"/>
        <v>22112.936984462471</v>
      </c>
      <c r="AF305" s="218">
        <f t="shared" si="157"/>
        <v>21933.738736874449</v>
      </c>
      <c r="AG305" s="218">
        <f t="shared" si="157"/>
        <v>21732.848088716371</v>
      </c>
      <c r="AI305" s="266"/>
      <c r="AJ305" s="185"/>
    </row>
    <row r="306" spans="1:36" s="61" customFormat="1">
      <c r="A306" s="294" t="s">
        <v>657</v>
      </c>
      <c r="B306" s="258" t="s">
        <v>127</v>
      </c>
      <c r="C306" s="259">
        <f>C272*C$291</f>
        <v>474458.74409909046</v>
      </c>
      <c r="D306" s="259">
        <f t="shared" ref="D306:AG311" si="158">D272*D$291</f>
        <v>465432.31185504096</v>
      </c>
      <c r="E306" s="259">
        <f t="shared" si="158"/>
        <v>456360.89827261161</v>
      </c>
      <c r="F306" s="259">
        <f t="shared" si="158"/>
        <v>447245.02958847577</v>
      </c>
      <c r="G306" s="259">
        <f t="shared" si="158"/>
        <v>438085.2293323148</v>
      </c>
      <c r="H306" s="259">
        <f t="shared" si="158"/>
        <v>428882.01833693858</v>
      </c>
      <c r="I306" s="259">
        <f t="shared" si="158"/>
        <v>418538.44617102982</v>
      </c>
      <c r="J306" s="259">
        <f t="shared" si="158"/>
        <v>408205.74640966818</v>
      </c>
      <c r="K306" s="259">
        <f t="shared" si="158"/>
        <v>397884.14568582975</v>
      </c>
      <c r="L306" s="259">
        <f t="shared" si="158"/>
        <v>387573.86899295298</v>
      </c>
      <c r="M306" s="259">
        <f t="shared" si="158"/>
        <v>377275.13969202631</v>
      </c>
      <c r="N306" s="259">
        <f t="shared" si="158"/>
        <v>369441.86315189069</v>
      </c>
      <c r="O306" s="259">
        <f t="shared" si="158"/>
        <v>361622.79913744243</v>
      </c>
      <c r="P306" s="259">
        <f t="shared" si="158"/>
        <v>353808.26609557064</v>
      </c>
      <c r="Q306" s="259">
        <f t="shared" si="158"/>
        <v>346008.66556824226</v>
      </c>
      <c r="R306" s="259">
        <f t="shared" si="158"/>
        <v>338224.28461779054</v>
      </c>
      <c r="S306" s="259">
        <f t="shared" si="158"/>
        <v>330455.42607401003</v>
      </c>
      <c r="T306" s="259">
        <f t="shared" si="158"/>
        <v>322702.35492554522</v>
      </c>
      <c r="U306" s="259">
        <f t="shared" si="158"/>
        <v>314965.35277106008</v>
      </c>
      <c r="V306" s="259">
        <f t="shared" si="158"/>
        <v>307244.69939890166</v>
      </c>
      <c r="W306" s="259">
        <f t="shared" si="158"/>
        <v>299540.67279327713</v>
      </c>
      <c r="X306" s="259">
        <f t="shared" si="158"/>
        <v>289070.71683357912</v>
      </c>
      <c r="Y306" s="259">
        <f t="shared" si="158"/>
        <v>278620.2899912264</v>
      </c>
      <c r="Z306" s="259">
        <f t="shared" si="158"/>
        <v>268160.07419854973</v>
      </c>
      <c r="AA306" s="259">
        <f t="shared" si="158"/>
        <v>257721.36868430962</v>
      </c>
      <c r="AB306" s="259">
        <f t="shared" si="158"/>
        <v>247304.7531439563</v>
      </c>
      <c r="AC306" s="259">
        <f t="shared" si="158"/>
        <v>236890.92564833508</v>
      </c>
      <c r="AD306" s="259">
        <f t="shared" si="158"/>
        <v>226501.90540393538</v>
      </c>
      <c r="AE306" s="259">
        <f t="shared" si="158"/>
        <v>216138.26430197066</v>
      </c>
      <c r="AF306" s="259">
        <f t="shared" si="158"/>
        <v>205800.57445177375</v>
      </c>
      <c r="AG306" s="259">
        <f t="shared" si="158"/>
        <v>195489.4081571126</v>
      </c>
      <c r="AI306" s="286"/>
      <c r="AJ306" s="297"/>
    </row>
    <row r="307" spans="1:36">
      <c r="A307" s="295" t="s">
        <v>658</v>
      </c>
      <c r="B307" s="252" t="s">
        <v>127</v>
      </c>
      <c r="C307" s="218">
        <f t="shared" ref="C307:R311" si="159">C273*C$291</f>
        <v>4891.3272587535103</v>
      </c>
      <c r="D307" s="218">
        <f t="shared" si="159"/>
        <v>4796.6229322058498</v>
      </c>
      <c r="E307" s="218">
        <f t="shared" si="159"/>
        <v>4701.5202431931148</v>
      </c>
      <c r="F307" s="218">
        <f t="shared" si="159"/>
        <v>4606.0250215085052</v>
      </c>
      <c r="G307" s="218">
        <f t="shared" si="159"/>
        <v>4510.1430610739353</v>
      </c>
      <c r="H307" s="218">
        <f t="shared" si="159"/>
        <v>4413.8801201057158</v>
      </c>
      <c r="I307" s="218">
        <f t="shared" si="159"/>
        <v>4305.9510922945465</v>
      </c>
      <c r="J307" s="218">
        <f t="shared" si="159"/>
        <v>4198.2078821700543</v>
      </c>
      <c r="K307" s="218">
        <f t="shared" si="159"/>
        <v>4090.6526287096972</v>
      </c>
      <c r="L307" s="218">
        <f t="shared" si="159"/>
        <v>3983.2874511094874</v>
      </c>
      <c r="M307" s="218">
        <f t="shared" si="159"/>
        <v>3876.1144488906825</v>
      </c>
      <c r="N307" s="218">
        <f t="shared" si="159"/>
        <v>3794.3361501392419</v>
      </c>
      <c r="O307" s="218">
        <f t="shared" si="159"/>
        <v>3712.7597447376033</v>
      </c>
      <c r="P307" s="218">
        <f t="shared" si="159"/>
        <v>3631.2856595508465</v>
      </c>
      <c r="Q307" s="218">
        <f t="shared" si="159"/>
        <v>3550.0205085660991</v>
      </c>
      <c r="R307" s="218">
        <f t="shared" si="159"/>
        <v>3468.9670217209309</v>
      </c>
      <c r="S307" s="218">
        <f t="shared" si="158"/>
        <v>3388.1280868832218</v>
      </c>
      <c r="T307" s="218">
        <f t="shared" si="158"/>
        <v>3307.5062001251667</v>
      </c>
      <c r="U307" s="218">
        <f t="shared" si="158"/>
        <v>3227.104024293651</v>
      </c>
      <c r="V307" s="218">
        <f t="shared" si="158"/>
        <v>3146.9242000570353</v>
      </c>
      <c r="W307" s="218">
        <f t="shared" si="158"/>
        <v>3066.9693460062531</v>
      </c>
      <c r="X307" s="218">
        <f t="shared" si="158"/>
        <v>2958.7586165156536</v>
      </c>
      <c r="Y307" s="218">
        <f t="shared" si="158"/>
        <v>2850.8215210562071</v>
      </c>
      <c r="Z307" s="218">
        <f t="shared" si="158"/>
        <v>2742.857901792192</v>
      </c>
      <c r="AA307" s="218">
        <f t="shared" si="158"/>
        <v>2635.187818857974</v>
      </c>
      <c r="AB307" s="218">
        <f t="shared" si="158"/>
        <v>2527.8168975532185</v>
      </c>
      <c r="AC307" s="218">
        <f t="shared" si="158"/>
        <v>2420.5476053985217</v>
      </c>
      <c r="AD307" s="218">
        <f t="shared" si="158"/>
        <v>2313.6047538706398</v>
      </c>
      <c r="AE307" s="218">
        <f t="shared" si="158"/>
        <v>2206.9938492372794</v>
      </c>
      <c r="AF307" s="218">
        <f t="shared" si="158"/>
        <v>2100.7203924985433</v>
      </c>
      <c r="AG307" s="218">
        <f t="shared" si="158"/>
        <v>1994.7898791542102</v>
      </c>
      <c r="AI307" s="246"/>
    </row>
    <row r="308" spans="1:36">
      <c r="A308" s="295" t="s">
        <v>659</v>
      </c>
      <c r="B308" s="252" t="s">
        <v>127</v>
      </c>
      <c r="C308" s="218">
        <f t="shared" si="159"/>
        <v>0</v>
      </c>
      <c r="D308" s="218">
        <f t="shared" si="158"/>
        <v>0</v>
      </c>
      <c r="E308" s="218">
        <f t="shared" si="158"/>
        <v>0</v>
      </c>
      <c r="F308" s="218">
        <f t="shared" si="158"/>
        <v>0</v>
      </c>
      <c r="G308" s="218">
        <f t="shared" si="158"/>
        <v>0</v>
      </c>
      <c r="H308" s="218">
        <f t="shared" si="158"/>
        <v>0</v>
      </c>
      <c r="I308" s="218">
        <f t="shared" si="158"/>
        <v>0</v>
      </c>
      <c r="J308" s="218">
        <f t="shared" si="158"/>
        <v>0</v>
      </c>
      <c r="K308" s="218">
        <f t="shared" si="158"/>
        <v>0</v>
      </c>
      <c r="L308" s="218">
        <f t="shared" si="158"/>
        <v>0</v>
      </c>
      <c r="M308" s="218">
        <f t="shared" si="158"/>
        <v>0</v>
      </c>
      <c r="N308" s="218">
        <f t="shared" si="158"/>
        <v>0</v>
      </c>
      <c r="O308" s="218">
        <f t="shared" si="158"/>
        <v>0</v>
      </c>
      <c r="P308" s="218">
        <f t="shared" si="158"/>
        <v>0</v>
      </c>
      <c r="Q308" s="218">
        <f t="shared" si="158"/>
        <v>0</v>
      </c>
      <c r="R308" s="218">
        <f t="shared" si="158"/>
        <v>0</v>
      </c>
      <c r="S308" s="218">
        <f t="shared" si="158"/>
        <v>0</v>
      </c>
      <c r="T308" s="218">
        <f t="shared" si="158"/>
        <v>0</v>
      </c>
      <c r="U308" s="218">
        <f t="shared" si="158"/>
        <v>0</v>
      </c>
      <c r="V308" s="218">
        <f t="shared" si="158"/>
        <v>0</v>
      </c>
      <c r="W308" s="218">
        <f t="shared" si="158"/>
        <v>0</v>
      </c>
      <c r="X308" s="218">
        <f t="shared" si="158"/>
        <v>0</v>
      </c>
      <c r="Y308" s="218">
        <f t="shared" si="158"/>
        <v>0</v>
      </c>
      <c r="Z308" s="218">
        <f t="shared" si="158"/>
        <v>0</v>
      </c>
      <c r="AA308" s="218">
        <f t="shared" si="158"/>
        <v>0</v>
      </c>
      <c r="AB308" s="218">
        <f t="shared" si="158"/>
        <v>0</v>
      </c>
      <c r="AC308" s="218">
        <f t="shared" si="158"/>
        <v>0</v>
      </c>
      <c r="AD308" s="218">
        <f t="shared" si="158"/>
        <v>0</v>
      </c>
      <c r="AE308" s="218">
        <f t="shared" si="158"/>
        <v>0</v>
      </c>
      <c r="AF308" s="218">
        <f t="shared" si="158"/>
        <v>0</v>
      </c>
      <c r="AG308" s="218">
        <f t="shared" si="158"/>
        <v>0</v>
      </c>
      <c r="AI308" s="246"/>
    </row>
    <row r="309" spans="1:36">
      <c r="A309" s="295" t="s">
        <v>660</v>
      </c>
      <c r="B309" s="252" t="s">
        <v>127</v>
      </c>
      <c r="C309" s="218">
        <f t="shared" si="159"/>
        <v>0</v>
      </c>
      <c r="D309" s="218">
        <f t="shared" si="158"/>
        <v>0</v>
      </c>
      <c r="E309" s="218">
        <f t="shared" si="158"/>
        <v>0</v>
      </c>
      <c r="F309" s="218">
        <f t="shared" si="158"/>
        <v>0</v>
      </c>
      <c r="G309" s="218">
        <f t="shared" si="158"/>
        <v>0</v>
      </c>
      <c r="H309" s="218">
        <f t="shared" si="158"/>
        <v>0</v>
      </c>
      <c r="I309" s="218">
        <f t="shared" si="158"/>
        <v>0</v>
      </c>
      <c r="J309" s="218">
        <f t="shared" si="158"/>
        <v>0</v>
      </c>
      <c r="K309" s="218">
        <f t="shared" si="158"/>
        <v>0</v>
      </c>
      <c r="L309" s="218">
        <f t="shared" si="158"/>
        <v>0</v>
      </c>
      <c r="M309" s="218">
        <f t="shared" si="158"/>
        <v>0</v>
      </c>
      <c r="N309" s="218">
        <f t="shared" si="158"/>
        <v>0</v>
      </c>
      <c r="O309" s="218">
        <f t="shared" si="158"/>
        <v>0</v>
      </c>
      <c r="P309" s="218">
        <f t="shared" si="158"/>
        <v>0</v>
      </c>
      <c r="Q309" s="218">
        <f t="shared" si="158"/>
        <v>0</v>
      </c>
      <c r="R309" s="218">
        <f t="shared" si="158"/>
        <v>0</v>
      </c>
      <c r="S309" s="218">
        <f t="shared" si="158"/>
        <v>0</v>
      </c>
      <c r="T309" s="218">
        <f t="shared" si="158"/>
        <v>0</v>
      </c>
      <c r="U309" s="218">
        <f t="shared" si="158"/>
        <v>0</v>
      </c>
      <c r="V309" s="218">
        <f t="shared" si="158"/>
        <v>0</v>
      </c>
      <c r="W309" s="218">
        <f t="shared" si="158"/>
        <v>0</v>
      </c>
      <c r="X309" s="218">
        <f t="shared" si="158"/>
        <v>0</v>
      </c>
      <c r="Y309" s="218">
        <f t="shared" si="158"/>
        <v>0</v>
      </c>
      <c r="Z309" s="218">
        <f t="shared" si="158"/>
        <v>0</v>
      </c>
      <c r="AA309" s="218">
        <f t="shared" si="158"/>
        <v>0</v>
      </c>
      <c r="AB309" s="218">
        <f t="shared" si="158"/>
        <v>0</v>
      </c>
      <c r="AC309" s="218">
        <f t="shared" si="158"/>
        <v>0</v>
      </c>
      <c r="AD309" s="218">
        <f t="shared" si="158"/>
        <v>0</v>
      </c>
      <c r="AE309" s="218">
        <f t="shared" si="158"/>
        <v>0</v>
      </c>
      <c r="AF309" s="218">
        <f t="shared" si="158"/>
        <v>0</v>
      </c>
      <c r="AG309" s="218">
        <f t="shared" si="158"/>
        <v>0</v>
      </c>
      <c r="AI309" s="246"/>
    </row>
    <row r="310" spans="1:36">
      <c r="A310" s="295" t="s">
        <v>661</v>
      </c>
      <c r="B310" s="252" t="s">
        <v>127</v>
      </c>
      <c r="C310" s="218">
        <f t="shared" si="159"/>
        <v>7336.9908881302645</v>
      </c>
      <c r="D310" s="218">
        <f t="shared" si="158"/>
        <v>7067.0244534499516</v>
      </c>
      <c r="E310" s="218">
        <f t="shared" si="158"/>
        <v>6801.5326184860387</v>
      </c>
      <c r="F310" s="218">
        <f t="shared" si="158"/>
        <v>6540.5555305420767</v>
      </c>
      <c r="G310" s="218">
        <f t="shared" si="158"/>
        <v>6284.1326650963492</v>
      </c>
      <c r="H310" s="218">
        <f t="shared" si="158"/>
        <v>6032.3028308111443</v>
      </c>
      <c r="I310" s="218">
        <f t="shared" si="158"/>
        <v>5769.9744636746918</v>
      </c>
      <c r="J310" s="218">
        <f t="shared" si="158"/>
        <v>5513.6463519166709</v>
      </c>
      <c r="K310" s="218">
        <f t="shared" si="158"/>
        <v>5263.3063822731428</v>
      </c>
      <c r="L310" s="218">
        <f t="shared" si="158"/>
        <v>5018.9421883979539</v>
      </c>
      <c r="M310" s="218">
        <f t="shared" si="158"/>
        <v>4780.5411536318416</v>
      </c>
      <c r="N310" s="218">
        <f t="shared" si="158"/>
        <v>4578.4989545013514</v>
      </c>
      <c r="O310" s="218">
        <f t="shared" si="158"/>
        <v>4381.0564987903717</v>
      </c>
      <c r="P310" s="218">
        <f t="shared" si="158"/>
        <v>4188.0827940153085</v>
      </c>
      <c r="Q310" s="218">
        <f t="shared" si="158"/>
        <v>3999.6897729844704</v>
      </c>
      <c r="R310" s="218">
        <f t="shared" si="158"/>
        <v>3815.8637238930232</v>
      </c>
      <c r="S310" s="218">
        <f t="shared" si="158"/>
        <v>3636.5908132546574</v>
      </c>
      <c r="T310" s="218">
        <f t="shared" si="158"/>
        <v>3461.8564894643405</v>
      </c>
      <c r="U310" s="218">
        <f t="shared" si="158"/>
        <v>3291.6461047795228</v>
      </c>
      <c r="V310" s="218">
        <f t="shared" si="158"/>
        <v>3125.9447053899876</v>
      </c>
      <c r="W310" s="218">
        <f t="shared" si="158"/>
        <v>2964.7370344727105</v>
      </c>
      <c r="X310" s="218">
        <f t="shared" si="158"/>
        <v>2781.2330995247135</v>
      </c>
      <c r="Y310" s="218">
        <f t="shared" si="158"/>
        <v>2603.7503225646683</v>
      </c>
      <c r="Z310" s="218">
        <f t="shared" si="158"/>
        <v>2432.0006729224096</v>
      </c>
      <c r="AA310" s="218">
        <f t="shared" si="158"/>
        <v>2266.2615242178567</v>
      </c>
      <c r="AB310" s="218">
        <f t="shared" si="158"/>
        <v>2106.5140812943478</v>
      </c>
      <c r="AC310" s="218">
        <f t="shared" si="158"/>
        <v>1952.5750683548067</v>
      </c>
      <c r="AD310" s="218">
        <f t="shared" si="158"/>
        <v>1804.6117080190979</v>
      </c>
      <c r="AE310" s="218">
        <f t="shared" si="158"/>
        <v>1662.602033092083</v>
      </c>
      <c r="AF310" s="218">
        <f t="shared" si="158"/>
        <v>1526.5234852156073</v>
      </c>
      <c r="AG310" s="218">
        <f t="shared" si="158"/>
        <v>1396.3529154079472</v>
      </c>
      <c r="AI310" s="246"/>
    </row>
    <row r="311" spans="1:36" s="62" customFormat="1">
      <c r="A311" s="296" t="s">
        <v>662</v>
      </c>
      <c r="B311" s="262" t="s">
        <v>127</v>
      </c>
      <c r="C311" s="263">
        <f t="shared" si="159"/>
        <v>2445.6636293767551</v>
      </c>
      <c r="D311" s="263">
        <f t="shared" si="158"/>
        <v>2366.3339798882193</v>
      </c>
      <c r="E311" s="263">
        <f t="shared" si="158"/>
        <v>2288.0731850206494</v>
      </c>
      <c r="F311" s="263">
        <f t="shared" si="158"/>
        <v>2210.892010324083</v>
      </c>
      <c r="G311" s="263">
        <f t="shared" si="158"/>
        <v>2134.8010489083299</v>
      </c>
      <c r="H311" s="263">
        <f t="shared" si="158"/>
        <v>2059.8107227160017</v>
      </c>
      <c r="I311" s="263">
        <f t="shared" si="158"/>
        <v>1980.7375024554924</v>
      </c>
      <c r="J311" s="263">
        <f t="shared" si="158"/>
        <v>1903.1875732504259</v>
      </c>
      <c r="K311" s="263">
        <f t="shared" si="158"/>
        <v>1827.1581741569994</v>
      </c>
      <c r="L311" s="263">
        <f t="shared" si="158"/>
        <v>1752.6464784881759</v>
      </c>
      <c r="M311" s="263">
        <f t="shared" si="158"/>
        <v>1679.6495945192974</v>
      </c>
      <c r="N311" s="263">
        <f t="shared" si="158"/>
        <v>1618.916757392745</v>
      </c>
      <c r="O311" s="263">
        <f t="shared" si="158"/>
        <v>1559.3590927897953</v>
      </c>
      <c r="P311" s="263">
        <f t="shared" si="158"/>
        <v>1500.9314059476851</v>
      </c>
      <c r="Q311" s="263">
        <f t="shared" si="158"/>
        <v>1443.6750068168822</v>
      </c>
      <c r="R311" s="263">
        <f t="shared" si="158"/>
        <v>1387.5868086883745</v>
      </c>
      <c r="S311" s="263">
        <f t="shared" si="158"/>
        <v>1332.6637141740696</v>
      </c>
      <c r="T311" s="263">
        <f t="shared" si="158"/>
        <v>1278.9023973817334</v>
      </c>
      <c r="U311" s="263">
        <f t="shared" si="158"/>
        <v>1226.2995292315895</v>
      </c>
      <c r="V311" s="263">
        <f t="shared" si="158"/>
        <v>1174.8517013546284</v>
      </c>
      <c r="W311" s="263">
        <f t="shared" si="158"/>
        <v>1124.5554268689614</v>
      </c>
      <c r="X311" s="263">
        <f t="shared" si="158"/>
        <v>1065.1531019456372</v>
      </c>
      <c r="Y311" s="263">
        <f t="shared" si="158"/>
        <v>1007.2902707731949</v>
      </c>
      <c r="Z311" s="263">
        <f t="shared" si="158"/>
        <v>950.85740595462835</v>
      </c>
      <c r="AA311" s="263">
        <f t="shared" si="158"/>
        <v>895.96385841171275</v>
      </c>
      <c r="AB311" s="263">
        <f t="shared" si="158"/>
        <v>842.60563251774113</v>
      </c>
      <c r="AC311" s="263">
        <f t="shared" si="158"/>
        <v>790.71221776351865</v>
      </c>
      <c r="AD311" s="263">
        <f t="shared" si="158"/>
        <v>740.35352123860605</v>
      </c>
      <c r="AE311" s="263">
        <f t="shared" si="158"/>
        <v>691.52473942768222</v>
      </c>
      <c r="AF311" s="263">
        <f t="shared" si="158"/>
        <v>644.22092036622121</v>
      </c>
      <c r="AG311" s="263">
        <f t="shared" si="158"/>
        <v>598.43696374626313</v>
      </c>
      <c r="AI311" s="264"/>
      <c r="AJ311" s="265"/>
    </row>
    <row r="312" spans="1:36" s="160" customFormat="1">
      <c r="B312" s="156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J312" s="272"/>
    </row>
    <row r="313" spans="1:36" s="160" customFormat="1" ht="14.75" customHeight="1">
      <c r="A313" s="160" t="s">
        <v>1054</v>
      </c>
      <c r="B313" s="299" t="s">
        <v>127</v>
      </c>
      <c r="C313" s="203">
        <f>C246</f>
        <v>64870.026675377754</v>
      </c>
      <c r="D313" s="203">
        <f t="shared" ref="D313:AG313" si="160">D246</f>
        <v>73039.518926795776</v>
      </c>
      <c r="E313" s="203">
        <f t="shared" si="160"/>
        <v>81251.891401690969</v>
      </c>
      <c r="F313" s="203">
        <f t="shared" si="160"/>
        <v>89506.554021114847</v>
      </c>
      <c r="G313" s="203">
        <f t="shared" si="160"/>
        <v>97802.920309759036</v>
      </c>
      <c r="H313" s="203">
        <f t="shared" si="160"/>
        <v>106140.40737934879</v>
      </c>
      <c r="I313" s="203">
        <f t="shared" si="160"/>
        <v>114157.90604756644</v>
      </c>
      <c r="J313" s="203">
        <f t="shared" si="160"/>
        <v>122166.40845390866</v>
      </c>
      <c r="K313" s="203">
        <f t="shared" si="160"/>
        <v>130165.67190479996</v>
      </c>
      <c r="L313" s="203">
        <f t="shared" si="160"/>
        <v>138155.4557652339</v>
      </c>
      <c r="M313" s="203">
        <f t="shared" si="160"/>
        <v>146135.52144788811</v>
      </c>
      <c r="N313" s="203">
        <f t="shared" si="160"/>
        <v>151489.47492822111</v>
      </c>
      <c r="O313" s="203">
        <f t="shared" si="160"/>
        <v>156833.10575509141</v>
      </c>
      <c r="P313" s="203">
        <f t="shared" si="160"/>
        <v>162163.88677974613</v>
      </c>
      <c r="Q313" s="203">
        <f t="shared" si="160"/>
        <v>167483.4462706701</v>
      </c>
      <c r="R313" s="203">
        <f t="shared" si="160"/>
        <v>172791.48267782087</v>
      </c>
      <c r="S313" s="203">
        <f t="shared" si="160"/>
        <v>178087.70492982102</v>
      </c>
      <c r="T313" s="203">
        <f t="shared" si="160"/>
        <v>183371.80870967143</v>
      </c>
      <c r="U313" s="203">
        <f t="shared" si="160"/>
        <v>188643.49941022613</v>
      </c>
      <c r="V313" s="203">
        <f t="shared" si="160"/>
        <v>193902.48471960059</v>
      </c>
      <c r="W313" s="203">
        <f t="shared" si="160"/>
        <v>199148.47461085988</v>
      </c>
      <c r="X313" s="203">
        <f t="shared" si="160"/>
        <v>207229.80923729</v>
      </c>
      <c r="Y313" s="203">
        <f t="shared" si="160"/>
        <v>215293.22470371108</v>
      </c>
      <c r="Z313" s="203">
        <f t="shared" si="160"/>
        <v>223323.39001146361</v>
      </c>
      <c r="AA313" s="203">
        <f t="shared" si="160"/>
        <v>231332.58053390586</v>
      </c>
      <c r="AB313" s="203">
        <f t="shared" si="160"/>
        <v>239320.21330928741</v>
      </c>
      <c r="AC313" s="203">
        <f t="shared" si="160"/>
        <v>247262.82312261991</v>
      </c>
      <c r="AD313" s="203">
        <f t="shared" si="160"/>
        <v>255181.29727919502</v>
      </c>
      <c r="AE313" s="203">
        <f t="shared" si="160"/>
        <v>263075.0642163959</v>
      </c>
      <c r="AF313" s="203">
        <f t="shared" si="160"/>
        <v>270943.55294257955</v>
      </c>
      <c r="AG313" s="203">
        <f t="shared" si="160"/>
        <v>278786.19306026987</v>
      </c>
      <c r="AI313" s="616"/>
      <c r="AJ313" s="272"/>
    </row>
    <row r="314" spans="1:36" s="160" customFormat="1">
      <c r="A314" s="160" t="s">
        <v>1055</v>
      </c>
      <c r="B314" s="298" t="s">
        <v>127</v>
      </c>
      <c r="C314" s="218">
        <f>C313/(1-C271)</f>
        <v>88863.050240243494</v>
      </c>
      <c r="D314" s="218">
        <f t="shared" ref="D314:AG314" si="161">D313/(1-D271)</f>
        <v>99508.881371656375</v>
      </c>
      <c r="E314" s="218">
        <f t="shared" si="161"/>
        <v>110097.4138234295</v>
      </c>
      <c r="F314" s="218">
        <f t="shared" si="161"/>
        <v>120628.7790041979</v>
      </c>
      <c r="G314" s="218">
        <f t="shared" si="161"/>
        <v>131103.11033479765</v>
      </c>
      <c r="H314" s="218">
        <f t="shared" si="161"/>
        <v>141520.54317246506</v>
      </c>
      <c r="I314" s="218">
        <f t="shared" si="161"/>
        <v>151403.05841852314</v>
      </c>
      <c r="J314" s="218">
        <f t="shared" si="161"/>
        <v>161169.4042927555</v>
      </c>
      <c r="K314" s="218">
        <f t="shared" si="161"/>
        <v>170821.09173858262</v>
      </c>
      <c r="L314" s="218">
        <f t="shared" si="161"/>
        <v>180359.6028266761</v>
      </c>
      <c r="M314" s="218">
        <f t="shared" si="161"/>
        <v>189786.39149076378</v>
      </c>
      <c r="N314" s="218">
        <f t="shared" si="161"/>
        <v>195722.83582457507</v>
      </c>
      <c r="O314" s="218">
        <f t="shared" si="161"/>
        <v>201584.96883687843</v>
      </c>
      <c r="P314" s="218">
        <f t="shared" si="161"/>
        <v>207370.69920683646</v>
      </c>
      <c r="Q314" s="218">
        <f t="shared" si="161"/>
        <v>213083.26497540725</v>
      </c>
      <c r="R314" s="218">
        <f t="shared" si="161"/>
        <v>218723.39579470994</v>
      </c>
      <c r="S314" s="218">
        <f t="shared" si="161"/>
        <v>224291.81981085771</v>
      </c>
      <c r="T314" s="218">
        <f t="shared" si="161"/>
        <v>229789.23397201931</v>
      </c>
      <c r="U314" s="218">
        <f t="shared" si="161"/>
        <v>235216.33342920963</v>
      </c>
      <c r="V314" s="218">
        <f t="shared" si="161"/>
        <v>240573.80238163844</v>
      </c>
      <c r="W314" s="218">
        <f t="shared" si="161"/>
        <v>245862.31433439491</v>
      </c>
      <c r="X314" s="218">
        <f t="shared" si="161"/>
        <v>254582.07523008599</v>
      </c>
      <c r="Y314" s="218">
        <f t="shared" si="161"/>
        <v>263194.65122703061</v>
      </c>
      <c r="Z314" s="218">
        <f t="shared" si="161"/>
        <v>271682.95621832553</v>
      </c>
      <c r="AA314" s="218">
        <f t="shared" si="161"/>
        <v>280063.65682070924</v>
      </c>
      <c r="AB314" s="218">
        <f t="shared" si="161"/>
        <v>288337.6063967318</v>
      </c>
      <c r="AC314" s="218">
        <f t="shared" si="161"/>
        <v>296478.20518299745</v>
      </c>
      <c r="AD314" s="218">
        <f t="shared" si="161"/>
        <v>304512.28792266705</v>
      </c>
      <c r="AE314" s="218">
        <f t="shared" si="161"/>
        <v>312440.69384370057</v>
      </c>
      <c r="AF314" s="218">
        <f t="shared" si="161"/>
        <v>320264.24697704439</v>
      </c>
      <c r="AG314" s="218">
        <f t="shared" si="161"/>
        <v>327983.75654149399</v>
      </c>
      <c r="AI314" s="616"/>
      <c r="AJ314" s="272"/>
    </row>
    <row r="315" spans="1:36" s="160" customFormat="1">
      <c r="A315" s="160" t="s">
        <v>1056</v>
      </c>
      <c r="B315" s="298" t="s">
        <v>127</v>
      </c>
      <c r="C315" s="218">
        <f>C303</f>
        <v>0</v>
      </c>
      <c r="D315" s="218">
        <f t="shared" ref="D315:AG315" si="162">D303</f>
        <v>0</v>
      </c>
      <c r="E315" s="218">
        <f t="shared" si="162"/>
        <v>0</v>
      </c>
      <c r="F315" s="218">
        <f t="shared" si="162"/>
        <v>0</v>
      </c>
      <c r="G315" s="218">
        <f t="shared" si="162"/>
        <v>0</v>
      </c>
      <c r="H315" s="218">
        <f t="shared" si="162"/>
        <v>0</v>
      </c>
      <c r="I315" s="218">
        <f t="shared" si="162"/>
        <v>0</v>
      </c>
      <c r="J315" s="218">
        <f t="shared" si="162"/>
        <v>0</v>
      </c>
      <c r="K315" s="218">
        <f t="shared" si="162"/>
        <v>0</v>
      </c>
      <c r="L315" s="218">
        <f t="shared" si="162"/>
        <v>0</v>
      </c>
      <c r="M315" s="218">
        <f t="shared" si="162"/>
        <v>0</v>
      </c>
      <c r="N315" s="218">
        <f t="shared" si="162"/>
        <v>0</v>
      </c>
      <c r="O315" s="218">
        <f t="shared" si="162"/>
        <v>0</v>
      </c>
      <c r="P315" s="218">
        <f t="shared" si="162"/>
        <v>0</v>
      </c>
      <c r="Q315" s="218">
        <f t="shared" si="162"/>
        <v>0</v>
      </c>
      <c r="R315" s="218">
        <f t="shared" si="162"/>
        <v>0</v>
      </c>
      <c r="S315" s="218">
        <f t="shared" si="162"/>
        <v>0</v>
      </c>
      <c r="T315" s="218">
        <f t="shared" si="162"/>
        <v>0</v>
      </c>
      <c r="U315" s="218">
        <f t="shared" si="162"/>
        <v>0</v>
      </c>
      <c r="V315" s="218">
        <f t="shared" si="162"/>
        <v>0</v>
      </c>
      <c r="W315" s="218">
        <f t="shared" si="162"/>
        <v>0</v>
      </c>
      <c r="X315" s="218">
        <f t="shared" si="162"/>
        <v>0</v>
      </c>
      <c r="Y315" s="218">
        <f t="shared" si="162"/>
        <v>0</v>
      </c>
      <c r="Z315" s="218">
        <f t="shared" si="162"/>
        <v>0</v>
      </c>
      <c r="AA315" s="218">
        <f t="shared" si="162"/>
        <v>0</v>
      </c>
      <c r="AB315" s="218">
        <f t="shared" si="162"/>
        <v>0</v>
      </c>
      <c r="AC315" s="218">
        <f t="shared" si="162"/>
        <v>0</v>
      </c>
      <c r="AD315" s="218">
        <f t="shared" si="162"/>
        <v>0</v>
      </c>
      <c r="AE315" s="218">
        <f t="shared" si="162"/>
        <v>0</v>
      </c>
      <c r="AF315" s="218">
        <f t="shared" si="162"/>
        <v>0</v>
      </c>
      <c r="AG315" s="218">
        <f t="shared" si="162"/>
        <v>0</v>
      </c>
      <c r="AI315" s="616"/>
      <c r="AJ315" s="272"/>
    </row>
    <row r="316" spans="1:36" s="160" customFormat="1">
      <c r="A316" s="160" t="s">
        <v>1057</v>
      </c>
      <c r="B316" s="298" t="s">
        <v>127</v>
      </c>
      <c r="C316" s="218">
        <f>C314-C315</f>
        <v>88863.050240243494</v>
      </c>
      <c r="D316" s="218">
        <f t="shared" ref="D316:AG316" si="163">D314-D315</f>
        <v>99508.881371656375</v>
      </c>
      <c r="E316" s="218">
        <f t="shared" si="163"/>
        <v>110097.4138234295</v>
      </c>
      <c r="F316" s="218">
        <f t="shared" si="163"/>
        <v>120628.7790041979</v>
      </c>
      <c r="G316" s="218">
        <f t="shared" si="163"/>
        <v>131103.11033479765</v>
      </c>
      <c r="H316" s="218">
        <f t="shared" si="163"/>
        <v>141520.54317246506</v>
      </c>
      <c r="I316" s="218">
        <f t="shared" si="163"/>
        <v>151403.05841852314</v>
      </c>
      <c r="J316" s="218">
        <f t="shared" si="163"/>
        <v>161169.4042927555</v>
      </c>
      <c r="K316" s="218">
        <f t="shared" si="163"/>
        <v>170821.09173858262</v>
      </c>
      <c r="L316" s="218">
        <f t="shared" si="163"/>
        <v>180359.6028266761</v>
      </c>
      <c r="M316" s="218">
        <f t="shared" si="163"/>
        <v>189786.39149076378</v>
      </c>
      <c r="N316" s="218">
        <f t="shared" si="163"/>
        <v>195722.83582457507</v>
      </c>
      <c r="O316" s="218">
        <f t="shared" si="163"/>
        <v>201584.96883687843</v>
      </c>
      <c r="P316" s="218">
        <f t="shared" si="163"/>
        <v>207370.69920683646</v>
      </c>
      <c r="Q316" s="218">
        <f t="shared" si="163"/>
        <v>213083.26497540725</v>
      </c>
      <c r="R316" s="218">
        <f t="shared" si="163"/>
        <v>218723.39579470994</v>
      </c>
      <c r="S316" s="218">
        <f t="shared" si="163"/>
        <v>224291.81981085771</v>
      </c>
      <c r="T316" s="218">
        <f t="shared" si="163"/>
        <v>229789.23397201931</v>
      </c>
      <c r="U316" s="218">
        <f t="shared" si="163"/>
        <v>235216.33342920963</v>
      </c>
      <c r="V316" s="218">
        <f t="shared" si="163"/>
        <v>240573.80238163844</v>
      </c>
      <c r="W316" s="218">
        <f t="shared" si="163"/>
        <v>245862.31433439491</v>
      </c>
      <c r="X316" s="218">
        <f t="shared" si="163"/>
        <v>254582.07523008599</v>
      </c>
      <c r="Y316" s="218">
        <f t="shared" si="163"/>
        <v>263194.65122703061</v>
      </c>
      <c r="Z316" s="218">
        <f t="shared" si="163"/>
        <v>271682.95621832553</v>
      </c>
      <c r="AA316" s="218">
        <f t="shared" si="163"/>
        <v>280063.65682070924</v>
      </c>
      <c r="AB316" s="218">
        <f t="shared" si="163"/>
        <v>288337.6063967318</v>
      </c>
      <c r="AC316" s="218">
        <f t="shared" si="163"/>
        <v>296478.20518299745</v>
      </c>
      <c r="AD316" s="218">
        <f t="shared" si="163"/>
        <v>304512.28792266705</v>
      </c>
      <c r="AE316" s="218">
        <f t="shared" si="163"/>
        <v>312440.69384370057</v>
      </c>
      <c r="AF316" s="218">
        <f t="shared" si="163"/>
        <v>320264.24697704439</v>
      </c>
      <c r="AG316" s="218">
        <f t="shared" si="163"/>
        <v>327983.75654149399</v>
      </c>
      <c r="AI316" s="616"/>
      <c r="AJ316" s="272"/>
    </row>
    <row r="317" spans="1:36" s="160" customFormat="1">
      <c r="A317" s="160" t="s">
        <v>1058</v>
      </c>
      <c r="B317" s="298" t="s">
        <v>127</v>
      </c>
      <c r="C317" s="218">
        <f>(C316)/(1-C268)</f>
        <v>111078.81280030437</v>
      </c>
      <c r="D317" s="218">
        <f t="shared" ref="D317:AG317" si="164">(D314-D303)/(1-D268)</f>
        <v>123869.9768111905</v>
      </c>
      <c r="E317" s="218">
        <f t="shared" si="164"/>
        <v>136484.39730177211</v>
      </c>
      <c r="F317" s="218">
        <f t="shared" si="164"/>
        <v>148924.41852370111</v>
      </c>
      <c r="G317" s="218">
        <f t="shared" si="164"/>
        <v>161192.3487722922</v>
      </c>
      <c r="H317" s="218">
        <f t="shared" si="164"/>
        <v>173290.46102750822</v>
      </c>
      <c r="I317" s="218">
        <f t="shared" si="164"/>
        <v>184637.87612015018</v>
      </c>
      <c r="J317" s="218">
        <f t="shared" si="164"/>
        <v>195752.3129061808</v>
      </c>
      <c r="K317" s="218">
        <f t="shared" si="164"/>
        <v>206638.41742570477</v>
      </c>
      <c r="L317" s="218">
        <f t="shared" si="164"/>
        <v>217300.72629720013</v>
      </c>
      <c r="M317" s="218">
        <f t="shared" si="164"/>
        <v>227743.66978891657</v>
      </c>
      <c r="N317" s="218">
        <f t="shared" si="164"/>
        <v>233931.6762843527</v>
      </c>
      <c r="O317" s="218">
        <f t="shared" si="164"/>
        <v>239982.10575818864</v>
      </c>
      <c r="P317" s="218">
        <f t="shared" si="164"/>
        <v>245894.10973142667</v>
      </c>
      <c r="Q317" s="218">
        <f t="shared" si="164"/>
        <v>251673.14760874875</v>
      </c>
      <c r="R317" s="218">
        <f t="shared" si="164"/>
        <v>257321.64211142351</v>
      </c>
      <c r="S317" s="218">
        <f t="shared" si="164"/>
        <v>262841.97634084889</v>
      </c>
      <c r="T317" s="218">
        <f t="shared" si="164"/>
        <v>268236.45988951676</v>
      </c>
      <c r="U317" s="218">
        <f t="shared" si="164"/>
        <v>273507.3644525694</v>
      </c>
      <c r="V317" s="218">
        <f t="shared" si="164"/>
        <v>278656.91395556583</v>
      </c>
      <c r="W317" s="218">
        <f t="shared" si="164"/>
        <v>283687.28577045572</v>
      </c>
      <c r="X317" s="218">
        <f t="shared" si="164"/>
        <v>292623.07497711037</v>
      </c>
      <c r="Y317" s="218">
        <f t="shared" si="164"/>
        <v>301367.92125232518</v>
      </c>
      <c r="Z317" s="218">
        <f t="shared" si="164"/>
        <v>309904.51279656909</v>
      </c>
      <c r="AA317" s="218">
        <f t="shared" si="164"/>
        <v>318254.1554780787</v>
      </c>
      <c r="AB317" s="218">
        <f t="shared" si="164"/>
        <v>326419.93176988512</v>
      </c>
      <c r="AC317" s="218">
        <f t="shared" si="164"/>
        <v>334373.91561992199</v>
      </c>
      <c r="AD317" s="218">
        <f t="shared" si="164"/>
        <v>342148.63811535633</v>
      </c>
      <c r="AE317" s="218">
        <f t="shared" si="164"/>
        <v>349747.04534742609</v>
      </c>
      <c r="AF317" s="218">
        <f t="shared" si="164"/>
        <v>357172.02265097894</v>
      </c>
      <c r="AG317" s="218">
        <f t="shared" si="164"/>
        <v>364426.39615721552</v>
      </c>
      <c r="AI317" s="616"/>
      <c r="AJ317" s="272"/>
    </row>
    <row r="318" spans="1:36" s="160" customFormat="1">
      <c r="A318" s="160" t="s">
        <v>1059</v>
      </c>
      <c r="B318" s="298" t="s">
        <v>127</v>
      </c>
      <c r="C318" s="218">
        <f>IF(C297&gt;C317,C317,C297)</f>
        <v>81438.404624957111</v>
      </c>
      <c r="D318" s="218">
        <f t="shared" ref="D318:AG318" si="165">IF(D297&gt;D317,D317,D297)</f>
        <v>84706.40420527049</v>
      </c>
      <c r="E318" s="218">
        <f t="shared" si="165"/>
        <v>87960.932909442228</v>
      </c>
      <c r="F318" s="218">
        <f t="shared" si="165"/>
        <v>91202.030313693947</v>
      </c>
      <c r="G318" s="218">
        <f t="shared" si="165"/>
        <v>94429.735896102531</v>
      </c>
      <c r="H318" s="218">
        <f t="shared" si="165"/>
        <v>97644.089036811842</v>
      </c>
      <c r="I318" s="218">
        <f t="shared" si="165"/>
        <v>100570.12266838249</v>
      </c>
      <c r="J318" s="218">
        <f t="shared" si="165"/>
        <v>103465.4160652771</v>
      </c>
      <c r="K318" s="218">
        <f t="shared" si="165"/>
        <v>106330.10922475766</v>
      </c>
      <c r="L318" s="218">
        <f t="shared" si="165"/>
        <v>109164.34167848647</v>
      </c>
      <c r="M318" s="218">
        <f t="shared" si="165"/>
        <v>111968.252493797</v>
      </c>
      <c r="N318" s="218">
        <f t="shared" si="165"/>
        <v>114721.21236869985</v>
      </c>
      <c r="O318" s="218">
        <f t="shared" si="165"/>
        <v>117443.00969761288</v>
      </c>
      <c r="P318" s="218">
        <f t="shared" si="165"/>
        <v>120130.94035659891</v>
      </c>
      <c r="Q318" s="218">
        <f t="shared" si="165"/>
        <v>122787.80727733472</v>
      </c>
      <c r="R318" s="218">
        <f t="shared" si="165"/>
        <v>125413.75120890538</v>
      </c>
      <c r="S318" s="218">
        <f t="shared" si="165"/>
        <v>128008.91892938262</v>
      </c>
      <c r="T318" s="218">
        <f t="shared" si="165"/>
        <v>130573.4440887174</v>
      </c>
      <c r="U318" s="218">
        <f t="shared" si="165"/>
        <v>133107.46606445286</v>
      </c>
      <c r="V318" s="218">
        <f t="shared" si="165"/>
        <v>135611.12377996036</v>
      </c>
      <c r="W318" s="218">
        <f t="shared" si="165"/>
        <v>138084.5557056418</v>
      </c>
      <c r="X318" s="218">
        <f t="shared" si="165"/>
        <v>140527.97909834591</v>
      </c>
      <c r="Y318" s="218">
        <f t="shared" si="165"/>
        <v>142941.45553142449</v>
      </c>
      <c r="Z318" s="218">
        <f t="shared" si="165"/>
        <v>145311.88808919204</v>
      </c>
      <c r="AA318" s="218">
        <f t="shared" si="165"/>
        <v>147651.77011334134</v>
      </c>
      <c r="AB318" s="218">
        <f t="shared" si="165"/>
        <v>149961.22021028594</v>
      </c>
      <c r="AC318" s="218">
        <f t="shared" si="165"/>
        <v>152226.91775187664</v>
      </c>
      <c r="AD318" s="218">
        <f t="shared" si="165"/>
        <v>154461.93002658454</v>
      </c>
      <c r="AE318" s="218">
        <f t="shared" si="165"/>
        <v>156666.3776530028</v>
      </c>
      <c r="AF318" s="218">
        <f t="shared" si="165"/>
        <v>158840.38094583945</v>
      </c>
      <c r="AG318" s="218">
        <f t="shared" si="165"/>
        <v>160984.05991641755</v>
      </c>
      <c r="AI318" s="616"/>
      <c r="AJ318" s="272"/>
    </row>
    <row r="319" spans="1:36" s="160" customFormat="1">
      <c r="A319" s="160" t="s">
        <v>1060</v>
      </c>
      <c r="B319" s="298" t="s">
        <v>127</v>
      </c>
      <c r="C319" s="218">
        <f>IF(C317-C318&lt;0,0,C317-C318)</f>
        <v>29640.408175347256</v>
      </c>
      <c r="D319" s="218">
        <f t="shared" ref="D319:AG319" si="166">IF(D317-D318&lt;0,0,D317-D318)</f>
        <v>39163.57260592001</v>
      </c>
      <c r="E319" s="218">
        <f t="shared" si="166"/>
        <v>48523.464392329886</v>
      </c>
      <c r="F319" s="218">
        <f t="shared" si="166"/>
        <v>57722.388210007164</v>
      </c>
      <c r="G319" s="218">
        <f t="shared" si="166"/>
        <v>66762.612876189669</v>
      </c>
      <c r="H319" s="218">
        <f t="shared" si="166"/>
        <v>75646.371990696382</v>
      </c>
      <c r="I319" s="218">
        <f t="shared" si="166"/>
        <v>84067.753451767683</v>
      </c>
      <c r="J319" s="218">
        <f t="shared" si="166"/>
        <v>92286.896840903704</v>
      </c>
      <c r="K319" s="218">
        <f t="shared" si="166"/>
        <v>100308.30820094711</v>
      </c>
      <c r="L319" s="218">
        <f t="shared" si="166"/>
        <v>108136.38461871367</v>
      </c>
      <c r="M319" s="218">
        <f t="shared" si="166"/>
        <v>115775.41729511957</v>
      </c>
      <c r="N319" s="218">
        <f t="shared" si="166"/>
        <v>119210.46391565284</v>
      </c>
      <c r="O319" s="218">
        <f t="shared" si="166"/>
        <v>122539.09606057576</v>
      </c>
      <c r="P319" s="218">
        <f t="shared" si="166"/>
        <v>125763.16937482776</v>
      </c>
      <c r="Q319" s="218">
        <f t="shared" si="166"/>
        <v>128885.34033141403</v>
      </c>
      <c r="R319" s="218">
        <f t="shared" si="166"/>
        <v>131907.89090251812</v>
      </c>
      <c r="S319" s="218">
        <f t="shared" si="166"/>
        <v>134833.05741146626</v>
      </c>
      <c r="T319" s="218">
        <f t="shared" si="166"/>
        <v>137663.01580079936</v>
      </c>
      <c r="U319" s="218">
        <f t="shared" si="166"/>
        <v>140399.89838811653</v>
      </c>
      <c r="V319" s="218">
        <f t="shared" si="166"/>
        <v>143045.79017560548</v>
      </c>
      <c r="W319" s="218">
        <f t="shared" si="166"/>
        <v>145602.73006481392</v>
      </c>
      <c r="X319" s="218">
        <f t="shared" si="166"/>
        <v>152095.09587876446</v>
      </c>
      <c r="Y319" s="218">
        <f t="shared" si="166"/>
        <v>158426.46572090068</v>
      </c>
      <c r="Z319" s="218">
        <f t="shared" si="166"/>
        <v>164592.62470737705</v>
      </c>
      <c r="AA319" s="218">
        <f t="shared" si="166"/>
        <v>170602.38536473736</v>
      </c>
      <c r="AB319" s="218">
        <f t="shared" si="166"/>
        <v>176458.71155959918</v>
      </c>
      <c r="AC319" s="218">
        <f t="shared" si="166"/>
        <v>182146.99786804535</v>
      </c>
      <c r="AD319" s="218">
        <f t="shared" si="166"/>
        <v>187686.70808877179</v>
      </c>
      <c r="AE319" s="218">
        <f t="shared" si="166"/>
        <v>193080.66769442329</v>
      </c>
      <c r="AF319" s="218">
        <f t="shared" si="166"/>
        <v>198331.64170513948</v>
      </c>
      <c r="AG319" s="218">
        <f t="shared" si="166"/>
        <v>203442.33624079797</v>
      </c>
      <c r="AI319" s="616"/>
      <c r="AJ319" s="272"/>
    </row>
    <row r="320" spans="1:36" s="160" customFormat="1">
      <c r="A320" s="160" t="s">
        <v>1061</v>
      </c>
      <c r="B320" s="298" t="s">
        <v>127</v>
      </c>
      <c r="C320" s="218">
        <f>C314*C271+C268*C317+C304+IF(C297&gt;C317,C297-C317,0)</f>
        <v>46208.786124926613</v>
      </c>
      <c r="D320" s="218">
        <f t="shared" ref="D320:AG320" si="167">D314*D271+D268*D317+D304+IF(D297&gt;D317,D297-D317,0)</f>
        <v>50830.457884394731</v>
      </c>
      <c r="E320" s="218">
        <f t="shared" si="167"/>
        <v>55232.505900081145</v>
      </c>
      <c r="F320" s="218">
        <f t="shared" si="167"/>
        <v>59417.864502586279</v>
      </c>
      <c r="G320" s="218">
        <f t="shared" si="167"/>
        <v>63389.428462533149</v>
      </c>
      <c r="H320" s="218">
        <f t="shared" si="167"/>
        <v>67150.053648159446</v>
      </c>
      <c r="I320" s="218">
        <f t="shared" si="167"/>
        <v>70479.970072583732</v>
      </c>
      <c r="J320" s="218">
        <f t="shared" si="167"/>
        <v>73585.904452272109</v>
      </c>
      <c r="K320" s="218">
        <f t="shared" si="167"/>
        <v>76472.745520904835</v>
      </c>
      <c r="L320" s="218">
        <f t="shared" si="167"/>
        <v>79145.270531966235</v>
      </c>
      <c r="M320" s="218">
        <f t="shared" si="167"/>
        <v>81608.148341028442</v>
      </c>
      <c r="N320" s="218">
        <f t="shared" si="167"/>
        <v>82442.201356131583</v>
      </c>
      <c r="O320" s="218">
        <f t="shared" si="167"/>
        <v>83149.000003097201</v>
      </c>
      <c r="P320" s="218">
        <f t="shared" si="167"/>
        <v>83730.222951680538</v>
      </c>
      <c r="Q320" s="218">
        <f t="shared" si="167"/>
        <v>84189.701338078652</v>
      </c>
      <c r="R320" s="218">
        <f t="shared" si="167"/>
        <v>84530.159433602646</v>
      </c>
      <c r="S320" s="218">
        <f t="shared" si="167"/>
        <v>84754.271411027876</v>
      </c>
      <c r="T320" s="218">
        <f t="shared" si="167"/>
        <v>84864.651179845328</v>
      </c>
      <c r="U320" s="218">
        <f t="shared" si="167"/>
        <v>84863.865042343241</v>
      </c>
      <c r="V320" s="218">
        <f t="shared" si="167"/>
        <v>84754.429235965217</v>
      </c>
      <c r="W320" s="218">
        <f t="shared" si="167"/>
        <v>84538.811159595818</v>
      </c>
      <c r="X320" s="218">
        <f t="shared" si="167"/>
        <v>85393.265739820374</v>
      </c>
      <c r="Y320" s="218">
        <f t="shared" si="167"/>
        <v>86074.696548614127</v>
      </c>
      <c r="Z320" s="218">
        <f t="shared" si="167"/>
        <v>86581.122785105486</v>
      </c>
      <c r="AA320" s="218">
        <f t="shared" si="167"/>
        <v>86921.574944172884</v>
      </c>
      <c r="AB320" s="218">
        <f t="shared" si="167"/>
        <v>87099.718460597709</v>
      </c>
      <c r="AC320" s="218">
        <f t="shared" si="167"/>
        <v>87111.092497302103</v>
      </c>
      <c r="AD320" s="218">
        <f t="shared" si="167"/>
        <v>86967.340836161296</v>
      </c>
      <c r="AE320" s="218">
        <f t="shared" si="167"/>
        <v>86671.981131030188</v>
      </c>
      <c r="AF320" s="218">
        <f t="shared" si="167"/>
        <v>86228.469708399367</v>
      </c>
      <c r="AG320" s="218">
        <f t="shared" si="167"/>
        <v>85640.203096945654</v>
      </c>
      <c r="AI320" s="616"/>
      <c r="AJ320" s="272"/>
    </row>
    <row r="321" spans="1:37" s="160" customFormat="1">
      <c r="A321" s="160" t="s">
        <v>1062</v>
      </c>
      <c r="B321" s="298" t="s">
        <v>127</v>
      </c>
      <c r="C321" s="218">
        <f>C300-C319</f>
        <v>431843.88469940971</v>
      </c>
      <c r="D321" s="218">
        <f t="shared" ref="D321:AF321" si="168">D300-D319</f>
        <v>417962.03303062503</v>
      </c>
      <c r="E321" s="218">
        <f t="shared" si="168"/>
        <v>404259.04271529079</v>
      </c>
      <c r="F321" s="218">
        <f t="shared" si="168"/>
        <v>390732.56558099686</v>
      </c>
      <c r="G321" s="218">
        <f t="shared" si="168"/>
        <v>377380.28941840678</v>
      </c>
      <c r="H321" s="218">
        <f t="shared" si="168"/>
        <v>364199.93734026351</v>
      </c>
      <c r="I321" s="218">
        <f t="shared" si="168"/>
        <v>350309.58488188451</v>
      </c>
      <c r="J321" s="218">
        <f t="shared" si="168"/>
        <v>336659.77662354708</v>
      </c>
      <c r="K321" s="218">
        <f t="shared" si="168"/>
        <v>323245.84781395155</v>
      </c>
      <c r="L321" s="218">
        <f t="shared" si="168"/>
        <v>310063.24316408741</v>
      </c>
      <c r="M321" s="218">
        <f t="shared" si="168"/>
        <v>297107.51377575711</v>
      </c>
      <c r="N321" s="218">
        <f t="shared" si="168"/>
        <v>288319.66985540412</v>
      </c>
      <c r="O321" s="218">
        <f t="shared" si="168"/>
        <v>279677.22918700142</v>
      </c>
      <c r="P321" s="218">
        <f t="shared" si="168"/>
        <v>271168.76124389173</v>
      </c>
      <c r="Q321" s="218">
        <f t="shared" si="168"/>
        <v>262800.90522924619</v>
      </c>
      <c r="R321" s="218">
        <f t="shared" si="168"/>
        <v>254571.21996574162</v>
      </c>
      <c r="S321" s="218">
        <f t="shared" si="168"/>
        <v>246477.32974422816</v>
      </c>
      <c r="T321" s="218">
        <f t="shared" si="168"/>
        <v>238516.8806876532</v>
      </c>
      <c r="U321" s="218">
        <f t="shared" si="168"/>
        <v>230687.58276126746</v>
      </c>
      <c r="V321" s="218">
        <f t="shared" si="168"/>
        <v>222987.19373849241</v>
      </c>
      <c r="W321" s="218">
        <f t="shared" si="168"/>
        <v>215413.51798487629</v>
      </c>
      <c r="X321" s="218">
        <f t="shared" si="168"/>
        <v>203942.22219018982</v>
      </c>
      <c r="Y321" s="218">
        <f t="shared" si="168"/>
        <v>192669.36745075509</v>
      </c>
      <c r="Z321" s="218">
        <f t="shared" si="168"/>
        <v>181567.48750509531</v>
      </c>
      <c r="AA321" s="218">
        <f t="shared" si="168"/>
        <v>170658.99059258815</v>
      </c>
      <c r="AB321" s="218">
        <f t="shared" si="168"/>
        <v>159940.78242563704</v>
      </c>
      <c r="AC321" s="218">
        <f t="shared" si="168"/>
        <v>149398.06876104209</v>
      </c>
      <c r="AD321" s="218">
        <f t="shared" si="168"/>
        <v>139041.17505157384</v>
      </c>
      <c r="AE321" s="218">
        <f t="shared" si="168"/>
        <v>128867.14300186979</v>
      </c>
      <c r="AF321" s="218">
        <f t="shared" si="168"/>
        <v>118873.07508879981</v>
      </c>
      <c r="AG321" s="218">
        <f>AG300-AG319</f>
        <v>109056.1330087184</v>
      </c>
      <c r="AI321" s="616"/>
      <c r="AJ321" s="272"/>
    </row>
    <row r="322" spans="1:37" s="160" customFormat="1">
      <c r="B322" s="299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  <c r="AB322" s="276"/>
      <c r="AC322" s="276"/>
      <c r="AD322" s="276"/>
      <c r="AE322" s="276"/>
      <c r="AF322" s="276"/>
      <c r="AG322" s="276"/>
      <c r="AJ322" s="272"/>
    </row>
    <row r="323" spans="1:37" s="160" customFormat="1">
      <c r="A323" s="160" t="s">
        <v>677</v>
      </c>
      <c r="B323" s="299" t="s">
        <v>126</v>
      </c>
      <c r="C323" s="246">
        <v>0.8</v>
      </c>
      <c r="D323" s="267">
        <f>C323</f>
        <v>0.8</v>
      </c>
      <c r="E323" s="267">
        <f t="shared" ref="E323:AG323" si="169">D323</f>
        <v>0.8</v>
      </c>
      <c r="F323" s="267">
        <f t="shared" si="169"/>
        <v>0.8</v>
      </c>
      <c r="G323" s="267">
        <f t="shared" si="169"/>
        <v>0.8</v>
      </c>
      <c r="H323" s="267">
        <f t="shared" si="169"/>
        <v>0.8</v>
      </c>
      <c r="I323" s="267">
        <f t="shared" si="169"/>
        <v>0.8</v>
      </c>
      <c r="J323" s="267">
        <f t="shared" si="169"/>
        <v>0.8</v>
      </c>
      <c r="K323" s="267">
        <f t="shared" si="169"/>
        <v>0.8</v>
      </c>
      <c r="L323" s="267">
        <f t="shared" si="169"/>
        <v>0.8</v>
      </c>
      <c r="M323" s="267">
        <f t="shared" si="169"/>
        <v>0.8</v>
      </c>
      <c r="N323" s="267">
        <f t="shared" si="169"/>
        <v>0.8</v>
      </c>
      <c r="O323" s="267">
        <f t="shared" si="169"/>
        <v>0.8</v>
      </c>
      <c r="P323" s="267">
        <f t="shared" si="169"/>
        <v>0.8</v>
      </c>
      <c r="Q323" s="267">
        <f t="shared" si="169"/>
        <v>0.8</v>
      </c>
      <c r="R323" s="267">
        <f t="shared" si="169"/>
        <v>0.8</v>
      </c>
      <c r="S323" s="267">
        <f t="shared" si="169"/>
        <v>0.8</v>
      </c>
      <c r="T323" s="267">
        <f t="shared" si="169"/>
        <v>0.8</v>
      </c>
      <c r="U323" s="267">
        <f t="shared" si="169"/>
        <v>0.8</v>
      </c>
      <c r="V323" s="267">
        <f t="shared" si="169"/>
        <v>0.8</v>
      </c>
      <c r="W323" s="267">
        <f t="shared" si="169"/>
        <v>0.8</v>
      </c>
      <c r="X323" s="267">
        <f t="shared" si="169"/>
        <v>0.8</v>
      </c>
      <c r="Y323" s="267">
        <f t="shared" si="169"/>
        <v>0.8</v>
      </c>
      <c r="Z323" s="267">
        <f t="shared" si="169"/>
        <v>0.8</v>
      </c>
      <c r="AA323" s="267">
        <f t="shared" si="169"/>
        <v>0.8</v>
      </c>
      <c r="AB323" s="267">
        <f t="shared" si="169"/>
        <v>0.8</v>
      </c>
      <c r="AC323" s="267">
        <f t="shared" si="169"/>
        <v>0.8</v>
      </c>
      <c r="AD323" s="267">
        <f t="shared" si="169"/>
        <v>0.8</v>
      </c>
      <c r="AE323" s="267">
        <f t="shared" si="169"/>
        <v>0.8</v>
      </c>
      <c r="AF323" s="267">
        <f t="shared" si="169"/>
        <v>0.8</v>
      </c>
      <c r="AG323" s="267">
        <f t="shared" si="169"/>
        <v>0.8</v>
      </c>
      <c r="AJ323" s="272" t="s">
        <v>678</v>
      </c>
    </row>
    <row r="324" spans="1:37" s="160" customFormat="1">
      <c r="B324" s="299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  <c r="AB324" s="276"/>
      <c r="AC324" s="276"/>
      <c r="AD324" s="276"/>
      <c r="AE324" s="276"/>
      <c r="AF324" s="276"/>
      <c r="AG324" s="276"/>
      <c r="AJ324" s="272"/>
    </row>
    <row r="325" spans="1:37" s="160" customFormat="1">
      <c r="A325" s="160" t="s">
        <v>634</v>
      </c>
      <c r="B325" s="299" t="s">
        <v>127</v>
      </c>
      <c r="C325" s="276">
        <f>C259*C320*C323</f>
        <v>36967.028899941295</v>
      </c>
      <c r="D325" s="276">
        <f t="shared" ref="D325:AG325" si="170">D259*D320*D323</f>
        <v>40664.366307515789</v>
      </c>
      <c r="E325" s="276">
        <f t="shared" si="170"/>
        <v>44186.004720064921</v>
      </c>
      <c r="F325" s="276">
        <f t="shared" si="170"/>
        <v>47534.291602069025</v>
      </c>
      <c r="G325" s="276">
        <f t="shared" si="170"/>
        <v>50711.542770026521</v>
      </c>
      <c r="H325" s="276">
        <f t="shared" si="170"/>
        <v>53720.042918527557</v>
      </c>
      <c r="I325" s="276">
        <f t="shared" si="170"/>
        <v>56383.97605806699</v>
      </c>
      <c r="J325" s="276">
        <f t="shared" si="170"/>
        <v>58868.723561817693</v>
      </c>
      <c r="K325" s="276">
        <f t="shared" si="170"/>
        <v>61178.196416723869</v>
      </c>
      <c r="L325" s="276">
        <f t="shared" si="170"/>
        <v>63316.216425572988</v>
      </c>
      <c r="M325" s="276">
        <f t="shared" si="170"/>
        <v>65286.518672822756</v>
      </c>
      <c r="N325" s="276">
        <f t="shared" si="170"/>
        <v>65953.761084905273</v>
      </c>
      <c r="O325" s="276">
        <f t="shared" si="170"/>
        <v>66519.200002477766</v>
      </c>
      <c r="P325" s="276">
        <f t="shared" si="170"/>
        <v>66984.178361344428</v>
      </c>
      <c r="Q325" s="276">
        <f t="shared" si="170"/>
        <v>67351.761070462919</v>
      </c>
      <c r="R325" s="276">
        <f t="shared" si="170"/>
        <v>67624.127546882126</v>
      </c>
      <c r="S325" s="276">
        <f t="shared" si="170"/>
        <v>67803.417128822301</v>
      </c>
      <c r="T325" s="276">
        <f t="shared" si="170"/>
        <v>67891.720943876266</v>
      </c>
      <c r="U325" s="276">
        <f t="shared" si="170"/>
        <v>67891.092033874593</v>
      </c>
      <c r="V325" s="276">
        <f t="shared" si="170"/>
        <v>67803.543388772174</v>
      </c>
      <c r="W325" s="276">
        <f t="shared" si="170"/>
        <v>67631.04892767666</v>
      </c>
      <c r="X325" s="276">
        <f t="shared" si="170"/>
        <v>68314.612591856305</v>
      </c>
      <c r="Y325" s="276">
        <f t="shared" si="170"/>
        <v>68859.75723889131</v>
      </c>
      <c r="Z325" s="276">
        <f t="shared" si="170"/>
        <v>69264.898228084392</v>
      </c>
      <c r="AA325" s="276">
        <f t="shared" si="170"/>
        <v>69537.259955338304</v>
      </c>
      <c r="AB325" s="276">
        <f t="shared" si="170"/>
        <v>69679.774768478164</v>
      </c>
      <c r="AC325" s="276">
        <f t="shared" si="170"/>
        <v>69688.873997841685</v>
      </c>
      <c r="AD325" s="276">
        <f t="shared" si="170"/>
        <v>69573.872668929034</v>
      </c>
      <c r="AE325" s="276">
        <f t="shared" si="170"/>
        <v>69337.584904824151</v>
      </c>
      <c r="AF325" s="276">
        <f t="shared" si="170"/>
        <v>68982.775766719496</v>
      </c>
      <c r="AG325" s="276">
        <f t="shared" si="170"/>
        <v>68512.162477556529</v>
      </c>
      <c r="AJ325" s="272"/>
    </row>
    <row r="326" spans="1:37" s="160" customFormat="1">
      <c r="A326" s="160" t="s">
        <v>639</v>
      </c>
      <c r="B326" s="299" t="s">
        <v>127</v>
      </c>
      <c r="C326" s="276">
        <f>C320*C323-C325</f>
        <v>0</v>
      </c>
      <c r="D326" s="276">
        <f t="shared" ref="D326:AG326" si="171">D320*D323-D325</f>
        <v>0</v>
      </c>
      <c r="E326" s="276">
        <f t="shared" si="171"/>
        <v>0</v>
      </c>
      <c r="F326" s="276">
        <f t="shared" si="171"/>
        <v>0</v>
      </c>
      <c r="G326" s="276">
        <f t="shared" si="171"/>
        <v>0</v>
      </c>
      <c r="H326" s="276">
        <f t="shared" si="171"/>
        <v>0</v>
      </c>
      <c r="I326" s="276">
        <f t="shared" si="171"/>
        <v>0</v>
      </c>
      <c r="J326" s="276">
        <f t="shared" si="171"/>
        <v>0</v>
      </c>
      <c r="K326" s="276">
        <f t="shared" si="171"/>
        <v>0</v>
      </c>
      <c r="L326" s="276">
        <f t="shared" si="171"/>
        <v>0</v>
      </c>
      <c r="M326" s="276">
        <f t="shared" si="171"/>
        <v>0</v>
      </c>
      <c r="N326" s="276">
        <f t="shared" si="171"/>
        <v>0</v>
      </c>
      <c r="O326" s="276">
        <f t="shared" si="171"/>
        <v>0</v>
      </c>
      <c r="P326" s="276">
        <f t="shared" si="171"/>
        <v>0</v>
      </c>
      <c r="Q326" s="276">
        <f t="shared" si="171"/>
        <v>0</v>
      </c>
      <c r="R326" s="276">
        <f t="shared" si="171"/>
        <v>0</v>
      </c>
      <c r="S326" s="276">
        <f t="shared" si="171"/>
        <v>0</v>
      </c>
      <c r="T326" s="276">
        <f t="shared" si="171"/>
        <v>0</v>
      </c>
      <c r="U326" s="276">
        <f t="shared" si="171"/>
        <v>0</v>
      </c>
      <c r="V326" s="276">
        <f t="shared" si="171"/>
        <v>0</v>
      </c>
      <c r="W326" s="276">
        <f t="shared" si="171"/>
        <v>0</v>
      </c>
      <c r="X326" s="276">
        <f t="shared" si="171"/>
        <v>0</v>
      </c>
      <c r="Y326" s="276">
        <f t="shared" si="171"/>
        <v>0</v>
      </c>
      <c r="Z326" s="276">
        <f t="shared" si="171"/>
        <v>0</v>
      </c>
      <c r="AA326" s="276">
        <f t="shared" si="171"/>
        <v>0</v>
      </c>
      <c r="AB326" s="276">
        <f t="shared" si="171"/>
        <v>0</v>
      </c>
      <c r="AC326" s="276">
        <f t="shared" si="171"/>
        <v>0</v>
      </c>
      <c r="AD326" s="276">
        <f t="shared" si="171"/>
        <v>0</v>
      </c>
      <c r="AE326" s="276">
        <f t="shared" si="171"/>
        <v>0</v>
      </c>
      <c r="AF326" s="276">
        <f t="shared" si="171"/>
        <v>0</v>
      </c>
      <c r="AG326" s="276">
        <f t="shared" si="171"/>
        <v>0</v>
      </c>
      <c r="AJ326" s="272"/>
    </row>
    <row r="327" spans="1:37" s="160" customFormat="1">
      <c r="B327" s="15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  <c r="AB327" s="276"/>
      <c r="AC327" s="276"/>
      <c r="AD327" s="276"/>
      <c r="AE327" s="276"/>
      <c r="AF327" s="276"/>
      <c r="AG327" s="276"/>
      <c r="AJ327" s="272"/>
    </row>
    <row r="328" spans="1:37" s="160" customFormat="1">
      <c r="B328" s="184" t="s">
        <v>633</v>
      </c>
      <c r="C328" s="280">
        <v>0</v>
      </c>
      <c r="D328" s="280">
        <f>C328+1</f>
        <v>1</v>
      </c>
      <c r="E328" s="280">
        <f t="shared" ref="E328:AG328" si="172">D328+1</f>
        <v>2</v>
      </c>
      <c r="F328" s="280">
        <f t="shared" si="172"/>
        <v>3</v>
      </c>
      <c r="G328" s="280">
        <f t="shared" si="172"/>
        <v>4</v>
      </c>
      <c r="H328" s="280">
        <f t="shared" si="172"/>
        <v>5</v>
      </c>
      <c r="I328" s="280">
        <f t="shared" si="172"/>
        <v>6</v>
      </c>
      <c r="J328" s="280">
        <f t="shared" si="172"/>
        <v>7</v>
      </c>
      <c r="K328" s="280">
        <f t="shared" si="172"/>
        <v>8</v>
      </c>
      <c r="L328" s="280">
        <f t="shared" si="172"/>
        <v>9</v>
      </c>
      <c r="M328" s="280">
        <f t="shared" si="172"/>
        <v>10</v>
      </c>
      <c r="N328" s="280">
        <f t="shared" si="172"/>
        <v>11</v>
      </c>
      <c r="O328" s="280">
        <f t="shared" si="172"/>
        <v>12</v>
      </c>
      <c r="P328" s="280">
        <f t="shared" si="172"/>
        <v>13</v>
      </c>
      <c r="Q328" s="280">
        <f t="shared" si="172"/>
        <v>14</v>
      </c>
      <c r="R328" s="280">
        <f t="shared" si="172"/>
        <v>15</v>
      </c>
      <c r="S328" s="280">
        <f t="shared" si="172"/>
        <v>16</v>
      </c>
      <c r="T328" s="280">
        <f t="shared" si="172"/>
        <v>17</v>
      </c>
      <c r="U328" s="280">
        <f t="shared" si="172"/>
        <v>18</v>
      </c>
      <c r="V328" s="280">
        <f t="shared" si="172"/>
        <v>19</v>
      </c>
      <c r="W328" s="280">
        <f t="shared" si="172"/>
        <v>20</v>
      </c>
      <c r="X328" s="280">
        <f t="shared" si="172"/>
        <v>21</v>
      </c>
      <c r="Y328" s="280">
        <f t="shared" si="172"/>
        <v>22</v>
      </c>
      <c r="Z328" s="280">
        <f t="shared" si="172"/>
        <v>23</v>
      </c>
      <c r="AA328" s="280">
        <f t="shared" si="172"/>
        <v>24</v>
      </c>
      <c r="AB328" s="280">
        <f t="shared" si="172"/>
        <v>25</v>
      </c>
      <c r="AC328" s="280">
        <f t="shared" si="172"/>
        <v>26</v>
      </c>
      <c r="AD328" s="280">
        <f t="shared" si="172"/>
        <v>27</v>
      </c>
      <c r="AE328" s="280">
        <f t="shared" si="172"/>
        <v>28</v>
      </c>
      <c r="AF328" s="280">
        <f t="shared" si="172"/>
        <v>29</v>
      </c>
      <c r="AG328" s="280">
        <f t="shared" si="172"/>
        <v>30</v>
      </c>
      <c r="AJ328" s="272" t="s">
        <v>641</v>
      </c>
      <c r="AK328" s="160">
        <f>'Propylene Recycling HC'!AK196</f>
        <v>1.9</v>
      </c>
    </row>
    <row r="329" spans="1:37" s="160" customFormat="1">
      <c r="A329" s="160" t="s">
        <v>686</v>
      </c>
      <c r="B329" s="156"/>
      <c r="C329" s="282">
        <f>$AK$330/((1+EXP(-$AK$329*(C328-$AK$331)))^$AK$328)</f>
        <v>4.6088632748610021E-5</v>
      </c>
      <c r="D329" s="282">
        <f t="shared" ref="D329:AG329" si="173">$AK$330/((1+EXP(-$AK$329*(D328-$AK$331)))^$AK$328)</f>
        <v>8.924759460408035E-5</v>
      </c>
      <c r="E329" s="282">
        <f t="shared" si="173"/>
        <v>1.7252431976790472E-4</v>
      </c>
      <c r="F329" s="282">
        <f t="shared" si="173"/>
        <v>3.3269643715580369E-4</v>
      </c>
      <c r="G329" s="282">
        <f t="shared" si="173"/>
        <v>6.393827369910735E-4</v>
      </c>
      <c r="H329" s="282">
        <f t="shared" si="173"/>
        <v>1.2229053771654547E-3</v>
      </c>
      <c r="I329" s="282">
        <f t="shared" si="173"/>
        <v>2.3234018804222717E-3</v>
      </c>
      <c r="J329" s="282">
        <f t="shared" si="173"/>
        <v>4.3736281679830789E-3</v>
      </c>
      <c r="K329" s="282">
        <f t="shared" si="173"/>
        <v>8.1294184230466908E-3</v>
      </c>
      <c r="L329" s="282">
        <f t="shared" si="173"/>
        <v>1.4853985082038716E-2</v>
      </c>
      <c r="M329" s="282">
        <f t="shared" si="173"/>
        <v>2.6531412096832362E-2</v>
      </c>
      <c r="N329" s="282">
        <f t="shared" si="173"/>
        <v>4.6014759335105015E-2</v>
      </c>
      <c r="O329" s="282">
        <f t="shared" si="173"/>
        <v>7.6910635328419796E-2</v>
      </c>
      <c r="P329" s="282">
        <f t="shared" si="173"/>
        <v>0.12294065829885638</v>
      </c>
      <c r="Q329" s="282">
        <f t="shared" si="173"/>
        <v>0.18666754187878853</v>
      </c>
      <c r="R329" s="282">
        <f t="shared" si="173"/>
        <v>0.26794336563407328</v>
      </c>
      <c r="S329" s="282">
        <f t="shared" si="173"/>
        <v>0.36297326582455031</v>
      </c>
      <c r="T329" s="282">
        <f t="shared" si="173"/>
        <v>0.46484396312424381</v>
      </c>
      <c r="U329" s="282">
        <f t="shared" si="173"/>
        <v>0.56546260593861253</v>
      </c>
      <c r="V329" s="282">
        <f t="shared" si="173"/>
        <v>0.6578403022607352</v>
      </c>
      <c r="W329" s="282">
        <f t="shared" si="173"/>
        <v>0.73754668886795227</v>
      </c>
      <c r="X329" s="282">
        <f t="shared" si="173"/>
        <v>0.80293052021410605</v>
      </c>
      <c r="Y329" s="282">
        <f t="shared" si="173"/>
        <v>0.85447682949112158</v>
      </c>
      <c r="Z329" s="282">
        <f t="shared" si="173"/>
        <v>0.89389910336617451</v>
      </c>
      <c r="AA329" s="282">
        <f t="shared" si="173"/>
        <v>0.92337223319290385</v>
      </c>
      <c r="AB329" s="282">
        <f t="shared" si="173"/>
        <v>0.94504210708611314</v>
      </c>
      <c r="AC329" s="282">
        <f t="shared" si="173"/>
        <v>0.96078240575184182</v>
      </c>
      <c r="AD329" s="282">
        <f t="shared" si="173"/>
        <v>0.97211605463477313</v>
      </c>
      <c r="AE329" s="282">
        <f t="shared" si="173"/>
        <v>0.98022577885232642</v>
      </c>
      <c r="AF329" s="282">
        <f t="shared" si="173"/>
        <v>0.98600279580400285</v>
      </c>
      <c r="AG329" s="282">
        <f t="shared" si="173"/>
        <v>0.9901050637460882</v>
      </c>
      <c r="AI329" s="156" t="s">
        <v>640</v>
      </c>
      <c r="AJ329" s="272" t="s">
        <v>642</v>
      </c>
      <c r="AK329" s="160">
        <f>'Propylene Recycling HC'!AK197</f>
        <v>0.35</v>
      </c>
    </row>
    <row r="330" spans="1:37" s="160" customFormat="1">
      <c r="B330" s="156"/>
      <c r="C330" s="278">
        <v>0</v>
      </c>
      <c r="D330" s="278">
        <v>0</v>
      </c>
      <c r="E330" s="278">
        <v>0</v>
      </c>
      <c r="F330" s="278">
        <v>0</v>
      </c>
      <c r="G330" s="278">
        <v>0</v>
      </c>
      <c r="H330" s="278">
        <v>0</v>
      </c>
      <c r="I330" s="278">
        <v>0</v>
      </c>
      <c r="J330" s="278">
        <v>0</v>
      </c>
      <c r="K330" s="278">
        <v>0</v>
      </c>
      <c r="L330" s="278">
        <v>0</v>
      </c>
      <c r="M330" s="278">
        <f>C329</f>
        <v>4.6088632748610021E-5</v>
      </c>
      <c r="N330" s="278">
        <v>0</v>
      </c>
      <c r="O330" s="278">
        <v>0</v>
      </c>
      <c r="P330" s="278">
        <v>0</v>
      </c>
      <c r="Q330" s="278">
        <v>0</v>
      </c>
      <c r="R330" s="278">
        <f t="shared" ref="R330:AG330" si="174">C329</f>
        <v>4.6088632748610021E-5</v>
      </c>
      <c r="S330" s="278">
        <f t="shared" si="174"/>
        <v>8.924759460408035E-5</v>
      </c>
      <c r="T330" s="278">
        <f t="shared" si="174"/>
        <v>1.7252431976790472E-4</v>
      </c>
      <c r="U330" s="278">
        <f t="shared" si="174"/>
        <v>3.3269643715580369E-4</v>
      </c>
      <c r="V330" s="278">
        <f t="shared" si="174"/>
        <v>6.393827369910735E-4</v>
      </c>
      <c r="W330" s="278">
        <f t="shared" si="174"/>
        <v>1.2229053771654547E-3</v>
      </c>
      <c r="X330" s="278">
        <f t="shared" si="174"/>
        <v>2.3234018804222717E-3</v>
      </c>
      <c r="Y330" s="278">
        <f t="shared" si="174"/>
        <v>4.3736281679830789E-3</v>
      </c>
      <c r="Z330" s="278">
        <f t="shared" si="174"/>
        <v>8.1294184230466908E-3</v>
      </c>
      <c r="AA330" s="278">
        <f t="shared" si="174"/>
        <v>1.4853985082038716E-2</v>
      </c>
      <c r="AB330" s="278">
        <f t="shared" si="174"/>
        <v>2.6531412096832362E-2</v>
      </c>
      <c r="AC330" s="278">
        <f t="shared" si="174"/>
        <v>4.6014759335105015E-2</v>
      </c>
      <c r="AD330" s="278">
        <f t="shared" si="174"/>
        <v>7.6910635328419796E-2</v>
      </c>
      <c r="AE330" s="278">
        <f t="shared" si="174"/>
        <v>0.12294065829885638</v>
      </c>
      <c r="AF330" s="278">
        <f t="shared" si="174"/>
        <v>0.18666754187878853</v>
      </c>
      <c r="AG330" s="278">
        <f t="shared" si="174"/>
        <v>0.26794336563407328</v>
      </c>
      <c r="AI330" s="156" t="s">
        <v>687</v>
      </c>
      <c r="AJ330" s="272" t="s">
        <v>643</v>
      </c>
      <c r="AK330" s="160">
        <f>'Propylene Recycling HC'!AK198</f>
        <v>1</v>
      </c>
    </row>
    <row r="331" spans="1:37" s="160" customFormat="1">
      <c r="B331" s="15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  <c r="AB331" s="276"/>
      <c r="AC331" s="276"/>
      <c r="AD331" s="276"/>
      <c r="AE331" s="276"/>
      <c r="AF331" s="276"/>
      <c r="AG331" s="276"/>
      <c r="AJ331" s="272" t="s">
        <v>644</v>
      </c>
      <c r="AK331" s="160">
        <f>'Propylene Recycling HC'!AK199</f>
        <v>15</v>
      </c>
    </row>
    <row r="332" spans="1:37" s="160" customFormat="1">
      <c r="A332" s="160" t="s">
        <v>762</v>
      </c>
      <c r="B332" s="156" t="s">
        <v>126</v>
      </c>
      <c r="C332" s="277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5.5962026272778194E-2</v>
      </c>
      <c r="D332" s="277">
        <f>C332</f>
        <v>5.5962026272778194E-2</v>
      </c>
      <c r="E332" s="277">
        <f t="shared" ref="E332:AG332" si="175">D332</f>
        <v>5.5962026272778194E-2</v>
      </c>
      <c r="F332" s="277">
        <f t="shared" si="175"/>
        <v>5.5962026272778194E-2</v>
      </c>
      <c r="G332" s="277">
        <f t="shared" si="175"/>
        <v>5.5962026272778194E-2</v>
      </c>
      <c r="H332" s="277">
        <f t="shared" si="175"/>
        <v>5.5962026272778194E-2</v>
      </c>
      <c r="I332" s="277">
        <f t="shared" si="175"/>
        <v>5.5962026272778194E-2</v>
      </c>
      <c r="J332" s="277">
        <f t="shared" si="175"/>
        <v>5.5962026272778194E-2</v>
      </c>
      <c r="K332" s="277">
        <f t="shared" si="175"/>
        <v>5.5962026272778194E-2</v>
      </c>
      <c r="L332" s="277">
        <f t="shared" si="175"/>
        <v>5.5962026272778194E-2</v>
      </c>
      <c r="M332" s="277">
        <f t="shared" si="175"/>
        <v>5.5962026272778194E-2</v>
      </c>
      <c r="N332" s="277">
        <f t="shared" si="175"/>
        <v>5.5962026272778194E-2</v>
      </c>
      <c r="O332" s="277">
        <f t="shared" si="175"/>
        <v>5.5962026272778194E-2</v>
      </c>
      <c r="P332" s="277">
        <f t="shared" si="175"/>
        <v>5.5962026272778194E-2</v>
      </c>
      <c r="Q332" s="277">
        <f t="shared" si="175"/>
        <v>5.5962026272778194E-2</v>
      </c>
      <c r="R332" s="277">
        <f t="shared" si="175"/>
        <v>5.5962026272778194E-2</v>
      </c>
      <c r="S332" s="277">
        <f t="shared" si="175"/>
        <v>5.5962026272778194E-2</v>
      </c>
      <c r="T332" s="277">
        <f t="shared" si="175"/>
        <v>5.5962026272778194E-2</v>
      </c>
      <c r="U332" s="277">
        <f t="shared" si="175"/>
        <v>5.5962026272778194E-2</v>
      </c>
      <c r="V332" s="277">
        <f t="shared" si="175"/>
        <v>5.5962026272778194E-2</v>
      </c>
      <c r="W332" s="277">
        <f t="shared" si="175"/>
        <v>5.5962026272778194E-2</v>
      </c>
      <c r="X332" s="277">
        <f t="shared" si="175"/>
        <v>5.5962026272778194E-2</v>
      </c>
      <c r="Y332" s="277">
        <f t="shared" si="175"/>
        <v>5.5962026272778194E-2</v>
      </c>
      <c r="Z332" s="277">
        <f t="shared" si="175"/>
        <v>5.5962026272778194E-2</v>
      </c>
      <c r="AA332" s="277">
        <f t="shared" si="175"/>
        <v>5.5962026272778194E-2</v>
      </c>
      <c r="AB332" s="277">
        <f t="shared" si="175"/>
        <v>5.5962026272778194E-2</v>
      </c>
      <c r="AC332" s="277">
        <f t="shared" si="175"/>
        <v>5.5962026272778194E-2</v>
      </c>
      <c r="AD332" s="277">
        <f t="shared" si="175"/>
        <v>5.5962026272778194E-2</v>
      </c>
      <c r="AE332" s="277">
        <f t="shared" si="175"/>
        <v>5.5962026272778194E-2</v>
      </c>
      <c r="AF332" s="277">
        <f t="shared" si="175"/>
        <v>5.5962026272778194E-2</v>
      </c>
      <c r="AG332" s="277">
        <f t="shared" si="175"/>
        <v>5.5962026272778194E-2</v>
      </c>
      <c r="AI332" s="156" t="s">
        <v>766</v>
      </c>
      <c r="AJ332" s="272"/>
    </row>
    <row r="333" spans="1:37" s="250" customFormat="1" ht="15.5" thickBot="1">
      <c r="A333" s="283" t="s">
        <v>631</v>
      </c>
      <c r="B333" s="284" t="s">
        <v>127</v>
      </c>
      <c r="C333" s="285">
        <f>C332*(C325*C329+C326*C330)</f>
        <v>9.5345851740882559E-2</v>
      </c>
      <c r="D333" s="285">
        <f t="shared" ref="D333:AG333" si="176">D332*(D325*D329+D326*D330)</f>
        <v>0.20309721109420054</v>
      </c>
      <c r="E333" s="285">
        <f t="shared" si="176"/>
        <v>0.42660750301118922</v>
      </c>
      <c r="F333" s="285">
        <f t="shared" si="176"/>
        <v>0.88501087458021266</v>
      </c>
      <c r="G333" s="285">
        <f t="shared" si="176"/>
        <v>1.8145174973872955</v>
      </c>
      <c r="H333" s="285">
        <f t="shared" si="176"/>
        <v>3.6763989772737022</v>
      </c>
      <c r="I333" s="285">
        <f t="shared" si="176"/>
        <v>7.3311729575790796</v>
      </c>
      <c r="J333" s="285">
        <f t="shared" si="176"/>
        <v>14.408537732619415</v>
      </c>
      <c r="K333" s="285">
        <f t="shared" si="176"/>
        <v>27.832330820796479</v>
      </c>
      <c r="L333" s="285">
        <f t="shared" si="176"/>
        <v>52.63218129764725</v>
      </c>
      <c r="M333" s="285">
        <f t="shared" si="176"/>
        <v>96.934261805501592</v>
      </c>
      <c r="N333" s="285">
        <f t="shared" si="176"/>
        <v>169.83615640874004</v>
      </c>
      <c r="O333" s="285">
        <f t="shared" si="176"/>
        <v>286.30362541175526</v>
      </c>
      <c r="P333" s="285">
        <f t="shared" si="176"/>
        <v>460.85170642473111</v>
      </c>
      <c r="Q333" s="285">
        <f t="shared" si="176"/>
        <v>703.57628967262872</v>
      </c>
      <c r="R333" s="285">
        <f t="shared" si="176"/>
        <v>1014.0003721141273</v>
      </c>
      <c r="S333" s="285">
        <f t="shared" si="176"/>
        <v>1377.2717891018663</v>
      </c>
      <c r="T333" s="285">
        <f t="shared" si="176"/>
        <v>1766.1087560973669</v>
      </c>
      <c r="U333" s="285">
        <f t="shared" si="176"/>
        <v>2148.3751274070255</v>
      </c>
      <c r="V333" s="285">
        <f t="shared" si="176"/>
        <v>2496.1248182605786</v>
      </c>
      <c r="W333" s="285">
        <f t="shared" si="176"/>
        <v>2791.4449776496435</v>
      </c>
      <c r="X333" s="285">
        <f t="shared" si="176"/>
        <v>3069.6227652791022</v>
      </c>
      <c r="Y333" s="285">
        <f t="shared" si="176"/>
        <v>3292.7534158389517</v>
      </c>
      <c r="Z333" s="285">
        <f t="shared" si="176"/>
        <v>3464.93532871159</v>
      </c>
      <c r="AA333" s="285">
        <f t="shared" si="176"/>
        <v>3593.2531543365994</v>
      </c>
      <c r="AB333" s="285">
        <f t="shared" si="176"/>
        <v>3685.1174033018292</v>
      </c>
      <c r="AC333" s="285">
        <f t="shared" si="176"/>
        <v>3746.98470181538</v>
      </c>
      <c r="AD333" s="285">
        <f t="shared" si="176"/>
        <v>3784.9288913994733</v>
      </c>
      <c r="AE333" s="285">
        <f t="shared" si="176"/>
        <v>3803.5423964740712</v>
      </c>
      <c r="AF333" s="285">
        <f t="shared" si="176"/>
        <v>3806.3808800550082</v>
      </c>
      <c r="AG333" s="285">
        <f t="shared" si="176"/>
        <v>3796.141464956534</v>
      </c>
      <c r="AJ333" s="275"/>
    </row>
    <row r="334" spans="1:37" s="203" customFormat="1">
      <c r="A334" s="274" t="s">
        <v>637</v>
      </c>
      <c r="B334" s="273" t="s">
        <v>126</v>
      </c>
      <c r="C334" s="279">
        <v>0.25</v>
      </c>
      <c r="D334" s="279">
        <v>0.25</v>
      </c>
      <c r="E334" s="279">
        <v>0.25</v>
      </c>
      <c r="F334" s="279">
        <v>0.25</v>
      </c>
      <c r="G334" s="279">
        <v>0.25</v>
      </c>
      <c r="H334" s="279">
        <v>0.25</v>
      </c>
      <c r="I334" s="279">
        <v>0.25</v>
      </c>
      <c r="J334" s="279">
        <v>0.25</v>
      </c>
      <c r="K334" s="279">
        <v>0.25</v>
      </c>
      <c r="L334" s="279">
        <v>0.25</v>
      </c>
      <c r="M334" s="279">
        <v>0.25</v>
      </c>
      <c r="N334" s="279">
        <v>0.25</v>
      </c>
      <c r="O334" s="279">
        <v>0.25</v>
      </c>
      <c r="P334" s="279">
        <v>0.25</v>
      </c>
      <c r="Q334" s="279">
        <v>0.25</v>
      </c>
      <c r="R334" s="279">
        <v>0.25</v>
      </c>
      <c r="S334" s="279">
        <v>0.25</v>
      </c>
      <c r="T334" s="279">
        <v>0.25</v>
      </c>
      <c r="U334" s="279">
        <v>0.25</v>
      </c>
      <c r="V334" s="279">
        <v>0.25</v>
      </c>
      <c r="W334" s="279">
        <v>0.25</v>
      </c>
      <c r="X334" s="279">
        <v>0.25</v>
      </c>
      <c r="Y334" s="279">
        <v>0.25</v>
      </c>
      <c r="Z334" s="279">
        <v>0.25</v>
      </c>
      <c r="AA334" s="279">
        <v>0.25</v>
      </c>
      <c r="AB334" s="279">
        <v>0.25</v>
      </c>
      <c r="AC334" s="279">
        <v>0.25</v>
      </c>
      <c r="AD334" s="279">
        <v>0.25</v>
      </c>
      <c r="AE334" s="279">
        <v>0.25</v>
      </c>
      <c r="AF334" s="279">
        <v>0.25</v>
      </c>
      <c r="AG334" s="279">
        <v>0.25</v>
      </c>
      <c r="AJ334" s="203" t="s">
        <v>681</v>
      </c>
    </row>
    <row r="335" spans="1:37" s="203" customFormat="1" ht="15.5" thickBot="1">
      <c r="A335" s="251" t="s">
        <v>632</v>
      </c>
      <c r="B335" s="284" t="s">
        <v>127</v>
      </c>
      <c r="C335" s="285">
        <f>C334*(C325*C329+C326*C330)</f>
        <v>0.42593995469416185</v>
      </c>
      <c r="D335" s="285">
        <f t="shared" ref="D335:AG335" si="177">D334*(D325*D329+D326*D330)</f>
        <v>0.90729921976124828</v>
      </c>
      <c r="E335" s="285">
        <f t="shared" si="177"/>
        <v>1.9057901018976569</v>
      </c>
      <c r="F335" s="285">
        <f t="shared" si="177"/>
        <v>3.9536223646833513</v>
      </c>
      <c r="G335" s="285">
        <f t="shared" si="177"/>
        <v>8.1060212533348608</v>
      </c>
      <c r="H335" s="285">
        <f t="shared" si="177"/>
        <v>16.423632336656588</v>
      </c>
      <c r="I335" s="285">
        <f t="shared" si="177"/>
        <v>32.750658999749298</v>
      </c>
      <c r="J335" s="285">
        <f t="shared" si="177"/>
        <v>64.367476895793757</v>
      </c>
      <c r="K335" s="285">
        <f t="shared" si="177"/>
        <v>124.33578925972101</v>
      </c>
      <c r="L335" s="285">
        <f t="shared" si="177"/>
        <v>235.12453355914897</v>
      </c>
      <c r="M335" s="285">
        <f t="shared" si="177"/>
        <v>433.03588281905041</v>
      </c>
      <c r="N335" s="285">
        <f t="shared" si="177"/>
        <v>758.71161089173268</v>
      </c>
      <c r="O335" s="285">
        <f t="shared" si="177"/>
        <v>1279.0084834321972</v>
      </c>
      <c r="P335" s="285">
        <f t="shared" si="177"/>
        <v>2058.7697458379239</v>
      </c>
      <c r="Q335" s="285">
        <f t="shared" si="177"/>
        <v>3143.0969200576992</v>
      </c>
      <c r="R335" s="285">
        <f t="shared" si="177"/>
        <v>4529.8590832448608</v>
      </c>
      <c r="S335" s="285">
        <f t="shared" si="177"/>
        <v>6152.7069373282211</v>
      </c>
      <c r="T335" s="285">
        <f t="shared" si="177"/>
        <v>7889.7641567191677</v>
      </c>
      <c r="U335" s="285">
        <f t="shared" si="177"/>
        <v>9597.4684553732259</v>
      </c>
      <c r="V335" s="285">
        <f t="shared" si="177"/>
        <v>11150.97586930469</v>
      </c>
      <c r="W335" s="285">
        <f t="shared" si="177"/>
        <v>12470.264050318599</v>
      </c>
      <c r="X335" s="285">
        <f t="shared" si="177"/>
        <v>13712.971856651076</v>
      </c>
      <c r="Y335" s="285">
        <f t="shared" si="177"/>
        <v>14709.766761254039</v>
      </c>
      <c r="Z335" s="285">
        <f t="shared" si="177"/>
        <v>15478.957605208492</v>
      </c>
      <c r="AA335" s="285">
        <f t="shared" si="177"/>
        <v>16052.193753769054</v>
      </c>
      <c r="AB335" s="285">
        <f t="shared" si="177"/>
        <v>16462.580292122097</v>
      </c>
      <c r="AC335" s="285">
        <f t="shared" si="177"/>
        <v>16738.961003445827</v>
      </c>
      <c r="AD335" s="285">
        <f t="shared" si="177"/>
        <v>16908.46965114534</v>
      </c>
      <c r="AE335" s="285">
        <f t="shared" si="177"/>
        <v>16991.622041767641</v>
      </c>
      <c r="AF335" s="285">
        <f t="shared" si="177"/>
        <v>17004.30244207651</v>
      </c>
      <c r="AG335" s="285">
        <f t="shared" si="177"/>
        <v>16958.559749305863</v>
      </c>
      <c r="AJ335" s="274"/>
    </row>
    <row r="336" spans="1:37" s="203" customFormat="1">
      <c r="A336" s="275"/>
      <c r="B336" s="273"/>
      <c r="AJ336" s="274"/>
    </row>
    <row r="337" spans="1:36" s="203" customFormat="1">
      <c r="A337" s="275" t="s">
        <v>635</v>
      </c>
      <c r="B337" s="273" t="s">
        <v>127</v>
      </c>
      <c r="C337" s="203">
        <f>SUM(C306:C307)-SUM(C333,C335)</f>
        <v>479349.55007203756</v>
      </c>
      <c r="D337" s="203">
        <f t="shared" ref="D337:AG337" si="178">SUM(D306:D307)-SUM(D333,D335)</f>
        <v>470227.82439081598</v>
      </c>
      <c r="E337" s="203">
        <f t="shared" si="178"/>
        <v>461060.08611819986</v>
      </c>
      <c r="F337" s="203">
        <f t="shared" si="178"/>
        <v>451846.21597674501</v>
      </c>
      <c r="G337" s="203">
        <f t="shared" si="178"/>
        <v>442585.45185463806</v>
      </c>
      <c r="H337" s="203">
        <f t="shared" si="178"/>
        <v>433275.79842573032</v>
      </c>
      <c r="I337" s="203">
        <f t="shared" si="178"/>
        <v>422804.31543136702</v>
      </c>
      <c r="J337" s="203">
        <f t="shared" si="178"/>
        <v>412325.17827720981</v>
      </c>
      <c r="K337" s="203">
        <f t="shared" si="178"/>
        <v>401822.63019445894</v>
      </c>
      <c r="L337" s="203">
        <f t="shared" si="178"/>
        <v>391269.3997292057</v>
      </c>
      <c r="M337" s="203">
        <f t="shared" si="178"/>
        <v>380621.28399629245</v>
      </c>
      <c r="N337" s="203">
        <f t="shared" si="178"/>
        <v>372307.65153472946</v>
      </c>
      <c r="O337" s="203">
        <f t="shared" si="178"/>
        <v>363770.24677333608</v>
      </c>
      <c r="P337" s="203">
        <f t="shared" si="178"/>
        <v>354919.93030285882</v>
      </c>
      <c r="Q337" s="203">
        <f t="shared" si="178"/>
        <v>345712.01286707807</v>
      </c>
      <c r="R337" s="203">
        <f t="shared" si="178"/>
        <v>336149.3921841525</v>
      </c>
      <c r="S337" s="203">
        <f t="shared" si="178"/>
        <v>326313.57543446316</v>
      </c>
      <c r="T337" s="203">
        <f t="shared" si="178"/>
        <v>316353.98821285384</v>
      </c>
      <c r="U337" s="203">
        <f t="shared" si="178"/>
        <v>306446.61321257346</v>
      </c>
      <c r="V337" s="203">
        <f t="shared" si="178"/>
        <v>296744.52291139343</v>
      </c>
      <c r="W337" s="203">
        <f t="shared" si="178"/>
        <v>287345.93311131513</v>
      </c>
      <c r="X337" s="203">
        <f t="shared" si="178"/>
        <v>275246.88082816463</v>
      </c>
      <c r="Y337" s="203">
        <f t="shared" si="178"/>
        <v>263468.59133518965</v>
      </c>
      <c r="Z337" s="203">
        <f t="shared" si="178"/>
        <v>251959.03916642186</v>
      </c>
      <c r="AA337" s="203">
        <f t="shared" si="178"/>
        <v>240711.10959506195</v>
      </c>
      <c r="AB337" s="203">
        <f t="shared" si="178"/>
        <v>229684.87234608558</v>
      </c>
      <c r="AC337" s="203">
        <f t="shared" si="178"/>
        <v>218825.5275484724</v>
      </c>
      <c r="AD337" s="203">
        <f t="shared" si="178"/>
        <v>208122.11161526121</v>
      </c>
      <c r="AE337" s="203">
        <f t="shared" si="178"/>
        <v>197550.09371296622</v>
      </c>
      <c r="AF337" s="203">
        <f t="shared" si="178"/>
        <v>187090.61152214077</v>
      </c>
      <c r="AG337" s="203">
        <f t="shared" si="178"/>
        <v>176729.49682200441</v>
      </c>
      <c r="AJ337" s="274"/>
    </row>
    <row r="338" spans="1:36" s="203" customFormat="1">
      <c r="A338" s="275"/>
      <c r="B338" s="273"/>
      <c r="AJ338" s="274"/>
    </row>
    <row r="339" spans="1:36" s="203" customFormat="1">
      <c r="A339" s="274" t="s">
        <v>646</v>
      </c>
      <c r="B339" s="273" t="s">
        <v>127</v>
      </c>
      <c r="C339" s="276">
        <f>C259*C258*C179</f>
        <v>0</v>
      </c>
      <c r="D339" s="276">
        <f t="shared" ref="D339:AG339" si="179">D259*D258*D179</f>
        <v>1.0238495754269192E-2</v>
      </c>
      <c r="E339" s="276">
        <f t="shared" si="179"/>
        <v>2.0302680173288335E-2</v>
      </c>
      <c r="F339" s="276">
        <f t="shared" si="179"/>
        <v>3.0192368409406048E-2</v>
      </c>
      <c r="G339" s="276">
        <f t="shared" si="179"/>
        <v>3.9907375614970951E-2</v>
      </c>
      <c r="H339" s="276">
        <f t="shared" si="179"/>
        <v>4.9447516942331668E-2</v>
      </c>
      <c r="I339" s="276">
        <f t="shared" si="179"/>
        <v>5.8812607543836819E-2</v>
      </c>
      <c r="J339" s="276">
        <f t="shared" si="179"/>
        <v>6.8002462571835037E-2</v>
      </c>
      <c r="K339" s="276">
        <f t="shared" si="179"/>
        <v>7.7016897178674909E-2</v>
      </c>
      <c r="L339" s="276">
        <f t="shared" si="179"/>
        <v>8.5855726516705075E-2</v>
      </c>
      <c r="M339" s="276">
        <f t="shared" si="179"/>
        <v>9.4518765738274182E-2</v>
      </c>
      <c r="N339" s="276">
        <f t="shared" si="179"/>
        <v>9.9932765881634272E-2</v>
      </c>
      <c r="O339" s="276">
        <f t="shared" si="179"/>
        <v>0.10522821485444192</v>
      </c>
      <c r="P339" s="276">
        <f t="shared" si="179"/>
        <v>0.11040498847100558</v>
      </c>
      <c r="Q339" s="276">
        <f t="shared" si="179"/>
        <v>0.11546296254563372</v>
      </c>
      <c r="R339" s="276">
        <f t="shared" si="179"/>
        <v>0.12040201289263487</v>
      </c>
      <c r="S339" s="276">
        <f t="shared" si="179"/>
        <v>0.12522201532631747</v>
      </c>
      <c r="T339" s="276">
        <f t="shared" si="179"/>
        <v>0.12992284566098997</v>
      </c>
      <c r="U339" s="276">
        <f t="shared" si="179"/>
        <v>0.13450437971096094</v>
      </c>
      <c r="V339" s="276">
        <f t="shared" si="179"/>
        <v>0.13896649329053878</v>
      </c>
      <c r="W339" s="276">
        <f t="shared" si="179"/>
        <v>0.14330906221403197</v>
      </c>
      <c r="X339" s="276">
        <f t="shared" si="179"/>
        <v>0.15059690810148849</v>
      </c>
      <c r="Y339" s="276">
        <f t="shared" si="179"/>
        <v>0.15770109609806179</v>
      </c>
      <c r="Z339" s="276">
        <f t="shared" si="179"/>
        <v>0.16462143523709469</v>
      </c>
      <c r="AA339" s="276">
        <f t="shared" si="179"/>
        <v>0.17135773455193024</v>
      </c>
      <c r="AB339" s="276">
        <f t="shared" si="179"/>
        <v>0.17790980307591125</v>
      </c>
      <c r="AC339" s="276">
        <f t="shared" si="179"/>
        <v>0.18427744984238062</v>
      </c>
      <c r="AD339" s="276">
        <f t="shared" si="179"/>
        <v>0.19046048388468123</v>
      </c>
      <c r="AE339" s="276">
        <f t="shared" si="179"/>
        <v>0.19645871423615602</v>
      </c>
      <c r="AF339" s="276">
        <f t="shared" si="179"/>
        <v>0.20227194993014791</v>
      </c>
      <c r="AG339" s="276">
        <f t="shared" si="179"/>
        <v>0.2079</v>
      </c>
      <c r="AJ339" s="274"/>
    </row>
    <row r="340" spans="1:36" s="203" customFormat="1">
      <c r="A340" s="203" t="s">
        <v>645</v>
      </c>
      <c r="B340" s="273" t="s">
        <v>127</v>
      </c>
      <c r="C340" s="276">
        <f>C260*C258*C179</f>
        <v>0</v>
      </c>
      <c r="D340" s="276">
        <f t="shared" ref="D340:AG340" si="180">D260*D258*D179</f>
        <v>0</v>
      </c>
      <c r="E340" s="276">
        <f t="shared" si="180"/>
        <v>0</v>
      </c>
      <c r="F340" s="276">
        <f t="shared" si="180"/>
        <v>0</v>
      </c>
      <c r="G340" s="276">
        <f t="shared" si="180"/>
        <v>0</v>
      </c>
      <c r="H340" s="276">
        <f t="shared" si="180"/>
        <v>0</v>
      </c>
      <c r="I340" s="276">
        <f t="shared" si="180"/>
        <v>0</v>
      </c>
      <c r="J340" s="276">
        <f t="shared" si="180"/>
        <v>0</v>
      </c>
      <c r="K340" s="276">
        <f t="shared" si="180"/>
        <v>0</v>
      </c>
      <c r="L340" s="276">
        <f t="shared" si="180"/>
        <v>0</v>
      </c>
      <c r="M340" s="276">
        <f t="shared" si="180"/>
        <v>0</v>
      </c>
      <c r="N340" s="276">
        <f t="shared" si="180"/>
        <v>0</v>
      </c>
      <c r="O340" s="276">
        <f t="shared" si="180"/>
        <v>0</v>
      </c>
      <c r="P340" s="276">
        <f t="shared" si="180"/>
        <v>0</v>
      </c>
      <c r="Q340" s="276">
        <f t="shared" si="180"/>
        <v>0</v>
      </c>
      <c r="R340" s="276">
        <f t="shared" si="180"/>
        <v>0</v>
      </c>
      <c r="S340" s="276">
        <f t="shared" si="180"/>
        <v>0</v>
      </c>
      <c r="T340" s="276">
        <f t="shared" si="180"/>
        <v>0</v>
      </c>
      <c r="U340" s="276">
        <f t="shared" si="180"/>
        <v>0</v>
      </c>
      <c r="V340" s="276">
        <f t="shared" si="180"/>
        <v>0</v>
      </c>
      <c r="W340" s="276">
        <f t="shared" si="180"/>
        <v>0</v>
      </c>
      <c r="X340" s="276">
        <f t="shared" si="180"/>
        <v>0</v>
      </c>
      <c r="Y340" s="276">
        <f t="shared" si="180"/>
        <v>0</v>
      </c>
      <c r="Z340" s="276">
        <f t="shared" si="180"/>
        <v>0</v>
      </c>
      <c r="AA340" s="276">
        <f t="shared" si="180"/>
        <v>0</v>
      </c>
      <c r="AB340" s="276">
        <f t="shared" si="180"/>
        <v>0</v>
      </c>
      <c r="AC340" s="276">
        <f t="shared" si="180"/>
        <v>0</v>
      </c>
      <c r="AD340" s="276">
        <f t="shared" si="180"/>
        <v>0</v>
      </c>
      <c r="AE340" s="276">
        <f t="shared" si="180"/>
        <v>0</v>
      </c>
      <c r="AF340" s="276">
        <f t="shared" si="180"/>
        <v>0</v>
      </c>
      <c r="AG340" s="276">
        <f t="shared" si="180"/>
        <v>0</v>
      </c>
      <c r="AJ340" s="274"/>
    </row>
    <row r="341" spans="1:36" s="203" customFormat="1">
      <c r="B341" s="273"/>
      <c r="C341" s="267"/>
      <c r="D341" s="267"/>
      <c r="E341" s="267"/>
      <c r="F341" s="267"/>
      <c r="G341" s="267"/>
      <c r="H341" s="267"/>
      <c r="I341" s="267"/>
      <c r="J341" s="267"/>
      <c r="K341" s="267"/>
      <c r="L341" s="267"/>
      <c r="M341" s="267"/>
      <c r="N341" s="267"/>
      <c r="O341" s="267"/>
      <c r="P341" s="267"/>
      <c r="Q341" s="267"/>
      <c r="R341" s="267"/>
      <c r="S341" s="267"/>
      <c r="T341" s="267"/>
      <c r="U341" s="267"/>
      <c r="V341" s="267"/>
      <c r="W341" s="267"/>
      <c r="X341" s="267"/>
      <c r="Y341" s="267"/>
      <c r="Z341" s="267"/>
      <c r="AA341" s="267"/>
      <c r="AB341" s="267"/>
      <c r="AC341" s="267"/>
      <c r="AD341" s="267"/>
      <c r="AE341" s="267"/>
      <c r="AF341" s="267"/>
      <c r="AG341" s="267"/>
      <c r="AJ341" s="274"/>
    </row>
    <row r="342" spans="1:36" s="203" customFormat="1">
      <c r="A342" s="300" t="s">
        <v>647</v>
      </c>
      <c r="B342" s="301" t="s">
        <v>127</v>
      </c>
      <c r="C342" s="254">
        <f>C320-C333-C335</f>
        <v>46208.26483912018</v>
      </c>
      <c r="D342" s="302">
        <f t="shared" ref="D342:AG342" si="181">D320-D333-D335</f>
        <v>50829.347487963874</v>
      </c>
      <c r="E342" s="302">
        <f t="shared" si="181"/>
        <v>55230.173502476238</v>
      </c>
      <c r="F342" s="302">
        <f t="shared" si="181"/>
        <v>59413.02586934701</v>
      </c>
      <c r="G342" s="302">
        <f t="shared" si="181"/>
        <v>63379.507923782425</v>
      </c>
      <c r="H342" s="302">
        <f t="shared" si="181"/>
        <v>67129.953616845523</v>
      </c>
      <c r="I342" s="302">
        <f t="shared" si="181"/>
        <v>70439.888240626402</v>
      </c>
      <c r="J342" s="302">
        <f t="shared" si="181"/>
        <v>73507.128437643682</v>
      </c>
      <c r="K342" s="302">
        <f t="shared" si="181"/>
        <v>76320.577400824317</v>
      </c>
      <c r="L342" s="302">
        <f t="shared" si="181"/>
        <v>78857.51381710943</v>
      </c>
      <c r="M342" s="302">
        <f t="shared" si="181"/>
        <v>81078.178196403882</v>
      </c>
      <c r="N342" s="302">
        <f t="shared" si="181"/>
        <v>81513.653588831105</v>
      </c>
      <c r="O342" s="302">
        <f t="shared" si="181"/>
        <v>81583.687894253235</v>
      </c>
      <c r="P342" s="302">
        <f t="shared" si="181"/>
        <v>81210.601499417884</v>
      </c>
      <c r="Q342" s="302">
        <f t="shared" si="181"/>
        <v>80343.028128348335</v>
      </c>
      <c r="R342" s="302">
        <f t="shared" si="181"/>
        <v>78986.299978243653</v>
      </c>
      <c r="S342" s="302">
        <f t="shared" si="181"/>
        <v>77224.292684597778</v>
      </c>
      <c r="T342" s="302">
        <f t="shared" si="181"/>
        <v>75208.7782670288</v>
      </c>
      <c r="U342" s="302">
        <f t="shared" si="181"/>
        <v>73118.021459562995</v>
      </c>
      <c r="V342" s="302">
        <f t="shared" si="181"/>
        <v>71107.32854839995</v>
      </c>
      <c r="W342" s="302">
        <f t="shared" si="181"/>
        <v>69277.102131627573</v>
      </c>
      <c r="X342" s="302">
        <f t="shared" si="181"/>
        <v>68610.671117890204</v>
      </c>
      <c r="Y342" s="302">
        <f t="shared" si="181"/>
        <v>68072.176371521142</v>
      </c>
      <c r="Z342" s="302">
        <f t="shared" si="181"/>
        <v>67637.229851185402</v>
      </c>
      <c r="AA342" s="302">
        <f t="shared" si="181"/>
        <v>67276.128036067224</v>
      </c>
      <c r="AB342" s="302">
        <f t="shared" si="181"/>
        <v>66952.020765173773</v>
      </c>
      <c r="AC342" s="302">
        <f t="shared" si="181"/>
        <v>66625.14679204089</v>
      </c>
      <c r="AD342" s="302">
        <f t="shared" si="181"/>
        <v>66273.942293616492</v>
      </c>
      <c r="AE342" s="302">
        <f t="shared" si="181"/>
        <v>65876.816692788474</v>
      </c>
      <c r="AF342" s="302">
        <f t="shared" si="181"/>
        <v>65417.78638626785</v>
      </c>
      <c r="AG342" s="303">
        <f t="shared" si="181"/>
        <v>64885.501882683253</v>
      </c>
      <c r="AI342" s="203" t="s">
        <v>679</v>
      </c>
      <c r="AJ342" s="274"/>
    </row>
    <row r="343" spans="1:36" s="203" customFormat="1">
      <c r="A343" s="304" t="s">
        <v>648</v>
      </c>
      <c r="B343" s="305" t="s">
        <v>127</v>
      </c>
      <c r="C343" s="306">
        <f>C321+C342</f>
        <v>478052.14953852992</v>
      </c>
      <c r="D343" s="306">
        <f t="shared" ref="D343:AF343" si="182">D321+D342</f>
        <v>468791.38051858888</v>
      </c>
      <c r="E343" s="306">
        <f t="shared" si="182"/>
        <v>459489.21621776704</v>
      </c>
      <c r="F343" s="306">
        <f t="shared" si="182"/>
        <v>450145.59145034384</v>
      </c>
      <c r="G343" s="306">
        <f t="shared" si="182"/>
        <v>440759.79734218924</v>
      </c>
      <c r="H343" s="306">
        <f t="shared" si="182"/>
        <v>431329.89095710905</v>
      </c>
      <c r="I343" s="306">
        <f t="shared" si="182"/>
        <v>420749.47312251094</v>
      </c>
      <c r="J343" s="306">
        <f t="shared" si="182"/>
        <v>410166.90506119077</v>
      </c>
      <c r="K343" s="306">
        <f t="shared" si="182"/>
        <v>399566.42521477584</v>
      </c>
      <c r="L343" s="306">
        <f t="shared" si="182"/>
        <v>388920.75698119681</v>
      </c>
      <c r="M343" s="306">
        <f t="shared" si="182"/>
        <v>378185.691972161</v>
      </c>
      <c r="N343" s="306">
        <f t="shared" si="182"/>
        <v>369833.32344423526</v>
      </c>
      <c r="O343" s="306">
        <f t="shared" si="182"/>
        <v>361260.91708125465</v>
      </c>
      <c r="P343" s="306">
        <f t="shared" si="182"/>
        <v>352379.36274330958</v>
      </c>
      <c r="Q343" s="306">
        <f t="shared" si="182"/>
        <v>343143.93335759453</v>
      </c>
      <c r="R343" s="306">
        <f t="shared" si="182"/>
        <v>333557.51994398527</v>
      </c>
      <c r="S343" s="306">
        <f t="shared" si="182"/>
        <v>323701.62242882594</v>
      </c>
      <c r="T343" s="306">
        <f t="shared" si="182"/>
        <v>313725.658954682</v>
      </c>
      <c r="U343" s="306">
        <f t="shared" si="182"/>
        <v>303805.60422083049</v>
      </c>
      <c r="V343" s="306">
        <f t="shared" si="182"/>
        <v>294094.52228689234</v>
      </c>
      <c r="W343" s="306">
        <f t="shared" si="182"/>
        <v>284690.62011650385</v>
      </c>
      <c r="X343" s="306">
        <f t="shared" si="182"/>
        <v>272552.89330808003</v>
      </c>
      <c r="Y343" s="306">
        <f t="shared" si="182"/>
        <v>260741.54382227623</v>
      </c>
      <c r="Z343" s="306">
        <f t="shared" si="182"/>
        <v>249204.71735628071</v>
      </c>
      <c r="AA343" s="306">
        <f t="shared" si="182"/>
        <v>237935.11862865539</v>
      </c>
      <c r="AB343" s="306">
        <f t="shared" si="182"/>
        <v>226892.80319081081</v>
      </c>
      <c r="AC343" s="306">
        <f t="shared" si="182"/>
        <v>216023.21555308299</v>
      </c>
      <c r="AD343" s="306">
        <f t="shared" si="182"/>
        <v>205315.11734519032</v>
      </c>
      <c r="AE343" s="306">
        <f t="shared" si="182"/>
        <v>194743.95969465826</v>
      </c>
      <c r="AF343" s="306">
        <f t="shared" si="182"/>
        <v>184290.86147506768</v>
      </c>
      <c r="AG343" s="307">
        <f>AG321+AG342</f>
        <v>173941.63489140166</v>
      </c>
      <c r="AI343" s="203" t="s">
        <v>680</v>
      </c>
      <c r="AJ343" s="274"/>
    </row>
    <row r="344" spans="1:36" s="203" customFormat="1">
      <c r="A344" s="378"/>
      <c r="B344" s="379"/>
      <c r="C344" s="378"/>
      <c r="D344" s="378"/>
      <c r="E344" s="378"/>
      <c r="F344" s="378"/>
      <c r="G344" s="378"/>
      <c r="H344" s="378"/>
      <c r="I344" s="378"/>
      <c r="J344" s="378"/>
      <c r="K344" s="378"/>
      <c r="L344" s="378"/>
      <c r="M344" s="378"/>
      <c r="N344" s="378"/>
      <c r="O344" s="378"/>
      <c r="P344" s="378"/>
      <c r="Q344" s="378"/>
      <c r="R344" s="378"/>
      <c r="S344" s="378"/>
      <c r="T344" s="378"/>
      <c r="U344" s="378"/>
      <c r="V344" s="378"/>
      <c r="W344" s="378"/>
      <c r="X344" s="378"/>
      <c r="Y344" s="378"/>
      <c r="Z344" s="378"/>
      <c r="AA344" s="378"/>
      <c r="AB344" s="378"/>
      <c r="AC344" s="378"/>
      <c r="AD344" s="378"/>
      <c r="AE344" s="378"/>
      <c r="AF344" s="378"/>
      <c r="AG344" s="378"/>
      <c r="AJ344" s="274"/>
    </row>
    <row r="345" spans="1:36">
      <c r="B345" s="121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I345" s="22"/>
    </row>
    <row r="346" spans="1:36">
      <c r="B346" s="121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I346" s="188"/>
    </row>
  </sheetData>
  <mergeCells count="5">
    <mergeCell ref="BD113:BE113"/>
    <mergeCell ref="BD118:BE118"/>
    <mergeCell ref="BD123:BE123"/>
    <mergeCell ref="BD131:BE131"/>
    <mergeCell ref="AI313:AI321"/>
  </mergeCells>
  <hyperlinks>
    <hyperlink ref="AJ117" r:id="rId1" xr:uid="{E88D107D-672B-4952-8C6D-B08F3B0E6ED3}"/>
    <hyperlink ref="AJ118" r:id="rId2" xr:uid="{516A0207-859C-4F5F-8DEC-D53385201914}"/>
  </hyperlinks>
  <pageMargins left="0.7" right="0.7" top="0.75" bottom="0.75" header="0.3" footer="0.3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4A05-261D-4640-B6A7-76D6FB48F244}">
  <sheetPr>
    <tabColor theme="4"/>
  </sheetPr>
  <dimension ref="A1:BL346"/>
  <sheetViews>
    <sheetView zoomScale="10" zoomScaleNormal="1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I1" sqref="AI1:AJ1048576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0.81640625" style="99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0.453125" style="99" bestFit="1" customWidth="1" collapsed="1"/>
    <col min="24" max="32" width="8.81640625" style="99" hidden="1" customWidth="1" outlineLevel="1"/>
    <col min="33" max="33" width="10.4531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968</v>
      </c>
      <c r="B18" s="50" t="s">
        <v>126</v>
      </c>
      <c r="C18" s="139">
        <f>'Overall recycling rates'!E76</f>
        <v>1.2426137101318265E-2</v>
      </c>
      <c r="D18" s="139">
        <f>C18</f>
        <v>1.2426137101318265E-2</v>
      </c>
      <c r="E18" s="139">
        <f t="shared" ref="E18:T18" si="9">D18</f>
        <v>1.2426137101318265E-2</v>
      </c>
      <c r="F18" s="139">
        <f t="shared" si="9"/>
        <v>1.2426137101318265E-2</v>
      </c>
      <c r="G18" s="139">
        <f t="shared" si="9"/>
        <v>1.2426137101318265E-2</v>
      </c>
      <c r="H18" s="139">
        <f t="shared" si="9"/>
        <v>1.2426137101318265E-2</v>
      </c>
      <c r="I18" s="139">
        <f t="shared" si="9"/>
        <v>1.2426137101318265E-2</v>
      </c>
      <c r="J18" s="139">
        <f t="shared" si="9"/>
        <v>1.2426137101318265E-2</v>
      </c>
      <c r="K18" s="139">
        <f t="shared" si="9"/>
        <v>1.2426137101318265E-2</v>
      </c>
      <c r="L18" s="139">
        <f t="shared" si="9"/>
        <v>1.2426137101318265E-2</v>
      </c>
      <c r="M18" s="139">
        <f t="shared" si="9"/>
        <v>1.2426137101318265E-2</v>
      </c>
      <c r="N18" s="139">
        <f t="shared" si="9"/>
        <v>1.2426137101318265E-2</v>
      </c>
      <c r="O18" s="139">
        <f t="shared" si="9"/>
        <v>1.2426137101318265E-2</v>
      </c>
      <c r="P18" s="139">
        <f t="shared" si="9"/>
        <v>1.2426137101318265E-2</v>
      </c>
      <c r="Q18" s="139">
        <f t="shared" si="9"/>
        <v>1.2426137101318265E-2</v>
      </c>
      <c r="R18" s="139">
        <f t="shared" si="9"/>
        <v>1.2426137101318265E-2</v>
      </c>
      <c r="S18" s="139">
        <f t="shared" si="9"/>
        <v>1.2426137101318265E-2</v>
      </c>
      <c r="T18" s="139">
        <f t="shared" si="9"/>
        <v>1.2426137101318265E-2</v>
      </c>
      <c r="U18" s="139">
        <f t="shared" ref="T18:AG22" si="10">T18</f>
        <v>1.2426137101318265E-2</v>
      </c>
      <c r="V18" s="139">
        <f t="shared" si="10"/>
        <v>1.2426137101318265E-2</v>
      </c>
      <c r="W18" s="139">
        <f t="shared" si="10"/>
        <v>1.2426137101318265E-2</v>
      </c>
      <c r="X18" s="139">
        <f t="shared" si="10"/>
        <v>1.2426137101318265E-2</v>
      </c>
      <c r="Y18" s="139">
        <f t="shared" si="10"/>
        <v>1.2426137101318265E-2</v>
      </c>
      <c r="Z18" s="139">
        <f t="shared" si="10"/>
        <v>1.2426137101318265E-2</v>
      </c>
      <c r="AA18" s="139">
        <f t="shared" si="10"/>
        <v>1.2426137101318265E-2</v>
      </c>
      <c r="AB18" s="139">
        <f t="shared" si="10"/>
        <v>1.2426137101318265E-2</v>
      </c>
      <c r="AC18" s="139">
        <f t="shared" si="10"/>
        <v>1.2426137101318265E-2</v>
      </c>
      <c r="AD18" s="139">
        <f t="shared" si="10"/>
        <v>1.2426137101318265E-2</v>
      </c>
      <c r="AE18" s="139">
        <f t="shared" si="10"/>
        <v>1.2426137101318265E-2</v>
      </c>
      <c r="AF18" s="139">
        <f t="shared" si="10"/>
        <v>1.2426137101318265E-2</v>
      </c>
      <c r="AG18" s="139">
        <f>AF18</f>
        <v>1.2426137101318265E-2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969</v>
      </c>
      <c r="B19" s="50" t="s">
        <v>126</v>
      </c>
      <c r="C19" s="139">
        <f>'Overall recycling rates'!E78</f>
        <v>6.4375749828577966E-2</v>
      </c>
      <c r="D19" s="139">
        <f t="shared" ref="D19:S22" si="11">C19</f>
        <v>6.4375749828577966E-2</v>
      </c>
      <c r="E19" s="139">
        <f t="shared" si="11"/>
        <v>6.4375749828577966E-2</v>
      </c>
      <c r="F19" s="139">
        <f t="shared" si="11"/>
        <v>6.4375749828577966E-2</v>
      </c>
      <c r="G19" s="139">
        <f t="shared" si="11"/>
        <v>6.4375749828577966E-2</v>
      </c>
      <c r="H19" s="139">
        <f t="shared" si="11"/>
        <v>6.4375749828577966E-2</v>
      </c>
      <c r="I19" s="139">
        <f t="shared" si="11"/>
        <v>6.4375749828577966E-2</v>
      </c>
      <c r="J19" s="139">
        <f t="shared" si="11"/>
        <v>6.4375749828577966E-2</v>
      </c>
      <c r="K19" s="139">
        <f t="shared" si="11"/>
        <v>6.4375749828577966E-2</v>
      </c>
      <c r="L19" s="139">
        <f t="shared" si="11"/>
        <v>6.4375749828577966E-2</v>
      </c>
      <c r="M19" s="139">
        <f t="shared" si="11"/>
        <v>6.4375749828577966E-2</v>
      </c>
      <c r="N19" s="139">
        <f t="shared" si="11"/>
        <v>6.4375749828577966E-2</v>
      </c>
      <c r="O19" s="139">
        <f t="shared" si="11"/>
        <v>6.4375749828577966E-2</v>
      </c>
      <c r="P19" s="139">
        <f t="shared" si="11"/>
        <v>6.4375749828577966E-2</v>
      </c>
      <c r="Q19" s="139">
        <f t="shared" si="11"/>
        <v>6.4375749828577966E-2</v>
      </c>
      <c r="R19" s="139">
        <f t="shared" si="11"/>
        <v>6.4375749828577966E-2</v>
      </c>
      <c r="S19" s="139">
        <f t="shared" si="11"/>
        <v>6.4375749828577966E-2</v>
      </c>
      <c r="T19" s="139">
        <f t="shared" si="10"/>
        <v>6.4375749828577966E-2</v>
      </c>
      <c r="U19" s="139">
        <f t="shared" si="10"/>
        <v>6.4375749828577966E-2</v>
      </c>
      <c r="V19" s="139">
        <f t="shared" si="10"/>
        <v>6.4375749828577966E-2</v>
      </c>
      <c r="W19" s="139">
        <f t="shared" si="10"/>
        <v>6.4375749828577966E-2</v>
      </c>
      <c r="X19" s="139">
        <f t="shared" si="10"/>
        <v>6.4375749828577966E-2</v>
      </c>
      <c r="Y19" s="139">
        <f t="shared" si="10"/>
        <v>6.4375749828577966E-2</v>
      </c>
      <c r="Z19" s="139">
        <f t="shared" si="10"/>
        <v>6.4375749828577966E-2</v>
      </c>
      <c r="AA19" s="139">
        <f t="shared" si="10"/>
        <v>6.4375749828577966E-2</v>
      </c>
      <c r="AB19" s="139">
        <f t="shared" si="10"/>
        <v>6.4375749828577966E-2</v>
      </c>
      <c r="AC19" s="139">
        <f t="shared" si="10"/>
        <v>6.4375749828577966E-2</v>
      </c>
      <c r="AD19" s="139">
        <f t="shared" si="10"/>
        <v>6.4375749828577966E-2</v>
      </c>
      <c r="AE19" s="139">
        <f t="shared" si="10"/>
        <v>6.4375749828577966E-2</v>
      </c>
      <c r="AF19" s="139">
        <f t="shared" si="10"/>
        <v>6.4375749828577966E-2</v>
      </c>
      <c r="AG19" s="139">
        <f t="shared" si="10"/>
        <v>6.4375749828577966E-2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970</v>
      </c>
      <c r="B20" s="50" t="s">
        <v>126</v>
      </c>
      <c r="C20" s="139">
        <f>'Overall recycling rates'!E77</f>
        <v>4.139376221635678E-2</v>
      </c>
      <c r="D20" s="139">
        <f t="shared" si="11"/>
        <v>4.139376221635678E-2</v>
      </c>
      <c r="E20" s="139">
        <f t="shared" si="11"/>
        <v>4.139376221635678E-2</v>
      </c>
      <c r="F20" s="139">
        <f t="shared" si="11"/>
        <v>4.139376221635678E-2</v>
      </c>
      <c r="G20" s="139">
        <f t="shared" si="11"/>
        <v>4.139376221635678E-2</v>
      </c>
      <c r="H20" s="139">
        <f t="shared" si="11"/>
        <v>4.139376221635678E-2</v>
      </c>
      <c r="I20" s="139">
        <f t="shared" si="11"/>
        <v>4.139376221635678E-2</v>
      </c>
      <c r="J20" s="139">
        <f t="shared" si="11"/>
        <v>4.139376221635678E-2</v>
      </c>
      <c r="K20" s="139">
        <f t="shared" si="11"/>
        <v>4.139376221635678E-2</v>
      </c>
      <c r="L20" s="139">
        <f t="shared" si="11"/>
        <v>4.139376221635678E-2</v>
      </c>
      <c r="M20" s="139">
        <f t="shared" si="11"/>
        <v>4.139376221635678E-2</v>
      </c>
      <c r="N20" s="139">
        <f t="shared" si="11"/>
        <v>4.139376221635678E-2</v>
      </c>
      <c r="O20" s="139">
        <f t="shared" si="11"/>
        <v>4.139376221635678E-2</v>
      </c>
      <c r="P20" s="139">
        <f t="shared" si="11"/>
        <v>4.139376221635678E-2</v>
      </c>
      <c r="Q20" s="139">
        <f t="shared" si="11"/>
        <v>4.139376221635678E-2</v>
      </c>
      <c r="R20" s="139">
        <f t="shared" si="11"/>
        <v>4.139376221635678E-2</v>
      </c>
      <c r="S20" s="139">
        <f t="shared" si="11"/>
        <v>4.139376221635678E-2</v>
      </c>
      <c r="T20" s="139">
        <f t="shared" si="10"/>
        <v>4.139376221635678E-2</v>
      </c>
      <c r="U20" s="139">
        <f t="shared" si="10"/>
        <v>4.139376221635678E-2</v>
      </c>
      <c r="V20" s="139">
        <f t="shared" si="10"/>
        <v>4.139376221635678E-2</v>
      </c>
      <c r="W20" s="139">
        <f t="shared" si="10"/>
        <v>4.139376221635678E-2</v>
      </c>
      <c r="X20" s="139">
        <f t="shared" si="10"/>
        <v>4.139376221635678E-2</v>
      </c>
      <c r="Y20" s="139">
        <f t="shared" si="10"/>
        <v>4.139376221635678E-2</v>
      </c>
      <c r="Z20" s="139">
        <f t="shared" si="10"/>
        <v>4.139376221635678E-2</v>
      </c>
      <c r="AA20" s="139">
        <f t="shared" si="10"/>
        <v>4.139376221635678E-2</v>
      </c>
      <c r="AB20" s="139">
        <f t="shared" si="10"/>
        <v>4.139376221635678E-2</v>
      </c>
      <c r="AC20" s="139">
        <f t="shared" si="10"/>
        <v>4.139376221635678E-2</v>
      </c>
      <c r="AD20" s="139">
        <f t="shared" si="10"/>
        <v>4.139376221635678E-2</v>
      </c>
      <c r="AE20" s="139">
        <f t="shared" si="10"/>
        <v>4.139376221635678E-2</v>
      </c>
      <c r="AF20" s="139">
        <f t="shared" si="10"/>
        <v>4.139376221635678E-2</v>
      </c>
      <c r="AG20" s="139">
        <f t="shared" si="10"/>
        <v>4.139376221635678E-2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971</v>
      </c>
      <c r="B21" s="50" t="s">
        <v>126</v>
      </c>
      <c r="C21" s="139">
        <f>'Overall recycling rates'!E79</f>
        <v>1.3100323193105658E-5</v>
      </c>
      <c r="D21" s="139">
        <f t="shared" si="11"/>
        <v>1.3100323193105658E-5</v>
      </c>
      <c r="E21" s="139">
        <f t="shared" si="11"/>
        <v>1.3100323193105658E-5</v>
      </c>
      <c r="F21" s="139">
        <f t="shared" si="11"/>
        <v>1.3100323193105658E-5</v>
      </c>
      <c r="G21" s="139">
        <f t="shared" si="11"/>
        <v>1.3100323193105658E-5</v>
      </c>
      <c r="H21" s="139">
        <f t="shared" si="11"/>
        <v>1.3100323193105658E-5</v>
      </c>
      <c r="I21" s="139">
        <f t="shared" si="11"/>
        <v>1.3100323193105658E-5</v>
      </c>
      <c r="J21" s="139">
        <f t="shared" si="11"/>
        <v>1.3100323193105658E-5</v>
      </c>
      <c r="K21" s="139">
        <f t="shared" si="11"/>
        <v>1.3100323193105658E-5</v>
      </c>
      <c r="L21" s="139">
        <f t="shared" si="11"/>
        <v>1.3100323193105658E-5</v>
      </c>
      <c r="M21" s="139">
        <f t="shared" si="11"/>
        <v>1.3100323193105658E-5</v>
      </c>
      <c r="N21" s="139">
        <f t="shared" si="11"/>
        <v>1.3100323193105658E-5</v>
      </c>
      <c r="O21" s="139">
        <f t="shared" si="11"/>
        <v>1.3100323193105658E-5</v>
      </c>
      <c r="P21" s="139">
        <f t="shared" si="11"/>
        <v>1.3100323193105658E-5</v>
      </c>
      <c r="Q21" s="139">
        <f t="shared" si="11"/>
        <v>1.3100323193105658E-5</v>
      </c>
      <c r="R21" s="139">
        <f t="shared" si="11"/>
        <v>1.3100323193105658E-5</v>
      </c>
      <c r="S21" s="139">
        <f t="shared" si="11"/>
        <v>1.3100323193105658E-5</v>
      </c>
      <c r="T21" s="139">
        <f t="shared" si="10"/>
        <v>1.3100323193105658E-5</v>
      </c>
      <c r="U21" s="139">
        <f t="shared" si="10"/>
        <v>1.3100323193105658E-5</v>
      </c>
      <c r="V21" s="139">
        <f t="shared" si="10"/>
        <v>1.3100323193105658E-5</v>
      </c>
      <c r="W21" s="139">
        <f t="shared" si="10"/>
        <v>1.3100323193105658E-5</v>
      </c>
      <c r="X21" s="139">
        <f t="shared" si="10"/>
        <v>1.3100323193105658E-5</v>
      </c>
      <c r="Y21" s="139">
        <f t="shared" si="10"/>
        <v>1.3100323193105658E-5</v>
      </c>
      <c r="Z21" s="139">
        <f t="shared" si="10"/>
        <v>1.3100323193105658E-5</v>
      </c>
      <c r="AA21" s="139">
        <f t="shared" si="10"/>
        <v>1.3100323193105658E-5</v>
      </c>
      <c r="AB21" s="139">
        <f t="shared" si="10"/>
        <v>1.3100323193105658E-5</v>
      </c>
      <c r="AC21" s="139">
        <f t="shared" si="10"/>
        <v>1.3100323193105658E-5</v>
      </c>
      <c r="AD21" s="139">
        <f t="shared" si="10"/>
        <v>1.3100323193105658E-5</v>
      </c>
      <c r="AE21" s="139">
        <f t="shared" si="10"/>
        <v>1.3100323193105658E-5</v>
      </c>
      <c r="AF21" s="139">
        <f t="shared" si="10"/>
        <v>1.3100323193105658E-5</v>
      </c>
      <c r="AG21" s="139">
        <f t="shared" si="10"/>
        <v>1.3100323193105658E-5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972</v>
      </c>
      <c r="B22" s="50" t="s">
        <v>126</v>
      </c>
      <c r="C22" s="139">
        <f>'Overall recycling rates'!E80</f>
        <v>0.162571122193686</v>
      </c>
      <c r="D22" s="139">
        <f>C22</f>
        <v>0.162571122193686</v>
      </c>
      <c r="E22" s="139">
        <f t="shared" si="11"/>
        <v>0.162571122193686</v>
      </c>
      <c r="F22" s="139">
        <f t="shared" si="11"/>
        <v>0.162571122193686</v>
      </c>
      <c r="G22" s="139">
        <f t="shared" si="11"/>
        <v>0.162571122193686</v>
      </c>
      <c r="H22" s="139">
        <f t="shared" si="11"/>
        <v>0.162571122193686</v>
      </c>
      <c r="I22" s="139">
        <f t="shared" si="11"/>
        <v>0.162571122193686</v>
      </c>
      <c r="J22" s="139">
        <f t="shared" si="11"/>
        <v>0.162571122193686</v>
      </c>
      <c r="K22" s="139">
        <f t="shared" si="11"/>
        <v>0.162571122193686</v>
      </c>
      <c r="L22" s="139">
        <f t="shared" si="11"/>
        <v>0.162571122193686</v>
      </c>
      <c r="M22" s="139">
        <f t="shared" si="11"/>
        <v>0.162571122193686</v>
      </c>
      <c r="N22" s="139">
        <f t="shared" si="11"/>
        <v>0.162571122193686</v>
      </c>
      <c r="O22" s="139">
        <f t="shared" si="11"/>
        <v>0.162571122193686</v>
      </c>
      <c r="P22" s="139">
        <f t="shared" si="11"/>
        <v>0.162571122193686</v>
      </c>
      <c r="Q22" s="139">
        <f t="shared" si="11"/>
        <v>0.162571122193686</v>
      </c>
      <c r="R22" s="139">
        <f t="shared" si="11"/>
        <v>0.162571122193686</v>
      </c>
      <c r="S22" s="139">
        <f t="shared" si="11"/>
        <v>0.162571122193686</v>
      </c>
      <c r="T22" s="139">
        <f t="shared" si="10"/>
        <v>0.162571122193686</v>
      </c>
      <c r="U22" s="139">
        <f t="shared" si="10"/>
        <v>0.162571122193686</v>
      </c>
      <c r="V22" s="139">
        <f t="shared" si="10"/>
        <v>0.162571122193686</v>
      </c>
      <c r="W22" s="139">
        <f t="shared" si="10"/>
        <v>0.162571122193686</v>
      </c>
      <c r="X22" s="139">
        <f t="shared" si="10"/>
        <v>0.162571122193686</v>
      </c>
      <c r="Y22" s="139">
        <f t="shared" si="10"/>
        <v>0.162571122193686</v>
      </c>
      <c r="Z22" s="139">
        <f t="shared" si="10"/>
        <v>0.162571122193686</v>
      </c>
      <c r="AA22" s="139">
        <f t="shared" si="10"/>
        <v>0.162571122193686</v>
      </c>
      <c r="AB22" s="139">
        <f t="shared" si="10"/>
        <v>0.162571122193686</v>
      </c>
      <c r="AC22" s="139">
        <f t="shared" si="10"/>
        <v>0.162571122193686</v>
      </c>
      <c r="AD22" s="139">
        <f t="shared" si="10"/>
        <v>0.162571122193686</v>
      </c>
      <c r="AE22" s="139">
        <f t="shared" si="10"/>
        <v>0.162571122193686</v>
      </c>
      <c r="AF22" s="139">
        <f t="shared" si="10"/>
        <v>0.162571122193686</v>
      </c>
      <c r="AG22" s="139">
        <f t="shared" si="10"/>
        <v>0.162571122193686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973</v>
      </c>
      <c r="B24" s="50" t="s">
        <v>974</v>
      </c>
      <c r="C24" s="178">
        <f>C11*C18</f>
        <v>55439.851131994161</v>
      </c>
      <c r="D24" s="178">
        <f t="shared" ref="D24:AG24" si="12">D11*D18</f>
        <v>55317.46351301956</v>
      </c>
      <c r="E24" s="178">
        <f t="shared" si="12"/>
        <v>55195.346073869987</v>
      </c>
      <c r="F24" s="178">
        <f t="shared" si="12"/>
        <v>55073.498218103283</v>
      </c>
      <c r="G24" s="178">
        <f t="shared" si="12"/>
        <v>54951.919350593918</v>
      </c>
      <c r="H24" s="178">
        <f t="shared" si="12"/>
        <v>54830.608877530227</v>
      </c>
      <c r="I24" s="178">
        <f t="shared" si="12"/>
        <v>54709.566206411386</v>
      </c>
      <c r="J24" s="178">
        <f t="shared" si="12"/>
        <v>54588.790746044542</v>
      </c>
      <c r="K24" s="178">
        <f t="shared" si="12"/>
        <v>54468.281906541997</v>
      </c>
      <c r="L24" s="178">
        <f t="shared" si="12"/>
        <v>54348.03909931823</v>
      </c>
      <c r="M24" s="178">
        <f>M11*M18</f>
        <v>54228.061737087097</v>
      </c>
      <c r="N24" s="178">
        <f t="shared" si="12"/>
        <v>54108.349233858899</v>
      </c>
      <c r="O24" s="178">
        <f t="shared" si="12"/>
        <v>53988.901004937601</v>
      </c>
      <c r="P24" s="178">
        <f t="shared" si="12"/>
        <v>53869.716466917867</v>
      </c>
      <c r="Q24" s="178">
        <f t="shared" si="12"/>
        <v>53750.795037682321</v>
      </c>
      <c r="R24" s="178">
        <f t="shared" si="12"/>
        <v>53632.136136398651</v>
      </c>
      <c r="S24" s="178">
        <f t="shared" si="12"/>
        <v>53513.739183516736</v>
      </c>
      <c r="T24" s="178">
        <f t="shared" si="12"/>
        <v>53395.603600765899</v>
      </c>
      <c r="U24" s="178">
        <f t="shared" si="12"/>
        <v>53277.72881115201</v>
      </c>
      <c r="V24" s="178">
        <f t="shared" si="12"/>
        <v>53160.114238954724</v>
      </c>
      <c r="W24" s="178">
        <f t="shared" si="12"/>
        <v>53042.759309724614</v>
      </c>
      <c r="X24" s="178">
        <f t="shared" si="12"/>
        <v>52925.663450280408</v>
      </c>
      <c r="Y24" s="178">
        <f t="shared" si="12"/>
        <v>52808.826088706184</v>
      </c>
      <c r="Z24" s="178">
        <f t="shared" si="12"/>
        <v>52692.246654348535</v>
      </c>
      <c r="AA24" s="178">
        <f t="shared" si="12"/>
        <v>52575.924577813843</v>
      </c>
      <c r="AB24" s="178">
        <f t="shared" si="12"/>
        <v>52459.859290965462</v>
      </c>
      <c r="AC24" s="178">
        <f t="shared" si="12"/>
        <v>52344.050226920961</v>
      </c>
      <c r="AD24" s="178">
        <f t="shared" si="12"/>
        <v>52228.496820049309</v>
      </c>
      <c r="AE24" s="178">
        <f t="shared" si="12"/>
        <v>52113.198505968176</v>
      </c>
      <c r="AF24" s="178">
        <f t="shared" si="12"/>
        <v>51998.154721541141</v>
      </c>
      <c r="AG24" s="178">
        <f t="shared" si="12"/>
        <v>51883.364904874965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975</v>
      </c>
      <c r="B25" s="50" t="s">
        <v>974</v>
      </c>
      <c r="C25" s="178">
        <f t="shared" ref="C25:AG28" si="13">C12*C19</f>
        <v>18170.790818776764</v>
      </c>
      <c r="D25" s="178">
        <f t="shared" si="13"/>
        <v>18130.677438639781</v>
      </c>
      <c r="E25" s="178">
        <f t="shared" si="13"/>
        <v>18090.652611790436</v>
      </c>
      <c r="F25" s="178">
        <f t="shared" si="13"/>
        <v>18050.716142740726</v>
      </c>
      <c r="G25" s="178">
        <f t="shared" si="13"/>
        <v>18010.86783643419</v>
      </c>
      <c r="H25" s="178">
        <f t="shared" si="13"/>
        <v>17971.107498244986</v>
      </c>
      <c r="I25" s="178">
        <f t="shared" si="13"/>
        <v>17931.434933976911</v>
      </c>
      <c r="J25" s="178">
        <f t="shared" si="13"/>
        <v>17891.849949862466</v>
      </c>
      <c r="K25" s="178">
        <f t="shared" si="13"/>
        <v>17852.352352561906</v>
      </c>
      <c r="L25" s="178">
        <f t="shared" si="13"/>
        <v>17812.941949162308</v>
      </c>
      <c r="M25" s="178">
        <f t="shared" si="13"/>
        <v>17773.618547176611</v>
      </c>
      <c r="N25" s="178">
        <f t="shared" si="13"/>
        <v>17734.381954542689</v>
      </c>
      <c r="O25" s="178">
        <f t="shared" si="13"/>
        <v>17695.231979622389</v>
      </c>
      <c r="P25" s="178">
        <f t="shared" si="13"/>
        <v>17656.168431200647</v>
      </c>
      <c r="Q25" s="178">
        <f t="shared" si="13"/>
        <v>17617.19111848449</v>
      </c>
      <c r="R25" s="178">
        <f t="shared" si="13"/>
        <v>17578.299851102143</v>
      </c>
      <c r="S25" s="178">
        <f t="shared" si="13"/>
        <v>17539.494439102109</v>
      </c>
      <c r="T25" s="178">
        <f t="shared" si="13"/>
        <v>17500.774692952196</v>
      </c>
      <c r="U25" s="178">
        <f t="shared" si="13"/>
        <v>17462.140423538633</v>
      </c>
      <c r="V25" s="178">
        <f t="shared" si="13"/>
        <v>17423.591442165132</v>
      </c>
      <c r="W25" s="178">
        <f t="shared" si="13"/>
        <v>17385.127560551966</v>
      </c>
      <c r="X25" s="178">
        <f t="shared" si="13"/>
        <v>17346.748590835043</v>
      </c>
      <c r="Y25" s="178">
        <f t="shared" si="13"/>
        <v>17308.454345565002</v>
      </c>
      <c r="Z25" s="178">
        <f t="shared" si="13"/>
        <v>17270.244637706292</v>
      </c>
      <c r="AA25" s="178">
        <f t="shared" si="13"/>
        <v>17232.119280636241</v>
      </c>
      <c r="AB25" s="178">
        <f t="shared" si="13"/>
        <v>17194.078088144182</v>
      </c>
      <c r="AC25" s="178">
        <f t="shared" si="13"/>
        <v>17156.120874430515</v>
      </c>
      <c r="AD25" s="178">
        <f t="shared" si="13"/>
        <v>17118.247454105793</v>
      </c>
      <c r="AE25" s="178">
        <f t="shared" si="13"/>
        <v>17080.457642189853</v>
      </c>
      <c r="AF25" s="178">
        <f t="shared" si="13"/>
        <v>17042.75125411087</v>
      </c>
      <c r="AG25" s="178">
        <f t="shared" si="13"/>
        <v>17005.128105704487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976</v>
      </c>
      <c r="B26" s="50" t="s">
        <v>974</v>
      </c>
      <c r="C26" s="178">
        <f t="shared" si="13"/>
        <v>22990.82575436178</v>
      </c>
      <c r="D26" s="178">
        <f t="shared" si="13"/>
        <v>22940.071786505032</v>
      </c>
      <c r="E26" s="178">
        <f t="shared" si="13"/>
        <v>22889.429861829369</v>
      </c>
      <c r="F26" s="178">
        <f t="shared" si="13"/>
        <v>22838.899732991082</v>
      </c>
      <c r="G26" s="178">
        <f t="shared" si="13"/>
        <v>22788.481153192493</v>
      </c>
      <c r="H26" s="178">
        <f t="shared" si="13"/>
        <v>22738.173876180754</v>
      </c>
      <c r="I26" s="178">
        <f t="shared" si="13"/>
        <v>22687.977656246643</v>
      </c>
      <c r="J26" s="178">
        <f t="shared" si="13"/>
        <v>22637.892248223347</v>
      </c>
      <c r="K26" s="178">
        <f t="shared" si="13"/>
        <v>22587.917407485282</v>
      </c>
      <c r="L26" s="178">
        <f t="shared" si="13"/>
        <v>22538.052889946895</v>
      </c>
      <c r="M26" s="178">
        <f t="shared" si="13"/>
        <v>22488.29845206147</v>
      </c>
      <c r="N26" s="178">
        <f t="shared" si="13"/>
        <v>22438.653850819937</v>
      </c>
      <c r="O26" s="178">
        <f t="shared" si="13"/>
        <v>22389.118843749689</v>
      </c>
      <c r="P26" s="178">
        <f t="shared" si="13"/>
        <v>22339.693188913396</v>
      </c>
      <c r="Q26" s="178">
        <f t="shared" si="13"/>
        <v>22290.376644907807</v>
      </c>
      <c r="R26" s="178">
        <f t="shared" si="13"/>
        <v>22241.168970862618</v>
      </c>
      <c r="S26" s="178">
        <f t="shared" si="13"/>
        <v>22192.069926439235</v>
      </c>
      <c r="T26" s="178">
        <f t="shared" si="13"/>
        <v>22143.079271829643</v>
      </c>
      <c r="U26" s="178">
        <f t="shared" si="13"/>
        <v>22094.196767755227</v>
      </c>
      <c r="V26" s="178">
        <f t="shared" si="13"/>
        <v>22045.422175465585</v>
      </c>
      <c r="W26" s="178">
        <f t="shared" si="13"/>
        <v>21996.755256737375</v>
      </c>
      <c r="X26" s="178">
        <f t="shared" si="13"/>
        <v>21948.195773873154</v>
      </c>
      <c r="Y26" s="178">
        <f t="shared" si="13"/>
        <v>21899.74348970022</v>
      </c>
      <c r="Z26" s="178">
        <f t="shared" si="13"/>
        <v>21851.398167569438</v>
      </c>
      <c r="AA26" s="178">
        <f t="shared" si="13"/>
        <v>21803.159571354103</v>
      </c>
      <c r="AB26" s="178">
        <f t="shared" si="13"/>
        <v>21755.027465448773</v>
      </c>
      <c r="AC26" s="178">
        <f t="shared" si="13"/>
        <v>21707.001614768113</v>
      </c>
      <c r="AD26" s="178">
        <f t="shared" si="13"/>
        <v>21659.081784745773</v>
      </c>
      <c r="AE26" s="178">
        <f t="shared" si="13"/>
        <v>21611.267741333213</v>
      </c>
      <c r="AF26" s="178">
        <f t="shared" si="13"/>
        <v>21563.55925099858</v>
      </c>
      <c r="AG26" s="178">
        <f t="shared" si="13"/>
        <v>21515.956080725558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977</v>
      </c>
      <c r="B27" s="50" t="s">
        <v>974</v>
      </c>
      <c r="C27" s="178">
        <f t="shared" si="13"/>
        <v>5.9640578702725442</v>
      </c>
      <c r="D27" s="178">
        <f t="shared" si="13"/>
        <v>5.9508917663371008</v>
      </c>
      <c r="E27" s="178">
        <f t="shared" si="13"/>
        <v>5.9377547275610851</v>
      </c>
      <c r="F27" s="178">
        <f t="shared" si="13"/>
        <v>5.9246466897809853</v>
      </c>
      <c r="G27" s="178">
        <f t="shared" si="13"/>
        <v>5.9115675889749308</v>
      </c>
      <c r="H27" s="178">
        <f t="shared" si="13"/>
        <v>5.898517361262388</v>
      </c>
      <c r="I27" s="178">
        <f t="shared" si="13"/>
        <v>5.8854959429038418</v>
      </c>
      <c r="J27" s="178">
        <f t="shared" si="13"/>
        <v>5.8725032703004887</v>
      </c>
      <c r="K27" s="178">
        <f t="shared" si="13"/>
        <v>5.8595392799939248</v>
      </c>
      <c r="L27" s="178">
        <f t="shared" si="13"/>
        <v>5.8466039086658306</v>
      </c>
      <c r="M27" s="178">
        <f t="shared" si="13"/>
        <v>5.8336970931376735</v>
      </c>
      <c r="N27" s="178">
        <f t="shared" si="13"/>
        <v>5.8208187703703871</v>
      </c>
      <c r="O27" s="178">
        <f t="shared" si="13"/>
        <v>5.807968877464071</v>
      </c>
      <c r="P27" s="178">
        <f t="shared" si="13"/>
        <v>5.7951473516576799</v>
      </c>
      <c r="Q27" s="178">
        <f t="shared" si="13"/>
        <v>5.7823541303287183</v>
      </c>
      <c r="R27" s="178">
        <f t="shared" si="13"/>
        <v>5.7695891509929345</v>
      </c>
      <c r="S27" s="178">
        <f t="shared" si="13"/>
        <v>5.7568523513040164</v>
      </c>
      <c r="T27" s="178">
        <f t="shared" si="13"/>
        <v>5.744143669053285</v>
      </c>
      <c r="U27" s="178">
        <f t="shared" si="13"/>
        <v>5.7314630421693913</v>
      </c>
      <c r="V27" s="178">
        <f t="shared" si="13"/>
        <v>5.7188104087180154</v>
      </c>
      <c r="W27" s="178">
        <f t="shared" si="13"/>
        <v>5.7061857069015609</v>
      </c>
      <c r="X27" s="178">
        <f t="shared" si="13"/>
        <v>5.6935888750588513</v>
      </c>
      <c r="Y27" s="178">
        <f t="shared" si="13"/>
        <v>5.6810198516648374</v>
      </c>
      <c r="Z27" s="178">
        <f t="shared" si="13"/>
        <v>5.6684785753302886</v>
      </c>
      <c r="AA27" s="178">
        <f t="shared" si="13"/>
        <v>5.6559649848014928</v>
      </c>
      <c r="AB27" s="178">
        <f t="shared" si="13"/>
        <v>5.6434790189599635</v>
      </c>
      <c r="AC27" s="178">
        <f t="shared" si="13"/>
        <v>5.6310206168221386</v>
      </c>
      <c r="AD27" s="178">
        <f t="shared" si="13"/>
        <v>5.618589717539078</v>
      </c>
      <c r="AE27" s="178">
        <f t="shared" si="13"/>
        <v>5.6061862603961732</v>
      </c>
      <c r="AF27" s="178">
        <f t="shared" si="13"/>
        <v>5.5938101848128463</v>
      </c>
      <c r="AG27" s="178">
        <f t="shared" si="13"/>
        <v>5.5814614303422552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978</v>
      </c>
      <c r="B28" s="156" t="s">
        <v>974</v>
      </c>
      <c r="C28" s="178">
        <f t="shared" si="13"/>
        <v>457395.3207877258</v>
      </c>
      <c r="D28" s="178">
        <f t="shared" si="13"/>
        <v>456385.58639814286</v>
      </c>
      <c r="E28" s="178">
        <f t="shared" si="13"/>
        <v>455378.08107276587</v>
      </c>
      <c r="F28" s="178">
        <f t="shared" si="13"/>
        <v>454372.79989076883</v>
      </c>
      <c r="G28" s="178">
        <f t="shared" si="13"/>
        <v>453369.73794218875</v>
      </c>
      <c r="H28" s="178">
        <f t="shared" si="13"/>
        <v>452368.89032790175</v>
      </c>
      <c r="I28" s="178">
        <f t="shared" si="13"/>
        <v>451370.25215959945</v>
      </c>
      <c r="J28" s="178">
        <f t="shared" si="13"/>
        <v>450373.8185597643</v>
      </c>
      <c r="K28" s="178">
        <f t="shared" si="13"/>
        <v>449379.58466164663</v>
      </c>
      <c r="L28" s="178">
        <f t="shared" si="13"/>
        <v>448387.54560924036</v>
      </c>
      <c r="M28" s="178">
        <f t="shared" si="13"/>
        <v>447397.69655725936</v>
      </c>
      <c r="N28" s="178">
        <f t="shared" si="13"/>
        <v>446410.03267111373</v>
      </c>
      <c r="O28" s="178">
        <f t="shared" si="13"/>
        <v>445424.54912688653</v>
      </c>
      <c r="P28" s="178">
        <f t="shared" si="13"/>
        <v>444441.24111130973</v>
      </c>
      <c r="Q28" s="178">
        <f t="shared" si="13"/>
        <v>443460.10382174124</v>
      </c>
      <c r="R28" s="178">
        <f t="shared" si="13"/>
        <v>442481.13246614096</v>
      </c>
      <c r="S28" s="178">
        <f t="shared" si="13"/>
        <v>441504.32226304751</v>
      </c>
      <c r="T28" s="178">
        <f t="shared" si="13"/>
        <v>440529.66844155523</v>
      </c>
      <c r="U28" s="178">
        <f t="shared" si="13"/>
        <v>439557.16624129022</v>
      </c>
      <c r="V28" s="178">
        <f t="shared" si="13"/>
        <v>438586.81091238774</v>
      </c>
      <c r="W28" s="178">
        <f t="shared" si="13"/>
        <v>437618.59771546861</v>
      </c>
      <c r="X28" s="178">
        <f t="shared" si="13"/>
        <v>436652.52192161628</v>
      </c>
      <c r="Y28" s="178">
        <f t="shared" si="13"/>
        <v>435688.5788123536</v>
      </c>
      <c r="Z28" s="178">
        <f t="shared" si="13"/>
        <v>434726.7636796197</v>
      </c>
      <c r="AA28" s="178">
        <f t="shared" si="13"/>
        <v>433767.07182574715</v>
      </c>
      <c r="AB28" s="178">
        <f t="shared" si="13"/>
        <v>432809.49856343918</v>
      </c>
      <c r="AC28" s="178">
        <f t="shared" si="13"/>
        <v>431854.03921574628</v>
      </c>
      <c r="AD28" s="178">
        <f t="shared" si="13"/>
        <v>430900.68911604391</v>
      </c>
      <c r="AE28" s="178">
        <f t="shared" si="13"/>
        <v>429949.4436080092</v>
      </c>
      <c r="AF28" s="178">
        <f t="shared" si="13"/>
        <v>429000.29804559861</v>
      </c>
      <c r="AG28" s="178">
        <f t="shared" si="13"/>
        <v>428053.24779302516</v>
      </c>
      <c r="AL28" s="100"/>
      <c r="AM28" s="181"/>
      <c r="AN28" s="181"/>
      <c r="AO28" s="181"/>
    </row>
    <row r="29" spans="1:64" s="1" customFormat="1" ht="15.5" thickBot="1">
      <c r="A29" s="174" t="s">
        <v>979</v>
      </c>
      <c r="B29" s="193" t="s">
        <v>974</v>
      </c>
      <c r="C29" s="190">
        <f>SUM(C24:C28)</f>
        <v>554002.75255072874</v>
      </c>
      <c r="D29" s="190">
        <f t="shared" ref="D29:AG29" si="14">SUM(D24:D28)</f>
        <v>552779.75002807355</v>
      </c>
      <c r="E29" s="190">
        <f t="shared" si="14"/>
        <v>551559.44737498323</v>
      </c>
      <c r="F29" s="190">
        <f t="shared" si="14"/>
        <v>550341.83863129374</v>
      </c>
      <c r="G29" s="190">
        <f t="shared" si="14"/>
        <v>549126.91784999834</v>
      </c>
      <c r="H29" s="190">
        <f t="shared" si="14"/>
        <v>547914.67909721902</v>
      </c>
      <c r="I29" s="190">
        <f t="shared" si="14"/>
        <v>546705.11645217729</v>
      </c>
      <c r="J29" s="190">
        <f t="shared" si="14"/>
        <v>545498.22400716494</v>
      </c>
      <c r="K29" s="190">
        <f t="shared" si="14"/>
        <v>544293.9958675158</v>
      </c>
      <c r="L29" s="190">
        <f t="shared" si="14"/>
        <v>543092.42615157645</v>
      </c>
      <c r="M29" s="190">
        <f t="shared" si="14"/>
        <v>541893.50899067766</v>
      </c>
      <c r="N29" s="190">
        <f t="shared" si="14"/>
        <v>540697.23852910567</v>
      </c>
      <c r="O29" s="190">
        <f t="shared" si="14"/>
        <v>539503.60892407363</v>
      </c>
      <c r="P29" s="190">
        <f t="shared" si="14"/>
        <v>538312.61434569326</v>
      </c>
      <c r="Q29" s="190">
        <f t="shared" si="14"/>
        <v>537124.24897694623</v>
      </c>
      <c r="R29" s="190">
        <f t="shared" si="14"/>
        <v>535938.50701365538</v>
      </c>
      <c r="S29" s="190">
        <f t="shared" si="14"/>
        <v>534755.38266445685</v>
      </c>
      <c r="T29" s="190">
        <f t="shared" si="14"/>
        <v>533574.87015077204</v>
      </c>
      <c r="U29" s="190">
        <f t="shared" si="14"/>
        <v>532396.96370677825</v>
      </c>
      <c r="V29" s="190">
        <f t="shared" si="14"/>
        <v>531221.65757938195</v>
      </c>
      <c r="W29" s="190">
        <f t="shared" si="14"/>
        <v>530048.9460281895</v>
      </c>
      <c r="X29" s="190">
        <f t="shared" si="14"/>
        <v>528878.82332547999</v>
      </c>
      <c r="Y29" s="190">
        <f t="shared" si="14"/>
        <v>527711.28375617671</v>
      </c>
      <c r="Z29" s="190">
        <f t="shared" si="14"/>
        <v>526546.32161781925</v>
      </c>
      <c r="AA29" s="190">
        <f t="shared" si="14"/>
        <v>525383.93122053612</v>
      </c>
      <c r="AB29" s="190">
        <f t="shared" si="14"/>
        <v>524224.10688701656</v>
      </c>
      <c r="AC29" s="190">
        <f t="shared" si="14"/>
        <v>523066.84295248269</v>
      </c>
      <c r="AD29" s="190">
        <f t="shared" si="14"/>
        <v>521912.13376466231</v>
      </c>
      <c r="AE29" s="190">
        <f t="shared" si="14"/>
        <v>520759.97368376085</v>
      </c>
      <c r="AF29" s="190">
        <f t="shared" si="14"/>
        <v>519610.357082434</v>
      </c>
      <c r="AG29" s="190">
        <f t="shared" si="14"/>
        <v>518463.27834576054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980</v>
      </c>
      <c r="B31" s="156" t="s">
        <v>974</v>
      </c>
      <c r="C31" s="99">
        <f>C29</f>
        <v>554002.75255072874</v>
      </c>
      <c r="D31" s="99">
        <f t="shared" ref="D31:AG31" si="15">D29</f>
        <v>552779.75002807355</v>
      </c>
      <c r="E31" s="99">
        <f t="shared" si="15"/>
        <v>551559.44737498323</v>
      </c>
      <c r="F31" s="99">
        <f t="shared" si="15"/>
        <v>550341.83863129374</v>
      </c>
      <c r="G31" s="99">
        <f t="shared" si="15"/>
        <v>549126.91784999834</v>
      </c>
      <c r="H31" s="99">
        <f t="shared" si="15"/>
        <v>547914.67909721902</v>
      </c>
      <c r="I31" s="99">
        <f t="shared" si="15"/>
        <v>546705.11645217729</v>
      </c>
      <c r="J31" s="99">
        <f t="shared" si="15"/>
        <v>545498.22400716494</v>
      </c>
      <c r="K31" s="99">
        <f t="shared" si="15"/>
        <v>544293.9958675158</v>
      </c>
      <c r="L31" s="99">
        <f t="shared" si="15"/>
        <v>543092.42615157645</v>
      </c>
      <c r="M31" s="99">
        <f t="shared" si="15"/>
        <v>541893.50899067766</v>
      </c>
      <c r="N31" s="99">
        <f t="shared" si="15"/>
        <v>540697.23852910567</v>
      </c>
      <c r="O31" s="99">
        <f t="shared" si="15"/>
        <v>539503.60892407363</v>
      </c>
      <c r="P31" s="99">
        <f t="shared" si="15"/>
        <v>538312.61434569326</v>
      </c>
      <c r="Q31" s="99">
        <f t="shared" si="15"/>
        <v>537124.24897694623</v>
      </c>
      <c r="R31" s="99">
        <f t="shared" si="15"/>
        <v>535938.50701365538</v>
      </c>
      <c r="S31" s="99">
        <f t="shared" si="15"/>
        <v>534755.38266445685</v>
      </c>
      <c r="T31" s="99">
        <f t="shared" si="15"/>
        <v>533574.87015077204</v>
      </c>
      <c r="U31" s="99">
        <f t="shared" si="15"/>
        <v>532396.96370677825</v>
      </c>
      <c r="V31" s="99">
        <f t="shared" si="15"/>
        <v>531221.65757938195</v>
      </c>
      <c r="W31" s="99">
        <f t="shared" si="15"/>
        <v>530048.9460281895</v>
      </c>
      <c r="X31" s="99">
        <f t="shared" si="15"/>
        <v>528878.82332547999</v>
      </c>
      <c r="Y31" s="99">
        <f t="shared" si="15"/>
        <v>527711.28375617671</v>
      </c>
      <c r="Z31" s="99">
        <f t="shared" si="15"/>
        <v>526546.32161781925</v>
      </c>
      <c r="AA31" s="99">
        <f t="shared" si="15"/>
        <v>525383.93122053612</v>
      </c>
      <c r="AB31" s="99">
        <f t="shared" si="15"/>
        <v>524224.10688701656</v>
      </c>
      <c r="AC31" s="99">
        <f t="shared" si="15"/>
        <v>523066.84295248269</v>
      </c>
      <c r="AD31" s="99">
        <f t="shared" si="15"/>
        <v>521912.13376466231</v>
      </c>
      <c r="AE31" s="99">
        <f t="shared" si="15"/>
        <v>520759.97368376085</v>
      </c>
      <c r="AF31" s="99">
        <f t="shared" si="15"/>
        <v>519610.357082434</v>
      </c>
      <c r="AG31" s="99">
        <f t="shared" si="15"/>
        <v>518463.27834576054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981</v>
      </c>
      <c r="B33" s="50" t="s">
        <v>126</v>
      </c>
      <c r="C33" s="179">
        <f>'Yearly Methanol'!D35/'Yearly Methanol'!D28</f>
        <v>1</v>
      </c>
      <c r="D33" s="179">
        <f>'Yearly Methanol'!E35/'Yearly Methanol'!E28</f>
        <v>0.99818899999999999</v>
      </c>
      <c r="E33" s="179">
        <f>'Yearly Methanol'!F35/'Yearly Methanol'!F28</f>
        <v>0.99637799999999987</v>
      </c>
      <c r="F33" s="179">
        <f>'Yearly Methanol'!G35/'Yearly Methanol'!G28</f>
        <v>0.99456699999999987</v>
      </c>
      <c r="G33" s="179">
        <f>'Yearly Methanol'!H35/'Yearly Methanol'!H28</f>
        <v>0.99275600000000008</v>
      </c>
      <c r="H33" s="179">
        <f>'Yearly Methanol'!I35/'Yearly Methanol'!I28</f>
        <v>0.99094500000000008</v>
      </c>
      <c r="I33" s="179">
        <f>'Yearly Methanol'!J35/'Yearly Methanol'!J28</f>
        <v>0.98913399999999996</v>
      </c>
      <c r="J33" s="179">
        <f>'Yearly Methanol'!K35/'Yearly Methanol'!K28</f>
        <v>0.98732299999999995</v>
      </c>
      <c r="K33" s="179">
        <f>'Yearly Methanol'!L35/'Yearly Methanol'!L28</f>
        <v>0.98551199999999994</v>
      </c>
      <c r="L33" s="179">
        <f>'Yearly Methanol'!M35/'Yearly Methanol'!M28</f>
        <v>0.98370100000000005</v>
      </c>
      <c r="M33" s="179">
        <f>'Yearly Methanol'!N35/'Yearly Methanol'!N28</f>
        <v>0.98188999999999993</v>
      </c>
      <c r="N33" s="179">
        <f>'Yearly Methanol'!O35/'Yearly Methanol'!O28</f>
        <v>0.97769899999999998</v>
      </c>
      <c r="O33" s="179">
        <f>'Yearly Methanol'!P35/'Yearly Methanol'!P28</f>
        <v>0.97350800000000004</v>
      </c>
      <c r="P33" s="179">
        <f>'Yearly Methanol'!Q35/'Yearly Methanol'!Q28</f>
        <v>0.9693170000000001</v>
      </c>
      <c r="Q33" s="179">
        <f>'Yearly Methanol'!R35/'Yearly Methanol'!R28</f>
        <v>0.96512600000000015</v>
      </c>
      <c r="R33" s="179">
        <f>'Yearly Methanol'!S35/'Yearly Methanol'!S28</f>
        <v>0.96093499999999987</v>
      </c>
      <c r="S33" s="179">
        <f>'Yearly Methanol'!T35/'Yearly Methanol'!T28</f>
        <v>0.95674400000000004</v>
      </c>
      <c r="T33" s="179">
        <f>'Yearly Methanol'!U35/'Yearly Methanol'!U28</f>
        <v>0.95255299999999998</v>
      </c>
      <c r="U33" s="179">
        <f>'Yearly Methanol'!V35/'Yearly Methanol'!V28</f>
        <v>0.94836199999999993</v>
      </c>
      <c r="V33" s="179">
        <f>'Yearly Methanol'!W35/'Yearly Methanol'!W28</f>
        <v>0.94417100000000009</v>
      </c>
      <c r="W33" s="179">
        <f>'Yearly Methanol'!X35/'Yearly Methanol'!X28</f>
        <v>0.93998000000000004</v>
      </c>
      <c r="X33" s="179">
        <f>'Yearly Methanol'!Y35/'Yearly Methanol'!Y28</f>
        <v>0.935782</v>
      </c>
      <c r="Y33" s="179">
        <f>'Yearly Methanol'!Z35/'Yearly Methanol'!Z28</f>
        <v>0.93158399999999986</v>
      </c>
      <c r="Z33" s="179">
        <f>'Yearly Methanol'!AA35/'Yearly Methanol'!AA28</f>
        <v>0.92738599999999993</v>
      </c>
      <c r="AA33" s="179">
        <f>'Yearly Methanol'!AB35/'Yearly Methanol'!AB28</f>
        <v>0.92318800000000012</v>
      </c>
      <c r="AB33" s="179">
        <f>'Yearly Methanol'!AC35/'Yearly Methanol'!AC28</f>
        <v>0.91899000000000008</v>
      </c>
      <c r="AC33" s="179">
        <f>'Yearly Methanol'!AD35/'Yearly Methanol'!AD28</f>
        <v>0.91479199999999994</v>
      </c>
      <c r="AD33" s="179">
        <f>'Yearly Methanol'!AE35/'Yearly Methanol'!AE28</f>
        <v>0.9105939999999999</v>
      </c>
      <c r="AE33" s="179">
        <f>'Yearly Methanol'!AF35/'Yearly Methanol'!AF28</f>
        <v>0.90639600000000009</v>
      </c>
      <c r="AF33" s="179">
        <f>'Yearly Methanol'!AG35/'Yearly Methanol'!AG28</f>
        <v>0.90219800000000006</v>
      </c>
      <c r="AG33" s="179">
        <f>'Yearly Methanol'!AH35/'Yearly Methanol'!AH28</f>
        <v>0.89800000000000002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982</v>
      </c>
      <c r="B34" s="50" t="s">
        <v>126</v>
      </c>
      <c r="C34" s="179">
        <f>'Yearly Methanol'!D24/'Yearly Methanol'!D17</f>
        <v>1</v>
      </c>
      <c r="D34" s="179">
        <f>'Yearly Methanol'!E24/'Yearly Methanol'!E17</f>
        <v>0.99658920000000006</v>
      </c>
      <c r="E34" s="179">
        <f>'Yearly Methanol'!F24/'Yearly Methanol'!F17</f>
        <v>0.99315680000000006</v>
      </c>
      <c r="F34" s="179">
        <f>'Yearly Methanol'!G24/'Yearly Methanol'!G17</f>
        <v>0.9897028000000001</v>
      </c>
      <c r="G34" s="179">
        <f>'Yearly Methanol'!H24/'Yearly Methanol'!H17</f>
        <v>0.98622719999999997</v>
      </c>
      <c r="H34" s="179">
        <f>'Yearly Methanol'!I24/'Yearly Methanol'!I17</f>
        <v>0.98272999999999999</v>
      </c>
      <c r="I34" s="179">
        <f>'Yearly Methanol'!J24/'Yearly Methanol'!J17</f>
        <v>0.97921120000000006</v>
      </c>
      <c r="J34" s="179">
        <f>'Yearly Methanol'!K24/'Yearly Methanol'!K17</f>
        <v>0.97567080000000006</v>
      </c>
      <c r="K34" s="179">
        <f>'Yearly Methanol'!L24/'Yearly Methanol'!L17</f>
        <v>0.9721088</v>
      </c>
      <c r="L34" s="179">
        <f>'Yearly Methanol'!M24/'Yearly Methanol'!M17</f>
        <v>0.96852519999999998</v>
      </c>
      <c r="M34" s="179">
        <f>'Yearly Methanol'!N24/'Yearly Methanol'!N17</f>
        <v>0.96491999999999989</v>
      </c>
      <c r="N34" s="179">
        <f>'Yearly Methanol'!O24/'Yearly Methanol'!O17</f>
        <v>0.95304500000000003</v>
      </c>
      <c r="O34" s="179">
        <f>'Yearly Methanol'!P24/'Yearly Methanol'!P17</f>
        <v>0.94100799999999996</v>
      </c>
      <c r="P34" s="179">
        <f>'Yearly Methanol'!Q24/'Yearly Methanol'!Q17</f>
        <v>0.92880899999999988</v>
      </c>
      <c r="Q34" s="179">
        <f>'Yearly Methanol'!R24/'Yearly Methanol'!R17</f>
        <v>0.91644799999999993</v>
      </c>
      <c r="R34" s="179">
        <f>'Yearly Methanol'!S24/'Yearly Methanol'!S17</f>
        <v>0.90392499999999998</v>
      </c>
      <c r="S34" s="179">
        <f>'Yearly Methanol'!T24/'Yearly Methanol'!T17</f>
        <v>0.89123999999999992</v>
      </c>
      <c r="T34" s="179">
        <f>'Yearly Methanol'!U24/'Yearly Methanol'!U17</f>
        <v>0.87839300000000009</v>
      </c>
      <c r="U34" s="179">
        <f>'Yearly Methanol'!V24/'Yearly Methanol'!V17</f>
        <v>0.86538400000000004</v>
      </c>
      <c r="V34" s="179">
        <f>'Yearly Methanol'!W24/'Yearly Methanol'!W17</f>
        <v>0.85221300000000011</v>
      </c>
      <c r="W34" s="179">
        <f>'Yearly Methanol'!X24/'Yearly Methanol'!X17</f>
        <v>0.83887999999999996</v>
      </c>
      <c r="X34" s="179">
        <f>'Yearly Methanol'!Y24/'Yearly Methanol'!Y17</f>
        <v>0.80646680000000004</v>
      </c>
      <c r="Y34" s="179">
        <f>'Yearly Methanol'!Z24/'Yearly Methanol'!Z17</f>
        <v>0.77385919999999997</v>
      </c>
      <c r="Z34" s="179">
        <f>'Yearly Methanol'!AA24/'Yearly Methanol'!AA17</f>
        <v>0.74105719999999997</v>
      </c>
      <c r="AA34" s="179">
        <f>'Yearly Methanol'!AB24/'Yearly Methanol'!AB17</f>
        <v>0.70806080000000016</v>
      </c>
      <c r="AB34" s="179">
        <f>'Yearly Methanol'!AC24/'Yearly Methanol'!AC17</f>
        <v>0.67487000000000008</v>
      </c>
      <c r="AC34" s="179">
        <f>'Yearly Methanol'!AD24/'Yearly Methanol'!AD17</f>
        <v>0.64148479999999997</v>
      </c>
      <c r="AD34" s="179">
        <f>'Yearly Methanol'!AE24/'Yearly Methanol'!AE17</f>
        <v>0.60790519999999992</v>
      </c>
      <c r="AE34" s="179">
        <f>'Yearly Methanol'!AF24/'Yearly Methanol'!AF17</f>
        <v>0.57413120000000006</v>
      </c>
      <c r="AF34" s="179">
        <f>'Yearly Methanol'!AG24/'Yearly Methanol'!AG17</f>
        <v>0.54016280000000005</v>
      </c>
      <c r="AG34" s="179">
        <f>'Yearly Methanol'!AH24/'Yearly Methanol'!AH17</f>
        <v>0.50600000000000001</v>
      </c>
      <c r="AL34" s="100"/>
      <c r="AM34" s="181"/>
      <c r="AN34" s="181"/>
      <c r="AO34" s="181"/>
      <c r="BL34" s="1"/>
    </row>
    <row r="35" spans="1:64" outlineLevel="1">
      <c r="A35" t="s">
        <v>983</v>
      </c>
      <c r="B35" s="50" t="s">
        <v>126</v>
      </c>
      <c r="C35" s="179">
        <f>'Yearly Methanol'!D42/'Yearly Methanol'!D39</f>
        <v>1</v>
      </c>
      <c r="D35" s="179">
        <f>'Yearly Methanol'!E42/'Yearly Methanol'!E39</f>
        <v>0.97593875518672202</v>
      </c>
      <c r="E35" s="179">
        <f>'Yearly Methanol'!F42/'Yearly Methanol'!F39</f>
        <v>0.95187751037344381</v>
      </c>
      <c r="F35" s="179">
        <f>'Yearly Methanol'!G42/'Yearly Methanol'!G39</f>
        <v>0.92781626556016594</v>
      </c>
      <c r="G35" s="179">
        <f>'Yearly Methanol'!H42/'Yearly Methanol'!H39</f>
        <v>0.90375502074688785</v>
      </c>
      <c r="H35" s="179">
        <f>'Yearly Methanol'!I42/'Yearly Methanol'!I39</f>
        <v>0.87969377593360998</v>
      </c>
      <c r="I35" s="179">
        <f>'Yearly Methanol'!J42/'Yearly Methanol'!J39</f>
        <v>0.855632531120332</v>
      </c>
      <c r="J35" s="179">
        <f>'Yearly Methanol'!K42/'Yearly Methanol'!K39</f>
        <v>0.83157128630705401</v>
      </c>
      <c r="K35" s="179">
        <f>'Yearly Methanol'!L42/'Yearly Methanol'!L39</f>
        <v>0.80751004149377592</v>
      </c>
      <c r="L35" s="179">
        <f>'Yearly Methanol'!M42/'Yearly Methanol'!M39</f>
        <v>0.78344879668049794</v>
      </c>
      <c r="M35" s="179">
        <f>'Yearly Methanol'!N42/'Yearly Methanol'!N39</f>
        <v>0.75938755186721973</v>
      </c>
      <c r="N35" s="179">
        <f>'Yearly Methanol'!O42/'Yearly Methanol'!O39</f>
        <v>0.73532630705394186</v>
      </c>
      <c r="O35" s="179">
        <f>'Yearly Methanol'!P42/'Yearly Methanol'!P39</f>
        <v>0.71126506224066377</v>
      </c>
      <c r="P35" s="179">
        <f>'Yearly Methanol'!Q42/'Yearly Methanol'!Q39</f>
        <v>0.68720381742738579</v>
      </c>
      <c r="Q35" s="179">
        <f>'Yearly Methanol'!R42/'Yearly Methanol'!R39</f>
        <v>0.66314257261410792</v>
      </c>
      <c r="R35" s="179">
        <f>'Yearly Methanol'!S42/'Yearly Methanol'!S39</f>
        <v>0.63908132780082982</v>
      </c>
      <c r="S35" s="179">
        <f>'Yearly Methanol'!T42/'Yearly Methanol'!T39</f>
        <v>0.61502008298755184</v>
      </c>
      <c r="T35" s="179">
        <f>'Yearly Methanol'!U42/'Yearly Methanol'!U39</f>
        <v>0.59095883817427375</v>
      </c>
      <c r="U35" s="179">
        <f>'Yearly Methanol'!V42/'Yearly Methanol'!V39</f>
        <v>0.56689759336099577</v>
      </c>
      <c r="V35" s="179">
        <f>'Yearly Methanol'!W42/'Yearly Methanol'!W39</f>
        <v>0.5428363485477179</v>
      </c>
      <c r="W35" s="179">
        <f>'Yearly Methanol'!X42/'Yearly Methanol'!X39</f>
        <v>0.5187751037344398</v>
      </c>
      <c r="X35" s="179">
        <f>'Yearly Methanol'!Y42/'Yearly Methanol'!Y39</f>
        <v>0.49398473029045625</v>
      </c>
      <c r="Y35" s="179">
        <f>'Yearly Methanol'!Z42/'Yearly Methanol'!Z39</f>
        <v>0.46919435684647309</v>
      </c>
      <c r="Z35" s="179">
        <f>'Yearly Methanol'!AA42/'Yearly Methanol'!AA39</f>
        <v>0.44440398340248966</v>
      </c>
      <c r="AA35" s="179">
        <f>'Yearly Methanol'!AB42/'Yearly Methanol'!AB39</f>
        <v>0.41961360995850611</v>
      </c>
      <c r="AB35" s="179">
        <f>'Yearly Methanol'!AC42/'Yearly Methanol'!AC39</f>
        <v>0.39482323651452267</v>
      </c>
      <c r="AC35" s="179">
        <f>'Yearly Methanol'!AD42/'Yearly Methanol'!AD39</f>
        <v>0.37003286307053929</v>
      </c>
      <c r="AD35" s="179">
        <f>'Yearly Methanol'!AE42/'Yearly Methanol'!AE39</f>
        <v>0.34524248962655585</v>
      </c>
      <c r="AE35" s="179">
        <f>'Yearly Methanol'!AF42/'Yearly Methanol'!AF39</f>
        <v>0.32045211618257258</v>
      </c>
      <c r="AF35" s="179">
        <f>'Yearly Methanol'!AG42/'Yearly Methanol'!AG39</f>
        <v>0.29566174273858925</v>
      </c>
      <c r="AG35" s="179">
        <f>'Yearly Methanol'!AH42/'Yearly Methanol'!AH39</f>
        <v>0.27087136929460576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984</v>
      </c>
      <c r="B36" s="50" t="s">
        <v>126</v>
      </c>
      <c r="C36" s="179">
        <f>'Yearly Methanol'!D51/'Yearly Methanol'!D46</f>
        <v>1</v>
      </c>
      <c r="D36" s="179">
        <f>'Yearly Methanol'!E51/'Yearly Methanol'!E46</f>
        <v>0.96910000000000007</v>
      </c>
      <c r="E36" s="179">
        <f>'Yearly Methanol'!F51/'Yearly Methanol'!F46</f>
        <v>0.93819999999999992</v>
      </c>
      <c r="F36" s="179">
        <f>'Yearly Methanol'!G51/'Yearly Methanol'!G46</f>
        <v>0.9073</v>
      </c>
      <c r="G36" s="179">
        <f>'Yearly Methanol'!H51/'Yearly Methanol'!H46</f>
        <v>0.87640000000000018</v>
      </c>
      <c r="H36" s="179">
        <f>'Yearly Methanol'!I51/'Yearly Methanol'!I46</f>
        <v>0.84550000000000014</v>
      </c>
      <c r="I36" s="179">
        <f>'Yearly Methanol'!J51/'Yearly Methanol'!J46</f>
        <v>0.81459999999999999</v>
      </c>
      <c r="J36" s="179">
        <f>'Yearly Methanol'!K51/'Yearly Methanol'!K46</f>
        <v>0.78370000000000006</v>
      </c>
      <c r="K36" s="179">
        <f>'Yearly Methanol'!L51/'Yearly Methanol'!L46</f>
        <v>0.75280000000000014</v>
      </c>
      <c r="L36" s="179">
        <f>'Yearly Methanol'!M51/'Yearly Methanol'!M46</f>
        <v>0.72189999999999999</v>
      </c>
      <c r="M36" s="179">
        <f>'Yearly Methanol'!N51/'Yearly Methanol'!N46</f>
        <v>0.69099999999999995</v>
      </c>
      <c r="N36" s="179">
        <f>'Yearly Methanol'!O51/'Yearly Methanol'!O46</f>
        <v>0.66920000000000002</v>
      </c>
      <c r="O36" s="179">
        <f>'Yearly Methanol'!P51/'Yearly Methanol'!P46</f>
        <v>0.64739999999999998</v>
      </c>
      <c r="P36" s="179">
        <f>'Yearly Methanol'!Q51/'Yearly Methanol'!Q46</f>
        <v>0.62559999999999993</v>
      </c>
      <c r="Q36" s="179">
        <f>'Yearly Methanol'!R51/'Yearly Methanol'!R46</f>
        <v>0.6038</v>
      </c>
      <c r="R36" s="179">
        <f>'Yearly Methanol'!S51/'Yearly Methanol'!S46</f>
        <v>0.58200000000000007</v>
      </c>
      <c r="S36" s="179">
        <f>'Yearly Methanol'!T51/'Yearly Methanol'!T46</f>
        <v>0.56020000000000003</v>
      </c>
      <c r="T36" s="179">
        <f>'Yearly Methanol'!U51/'Yearly Methanol'!U46</f>
        <v>0.53839999999999999</v>
      </c>
      <c r="U36" s="179">
        <f>'Yearly Methanol'!V51/'Yearly Methanol'!V46</f>
        <v>0.51659999999999995</v>
      </c>
      <c r="V36" s="179">
        <f>'Yearly Methanol'!W51/'Yearly Methanol'!W46</f>
        <v>0.49480000000000002</v>
      </c>
      <c r="W36" s="179">
        <f>'Yearly Methanol'!X51/'Yearly Methanol'!X46</f>
        <v>0.47299999999999992</v>
      </c>
      <c r="X36" s="179">
        <f>'Yearly Methanol'!Y51/'Yearly Methanol'!Y46</f>
        <v>0.44669999999999987</v>
      </c>
      <c r="Y36" s="179">
        <f>'Yearly Methanol'!Z51/'Yearly Methanol'!Z46</f>
        <v>0.42039999999999994</v>
      </c>
      <c r="Z36" s="179">
        <f>'Yearly Methanol'!AA51/'Yearly Methanol'!AA46</f>
        <v>0.39409999999999995</v>
      </c>
      <c r="AA36" s="179">
        <f>'Yearly Methanol'!AB51/'Yearly Methanol'!AB46</f>
        <v>0.36780000000000002</v>
      </c>
      <c r="AB36" s="179">
        <f>'Yearly Methanol'!AC51/'Yearly Methanol'!AC46</f>
        <v>0.34149999999999991</v>
      </c>
      <c r="AC36" s="179">
        <f>'Yearly Methanol'!AD51/'Yearly Methanol'!AD46</f>
        <v>0.31519999999999998</v>
      </c>
      <c r="AD36" s="179">
        <f>'Yearly Methanol'!AE51/'Yearly Methanol'!AE46</f>
        <v>0.28889999999999999</v>
      </c>
      <c r="AE36" s="179">
        <f>'Yearly Methanol'!AF51/'Yearly Methanol'!AF46</f>
        <v>0.26259999999999994</v>
      </c>
      <c r="AF36" s="179">
        <f>'Yearly Methanol'!AG51/'Yearly Methanol'!AG46</f>
        <v>0.23629999999999998</v>
      </c>
      <c r="AG36" s="179">
        <f>'Yearly Methanol'!AH51/'Yearly Methanol'!AH46</f>
        <v>0.21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985</v>
      </c>
      <c r="B37" s="156" t="s">
        <v>126</v>
      </c>
      <c r="C37" s="139">
        <f>'Yearly Methanol'!D58/'Yearly Methanol'!D55</f>
        <v>1</v>
      </c>
      <c r="D37" s="139">
        <f>'Yearly Methanol'!E58/'Yearly Methanol'!E55</f>
        <v>0.99340000000000006</v>
      </c>
      <c r="E37" s="139">
        <f>'Yearly Methanol'!F58/'Yearly Methanol'!F55</f>
        <v>0.98680000000000012</v>
      </c>
      <c r="F37" s="139">
        <f>'Yearly Methanol'!G58/'Yearly Methanol'!G55</f>
        <v>0.98019999999999996</v>
      </c>
      <c r="G37" s="139">
        <f>'Yearly Methanol'!H58/'Yearly Methanol'!H55</f>
        <v>0.97360000000000002</v>
      </c>
      <c r="H37" s="139">
        <f>'Yearly Methanol'!I58/'Yearly Methanol'!I55</f>
        <v>0.96699999999999997</v>
      </c>
      <c r="I37" s="139">
        <f>'Yearly Methanol'!J58/'Yearly Methanol'!J55</f>
        <v>0.96039999999999992</v>
      </c>
      <c r="J37" s="139">
        <f>'Yearly Methanol'!K58/'Yearly Methanol'!K55</f>
        <v>0.95379999999999998</v>
      </c>
      <c r="K37" s="139">
        <f>'Yearly Methanol'!L58/'Yearly Methanol'!L55</f>
        <v>0.94720000000000004</v>
      </c>
      <c r="L37" s="139">
        <f>'Yearly Methanol'!M58/'Yearly Methanol'!M55</f>
        <v>0.94059999999999988</v>
      </c>
      <c r="M37" s="139">
        <f>'Yearly Methanol'!N58/'Yearly Methanol'!N55</f>
        <v>0.93399999999999994</v>
      </c>
      <c r="N37" s="139">
        <f>'Yearly Methanol'!O58/'Yearly Methanol'!O55</f>
        <v>0.9274</v>
      </c>
      <c r="O37" s="139">
        <f>'Yearly Methanol'!P58/'Yearly Methanol'!P55</f>
        <v>0.92079999999999995</v>
      </c>
      <c r="P37" s="139">
        <f>'Yearly Methanol'!Q58/'Yearly Methanol'!Q55</f>
        <v>0.91420000000000001</v>
      </c>
      <c r="Q37" s="139">
        <f>'Yearly Methanol'!R58/'Yearly Methanol'!R55</f>
        <v>0.90760000000000007</v>
      </c>
      <c r="R37" s="139">
        <f>'Yearly Methanol'!S58/'Yearly Methanol'!S55</f>
        <v>0.90100000000000002</v>
      </c>
      <c r="S37" s="139">
        <f>'Yearly Methanol'!T58/'Yearly Methanol'!T55</f>
        <v>0.89439999999999997</v>
      </c>
      <c r="T37" s="139">
        <f>'Yearly Methanol'!U58/'Yearly Methanol'!U55</f>
        <v>0.88779999999999992</v>
      </c>
      <c r="U37" s="139">
        <f>'Yearly Methanol'!V58/'Yearly Methanol'!V55</f>
        <v>0.88120000000000009</v>
      </c>
      <c r="V37" s="139">
        <f>'Yearly Methanol'!W58/'Yearly Methanol'!W55</f>
        <v>0.87460000000000004</v>
      </c>
      <c r="W37" s="139">
        <f>'Yearly Methanol'!X58/'Yearly Methanol'!X55</f>
        <v>0.86799999999999988</v>
      </c>
      <c r="X37" s="139">
        <f>'Yearly Methanol'!Y58/'Yearly Methanol'!Y55</f>
        <v>0.86119999999999985</v>
      </c>
      <c r="Y37" s="139">
        <f>'Yearly Methanol'!Z58/'Yearly Methanol'!Z55</f>
        <v>0.85439999999999994</v>
      </c>
      <c r="Z37" s="139">
        <f>'Yearly Methanol'!AA58/'Yearly Methanol'!AA55</f>
        <v>0.84760000000000013</v>
      </c>
      <c r="AA37" s="139">
        <f>'Yearly Methanol'!AB58/'Yearly Methanol'!AB55</f>
        <v>0.8408000000000001</v>
      </c>
      <c r="AB37" s="139">
        <f>'Yearly Methanol'!AC58/'Yearly Methanol'!AC55</f>
        <v>0.83399999999999996</v>
      </c>
      <c r="AC37" s="139">
        <f>'Yearly Methanol'!AD58/'Yearly Methanol'!AD55</f>
        <v>0.82720000000000005</v>
      </c>
      <c r="AD37" s="139">
        <f>'Yearly Methanol'!AE58/'Yearly Methanol'!AE55</f>
        <v>0.82040000000000002</v>
      </c>
      <c r="AE37" s="139">
        <f>'Yearly Methanol'!AF58/'Yearly Methanol'!AF55</f>
        <v>0.81359999999999999</v>
      </c>
      <c r="AF37" s="139">
        <f>'Yearly Methanol'!AG58/'Yearly Methanol'!AG55</f>
        <v>0.80679999999999996</v>
      </c>
      <c r="AG37" s="139">
        <f>'Yearly Methanol'!AH58/'Yearly Methanol'!AH55</f>
        <v>0.79999999999999993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986</v>
      </c>
      <c r="B39" s="50" t="s">
        <v>974</v>
      </c>
      <c r="C39" s="99">
        <f>C24*C33</f>
        <v>55439.851131994161</v>
      </c>
      <c r="D39" s="99">
        <f t="shared" ref="D39:AF39" si="16">D24*D33</f>
        <v>55217.283586597485</v>
      </c>
      <c r="E39" s="99">
        <f t="shared" si="16"/>
        <v>54995.428530390425</v>
      </c>
      <c r="F39" s="99">
        <f t="shared" si="16"/>
        <v>54774.283902284318</v>
      </c>
      <c r="G39" s="99">
        <f t="shared" si="16"/>
        <v>54553.84764681822</v>
      </c>
      <c r="H39" s="99">
        <f t="shared" si="16"/>
        <v>54334.117714144195</v>
      </c>
      <c r="I39" s="99">
        <f t="shared" si="16"/>
        <v>54115.092060012517</v>
      </c>
      <c r="J39" s="99">
        <f t="shared" si="16"/>
        <v>53896.768645756936</v>
      </c>
      <c r="K39" s="99">
        <f t="shared" si="16"/>
        <v>53679.145438280015</v>
      </c>
      <c r="L39" s="99">
        <f t="shared" si="16"/>
        <v>53462.220410038448</v>
      </c>
      <c r="M39" s="99">
        <f t="shared" si="16"/>
        <v>53245.991539028444</v>
      </c>
      <c r="N39" s="99">
        <f t="shared" si="16"/>
        <v>52901.67893759461</v>
      </c>
      <c r="O39" s="99">
        <f t="shared" si="16"/>
        <v>52558.627039514795</v>
      </c>
      <c r="P39" s="99">
        <f t="shared" si="16"/>
        <v>52216.83195656343</v>
      </c>
      <c r="Q39" s="99">
        <f t="shared" si="16"/>
        <v>51876.289811538198</v>
      </c>
      <c r="R39" s="99">
        <f t="shared" si="16"/>
        <v>51536.996738230227</v>
      </c>
      <c r="S39" s="99">
        <f t="shared" si="16"/>
        <v>51198.948881394535</v>
      </c>
      <c r="T39" s="99">
        <f t="shared" si="16"/>
        <v>50862.142396720359</v>
      </c>
      <c r="U39" s="99">
        <f t="shared" si="16"/>
        <v>50526.573450801741</v>
      </c>
      <c r="V39" s="99">
        <f t="shared" si="16"/>
        <v>50192.238221108128</v>
      </c>
      <c r="W39" s="99">
        <f t="shared" si="16"/>
        <v>49859.132895954943</v>
      </c>
      <c r="X39" s="99">
        <f t="shared" si="16"/>
        <v>49526.883194830298</v>
      </c>
      <c r="Y39" s="99">
        <f t="shared" si="16"/>
        <v>49195.857443021254</v>
      </c>
      <c r="Z39" s="99">
        <f t="shared" si="16"/>
        <v>48866.051855789665</v>
      </c>
      <c r="AA39" s="99">
        <f t="shared" si="16"/>
        <v>48537.46265914281</v>
      </c>
      <c r="AB39" s="99">
        <f t="shared" si="16"/>
        <v>48210.086089804354</v>
      </c>
      <c r="AC39" s="99">
        <f t="shared" si="16"/>
        <v>47883.918395185479</v>
      </c>
      <c r="AD39" s="99">
        <f t="shared" si="16"/>
        <v>47558.955833355976</v>
      </c>
      <c r="AE39" s="99">
        <f t="shared" si="16"/>
        <v>47235.194673015532</v>
      </c>
      <c r="AF39" s="99">
        <f t="shared" si="16"/>
        <v>46912.631193464978</v>
      </c>
      <c r="AG39" s="99">
        <f>AG24*AG33</f>
        <v>46591.261684577723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987</v>
      </c>
      <c r="B40" s="50" t="s">
        <v>974</v>
      </c>
      <c r="C40" s="99">
        <f t="shared" ref="C40:O40" si="17">C25*$C$34</f>
        <v>18170.790818776764</v>
      </c>
      <c r="D40" s="99">
        <f t="shared" si="17"/>
        <v>18130.677438639781</v>
      </c>
      <c r="E40" s="99">
        <f t="shared" si="17"/>
        <v>18090.652611790436</v>
      </c>
      <c r="F40" s="99">
        <f t="shared" si="17"/>
        <v>18050.716142740726</v>
      </c>
      <c r="G40" s="99">
        <f t="shared" si="17"/>
        <v>18010.86783643419</v>
      </c>
      <c r="H40" s="99">
        <f t="shared" si="17"/>
        <v>17971.107498244986</v>
      </c>
      <c r="I40" s="99">
        <f t="shared" si="17"/>
        <v>17931.434933976911</v>
      </c>
      <c r="J40" s="99">
        <f t="shared" si="17"/>
        <v>17891.849949862466</v>
      </c>
      <c r="K40" s="99">
        <f t="shared" si="17"/>
        <v>17852.352352561906</v>
      </c>
      <c r="L40" s="99">
        <f t="shared" si="17"/>
        <v>17812.941949162308</v>
      </c>
      <c r="M40" s="99">
        <f t="shared" si="17"/>
        <v>17773.618547176611</v>
      </c>
      <c r="N40" s="99">
        <f t="shared" si="17"/>
        <v>17734.381954542689</v>
      </c>
      <c r="O40" s="99">
        <f t="shared" si="17"/>
        <v>17695.231979622389</v>
      </c>
      <c r="P40" s="99">
        <f t="shared" ref="P40:AG40" si="18">D34*P25</f>
        <v>17595.946771915511</v>
      </c>
      <c r="Q40" s="99">
        <f t="shared" si="18"/>
        <v>17496.633156222477</v>
      </c>
      <c r="R40" s="99">
        <f t="shared" si="18"/>
        <v>17397.292581875376</v>
      </c>
      <c r="S40" s="99">
        <f t="shared" si="18"/>
        <v>17297.926490091242</v>
      </c>
      <c r="T40" s="99">
        <f t="shared" si="18"/>
        <v>17198.536314004912</v>
      </c>
      <c r="U40" s="99">
        <f t="shared" si="18"/>
        <v>17099.123478701775</v>
      </c>
      <c r="V40" s="99">
        <f t="shared" si="18"/>
        <v>16999.689401250409</v>
      </c>
      <c r="W40" s="99">
        <f t="shared" si="18"/>
        <v>16900.2354907351</v>
      </c>
      <c r="X40" s="99">
        <f t="shared" si="18"/>
        <v>16800.763148288228</v>
      </c>
      <c r="Y40" s="99">
        <f t="shared" si="18"/>
        <v>16701.27376712258</v>
      </c>
      <c r="Z40" s="99">
        <f t="shared" si="18"/>
        <v>16459.320300742795</v>
      </c>
      <c r="AA40" s="99">
        <f t="shared" si="18"/>
        <v>16215.562100032948</v>
      </c>
      <c r="AB40" s="99">
        <f t="shared" si="18"/>
        <v>15970.014474971107</v>
      </c>
      <c r="AC40" s="99">
        <f t="shared" si="18"/>
        <v>15722.692663130096</v>
      </c>
      <c r="AD40" s="99">
        <f t="shared" si="18"/>
        <v>15473.611829952579</v>
      </c>
      <c r="AE40" s="99">
        <f t="shared" si="18"/>
        <v>15222.787069025284</v>
      </c>
      <c r="AF40" s="99">
        <f t="shared" si="18"/>
        <v>14970.233402352211</v>
      </c>
      <c r="AG40" s="99">
        <f t="shared" si="18"/>
        <v>14715.965780626973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988</v>
      </c>
      <c r="B41" s="50" t="s">
        <v>974</v>
      </c>
      <c r="C41" s="99">
        <f t="shared" ref="C41:AG41" si="19">C26</f>
        <v>22990.82575436178</v>
      </c>
      <c r="D41" s="99">
        <f t="shared" si="19"/>
        <v>22940.071786505032</v>
      </c>
      <c r="E41" s="99">
        <f t="shared" si="19"/>
        <v>22889.429861829369</v>
      </c>
      <c r="F41" s="99">
        <f t="shared" si="19"/>
        <v>22838.899732991082</v>
      </c>
      <c r="G41" s="99">
        <f t="shared" si="19"/>
        <v>22788.481153192493</v>
      </c>
      <c r="H41" s="99">
        <f t="shared" si="19"/>
        <v>22738.173876180754</v>
      </c>
      <c r="I41" s="99">
        <f t="shared" si="19"/>
        <v>22687.977656246643</v>
      </c>
      <c r="J41" s="99">
        <f t="shared" si="19"/>
        <v>22637.892248223347</v>
      </c>
      <c r="K41" s="99">
        <f t="shared" si="19"/>
        <v>22587.917407485282</v>
      </c>
      <c r="L41" s="99">
        <f t="shared" si="19"/>
        <v>22538.052889946895</v>
      </c>
      <c r="M41" s="99">
        <f t="shared" si="19"/>
        <v>22488.29845206147</v>
      </c>
      <c r="N41" s="99">
        <f t="shared" si="19"/>
        <v>22438.653850819937</v>
      </c>
      <c r="O41" s="99">
        <f t="shared" si="19"/>
        <v>22389.118843749689</v>
      </c>
      <c r="P41" s="99">
        <f t="shared" si="19"/>
        <v>22339.693188913396</v>
      </c>
      <c r="Q41" s="99">
        <f t="shared" si="19"/>
        <v>22290.376644907807</v>
      </c>
      <c r="R41" s="99">
        <f t="shared" si="19"/>
        <v>22241.168970862618</v>
      </c>
      <c r="S41" s="99">
        <f t="shared" si="19"/>
        <v>22192.069926439235</v>
      </c>
      <c r="T41" s="99">
        <f t="shared" si="19"/>
        <v>22143.079271829643</v>
      </c>
      <c r="U41" s="99">
        <f t="shared" si="19"/>
        <v>22094.196767755227</v>
      </c>
      <c r="V41" s="99">
        <f t="shared" si="19"/>
        <v>22045.422175465585</v>
      </c>
      <c r="W41" s="99">
        <f t="shared" si="19"/>
        <v>21996.755256737375</v>
      </c>
      <c r="X41" s="99">
        <f t="shared" si="19"/>
        <v>21948.195773873154</v>
      </c>
      <c r="Y41" s="99">
        <f t="shared" si="19"/>
        <v>21899.74348970022</v>
      </c>
      <c r="Z41" s="99">
        <f t="shared" si="19"/>
        <v>21851.398167569438</v>
      </c>
      <c r="AA41" s="99">
        <f t="shared" si="19"/>
        <v>21803.159571354103</v>
      </c>
      <c r="AB41" s="99">
        <f t="shared" si="19"/>
        <v>21755.027465448773</v>
      </c>
      <c r="AC41" s="99">
        <f t="shared" si="19"/>
        <v>21707.001614768113</v>
      </c>
      <c r="AD41" s="99">
        <f t="shared" si="19"/>
        <v>21659.081784745773</v>
      </c>
      <c r="AE41" s="99">
        <f t="shared" si="19"/>
        <v>21611.267741333213</v>
      </c>
      <c r="AF41" s="99">
        <f t="shared" si="19"/>
        <v>21563.55925099858</v>
      </c>
      <c r="AG41" s="99">
        <f t="shared" si="19"/>
        <v>21515.956080725558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989</v>
      </c>
      <c r="B42" s="50" t="s">
        <v>974</v>
      </c>
      <c r="C42" s="222">
        <f t="shared" ref="C42:H42" si="20">C27*$C$36</f>
        <v>5.9640578702725442</v>
      </c>
      <c r="D42" s="222">
        <f t="shared" si="20"/>
        <v>5.9508917663371008</v>
      </c>
      <c r="E42" s="222">
        <f t="shared" si="20"/>
        <v>5.9377547275610851</v>
      </c>
      <c r="F42" s="222">
        <f t="shared" si="20"/>
        <v>5.9246466897809853</v>
      </c>
      <c r="G42" s="222">
        <f t="shared" si="20"/>
        <v>5.9115675889749308</v>
      </c>
      <c r="H42" s="222">
        <f t="shared" si="20"/>
        <v>5.898517361262388</v>
      </c>
      <c r="I42" s="222">
        <f t="shared" ref="I42:AG43" si="21">I27*D36</f>
        <v>5.7036341182681136</v>
      </c>
      <c r="J42" s="222">
        <f t="shared" si="21"/>
        <v>5.5095825681959179</v>
      </c>
      <c r="K42" s="222">
        <f t="shared" si="21"/>
        <v>5.3163599887384878</v>
      </c>
      <c r="L42" s="222">
        <f t="shared" si="21"/>
        <v>5.1239636655547347</v>
      </c>
      <c r="M42" s="222">
        <f t="shared" si="21"/>
        <v>4.9323908922479038</v>
      </c>
      <c r="N42" s="222">
        <f t="shared" si="21"/>
        <v>4.7416389703437174</v>
      </c>
      <c r="O42" s="222">
        <f t="shared" si="21"/>
        <v>4.5517052092685928</v>
      </c>
      <c r="P42" s="222">
        <f t="shared" si="21"/>
        <v>4.3625869263279018</v>
      </c>
      <c r="Q42" s="222">
        <f t="shared" si="21"/>
        <v>4.1742814466843017</v>
      </c>
      <c r="R42" s="222">
        <f t="shared" si="21"/>
        <v>3.9867861033361174</v>
      </c>
      <c r="S42" s="222">
        <f t="shared" si="21"/>
        <v>3.8524855934926481</v>
      </c>
      <c r="T42" s="222">
        <f t="shared" si="21"/>
        <v>3.7187586113450966</v>
      </c>
      <c r="U42" s="222">
        <f t="shared" si="21"/>
        <v>3.5856032791811709</v>
      </c>
      <c r="V42" s="222">
        <f t="shared" si="21"/>
        <v>3.4530177247839378</v>
      </c>
      <c r="W42" s="222">
        <f t="shared" si="21"/>
        <v>3.3210000814167087</v>
      </c>
      <c r="X42" s="222">
        <f t="shared" si="21"/>
        <v>3.1895484878079685</v>
      </c>
      <c r="Y42" s="222">
        <f t="shared" si="21"/>
        <v>3.0586610881363483</v>
      </c>
      <c r="Z42" s="222">
        <f t="shared" si="21"/>
        <v>2.9283360320156269</v>
      </c>
      <c r="AA42" s="222">
        <f t="shared" si="21"/>
        <v>2.7985714744797789</v>
      </c>
      <c r="AB42" s="222">
        <f t="shared" si="21"/>
        <v>2.6693655759680621</v>
      </c>
      <c r="AC42" s="222">
        <f t="shared" si="21"/>
        <v>2.5153769095344485</v>
      </c>
      <c r="AD42" s="222">
        <f t="shared" si="21"/>
        <v>2.3620551172534281</v>
      </c>
      <c r="AE42" s="222">
        <f t="shared" si="21"/>
        <v>2.2093980052221314</v>
      </c>
      <c r="AF42" s="222">
        <f t="shared" si="21"/>
        <v>2.0574033859741649</v>
      </c>
      <c r="AG42" s="222">
        <f t="shared" si="21"/>
        <v>1.9060690784618797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990</v>
      </c>
      <c r="B43" s="156" t="s">
        <v>974</v>
      </c>
      <c r="C43" s="99">
        <f t="shared" ref="C43:H43" si="22">C28*$C$37</f>
        <v>457395.3207877258</v>
      </c>
      <c r="D43" s="99">
        <f t="shared" si="22"/>
        <v>456385.58639814286</v>
      </c>
      <c r="E43" s="99">
        <f t="shared" si="22"/>
        <v>455378.08107276587</v>
      </c>
      <c r="F43" s="99">
        <f t="shared" si="22"/>
        <v>454372.79989076883</v>
      </c>
      <c r="G43" s="99">
        <f t="shared" si="22"/>
        <v>453369.73794218875</v>
      </c>
      <c r="H43" s="99">
        <f t="shared" si="22"/>
        <v>452368.89032790175</v>
      </c>
      <c r="I43" s="99">
        <f t="shared" si="21"/>
        <v>448391.20849534613</v>
      </c>
      <c r="J43" s="99">
        <f t="shared" si="21"/>
        <v>444428.88415477547</v>
      </c>
      <c r="K43" s="99">
        <f t="shared" si="21"/>
        <v>440481.86888534599</v>
      </c>
      <c r="L43" s="99">
        <f t="shared" si="21"/>
        <v>436550.1144051564</v>
      </c>
      <c r="M43" s="99">
        <f t="shared" si="21"/>
        <v>432633.57257086982</v>
      </c>
      <c r="N43" s="99">
        <f t="shared" si="21"/>
        <v>428732.19537733757</v>
      </c>
      <c r="O43" s="99">
        <f t="shared" si="21"/>
        <v>424845.93495722435</v>
      </c>
      <c r="P43" s="99">
        <f t="shared" si="21"/>
        <v>420974.74358063261</v>
      </c>
      <c r="Q43" s="99">
        <f t="shared" si="21"/>
        <v>417118.57365472976</v>
      </c>
      <c r="R43" s="99">
        <f t="shared" si="21"/>
        <v>413277.37772337563</v>
      </c>
      <c r="S43" s="99">
        <f t="shared" si="21"/>
        <v>409451.10846675024</v>
      </c>
      <c r="T43" s="99">
        <f t="shared" si="21"/>
        <v>405639.71870098403</v>
      </c>
      <c r="U43" s="99">
        <f t="shared" si="21"/>
        <v>401843.16137778753</v>
      </c>
      <c r="V43" s="99">
        <f t="shared" si="21"/>
        <v>398061.38958408317</v>
      </c>
      <c r="W43" s="99">
        <f t="shared" si="21"/>
        <v>394294.35654163721</v>
      </c>
      <c r="X43" s="99">
        <f t="shared" si="21"/>
        <v>390542.01560669357</v>
      </c>
      <c r="Y43" s="99">
        <f t="shared" si="21"/>
        <v>386804.32026960747</v>
      </c>
      <c r="Z43" s="99">
        <f t="shared" si="21"/>
        <v>383081.22415448091</v>
      </c>
      <c r="AA43" s="99">
        <f t="shared" si="21"/>
        <v>379372.6810187985</v>
      </c>
      <c r="AB43" s="99">
        <f t="shared" si="21"/>
        <v>375678.64475306513</v>
      </c>
      <c r="AC43" s="99">
        <f t="shared" si="21"/>
        <v>371912.69857260061</v>
      </c>
      <c r="AD43" s="99">
        <f t="shared" si="21"/>
        <v>368161.54878074786</v>
      </c>
      <c r="AE43" s="99">
        <f t="shared" si="21"/>
        <v>364425.14840214862</v>
      </c>
      <c r="AF43" s="99">
        <f t="shared" si="21"/>
        <v>360703.45059673936</v>
      </c>
      <c r="AG43" s="99">
        <f t="shared" si="21"/>
        <v>356996.40865938296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991</v>
      </c>
      <c r="B44" s="189" t="s">
        <v>974</v>
      </c>
      <c r="C44" s="190">
        <f>SUM(C39:C43)</f>
        <v>554002.75255072874</v>
      </c>
      <c r="D44" s="190">
        <f t="shared" ref="D44:AF44" si="23">SUM(D39:D43)</f>
        <v>552679.57010165148</v>
      </c>
      <c r="E44" s="190">
        <f t="shared" si="23"/>
        <v>551359.52983150363</v>
      </c>
      <c r="F44" s="190">
        <f t="shared" si="23"/>
        <v>550042.62431547476</v>
      </c>
      <c r="G44" s="190">
        <f t="shared" si="23"/>
        <v>548728.84614622267</v>
      </c>
      <c r="H44" s="190">
        <f t="shared" si="23"/>
        <v>547418.18793383299</v>
      </c>
      <c r="I44" s="190">
        <f t="shared" si="23"/>
        <v>543131.41677970043</v>
      </c>
      <c r="J44" s="190">
        <f t="shared" si="23"/>
        <v>538860.90458118636</v>
      </c>
      <c r="K44" s="190">
        <f t="shared" si="23"/>
        <v>534606.60044366191</v>
      </c>
      <c r="L44" s="190">
        <f t="shared" si="23"/>
        <v>530368.45361796964</v>
      </c>
      <c r="M44" s="190">
        <f t="shared" si="23"/>
        <v>526146.41350002855</v>
      </c>
      <c r="N44" s="190">
        <f t="shared" si="23"/>
        <v>521811.65175926517</v>
      </c>
      <c r="O44" s="190">
        <f t="shared" si="23"/>
        <v>517493.46452532051</v>
      </c>
      <c r="P44" s="190">
        <f t="shared" si="23"/>
        <v>513131.57808495127</v>
      </c>
      <c r="Q44" s="190">
        <f t="shared" si="23"/>
        <v>508786.04754884494</v>
      </c>
      <c r="R44" s="190">
        <f t="shared" si="23"/>
        <v>504456.82280044717</v>
      </c>
      <c r="S44" s="190">
        <f t="shared" si="23"/>
        <v>500143.90625026874</v>
      </c>
      <c r="T44" s="190">
        <f t="shared" si="23"/>
        <v>495847.19544215029</v>
      </c>
      <c r="U44" s="190">
        <f t="shared" si="23"/>
        <v>491566.64067832544</v>
      </c>
      <c r="V44" s="190">
        <f t="shared" si="23"/>
        <v>487302.19239963207</v>
      </c>
      <c r="W44" s="190">
        <f t="shared" si="23"/>
        <v>483053.80118514603</v>
      </c>
      <c r="X44" s="190">
        <f t="shared" si="23"/>
        <v>478821.04727217305</v>
      </c>
      <c r="Y44" s="190">
        <f t="shared" si="23"/>
        <v>474604.25363053964</v>
      </c>
      <c r="Z44" s="190">
        <f t="shared" si="23"/>
        <v>470260.92281461484</v>
      </c>
      <c r="AA44" s="190">
        <f t="shared" si="23"/>
        <v>465931.66392080282</v>
      </c>
      <c r="AB44" s="190">
        <f t="shared" si="23"/>
        <v>461616.44214886532</v>
      </c>
      <c r="AC44" s="190">
        <f t="shared" si="23"/>
        <v>457228.8266225938</v>
      </c>
      <c r="AD44" s="190">
        <f t="shared" si="23"/>
        <v>452855.56028391945</v>
      </c>
      <c r="AE44" s="190">
        <f t="shared" si="23"/>
        <v>448496.60728352785</v>
      </c>
      <c r="AF44" s="190">
        <f t="shared" si="23"/>
        <v>444151.93184694112</v>
      </c>
      <c r="AG44" s="190">
        <f>SUM(AG39:AG43)</f>
        <v>439821.49827439169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0.25</v>
      </c>
      <c r="D46" s="195">
        <f t="shared" ref="D46:AG46" si="24">D49</f>
        <v>0.26498239436619719</v>
      </c>
      <c r="E46" s="195">
        <f t="shared" si="24"/>
        <v>0.27996478873239439</v>
      </c>
      <c r="F46" s="195">
        <f t="shared" si="24"/>
        <v>0.29494718309859158</v>
      </c>
      <c r="G46" s="195">
        <f t="shared" si="24"/>
        <v>0.30992957746478877</v>
      </c>
      <c r="H46" s="195">
        <f t="shared" si="24"/>
        <v>0.32491197183098597</v>
      </c>
      <c r="I46" s="195">
        <f t="shared" si="24"/>
        <v>0.33989436619718311</v>
      </c>
      <c r="J46" s="195">
        <f t="shared" si="24"/>
        <v>0.3548767605633803</v>
      </c>
      <c r="K46" s="195">
        <f t="shared" si="24"/>
        <v>0.36985915492957749</v>
      </c>
      <c r="L46" s="195">
        <f t="shared" si="24"/>
        <v>0.38484154929577463</v>
      </c>
      <c r="M46" s="195">
        <f t="shared" si="24"/>
        <v>0.39982394366197183</v>
      </c>
      <c r="N46" s="195">
        <f t="shared" si="24"/>
        <v>0.40988952464788736</v>
      </c>
      <c r="O46" s="195">
        <f t="shared" si="24"/>
        <v>0.41995510563380289</v>
      </c>
      <c r="P46" s="195">
        <f t="shared" si="24"/>
        <v>0.43002068661971832</v>
      </c>
      <c r="Q46" s="195">
        <f t="shared" si="24"/>
        <v>0.4400862676056338</v>
      </c>
      <c r="R46" s="195">
        <f t="shared" si="24"/>
        <v>0.45015184859154933</v>
      </c>
      <c r="S46" s="195">
        <f t="shared" si="24"/>
        <v>0.46021742957746481</v>
      </c>
      <c r="T46" s="195">
        <f t="shared" si="24"/>
        <v>0.47028301056338029</v>
      </c>
      <c r="U46" s="195">
        <f t="shared" si="24"/>
        <v>0.48034859154929577</v>
      </c>
      <c r="V46" s="195">
        <f t="shared" si="24"/>
        <v>0.49041417253521125</v>
      </c>
      <c r="W46" s="195">
        <f t="shared" si="24"/>
        <v>0.50047975352112672</v>
      </c>
      <c r="X46" s="195">
        <f t="shared" si="24"/>
        <v>0.51595810959507049</v>
      </c>
      <c r="Y46" s="195">
        <f t="shared" si="24"/>
        <v>0.53143646566901404</v>
      </c>
      <c r="Z46" s="195">
        <f t="shared" si="24"/>
        <v>0.5469148217429578</v>
      </c>
      <c r="AA46" s="195">
        <f t="shared" si="24"/>
        <v>0.56239317781690135</v>
      </c>
      <c r="AB46" s="195">
        <f t="shared" si="24"/>
        <v>0.57787153389084511</v>
      </c>
      <c r="AC46" s="195">
        <f t="shared" si="24"/>
        <v>0.59334988996478877</v>
      </c>
      <c r="AD46" s="195">
        <f t="shared" si="24"/>
        <v>0.60882824603873242</v>
      </c>
      <c r="AE46" s="195">
        <f t="shared" si="24"/>
        <v>0.62430660211267608</v>
      </c>
      <c r="AF46" s="195">
        <f t="shared" si="24"/>
        <v>0.63978495818661973</v>
      </c>
      <c r="AG46" s="195">
        <f t="shared" si="24"/>
        <v>0.65526331426056339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18">
        <f>'Ethylene Recycling HC'!C50</f>
        <v>8.2746478873239437E-2</v>
      </c>
      <c r="D47" s="102">
        <f>'Ethylene Recycling HC'!D50</f>
        <v>8.9366197183098586E-2</v>
      </c>
      <c r="E47" s="102">
        <f>'Ethylene Recycling HC'!E50</f>
        <v>9.5985915492957749E-2</v>
      </c>
      <c r="F47" s="102">
        <f>'Ethylene Recycling HC'!F50</f>
        <v>0.1026056338028169</v>
      </c>
      <c r="G47" s="102">
        <f>'Ethylene Recycling HC'!G50</f>
        <v>0.10922535211267606</v>
      </c>
      <c r="H47" s="102">
        <f>'Ethylene Recycling HC'!H50</f>
        <v>0.11584507042253521</v>
      </c>
      <c r="I47" s="102">
        <f>'Ethylene Recycling HC'!I50</f>
        <v>0.12246478873239436</v>
      </c>
      <c r="J47" s="102">
        <f>'Ethylene Recycling HC'!J50</f>
        <v>0.12908450704225352</v>
      </c>
      <c r="K47" s="102">
        <f>'Ethylene Recycling HC'!K50</f>
        <v>0.13570422535211268</v>
      </c>
      <c r="L47" s="102">
        <f>'Ethylene Recycling HC'!L50</f>
        <v>0.14232394366197182</v>
      </c>
      <c r="M47" s="105">
        <f>'Ethylene Recycling HC'!M50</f>
        <v>0.14894366197183098</v>
      </c>
      <c r="N47" s="102">
        <f>'Ethylene Recycling HC'!N50</f>
        <v>0.15788028169014084</v>
      </c>
      <c r="O47" s="102">
        <f>'Ethylene Recycling HC'!O50</f>
        <v>0.16681690140845071</v>
      </c>
      <c r="P47" s="102">
        <f>'Ethylene Recycling HC'!P50</f>
        <v>0.17575352112676057</v>
      </c>
      <c r="Q47" s="102">
        <f>'Ethylene Recycling HC'!Q50</f>
        <v>0.18469014084507041</v>
      </c>
      <c r="R47" s="102">
        <f>'Ethylene Recycling HC'!R50</f>
        <v>0.1936267605633803</v>
      </c>
      <c r="S47" s="102">
        <f>'Ethylene Recycling HC'!S50</f>
        <v>0.20256338028169013</v>
      </c>
      <c r="T47" s="102">
        <f>'Ethylene Recycling HC'!T50</f>
        <v>0.21149999999999999</v>
      </c>
      <c r="U47" s="102">
        <f>'Ethylene Recycling HC'!U50</f>
        <v>0.22043661971830986</v>
      </c>
      <c r="V47" s="102">
        <f>'Ethylene Recycling HC'!V50</f>
        <v>0.22937323943661972</v>
      </c>
      <c r="W47" s="105">
        <f>'Ethylene Recycling HC'!W50</f>
        <v>0.23830985915492958</v>
      </c>
      <c r="X47" s="102">
        <f>'Ethylene Recycling HC'!X50</f>
        <v>0.25260845070422533</v>
      </c>
      <c r="Y47" s="102">
        <f>'Ethylene Recycling HC'!Y50</f>
        <v>0.26690704225352113</v>
      </c>
      <c r="Z47" s="102">
        <f>'Ethylene Recycling HC'!Z50</f>
        <v>0.28120563380281693</v>
      </c>
      <c r="AA47" s="102">
        <f>'Ethylene Recycling HC'!AA50</f>
        <v>0.29550422535211268</v>
      </c>
      <c r="AB47" s="102">
        <f>'Ethylene Recycling HC'!AB50</f>
        <v>0.30980281690140843</v>
      </c>
      <c r="AC47" s="102">
        <f>'Ethylene Recycling HC'!AC50</f>
        <v>0.32410140845070423</v>
      </c>
      <c r="AD47" s="102">
        <f>'Ethylene Recycling HC'!AD50</f>
        <v>0.33840000000000003</v>
      </c>
      <c r="AE47" s="102">
        <f>'Ethylene Recycling HC'!AE50</f>
        <v>0.35269859154929578</v>
      </c>
      <c r="AF47" s="102">
        <f>'Ethylene Recycling HC'!AF50</f>
        <v>0.36699718309859153</v>
      </c>
      <c r="AG47" s="102">
        <f>'Ethylene Recycling HC'!AG50</f>
        <v>0.38129577464788733</v>
      </c>
      <c r="AI47" s="124"/>
      <c r="AJ47" s="185" t="s">
        <v>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18">
        <f>'Ethylene Recycling HC'!C51</f>
        <v>0.16725352112676059</v>
      </c>
      <c r="D48" s="102">
        <f>'Ethylene Recycling HC'!D51</f>
        <v>0.17561619718309862</v>
      </c>
      <c r="E48" s="102">
        <f>'Ethylene Recycling HC'!E51</f>
        <v>0.18397887323943665</v>
      </c>
      <c r="F48" s="102">
        <f>'Ethylene Recycling HC'!F51</f>
        <v>0.19234154929577468</v>
      </c>
      <c r="G48" s="102">
        <f>'Ethylene Recycling HC'!G51</f>
        <v>0.20070422535211269</v>
      </c>
      <c r="H48" s="102">
        <f>'Ethylene Recycling HC'!H51</f>
        <v>0.20906690140845074</v>
      </c>
      <c r="I48" s="102">
        <f>'Ethylene Recycling HC'!I51</f>
        <v>0.21742957746478875</v>
      </c>
      <c r="J48" s="102">
        <f>'Ethylene Recycling HC'!J51</f>
        <v>0.22579225352112678</v>
      </c>
      <c r="K48" s="102">
        <f>'Ethylene Recycling HC'!K51</f>
        <v>0.23415492957746481</v>
      </c>
      <c r="L48" s="102">
        <f>'Ethylene Recycling HC'!L51</f>
        <v>0.24251760563380284</v>
      </c>
      <c r="M48" s="105">
        <f>'Ethylene Recycling HC'!M51</f>
        <v>0.25088028169014087</v>
      </c>
      <c r="N48" s="102">
        <f>'Ethylene Recycling HC'!N51</f>
        <v>0.25200924295774652</v>
      </c>
      <c r="O48" s="102">
        <f>'Ethylene Recycling HC'!O51</f>
        <v>0.25313820422535216</v>
      </c>
      <c r="P48" s="102">
        <f>'Ethylene Recycling HC'!P51</f>
        <v>0.25426716549295775</v>
      </c>
      <c r="Q48" s="102">
        <f>'Ethylene Recycling HC'!Q51</f>
        <v>0.25539612676056339</v>
      </c>
      <c r="R48" s="102">
        <f>'Ethylene Recycling HC'!R51</f>
        <v>0.25652508802816903</v>
      </c>
      <c r="S48" s="102">
        <f>'Ethylene Recycling HC'!S51</f>
        <v>0.25765404929577468</v>
      </c>
      <c r="T48" s="102">
        <f>'Ethylene Recycling HC'!T51</f>
        <v>0.25878301056338032</v>
      </c>
      <c r="U48" s="102">
        <f>'Ethylene Recycling HC'!U51</f>
        <v>0.25991197183098591</v>
      </c>
      <c r="V48" s="102">
        <f>'Ethylene Recycling HC'!V51</f>
        <v>0.26104093309859155</v>
      </c>
      <c r="W48" s="105">
        <f>'Ethylene Recycling HC'!W51</f>
        <v>0.2621698943661972</v>
      </c>
      <c r="X48" s="102">
        <f>'Ethylene Recycling HC'!X51</f>
        <v>0.26334965889084511</v>
      </c>
      <c r="Y48" s="102">
        <f>'Ethylene Recycling HC'!Y51</f>
        <v>0.26452942341549296</v>
      </c>
      <c r="Z48" s="102">
        <f>'Ethylene Recycling HC'!Z51</f>
        <v>0.26570918794014087</v>
      </c>
      <c r="AA48" s="102">
        <f>'Ethylene Recycling HC'!AA51</f>
        <v>0.26688895246478872</v>
      </c>
      <c r="AB48" s="102">
        <f>'Ethylene Recycling HC'!AB51</f>
        <v>0.26806871698943663</v>
      </c>
      <c r="AC48" s="102">
        <f>'Ethylene Recycling HC'!AC51</f>
        <v>0.26924848151408454</v>
      </c>
      <c r="AD48" s="102">
        <f>'Ethylene Recycling HC'!AD51</f>
        <v>0.27042824603873239</v>
      </c>
      <c r="AE48" s="102">
        <f>'Ethylene Recycling HC'!AE51</f>
        <v>0.2716080105633803</v>
      </c>
      <c r="AF48" s="102">
        <f>'Ethylene Recycling HC'!AF51</f>
        <v>0.27278777508802815</v>
      </c>
      <c r="AG48" s="102">
        <f>'Ethylene Recycling HC'!AG51</f>
        <v>0.27396753961267606</v>
      </c>
      <c r="AI48" s="124"/>
      <c r="AJ48" s="185" t="s">
        <v>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0.25</v>
      </c>
      <c r="D49" s="102">
        <f t="shared" ref="D49:AF49" si="25">D47+D48</f>
        <v>0.26498239436619719</v>
      </c>
      <c r="E49" s="102">
        <f t="shared" si="25"/>
        <v>0.27996478873239439</v>
      </c>
      <c r="F49" s="102">
        <f t="shared" si="25"/>
        <v>0.29494718309859158</v>
      </c>
      <c r="G49" s="102">
        <f t="shared" si="25"/>
        <v>0.30992957746478877</v>
      </c>
      <c r="H49" s="102">
        <f t="shared" si="25"/>
        <v>0.32491197183098597</v>
      </c>
      <c r="I49" s="102">
        <f t="shared" si="25"/>
        <v>0.33989436619718311</v>
      </c>
      <c r="J49" s="102">
        <f t="shared" si="25"/>
        <v>0.3548767605633803</v>
      </c>
      <c r="K49" s="102">
        <f t="shared" si="25"/>
        <v>0.36985915492957749</v>
      </c>
      <c r="L49" s="102">
        <f t="shared" si="25"/>
        <v>0.38484154929577463</v>
      </c>
      <c r="M49" s="102">
        <f t="shared" si="25"/>
        <v>0.39982394366197183</v>
      </c>
      <c r="N49" s="102">
        <f t="shared" si="25"/>
        <v>0.40988952464788736</v>
      </c>
      <c r="O49" s="102">
        <f t="shared" si="25"/>
        <v>0.41995510563380289</v>
      </c>
      <c r="P49" s="102">
        <f t="shared" si="25"/>
        <v>0.43002068661971832</v>
      </c>
      <c r="Q49" s="102">
        <f t="shared" si="25"/>
        <v>0.4400862676056338</v>
      </c>
      <c r="R49" s="102">
        <f t="shared" si="25"/>
        <v>0.45015184859154933</v>
      </c>
      <c r="S49" s="102">
        <f t="shared" si="25"/>
        <v>0.46021742957746481</v>
      </c>
      <c r="T49" s="102">
        <f t="shared" si="25"/>
        <v>0.47028301056338029</v>
      </c>
      <c r="U49" s="102">
        <f t="shared" si="25"/>
        <v>0.48034859154929577</v>
      </c>
      <c r="V49" s="102">
        <f t="shared" si="25"/>
        <v>0.49041417253521125</v>
      </c>
      <c r="W49" s="102">
        <f t="shared" si="25"/>
        <v>0.50047975352112672</v>
      </c>
      <c r="X49" s="102">
        <f t="shared" si="25"/>
        <v>0.51595810959507049</v>
      </c>
      <c r="Y49" s="102">
        <f t="shared" si="25"/>
        <v>0.53143646566901404</v>
      </c>
      <c r="Z49" s="102">
        <f t="shared" si="25"/>
        <v>0.5469148217429578</v>
      </c>
      <c r="AA49" s="102">
        <f t="shared" si="25"/>
        <v>0.56239317781690135</v>
      </c>
      <c r="AB49" s="102">
        <f t="shared" si="25"/>
        <v>0.57787153389084511</v>
      </c>
      <c r="AC49" s="102">
        <f t="shared" si="25"/>
        <v>0.59334988996478877</v>
      </c>
      <c r="AD49" s="102">
        <f t="shared" si="25"/>
        <v>0.60882824603873242</v>
      </c>
      <c r="AE49" s="102">
        <f t="shared" si="25"/>
        <v>0.62430660211267608</v>
      </c>
      <c r="AF49" s="102">
        <f t="shared" si="25"/>
        <v>0.63978495818661973</v>
      </c>
      <c r="AG49" s="102">
        <f>AG47+AG48</f>
        <v>0.65526331426056339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HC'!C54</f>
        <v>0.11499935012302656</v>
      </c>
      <c r="D51" s="102">
        <f>'Ethylene Recycling HC'!D54</f>
        <v>0.11283270511892568</v>
      </c>
      <c r="E51" s="102">
        <f>'Ethylene Recycling HC'!E54</f>
        <v>0.1106660601148248</v>
      </c>
      <c r="F51" s="102">
        <f>'Ethylene Recycling HC'!F54</f>
        <v>0.10849941511072392</v>
      </c>
      <c r="G51" s="102">
        <f>'Ethylene Recycling HC'!G54</f>
        <v>0.10633277010662304</v>
      </c>
      <c r="H51" s="102">
        <f>'Ethylene Recycling HC'!H54</f>
        <v>0.10416612510252216</v>
      </c>
      <c r="I51" s="102">
        <f>'Ethylene Recycling HC'!I54</f>
        <v>0.10199948009842127</v>
      </c>
      <c r="J51" s="102">
        <f>'Ethylene Recycling HC'!J54</f>
        <v>9.9832835094320393E-2</v>
      </c>
      <c r="K51" s="102">
        <f>'Ethylene Recycling HC'!K54</f>
        <v>9.7666190090219512E-2</v>
      </c>
      <c r="L51" s="102">
        <f>'Ethylene Recycling HC'!L54</f>
        <v>9.5499545086118631E-2</v>
      </c>
      <c r="M51" s="102">
        <f>'Ethylene Recycling HC'!M54</f>
        <v>9.333290008201775E-2</v>
      </c>
      <c r="N51" s="102">
        <f>'Ethylene Recycling HC'!N54</f>
        <v>9.1166255077916869E-2</v>
      </c>
      <c r="O51" s="102">
        <f>'Ethylene Recycling HC'!O54</f>
        <v>8.8999610073815988E-2</v>
      </c>
      <c r="P51" s="102">
        <f>'Ethylene Recycling HC'!P54</f>
        <v>8.6832965069715107E-2</v>
      </c>
      <c r="Q51" s="102">
        <f>'Ethylene Recycling HC'!Q54</f>
        <v>8.4666320065614226E-2</v>
      </c>
      <c r="R51" s="102">
        <f>'Ethylene Recycling HC'!R54</f>
        <v>8.2499675061513345E-2</v>
      </c>
      <c r="S51" s="102">
        <f>'Ethylene Recycling HC'!S54</f>
        <v>8.0333030057412463E-2</v>
      </c>
      <c r="T51" s="102">
        <f>'Ethylene Recycling HC'!T54</f>
        <v>7.8166385053311582E-2</v>
      </c>
      <c r="U51" s="102">
        <f>'Ethylene Recycling HC'!U54</f>
        <v>7.5999740049210701E-2</v>
      </c>
      <c r="V51" s="102">
        <f>'Ethylene Recycling HC'!V54</f>
        <v>7.383309504510982E-2</v>
      </c>
      <c r="W51" s="102">
        <f>'Ethylene Recycling HC'!W54</f>
        <v>7.1666450041008939E-2</v>
      </c>
      <c r="X51" s="102">
        <f>'Ethylene Recycling HC'!X54</f>
        <v>6.9499805036908058E-2</v>
      </c>
      <c r="Y51" s="102">
        <f>'Ethylene Recycling HC'!Y54</f>
        <v>6.7333160032807177E-2</v>
      </c>
      <c r="Z51" s="102">
        <f>'Ethylene Recycling HC'!Z54</f>
        <v>6.5166515028706296E-2</v>
      </c>
      <c r="AA51" s="102">
        <f>'Ethylene Recycling HC'!AA54</f>
        <v>6.2999870024605414E-2</v>
      </c>
      <c r="AB51" s="102">
        <f>'Ethylene Recycling HC'!AB54</f>
        <v>6.0833225020504526E-2</v>
      </c>
      <c r="AC51" s="102">
        <f>'Ethylene Recycling HC'!AC54</f>
        <v>5.8666580016403638E-2</v>
      </c>
      <c r="AD51" s="102">
        <f>'Ethylene Recycling HC'!AD54</f>
        <v>5.649993501230275E-2</v>
      </c>
      <c r="AE51" s="102">
        <f>'Ethylene Recycling HC'!AE54</f>
        <v>5.4333290008201862E-2</v>
      </c>
      <c r="AF51" s="102">
        <f>'Ethylene Recycling HC'!AF54</f>
        <v>5.2166645004100974E-2</v>
      </c>
      <c r="AG51" s="102">
        <f>'Ethylene Recycling HC'!AG54</f>
        <v>0.05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f>'Ethylene Recycling HC'!C55</f>
        <v>0.13791632052401978</v>
      </c>
      <c r="D52" s="102">
        <f>'Ethylene Recycling HC'!D55</f>
        <v>0.13791632052401978</v>
      </c>
      <c r="E52" s="102">
        <f>'Ethylene Recycling HC'!E55</f>
        <v>0.13791632052401978</v>
      </c>
      <c r="F52" s="102">
        <f>'Ethylene Recycling HC'!F55</f>
        <v>0.13791632052401978</v>
      </c>
      <c r="G52" s="102">
        <f>'Ethylene Recycling HC'!G55</f>
        <v>0.13791632052401978</v>
      </c>
      <c r="H52" s="102">
        <f>'Ethylene Recycling HC'!H55</f>
        <v>0.13791632052401978</v>
      </c>
      <c r="I52" s="102">
        <f>'Ethylene Recycling HC'!I55</f>
        <v>0.13791632052401978</v>
      </c>
      <c r="J52" s="102">
        <f>'Ethylene Recycling HC'!J55</f>
        <v>0.13791632052401978</v>
      </c>
      <c r="K52" s="102">
        <f>'Ethylene Recycling HC'!K55</f>
        <v>0.13791632052401978</v>
      </c>
      <c r="L52" s="102">
        <f>'Ethylene Recycling HC'!L55</f>
        <v>0.13791632052401978</v>
      </c>
      <c r="M52" s="102">
        <f>'Ethylene Recycling HC'!M55</f>
        <v>0.13791632052401978</v>
      </c>
      <c r="N52" s="102">
        <f>'Ethylene Recycling HC'!N55</f>
        <v>0.13791632052401978</v>
      </c>
      <c r="O52" s="102">
        <f>'Ethylene Recycling HC'!O55</f>
        <v>0.13791632052401978</v>
      </c>
      <c r="P52" s="102">
        <f>'Ethylene Recycling HC'!P55</f>
        <v>0.13791632052401978</v>
      </c>
      <c r="Q52" s="102">
        <f>'Ethylene Recycling HC'!Q55</f>
        <v>0.13791632052401978</v>
      </c>
      <c r="R52" s="102">
        <f>'Ethylene Recycling HC'!R55</f>
        <v>0.13791632052401978</v>
      </c>
      <c r="S52" s="102">
        <f>'Ethylene Recycling HC'!S55</f>
        <v>0.13791632052401978</v>
      </c>
      <c r="T52" s="102">
        <f>'Ethylene Recycling HC'!T55</f>
        <v>0.13791632052401978</v>
      </c>
      <c r="U52" s="102">
        <f>'Ethylene Recycling HC'!U55</f>
        <v>0.13791632052401978</v>
      </c>
      <c r="V52" s="102">
        <f>'Ethylene Recycling HC'!V55</f>
        <v>0.13791632052401978</v>
      </c>
      <c r="W52" s="102">
        <f>'Ethylene Recycling HC'!W55</f>
        <v>0.13791632052401978</v>
      </c>
      <c r="X52" s="102">
        <f>'Ethylene Recycling HC'!X55</f>
        <v>0.13791632052401978</v>
      </c>
      <c r="Y52" s="102">
        <f>'Ethylene Recycling HC'!Y55</f>
        <v>0.13791632052401978</v>
      </c>
      <c r="Z52" s="102">
        <f>'Ethylene Recycling HC'!Z55</f>
        <v>0.13791632052401978</v>
      </c>
      <c r="AA52" s="102">
        <f>'Ethylene Recycling HC'!AA55</f>
        <v>0.13791632052401978</v>
      </c>
      <c r="AB52" s="102">
        <f>'Ethylene Recycling HC'!AB55</f>
        <v>0.13791632052401978</v>
      </c>
      <c r="AC52" s="102">
        <f>'Ethylene Recycling HC'!AC55</f>
        <v>0.13791632052401978</v>
      </c>
      <c r="AD52" s="102">
        <f>'Ethylene Recycling HC'!AD55</f>
        <v>0.13791632052401978</v>
      </c>
      <c r="AE52" s="102">
        <f>'Ethylene Recycling HC'!AE55</f>
        <v>0.13791632052401978</v>
      </c>
      <c r="AF52" s="102">
        <f>'Ethylene Recycling HC'!AF55</f>
        <v>0.13791632052401978</v>
      </c>
      <c r="AG52" s="102">
        <f>'Ethylene Recycling HC'!AG55</f>
        <v>0.13791632052401978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f>'Ethylene Recycling HC'!C56</f>
        <v>0.10855071452136934</v>
      </c>
      <c r="D53" s="102">
        <f>'Ethylene Recycling HC'!D56</f>
        <v>0.10855071452136934</v>
      </c>
      <c r="E53" s="102">
        <f>'Ethylene Recycling HC'!E56</f>
        <v>0.10855071452136934</v>
      </c>
      <c r="F53" s="102">
        <f>'Ethylene Recycling HC'!F56</f>
        <v>0.10855071452136934</v>
      </c>
      <c r="G53" s="102">
        <f>'Ethylene Recycling HC'!G56</f>
        <v>0.10855071452136934</v>
      </c>
      <c r="H53" s="102">
        <f>'Ethylene Recycling HC'!H56</f>
        <v>0.10855071452136934</v>
      </c>
      <c r="I53" s="102">
        <f>'Ethylene Recycling HC'!I56</f>
        <v>0.10855071452136934</v>
      </c>
      <c r="J53" s="102">
        <f>'Ethylene Recycling HC'!J56</f>
        <v>0.10855071452136934</v>
      </c>
      <c r="K53" s="102">
        <f>'Ethylene Recycling HC'!K56</f>
        <v>0.10855071452136934</v>
      </c>
      <c r="L53" s="102">
        <f>'Ethylene Recycling HC'!L56</f>
        <v>0.10855071452136934</v>
      </c>
      <c r="M53" s="102">
        <f>'Ethylene Recycling HC'!M56</f>
        <v>0.10855071452136934</v>
      </c>
      <c r="N53" s="102">
        <f>'Ethylene Recycling HC'!N56</f>
        <v>0.10855071452136934</v>
      </c>
      <c r="O53" s="102">
        <f>'Ethylene Recycling HC'!O56</f>
        <v>0.10855071452136934</v>
      </c>
      <c r="P53" s="102">
        <f>'Ethylene Recycling HC'!P56</f>
        <v>0.10855071452136934</v>
      </c>
      <c r="Q53" s="102">
        <f>'Ethylene Recycling HC'!Q56</f>
        <v>0.10855071452136934</v>
      </c>
      <c r="R53" s="102">
        <f>'Ethylene Recycling HC'!R56</f>
        <v>0.10855071452136934</v>
      </c>
      <c r="S53" s="102">
        <f>'Ethylene Recycling HC'!S56</f>
        <v>0.10855071452136934</v>
      </c>
      <c r="T53" s="102">
        <f>'Ethylene Recycling HC'!T56</f>
        <v>0.10855071452136934</v>
      </c>
      <c r="U53" s="102">
        <f>'Ethylene Recycling HC'!U56</f>
        <v>0.10855071452136934</v>
      </c>
      <c r="V53" s="102">
        <f>'Ethylene Recycling HC'!V56</f>
        <v>0.10855071452136934</v>
      </c>
      <c r="W53" s="102">
        <f>'Ethylene Recycling HC'!W56</f>
        <v>0.10855071452136934</v>
      </c>
      <c r="X53" s="102">
        <f>'Ethylene Recycling HC'!X56</f>
        <v>0.10855071452136934</v>
      </c>
      <c r="Y53" s="102">
        <f>'Ethylene Recycling HC'!Y56</f>
        <v>0.10855071452136934</v>
      </c>
      <c r="Z53" s="102">
        <f>'Ethylene Recycling HC'!Z56</f>
        <v>0.10855071452136934</v>
      </c>
      <c r="AA53" s="102">
        <f>'Ethylene Recycling HC'!AA56</f>
        <v>0.10855071452136934</v>
      </c>
      <c r="AB53" s="102">
        <f>'Ethylene Recycling HC'!AB56</f>
        <v>0.10855071452136934</v>
      </c>
      <c r="AC53" s="102">
        <f>'Ethylene Recycling HC'!AC56</f>
        <v>0.10855071452136934</v>
      </c>
      <c r="AD53" s="102">
        <f>'Ethylene Recycling HC'!AD56</f>
        <v>0.10855071452136934</v>
      </c>
      <c r="AE53" s="102">
        <f>'Ethylene Recycling HC'!AE56</f>
        <v>0.10855071452136934</v>
      </c>
      <c r="AF53" s="102">
        <f>'Ethylene Recycling HC'!AF56</f>
        <v>0.10855071452136934</v>
      </c>
      <c r="AG53" s="102">
        <f>'Ethylene Recycling HC'!AG56</f>
        <v>0.10855071452136934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f>'Ethylene Recycling HC'!C57</f>
        <v>0.63853361483158433</v>
      </c>
      <c r="D54" s="102">
        <f>'Ethylene Recycling HC'!D57</f>
        <v>0.64070025983568524</v>
      </c>
      <c r="E54" s="102">
        <f>'Ethylene Recycling HC'!E57</f>
        <v>0.64286690483978604</v>
      </c>
      <c r="F54" s="102">
        <f>'Ethylene Recycling HC'!F57</f>
        <v>0.64503354984388694</v>
      </c>
      <c r="G54" s="102">
        <f>'Ethylene Recycling HC'!G57</f>
        <v>0.64720019484798785</v>
      </c>
      <c r="H54" s="102">
        <f>'Ethylene Recycling HC'!H57</f>
        <v>0.64936683985208865</v>
      </c>
      <c r="I54" s="102">
        <f>'Ethylene Recycling HC'!I57</f>
        <v>0.65153348485618956</v>
      </c>
      <c r="J54" s="102">
        <f>'Ethylene Recycling HC'!J57</f>
        <v>0.65370012986029047</v>
      </c>
      <c r="K54" s="102">
        <f>'Ethylene Recycling HC'!K57</f>
        <v>0.65586677486439138</v>
      </c>
      <c r="L54" s="102">
        <f>'Ethylene Recycling HC'!L57</f>
        <v>0.65803341986849229</v>
      </c>
      <c r="M54" s="102">
        <f>'Ethylene Recycling HC'!M57</f>
        <v>0.66020006487259308</v>
      </c>
      <c r="N54" s="102">
        <f>'Ethylene Recycling HC'!N57</f>
        <v>0.66236670987669399</v>
      </c>
      <c r="O54" s="102">
        <f>'Ethylene Recycling HC'!O57</f>
        <v>0.6645333548807949</v>
      </c>
      <c r="P54" s="102">
        <f>'Ethylene Recycling HC'!P57</f>
        <v>0.6666999998848957</v>
      </c>
      <c r="Q54" s="102">
        <f>'Ethylene Recycling HC'!Q57</f>
        <v>0.66886664488899661</v>
      </c>
      <c r="R54" s="102">
        <f>'Ethylene Recycling HC'!R57</f>
        <v>0.67103328989309752</v>
      </c>
      <c r="S54" s="102">
        <f>'Ethylene Recycling HC'!S57</f>
        <v>0.67319993489719843</v>
      </c>
      <c r="T54" s="102">
        <f>'Ethylene Recycling HC'!T57</f>
        <v>0.67536657990129934</v>
      </c>
      <c r="U54" s="102">
        <f>'Ethylene Recycling HC'!U57</f>
        <v>0.67753322490540013</v>
      </c>
      <c r="V54" s="102">
        <f>'Ethylene Recycling HC'!V57</f>
        <v>0.67969986990950104</v>
      </c>
      <c r="W54" s="102">
        <f>'Ethylene Recycling HC'!W57</f>
        <v>0.68186651491360195</v>
      </c>
      <c r="X54" s="102">
        <f>'Ethylene Recycling HC'!X57</f>
        <v>0.68403315991770275</v>
      </c>
      <c r="Y54" s="102">
        <f>'Ethylene Recycling HC'!Y57</f>
        <v>0.68619980492180366</v>
      </c>
      <c r="Z54" s="102">
        <f>'Ethylene Recycling HC'!Z57</f>
        <v>0.68836644992590457</v>
      </c>
      <c r="AA54" s="102">
        <f>'Ethylene Recycling HC'!AA57</f>
        <v>0.69053309493000548</v>
      </c>
      <c r="AB54" s="102">
        <f>'Ethylene Recycling HC'!AB57</f>
        <v>0.69269973993410638</v>
      </c>
      <c r="AC54" s="102">
        <f>'Ethylene Recycling HC'!AC57</f>
        <v>0.69486638493820718</v>
      </c>
      <c r="AD54" s="102">
        <f>'Ethylene Recycling HC'!AD57</f>
        <v>0.69703302994230809</v>
      </c>
      <c r="AE54" s="102">
        <f>'Ethylene Recycling HC'!AE57</f>
        <v>0.699199674946409</v>
      </c>
      <c r="AF54" s="102">
        <f>'Ethylene Recycling HC'!AF57</f>
        <v>0.70136631995050991</v>
      </c>
      <c r="AG54" s="102">
        <f>'Ethylene Recycling HC'!AG57</f>
        <v>0.70353296495461082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f>'Ethylene Recycling HC'!C58</f>
        <v>1.923404623536536E-2</v>
      </c>
      <c r="D55" s="102">
        <f>'Ethylene Recycling HC'!D58</f>
        <v>1.9815250590867674E-2</v>
      </c>
      <c r="E55" s="102">
        <f>'Ethylene Recycling HC'!E58</f>
        <v>2.0360217045773229E-2</v>
      </c>
      <c r="F55" s="102">
        <f>'Ethylene Recycling HC'!F58</f>
        <v>2.0868945600082026E-2</v>
      </c>
      <c r="G55" s="102">
        <f>'Ethylene Recycling HC'!G58</f>
        <v>2.1341436253794061E-2</v>
      </c>
      <c r="H55" s="102">
        <f>'Ethylene Recycling HC'!H58</f>
        <v>2.1777689006909347E-2</v>
      </c>
      <c r="I55" s="102">
        <f>'Ethylene Recycling HC'!I58</f>
        <v>2.2177703859427866E-2</v>
      </c>
      <c r="J55" s="102">
        <f>'Ethylene Recycling HC'!J58</f>
        <v>2.2541480811349632E-2</v>
      </c>
      <c r="K55" s="102">
        <f>'Ethylene Recycling HC'!K58</f>
        <v>2.2869019862674641E-2</v>
      </c>
      <c r="L55" s="102">
        <f>'Ethylene Recycling HC'!L58</f>
        <v>2.3160321013402891E-2</v>
      </c>
      <c r="M55" s="102">
        <f>'Ethylene Recycling HC'!M58</f>
        <v>2.3415384263534386E-2</v>
      </c>
      <c r="N55" s="102">
        <f>'Ethylene Recycling HC'!N58</f>
        <v>2.2974738925478643E-2</v>
      </c>
      <c r="O55" s="102">
        <f>'Ethylene Recycling HC'!O58</f>
        <v>2.252920147084234E-2</v>
      </c>
      <c r="P55" s="102">
        <f>'Ethylene Recycling HC'!P58</f>
        <v>2.2078771899625472E-2</v>
      </c>
      <c r="Q55" s="102">
        <f>'Ethylene Recycling HC'!Q58</f>
        <v>2.1623450211828044E-2</v>
      </c>
      <c r="R55" s="102">
        <f>'Ethylene Recycling HC'!R58</f>
        <v>2.1163236407450051E-2</v>
      </c>
      <c r="S55" s="102">
        <f>'Ethylene Recycling HC'!S58</f>
        <v>2.0698130486491498E-2</v>
      </c>
      <c r="T55" s="102">
        <f>'Ethylene Recycling HC'!T58</f>
        <v>2.0228132448952385E-2</v>
      </c>
      <c r="U55" s="102">
        <f>'Ethylene Recycling HC'!U58</f>
        <v>1.9753242294832704E-2</v>
      </c>
      <c r="V55" s="102">
        <f>'Ethylene Recycling HC'!V58</f>
        <v>1.9273460024132463E-2</v>
      </c>
      <c r="W55" s="102">
        <f>'Ethylene Recycling HC'!W58</f>
        <v>1.8788785636851664E-2</v>
      </c>
      <c r="X55" s="102">
        <f>'Ethylene Recycling HC'!X58</f>
        <v>1.8302749949449977E-2</v>
      </c>
      <c r="Y55" s="102">
        <f>'Ethylene Recycling HC'!Y58</f>
        <v>1.7811602000221596E-2</v>
      </c>
      <c r="Z55" s="102">
        <f>'Ethylene Recycling HC'!Z58</f>
        <v>1.7315341789166536E-2</v>
      </c>
      <c r="AA55" s="102">
        <f>'Ethylene Recycling HC'!AA58</f>
        <v>1.6813969316284781E-2</v>
      </c>
      <c r="AB55" s="102">
        <f>'Ethylene Recycling HC'!AB58</f>
        <v>1.6307484581576343E-2</v>
      </c>
      <c r="AC55" s="102">
        <f>'Ethylene Recycling HC'!AC58</f>
        <v>1.5795887585041215E-2</v>
      </c>
      <c r="AD55" s="102">
        <f>'Ethylene Recycling HC'!AD58</f>
        <v>1.5279178326679398E-2</v>
      </c>
      <c r="AE55" s="102">
        <f>'Ethylene Recycling HC'!AE58</f>
        <v>1.4757356806490896E-2</v>
      </c>
      <c r="AF55" s="102">
        <f>'Ethylene Recycling HC'!AF58</f>
        <v>1.4230423024475703E-2</v>
      </c>
      <c r="AG55" s="102">
        <f>'Ethylene Recycling HC'!AG58</f>
        <v>1.3698376980633803E-2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f>'Ethylene Recycling HC'!C59</f>
        <v>2.3066990228489227E-2</v>
      </c>
      <c r="D56" s="102">
        <f>'Ethylene Recycling HC'!D59</f>
        <v>2.422033973991369E-2</v>
      </c>
      <c r="E56" s="102">
        <f>'Ethylene Recycling HC'!E59</f>
        <v>2.537368925133815E-2</v>
      </c>
      <c r="F56" s="102">
        <f>'Ethylene Recycling HC'!F59</f>
        <v>2.6527038762762613E-2</v>
      </c>
      <c r="G56" s="102">
        <f>'Ethylene Recycling HC'!G59</f>
        <v>2.7680388274187069E-2</v>
      </c>
      <c r="H56" s="102">
        <f>'Ethylene Recycling HC'!H59</f>
        <v>2.8833737785611536E-2</v>
      </c>
      <c r="I56" s="102">
        <f>'Ethylene Recycling HC'!I59</f>
        <v>2.9987087297035992E-2</v>
      </c>
      <c r="J56" s="102">
        <f>'Ethylene Recycling HC'!J59</f>
        <v>3.1140436808460455E-2</v>
      </c>
      <c r="K56" s="102">
        <f>'Ethylene Recycling HC'!K59</f>
        <v>3.2293786319884915E-2</v>
      </c>
      <c r="L56" s="102">
        <f>'Ethylene Recycling HC'!L59</f>
        <v>3.3447135831309378E-2</v>
      </c>
      <c r="M56" s="102">
        <f>'Ethylene Recycling HC'!M59</f>
        <v>3.4600485342733842E-2</v>
      </c>
      <c r="N56" s="102">
        <f>'Ethylene Recycling HC'!N59</f>
        <v>3.4756187526776144E-2</v>
      </c>
      <c r="O56" s="102">
        <f>'Ethylene Recycling HC'!O59</f>
        <v>3.4911889710818447E-2</v>
      </c>
      <c r="P56" s="102">
        <f>'Ethylene Recycling HC'!P59</f>
        <v>3.5067591894860743E-2</v>
      </c>
      <c r="Q56" s="102">
        <f>'Ethylene Recycling HC'!Q59</f>
        <v>3.5223294078903046E-2</v>
      </c>
      <c r="R56" s="102">
        <f>'Ethylene Recycling HC'!R59</f>
        <v>3.5378996262945349E-2</v>
      </c>
      <c r="S56" s="102">
        <f>'Ethylene Recycling HC'!S59</f>
        <v>3.5534698446987652E-2</v>
      </c>
      <c r="T56" s="102">
        <f>'Ethylene Recycling HC'!T59</f>
        <v>3.5690400631029955E-2</v>
      </c>
      <c r="U56" s="102">
        <f>'Ethylene Recycling HC'!U59</f>
        <v>3.584610281507225E-2</v>
      </c>
      <c r="V56" s="102">
        <f>'Ethylene Recycling HC'!V59</f>
        <v>3.600180499911456E-2</v>
      </c>
      <c r="W56" s="102">
        <f>'Ethylene Recycling HC'!W59</f>
        <v>3.6157507183156863E-2</v>
      </c>
      <c r="X56" s="102">
        <f>'Ethylene Recycling HC'!X59</f>
        <v>3.6320215965481066E-2</v>
      </c>
      <c r="Y56" s="102">
        <f>'Ethylene Recycling HC'!Y59</f>
        <v>3.6482924747805269E-2</v>
      </c>
      <c r="Z56" s="102">
        <f>'Ethylene Recycling HC'!Z59</f>
        <v>3.6645633530129479E-2</v>
      </c>
      <c r="AA56" s="102">
        <f>'Ethylene Recycling HC'!AA59</f>
        <v>3.6808342312453682E-2</v>
      </c>
      <c r="AB56" s="102">
        <f>'Ethylene Recycling HC'!AB59</f>
        <v>3.6971051094777892E-2</v>
      </c>
      <c r="AC56" s="102">
        <f>'Ethylene Recycling HC'!AC59</f>
        <v>3.7133759877102095E-2</v>
      </c>
      <c r="AD56" s="102">
        <f>'Ethylene Recycling HC'!AD59</f>
        <v>3.7296468659426298E-2</v>
      </c>
      <c r="AE56" s="102">
        <f>'Ethylene Recycling HC'!AE59</f>
        <v>3.7459177441750507E-2</v>
      </c>
      <c r="AF56" s="102">
        <f>'Ethylene Recycling HC'!AF59</f>
        <v>3.762188622407471E-2</v>
      </c>
      <c r="AG56" s="102">
        <f>'Ethylene Recycling HC'!AG59</f>
        <v>3.778459500639892E-2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f>'Ethylene Recycling HC'!C60</f>
        <v>1.8155489224524805E-2</v>
      </c>
      <c r="D57" s="102">
        <f>'Ethylene Recycling HC'!D60</f>
        <v>1.9063263685751047E-2</v>
      </c>
      <c r="E57" s="102">
        <f>'Ethylene Recycling HC'!E60</f>
        <v>1.9971038146977284E-2</v>
      </c>
      <c r="F57" s="102">
        <f>'Ethylene Recycling HC'!F60</f>
        <v>2.0878812608203526E-2</v>
      </c>
      <c r="G57" s="102">
        <f>'Ethylene Recycling HC'!G60</f>
        <v>2.1786587069429764E-2</v>
      </c>
      <c r="H57" s="102">
        <f>'Ethylene Recycling HC'!H60</f>
        <v>2.2694361530656008E-2</v>
      </c>
      <c r="I57" s="102">
        <f>'Ethylene Recycling HC'!I60</f>
        <v>2.3602135991882243E-2</v>
      </c>
      <c r="J57" s="102">
        <f>'Ethylene Recycling HC'!J60</f>
        <v>2.4509910453108484E-2</v>
      </c>
      <c r="K57" s="102">
        <f>'Ethylene Recycling HC'!K60</f>
        <v>2.5417684914334725E-2</v>
      </c>
      <c r="L57" s="102">
        <f>'Ethylene Recycling HC'!L60</f>
        <v>2.6325459375560967E-2</v>
      </c>
      <c r="M57" s="102">
        <f>'Ethylene Recycling HC'!M60</f>
        <v>2.7233233836787205E-2</v>
      </c>
      <c r="N57" s="102">
        <f>'Ethylene Recycling HC'!N60</f>
        <v>2.735578338905275E-2</v>
      </c>
      <c r="O57" s="102">
        <f>'Ethylene Recycling HC'!O60</f>
        <v>2.7478332941318292E-2</v>
      </c>
      <c r="P57" s="102">
        <f>'Ethylene Recycling HC'!P60</f>
        <v>2.760088249358383E-2</v>
      </c>
      <c r="Q57" s="102">
        <f>'Ethylene Recycling HC'!Q60</f>
        <v>2.7723432045849376E-2</v>
      </c>
      <c r="R57" s="102">
        <f>'Ethylene Recycling HC'!R60</f>
        <v>2.7845981598114918E-2</v>
      </c>
      <c r="S57" s="102">
        <f>'Ethylene Recycling HC'!S60</f>
        <v>2.7968531150380459E-2</v>
      </c>
      <c r="T57" s="102">
        <f>'Ethylene Recycling HC'!T60</f>
        <v>2.8091080702646005E-2</v>
      </c>
      <c r="U57" s="102">
        <f>'Ethylene Recycling HC'!U60</f>
        <v>2.8213630254911543E-2</v>
      </c>
      <c r="V57" s="102">
        <f>'Ethylene Recycling HC'!V60</f>
        <v>2.8336179807177085E-2</v>
      </c>
      <c r="W57" s="102">
        <f>'Ethylene Recycling HC'!W60</f>
        <v>2.845872935944263E-2</v>
      </c>
      <c r="X57" s="102">
        <f>'Ethylene Recycling HC'!X60</f>
        <v>2.8586793641560124E-2</v>
      </c>
      <c r="Y57" s="102">
        <f>'Ethylene Recycling HC'!Y60</f>
        <v>2.871485792367761E-2</v>
      </c>
      <c r="Z57" s="102">
        <f>'Ethylene Recycling HC'!Z60</f>
        <v>2.8842922205795107E-2</v>
      </c>
      <c r="AA57" s="102">
        <f>'Ethylene Recycling HC'!AA60</f>
        <v>2.8970986487912593E-2</v>
      </c>
      <c r="AB57" s="102">
        <f>'Ethylene Recycling HC'!AB60</f>
        <v>2.9099050770030086E-2</v>
      </c>
      <c r="AC57" s="102">
        <f>'Ethylene Recycling HC'!AC60</f>
        <v>2.9227115052147583E-2</v>
      </c>
      <c r="AD57" s="102">
        <f>'Ethylene Recycling HC'!AD60</f>
        <v>2.9355179334265069E-2</v>
      </c>
      <c r="AE57" s="102">
        <f>'Ethylene Recycling HC'!AE60</f>
        <v>2.9483243616382562E-2</v>
      </c>
      <c r="AF57" s="102">
        <f>'Ethylene Recycling HC'!AF60</f>
        <v>2.9611307898500052E-2</v>
      </c>
      <c r="AG57" s="102">
        <f>'Ethylene Recycling HC'!AG60</f>
        <v>2.9739372180617545E-2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f>'Ethylene Recycling HC'!C61</f>
        <v>0.1067969954383812</v>
      </c>
      <c r="D58" s="102">
        <f>'Ethylene Recycling HC'!D61</f>
        <v>0.11251734316656622</v>
      </c>
      <c r="E58" s="102">
        <f>'Ethylene Recycling HC'!E61</f>
        <v>0.11827392879534798</v>
      </c>
      <c r="F58" s="102">
        <f>'Ethylene Recycling HC'!F61</f>
        <v>0.12406675232472651</v>
      </c>
      <c r="G58" s="102">
        <f>'Ethylene Recycling HC'!G61</f>
        <v>0.1298958137547018</v>
      </c>
      <c r="H58" s="102">
        <f>'Ethylene Recycling HC'!H61</f>
        <v>0.13576111308527383</v>
      </c>
      <c r="I58" s="102">
        <f>'Ethylene Recycling HC'!I61</f>
        <v>0.14166265031644262</v>
      </c>
      <c r="J58" s="102">
        <f>'Ethylene Recycling HC'!J61</f>
        <v>0.1476004254482082</v>
      </c>
      <c r="K58" s="102">
        <f>'Ethylene Recycling HC'!K61</f>
        <v>0.15357443848057054</v>
      </c>
      <c r="L58" s="102">
        <f>'Ethylene Recycling HC'!L61</f>
        <v>0.1595846894135296</v>
      </c>
      <c r="M58" s="102">
        <f>'Ethylene Recycling HC'!M61</f>
        <v>0.16563117824708543</v>
      </c>
      <c r="N58" s="102">
        <f>'Ethylene Recycling HC'!N61</f>
        <v>0.16692253311643898</v>
      </c>
      <c r="O58" s="102">
        <f>'Ethylene Recycling HC'!O61</f>
        <v>0.16821878010237309</v>
      </c>
      <c r="P58" s="102">
        <f>'Ethylene Recycling HC'!P61</f>
        <v>0.16951991920488768</v>
      </c>
      <c r="Q58" s="102">
        <f>'Ethylene Recycling HC'!Q61</f>
        <v>0.17082595042398291</v>
      </c>
      <c r="R58" s="102">
        <f>'Ethylene Recycling HC'!R61</f>
        <v>0.17213687375965872</v>
      </c>
      <c r="S58" s="102">
        <f>'Ethylene Recycling HC'!S61</f>
        <v>0.17345268921191506</v>
      </c>
      <c r="T58" s="102">
        <f>'Ethylene Recycling HC'!T61</f>
        <v>0.17477339678075199</v>
      </c>
      <c r="U58" s="102">
        <f>'Ethylene Recycling HC'!U61</f>
        <v>0.17609899646616939</v>
      </c>
      <c r="V58" s="102">
        <f>'Ethylene Recycling HC'!V61</f>
        <v>0.17742948826816746</v>
      </c>
      <c r="W58" s="102">
        <f>'Ethylene Recycling HC'!W61</f>
        <v>0.17876487218674605</v>
      </c>
      <c r="X58" s="102">
        <f>'Ethylene Recycling HC'!X61</f>
        <v>0.18013989933435393</v>
      </c>
      <c r="Y58" s="102">
        <f>'Ethylene Recycling HC'!Y61</f>
        <v>0.18152003874378847</v>
      </c>
      <c r="Z58" s="102">
        <f>'Ethylene Recycling HC'!Z61</f>
        <v>0.18290529041504974</v>
      </c>
      <c r="AA58" s="102">
        <f>'Ethylene Recycling HC'!AA61</f>
        <v>0.18429565434813766</v>
      </c>
      <c r="AB58" s="102">
        <f>'Ethylene Recycling HC'!AB61</f>
        <v>0.18569113054305231</v>
      </c>
      <c r="AC58" s="102">
        <f>'Ethylene Recycling HC'!AC61</f>
        <v>0.18709171899979363</v>
      </c>
      <c r="AD58" s="102">
        <f>'Ethylene Recycling HC'!AD61</f>
        <v>0.18849741971836162</v>
      </c>
      <c r="AE58" s="102">
        <f>'Ethylene Recycling HC'!AE61</f>
        <v>0.18990823269875631</v>
      </c>
      <c r="AF58" s="102">
        <f>'Ethylene Recycling HC'!AF61</f>
        <v>0.19132415794097768</v>
      </c>
      <c r="AG58" s="102">
        <f>'Ethylene Recycling HC'!AG61</f>
        <v>0.19274519544502577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992</v>
      </c>
      <c r="C60" s="329">
        <f>'Overall recycling rates'!E84</f>
        <v>2.1299951412539223E-4</v>
      </c>
      <c r="D60" s="329">
        <f>C60-($C60-$AG60)/($AG$1-$C$1)</f>
        <v>2.6872566196987885E-2</v>
      </c>
      <c r="E60" s="329">
        <f t="shared" ref="E60:AF60" si="26">D60-($C60-$AG60)/($AG$1-$C$1)</f>
        <v>5.3532132879850376E-2</v>
      </c>
      <c r="F60" s="329">
        <f t="shared" si="26"/>
        <v>8.0191699562712868E-2</v>
      </c>
      <c r="G60" s="329">
        <f t="shared" si="26"/>
        <v>0.10685126624557537</v>
      </c>
      <c r="H60" s="329">
        <f t="shared" si="26"/>
        <v>0.13351083292843785</v>
      </c>
      <c r="I60" s="329">
        <f t="shared" si="26"/>
        <v>0.16017039961130033</v>
      </c>
      <c r="J60" s="329">
        <f t="shared" si="26"/>
        <v>0.18682996629416282</v>
      </c>
      <c r="K60" s="329">
        <f t="shared" si="26"/>
        <v>0.2134895329770253</v>
      </c>
      <c r="L60" s="329">
        <f t="shared" si="26"/>
        <v>0.24014909965988779</v>
      </c>
      <c r="M60" s="329">
        <f t="shared" si="26"/>
        <v>0.2668086663427503</v>
      </c>
      <c r="N60" s="329">
        <f t="shared" si="26"/>
        <v>0.29346823302561281</v>
      </c>
      <c r="O60" s="329">
        <f t="shared" si="26"/>
        <v>0.32012779970847532</v>
      </c>
      <c r="P60" s="329">
        <f t="shared" si="26"/>
        <v>0.34678736639133784</v>
      </c>
      <c r="Q60" s="329">
        <f t="shared" si="26"/>
        <v>0.37344693307420035</v>
      </c>
      <c r="R60" s="329">
        <f t="shared" si="26"/>
        <v>0.40010649975706286</v>
      </c>
      <c r="S60" s="329">
        <f t="shared" si="26"/>
        <v>0.42676606643992537</v>
      </c>
      <c r="T60" s="329">
        <f t="shared" si="26"/>
        <v>0.45342563312278789</v>
      </c>
      <c r="U60" s="329">
        <f t="shared" si="26"/>
        <v>0.4800851998056504</v>
      </c>
      <c r="V60" s="329">
        <f t="shared" si="26"/>
        <v>0.50674476648851285</v>
      </c>
      <c r="W60" s="329">
        <f t="shared" si="26"/>
        <v>0.53340433317137537</v>
      </c>
      <c r="X60" s="329">
        <f t="shared" si="26"/>
        <v>0.56006389985423788</v>
      </c>
      <c r="Y60" s="329">
        <f t="shared" si="26"/>
        <v>0.58672346653710039</v>
      </c>
      <c r="Z60" s="329">
        <f t="shared" si="26"/>
        <v>0.6133830332199629</v>
      </c>
      <c r="AA60" s="329">
        <f t="shared" si="26"/>
        <v>0.64004259990282542</v>
      </c>
      <c r="AB60" s="329">
        <f t="shared" si="26"/>
        <v>0.66670216658568793</v>
      </c>
      <c r="AC60" s="329">
        <f t="shared" si="26"/>
        <v>0.69336173326855044</v>
      </c>
      <c r="AD60" s="329">
        <f t="shared" si="26"/>
        <v>0.72002129995141295</v>
      </c>
      <c r="AE60" s="329">
        <f t="shared" si="26"/>
        <v>0.74668086663427546</v>
      </c>
      <c r="AF60" s="329">
        <f t="shared" si="26"/>
        <v>0.77334043331713798</v>
      </c>
      <c r="AG60" s="329">
        <f>'Overall recycling rates'!E93</f>
        <v>0.8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994</v>
      </c>
      <c r="B61" s="50" t="s">
        <v>126</v>
      </c>
      <c r="C61" s="102">
        <f>C47*C$60</f>
        <v>1.7624959795587032E-5</v>
      </c>
      <c r="D61" s="102">
        <f t="shared" ref="D61:AG61" si="27">D47*D$60</f>
        <v>2.401499049575889E-3</v>
      </c>
      <c r="E61" s="102">
        <f t="shared" si="27"/>
        <v>5.1383307827631034E-3</v>
      </c>
      <c r="F61" s="102">
        <f t="shared" si="27"/>
        <v>8.228120159357229E-3</v>
      </c>
      <c r="G61" s="102">
        <f t="shared" si="27"/>
        <v>1.1670867179358268E-2</v>
      </c>
      <c r="H61" s="102">
        <f t="shared" si="27"/>
        <v>1.5466571842766216E-2</v>
      </c>
      <c r="I61" s="102">
        <f t="shared" si="27"/>
        <v>1.9615234149581075E-2</v>
      </c>
      <c r="J61" s="102">
        <f t="shared" si="27"/>
        <v>2.411685409980285E-2</v>
      </c>
      <c r="K61" s="102">
        <f t="shared" si="27"/>
        <v>2.8971431693431533E-2</v>
      </c>
      <c r="L61" s="102">
        <f t="shared" si="27"/>
        <v>3.4178966930467125E-2</v>
      </c>
      <c r="M61" s="102">
        <f t="shared" si="27"/>
        <v>3.9739459810909636E-2</v>
      </c>
      <c r="N61" s="102">
        <f t="shared" si="27"/>
        <v>4.6332847297191643E-2</v>
      </c>
      <c r="O61" s="102">
        <f t="shared" si="27"/>
        <v>5.3402727602072986E-2</v>
      </c>
      <c r="P61" s="102">
        <f t="shared" si="27"/>
        <v>6.0949100725553651E-2</v>
      </c>
      <c r="Q61" s="102">
        <f t="shared" si="27"/>
        <v>6.8971966667633638E-2</v>
      </c>
      <c r="R61" s="102">
        <f t="shared" si="27"/>
        <v>7.747132542831299E-2</v>
      </c>
      <c r="S61" s="102">
        <f t="shared" si="27"/>
        <v>8.6447177007591636E-2</v>
      </c>
      <c r="T61" s="102">
        <f t="shared" si="27"/>
        <v>9.5899521405469632E-2</v>
      </c>
      <c r="U61" s="102">
        <f t="shared" si="27"/>
        <v>0.10582835862194696</v>
      </c>
      <c r="V61" s="102">
        <f t="shared" si="27"/>
        <v>0.1162336886570236</v>
      </c>
      <c r="W61" s="102">
        <f t="shared" si="27"/>
        <v>0.12711551151069961</v>
      </c>
      <c r="X61" s="102">
        <f t="shared" si="27"/>
        <v>0.14147687403754544</v>
      </c>
      <c r="Y61" s="102">
        <f t="shared" si="27"/>
        <v>0.15660062507415023</v>
      </c>
      <c r="Z61" s="102">
        <f t="shared" si="27"/>
        <v>0.17248676462051399</v>
      </c>
      <c r="AA61" s="102">
        <f t="shared" si="27"/>
        <v>0.18913529267663662</v>
      </c>
      <c r="AB61" s="102">
        <f t="shared" si="27"/>
        <v>0.20654620924251818</v>
      </c>
      <c r="AC61" s="102">
        <f t="shared" si="27"/>
        <v>0.2247195143181587</v>
      </c>
      <c r="AD61" s="102">
        <f t="shared" si="27"/>
        <v>0.24365520790355816</v>
      </c>
      <c r="AE61" s="102">
        <f t="shared" si="27"/>
        <v>0.26335328999871654</v>
      </c>
      <c r="AF61" s="102">
        <f t="shared" si="27"/>
        <v>0.28381376060363378</v>
      </c>
      <c r="AG61" s="102">
        <f t="shared" si="27"/>
        <v>0.30503661971830986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995</v>
      </c>
      <c r="B62" s="50" t="s">
        <v>126</v>
      </c>
      <c r="C62" s="102">
        <f>C48*C$60</f>
        <v>3.5624918735761029E-5</v>
      </c>
      <c r="D62" s="102">
        <f t="shared" ref="D62:AG62" si="28">D48*D$60</f>
        <v>4.7192578840660948E-3</v>
      </c>
      <c r="E62" s="102">
        <f t="shared" si="28"/>
        <v>9.8487814893386712E-3</v>
      </c>
      <c r="F62" s="102">
        <f t="shared" si="28"/>
        <v>1.5424195734553491E-2</v>
      </c>
      <c r="G62" s="102">
        <f t="shared" si="28"/>
        <v>2.144550061971055E-2</v>
      </c>
      <c r="H62" s="102">
        <f t="shared" si="28"/>
        <v>2.7912696144809856E-2</v>
      </c>
      <c r="I62" s="102">
        <f t="shared" si="28"/>
        <v>3.4825782309851394E-2</v>
      </c>
      <c r="J62" s="102">
        <f t="shared" si="28"/>
        <v>4.2184759114835185E-2</v>
      </c>
      <c r="K62" s="102">
        <f t="shared" si="28"/>
        <v>4.9989626559761212E-2</v>
      </c>
      <c r="L62" s="102">
        <f t="shared" si="28"/>
        <v>5.8240384644629481E-2</v>
      </c>
      <c r="M62" s="102">
        <f t="shared" si="28"/>
        <v>6.6937033369439999E-2</v>
      </c>
      <c r="N62" s="102">
        <f t="shared" si="28"/>
        <v>7.3956707236932234E-2</v>
      </c>
      <c r="O62" s="102">
        <f t="shared" si="28"/>
        <v>8.1036576340816652E-2</v>
      </c>
      <c r="P62" s="102">
        <f t="shared" si="28"/>
        <v>8.8176640681093266E-2</v>
      </c>
      <c r="Q62" s="102">
        <f t="shared" si="28"/>
        <v>9.5376900257762104E-2</v>
      </c>
      <c r="R62" s="102">
        <f t="shared" si="28"/>
        <v>0.10263735507082314</v>
      </c>
      <c r="S62" s="102">
        <f t="shared" si="28"/>
        <v>0.10995800512027638</v>
      </c>
      <c r="T62" s="102">
        <f t="shared" si="28"/>
        <v>0.11733885040612183</v>
      </c>
      <c r="U62" s="102">
        <f t="shared" si="28"/>
        <v>0.12477989092835945</v>
      </c>
      <c r="V62" s="102">
        <f t="shared" si="28"/>
        <v>0.13228112668698927</v>
      </c>
      <c r="W62" s="102">
        <f t="shared" si="28"/>
        <v>0.13984255768201134</v>
      </c>
      <c r="X62" s="102">
        <f t="shared" si="28"/>
        <v>0.14749263698368997</v>
      </c>
      <c r="Y62" s="102">
        <f t="shared" si="28"/>
        <v>0.15520562030739846</v>
      </c>
      <c r="Z62" s="102">
        <f t="shared" si="28"/>
        <v>0.16298150765313679</v>
      </c>
      <c r="AA62" s="102">
        <f t="shared" si="28"/>
        <v>0.17082029902090495</v>
      </c>
      <c r="AB62" s="102">
        <f t="shared" si="28"/>
        <v>0.17872199441070302</v>
      </c>
      <c r="AC62" s="102">
        <f t="shared" si="28"/>
        <v>0.18668659382253092</v>
      </c>
      <c r="AD62" s="102">
        <f t="shared" si="28"/>
        <v>0.19471409725638864</v>
      </c>
      <c r="AE62" s="102">
        <f t="shared" si="28"/>
        <v>0.20280450471227623</v>
      </c>
      <c r="AF62" s="102">
        <f t="shared" si="28"/>
        <v>0.21095781619019366</v>
      </c>
      <c r="AG62" s="102">
        <f t="shared" si="28"/>
        <v>0.21917403169014085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996</v>
      </c>
      <c r="B63" s="156" t="s">
        <v>126</v>
      </c>
      <c r="C63" s="102">
        <f>SUM(C61:C62)</f>
        <v>5.3249878531348057E-5</v>
      </c>
      <c r="D63" s="102">
        <f t="shared" ref="D63:AG63" si="29">SUM(D61:D62)</f>
        <v>7.1207569336419838E-3</v>
      </c>
      <c r="E63" s="102">
        <f t="shared" si="29"/>
        <v>1.4987112272101775E-2</v>
      </c>
      <c r="F63" s="102">
        <f t="shared" si="29"/>
        <v>2.365231589391072E-2</v>
      </c>
      <c r="G63" s="102">
        <f t="shared" si="29"/>
        <v>3.3116367799068819E-2</v>
      </c>
      <c r="H63" s="102">
        <f t="shared" si="29"/>
        <v>4.3379267987576076E-2</v>
      </c>
      <c r="I63" s="102">
        <f t="shared" si="29"/>
        <v>5.4441016459432473E-2</v>
      </c>
      <c r="J63" s="102">
        <f t="shared" si="29"/>
        <v>6.6301613214638039E-2</v>
      </c>
      <c r="K63" s="102">
        <f t="shared" si="29"/>
        <v>7.8961058253192745E-2</v>
      </c>
      <c r="L63" s="102">
        <f t="shared" si="29"/>
        <v>9.2419351575096606E-2</v>
      </c>
      <c r="M63" s="102">
        <f t="shared" si="29"/>
        <v>0.10667649318034964</v>
      </c>
      <c r="N63" s="102">
        <f t="shared" si="29"/>
        <v>0.12028955453412388</v>
      </c>
      <c r="O63" s="102">
        <f t="shared" si="29"/>
        <v>0.13443930394288964</v>
      </c>
      <c r="P63" s="102">
        <f t="shared" si="29"/>
        <v>0.14912574140664692</v>
      </c>
      <c r="Q63" s="102">
        <f t="shared" si="29"/>
        <v>0.16434886692539574</v>
      </c>
      <c r="R63" s="102">
        <f t="shared" si="29"/>
        <v>0.18010868049913614</v>
      </c>
      <c r="S63" s="102">
        <f t="shared" si="29"/>
        <v>0.19640518212786801</v>
      </c>
      <c r="T63" s="102">
        <f t="shared" si="29"/>
        <v>0.21323837181159144</v>
      </c>
      <c r="U63" s="102">
        <f t="shared" si="29"/>
        <v>0.2306082495503064</v>
      </c>
      <c r="V63" s="102">
        <f t="shared" si="29"/>
        <v>0.24851481534401287</v>
      </c>
      <c r="W63" s="102">
        <f t="shared" si="29"/>
        <v>0.26695806919271092</v>
      </c>
      <c r="X63" s="102">
        <f t="shared" si="29"/>
        <v>0.28896951102123541</v>
      </c>
      <c r="Y63" s="102">
        <f t="shared" si="29"/>
        <v>0.31180624538154866</v>
      </c>
      <c r="Z63" s="102">
        <f t="shared" si="29"/>
        <v>0.33546827227365078</v>
      </c>
      <c r="AA63" s="102">
        <f t="shared" si="29"/>
        <v>0.35995559169754154</v>
      </c>
      <c r="AB63" s="102">
        <f t="shared" si="29"/>
        <v>0.38526820365322123</v>
      </c>
      <c r="AC63" s="102">
        <f t="shared" si="29"/>
        <v>0.41140610814068962</v>
      </c>
      <c r="AD63" s="102">
        <f t="shared" si="29"/>
        <v>0.43836930515994676</v>
      </c>
      <c r="AE63" s="102">
        <f t="shared" si="29"/>
        <v>0.46615779471099278</v>
      </c>
      <c r="AF63" s="102">
        <f t="shared" si="29"/>
        <v>0.49477157679382744</v>
      </c>
      <c r="AG63" s="102">
        <f t="shared" si="29"/>
        <v>0.52421065140845069</v>
      </c>
      <c r="AI63" s="124"/>
      <c r="AJ63" s="185"/>
      <c r="AL63" s="100"/>
      <c r="AM63" s="2"/>
      <c r="AN63" s="2"/>
      <c r="AO63" s="2"/>
    </row>
    <row r="64" spans="1:63" outlineLevel="1">
      <c r="A64" t="s">
        <v>997</v>
      </c>
      <c r="B64" s="50" t="s">
        <v>126</v>
      </c>
      <c r="C64" s="102">
        <f>C$60*C55</f>
        <v>4.0968425027981512E-6</v>
      </c>
      <c r="D64" s="102">
        <f t="shared" ref="D64:AG67" si="30">D$60*D55</f>
        <v>5.3248663321299483E-4</v>
      </c>
      <c r="E64" s="102">
        <f t="shared" si="30"/>
        <v>1.0899258443569271E-3</v>
      </c>
      <c r="F64" s="102">
        <f t="shared" si="30"/>
        <v>1.6735162157523764E-3</v>
      </c>
      <c r="G64" s="102">
        <f t="shared" si="30"/>
        <v>2.2803594872171239E-3</v>
      </c>
      <c r="H64" s="102">
        <f t="shared" si="30"/>
        <v>2.9075573985689516E-3</v>
      </c>
      <c r="I64" s="102">
        <f t="shared" si="30"/>
        <v>3.5522116896256391E-3</v>
      </c>
      <c r="J64" s="102">
        <f t="shared" si="30"/>
        <v>4.2114241002049694E-3</v>
      </c>
      <c r="K64" s="102">
        <f t="shared" si="30"/>
        <v>4.8822963701247247E-3</v>
      </c>
      <c r="L64" s="102">
        <f t="shared" si="30"/>
        <v>5.5619302392026842E-3</v>
      </c>
      <c r="M64" s="102">
        <f t="shared" si="30"/>
        <v>6.2474274472566317E-3</v>
      </c>
      <c r="N64" s="102">
        <f t="shared" si="30"/>
        <v>6.7423560366849837E-3</v>
      </c>
      <c r="O64" s="102">
        <f t="shared" si="30"/>
        <v>7.2122236960497042E-3</v>
      </c>
      <c r="P64" s="102">
        <f t="shared" si="30"/>
        <v>7.6566391602261924E-3</v>
      </c>
      <c r="Q64" s="102">
        <f t="shared" si="30"/>
        <v>8.0752111640898516E-3</v>
      </c>
      <c r="R64" s="102">
        <f t="shared" si="30"/>
        <v>8.4675484425160777E-3</v>
      </c>
      <c r="S64" s="102">
        <f t="shared" si="30"/>
        <v>8.8332597303802749E-3</v>
      </c>
      <c r="T64" s="102">
        <f t="shared" si="30"/>
        <v>9.171953762557845E-3</v>
      </c>
      <c r="U64" s="102">
        <f t="shared" si="30"/>
        <v>9.4832392739241829E-3</v>
      </c>
      <c r="V64" s="102">
        <f t="shared" si="30"/>
        <v>9.7667249993546919E-3</v>
      </c>
      <c r="W64" s="102">
        <f t="shared" si="30"/>
        <v>1.0022019673724777E-2</v>
      </c>
      <c r="X64" s="102">
        <f t="shared" si="30"/>
        <v>1.0250709514745909E-2</v>
      </c>
      <c r="Y64" s="102">
        <f t="shared" si="30"/>
        <v>1.0450484870149166E-2</v>
      </c>
      <c r="Z64" s="102">
        <f t="shared" si="30"/>
        <v>1.0620936867879349E-2</v>
      </c>
      <c r="AA64" s="102">
        <f t="shared" si="30"/>
        <v>1.0761656635881243E-2</v>
      </c>
      <c r="AB64" s="102">
        <f t="shared" si="30"/>
        <v>1.0872235302099648E-2</v>
      </c>
      <c r="AC64" s="102">
        <f t="shared" si="30"/>
        <v>1.0952263994479355E-2</v>
      </c>
      <c r="AD64" s="102">
        <f t="shared" si="30"/>
        <v>1.1001333840965155E-2</v>
      </c>
      <c r="AE64" s="102">
        <f t="shared" si="30"/>
        <v>1.1019035969501845E-2</v>
      </c>
      <c r="AF64" s="102">
        <f t="shared" si="30"/>
        <v>1.1004961508034218E-2</v>
      </c>
      <c r="AG64" s="102">
        <f t="shared" si="30"/>
        <v>1.0958701584507043E-2</v>
      </c>
      <c r="AI64" s="124"/>
      <c r="AJ64" s="185"/>
      <c r="AL64" s="100"/>
      <c r="AM64" s="2"/>
      <c r="AN64" s="2"/>
      <c r="AO64" s="2"/>
    </row>
    <row r="65" spans="1:63" outlineLevel="1">
      <c r="A65" t="s">
        <v>998</v>
      </c>
      <c r="B65" s="50" t="s">
        <v>126</v>
      </c>
      <c r="C65" s="102">
        <f t="shared" ref="C65:R67" si="31">C$60*C56</f>
        <v>4.9132577110033759E-6</v>
      </c>
      <c r="D65" s="102">
        <f t="shared" si="31"/>
        <v>6.5086268297436694E-4</v>
      </c>
      <c r="E65" s="102">
        <f t="shared" si="31"/>
        <v>1.3583077046546651E-3</v>
      </c>
      <c r="F65" s="102">
        <f t="shared" si="31"/>
        <v>2.1272483227518981E-3</v>
      </c>
      <c r="G65" s="102">
        <f t="shared" si="31"/>
        <v>2.9576845372660649E-3</v>
      </c>
      <c r="H65" s="102">
        <f t="shared" si="31"/>
        <v>3.8496163481971674E-3</v>
      </c>
      <c r="I65" s="102">
        <f t="shared" si="31"/>
        <v>4.8030437555452027E-3</v>
      </c>
      <c r="J65" s="102">
        <f t="shared" si="31"/>
        <v>5.8179667593101737E-3</v>
      </c>
      <c r="K65" s="102">
        <f t="shared" si="31"/>
        <v>6.8943853594920796E-3</v>
      </c>
      <c r="L65" s="102">
        <f t="shared" si="31"/>
        <v>8.0322995560909195E-3</v>
      </c>
      <c r="M65" s="102">
        <f t="shared" si="31"/>
        <v>9.2317093491066961E-3</v>
      </c>
      <c r="N65" s="102">
        <f t="shared" si="31"/>
        <v>1.0199836940189839E-2</v>
      </c>
      <c r="O65" s="102">
        <f t="shared" si="31"/>
        <v>1.1176266436789269E-2</v>
      </c>
      <c r="P65" s="102">
        <f t="shared" si="31"/>
        <v>1.2160997838904982E-2</v>
      </c>
      <c r="Q65" s="102">
        <f t="shared" si="31"/>
        <v>1.3154031146536984E-2</v>
      </c>
      <c r="R65" s="102">
        <f t="shared" si="31"/>
        <v>1.4155366359685272E-2</v>
      </c>
      <c r="S65" s="102">
        <f t="shared" si="30"/>
        <v>1.5165003478349846E-2</v>
      </c>
      <c r="T65" s="102">
        <f t="shared" si="30"/>
        <v>1.6182942502530707E-2</v>
      </c>
      <c r="U65" s="102">
        <f t="shared" si="30"/>
        <v>1.720918343222785E-2</v>
      </c>
      <c r="V65" s="102">
        <f t="shared" si="30"/>
        <v>1.8243726267441283E-2</v>
      </c>
      <c r="W65" s="102">
        <f t="shared" si="30"/>
        <v>1.9286571008171001E-2</v>
      </c>
      <c r="X65" s="102">
        <f t="shared" si="30"/>
        <v>2.0341641797175479E-2</v>
      </c>
      <c r="Y65" s="102">
        <f t="shared" si="30"/>
        <v>2.1405388077444475E-2</v>
      </c>
      <c r="Z65" s="102">
        <f t="shared" si="30"/>
        <v>2.2477809848977997E-2</v>
      </c>
      <c r="AA65" s="102">
        <f t="shared" si="30"/>
        <v>2.355890711177603E-2</v>
      </c>
      <c r="AB65" s="102">
        <f t="shared" si="30"/>
        <v>2.4648679865838592E-2</v>
      </c>
      <c r="AC65" s="102">
        <f t="shared" si="30"/>
        <v>2.5747128111165665E-2</v>
      </c>
      <c r="AD65" s="102">
        <f t="shared" si="30"/>
        <v>2.6854251847757256E-2</v>
      </c>
      <c r="AE65" s="102">
        <f t="shared" si="30"/>
        <v>2.7970051075613369E-2</v>
      </c>
      <c r="AF65" s="102">
        <f t="shared" si="30"/>
        <v>2.9094525794734E-2</v>
      </c>
      <c r="AG65" s="102">
        <f t="shared" si="30"/>
        <v>3.0227676005119136E-2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1052</v>
      </c>
      <c r="C66" s="102">
        <f t="shared" si="31"/>
        <v>3.8671103835325778E-6</v>
      </c>
      <c r="D66" s="102">
        <f t="shared" si="30"/>
        <v>5.1227881532598025E-4</v>
      </c>
      <c r="E66" s="102">
        <f t="shared" si="30"/>
        <v>1.0690922678325489E-3</v>
      </c>
      <c r="F66" s="102">
        <f t="shared" si="30"/>
        <v>1.6743074679032386E-3</v>
      </c>
      <c r="G66" s="102">
        <f t="shared" si="30"/>
        <v>2.3279244155380492E-3</v>
      </c>
      <c r="H66" s="102">
        <f t="shared" si="30"/>
        <v>3.0299431107369814E-3</v>
      </c>
      <c r="I66" s="102">
        <f t="shared" si="30"/>
        <v>3.7803635535000333E-3</v>
      </c>
      <c r="J66" s="102">
        <f t="shared" si="30"/>
        <v>4.5791857438272068E-3</v>
      </c>
      <c r="K66" s="102">
        <f t="shared" si="30"/>
        <v>5.4264096817185021E-3</v>
      </c>
      <c r="L66" s="102">
        <f t="shared" si="30"/>
        <v>6.3220353671739182E-3</v>
      </c>
      <c r="M66" s="102">
        <f t="shared" si="30"/>
        <v>7.2660628001934551E-3</v>
      </c>
      <c r="N66" s="102">
        <f t="shared" si="30"/>
        <v>8.0280534142167202E-3</v>
      </c>
      <c r="O66" s="102">
        <f t="shared" si="30"/>
        <v>8.796578264161142E-3</v>
      </c>
      <c r="P66" s="102">
        <f t="shared" si="30"/>
        <v>9.5716373500267186E-3</v>
      </c>
      <c r="Q66" s="102">
        <f t="shared" si="30"/>
        <v>1.0353230671813454E-2</v>
      </c>
      <c r="R66" s="102">
        <f t="shared" si="30"/>
        <v>1.1141358229521343E-2</v>
      </c>
      <c r="S66" s="102">
        <f t="shared" si="30"/>
        <v>1.193602002315039E-2</v>
      </c>
      <c r="T66" s="102">
        <f t="shared" si="30"/>
        <v>1.2737216052700595E-2</v>
      </c>
      <c r="U66" s="102">
        <f t="shared" si="30"/>
        <v>1.3544946318171951E-2</v>
      </c>
      <c r="V66" s="102">
        <f t="shared" si="30"/>
        <v>1.4359210819564466E-2</v>
      </c>
      <c r="W66" s="102">
        <f t="shared" si="30"/>
        <v>1.5180009556878139E-2</v>
      </c>
      <c r="X66" s="102">
        <f t="shared" si="30"/>
        <v>1.6010431131220495E-2</v>
      </c>
      <c r="Y66" s="102">
        <f t="shared" si="30"/>
        <v>1.6847680982100453E-2</v>
      </c>
      <c r="Z66" s="102">
        <f t="shared" si="30"/>
        <v>1.7691759109518024E-2</v>
      </c>
      <c r="AA66" s="102">
        <f t="shared" si="30"/>
        <v>1.8542665513473201E-2</v>
      </c>
      <c r="AB66" s="102">
        <f t="shared" si="30"/>
        <v>1.9400400193965991E-2</v>
      </c>
      <c r="AC66" s="102">
        <f t="shared" si="30"/>
        <v>2.0264963150996389E-2</v>
      </c>
      <c r="AD66" s="102">
        <f t="shared" si="30"/>
        <v>2.1136354384564387E-2</v>
      </c>
      <c r="AE66" s="102">
        <f t="shared" si="30"/>
        <v>2.201457389467E-2</v>
      </c>
      <c r="AF66" s="102">
        <f t="shared" si="30"/>
        <v>2.289962168131322E-2</v>
      </c>
      <c r="AG66" s="102">
        <f t="shared" si="30"/>
        <v>2.3791497744494038E-2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999</v>
      </c>
      <c r="B67" s="50" t="s">
        <v>126</v>
      </c>
      <c r="C67" s="102">
        <f t="shared" si="31"/>
        <v>2.2747708138426926E-5</v>
      </c>
      <c r="D67" s="102">
        <f t="shared" si="30"/>
        <v>3.0236297525527535E-3</v>
      </c>
      <c r="E67" s="102">
        <f t="shared" si="30"/>
        <v>6.3314556724945303E-3</v>
      </c>
      <c r="F67" s="102">
        <f t="shared" si="30"/>
        <v>9.9491237281459765E-3</v>
      </c>
      <c r="G67" s="102">
        <f t="shared" si="30"/>
        <v>1.3879532179689312E-2</v>
      </c>
      <c r="H67" s="102">
        <f t="shared" si="30"/>
        <v>1.8125579287306751E-2</v>
      </c>
      <c r="I67" s="102">
        <f t="shared" si="30"/>
        <v>2.2690163311180518E-2</v>
      </c>
      <c r="J67" s="102">
        <f t="shared" si="30"/>
        <v>2.7576182511492828E-2</v>
      </c>
      <c r="K67" s="102">
        <f t="shared" si="30"/>
        <v>3.2786535148425909E-2</v>
      </c>
      <c r="L67" s="102">
        <f t="shared" si="30"/>
        <v>3.832411948216196E-2</v>
      </c>
      <c r="M67" s="102">
        <f t="shared" si="30"/>
        <v>4.4191833772883216E-2</v>
      </c>
      <c r="N67" s="102">
        <f t="shared" si="30"/>
        <v>4.8986460845840685E-2</v>
      </c>
      <c r="O67" s="102">
        <f t="shared" si="30"/>
        <v>5.3851507943816546E-2</v>
      </c>
      <c r="P67" s="102">
        <f t="shared" si="30"/>
        <v>5.8787366331935369E-2</v>
      </c>
      <c r="Q67" s="102">
        <f t="shared" si="30"/>
        <v>6.3794427275321808E-2</v>
      </c>
      <c r="R67" s="102">
        <f t="shared" si="30"/>
        <v>6.8873082039100447E-2</v>
      </c>
      <c r="S67" s="102">
        <f t="shared" si="30"/>
        <v>7.4023721888395871E-2</v>
      </c>
      <c r="T67" s="102">
        <f t="shared" si="30"/>
        <v>7.9246738088332686E-2</v>
      </c>
      <c r="U67" s="102">
        <f t="shared" si="30"/>
        <v>8.4542521904035453E-2</v>
      </c>
      <c r="V67" s="102">
        <f t="shared" si="30"/>
        <v>8.9911464600628849E-2</v>
      </c>
      <c r="W67" s="102">
        <f t="shared" si="30"/>
        <v>9.5353957443237422E-2</v>
      </c>
      <c r="X67" s="102">
        <f t="shared" si="30"/>
        <v>0.10088985454054809</v>
      </c>
      <c r="Y67" s="102">
        <f t="shared" si="30"/>
        <v>0.10650206637770435</v>
      </c>
      <c r="Z67" s="102">
        <f t="shared" si="30"/>
        <v>0.11219100182676142</v>
      </c>
      <c r="AA67" s="102">
        <f t="shared" si="30"/>
        <v>0.11795706975977448</v>
      </c>
      <c r="AB67" s="102">
        <f t="shared" si="30"/>
        <v>0.12380067904879878</v>
      </c>
      <c r="AC67" s="102">
        <f t="shared" si="30"/>
        <v>0.12972223856588949</v>
      </c>
      <c r="AD67" s="102">
        <f t="shared" si="30"/>
        <v>0.13572215718310182</v>
      </c>
      <c r="AE67" s="102">
        <f t="shared" si="30"/>
        <v>0.14180084377249103</v>
      </c>
      <c r="AF67" s="102">
        <f t="shared" si="30"/>
        <v>0.14795870720611223</v>
      </c>
      <c r="AG67" s="102">
        <f t="shared" si="30"/>
        <v>0.15419615635602063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C39*C61</f>
        <v>0.97712514727472732</v>
      </c>
      <c r="D69" s="250">
        <f t="shared" ref="D69:AG69" si="32">D39*D61</f>
        <v>132.6042540533762</v>
      </c>
      <c r="E69" s="250">
        <f t="shared" si="32"/>
        <v>282.58470332895337</v>
      </c>
      <c r="F69" s="250">
        <f t="shared" si="32"/>
        <v>450.68938959074177</v>
      </c>
      <c r="G69" s="250">
        <f t="shared" si="32"/>
        <v>636.69071000896201</v>
      </c>
      <c r="H69" s="250">
        <f t="shared" si="32"/>
        <v>840.36253513912766</v>
      </c>
      <c r="I69" s="250">
        <f t="shared" si="32"/>
        <v>1061.4802017832812</v>
      </c>
      <c r="J69" s="250">
        <f t="shared" si="32"/>
        <v>1299.8205058805488</v>
      </c>
      <c r="K69" s="250">
        <f t="shared" si="32"/>
        <v>1555.1616954269064</v>
      </c>
      <c r="L69" s="250">
        <f t="shared" si="32"/>
        <v>1827.2834634240487</v>
      </c>
      <c r="M69" s="250">
        <f t="shared" si="32"/>
        <v>2115.9669408572554</v>
      </c>
      <c r="N69" s="250">
        <f t="shared" si="32"/>
        <v>2451.0854119806304</v>
      </c>
      <c r="O69" s="250">
        <f t="shared" si="32"/>
        <v>2806.7740429301562</v>
      </c>
      <c r="P69" s="250">
        <f t="shared" si="32"/>
        <v>3182.5689504898933</v>
      </c>
      <c r="Q69" s="250">
        <f t="shared" si="32"/>
        <v>3578.0097317219152</v>
      </c>
      <c r="R69" s="250">
        <f t="shared" si="32"/>
        <v>3992.639445905339</v>
      </c>
      <c r="S69" s="250">
        <f t="shared" si="32"/>
        <v>4426.0045965525496</v>
      </c>
      <c r="T69" s="250">
        <f t="shared" si="32"/>
        <v>4877.6551135023283</v>
      </c>
      <c r="U69" s="250">
        <f t="shared" si="32"/>
        <v>5347.1443350895906</v>
      </c>
      <c r="V69" s="250">
        <f t="shared" si="32"/>
        <v>5834.0289903914427</v>
      </c>
      <c r="W69" s="250">
        <f t="shared" si="32"/>
        <v>6337.8691815492621</v>
      </c>
      <c r="X69" s="250">
        <f t="shared" si="32"/>
        <v>7006.9086152272321</v>
      </c>
      <c r="Y69" s="250">
        <f t="shared" si="32"/>
        <v>7704.1020266359146</v>
      </c>
      <c r="Z69" s="250">
        <f t="shared" si="32"/>
        <v>8428.7471843834228</v>
      </c>
      <c r="AA69" s="250">
        <f t="shared" si="32"/>
        <v>9180.1472058182972</v>
      </c>
      <c r="AB69" s="250">
        <f t="shared" si="32"/>
        <v>9957.610529104546</v>
      </c>
      <c r="AC69" s="250">
        <f t="shared" si="32"/>
        <v>10760.450885416427</v>
      </c>
      <c r="AD69" s="250">
        <f t="shared" si="32"/>
        <v>11587.98727125249</v>
      </c>
      <c r="AE69" s="250">
        <f t="shared" si="32"/>
        <v>12439.543920868491</v>
      </c>
      <c r="AF69" s="250">
        <f t="shared" si="32"/>
        <v>13314.450278828632</v>
      </c>
      <c r="AG69" s="250">
        <f t="shared" si="32"/>
        <v>14212.040972674797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outlineLevel="1">
      <c r="A70" s="4" t="s">
        <v>35</v>
      </c>
      <c r="C70" s="203">
        <f>C$69*'Methanol recycling rates'!E33</f>
        <v>0.97712514727472732</v>
      </c>
      <c r="D70" s="203">
        <f>D$69*'Methanol recycling rates'!F33</f>
        <v>128.18425606773559</v>
      </c>
      <c r="E70" s="203">
        <f>E$69*'Methanol recycling rates'!G33</f>
        <v>263.74633606233368</v>
      </c>
      <c r="F70" s="203">
        <f>F$69*'Methanol recycling rates'!H33</f>
        <v>405.62191701918692</v>
      </c>
      <c r="G70" s="203">
        <f>G$69*'Methanol recycling rates'!I33</f>
        <v>551.80137743648106</v>
      </c>
      <c r="H70" s="203">
        <f>H$69*'Methanol recycling rates'!J33</f>
        <v>700.30666969805179</v>
      </c>
      <c r="I70" s="203">
        <f>I$69*'Methanol recycling rates'!K33</f>
        <v>849.19106880610127</v>
      </c>
      <c r="J70" s="203">
        <f>J$69*'Methanol recycling rates'!L33</f>
        <v>996.53892256409915</v>
      </c>
      <c r="K70" s="203">
        <f>K$69*'Methanol recycling rates'!M33</f>
        <v>1140.4654032029484</v>
      </c>
      <c r="L70" s="203">
        <f>L$69*'Methanol recycling rates'!N33</f>
        <v>1279.1162604435235</v>
      </c>
      <c r="M70" s="203">
        <f>M$69*'Methanol recycling rates'!O33</f>
        <v>1410.6675759887221</v>
      </c>
      <c r="N70" s="203">
        <f>N$69*'Methanol recycling rates'!P33</f>
        <v>1552.3833358655397</v>
      </c>
      <c r="O70" s="203">
        <f>O$69*'Methanol recycling rates'!Q33</f>
        <v>1684.1009548490483</v>
      </c>
      <c r="P70" s="203">
        <f>P$69*'Methanol recycling rates'!R33</f>
        <v>1803.5006101887573</v>
      </c>
      <c r="Q70" s="203">
        <f>Q$69*'Methanol recycling rates'!S33</f>
        <v>1908.3261844183301</v>
      </c>
      <c r="R70" s="203">
        <f>R$69*'Methanol recycling rates'!T33</f>
        <v>1996.3846762973449</v>
      </c>
      <c r="S70" s="203">
        <f>S$69*'Methanol recycling rates'!U33</f>
        <v>2065.5456154011526</v>
      </c>
      <c r="T70" s="203">
        <f>T$69*'Methanol recycling rates'!V33</f>
        <v>2113.7404803407026</v>
      </c>
      <c r="U70" s="203">
        <f>U$69*'Methanol recycling rates'!W33</f>
        <v>2138.9621205942717</v>
      </c>
      <c r="V70" s="203">
        <f>V$69*'Methanol recycling rates'!X33</f>
        <v>2139.2641819331102</v>
      </c>
      <c r="W70" s="203">
        <f>W$69*'Methanol recycling rates'!Y33</f>
        <v>2112.7605354231114</v>
      </c>
      <c r="X70" s="203">
        <f>X$69*'Methanol recycling rates'!Z33</f>
        <v>2102.2321709819153</v>
      </c>
      <c r="Y70" s="203">
        <f>Y$69*'Methanol recycling rates'!AA33</f>
        <v>2054.611027996747</v>
      </c>
      <c r="Z70" s="203">
        <f>Z$69*'Methanol recycling rates'!AB33</f>
        <v>1966.9179287894697</v>
      </c>
      <c r="AA70" s="203">
        <f>AA$69*'Methanol recycling rates'!AC33</f>
        <v>1836.2683933750814</v>
      </c>
      <c r="AB70" s="203">
        <f>AB$69*'Methanol recycling rates'!AD33</f>
        <v>1659.8717433790669</v>
      </c>
      <c r="AC70" s="203">
        <f>AC$69*'Methanol recycling rates'!AE33</f>
        <v>1435.0302115555262</v>
      </c>
      <c r="AD70" s="203">
        <f>AD$69*'Methanol recycling rates'!AF33</f>
        <v>1159.1380568780964</v>
      </c>
      <c r="AE70" s="203">
        <f>AE$69*'Methanol recycling rates'!AG33</f>
        <v>829.6806851758115</v>
      </c>
      <c r="AF70" s="203">
        <f>AF$69*'Methanol recycling rates'!AH33</f>
        <v>444.23377528615043</v>
      </c>
      <c r="AG70" s="203">
        <f>AG$69*'Methanol recycling rates'!AI33</f>
        <v>0.46241069766655818</v>
      </c>
      <c r="AH70" s="217"/>
      <c r="AI70" s="124"/>
      <c r="AJ70" s="185"/>
      <c r="AL70" s="100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160</v>
      </c>
      <c r="C71" s="203">
        <f>C$69*'Methanol recycling rates'!E34</f>
        <v>0</v>
      </c>
      <c r="D71" s="203">
        <f>D$69*'Methanol recycling rates'!F34</f>
        <v>0.25167926282129227</v>
      </c>
      <c r="E71" s="203">
        <f>E$69*'Methanol recycling rates'!G34</f>
        <v>1.072676141894767</v>
      </c>
      <c r="F71" s="203">
        <f>F$69*'Methanol recycling rates'!H34</f>
        <v>2.5661885618221181</v>
      </c>
      <c r="G71" s="203">
        <f>G$69*'Methanol recycling rates'!I34</f>
        <v>4.8336865113156859</v>
      </c>
      <c r="H71" s="203">
        <f>H$69*'Methanol recycling rates'!J34</f>
        <v>7.9749260254242573</v>
      </c>
      <c r="I71" s="203">
        <f>I$69*'Methanol recycling rates'!K34</f>
        <v>12.087963086463782</v>
      </c>
      <c r="J71" s="203">
        <f>J$69*'Methanol recycling rates'!L34</f>
        <v>17.269167444042541</v>
      </c>
      <c r="K71" s="203">
        <f>K$69*'Methanol recycling rates'!M34</f>
        <v>23.613236354568642</v>
      </c>
      <c r="L71" s="203">
        <f>L$69*'Methanol recycling rates'!N34</f>
        <v>31.21320824062612</v>
      </c>
      <c r="M71" s="203">
        <f>M$69*'Methanol recycling rates'!O34</f>
        <v>40.160476270604235</v>
      </c>
      <c r="N71" s="203">
        <f>N$69*'Methanol recycling rates'!P34</f>
        <v>51.173026944225875</v>
      </c>
      <c r="O71" s="203">
        <f>O$69*'Methanol recycling rates'!Q34</f>
        <v>63.926168318514591</v>
      </c>
      <c r="P71" s="203">
        <f>P$69*'Methanol recycling rates'!R34</f>
        <v>78.525579512649671</v>
      </c>
      <c r="Q71" s="203">
        <f>Q$69*'Methanol recycling rates'!S34</f>
        <v>95.073510371589393</v>
      </c>
      <c r="R71" s="203">
        <f>R$69*'Methanol recycling rates'!T34</f>
        <v>113.66881397924696</v>
      </c>
      <c r="S71" s="203">
        <f>S$69*'Methanol recycling rates'!U34</f>
        <v>134.40697896833544</v>
      </c>
      <c r="T71" s="203">
        <f>T$69*'Methanol recycling rates'!V34</f>
        <v>157.38016162789754</v>
      </c>
      <c r="U71" s="203">
        <f>U$69*'Methanol recycling rates'!W34</f>
        <v>182.67721780953221</v>
      </c>
      <c r="V71" s="203">
        <f>V$69*'Methanol recycling rates'!X34</f>
        <v>210.38373463332536</v>
      </c>
      <c r="W71" s="203">
        <f>W$69*'Methanol recycling rates'!Y34</f>
        <v>240.58206199448736</v>
      </c>
      <c r="X71" s="203">
        <f>X$69*'Methanol recycling rates'!Z34</f>
        <v>279.27735620578824</v>
      </c>
      <c r="Y71" s="203">
        <f>Y$69*'Methanol recycling rates'!AA34</f>
        <v>321.68786829140527</v>
      </c>
      <c r="Z71" s="203">
        <f>Z$69*'Methanol recycling rates'!AB34</f>
        <v>367.94324993097007</v>
      </c>
      <c r="AA71" s="203">
        <f>AA$69*'Methanol recycling rates'!AC34</f>
        <v>418.16806518221409</v>
      </c>
      <c r="AB71" s="203">
        <f>AB$69*'Methanol recycling rates'!AD34</f>
        <v>472.48183991476611</v>
      </c>
      <c r="AC71" s="203">
        <f>AC$69*'Methanol recycling rates'!AE34</f>
        <v>530.99911093185472</v>
      </c>
      <c r="AD71" s="203">
        <f>AD$69*'Methanol recycling rates'!AF34</f>
        <v>593.82947478148003</v>
      </c>
      <c r="AE71" s="203">
        <f>AE$69*'Methanol recycling rates'!AG34</f>
        <v>661.07763625862083</v>
      </c>
      <c r="AF71" s="203">
        <f>AF$69*'Methanol recycling rates'!AH34</f>
        <v>732.84345660002339</v>
      </c>
      <c r="AG71" s="203">
        <f>AG$69*'Methanol recycling rates'!AI34</f>
        <v>809.22200137312814</v>
      </c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1040</v>
      </c>
      <c r="C72" s="203">
        <f>C$69*'Methanol recycling rates'!E35</f>
        <v>0</v>
      </c>
      <c r="D72" s="203">
        <f>D$69*'Methanol recycling rates'!F35</f>
        <v>4.168318722819313</v>
      </c>
      <c r="E72" s="203">
        <f>E$69*'Methanol recycling rates'!G35</f>
        <v>17.765691124724924</v>
      </c>
      <c r="F72" s="203">
        <f>F$69*'Methanol recycling rates'!H35</f>
        <v>42.501284009732693</v>
      </c>
      <c r="G72" s="203">
        <f>G$69*'Methanol recycling rates'!I35</f>
        <v>80.055646061165177</v>
      </c>
      <c r="H72" s="203">
        <f>H$69*'Methanol recycling rates'!J35</f>
        <v>132.0809394156515</v>
      </c>
      <c r="I72" s="203">
        <f>I$69*'Methanol recycling rates'!K35</f>
        <v>200.20116989071602</v>
      </c>
      <c r="J72" s="203">
        <f>J$69*'Methanol recycling rates'!L35</f>
        <v>286.0124158724069</v>
      </c>
      <c r="K72" s="203">
        <f>K$69*'Methanol recycling rates'!M35</f>
        <v>391.08305586938906</v>
      </c>
      <c r="L72" s="203">
        <f>L$69*'Methanol recycling rates'!N35</f>
        <v>516.95399473989858</v>
      </c>
      <c r="M72" s="203">
        <f>M$69*'Methanol recycling rates'!O35</f>
        <v>665.1388885979286</v>
      </c>
      <c r="N72" s="203">
        <f>N$69*'Methanol recycling rates'!P35</f>
        <v>847.52904917086403</v>
      </c>
      <c r="O72" s="203">
        <f>O$69*'Methanol recycling rates'!Q35</f>
        <v>1058.7469197625924</v>
      </c>
      <c r="P72" s="203">
        <f>P$69*'Methanol recycling rates'!R35</f>
        <v>1300.5427607884853</v>
      </c>
      <c r="Q72" s="203">
        <f>Q$69*'Methanol recycling rates'!S35</f>
        <v>1574.6100369319943</v>
      </c>
      <c r="R72" s="203">
        <f>R$69*'Methanol recycling rates'!T35</f>
        <v>1882.5859556287455</v>
      </c>
      <c r="S72" s="203">
        <f>S$69*'Methanol recycling rates'!U35</f>
        <v>2226.0520021830603</v>
      </c>
      <c r="T72" s="203">
        <f>T$69*'Methanol recycling rates'!V35</f>
        <v>2606.5344715337264</v>
      </c>
      <c r="U72" s="203">
        <f>U$69*'Methanol recycling rates'!W35</f>
        <v>3025.504996685785</v>
      </c>
      <c r="V72" s="203">
        <f>V$69*'Methanol recycling rates'!X35</f>
        <v>3484.3810738250054</v>
      </c>
      <c r="W72" s="203">
        <f>W$69*'Methanol recycling rates'!Y35</f>
        <v>3984.5265841316618</v>
      </c>
      <c r="X72" s="203">
        <f>X$69*'Methanol recycling rates'!Z35</f>
        <v>4625.3990880395268</v>
      </c>
      <c r="Y72" s="203">
        <f>Y$69*'Methanol recycling rates'!AA35</f>
        <v>5327.803130347761</v>
      </c>
      <c r="Z72" s="203">
        <f>Z$69*'Methanol recycling rates'!AB35</f>
        <v>6093.8860056629819</v>
      </c>
      <c r="AA72" s="203">
        <f>AA$69*'Methanol recycling rates'!AC35</f>
        <v>6925.7107472610005</v>
      </c>
      <c r="AB72" s="203">
        <f>AB$69*'Methanol recycling rates'!AD35</f>
        <v>7825.2569458107128</v>
      </c>
      <c r="AC72" s="203">
        <f>AC$69*'Methanol recycling rates'!AE35</f>
        <v>8794.4215629290466</v>
      </c>
      <c r="AD72" s="203">
        <f>AD$69*'Methanol recycling rates'!AF35</f>
        <v>9835.0197395929154</v>
      </c>
      <c r="AE72" s="203">
        <f>AE$69*'Methanol recycling rates'!AG35</f>
        <v>10948.785599434061</v>
      </c>
      <c r="AF72" s="203">
        <f>AF$69*'Methanol recycling rates'!AH35</f>
        <v>12137.373046942461</v>
      </c>
      <c r="AG72" s="203">
        <f>AG$69*'Methanol recycling rates'!AI35</f>
        <v>13402.356560604003</v>
      </c>
      <c r="AH72" s="217"/>
      <c r="AI72" s="124"/>
      <c r="AJ72" s="185"/>
      <c r="AL72" s="100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s="1" customFormat="1" outlineLevel="1">
      <c r="A73" s="1" t="s">
        <v>1041</v>
      </c>
      <c r="B73" s="60"/>
      <c r="C73" s="250">
        <f>C69-$C69</f>
        <v>0</v>
      </c>
      <c r="D73" s="250">
        <f t="shared" ref="D73:AG76" si="33">D69-$C69</f>
        <v>131.62712890610146</v>
      </c>
      <c r="E73" s="250">
        <f t="shared" si="33"/>
        <v>281.60757818167866</v>
      </c>
      <c r="F73" s="250">
        <f t="shared" si="33"/>
        <v>449.71226444346706</v>
      </c>
      <c r="G73" s="250">
        <f t="shared" si="33"/>
        <v>635.71358486168731</v>
      </c>
      <c r="H73" s="250">
        <f t="shared" si="33"/>
        <v>839.38540999185295</v>
      </c>
      <c r="I73" s="250">
        <f t="shared" si="33"/>
        <v>1060.5030766360064</v>
      </c>
      <c r="J73" s="250">
        <f t="shared" si="33"/>
        <v>1298.843380733274</v>
      </c>
      <c r="K73" s="250">
        <f t="shared" si="33"/>
        <v>1554.1845702796315</v>
      </c>
      <c r="L73" s="250">
        <f t="shared" si="33"/>
        <v>1826.3063382767739</v>
      </c>
      <c r="M73" s="250">
        <f t="shared" si="33"/>
        <v>2114.9898157099806</v>
      </c>
      <c r="N73" s="250">
        <f t="shared" si="33"/>
        <v>2450.1082868333556</v>
      </c>
      <c r="O73" s="250">
        <f t="shared" si="33"/>
        <v>2805.7969177828813</v>
      </c>
      <c r="P73" s="250">
        <f t="shared" si="33"/>
        <v>3181.5918253426184</v>
      </c>
      <c r="Q73" s="250">
        <f t="shared" si="33"/>
        <v>3577.0326065746403</v>
      </c>
      <c r="R73" s="250">
        <f t="shared" si="33"/>
        <v>3991.6623207580642</v>
      </c>
      <c r="S73" s="250">
        <f t="shared" si="33"/>
        <v>4425.0274714052748</v>
      </c>
      <c r="T73" s="250">
        <f t="shared" si="33"/>
        <v>4876.6779883550535</v>
      </c>
      <c r="U73" s="250">
        <f t="shared" si="33"/>
        <v>5346.1672099423158</v>
      </c>
      <c r="V73" s="250">
        <f t="shared" si="33"/>
        <v>5833.0518652441679</v>
      </c>
      <c r="W73" s="250">
        <f t="shared" si="33"/>
        <v>6336.8920564019872</v>
      </c>
      <c r="X73" s="250">
        <f t="shared" si="33"/>
        <v>7005.9314900799573</v>
      </c>
      <c r="Y73" s="250">
        <f t="shared" si="33"/>
        <v>7703.1249014886398</v>
      </c>
      <c r="Z73" s="250">
        <f t="shared" si="33"/>
        <v>8427.7700592361489</v>
      </c>
      <c r="AA73" s="250">
        <f t="shared" si="33"/>
        <v>9179.1700806710232</v>
      </c>
      <c r="AB73" s="250">
        <f t="shared" si="33"/>
        <v>9956.6334039572721</v>
      </c>
      <c r="AC73" s="250">
        <f t="shared" si="33"/>
        <v>10759.473760269153</v>
      </c>
      <c r="AD73" s="250">
        <f t="shared" si="33"/>
        <v>11587.010146105216</v>
      </c>
      <c r="AE73" s="250">
        <f t="shared" si="33"/>
        <v>12438.566795721217</v>
      </c>
      <c r="AF73" s="250">
        <f t="shared" si="33"/>
        <v>13313.473153681358</v>
      </c>
      <c r="AG73" s="250">
        <f t="shared" si="33"/>
        <v>14211.063847527523</v>
      </c>
      <c r="AH73" s="217"/>
      <c r="AI73" s="368"/>
      <c r="AJ73" s="369"/>
      <c r="AL73" s="194"/>
      <c r="AM73" s="116"/>
      <c r="AN73" s="116"/>
      <c r="AO73" s="116"/>
      <c r="BD73" s="116"/>
      <c r="BE73" s="116"/>
      <c r="BF73" s="116"/>
      <c r="BG73" s="116"/>
      <c r="BH73" s="116"/>
      <c r="BI73" s="116"/>
      <c r="BJ73" s="116"/>
      <c r="BK73" s="116"/>
    </row>
    <row r="74" spans="1:63" outlineLevel="1">
      <c r="A74" s="4" t="s">
        <v>35</v>
      </c>
      <c r="C74" s="203">
        <f t="shared" ref="C74:R76" si="34">C70-$C70</f>
        <v>0</v>
      </c>
      <c r="D74" s="203">
        <f t="shared" si="34"/>
        <v>127.20713092046086</v>
      </c>
      <c r="E74" s="203">
        <f t="shared" si="34"/>
        <v>262.76921091505898</v>
      </c>
      <c r="F74" s="203">
        <f t="shared" si="34"/>
        <v>404.64479187191222</v>
      </c>
      <c r="G74" s="203">
        <f t="shared" si="34"/>
        <v>550.82425228920636</v>
      </c>
      <c r="H74" s="203">
        <f t="shared" si="34"/>
        <v>699.32954455077709</v>
      </c>
      <c r="I74" s="203">
        <f t="shared" si="34"/>
        <v>848.21394365882657</v>
      </c>
      <c r="J74" s="203">
        <f t="shared" si="34"/>
        <v>995.56179741682445</v>
      </c>
      <c r="K74" s="203">
        <f t="shared" si="34"/>
        <v>1139.4882780556736</v>
      </c>
      <c r="L74" s="203">
        <f t="shared" si="34"/>
        <v>1278.1391352962487</v>
      </c>
      <c r="M74" s="203">
        <f t="shared" si="34"/>
        <v>1409.6904508414473</v>
      </c>
      <c r="N74" s="203">
        <f t="shared" si="34"/>
        <v>1551.4062107182649</v>
      </c>
      <c r="O74" s="203">
        <f t="shared" si="34"/>
        <v>1683.1238297017735</v>
      </c>
      <c r="P74" s="203">
        <f t="shared" si="34"/>
        <v>1802.5234850414824</v>
      </c>
      <c r="Q74" s="203">
        <f t="shared" si="34"/>
        <v>1907.3490592710552</v>
      </c>
      <c r="R74" s="203">
        <f t="shared" si="34"/>
        <v>1995.40755115007</v>
      </c>
      <c r="S74" s="203">
        <f t="shared" si="33"/>
        <v>2064.5684902538778</v>
      </c>
      <c r="T74" s="203">
        <f t="shared" si="33"/>
        <v>2112.7633551934277</v>
      </c>
      <c r="U74" s="203">
        <f t="shared" si="33"/>
        <v>2137.9849954469969</v>
      </c>
      <c r="V74" s="203">
        <f t="shared" si="33"/>
        <v>2138.2870567858354</v>
      </c>
      <c r="W74" s="203">
        <f t="shared" si="33"/>
        <v>2111.7834102758366</v>
      </c>
      <c r="X74" s="203">
        <f t="shared" si="33"/>
        <v>2101.2550458346404</v>
      </c>
      <c r="Y74" s="203">
        <f t="shared" si="33"/>
        <v>2053.6339028494722</v>
      </c>
      <c r="Z74" s="203">
        <f t="shared" si="33"/>
        <v>1965.9408036421949</v>
      </c>
      <c r="AA74" s="203">
        <f t="shared" si="33"/>
        <v>1835.2912682278065</v>
      </c>
      <c r="AB74" s="203">
        <f t="shared" si="33"/>
        <v>1658.894618231792</v>
      </c>
      <c r="AC74" s="203">
        <f t="shared" si="33"/>
        <v>1434.0530864082514</v>
      </c>
      <c r="AD74" s="203">
        <f t="shared" si="33"/>
        <v>1158.1609317308216</v>
      </c>
      <c r="AE74" s="203">
        <f t="shared" si="33"/>
        <v>828.7035600285368</v>
      </c>
      <c r="AF74" s="203">
        <f t="shared" si="33"/>
        <v>443.25665013887573</v>
      </c>
      <c r="AG74" s="203">
        <f>AG70-$C70</f>
        <v>-0.51471444960816914</v>
      </c>
      <c r="AH74" s="217"/>
      <c r="AI74" s="124"/>
      <c r="AJ74" s="185"/>
      <c r="AL74" s="100"/>
      <c r="AM74" s="2"/>
      <c r="AN74" s="2"/>
      <c r="AO74" s="2"/>
      <c r="BC74" s="1"/>
      <c r="BD74" s="2"/>
      <c r="BE74" s="2"/>
      <c r="BF74" s="2"/>
      <c r="BG74" s="2"/>
      <c r="BH74" s="2"/>
      <c r="BI74" s="2"/>
      <c r="BJ74" s="2"/>
      <c r="BK74" s="2"/>
    </row>
    <row r="75" spans="1:63" outlineLevel="1">
      <c r="A75" s="4" t="s">
        <v>160</v>
      </c>
      <c r="C75" s="203">
        <f t="shared" si="34"/>
        <v>0</v>
      </c>
      <c r="D75" s="203">
        <f t="shared" si="33"/>
        <v>0.25167926282129227</v>
      </c>
      <c r="E75" s="203">
        <f t="shared" si="33"/>
        <v>1.072676141894767</v>
      </c>
      <c r="F75" s="203">
        <f t="shared" si="33"/>
        <v>2.5661885618221181</v>
      </c>
      <c r="G75" s="203">
        <f t="shared" si="33"/>
        <v>4.8336865113156859</v>
      </c>
      <c r="H75" s="203">
        <f t="shared" si="33"/>
        <v>7.9749260254242573</v>
      </c>
      <c r="I75" s="203">
        <f t="shared" si="33"/>
        <v>12.087963086463782</v>
      </c>
      <c r="J75" s="203">
        <f t="shared" si="33"/>
        <v>17.269167444042541</v>
      </c>
      <c r="K75" s="203">
        <f t="shared" si="33"/>
        <v>23.613236354568642</v>
      </c>
      <c r="L75" s="203">
        <f t="shared" si="33"/>
        <v>31.21320824062612</v>
      </c>
      <c r="M75" s="203">
        <f t="shared" si="33"/>
        <v>40.160476270604235</v>
      </c>
      <c r="N75" s="203">
        <f t="shared" si="33"/>
        <v>51.173026944225875</v>
      </c>
      <c r="O75" s="203">
        <f t="shared" si="33"/>
        <v>63.926168318514591</v>
      </c>
      <c r="P75" s="203">
        <f t="shared" si="33"/>
        <v>78.525579512649671</v>
      </c>
      <c r="Q75" s="203">
        <f t="shared" si="33"/>
        <v>95.073510371589393</v>
      </c>
      <c r="R75" s="203">
        <f t="shared" si="33"/>
        <v>113.66881397924696</v>
      </c>
      <c r="S75" s="203">
        <f t="shared" si="33"/>
        <v>134.40697896833544</v>
      </c>
      <c r="T75" s="203">
        <f t="shared" si="33"/>
        <v>157.38016162789754</v>
      </c>
      <c r="U75" s="203">
        <f t="shared" si="33"/>
        <v>182.67721780953221</v>
      </c>
      <c r="V75" s="203">
        <f t="shared" si="33"/>
        <v>210.38373463332536</v>
      </c>
      <c r="W75" s="203">
        <f t="shared" si="33"/>
        <v>240.58206199448736</v>
      </c>
      <c r="X75" s="203">
        <f t="shared" si="33"/>
        <v>279.27735620578824</v>
      </c>
      <c r="Y75" s="203">
        <f t="shared" si="33"/>
        <v>321.68786829140527</v>
      </c>
      <c r="Z75" s="203">
        <f t="shared" si="33"/>
        <v>367.94324993097007</v>
      </c>
      <c r="AA75" s="203">
        <f t="shared" si="33"/>
        <v>418.16806518221409</v>
      </c>
      <c r="AB75" s="203">
        <f t="shared" si="33"/>
        <v>472.48183991476611</v>
      </c>
      <c r="AC75" s="203">
        <f t="shared" si="33"/>
        <v>530.99911093185472</v>
      </c>
      <c r="AD75" s="203">
        <f t="shared" si="33"/>
        <v>593.82947478148003</v>
      </c>
      <c r="AE75" s="203">
        <f t="shared" si="33"/>
        <v>661.07763625862083</v>
      </c>
      <c r="AF75" s="203">
        <f t="shared" si="33"/>
        <v>732.84345660002339</v>
      </c>
      <c r="AG75" s="203">
        <f t="shared" si="33"/>
        <v>809.22200137312814</v>
      </c>
      <c r="AH75" s="217"/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1040</v>
      </c>
      <c r="C76" s="203">
        <f t="shared" si="34"/>
        <v>0</v>
      </c>
      <c r="D76" s="203">
        <f t="shared" si="33"/>
        <v>4.168318722819313</v>
      </c>
      <c r="E76" s="203">
        <f t="shared" si="33"/>
        <v>17.765691124724924</v>
      </c>
      <c r="F76" s="203">
        <f t="shared" si="33"/>
        <v>42.501284009732693</v>
      </c>
      <c r="G76" s="203">
        <f t="shared" si="33"/>
        <v>80.055646061165177</v>
      </c>
      <c r="H76" s="203">
        <f t="shared" si="33"/>
        <v>132.0809394156515</v>
      </c>
      <c r="I76" s="203">
        <f t="shared" si="33"/>
        <v>200.20116989071602</v>
      </c>
      <c r="J76" s="203">
        <f t="shared" si="33"/>
        <v>286.0124158724069</v>
      </c>
      <c r="K76" s="203">
        <f t="shared" si="33"/>
        <v>391.08305586938906</v>
      </c>
      <c r="L76" s="203">
        <f t="shared" si="33"/>
        <v>516.95399473989858</v>
      </c>
      <c r="M76" s="203">
        <f t="shared" si="33"/>
        <v>665.1388885979286</v>
      </c>
      <c r="N76" s="203">
        <f t="shared" si="33"/>
        <v>847.52904917086403</v>
      </c>
      <c r="O76" s="203">
        <f t="shared" si="33"/>
        <v>1058.7469197625924</v>
      </c>
      <c r="P76" s="203">
        <f t="shared" si="33"/>
        <v>1300.5427607884853</v>
      </c>
      <c r="Q76" s="203">
        <f t="shared" si="33"/>
        <v>1574.6100369319943</v>
      </c>
      <c r="R76" s="203">
        <f t="shared" si="33"/>
        <v>1882.5859556287455</v>
      </c>
      <c r="S76" s="203">
        <f t="shared" si="33"/>
        <v>2226.0520021830603</v>
      </c>
      <c r="T76" s="203">
        <f t="shared" si="33"/>
        <v>2606.5344715337264</v>
      </c>
      <c r="U76" s="203">
        <f t="shared" si="33"/>
        <v>3025.504996685785</v>
      </c>
      <c r="V76" s="203">
        <f t="shared" si="33"/>
        <v>3484.3810738250054</v>
      </c>
      <c r="W76" s="203">
        <f t="shared" si="33"/>
        <v>3984.5265841316618</v>
      </c>
      <c r="X76" s="203">
        <f t="shared" si="33"/>
        <v>4625.3990880395268</v>
      </c>
      <c r="Y76" s="203">
        <f t="shared" si="33"/>
        <v>5327.803130347761</v>
      </c>
      <c r="Z76" s="203">
        <f t="shared" si="33"/>
        <v>6093.8860056629819</v>
      </c>
      <c r="AA76" s="203">
        <f t="shared" si="33"/>
        <v>6925.7107472610005</v>
      </c>
      <c r="AB76" s="203">
        <f t="shared" si="33"/>
        <v>7825.2569458107128</v>
      </c>
      <c r="AC76" s="203">
        <f t="shared" si="33"/>
        <v>8794.4215629290466</v>
      </c>
      <c r="AD76" s="203">
        <f t="shared" si="33"/>
        <v>9835.0197395929154</v>
      </c>
      <c r="AE76" s="203">
        <f t="shared" si="33"/>
        <v>10948.785599434061</v>
      </c>
      <c r="AF76" s="203">
        <f t="shared" si="33"/>
        <v>12137.373046942461</v>
      </c>
      <c r="AG76" s="203">
        <f t="shared" si="33"/>
        <v>13402.356560604003</v>
      </c>
      <c r="AH76" s="217"/>
      <c r="AI76" s="124"/>
      <c r="AJ76" s="185"/>
      <c r="AL76" s="100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s="1" customFormat="1" outlineLevel="1">
      <c r="A77" s="1" t="s">
        <v>1042</v>
      </c>
      <c r="B77" s="60"/>
      <c r="C77" s="250">
        <f>C39*C64</f>
        <v>0.22712833846635588</v>
      </c>
      <c r="D77" s="250">
        <f t="shared" ref="D77:AG77" si="35">D39*D64</f>
        <v>29.402465432194454</v>
      </c>
      <c r="E77" s="250">
        <f t="shared" si="35"/>
        <v>59.940938876756825</v>
      </c>
      <c r="F77" s="250">
        <f t="shared" si="35"/>
        <v>91.665652316697162</v>
      </c>
      <c r="G77" s="250">
        <f t="shared" si="35"/>
        <v>124.4023840456195</v>
      </c>
      <c r="H77" s="250">
        <f t="shared" si="35"/>
        <v>157.97956595447627</v>
      </c>
      <c r="I77" s="250">
        <f t="shared" si="35"/>
        <v>192.22826260074407</v>
      </c>
      <c r="J77" s="250">
        <f t="shared" si="35"/>
        <v>226.98215039791231</v>
      </c>
      <c r="K77" s="250">
        <f t="shared" si="35"/>
        <v>262.07749692471168</v>
      </c>
      <c r="L77" s="250">
        <f t="shared" si="35"/>
        <v>297.35314035351178</v>
      </c>
      <c r="M77" s="250">
        <f t="shared" si="35"/>
        <v>332.65046899732067</v>
      </c>
      <c r="N77" s="250">
        <f t="shared" si="35"/>
        <v>356.68195433566189</v>
      </c>
      <c r="O77" s="250">
        <f t="shared" si="35"/>
        <v>379.0645753662273</v>
      </c>
      <c r="P77" s="250">
        <f t="shared" si="35"/>
        <v>399.80544038157404</v>
      </c>
      <c r="Q77" s="250">
        <f t="shared" si="35"/>
        <v>418.91199463769385</v>
      </c>
      <c r="R77" s="250">
        <f t="shared" si="35"/>
        <v>436.39201646275751</v>
      </c>
      <c r="S77" s="250">
        <f t="shared" si="35"/>
        <v>452.25361339182058</v>
      </c>
      <c r="T77" s="250">
        <f t="shared" si="35"/>
        <v>466.50521832735217</v>
      </c>
      <c r="U77" s="250">
        <f t="shared" si="35"/>
        <v>479.15558572545802</v>
      </c>
      <c r="V77" s="250">
        <f t="shared" si="35"/>
        <v>490.21378780766281</v>
      </c>
      <c r="W77" s="250">
        <f t="shared" si="35"/>
        <v>499.68921079811867</v>
      </c>
      <c r="X77" s="250">
        <f t="shared" si="35"/>
        <v>507.68569280095619</v>
      </c>
      <c r="Y77" s="250">
        <f t="shared" si="35"/>
        <v>514.12056388230883</v>
      </c>
      <c r="Z77" s="250">
        <f t="shared" si="35"/>
        <v>519.00325174286058</v>
      </c>
      <c r="AA77" s="250">
        <f t="shared" si="35"/>
        <v>522.34350711460229</v>
      </c>
      <c r="AB77" s="250">
        <f t="shared" si="35"/>
        <v>524.1513999028341</v>
      </c>
      <c r="AC77" s="250">
        <f t="shared" si="35"/>
        <v>524.4373153541776</v>
      </c>
      <c r="AD77" s="250">
        <f t="shared" si="35"/>
        <v>523.21195025046632</v>
      </c>
      <c r="AE77" s="250">
        <f t="shared" si="35"/>
        <v>520.48630912838007</v>
      </c>
      <c r="AF77" s="250">
        <f t="shared" si="35"/>
        <v>516.27170052468739</v>
      </c>
      <c r="AG77" s="250">
        <f t="shared" si="35"/>
        <v>510.57973324696417</v>
      </c>
      <c r="AH77" s="217"/>
      <c r="AI77" s="368"/>
      <c r="AJ77" s="369"/>
      <c r="AL77" s="194"/>
      <c r="AM77" s="116"/>
      <c r="AN77" s="116"/>
      <c r="AO77" s="116"/>
      <c r="BD77" s="116"/>
      <c r="BE77" s="116"/>
      <c r="BF77" s="116"/>
      <c r="BG77" s="116"/>
      <c r="BH77" s="116"/>
      <c r="BI77" s="116"/>
      <c r="BJ77" s="116"/>
      <c r="BK77" s="116"/>
    </row>
    <row r="78" spans="1:63" outlineLevel="1">
      <c r="A78" s="4" t="s">
        <v>35</v>
      </c>
      <c r="C78" s="203">
        <f>C$77*'Methanol recycling rates'!E36</f>
        <v>0.22712833846635588</v>
      </c>
      <c r="D78" s="203">
        <f>D$77*'Methanol recycling rates'!F36</f>
        <v>28.422415139608397</v>
      </c>
      <c r="E78" s="203">
        <f>E$77*'Methanol recycling rates'!G36</f>
        <v>55.945006303039726</v>
      </c>
      <c r="F78" s="203">
        <f>F$77*'Methanol recycling rates'!H36</f>
        <v>82.499385333381227</v>
      </c>
      <c r="G78" s="203">
        <f>G$77*'Methanol recycling rates'!I36</f>
        <v>107.81593918935728</v>
      </c>
      <c r="H78" s="203">
        <f>H$77*'Methanol recycling rates'!J36</f>
        <v>131.65049498024894</v>
      </c>
      <c r="I78" s="203">
        <f>I$77*'Methanol recycling rates'!K36</f>
        <v>153.7838609692634</v>
      </c>
      <c r="J78" s="203">
        <f>J$77*'Methanol recycling rates'!L36</f>
        <v>174.02137185517284</v>
      </c>
      <c r="K78" s="203">
        <f>K$77*'Methanol recycling rates'!M36</f>
        <v>192.1924383037306</v>
      </c>
      <c r="L78" s="203">
        <f>L$77*'Methanol recycling rates'!N36</f>
        <v>208.15010070052631</v>
      </c>
      <c r="M78" s="203">
        <f>M$77*'Methanol recycling rates'!O36</f>
        <v>221.77058709709701</v>
      </c>
      <c r="N78" s="203">
        <f>N$77*'Methanol recycling rates'!P36</f>
        <v>225.90282631856755</v>
      </c>
      <c r="O78" s="203">
        <f>O$77*'Methanol recycling rates'!Q36</f>
        <v>227.44367860024349</v>
      </c>
      <c r="P78" s="203">
        <f>P$77*'Methanol recycling rates'!R36</f>
        <v>226.56205314073787</v>
      </c>
      <c r="Q78" s="203">
        <f>Q$77*'Methanol recycling rates'!S36</f>
        <v>223.42609111610815</v>
      </c>
      <c r="R78" s="203">
        <f>R$77*'Methanol recycling rates'!T36</f>
        <v>218.20310757541992</v>
      </c>
      <c r="S78" s="203">
        <f>S$77*'Methanol recycling rates'!U36</f>
        <v>211.05953412665232</v>
      </c>
      <c r="T78" s="203">
        <f>T$77*'Methanol recycling rates'!V36</f>
        <v>202.16086240682731</v>
      </c>
      <c r="U78" s="203">
        <f>U$77*'Methanol recycling rates'!W36</f>
        <v>191.67158833028657</v>
      </c>
      <c r="V78" s="203">
        <f>V$77*'Methanol recycling rates'!X36</f>
        <v>179.7551571090714</v>
      </c>
      <c r="W78" s="203">
        <f>W$77*'Methanol recycling rates'!Y36</f>
        <v>166.57390903939714</v>
      </c>
      <c r="X78" s="203">
        <f>X$77*'Methanol recycling rates'!Z36</f>
        <v>152.31727067683477</v>
      </c>
      <c r="Y78" s="203">
        <f>Y$77*'Methanol recycling rates'!AA36</f>
        <v>137.11108401996998</v>
      </c>
      <c r="Z78" s="203">
        <f>Z$77*'Methanol recycling rates'!AB36</f>
        <v>121.11370511200627</v>
      </c>
      <c r="AA78" s="203">
        <f>AA$77*'Methanol recycling rates'!AC36</f>
        <v>104.48229762495825</v>
      </c>
      <c r="AB78" s="203">
        <f>AB$77*'Methanol recycling rates'!AD36</f>
        <v>87.372778379747899</v>
      </c>
      <c r="AC78" s="203">
        <f>AC$77*'Methanol recycling rates'!AE36</f>
        <v>69.939763641344186</v>
      </c>
      <c r="AD78" s="203">
        <f>AD$77*'Methanol recycling rates'!AF36</f>
        <v>52.336516182863718</v>
      </c>
      <c r="AE78" s="203">
        <f>AE$77*'Methanol recycling rates'!AG36</f>
        <v>34.7148931125856</v>
      </c>
      <c r="AF78" s="203">
        <f>AF$77*'Methanol recycling rates'!AH36</f>
        <v>17.225294457869268</v>
      </c>
      <c r="AG78" s="203">
        <f>AG$77*'Methanol recycling rates'!AI36</f>
        <v>1.6612500000462552E-2</v>
      </c>
      <c r="AH78" s="217"/>
      <c r="AI78" s="124"/>
      <c r="AJ78" s="185"/>
      <c r="AL78" s="100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outlineLevel="1">
      <c r="A79" s="4" t="s">
        <v>160</v>
      </c>
      <c r="C79" s="203">
        <f>C$77*'Methanol recycling rates'!E37</f>
        <v>0</v>
      </c>
      <c r="D79" s="203">
        <f>D$77*'Methanol recycling rates'!F37</f>
        <v>5.5805078637406053E-2</v>
      </c>
      <c r="E79" s="203">
        <f>E$77*'Methanol recycling rates'!G37</f>
        <v>0.22753253908801274</v>
      </c>
      <c r="F79" s="203">
        <f>F$77*'Methanol recycling rates'!H37</f>
        <v>0.52193673496657711</v>
      </c>
      <c r="G79" s="203">
        <f>G$77*'Methanol recycling rates'!I37</f>
        <v>0.94444934767205968</v>
      </c>
      <c r="H79" s="203">
        <f>H$77*'Methanol recycling rates'!J37</f>
        <v>1.4992045686651176</v>
      </c>
      <c r="I79" s="203">
        <f>I$77*'Methanol recycling rates'!K37</f>
        <v>2.1890640433887922</v>
      </c>
      <c r="J79" s="203">
        <f>J$77*'Methanol recycling rates'!L37</f>
        <v>3.0156415784308428</v>
      </c>
      <c r="K79" s="203">
        <f>K$77*'Methanol recycling rates'!M37</f>
        <v>3.9793276135174827</v>
      </c>
      <c r="L79" s="203">
        <f>L$77*'Methanol recycling rates'!N37</f>
        <v>5.0793134599196081</v>
      </c>
      <c r="M79" s="203">
        <f>M$77*'Methanol recycling rates'!O37</f>
        <v>6.313615306844012</v>
      </c>
      <c r="N79" s="203">
        <f>N$77*'Methanol recycling rates'!P37</f>
        <v>7.4466989891587705</v>
      </c>
      <c r="O79" s="203">
        <f>O$77*'Methanol recycling rates'!Q37</f>
        <v>8.6334508862531543</v>
      </c>
      <c r="P79" s="203">
        <f>P$77*'Methanol recycling rates'!R37</f>
        <v>9.8646578869691357</v>
      </c>
      <c r="Q79" s="203">
        <f>Q$77*'Methanol recycling rates'!S37</f>
        <v>11.131169799195336</v>
      </c>
      <c r="R79" s="203">
        <f>R$77*'Methanol recycling rates'!T37</f>
        <v>12.42390243682167</v>
      </c>
      <c r="S79" s="203">
        <f>S$77*'Methanol recycling rates'!U37</f>
        <v>13.733840663169412</v>
      </c>
      <c r="T79" s="203">
        <f>T$77*'Methanol recycling rates'!V37</f>
        <v>15.052041391237093</v>
      </c>
      <c r="U79" s="203">
        <f>U$77*'Methanol recycling rates'!W37</f>
        <v>16.369636541100945</v>
      </c>
      <c r="V79" s="203">
        <f>V$77*'Methanol recycling rates'!X37</f>
        <v>17.67783595480638</v>
      </c>
      <c r="W79" s="203">
        <f>W$77*'Methanol recycling rates'!Y37</f>
        <v>18.967930269085038</v>
      </c>
      <c r="X79" s="203">
        <f>X$77*'Methanol recycling rates'!Z37</f>
        <v>20.235045988873225</v>
      </c>
      <c r="Y79" s="203">
        <f>Y$77*'Methanol recycling rates'!AA37</f>
        <v>21.467310228794183</v>
      </c>
      <c r="Z79" s="203">
        <f>Z$77*'Methanol recycling rates'!AB37</f>
        <v>22.656242854788964</v>
      </c>
      <c r="AA79" s="203">
        <f>AA$77*'Methanol recycling rates'!AC37</f>
        <v>23.793450021386143</v>
      </c>
      <c r="AB79" s="203">
        <f>AB$77*'Methanol recycling rates'!AD37</f>
        <v>24.870627054165567</v>
      </c>
      <c r="AC79" s="203">
        <f>AC$77*'Methanol recycling rates'!AE37</f>
        <v>25.879561289571377</v>
      </c>
      <c r="AD79" s="203">
        <f>AD$77*'Methanol recycling rates'!AF37</f>
        <v>26.812134872413125</v>
      </c>
      <c r="AE79" s="203">
        <f>AE$77*'Methanol recycling rates'!AG37</f>
        <v>27.660327511391635</v>
      </c>
      <c r="AF79" s="203">
        <f>AF$77*'Methanol recycling rates'!AH37</f>
        <v>28.416219192984201</v>
      </c>
      <c r="AG79" s="203">
        <f>AG$77*'Methanol recycling rates'!AI37</f>
        <v>29.071992854021769</v>
      </c>
      <c r="AH79" s="217"/>
      <c r="AI79" s="124"/>
      <c r="AJ79" s="185"/>
      <c r="AL79" s="100"/>
      <c r="AM79" s="2"/>
      <c r="AN79" s="2"/>
      <c r="AO79" s="2"/>
      <c r="BC79" s="1"/>
      <c r="BD79" s="2"/>
      <c r="BE79" s="2"/>
      <c r="BF79" s="2"/>
      <c r="BG79" s="2"/>
      <c r="BH79" s="2"/>
      <c r="BI79" s="2"/>
      <c r="BJ79" s="2"/>
      <c r="BK79" s="2"/>
    </row>
    <row r="80" spans="1:63" outlineLevel="1">
      <c r="A80" s="4" t="s">
        <v>1040</v>
      </c>
      <c r="C80" s="203">
        <f>C$77*'Methanol recycling rates'!E38</f>
        <v>0</v>
      </c>
      <c r="D80" s="203">
        <f>D$77*'Methanol recycling rates'!F38</f>
        <v>0.92424521394864967</v>
      </c>
      <c r="E80" s="203">
        <f>E$77*'Methanol recycling rates'!G38</f>
        <v>3.768400034629086</v>
      </c>
      <c r="F80" s="203">
        <f>F$77*'Methanol recycling rates'!H38</f>
        <v>8.6443302483493589</v>
      </c>
      <c r="G80" s="203">
        <f>G$77*'Methanol recycling rates'!I38</f>
        <v>15.641995508590147</v>
      </c>
      <c r="H80" s="203">
        <f>H$77*'Methanol recycling rates'!J38</f>
        <v>24.829866405562189</v>
      </c>
      <c r="I80" s="203">
        <f>I$77*'Methanol recycling rates'!K38</f>
        <v>36.255337588091869</v>
      </c>
      <c r="J80" s="203">
        <f>J$77*'Methanol recycling rates'!L38</f>
        <v>49.945136964308595</v>
      </c>
      <c r="K80" s="203">
        <f>K$77*'Methanol recycling rates'!M38</f>
        <v>65.905731007463558</v>
      </c>
      <c r="L80" s="203">
        <f>L$77*'Methanol recycling rates'!N38</f>
        <v>84.123726193065806</v>
      </c>
      <c r="M80" s="203">
        <f>M$77*'Methanol recycling rates'!O38</f>
        <v>104.56626659337957</v>
      </c>
      <c r="N80" s="203">
        <f>N$77*'Methanol recycling rates'!P38</f>
        <v>123.33242902793548</v>
      </c>
      <c r="O80" s="203">
        <f>O$77*'Methanol recycling rates'!Q38</f>
        <v>142.98744587973053</v>
      </c>
      <c r="P80" s="203">
        <f>P$77*'Methanol recycling rates'!R38</f>
        <v>163.3787293538669</v>
      </c>
      <c r="Q80" s="203">
        <f>Q$77*'Methanol recycling rates'!S38</f>
        <v>184.35473372239022</v>
      </c>
      <c r="R80" s="203">
        <f>R$77*'Methanol recycling rates'!T38</f>
        <v>205.76500645051573</v>
      </c>
      <c r="S80" s="203">
        <f>S$77*'Methanol recycling rates'!U38</f>
        <v>227.46023860199867</v>
      </c>
      <c r="T80" s="203">
        <f>T$77*'Methanol recycling rates'!V38</f>
        <v>249.29231452928761</v>
      </c>
      <c r="U80" s="203">
        <f>U$77*'Methanol recycling rates'!W38</f>
        <v>271.11436085407036</v>
      </c>
      <c r="V80" s="203">
        <f>V$77*'Methanol recycling rates'!X38</f>
        <v>292.7807947437849</v>
      </c>
      <c r="W80" s="203">
        <f>W$77*'Methanol recycling rates'!Y38</f>
        <v>314.14737148963638</v>
      </c>
      <c r="X80" s="203">
        <f>X$77*'Methanol recycling rates'!Z38</f>
        <v>335.13337613524806</v>
      </c>
      <c r="Y80" s="203">
        <f>Y$77*'Methanol recycling rates'!AA38</f>
        <v>355.54216963354457</v>
      </c>
      <c r="Z80" s="203">
        <f>Z$77*'Methanol recycling rates'!AB38</f>
        <v>375.23330377606527</v>
      </c>
      <c r="AA80" s="203">
        <f>AA$77*'Methanol recycling rates'!AC38</f>
        <v>394.06775946825786</v>
      </c>
      <c r="AB80" s="203">
        <f>AB$77*'Methanol recycling rates'!AD38</f>
        <v>411.90799446892061</v>
      </c>
      <c r="AC80" s="203">
        <f>AC$77*'Methanol recycling rates'!AE38</f>
        <v>428.61799042326203</v>
      </c>
      <c r="AD80" s="203">
        <f>AD$77*'Methanol recycling rates'!AF38</f>
        <v>444.06329919518953</v>
      </c>
      <c r="AE80" s="203">
        <f>AE$77*'Methanol recycling rates'!AG38</f>
        <v>458.11108850440291</v>
      </c>
      <c r="AF80" s="203">
        <f>AF$77*'Methanol recycling rates'!AH38</f>
        <v>470.63018687383402</v>
      </c>
      <c r="AG80" s="203">
        <f>AG$77*'Methanol recycling rates'!AI38</f>
        <v>481.49112789294196</v>
      </c>
      <c r="AH80" s="217"/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s="1" customFormat="1" outlineLevel="1">
      <c r="A81" s="1" t="s">
        <v>1045</v>
      </c>
      <c r="B81" s="60"/>
      <c r="C81" s="250">
        <f>C77-$C77</f>
        <v>0</v>
      </c>
      <c r="D81" s="250">
        <f t="shared" ref="D81:AG81" si="36">D77-$C77</f>
        <v>29.175337093728096</v>
      </c>
      <c r="E81" s="250">
        <f t="shared" si="36"/>
        <v>59.713810538290467</v>
      </c>
      <c r="F81" s="250">
        <f t="shared" si="36"/>
        <v>91.438523978230805</v>
      </c>
      <c r="G81" s="250">
        <f t="shared" si="36"/>
        <v>124.17525570715314</v>
      </c>
      <c r="H81" s="250">
        <f t="shared" si="36"/>
        <v>157.75243761600993</v>
      </c>
      <c r="I81" s="250">
        <f t="shared" si="36"/>
        <v>192.00113426227773</v>
      </c>
      <c r="J81" s="250">
        <f t="shared" si="36"/>
        <v>226.75502205944596</v>
      </c>
      <c r="K81" s="250">
        <f t="shared" si="36"/>
        <v>261.85036858624534</v>
      </c>
      <c r="L81" s="250">
        <f t="shared" si="36"/>
        <v>297.12601201504543</v>
      </c>
      <c r="M81" s="250">
        <f t="shared" si="36"/>
        <v>332.42334065885433</v>
      </c>
      <c r="N81" s="250">
        <f t="shared" si="36"/>
        <v>356.45482599719554</v>
      </c>
      <c r="O81" s="250">
        <f t="shared" si="36"/>
        <v>378.83744702776096</v>
      </c>
      <c r="P81" s="250">
        <f t="shared" si="36"/>
        <v>399.5783120431077</v>
      </c>
      <c r="Q81" s="250">
        <f t="shared" si="36"/>
        <v>418.68486629922751</v>
      </c>
      <c r="R81" s="250">
        <f t="shared" si="36"/>
        <v>436.16488812429117</v>
      </c>
      <c r="S81" s="250">
        <f t="shared" si="36"/>
        <v>452.02648505335424</v>
      </c>
      <c r="T81" s="250">
        <f t="shared" si="36"/>
        <v>466.27808998888582</v>
      </c>
      <c r="U81" s="250">
        <f t="shared" si="36"/>
        <v>478.92845738699168</v>
      </c>
      <c r="V81" s="250">
        <f t="shared" si="36"/>
        <v>489.98665946919647</v>
      </c>
      <c r="W81" s="250">
        <f t="shared" si="36"/>
        <v>499.46208245965232</v>
      </c>
      <c r="X81" s="250">
        <f t="shared" si="36"/>
        <v>507.45856446248985</v>
      </c>
      <c r="Y81" s="250">
        <f t="shared" si="36"/>
        <v>513.89343554384243</v>
      </c>
      <c r="Z81" s="250">
        <f t="shared" si="36"/>
        <v>518.77612340439418</v>
      </c>
      <c r="AA81" s="250">
        <f t="shared" si="36"/>
        <v>522.11637877613589</v>
      </c>
      <c r="AB81" s="250">
        <f t="shared" si="36"/>
        <v>523.9242715643677</v>
      </c>
      <c r="AC81" s="250">
        <f t="shared" si="36"/>
        <v>524.2101870157112</v>
      </c>
      <c r="AD81" s="250">
        <f t="shared" si="36"/>
        <v>522.98482191199992</v>
      </c>
      <c r="AE81" s="250">
        <f t="shared" si="36"/>
        <v>520.25918078991367</v>
      </c>
      <c r="AF81" s="250">
        <f t="shared" si="36"/>
        <v>516.04457218622099</v>
      </c>
      <c r="AG81" s="250">
        <f t="shared" si="36"/>
        <v>510.35260490849782</v>
      </c>
      <c r="AH81" s="217"/>
      <c r="AI81" s="368"/>
      <c r="AJ81" s="369"/>
      <c r="AL81" s="194"/>
      <c r="AM81" s="116"/>
      <c r="AN81" s="116"/>
      <c r="AO81" s="116"/>
      <c r="BD81" s="116"/>
      <c r="BE81" s="116"/>
      <c r="BF81" s="116"/>
      <c r="BG81" s="116"/>
      <c r="BH81" s="116"/>
      <c r="BI81" s="116"/>
      <c r="BJ81" s="116"/>
      <c r="BK81" s="116"/>
    </row>
    <row r="82" spans="1:63" outlineLevel="1">
      <c r="A82" s="4" t="s">
        <v>35</v>
      </c>
      <c r="C82" s="203">
        <f t="shared" ref="C82:AF82" si="37">C78-$C78</f>
        <v>0</v>
      </c>
      <c r="D82" s="203">
        <f t="shared" si="37"/>
        <v>28.195286801142039</v>
      </c>
      <c r="E82" s="203">
        <f t="shared" si="37"/>
        <v>55.717877964573368</v>
      </c>
      <c r="F82" s="203">
        <f t="shared" si="37"/>
        <v>82.272256994914869</v>
      </c>
      <c r="G82" s="203">
        <f t="shared" si="37"/>
        <v>107.58881085089092</v>
      </c>
      <c r="H82" s="203">
        <f t="shared" si="37"/>
        <v>131.42336664178259</v>
      </c>
      <c r="I82" s="203">
        <f t="shared" si="37"/>
        <v>153.55673263079706</v>
      </c>
      <c r="J82" s="203">
        <f t="shared" si="37"/>
        <v>173.7942435167065</v>
      </c>
      <c r="K82" s="203">
        <f t="shared" si="37"/>
        <v>191.96530996526425</v>
      </c>
      <c r="L82" s="203">
        <f t="shared" si="37"/>
        <v>207.92297236205997</v>
      </c>
      <c r="M82" s="203">
        <f t="shared" si="37"/>
        <v>221.54345875863066</v>
      </c>
      <c r="N82" s="203">
        <f t="shared" si="37"/>
        <v>225.67569798010121</v>
      </c>
      <c r="O82" s="203">
        <f t="shared" si="37"/>
        <v>227.21655026177714</v>
      </c>
      <c r="P82" s="203">
        <f t="shared" si="37"/>
        <v>226.33492480227153</v>
      </c>
      <c r="Q82" s="203">
        <f t="shared" si="37"/>
        <v>223.19896277764181</v>
      </c>
      <c r="R82" s="203">
        <f t="shared" si="37"/>
        <v>217.97597923695358</v>
      </c>
      <c r="S82" s="203">
        <f t="shared" si="37"/>
        <v>210.83240578818598</v>
      </c>
      <c r="T82" s="203">
        <f t="shared" si="37"/>
        <v>201.93373406836096</v>
      </c>
      <c r="U82" s="203">
        <f t="shared" si="37"/>
        <v>191.44445999182022</v>
      </c>
      <c r="V82" s="203">
        <f t="shared" si="37"/>
        <v>179.52802877060506</v>
      </c>
      <c r="W82" s="203">
        <f t="shared" si="37"/>
        <v>166.34678070093079</v>
      </c>
      <c r="X82" s="203">
        <f t="shared" si="37"/>
        <v>152.09014233836842</v>
      </c>
      <c r="Y82" s="203">
        <f t="shared" si="37"/>
        <v>136.88395568150364</v>
      </c>
      <c r="Z82" s="203">
        <f t="shared" si="37"/>
        <v>120.88657677353991</v>
      </c>
      <c r="AA82" s="203">
        <f t="shared" si="37"/>
        <v>104.25516928649189</v>
      </c>
      <c r="AB82" s="203">
        <f t="shared" si="37"/>
        <v>87.145650041281542</v>
      </c>
      <c r="AC82" s="203">
        <f t="shared" si="37"/>
        <v>69.712635302877828</v>
      </c>
      <c r="AD82" s="203">
        <f t="shared" si="37"/>
        <v>52.109387844397361</v>
      </c>
      <c r="AE82" s="203">
        <f t="shared" si="37"/>
        <v>34.487764774119242</v>
      </c>
      <c r="AF82" s="203">
        <f t="shared" si="37"/>
        <v>16.99816611940291</v>
      </c>
      <c r="AG82" s="203">
        <f>AG78-$C78</f>
        <v>-0.21051583846589333</v>
      </c>
      <c r="AH82" s="217"/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160</v>
      </c>
      <c r="C83" s="203">
        <f t="shared" ref="C83:AG83" si="38">C79-$C79</f>
        <v>0</v>
      </c>
      <c r="D83" s="203">
        <f t="shared" si="38"/>
        <v>5.5805078637406053E-2</v>
      </c>
      <c r="E83" s="203">
        <f t="shared" si="38"/>
        <v>0.22753253908801274</v>
      </c>
      <c r="F83" s="203">
        <f t="shared" si="38"/>
        <v>0.52193673496657711</v>
      </c>
      <c r="G83" s="203">
        <f t="shared" si="38"/>
        <v>0.94444934767205968</v>
      </c>
      <c r="H83" s="203">
        <f t="shared" si="38"/>
        <v>1.4992045686651176</v>
      </c>
      <c r="I83" s="203">
        <f t="shared" si="38"/>
        <v>2.1890640433887922</v>
      </c>
      <c r="J83" s="203">
        <f t="shared" si="38"/>
        <v>3.0156415784308428</v>
      </c>
      <c r="K83" s="203">
        <f t="shared" si="38"/>
        <v>3.9793276135174827</v>
      </c>
      <c r="L83" s="203">
        <f t="shared" si="38"/>
        <v>5.0793134599196081</v>
      </c>
      <c r="M83" s="203">
        <f t="shared" si="38"/>
        <v>6.313615306844012</v>
      </c>
      <c r="N83" s="203">
        <f t="shared" si="38"/>
        <v>7.4466989891587705</v>
      </c>
      <c r="O83" s="203">
        <f t="shared" si="38"/>
        <v>8.6334508862531543</v>
      </c>
      <c r="P83" s="203">
        <f t="shared" si="38"/>
        <v>9.8646578869691357</v>
      </c>
      <c r="Q83" s="203">
        <f t="shared" si="38"/>
        <v>11.131169799195336</v>
      </c>
      <c r="R83" s="203">
        <f t="shared" si="38"/>
        <v>12.42390243682167</v>
      </c>
      <c r="S83" s="203">
        <f t="shared" si="38"/>
        <v>13.733840663169412</v>
      </c>
      <c r="T83" s="203">
        <f t="shared" si="38"/>
        <v>15.052041391237093</v>
      </c>
      <c r="U83" s="203">
        <f t="shared" si="38"/>
        <v>16.369636541100945</v>
      </c>
      <c r="V83" s="203">
        <f t="shared" si="38"/>
        <v>17.67783595480638</v>
      </c>
      <c r="W83" s="203">
        <f t="shared" si="38"/>
        <v>18.967930269085038</v>
      </c>
      <c r="X83" s="203">
        <f t="shared" si="38"/>
        <v>20.235045988873225</v>
      </c>
      <c r="Y83" s="203">
        <f t="shared" si="38"/>
        <v>21.467310228794183</v>
      </c>
      <c r="Z83" s="203">
        <f t="shared" si="38"/>
        <v>22.656242854788964</v>
      </c>
      <c r="AA83" s="203">
        <f t="shared" si="38"/>
        <v>23.793450021386143</v>
      </c>
      <c r="AB83" s="203">
        <f t="shared" si="38"/>
        <v>24.870627054165567</v>
      </c>
      <c r="AC83" s="203">
        <f t="shared" si="38"/>
        <v>25.879561289571377</v>
      </c>
      <c r="AD83" s="203">
        <f t="shared" si="38"/>
        <v>26.812134872413125</v>
      </c>
      <c r="AE83" s="203">
        <f t="shared" si="38"/>
        <v>27.660327511391635</v>
      </c>
      <c r="AF83" s="203">
        <f t="shared" si="38"/>
        <v>28.416219192984201</v>
      </c>
      <c r="AG83" s="203">
        <f t="shared" si="38"/>
        <v>29.071992854021769</v>
      </c>
      <c r="AH83" s="217"/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outlineLevel="1">
      <c r="A84" s="4" t="s">
        <v>1040</v>
      </c>
      <c r="C84" s="203">
        <f t="shared" ref="C84:AG84" si="39">C80-$C80</f>
        <v>0</v>
      </c>
      <c r="D84" s="203">
        <f t="shared" si="39"/>
        <v>0.92424521394864967</v>
      </c>
      <c r="E84" s="203">
        <f t="shared" si="39"/>
        <v>3.768400034629086</v>
      </c>
      <c r="F84" s="203">
        <f t="shared" si="39"/>
        <v>8.6443302483493589</v>
      </c>
      <c r="G84" s="203">
        <f t="shared" si="39"/>
        <v>15.641995508590147</v>
      </c>
      <c r="H84" s="203">
        <f t="shared" si="39"/>
        <v>24.829866405562189</v>
      </c>
      <c r="I84" s="203">
        <f t="shared" si="39"/>
        <v>36.255337588091869</v>
      </c>
      <c r="J84" s="203">
        <f t="shared" si="39"/>
        <v>49.945136964308595</v>
      </c>
      <c r="K84" s="203">
        <f t="shared" si="39"/>
        <v>65.905731007463558</v>
      </c>
      <c r="L84" s="203">
        <f t="shared" si="39"/>
        <v>84.123726193065806</v>
      </c>
      <c r="M84" s="203">
        <f t="shared" si="39"/>
        <v>104.56626659337957</v>
      </c>
      <c r="N84" s="203">
        <f t="shared" si="39"/>
        <v>123.33242902793548</v>
      </c>
      <c r="O84" s="203">
        <f t="shared" si="39"/>
        <v>142.98744587973053</v>
      </c>
      <c r="P84" s="203">
        <f t="shared" si="39"/>
        <v>163.3787293538669</v>
      </c>
      <c r="Q84" s="203">
        <f t="shared" si="39"/>
        <v>184.35473372239022</v>
      </c>
      <c r="R84" s="203">
        <f t="shared" si="39"/>
        <v>205.76500645051573</v>
      </c>
      <c r="S84" s="203">
        <f t="shared" si="39"/>
        <v>227.46023860199867</v>
      </c>
      <c r="T84" s="203">
        <f t="shared" si="39"/>
        <v>249.29231452928761</v>
      </c>
      <c r="U84" s="203">
        <f t="shared" si="39"/>
        <v>271.11436085407036</v>
      </c>
      <c r="V84" s="203">
        <f t="shared" si="39"/>
        <v>292.7807947437849</v>
      </c>
      <c r="W84" s="203">
        <f t="shared" si="39"/>
        <v>314.14737148963638</v>
      </c>
      <c r="X84" s="203">
        <f t="shared" si="39"/>
        <v>335.13337613524806</v>
      </c>
      <c r="Y84" s="203">
        <f t="shared" si="39"/>
        <v>355.54216963354457</v>
      </c>
      <c r="Z84" s="203">
        <f t="shared" si="39"/>
        <v>375.23330377606527</v>
      </c>
      <c r="AA84" s="203">
        <f t="shared" si="39"/>
        <v>394.06775946825786</v>
      </c>
      <c r="AB84" s="203">
        <f t="shared" si="39"/>
        <v>411.90799446892061</v>
      </c>
      <c r="AC84" s="203">
        <f t="shared" si="39"/>
        <v>428.61799042326203</v>
      </c>
      <c r="AD84" s="203">
        <f t="shared" si="39"/>
        <v>444.06329919518953</v>
      </c>
      <c r="AE84" s="203">
        <f t="shared" si="39"/>
        <v>458.11108850440291</v>
      </c>
      <c r="AF84" s="203">
        <f t="shared" si="39"/>
        <v>470.63018687383402</v>
      </c>
      <c r="AG84" s="203">
        <f t="shared" si="39"/>
        <v>481.49112789294196</v>
      </c>
      <c r="AH84" s="217"/>
      <c r="AI84" s="124"/>
      <c r="AJ84" s="185"/>
      <c r="AL84" s="100"/>
      <c r="AM84" s="2"/>
      <c r="AN84" s="2"/>
      <c r="AO84" s="2"/>
      <c r="BC84" s="1"/>
      <c r="BD84" s="2"/>
      <c r="BE84" s="2"/>
      <c r="BF84" s="2"/>
      <c r="BG84" s="2"/>
      <c r="BH84" s="2"/>
      <c r="BI84" s="2"/>
      <c r="BJ84" s="2"/>
      <c r="BK84" s="2"/>
    </row>
    <row r="85" spans="1:63" s="1" customFormat="1" outlineLevel="1">
      <c r="A85" s="1" t="s">
        <v>1050</v>
      </c>
      <c r="B85" s="60"/>
      <c r="C85" s="250">
        <f>C47*C66</f>
        <v>3.1998976765146331E-7</v>
      </c>
      <c r="D85" s="250">
        <f t="shared" ref="D85:AG85" si="40">D47*D66</f>
        <v>4.5780409623145698E-5</v>
      </c>
      <c r="E85" s="250">
        <f t="shared" si="40"/>
        <v>1.026178000743496E-4</v>
      </c>
      <c r="F85" s="250">
        <f t="shared" si="40"/>
        <v>1.7179337892500129E-4</v>
      </c>
      <c r="G85" s="250">
        <f t="shared" si="40"/>
        <v>2.5426836397883902E-4</v>
      </c>
      <c r="H85" s="250">
        <f t="shared" si="40"/>
        <v>3.51003973039601E-4</v>
      </c>
      <c r="I85" s="250">
        <f t="shared" si="40"/>
        <v>4.6296142391102517E-4</v>
      </c>
      <c r="J85" s="250">
        <f t="shared" si="40"/>
        <v>5.9110193439684995E-4</v>
      </c>
      <c r="K85" s="250">
        <f t="shared" si="40"/>
        <v>7.3638672230081368E-4</v>
      </c>
      <c r="L85" s="250">
        <f t="shared" si="40"/>
        <v>8.9977700542665407E-4</v>
      </c>
      <c r="M85" s="250">
        <f t="shared" si="40"/>
        <v>1.0822340015781097E-3</v>
      </c>
      <c r="N85" s="250">
        <f t="shared" si="40"/>
        <v>1.2674713344600329E-3</v>
      </c>
      <c r="O85" s="250">
        <f t="shared" si="40"/>
        <v>1.4674179290242897E-3</v>
      </c>
      <c r="P85" s="250">
        <f t="shared" si="40"/>
        <v>1.6822489672156115E-3</v>
      </c>
      <c r="Q85" s="250">
        <f t="shared" si="40"/>
        <v>1.9121396309787295E-3</v>
      </c>
      <c r="R85" s="250">
        <f t="shared" si="40"/>
        <v>2.1572651022583756E-3</v>
      </c>
      <c r="S85" s="250">
        <f t="shared" si="40"/>
        <v>2.4178005629992803E-3</v>
      </c>
      <c r="T85" s="250">
        <f t="shared" si="40"/>
        <v>2.6939211951461759E-3</v>
      </c>
      <c r="U85" s="250">
        <f t="shared" si="40"/>
        <v>2.9858021806437917E-3</v>
      </c>
      <c r="V85" s="250">
        <f t="shared" si="40"/>
        <v>3.2936187014368607E-3</v>
      </c>
      <c r="W85" s="250">
        <f t="shared" si="40"/>
        <v>3.6175459394701143E-3</v>
      </c>
      <c r="X85" s="250">
        <f t="shared" si="40"/>
        <v>4.0443702031643068E-3</v>
      </c>
      <c r="Y85" s="250">
        <f t="shared" si="40"/>
        <v>4.4967646997633301E-3</v>
      </c>
      <c r="Z85" s="250">
        <f t="shared" si="40"/>
        <v>4.9750223334787758E-3</v>
      </c>
      <c r="AA85" s="250">
        <f t="shared" si="40"/>
        <v>5.4794360085222331E-3</v>
      </c>
      <c r="AB85" s="250">
        <f t="shared" si="40"/>
        <v>6.0102986291052946E-3</v>
      </c>
      <c r="AC85" s="250">
        <f t="shared" si="40"/>
        <v>6.5679030994395511E-3</v>
      </c>
      <c r="AD85" s="250">
        <f t="shared" si="40"/>
        <v>7.1525423237365892E-3</v>
      </c>
      <c r="AE85" s="250">
        <f t="shared" si="40"/>
        <v>7.764509206208004E-3</v>
      </c>
      <c r="AF85" s="250">
        <f t="shared" si="40"/>
        <v>8.4040966510653837E-3</v>
      </c>
      <c r="AG85" s="250">
        <f t="shared" si="40"/>
        <v>9.0715975625203175E-3</v>
      </c>
      <c r="AH85" s="217"/>
      <c r="AI85" s="368"/>
      <c r="AJ85" s="369"/>
      <c r="AL85" s="194"/>
      <c r="AM85" s="116"/>
      <c r="AN85" s="116"/>
      <c r="AO85" s="116"/>
      <c r="BD85" s="116"/>
      <c r="BE85" s="116"/>
      <c r="BF85" s="116"/>
      <c r="BG85" s="116"/>
      <c r="BH85" s="116"/>
      <c r="BI85" s="116"/>
      <c r="BJ85" s="116"/>
      <c r="BK85" s="116"/>
    </row>
    <row r="86" spans="1:63" outlineLevel="1">
      <c r="A86" s="4" t="s">
        <v>35</v>
      </c>
      <c r="C86" s="203">
        <f>C$85*'Methanol recycling rates'!E44</f>
        <v>0</v>
      </c>
      <c r="D86" s="203">
        <f>D$85*'Methanol recycling rates'!F44</f>
        <v>7.630068270524283E-7</v>
      </c>
      <c r="E86" s="203">
        <f>E$85*'Methanol recycling rates'!G44</f>
        <v>3.4205933358116532E-6</v>
      </c>
      <c r="F86" s="203">
        <f>F$85*'Methanol recycling rates'!H44</f>
        <v>8.5896689462500644E-6</v>
      </c>
      <c r="G86" s="203">
        <f>G$85*'Methanol recycling rates'!I44</f>
        <v>1.6951224265255933E-5</v>
      </c>
      <c r="H86" s="203">
        <f>H$85*'Methanol recycling rates'!J44</f>
        <v>2.9250331086633417E-5</v>
      </c>
      <c r="I86" s="203">
        <f>I$85*'Methanol recycling rates'!K44</f>
        <v>4.6296142391102515E-5</v>
      </c>
      <c r="J86" s="203">
        <f>J$85*'Methanol recycling rates'!L44</f>
        <v>6.8961892346299154E-5</v>
      </c>
      <c r="K86" s="203">
        <f>K$85*'Methanol recycling rates'!M44</f>
        <v>9.8184896306775159E-5</v>
      </c>
      <c r="L86" s="203">
        <f>L$85*'Methanol recycling rates'!N44</f>
        <v>1.349665508139981E-4</v>
      </c>
      <c r="M86" s="203">
        <f>M$85*'Methanol recycling rates'!O44</f>
        <v>1.8037233359635159E-4</v>
      </c>
      <c r="N86" s="203">
        <f>N$85*'Methanol recycling rates'!P44</f>
        <v>2.3236974465100602E-4</v>
      </c>
      <c r="O86" s="203">
        <f>O$85*'Methanol recycling rates'!Q44</f>
        <v>2.9348358580485795E-4</v>
      </c>
      <c r="P86" s="203">
        <f>P$85*'Methanol recycling rates'!R44</f>
        <v>3.6448727623004912E-4</v>
      </c>
      <c r="Q86" s="203">
        <f>Q$85*'Methanol recycling rates'!S44</f>
        <v>4.4616591389503684E-4</v>
      </c>
      <c r="R86" s="203">
        <f>R$85*'Methanol recycling rates'!T44</f>
        <v>5.3931627556459379E-4</v>
      </c>
      <c r="S86" s="203">
        <f>S$85*'Methanol recycling rates'!U44</f>
        <v>6.447468167998081E-4</v>
      </c>
      <c r="T86" s="203">
        <f>T$85*'Methanol recycling rates'!V44</f>
        <v>7.6327767195808317E-4</v>
      </c>
      <c r="U86" s="203">
        <f>U$85*'Methanol recycling rates'!W44</f>
        <v>8.957406541931375E-4</v>
      </c>
      <c r="V86" s="203">
        <f>V$85*'Methanol recycling rates'!X44</f>
        <v>1.0429792554550058E-3</v>
      </c>
      <c r="W86" s="203">
        <f>W$85*'Methanol recycling rates'!Y44</f>
        <v>1.205848646490038E-3</v>
      </c>
      <c r="X86" s="203">
        <f>X$85*'Methanol recycling rates'!Z44</f>
        <v>1.4155295711075072E-3</v>
      </c>
      <c r="Y86" s="203">
        <f>Y$85*'Methanol recycling rates'!AA44</f>
        <v>1.6488137232465543E-3</v>
      </c>
      <c r="Z86" s="203">
        <f>Z$85*'Methanol recycling rates'!AB44</f>
        <v>1.9070918945001973E-3</v>
      </c>
      <c r="AA86" s="203">
        <f>AA$85*'Methanol recycling rates'!AC44</f>
        <v>2.1917744034088932E-3</v>
      </c>
      <c r="AB86" s="203">
        <f>AB$85*'Methanol recycling rates'!AD44</f>
        <v>2.5042910954605393E-3</v>
      </c>
      <c r="AC86" s="203">
        <f>AC$85*'Methanol recycling rates'!AE44</f>
        <v>2.8460913430904721E-3</v>
      </c>
      <c r="AD86" s="203">
        <f>AD$85*'Methanol recycling rates'!AF44</f>
        <v>3.2186440456814648E-3</v>
      </c>
      <c r="AE86" s="203">
        <f>AE$85*'Methanol recycling rates'!AG44</f>
        <v>3.6234376295637347E-3</v>
      </c>
      <c r="AF86" s="203">
        <f>AF$85*'Methanol recycling rates'!AH44</f>
        <v>4.0619800480149347E-3</v>
      </c>
      <c r="AG86" s="203">
        <f>AG$85*'Methanol recycling rates'!AI44</f>
        <v>4.5357987812601587E-3</v>
      </c>
      <c r="AH86" s="217"/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03">
        <f>C$85*'Methanol recycling rates'!E45</f>
        <v>3.1998976765146331E-7</v>
      </c>
      <c r="D87" s="203">
        <f>D$85*'Methanol recycling rates'!F45</f>
        <v>4.4254445620251372E-5</v>
      </c>
      <c r="E87" s="203">
        <f>E$85*'Methanol recycling rates'!G45</f>
        <v>9.5776835991298037E-5</v>
      </c>
      <c r="F87" s="203">
        <f>F$85*'Methanol recycling rates'!H45</f>
        <v>1.5461459998878586E-4</v>
      </c>
      <c r="G87" s="203">
        <f>G$85*'Methanol recycling rates'!I45</f>
        <v>2.2036701851683838E-4</v>
      </c>
      <c r="H87" s="203">
        <f>H$85*'Methanol recycling rates'!J45</f>
        <v>2.92505214275708E-4</v>
      </c>
      <c r="I87" s="203">
        <f>I$85*'Methanol recycling rates'!K45</f>
        <v>3.7037215176177594E-4</v>
      </c>
      <c r="J87" s="203">
        <f>J$85*'Methanol recycling rates'!L45</f>
        <v>4.5318263726755275E-4</v>
      </c>
      <c r="K87" s="203">
        <f>K$85*'Methanol recycling rates'!M45</f>
        <v>5.4002331888167783E-4</v>
      </c>
      <c r="L87" s="203">
        <f>L$85*'Methanol recycling rates'!N45</f>
        <v>6.2985268648891918E-4</v>
      </c>
      <c r="M87" s="203">
        <f>M$85*'Methanol recycling rates'!O45</f>
        <v>7.2150107177017427E-4</v>
      </c>
      <c r="N87" s="203">
        <f>N$85*'Methanol recycling rates'!P45</f>
        <v>8.027469661749029E-4</v>
      </c>
      <c r="O87" s="203">
        <f>O$85*'Methanol recycling rates'!Q45</f>
        <v>8.8046985529782989E-4</v>
      </c>
      <c r="P87" s="203">
        <f>P$85*'Methanol recycling rates'!R45</f>
        <v>9.532981330681768E-4</v>
      </c>
      <c r="Q87" s="203">
        <f>Q$85*'Methanol recycling rates'!S45</f>
        <v>1.01983683658251E-3</v>
      </c>
      <c r="R87" s="203">
        <f>R$85*'Methanol recycling rates'!T45</f>
        <v>1.07866764610474E-3</v>
      </c>
      <c r="S87" s="203">
        <f>S$85*'Methanol recycling rates'!U45</f>
        <v>1.1283488850661221E-3</v>
      </c>
      <c r="T87" s="203">
        <f>T$85*'Methanol recycling rates'!V45</f>
        <v>1.1674155200652565E-3</v>
      </c>
      <c r="U87" s="203">
        <f>U$85*'Methanol recycling rates'!W45</f>
        <v>1.194379160868086E-3</v>
      </c>
      <c r="V87" s="203">
        <f>V$85*'Methanol recycling rates'!X45</f>
        <v>1.2077280604079004E-3</v>
      </c>
      <c r="W87" s="203">
        <f>W$85*'Methanol recycling rates'!Y45</f>
        <v>1.2059271147853328E-3</v>
      </c>
      <c r="X87" s="203">
        <f>X$85*'Methanol recycling rates'!Z45</f>
        <v>1.2134031738298824E-3</v>
      </c>
      <c r="Y87" s="203">
        <f>Y$85*'Methanol recycling rates'!AA45</f>
        <v>1.1992445466710128E-3</v>
      </c>
      <c r="Z87" s="203">
        <f>Z$85*'Methanol recycling rates'!AB45</f>
        <v>1.1609626448373836E-3</v>
      </c>
      <c r="AA87" s="203">
        <f>AA$85*'Methanol recycling rates'!AC45</f>
        <v>1.0960298272334524E-3</v>
      </c>
      <c r="AB87" s="203">
        <f>AB$85*'Methanol recycling rates'!AD45</f>
        <v>1.0018794001394789E-3</v>
      </c>
      <c r="AC87" s="203">
        <f>AC$85*'Methanol recycling rates'!AE45</f>
        <v>8.7590561721152121E-4</v>
      </c>
      <c r="AD87" s="203">
        <f>AD$85*'Methanol recycling rates'!AF45</f>
        <v>7.1546367948143797E-4</v>
      </c>
      <c r="AE87" s="203">
        <f>AE$85*'Methanol recycling rates'!AG45</f>
        <v>5.1786973535688824E-4</v>
      </c>
      <c r="AF87" s="203">
        <f>AF$85*'Methanol recycling rates'!AH45</f>
        <v>2.8040088062133062E-4</v>
      </c>
      <c r="AG87" s="203">
        <f>AG$85*'Methanol recycling rates'!AI45</f>
        <v>2.9515843402791571E-7</v>
      </c>
      <c r="AH87" s="217"/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1040</v>
      </c>
      <c r="C88" s="203">
        <f>C$85*'Methanol recycling rates'!E46</f>
        <v>0</v>
      </c>
      <c r="D88" s="203">
        <f>D$85*'Methanol recycling rates'!F46</f>
        <v>8.6889970671470668E-8</v>
      </c>
      <c r="E88" s="203">
        <f>E$85*'Methanol recycling rates'!G46</f>
        <v>3.895315796529303E-7</v>
      </c>
      <c r="F88" s="203">
        <f>F$85*'Methanol recycling rates'!H46</f>
        <v>9.7817746362841681E-7</v>
      </c>
      <c r="G88" s="203">
        <f>G$85*'Methanol recycling rates'!I46</f>
        <v>1.9303777201359219E-6</v>
      </c>
      <c r="H88" s="203">
        <f>H$85*'Methanol recycling rates'!J46</f>
        <v>3.3309799075673893E-6</v>
      </c>
      <c r="I88" s="203">
        <f>I$85*'Methanol recycling rates'!K46</f>
        <v>5.272129045168713E-6</v>
      </c>
      <c r="J88" s="203">
        <f>J$85*'Methanol recycling rates'!L46</f>
        <v>7.8532676130397445E-6</v>
      </c>
      <c r="K88" s="203">
        <f>K$85*'Methanol recycling rates'!M46</f>
        <v>1.1181135552134288E-5</v>
      </c>
      <c r="L88" s="203">
        <f>L$85*'Methanol recycling rates'!N46</f>
        <v>1.5369770264260088E-5</v>
      </c>
      <c r="M88" s="203">
        <f>M$85*'Methanol recycling rates'!O46</f>
        <v>2.0540506612078863E-5</v>
      </c>
      <c r="N88" s="203">
        <f>N$85*'Methanol recycling rates'!P46</f>
        <v>2.6461886816480201E-5</v>
      </c>
      <c r="O88" s="203">
        <f>O$85*'Methanol recycling rates'!Q46</f>
        <v>3.3421431183852204E-5</v>
      </c>
      <c r="P88" s="203">
        <f>P$85*'Methanol recycling rates'!R46</f>
        <v>4.1507215425710793E-5</v>
      </c>
      <c r="Q88" s="203">
        <f>Q$85*'Methanol recycling rates'!S46</f>
        <v>5.0808645215812526E-5</v>
      </c>
      <c r="R88" s="203">
        <f>R$85*'Methanol recycling rates'!T46</f>
        <v>6.1416456190154618E-5</v>
      </c>
      <c r="S88" s="203">
        <f>S$85*'Methanol recycling rates'!U46</f>
        <v>7.3422713946974893E-5</v>
      </c>
      <c r="T88" s="203">
        <f>T$85*'Methanol recycling rates'!V46</f>
        <v>8.6920814046751815E-5</v>
      </c>
      <c r="U88" s="203">
        <f>U$85*'Methanol recycling rates'!W46</f>
        <v>1.0200548201220444E-4</v>
      </c>
      <c r="V88" s="203">
        <f>V$85*'Methanol recycling rates'!X46</f>
        <v>1.1877277332829255E-4</v>
      </c>
      <c r="W88" s="203">
        <f>W$85*'Methanol recycling rates'!Y46</f>
        <v>1.3732007344221647E-4</v>
      </c>
      <c r="X88" s="203">
        <f>X$85*'Methanol recycling rates'!Z46</f>
        <v>1.61198194508002E-4</v>
      </c>
      <c r="Y88" s="203">
        <f>Y$85*'Methanol recycling rates'!AA46</f>
        <v>1.8776421255503042E-4</v>
      </c>
      <c r="Z88" s="203">
        <f>Z$85*'Methanol recycling rates'!AB46</f>
        <v>2.1717650865728811E-4</v>
      </c>
      <c r="AA88" s="203">
        <f>AA$85*'Methanol recycling rates'!AC46</f>
        <v>2.4959568758562762E-4</v>
      </c>
      <c r="AB88" s="203">
        <f>AB$85*'Methanol recycling rates'!AD46</f>
        <v>2.8518457780776806E-4</v>
      </c>
      <c r="AC88" s="203">
        <f>AC$85*'Methanol recycling rates'!AE46</f>
        <v>3.2410823148829482E-4</v>
      </c>
      <c r="AD88" s="203">
        <f>AD$85*'Methanol recycling rates'!AF46</f>
        <v>3.6653392448865934E-4</v>
      </c>
      <c r="AE88" s="203">
        <f>AE$85*'Methanol recycling rates'!AG46</f>
        <v>4.1263115636717984E-4</v>
      </c>
      <c r="AF88" s="203">
        <f>AF$85*'Methanol recycling rates'!AH46</f>
        <v>4.625716503790405E-4</v>
      </c>
      <c r="AG88" s="203">
        <f>AG$85*'Methanol recycling rates'!AI46</f>
        <v>5.165293534762918E-4</v>
      </c>
      <c r="AH88" s="217"/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1051</v>
      </c>
      <c r="B89" s="60"/>
      <c r="C89" s="250">
        <f>C85-$C85</f>
        <v>0</v>
      </c>
      <c r="D89" s="250">
        <f t="shared" ref="D89:AG89" si="41">D85-$C85</f>
        <v>4.5460419855494232E-5</v>
      </c>
      <c r="E89" s="250">
        <f t="shared" si="41"/>
        <v>1.0229781030669814E-4</v>
      </c>
      <c r="F89" s="250">
        <f t="shared" si="41"/>
        <v>1.7147338915734982E-4</v>
      </c>
      <c r="G89" s="250">
        <f t="shared" si="41"/>
        <v>2.5394837421118758E-4</v>
      </c>
      <c r="H89" s="250">
        <f t="shared" si="41"/>
        <v>3.5068398327194956E-4</v>
      </c>
      <c r="I89" s="250">
        <f t="shared" si="41"/>
        <v>4.6264143414337372E-4</v>
      </c>
      <c r="J89" s="250">
        <f t="shared" si="41"/>
        <v>5.9078194462919851E-4</v>
      </c>
      <c r="K89" s="250">
        <f t="shared" si="41"/>
        <v>7.3606673253316223E-4</v>
      </c>
      <c r="L89" s="250">
        <f t="shared" si="41"/>
        <v>8.9945701565900262E-4</v>
      </c>
      <c r="M89" s="250">
        <f t="shared" si="41"/>
        <v>1.0819140118104582E-3</v>
      </c>
      <c r="N89" s="250">
        <f t="shared" si="41"/>
        <v>1.2671513446923814E-3</v>
      </c>
      <c r="O89" s="250">
        <f t="shared" si="41"/>
        <v>1.4670979392566383E-3</v>
      </c>
      <c r="P89" s="250">
        <f t="shared" si="41"/>
        <v>1.6819289774479601E-3</v>
      </c>
      <c r="Q89" s="250">
        <f t="shared" si="41"/>
        <v>1.9118196412110781E-3</v>
      </c>
      <c r="R89" s="250">
        <f t="shared" si="41"/>
        <v>2.1569451124907242E-3</v>
      </c>
      <c r="S89" s="250">
        <f t="shared" si="41"/>
        <v>2.4174805732316289E-3</v>
      </c>
      <c r="T89" s="250">
        <f t="shared" si="41"/>
        <v>2.6936012053785244E-3</v>
      </c>
      <c r="U89" s="250">
        <f t="shared" si="41"/>
        <v>2.9854821908761402E-3</v>
      </c>
      <c r="V89" s="250">
        <f t="shared" si="41"/>
        <v>3.2932987116692093E-3</v>
      </c>
      <c r="W89" s="250">
        <f t="shared" si="41"/>
        <v>3.6172259497024629E-3</v>
      </c>
      <c r="X89" s="250">
        <f t="shared" si="41"/>
        <v>4.0440502133966549E-3</v>
      </c>
      <c r="Y89" s="250">
        <f t="shared" si="41"/>
        <v>4.4964447099956782E-3</v>
      </c>
      <c r="Z89" s="250">
        <f t="shared" si="41"/>
        <v>4.9747023437111239E-3</v>
      </c>
      <c r="AA89" s="250">
        <f t="shared" si="41"/>
        <v>5.4791160187545812E-3</v>
      </c>
      <c r="AB89" s="250">
        <f t="shared" si="41"/>
        <v>6.0099786393376427E-3</v>
      </c>
      <c r="AC89" s="250">
        <f t="shared" si="41"/>
        <v>6.5675831096718993E-3</v>
      </c>
      <c r="AD89" s="250">
        <f t="shared" si="41"/>
        <v>7.1522223339689373E-3</v>
      </c>
      <c r="AE89" s="250">
        <f t="shared" si="41"/>
        <v>7.7641892164403521E-3</v>
      </c>
      <c r="AF89" s="250">
        <f t="shared" si="41"/>
        <v>8.4037766612977318E-3</v>
      </c>
      <c r="AG89" s="250">
        <f t="shared" si="41"/>
        <v>9.0712775727526656E-3</v>
      </c>
      <c r="AH89" s="217"/>
      <c r="AI89" s="368"/>
      <c r="AJ89" s="369"/>
      <c r="AL89" s="194"/>
      <c r="AM89" s="116"/>
      <c r="AN89" s="116"/>
      <c r="AO89" s="116"/>
      <c r="BD89" s="116"/>
      <c r="BE89" s="116"/>
      <c r="BF89" s="116"/>
      <c r="BG89" s="116"/>
      <c r="BH89" s="116"/>
      <c r="BI89" s="116"/>
      <c r="BJ89" s="116"/>
      <c r="BK89" s="116"/>
    </row>
    <row r="90" spans="1:63" outlineLevel="1">
      <c r="A90" s="4" t="s">
        <v>35</v>
      </c>
      <c r="C90" s="203">
        <f t="shared" ref="C90:AF90" si="42">C86-$C86</f>
        <v>0</v>
      </c>
      <c r="D90" s="203">
        <f t="shared" si="42"/>
        <v>7.630068270524283E-7</v>
      </c>
      <c r="E90" s="203">
        <f t="shared" si="42"/>
        <v>3.4205933358116532E-6</v>
      </c>
      <c r="F90" s="203">
        <f t="shared" si="42"/>
        <v>8.5896689462500644E-6</v>
      </c>
      <c r="G90" s="203">
        <f t="shared" si="42"/>
        <v>1.6951224265255933E-5</v>
      </c>
      <c r="H90" s="203">
        <f t="shared" si="42"/>
        <v>2.9250331086633417E-5</v>
      </c>
      <c r="I90" s="203">
        <f t="shared" si="42"/>
        <v>4.6296142391102515E-5</v>
      </c>
      <c r="J90" s="203">
        <f t="shared" si="42"/>
        <v>6.8961892346299154E-5</v>
      </c>
      <c r="K90" s="203">
        <f t="shared" si="42"/>
        <v>9.8184896306775159E-5</v>
      </c>
      <c r="L90" s="203">
        <f t="shared" si="42"/>
        <v>1.349665508139981E-4</v>
      </c>
      <c r="M90" s="203">
        <f t="shared" si="42"/>
        <v>1.8037233359635159E-4</v>
      </c>
      <c r="N90" s="203">
        <f t="shared" si="42"/>
        <v>2.3236974465100602E-4</v>
      </c>
      <c r="O90" s="203">
        <f t="shared" si="42"/>
        <v>2.9348358580485795E-4</v>
      </c>
      <c r="P90" s="203">
        <f t="shared" si="42"/>
        <v>3.6448727623004912E-4</v>
      </c>
      <c r="Q90" s="203">
        <f t="shared" si="42"/>
        <v>4.4616591389503684E-4</v>
      </c>
      <c r="R90" s="203">
        <f t="shared" si="42"/>
        <v>5.3931627556459379E-4</v>
      </c>
      <c r="S90" s="203">
        <f t="shared" si="42"/>
        <v>6.447468167998081E-4</v>
      </c>
      <c r="T90" s="203">
        <f t="shared" si="42"/>
        <v>7.6327767195808317E-4</v>
      </c>
      <c r="U90" s="203">
        <f t="shared" si="42"/>
        <v>8.957406541931375E-4</v>
      </c>
      <c r="V90" s="203">
        <f t="shared" si="42"/>
        <v>1.0429792554550058E-3</v>
      </c>
      <c r="W90" s="203">
        <f t="shared" si="42"/>
        <v>1.205848646490038E-3</v>
      </c>
      <c r="X90" s="203">
        <f t="shared" si="42"/>
        <v>1.4155295711075072E-3</v>
      </c>
      <c r="Y90" s="203">
        <f t="shared" si="42"/>
        <v>1.6488137232465543E-3</v>
      </c>
      <c r="Z90" s="203">
        <f t="shared" si="42"/>
        <v>1.9070918945001973E-3</v>
      </c>
      <c r="AA90" s="203">
        <f t="shared" si="42"/>
        <v>2.1917744034088932E-3</v>
      </c>
      <c r="AB90" s="203">
        <f t="shared" si="42"/>
        <v>2.5042910954605393E-3</v>
      </c>
      <c r="AC90" s="203">
        <f t="shared" si="42"/>
        <v>2.8460913430904721E-3</v>
      </c>
      <c r="AD90" s="203">
        <f t="shared" si="42"/>
        <v>3.2186440456814648E-3</v>
      </c>
      <c r="AE90" s="203">
        <f t="shared" si="42"/>
        <v>3.6234376295637347E-3</v>
      </c>
      <c r="AF90" s="203">
        <f t="shared" si="42"/>
        <v>4.0619800480149347E-3</v>
      </c>
      <c r="AG90" s="203">
        <f>AG86-$C86</f>
        <v>4.5357987812601587E-3</v>
      </c>
      <c r="AH90" s="217"/>
      <c r="AI90" s="124"/>
      <c r="AJ90" s="185"/>
      <c r="AL90" s="100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160</v>
      </c>
      <c r="C91" s="203">
        <f t="shared" ref="C91:AG91" si="43">C87-$C87</f>
        <v>0</v>
      </c>
      <c r="D91" s="203">
        <f t="shared" si="43"/>
        <v>4.3934455852599906E-5</v>
      </c>
      <c r="E91" s="203">
        <f t="shared" si="43"/>
        <v>9.5456846223646578E-5</v>
      </c>
      <c r="F91" s="203">
        <f t="shared" si="43"/>
        <v>1.5429461022113439E-4</v>
      </c>
      <c r="G91" s="203">
        <f t="shared" si="43"/>
        <v>2.2004702874918691E-4</v>
      </c>
      <c r="H91" s="203">
        <f t="shared" si="43"/>
        <v>2.9218522450805655E-4</v>
      </c>
      <c r="I91" s="203">
        <f t="shared" si="43"/>
        <v>3.700521619941245E-4</v>
      </c>
      <c r="J91" s="203">
        <f t="shared" si="43"/>
        <v>4.528626474999013E-4</v>
      </c>
      <c r="K91" s="203">
        <f t="shared" si="43"/>
        <v>5.3970332911402639E-4</v>
      </c>
      <c r="L91" s="203">
        <f t="shared" si="43"/>
        <v>6.2953269672126773E-4</v>
      </c>
      <c r="M91" s="203">
        <f t="shared" si="43"/>
        <v>7.2118108200252282E-4</v>
      </c>
      <c r="N91" s="203">
        <f t="shared" si="43"/>
        <v>8.0242697640725146E-4</v>
      </c>
      <c r="O91" s="203">
        <f t="shared" si="43"/>
        <v>8.8014986553017845E-4</v>
      </c>
      <c r="P91" s="203">
        <f t="shared" si="43"/>
        <v>9.5297814330052536E-4</v>
      </c>
      <c r="Q91" s="203">
        <f t="shared" si="43"/>
        <v>1.0195168468148585E-3</v>
      </c>
      <c r="R91" s="203">
        <f t="shared" si="43"/>
        <v>1.0783476563370885E-3</v>
      </c>
      <c r="S91" s="203">
        <f t="shared" si="43"/>
        <v>1.1280288952984707E-3</v>
      </c>
      <c r="T91" s="203">
        <f t="shared" si="43"/>
        <v>1.167095530297605E-3</v>
      </c>
      <c r="U91" s="203">
        <f t="shared" si="43"/>
        <v>1.1940591711004345E-3</v>
      </c>
      <c r="V91" s="203">
        <f t="shared" si="43"/>
        <v>1.207408070640249E-3</v>
      </c>
      <c r="W91" s="203">
        <f t="shared" si="43"/>
        <v>1.2056071250176814E-3</v>
      </c>
      <c r="X91" s="203">
        <f t="shared" si="43"/>
        <v>1.213083184062231E-3</v>
      </c>
      <c r="Y91" s="203">
        <f t="shared" si="43"/>
        <v>1.1989245569033614E-3</v>
      </c>
      <c r="Z91" s="203">
        <f t="shared" si="43"/>
        <v>1.1606426550697321E-3</v>
      </c>
      <c r="AA91" s="203">
        <f t="shared" si="43"/>
        <v>1.095709837465801E-3</v>
      </c>
      <c r="AB91" s="203">
        <f t="shared" si="43"/>
        <v>1.0015594103718274E-3</v>
      </c>
      <c r="AC91" s="203">
        <f t="shared" si="43"/>
        <v>8.7558562744386977E-4</v>
      </c>
      <c r="AD91" s="203">
        <f t="shared" si="43"/>
        <v>7.1514368971378652E-4</v>
      </c>
      <c r="AE91" s="203">
        <f t="shared" si="43"/>
        <v>5.175497455892368E-4</v>
      </c>
      <c r="AF91" s="203">
        <f t="shared" si="43"/>
        <v>2.8008089085367917E-4</v>
      </c>
      <c r="AG91" s="203">
        <f t="shared" si="43"/>
        <v>-2.4831333623547602E-8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1040</v>
      </c>
      <c r="C92" s="203">
        <f t="shared" ref="C92:AG92" si="44">C88-$C88</f>
        <v>0</v>
      </c>
      <c r="D92" s="203">
        <f t="shared" si="44"/>
        <v>8.6889970671470668E-8</v>
      </c>
      <c r="E92" s="203">
        <f t="shared" si="44"/>
        <v>3.895315796529303E-7</v>
      </c>
      <c r="F92" s="203">
        <f t="shared" si="44"/>
        <v>9.7817746362841681E-7</v>
      </c>
      <c r="G92" s="203">
        <f t="shared" si="44"/>
        <v>1.9303777201359219E-6</v>
      </c>
      <c r="H92" s="203">
        <f t="shared" si="44"/>
        <v>3.3309799075673893E-6</v>
      </c>
      <c r="I92" s="203">
        <f t="shared" si="44"/>
        <v>5.272129045168713E-6</v>
      </c>
      <c r="J92" s="203">
        <f t="shared" si="44"/>
        <v>7.8532676130397445E-6</v>
      </c>
      <c r="K92" s="203">
        <f t="shared" si="44"/>
        <v>1.1181135552134288E-5</v>
      </c>
      <c r="L92" s="203">
        <f t="shared" si="44"/>
        <v>1.5369770264260088E-5</v>
      </c>
      <c r="M92" s="203">
        <f t="shared" si="44"/>
        <v>2.0540506612078863E-5</v>
      </c>
      <c r="N92" s="203">
        <f t="shared" si="44"/>
        <v>2.6461886816480201E-5</v>
      </c>
      <c r="O92" s="203">
        <f t="shared" si="44"/>
        <v>3.3421431183852204E-5</v>
      </c>
      <c r="P92" s="203">
        <f t="shared" si="44"/>
        <v>4.1507215425710793E-5</v>
      </c>
      <c r="Q92" s="203">
        <f t="shared" si="44"/>
        <v>5.0808645215812526E-5</v>
      </c>
      <c r="R92" s="203">
        <f t="shared" si="44"/>
        <v>6.1416456190154618E-5</v>
      </c>
      <c r="S92" s="203">
        <f t="shared" si="44"/>
        <v>7.3422713946974893E-5</v>
      </c>
      <c r="T92" s="203">
        <f t="shared" si="44"/>
        <v>8.6920814046751815E-5</v>
      </c>
      <c r="U92" s="203">
        <f t="shared" si="44"/>
        <v>1.0200548201220444E-4</v>
      </c>
      <c r="V92" s="203">
        <f t="shared" si="44"/>
        <v>1.1877277332829255E-4</v>
      </c>
      <c r="W92" s="203">
        <f t="shared" si="44"/>
        <v>1.3732007344221647E-4</v>
      </c>
      <c r="X92" s="203">
        <f t="shared" si="44"/>
        <v>1.61198194508002E-4</v>
      </c>
      <c r="Y92" s="203">
        <f t="shared" si="44"/>
        <v>1.8776421255503042E-4</v>
      </c>
      <c r="Z92" s="203">
        <f t="shared" si="44"/>
        <v>2.1717650865728811E-4</v>
      </c>
      <c r="AA92" s="203">
        <f t="shared" si="44"/>
        <v>2.4959568758562762E-4</v>
      </c>
      <c r="AB92" s="203">
        <f t="shared" si="44"/>
        <v>2.8518457780776806E-4</v>
      </c>
      <c r="AC92" s="203">
        <f t="shared" si="44"/>
        <v>3.2410823148829482E-4</v>
      </c>
      <c r="AD92" s="203">
        <f t="shared" si="44"/>
        <v>3.6653392448865934E-4</v>
      </c>
      <c r="AE92" s="203">
        <f t="shared" si="44"/>
        <v>4.1263115636717984E-4</v>
      </c>
      <c r="AF92" s="203">
        <f t="shared" si="44"/>
        <v>4.625716503790405E-4</v>
      </c>
      <c r="AG92" s="203">
        <f t="shared" si="44"/>
        <v>5.165293534762918E-4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s="1" customFormat="1" outlineLevel="1">
      <c r="A93" s="1" t="s">
        <v>1043</v>
      </c>
      <c r="B93" s="60"/>
      <c r="C93" s="250">
        <f>C39*C65</f>
        <v>0.27239027607114957</v>
      </c>
      <c r="D93" s="250">
        <f t="shared" ref="D93:AG93" si="45">D39*D65</f>
        <v>35.938869341729315</v>
      </c>
      <c r="E93" s="250">
        <f t="shared" si="45"/>
        <v>74.700714293614297</v>
      </c>
      <c r="F93" s="250">
        <f t="shared" si="45"/>
        <v>116.5185035610706</v>
      </c>
      <c r="G93" s="250">
        <f t="shared" si="45"/>
        <v>161.35307163336296</v>
      </c>
      <c r="H93" s="250">
        <f t="shared" si="45"/>
        <v>209.16550781723879</v>
      </c>
      <c r="I93" s="250">
        <f t="shared" si="45"/>
        <v>259.9171549995969</v>
      </c>
      <c r="J93" s="250">
        <f t="shared" si="45"/>
        <v>313.56960841524466</v>
      </c>
      <c r="K93" s="250">
        <f t="shared" si="45"/>
        <v>370.08471441972381</v>
      </c>
      <c r="L93" s="250">
        <f t="shared" si="45"/>
        <v>429.42456926718671</v>
      </c>
      <c r="M93" s="250">
        <f t="shared" si="45"/>
        <v>491.55151789330495</v>
      </c>
      <c r="N93" s="250">
        <f t="shared" si="45"/>
        <v>539.58849902574025</v>
      </c>
      <c r="O93" s="250">
        <f t="shared" si="45"/>
        <v>587.40921934545418</v>
      </c>
      <c r="P93" s="250">
        <f t="shared" si="45"/>
        <v>635.00878057823252</v>
      </c>
      <c r="Q93" s="250">
        <f t="shared" si="45"/>
        <v>682.38233194775262</v>
      </c>
      <c r="R93" s="250">
        <f t="shared" si="45"/>
        <v>729.52506990755376</v>
      </c>
      <c r="S93" s="250">
        <f t="shared" si="45"/>
        <v>776.43223787420402</v>
      </c>
      <c r="T93" s="250">
        <f t="shared" si="45"/>
        <v>823.09912596165498</v>
      </c>
      <c r="U93" s="250">
        <f t="shared" si="45"/>
        <v>869.52107071678086</v>
      </c>
      <c r="V93" s="250">
        <f t="shared" si="45"/>
        <v>915.69345485610063</v>
      </c>
      <c r="W93" s="250">
        <f t="shared" si="45"/>
        <v>961.61170700366961</v>
      </c>
      <c r="X93" s="250">
        <f t="shared" si="45"/>
        <v>1007.4581172797878</v>
      </c>
      <c r="Y93" s="250">
        <f t="shared" si="45"/>
        <v>1053.0564203705053</v>
      </c>
      <c r="Z93" s="250">
        <f t="shared" si="45"/>
        <v>1098.4018216847385</v>
      </c>
      <c r="AA93" s="250">
        <f t="shared" si="45"/>
        <v>1143.489574228043</v>
      </c>
      <c r="AB93" s="250">
        <f t="shared" si="45"/>
        <v>1188.3149783321057</v>
      </c>
      <c r="AC93" s="250">
        <f t="shared" si="45"/>
        <v>1232.8733813854428</v>
      </c>
      <c r="AD93" s="250">
        <f t="shared" si="45"/>
        <v>1277.1601775653055</v>
      </c>
      <c r="AE93" s="250">
        <f t="shared" si="45"/>
        <v>1321.170807570785</v>
      </c>
      <c r="AF93" s="250">
        <f t="shared" si="45"/>
        <v>1364.9007583571097</v>
      </c>
      <c r="AG93" s="250">
        <f t="shared" si="45"/>
        <v>1408.3455628711365</v>
      </c>
      <c r="AH93" s="217"/>
      <c r="AI93" s="368"/>
      <c r="AJ93" s="369"/>
      <c r="AL93" s="194"/>
      <c r="AM93" s="116"/>
      <c r="AN93" s="116"/>
      <c r="AO93" s="116"/>
      <c r="BD93" s="116"/>
      <c r="BE93" s="116"/>
      <c r="BF93" s="116"/>
      <c r="BG93" s="116"/>
      <c r="BH93" s="116"/>
      <c r="BI93" s="116"/>
      <c r="BJ93" s="116"/>
      <c r="BK93" s="116"/>
    </row>
    <row r="94" spans="1:63" outlineLevel="1">
      <c r="A94" s="4" t="s">
        <v>35</v>
      </c>
      <c r="C94" s="203">
        <f>C$93*'Methanol recycling rates'!E45</f>
        <v>0.27239027607114957</v>
      </c>
      <c r="D94" s="203">
        <f>D$93*'Methanol recycling rates'!F45</f>
        <v>34.740946007891893</v>
      </c>
      <c r="E94" s="203">
        <f>E$93*'Methanol recycling rates'!G45</f>
        <v>69.720828707578931</v>
      </c>
      <c r="F94" s="203">
        <f>F$93*'Methanol recycling rates'!H45</f>
        <v>104.86703231590633</v>
      </c>
      <c r="G94" s="203">
        <f>G$93*'Methanol recycling rates'!I45</f>
        <v>139.84002873175837</v>
      </c>
      <c r="H94" s="203">
        <f>H$93*'Methanol recycling rates'!J45</f>
        <v>174.30572410149338</v>
      </c>
      <c r="I94" s="203">
        <f>I$93*'Methanol recycling rates'!K45</f>
        <v>207.93541536087199</v>
      </c>
      <c r="J94" s="203">
        <f>J$93*'Methanol recycling rates'!L45</f>
        <v>240.40574702834482</v>
      </c>
      <c r="K94" s="203">
        <f>K$93*'Methanol recycling rates'!M45</f>
        <v>271.39866824849781</v>
      </c>
      <c r="L94" s="203">
        <f>L$93*'Methanol recycling rates'!N45</f>
        <v>300.60139008445952</v>
      </c>
      <c r="M94" s="203">
        <f>M$93*'Methanol recycling rates'!O45</f>
        <v>327.70634305808079</v>
      </c>
      <c r="N94" s="203">
        <f>N$93*'Methanol recycling rates'!P45</f>
        <v>341.74582004279733</v>
      </c>
      <c r="O94" s="203">
        <f>O$93*'Methanol recycling rates'!Q45</f>
        <v>352.45317651365718</v>
      </c>
      <c r="P94" s="203">
        <f>P$93*'Methanol recycling rates'!R45</f>
        <v>359.84726209051155</v>
      </c>
      <c r="Q94" s="203">
        <f>Q$93*'Methanol recycling rates'!S45</f>
        <v>363.94760480812056</v>
      </c>
      <c r="R94" s="203">
        <f>R$93*'Methanol recycling rates'!T45</f>
        <v>364.77440306607627</v>
      </c>
      <c r="S94" s="203">
        <f>S$93*'Methanol recycling rates'!U45</f>
        <v>362.34851763288844</v>
      </c>
      <c r="T94" s="203">
        <f>T$93*'Methanol recycling rates'!V45</f>
        <v>356.69146370394986</v>
      </c>
      <c r="U94" s="203">
        <f>U$93*'Methanol recycling rates'!W45</f>
        <v>347.82540301310291</v>
      </c>
      <c r="V94" s="203">
        <f>V$93*'Methanol recycling rates'!X45</f>
        <v>335.77313599753018</v>
      </c>
      <c r="W94" s="203">
        <f>W$93*'Methanol recycling rates'!Y45</f>
        <v>320.55809401568882</v>
      </c>
      <c r="X94" s="203">
        <f>X$93*'Methanol recycling rates'!Z45</f>
        <v>302.26038062774961</v>
      </c>
      <c r="Y94" s="203">
        <f>Y$93*'Methanol recycling rates'!AA45</f>
        <v>280.84017149767533</v>
      </c>
      <c r="Z94" s="203">
        <f>Z$93*'Methanol recycling rates'!AB45</f>
        <v>256.32115767923204</v>
      </c>
      <c r="AA94" s="203">
        <f>AA$93*'Methanol recycling rates'!AC45</f>
        <v>228.72767900476353</v>
      </c>
      <c r="AB94" s="203">
        <f>AB$93*'Methanol recycling rates'!AD45</f>
        <v>198.08471610758471</v>
      </c>
      <c r="AC94" s="203">
        <f>AC$93*'Methanol recycling rates'!AE45</f>
        <v>164.41788249863481</v>
      </c>
      <c r="AD94" s="203">
        <f>AD$93*'Methanol recycling rates'!AF45</f>
        <v>127.75341669711058</v>
      </c>
      <c r="AE94" s="203">
        <f>AE$93*'Methanol recycling rates'!AG45</f>
        <v>88.118174414796329</v>
      </c>
      <c r="AF94" s="203">
        <f>AF$93*'Methanol recycling rates'!AH45</f>
        <v>45.539620793811117</v>
      </c>
      <c r="AG94" s="203">
        <f>AG$93*'Methanol recycling rates'!AI45</f>
        <v>4.582269749538144E-2</v>
      </c>
      <c r="AH94" s="217"/>
      <c r="AI94" s="124"/>
      <c r="AJ94" s="185"/>
      <c r="AL94" s="100"/>
      <c r="AM94" s="2"/>
      <c r="AN94" s="2"/>
      <c r="AO94" s="2"/>
      <c r="BC94" s="1"/>
      <c r="BD94" s="2"/>
      <c r="BE94" s="2"/>
      <c r="BF94" s="2"/>
      <c r="BG94" s="2"/>
      <c r="BH94" s="2"/>
      <c r="BI94" s="2"/>
      <c r="BJ94" s="2"/>
      <c r="BK94" s="2"/>
    </row>
    <row r="95" spans="1:63" outlineLevel="1">
      <c r="A95" s="4" t="s">
        <v>160</v>
      </c>
      <c r="C95" s="203">
        <f>C$93*'Methanol recycling rates'!E46</f>
        <v>0</v>
      </c>
      <c r="D95" s="203">
        <f>D$93*'Methanol recycling rates'!F46</f>
        <v>6.8210995243910735E-2</v>
      </c>
      <c r="E95" s="203">
        <f>E$93*'Methanol recycling rates'!G46</f>
        <v>0.28355984262877637</v>
      </c>
      <c r="F95" s="203">
        <f>F$93*'Methanol recycling rates'!H46</f>
        <v>0.66344683940877813</v>
      </c>
      <c r="G95" s="203">
        <f>G$93*'Methanol recycling rates'!I46</f>
        <v>1.2249749425471623</v>
      </c>
      <c r="H95" s="203">
        <f>H$93*'Methanol recycling rates'!J46</f>
        <v>1.9849521868994513</v>
      </c>
      <c r="I95" s="203">
        <f>I$93*'Methanol recycling rates'!K46</f>
        <v>2.9598940893061303</v>
      </c>
      <c r="J95" s="203">
        <f>J$93*'Methanol recycling rates'!L46</f>
        <v>4.1660260386624088</v>
      </c>
      <c r="K95" s="203">
        <f>K$93*'Methanol recycling rates'!M46</f>
        <v>5.6192856720323654</v>
      </c>
      <c r="L95" s="203">
        <f>L$93*'Methanol recycling rates'!N46</f>
        <v>7.3353252368745041</v>
      </c>
      <c r="M95" s="203">
        <f>M$93*'Methanol recycling rates'!O46</f>
        <v>9.3295139394454765</v>
      </c>
      <c r="N95" s="203">
        <f>N$93*'Methanol recycling rates'!P46</f>
        <v>11.265367034731799</v>
      </c>
      <c r="O95" s="203">
        <f>O$93*'Methanol recycling rates'!Q46</f>
        <v>13.378640408304209</v>
      </c>
      <c r="P95" s="203">
        <f>P$93*'Methanol recycling rates'!R46</f>
        <v>15.667981830480395</v>
      </c>
      <c r="Q95" s="203">
        <f>Q$93*'Methanol recycling rates'!S46</f>
        <v>18.132003146509678</v>
      </c>
      <c r="R95" s="203">
        <f>R$93*'Methanol recycling rates'!T46</f>
        <v>20.769280719690837</v>
      </c>
      <c r="S95" s="203">
        <f>S$93*'Methanol recycling rates'!U46</f>
        <v>23.57835587147401</v>
      </c>
      <c r="T95" s="203">
        <f>T$93*'Methanol recycling rates'!V46</f>
        <v>26.55773531856223</v>
      </c>
      <c r="U95" s="203">
        <f>U$93*'Methanol recycling rates'!W46</f>
        <v>29.705891607028345</v>
      </c>
      <c r="V95" s="203">
        <f>V$93*'Methanol recycling rates'!X46</f>
        <v>33.021263543462929</v>
      </c>
      <c r="W95" s="203">
        <f>W$93*'Methanol recycling rates'!Y46</f>
        <v>36.502256623168435</v>
      </c>
      <c r="X95" s="203">
        <f>X$93*'Methanol recycling rates'!Z46</f>
        <v>40.154689454706933</v>
      </c>
      <c r="Y95" s="203">
        <f>Y$93*'Methanol recycling rates'!AA46</f>
        <v>43.970792947492583</v>
      </c>
      <c r="Z95" s="203">
        <f>Z$93*'Methanol recycling rates'!AB46</f>
        <v>47.948945099406821</v>
      </c>
      <c r="AA95" s="203">
        <f>AA$93*'Methanol recycling rates'!AC46</f>
        <v>52.087489676408893</v>
      </c>
      <c r="AB95" s="203">
        <f>AB$93*'Methanol recycling rates'!AD46</f>
        <v>56.384736651386056</v>
      </c>
      <c r="AC95" s="203">
        <f>AC$93*'Methanol recycling rates'!AE46</f>
        <v>60.838962639982775</v>
      </c>
      <c r="AD95" s="203">
        <f>AD$93*'Methanol recycling rates'!AF46</f>
        <v>65.448411333425099</v>
      </c>
      <c r="AE95" s="203">
        <f>AE$93*'Methanol recycling rates'!AG46</f>
        <v>70.211293928355687</v>
      </c>
      <c r="AF95" s="203">
        <f>AF$93*'Methanol recycling rates'!AH46</f>
        <v>75.125789553695157</v>
      </c>
      <c r="AG95" s="203">
        <f>AG$93*'Methanol recycling rates'!AI46</f>
        <v>80.190045694545574</v>
      </c>
      <c r="AH95" s="217"/>
      <c r="AI95" s="124"/>
      <c r="AJ95" s="185"/>
      <c r="AL95" s="100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1040</v>
      </c>
      <c r="C96" s="203">
        <f>C$93*'Methanol recycling rates'!E47</f>
        <v>0</v>
      </c>
      <c r="D96" s="203">
        <f>D$93*'Methanol recycling rates'!F47</f>
        <v>1.1297123385935082</v>
      </c>
      <c r="E96" s="203">
        <f>E$93*'Methanol recycling rates'!G47</f>
        <v>4.6963257434065842</v>
      </c>
      <c r="F96" s="203">
        <f>F$93*'Methanol recycling rates'!H47</f>
        <v>10.988024405755484</v>
      </c>
      <c r="G96" s="203">
        <f>G$93*'Methanol recycling rates'!I47</f>
        <v>20.288067959057411</v>
      </c>
      <c r="H96" s="203">
        <f>H$93*'Methanol recycling rates'!J47</f>
        <v>32.874831528845938</v>
      </c>
      <c r="I96" s="203">
        <f>I$93*'Methanol recycling rates'!K47</f>
        <v>49.021845549418757</v>
      </c>
      <c r="J96" s="203">
        <f>J$93*'Methanol recycling rates'!L47</f>
        <v>68.997835348237388</v>
      </c>
      <c r="K96" s="203">
        <f>K$93*'Methanol recycling rates'!M47</f>
        <v>93.066760499193592</v>
      </c>
      <c r="L96" s="203">
        <f>L$93*'Methanol recycling rates'!N47</f>
        <v>121.48785394585256</v>
      </c>
      <c r="M96" s="203">
        <f>M$93*'Methanol recycling rates'!O47</f>
        <v>154.51566089577858</v>
      </c>
      <c r="N96" s="203">
        <f>N$93*'Methanol recycling rates'!P47</f>
        <v>186.57731194821099</v>
      </c>
      <c r="O96" s="203">
        <f>O$93*'Methanol recycling rates'!Q47</f>
        <v>221.5774024234926</v>
      </c>
      <c r="P96" s="203">
        <f>P$93*'Methanol recycling rates'!R47</f>
        <v>259.49353665724033</v>
      </c>
      <c r="Q96" s="203">
        <f>Q$93*'Methanol recycling rates'!S47</f>
        <v>300.30272399312213</v>
      </c>
      <c r="R96" s="203">
        <f>R$93*'Methanol recycling rates'!T47</f>
        <v>343.98138612178633</v>
      </c>
      <c r="S96" s="203">
        <f>S$93*'Methanol recycling rates'!U47</f>
        <v>390.50536436984129</v>
      </c>
      <c r="T96" s="203">
        <f>T$93*'Methanol recycling rates'!V47</f>
        <v>439.84992693914262</v>
      </c>
      <c r="U96" s="203">
        <f>U$93*'Methanol recycling rates'!W47</f>
        <v>491.98977609664934</v>
      </c>
      <c r="V96" s="203">
        <f>V$93*'Methanol recycling rates'!X47</f>
        <v>546.89905531510726</v>
      </c>
      <c r="W96" s="203">
        <f>W$93*'Methanol recycling rates'!Y47</f>
        <v>604.55135636481214</v>
      </c>
      <c r="X96" s="203">
        <f>X$93*'Methanol recycling rates'!Z47</f>
        <v>665.04304719733102</v>
      </c>
      <c r="Y96" s="203">
        <f>Y$93*'Methanol recycling rates'!AA47</f>
        <v>728.24545592533718</v>
      </c>
      <c r="Z96" s="203">
        <f>Z$93*'Methanol recycling rates'!AB47</f>
        <v>794.13171890609942</v>
      </c>
      <c r="AA96" s="203">
        <f>AA$93*'Methanol recycling rates'!AC47</f>
        <v>862.6744055468705</v>
      </c>
      <c r="AB96" s="203">
        <f>AB$93*'Methanol recycling rates'!AD47</f>
        <v>933.84552557313498</v>
      </c>
      <c r="AC96" s="203">
        <f>AC$93*'Methanol recycling rates'!AE47</f>
        <v>1007.6165362468253</v>
      </c>
      <c r="AD96" s="203">
        <f>AD$93*'Methanol recycling rates'!AF47</f>
        <v>1083.9583495347699</v>
      </c>
      <c r="AE96" s="203">
        <f>AE$93*'Methanol recycling rates'!AG47</f>
        <v>1162.8413392276332</v>
      </c>
      <c r="AF96" s="203">
        <f>AF$93*'Methanol recycling rates'!AH47</f>
        <v>1244.2353480096037</v>
      </c>
      <c r="AG96" s="203">
        <f>AG$93*'Methanol recycling rates'!AI47</f>
        <v>1328.1096944790957</v>
      </c>
      <c r="AH96" s="217"/>
      <c r="AI96" s="124"/>
      <c r="AJ96" s="185"/>
      <c r="AL96" s="100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s="1" customFormat="1" outlineLevel="1">
      <c r="A97" s="1" t="s">
        <v>1046</v>
      </c>
      <c r="B97" s="60"/>
      <c r="C97" s="250">
        <f>C93-$C93</f>
        <v>0</v>
      </c>
      <c r="D97" s="250">
        <f t="shared" ref="D97:AG97" si="46">D93-$C93</f>
        <v>35.666479065658166</v>
      </c>
      <c r="E97" s="250">
        <f t="shared" si="46"/>
        <v>74.428324017543147</v>
      </c>
      <c r="F97" s="250">
        <f t="shared" si="46"/>
        <v>116.24611328499945</v>
      </c>
      <c r="G97" s="250">
        <f t="shared" si="46"/>
        <v>161.08068135729181</v>
      </c>
      <c r="H97" s="250">
        <f t="shared" si="46"/>
        <v>208.89311754116764</v>
      </c>
      <c r="I97" s="250">
        <f t="shared" si="46"/>
        <v>259.64476472352578</v>
      </c>
      <c r="J97" s="250">
        <f t="shared" si="46"/>
        <v>313.29721813917354</v>
      </c>
      <c r="K97" s="250">
        <f t="shared" si="46"/>
        <v>369.81232414365269</v>
      </c>
      <c r="L97" s="250">
        <f t="shared" si="46"/>
        <v>429.15217899111559</v>
      </c>
      <c r="M97" s="250">
        <f t="shared" si="46"/>
        <v>491.27912761723383</v>
      </c>
      <c r="N97" s="250">
        <f t="shared" si="46"/>
        <v>539.31610874966907</v>
      </c>
      <c r="O97" s="250">
        <f t="shared" si="46"/>
        <v>587.136829069383</v>
      </c>
      <c r="P97" s="250">
        <f t="shared" si="46"/>
        <v>634.73639030216134</v>
      </c>
      <c r="Q97" s="250">
        <f t="shared" si="46"/>
        <v>682.10994167168144</v>
      </c>
      <c r="R97" s="250">
        <f t="shared" si="46"/>
        <v>729.25267963148258</v>
      </c>
      <c r="S97" s="250">
        <f t="shared" si="46"/>
        <v>776.15984759813284</v>
      </c>
      <c r="T97" s="250">
        <f t="shared" si="46"/>
        <v>822.8267356855838</v>
      </c>
      <c r="U97" s="250">
        <f t="shared" si="46"/>
        <v>869.24868044070968</v>
      </c>
      <c r="V97" s="250">
        <f t="shared" si="46"/>
        <v>915.42106458002945</v>
      </c>
      <c r="W97" s="250">
        <f t="shared" si="46"/>
        <v>961.33931672759843</v>
      </c>
      <c r="X97" s="250">
        <f t="shared" si="46"/>
        <v>1007.1857270037166</v>
      </c>
      <c r="Y97" s="250">
        <f t="shared" si="46"/>
        <v>1052.7840300944342</v>
      </c>
      <c r="Z97" s="250">
        <f t="shared" si="46"/>
        <v>1098.1294314086674</v>
      </c>
      <c r="AA97" s="250">
        <f t="shared" si="46"/>
        <v>1143.2171839519719</v>
      </c>
      <c r="AB97" s="250">
        <f t="shared" si="46"/>
        <v>1188.0425880560347</v>
      </c>
      <c r="AC97" s="250">
        <f t="shared" si="46"/>
        <v>1232.6009911093718</v>
      </c>
      <c r="AD97" s="250">
        <f t="shared" si="46"/>
        <v>1276.8877872892344</v>
      </c>
      <c r="AE97" s="250">
        <f t="shared" si="46"/>
        <v>1320.8984172947139</v>
      </c>
      <c r="AF97" s="250">
        <f t="shared" si="46"/>
        <v>1364.6283680810386</v>
      </c>
      <c r="AG97" s="250">
        <f t="shared" si="46"/>
        <v>1408.0731725950654</v>
      </c>
      <c r="AH97" s="217"/>
      <c r="AI97" s="368"/>
      <c r="AJ97" s="369"/>
      <c r="AL97" s="194"/>
      <c r="AM97" s="116"/>
      <c r="AN97" s="116"/>
      <c r="AO97" s="116"/>
      <c r="BD97" s="116"/>
      <c r="BE97" s="116"/>
      <c r="BF97" s="116"/>
      <c r="BG97" s="116"/>
      <c r="BH97" s="116"/>
      <c r="BI97" s="116"/>
      <c r="BJ97" s="116"/>
      <c r="BK97" s="116"/>
    </row>
    <row r="98" spans="1:63" outlineLevel="1">
      <c r="A98" s="4" t="s">
        <v>35</v>
      </c>
      <c r="C98" s="203">
        <f t="shared" ref="C98:AF98" si="47">C94-$C94</f>
        <v>0</v>
      </c>
      <c r="D98" s="203">
        <f t="shared" si="47"/>
        <v>34.468555731820743</v>
      </c>
      <c r="E98" s="203">
        <f t="shared" si="47"/>
        <v>69.448438431507782</v>
      </c>
      <c r="F98" s="203">
        <f t="shared" si="47"/>
        <v>104.59464203983518</v>
      </c>
      <c r="G98" s="203">
        <f t="shared" si="47"/>
        <v>139.56763845568722</v>
      </c>
      <c r="H98" s="203">
        <f t="shared" si="47"/>
        <v>174.03333382542223</v>
      </c>
      <c r="I98" s="203">
        <f t="shared" si="47"/>
        <v>207.66302508480084</v>
      </c>
      <c r="J98" s="203">
        <f t="shared" si="47"/>
        <v>240.13335675227367</v>
      </c>
      <c r="K98" s="203">
        <f t="shared" si="47"/>
        <v>271.12627797242669</v>
      </c>
      <c r="L98" s="203">
        <f t="shared" si="47"/>
        <v>300.3289998083884</v>
      </c>
      <c r="M98" s="203">
        <f t="shared" si="47"/>
        <v>327.43395278200967</v>
      </c>
      <c r="N98" s="203">
        <f t="shared" si="47"/>
        <v>341.47342976672621</v>
      </c>
      <c r="O98" s="203">
        <f t="shared" si="47"/>
        <v>352.18078623758606</v>
      </c>
      <c r="P98" s="203">
        <f t="shared" si="47"/>
        <v>359.57487181444043</v>
      </c>
      <c r="Q98" s="203">
        <f t="shared" si="47"/>
        <v>363.67521453204944</v>
      </c>
      <c r="R98" s="203">
        <f t="shared" si="47"/>
        <v>364.50201279000515</v>
      </c>
      <c r="S98" s="203">
        <f t="shared" si="47"/>
        <v>362.07612735681732</v>
      </c>
      <c r="T98" s="203">
        <f t="shared" si="47"/>
        <v>356.41907342787874</v>
      </c>
      <c r="U98" s="203">
        <f t="shared" si="47"/>
        <v>347.55301273703179</v>
      </c>
      <c r="V98" s="203">
        <f t="shared" si="47"/>
        <v>335.50074572145905</v>
      </c>
      <c r="W98" s="203">
        <f t="shared" si="47"/>
        <v>320.2857037396177</v>
      </c>
      <c r="X98" s="203">
        <f t="shared" si="47"/>
        <v>301.98799035167849</v>
      </c>
      <c r="Y98" s="203">
        <f t="shared" si="47"/>
        <v>280.56778122160421</v>
      </c>
      <c r="Z98" s="203">
        <f t="shared" si="47"/>
        <v>256.04876740316092</v>
      </c>
      <c r="AA98" s="203">
        <f t="shared" si="47"/>
        <v>228.45528872869238</v>
      </c>
      <c r="AB98" s="203">
        <f t="shared" si="47"/>
        <v>197.81232583151356</v>
      </c>
      <c r="AC98" s="203">
        <f t="shared" si="47"/>
        <v>164.14549222256366</v>
      </c>
      <c r="AD98" s="203">
        <f t="shared" si="47"/>
        <v>127.48102642103943</v>
      </c>
      <c r="AE98" s="203">
        <f t="shared" si="47"/>
        <v>87.845784138725179</v>
      </c>
      <c r="AF98" s="203">
        <f t="shared" si="47"/>
        <v>45.267230517739968</v>
      </c>
      <c r="AG98" s="203">
        <f>AG94-$C94</f>
        <v>-0.22656757857576815</v>
      </c>
      <c r="AH98" s="217"/>
      <c r="AI98" s="124"/>
      <c r="AJ98" s="185"/>
      <c r="AL98" s="100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outlineLevel="1">
      <c r="A99" s="4" t="s">
        <v>160</v>
      </c>
      <c r="C99" s="203">
        <f t="shared" ref="C99:AG99" si="48">C95-$C95</f>
        <v>0</v>
      </c>
      <c r="D99" s="203">
        <f t="shared" si="48"/>
        <v>6.8210995243910735E-2</v>
      </c>
      <c r="E99" s="203">
        <f t="shared" si="48"/>
        <v>0.28355984262877637</v>
      </c>
      <c r="F99" s="203">
        <f t="shared" si="48"/>
        <v>0.66344683940877813</v>
      </c>
      <c r="G99" s="203">
        <f t="shared" si="48"/>
        <v>1.2249749425471623</v>
      </c>
      <c r="H99" s="203">
        <f t="shared" si="48"/>
        <v>1.9849521868994513</v>
      </c>
      <c r="I99" s="203">
        <f t="shared" si="48"/>
        <v>2.9598940893061303</v>
      </c>
      <c r="J99" s="203">
        <f t="shared" si="48"/>
        <v>4.1660260386624088</v>
      </c>
      <c r="K99" s="203">
        <f t="shared" si="48"/>
        <v>5.6192856720323654</v>
      </c>
      <c r="L99" s="203">
        <f t="shared" si="48"/>
        <v>7.3353252368745041</v>
      </c>
      <c r="M99" s="203">
        <f t="shared" si="48"/>
        <v>9.3295139394454765</v>
      </c>
      <c r="N99" s="203">
        <f t="shared" si="48"/>
        <v>11.265367034731799</v>
      </c>
      <c r="O99" s="203">
        <f t="shared" si="48"/>
        <v>13.378640408304209</v>
      </c>
      <c r="P99" s="203">
        <f t="shared" si="48"/>
        <v>15.667981830480395</v>
      </c>
      <c r="Q99" s="203">
        <f t="shared" si="48"/>
        <v>18.132003146509678</v>
      </c>
      <c r="R99" s="203">
        <f t="shared" si="48"/>
        <v>20.769280719690837</v>
      </c>
      <c r="S99" s="203">
        <f t="shared" si="48"/>
        <v>23.57835587147401</v>
      </c>
      <c r="T99" s="203">
        <f t="shared" si="48"/>
        <v>26.55773531856223</v>
      </c>
      <c r="U99" s="203">
        <f t="shared" si="48"/>
        <v>29.705891607028345</v>
      </c>
      <c r="V99" s="203">
        <f t="shared" si="48"/>
        <v>33.021263543462929</v>
      </c>
      <c r="W99" s="203">
        <f t="shared" si="48"/>
        <v>36.502256623168435</v>
      </c>
      <c r="X99" s="203">
        <f t="shared" si="48"/>
        <v>40.154689454706933</v>
      </c>
      <c r="Y99" s="203">
        <f t="shared" si="48"/>
        <v>43.970792947492583</v>
      </c>
      <c r="Z99" s="203">
        <f t="shared" si="48"/>
        <v>47.948945099406821</v>
      </c>
      <c r="AA99" s="203">
        <f t="shared" si="48"/>
        <v>52.087489676408893</v>
      </c>
      <c r="AB99" s="203">
        <f t="shared" si="48"/>
        <v>56.384736651386056</v>
      </c>
      <c r="AC99" s="203">
        <f t="shared" si="48"/>
        <v>60.838962639982775</v>
      </c>
      <c r="AD99" s="203">
        <f t="shared" si="48"/>
        <v>65.448411333425099</v>
      </c>
      <c r="AE99" s="203">
        <f t="shared" si="48"/>
        <v>70.211293928355687</v>
      </c>
      <c r="AF99" s="203">
        <f t="shared" si="48"/>
        <v>75.125789553695157</v>
      </c>
      <c r="AG99" s="203">
        <f t="shared" si="48"/>
        <v>80.190045694545574</v>
      </c>
      <c r="AH99" s="217"/>
      <c r="AI99" s="124"/>
      <c r="AJ99" s="185"/>
      <c r="AL99" s="100"/>
      <c r="AM99" s="2"/>
      <c r="AN99" s="2"/>
      <c r="AO99" s="2"/>
      <c r="BC99" s="1"/>
      <c r="BD99" s="2"/>
      <c r="BE99" s="2"/>
      <c r="BF99" s="2"/>
      <c r="BG99" s="2"/>
      <c r="BH99" s="2"/>
      <c r="BI99" s="2"/>
      <c r="BJ99" s="2"/>
      <c r="BK99" s="2"/>
    </row>
    <row r="100" spans="1:63" outlineLevel="1">
      <c r="A100" s="4" t="s">
        <v>1040</v>
      </c>
      <c r="C100" s="203">
        <f t="shared" ref="C100:AG100" si="49">C96-$C96</f>
        <v>0</v>
      </c>
      <c r="D100" s="203">
        <f t="shared" si="49"/>
        <v>1.1297123385935082</v>
      </c>
      <c r="E100" s="203">
        <f t="shared" si="49"/>
        <v>4.6963257434065842</v>
      </c>
      <c r="F100" s="203">
        <f t="shared" si="49"/>
        <v>10.988024405755484</v>
      </c>
      <c r="G100" s="203">
        <f t="shared" si="49"/>
        <v>20.288067959057411</v>
      </c>
      <c r="H100" s="203">
        <f t="shared" si="49"/>
        <v>32.874831528845938</v>
      </c>
      <c r="I100" s="203">
        <f t="shared" si="49"/>
        <v>49.021845549418757</v>
      </c>
      <c r="J100" s="203">
        <f t="shared" si="49"/>
        <v>68.997835348237388</v>
      </c>
      <c r="K100" s="203">
        <f t="shared" si="49"/>
        <v>93.066760499193592</v>
      </c>
      <c r="L100" s="203">
        <f t="shared" si="49"/>
        <v>121.48785394585256</v>
      </c>
      <c r="M100" s="203">
        <f t="shared" si="49"/>
        <v>154.51566089577858</v>
      </c>
      <c r="N100" s="203">
        <f t="shared" si="49"/>
        <v>186.57731194821099</v>
      </c>
      <c r="O100" s="203">
        <f t="shared" si="49"/>
        <v>221.5774024234926</v>
      </c>
      <c r="P100" s="203">
        <f t="shared" si="49"/>
        <v>259.49353665724033</v>
      </c>
      <c r="Q100" s="203">
        <f t="shared" si="49"/>
        <v>300.30272399312213</v>
      </c>
      <c r="R100" s="203">
        <f t="shared" si="49"/>
        <v>343.98138612178633</v>
      </c>
      <c r="S100" s="203">
        <f t="shared" si="49"/>
        <v>390.50536436984129</v>
      </c>
      <c r="T100" s="203">
        <f t="shared" si="49"/>
        <v>439.84992693914262</v>
      </c>
      <c r="U100" s="203">
        <f t="shared" si="49"/>
        <v>491.98977609664934</v>
      </c>
      <c r="V100" s="203">
        <f t="shared" si="49"/>
        <v>546.89905531510726</v>
      </c>
      <c r="W100" s="203">
        <f t="shared" si="49"/>
        <v>604.55135636481214</v>
      </c>
      <c r="X100" s="203">
        <f t="shared" si="49"/>
        <v>665.04304719733102</v>
      </c>
      <c r="Y100" s="203">
        <f t="shared" si="49"/>
        <v>728.24545592533718</v>
      </c>
      <c r="Z100" s="203">
        <f t="shared" si="49"/>
        <v>794.13171890609942</v>
      </c>
      <c r="AA100" s="203">
        <f t="shared" si="49"/>
        <v>862.6744055468705</v>
      </c>
      <c r="AB100" s="203">
        <f t="shared" si="49"/>
        <v>933.84552557313498</v>
      </c>
      <c r="AC100" s="203">
        <f t="shared" si="49"/>
        <v>1007.6165362468253</v>
      </c>
      <c r="AD100" s="203">
        <f t="shared" si="49"/>
        <v>1083.9583495347699</v>
      </c>
      <c r="AE100" s="203">
        <f t="shared" si="49"/>
        <v>1162.8413392276332</v>
      </c>
      <c r="AF100" s="203">
        <f t="shared" si="49"/>
        <v>1244.2353480096037</v>
      </c>
      <c r="AG100" s="203">
        <f t="shared" si="49"/>
        <v>1328.1096944790957</v>
      </c>
      <c r="AH100" s="217"/>
      <c r="AI100" s="124"/>
      <c r="AJ100" s="185"/>
      <c r="AL100" s="100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s="1" customFormat="1" outlineLevel="1">
      <c r="A101" s="1" t="s">
        <v>1044</v>
      </c>
      <c r="B101" s="60"/>
      <c r="C101" s="250">
        <f>C39*C67</f>
        <v>1.2611295527884407</v>
      </c>
      <c r="D101" s="250">
        <f t="shared" ref="D101:AG101" si="50">D39*D67</f>
        <v>166.95662150757897</v>
      </c>
      <c r="E101" s="250">
        <f t="shared" si="50"/>
        <v>348.20111793000797</v>
      </c>
      <c r="F101" s="250">
        <f t="shared" si="50"/>
        <v>544.95612766442105</v>
      </c>
      <c r="G101" s="250">
        <f t="shared" si="50"/>
        <v>757.18188393988157</v>
      </c>
      <c r="H101" s="250">
        <f t="shared" si="50"/>
        <v>984.83735863357879</v>
      </c>
      <c r="I101" s="250">
        <f t="shared" si="50"/>
        <v>1227.8802764412521</v>
      </c>
      <c r="J101" s="250">
        <f t="shared" si="50"/>
        <v>1486.2671289550974</v>
      </c>
      <c r="K101" s="250">
        <f t="shared" si="50"/>
        <v>1759.9531886496341</v>
      </c>
      <c r="L101" s="250">
        <f t="shared" si="50"/>
        <v>2048.8925227759914</v>
      </c>
      <c r="M101" s="250">
        <f t="shared" si="50"/>
        <v>2353.0380071650911</v>
      </c>
      <c r="N101" s="250">
        <f t="shared" si="50"/>
        <v>2591.4660239557134</v>
      </c>
      <c r="O101" s="250">
        <f t="shared" si="50"/>
        <v>2830.3613215345222</v>
      </c>
      <c r="P101" s="250">
        <f t="shared" si="50"/>
        <v>3069.6900289236037</v>
      </c>
      <c r="Q101" s="250">
        <f t="shared" si="50"/>
        <v>3309.4181976956911</v>
      </c>
      <c r="R101" s="250">
        <f t="shared" si="50"/>
        <v>3549.5118044009828</v>
      </c>
      <c r="S101" s="250">
        <f t="shared" si="50"/>
        <v>3789.9367529745459</v>
      </c>
      <c r="T101" s="250">
        <f t="shared" si="50"/>
        <v>4030.6588771243801</v>
      </c>
      <c r="U101" s="250">
        <f t="shared" si="50"/>
        <v>4271.6439427002624</v>
      </c>
      <c r="V101" s="250">
        <f t="shared" si="50"/>
        <v>4512.8576500434938</v>
      </c>
      <c r="W101" s="250">
        <f t="shared" si="50"/>
        <v>4754.2656363176065</v>
      </c>
      <c r="X101" s="250">
        <f t="shared" si="50"/>
        <v>4996.7600413731443</v>
      </c>
      <c r="Y101" s="250">
        <f t="shared" si="50"/>
        <v>5239.4604749047303</v>
      </c>
      <c r="Z101" s="250">
        <f t="shared" si="50"/>
        <v>5482.3313130195165</v>
      </c>
      <c r="AA101" s="250">
        <f t="shared" si="50"/>
        <v>5725.3368688469573</v>
      </c>
      <c r="AB101" s="250">
        <f t="shared" si="50"/>
        <v>5968.4413949188274</v>
      </c>
      <c r="AC101" s="250">
        <f t="shared" si="50"/>
        <v>6211.6090855298353</v>
      </c>
      <c r="AD101" s="250">
        <f t="shared" si="50"/>
        <v>6454.8040790789373</v>
      </c>
      <c r="AE101" s="250">
        <f t="shared" si="50"/>
        <v>6697.9904603914756</v>
      </c>
      <c r="AF101" s="250">
        <f t="shared" si="50"/>
        <v>6941.1322630222121</v>
      </c>
      <c r="AG101" s="250">
        <f t="shared" si="50"/>
        <v>7184.19347153942</v>
      </c>
      <c r="AH101" s="217"/>
      <c r="AI101" s="368"/>
      <c r="AJ101" s="369"/>
      <c r="AL101" s="194"/>
      <c r="AM101" s="116"/>
      <c r="AN101" s="116"/>
      <c r="AO101" s="116"/>
      <c r="BD101" s="116"/>
      <c r="BE101" s="116"/>
      <c r="BF101" s="116"/>
      <c r="BG101" s="116"/>
      <c r="BH101" s="116"/>
      <c r="BI101" s="116"/>
      <c r="BJ101" s="116"/>
      <c r="BK101" s="116"/>
    </row>
    <row r="102" spans="1:63" outlineLevel="1">
      <c r="A102" s="4" t="s">
        <v>35</v>
      </c>
      <c r="C102" s="203">
        <f>C$101*'Methanol recycling rates'!E42</f>
        <v>1.2611295527884407</v>
      </c>
      <c r="D102" s="203">
        <f>D$101*'Methanol recycling rates'!F42</f>
        <v>161.39140079065967</v>
      </c>
      <c r="E102" s="203">
        <f>E$101*'Methanol recycling rates'!G42</f>
        <v>324.98771006800746</v>
      </c>
      <c r="F102" s="203">
        <f>F$101*'Methanol recycling rates'!H42</f>
        <v>490.46051489797895</v>
      </c>
      <c r="G102" s="203">
        <f>G$101*'Methanol recycling rates'!I42</f>
        <v>656.22429941456403</v>
      </c>
      <c r="H102" s="203">
        <f>H$101*'Methanol recycling rates'!J42</f>
        <v>820.69779886131573</v>
      </c>
      <c r="I102" s="203">
        <f>I$101*'Methanol recycling rates'!K42</f>
        <v>982.30422115300178</v>
      </c>
      <c r="J102" s="203">
        <f>J$101*'Methanol recycling rates'!L42</f>
        <v>1139.4714655322414</v>
      </c>
      <c r="K102" s="203">
        <f>K$101*'Methanol recycling rates'!M42</f>
        <v>1290.6323383430652</v>
      </c>
      <c r="L102" s="203">
        <f>L$101*'Methanol recycling rates'!N42</f>
        <v>1434.2247659431941</v>
      </c>
      <c r="M102" s="203">
        <f>M$101*'Methanol recycling rates'!O42</f>
        <v>1568.6920047767276</v>
      </c>
      <c r="N102" s="203">
        <f>N$101*'Methanol recycling rates'!P42</f>
        <v>1641.2618151719521</v>
      </c>
      <c r="O102" s="203">
        <f>O$101*'Methanol recycling rates'!Q42</f>
        <v>1698.2167929207135</v>
      </c>
      <c r="P102" s="203">
        <f>P$101*'Methanol recycling rates'!R42</f>
        <v>1739.4910163900424</v>
      </c>
      <c r="Q102" s="203">
        <f>Q$101*'Methanol recycling rates'!S42</f>
        <v>1765.0230387710355</v>
      </c>
      <c r="R102" s="203">
        <f>R$101*'Methanol recycling rates'!T42</f>
        <v>1774.7559022004918</v>
      </c>
      <c r="S102" s="203">
        <f>S$101*'Methanol recycling rates'!U42</f>
        <v>1768.637151388122</v>
      </c>
      <c r="T102" s="203">
        <f>T$101*'Methanol recycling rates'!V42</f>
        <v>1746.6188467538984</v>
      </c>
      <c r="U102" s="203">
        <f>U$101*'Methanol recycling rates'!W42</f>
        <v>1708.6575770801055</v>
      </c>
      <c r="V102" s="203">
        <f>V$101*'Methanol recycling rates'!X42</f>
        <v>1654.7144716826151</v>
      </c>
      <c r="W102" s="203">
        <f>W$101*'Methanol recycling rates'!Y42</f>
        <v>1584.7552121058695</v>
      </c>
      <c r="X102" s="203">
        <f>X$101*'Methanol recycling rates'!Z42</f>
        <v>1499.028012411944</v>
      </c>
      <c r="Y102" s="203">
        <f>Y$101*'Methanol recycling rates'!AA42</f>
        <v>1397.1894599745956</v>
      </c>
      <c r="Z102" s="203">
        <f>Z$101*'Methanol recycling rates'!AB42</f>
        <v>1279.2106397045548</v>
      </c>
      <c r="AA102" s="203">
        <f>AA$101*'Methanol recycling rates'!AC42</f>
        <v>1145.0673737693924</v>
      </c>
      <c r="AB102" s="203">
        <f>AB$101*'Methanol recycling rates'!AD42</f>
        <v>994.74023248647234</v>
      </c>
      <c r="AC102" s="203">
        <f>AC$101*'Methanol recycling rates'!AE42</f>
        <v>828.21454473731262</v>
      </c>
      <c r="AD102" s="203">
        <f>AD$101*'Methanol recycling rates'!AF42</f>
        <v>645.48040790789503</v>
      </c>
      <c r="AE102" s="203">
        <f>AE$101*'Methanol recycling rates'!AG42</f>
        <v>446.53269735943309</v>
      </c>
      <c r="AF102" s="203">
        <f>AF$101*'Methanol recycling rates'!AH42</f>
        <v>231.37107543407518</v>
      </c>
      <c r="AG102" s="203">
        <f>AG$101*'Methanol recycling rates'!AI42</f>
        <v>0</v>
      </c>
      <c r="AH102" s="217"/>
      <c r="AI102" s="124"/>
      <c r="AJ102" s="185"/>
      <c r="AL102" s="100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160</v>
      </c>
      <c r="C103" s="203">
        <f>C$101*'Methanol recycling rates'!E43</f>
        <v>0</v>
      </c>
      <c r="D103" s="203">
        <f>D$101*'Methanol recycling rates'!F43</f>
        <v>2.7826103584596495</v>
      </c>
      <c r="E103" s="203">
        <f>E$101*'Methanol recycling rates'!G43</f>
        <v>11.606703931000265</v>
      </c>
      <c r="F103" s="203">
        <f>F$101*'Methanol recycling rates'!H43</f>
        <v>27.247806383221054</v>
      </c>
      <c r="G103" s="203">
        <f>G$101*'Methanol recycling rates'!I43</f>
        <v>50.478792262658772</v>
      </c>
      <c r="H103" s="203">
        <f>H$101*'Methanol recycling rates'!J43</f>
        <v>82.069779886131556</v>
      </c>
      <c r="I103" s="203">
        <f>I$101*'Methanol recycling rates'!K43</f>
        <v>122.78802764412521</v>
      </c>
      <c r="J103" s="203">
        <f>J$101*'Methanol recycling rates'!L43</f>
        <v>173.39783171142801</v>
      </c>
      <c r="K103" s="203">
        <f>K$101*'Methanol recycling rates'!M43</f>
        <v>234.66042515328454</v>
      </c>
      <c r="L103" s="203">
        <f>L$101*'Methanol recycling rates'!N43</f>
        <v>307.3338784163987</v>
      </c>
      <c r="M103" s="203">
        <f>M$101*'Methanol recycling rates'!O43</f>
        <v>392.17300119418184</v>
      </c>
      <c r="N103" s="203">
        <f>N$101*'Methanol recycling rates'!P43</f>
        <v>475.10210439188074</v>
      </c>
      <c r="O103" s="203">
        <f>O$101*'Methanol recycling rates'!Q43</f>
        <v>566.07226430690434</v>
      </c>
      <c r="P103" s="203">
        <f>P$101*'Methanol recycling rates'!R43</f>
        <v>665.09950626678074</v>
      </c>
      <c r="Q103" s="203">
        <f>Q$101*'Methanol recycling rates'!S43</f>
        <v>772.19757946232789</v>
      </c>
      <c r="R103" s="203">
        <f>R$101*'Methanol recycling rates'!T43</f>
        <v>887.37795110024558</v>
      </c>
      <c r="S103" s="203">
        <f>S$101*'Methanol recycling rates'!U43</f>
        <v>1010.6498007932122</v>
      </c>
      <c r="T103" s="203">
        <f>T$101*'Methanol recycling rates'!V43</f>
        <v>1142.0200151852409</v>
      </c>
      <c r="U103" s="203">
        <f>U$101*'Methanol recycling rates'!W43</f>
        <v>1281.4931828100787</v>
      </c>
      <c r="V103" s="203">
        <f>V$101*'Methanol recycling rates'!X43</f>
        <v>1429.0715891804396</v>
      </c>
      <c r="W103" s="203">
        <f>W$101*'Methanol recycling rates'!Y43</f>
        <v>1584.7552121058688</v>
      </c>
      <c r="X103" s="203">
        <f>X$101*'Methanol recycling rates'!Z43</f>
        <v>1748.8660144806004</v>
      </c>
      <c r="Y103" s="203">
        <f>Y$101*'Methanol recycling rates'!AA43</f>
        <v>1921.1355074650676</v>
      </c>
      <c r="Z103" s="203">
        <f>Z$101*'Methanol recycling rates'!AB43</f>
        <v>2101.560336657481</v>
      </c>
      <c r="AA103" s="203">
        <f>AA$101*'Methanol recycling rates'!AC43</f>
        <v>2290.1347475387829</v>
      </c>
      <c r="AB103" s="203">
        <f>AB$101*'Methanol recycling rates'!AD43</f>
        <v>2486.8505812161779</v>
      </c>
      <c r="AC103" s="203">
        <f>AC$101*'Methanol recycling rates'!AE43</f>
        <v>2691.6972703962615</v>
      </c>
      <c r="AD103" s="203">
        <f>AD$101*'Methanol recycling rates'!AF43</f>
        <v>2904.6618355855217</v>
      </c>
      <c r="AE103" s="203">
        <f>AE$101*'Methanol recycling rates'!AG43</f>
        <v>3125.7288815160218</v>
      </c>
      <c r="AF103" s="203">
        <f>AF$101*'Methanol recycling rates'!AH43</f>
        <v>3354.8805937940688</v>
      </c>
      <c r="AG103" s="203">
        <f>AG$101*'Methanol recycling rates'!AI43</f>
        <v>3592.09673576971</v>
      </c>
      <c r="AH103" s="217"/>
      <c r="AI103" s="124"/>
      <c r="AJ103" s="185"/>
      <c r="AL103" s="100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outlineLevel="1">
      <c r="A104" s="4" t="s">
        <v>1040</v>
      </c>
      <c r="C104" s="203">
        <f>C$101*'Methanol recycling rates'!E44</f>
        <v>0</v>
      </c>
      <c r="D104" s="203">
        <f>D$101*'Methanol recycling rates'!F44</f>
        <v>2.7826103584596495</v>
      </c>
      <c r="E104" s="203">
        <f>E$101*'Methanol recycling rates'!G44</f>
        <v>11.606703931000265</v>
      </c>
      <c r="F104" s="203">
        <f>F$101*'Methanol recycling rates'!H44</f>
        <v>27.247806383221054</v>
      </c>
      <c r="G104" s="203">
        <f>G$101*'Methanol recycling rates'!I44</f>
        <v>50.478792262658772</v>
      </c>
      <c r="H104" s="203">
        <f>H$101*'Methanol recycling rates'!J44</f>
        <v>82.069779886131556</v>
      </c>
      <c r="I104" s="203">
        <f>I$101*'Methanol recycling rates'!K44</f>
        <v>122.78802764412521</v>
      </c>
      <c r="J104" s="203">
        <f>J$101*'Methanol recycling rates'!L44</f>
        <v>173.39783171142801</v>
      </c>
      <c r="K104" s="203">
        <f>K$101*'Methanol recycling rates'!M44</f>
        <v>234.66042515328454</v>
      </c>
      <c r="L104" s="203">
        <f>L$101*'Methanol recycling rates'!N44</f>
        <v>307.3338784163987</v>
      </c>
      <c r="M104" s="203">
        <f>M$101*'Methanol recycling rates'!O44</f>
        <v>392.17300119418184</v>
      </c>
      <c r="N104" s="203">
        <f>N$101*'Methanol recycling rates'!P44</f>
        <v>475.10210439188074</v>
      </c>
      <c r="O104" s="203">
        <f>O$101*'Methanol recycling rates'!Q44</f>
        <v>566.07226430690434</v>
      </c>
      <c r="P104" s="203">
        <f>P$101*'Methanol recycling rates'!R44</f>
        <v>665.09950626678074</v>
      </c>
      <c r="Q104" s="203">
        <f>Q$101*'Methanol recycling rates'!S44</f>
        <v>772.19757946232789</v>
      </c>
      <c r="R104" s="203">
        <f>R$101*'Methanol recycling rates'!T44</f>
        <v>887.37795110024558</v>
      </c>
      <c r="S104" s="203">
        <f>S$101*'Methanol recycling rates'!U44</f>
        <v>1010.6498007932122</v>
      </c>
      <c r="T104" s="203">
        <f>T$101*'Methanol recycling rates'!V44</f>
        <v>1142.0200151852409</v>
      </c>
      <c r="U104" s="203">
        <f>U$101*'Methanol recycling rates'!W44</f>
        <v>1281.4931828100787</v>
      </c>
      <c r="V104" s="203">
        <f>V$101*'Methanol recycling rates'!X44</f>
        <v>1429.0715891804396</v>
      </c>
      <c r="W104" s="203">
        <f>W$101*'Methanol recycling rates'!Y44</f>
        <v>1584.7552121058688</v>
      </c>
      <c r="X104" s="203">
        <f>X$101*'Methanol recycling rates'!Z44</f>
        <v>1748.8660144806004</v>
      </c>
      <c r="Y104" s="203">
        <f>Y$101*'Methanol recycling rates'!AA44</f>
        <v>1921.1355074650676</v>
      </c>
      <c r="Z104" s="203">
        <f>Z$101*'Methanol recycling rates'!AB44</f>
        <v>2101.560336657481</v>
      </c>
      <c r="AA104" s="203">
        <f>AA$101*'Methanol recycling rates'!AC44</f>
        <v>2290.1347475387829</v>
      </c>
      <c r="AB104" s="203">
        <f>AB$101*'Methanol recycling rates'!AD44</f>
        <v>2486.8505812161779</v>
      </c>
      <c r="AC104" s="203">
        <f>AC$101*'Methanol recycling rates'!AE44</f>
        <v>2691.6972703962615</v>
      </c>
      <c r="AD104" s="203">
        <f>AD$101*'Methanol recycling rates'!AF44</f>
        <v>2904.6618355855217</v>
      </c>
      <c r="AE104" s="203">
        <f>AE$101*'Methanol recycling rates'!AG44</f>
        <v>3125.7288815160218</v>
      </c>
      <c r="AF104" s="203">
        <f>AF$101*'Methanol recycling rates'!AH44</f>
        <v>3354.8805937940688</v>
      </c>
      <c r="AG104" s="203">
        <f>AG$101*'Methanol recycling rates'!AI44</f>
        <v>3592.09673576971</v>
      </c>
      <c r="AH104" s="217"/>
      <c r="AI104" s="124"/>
      <c r="AJ104" s="185"/>
      <c r="AL104" s="100"/>
      <c r="AM104" s="2"/>
      <c r="AN104" s="2"/>
      <c r="AO104" s="2"/>
      <c r="BC104" s="1"/>
      <c r="BD104" s="2"/>
      <c r="BE104" s="2"/>
      <c r="BF104" s="2"/>
      <c r="BG104" s="2"/>
      <c r="BH104" s="2"/>
      <c r="BI104" s="2"/>
      <c r="BJ104" s="2"/>
      <c r="BK104" s="2"/>
    </row>
    <row r="105" spans="1:63" s="1" customFormat="1" outlineLevel="1">
      <c r="A105" s="1" t="s">
        <v>1047</v>
      </c>
      <c r="B105" s="60"/>
      <c r="C105" s="250">
        <f>C101-$C101</f>
        <v>0</v>
      </c>
      <c r="D105" s="250">
        <f t="shared" ref="D105:AG105" si="51">D101-$C101</f>
        <v>165.69549195479053</v>
      </c>
      <c r="E105" s="250">
        <f t="shared" si="51"/>
        <v>346.93998837721955</v>
      </c>
      <c r="F105" s="250">
        <f t="shared" si="51"/>
        <v>543.69499811163257</v>
      </c>
      <c r="G105" s="250">
        <f t="shared" si="51"/>
        <v>755.9207543870931</v>
      </c>
      <c r="H105" s="250">
        <f t="shared" si="51"/>
        <v>983.57622908079031</v>
      </c>
      <c r="I105" s="250">
        <f t="shared" si="51"/>
        <v>1226.6191468884638</v>
      </c>
      <c r="J105" s="250">
        <f t="shared" si="51"/>
        <v>1485.005999402309</v>
      </c>
      <c r="K105" s="250">
        <f t="shared" si="51"/>
        <v>1758.6920590968457</v>
      </c>
      <c r="L105" s="250">
        <f t="shared" si="51"/>
        <v>2047.6313932232031</v>
      </c>
      <c r="M105" s="250">
        <f t="shared" si="51"/>
        <v>2351.7768776123025</v>
      </c>
      <c r="N105" s="250">
        <f t="shared" si="51"/>
        <v>2590.2048944029248</v>
      </c>
      <c r="O105" s="250">
        <f t="shared" si="51"/>
        <v>2829.1001919817336</v>
      </c>
      <c r="P105" s="250">
        <f t="shared" si="51"/>
        <v>3068.4288993708151</v>
      </c>
      <c r="Q105" s="250">
        <f t="shared" si="51"/>
        <v>3308.1570681429025</v>
      </c>
      <c r="R105" s="250">
        <f t="shared" si="51"/>
        <v>3548.2506748481942</v>
      </c>
      <c r="S105" s="250">
        <f t="shared" si="51"/>
        <v>3788.6756234217573</v>
      </c>
      <c r="T105" s="250">
        <f t="shared" si="51"/>
        <v>4029.3977475715915</v>
      </c>
      <c r="U105" s="250">
        <f t="shared" si="51"/>
        <v>4270.3828131474738</v>
      </c>
      <c r="V105" s="250">
        <f t="shared" si="51"/>
        <v>4511.5965204907052</v>
      </c>
      <c r="W105" s="250">
        <f t="shared" si="51"/>
        <v>4753.004506764818</v>
      </c>
      <c r="X105" s="250">
        <f t="shared" si="51"/>
        <v>4995.4989118203557</v>
      </c>
      <c r="Y105" s="250">
        <f t="shared" si="51"/>
        <v>5238.1993453519417</v>
      </c>
      <c r="Z105" s="250">
        <f t="shared" si="51"/>
        <v>5481.0701834667279</v>
      </c>
      <c r="AA105" s="250">
        <f t="shared" si="51"/>
        <v>5724.0757392941687</v>
      </c>
      <c r="AB105" s="250">
        <f t="shared" si="51"/>
        <v>5967.1802653660388</v>
      </c>
      <c r="AC105" s="250">
        <f t="shared" si="51"/>
        <v>6210.3479559770467</v>
      </c>
      <c r="AD105" s="250">
        <f t="shared" si="51"/>
        <v>6453.5429495261487</v>
      </c>
      <c r="AE105" s="250">
        <f t="shared" si="51"/>
        <v>6696.729330838687</v>
      </c>
      <c r="AF105" s="250">
        <f t="shared" si="51"/>
        <v>6939.8711334694235</v>
      </c>
      <c r="AG105" s="250">
        <f t="shared" si="51"/>
        <v>7182.9323419866314</v>
      </c>
      <c r="AH105" s="217"/>
      <c r="AI105" s="368"/>
      <c r="AJ105" s="369"/>
      <c r="AL105" s="194"/>
      <c r="AM105" s="116"/>
      <c r="AN105" s="116"/>
      <c r="AO105" s="116"/>
      <c r="BD105" s="116"/>
      <c r="BE105" s="116"/>
      <c r="BF105" s="116"/>
      <c r="BG105" s="116"/>
      <c r="BH105" s="116"/>
      <c r="BI105" s="116"/>
      <c r="BJ105" s="116"/>
      <c r="BK105" s="116"/>
    </row>
    <row r="106" spans="1:63" outlineLevel="1">
      <c r="A106" s="4" t="s">
        <v>35</v>
      </c>
      <c r="C106" s="203">
        <f t="shared" ref="C106:AF106" si="52">C102-$C102</f>
        <v>0</v>
      </c>
      <c r="D106" s="203">
        <f t="shared" si="52"/>
        <v>160.13027123787123</v>
      </c>
      <c r="E106" s="203">
        <f t="shared" si="52"/>
        <v>323.72658051521904</v>
      </c>
      <c r="F106" s="203">
        <f t="shared" si="52"/>
        <v>489.19938534519054</v>
      </c>
      <c r="G106" s="203">
        <f t="shared" si="52"/>
        <v>654.96316986177555</v>
      </c>
      <c r="H106" s="203">
        <f t="shared" si="52"/>
        <v>819.43666930852726</v>
      </c>
      <c r="I106" s="203">
        <f t="shared" si="52"/>
        <v>981.0430916002133</v>
      </c>
      <c r="J106" s="203">
        <f t="shared" si="52"/>
        <v>1138.210335979453</v>
      </c>
      <c r="K106" s="203">
        <f t="shared" si="52"/>
        <v>1289.3712087902768</v>
      </c>
      <c r="L106" s="203">
        <f t="shared" si="52"/>
        <v>1432.9636363904058</v>
      </c>
      <c r="M106" s="203">
        <f t="shared" si="52"/>
        <v>1567.4308752239392</v>
      </c>
      <c r="N106" s="203">
        <f t="shared" si="52"/>
        <v>1640.0006856191637</v>
      </c>
      <c r="O106" s="203">
        <f t="shared" si="52"/>
        <v>1696.9556633679251</v>
      </c>
      <c r="P106" s="203">
        <f t="shared" si="52"/>
        <v>1738.2298868372541</v>
      </c>
      <c r="Q106" s="203">
        <f t="shared" si="52"/>
        <v>1763.7619092182472</v>
      </c>
      <c r="R106" s="203">
        <f t="shared" si="52"/>
        <v>1773.4947726477035</v>
      </c>
      <c r="S106" s="203">
        <f t="shared" si="52"/>
        <v>1767.3760218353336</v>
      </c>
      <c r="T106" s="203">
        <f t="shared" si="52"/>
        <v>1745.3577172011101</v>
      </c>
      <c r="U106" s="203">
        <f t="shared" si="52"/>
        <v>1707.3964475273172</v>
      </c>
      <c r="V106" s="203">
        <f t="shared" si="52"/>
        <v>1653.4533421298268</v>
      </c>
      <c r="W106" s="203">
        <f t="shared" si="52"/>
        <v>1583.4940825530812</v>
      </c>
      <c r="X106" s="203">
        <f t="shared" si="52"/>
        <v>1497.7668828591557</v>
      </c>
      <c r="Y106" s="203">
        <f t="shared" si="52"/>
        <v>1395.9283304218072</v>
      </c>
      <c r="Z106" s="203">
        <f t="shared" si="52"/>
        <v>1277.9495101517664</v>
      </c>
      <c r="AA106" s="203">
        <f t="shared" si="52"/>
        <v>1143.806244216604</v>
      </c>
      <c r="AB106" s="203">
        <f t="shared" si="52"/>
        <v>993.47910293368386</v>
      </c>
      <c r="AC106" s="203">
        <f t="shared" si="52"/>
        <v>826.95341518452415</v>
      </c>
      <c r="AD106" s="203">
        <f t="shared" si="52"/>
        <v>644.21927835510655</v>
      </c>
      <c r="AE106" s="203">
        <f t="shared" si="52"/>
        <v>445.27156780664467</v>
      </c>
      <c r="AF106" s="203">
        <f t="shared" si="52"/>
        <v>230.10994588128673</v>
      </c>
      <c r="AG106" s="203">
        <f>AG102-$C102</f>
        <v>-1.2611295527884407</v>
      </c>
      <c r="AH106" s="217"/>
      <c r="AI106" s="124"/>
      <c r="AJ106" s="185"/>
      <c r="AL106" s="100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03">
        <f t="shared" ref="C107:AG107" si="53">C103-$C103</f>
        <v>0</v>
      </c>
      <c r="D107" s="203">
        <f t="shared" si="53"/>
        <v>2.7826103584596495</v>
      </c>
      <c r="E107" s="203">
        <f t="shared" si="53"/>
        <v>11.606703931000265</v>
      </c>
      <c r="F107" s="203">
        <f t="shared" si="53"/>
        <v>27.247806383221054</v>
      </c>
      <c r="G107" s="203">
        <f t="shared" si="53"/>
        <v>50.478792262658772</v>
      </c>
      <c r="H107" s="203">
        <f t="shared" si="53"/>
        <v>82.069779886131556</v>
      </c>
      <c r="I107" s="203">
        <f t="shared" si="53"/>
        <v>122.78802764412521</v>
      </c>
      <c r="J107" s="203">
        <f t="shared" si="53"/>
        <v>173.39783171142801</v>
      </c>
      <c r="K107" s="203">
        <f t="shared" si="53"/>
        <v>234.66042515328454</v>
      </c>
      <c r="L107" s="203">
        <f t="shared" si="53"/>
        <v>307.3338784163987</v>
      </c>
      <c r="M107" s="203">
        <f t="shared" si="53"/>
        <v>392.17300119418184</v>
      </c>
      <c r="N107" s="203">
        <f t="shared" si="53"/>
        <v>475.10210439188074</v>
      </c>
      <c r="O107" s="203">
        <f t="shared" si="53"/>
        <v>566.07226430690434</v>
      </c>
      <c r="P107" s="203">
        <f t="shared" si="53"/>
        <v>665.09950626678074</v>
      </c>
      <c r="Q107" s="203">
        <f t="shared" si="53"/>
        <v>772.19757946232789</v>
      </c>
      <c r="R107" s="203">
        <f t="shared" si="53"/>
        <v>887.37795110024558</v>
      </c>
      <c r="S107" s="203">
        <f t="shared" si="53"/>
        <v>1010.6498007932122</v>
      </c>
      <c r="T107" s="203">
        <f t="shared" si="53"/>
        <v>1142.0200151852409</v>
      </c>
      <c r="U107" s="203">
        <f t="shared" si="53"/>
        <v>1281.4931828100787</v>
      </c>
      <c r="V107" s="203">
        <f t="shared" si="53"/>
        <v>1429.0715891804396</v>
      </c>
      <c r="W107" s="203">
        <f t="shared" si="53"/>
        <v>1584.7552121058688</v>
      </c>
      <c r="X107" s="203">
        <f t="shared" si="53"/>
        <v>1748.8660144806004</v>
      </c>
      <c r="Y107" s="203">
        <f t="shared" si="53"/>
        <v>1921.1355074650676</v>
      </c>
      <c r="Z107" s="203">
        <f t="shared" si="53"/>
        <v>2101.560336657481</v>
      </c>
      <c r="AA107" s="203">
        <f t="shared" si="53"/>
        <v>2290.1347475387829</v>
      </c>
      <c r="AB107" s="203">
        <f t="shared" si="53"/>
        <v>2486.8505812161779</v>
      </c>
      <c r="AC107" s="203">
        <f t="shared" si="53"/>
        <v>2691.6972703962615</v>
      </c>
      <c r="AD107" s="203">
        <f t="shared" si="53"/>
        <v>2904.6618355855217</v>
      </c>
      <c r="AE107" s="203">
        <f t="shared" si="53"/>
        <v>3125.7288815160218</v>
      </c>
      <c r="AF107" s="203">
        <f t="shared" si="53"/>
        <v>3354.8805937940688</v>
      </c>
      <c r="AG107" s="203">
        <f t="shared" si="53"/>
        <v>3592.09673576971</v>
      </c>
      <c r="AH107" s="217"/>
      <c r="AI107" s="124"/>
      <c r="AJ107" s="185"/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1040</v>
      </c>
      <c r="C108" s="203">
        <f t="shared" ref="C108:AG108" si="54">C104-$C104</f>
        <v>0</v>
      </c>
      <c r="D108" s="203">
        <f t="shared" si="54"/>
        <v>2.7826103584596495</v>
      </c>
      <c r="E108" s="203">
        <f t="shared" si="54"/>
        <v>11.606703931000265</v>
      </c>
      <c r="F108" s="203">
        <f t="shared" si="54"/>
        <v>27.247806383221054</v>
      </c>
      <c r="G108" s="203">
        <f t="shared" si="54"/>
        <v>50.478792262658772</v>
      </c>
      <c r="H108" s="203">
        <f t="shared" si="54"/>
        <v>82.069779886131556</v>
      </c>
      <c r="I108" s="203">
        <f t="shared" si="54"/>
        <v>122.78802764412521</v>
      </c>
      <c r="J108" s="203">
        <f t="shared" si="54"/>
        <v>173.39783171142801</v>
      </c>
      <c r="K108" s="203">
        <f t="shared" si="54"/>
        <v>234.66042515328454</v>
      </c>
      <c r="L108" s="203">
        <f t="shared" si="54"/>
        <v>307.3338784163987</v>
      </c>
      <c r="M108" s="203">
        <f t="shared" si="54"/>
        <v>392.17300119418184</v>
      </c>
      <c r="N108" s="203">
        <f t="shared" si="54"/>
        <v>475.10210439188074</v>
      </c>
      <c r="O108" s="203">
        <f t="shared" si="54"/>
        <v>566.07226430690434</v>
      </c>
      <c r="P108" s="203">
        <f t="shared" si="54"/>
        <v>665.09950626678074</v>
      </c>
      <c r="Q108" s="203">
        <f t="shared" si="54"/>
        <v>772.19757946232789</v>
      </c>
      <c r="R108" s="203">
        <f t="shared" si="54"/>
        <v>887.37795110024558</v>
      </c>
      <c r="S108" s="203">
        <f t="shared" si="54"/>
        <v>1010.6498007932122</v>
      </c>
      <c r="T108" s="203">
        <f t="shared" si="54"/>
        <v>1142.0200151852409</v>
      </c>
      <c r="U108" s="203">
        <f t="shared" si="54"/>
        <v>1281.4931828100787</v>
      </c>
      <c r="V108" s="203">
        <f t="shared" si="54"/>
        <v>1429.0715891804396</v>
      </c>
      <c r="W108" s="203">
        <f t="shared" si="54"/>
        <v>1584.7552121058688</v>
      </c>
      <c r="X108" s="203">
        <f t="shared" si="54"/>
        <v>1748.8660144806004</v>
      </c>
      <c r="Y108" s="203">
        <f t="shared" si="54"/>
        <v>1921.1355074650676</v>
      </c>
      <c r="Z108" s="203">
        <f t="shared" si="54"/>
        <v>2101.560336657481</v>
      </c>
      <c r="AA108" s="203">
        <f t="shared" si="54"/>
        <v>2290.1347475387829</v>
      </c>
      <c r="AB108" s="203">
        <f t="shared" si="54"/>
        <v>2486.8505812161779</v>
      </c>
      <c r="AC108" s="203">
        <f t="shared" si="54"/>
        <v>2691.6972703962615</v>
      </c>
      <c r="AD108" s="203">
        <f t="shared" si="54"/>
        <v>2904.6618355855217</v>
      </c>
      <c r="AE108" s="203">
        <f t="shared" si="54"/>
        <v>3125.7288815160218</v>
      </c>
      <c r="AF108" s="203">
        <f t="shared" si="54"/>
        <v>3354.8805937940688</v>
      </c>
      <c r="AG108" s="203">
        <f t="shared" si="54"/>
        <v>3592.09673576971</v>
      </c>
      <c r="AH108" s="217"/>
      <c r="AI108" s="124"/>
      <c r="AJ108" s="185"/>
      <c r="AL108" s="100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outlineLevel="1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I109" s="125"/>
      <c r="AJ109" s="185"/>
      <c r="AL109" s="100"/>
      <c r="AM109" s="123"/>
      <c r="AN109" s="2"/>
      <c r="AO109" s="2"/>
    </row>
    <row r="110" spans="1:63" s="174" customFormat="1" ht="15.5" thickBot="1">
      <c r="A110" s="174" t="s">
        <v>421</v>
      </c>
      <c r="B110" s="189"/>
      <c r="C110" s="195">
        <f>C111</f>
        <v>0.19</v>
      </c>
      <c r="D110" s="195">
        <f t="shared" ref="D110:AG110" si="55">D111</f>
        <v>0.20515750741304789</v>
      </c>
      <c r="E110" s="195">
        <f t="shared" si="55"/>
        <v>0.22031501482609578</v>
      </c>
      <c r="F110" s="195">
        <f t="shared" si="55"/>
        <v>0.23547252223914367</v>
      </c>
      <c r="G110" s="195">
        <f t="shared" si="55"/>
        <v>0.25063002965219155</v>
      </c>
      <c r="H110" s="195">
        <f t="shared" si="55"/>
        <v>0.26578753706523939</v>
      </c>
      <c r="I110" s="195">
        <f t="shared" si="55"/>
        <v>0.28094504447828728</v>
      </c>
      <c r="J110" s="195">
        <f t="shared" si="55"/>
        <v>0.29610255189133516</v>
      </c>
      <c r="K110" s="195">
        <f t="shared" si="55"/>
        <v>0.31126005930438305</v>
      </c>
      <c r="L110" s="195">
        <f t="shared" si="55"/>
        <v>0.32641756671743094</v>
      </c>
      <c r="M110" s="195">
        <f t="shared" si="55"/>
        <v>0.34157507413047883</v>
      </c>
      <c r="N110" s="195">
        <f t="shared" si="55"/>
        <v>0.35175830083520832</v>
      </c>
      <c r="O110" s="195">
        <f t="shared" si="55"/>
        <v>0.3619415275399378</v>
      </c>
      <c r="P110" s="195">
        <f t="shared" si="55"/>
        <v>0.37212475424466734</v>
      </c>
      <c r="Q110" s="195">
        <f t="shared" si="55"/>
        <v>0.38230798094939683</v>
      </c>
      <c r="R110" s="195">
        <f t="shared" si="55"/>
        <v>0.39249120765412632</v>
      </c>
      <c r="S110" s="195">
        <f t="shared" si="55"/>
        <v>0.4026744343588558</v>
      </c>
      <c r="T110" s="195">
        <f t="shared" si="55"/>
        <v>0.41285766106358529</v>
      </c>
      <c r="U110" s="195">
        <f t="shared" si="55"/>
        <v>0.42304088776831483</v>
      </c>
      <c r="V110" s="195">
        <f t="shared" si="55"/>
        <v>0.43322411447304432</v>
      </c>
      <c r="W110" s="195">
        <f t="shared" si="55"/>
        <v>0.44340734117777381</v>
      </c>
      <c r="X110" s="195">
        <f t="shared" si="55"/>
        <v>0.45906660705999641</v>
      </c>
      <c r="Y110" s="195">
        <f t="shared" si="55"/>
        <v>0.47472587294221902</v>
      </c>
      <c r="Z110" s="195">
        <f t="shared" si="55"/>
        <v>0.49038513882444168</v>
      </c>
      <c r="AA110" s="195">
        <f t="shared" si="55"/>
        <v>0.50604440470666423</v>
      </c>
      <c r="AB110" s="195">
        <f t="shared" si="55"/>
        <v>0.52170367058888689</v>
      </c>
      <c r="AC110" s="195">
        <f t="shared" si="55"/>
        <v>0.53736293647110944</v>
      </c>
      <c r="AD110" s="195">
        <f t="shared" si="55"/>
        <v>0.5530222023533321</v>
      </c>
      <c r="AE110" s="195">
        <f t="shared" si="55"/>
        <v>0.56868146823555477</v>
      </c>
      <c r="AF110" s="195">
        <f t="shared" si="55"/>
        <v>0.58434073411777732</v>
      </c>
      <c r="AG110" s="195">
        <f t="shared" si="55"/>
        <v>0.6</v>
      </c>
      <c r="AJ110" s="204" t="s">
        <v>457</v>
      </c>
      <c r="AL110" s="191"/>
      <c r="AM110" s="192"/>
      <c r="AN110" s="192"/>
      <c r="AO110" s="192"/>
    </row>
    <row r="111" spans="1:63" ht="15.5" outlineLevel="1" thickTop="1">
      <c r="A111" t="s">
        <v>413</v>
      </c>
      <c r="B111" s="50" t="s">
        <v>126</v>
      </c>
      <c r="C111" s="118">
        <f>'Ethylene Recycling HC'!C104</f>
        <v>0.19</v>
      </c>
      <c r="D111" s="102">
        <f>'Ethylene Recycling HC'!D104</f>
        <v>0.20515750741304789</v>
      </c>
      <c r="E111" s="102">
        <f>'Ethylene Recycling HC'!E104</f>
        <v>0.22031501482609578</v>
      </c>
      <c r="F111" s="102">
        <f>'Ethylene Recycling HC'!F104</f>
        <v>0.23547252223914367</v>
      </c>
      <c r="G111" s="102">
        <f>'Ethylene Recycling HC'!G104</f>
        <v>0.25063002965219155</v>
      </c>
      <c r="H111" s="102">
        <f>'Ethylene Recycling HC'!H104</f>
        <v>0.26578753706523939</v>
      </c>
      <c r="I111" s="102">
        <f>'Ethylene Recycling HC'!I104</f>
        <v>0.28094504447828728</v>
      </c>
      <c r="J111" s="102">
        <f>'Ethylene Recycling HC'!J104</f>
        <v>0.29610255189133516</v>
      </c>
      <c r="K111" s="102">
        <f>'Ethylene Recycling HC'!K104</f>
        <v>0.31126005930438305</v>
      </c>
      <c r="L111" s="102">
        <f>'Ethylene Recycling HC'!L104</f>
        <v>0.32641756671743094</v>
      </c>
      <c r="M111" s="113">
        <f>'Ethylene Recycling HC'!M104</f>
        <v>0.34157507413047883</v>
      </c>
      <c r="N111" s="113">
        <f>'Ethylene Recycling HC'!N104</f>
        <v>0.35175830083520832</v>
      </c>
      <c r="O111" s="113">
        <f>'Ethylene Recycling HC'!O104</f>
        <v>0.3619415275399378</v>
      </c>
      <c r="P111" s="113">
        <f>'Ethylene Recycling HC'!P104</f>
        <v>0.37212475424466734</v>
      </c>
      <c r="Q111" s="113">
        <f>'Ethylene Recycling HC'!Q104</f>
        <v>0.38230798094939683</v>
      </c>
      <c r="R111" s="113">
        <f>'Ethylene Recycling HC'!R104</f>
        <v>0.39249120765412632</v>
      </c>
      <c r="S111" s="113">
        <f>'Ethylene Recycling HC'!S104</f>
        <v>0.4026744343588558</v>
      </c>
      <c r="T111" s="113">
        <f>'Ethylene Recycling HC'!T104</f>
        <v>0.41285766106358529</v>
      </c>
      <c r="U111" s="113">
        <f>'Ethylene Recycling HC'!U104</f>
        <v>0.42304088776831483</v>
      </c>
      <c r="V111" s="113">
        <f>'Ethylene Recycling HC'!V104</f>
        <v>0.43322411447304432</v>
      </c>
      <c r="W111" s="113">
        <f>'Ethylene Recycling HC'!W104</f>
        <v>0.44340734117777381</v>
      </c>
      <c r="X111" s="102">
        <f>'Ethylene Recycling HC'!X104</f>
        <v>0.45906660705999641</v>
      </c>
      <c r="Y111" s="102">
        <f>'Ethylene Recycling HC'!Y104</f>
        <v>0.47472587294221902</v>
      </c>
      <c r="Z111" s="102">
        <f>'Ethylene Recycling HC'!Z104</f>
        <v>0.49038513882444168</v>
      </c>
      <c r="AA111" s="102">
        <f>'Ethylene Recycling HC'!AA104</f>
        <v>0.50604440470666423</v>
      </c>
      <c r="AB111" s="102">
        <f>'Ethylene Recycling HC'!AB104</f>
        <v>0.52170367058888689</v>
      </c>
      <c r="AC111" s="102">
        <f>'Ethylene Recycling HC'!AC104</f>
        <v>0.53736293647110944</v>
      </c>
      <c r="AD111" s="102">
        <f>'Ethylene Recycling HC'!AD104</f>
        <v>0.5530222023533321</v>
      </c>
      <c r="AE111" s="102">
        <f>'Ethylene Recycling HC'!AE104</f>
        <v>0.56868146823555477</v>
      </c>
      <c r="AF111" s="102">
        <f>'Ethylene Recycling HC'!AF104</f>
        <v>0.58434073411777732</v>
      </c>
      <c r="AG111" s="118">
        <f>'Ethylene Recycling HC'!AG104</f>
        <v>0.6</v>
      </c>
      <c r="AJ111" s="185" t="s">
        <v>412</v>
      </c>
    </row>
    <row r="112" spans="1:63" outlineLevel="1">
      <c r="A112" t="s">
        <v>414</v>
      </c>
      <c r="B112" s="50" t="s">
        <v>126</v>
      </c>
      <c r="C112" s="188">
        <v>0.08</v>
      </c>
      <c r="D112" s="102">
        <f t="shared" ref="D112:AF112" si="56">C112-($C$112-$AG$112)/($AG$1-$C$1)</f>
        <v>0.10400000000000001</v>
      </c>
      <c r="E112" s="102">
        <f t="shared" si="56"/>
        <v>0.128</v>
      </c>
      <c r="F112" s="102">
        <f t="shared" si="56"/>
        <v>0.152</v>
      </c>
      <c r="G112" s="102">
        <f t="shared" si="56"/>
        <v>0.17599999999999999</v>
      </c>
      <c r="H112" s="102">
        <f t="shared" si="56"/>
        <v>0.19999999999999998</v>
      </c>
      <c r="I112" s="102">
        <f t="shared" si="56"/>
        <v>0.22399999999999998</v>
      </c>
      <c r="J112" s="102">
        <f t="shared" si="56"/>
        <v>0.24799999999999997</v>
      </c>
      <c r="K112" s="102">
        <f t="shared" si="56"/>
        <v>0.27199999999999996</v>
      </c>
      <c r="L112" s="102">
        <f t="shared" si="56"/>
        <v>0.29599999999999999</v>
      </c>
      <c r="M112" s="102">
        <f t="shared" si="56"/>
        <v>0.32</v>
      </c>
      <c r="N112" s="102">
        <f t="shared" si="56"/>
        <v>0.34400000000000003</v>
      </c>
      <c r="O112" s="102">
        <f t="shared" si="56"/>
        <v>0.36800000000000005</v>
      </c>
      <c r="P112" s="102">
        <f t="shared" si="56"/>
        <v>0.39200000000000007</v>
      </c>
      <c r="Q112" s="102">
        <f t="shared" si="56"/>
        <v>0.41600000000000009</v>
      </c>
      <c r="R112" s="102">
        <f t="shared" si="56"/>
        <v>0.44000000000000011</v>
      </c>
      <c r="S112" s="102">
        <f t="shared" si="56"/>
        <v>0.46400000000000013</v>
      </c>
      <c r="T112" s="102">
        <f t="shared" si="56"/>
        <v>0.48800000000000016</v>
      </c>
      <c r="U112" s="102">
        <f t="shared" si="56"/>
        <v>0.51200000000000012</v>
      </c>
      <c r="V112" s="102">
        <f t="shared" si="56"/>
        <v>0.53600000000000014</v>
      </c>
      <c r="W112" s="102">
        <f t="shared" si="56"/>
        <v>0.56000000000000016</v>
      </c>
      <c r="X112" s="102">
        <f t="shared" si="56"/>
        <v>0.58400000000000019</v>
      </c>
      <c r="Y112" s="102">
        <f t="shared" si="56"/>
        <v>0.60800000000000021</v>
      </c>
      <c r="Z112" s="102">
        <f t="shared" si="56"/>
        <v>0.63200000000000023</v>
      </c>
      <c r="AA112" s="102">
        <f t="shared" si="56"/>
        <v>0.65600000000000025</v>
      </c>
      <c r="AB112" s="102">
        <f t="shared" si="56"/>
        <v>0.68000000000000027</v>
      </c>
      <c r="AC112" s="102">
        <f t="shared" si="56"/>
        <v>0.70400000000000029</v>
      </c>
      <c r="AD112" s="102">
        <f t="shared" si="56"/>
        <v>0.72800000000000031</v>
      </c>
      <c r="AE112" s="102">
        <f t="shared" si="56"/>
        <v>0.75200000000000033</v>
      </c>
      <c r="AF112" s="102">
        <f t="shared" si="56"/>
        <v>0.77600000000000036</v>
      </c>
      <c r="AG112" s="188">
        <v>0.8</v>
      </c>
      <c r="AI112" s="125"/>
      <c r="AJ112" s="185" t="s">
        <v>444</v>
      </c>
      <c r="AL112" s="50" t="s">
        <v>298</v>
      </c>
    </row>
    <row r="113" spans="1:63" outlineLevel="1">
      <c r="A113" t="s">
        <v>415</v>
      </c>
      <c r="B113" s="156" t="s">
        <v>126</v>
      </c>
      <c r="C113" s="102">
        <f>1-C112</f>
        <v>0.92</v>
      </c>
      <c r="D113" s="102">
        <f t="shared" ref="D113:AG113" si="57">1-D112</f>
        <v>0.89600000000000002</v>
      </c>
      <c r="E113" s="102">
        <f t="shared" si="57"/>
        <v>0.872</v>
      </c>
      <c r="F113" s="102">
        <f t="shared" si="57"/>
        <v>0.84799999999999998</v>
      </c>
      <c r="G113" s="102">
        <f t="shared" si="57"/>
        <v>0.82400000000000007</v>
      </c>
      <c r="H113" s="102">
        <f t="shared" si="57"/>
        <v>0.8</v>
      </c>
      <c r="I113" s="102">
        <f t="shared" si="57"/>
        <v>0.77600000000000002</v>
      </c>
      <c r="J113" s="102">
        <f t="shared" si="57"/>
        <v>0.752</v>
      </c>
      <c r="K113" s="102">
        <f t="shared" si="57"/>
        <v>0.72799999999999998</v>
      </c>
      <c r="L113" s="102">
        <f t="shared" si="57"/>
        <v>0.70399999999999996</v>
      </c>
      <c r="M113" s="102">
        <f t="shared" si="57"/>
        <v>0.67999999999999994</v>
      </c>
      <c r="N113" s="102">
        <f t="shared" si="57"/>
        <v>0.65599999999999992</v>
      </c>
      <c r="O113" s="102">
        <f t="shared" si="57"/>
        <v>0.6319999999999999</v>
      </c>
      <c r="P113" s="102">
        <f t="shared" si="57"/>
        <v>0.60799999999999987</v>
      </c>
      <c r="Q113" s="102">
        <f t="shared" si="57"/>
        <v>0.58399999999999985</v>
      </c>
      <c r="R113" s="102">
        <f t="shared" si="57"/>
        <v>0.55999999999999983</v>
      </c>
      <c r="S113" s="102">
        <f t="shared" si="57"/>
        <v>0.53599999999999981</v>
      </c>
      <c r="T113" s="102">
        <f t="shared" si="57"/>
        <v>0.51199999999999979</v>
      </c>
      <c r="U113" s="102">
        <f t="shared" si="57"/>
        <v>0.48799999999999988</v>
      </c>
      <c r="V113" s="102">
        <f t="shared" si="57"/>
        <v>0.46399999999999986</v>
      </c>
      <c r="W113" s="102">
        <f t="shared" si="57"/>
        <v>0.43999999999999984</v>
      </c>
      <c r="X113" s="102">
        <f t="shared" si="57"/>
        <v>0.41599999999999981</v>
      </c>
      <c r="Y113" s="102">
        <f t="shared" si="57"/>
        <v>0.39199999999999979</v>
      </c>
      <c r="Z113" s="102">
        <f t="shared" si="57"/>
        <v>0.36799999999999977</v>
      </c>
      <c r="AA113" s="102">
        <f t="shared" si="57"/>
        <v>0.34399999999999975</v>
      </c>
      <c r="AB113" s="102">
        <f t="shared" si="57"/>
        <v>0.31999999999999973</v>
      </c>
      <c r="AC113" s="102">
        <f t="shared" si="57"/>
        <v>0.29599999999999971</v>
      </c>
      <c r="AD113" s="102">
        <f t="shared" si="57"/>
        <v>0.27199999999999969</v>
      </c>
      <c r="AE113" s="102">
        <f t="shared" si="57"/>
        <v>0.24799999999999967</v>
      </c>
      <c r="AF113" s="102">
        <f t="shared" si="57"/>
        <v>0.22399999999999964</v>
      </c>
      <c r="AG113" s="102">
        <f t="shared" si="57"/>
        <v>0.19999999999999996</v>
      </c>
      <c r="AI113" s="125"/>
      <c r="AJ113" s="185"/>
      <c r="BD113" s="605"/>
      <c r="BE113" s="605"/>
    </row>
    <row r="114" spans="1:63" outlineLevel="1">
      <c r="A114" t="s">
        <v>480</v>
      </c>
      <c r="B114" s="50" t="s">
        <v>126</v>
      </c>
      <c r="C114" s="102">
        <f>C111*C112</f>
        <v>1.52E-2</v>
      </c>
      <c r="D114" s="102">
        <f t="shared" ref="D114:AG114" si="58">D111*D112</f>
        <v>2.1336380770956981E-2</v>
      </c>
      <c r="E114" s="102">
        <f t="shared" si="58"/>
        <v>2.8200321897740261E-2</v>
      </c>
      <c r="F114" s="102">
        <f t="shared" si="58"/>
        <v>3.5791823380349835E-2</v>
      </c>
      <c r="G114" s="102">
        <f t="shared" si="58"/>
        <v>4.4110885218785714E-2</v>
      </c>
      <c r="H114" s="102">
        <f t="shared" si="58"/>
        <v>5.3157507413047873E-2</v>
      </c>
      <c r="I114" s="102">
        <f t="shared" si="58"/>
        <v>6.2931689963136347E-2</v>
      </c>
      <c r="J114" s="102">
        <f t="shared" si="58"/>
        <v>7.3433432869051116E-2</v>
      </c>
      <c r="K114" s="102">
        <f t="shared" si="58"/>
        <v>8.4662736130792185E-2</v>
      </c>
      <c r="L114" s="102">
        <f t="shared" si="58"/>
        <v>9.6619599748359555E-2</v>
      </c>
      <c r="M114" s="102">
        <f t="shared" si="58"/>
        <v>0.10930402372175323</v>
      </c>
      <c r="N114" s="102">
        <f t="shared" si="58"/>
        <v>0.12100485548731167</v>
      </c>
      <c r="O114" s="102">
        <f t="shared" si="58"/>
        <v>0.13319448213469712</v>
      </c>
      <c r="P114" s="102">
        <f t="shared" si="58"/>
        <v>0.14587290366390962</v>
      </c>
      <c r="Q114" s="102">
        <f t="shared" si="58"/>
        <v>0.15904012007494911</v>
      </c>
      <c r="R114" s="102">
        <f t="shared" si="58"/>
        <v>0.17269613136781561</v>
      </c>
      <c r="S114" s="102">
        <f t="shared" si="58"/>
        <v>0.18684093754250913</v>
      </c>
      <c r="T114" s="102">
        <f t="shared" si="58"/>
        <v>0.2014745385990297</v>
      </c>
      <c r="U114" s="102">
        <f t="shared" si="58"/>
        <v>0.21659693453737724</v>
      </c>
      <c r="V114" s="102">
        <f t="shared" si="58"/>
        <v>0.23220812535755181</v>
      </c>
      <c r="W114" s="102">
        <f t="shared" si="58"/>
        <v>0.24830811105955342</v>
      </c>
      <c r="X114" s="102">
        <f t="shared" si="58"/>
        <v>0.26809489852303797</v>
      </c>
      <c r="Y114" s="102">
        <f t="shared" si="58"/>
        <v>0.28863333074886927</v>
      </c>
      <c r="Z114" s="102">
        <f t="shared" si="58"/>
        <v>0.30992340773704724</v>
      </c>
      <c r="AA114" s="102">
        <f t="shared" si="58"/>
        <v>0.33196512948757184</v>
      </c>
      <c r="AB114" s="102">
        <f t="shared" si="58"/>
        <v>0.35475849600044324</v>
      </c>
      <c r="AC114" s="102">
        <f t="shared" si="58"/>
        <v>0.3783035072756612</v>
      </c>
      <c r="AD114" s="102">
        <f t="shared" si="58"/>
        <v>0.40260016331322596</v>
      </c>
      <c r="AE114" s="102">
        <f t="shared" si="58"/>
        <v>0.42764846411313739</v>
      </c>
      <c r="AF114" s="102">
        <f t="shared" si="58"/>
        <v>0.4534484096753954</v>
      </c>
      <c r="AG114" s="102">
        <f t="shared" si="58"/>
        <v>0.48</v>
      </c>
      <c r="AI114" s="125"/>
      <c r="AJ114" s="185"/>
      <c r="BD114" s="177"/>
      <c r="BE114" s="177"/>
    </row>
    <row r="115" spans="1:63" outlineLevel="1">
      <c r="A115" t="s">
        <v>481</v>
      </c>
      <c r="B115" s="50" t="s">
        <v>126</v>
      </c>
      <c r="C115" s="102">
        <f>C111*C113</f>
        <v>0.17480000000000001</v>
      </c>
      <c r="D115" s="102">
        <f t="shared" ref="D115:AG115" si="59">D111*D113</f>
        <v>0.18382112664209091</v>
      </c>
      <c r="E115" s="102">
        <f t="shared" si="59"/>
        <v>0.19211469292835551</v>
      </c>
      <c r="F115" s="102">
        <f t="shared" si="59"/>
        <v>0.19968069885879383</v>
      </c>
      <c r="G115" s="102">
        <f t="shared" si="59"/>
        <v>0.20651914443340585</v>
      </c>
      <c r="H115" s="102">
        <f t="shared" si="59"/>
        <v>0.21263002965219152</v>
      </c>
      <c r="I115" s="102">
        <f t="shared" si="59"/>
        <v>0.21801335451515094</v>
      </c>
      <c r="J115" s="102">
        <f t="shared" si="59"/>
        <v>0.22266911902228403</v>
      </c>
      <c r="K115" s="102">
        <f t="shared" si="59"/>
        <v>0.22659732317359085</v>
      </c>
      <c r="L115" s="102">
        <f t="shared" si="59"/>
        <v>0.22979796696907137</v>
      </c>
      <c r="M115" s="102">
        <f t="shared" si="59"/>
        <v>0.23227105040872559</v>
      </c>
      <c r="N115" s="102">
        <f t="shared" si="59"/>
        <v>0.23075344534789663</v>
      </c>
      <c r="O115" s="102">
        <f t="shared" si="59"/>
        <v>0.22874704540524066</v>
      </c>
      <c r="P115" s="102">
        <f t="shared" si="59"/>
        <v>0.2262518505807577</v>
      </c>
      <c r="Q115" s="102">
        <f t="shared" si="59"/>
        <v>0.22326786087444769</v>
      </c>
      <c r="R115" s="102">
        <f t="shared" si="59"/>
        <v>0.21979507628631068</v>
      </c>
      <c r="S115" s="102">
        <f t="shared" si="59"/>
        <v>0.21583349681634664</v>
      </c>
      <c r="T115" s="102">
        <f t="shared" si="59"/>
        <v>0.2113831224645556</v>
      </c>
      <c r="U115" s="102">
        <f t="shared" si="59"/>
        <v>0.20644395323093759</v>
      </c>
      <c r="V115" s="102">
        <f t="shared" si="59"/>
        <v>0.20101598911549251</v>
      </c>
      <c r="W115" s="102">
        <f t="shared" si="59"/>
        <v>0.19509923011822039</v>
      </c>
      <c r="X115" s="102">
        <f t="shared" si="59"/>
        <v>0.19097170853695841</v>
      </c>
      <c r="Y115" s="102">
        <f t="shared" si="59"/>
        <v>0.18609254219334975</v>
      </c>
      <c r="Z115" s="102">
        <f t="shared" si="59"/>
        <v>0.18046173108739444</v>
      </c>
      <c r="AA115" s="102">
        <f t="shared" si="59"/>
        <v>0.17407927521909236</v>
      </c>
      <c r="AB115" s="102">
        <f t="shared" si="59"/>
        <v>0.16694517458844366</v>
      </c>
      <c r="AC115" s="102">
        <f t="shared" si="59"/>
        <v>0.15905942919544824</v>
      </c>
      <c r="AD115" s="102">
        <f t="shared" si="59"/>
        <v>0.15042203904010615</v>
      </c>
      <c r="AE115" s="102">
        <f t="shared" si="59"/>
        <v>0.1410330041224174</v>
      </c>
      <c r="AF115" s="102">
        <f t="shared" si="59"/>
        <v>0.13089232444238191</v>
      </c>
      <c r="AG115" s="102">
        <f t="shared" si="59"/>
        <v>0.11999999999999997</v>
      </c>
      <c r="AI115" s="125"/>
      <c r="AJ115" s="185"/>
      <c r="BD115" s="177"/>
      <c r="BE115" s="177"/>
    </row>
    <row r="116" spans="1:63" outlineLevel="1">
      <c r="B116" s="156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I116" s="125"/>
      <c r="AJ116" s="185"/>
      <c r="BD116" s="177"/>
      <c r="BE116" s="177"/>
    </row>
    <row r="117" spans="1:63" outlineLevel="1">
      <c r="A117" t="s">
        <v>422</v>
      </c>
      <c r="B117" s="50" t="s">
        <v>126</v>
      </c>
      <c r="C117" s="188">
        <v>0.52</v>
      </c>
      <c r="D117" s="102">
        <f>C117</f>
        <v>0.52</v>
      </c>
      <c r="E117" s="102">
        <f t="shared" ref="E117:AG119" si="60">D117</f>
        <v>0.52</v>
      </c>
      <c r="F117" s="102">
        <f t="shared" si="60"/>
        <v>0.52</v>
      </c>
      <c r="G117" s="102">
        <f t="shared" si="60"/>
        <v>0.52</v>
      </c>
      <c r="H117" s="102">
        <f t="shared" si="60"/>
        <v>0.52</v>
      </c>
      <c r="I117" s="102">
        <f t="shared" si="60"/>
        <v>0.52</v>
      </c>
      <c r="J117" s="102">
        <f t="shared" si="60"/>
        <v>0.52</v>
      </c>
      <c r="K117" s="102">
        <f t="shared" si="60"/>
        <v>0.52</v>
      </c>
      <c r="L117" s="102">
        <f t="shared" si="60"/>
        <v>0.52</v>
      </c>
      <c r="M117" s="102">
        <f t="shared" si="60"/>
        <v>0.52</v>
      </c>
      <c r="N117" s="102">
        <f t="shared" si="60"/>
        <v>0.52</v>
      </c>
      <c r="O117" s="102">
        <f t="shared" si="60"/>
        <v>0.52</v>
      </c>
      <c r="P117" s="102">
        <f t="shared" si="60"/>
        <v>0.52</v>
      </c>
      <c r="Q117" s="102">
        <f t="shared" si="60"/>
        <v>0.52</v>
      </c>
      <c r="R117" s="102">
        <f t="shared" si="60"/>
        <v>0.52</v>
      </c>
      <c r="S117" s="102">
        <f t="shared" si="60"/>
        <v>0.52</v>
      </c>
      <c r="T117" s="102">
        <f t="shared" si="60"/>
        <v>0.52</v>
      </c>
      <c r="U117" s="102">
        <f t="shared" si="60"/>
        <v>0.52</v>
      </c>
      <c r="V117" s="102">
        <f t="shared" si="60"/>
        <v>0.52</v>
      </c>
      <c r="W117" s="102">
        <f t="shared" si="60"/>
        <v>0.52</v>
      </c>
      <c r="X117" s="102">
        <f t="shared" si="60"/>
        <v>0.52</v>
      </c>
      <c r="Y117" s="102">
        <f t="shared" si="60"/>
        <v>0.52</v>
      </c>
      <c r="Z117" s="102">
        <f t="shared" si="60"/>
        <v>0.52</v>
      </c>
      <c r="AA117" s="102">
        <f t="shared" si="60"/>
        <v>0.52</v>
      </c>
      <c r="AB117" s="102">
        <f t="shared" si="60"/>
        <v>0.52</v>
      </c>
      <c r="AC117" s="102">
        <f t="shared" si="60"/>
        <v>0.52</v>
      </c>
      <c r="AD117" s="102">
        <f t="shared" si="60"/>
        <v>0.52</v>
      </c>
      <c r="AE117" s="102">
        <f t="shared" si="60"/>
        <v>0.52</v>
      </c>
      <c r="AF117" s="102">
        <f t="shared" si="60"/>
        <v>0.52</v>
      </c>
      <c r="AG117" s="102">
        <f t="shared" si="60"/>
        <v>0.52</v>
      </c>
      <c r="AI117" s="124" t="s">
        <v>431</v>
      </c>
      <c r="AJ117" s="205" t="s">
        <v>443</v>
      </c>
      <c r="BD117" s="177"/>
      <c r="BE117" s="177"/>
    </row>
    <row r="118" spans="1:63" outlineLevel="1">
      <c r="A118" t="s">
        <v>429</v>
      </c>
      <c r="B118" s="50" t="s">
        <v>126</v>
      </c>
      <c r="C118" s="188">
        <v>0.12</v>
      </c>
      <c r="D118" s="102">
        <f t="shared" ref="D118:S119" si="61">C118</f>
        <v>0.12</v>
      </c>
      <c r="E118" s="102">
        <f t="shared" si="61"/>
        <v>0.12</v>
      </c>
      <c r="F118" s="102">
        <f t="shared" si="61"/>
        <v>0.12</v>
      </c>
      <c r="G118" s="102">
        <f t="shared" si="61"/>
        <v>0.12</v>
      </c>
      <c r="H118" s="102">
        <f t="shared" si="61"/>
        <v>0.12</v>
      </c>
      <c r="I118" s="102">
        <f t="shared" si="61"/>
        <v>0.12</v>
      </c>
      <c r="J118" s="102">
        <f t="shared" si="61"/>
        <v>0.12</v>
      </c>
      <c r="K118" s="102">
        <f t="shared" si="61"/>
        <v>0.12</v>
      </c>
      <c r="L118" s="102">
        <f t="shared" si="61"/>
        <v>0.12</v>
      </c>
      <c r="M118" s="102">
        <f t="shared" si="61"/>
        <v>0.12</v>
      </c>
      <c r="N118" s="102">
        <f t="shared" si="61"/>
        <v>0.12</v>
      </c>
      <c r="O118" s="102">
        <f t="shared" si="61"/>
        <v>0.12</v>
      </c>
      <c r="P118" s="102">
        <f t="shared" si="61"/>
        <v>0.12</v>
      </c>
      <c r="Q118" s="102">
        <f t="shared" si="61"/>
        <v>0.12</v>
      </c>
      <c r="R118" s="102">
        <f t="shared" si="61"/>
        <v>0.12</v>
      </c>
      <c r="S118" s="102">
        <f t="shared" si="61"/>
        <v>0.12</v>
      </c>
      <c r="T118" s="102">
        <f t="shared" si="60"/>
        <v>0.12</v>
      </c>
      <c r="U118" s="102">
        <f t="shared" si="60"/>
        <v>0.12</v>
      </c>
      <c r="V118" s="102">
        <f t="shared" si="60"/>
        <v>0.12</v>
      </c>
      <c r="W118" s="102">
        <f t="shared" si="60"/>
        <v>0.12</v>
      </c>
      <c r="X118" s="102">
        <f t="shared" si="60"/>
        <v>0.12</v>
      </c>
      <c r="Y118" s="102">
        <f t="shared" si="60"/>
        <v>0.12</v>
      </c>
      <c r="Z118" s="102">
        <f t="shared" si="60"/>
        <v>0.12</v>
      </c>
      <c r="AA118" s="102">
        <f t="shared" si="60"/>
        <v>0.12</v>
      </c>
      <c r="AB118" s="102">
        <f t="shared" si="60"/>
        <v>0.12</v>
      </c>
      <c r="AC118" s="102">
        <f t="shared" si="60"/>
        <v>0.12</v>
      </c>
      <c r="AD118" s="102">
        <f t="shared" si="60"/>
        <v>0.12</v>
      </c>
      <c r="AE118" s="102">
        <f t="shared" si="60"/>
        <v>0.12</v>
      </c>
      <c r="AF118" s="102">
        <f t="shared" si="60"/>
        <v>0.12</v>
      </c>
      <c r="AG118" s="102">
        <f t="shared" si="60"/>
        <v>0.12</v>
      </c>
      <c r="AI118" s="124" t="s">
        <v>431</v>
      </c>
      <c r="AJ118" s="205" t="s">
        <v>443</v>
      </c>
      <c r="AL118" s="1"/>
      <c r="BC118" s="1"/>
      <c r="BD118" s="615"/>
      <c r="BE118" s="605"/>
      <c r="BF118" s="6"/>
      <c r="BG118" s="6"/>
      <c r="BH118" s="6"/>
      <c r="BI118" s="6"/>
      <c r="BJ118" s="6"/>
    </row>
    <row r="119" spans="1:63" outlineLevel="1">
      <c r="A119" t="s">
        <v>430</v>
      </c>
      <c r="B119" s="50" t="s">
        <v>126</v>
      </c>
      <c r="C119" s="113">
        <f>1-C117-C118</f>
        <v>0.36</v>
      </c>
      <c r="D119" s="102">
        <f t="shared" si="61"/>
        <v>0.36</v>
      </c>
      <c r="E119" s="102">
        <f t="shared" si="61"/>
        <v>0.36</v>
      </c>
      <c r="F119" s="102">
        <f t="shared" si="61"/>
        <v>0.36</v>
      </c>
      <c r="G119" s="102">
        <f t="shared" si="61"/>
        <v>0.36</v>
      </c>
      <c r="H119" s="102">
        <f t="shared" si="61"/>
        <v>0.36</v>
      </c>
      <c r="I119" s="102">
        <f t="shared" si="61"/>
        <v>0.36</v>
      </c>
      <c r="J119" s="102">
        <f t="shared" si="61"/>
        <v>0.36</v>
      </c>
      <c r="K119" s="102">
        <f t="shared" si="61"/>
        <v>0.36</v>
      </c>
      <c r="L119" s="102">
        <f t="shared" si="61"/>
        <v>0.36</v>
      </c>
      <c r="M119" s="102">
        <f t="shared" si="61"/>
        <v>0.36</v>
      </c>
      <c r="N119" s="102">
        <f t="shared" si="61"/>
        <v>0.36</v>
      </c>
      <c r="O119" s="102">
        <f t="shared" si="61"/>
        <v>0.36</v>
      </c>
      <c r="P119" s="102">
        <f t="shared" si="61"/>
        <v>0.36</v>
      </c>
      <c r="Q119" s="102">
        <f t="shared" si="61"/>
        <v>0.36</v>
      </c>
      <c r="R119" s="102">
        <f t="shared" si="61"/>
        <v>0.36</v>
      </c>
      <c r="S119" s="102">
        <f t="shared" si="61"/>
        <v>0.36</v>
      </c>
      <c r="T119" s="102">
        <f t="shared" si="60"/>
        <v>0.36</v>
      </c>
      <c r="U119" s="102">
        <f t="shared" si="60"/>
        <v>0.36</v>
      </c>
      <c r="V119" s="102">
        <f t="shared" si="60"/>
        <v>0.36</v>
      </c>
      <c r="W119" s="102">
        <f t="shared" si="60"/>
        <v>0.36</v>
      </c>
      <c r="X119" s="102">
        <f t="shared" si="60"/>
        <v>0.36</v>
      </c>
      <c r="Y119" s="102">
        <f t="shared" si="60"/>
        <v>0.36</v>
      </c>
      <c r="Z119" s="102">
        <f t="shared" si="60"/>
        <v>0.36</v>
      </c>
      <c r="AA119" s="102">
        <f t="shared" si="60"/>
        <v>0.36</v>
      </c>
      <c r="AB119" s="102">
        <f t="shared" si="60"/>
        <v>0.36</v>
      </c>
      <c r="AC119" s="102">
        <f t="shared" si="60"/>
        <v>0.36</v>
      </c>
      <c r="AD119" s="102">
        <f t="shared" si="60"/>
        <v>0.36</v>
      </c>
      <c r="AE119" s="102">
        <f t="shared" si="60"/>
        <v>0.36</v>
      </c>
      <c r="AF119" s="102">
        <f t="shared" si="60"/>
        <v>0.36</v>
      </c>
      <c r="AG119" s="102">
        <f t="shared" si="60"/>
        <v>0.36</v>
      </c>
      <c r="AI119" s="124"/>
      <c r="AJ119" s="196"/>
      <c r="BC119" s="1"/>
      <c r="BD119" s="37"/>
      <c r="BF119" s="6"/>
      <c r="BG119" s="6"/>
      <c r="BH119" s="6"/>
      <c r="BI119" s="6"/>
      <c r="BJ119" s="6"/>
    </row>
    <row r="120" spans="1:63" outlineLevel="1">
      <c r="A120" t="s">
        <v>418</v>
      </c>
      <c r="B120" s="50" t="s">
        <v>126</v>
      </c>
      <c r="C120" s="102">
        <f>SUM(C117:C119)</f>
        <v>1</v>
      </c>
      <c r="D120" s="102">
        <f t="shared" ref="D120:AG120" si="62">SUM(D117:D119)</f>
        <v>1</v>
      </c>
      <c r="E120" s="102">
        <f t="shared" si="62"/>
        <v>1</v>
      </c>
      <c r="F120" s="102">
        <f t="shared" si="62"/>
        <v>1</v>
      </c>
      <c r="G120" s="102">
        <f t="shared" si="62"/>
        <v>1</v>
      </c>
      <c r="H120" s="102">
        <f t="shared" si="62"/>
        <v>1</v>
      </c>
      <c r="I120" s="102">
        <f t="shared" si="62"/>
        <v>1</v>
      </c>
      <c r="J120" s="102">
        <f t="shared" si="62"/>
        <v>1</v>
      </c>
      <c r="K120" s="102">
        <f t="shared" si="62"/>
        <v>1</v>
      </c>
      <c r="L120" s="102">
        <f t="shared" si="62"/>
        <v>1</v>
      </c>
      <c r="M120" s="102">
        <f t="shared" si="62"/>
        <v>1</v>
      </c>
      <c r="N120" s="102">
        <f t="shared" si="62"/>
        <v>1</v>
      </c>
      <c r="O120" s="102">
        <f t="shared" si="62"/>
        <v>1</v>
      </c>
      <c r="P120" s="102">
        <f t="shared" si="62"/>
        <v>1</v>
      </c>
      <c r="Q120" s="102">
        <f t="shared" si="62"/>
        <v>1</v>
      </c>
      <c r="R120" s="102">
        <f t="shared" si="62"/>
        <v>1</v>
      </c>
      <c r="S120" s="102">
        <f t="shared" si="62"/>
        <v>1</v>
      </c>
      <c r="T120" s="102">
        <f t="shared" si="62"/>
        <v>1</v>
      </c>
      <c r="U120" s="102">
        <f t="shared" si="62"/>
        <v>1</v>
      </c>
      <c r="V120" s="102">
        <f t="shared" si="62"/>
        <v>1</v>
      </c>
      <c r="W120" s="102">
        <f t="shared" si="62"/>
        <v>1</v>
      </c>
      <c r="X120" s="102">
        <f t="shared" si="62"/>
        <v>1</v>
      </c>
      <c r="Y120" s="102">
        <f t="shared" si="62"/>
        <v>1</v>
      </c>
      <c r="Z120" s="102">
        <f t="shared" si="62"/>
        <v>1</v>
      </c>
      <c r="AA120" s="102">
        <f t="shared" si="62"/>
        <v>1</v>
      </c>
      <c r="AB120" s="102">
        <f t="shared" si="62"/>
        <v>1</v>
      </c>
      <c r="AC120" s="102">
        <f t="shared" si="62"/>
        <v>1</v>
      </c>
      <c r="AD120" s="102">
        <f t="shared" si="62"/>
        <v>1</v>
      </c>
      <c r="AE120" s="102">
        <f t="shared" si="62"/>
        <v>1</v>
      </c>
      <c r="AF120" s="102">
        <f t="shared" si="62"/>
        <v>1</v>
      </c>
      <c r="AG120" s="102">
        <f t="shared" si="62"/>
        <v>1</v>
      </c>
      <c r="AI120" s="124"/>
      <c r="AJ120" s="185"/>
      <c r="BC120" s="1"/>
      <c r="BD120" s="37"/>
      <c r="BF120" s="6"/>
      <c r="BG120" s="6"/>
      <c r="BH120" s="6"/>
      <c r="BI120" s="6"/>
      <c r="BJ120" s="6"/>
    </row>
    <row r="121" spans="1:63" outlineLevel="1">
      <c r="C121" s="188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I121" s="124"/>
      <c r="AJ121" s="185"/>
      <c r="BC121" s="1"/>
      <c r="BD121" s="37"/>
      <c r="BF121" s="6"/>
      <c r="BG121" s="6"/>
      <c r="BH121" s="6"/>
      <c r="BI121" s="6"/>
      <c r="BJ121" s="6"/>
    </row>
    <row r="122" spans="1:63" outlineLevel="1">
      <c r="A122" t="s">
        <v>426</v>
      </c>
      <c r="B122" s="50" t="s">
        <v>126</v>
      </c>
      <c r="C122" s="102">
        <f>C117*C115</f>
        <v>9.0896000000000005E-2</v>
      </c>
      <c r="D122" s="102">
        <f t="shared" ref="D122:AG122" si="63">D117*D115</f>
        <v>9.558698585388728E-2</v>
      </c>
      <c r="E122" s="102">
        <f t="shared" si="63"/>
        <v>9.989964032274487E-2</v>
      </c>
      <c r="F122" s="102">
        <f t="shared" si="63"/>
        <v>0.10383396340657279</v>
      </c>
      <c r="G122" s="102">
        <f t="shared" si="63"/>
        <v>0.10738995510537105</v>
      </c>
      <c r="H122" s="102">
        <f t="shared" si="63"/>
        <v>0.11056761541913959</v>
      </c>
      <c r="I122" s="102">
        <f t="shared" si="63"/>
        <v>0.11336694434787849</v>
      </c>
      <c r="J122" s="102">
        <f t="shared" si="63"/>
        <v>0.1157879418915877</v>
      </c>
      <c r="K122" s="102">
        <f t="shared" si="63"/>
        <v>0.11783060805026725</v>
      </c>
      <c r="L122" s="102">
        <f t="shared" si="63"/>
        <v>0.11949494282391712</v>
      </c>
      <c r="M122" s="102">
        <f t="shared" si="63"/>
        <v>0.12078094621253731</v>
      </c>
      <c r="N122" s="102">
        <f t="shared" si="63"/>
        <v>0.11999179158090625</v>
      </c>
      <c r="O122" s="102">
        <f t="shared" si="63"/>
        <v>0.11894846361072514</v>
      </c>
      <c r="P122" s="102">
        <f t="shared" si="63"/>
        <v>0.11765096230199401</v>
      </c>
      <c r="Q122" s="102">
        <f t="shared" si="63"/>
        <v>0.11609928765471281</v>
      </c>
      <c r="R122" s="102">
        <f t="shared" si="63"/>
        <v>0.11429343966888156</v>
      </c>
      <c r="S122" s="102">
        <f t="shared" si="63"/>
        <v>0.11223341834450026</v>
      </c>
      <c r="T122" s="102">
        <f t="shared" si="63"/>
        <v>0.10991922368156891</v>
      </c>
      <c r="U122" s="102">
        <f t="shared" si="63"/>
        <v>0.10735085568008755</v>
      </c>
      <c r="V122" s="102">
        <f t="shared" si="63"/>
        <v>0.10452831434005611</v>
      </c>
      <c r="W122" s="102">
        <f t="shared" si="63"/>
        <v>0.1014515996614746</v>
      </c>
      <c r="X122" s="102">
        <f t="shared" si="63"/>
        <v>9.9305288439218375E-2</v>
      </c>
      <c r="Y122" s="102">
        <f t="shared" si="63"/>
        <v>9.6768121940541879E-2</v>
      </c>
      <c r="Z122" s="102">
        <f t="shared" si="63"/>
        <v>9.3840100165445112E-2</v>
      </c>
      <c r="AA122" s="102">
        <f t="shared" si="63"/>
        <v>9.0521223113928032E-2</v>
      </c>
      <c r="AB122" s="102">
        <f t="shared" si="63"/>
        <v>8.6811490785990708E-2</v>
      </c>
      <c r="AC122" s="102">
        <f t="shared" si="63"/>
        <v>8.2710903181633086E-2</v>
      </c>
      <c r="AD122" s="102">
        <f t="shared" si="63"/>
        <v>7.8219460300855206E-2</v>
      </c>
      <c r="AE122" s="102">
        <f t="shared" si="63"/>
        <v>7.3337162143657056E-2</v>
      </c>
      <c r="AF122" s="102">
        <f t="shared" si="63"/>
        <v>6.8064008710038593E-2</v>
      </c>
      <c r="AG122" s="102">
        <f t="shared" si="63"/>
        <v>6.2399999999999983E-2</v>
      </c>
      <c r="AI122" s="124"/>
      <c r="AJ122" s="185"/>
      <c r="BD122" s="177"/>
      <c r="BE122" s="177"/>
    </row>
    <row r="123" spans="1:63" outlineLevel="1">
      <c r="A123" t="s">
        <v>427</v>
      </c>
      <c r="B123" s="50" t="s">
        <v>126</v>
      </c>
      <c r="C123" s="102">
        <f>C115*C118</f>
        <v>2.0976000000000002E-2</v>
      </c>
      <c r="D123" s="102">
        <f t="shared" ref="D123:AG123" si="64">D115*D118</f>
        <v>2.2058535197050907E-2</v>
      </c>
      <c r="E123" s="102">
        <f t="shared" si="64"/>
        <v>2.3053763151402659E-2</v>
      </c>
      <c r="F123" s="102">
        <f t="shared" si="64"/>
        <v>2.396168386305526E-2</v>
      </c>
      <c r="G123" s="102">
        <f t="shared" si="64"/>
        <v>2.47822973320087E-2</v>
      </c>
      <c r="H123" s="102">
        <f t="shared" si="64"/>
        <v>2.5515603558262982E-2</v>
      </c>
      <c r="I123" s="102">
        <f t="shared" si="64"/>
        <v>2.6161602541818114E-2</v>
      </c>
      <c r="J123" s="102">
        <f t="shared" si="64"/>
        <v>2.6720294282674084E-2</v>
      </c>
      <c r="K123" s="102">
        <f t="shared" si="64"/>
        <v>2.71916787808309E-2</v>
      </c>
      <c r="L123" s="102">
        <f t="shared" si="64"/>
        <v>2.7575756036288562E-2</v>
      </c>
      <c r="M123" s="102">
        <f t="shared" si="64"/>
        <v>2.787252604904707E-2</v>
      </c>
      <c r="N123" s="102">
        <f t="shared" si="64"/>
        <v>2.7690413441747594E-2</v>
      </c>
      <c r="O123" s="102">
        <f t="shared" si="64"/>
        <v>2.7449645448628879E-2</v>
      </c>
      <c r="P123" s="102">
        <f t="shared" si="64"/>
        <v>2.7150222069690921E-2</v>
      </c>
      <c r="Q123" s="102">
        <f t="shared" si="64"/>
        <v>2.6792143304933722E-2</v>
      </c>
      <c r="R123" s="102">
        <f t="shared" si="64"/>
        <v>2.6375409154357279E-2</v>
      </c>
      <c r="S123" s="102">
        <f t="shared" si="64"/>
        <v>2.5900019617961595E-2</v>
      </c>
      <c r="T123" s="102">
        <f t="shared" si="64"/>
        <v>2.5365974695746672E-2</v>
      </c>
      <c r="U123" s="102">
        <f t="shared" si="64"/>
        <v>2.4773274387712509E-2</v>
      </c>
      <c r="V123" s="102">
        <f t="shared" si="64"/>
        <v>2.4121918693859101E-2</v>
      </c>
      <c r="W123" s="102">
        <f t="shared" si="64"/>
        <v>2.3411907614186447E-2</v>
      </c>
      <c r="X123" s="102">
        <f t="shared" si="64"/>
        <v>2.2916605024435009E-2</v>
      </c>
      <c r="Y123" s="102">
        <f t="shared" si="64"/>
        <v>2.2331105063201968E-2</v>
      </c>
      <c r="Z123" s="102">
        <f t="shared" si="64"/>
        <v>2.1655407730487332E-2</v>
      </c>
      <c r="AA123" s="102">
        <f t="shared" si="64"/>
        <v>2.0889513026291082E-2</v>
      </c>
      <c r="AB123" s="102">
        <f t="shared" si="64"/>
        <v>2.0033420950613237E-2</v>
      </c>
      <c r="AC123" s="102">
        <f t="shared" si="64"/>
        <v>1.9087131503453789E-2</v>
      </c>
      <c r="AD123" s="102">
        <f t="shared" si="64"/>
        <v>1.8050644684812735E-2</v>
      </c>
      <c r="AE123" s="102">
        <f t="shared" si="64"/>
        <v>1.6923960494690086E-2</v>
      </c>
      <c r="AF123" s="102">
        <f t="shared" si="64"/>
        <v>1.570707893308583E-2</v>
      </c>
      <c r="AG123" s="102">
        <f t="shared" si="64"/>
        <v>1.4399999999999996E-2</v>
      </c>
      <c r="AI123" s="124"/>
      <c r="AJ123" s="185"/>
      <c r="AL123" s="1"/>
      <c r="BC123" s="1"/>
      <c r="BD123" s="615"/>
      <c r="BE123" s="605"/>
      <c r="BF123" s="6"/>
      <c r="BG123" s="6"/>
      <c r="BH123" s="6"/>
      <c r="BI123" s="6"/>
      <c r="BJ123" s="6"/>
    </row>
    <row r="124" spans="1:63" outlineLevel="1">
      <c r="A124" t="s">
        <v>428</v>
      </c>
      <c r="B124" s="50" t="s">
        <v>126</v>
      </c>
      <c r="C124" s="102">
        <f>C115*C119</f>
        <v>6.2927999999999998E-2</v>
      </c>
      <c r="D124" s="102">
        <f t="shared" ref="D124:AG124" si="65">D115*D119</f>
        <v>6.6175605591152722E-2</v>
      </c>
      <c r="E124" s="102">
        <f t="shared" si="65"/>
        <v>6.9161289454207978E-2</v>
      </c>
      <c r="F124" s="102">
        <f t="shared" si="65"/>
        <v>7.1885051589165777E-2</v>
      </c>
      <c r="G124" s="102">
        <f t="shared" si="65"/>
        <v>7.4346891996026107E-2</v>
      </c>
      <c r="H124" s="102">
        <f t="shared" si="65"/>
        <v>7.654681067478894E-2</v>
      </c>
      <c r="I124" s="102">
        <f t="shared" si="65"/>
        <v>7.8484807625454331E-2</v>
      </c>
      <c r="J124" s="102">
        <f t="shared" si="65"/>
        <v>8.0160882848022252E-2</v>
      </c>
      <c r="K124" s="102">
        <f t="shared" si="65"/>
        <v>8.1575036342492704E-2</v>
      </c>
      <c r="L124" s="102">
        <f t="shared" si="65"/>
        <v>8.2727268108865687E-2</v>
      </c>
      <c r="M124" s="102">
        <f t="shared" si="65"/>
        <v>8.3617578147141214E-2</v>
      </c>
      <c r="N124" s="102">
        <f t="shared" si="65"/>
        <v>8.3071240325242782E-2</v>
      </c>
      <c r="O124" s="102">
        <f t="shared" si="65"/>
        <v>8.2348936345886636E-2</v>
      </c>
      <c r="P124" s="102">
        <f t="shared" si="65"/>
        <v>8.1450666209072764E-2</v>
      </c>
      <c r="Q124" s="102">
        <f t="shared" si="65"/>
        <v>8.0376429914801165E-2</v>
      </c>
      <c r="R124" s="102">
        <f t="shared" si="65"/>
        <v>7.9126227463071838E-2</v>
      </c>
      <c r="S124" s="102">
        <f t="shared" si="65"/>
        <v>7.7700058853884785E-2</v>
      </c>
      <c r="T124" s="102">
        <f t="shared" si="65"/>
        <v>7.6097924087240018E-2</v>
      </c>
      <c r="U124" s="102">
        <f t="shared" si="65"/>
        <v>7.4319823163137524E-2</v>
      </c>
      <c r="V124" s="102">
        <f t="shared" si="65"/>
        <v>7.2365756081577304E-2</v>
      </c>
      <c r="W124" s="102">
        <f t="shared" si="65"/>
        <v>7.0235722842559342E-2</v>
      </c>
      <c r="X124" s="102">
        <f t="shared" si="65"/>
        <v>6.8749815073305021E-2</v>
      </c>
      <c r="Y124" s="102">
        <f t="shared" si="65"/>
        <v>6.6993315189605912E-2</v>
      </c>
      <c r="Z124" s="102">
        <f t="shared" si="65"/>
        <v>6.4966223191462003E-2</v>
      </c>
      <c r="AA124" s="102">
        <f t="shared" si="65"/>
        <v>6.266853907887325E-2</v>
      </c>
      <c r="AB124" s="102">
        <f t="shared" si="65"/>
        <v>6.0100262851839711E-2</v>
      </c>
      <c r="AC124" s="102">
        <f t="shared" si="65"/>
        <v>5.7261394510361364E-2</v>
      </c>
      <c r="AD124" s="102">
        <f t="shared" si="65"/>
        <v>5.415193405443821E-2</v>
      </c>
      <c r="AE124" s="102">
        <f t="shared" si="65"/>
        <v>5.0771881484070261E-2</v>
      </c>
      <c r="AF124" s="102">
        <f t="shared" si="65"/>
        <v>4.712123679925749E-2</v>
      </c>
      <c r="AG124" s="102">
        <f t="shared" si="65"/>
        <v>4.3199999999999988E-2</v>
      </c>
      <c r="AI124" s="125"/>
      <c r="AJ124" s="185"/>
      <c r="BC124" s="1"/>
      <c r="BD124" s="37"/>
      <c r="BF124" s="6"/>
      <c r="BG124" s="6"/>
      <c r="BH124" s="6"/>
      <c r="BI124" s="6"/>
      <c r="BJ124" s="6"/>
    </row>
    <row r="125" spans="1:63" outlineLevel="1"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I125" s="125"/>
      <c r="AJ125" s="185"/>
      <c r="BC125" s="1"/>
      <c r="BD125" s="37"/>
      <c r="BF125" s="6"/>
      <c r="BG125" s="6"/>
      <c r="BH125" s="6"/>
      <c r="BI125" s="6"/>
      <c r="BJ125" s="6"/>
    </row>
    <row r="126" spans="1:63" outlineLevel="1">
      <c r="A126" t="s">
        <v>992</v>
      </c>
      <c r="C126" s="203">
        <f>'Overall recycling rates'!E86</f>
        <v>0.24090994458682721</v>
      </c>
      <c r="D126" s="203">
        <f>C126-($C126-$AG126)/($AG$1-$C$1)</f>
        <v>0.2595462797672663</v>
      </c>
      <c r="E126" s="203">
        <f t="shared" ref="E126:AF126" si="66">D126-($C126-$AG126)/($AG$1-$C$1)</f>
        <v>0.27818261494770541</v>
      </c>
      <c r="F126" s="203">
        <f t="shared" si="66"/>
        <v>0.29681895012814452</v>
      </c>
      <c r="G126" s="203">
        <f t="shared" si="66"/>
        <v>0.31545528530858363</v>
      </c>
      <c r="H126" s="203">
        <f t="shared" si="66"/>
        <v>0.33409162048902274</v>
      </c>
      <c r="I126" s="203">
        <f t="shared" si="66"/>
        <v>0.35272795566946186</v>
      </c>
      <c r="J126" s="203">
        <f t="shared" si="66"/>
        <v>0.37136429084990097</v>
      </c>
      <c r="K126" s="203">
        <f t="shared" si="66"/>
        <v>0.39000062603034008</v>
      </c>
      <c r="L126" s="203">
        <f t="shared" si="66"/>
        <v>0.40863696121077919</v>
      </c>
      <c r="M126" s="203">
        <f t="shared" si="66"/>
        <v>0.4272732963912183</v>
      </c>
      <c r="N126" s="203">
        <f t="shared" si="66"/>
        <v>0.44590963157165742</v>
      </c>
      <c r="O126" s="203">
        <f t="shared" si="66"/>
        <v>0.46454596675209653</v>
      </c>
      <c r="P126" s="203">
        <f t="shared" si="66"/>
        <v>0.48318230193253564</v>
      </c>
      <c r="Q126" s="203">
        <f t="shared" si="66"/>
        <v>0.5018186371129747</v>
      </c>
      <c r="R126" s="203">
        <f t="shared" si="66"/>
        <v>0.52045497229341375</v>
      </c>
      <c r="S126" s="203">
        <f t="shared" si="66"/>
        <v>0.53909130747385281</v>
      </c>
      <c r="T126" s="203">
        <f t="shared" si="66"/>
        <v>0.55772764265429187</v>
      </c>
      <c r="U126" s="203">
        <f t="shared" si="66"/>
        <v>0.57636397783473092</v>
      </c>
      <c r="V126" s="203">
        <f t="shared" si="66"/>
        <v>0.59500031301516998</v>
      </c>
      <c r="W126" s="203">
        <f t="shared" si="66"/>
        <v>0.61363664819560904</v>
      </c>
      <c r="X126" s="203">
        <f t="shared" si="66"/>
        <v>0.63227298337604809</v>
      </c>
      <c r="Y126" s="203">
        <f t="shared" si="66"/>
        <v>0.65090931855648715</v>
      </c>
      <c r="Z126" s="203">
        <f t="shared" si="66"/>
        <v>0.66954565373692621</v>
      </c>
      <c r="AA126" s="203">
        <f t="shared" si="66"/>
        <v>0.68818198891736526</v>
      </c>
      <c r="AB126" s="203">
        <f t="shared" si="66"/>
        <v>0.70681832409780432</v>
      </c>
      <c r="AC126" s="203">
        <f t="shared" si="66"/>
        <v>0.72545465927824337</v>
      </c>
      <c r="AD126" s="203">
        <f t="shared" si="66"/>
        <v>0.74409099445868243</v>
      </c>
      <c r="AE126" s="203">
        <f t="shared" si="66"/>
        <v>0.76272732963912149</v>
      </c>
      <c r="AF126" s="203">
        <f t="shared" si="66"/>
        <v>0.78136366481956054</v>
      </c>
      <c r="AG126" s="203">
        <f>'Overall recycling rates'!E95</f>
        <v>0.8</v>
      </c>
      <c r="AI126" s="124"/>
      <c r="AJ126" s="185" t="s">
        <v>993</v>
      </c>
      <c r="AL126" s="100"/>
      <c r="AM126" s="181"/>
      <c r="AN126" s="181"/>
      <c r="AO126" s="181"/>
      <c r="BC126" s="1"/>
      <c r="BD126" s="181"/>
      <c r="BE126" s="181"/>
      <c r="BF126" s="181"/>
      <c r="BG126" s="181"/>
      <c r="BH126" s="181"/>
      <c r="BI126" s="181"/>
      <c r="BJ126" s="181"/>
      <c r="BK126" s="181"/>
    </row>
    <row r="127" spans="1:63" outlineLevel="1">
      <c r="A127" t="s">
        <v>1032</v>
      </c>
      <c r="B127" s="50" t="s">
        <v>126</v>
      </c>
      <c r="C127" s="102">
        <f>C114*C$126</f>
        <v>3.6618311577197738E-3</v>
      </c>
      <c r="D127" s="102">
        <f t="shared" ref="D127:AG127" si="67">D114*D$126</f>
        <v>5.5377782527997214E-3</v>
      </c>
      <c r="E127" s="102">
        <f t="shared" si="67"/>
        <v>7.8448392878804236E-3</v>
      </c>
      <c r="F127" s="102">
        <f t="shared" si="67"/>
        <v>1.0623691438927415E-2</v>
      </c>
      <c r="G127" s="102">
        <f t="shared" si="67"/>
        <v>1.3915011881906232E-2</v>
      </c>
      <c r="H127" s="102">
        <f t="shared" si="67"/>
        <v>1.7759477792782405E-2</v>
      </c>
      <c r="I127" s="102">
        <f t="shared" si="67"/>
        <v>2.2197766347521474E-2</v>
      </c>
      <c r="J127" s="102">
        <f t="shared" si="67"/>
        <v>2.7270554722088978E-2</v>
      </c>
      <c r="K127" s="102">
        <f t="shared" si="67"/>
        <v>3.3018520092450446E-2</v>
      </c>
      <c r="L127" s="102">
        <f t="shared" si="67"/>
        <v>3.9482339634571414E-2</v>
      </c>
      <c r="M127" s="102">
        <f t="shared" si="67"/>
        <v>4.6702690524417424E-2</v>
      </c>
      <c r="N127" s="102">
        <f t="shared" si="67"/>
        <v>5.3957230528728799E-2</v>
      </c>
      <c r="O127" s="102">
        <f t="shared" si="67"/>
        <v>6.1874959469307725E-2</v>
      </c>
      <c r="P127" s="102">
        <f t="shared" si="67"/>
        <v>7.0483205381910857E-2</v>
      </c>
      <c r="Q127" s="102">
        <f t="shared" si="67"/>
        <v>7.9809296302294816E-2</v>
      </c>
      <c r="R127" s="102">
        <f t="shared" si="67"/>
        <v>8.9880560266216214E-2</v>
      </c>
      <c r="S127" s="102">
        <f t="shared" si="67"/>
        <v>0.10072432530943172</v>
      </c>
      <c r="T127" s="102">
        <f t="shared" si="67"/>
        <v>0.11236791946769797</v>
      </c>
      <c r="U127" s="102">
        <f t="shared" si="67"/>
        <v>0.12483867077677156</v>
      </c>
      <c r="V127" s="102">
        <f t="shared" si="67"/>
        <v>0.13816390727240915</v>
      </c>
      <c r="W127" s="102">
        <f t="shared" si="67"/>
        <v>0.1523709569903674</v>
      </c>
      <c r="X127" s="102">
        <f t="shared" si="67"/>
        <v>0.16950916131706009</v>
      </c>
      <c r="Y127" s="102">
        <f t="shared" si="67"/>
        <v>0.18787412463043565</v>
      </c>
      <c r="Z127" s="102">
        <f t="shared" si="67"/>
        <v>0.20750787064167722</v>
      </c>
      <c r="AA127" s="102">
        <f t="shared" si="67"/>
        <v>0.22845242306196789</v>
      </c>
      <c r="AB127" s="102">
        <f t="shared" si="67"/>
        <v>0.25074980560249088</v>
      </c>
      <c r="AC127" s="102">
        <f t="shared" si="67"/>
        <v>0.27444204197442928</v>
      </c>
      <c r="AD127" s="102">
        <f t="shared" si="67"/>
        <v>0.29957115588896627</v>
      </c>
      <c r="AE127" s="102">
        <f t="shared" si="67"/>
        <v>0.32617917105728494</v>
      </c>
      <c r="AF127" s="102">
        <f t="shared" si="67"/>
        <v>0.35430811119056843</v>
      </c>
      <c r="AG127" s="102">
        <f t="shared" si="67"/>
        <v>0.38400000000000001</v>
      </c>
      <c r="AI127" s="124"/>
      <c r="AJ127"/>
      <c r="AL127" s="100"/>
      <c r="AM127" s="2"/>
      <c r="AN127" s="2"/>
      <c r="AO127" s="2"/>
      <c r="AV127" s="37"/>
    </row>
    <row r="128" spans="1:63" outlineLevel="1">
      <c r="A128" t="s">
        <v>1033</v>
      </c>
      <c r="B128" s="50" t="s">
        <v>126</v>
      </c>
      <c r="C128" s="102">
        <f>C115*C$126</f>
        <v>4.21110583137774E-2</v>
      </c>
      <c r="D128" s="102">
        <f t="shared" ref="D128:AG128" si="68">D115*D$126</f>
        <v>4.7710089562582214E-2</v>
      </c>
      <c r="E128" s="102">
        <f t="shared" si="68"/>
        <v>5.3442967648685384E-2</v>
      </c>
      <c r="F128" s="102">
        <f t="shared" si="68"/>
        <v>5.9269015396121373E-2</v>
      </c>
      <c r="G128" s="102">
        <f t="shared" si="68"/>
        <v>6.514755562892463E-2</v>
      </c>
      <c r="H128" s="102">
        <f t="shared" si="68"/>
        <v>7.103791117112962E-2</v>
      </c>
      <c r="I128" s="102">
        <f t="shared" si="68"/>
        <v>7.6899404846770839E-2</v>
      </c>
      <c r="J128" s="102">
        <f t="shared" si="68"/>
        <v>8.2691359479882709E-2</v>
      </c>
      <c r="K128" s="102">
        <f t="shared" si="68"/>
        <v>8.8373097894499722E-2</v>
      </c>
      <c r="L128" s="102">
        <f t="shared" si="68"/>
        <v>9.3903942914656341E-2</v>
      </c>
      <c r="M128" s="102">
        <f t="shared" si="68"/>
        <v>9.9243217364387015E-2</v>
      </c>
      <c r="N128" s="102">
        <f t="shared" si="68"/>
        <v>0.10289518379897117</v>
      </c>
      <c r="O128" s="102">
        <f t="shared" si="68"/>
        <v>0.10626351734946324</v>
      </c>
      <c r="P128" s="102">
        <f t="shared" si="68"/>
        <v>0.1093208899801066</v>
      </c>
      <c r="Q128" s="102">
        <f t="shared" si="68"/>
        <v>0.11203997365514459</v>
      </c>
      <c r="R128" s="102">
        <f t="shared" si="68"/>
        <v>0.11439344033882058</v>
      </c>
      <c r="S128" s="102">
        <f t="shared" si="68"/>
        <v>0.11635396199537797</v>
      </c>
      <c r="T128" s="102">
        <f t="shared" si="68"/>
        <v>0.11789421058906008</v>
      </c>
      <c r="U128" s="102">
        <f t="shared" si="68"/>
        <v>0.11898685808411034</v>
      </c>
      <c r="V128" s="102">
        <f t="shared" si="68"/>
        <v>0.11960457644477204</v>
      </c>
      <c r="W128" s="102">
        <f t="shared" si="68"/>
        <v>0.11972003763528857</v>
      </c>
      <c r="X128" s="102">
        <f t="shared" si="68"/>
        <v>0.12074625189708381</v>
      </c>
      <c r="Y128" s="102">
        <f t="shared" si="68"/>
        <v>0.12112936982751762</v>
      </c>
      <c r="Z128" s="102">
        <f t="shared" si="68"/>
        <v>0.12082736771540689</v>
      </c>
      <c r="AA128" s="102">
        <f t="shared" si="68"/>
        <v>0.1197982218495684</v>
      </c>
      <c r="AB128" s="102">
        <f t="shared" si="68"/>
        <v>0.1179999085188191</v>
      </c>
      <c r="AC128" s="102">
        <f t="shared" si="68"/>
        <v>0.11539040401197578</v>
      </c>
      <c r="AD128" s="102">
        <f t="shared" si="68"/>
        <v>0.11192768461785534</v>
      </c>
      <c r="AE128" s="102">
        <f t="shared" si="68"/>
        <v>0.10756972662527464</v>
      </c>
      <c r="AF128" s="102">
        <f t="shared" si="68"/>
        <v>0.10227450632305048</v>
      </c>
      <c r="AG128" s="102">
        <f t="shared" si="68"/>
        <v>9.5999999999999974E-2</v>
      </c>
      <c r="AH128" s="217"/>
      <c r="AI128" s="124"/>
      <c r="AJ128" s="185"/>
      <c r="AL128" s="100"/>
      <c r="AM128" s="2"/>
      <c r="AN128" s="2"/>
      <c r="AO128" s="2"/>
      <c r="AV128" s="37"/>
    </row>
    <row r="129" spans="1:63" outlineLevel="1">
      <c r="A129" t="s">
        <v>1034</v>
      </c>
      <c r="B129" s="156" t="s">
        <v>126</v>
      </c>
      <c r="C129" s="102">
        <f>SUM(C127:C128)</f>
        <v>4.5772889471497172E-2</v>
      </c>
      <c r="D129" s="102">
        <f t="shared" ref="D129:AG129" si="69">SUM(D127:D128)</f>
        <v>5.3247867815381933E-2</v>
      </c>
      <c r="E129" s="102">
        <f t="shared" si="69"/>
        <v>6.1287806936565811E-2</v>
      </c>
      <c r="F129" s="102">
        <f t="shared" si="69"/>
        <v>6.9892706835048793E-2</v>
      </c>
      <c r="G129" s="102">
        <f t="shared" si="69"/>
        <v>7.9062567510830864E-2</v>
      </c>
      <c r="H129" s="102">
        <f t="shared" si="69"/>
        <v>8.8797388963912025E-2</v>
      </c>
      <c r="I129" s="102">
        <f t="shared" si="69"/>
        <v>9.9097171194292316E-2</v>
      </c>
      <c r="J129" s="102">
        <f t="shared" si="69"/>
        <v>0.10996191420197168</v>
      </c>
      <c r="K129" s="102">
        <f t="shared" si="69"/>
        <v>0.12139161798695017</v>
      </c>
      <c r="L129" s="102">
        <f t="shared" si="69"/>
        <v>0.13338628254922774</v>
      </c>
      <c r="M129" s="102">
        <f t="shared" si="69"/>
        <v>0.14594590788880443</v>
      </c>
      <c r="N129" s="102">
        <f t="shared" si="69"/>
        <v>0.15685241432769997</v>
      </c>
      <c r="O129" s="102">
        <f t="shared" si="69"/>
        <v>0.16813847681877098</v>
      </c>
      <c r="P129" s="102">
        <f t="shared" si="69"/>
        <v>0.17980409536201747</v>
      </c>
      <c r="Q129" s="102">
        <f t="shared" si="69"/>
        <v>0.19184926995743939</v>
      </c>
      <c r="R129" s="102">
        <f t="shared" si="69"/>
        <v>0.20427400060503681</v>
      </c>
      <c r="S129" s="102">
        <f t="shared" si="69"/>
        <v>0.21707828730480969</v>
      </c>
      <c r="T129" s="102">
        <f t="shared" si="69"/>
        <v>0.23026213005675805</v>
      </c>
      <c r="U129" s="102">
        <f t="shared" si="69"/>
        <v>0.24382552886088191</v>
      </c>
      <c r="V129" s="102">
        <f t="shared" si="69"/>
        <v>0.2577684837171812</v>
      </c>
      <c r="W129" s="102">
        <f t="shared" si="69"/>
        <v>0.272090994625656</v>
      </c>
      <c r="X129" s="102">
        <f t="shared" si="69"/>
        <v>0.29025541321414389</v>
      </c>
      <c r="Y129" s="102">
        <f t="shared" si="69"/>
        <v>0.30900349445795328</v>
      </c>
      <c r="Z129" s="102">
        <f t="shared" si="69"/>
        <v>0.32833523835708411</v>
      </c>
      <c r="AA129" s="102">
        <f t="shared" si="69"/>
        <v>0.34825064491153629</v>
      </c>
      <c r="AB129" s="102">
        <f t="shared" si="69"/>
        <v>0.36874971412130997</v>
      </c>
      <c r="AC129" s="102">
        <f t="shared" si="69"/>
        <v>0.3898324459864051</v>
      </c>
      <c r="AD129" s="102">
        <f t="shared" si="69"/>
        <v>0.41149884050682162</v>
      </c>
      <c r="AE129" s="102">
        <f t="shared" si="69"/>
        <v>0.43374889768255959</v>
      </c>
      <c r="AF129" s="102">
        <f t="shared" si="69"/>
        <v>0.45658261751361889</v>
      </c>
      <c r="AG129" s="102">
        <f t="shared" si="69"/>
        <v>0.48</v>
      </c>
      <c r="AI129" s="124"/>
      <c r="AJ129" s="185"/>
      <c r="AL129" s="100"/>
      <c r="AM129" s="2"/>
      <c r="AN129" s="2"/>
      <c r="AO129" s="2"/>
    </row>
    <row r="130" spans="1:63" outlineLevel="1">
      <c r="A130" t="s">
        <v>1035</v>
      </c>
      <c r="B130" s="50" t="s">
        <v>126</v>
      </c>
      <c r="C130" s="102">
        <f>C117*C128</f>
        <v>2.1897750323164249E-2</v>
      </c>
      <c r="D130" s="102">
        <f t="shared" ref="D130:AG130" si="70">D117*D128</f>
        <v>2.4809246572542753E-2</v>
      </c>
      <c r="E130" s="102">
        <f t="shared" si="70"/>
        <v>2.77903431773164E-2</v>
      </c>
      <c r="F130" s="102">
        <f t="shared" si="70"/>
        <v>3.0819888005983113E-2</v>
      </c>
      <c r="G130" s="102">
        <f t="shared" si="70"/>
        <v>3.3876728927040807E-2</v>
      </c>
      <c r="H130" s="102">
        <f t="shared" si="70"/>
        <v>3.6939713808987404E-2</v>
      </c>
      <c r="I130" s="102">
        <f t="shared" si="70"/>
        <v>3.9987690520320834E-2</v>
      </c>
      <c r="J130" s="102">
        <f t="shared" si="70"/>
        <v>4.2999506929539008E-2</v>
      </c>
      <c r="K130" s="102">
        <f t="shared" si="70"/>
        <v>4.5954010905139855E-2</v>
      </c>
      <c r="L130" s="102">
        <f t="shared" si="70"/>
        <v>4.88300503156213E-2</v>
      </c>
      <c r="M130" s="102">
        <f t="shared" si="70"/>
        <v>5.1606473029481251E-2</v>
      </c>
      <c r="N130" s="102">
        <f t="shared" si="70"/>
        <v>5.3505495575465009E-2</v>
      </c>
      <c r="O130" s="102">
        <f t="shared" si="70"/>
        <v>5.5257029021720888E-2</v>
      </c>
      <c r="P130" s="102">
        <f t="shared" si="70"/>
        <v>5.6846862789655429E-2</v>
      </c>
      <c r="Q130" s="102">
        <f t="shared" si="70"/>
        <v>5.8260786300675188E-2</v>
      </c>
      <c r="R130" s="102">
        <f t="shared" si="70"/>
        <v>5.9484588976186706E-2</v>
      </c>
      <c r="S130" s="102">
        <f t="shared" si="70"/>
        <v>6.0504060237596545E-2</v>
      </c>
      <c r="T130" s="102">
        <f t="shared" si="70"/>
        <v>6.130498950631124E-2</v>
      </c>
      <c r="U130" s="102">
        <f t="shared" si="70"/>
        <v>6.1873166203737381E-2</v>
      </c>
      <c r="V130" s="102">
        <f t="shared" si="70"/>
        <v>6.2194379751281462E-2</v>
      </c>
      <c r="W130" s="102">
        <f t="shared" si="70"/>
        <v>6.2254419570350057E-2</v>
      </c>
      <c r="X130" s="102">
        <f t="shared" si="70"/>
        <v>6.2788050986483587E-2</v>
      </c>
      <c r="Y130" s="102">
        <f t="shared" si="70"/>
        <v>6.2987272310309164E-2</v>
      </c>
      <c r="Z130" s="102">
        <f t="shared" si="70"/>
        <v>6.2830231212011589E-2</v>
      </c>
      <c r="AA130" s="102">
        <f t="shared" si="70"/>
        <v>6.2295075361775566E-2</v>
      </c>
      <c r="AB130" s="102">
        <f t="shared" si="70"/>
        <v>6.1359952429785931E-2</v>
      </c>
      <c r="AC130" s="102">
        <f t="shared" si="70"/>
        <v>6.000301008622741E-2</v>
      </c>
      <c r="AD130" s="102">
        <f t="shared" si="70"/>
        <v>5.8202396001284774E-2</v>
      </c>
      <c r="AE130" s="102">
        <f t="shared" si="70"/>
        <v>5.5936257845142813E-2</v>
      </c>
      <c r="AF130" s="102">
        <f t="shared" si="70"/>
        <v>5.3182743287986251E-2</v>
      </c>
      <c r="AG130" s="102">
        <f t="shared" si="70"/>
        <v>4.9919999999999985E-2</v>
      </c>
      <c r="AI130" s="124"/>
      <c r="AJ130" s="185"/>
      <c r="BD130" s="177"/>
      <c r="BE130" s="177"/>
    </row>
    <row r="131" spans="1:63" outlineLevel="1">
      <c r="A131" t="s">
        <v>1036</v>
      </c>
      <c r="B131" s="50" t="s">
        <v>126</v>
      </c>
      <c r="C131" s="102">
        <f>C118*C128</f>
        <v>5.0533269976532876E-3</v>
      </c>
      <c r="D131" s="102">
        <f t="shared" ref="D131:AG131" si="71">D118*D128</f>
        <v>5.7252107475098653E-3</v>
      </c>
      <c r="E131" s="102">
        <f t="shared" si="71"/>
        <v>6.4131561178422461E-3</v>
      </c>
      <c r="F131" s="102">
        <f t="shared" si="71"/>
        <v>7.1122818475345649E-3</v>
      </c>
      <c r="G131" s="102">
        <f t="shared" si="71"/>
        <v>7.8177066754709559E-3</v>
      </c>
      <c r="H131" s="102">
        <f t="shared" si="71"/>
        <v>8.5245493405355539E-3</v>
      </c>
      <c r="I131" s="102">
        <f t="shared" si="71"/>
        <v>9.227928581612501E-3</v>
      </c>
      <c r="J131" s="102">
        <f t="shared" si="71"/>
        <v>9.9229631375859252E-3</v>
      </c>
      <c r="K131" s="102">
        <f t="shared" si="71"/>
        <v>1.0604771747339967E-2</v>
      </c>
      <c r="L131" s="102">
        <f t="shared" si="71"/>
        <v>1.126847314975876E-2</v>
      </c>
      <c r="M131" s="102">
        <f t="shared" si="71"/>
        <v>1.1909186083726441E-2</v>
      </c>
      <c r="N131" s="102">
        <f t="shared" si="71"/>
        <v>1.234742205587654E-2</v>
      </c>
      <c r="O131" s="102">
        <f t="shared" si="71"/>
        <v>1.2751622081935587E-2</v>
      </c>
      <c r="P131" s="102">
        <f t="shared" si="71"/>
        <v>1.3118506797612792E-2</v>
      </c>
      <c r="Q131" s="102">
        <f t="shared" si="71"/>
        <v>1.3444796838617351E-2</v>
      </c>
      <c r="R131" s="102">
        <f t="shared" si="71"/>
        <v>1.3727212840658469E-2</v>
      </c>
      <c r="S131" s="102">
        <f t="shared" si="71"/>
        <v>1.3962475439445355E-2</v>
      </c>
      <c r="T131" s="102">
        <f t="shared" si="71"/>
        <v>1.4147305270687209E-2</v>
      </c>
      <c r="U131" s="102">
        <f t="shared" si="71"/>
        <v>1.4278422970093241E-2</v>
      </c>
      <c r="V131" s="102">
        <f t="shared" si="71"/>
        <v>1.4352549173372645E-2</v>
      </c>
      <c r="W131" s="102">
        <f t="shared" si="71"/>
        <v>1.4366404516234629E-2</v>
      </c>
      <c r="X131" s="102">
        <f t="shared" si="71"/>
        <v>1.4489550227650057E-2</v>
      </c>
      <c r="Y131" s="102">
        <f t="shared" si="71"/>
        <v>1.4535524379302115E-2</v>
      </c>
      <c r="Z131" s="102">
        <f t="shared" si="71"/>
        <v>1.4499284125848826E-2</v>
      </c>
      <c r="AA131" s="102">
        <f t="shared" si="71"/>
        <v>1.4375786621948208E-2</v>
      </c>
      <c r="AB131" s="102">
        <f t="shared" si="71"/>
        <v>1.4159989022258292E-2</v>
      </c>
      <c r="AC131" s="102">
        <f t="shared" si="71"/>
        <v>1.3846848481437093E-2</v>
      </c>
      <c r="AD131" s="102">
        <f t="shared" si="71"/>
        <v>1.343132215414264E-2</v>
      </c>
      <c r="AE131" s="102">
        <f t="shared" si="71"/>
        <v>1.2908367195032957E-2</v>
      </c>
      <c r="AF131" s="102">
        <f t="shared" si="71"/>
        <v>1.2272940758766056E-2</v>
      </c>
      <c r="AG131" s="102">
        <f t="shared" si="71"/>
        <v>1.1519999999999997E-2</v>
      </c>
      <c r="AI131" s="124"/>
      <c r="AJ131" s="185"/>
      <c r="AL131" s="1"/>
      <c r="BC131" s="1"/>
      <c r="BD131" s="615"/>
      <c r="BE131" s="605"/>
      <c r="BF131" s="6"/>
      <c r="BG131" s="6"/>
      <c r="BH131" s="6"/>
      <c r="BI131" s="6"/>
      <c r="BJ131" s="6"/>
    </row>
    <row r="132" spans="1:63" outlineLevel="1">
      <c r="A132" t="s">
        <v>1037</v>
      </c>
      <c r="B132" s="50" t="s">
        <v>126</v>
      </c>
      <c r="C132" s="102">
        <f>C119*C128</f>
        <v>1.5159980992959864E-2</v>
      </c>
      <c r="D132" s="102">
        <f t="shared" ref="D132:AG132" si="72">D119*D128</f>
        <v>1.7175632242529597E-2</v>
      </c>
      <c r="E132" s="102">
        <f t="shared" si="72"/>
        <v>1.9239468353526738E-2</v>
      </c>
      <c r="F132" s="102">
        <f t="shared" si="72"/>
        <v>2.1336845542603695E-2</v>
      </c>
      <c r="G132" s="102">
        <f t="shared" si="72"/>
        <v>2.3453120026412866E-2</v>
      </c>
      <c r="H132" s="102">
        <f t="shared" si="72"/>
        <v>2.5573648021606662E-2</v>
      </c>
      <c r="I132" s="102">
        <f t="shared" si="72"/>
        <v>2.76837857448375E-2</v>
      </c>
      <c r="J132" s="102">
        <f t="shared" si="72"/>
        <v>2.9768889412757776E-2</v>
      </c>
      <c r="K132" s="102">
        <f t="shared" si="72"/>
        <v>3.18143152420199E-2</v>
      </c>
      <c r="L132" s="102">
        <f t="shared" si="72"/>
        <v>3.3805419449276279E-2</v>
      </c>
      <c r="M132" s="102">
        <f t="shared" si="72"/>
        <v>3.5727558251179327E-2</v>
      </c>
      <c r="N132" s="102">
        <f t="shared" si="72"/>
        <v>3.7042266167629616E-2</v>
      </c>
      <c r="O132" s="102">
        <f t="shared" si="72"/>
        <v>3.8254866245806762E-2</v>
      </c>
      <c r="P132" s="102">
        <f t="shared" si="72"/>
        <v>3.9355520392838371E-2</v>
      </c>
      <c r="Q132" s="102">
        <f t="shared" si="72"/>
        <v>4.0334390515852053E-2</v>
      </c>
      <c r="R132" s="102">
        <f t="shared" si="72"/>
        <v>4.1181638521975407E-2</v>
      </c>
      <c r="S132" s="102">
        <f t="shared" si="72"/>
        <v>4.1887426318336064E-2</v>
      </c>
      <c r="T132" s="102">
        <f t="shared" si="72"/>
        <v>4.2441915812061623E-2</v>
      </c>
      <c r="U132" s="102">
        <f t="shared" si="72"/>
        <v>4.2835268910279722E-2</v>
      </c>
      <c r="V132" s="102">
        <f t="shared" si="72"/>
        <v>4.3057647520117932E-2</v>
      </c>
      <c r="W132" s="102">
        <f t="shared" si="72"/>
        <v>4.3099213548703885E-2</v>
      </c>
      <c r="X132" s="102">
        <f t="shared" si="72"/>
        <v>4.3468650682950166E-2</v>
      </c>
      <c r="Y132" s="102">
        <f t="shared" si="72"/>
        <v>4.3606573137906342E-2</v>
      </c>
      <c r="Z132" s="102">
        <f t="shared" si="72"/>
        <v>4.3497852377546477E-2</v>
      </c>
      <c r="AA132" s="102">
        <f t="shared" si="72"/>
        <v>4.3127359865844622E-2</v>
      </c>
      <c r="AB132" s="102">
        <f t="shared" si="72"/>
        <v>4.2479967066774871E-2</v>
      </c>
      <c r="AC132" s="102">
        <f t="shared" si="72"/>
        <v>4.154054544431128E-2</v>
      </c>
      <c r="AD132" s="102">
        <f t="shared" si="72"/>
        <v>4.0293966462427923E-2</v>
      </c>
      <c r="AE132" s="102">
        <f t="shared" si="72"/>
        <v>3.872510158509887E-2</v>
      </c>
      <c r="AF132" s="102">
        <f t="shared" si="72"/>
        <v>3.6818822276298173E-2</v>
      </c>
      <c r="AG132" s="102">
        <f t="shared" si="72"/>
        <v>3.4559999999999987E-2</v>
      </c>
      <c r="AI132" s="125"/>
      <c r="AJ132" s="185"/>
      <c r="BC132" s="1"/>
      <c r="BD132" s="37"/>
      <c r="BF132" s="6"/>
      <c r="BG132" s="6"/>
      <c r="BH132" s="6"/>
      <c r="BI132" s="6"/>
      <c r="BJ132" s="6"/>
    </row>
    <row r="133" spans="1:63" outlineLevel="1"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I133" s="125"/>
      <c r="AJ133" s="185"/>
      <c r="BC133" s="1"/>
      <c r="BD133" s="37"/>
      <c r="BF133" s="6"/>
      <c r="BG133" s="6"/>
      <c r="BH133" s="6"/>
      <c r="BI133" s="6"/>
      <c r="BJ133" s="6"/>
    </row>
    <row r="134" spans="1:63" s="1" customFormat="1" outlineLevel="1">
      <c r="A134" s="1" t="s">
        <v>265</v>
      </c>
      <c r="B134" s="60"/>
      <c r="C134" s="250">
        <f>C40*C127</f>
        <v>66.538367980605159</v>
      </c>
      <c r="D134" s="250">
        <f t="shared" ref="D134:AG134" si="73">D40*D127</f>
        <v>100.40367122822593</v>
      </c>
      <c r="E134" s="250">
        <f t="shared" si="73"/>
        <v>141.91826235237022</v>
      </c>
      <c r="F134" s="250">
        <f t="shared" si="73"/>
        <v>191.76523855214353</v>
      </c>
      <c r="G134" s="250">
        <f t="shared" si="73"/>
        <v>250.62143994742453</v>
      </c>
      <c r="H134" s="250">
        <f t="shared" si="73"/>
        <v>319.15748452678719</v>
      </c>
      <c r="I134" s="250">
        <f t="shared" si="73"/>
        <v>398.03780294020362</v>
      </c>
      <c r="J134" s="250">
        <f t="shared" si="73"/>
        <v>487.92067313712931</v>
      </c>
      <c r="K134" s="250">
        <f t="shared" si="73"/>
        <v>589.45825485057026</v>
      </c>
      <c r="L134" s="250">
        <f t="shared" si="73"/>
        <v>703.29662392773082</v>
      </c>
      <c r="M134" s="250">
        <f t="shared" si="73"/>
        <v>830.07580650783495</v>
      </c>
      <c r="N134" s="250">
        <f t="shared" si="73"/>
        <v>956.89813540578791</v>
      </c>
      <c r="O134" s="250">
        <f t="shared" si="73"/>
        <v>1094.8917615391333</v>
      </c>
      <c r="P134" s="250">
        <f t="shared" si="73"/>
        <v>1240.2187302140924</v>
      </c>
      <c r="Q134" s="250">
        <f t="shared" si="73"/>
        <v>1396.3939798575154</v>
      </c>
      <c r="R134" s="250">
        <f t="shared" si="73"/>
        <v>1563.6784043742459</v>
      </c>
      <c r="S134" s="250">
        <f t="shared" si="73"/>
        <v>1742.3219749665866</v>
      </c>
      <c r="T134" s="250">
        <f t="shared" si="73"/>
        <v>1932.5637434943831</v>
      </c>
      <c r="U134" s="250">
        <f t="shared" si="73"/>
        <v>2134.6318465290155</v>
      </c>
      <c r="V134" s="250">
        <f t="shared" si="73"/>
        <v>2348.7435100941184</v>
      </c>
      <c r="W134" s="250">
        <f t="shared" si="73"/>
        <v>2575.1050550858786</v>
      </c>
      <c r="X134" s="250">
        <f t="shared" si="73"/>
        <v>2847.8832707529077</v>
      </c>
      <c r="Y134" s="250">
        <f t="shared" si="73"/>
        <v>3137.7371892114134</v>
      </c>
      <c r="Z134" s="250">
        <f t="shared" si="73"/>
        <v>3415.4385078164678</v>
      </c>
      <c r="AA134" s="250">
        <f t="shared" si="73"/>
        <v>3704.4844530643395</v>
      </c>
      <c r="AB134" s="250">
        <f t="shared" si="73"/>
        <v>4004.4780250679705</v>
      </c>
      <c r="AC134" s="250">
        <f t="shared" si="73"/>
        <v>4314.9678798058012</v>
      </c>
      <c r="AD134" s="250">
        <f t="shared" si="73"/>
        <v>4635.4477816760764</v>
      </c>
      <c r="AE134" s="250">
        <f t="shared" si="73"/>
        <v>4965.3560673562233</v>
      </c>
      <c r="AF134" s="250">
        <f t="shared" si="73"/>
        <v>5304.0751208693682</v>
      </c>
      <c r="AG134" s="250">
        <f t="shared" si="73"/>
        <v>5650.9308597607578</v>
      </c>
      <c r="AH134" s="217"/>
      <c r="AI134" s="368"/>
      <c r="AJ134" s="369"/>
      <c r="AL134" s="194"/>
      <c r="AM134" s="116"/>
      <c r="AN134" s="116"/>
      <c r="AO134" s="116"/>
      <c r="BD134" s="116"/>
      <c r="BE134" s="116"/>
      <c r="BF134" s="116"/>
      <c r="BG134" s="116"/>
      <c r="BH134" s="116"/>
      <c r="BI134" s="116"/>
      <c r="BJ134" s="116"/>
      <c r="BK134" s="116"/>
    </row>
    <row r="135" spans="1:63" outlineLevel="1">
      <c r="A135" s="4" t="s">
        <v>35</v>
      </c>
      <c r="C135" s="203">
        <f>C$134*'Methanol recycling rates'!E48</f>
        <v>0</v>
      </c>
      <c r="D135" s="203">
        <f>D$134*'Methanol recycling rates'!F48</f>
        <v>0</v>
      </c>
      <c r="E135" s="203">
        <f>E$134*'Methanol recycling rates'!G48</f>
        <v>0</v>
      </c>
      <c r="F135" s="203">
        <f>F$134*'Methanol recycling rates'!H48</f>
        <v>0</v>
      </c>
      <c r="G135" s="203">
        <f>G$134*'Methanol recycling rates'!I48</f>
        <v>0</v>
      </c>
      <c r="H135" s="203">
        <f>H$134*'Methanol recycling rates'!J48</f>
        <v>0</v>
      </c>
      <c r="I135" s="203">
        <f>I$134*'Methanol recycling rates'!K48</f>
        <v>0</v>
      </c>
      <c r="J135" s="203">
        <f>J$134*'Methanol recycling rates'!L48</f>
        <v>0</v>
      </c>
      <c r="K135" s="203">
        <f>K$134*'Methanol recycling rates'!M48</f>
        <v>0</v>
      </c>
      <c r="L135" s="203">
        <f>L$134*'Methanol recycling rates'!N48</f>
        <v>0</v>
      </c>
      <c r="M135" s="203">
        <f>M$134*'Methanol recycling rates'!O48</f>
        <v>0</v>
      </c>
      <c r="N135" s="203">
        <f>N$134*'Methanol recycling rates'!P48</f>
        <v>0</v>
      </c>
      <c r="O135" s="203">
        <f>O$134*'Methanol recycling rates'!Q48</f>
        <v>0</v>
      </c>
      <c r="P135" s="203">
        <f>P$134*'Methanol recycling rates'!R48</f>
        <v>0</v>
      </c>
      <c r="Q135" s="203">
        <f>Q$134*'Methanol recycling rates'!S48</f>
        <v>0</v>
      </c>
      <c r="R135" s="203">
        <f>R$134*'Methanol recycling rates'!T48</f>
        <v>0</v>
      </c>
      <c r="S135" s="203">
        <f>S$134*'Methanol recycling rates'!U48</f>
        <v>0</v>
      </c>
      <c r="T135" s="203">
        <f>T$134*'Methanol recycling rates'!V48</f>
        <v>0</v>
      </c>
      <c r="U135" s="203">
        <f>U$134*'Methanol recycling rates'!W48</f>
        <v>0</v>
      </c>
      <c r="V135" s="203">
        <f>V$134*'Methanol recycling rates'!X48</f>
        <v>0</v>
      </c>
      <c r="W135" s="203">
        <f>W$134*'Methanol recycling rates'!Y48</f>
        <v>0</v>
      </c>
      <c r="X135" s="203">
        <f>X$134*'Methanol recycling rates'!Z48</f>
        <v>0</v>
      </c>
      <c r="Y135" s="203">
        <f>Y$134*'Methanol recycling rates'!AA48</f>
        <v>0</v>
      </c>
      <c r="Z135" s="203">
        <f>Z$134*'Methanol recycling rates'!AB48</f>
        <v>0</v>
      </c>
      <c r="AA135" s="203">
        <f>AA$134*'Methanol recycling rates'!AC48</f>
        <v>0</v>
      </c>
      <c r="AB135" s="203">
        <f>AB$134*'Methanol recycling rates'!AD48</f>
        <v>0</v>
      </c>
      <c r="AC135" s="203">
        <f>AC$134*'Methanol recycling rates'!AE48</f>
        <v>0</v>
      </c>
      <c r="AD135" s="203">
        <f>AD$134*'Methanol recycling rates'!AF48</f>
        <v>0</v>
      </c>
      <c r="AE135" s="203">
        <f>AE$134*'Methanol recycling rates'!AG48</f>
        <v>0</v>
      </c>
      <c r="AF135" s="203">
        <f>AF$134*'Methanol recycling rates'!AH48</f>
        <v>0</v>
      </c>
      <c r="AG135" s="203">
        <f>AG$134*'Methanol recycling rates'!AI48</f>
        <v>0</v>
      </c>
      <c r="AH135" s="217"/>
      <c r="AI135" s="124"/>
      <c r="AJ135" s="185"/>
      <c r="AL135" s="100"/>
      <c r="AM135" s="2"/>
      <c r="AN135" s="2"/>
      <c r="AO135" s="2"/>
      <c r="BC135" s="1"/>
      <c r="BD135" s="2"/>
      <c r="BE135" s="2"/>
      <c r="BF135" s="2"/>
      <c r="BG135" s="2"/>
      <c r="BH135" s="2"/>
      <c r="BI135" s="2"/>
      <c r="BJ135" s="2"/>
      <c r="BK135" s="2"/>
    </row>
    <row r="136" spans="1:63" outlineLevel="1">
      <c r="A136" s="4" t="s">
        <v>160</v>
      </c>
      <c r="C136" s="203">
        <f>C$134*'Methanol recycling rates'!E49</f>
        <v>0</v>
      </c>
      <c r="D136" s="203">
        <f>D$134*'Methanol recycling rates'!F49</f>
        <v>5.6756892768124026E-2</v>
      </c>
      <c r="E136" s="203">
        <f>E$134*'Methanol recycling rates'!G49</f>
        <v>0.1604491050902441</v>
      </c>
      <c r="F136" s="203">
        <f>F$134*'Methanol recycling rates'!H49</f>
        <v>0.32520720451797508</v>
      </c>
      <c r="G136" s="203">
        <f>G$134*'Methanol recycling rates'!I49</f>
        <v>0.56669219435832563</v>
      </c>
      <c r="H136" s="203">
        <f>H$134*'Methanol recycling rates'!J49</f>
        <v>0.90207792722317648</v>
      </c>
      <c r="I136" s="203">
        <f>I$134*'Methanol recycling rates'!K49</f>
        <v>1.3500336365859396</v>
      </c>
      <c r="J136" s="203">
        <f>J$134*'Methanol recycling rates'!L49</f>
        <v>1.9307065857335766</v>
      </c>
      <c r="K136" s="203">
        <f>K$134*'Methanol recycling rates'!M49</f>
        <v>2.6657048335048605</v>
      </c>
      <c r="L136" s="203">
        <f>L$134*'Methanol recycling rates'!N49</f>
        <v>3.5780801162084823</v>
      </c>
      <c r="M136" s="203">
        <f>M$134*'Methanol recycling rates'!O49</f>
        <v>4.6923108451172633</v>
      </c>
      <c r="N136" s="203">
        <f>N$134*'Methanol recycling rates'!P49</f>
        <v>5.95014311892748</v>
      </c>
      <c r="O136" s="203">
        <f>O$134*'Methanol recycling rates'!Q49</f>
        <v>7.4271372999248504</v>
      </c>
      <c r="P136" s="203">
        <f>P$134*'Methanol recycling rates'!R49</f>
        <v>9.1140342583398528</v>
      </c>
      <c r="Q136" s="203">
        <f>Q$134*'Methanol recycling rates'!S49</f>
        <v>11.051087611661456</v>
      </c>
      <c r="R136" s="203">
        <f>R$134*'Methanol recycling rates'!T49</f>
        <v>13.258906736462645</v>
      </c>
      <c r="S136" s="203">
        <f>S$134*'Methanol recycling rates'!U49</f>
        <v>15.758592137682642</v>
      </c>
      <c r="T136" s="203">
        <f>T$134*'Methanol recycling rates'!V49</f>
        <v>18.571704608606701</v>
      </c>
      <c r="U136" s="203">
        <f>U$134*'Methanol recycling rates'!W49</f>
        <v>21.720234409302996</v>
      </c>
      <c r="V136" s="203">
        <f>V$134*'Methanol recycling rates'!X49</f>
        <v>25.226570466185297</v>
      </c>
      <c r="W136" s="203">
        <f>W$134*'Methanol recycling rates'!Y49</f>
        <v>29.113469595337975</v>
      </c>
      <c r="X136" s="203">
        <f>X$134*'Methanol recycling rates'!Z49</f>
        <v>33.807300790662282</v>
      </c>
      <c r="Y136" s="203">
        <f>Y$134*'Methanol recycling rates'!AA49</f>
        <v>39.021886770574234</v>
      </c>
      <c r="Z136" s="203">
        <f>Z$134*'Methanol recycling rates'!AB49</f>
        <v>44.406170808070925</v>
      </c>
      <c r="AA136" s="203">
        <f>AA$134*'Methanol recycling rates'!AC49</f>
        <v>50.258328037227557</v>
      </c>
      <c r="AB136" s="203">
        <f>AB$134*'Methanol recycling rates'!AD49</f>
        <v>56.591986896689619</v>
      </c>
      <c r="AC136" s="203">
        <f>AC$134*'Methanol recycling rates'!AE49</f>
        <v>63.419079428670386</v>
      </c>
      <c r="AD136" s="203">
        <f>AD$134*'Methanol recycling rates'!AF49</f>
        <v>70.749679323253304</v>
      </c>
      <c r="AE136" s="203">
        <f>AE$134*'Methanol recycling rates'!AG49</f>
        <v>78.591838284847711</v>
      </c>
      <c r="AF136" s="203">
        <f>AF$134*'Methanol recycling rates'!AH49</f>
        <v>86.951420763926919</v>
      </c>
      <c r="AG136" s="203">
        <f>AG$134*'Methanol recycling rates'!AI49</f>
        <v>95.831937096746145</v>
      </c>
      <c r="AH136" s="217"/>
      <c r="AI136" s="124"/>
      <c r="AJ136" s="185"/>
      <c r="AL136" s="100"/>
      <c r="AM136" s="2"/>
      <c r="AN136" s="2"/>
      <c r="AO136" s="2"/>
      <c r="BC136" s="1"/>
      <c r="BD136" s="2"/>
      <c r="BE136" s="2"/>
      <c r="BF136" s="2"/>
      <c r="BG136" s="2"/>
      <c r="BH136" s="2"/>
      <c r="BI136" s="2"/>
      <c r="BJ136" s="2"/>
      <c r="BK136" s="2"/>
    </row>
    <row r="137" spans="1:63" outlineLevel="1">
      <c r="A137" s="4" t="s">
        <v>1040</v>
      </c>
      <c r="C137" s="203">
        <f>C$134*'Methanol recycling rates'!E50</f>
        <v>66.538367980605159</v>
      </c>
      <c r="D137" s="203">
        <f>D$134*'Methanol recycling rates'!F50</f>
        <v>100.34691433545781</v>
      </c>
      <c r="E137" s="203">
        <f>E$134*'Methanol recycling rates'!G50</f>
        <v>141.75781324727998</v>
      </c>
      <c r="F137" s="203">
        <f>F$134*'Methanol recycling rates'!H50</f>
        <v>191.44003134762556</v>
      </c>
      <c r="G137" s="203">
        <f>G$134*'Methanol recycling rates'!I50</f>
        <v>250.05474775306621</v>
      </c>
      <c r="H137" s="203">
        <f>H$134*'Methanol recycling rates'!J50</f>
        <v>318.25540659956403</v>
      </c>
      <c r="I137" s="203">
        <f>I$134*'Methanol recycling rates'!K50</f>
        <v>396.6877693036177</v>
      </c>
      <c r="J137" s="203">
        <f>J$134*'Methanol recycling rates'!L50</f>
        <v>485.98996655139575</v>
      </c>
      <c r="K137" s="203">
        <f>K$134*'Methanol recycling rates'!M50</f>
        <v>586.79255001706542</v>
      </c>
      <c r="L137" s="203">
        <f>L$134*'Methanol recycling rates'!N50</f>
        <v>699.7185438115223</v>
      </c>
      <c r="M137" s="203">
        <f>M$134*'Methanol recycling rates'!O50</f>
        <v>825.38349566271768</v>
      </c>
      <c r="N137" s="203">
        <f>N$134*'Methanol recycling rates'!P50</f>
        <v>950.94799228686043</v>
      </c>
      <c r="O137" s="203">
        <f>O$134*'Methanol recycling rates'!Q50</f>
        <v>1087.4646242392084</v>
      </c>
      <c r="P137" s="203">
        <f>P$134*'Methanol recycling rates'!R50</f>
        <v>1231.1046959557525</v>
      </c>
      <c r="Q137" s="203">
        <f>Q$134*'Methanol recycling rates'!S50</f>
        <v>1385.342892245854</v>
      </c>
      <c r="R137" s="203">
        <f>R$134*'Methanol recycling rates'!T50</f>
        <v>1550.4194976377833</v>
      </c>
      <c r="S137" s="203">
        <f>S$134*'Methanol recycling rates'!U50</f>
        <v>1726.563382828904</v>
      </c>
      <c r="T137" s="203">
        <f>T$134*'Methanol recycling rates'!V50</f>
        <v>1913.9920388857763</v>
      </c>
      <c r="U137" s="203">
        <f>U$134*'Methanol recycling rates'!W50</f>
        <v>2112.9116121197126</v>
      </c>
      <c r="V137" s="203">
        <f>V$134*'Methanol recycling rates'!X50</f>
        <v>2323.516939627933</v>
      </c>
      <c r="W137" s="203">
        <f>W$134*'Methanol recycling rates'!Y50</f>
        <v>2545.9915854905407</v>
      </c>
      <c r="X137" s="203">
        <f>X$134*'Methanol recycling rates'!Z50</f>
        <v>2814.0759699622454</v>
      </c>
      <c r="Y137" s="203">
        <f>Y$134*'Methanol recycling rates'!AA50</f>
        <v>3098.715302440839</v>
      </c>
      <c r="Z137" s="203">
        <f>Z$134*'Methanol recycling rates'!AB50</f>
        <v>3371.0323370083966</v>
      </c>
      <c r="AA137" s="203">
        <f>AA$134*'Methanol recycling rates'!AC50</f>
        <v>3654.2261250271117</v>
      </c>
      <c r="AB137" s="203">
        <f>AB$134*'Methanol recycling rates'!AD50</f>
        <v>3947.8860381712807</v>
      </c>
      <c r="AC137" s="203">
        <f>AC$134*'Methanol recycling rates'!AE50</f>
        <v>4251.5488003771306</v>
      </c>
      <c r="AD137" s="203">
        <f>AD$134*'Methanol recycling rates'!AF50</f>
        <v>4564.6981023528233</v>
      </c>
      <c r="AE137" s="203">
        <f>AE$134*'Methanol recycling rates'!AG50</f>
        <v>4886.7642290713757</v>
      </c>
      <c r="AF137" s="203">
        <f>AF$134*'Methanol recycling rates'!AH50</f>
        <v>5217.1237001054415</v>
      </c>
      <c r="AG137" s="203">
        <f>AG$134*'Methanol recycling rates'!AI50</f>
        <v>5555.0989226640113</v>
      </c>
      <c r="AH137" s="217"/>
      <c r="AI137" s="124"/>
      <c r="AJ137" s="185"/>
      <c r="AL137" s="100"/>
      <c r="AM137" s="2"/>
      <c r="AN137" s="2"/>
      <c r="AO137" s="2"/>
      <c r="BC137" s="1"/>
      <c r="BD137" s="2"/>
      <c r="BE137" s="2"/>
      <c r="BF137" s="2"/>
      <c r="BG137" s="2"/>
      <c r="BH137" s="2"/>
      <c r="BI137" s="2"/>
      <c r="BJ137" s="2"/>
      <c r="BK137" s="2"/>
    </row>
    <row r="138" spans="1:63" s="1" customFormat="1" outlineLevel="1">
      <c r="A138" s="1" t="s">
        <v>1041</v>
      </c>
      <c r="B138" s="60"/>
      <c r="C138" s="250">
        <f>C134-$C134</f>
        <v>0</v>
      </c>
      <c r="D138" s="250">
        <f t="shared" ref="D138:AG138" si="74">D134-$C134</f>
        <v>33.865303247620773</v>
      </c>
      <c r="E138" s="250">
        <f t="shared" si="74"/>
        <v>75.379894371765062</v>
      </c>
      <c r="F138" s="250">
        <f t="shared" si="74"/>
        <v>125.22687057153837</v>
      </c>
      <c r="G138" s="250">
        <f t="shared" si="74"/>
        <v>184.08307196681938</v>
      </c>
      <c r="H138" s="250">
        <f t="shared" si="74"/>
        <v>252.61911654618203</v>
      </c>
      <c r="I138" s="250">
        <f t="shared" si="74"/>
        <v>331.49943495959849</v>
      </c>
      <c r="J138" s="250">
        <f t="shared" si="74"/>
        <v>421.38230515652413</v>
      </c>
      <c r="K138" s="250">
        <f t="shared" si="74"/>
        <v>522.91988686996513</v>
      </c>
      <c r="L138" s="250">
        <f t="shared" si="74"/>
        <v>636.75825594712569</v>
      </c>
      <c r="M138" s="250">
        <f t="shared" si="74"/>
        <v>763.53743852722982</v>
      </c>
      <c r="N138" s="250">
        <f t="shared" si="74"/>
        <v>890.35976742518278</v>
      </c>
      <c r="O138" s="250">
        <f t="shared" si="74"/>
        <v>1028.3533935585281</v>
      </c>
      <c r="P138" s="250">
        <f t="shared" si="74"/>
        <v>1173.6803622334871</v>
      </c>
      <c r="Q138" s="250">
        <f t="shared" si="74"/>
        <v>1329.8556118769102</v>
      </c>
      <c r="R138" s="250">
        <f t="shared" si="74"/>
        <v>1497.1400363936407</v>
      </c>
      <c r="S138" s="250">
        <f t="shared" si="74"/>
        <v>1675.7836069859814</v>
      </c>
      <c r="T138" s="250">
        <f t="shared" si="74"/>
        <v>1866.0253755137778</v>
      </c>
      <c r="U138" s="250">
        <f t="shared" si="74"/>
        <v>2068.0934785484105</v>
      </c>
      <c r="V138" s="250">
        <f t="shared" si="74"/>
        <v>2282.2051421135134</v>
      </c>
      <c r="W138" s="250">
        <f t="shared" si="74"/>
        <v>2508.5666871052736</v>
      </c>
      <c r="X138" s="250">
        <f t="shared" si="74"/>
        <v>2781.3449027723027</v>
      </c>
      <c r="Y138" s="250">
        <f t="shared" si="74"/>
        <v>3071.1988212308083</v>
      </c>
      <c r="Z138" s="250">
        <f t="shared" si="74"/>
        <v>3348.9001398358628</v>
      </c>
      <c r="AA138" s="250">
        <f t="shared" si="74"/>
        <v>3637.9460850837345</v>
      </c>
      <c r="AB138" s="250">
        <f t="shared" si="74"/>
        <v>3937.9396570873655</v>
      </c>
      <c r="AC138" s="250">
        <f t="shared" si="74"/>
        <v>4248.4295118251957</v>
      </c>
      <c r="AD138" s="250">
        <f t="shared" si="74"/>
        <v>4568.9094136954709</v>
      </c>
      <c r="AE138" s="250">
        <f t="shared" si="74"/>
        <v>4898.8176993756178</v>
      </c>
      <c r="AF138" s="250">
        <f t="shared" si="74"/>
        <v>5237.5367528887627</v>
      </c>
      <c r="AG138" s="250">
        <f t="shared" si="74"/>
        <v>5584.3924917801523</v>
      </c>
      <c r="AH138" s="217"/>
      <c r="AI138" s="368"/>
      <c r="AJ138" s="369"/>
      <c r="AL138" s="194"/>
      <c r="AM138" s="116"/>
      <c r="AN138" s="116"/>
      <c r="AO138" s="116"/>
      <c r="BD138" s="116"/>
      <c r="BE138" s="116"/>
      <c r="BF138" s="116"/>
      <c r="BG138" s="116"/>
      <c r="BH138" s="116"/>
      <c r="BI138" s="116"/>
      <c r="BJ138" s="116"/>
      <c r="BK138" s="116"/>
    </row>
    <row r="139" spans="1:63" outlineLevel="1">
      <c r="A139" s="4" t="s">
        <v>35</v>
      </c>
      <c r="C139" s="203">
        <f>C135-$C135</f>
        <v>0</v>
      </c>
      <c r="D139" s="203">
        <f t="shared" ref="D139:AF139" si="75">D135-$C135</f>
        <v>0</v>
      </c>
      <c r="E139" s="203">
        <f t="shared" si="75"/>
        <v>0</v>
      </c>
      <c r="F139" s="203">
        <f t="shared" si="75"/>
        <v>0</v>
      </c>
      <c r="G139" s="203">
        <f t="shared" si="75"/>
        <v>0</v>
      </c>
      <c r="H139" s="203">
        <f t="shared" si="75"/>
        <v>0</v>
      </c>
      <c r="I139" s="203">
        <f t="shared" si="75"/>
        <v>0</v>
      </c>
      <c r="J139" s="203">
        <f t="shared" si="75"/>
        <v>0</v>
      </c>
      <c r="K139" s="203">
        <f t="shared" si="75"/>
        <v>0</v>
      </c>
      <c r="L139" s="203">
        <f t="shared" si="75"/>
        <v>0</v>
      </c>
      <c r="M139" s="203">
        <f t="shared" si="75"/>
        <v>0</v>
      </c>
      <c r="N139" s="203">
        <f t="shared" si="75"/>
        <v>0</v>
      </c>
      <c r="O139" s="203">
        <f t="shared" si="75"/>
        <v>0</v>
      </c>
      <c r="P139" s="203">
        <f t="shared" si="75"/>
        <v>0</v>
      </c>
      <c r="Q139" s="203">
        <f t="shared" si="75"/>
        <v>0</v>
      </c>
      <c r="R139" s="203">
        <f t="shared" si="75"/>
        <v>0</v>
      </c>
      <c r="S139" s="203">
        <f t="shared" si="75"/>
        <v>0</v>
      </c>
      <c r="T139" s="203">
        <f t="shared" si="75"/>
        <v>0</v>
      </c>
      <c r="U139" s="203">
        <f t="shared" si="75"/>
        <v>0</v>
      </c>
      <c r="V139" s="203">
        <f t="shared" si="75"/>
        <v>0</v>
      </c>
      <c r="W139" s="203">
        <f t="shared" si="75"/>
        <v>0</v>
      </c>
      <c r="X139" s="203">
        <f t="shared" si="75"/>
        <v>0</v>
      </c>
      <c r="Y139" s="203">
        <f t="shared" si="75"/>
        <v>0</v>
      </c>
      <c r="Z139" s="203">
        <f t="shared" si="75"/>
        <v>0</v>
      </c>
      <c r="AA139" s="203">
        <f t="shared" si="75"/>
        <v>0</v>
      </c>
      <c r="AB139" s="203">
        <f t="shared" si="75"/>
        <v>0</v>
      </c>
      <c r="AC139" s="203">
        <f t="shared" si="75"/>
        <v>0</v>
      </c>
      <c r="AD139" s="203">
        <f t="shared" si="75"/>
        <v>0</v>
      </c>
      <c r="AE139" s="203">
        <f t="shared" si="75"/>
        <v>0</v>
      </c>
      <c r="AF139" s="203">
        <f t="shared" si="75"/>
        <v>0</v>
      </c>
      <c r="AG139" s="203">
        <f>AG135-$C135</f>
        <v>0</v>
      </c>
      <c r="AH139" s="217"/>
      <c r="AI139" s="124"/>
      <c r="AJ139" s="185"/>
      <c r="AL139" s="100"/>
      <c r="AM139" s="2"/>
      <c r="AN139" s="2"/>
      <c r="AO139" s="2"/>
      <c r="BC139" s="1"/>
      <c r="BD139" s="2"/>
      <c r="BE139" s="2"/>
      <c r="BF139" s="2"/>
      <c r="BG139" s="2"/>
      <c r="BH139" s="2"/>
      <c r="BI139" s="2"/>
      <c r="BJ139" s="2"/>
      <c r="BK139" s="2"/>
    </row>
    <row r="140" spans="1:63" outlineLevel="1">
      <c r="A140" s="4" t="s">
        <v>160</v>
      </c>
      <c r="C140" s="203">
        <f t="shared" ref="C140:AG140" si="76">C136-$C136</f>
        <v>0</v>
      </c>
      <c r="D140" s="203">
        <f t="shared" si="76"/>
        <v>5.6756892768124026E-2</v>
      </c>
      <c r="E140" s="203">
        <f t="shared" si="76"/>
        <v>0.1604491050902441</v>
      </c>
      <c r="F140" s="203">
        <f t="shared" si="76"/>
        <v>0.32520720451797508</v>
      </c>
      <c r="G140" s="203">
        <f t="shared" si="76"/>
        <v>0.56669219435832563</v>
      </c>
      <c r="H140" s="203">
        <f t="shared" si="76"/>
        <v>0.90207792722317648</v>
      </c>
      <c r="I140" s="203">
        <f t="shared" si="76"/>
        <v>1.3500336365859396</v>
      </c>
      <c r="J140" s="203">
        <f t="shared" si="76"/>
        <v>1.9307065857335766</v>
      </c>
      <c r="K140" s="203">
        <f t="shared" si="76"/>
        <v>2.6657048335048605</v>
      </c>
      <c r="L140" s="203">
        <f t="shared" si="76"/>
        <v>3.5780801162084823</v>
      </c>
      <c r="M140" s="203">
        <f t="shared" si="76"/>
        <v>4.6923108451172633</v>
      </c>
      <c r="N140" s="203">
        <f t="shared" si="76"/>
        <v>5.95014311892748</v>
      </c>
      <c r="O140" s="203">
        <f t="shared" si="76"/>
        <v>7.4271372999248504</v>
      </c>
      <c r="P140" s="203">
        <f t="shared" si="76"/>
        <v>9.1140342583398528</v>
      </c>
      <c r="Q140" s="203">
        <f t="shared" si="76"/>
        <v>11.051087611661456</v>
      </c>
      <c r="R140" s="203">
        <f t="shared" si="76"/>
        <v>13.258906736462645</v>
      </c>
      <c r="S140" s="203">
        <f t="shared" si="76"/>
        <v>15.758592137682642</v>
      </c>
      <c r="T140" s="203">
        <f t="shared" si="76"/>
        <v>18.571704608606701</v>
      </c>
      <c r="U140" s="203">
        <f t="shared" si="76"/>
        <v>21.720234409302996</v>
      </c>
      <c r="V140" s="203">
        <f t="shared" si="76"/>
        <v>25.226570466185297</v>
      </c>
      <c r="W140" s="203">
        <f t="shared" si="76"/>
        <v>29.113469595337975</v>
      </c>
      <c r="X140" s="203">
        <f t="shared" si="76"/>
        <v>33.807300790662282</v>
      </c>
      <c r="Y140" s="203">
        <f t="shared" si="76"/>
        <v>39.021886770574234</v>
      </c>
      <c r="Z140" s="203">
        <f t="shared" si="76"/>
        <v>44.406170808070925</v>
      </c>
      <c r="AA140" s="203">
        <f t="shared" si="76"/>
        <v>50.258328037227557</v>
      </c>
      <c r="AB140" s="203">
        <f t="shared" si="76"/>
        <v>56.591986896689619</v>
      </c>
      <c r="AC140" s="203">
        <f t="shared" si="76"/>
        <v>63.419079428670386</v>
      </c>
      <c r="AD140" s="203">
        <f t="shared" si="76"/>
        <v>70.749679323253304</v>
      </c>
      <c r="AE140" s="203">
        <f t="shared" si="76"/>
        <v>78.591838284847711</v>
      </c>
      <c r="AF140" s="203">
        <f t="shared" si="76"/>
        <v>86.951420763926919</v>
      </c>
      <c r="AG140" s="203">
        <f t="shared" si="76"/>
        <v>95.831937096746145</v>
      </c>
      <c r="AH140" s="217"/>
      <c r="AI140" s="124"/>
      <c r="AJ140" s="185"/>
      <c r="AL140" s="100"/>
      <c r="AM140" s="2"/>
      <c r="AN140" s="2"/>
      <c r="AO140" s="2"/>
      <c r="BC140" s="1"/>
      <c r="BD140" s="2"/>
      <c r="BE140" s="2"/>
      <c r="BF140" s="2"/>
      <c r="BG140" s="2"/>
      <c r="BH140" s="2"/>
      <c r="BI140" s="2"/>
      <c r="BJ140" s="2"/>
      <c r="BK140" s="2"/>
    </row>
    <row r="141" spans="1:63" outlineLevel="1">
      <c r="A141" s="4" t="s">
        <v>1040</v>
      </c>
      <c r="C141" s="203">
        <f t="shared" ref="C141:AG141" si="77">C137-$C137</f>
        <v>0</v>
      </c>
      <c r="D141" s="203">
        <f t="shared" si="77"/>
        <v>33.808546354852652</v>
      </c>
      <c r="E141" s="203">
        <f t="shared" si="77"/>
        <v>75.219445266674825</v>
      </c>
      <c r="F141" s="203">
        <f t="shared" si="77"/>
        <v>124.9016633670204</v>
      </c>
      <c r="G141" s="203">
        <f t="shared" si="77"/>
        <v>183.51637977246105</v>
      </c>
      <c r="H141" s="203">
        <f t="shared" si="77"/>
        <v>251.71703861895887</v>
      </c>
      <c r="I141" s="203">
        <f t="shared" si="77"/>
        <v>330.14940132301251</v>
      </c>
      <c r="J141" s="203">
        <f t="shared" si="77"/>
        <v>419.45159857079057</v>
      </c>
      <c r="K141" s="203">
        <f t="shared" si="77"/>
        <v>520.25418203646029</v>
      </c>
      <c r="L141" s="203">
        <f t="shared" si="77"/>
        <v>633.18017583091716</v>
      </c>
      <c r="M141" s="203">
        <f t="shared" si="77"/>
        <v>758.84512768211255</v>
      </c>
      <c r="N141" s="203">
        <f t="shared" si="77"/>
        <v>884.4096243062553</v>
      </c>
      <c r="O141" s="203">
        <f t="shared" si="77"/>
        <v>1020.9262562586033</v>
      </c>
      <c r="P141" s="203">
        <f t="shared" si="77"/>
        <v>1164.5663279751473</v>
      </c>
      <c r="Q141" s="203">
        <f t="shared" si="77"/>
        <v>1318.8045242652488</v>
      </c>
      <c r="R141" s="203">
        <f t="shared" si="77"/>
        <v>1483.881129657178</v>
      </c>
      <c r="S141" s="203">
        <f t="shared" si="77"/>
        <v>1660.0250148482987</v>
      </c>
      <c r="T141" s="203">
        <f t="shared" si="77"/>
        <v>1847.4536709051711</v>
      </c>
      <c r="U141" s="203">
        <f t="shared" si="77"/>
        <v>2046.3732441391073</v>
      </c>
      <c r="V141" s="203">
        <f t="shared" si="77"/>
        <v>2256.978571647328</v>
      </c>
      <c r="W141" s="203">
        <f t="shared" si="77"/>
        <v>2479.4532175099357</v>
      </c>
      <c r="X141" s="203">
        <f t="shared" si="77"/>
        <v>2747.5376019816404</v>
      </c>
      <c r="Y141" s="203">
        <f t="shared" si="77"/>
        <v>3032.176934460234</v>
      </c>
      <c r="Z141" s="203">
        <f t="shared" si="77"/>
        <v>3304.4939690277915</v>
      </c>
      <c r="AA141" s="203">
        <f t="shared" si="77"/>
        <v>3587.6877570465067</v>
      </c>
      <c r="AB141" s="203">
        <f t="shared" si="77"/>
        <v>3881.3476701906757</v>
      </c>
      <c r="AC141" s="203">
        <f t="shared" si="77"/>
        <v>4185.0104323965252</v>
      </c>
      <c r="AD141" s="203">
        <f t="shared" si="77"/>
        <v>4498.1597343722178</v>
      </c>
      <c r="AE141" s="203">
        <f t="shared" si="77"/>
        <v>4820.2258610907702</v>
      </c>
      <c r="AF141" s="203">
        <f t="shared" si="77"/>
        <v>5150.585332124836</v>
      </c>
      <c r="AG141" s="203">
        <f t="shared" si="77"/>
        <v>5488.5605546834058</v>
      </c>
      <c r="AH141" s="217"/>
      <c r="AI141" s="124"/>
      <c r="AJ141" s="185"/>
      <c r="AL141" s="100"/>
      <c r="AM141" s="2"/>
      <c r="AN141" s="2"/>
      <c r="AO141" s="2"/>
      <c r="BC141" s="1"/>
      <c r="BD141" s="2"/>
      <c r="BE141" s="2"/>
      <c r="BF141" s="2"/>
      <c r="BG141" s="2"/>
      <c r="BH141" s="2"/>
      <c r="BI141" s="2"/>
      <c r="BJ141" s="2"/>
      <c r="BK141" s="2"/>
    </row>
    <row r="142" spans="1:63" s="1" customFormat="1" outlineLevel="1">
      <c r="A142" s="1" t="s">
        <v>1044</v>
      </c>
      <c r="B142" s="60"/>
      <c r="C142" s="250">
        <f>C40*C130</f>
        <v>397.89944052401887</v>
      </c>
      <c r="D142" s="250">
        <f t="shared" ref="D142:AG142" si="78">D40*D130</f>
        <v>449.80844710245219</v>
      </c>
      <c r="E142" s="250">
        <f t="shared" si="78"/>
        <v>502.74544438327143</v>
      </c>
      <c r="F142" s="250">
        <f t="shared" si="78"/>
        <v>556.32104994706071</v>
      </c>
      <c r="G142" s="250">
        <f t="shared" si="78"/>
        <v>610.14928743563905</v>
      </c>
      <c r="H142" s="250">
        <f t="shared" si="78"/>
        <v>663.84756781571741</v>
      </c>
      <c r="I142" s="250">
        <f t="shared" si="78"/>
        <v>717.03667072513838</v>
      </c>
      <c r="J142" s="250">
        <f t="shared" si="78"/>
        <v>769.34072590138328</v>
      </c>
      <c r="K142" s="250">
        <f t="shared" si="78"/>
        <v>820.38719469202897</v>
      </c>
      <c r="L142" s="250">
        <f t="shared" si="78"/>
        <v>869.80685164683689</v>
      </c>
      <c r="M142" s="250">
        <f t="shared" si="78"/>
        <v>917.23376619115754</v>
      </c>
      <c r="N142" s="250">
        <f t="shared" si="78"/>
        <v>948.88689520239029</v>
      </c>
      <c r="O142" s="250">
        <f t="shared" si="78"/>
        <v>977.78594704407794</v>
      </c>
      <c r="P142" s="250">
        <f t="shared" si="78"/>
        <v>1000.2743717971614</v>
      </c>
      <c r="Q142" s="250">
        <f t="shared" si="78"/>
        <v>1019.3676052959858</v>
      </c>
      <c r="R142" s="250">
        <f t="shared" si="78"/>
        <v>1034.8707985313188</v>
      </c>
      <c r="S142" s="250">
        <f t="shared" si="78"/>
        <v>1046.5947863419974</v>
      </c>
      <c r="T142" s="250">
        <f t="shared" si="78"/>
        <v>1054.3560882539839</v>
      </c>
      <c r="U142" s="250">
        <f t="shared" si="78"/>
        <v>1057.9769089359429</v>
      </c>
      <c r="V142" s="250">
        <f t="shared" si="78"/>
        <v>1057.2851382752026</v>
      </c>
      <c r="W142" s="250">
        <f t="shared" si="78"/>
        <v>1052.1143510779439</v>
      </c>
      <c r="X142" s="250">
        <f t="shared" si="78"/>
        <v>1054.8871731665558</v>
      </c>
      <c r="Y142" s="250">
        <f t="shared" si="78"/>
        <v>1051.9676786987729</v>
      </c>
      <c r="Z142" s="250">
        <f t="shared" si="78"/>
        <v>1034.1429000882258</v>
      </c>
      <c r="AA142" s="250">
        <f t="shared" si="78"/>
        <v>1010.1496630551042</v>
      </c>
      <c r="AB142" s="250">
        <f t="shared" si="78"/>
        <v>979.9193284872199</v>
      </c>
      <c r="AC142" s="250">
        <f t="shared" si="78"/>
        <v>943.40888644844881</v>
      </c>
      <c r="AD142" s="250">
        <f t="shared" si="78"/>
        <v>900.6012832970647</v>
      </c>
      <c r="AE142" s="250">
        <f t="shared" si="78"/>
        <v>851.5057426147041</v>
      </c>
      <c r="AF142" s="250">
        <f t="shared" si="78"/>
        <v>796.15807999853462</v>
      </c>
      <c r="AG142" s="250">
        <f t="shared" si="78"/>
        <v>734.62101176889826</v>
      </c>
      <c r="AH142" s="217"/>
      <c r="AI142" s="368"/>
      <c r="AJ142" s="369"/>
      <c r="AL142" s="194"/>
      <c r="AM142" s="116"/>
      <c r="AN142" s="116"/>
      <c r="AO142" s="116"/>
      <c r="BD142" s="116"/>
      <c r="BE142" s="116"/>
      <c r="BF142" s="116"/>
      <c r="BG142" s="116"/>
      <c r="BH142" s="116"/>
      <c r="BI142" s="116"/>
      <c r="BJ142" s="116"/>
      <c r="BK142" s="116"/>
    </row>
    <row r="143" spans="1:63" outlineLevel="1">
      <c r="A143" s="4" t="s">
        <v>35</v>
      </c>
      <c r="C143" s="203">
        <f>C$142*'Methanol recycling rates'!E51</f>
        <v>0</v>
      </c>
      <c r="D143" s="203">
        <f>D$142*'Methanol recycling rates'!F51</f>
        <v>0</v>
      </c>
      <c r="E143" s="203">
        <f>E$142*'Methanol recycling rates'!G51</f>
        <v>0</v>
      </c>
      <c r="F143" s="203">
        <f>F$142*'Methanol recycling rates'!H51</f>
        <v>0</v>
      </c>
      <c r="G143" s="203">
        <f>G$142*'Methanol recycling rates'!I51</f>
        <v>0</v>
      </c>
      <c r="H143" s="203">
        <f>H$142*'Methanol recycling rates'!J51</f>
        <v>0</v>
      </c>
      <c r="I143" s="203">
        <f>I$142*'Methanol recycling rates'!K51</f>
        <v>0</v>
      </c>
      <c r="J143" s="203">
        <f>J$142*'Methanol recycling rates'!L51</f>
        <v>0</v>
      </c>
      <c r="K143" s="203">
        <f>K$142*'Methanol recycling rates'!M51</f>
        <v>0</v>
      </c>
      <c r="L143" s="203">
        <f>L$142*'Methanol recycling rates'!N51</f>
        <v>0</v>
      </c>
      <c r="M143" s="203">
        <f>M$142*'Methanol recycling rates'!O51</f>
        <v>0</v>
      </c>
      <c r="N143" s="203">
        <f>N$142*'Methanol recycling rates'!P51</f>
        <v>0</v>
      </c>
      <c r="O143" s="203">
        <f>O$142*'Methanol recycling rates'!Q51</f>
        <v>0</v>
      </c>
      <c r="P143" s="203">
        <f>P$142*'Methanol recycling rates'!R51</f>
        <v>0</v>
      </c>
      <c r="Q143" s="203">
        <f>Q$142*'Methanol recycling rates'!S51</f>
        <v>0</v>
      </c>
      <c r="R143" s="203">
        <f>R$142*'Methanol recycling rates'!T51</f>
        <v>0</v>
      </c>
      <c r="S143" s="203">
        <f>S$142*'Methanol recycling rates'!U51</f>
        <v>0</v>
      </c>
      <c r="T143" s="203">
        <f>T$142*'Methanol recycling rates'!V51</f>
        <v>0</v>
      </c>
      <c r="U143" s="203">
        <f>U$142*'Methanol recycling rates'!W51</f>
        <v>0</v>
      </c>
      <c r="V143" s="203">
        <f>V$142*'Methanol recycling rates'!X51</f>
        <v>0</v>
      </c>
      <c r="W143" s="203">
        <f>W$142*'Methanol recycling rates'!Y51</f>
        <v>0</v>
      </c>
      <c r="X143" s="203">
        <f>X$142*'Methanol recycling rates'!Z51</f>
        <v>0</v>
      </c>
      <c r="Y143" s="203">
        <f>Y$142*'Methanol recycling rates'!AA51</f>
        <v>0</v>
      </c>
      <c r="Z143" s="203">
        <f>Z$142*'Methanol recycling rates'!AB51</f>
        <v>0</v>
      </c>
      <c r="AA143" s="203">
        <f>AA$142*'Methanol recycling rates'!AC51</f>
        <v>0</v>
      </c>
      <c r="AB143" s="203">
        <f>AB$142*'Methanol recycling rates'!AD51</f>
        <v>0</v>
      </c>
      <c r="AC143" s="203">
        <f>AC$142*'Methanol recycling rates'!AE51</f>
        <v>0</v>
      </c>
      <c r="AD143" s="203">
        <f>AD$142*'Methanol recycling rates'!AF51</f>
        <v>0</v>
      </c>
      <c r="AE143" s="203">
        <f>AE$142*'Methanol recycling rates'!AG51</f>
        <v>0</v>
      </c>
      <c r="AF143" s="203">
        <f>AF$142*'Methanol recycling rates'!AH51</f>
        <v>0</v>
      </c>
      <c r="AG143" s="203">
        <f>AG$142*'Methanol recycling rates'!AI51</f>
        <v>0</v>
      </c>
      <c r="AH143" s="217"/>
      <c r="AI143" s="124"/>
      <c r="AJ143" s="185"/>
      <c r="AL143" s="100"/>
      <c r="AM143" s="2"/>
      <c r="AN143" s="2"/>
      <c r="AO143" s="2"/>
      <c r="BC143" s="1"/>
      <c r="BD143" s="2"/>
      <c r="BE143" s="2"/>
      <c r="BF143" s="2"/>
      <c r="BG143" s="2"/>
      <c r="BH143" s="2"/>
      <c r="BI143" s="2"/>
      <c r="BJ143" s="2"/>
      <c r="BK143" s="2"/>
    </row>
    <row r="144" spans="1:63" outlineLevel="1">
      <c r="A144" s="4" t="s">
        <v>160</v>
      </c>
      <c r="C144" s="203">
        <f>C$142*'Methanol recycling rates'!E52</f>
        <v>0</v>
      </c>
      <c r="D144" s="203">
        <f>D$142*'Methanol recycling rates'!F52</f>
        <v>0.25427087960119565</v>
      </c>
      <c r="E144" s="203">
        <f>E$142*'Methanol recycling rates'!G52</f>
        <v>0.56839095478218959</v>
      </c>
      <c r="F144" s="203">
        <f>F$142*'Methanol recycling rates'!H52</f>
        <v>0.94344321647530482</v>
      </c>
      <c r="G144" s="203">
        <f>G$142*'Methanol recycling rates'!I52</f>
        <v>1.3796379059014512</v>
      </c>
      <c r="H144" s="203">
        <f>H$142*'Methanol recycling rates'!J52</f>
        <v>1.8763220886242071</v>
      </c>
      <c r="I144" s="203">
        <f>I$142*'Methanol recycling rates'!K52</f>
        <v>2.431989165335529</v>
      </c>
      <c r="J144" s="203">
        <f>J$142*'Methanol recycling rates'!L52</f>
        <v>3.0442883196986203</v>
      </c>
      <c r="K144" s="203">
        <f>K$142*'Methanol recycling rates'!M52</f>
        <v>3.7100339035720591</v>
      </c>
      <c r="L144" s="203">
        <f>L$142*'Methanol recycling rates'!N52</f>
        <v>4.425214759937842</v>
      </c>
      <c r="M144" s="203">
        <f>M$142*'Methanol recycling rates'!O52</f>
        <v>5.1850034838545751</v>
      </c>
      <c r="N144" s="203">
        <f>N$142*'Methanol recycling rates'!P52</f>
        <v>5.9003279672341318</v>
      </c>
      <c r="O144" s="203">
        <f>O$142*'Methanol recycling rates'!Q52</f>
        <v>6.6327565278459302</v>
      </c>
      <c r="P144" s="203">
        <f>P$142*'Methanol recycling rates'!R52</f>
        <v>7.3507476303998134</v>
      </c>
      <c r="Q144" s="203">
        <f>Q$142*'Methanol recycling rates'!S52</f>
        <v>8.0672939565128594</v>
      </c>
      <c r="R144" s="203">
        <f>R$142*'Methanol recycling rates'!T52</f>
        <v>8.7749855492225475</v>
      </c>
      <c r="S144" s="203">
        <f>S$142*'Methanol recycling rates'!U52</f>
        <v>9.4660232771872934</v>
      </c>
      <c r="T144" s="203">
        <f>T$142*'Methanol recycling rates'!V52</f>
        <v>10.13223490777755</v>
      </c>
      <c r="U144" s="203">
        <f>U$142*'Methanol recycling rates'!W52</f>
        <v>10.765091179110794</v>
      </c>
      <c r="V144" s="203">
        <f>V$142*'Methanol recycling rates'!X52</f>
        <v>11.355721869554451</v>
      </c>
      <c r="W144" s="203">
        <f>W$142*'Methanol recycling rates'!Y52</f>
        <v>11.894931863238078</v>
      </c>
      <c r="X144" s="203">
        <f>X$142*'Methanol recycling rates'!Z52</f>
        <v>12.522594703828871</v>
      </c>
      <c r="Y144" s="203">
        <f>Y$142*'Methanol recycling rates'!AA52</f>
        <v>13.082600985713562</v>
      </c>
      <c r="Z144" s="203">
        <f>Z$142*'Methanol recycling rates'!AB52</f>
        <v>13.445513996570323</v>
      </c>
      <c r="AA144" s="203">
        <f>AA$142*'Methanol recycling rates'!AC52</f>
        <v>13.704587986736671</v>
      </c>
      <c r="AB144" s="203">
        <f>AB$142*'Methanol recycling rates'!AD52</f>
        <v>13.848392087660503</v>
      </c>
      <c r="AC144" s="203">
        <f>AC$142*'Methanol recycling rates'!AE52</f>
        <v>13.865716911450187</v>
      </c>
      <c r="AD144" s="203">
        <f>AD$142*'Methanol recycling rates'!AF52</f>
        <v>13.745651982803473</v>
      </c>
      <c r="AE144" s="203">
        <f>AE$142*'Methanol recycling rates'!AG52</f>
        <v>13.47766418246535</v>
      </c>
      <c r="AF144" s="203">
        <f>AF$142*'Methanol recycling rates'!AH52</f>
        <v>13.051677178585294</v>
      </c>
      <c r="AG144" s="203">
        <f>AG$142*'Methanol recycling rates'!AI52</f>
        <v>12.458151822576994</v>
      </c>
      <c r="AH144" s="217"/>
      <c r="AI144" s="124"/>
      <c r="AJ144" s="185"/>
      <c r="AL144" s="100"/>
      <c r="AM144" s="2"/>
      <c r="AN144" s="2"/>
      <c r="AO144" s="2"/>
      <c r="BC144" s="1"/>
      <c r="BD144" s="2"/>
      <c r="BE144" s="2"/>
      <c r="BF144" s="2"/>
      <c r="BG144" s="2"/>
      <c r="BH144" s="2"/>
      <c r="BI144" s="2"/>
      <c r="BJ144" s="2"/>
      <c r="BK144" s="2"/>
    </row>
    <row r="145" spans="1:63" outlineLevel="1">
      <c r="A145" s="4" t="s">
        <v>1040</v>
      </c>
      <c r="C145" s="203">
        <f>C$142*'Methanol recycling rates'!E53</f>
        <v>397.89944052401887</v>
      </c>
      <c r="D145" s="203">
        <f>D$142*'Methanol recycling rates'!F53</f>
        <v>449.55417622285097</v>
      </c>
      <c r="E145" s="203">
        <f>E$142*'Methanol recycling rates'!G53</f>
        <v>502.17705342848922</v>
      </c>
      <c r="F145" s="203">
        <f>F$142*'Methanol recycling rates'!H53</f>
        <v>555.3776067305854</v>
      </c>
      <c r="G145" s="203">
        <f>G$142*'Methanol recycling rates'!I53</f>
        <v>608.76964952973765</v>
      </c>
      <c r="H145" s="203">
        <f>H$142*'Methanol recycling rates'!J53</f>
        <v>661.97124572709322</v>
      </c>
      <c r="I145" s="203">
        <f>I$142*'Methanol recycling rates'!K53</f>
        <v>714.60468155980288</v>
      </c>
      <c r="J145" s="203">
        <f>J$142*'Methanol recycling rates'!L53</f>
        <v>766.2964375816847</v>
      </c>
      <c r="K145" s="203">
        <f>K$142*'Methanol recycling rates'!M53</f>
        <v>816.67716078845694</v>
      </c>
      <c r="L145" s="203">
        <f>L$142*'Methanol recycling rates'!N53</f>
        <v>865.38163688689906</v>
      </c>
      <c r="M145" s="203">
        <f>M$142*'Methanol recycling rates'!O53</f>
        <v>912.04876270730301</v>
      </c>
      <c r="N145" s="203">
        <f>N$142*'Methanol recycling rates'!P53</f>
        <v>942.98656723515614</v>
      </c>
      <c r="O145" s="203">
        <f>O$142*'Methanol recycling rates'!Q53</f>
        <v>971.15319051623203</v>
      </c>
      <c r="P145" s="203">
        <f>P$142*'Methanol recycling rates'!R53</f>
        <v>992.92362416676156</v>
      </c>
      <c r="Q145" s="203">
        <f>Q$142*'Methanol recycling rates'!S53</f>
        <v>1011.3003113394728</v>
      </c>
      <c r="R145" s="203">
        <f>R$142*'Methanol recycling rates'!T53</f>
        <v>1026.0958129820963</v>
      </c>
      <c r="S145" s="203">
        <f>S$142*'Methanol recycling rates'!U53</f>
        <v>1037.1287630648101</v>
      </c>
      <c r="T145" s="203">
        <f>T$142*'Methanol recycling rates'!V53</f>
        <v>1044.2238533462064</v>
      </c>
      <c r="U145" s="203">
        <f>U$142*'Methanol recycling rates'!W53</f>
        <v>1047.211817756832</v>
      </c>
      <c r="V145" s="203">
        <f>V$142*'Methanol recycling rates'!X53</f>
        <v>1045.9294164056482</v>
      </c>
      <c r="W145" s="203">
        <f>W$142*'Methanol recycling rates'!Y53</f>
        <v>1040.2194192147058</v>
      </c>
      <c r="X145" s="203">
        <f>X$142*'Methanol recycling rates'!Z53</f>
        <v>1042.364578462727</v>
      </c>
      <c r="Y145" s="203">
        <f>Y$142*'Methanol recycling rates'!AA53</f>
        <v>1038.8850777130594</v>
      </c>
      <c r="Z145" s="203">
        <f>Z$142*'Methanol recycling rates'!AB53</f>
        <v>1020.6973860916555</v>
      </c>
      <c r="AA145" s="203">
        <f>AA$142*'Methanol recycling rates'!AC53</f>
        <v>996.44507506836749</v>
      </c>
      <c r="AB145" s="203">
        <f>AB$142*'Methanol recycling rates'!AD53</f>
        <v>966.0709363995594</v>
      </c>
      <c r="AC145" s="203">
        <f>AC$142*'Methanol recycling rates'!AE53</f>
        <v>929.54316953699856</v>
      </c>
      <c r="AD145" s="203">
        <f>AD$142*'Methanol recycling rates'!AF53</f>
        <v>886.85563131426125</v>
      </c>
      <c r="AE145" s="203">
        <f>AE$142*'Methanol recycling rates'!AG53</f>
        <v>838.02807843223877</v>
      </c>
      <c r="AF145" s="203">
        <f>AF$142*'Methanol recycling rates'!AH53</f>
        <v>783.10640281994927</v>
      </c>
      <c r="AG145" s="203">
        <f>AG$142*'Methanol recycling rates'!AI53</f>
        <v>722.16285994632119</v>
      </c>
      <c r="AH145" s="217"/>
      <c r="AI145" s="124"/>
      <c r="AJ145" s="185"/>
      <c r="AL145" s="100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s="1" customFormat="1" outlineLevel="1">
      <c r="A146" s="1" t="s">
        <v>1047</v>
      </c>
      <c r="B146" s="60"/>
      <c r="C146" s="250">
        <f>C142-$C142</f>
        <v>0</v>
      </c>
      <c r="D146" s="250">
        <f t="shared" ref="D146:AG146" si="79">D142-$C142</f>
        <v>51.909006578433321</v>
      </c>
      <c r="E146" s="250">
        <f t="shared" si="79"/>
        <v>104.84600385925256</v>
      </c>
      <c r="F146" s="250">
        <f t="shared" si="79"/>
        <v>158.42160942304184</v>
      </c>
      <c r="G146" s="250">
        <f t="shared" si="79"/>
        <v>212.24984691162018</v>
      </c>
      <c r="H146" s="250">
        <f t="shared" si="79"/>
        <v>265.94812729169854</v>
      </c>
      <c r="I146" s="250">
        <f t="shared" si="79"/>
        <v>319.13723020111951</v>
      </c>
      <c r="J146" s="250">
        <f t="shared" si="79"/>
        <v>371.44128537736441</v>
      </c>
      <c r="K146" s="250">
        <f t="shared" si="79"/>
        <v>422.4877541680101</v>
      </c>
      <c r="L146" s="250">
        <f t="shared" si="79"/>
        <v>471.90741112281802</v>
      </c>
      <c r="M146" s="250">
        <f t="shared" si="79"/>
        <v>519.33432566713873</v>
      </c>
      <c r="N146" s="250">
        <f t="shared" si="79"/>
        <v>550.98745467837148</v>
      </c>
      <c r="O146" s="250">
        <f t="shared" si="79"/>
        <v>579.88650652005913</v>
      </c>
      <c r="P146" s="250">
        <f t="shared" si="79"/>
        <v>602.37493127314247</v>
      </c>
      <c r="Q146" s="250">
        <f t="shared" si="79"/>
        <v>621.46816477196694</v>
      </c>
      <c r="R146" s="250">
        <f t="shared" si="79"/>
        <v>636.97135800729984</v>
      </c>
      <c r="S146" s="250">
        <f t="shared" si="79"/>
        <v>648.69534581797848</v>
      </c>
      <c r="T146" s="250">
        <f t="shared" si="79"/>
        <v>656.45664772996497</v>
      </c>
      <c r="U146" s="250">
        <f t="shared" si="79"/>
        <v>660.07746841192397</v>
      </c>
      <c r="V146" s="250">
        <f t="shared" si="79"/>
        <v>659.38569775118367</v>
      </c>
      <c r="W146" s="250">
        <f t="shared" si="79"/>
        <v>654.21491055392494</v>
      </c>
      <c r="X146" s="250">
        <f t="shared" si="79"/>
        <v>656.98773264253691</v>
      </c>
      <c r="Y146" s="250">
        <f t="shared" si="79"/>
        <v>654.06823817475401</v>
      </c>
      <c r="Z146" s="250">
        <f t="shared" si="79"/>
        <v>636.24345956420689</v>
      </c>
      <c r="AA146" s="250">
        <f t="shared" si="79"/>
        <v>612.25022253108523</v>
      </c>
      <c r="AB146" s="250">
        <f t="shared" si="79"/>
        <v>582.01988796320097</v>
      </c>
      <c r="AC146" s="250">
        <f t="shared" si="79"/>
        <v>545.50944592442988</v>
      </c>
      <c r="AD146" s="250">
        <f t="shared" si="79"/>
        <v>502.70184277304583</v>
      </c>
      <c r="AE146" s="250">
        <f t="shared" si="79"/>
        <v>453.60630209068523</v>
      </c>
      <c r="AF146" s="250">
        <f t="shared" si="79"/>
        <v>398.25863947451575</v>
      </c>
      <c r="AG146" s="250">
        <f t="shared" si="79"/>
        <v>336.72157124487939</v>
      </c>
      <c r="AH146" s="217"/>
      <c r="AI146" s="368"/>
      <c r="AJ146" s="369"/>
      <c r="AL146" s="194"/>
      <c r="AM146" s="116"/>
      <c r="AN146" s="116"/>
      <c r="AO146" s="116"/>
      <c r="BD146" s="116"/>
      <c r="BE146" s="116"/>
      <c r="BF146" s="116"/>
      <c r="BG146" s="116"/>
      <c r="BH146" s="116"/>
      <c r="BI146" s="116"/>
      <c r="BJ146" s="116"/>
      <c r="BK146" s="116"/>
    </row>
    <row r="147" spans="1:63" outlineLevel="1">
      <c r="A147" s="4" t="s">
        <v>35</v>
      </c>
      <c r="C147" s="203">
        <f t="shared" ref="C147" si="80">C143-$C143</f>
        <v>0</v>
      </c>
      <c r="D147" s="203">
        <f t="shared" ref="D147:AG147" si="81">D143-$C143</f>
        <v>0</v>
      </c>
      <c r="E147" s="203">
        <f t="shared" si="81"/>
        <v>0</v>
      </c>
      <c r="F147" s="203">
        <f t="shared" si="81"/>
        <v>0</v>
      </c>
      <c r="G147" s="203">
        <f t="shared" si="81"/>
        <v>0</v>
      </c>
      <c r="H147" s="203">
        <f t="shared" si="81"/>
        <v>0</v>
      </c>
      <c r="I147" s="203">
        <f t="shared" si="81"/>
        <v>0</v>
      </c>
      <c r="J147" s="203">
        <f t="shared" si="81"/>
        <v>0</v>
      </c>
      <c r="K147" s="203">
        <f t="shared" si="81"/>
        <v>0</v>
      </c>
      <c r="L147" s="203">
        <f t="shared" si="81"/>
        <v>0</v>
      </c>
      <c r="M147" s="203">
        <f t="shared" si="81"/>
        <v>0</v>
      </c>
      <c r="N147" s="203">
        <f t="shared" si="81"/>
        <v>0</v>
      </c>
      <c r="O147" s="203">
        <f t="shared" si="81"/>
        <v>0</v>
      </c>
      <c r="P147" s="203">
        <f t="shared" si="81"/>
        <v>0</v>
      </c>
      <c r="Q147" s="203">
        <f t="shared" si="81"/>
        <v>0</v>
      </c>
      <c r="R147" s="203">
        <f t="shared" si="81"/>
        <v>0</v>
      </c>
      <c r="S147" s="203">
        <f t="shared" si="81"/>
        <v>0</v>
      </c>
      <c r="T147" s="203">
        <f t="shared" si="81"/>
        <v>0</v>
      </c>
      <c r="U147" s="203">
        <f t="shared" si="81"/>
        <v>0</v>
      </c>
      <c r="V147" s="203">
        <f t="shared" si="81"/>
        <v>0</v>
      </c>
      <c r="W147" s="203">
        <f t="shared" si="81"/>
        <v>0</v>
      </c>
      <c r="X147" s="203">
        <f t="shared" si="81"/>
        <v>0</v>
      </c>
      <c r="Y147" s="203">
        <f t="shared" si="81"/>
        <v>0</v>
      </c>
      <c r="Z147" s="203">
        <f t="shared" si="81"/>
        <v>0</v>
      </c>
      <c r="AA147" s="203">
        <f t="shared" si="81"/>
        <v>0</v>
      </c>
      <c r="AB147" s="203">
        <f t="shared" si="81"/>
        <v>0</v>
      </c>
      <c r="AC147" s="203">
        <f t="shared" si="81"/>
        <v>0</v>
      </c>
      <c r="AD147" s="203">
        <f t="shared" si="81"/>
        <v>0</v>
      </c>
      <c r="AE147" s="203">
        <f t="shared" si="81"/>
        <v>0</v>
      </c>
      <c r="AF147" s="203">
        <f t="shared" si="81"/>
        <v>0</v>
      </c>
      <c r="AG147" s="203">
        <f t="shared" si="81"/>
        <v>0</v>
      </c>
      <c r="AH147" s="217"/>
      <c r="AI147" s="124"/>
      <c r="AJ147" s="185"/>
      <c r="AL147" s="100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160</v>
      </c>
      <c r="C148" s="203">
        <f t="shared" ref="C148" si="82">C144-$C144</f>
        <v>0</v>
      </c>
      <c r="D148" s="203">
        <f t="shared" ref="D148:AG148" si="83">D144-$C144</f>
        <v>0.25427087960119565</v>
      </c>
      <c r="E148" s="203">
        <f t="shared" si="83"/>
        <v>0.56839095478218959</v>
      </c>
      <c r="F148" s="203">
        <f t="shared" si="83"/>
        <v>0.94344321647530482</v>
      </c>
      <c r="G148" s="203">
        <f t="shared" si="83"/>
        <v>1.3796379059014512</v>
      </c>
      <c r="H148" s="203">
        <f t="shared" si="83"/>
        <v>1.8763220886242071</v>
      </c>
      <c r="I148" s="203">
        <f t="shared" si="83"/>
        <v>2.431989165335529</v>
      </c>
      <c r="J148" s="203">
        <f t="shared" si="83"/>
        <v>3.0442883196986203</v>
      </c>
      <c r="K148" s="203">
        <f t="shared" si="83"/>
        <v>3.7100339035720591</v>
      </c>
      <c r="L148" s="203">
        <f t="shared" si="83"/>
        <v>4.425214759937842</v>
      </c>
      <c r="M148" s="203">
        <f t="shared" si="83"/>
        <v>5.1850034838545751</v>
      </c>
      <c r="N148" s="203">
        <f t="shared" si="83"/>
        <v>5.9003279672341318</v>
      </c>
      <c r="O148" s="203">
        <f t="shared" si="83"/>
        <v>6.6327565278459302</v>
      </c>
      <c r="P148" s="203">
        <f t="shared" si="83"/>
        <v>7.3507476303998134</v>
      </c>
      <c r="Q148" s="203">
        <f t="shared" si="83"/>
        <v>8.0672939565128594</v>
      </c>
      <c r="R148" s="203">
        <f t="shared" si="83"/>
        <v>8.7749855492225475</v>
      </c>
      <c r="S148" s="203">
        <f t="shared" si="83"/>
        <v>9.4660232771872934</v>
      </c>
      <c r="T148" s="203">
        <f t="shared" si="83"/>
        <v>10.13223490777755</v>
      </c>
      <c r="U148" s="203">
        <f t="shared" si="83"/>
        <v>10.765091179110794</v>
      </c>
      <c r="V148" s="203">
        <f t="shared" si="83"/>
        <v>11.355721869554451</v>
      </c>
      <c r="W148" s="203">
        <f t="shared" si="83"/>
        <v>11.894931863238078</v>
      </c>
      <c r="X148" s="203">
        <f t="shared" si="83"/>
        <v>12.522594703828871</v>
      </c>
      <c r="Y148" s="203">
        <f t="shared" si="83"/>
        <v>13.082600985713562</v>
      </c>
      <c r="Z148" s="203">
        <f t="shared" si="83"/>
        <v>13.445513996570323</v>
      </c>
      <c r="AA148" s="203">
        <f t="shared" si="83"/>
        <v>13.704587986736671</v>
      </c>
      <c r="AB148" s="203">
        <f t="shared" si="83"/>
        <v>13.848392087660503</v>
      </c>
      <c r="AC148" s="203">
        <f t="shared" si="83"/>
        <v>13.865716911450187</v>
      </c>
      <c r="AD148" s="203">
        <f t="shared" si="83"/>
        <v>13.745651982803473</v>
      </c>
      <c r="AE148" s="203">
        <f t="shared" si="83"/>
        <v>13.47766418246535</v>
      </c>
      <c r="AF148" s="203">
        <f t="shared" si="83"/>
        <v>13.051677178585294</v>
      </c>
      <c r="AG148" s="203">
        <f t="shared" si="83"/>
        <v>12.458151822576994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outlineLevel="1">
      <c r="A149" s="4" t="s">
        <v>1040</v>
      </c>
      <c r="C149" s="203">
        <f t="shared" ref="C149" si="84">C145-$C145</f>
        <v>0</v>
      </c>
      <c r="D149" s="203">
        <f t="shared" ref="D149:AG149" si="85">D145-$C145</f>
        <v>51.654735698832098</v>
      </c>
      <c r="E149" s="203">
        <f t="shared" si="85"/>
        <v>104.27761290447035</v>
      </c>
      <c r="F149" s="203">
        <f t="shared" si="85"/>
        <v>157.47816620656653</v>
      </c>
      <c r="G149" s="203">
        <f t="shared" si="85"/>
        <v>210.87020900571878</v>
      </c>
      <c r="H149" s="203">
        <f t="shared" si="85"/>
        <v>264.07180520307435</v>
      </c>
      <c r="I149" s="203">
        <f t="shared" si="85"/>
        <v>316.70524103578401</v>
      </c>
      <c r="J149" s="203">
        <f t="shared" si="85"/>
        <v>368.39699705766583</v>
      </c>
      <c r="K149" s="203">
        <f t="shared" si="85"/>
        <v>418.77772026443807</v>
      </c>
      <c r="L149" s="203">
        <f t="shared" si="85"/>
        <v>467.48219636288019</v>
      </c>
      <c r="M149" s="203">
        <f t="shared" si="85"/>
        <v>514.14932218328408</v>
      </c>
      <c r="N149" s="203">
        <f t="shared" si="85"/>
        <v>545.08712671113722</v>
      </c>
      <c r="O149" s="203">
        <f t="shared" si="85"/>
        <v>573.25374999221322</v>
      </c>
      <c r="P149" s="203">
        <f t="shared" si="85"/>
        <v>595.02418364274263</v>
      </c>
      <c r="Q149" s="203">
        <f t="shared" si="85"/>
        <v>613.40087081545403</v>
      </c>
      <c r="R149" s="203">
        <f t="shared" si="85"/>
        <v>628.19637245807735</v>
      </c>
      <c r="S149" s="203">
        <f t="shared" si="85"/>
        <v>639.22932254079115</v>
      </c>
      <c r="T149" s="203">
        <f t="shared" si="85"/>
        <v>646.32441282218747</v>
      </c>
      <c r="U149" s="203">
        <f t="shared" si="85"/>
        <v>649.31237723281311</v>
      </c>
      <c r="V149" s="203">
        <f t="shared" si="85"/>
        <v>648.0299758816293</v>
      </c>
      <c r="W149" s="203">
        <f t="shared" si="85"/>
        <v>642.31997869068687</v>
      </c>
      <c r="X149" s="203">
        <f t="shared" si="85"/>
        <v>644.46513793870804</v>
      </c>
      <c r="Y149" s="203">
        <f t="shared" si="85"/>
        <v>640.98563718904052</v>
      </c>
      <c r="Z149" s="203">
        <f t="shared" si="85"/>
        <v>622.79794556763659</v>
      </c>
      <c r="AA149" s="203">
        <f t="shared" si="85"/>
        <v>598.54563454434856</v>
      </c>
      <c r="AB149" s="203">
        <f t="shared" si="85"/>
        <v>568.17149587554059</v>
      </c>
      <c r="AC149" s="203">
        <f t="shared" si="85"/>
        <v>531.64372901297975</v>
      </c>
      <c r="AD149" s="203">
        <f t="shared" si="85"/>
        <v>488.95619079024237</v>
      </c>
      <c r="AE149" s="203">
        <f t="shared" si="85"/>
        <v>440.1286379082199</v>
      </c>
      <c r="AF149" s="203">
        <f t="shared" si="85"/>
        <v>385.2069622959304</v>
      </c>
      <c r="AG149" s="203">
        <f t="shared" si="85"/>
        <v>324.26341942230232</v>
      </c>
      <c r="AH149" s="217"/>
      <c r="AI149" s="124"/>
      <c r="AJ149" s="185"/>
      <c r="AL149" s="100"/>
      <c r="AM149" s="2"/>
      <c r="AN149" s="2"/>
      <c r="AO149" s="2"/>
      <c r="BC149" s="1"/>
      <c r="BD149" s="2"/>
      <c r="BE149" s="2"/>
      <c r="BF149" s="2"/>
      <c r="BG149" s="2"/>
      <c r="BH149" s="2"/>
      <c r="BI149" s="2"/>
      <c r="BJ149" s="2"/>
      <c r="BK149" s="2"/>
    </row>
    <row r="150" spans="1:63" s="1" customFormat="1" outlineLevel="1">
      <c r="A150" s="1" t="s">
        <v>1048</v>
      </c>
      <c r="B150" s="60"/>
      <c r="C150" s="250">
        <f>C40*C131</f>
        <v>91.822947813235103</v>
      </c>
      <c r="D150" s="250">
        <f t="shared" ref="D150:AG150" si="86">D40*D131</f>
        <v>103.80194933133511</v>
      </c>
      <c r="E150" s="250">
        <f t="shared" si="86"/>
        <v>116.01817947306265</v>
      </c>
      <c r="F150" s="250">
        <f t="shared" si="86"/>
        <v>128.38178075701401</v>
      </c>
      <c r="G150" s="250">
        <f t="shared" si="86"/>
        <v>140.8036817159167</v>
      </c>
      <c r="H150" s="250">
        <f t="shared" si="86"/>
        <v>153.19559257285783</v>
      </c>
      <c r="I150" s="250">
        <f t="shared" si="86"/>
        <v>165.47000093657041</v>
      </c>
      <c r="J150" s="250">
        <f t="shared" si="86"/>
        <v>177.54016751570384</v>
      </c>
      <c r="K150" s="250">
        <f t="shared" si="86"/>
        <v>189.32012185200668</v>
      </c>
      <c r="L150" s="250">
        <f t="shared" si="86"/>
        <v>200.72465807234695</v>
      </c>
      <c r="M150" s="250">
        <f t="shared" si="86"/>
        <v>211.66933065949786</v>
      </c>
      <c r="N150" s="250">
        <f t="shared" si="86"/>
        <v>218.9738988928593</v>
      </c>
      <c r="O150" s="250">
        <f t="shared" si="86"/>
        <v>225.64291085632564</v>
      </c>
      <c r="P150" s="250">
        <f t="shared" si="86"/>
        <v>230.83254733780649</v>
      </c>
      <c r="Q150" s="250">
        <f t="shared" si="86"/>
        <v>235.23867814522748</v>
      </c>
      <c r="R150" s="250">
        <f t="shared" si="86"/>
        <v>238.816338122612</v>
      </c>
      <c r="S150" s="250">
        <f t="shared" si="86"/>
        <v>241.52187377123016</v>
      </c>
      <c r="T150" s="250">
        <f t="shared" si="86"/>
        <v>243.31294344322706</v>
      </c>
      <c r="U150" s="250">
        <f t="shared" si="86"/>
        <v>244.14851744675607</v>
      </c>
      <c r="V150" s="250">
        <f t="shared" si="86"/>
        <v>243.98887806350828</v>
      </c>
      <c r="W150" s="250">
        <f t="shared" si="86"/>
        <v>242.7956194795255</v>
      </c>
      <c r="X150" s="250">
        <f t="shared" si="86"/>
        <v>243.43550149997438</v>
      </c>
      <c r="Y150" s="250">
        <f t="shared" si="86"/>
        <v>242.76177200740915</v>
      </c>
      <c r="Z150" s="250">
        <f t="shared" si="86"/>
        <v>238.64836155882131</v>
      </c>
      <c r="AA150" s="250">
        <f t="shared" si="86"/>
        <v>233.11146070502406</v>
      </c>
      <c r="AB150" s="250">
        <f t="shared" si="86"/>
        <v>226.13522965089689</v>
      </c>
      <c r="AC150" s="250">
        <f t="shared" si="86"/>
        <v>217.70974302656509</v>
      </c>
      <c r="AD150" s="250">
        <f t="shared" si="86"/>
        <v>207.8310653762457</v>
      </c>
      <c r="AE150" s="250">
        <f t="shared" si="86"/>
        <v>196.50132521877788</v>
      </c>
      <c r="AF150" s="250">
        <f t="shared" si="86"/>
        <v>183.7287876919695</v>
      </c>
      <c r="AG150" s="250">
        <f t="shared" si="86"/>
        <v>169.52792579282269</v>
      </c>
      <c r="AH150" s="217"/>
      <c r="AI150" s="368"/>
      <c r="AJ150" s="369"/>
      <c r="AL150" s="194"/>
      <c r="AM150" s="116"/>
      <c r="AN150" s="116"/>
      <c r="AO150" s="116"/>
      <c r="BD150" s="116"/>
      <c r="BE150" s="116"/>
      <c r="BF150" s="116"/>
      <c r="BG150" s="116"/>
      <c r="BH150" s="116"/>
      <c r="BI150" s="116"/>
      <c r="BJ150" s="116"/>
      <c r="BK150" s="116"/>
    </row>
    <row r="151" spans="1:63" outlineLevel="1">
      <c r="A151" s="4" t="s">
        <v>35</v>
      </c>
      <c r="C151" s="203">
        <f>C$150*'Methanol recycling rates'!E54</f>
        <v>0</v>
      </c>
      <c r="D151" s="203">
        <f>D$150*'Methanol recycling rates'!F54</f>
        <v>0</v>
      </c>
      <c r="E151" s="203">
        <f>E$150*'Methanol recycling rates'!G54</f>
        <v>0</v>
      </c>
      <c r="F151" s="203">
        <f>F$150*'Methanol recycling rates'!H54</f>
        <v>0</v>
      </c>
      <c r="G151" s="203">
        <f>G$150*'Methanol recycling rates'!I54</f>
        <v>0</v>
      </c>
      <c r="H151" s="203">
        <f>H$150*'Methanol recycling rates'!J54</f>
        <v>0</v>
      </c>
      <c r="I151" s="203">
        <f>I$150*'Methanol recycling rates'!K54</f>
        <v>0</v>
      </c>
      <c r="J151" s="203">
        <f>J$150*'Methanol recycling rates'!L54</f>
        <v>0</v>
      </c>
      <c r="K151" s="203">
        <f>K$150*'Methanol recycling rates'!M54</f>
        <v>0</v>
      </c>
      <c r="L151" s="203">
        <f>L$150*'Methanol recycling rates'!N54</f>
        <v>0</v>
      </c>
      <c r="M151" s="203">
        <f>M$150*'Methanol recycling rates'!O54</f>
        <v>0</v>
      </c>
      <c r="N151" s="203">
        <f>N$150*'Methanol recycling rates'!P54</f>
        <v>0</v>
      </c>
      <c r="O151" s="203">
        <f>O$150*'Methanol recycling rates'!Q54</f>
        <v>0</v>
      </c>
      <c r="P151" s="203">
        <f>P$150*'Methanol recycling rates'!R54</f>
        <v>0</v>
      </c>
      <c r="Q151" s="203">
        <f>Q$150*'Methanol recycling rates'!S54</f>
        <v>0</v>
      </c>
      <c r="R151" s="203">
        <f>R$150*'Methanol recycling rates'!T54</f>
        <v>0</v>
      </c>
      <c r="S151" s="203">
        <f>S$150*'Methanol recycling rates'!U54</f>
        <v>0</v>
      </c>
      <c r="T151" s="203">
        <f>T$150*'Methanol recycling rates'!V54</f>
        <v>0</v>
      </c>
      <c r="U151" s="203">
        <f>U$150*'Methanol recycling rates'!W54</f>
        <v>0</v>
      </c>
      <c r="V151" s="203">
        <f>V$150*'Methanol recycling rates'!X54</f>
        <v>0</v>
      </c>
      <c r="W151" s="203">
        <f>W$150*'Methanol recycling rates'!Y54</f>
        <v>0</v>
      </c>
      <c r="X151" s="203">
        <f>X$150*'Methanol recycling rates'!Z54</f>
        <v>0</v>
      </c>
      <c r="Y151" s="203">
        <f>Y$150*'Methanol recycling rates'!AA54</f>
        <v>0</v>
      </c>
      <c r="Z151" s="203">
        <f>Z$150*'Methanol recycling rates'!AB54</f>
        <v>0</v>
      </c>
      <c r="AA151" s="203">
        <f>AA$150*'Methanol recycling rates'!AC54</f>
        <v>0</v>
      </c>
      <c r="AB151" s="203">
        <f>AB$150*'Methanol recycling rates'!AD54</f>
        <v>0</v>
      </c>
      <c r="AC151" s="203">
        <f>AC$150*'Methanol recycling rates'!AE54</f>
        <v>0</v>
      </c>
      <c r="AD151" s="203">
        <f>AD$150*'Methanol recycling rates'!AF54</f>
        <v>0</v>
      </c>
      <c r="AE151" s="203">
        <f>AE$150*'Methanol recycling rates'!AG54</f>
        <v>0</v>
      </c>
      <c r="AF151" s="203">
        <f>AF$150*'Methanol recycling rates'!AH54</f>
        <v>0</v>
      </c>
      <c r="AG151" s="203">
        <f>AG$150*'Methanol recycling rates'!AI54</f>
        <v>0</v>
      </c>
      <c r="AH151" s="217"/>
      <c r="AI151" s="124"/>
      <c r="AJ151" s="185"/>
      <c r="AL151" s="100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03">
        <f>C$150*'Methanol recycling rates'!E55</f>
        <v>0</v>
      </c>
      <c r="D152" s="203">
        <f>D$150*'Methanol recycling rates'!F55</f>
        <v>5.8677895292583604E-2</v>
      </c>
      <c r="E152" s="203">
        <f>E$150*'Methanol recycling rates'!G55</f>
        <v>0.13116714341127453</v>
      </c>
      <c r="F152" s="203">
        <f>F$150*'Methanol recycling rates'!H55</f>
        <v>0.21771766534045495</v>
      </c>
      <c r="G152" s="203">
        <f>G$150*'Methanol recycling rates'!I55</f>
        <v>0.31837797828495024</v>
      </c>
      <c r="H152" s="203">
        <f>H$150*'Methanol recycling rates'!J55</f>
        <v>0.43299740506712464</v>
      </c>
      <c r="I152" s="203">
        <f>I$150*'Methanol recycling rates'!K55</f>
        <v>0.56122826892358368</v>
      </c>
      <c r="J152" s="203">
        <f>J$150*'Methanol recycling rates'!L55</f>
        <v>0.70252807377660464</v>
      </c>
      <c r="K152" s="203">
        <f>K$150*'Methanol recycling rates'!M55</f>
        <v>0.85616167005509047</v>
      </c>
      <c r="L152" s="203">
        <f>L$150*'Methanol recycling rates'!N55</f>
        <v>1.0212034061395019</v>
      </c>
      <c r="M152" s="203">
        <f>M$150*'Methanol recycling rates'!O55</f>
        <v>1.1965392655049019</v>
      </c>
      <c r="N152" s="203">
        <f>N$150*'Methanol recycling rates'!P55</f>
        <v>1.3616141462847997</v>
      </c>
      <c r="O152" s="203">
        <f>O$150*'Methanol recycling rates'!Q55</f>
        <v>1.530636121810599</v>
      </c>
      <c r="P152" s="203">
        <f>P$150*'Methanol recycling rates'!R55</f>
        <v>1.6963263762461109</v>
      </c>
      <c r="Q152" s="203">
        <f>Q$150*'Methanol recycling rates'!S55</f>
        <v>1.8616832207337368</v>
      </c>
      <c r="R152" s="203">
        <f>R$150*'Methanol recycling rates'!T55</f>
        <v>2.0249966652052032</v>
      </c>
      <c r="S152" s="203">
        <f>S$150*'Methanol recycling rates'!U55</f>
        <v>2.1844669101201446</v>
      </c>
      <c r="T152" s="203">
        <f>T$150*'Methanol recycling rates'!V55</f>
        <v>2.338208055640973</v>
      </c>
      <c r="U152" s="203">
        <f>U$150*'Methanol recycling rates'!W55</f>
        <v>2.4842518105640297</v>
      </c>
      <c r="V152" s="203">
        <f>V$150*'Methanol recycling rates'!X55</f>
        <v>2.6205512006664113</v>
      </c>
      <c r="W152" s="203">
        <f>W$150*'Methanol recycling rates'!Y55</f>
        <v>2.7449842761318641</v>
      </c>
      <c r="X152" s="203">
        <f>X$150*'Methanol recycling rates'!Z55</f>
        <v>2.8898295470374311</v>
      </c>
      <c r="Y152" s="203">
        <f>Y$150*'Methanol recycling rates'!AA55</f>
        <v>3.0190617659338987</v>
      </c>
      <c r="Z152" s="203">
        <f>Z$150*'Methanol recycling rates'!AB55</f>
        <v>3.102810922285459</v>
      </c>
      <c r="AA152" s="203">
        <f>AA$150*'Methanol recycling rates'!AC55</f>
        <v>3.1625972277084626</v>
      </c>
      <c r="AB152" s="203">
        <f>AB$150*'Methanol recycling rates'!AD55</f>
        <v>3.1957827894601158</v>
      </c>
      <c r="AC152" s="203">
        <f>AC$150*'Methanol recycling rates'!AE55</f>
        <v>3.1997808257192739</v>
      </c>
      <c r="AD152" s="203">
        <f>AD$150*'Methanol recycling rates'!AF55</f>
        <v>3.1720735344931095</v>
      </c>
      <c r="AE152" s="203">
        <f>AE$150*'Methanol recycling rates'!AG55</f>
        <v>3.1102301959535428</v>
      </c>
      <c r="AF152" s="203">
        <f>AF$150*'Methanol recycling rates'!AH55</f>
        <v>3.0119255027504521</v>
      </c>
      <c r="AG152" s="203">
        <f>AG$150*'Methanol recycling rates'!AI55</f>
        <v>2.8749581129023833</v>
      </c>
      <c r="AH152" s="217"/>
      <c r="AI152" s="124"/>
      <c r="AJ152" s="185"/>
      <c r="AL152" s="100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1040</v>
      </c>
      <c r="C153" s="203">
        <f>C$150*'Methanol recycling rates'!E56</f>
        <v>91.822947813235103</v>
      </c>
      <c r="D153" s="203">
        <f>D$150*'Methanol recycling rates'!F56</f>
        <v>103.74327143604252</v>
      </c>
      <c r="E153" s="203">
        <f>E$150*'Methanol recycling rates'!G56</f>
        <v>115.88701232965137</v>
      </c>
      <c r="F153" s="203">
        <f>F$150*'Methanol recycling rates'!H56</f>
        <v>128.16406309167357</v>
      </c>
      <c r="G153" s="203">
        <f>G$150*'Methanol recycling rates'!I56</f>
        <v>140.48530373763174</v>
      </c>
      <c r="H153" s="203">
        <f>H$150*'Methanol recycling rates'!J56</f>
        <v>152.76259516779072</v>
      </c>
      <c r="I153" s="203">
        <f>I$150*'Methanol recycling rates'!K56</f>
        <v>164.90877266764684</v>
      </c>
      <c r="J153" s="203">
        <f>J$150*'Methanol recycling rates'!L56</f>
        <v>176.83763944192722</v>
      </c>
      <c r="K153" s="203">
        <f>K$150*'Methanol recycling rates'!M56</f>
        <v>188.46396018195159</v>
      </c>
      <c r="L153" s="203">
        <f>L$150*'Methanol recycling rates'!N56</f>
        <v>199.70345466620745</v>
      </c>
      <c r="M153" s="203">
        <f>M$150*'Methanol recycling rates'!O56</f>
        <v>210.47279139399296</v>
      </c>
      <c r="N153" s="203">
        <f>N$150*'Methanol recycling rates'!P56</f>
        <v>217.61228474657449</v>
      </c>
      <c r="O153" s="203">
        <f>O$150*'Methanol recycling rates'!Q56</f>
        <v>224.11227473451504</v>
      </c>
      <c r="P153" s="203">
        <f>P$150*'Methanol recycling rates'!R56</f>
        <v>229.13622096156038</v>
      </c>
      <c r="Q153" s="203">
        <f>Q$150*'Methanol recycling rates'!S56</f>
        <v>233.37699492449374</v>
      </c>
      <c r="R153" s="203">
        <f>R$150*'Methanol recycling rates'!T56</f>
        <v>236.79134145740679</v>
      </c>
      <c r="S153" s="203">
        <f>S$150*'Methanol recycling rates'!U56</f>
        <v>239.33740686111003</v>
      </c>
      <c r="T153" s="203">
        <f>T$150*'Methanol recycling rates'!V56</f>
        <v>240.97473538758607</v>
      </c>
      <c r="U153" s="203">
        <f>U$150*'Methanol recycling rates'!W56</f>
        <v>241.66426563619203</v>
      </c>
      <c r="V153" s="203">
        <f>V$150*'Methanol recycling rates'!X56</f>
        <v>241.36832686284185</v>
      </c>
      <c r="W153" s="203">
        <f>W$150*'Methanol recycling rates'!Y56</f>
        <v>240.05063520339363</v>
      </c>
      <c r="X153" s="203">
        <f>X$150*'Methanol recycling rates'!Z56</f>
        <v>240.54567195293694</v>
      </c>
      <c r="Y153" s="203">
        <f>Y$150*'Methanol recycling rates'!AA56</f>
        <v>239.74271024147524</v>
      </c>
      <c r="Z153" s="203">
        <f>Z$150*'Methanol recycling rates'!AB56</f>
        <v>235.54555063653584</v>
      </c>
      <c r="AA153" s="203">
        <f>AA$150*'Methanol recycling rates'!AC56</f>
        <v>229.9488634773156</v>
      </c>
      <c r="AB153" s="203">
        <f>AB$150*'Methanol recycling rates'!AD56</f>
        <v>222.93944686143678</v>
      </c>
      <c r="AC153" s="203">
        <f>AC$150*'Methanol recycling rates'!AE56</f>
        <v>214.50996220084582</v>
      </c>
      <c r="AD153" s="203">
        <f>AD$150*'Methanol recycling rates'!AF56</f>
        <v>204.6589918417526</v>
      </c>
      <c r="AE153" s="203">
        <f>AE$150*'Methanol recycling rates'!AG56</f>
        <v>193.39109502282432</v>
      </c>
      <c r="AF153" s="203">
        <f>AF$150*'Methanol recycling rates'!AH56</f>
        <v>180.71686218921903</v>
      </c>
      <c r="AG153" s="203">
        <f>AG$150*'Methanol recycling rates'!AI56</f>
        <v>166.65296767992029</v>
      </c>
      <c r="AH153" s="217"/>
      <c r="AI153" s="124"/>
      <c r="AJ153" s="185"/>
      <c r="AL153" s="100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1049</v>
      </c>
      <c r="B154" s="60"/>
      <c r="C154" s="250">
        <f>C150-$C150</f>
        <v>0</v>
      </c>
      <c r="D154" s="250">
        <f t="shared" ref="D154:AG154" si="87">D150-$C150</f>
        <v>11.979001518100006</v>
      </c>
      <c r="E154" s="250">
        <f t="shared" si="87"/>
        <v>24.195231659827542</v>
      </c>
      <c r="F154" s="250">
        <f t="shared" si="87"/>
        <v>36.55883294377891</v>
      </c>
      <c r="G154" s="250">
        <f t="shared" si="87"/>
        <v>48.980733902681592</v>
      </c>
      <c r="H154" s="250">
        <f t="shared" si="87"/>
        <v>61.37264475962273</v>
      </c>
      <c r="I154" s="250">
        <f t="shared" si="87"/>
        <v>73.647053123335311</v>
      </c>
      <c r="J154" s="250">
        <f t="shared" si="87"/>
        <v>85.717219702468739</v>
      </c>
      <c r="K154" s="250">
        <f t="shared" si="87"/>
        <v>97.497174038771576</v>
      </c>
      <c r="L154" s="250">
        <f t="shared" si="87"/>
        <v>108.90171025911185</v>
      </c>
      <c r="M154" s="250">
        <f t="shared" si="87"/>
        <v>119.84638284626276</v>
      </c>
      <c r="N154" s="250">
        <f t="shared" si="87"/>
        <v>127.15095107962419</v>
      </c>
      <c r="O154" s="250">
        <f t="shared" si="87"/>
        <v>133.81996304309052</v>
      </c>
      <c r="P154" s="250">
        <f t="shared" si="87"/>
        <v>139.0095995245714</v>
      </c>
      <c r="Q154" s="250">
        <f t="shared" si="87"/>
        <v>143.41573033199239</v>
      </c>
      <c r="R154" s="250">
        <f t="shared" si="87"/>
        <v>146.99339030937688</v>
      </c>
      <c r="S154" s="250">
        <f t="shared" si="87"/>
        <v>149.69892595799507</v>
      </c>
      <c r="T154" s="250">
        <f t="shared" si="87"/>
        <v>151.48999562999194</v>
      </c>
      <c r="U154" s="250">
        <f t="shared" si="87"/>
        <v>152.32556963352096</v>
      </c>
      <c r="V154" s="250">
        <f t="shared" si="87"/>
        <v>152.16593025027316</v>
      </c>
      <c r="W154" s="250">
        <f t="shared" si="87"/>
        <v>150.97267166629041</v>
      </c>
      <c r="X154" s="250">
        <f t="shared" si="87"/>
        <v>151.61255368673926</v>
      </c>
      <c r="Y154" s="250">
        <f t="shared" si="87"/>
        <v>150.93882419417406</v>
      </c>
      <c r="Z154" s="250">
        <f t="shared" si="87"/>
        <v>146.82541374558622</v>
      </c>
      <c r="AA154" s="250">
        <f t="shared" si="87"/>
        <v>141.28851289178897</v>
      </c>
      <c r="AB154" s="250">
        <f t="shared" si="87"/>
        <v>134.31228183766177</v>
      </c>
      <c r="AC154" s="250">
        <f t="shared" si="87"/>
        <v>125.88679521332999</v>
      </c>
      <c r="AD154" s="250">
        <f t="shared" si="87"/>
        <v>116.0081175630106</v>
      </c>
      <c r="AE154" s="250">
        <f t="shared" si="87"/>
        <v>104.67837740554278</v>
      </c>
      <c r="AF154" s="250">
        <f t="shared" si="87"/>
        <v>91.905839878734398</v>
      </c>
      <c r="AG154" s="250">
        <f t="shared" si="87"/>
        <v>77.704977979587582</v>
      </c>
      <c r="AH154" s="217"/>
      <c r="AI154" s="368"/>
      <c r="AJ154" s="369"/>
      <c r="AL154" s="194"/>
      <c r="AM154" s="116"/>
      <c r="AN154" s="116"/>
      <c r="AO154" s="116"/>
      <c r="BD154" s="116"/>
      <c r="BE154" s="116"/>
      <c r="BF154" s="116"/>
      <c r="BG154" s="116"/>
      <c r="BH154" s="116"/>
      <c r="BI154" s="116"/>
      <c r="BJ154" s="116"/>
      <c r="BK154" s="116"/>
    </row>
    <row r="155" spans="1:63" outlineLevel="1">
      <c r="A155" s="4" t="s">
        <v>35</v>
      </c>
      <c r="C155" s="203">
        <f t="shared" ref="C155" si="88">C151-$C151</f>
        <v>0</v>
      </c>
      <c r="D155" s="203">
        <f t="shared" ref="D155:AG155" si="89">D151-$C151</f>
        <v>0</v>
      </c>
      <c r="E155" s="203">
        <f t="shared" si="89"/>
        <v>0</v>
      </c>
      <c r="F155" s="203">
        <f t="shared" si="89"/>
        <v>0</v>
      </c>
      <c r="G155" s="203">
        <f t="shared" si="89"/>
        <v>0</v>
      </c>
      <c r="H155" s="203">
        <f t="shared" si="89"/>
        <v>0</v>
      </c>
      <c r="I155" s="203">
        <f t="shared" si="89"/>
        <v>0</v>
      </c>
      <c r="J155" s="203">
        <f t="shared" si="89"/>
        <v>0</v>
      </c>
      <c r="K155" s="203">
        <f t="shared" si="89"/>
        <v>0</v>
      </c>
      <c r="L155" s="203">
        <f t="shared" si="89"/>
        <v>0</v>
      </c>
      <c r="M155" s="203">
        <f t="shared" si="89"/>
        <v>0</v>
      </c>
      <c r="N155" s="203">
        <f t="shared" si="89"/>
        <v>0</v>
      </c>
      <c r="O155" s="203">
        <f t="shared" si="89"/>
        <v>0</v>
      </c>
      <c r="P155" s="203">
        <f t="shared" si="89"/>
        <v>0</v>
      </c>
      <c r="Q155" s="203">
        <f t="shared" si="89"/>
        <v>0</v>
      </c>
      <c r="R155" s="203">
        <f t="shared" si="89"/>
        <v>0</v>
      </c>
      <c r="S155" s="203">
        <f t="shared" si="89"/>
        <v>0</v>
      </c>
      <c r="T155" s="203">
        <f t="shared" si="89"/>
        <v>0</v>
      </c>
      <c r="U155" s="203">
        <f t="shared" si="89"/>
        <v>0</v>
      </c>
      <c r="V155" s="203">
        <f t="shared" si="89"/>
        <v>0</v>
      </c>
      <c r="W155" s="203">
        <f t="shared" si="89"/>
        <v>0</v>
      </c>
      <c r="X155" s="203">
        <f t="shared" si="89"/>
        <v>0</v>
      </c>
      <c r="Y155" s="203">
        <f t="shared" si="89"/>
        <v>0</v>
      </c>
      <c r="Z155" s="203">
        <f t="shared" si="89"/>
        <v>0</v>
      </c>
      <c r="AA155" s="203">
        <f t="shared" si="89"/>
        <v>0</v>
      </c>
      <c r="AB155" s="203">
        <f t="shared" si="89"/>
        <v>0</v>
      </c>
      <c r="AC155" s="203">
        <f t="shared" si="89"/>
        <v>0</v>
      </c>
      <c r="AD155" s="203">
        <f t="shared" si="89"/>
        <v>0</v>
      </c>
      <c r="AE155" s="203">
        <f t="shared" si="89"/>
        <v>0</v>
      </c>
      <c r="AF155" s="203">
        <f t="shared" si="89"/>
        <v>0</v>
      </c>
      <c r="AG155" s="203">
        <f t="shared" si="89"/>
        <v>0</v>
      </c>
      <c r="AH155" s="217"/>
      <c r="AI155" s="124"/>
      <c r="AJ155" s="185"/>
      <c r="AL155" s="100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160</v>
      </c>
      <c r="C156" s="203">
        <f t="shared" ref="C156" si="90">C152-$C152</f>
        <v>0</v>
      </c>
      <c r="D156" s="203">
        <f t="shared" ref="D156:AG156" si="91">D152-$C152</f>
        <v>5.8677895292583604E-2</v>
      </c>
      <c r="E156" s="203">
        <f t="shared" si="91"/>
        <v>0.13116714341127453</v>
      </c>
      <c r="F156" s="203">
        <f t="shared" si="91"/>
        <v>0.21771766534045495</v>
      </c>
      <c r="G156" s="203">
        <f t="shared" si="91"/>
        <v>0.31837797828495024</v>
      </c>
      <c r="H156" s="203">
        <f t="shared" si="91"/>
        <v>0.43299740506712464</v>
      </c>
      <c r="I156" s="203">
        <f t="shared" si="91"/>
        <v>0.56122826892358368</v>
      </c>
      <c r="J156" s="203">
        <f t="shared" si="91"/>
        <v>0.70252807377660464</v>
      </c>
      <c r="K156" s="203">
        <f t="shared" si="91"/>
        <v>0.85616167005509047</v>
      </c>
      <c r="L156" s="203">
        <f t="shared" si="91"/>
        <v>1.0212034061395019</v>
      </c>
      <c r="M156" s="203">
        <f t="shared" si="91"/>
        <v>1.1965392655049019</v>
      </c>
      <c r="N156" s="203">
        <f t="shared" si="91"/>
        <v>1.3616141462847997</v>
      </c>
      <c r="O156" s="203">
        <f t="shared" si="91"/>
        <v>1.530636121810599</v>
      </c>
      <c r="P156" s="203">
        <f t="shared" si="91"/>
        <v>1.6963263762461109</v>
      </c>
      <c r="Q156" s="203">
        <f t="shared" si="91"/>
        <v>1.8616832207337368</v>
      </c>
      <c r="R156" s="203">
        <f t="shared" si="91"/>
        <v>2.0249966652052032</v>
      </c>
      <c r="S156" s="203">
        <f t="shared" si="91"/>
        <v>2.1844669101201446</v>
      </c>
      <c r="T156" s="203">
        <f t="shared" si="91"/>
        <v>2.338208055640973</v>
      </c>
      <c r="U156" s="203">
        <f t="shared" si="91"/>
        <v>2.4842518105640297</v>
      </c>
      <c r="V156" s="203">
        <f t="shared" si="91"/>
        <v>2.6205512006664113</v>
      </c>
      <c r="W156" s="203">
        <f t="shared" si="91"/>
        <v>2.7449842761318641</v>
      </c>
      <c r="X156" s="203">
        <f t="shared" si="91"/>
        <v>2.8898295470374311</v>
      </c>
      <c r="Y156" s="203">
        <f t="shared" si="91"/>
        <v>3.0190617659338987</v>
      </c>
      <c r="Z156" s="203">
        <f t="shared" si="91"/>
        <v>3.102810922285459</v>
      </c>
      <c r="AA156" s="203">
        <f t="shared" si="91"/>
        <v>3.1625972277084626</v>
      </c>
      <c r="AB156" s="203">
        <f t="shared" si="91"/>
        <v>3.1957827894601158</v>
      </c>
      <c r="AC156" s="203">
        <f t="shared" si="91"/>
        <v>3.1997808257192739</v>
      </c>
      <c r="AD156" s="203">
        <f t="shared" si="91"/>
        <v>3.1720735344931095</v>
      </c>
      <c r="AE156" s="203">
        <f t="shared" si="91"/>
        <v>3.1102301959535428</v>
      </c>
      <c r="AF156" s="203">
        <f t="shared" si="91"/>
        <v>3.0119255027504521</v>
      </c>
      <c r="AG156" s="203">
        <f t="shared" si="91"/>
        <v>2.8749581129023833</v>
      </c>
      <c r="AH156" s="217"/>
      <c r="AI156" s="124"/>
      <c r="AJ156" s="185"/>
      <c r="AL156" s="100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1040</v>
      </c>
      <c r="C157" s="203">
        <f t="shared" ref="C157" si="92">C153-$C153</f>
        <v>0</v>
      </c>
      <c r="D157" s="203">
        <f t="shared" ref="D157:AG157" si="93">D153-$C153</f>
        <v>11.920323622807416</v>
      </c>
      <c r="E157" s="203">
        <f t="shared" si="93"/>
        <v>24.064064516416266</v>
      </c>
      <c r="F157" s="203">
        <f t="shared" si="93"/>
        <v>36.341115278438465</v>
      </c>
      <c r="G157" s="203">
        <f t="shared" si="93"/>
        <v>48.662355924396635</v>
      </c>
      <c r="H157" s="203">
        <f t="shared" si="93"/>
        <v>60.939647354555618</v>
      </c>
      <c r="I157" s="203">
        <f t="shared" si="93"/>
        <v>73.08582485441174</v>
      </c>
      <c r="J157" s="203">
        <f t="shared" si="93"/>
        <v>85.01469162869212</v>
      </c>
      <c r="K157" s="203">
        <f t="shared" si="93"/>
        <v>96.641012368716488</v>
      </c>
      <c r="L157" s="203">
        <f t="shared" si="93"/>
        <v>107.88050685297235</v>
      </c>
      <c r="M157" s="203">
        <f t="shared" si="93"/>
        <v>118.64984358075786</v>
      </c>
      <c r="N157" s="203">
        <f t="shared" si="93"/>
        <v>125.78933693333938</v>
      </c>
      <c r="O157" s="203">
        <f t="shared" si="93"/>
        <v>132.28932692127995</v>
      </c>
      <c r="P157" s="203">
        <f t="shared" si="93"/>
        <v>137.31327314832527</v>
      </c>
      <c r="Q157" s="203">
        <f t="shared" si="93"/>
        <v>141.55404711125863</v>
      </c>
      <c r="R157" s="203">
        <f t="shared" si="93"/>
        <v>144.96839364417167</v>
      </c>
      <c r="S157" s="203">
        <f t="shared" si="93"/>
        <v>147.51445904787494</v>
      </c>
      <c r="T157" s="203">
        <f t="shared" si="93"/>
        <v>149.15178757435098</v>
      </c>
      <c r="U157" s="203">
        <f t="shared" si="93"/>
        <v>149.84131782295691</v>
      </c>
      <c r="V157" s="203">
        <f t="shared" si="93"/>
        <v>149.54537904960677</v>
      </c>
      <c r="W157" s="203">
        <f t="shared" si="93"/>
        <v>148.22768739015851</v>
      </c>
      <c r="X157" s="203">
        <f t="shared" si="93"/>
        <v>148.72272413970182</v>
      </c>
      <c r="Y157" s="203">
        <f t="shared" si="93"/>
        <v>147.91976242824012</v>
      </c>
      <c r="Z157" s="203">
        <f t="shared" si="93"/>
        <v>143.72260282330075</v>
      </c>
      <c r="AA157" s="203">
        <f t="shared" si="93"/>
        <v>138.12591566408048</v>
      </c>
      <c r="AB157" s="203">
        <f t="shared" si="93"/>
        <v>131.11649904820166</v>
      </c>
      <c r="AC157" s="203">
        <f t="shared" si="93"/>
        <v>122.68701438761072</v>
      </c>
      <c r="AD157" s="203">
        <f t="shared" si="93"/>
        <v>112.83604402851749</v>
      </c>
      <c r="AE157" s="203">
        <f t="shared" si="93"/>
        <v>101.56814720958921</v>
      </c>
      <c r="AF157" s="203">
        <f t="shared" si="93"/>
        <v>88.893914375983925</v>
      </c>
      <c r="AG157" s="203">
        <f t="shared" si="93"/>
        <v>74.830019866685191</v>
      </c>
      <c r="AH157" s="217"/>
      <c r="AI157" s="124"/>
      <c r="AJ157" s="185"/>
      <c r="AL157" s="100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s="1" customFormat="1" outlineLevel="1">
      <c r="A158" s="1" t="s">
        <v>1043</v>
      </c>
      <c r="B158" s="60"/>
      <c r="C158" s="250">
        <f>C40*C132</f>
        <v>275.46884343970532</v>
      </c>
      <c r="D158" s="250">
        <f t="shared" ref="D158:AG158" si="94">D40*D132</f>
        <v>311.40584799400534</v>
      </c>
      <c r="E158" s="250">
        <f t="shared" si="94"/>
        <v>348.05453841918791</v>
      </c>
      <c r="F158" s="250">
        <f t="shared" si="94"/>
        <v>385.14534227104201</v>
      </c>
      <c r="G158" s="250">
        <f t="shared" si="94"/>
        <v>422.41104514775009</v>
      </c>
      <c r="H158" s="250">
        <f t="shared" si="94"/>
        <v>459.58677771857356</v>
      </c>
      <c r="I158" s="250">
        <f t="shared" si="94"/>
        <v>496.41000280971116</v>
      </c>
      <c r="J158" s="250">
        <f t="shared" si="94"/>
        <v>532.62050254711153</v>
      </c>
      <c r="K158" s="250">
        <f t="shared" si="94"/>
        <v>567.96036555602007</v>
      </c>
      <c r="L158" s="250">
        <f t="shared" si="94"/>
        <v>602.17397421704084</v>
      </c>
      <c r="M158" s="250">
        <f t="shared" si="94"/>
        <v>635.00799197849369</v>
      </c>
      <c r="N158" s="250">
        <f t="shared" si="94"/>
        <v>656.92169667857786</v>
      </c>
      <c r="O158" s="250">
        <f t="shared" si="94"/>
        <v>676.9287325689769</v>
      </c>
      <c r="P158" s="250">
        <f t="shared" si="94"/>
        <v>692.49764201341941</v>
      </c>
      <c r="Q158" s="250">
        <f t="shared" si="94"/>
        <v>705.71603443568245</v>
      </c>
      <c r="R158" s="250">
        <f t="shared" si="94"/>
        <v>716.44901436783596</v>
      </c>
      <c r="S158" s="250">
        <f t="shared" si="94"/>
        <v>724.56562131369049</v>
      </c>
      <c r="T158" s="250">
        <f t="shared" si="94"/>
        <v>729.93883032968108</v>
      </c>
      <c r="U158" s="250">
        <f t="shared" si="94"/>
        <v>732.44555234026814</v>
      </c>
      <c r="V158" s="250">
        <f t="shared" si="94"/>
        <v>731.96663419052481</v>
      </c>
      <c r="W158" s="250">
        <f t="shared" si="94"/>
        <v>728.3868584385765</v>
      </c>
      <c r="X158" s="250">
        <f t="shared" si="94"/>
        <v>730.30650449992311</v>
      </c>
      <c r="Y158" s="250">
        <f t="shared" si="94"/>
        <v>728.28531602222733</v>
      </c>
      <c r="Z158" s="250">
        <f t="shared" si="94"/>
        <v>715.94508467646392</v>
      </c>
      <c r="AA158" s="250">
        <f t="shared" si="94"/>
        <v>699.33438211507212</v>
      </c>
      <c r="AB158" s="250">
        <f t="shared" si="94"/>
        <v>678.40568895269064</v>
      </c>
      <c r="AC158" s="250">
        <f t="shared" si="94"/>
        <v>653.12922907969528</v>
      </c>
      <c r="AD158" s="250">
        <f t="shared" si="94"/>
        <v>623.49319612873717</v>
      </c>
      <c r="AE158" s="250">
        <f t="shared" si="94"/>
        <v>589.50397565633364</v>
      </c>
      <c r="AF158" s="250">
        <f t="shared" si="94"/>
        <v>551.18636307590862</v>
      </c>
      <c r="AG158" s="250">
        <f t="shared" si="94"/>
        <v>508.58377737846803</v>
      </c>
      <c r="AH158" s="217"/>
      <c r="AI158" s="368"/>
      <c r="AJ158" s="369"/>
      <c r="AL158" s="194"/>
      <c r="AM158" s="116"/>
      <c r="AN158" s="116"/>
      <c r="AO158" s="116"/>
      <c r="BD158" s="116"/>
      <c r="BE158" s="116"/>
      <c r="BF158" s="116"/>
      <c r="BG158" s="116"/>
      <c r="BH158" s="116"/>
      <c r="BI158" s="116"/>
      <c r="BJ158" s="116"/>
      <c r="BK158" s="116"/>
    </row>
    <row r="159" spans="1:63" outlineLevel="1">
      <c r="A159" s="4" t="s">
        <v>35</v>
      </c>
      <c r="C159" s="203">
        <f>C$158*'Methanol recycling rates'!E57</f>
        <v>0</v>
      </c>
      <c r="D159" s="203">
        <f>D$158*'Methanol recycling rates'!F57</f>
        <v>0</v>
      </c>
      <c r="E159" s="203">
        <f>E$158*'Methanol recycling rates'!G57</f>
        <v>0</v>
      </c>
      <c r="F159" s="203">
        <f>F$158*'Methanol recycling rates'!H57</f>
        <v>0</v>
      </c>
      <c r="G159" s="203">
        <f>G$158*'Methanol recycling rates'!I57</f>
        <v>0</v>
      </c>
      <c r="H159" s="203">
        <f>H$158*'Methanol recycling rates'!J57</f>
        <v>0</v>
      </c>
      <c r="I159" s="203">
        <f>I$158*'Methanol recycling rates'!K57</f>
        <v>0</v>
      </c>
      <c r="J159" s="203">
        <f>J$158*'Methanol recycling rates'!L57</f>
        <v>0</v>
      </c>
      <c r="K159" s="203">
        <f>K$158*'Methanol recycling rates'!M57</f>
        <v>0</v>
      </c>
      <c r="L159" s="203">
        <f>L$158*'Methanol recycling rates'!N57</f>
        <v>0</v>
      </c>
      <c r="M159" s="203">
        <f>M$158*'Methanol recycling rates'!O57</f>
        <v>0</v>
      </c>
      <c r="N159" s="203">
        <f>N$158*'Methanol recycling rates'!P57</f>
        <v>0</v>
      </c>
      <c r="O159" s="203">
        <f>O$158*'Methanol recycling rates'!Q57</f>
        <v>0</v>
      </c>
      <c r="P159" s="203">
        <f>P$158*'Methanol recycling rates'!R57</f>
        <v>0</v>
      </c>
      <c r="Q159" s="203">
        <f>Q$158*'Methanol recycling rates'!S57</f>
        <v>0</v>
      </c>
      <c r="R159" s="203">
        <f>R$158*'Methanol recycling rates'!T57</f>
        <v>0</v>
      </c>
      <c r="S159" s="203">
        <f>S$158*'Methanol recycling rates'!U57</f>
        <v>0</v>
      </c>
      <c r="T159" s="203">
        <f>T$158*'Methanol recycling rates'!V57</f>
        <v>0</v>
      </c>
      <c r="U159" s="203">
        <f>U$158*'Methanol recycling rates'!W57</f>
        <v>0</v>
      </c>
      <c r="V159" s="203">
        <f>V$158*'Methanol recycling rates'!X57</f>
        <v>0</v>
      </c>
      <c r="W159" s="203">
        <f>W$158*'Methanol recycling rates'!Y57</f>
        <v>0</v>
      </c>
      <c r="X159" s="203">
        <f>X$158*'Methanol recycling rates'!Z57</f>
        <v>0</v>
      </c>
      <c r="Y159" s="203">
        <f>Y$158*'Methanol recycling rates'!AA57</f>
        <v>0</v>
      </c>
      <c r="Z159" s="203">
        <f>Z$158*'Methanol recycling rates'!AB57</f>
        <v>0</v>
      </c>
      <c r="AA159" s="203">
        <f>AA$158*'Methanol recycling rates'!AC57</f>
        <v>0</v>
      </c>
      <c r="AB159" s="203">
        <f>AB$158*'Methanol recycling rates'!AD57</f>
        <v>0</v>
      </c>
      <c r="AC159" s="203">
        <f>AC$158*'Methanol recycling rates'!AE57</f>
        <v>0</v>
      </c>
      <c r="AD159" s="203">
        <f>AD$158*'Methanol recycling rates'!AF57</f>
        <v>0</v>
      </c>
      <c r="AE159" s="203">
        <f>AE$158*'Methanol recycling rates'!AG57</f>
        <v>0</v>
      </c>
      <c r="AF159" s="203">
        <f>AF$158*'Methanol recycling rates'!AH57</f>
        <v>0</v>
      </c>
      <c r="AG159" s="203">
        <f>AG$158*'Methanol recycling rates'!AI57</f>
        <v>0</v>
      </c>
      <c r="AH159" s="217"/>
      <c r="AI159" s="124"/>
      <c r="AJ159" s="185"/>
      <c r="AL159" s="100"/>
      <c r="AM159" s="2"/>
      <c r="AN159" s="2"/>
      <c r="AO159" s="2"/>
      <c r="BC159" s="1"/>
      <c r="BD159" s="2"/>
      <c r="BE159" s="2"/>
      <c r="BF159" s="2"/>
      <c r="BG159" s="2"/>
      <c r="BH159" s="2"/>
      <c r="BI159" s="2"/>
      <c r="BJ159" s="2"/>
      <c r="BK159" s="2"/>
    </row>
    <row r="160" spans="1:63" outlineLevel="1">
      <c r="A160" s="4" t="s">
        <v>160</v>
      </c>
      <c r="C160" s="203">
        <f>C$158*'Methanol recycling rates'!E58</f>
        <v>0</v>
      </c>
      <c r="D160" s="203">
        <f>D$158*'Methanol recycling rates'!F58</f>
        <v>0.17603368587775081</v>
      </c>
      <c r="E160" s="203">
        <f>E$158*'Methanol recycling rates'!G58</f>
        <v>0.39350143023382356</v>
      </c>
      <c r="F160" s="203">
        <f>F$158*'Methanol recycling rates'!H58</f>
        <v>0.65315299602136478</v>
      </c>
      <c r="G160" s="203">
        <f>G$158*'Methanol recycling rates'!I58</f>
        <v>0.95513393485485065</v>
      </c>
      <c r="H160" s="203">
        <f>H$158*'Methanol recycling rates'!J58</f>
        <v>1.298992215201374</v>
      </c>
      <c r="I160" s="203">
        <f>I$158*'Methanol recycling rates'!K58</f>
        <v>1.6836848067707506</v>
      </c>
      <c r="J160" s="203">
        <f>J$158*'Methanol recycling rates'!L58</f>
        <v>2.1075842213298142</v>
      </c>
      <c r="K160" s="203">
        <f>K$158*'Methanol recycling rates'!M58</f>
        <v>2.5684850101652716</v>
      </c>
      <c r="L160" s="203">
        <f>L$158*'Methanol recycling rates'!N58</f>
        <v>3.0636102184185057</v>
      </c>
      <c r="M160" s="203">
        <f>M$158*'Methanol recycling rates'!O58</f>
        <v>3.5896177965147062</v>
      </c>
      <c r="N160" s="203">
        <f>N$158*'Methanol recycling rates'!P58</f>
        <v>4.0848424388543991</v>
      </c>
      <c r="O160" s="203">
        <f>O$158*'Methanol recycling rates'!Q58</f>
        <v>4.5919083654317969</v>
      </c>
      <c r="P160" s="203">
        <f>P$158*'Methanol recycling rates'!R58</f>
        <v>5.0889791287383321</v>
      </c>
      <c r="Q160" s="203">
        <f>Q$158*'Methanol recycling rates'!S58</f>
        <v>5.58504966220121</v>
      </c>
      <c r="R160" s="203">
        <f>R$158*'Methanol recycling rates'!T58</f>
        <v>6.074989995615609</v>
      </c>
      <c r="S160" s="203">
        <f>S$158*'Methanol recycling rates'!U58</f>
        <v>6.5534007303604334</v>
      </c>
      <c r="T160" s="203">
        <f>T$158*'Methanol recycling rates'!V58</f>
        <v>7.0146241669229186</v>
      </c>
      <c r="U160" s="203">
        <f>U$158*'Methanol recycling rates'!W58</f>
        <v>7.4527554316920881</v>
      </c>
      <c r="V160" s="203">
        <f>V$158*'Methanol recycling rates'!X58</f>
        <v>7.861653601999234</v>
      </c>
      <c r="W160" s="203">
        <f>W$158*'Methanol recycling rates'!Y58</f>
        <v>8.234952828395592</v>
      </c>
      <c r="X160" s="203">
        <f>X$158*'Methanol recycling rates'!Z58</f>
        <v>8.6694886411122933</v>
      </c>
      <c r="Y160" s="203">
        <f>Y$158*'Methanol recycling rates'!AA58</f>
        <v>9.0571852978016949</v>
      </c>
      <c r="Z160" s="203">
        <f>Z$158*'Methanol recycling rates'!AB58</f>
        <v>9.3084327668563773</v>
      </c>
      <c r="AA160" s="203">
        <f>AA$158*'Methanol recycling rates'!AC58</f>
        <v>9.487791683125387</v>
      </c>
      <c r="AB160" s="203">
        <f>AB$158*'Methanol recycling rates'!AD58</f>
        <v>9.5873483683803471</v>
      </c>
      <c r="AC160" s="203">
        <f>AC$158*'Methanol recycling rates'!AE58</f>
        <v>9.5993424771578209</v>
      </c>
      <c r="AD160" s="203">
        <f>AD$158*'Methanol recycling rates'!AF58</f>
        <v>9.5162206034793293</v>
      </c>
      <c r="AE160" s="203">
        <f>AE$158*'Methanol recycling rates'!AG58</f>
        <v>9.3306905878606283</v>
      </c>
      <c r="AF160" s="203">
        <f>AF$158*'Methanol recycling rates'!AH58</f>
        <v>9.0357765082513577</v>
      </c>
      <c r="AG160" s="203">
        <f>AG$158*'Methanol recycling rates'!AI58</f>
        <v>8.6248743387071496</v>
      </c>
      <c r="AH160" s="217"/>
      <c r="AI160" s="124"/>
      <c r="AJ160" s="185"/>
      <c r="AL160" s="100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1040</v>
      </c>
      <c r="C161" s="203">
        <f>C$158*'Methanol recycling rates'!E59</f>
        <v>275.46884343970532</v>
      </c>
      <c r="D161" s="203">
        <f>D$158*'Methanol recycling rates'!F59</f>
        <v>311.22981430812757</v>
      </c>
      <c r="E161" s="203">
        <f>E$158*'Methanol recycling rates'!G59</f>
        <v>347.66103698895409</v>
      </c>
      <c r="F161" s="203">
        <f>F$158*'Methanol recycling rates'!H59</f>
        <v>384.49218927502062</v>
      </c>
      <c r="G161" s="203">
        <f>G$158*'Methanol recycling rates'!I59</f>
        <v>421.45591121289522</v>
      </c>
      <c r="H161" s="203">
        <f>H$158*'Methanol recycling rates'!J59</f>
        <v>458.28778550337216</v>
      </c>
      <c r="I161" s="203">
        <f>I$158*'Methanol recycling rates'!K59</f>
        <v>494.72631800294039</v>
      </c>
      <c r="J161" s="203">
        <f>J$158*'Methanol recycling rates'!L59</f>
        <v>530.5129183257817</v>
      </c>
      <c r="K161" s="203">
        <f>K$158*'Methanol recycling rates'!M59</f>
        <v>565.39188054585475</v>
      </c>
      <c r="L161" s="203">
        <f>L$158*'Methanol recycling rates'!N59</f>
        <v>599.11036399862235</v>
      </c>
      <c r="M161" s="203">
        <f>M$158*'Methanol recycling rates'!O59</f>
        <v>631.41837418197895</v>
      </c>
      <c r="N161" s="203">
        <f>N$158*'Methanol recycling rates'!P59</f>
        <v>652.83685423972349</v>
      </c>
      <c r="O161" s="203">
        <f>O$158*'Methanol recycling rates'!Q59</f>
        <v>672.33682420354512</v>
      </c>
      <c r="P161" s="203">
        <f>P$158*'Methanol recycling rates'!R59</f>
        <v>687.40866288468112</v>
      </c>
      <c r="Q161" s="203">
        <f>Q$158*'Methanol recycling rates'!S59</f>
        <v>700.13098477348126</v>
      </c>
      <c r="R161" s="203">
        <f>R$158*'Methanol recycling rates'!T59</f>
        <v>710.37402437222033</v>
      </c>
      <c r="S161" s="203">
        <f>S$158*'Methanol recycling rates'!U59</f>
        <v>718.01222058333008</v>
      </c>
      <c r="T161" s="203">
        <f>T$158*'Methanol recycling rates'!V59</f>
        <v>722.9242061627582</v>
      </c>
      <c r="U161" s="203">
        <f>U$158*'Methanol recycling rates'!W59</f>
        <v>724.992796908576</v>
      </c>
      <c r="V161" s="203">
        <f>V$158*'Methanol recycling rates'!X59</f>
        <v>724.10498058852556</v>
      </c>
      <c r="W161" s="203">
        <f>W$158*'Methanol recycling rates'!Y59</f>
        <v>720.15190561018085</v>
      </c>
      <c r="X161" s="203">
        <f>X$158*'Methanol recycling rates'!Z59</f>
        <v>721.63701585881074</v>
      </c>
      <c r="Y161" s="203">
        <f>Y$158*'Methanol recycling rates'!AA59</f>
        <v>719.22813072442557</v>
      </c>
      <c r="Z161" s="203">
        <f>Z$158*'Methanol recycling rates'!AB59</f>
        <v>706.63665190960751</v>
      </c>
      <c r="AA161" s="203">
        <f>AA$158*'Methanol recycling rates'!AC59</f>
        <v>689.84659043194665</v>
      </c>
      <c r="AB161" s="203">
        <f>AB$158*'Methanol recycling rates'!AD59</f>
        <v>668.81834058431025</v>
      </c>
      <c r="AC161" s="203">
        <f>AC$158*'Methanol recycling rates'!AE59</f>
        <v>643.52988660253743</v>
      </c>
      <c r="AD161" s="203">
        <f>AD$158*'Methanol recycling rates'!AF59</f>
        <v>613.97697552525779</v>
      </c>
      <c r="AE161" s="203">
        <f>AE$158*'Methanol recycling rates'!AG59</f>
        <v>580.17328506847298</v>
      </c>
      <c r="AF161" s="203">
        <f>AF$158*'Methanol recycling rates'!AH59</f>
        <v>542.15058656765723</v>
      </c>
      <c r="AG161" s="203">
        <f>AG$158*'Methanol recycling rates'!AI59</f>
        <v>499.95890303976086</v>
      </c>
      <c r="AH161" s="217"/>
      <c r="AI161" s="124"/>
      <c r="AJ161" s="185"/>
      <c r="AL161" s="100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s="1" customFormat="1" outlineLevel="1">
      <c r="A162" s="1" t="s">
        <v>1046</v>
      </c>
      <c r="B162" s="60"/>
      <c r="C162" s="250">
        <f>C158-$C158</f>
        <v>0</v>
      </c>
      <c r="D162" s="250">
        <f t="shared" ref="D162:AG162" si="95">D158-$C158</f>
        <v>35.937004554300017</v>
      </c>
      <c r="E162" s="250">
        <f t="shared" si="95"/>
        <v>72.585694979482582</v>
      </c>
      <c r="F162" s="250">
        <f t="shared" si="95"/>
        <v>109.67649883133669</v>
      </c>
      <c r="G162" s="250">
        <f t="shared" si="95"/>
        <v>146.94220170804476</v>
      </c>
      <c r="H162" s="250">
        <f t="shared" si="95"/>
        <v>184.11793427886823</v>
      </c>
      <c r="I162" s="250">
        <f t="shared" si="95"/>
        <v>220.94115937000583</v>
      </c>
      <c r="J162" s="250">
        <f t="shared" si="95"/>
        <v>257.1516591074062</v>
      </c>
      <c r="K162" s="250">
        <f t="shared" si="95"/>
        <v>292.49152211631474</v>
      </c>
      <c r="L162" s="250">
        <f t="shared" si="95"/>
        <v>326.70513077733551</v>
      </c>
      <c r="M162" s="250">
        <f t="shared" si="95"/>
        <v>359.53914853878837</v>
      </c>
      <c r="N162" s="250">
        <f t="shared" si="95"/>
        <v>381.45285323887254</v>
      </c>
      <c r="O162" s="250">
        <f t="shared" si="95"/>
        <v>401.45988912927157</v>
      </c>
      <c r="P162" s="250">
        <f t="shared" si="95"/>
        <v>417.02879857371408</v>
      </c>
      <c r="Q162" s="250">
        <f t="shared" si="95"/>
        <v>430.24719099597712</v>
      </c>
      <c r="R162" s="250">
        <f t="shared" si="95"/>
        <v>440.98017092813063</v>
      </c>
      <c r="S162" s="250">
        <f t="shared" si="95"/>
        <v>449.09677787398516</v>
      </c>
      <c r="T162" s="250">
        <f t="shared" si="95"/>
        <v>454.46998688997576</v>
      </c>
      <c r="U162" s="250">
        <f t="shared" si="95"/>
        <v>456.97670890056281</v>
      </c>
      <c r="V162" s="250">
        <f t="shared" si="95"/>
        <v>456.49779075081949</v>
      </c>
      <c r="W162" s="250">
        <f t="shared" si="95"/>
        <v>452.91801499887117</v>
      </c>
      <c r="X162" s="250">
        <f t="shared" si="95"/>
        <v>454.83766106021778</v>
      </c>
      <c r="Y162" s="250">
        <f t="shared" si="95"/>
        <v>452.81647258252201</v>
      </c>
      <c r="Z162" s="250">
        <f t="shared" si="95"/>
        <v>440.4762412367586</v>
      </c>
      <c r="AA162" s="250">
        <f t="shared" si="95"/>
        <v>423.86553867536679</v>
      </c>
      <c r="AB162" s="250">
        <f t="shared" si="95"/>
        <v>402.93684551298531</v>
      </c>
      <c r="AC162" s="250">
        <f t="shared" si="95"/>
        <v>377.66038563998995</v>
      </c>
      <c r="AD162" s="250">
        <f t="shared" si="95"/>
        <v>348.02435268903184</v>
      </c>
      <c r="AE162" s="250">
        <f t="shared" si="95"/>
        <v>314.03513221662831</v>
      </c>
      <c r="AF162" s="250">
        <f t="shared" si="95"/>
        <v>275.71751963620329</v>
      </c>
      <c r="AG162" s="250">
        <f t="shared" si="95"/>
        <v>233.1149339387627</v>
      </c>
      <c r="AH162" s="217"/>
      <c r="AI162" s="368"/>
      <c r="AJ162" s="369"/>
      <c r="AL162" s="194"/>
      <c r="AM162" s="116"/>
      <c r="AN162" s="116"/>
      <c r="AO162" s="116"/>
      <c r="BD162" s="116"/>
      <c r="BE162" s="116"/>
      <c r="BF162" s="116"/>
      <c r="BG162" s="116"/>
      <c r="BH162" s="116"/>
      <c r="BI162" s="116"/>
      <c r="BJ162" s="116"/>
      <c r="BK162" s="116"/>
    </row>
    <row r="163" spans="1:63" outlineLevel="1">
      <c r="A163" s="4" t="s">
        <v>35</v>
      </c>
      <c r="C163" s="203">
        <f t="shared" ref="C163" si="96">C159-$C159</f>
        <v>0</v>
      </c>
      <c r="D163" s="203">
        <f t="shared" ref="D163:AG163" si="97">D159-$C159</f>
        <v>0</v>
      </c>
      <c r="E163" s="203">
        <f t="shared" si="97"/>
        <v>0</v>
      </c>
      <c r="F163" s="203">
        <f t="shared" si="97"/>
        <v>0</v>
      </c>
      <c r="G163" s="203">
        <f t="shared" si="97"/>
        <v>0</v>
      </c>
      <c r="H163" s="203">
        <f t="shared" si="97"/>
        <v>0</v>
      </c>
      <c r="I163" s="203">
        <f t="shared" si="97"/>
        <v>0</v>
      </c>
      <c r="J163" s="203">
        <f t="shared" si="97"/>
        <v>0</v>
      </c>
      <c r="K163" s="203">
        <f t="shared" si="97"/>
        <v>0</v>
      </c>
      <c r="L163" s="203">
        <f t="shared" si="97"/>
        <v>0</v>
      </c>
      <c r="M163" s="203">
        <f t="shared" si="97"/>
        <v>0</v>
      </c>
      <c r="N163" s="203">
        <f t="shared" si="97"/>
        <v>0</v>
      </c>
      <c r="O163" s="203">
        <f t="shared" si="97"/>
        <v>0</v>
      </c>
      <c r="P163" s="203">
        <f t="shared" si="97"/>
        <v>0</v>
      </c>
      <c r="Q163" s="203">
        <f t="shared" si="97"/>
        <v>0</v>
      </c>
      <c r="R163" s="203">
        <f t="shared" si="97"/>
        <v>0</v>
      </c>
      <c r="S163" s="203">
        <f t="shared" si="97"/>
        <v>0</v>
      </c>
      <c r="T163" s="203">
        <f t="shared" si="97"/>
        <v>0</v>
      </c>
      <c r="U163" s="203">
        <f t="shared" si="97"/>
        <v>0</v>
      </c>
      <c r="V163" s="203">
        <f t="shared" si="97"/>
        <v>0</v>
      </c>
      <c r="W163" s="203">
        <f t="shared" si="97"/>
        <v>0</v>
      </c>
      <c r="X163" s="203">
        <f t="shared" si="97"/>
        <v>0</v>
      </c>
      <c r="Y163" s="203">
        <f t="shared" si="97"/>
        <v>0</v>
      </c>
      <c r="Z163" s="203">
        <f t="shared" si="97"/>
        <v>0</v>
      </c>
      <c r="AA163" s="203">
        <f t="shared" si="97"/>
        <v>0</v>
      </c>
      <c r="AB163" s="203">
        <f t="shared" si="97"/>
        <v>0</v>
      </c>
      <c r="AC163" s="203">
        <f t="shared" si="97"/>
        <v>0</v>
      </c>
      <c r="AD163" s="203">
        <f t="shared" si="97"/>
        <v>0</v>
      </c>
      <c r="AE163" s="203">
        <f t="shared" si="97"/>
        <v>0</v>
      </c>
      <c r="AF163" s="203">
        <f t="shared" si="97"/>
        <v>0</v>
      </c>
      <c r="AG163" s="203">
        <f t="shared" si="97"/>
        <v>0</v>
      </c>
      <c r="AH163" s="217"/>
      <c r="AI163" s="124"/>
      <c r="AJ163" s="185"/>
      <c r="AL163" s="100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outlineLevel="1">
      <c r="A164" s="4" t="s">
        <v>160</v>
      </c>
      <c r="C164" s="203">
        <f t="shared" ref="C164" si="98">C160-$C160</f>
        <v>0</v>
      </c>
      <c r="D164" s="203">
        <f t="shared" ref="D164:AG164" si="99">D160-$C160</f>
        <v>0.17603368587775081</v>
      </c>
      <c r="E164" s="203">
        <f t="shared" si="99"/>
        <v>0.39350143023382356</v>
      </c>
      <c r="F164" s="203">
        <f t="shared" si="99"/>
        <v>0.65315299602136478</v>
      </c>
      <c r="G164" s="203">
        <f t="shared" si="99"/>
        <v>0.95513393485485065</v>
      </c>
      <c r="H164" s="203">
        <f t="shared" si="99"/>
        <v>1.298992215201374</v>
      </c>
      <c r="I164" s="203">
        <f t="shared" si="99"/>
        <v>1.6836848067707506</v>
      </c>
      <c r="J164" s="203">
        <f t="shared" si="99"/>
        <v>2.1075842213298142</v>
      </c>
      <c r="K164" s="203">
        <f t="shared" si="99"/>
        <v>2.5684850101652716</v>
      </c>
      <c r="L164" s="203">
        <f t="shared" si="99"/>
        <v>3.0636102184185057</v>
      </c>
      <c r="M164" s="203">
        <f t="shared" si="99"/>
        <v>3.5896177965147062</v>
      </c>
      <c r="N164" s="203">
        <f t="shared" si="99"/>
        <v>4.0848424388543991</v>
      </c>
      <c r="O164" s="203">
        <f t="shared" si="99"/>
        <v>4.5919083654317969</v>
      </c>
      <c r="P164" s="203">
        <f t="shared" si="99"/>
        <v>5.0889791287383321</v>
      </c>
      <c r="Q164" s="203">
        <f t="shared" si="99"/>
        <v>5.58504966220121</v>
      </c>
      <c r="R164" s="203">
        <f t="shared" si="99"/>
        <v>6.074989995615609</v>
      </c>
      <c r="S164" s="203">
        <f t="shared" si="99"/>
        <v>6.5534007303604334</v>
      </c>
      <c r="T164" s="203">
        <f t="shared" si="99"/>
        <v>7.0146241669229186</v>
      </c>
      <c r="U164" s="203">
        <f t="shared" si="99"/>
        <v>7.4527554316920881</v>
      </c>
      <c r="V164" s="203">
        <f t="shared" si="99"/>
        <v>7.861653601999234</v>
      </c>
      <c r="W164" s="203">
        <f t="shared" si="99"/>
        <v>8.234952828395592</v>
      </c>
      <c r="X164" s="203">
        <f t="shared" si="99"/>
        <v>8.6694886411122933</v>
      </c>
      <c r="Y164" s="203">
        <f t="shared" si="99"/>
        <v>9.0571852978016949</v>
      </c>
      <c r="Z164" s="203">
        <f t="shared" si="99"/>
        <v>9.3084327668563773</v>
      </c>
      <c r="AA164" s="203">
        <f t="shared" si="99"/>
        <v>9.487791683125387</v>
      </c>
      <c r="AB164" s="203">
        <f t="shared" si="99"/>
        <v>9.5873483683803471</v>
      </c>
      <c r="AC164" s="203">
        <f t="shared" si="99"/>
        <v>9.5993424771578209</v>
      </c>
      <c r="AD164" s="203">
        <f t="shared" si="99"/>
        <v>9.5162206034793293</v>
      </c>
      <c r="AE164" s="203">
        <f t="shared" si="99"/>
        <v>9.3306905878606283</v>
      </c>
      <c r="AF164" s="203">
        <f t="shared" si="99"/>
        <v>9.0357765082513577</v>
      </c>
      <c r="AG164" s="203">
        <f t="shared" si="99"/>
        <v>8.6248743387071496</v>
      </c>
      <c r="AH164" s="217"/>
      <c r="AI164" s="124"/>
      <c r="AJ164" s="185"/>
      <c r="AL164" s="100"/>
      <c r="AM164" s="2"/>
      <c r="AN164" s="2"/>
      <c r="AO164" s="2"/>
      <c r="BC164" s="1"/>
      <c r="BD164" s="2"/>
      <c r="BE164" s="2"/>
      <c r="BF164" s="2"/>
      <c r="BG164" s="2"/>
      <c r="BH164" s="2"/>
      <c r="BI164" s="2"/>
      <c r="BJ164" s="2"/>
      <c r="BK164" s="2"/>
    </row>
    <row r="165" spans="1:63" outlineLevel="1">
      <c r="A165" s="4" t="s">
        <v>1040</v>
      </c>
      <c r="C165" s="203">
        <f t="shared" ref="C165" si="100">C161-$C161</f>
        <v>0</v>
      </c>
      <c r="D165" s="203">
        <f t="shared" ref="D165:AG165" si="101">D161-$C161</f>
        <v>35.760970868422248</v>
      </c>
      <c r="E165" s="203">
        <f t="shared" si="101"/>
        <v>72.192193549248771</v>
      </c>
      <c r="F165" s="203">
        <f t="shared" si="101"/>
        <v>109.0233458353153</v>
      </c>
      <c r="G165" s="203">
        <f t="shared" si="101"/>
        <v>145.98706777318989</v>
      </c>
      <c r="H165" s="203">
        <f t="shared" si="101"/>
        <v>182.81894206366684</v>
      </c>
      <c r="I165" s="203">
        <f t="shared" si="101"/>
        <v>219.25747456323506</v>
      </c>
      <c r="J165" s="203">
        <f t="shared" si="101"/>
        <v>255.04407488607637</v>
      </c>
      <c r="K165" s="203">
        <f t="shared" si="101"/>
        <v>289.92303710614942</v>
      </c>
      <c r="L165" s="203">
        <f t="shared" si="101"/>
        <v>323.64152055891702</v>
      </c>
      <c r="M165" s="203">
        <f t="shared" si="101"/>
        <v>355.94953074227362</v>
      </c>
      <c r="N165" s="203">
        <f t="shared" si="101"/>
        <v>377.36801080001817</v>
      </c>
      <c r="O165" s="203">
        <f t="shared" si="101"/>
        <v>396.8679807638398</v>
      </c>
      <c r="P165" s="203">
        <f t="shared" si="101"/>
        <v>411.9398194449758</v>
      </c>
      <c r="Q165" s="203">
        <f t="shared" si="101"/>
        <v>424.66214133377593</v>
      </c>
      <c r="R165" s="203">
        <f t="shared" si="101"/>
        <v>434.90518093251501</v>
      </c>
      <c r="S165" s="203">
        <f t="shared" si="101"/>
        <v>442.54337714362475</v>
      </c>
      <c r="T165" s="203">
        <f t="shared" si="101"/>
        <v>447.45536272305287</v>
      </c>
      <c r="U165" s="203">
        <f t="shared" si="101"/>
        <v>449.52395346887067</v>
      </c>
      <c r="V165" s="203">
        <f t="shared" si="101"/>
        <v>448.63613714882024</v>
      </c>
      <c r="W165" s="203">
        <f t="shared" si="101"/>
        <v>444.68306217047552</v>
      </c>
      <c r="X165" s="203">
        <f t="shared" si="101"/>
        <v>446.16817241910542</v>
      </c>
      <c r="Y165" s="203">
        <f t="shared" si="101"/>
        <v>443.75928728472024</v>
      </c>
      <c r="Z165" s="203">
        <f t="shared" si="101"/>
        <v>431.16780846990218</v>
      </c>
      <c r="AA165" s="203">
        <f t="shared" si="101"/>
        <v>414.37774699224133</v>
      </c>
      <c r="AB165" s="203">
        <f t="shared" si="101"/>
        <v>393.34949714460492</v>
      </c>
      <c r="AC165" s="203">
        <f t="shared" si="101"/>
        <v>368.06104316283211</v>
      </c>
      <c r="AD165" s="203">
        <f t="shared" si="101"/>
        <v>338.50813208555246</v>
      </c>
      <c r="AE165" s="203">
        <f t="shared" si="101"/>
        <v>304.70444162876765</v>
      </c>
      <c r="AF165" s="203">
        <f t="shared" si="101"/>
        <v>266.6817431279519</v>
      </c>
      <c r="AG165" s="203">
        <f t="shared" si="101"/>
        <v>224.49005960005553</v>
      </c>
      <c r="AH165" s="217"/>
      <c r="AI165" s="124"/>
      <c r="AJ165" s="185"/>
      <c r="AL165" s="100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C166" s="10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J166" s="185"/>
      <c r="AM166" s="115"/>
      <c r="AN166" s="115"/>
    </row>
    <row r="167" spans="1:63" s="174" customFormat="1" ht="15.5" thickBot="1">
      <c r="A167" s="174" t="s">
        <v>432</v>
      </c>
      <c r="B167" s="189"/>
      <c r="C167" s="197">
        <f>C168</f>
        <v>0</v>
      </c>
      <c r="D167" s="197">
        <f t="shared" ref="D167:AG167" si="102">D168</f>
        <v>2.2181718165435932E-2</v>
      </c>
      <c r="E167" s="197">
        <f t="shared" si="102"/>
        <v>4.4363436330871864E-2</v>
      </c>
      <c r="F167" s="197">
        <f t="shared" si="102"/>
        <v>6.6545154496307796E-2</v>
      </c>
      <c r="G167" s="197">
        <f t="shared" si="102"/>
        <v>8.8726872661743728E-2</v>
      </c>
      <c r="H167" s="197">
        <f t="shared" si="102"/>
        <v>0.11090859082717966</v>
      </c>
      <c r="I167" s="197">
        <f t="shared" si="102"/>
        <v>0.13309030899261559</v>
      </c>
      <c r="J167" s="197">
        <f t="shared" si="102"/>
        <v>0.15527202715805152</v>
      </c>
      <c r="K167" s="197">
        <f t="shared" si="102"/>
        <v>0.17745374532348746</v>
      </c>
      <c r="L167" s="197">
        <f t="shared" si="102"/>
        <v>0.19963546348892339</v>
      </c>
      <c r="M167" s="197">
        <f t="shared" si="102"/>
        <v>0.22181718165435932</v>
      </c>
      <c r="N167" s="197">
        <f t="shared" si="102"/>
        <v>0.23671946463689028</v>
      </c>
      <c r="O167" s="197">
        <f t="shared" si="102"/>
        <v>0.25162174761942124</v>
      </c>
      <c r="P167" s="197">
        <f t="shared" si="102"/>
        <v>0.26652403060195223</v>
      </c>
      <c r="Q167" s="197">
        <f t="shared" si="102"/>
        <v>0.28142631358448317</v>
      </c>
      <c r="R167" s="197">
        <f t="shared" si="102"/>
        <v>0.29632859656701416</v>
      </c>
      <c r="S167" s="197">
        <f t="shared" si="102"/>
        <v>0.31123087954954509</v>
      </c>
      <c r="T167" s="197">
        <f t="shared" si="102"/>
        <v>0.32613316253207608</v>
      </c>
      <c r="U167" s="197">
        <f t="shared" si="102"/>
        <v>0.34103544551460707</v>
      </c>
      <c r="V167" s="197">
        <f t="shared" si="102"/>
        <v>0.35593772849713801</v>
      </c>
      <c r="W167" s="197">
        <f t="shared" si="102"/>
        <v>0.370840011479669</v>
      </c>
      <c r="X167" s="197">
        <f t="shared" si="102"/>
        <v>0.3937560103317021</v>
      </c>
      <c r="Y167" s="197">
        <f t="shared" si="102"/>
        <v>0.4166720091837352</v>
      </c>
      <c r="Z167" s="197">
        <f t="shared" si="102"/>
        <v>0.43958800803576825</v>
      </c>
      <c r="AA167" s="197">
        <f t="shared" si="102"/>
        <v>0.46250400688780136</v>
      </c>
      <c r="AB167" s="197">
        <f t="shared" si="102"/>
        <v>0.48542000573983446</v>
      </c>
      <c r="AC167" s="197">
        <f t="shared" si="102"/>
        <v>0.50833600459186756</v>
      </c>
      <c r="AD167" s="197">
        <f t="shared" si="102"/>
        <v>0.53125200344390067</v>
      </c>
      <c r="AE167" s="197">
        <f t="shared" si="102"/>
        <v>0.55416800229593377</v>
      </c>
      <c r="AF167" s="197">
        <f t="shared" si="102"/>
        <v>0.57708400114796687</v>
      </c>
      <c r="AG167" s="197">
        <f t="shared" si="102"/>
        <v>0.6</v>
      </c>
      <c r="AJ167" s="204" t="s">
        <v>456</v>
      </c>
      <c r="AL167" s="191"/>
      <c r="AM167" s="198"/>
      <c r="AN167" s="198"/>
      <c r="AO167" s="198"/>
    </row>
    <row r="168" spans="1:63" ht="15.5" outlineLevel="1" thickTop="1">
      <c r="A168" t="s">
        <v>433</v>
      </c>
      <c r="B168" s="50" t="s">
        <v>126</v>
      </c>
      <c r="C168" s="558">
        <f>'Ethylene Recycling HC'!C153</f>
        <v>0</v>
      </c>
      <c r="D168" s="102">
        <f>'Ethylene Recycling HC'!D153</f>
        <v>2.2181718165435932E-2</v>
      </c>
      <c r="E168" s="102">
        <f>'Ethylene Recycling HC'!E153</f>
        <v>4.4363436330871864E-2</v>
      </c>
      <c r="F168" s="102">
        <f>'Ethylene Recycling HC'!F153</f>
        <v>6.6545154496307796E-2</v>
      </c>
      <c r="G168" s="102">
        <f>'Ethylene Recycling HC'!G153</f>
        <v>8.8726872661743728E-2</v>
      </c>
      <c r="H168" s="102">
        <f>'Ethylene Recycling HC'!H153</f>
        <v>0.11090859082717966</v>
      </c>
      <c r="I168" s="102">
        <f>'Ethylene Recycling HC'!I153</f>
        <v>0.13309030899261559</v>
      </c>
      <c r="J168" s="102">
        <f>'Ethylene Recycling HC'!J153</f>
        <v>0.15527202715805152</v>
      </c>
      <c r="K168" s="102">
        <f>'Ethylene Recycling HC'!K153</f>
        <v>0.17745374532348746</v>
      </c>
      <c r="L168" s="102">
        <f>'Ethylene Recycling HC'!L153</f>
        <v>0.19963546348892339</v>
      </c>
      <c r="M168" s="113">
        <f>'Ethylene Recycling HC'!M153</f>
        <v>0.22181718165435932</v>
      </c>
      <c r="N168" s="113">
        <f>'Ethylene Recycling HC'!N153</f>
        <v>0.23671946463689028</v>
      </c>
      <c r="O168" s="113">
        <f>'Ethylene Recycling HC'!O153</f>
        <v>0.25162174761942124</v>
      </c>
      <c r="P168" s="113">
        <f>'Ethylene Recycling HC'!P153</f>
        <v>0.26652403060195223</v>
      </c>
      <c r="Q168" s="113">
        <f>'Ethylene Recycling HC'!Q153</f>
        <v>0.28142631358448317</v>
      </c>
      <c r="R168" s="113">
        <f>'Ethylene Recycling HC'!R153</f>
        <v>0.29632859656701416</v>
      </c>
      <c r="S168" s="113">
        <f>'Ethylene Recycling HC'!S153</f>
        <v>0.31123087954954509</v>
      </c>
      <c r="T168" s="113">
        <f>'Ethylene Recycling HC'!T153</f>
        <v>0.32613316253207608</v>
      </c>
      <c r="U168" s="113">
        <f>'Ethylene Recycling HC'!U153</f>
        <v>0.34103544551460707</v>
      </c>
      <c r="V168" s="113">
        <f>'Ethylene Recycling HC'!V153</f>
        <v>0.35593772849713801</v>
      </c>
      <c r="W168" s="113">
        <f>'Ethylene Recycling HC'!W153</f>
        <v>0.370840011479669</v>
      </c>
      <c r="X168" s="102">
        <f>'Ethylene Recycling HC'!X153</f>
        <v>0.3937560103317021</v>
      </c>
      <c r="Y168" s="102">
        <f>'Ethylene Recycling HC'!Y153</f>
        <v>0.4166720091837352</v>
      </c>
      <c r="Z168" s="102">
        <f>'Ethylene Recycling HC'!Z153</f>
        <v>0.43958800803576825</v>
      </c>
      <c r="AA168" s="102">
        <f>'Ethylene Recycling HC'!AA153</f>
        <v>0.46250400688780136</v>
      </c>
      <c r="AB168" s="102">
        <f>'Ethylene Recycling HC'!AB153</f>
        <v>0.48542000573983446</v>
      </c>
      <c r="AC168" s="102">
        <f>'Ethylene Recycling HC'!AC153</f>
        <v>0.50833600459186756</v>
      </c>
      <c r="AD168" s="102">
        <f>'Ethylene Recycling HC'!AD153</f>
        <v>0.53125200344390067</v>
      </c>
      <c r="AE168" s="102">
        <f>'Ethylene Recycling HC'!AE153</f>
        <v>0.55416800229593377</v>
      </c>
      <c r="AF168" s="102">
        <f>'Ethylene Recycling HC'!AF153</f>
        <v>0.57708400114796687</v>
      </c>
      <c r="AG168" s="558">
        <f>'Ethylene Recycling HC'!AG153</f>
        <v>0.6</v>
      </c>
      <c r="AJ168" s="185" t="s">
        <v>1469</v>
      </c>
    </row>
    <row r="169" spans="1:63" outlineLevel="1">
      <c r="A169" t="s">
        <v>434</v>
      </c>
      <c r="B169" s="50" t="s">
        <v>126</v>
      </c>
      <c r="C169" s="188">
        <v>0.05</v>
      </c>
      <c r="D169" s="102">
        <f t="shared" ref="D169:AF169" si="103">C169-($C$169-$AG$169)/($AG$1-$C$1)</f>
        <v>5.8333333333333334E-2</v>
      </c>
      <c r="E169" s="102">
        <f t="shared" si="103"/>
        <v>6.6666666666666666E-2</v>
      </c>
      <c r="F169" s="102">
        <f t="shared" si="103"/>
        <v>7.4999999999999997E-2</v>
      </c>
      <c r="G169" s="102">
        <f t="shared" si="103"/>
        <v>8.3333333333333329E-2</v>
      </c>
      <c r="H169" s="102">
        <f t="shared" si="103"/>
        <v>9.166666666666666E-2</v>
      </c>
      <c r="I169" s="102">
        <f t="shared" si="103"/>
        <v>9.9999999999999992E-2</v>
      </c>
      <c r="J169" s="102">
        <f t="shared" si="103"/>
        <v>0.10833333333333332</v>
      </c>
      <c r="K169" s="102">
        <f t="shared" si="103"/>
        <v>0.11666666666666665</v>
      </c>
      <c r="L169" s="102">
        <f t="shared" si="103"/>
        <v>0.12499999999999999</v>
      </c>
      <c r="M169" s="102">
        <f t="shared" si="103"/>
        <v>0.13333333333333333</v>
      </c>
      <c r="N169" s="102">
        <f t="shared" si="103"/>
        <v>0.14166666666666666</v>
      </c>
      <c r="O169" s="102">
        <f t="shared" si="103"/>
        <v>0.15</v>
      </c>
      <c r="P169" s="102">
        <f t="shared" si="103"/>
        <v>0.15833333333333333</v>
      </c>
      <c r="Q169" s="102">
        <f t="shared" si="103"/>
        <v>0.16666666666666666</v>
      </c>
      <c r="R169" s="102">
        <f t="shared" si="103"/>
        <v>0.17499999999999999</v>
      </c>
      <c r="S169" s="102">
        <f t="shared" si="103"/>
        <v>0.18333333333333332</v>
      </c>
      <c r="T169" s="102">
        <f t="shared" si="103"/>
        <v>0.19166666666666665</v>
      </c>
      <c r="U169" s="102">
        <f t="shared" si="103"/>
        <v>0.19999999999999998</v>
      </c>
      <c r="V169" s="102">
        <f t="shared" si="103"/>
        <v>0.20833333333333331</v>
      </c>
      <c r="W169" s="102">
        <f t="shared" si="103"/>
        <v>0.21666666666666665</v>
      </c>
      <c r="X169" s="102">
        <f t="shared" si="103"/>
        <v>0.22499999999999998</v>
      </c>
      <c r="Y169" s="102">
        <f t="shared" si="103"/>
        <v>0.23333333333333331</v>
      </c>
      <c r="Z169" s="102">
        <f t="shared" si="103"/>
        <v>0.24166666666666664</v>
      </c>
      <c r="AA169" s="102">
        <f t="shared" si="103"/>
        <v>0.24999999999999997</v>
      </c>
      <c r="AB169" s="102">
        <f t="shared" si="103"/>
        <v>0.2583333333333333</v>
      </c>
      <c r="AC169" s="102">
        <f t="shared" si="103"/>
        <v>0.26666666666666666</v>
      </c>
      <c r="AD169" s="102">
        <f t="shared" si="103"/>
        <v>0.27500000000000002</v>
      </c>
      <c r="AE169" s="102">
        <f t="shared" si="103"/>
        <v>0.28333333333333338</v>
      </c>
      <c r="AF169" s="102">
        <f t="shared" si="103"/>
        <v>0.29166666666666674</v>
      </c>
      <c r="AG169" s="188">
        <v>0.3</v>
      </c>
      <c r="AI169" s="126"/>
      <c r="AJ169" s="185" t="s">
        <v>568</v>
      </c>
      <c r="AM169" s="115"/>
      <c r="AN169" s="115"/>
    </row>
    <row r="170" spans="1:63" ht="14.5" customHeight="1" outlineLevel="1">
      <c r="A170" t="s">
        <v>435</v>
      </c>
      <c r="B170" s="156" t="s">
        <v>126</v>
      </c>
      <c r="C170" s="102">
        <f>1-C169</f>
        <v>0.95</v>
      </c>
      <c r="D170" s="102">
        <f t="shared" ref="D170:AG170" si="104">1-D169</f>
        <v>0.94166666666666665</v>
      </c>
      <c r="E170" s="102">
        <f t="shared" si="104"/>
        <v>0.93333333333333335</v>
      </c>
      <c r="F170" s="102">
        <f t="shared" si="104"/>
        <v>0.92500000000000004</v>
      </c>
      <c r="G170" s="102">
        <f t="shared" si="104"/>
        <v>0.91666666666666663</v>
      </c>
      <c r="H170" s="102">
        <f t="shared" si="104"/>
        <v>0.90833333333333333</v>
      </c>
      <c r="I170" s="102">
        <f t="shared" si="104"/>
        <v>0.9</v>
      </c>
      <c r="J170" s="102">
        <f t="shared" si="104"/>
        <v>0.89166666666666672</v>
      </c>
      <c r="K170" s="102">
        <f t="shared" si="104"/>
        <v>0.8833333333333333</v>
      </c>
      <c r="L170" s="102">
        <f t="shared" si="104"/>
        <v>0.875</v>
      </c>
      <c r="M170" s="102">
        <f t="shared" si="104"/>
        <v>0.8666666666666667</v>
      </c>
      <c r="N170" s="102">
        <f t="shared" si="104"/>
        <v>0.85833333333333339</v>
      </c>
      <c r="O170" s="102">
        <f t="shared" si="104"/>
        <v>0.85</v>
      </c>
      <c r="P170" s="102">
        <f t="shared" si="104"/>
        <v>0.84166666666666667</v>
      </c>
      <c r="Q170" s="102">
        <f t="shared" si="104"/>
        <v>0.83333333333333337</v>
      </c>
      <c r="R170" s="102">
        <f t="shared" si="104"/>
        <v>0.82499999999999996</v>
      </c>
      <c r="S170" s="102">
        <f t="shared" si="104"/>
        <v>0.81666666666666665</v>
      </c>
      <c r="T170" s="102">
        <f t="shared" si="104"/>
        <v>0.80833333333333335</v>
      </c>
      <c r="U170" s="102">
        <f t="shared" si="104"/>
        <v>0.8</v>
      </c>
      <c r="V170" s="102">
        <f t="shared" si="104"/>
        <v>0.79166666666666674</v>
      </c>
      <c r="W170" s="102">
        <f t="shared" si="104"/>
        <v>0.78333333333333333</v>
      </c>
      <c r="X170" s="102">
        <f t="shared" si="104"/>
        <v>0.77500000000000002</v>
      </c>
      <c r="Y170" s="102">
        <f t="shared" si="104"/>
        <v>0.76666666666666672</v>
      </c>
      <c r="Z170" s="102">
        <f t="shared" si="104"/>
        <v>0.7583333333333333</v>
      </c>
      <c r="AA170" s="102">
        <f t="shared" si="104"/>
        <v>0.75</v>
      </c>
      <c r="AB170" s="102">
        <f t="shared" si="104"/>
        <v>0.7416666666666667</v>
      </c>
      <c r="AC170" s="102">
        <f t="shared" si="104"/>
        <v>0.73333333333333339</v>
      </c>
      <c r="AD170" s="102">
        <f t="shared" si="104"/>
        <v>0.72499999999999998</v>
      </c>
      <c r="AE170" s="102">
        <f t="shared" si="104"/>
        <v>0.71666666666666656</v>
      </c>
      <c r="AF170" s="102">
        <f t="shared" si="104"/>
        <v>0.70833333333333326</v>
      </c>
      <c r="AG170" s="102">
        <f t="shared" si="104"/>
        <v>0.7</v>
      </c>
      <c r="AI170" s="126" t="s">
        <v>289</v>
      </c>
      <c r="AJ170" s="185"/>
    </row>
    <row r="171" spans="1:63" outlineLevel="1">
      <c r="A171" t="s">
        <v>436</v>
      </c>
      <c r="B171" s="50" t="s">
        <v>126</v>
      </c>
      <c r="C171" s="102">
        <f>C168*C169</f>
        <v>0</v>
      </c>
      <c r="D171" s="102">
        <f t="shared" ref="D171:AG171" si="105">D168*D169</f>
        <v>1.2939335596504294E-3</v>
      </c>
      <c r="E171" s="102">
        <f t="shared" si="105"/>
        <v>2.9575624220581241E-3</v>
      </c>
      <c r="F171" s="102">
        <f t="shared" si="105"/>
        <v>4.9908865872230843E-3</v>
      </c>
      <c r="G171" s="102">
        <f t="shared" si="105"/>
        <v>7.3939060551453106E-3</v>
      </c>
      <c r="H171" s="102">
        <f t="shared" si="105"/>
        <v>1.0166620825824802E-2</v>
      </c>
      <c r="I171" s="102">
        <f t="shared" si="105"/>
        <v>1.3309030899261559E-2</v>
      </c>
      <c r="J171" s="102">
        <f t="shared" si="105"/>
        <v>1.6821136275455579E-2</v>
      </c>
      <c r="K171" s="102">
        <f t="shared" si="105"/>
        <v>2.0702936954406868E-2</v>
      </c>
      <c r="L171" s="102">
        <f t="shared" si="105"/>
        <v>2.495443293611542E-2</v>
      </c>
      <c r="M171" s="102">
        <f t="shared" si="105"/>
        <v>2.9575624220581243E-2</v>
      </c>
      <c r="N171" s="102">
        <f t="shared" si="105"/>
        <v>3.3535257490226122E-2</v>
      </c>
      <c r="O171" s="102">
        <f t="shared" si="105"/>
        <v>3.7743262142913188E-2</v>
      </c>
      <c r="P171" s="102">
        <f t="shared" si="105"/>
        <v>4.2199638178642432E-2</v>
      </c>
      <c r="Q171" s="102">
        <f t="shared" si="105"/>
        <v>4.6904385597413861E-2</v>
      </c>
      <c r="R171" s="102">
        <f t="shared" si="105"/>
        <v>5.1857504399227476E-2</v>
      </c>
      <c r="S171" s="102">
        <f t="shared" si="105"/>
        <v>5.7058994584083263E-2</v>
      </c>
      <c r="T171" s="102">
        <f t="shared" si="105"/>
        <v>6.2508856151981249E-2</v>
      </c>
      <c r="U171" s="102">
        <f t="shared" si="105"/>
        <v>6.8207089102921406E-2</v>
      </c>
      <c r="V171" s="102">
        <f t="shared" si="105"/>
        <v>7.4153693436903742E-2</v>
      </c>
      <c r="W171" s="102">
        <f t="shared" si="105"/>
        <v>8.034866915392827E-2</v>
      </c>
      <c r="X171" s="102">
        <f t="shared" si="105"/>
        <v>8.8595102324632968E-2</v>
      </c>
      <c r="Y171" s="102">
        <f t="shared" si="105"/>
        <v>9.7223468809538208E-2</v>
      </c>
      <c r="Z171" s="102">
        <f t="shared" si="105"/>
        <v>0.10623376860864399</v>
      </c>
      <c r="AA171" s="102">
        <f t="shared" si="105"/>
        <v>0.11562600172195032</v>
      </c>
      <c r="AB171" s="102">
        <f t="shared" si="105"/>
        <v>0.12540016814945723</v>
      </c>
      <c r="AC171" s="102">
        <f t="shared" si="105"/>
        <v>0.13555626789116468</v>
      </c>
      <c r="AD171" s="102">
        <f t="shared" si="105"/>
        <v>0.14609430094707271</v>
      </c>
      <c r="AE171" s="102">
        <f t="shared" si="105"/>
        <v>0.15701426731718127</v>
      </c>
      <c r="AF171" s="102">
        <f t="shared" si="105"/>
        <v>0.16831616700149038</v>
      </c>
      <c r="AG171" s="102">
        <f t="shared" si="105"/>
        <v>0.18</v>
      </c>
      <c r="AI171" s="125"/>
      <c r="AJ171" s="185"/>
      <c r="BD171" s="177"/>
      <c r="BE171" s="177"/>
    </row>
    <row r="172" spans="1:63" outlineLevel="1">
      <c r="A172" t="s">
        <v>437</v>
      </c>
      <c r="B172" s="50" t="s">
        <v>126</v>
      </c>
      <c r="C172" s="102">
        <f>C168*C170</f>
        <v>0</v>
      </c>
      <c r="D172" s="102">
        <f t="shared" ref="D172:AG172" si="106">D168*D170</f>
        <v>2.0887784605785501E-2</v>
      </c>
      <c r="E172" s="102">
        <f t="shared" si="106"/>
        <v>4.1405873908813742E-2</v>
      </c>
      <c r="F172" s="102">
        <f t="shared" si="106"/>
        <v>6.1554267909084713E-2</v>
      </c>
      <c r="G172" s="102">
        <f t="shared" si="106"/>
        <v>8.1332966606598417E-2</v>
      </c>
      <c r="H172" s="102">
        <f t="shared" si="106"/>
        <v>0.10074197000135486</v>
      </c>
      <c r="I172" s="102">
        <f t="shared" si="106"/>
        <v>0.11978127809335404</v>
      </c>
      <c r="J172" s="102">
        <f t="shared" si="106"/>
        <v>0.13845089088259596</v>
      </c>
      <c r="K172" s="102">
        <f t="shared" si="106"/>
        <v>0.15675080836908059</v>
      </c>
      <c r="L172" s="102">
        <f t="shared" si="106"/>
        <v>0.17468103055280795</v>
      </c>
      <c r="M172" s="102">
        <f t="shared" si="106"/>
        <v>0.19224155743377808</v>
      </c>
      <c r="N172" s="102">
        <f t="shared" si="106"/>
        <v>0.20318420714666416</v>
      </c>
      <c r="O172" s="102">
        <f t="shared" si="106"/>
        <v>0.21387848547650806</v>
      </c>
      <c r="P172" s="102">
        <f t="shared" si="106"/>
        <v>0.22432439242330979</v>
      </c>
      <c r="Q172" s="102">
        <f t="shared" si="106"/>
        <v>0.23452192798706931</v>
      </c>
      <c r="R172" s="102">
        <f t="shared" si="106"/>
        <v>0.24447109216778667</v>
      </c>
      <c r="S172" s="102">
        <f t="shared" si="106"/>
        <v>0.25417188496546184</v>
      </c>
      <c r="T172" s="102">
        <f t="shared" si="106"/>
        <v>0.26362430638009482</v>
      </c>
      <c r="U172" s="102">
        <f t="shared" si="106"/>
        <v>0.27282835641168568</v>
      </c>
      <c r="V172" s="102">
        <f t="shared" si="106"/>
        <v>0.28178403506023431</v>
      </c>
      <c r="W172" s="102">
        <f t="shared" si="106"/>
        <v>0.2904913423257407</v>
      </c>
      <c r="X172" s="102">
        <f t="shared" si="106"/>
        <v>0.30516090800706913</v>
      </c>
      <c r="Y172" s="102">
        <f t="shared" si="106"/>
        <v>0.31944854037419701</v>
      </c>
      <c r="Z172" s="102">
        <f t="shared" si="106"/>
        <v>0.33335423942712422</v>
      </c>
      <c r="AA172" s="102">
        <f t="shared" si="106"/>
        <v>0.34687800516585099</v>
      </c>
      <c r="AB172" s="102">
        <f t="shared" si="106"/>
        <v>0.36001983759037726</v>
      </c>
      <c r="AC172" s="102">
        <f t="shared" si="106"/>
        <v>0.37277973670070291</v>
      </c>
      <c r="AD172" s="102">
        <f t="shared" si="106"/>
        <v>0.38515770249682796</v>
      </c>
      <c r="AE172" s="102">
        <f t="shared" si="106"/>
        <v>0.3971537349787525</v>
      </c>
      <c r="AF172" s="102">
        <f t="shared" si="106"/>
        <v>0.40876783414647649</v>
      </c>
      <c r="AG172" s="102">
        <f t="shared" si="106"/>
        <v>0.42</v>
      </c>
      <c r="AI172" s="125"/>
      <c r="AJ172" s="185"/>
      <c r="BD172" s="177"/>
      <c r="BE172" s="177"/>
    </row>
    <row r="173" spans="1:63" outlineLevel="1">
      <c r="C173" s="10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J173" s="185"/>
    </row>
    <row r="174" spans="1:63" outlineLevel="1">
      <c r="A174" t="s">
        <v>422</v>
      </c>
      <c r="B174" s="50" t="s">
        <v>126</v>
      </c>
      <c r="C174" s="188">
        <v>0.5</v>
      </c>
      <c r="D174" s="102">
        <f>C174</f>
        <v>0.5</v>
      </c>
      <c r="E174" s="102">
        <f t="shared" ref="E174:AG174" si="107">D174</f>
        <v>0.5</v>
      </c>
      <c r="F174" s="102">
        <f t="shared" si="107"/>
        <v>0.5</v>
      </c>
      <c r="G174" s="102">
        <f t="shared" si="107"/>
        <v>0.5</v>
      </c>
      <c r="H174" s="102">
        <f t="shared" si="107"/>
        <v>0.5</v>
      </c>
      <c r="I174" s="102">
        <f t="shared" si="107"/>
        <v>0.5</v>
      </c>
      <c r="J174" s="102">
        <f t="shared" si="107"/>
        <v>0.5</v>
      </c>
      <c r="K174" s="102">
        <f t="shared" si="107"/>
        <v>0.5</v>
      </c>
      <c r="L174" s="102">
        <f t="shared" si="107"/>
        <v>0.5</v>
      </c>
      <c r="M174" s="102">
        <f t="shared" si="107"/>
        <v>0.5</v>
      </c>
      <c r="N174" s="102">
        <f t="shared" si="107"/>
        <v>0.5</v>
      </c>
      <c r="O174" s="102">
        <f t="shared" si="107"/>
        <v>0.5</v>
      </c>
      <c r="P174" s="102">
        <f t="shared" si="107"/>
        <v>0.5</v>
      </c>
      <c r="Q174" s="102">
        <f t="shared" si="107"/>
        <v>0.5</v>
      </c>
      <c r="R174" s="102">
        <f t="shared" si="107"/>
        <v>0.5</v>
      </c>
      <c r="S174" s="102">
        <f t="shared" si="107"/>
        <v>0.5</v>
      </c>
      <c r="T174" s="102">
        <f t="shared" si="107"/>
        <v>0.5</v>
      </c>
      <c r="U174" s="102">
        <f t="shared" si="107"/>
        <v>0.5</v>
      </c>
      <c r="V174" s="102">
        <f t="shared" si="107"/>
        <v>0.5</v>
      </c>
      <c r="W174" s="102">
        <f t="shared" si="107"/>
        <v>0.5</v>
      </c>
      <c r="X174" s="102">
        <f t="shared" si="107"/>
        <v>0.5</v>
      </c>
      <c r="Y174" s="102">
        <f t="shared" si="107"/>
        <v>0.5</v>
      </c>
      <c r="Z174" s="102">
        <f t="shared" si="107"/>
        <v>0.5</v>
      </c>
      <c r="AA174" s="102">
        <f t="shared" si="107"/>
        <v>0.5</v>
      </c>
      <c r="AB174" s="102">
        <f t="shared" si="107"/>
        <v>0.5</v>
      </c>
      <c r="AC174" s="102">
        <f t="shared" si="107"/>
        <v>0.5</v>
      </c>
      <c r="AD174" s="102">
        <f t="shared" si="107"/>
        <v>0.5</v>
      </c>
      <c r="AE174" s="102">
        <f t="shared" si="107"/>
        <v>0.5</v>
      </c>
      <c r="AF174" s="102">
        <f t="shared" si="107"/>
        <v>0.5</v>
      </c>
      <c r="AG174" s="102">
        <f t="shared" si="107"/>
        <v>0.5</v>
      </c>
      <c r="AI174" s="50"/>
      <c r="AJ174" s="185" t="s">
        <v>445</v>
      </c>
    </row>
    <row r="175" spans="1:63" outlineLevel="1">
      <c r="A175" t="s">
        <v>430</v>
      </c>
      <c r="B175" s="50" t="s">
        <v>126</v>
      </c>
      <c r="C175" s="113">
        <f>1-C174</f>
        <v>0.5</v>
      </c>
      <c r="D175" s="102">
        <f t="shared" ref="D175:AG175" si="108">C175</f>
        <v>0.5</v>
      </c>
      <c r="E175" s="102">
        <f t="shared" si="108"/>
        <v>0.5</v>
      </c>
      <c r="F175" s="102">
        <f t="shared" si="108"/>
        <v>0.5</v>
      </c>
      <c r="G175" s="102">
        <f t="shared" si="108"/>
        <v>0.5</v>
      </c>
      <c r="H175" s="102">
        <f t="shared" si="108"/>
        <v>0.5</v>
      </c>
      <c r="I175" s="102">
        <f t="shared" si="108"/>
        <v>0.5</v>
      </c>
      <c r="J175" s="102">
        <f t="shared" si="108"/>
        <v>0.5</v>
      </c>
      <c r="K175" s="102">
        <f t="shared" si="108"/>
        <v>0.5</v>
      </c>
      <c r="L175" s="102">
        <f t="shared" si="108"/>
        <v>0.5</v>
      </c>
      <c r="M175" s="102">
        <f t="shared" si="108"/>
        <v>0.5</v>
      </c>
      <c r="N175" s="102">
        <f t="shared" si="108"/>
        <v>0.5</v>
      </c>
      <c r="O175" s="102">
        <f t="shared" si="108"/>
        <v>0.5</v>
      </c>
      <c r="P175" s="102">
        <f t="shared" si="108"/>
        <v>0.5</v>
      </c>
      <c r="Q175" s="102">
        <f t="shared" si="108"/>
        <v>0.5</v>
      </c>
      <c r="R175" s="102">
        <f t="shared" si="108"/>
        <v>0.5</v>
      </c>
      <c r="S175" s="102">
        <f t="shared" si="108"/>
        <v>0.5</v>
      </c>
      <c r="T175" s="102">
        <f t="shared" si="108"/>
        <v>0.5</v>
      </c>
      <c r="U175" s="102">
        <f t="shared" si="108"/>
        <v>0.5</v>
      </c>
      <c r="V175" s="102">
        <f t="shared" si="108"/>
        <v>0.5</v>
      </c>
      <c r="W175" s="102">
        <f t="shared" si="108"/>
        <v>0.5</v>
      </c>
      <c r="X175" s="102">
        <f t="shared" si="108"/>
        <v>0.5</v>
      </c>
      <c r="Y175" s="102">
        <f t="shared" si="108"/>
        <v>0.5</v>
      </c>
      <c r="Z175" s="102">
        <f t="shared" si="108"/>
        <v>0.5</v>
      </c>
      <c r="AA175" s="102">
        <f t="shared" si="108"/>
        <v>0.5</v>
      </c>
      <c r="AB175" s="102">
        <f t="shared" si="108"/>
        <v>0.5</v>
      </c>
      <c r="AC175" s="102">
        <f t="shared" si="108"/>
        <v>0.5</v>
      </c>
      <c r="AD175" s="102">
        <f t="shared" si="108"/>
        <v>0.5</v>
      </c>
      <c r="AE175" s="102">
        <f t="shared" si="108"/>
        <v>0.5</v>
      </c>
      <c r="AF175" s="102">
        <f t="shared" si="108"/>
        <v>0.5</v>
      </c>
      <c r="AG175" s="102">
        <f t="shared" si="108"/>
        <v>0.5</v>
      </c>
      <c r="AJ175" s="196"/>
    </row>
    <row r="176" spans="1:63" outlineLevel="1">
      <c r="A176" t="s">
        <v>418</v>
      </c>
      <c r="B176" s="50" t="s">
        <v>126</v>
      </c>
      <c r="C176" s="102">
        <f t="shared" ref="C176:AG176" si="109">SUM(C174:C175)</f>
        <v>1</v>
      </c>
      <c r="D176" s="102">
        <f t="shared" si="109"/>
        <v>1</v>
      </c>
      <c r="E176" s="102">
        <f t="shared" si="109"/>
        <v>1</v>
      </c>
      <c r="F176" s="102">
        <f t="shared" si="109"/>
        <v>1</v>
      </c>
      <c r="G176" s="102">
        <f t="shared" si="109"/>
        <v>1</v>
      </c>
      <c r="H176" s="102">
        <f t="shared" si="109"/>
        <v>1</v>
      </c>
      <c r="I176" s="102">
        <f t="shared" si="109"/>
        <v>1</v>
      </c>
      <c r="J176" s="102">
        <f t="shared" si="109"/>
        <v>1</v>
      </c>
      <c r="K176" s="102">
        <f t="shared" si="109"/>
        <v>1</v>
      </c>
      <c r="L176" s="102">
        <f t="shared" si="109"/>
        <v>1</v>
      </c>
      <c r="M176" s="102">
        <f t="shared" si="109"/>
        <v>1</v>
      </c>
      <c r="N176" s="102">
        <f t="shared" si="109"/>
        <v>1</v>
      </c>
      <c r="O176" s="102">
        <f t="shared" si="109"/>
        <v>1</v>
      </c>
      <c r="P176" s="102">
        <f t="shared" si="109"/>
        <v>1</v>
      </c>
      <c r="Q176" s="102">
        <f t="shared" si="109"/>
        <v>1</v>
      </c>
      <c r="R176" s="102">
        <f t="shared" si="109"/>
        <v>1</v>
      </c>
      <c r="S176" s="102">
        <f t="shared" si="109"/>
        <v>1</v>
      </c>
      <c r="T176" s="102">
        <f t="shared" si="109"/>
        <v>1</v>
      </c>
      <c r="U176" s="102">
        <f t="shared" si="109"/>
        <v>1</v>
      </c>
      <c r="V176" s="102">
        <f t="shared" si="109"/>
        <v>1</v>
      </c>
      <c r="W176" s="102">
        <f t="shared" si="109"/>
        <v>1</v>
      </c>
      <c r="X176" s="102">
        <f t="shared" si="109"/>
        <v>1</v>
      </c>
      <c r="Y176" s="102">
        <f t="shared" si="109"/>
        <v>1</v>
      </c>
      <c r="Z176" s="102">
        <f t="shared" si="109"/>
        <v>1</v>
      </c>
      <c r="AA176" s="102">
        <f t="shared" si="109"/>
        <v>1</v>
      </c>
      <c r="AB176" s="102">
        <f t="shared" si="109"/>
        <v>1</v>
      </c>
      <c r="AC176" s="102">
        <f t="shared" si="109"/>
        <v>1</v>
      </c>
      <c r="AD176" s="102">
        <f t="shared" si="109"/>
        <v>1</v>
      </c>
      <c r="AE176" s="102">
        <f t="shared" si="109"/>
        <v>1</v>
      </c>
      <c r="AF176" s="102">
        <f t="shared" si="109"/>
        <v>1</v>
      </c>
      <c r="AG176" s="102">
        <f t="shared" si="109"/>
        <v>1</v>
      </c>
      <c r="AH176" s="122"/>
      <c r="AI176" s="50"/>
      <c r="AJ176" s="196"/>
    </row>
    <row r="177" spans="1:63" outlineLevel="1">
      <c r="C177" s="188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22"/>
      <c r="AI177" s="122"/>
      <c r="AJ177" s="196"/>
    </row>
    <row r="178" spans="1:63" outlineLevel="1">
      <c r="A178" t="s">
        <v>440</v>
      </c>
      <c r="B178" s="50" t="s">
        <v>126</v>
      </c>
      <c r="C178" s="102">
        <f>C174*C172</f>
        <v>0</v>
      </c>
      <c r="D178" s="102">
        <f t="shared" ref="D178:AG178" si="110">D174*D172</f>
        <v>1.0443892302892751E-2</v>
      </c>
      <c r="E178" s="102">
        <f t="shared" si="110"/>
        <v>2.0702936954406871E-2</v>
      </c>
      <c r="F178" s="102">
        <f t="shared" si="110"/>
        <v>3.0777133954542357E-2</v>
      </c>
      <c r="G178" s="102">
        <f t="shared" si="110"/>
        <v>4.0666483303299208E-2</v>
      </c>
      <c r="H178" s="102">
        <f t="shared" si="110"/>
        <v>5.037098500067743E-2</v>
      </c>
      <c r="I178" s="102">
        <f t="shared" si="110"/>
        <v>5.9890639046677019E-2</v>
      </c>
      <c r="J178" s="102">
        <f t="shared" si="110"/>
        <v>6.9225445441297981E-2</v>
      </c>
      <c r="K178" s="102">
        <f t="shared" si="110"/>
        <v>7.8375404184540295E-2</v>
      </c>
      <c r="L178" s="102">
        <f t="shared" si="110"/>
        <v>8.7340515276403977E-2</v>
      </c>
      <c r="M178" s="102">
        <f t="shared" si="110"/>
        <v>9.6120778716889038E-2</v>
      </c>
      <c r="N178" s="102">
        <f t="shared" si="110"/>
        <v>0.10159210357333208</v>
      </c>
      <c r="O178" s="102">
        <f t="shared" si="110"/>
        <v>0.10693924273825403</v>
      </c>
      <c r="P178" s="102">
        <f t="shared" si="110"/>
        <v>0.11216219621165489</v>
      </c>
      <c r="Q178" s="102">
        <f t="shared" si="110"/>
        <v>0.11726096399353465</v>
      </c>
      <c r="R178" s="102">
        <f t="shared" si="110"/>
        <v>0.12223554608389334</v>
      </c>
      <c r="S178" s="102">
        <f t="shared" si="110"/>
        <v>0.12708594248273092</v>
      </c>
      <c r="T178" s="102">
        <f t="shared" si="110"/>
        <v>0.13181215319004741</v>
      </c>
      <c r="U178" s="102">
        <f t="shared" si="110"/>
        <v>0.13641417820584284</v>
      </c>
      <c r="V178" s="102">
        <f t="shared" si="110"/>
        <v>0.14089201753011715</v>
      </c>
      <c r="W178" s="102">
        <f t="shared" si="110"/>
        <v>0.14524567116287035</v>
      </c>
      <c r="X178" s="102">
        <f t="shared" si="110"/>
        <v>0.15258045400353457</v>
      </c>
      <c r="Y178" s="102">
        <f t="shared" si="110"/>
        <v>0.1597242701870985</v>
      </c>
      <c r="Z178" s="102">
        <f t="shared" si="110"/>
        <v>0.16667711971356211</v>
      </c>
      <c r="AA178" s="102">
        <f t="shared" si="110"/>
        <v>0.17343900258292549</v>
      </c>
      <c r="AB178" s="102">
        <f t="shared" si="110"/>
        <v>0.18000991879518863</v>
      </c>
      <c r="AC178" s="102">
        <f t="shared" si="110"/>
        <v>0.18638986835035146</v>
      </c>
      <c r="AD178" s="102">
        <f t="shared" si="110"/>
        <v>0.19257885124841398</v>
      </c>
      <c r="AE178" s="102">
        <f t="shared" si="110"/>
        <v>0.19857686748937625</v>
      </c>
      <c r="AF178" s="102">
        <f t="shared" si="110"/>
        <v>0.20438391707323825</v>
      </c>
      <c r="AG178" s="102">
        <f t="shared" si="110"/>
        <v>0.21</v>
      </c>
      <c r="AH178" s="122"/>
      <c r="AI178" s="122"/>
      <c r="AJ178" s="185"/>
    </row>
    <row r="179" spans="1:63" outlineLevel="1">
      <c r="A179" t="s">
        <v>518</v>
      </c>
      <c r="B179" s="50" t="s">
        <v>126</v>
      </c>
      <c r="C179" s="102">
        <f>C172*C175</f>
        <v>0</v>
      </c>
      <c r="D179" s="102">
        <f t="shared" ref="D179:AG179" si="111">D172*D175</f>
        <v>1.0443892302892751E-2</v>
      </c>
      <c r="E179" s="102">
        <f t="shared" si="111"/>
        <v>2.0702936954406871E-2</v>
      </c>
      <c r="F179" s="102">
        <f t="shared" si="111"/>
        <v>3.0777133954542357E-2</v>
      </c>
      <c r="G179" s="102">
        <f t="shared" si="111"/>
        <v>4.0666483303299208E-2</v>
      </c>
      <c r="H179" s="102">
        <f t="shared" si="111"/>
        <v>5.037098500067743E-2</v>
      </c>
      <c r="I179" s="102">
        <f t="shared" si="111"/>
        <v>5.9890639046677019E-2</v>
      </c>
      <c r="J179" s="102">
        <f t="shared" si="111"/>
        <v>6.9225445441297981E-2</v>
      </c>
      <c r="K179" s="102">
        <f t="shared" si="111"/>
        <v>7.8375404184540295E-2</v>
      </c>
      <c r="L179" s="102">
        <f t="shared" si="111"/>
        <v>8.7340515276403977E-2</v>
      </c>
      <c r="M179" s="102">
        <f t="shared" si="111"/>
        <v>9.6120778716889038E-2</v>
      </c>
      <c r="N179" s="102">
        <f t="shared" si="111"/>
        <v>0.10159210357333208</v>
      </c>
      <c r="O179" s="102">
        <f t="shared" si="111"/>
        <v>0.10693924273825403</v>
      </c>
      <c r="P179" s="102">
        <f t="shared" si="111"/>
        <v>0.11216219621165489</v>
      </c>
      <c r="Q179" s="102">
        <f t="shared" si="111"/>
        <v>0.11726096399353465</v>
      </c>
      <c r="R179" s="102">
        <f t="shared" si="111"/>
        <v>0.12223554608389334</v>
      </c>
      <c r="S179" s="102">
        <f t="shared" si="111"/>
        <v>0.12708594248273092</v>
      </c>
      <c r="T179" s="102">
        <f t="shared" si="111"/>
        <v>0.13181215319004741</v>
      </c>
      <c r="U179" s="102">
        <f t="shared" si="111"/>
        <v>0.13641417820584284</v>
      </c>
      <c r="V179" s="102">
        <f t="shared" si="111"/>
        <v>0.14089201753011715</v>
      </c>
      <c r="W179" s="102">
        <f t="shared" si="111"/>
        <v>0.14524567116287035</v>
      </c>
      <c r="X179" s="102">
        <f t="shared" si="111"/>
        <v>0.15258045400353457</v>
      </c>
      <c r="Y179" s="102">
        <f t="shared" si="111"/>
        <v>0.1597242701870985</v>
      </c>
      <c r="Z179" s="102">
        <f t="shared" si="111"/>
        <v>0.16667711971356211</v>
      </c>
      <c r="AA179" s="102">
        <f t="shared" si="111"/>
        <v>0.17343900258292549</v>
      </c>
      <c r="AB179" s="102">
        <f t="shared" si="111"/>
        <v>0.18000991879518863</v>
      </c>
      <c r="AC179" s="102">
        <f t="shared" si="111"/>
        <v>0.18638986835035146</v>
      </c>
      <c r="AD179" s="102">
        <f t="shared" si="111"/>
        <v>0.19257885124841398</v>
      </c>
      <c r="AE179" s="102">
        <f t="shared" si="111"/>
        <v>0.19857686748937625</v>
      </c>
      <c r="AF179" s="102">
        <f t="shared" si="111"/>
        <v>0.20438391707323825</v>
      </c>
      <c r="AG179" s="102">
        <f t="shared" si="111"/>
        <v>0.21</v>
      </c>
      <c r="AJ179" s="185"/>
    </row>
    <row r="180" spans="1:63" outlineLevel="1"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J180" s="185"/>
    </row>
    <row r="181" spans="1:63" outlineLevel="1">
      <c r="A181" t="s">
        <v>992</v>
      </c>
      <c r="C181" s="203">
        <f>'Overall recycling rates'!E87</f>
        <v>1</v>
      </c>
      <c r="D181" s="203">
        <f>C181-($C181-$AG181)/($AG$1-$C$1)</f>
        <v>1</v>
      </c>
      <c r="E181" s="203">
        <f t="shared" ref="E181:AF181" si="112">D181-($C181-$AG181)/($AG$1-$C$1)</f>
        <v>1</v>
      </c>
      <c r="F181" s="203">
        <f t="shared" si="112"/>
        <v>1</v>
      </c>
      <c r="G181" s="203">
        <f t="shared" si="112"/>
        <v>1</v>
      </c>
      <c r="H181" s="203">
        <f t="shared" si="112"/>
        <v>1</v>
      </c>
      <c r="I181" s="203">
        <f t="shared" si="112"/>
        <v>1</v>
      </c>
      <c r="J181" s="203">
        <f t="shared" si="112"/>
        <v>1</v>
      </c>
      <c r="K181" s="203">
        <f t="shared" si="112"/>
        <v>1</v>
      </c>
      <c r="L181" s="203">
        <f t="shared" si="112"/>
        <v>1</v>
      </c>
      <c r="M181" s="203">
        <f t="shared" si="112"/>
        <v>1</v>
      </c>
      <c r="N181" s="203">
        <f t="shared" si="112"/>
        <v>1</v>
      </c>
      <c r="O181" s="203">
        <f t="shared" si="112"/>
        <v>1</v>
      </c>
      <c r="P181" s="203">
        <f t="shared" si="112"/>
        <v>1</v>
      </c>
      <c r="Q181" s="203">
        <f t="shared" si="112"/>
        <v>1</v>
      </c>
      <c r="R181" s="203">
        <f t="shared" si="112"/>
        <v>1</v>
      </c>
      <c r="S181" s="203">
        <f t="shared" si="112"/>
        <v>1</v>
      </c>
      <c r="T181" s="203">
        <f t="shared" si="112"/>
        <v>1</v>
      </c>
      <c r="U181" s="203">
        <f t="shared" si="112"/>
        <v>1</v>
      </c>
      <c r="V181" s="203">
        <f t="shared" si="112"/>
        <v>1</v>
      </c>
      <c r="W181" s="203">
        <f t="shared" si="112"/>
        <v>1</v>
      </c>
      <c r="X181" s="203">
        <f t="shared" si="112"/>
        <v>1</v>
      </c>
      <c r="Y181" s="203">
        <f t="shared" si="112"/>
        <v>1</v>
      </c>
      <c r="Z181" s="203">
        <f t="shared" si="112"/>
        <v>1</v>
      </c>
      <c r="AA181" s="203">
        <f t="shared" si="112"/>
        <v>1</v>
      </c>
      <c r="AB181" s="203">
        <f t="shared" si="112"/>
        <v>1</v>
      </c>
      <c r="AC181" s="203">
        <f t="shared" si="112"/>
        <v>1</v>
      </c>
      <c r="AD181" s="203">
        <f t="shared" si="112"/>
        <v>1</v>
      </c>
      <c r="AE181" s="203">
        <f t="shared" si="112"/>
        <v>1</v>
      </c>
      <c r="AF181" s="203">
        <f t="shared" si="112"/>
        <v>1</v>
      </c>
      <c r="AG181" s="203">
        <f>'Overall recycling rates'!E96</f>
        <v>1</v>
      </c>
      <c r="AI181" s="124"/>
      <c r="AJ181" s="185" t="s">
        <v>993</v>
      </c>
      <c r="AL181" s="100"/>
      <c r="AM181" s="181"/>
      <c r="AN181" s="181"/>
      <c r="AO181" s="181"/>
      <c r="BC181" s="1"/>
      <c r="BD181" s="181"/>
      <c r="BE181" s="181"/>
      <c r="BF181" s="181"/>
      <c r="BG181" s="181"/>
      <c r="BH181" s="181"/>
      <c r="BI181" s="181"/>
      <c r="BJ181" s="181"/>
      <c r="BK181" s="181"/>
    </row>
    <row r="182" spans="1:63" outlineLevel="1">
      <c r="A182" t="s">
        <v>1032</v>
      </c>
      <c r="B182" s="50" t="s">
        <v>126</v>
      </c>
      <c r="C182" s="102">
        <f>C171*C$181</f>
        <v>0</v>
      </c>
      <c r="D182" s="102">
        <f>D171*D$126</f>
        <v>3.3583564167328513E-4</v>
      </c>
      <c r="E182" s="102">
        <f t="shared" ref="E182:AG182" si="113">E171*E$126</f>
        <v>8.2274244843919811E-4</v>
      </c>
      <c r="F182" s="102">
        <f t="shared" si="113"/>
        <v>1.481389717028194E-3</v>
      </c>
      <c r="G182" s="102">
        <f t="shared" si="113"/>
        <v>2.3324467441707282E-3</v>
      </c>
      <c r="H182" s="102">
        <f t="shared" si="113"/>
        <v>3.3965828265972546E-3</v>
      </c>
      <c r="I182" s="102">
        <f t="shared" si="113"/>
        <v>4.6944672610382291E-3</v>
      </c>
      <c r="J182" s="102">
        <f t="shared" si="113"/>
        <v>6.2467693442241059E-3</v>
      </c>
      <c r="K182" s="102">
        <f t="shared" si="113"/>
        <v>8.0741583728853403E-3</v>
      </c>
      <c r="L182" s="102">
        <f t="shared" si="113"/>
        <v>1.0197303643752388E-2</v>
      </c>
      <c r="M182" s="102">
        <f t="shared" si="113"/>
        <v>1.2636874453555704E-2</v>
      </c>
      <c r="N182" s="102">
        <f t="shared" si="113"/>
        <v>1.4953694312127395E-2</v>
      </c>
      <c r="O182" s="102">
        <f t="shared" si="113"/>
        <v>1.7533480200557415E-2</v>
      </c>
      <c r="P182" s="102">
        <f t="shared" si="113"/>
        <v>2.0390118315876567E-2</v>
      </c>
      <c r="Q182" s="102">
        <f t="shared" si="113"/>
        <v>2.3537494855115665E-2</v>
      </c>
      <c r="R182" s="102">
        <f t="shared" si="113"/>
        <v>2.6989496015305519E-2</v>
      </c>
      <c r="S182" s="102">
        <f t="shared" si="113"/>
        <v>3.0760007993476932E-2</v>
      </c>
      <c r="T182" s="102">
        <f t="shared" si="113"/>
        <v>3.4862916986660733E-2</v>
      </c>
      <c r="U182" s="102">
        <f t="shared" si="113"/>
        <v>3.9312109191887712E-2</v>
      </c>
      <c r="V182" s="102">
        <f t="shared" si="113"/>
        <v>4.4121470806188681E-2</v>
      </c>
      <c r="W182" s="102">
        <f t="shared" si="113"/>
        <v>4.9304888026594468E-2</v>
      </c>
      <c r="X182" s="102">
        <f t="shared" si="113"/>
        <v>5.6016289659301943E-2</v>
      </c>
      <c r="Y182" s="102">
        <f t="shared" si="113"/>
        <v>6.3283661830514398E-2</v>
      </c>
      <c r="Z182" s="102">
        <f t="shared" si="113"/>
        <v>7.1128358052011884E-2</v>
      </c>
      <c r="AA182" s="102">
        <f t="shared" si="113"/>
        <v>7.9571731835574477E-2</v>
      </c>
      <c r="AB182" s="102">
        <f t="shared" si="113"/>
        <v>8.8635136692982217E-2</v>
      </c>
      <c r="AC182" s="102">
        <f t="shared" si="113"/>
        <v>9.8339926136015152E-2</v>
      </c>
      <c r="AD182" s="102">
        <f t="shared" si="113"/>
        <v>0.10870745367645336</v>
      </c>
      <c r="AE182" s="102">
        <f t="shared" si="113"/>
        <v>0.11975907282607685</v>
      </c>
      <c r="AF182" s="102">
        <f t="shared" si="113"/>
        <v>0.13151613709666571</v>
      </c>
      <c r="AG182" s="102">
        <f t="shared" si="113"/>
        <v>0.14399999999999999</v>
      </c>
      <c r="AI182" s="124"/>
      <c r="AJ182"/>
      <c r="AL182" s="100"/>
      <c r="AM182" s="2"/>
      <c r="AN182" s="2"/>
      <c r="AO182" s="2"/>
      <c r="AV182" s="37"/>
    </row>
    <row r="183" spans="1:63" outlineLevel="1">
      <c r="A183" t="s">
        <v>1033</v>
      </c>
      <c r="B183" s="50" t="s">
        <v>126</v>
      </c>
      <c r="C183" s="102">
        <f>C172*C$181</f>
        <v>0</v>
      </c>
      <c r="D183" s="102">
        <f t="shared" ref="D183:AG183" si="114">D169*D$126</f>
        <v>1.5140199653090535E-2</v>
      </c>
      <c r="E183" s="102">
        <f t="shared" si="114"/>
        <v>1.8545507663180361E-2</v>
      </c>
      <c r="F183" s="102">
        <f t="shared" si="114"/>
        <v>2.226142125961084E-2</v>
      </c>
      <c r="G183" s="102">
        <f t="shared" si="114"/>
        <v>2.6287940442381967E-2</v>
      </c>
      <c r="H183" s="102">
        <f t="shared" si="114"/>
        <v>3.062506521149375E-2</v>
      </c>
      <c r="I183" s="102">
        <f t="shared" si="114"/>
        <v>3.527279556694618E-2</v>
      </c>
      <c r="J183" s="102">
        <f t="shared" si="114"/>
        <v>4.0231131508739269E-2</v>
      </c>
      <c r="K183" s="102">
        <f t="shared" si="114"/>
        <v>4.5500073036873007E-2</v>
      </c>
      <c r="L183" s="102">
        <f t="shared" si="114"/>
        <v>5.1079620151347392E-2</v>
      </c>
      <c r="M183" s="102">
        <f t="shared" si="114"/>
        <v>5.696977285216244E-2</v>
      </c>
      <c r="N183" s="102">
        <f t="shared" si="114"/>
        <v>6.3170531139318128E-2</v>
      </c>
      <c r="O183" s="102">
        <f t="shared" si="114"/>
        <v>6.9681895012814479E-2</v>
      </c>
      <c r="P183" s="102">
        <f t="shared" si="114"/>
        <v>7.6503864472651478E-2</v>
      </c>
      <c r="Q183" s="102">
        <f t="shared" si="114"/>
        <v>8.3636439518829112E-2</v>
      </c>
      <c r="R183" s="102">
        <f t="shared" si="114"/>
        <v>9.1079620151347407E-2</v>
      </c>
      <c r="S183" s="102">
        <f t="shared" si="114"/>
        <v>9.8833406370206336E-2</v>
      </c>
      <c r="T183" s="102">
        <f t="shared" si="114"/>
        <v>0.10689779817540593</v>
      </c>
      <c r="U183" s="102">
        <f t="shared" si="114"/>
        <v>0.11527279556694618</v>
      </c>
      <c r="V183" s="102">
        <f t="shared" si="114"/>
        <v>0.12395839854482707</v>
      </c>
      <c r="W183" s="102">
        <f t="shared" si="114"/>
        <v>0.13295460710904861</v>
      </c>
      <c r="X183" s="102">
        <f t="shared" si="114"/>
        <v>0.1422614212596108</v>
      </c>
      <c r="Y183" s="102">
        <f t="shared" si="114"/>
        <v>0.15187884099651366</v>
      </c>
      <c r="Z183" s="102">
        <f t="shared" si="114"/>
        <v>0.16180686631975716</v>
      </c>
      <c r="AA183" s="102">
        <f t="shared" si="114"/>
        <v>0.17204549722934129</v>
      </c>
      <c r="AB183" s="102">
        <f t="shared" si="114"/>
        <v>0.18259473372526611</v>
      </c>
      <c r="AC183" s="102">
        <f t="shared" si="114"/>
        <v>0.19345457580753156</v>
      </c>
      <c r="AD183" s="102">
        <f t="shared" si="114"/>
        <v>0.20462502347613767</v>
      </c>
      <c r="AE183" s="102">
        <f t="shared" si="114"/>
        <v>0.21610607673108445</v>
      </c>
      <c r="AF183" s="102">
        <f t="shared" si="114"/>
        <v>0.22789773557237189</v>
      </c>
      <c r="AG183" s="102">
        <f t="shared" si="114"/>
        <v>0.24</v>
      </c>
      <c r="AH183" s="217"/>
      <c r="AI183" s="124"/>
      <c r="AJ183" s="185"/>
      <c r="AL183" s="100"/>
      <c r="AM183" s="2"/>
      <c r="AN183" s="2"/>
      <c r="AO183" s="2"/>
      <c r="AV183" s="37"/>
    </row>
    <row r="184" spans="1:63" outlineLevel="1">
      <c r="A184" t="s">
        <v>1034</v>
      </c>
      <c r="B184" s="156" t="s">
        <v>126</v>
      </c>
      <c r="C184" s="102">
        <f>SUM(C182:C183)</f>
        <v>0</v>
      </c>
      <c r="D184" s="102">
        <f t="shared" ref="D184" si="115">SUM(D182:D183)</f>
        <v>1.547603529476382E-2</v>
      </c>
      <c r="E184" s="102">
        <f t="shared" ref="E184" si="116">SUM(E182:E183)</f>
        <v>1.9368250111619557E-2</v>
      </c>
      <c r="F184" s="102">
        <f t="shared" ref="F184" si="117">SUM(F182:F183)</f>
        <v>2.3742810976639033E-2</v>
      </c>
      <c r="G184" s="102">
        <f t="shared" ref="G184" si="118">SUM(G182:G183)</f>
        <v>2.8620387186552694E-2</v>
      </c>
      <c r="H184" s="102">
        <f t="shared" ref="H184" si="119">SUM(H182:H183)</f>
        <v>3.4021648038091004E-2</v>
      </c>
      <c r="I184" s="102">
        <f t="shared" ref="I184" si="120">SUM(I182:I183)</f>
        <v>3.9967262827984407E-2</v>
      </c>
      <c r="J184" s="102">
        <f t="shared" ref="J184" si="121">SUM(J182:J183)</f>
        <v>4.6477900852963376E-2</v>
      </c>
      <c r="K184" s="102">
        <f t="shared" ref="K184" si="122">SUM(K182:K183)</f>
        <v>5.3574231409758345E-2</v>
      </c>
      <c r="L184" s="102">
        <f t="shared" ref="L184" si="123">SUM(L182:L183)</f>
        <v>6.1276923795099782E-2</v>
      </c>
      <c r="M184" s="102">
        <f t="shared" ref="M184" si="124">SUM(M182:M183)</f>
        <v>6.9606647305718139E-2</v>
      </c>
      <c r="N184" s="102">
        <f t="shared" ref="N184" si="125">SUM(N182:N183)</f>
        <v>7.8124225451445525E-2</v>
      </c>
      <c r="O184" s="102">
        <f t="shared" ref="O184" si="126">SUM(O182:O183)</f>
        <v>8.7215375213371887E-2</v>
      </c>
      <c r="P184" s="102">
        <f t="shared" ref="P184" si="127">SUM(P182:P183)</f>
        <v>9.6893982788528038E-2</v>
      </c>
      <c r="Q184" s="102">
        <f t="shared" ref="Q184" si="128">SUM(Q182:Q183)</f>
        <v>0.10717393437394478</v>
      </c>
      <c r="R184" s="102">
        <f t="shared" ref="R184" si="129">SUM(R182:R183)</f>
        <v>0.11806911616665293</v>
      </c>
      <c r="S184" s="102">
        <f t="shared" ref="S184" si="130">SUM(S182:S183)</f>
        <v>0.12959341436368327</v>
      </c>
      <c r="T184" s="102">
        <f t="shared" ref="T184" si="131">SUM(T182:T183)</f>
        <v>0.14176071516206667</v>
      </c>
      <c r="U184" s="102">
        <f t="shared" ref="U184" si="132">SUM(U182:U183)</f>
        <v>0.15458490475883391</v>
      </c>
      <c r="V184" s="102">
        <f t="shared" ref="V184" si="133">SUM(V182:V183)</f>
        <v>0.16807986935101576</v>
      </c>
      <c r="W184" s="102">
        <f t="shared" ref="W184" si="134">SUM(W182:W183)</f>
        <v>0.18225949513564307</v>
      </c>
      <c r="X184" s="102">
        <f t="shared" ref="X184" si="135">SUM(X182:X183)</f>
        <v>0.19827771091891275</v>
      </c>
      <c r="Y184" s="102">
        <f t="shared" ref="Y184" si="136">SUM(Y182:Y183)</f>
        <v>0.21516250282702806</v>
      </c>
      <c r="Z184" s="102">
        <f t="shared" ref="Z184" si="137">SUM(Z182:Z183)</f>
        <v>0.23293522437176906</v>
      </c>
      <c r="AA184" s="102">
        <f t="shared" ref="AA184" si="138">SUM(AA182:AA183)</f>
        <v>0.25161722906491579</v>
      </c>
      <c r="AB184" s="102">
        <f t="shared" ref="AB184" si="139">SUM(AB182:AB183)</f>
        <v>0.27122987041824831</v>
      </c>
      <c r="AC184" s="102">
        <f t="shared" ref="AC184" si="140">SUM(AC182:AC183)</f>
        <v>0.29179450194354672</v>
      </c>
      <c r="AD184" s="102">
        <f t="shared" ref="AD184" si="141">SUM(AD182:AD183)</f>
        <v>0.31333247715259105</v>
      </c>
      <c r="AE184" s="102">
        <f t="shared" ref="AE184" si="142">SUM(AE182:AE183)</f>
        <v>0.33586514955716129</v>
      </c>
      <c r="AF184" s="102">
        <f t="shared" ref="AF184" si="143">SUM(AF182:AF183)</f>
        <v>0.35941387266903757</v>
      </c>
      <c r="AG184" s="102">
        <f t="shared" ref="AG184" si="144">SUM(AG182:AG183)</f>
        <v>0.38400000000000001</v>
      </c>
      <c r="AI184" s="124"/>
      <c r="AJ184" s="185"/>
      <c r="AL184" s="100"/>
      <c r="AM184" s="2"/>
      <c r="AN184" s="2"/>
      <c r="AO184" s="2"/>
    </row>
    <row r="185" spans="1:63" outlineLevel="1">
      <c r="A185" t="s">
        <v>1038</v>
      </c>
      <c r="B185" s="50" t="s">
        <v>126</v>
      </c>
      <c r="C185" s="102">
        <f>C174*C183</f>
        <v>0</v>
      </c>
      <c r="D185" s="102">
        <f t="shared" ref="D185:AG185" si="145">D171*D183</f>
        <v>1.9590412430941633E-5</v>
      </c>
      <c r="E185" s="102">
        <f t="shared" si="145"/>
        <v>5.4849496562613208E-5</v>
      </c>
      <c r="F185" s="102">
        <f t="shared" si="145"/>
        <v>1.1110422877711456E-4</v>
      </c>
      <c r="G185" s="102">
        <f t="shared" si="145"/>
        <v>1.9437056201422731E-4</v>
      </c>
      <c r="H185" s="102">
        <f t="shared" si="145"/>
        <v>3.1135342577141498E-4</v>
      </c>
      <c r="I185" s="102">
        <f t="shared" si="145"/>
        <v>4.6944672610382284E-4</v>
      </c>
      <c r="J185" s="102">
        <f t="shared" si="145"/>
        <v>6.76733345624278E-4</v>
      </c>
      <c r="K185" s="102">
        <f t="shared" si="145"/>
        <v>9.4198514350328966E-4</v>
      </c>
      <c r="L185" s="102">
        <f t="shared" si="145"/>
        <v>1.2746629554690483E-3</v>
      </c>
      <c r="M185" s="102">
        <f t="shared" si="145"/>
        <v>1.6849165938074271E-3</v>
      </c>
      <c r="N185" s="102">
        <f t="shared" si="145"/>
        <v>2.118440027551381E-3</v>
      </c>
      <c r="O185" s="102">
        <f t="shared" si="145"/>
        <v>2.6300220300836119E-3</v>
      </c>
      <c r="P185" s="102">
        <f t="shared" si="145"/>
        <v>3.2284354000137899E-3</v>
      </c>
      <c r="Q185" s="102">
        <f t="shared" si="145"/>
        <v>3.9229158091859439E-3</v>
      </c>
      <c r="R185" s="102">
        <f t="shared" si="145"/>
        <v>4.7231618026784654E-3</v>
      </c>
      <c r="S185" s="102">
        <f t="shared" si="145"/>
        <v>5.6393347988041038E-3</v>
      </c>
      <c r="T185" s="102">
        <f t="shared" si="145"/>
        <v>6.6820590891099726E-3</v>
      </c>
      <c r="U185" s="102">
        <f t="shared" si="145"/>
        <v>7.8624218383775424E-3</v>
      </c>
      <c r="V185" s="102">
        <f t="shared" si="145"/>
        <v>9.1919730846226413E-3</v>
      </c>
      <c r="W185" s="102">
        <f t="shared" si="145"/>
        <v>1.0682725739095466E-2</v>
      </c>
      <c r="X185" s="102">
        <f t="shared" si="145"/>
        <v>1.2603665173342935E-2</v>
      </c>
      <c r="Y185" s="102">
        <f t="shared" si="145"/>
        <v>1.4766187760453358E-2</v>
      </c>
      <c r="Z185" s="102">
        <f t="shared" si="145"/>
        <v>1.7189353195902871E-2</v>
      </c>
      <c r="AA185" s="102">
        <f t="shared" si="145"/>
        <v>1.9892932958893616E-2</v>
      </c>
      <c r="AB185" s="102">
        <f t="shared" si="145"/>
        <v>2.289741031235374E-2</v>
      </c>
      <c r="AC185" s="102">
        <f t="shared" si="145"/>
        <v>2.6223980302937374E-2</v>
      </c>
      <c r="AD185" s="102">
        <f t="shared" si="145"/>
        <v>2.9894549761024677E-2</v>
      </c>
      <c r="AE185" s="102">
        <f t="shared" si="145"/>
        <v>3.3931737300721777E-2</v>
      </c>
      <c r="AF185" s="102">
        <f t="shared" si="145"/>
        <v>3.8358873319860841E-2</v>
      </c>
      <c r="AG185" s="102">
        <f t="shared" si="145"/>
        <v>4.3199999999999995E-2</v>
      </c>
      <c r="AI185" s="124"/>
      <c r="AJ185" s="185"/>
      <c r="BD185" s="177"/>
      <c r="BE185" s="177"/>
    </row>
    <row r="186" spans="1:63" outlineLevel="1">
      <c r="A186" t="s">
        <v>1039</v>
      </c>
      <c r="B186" s="50" t="s">
        <v>126</v>
      </c>
      <c r="C186" s="102">
        <f>C175*C183</f>
        <v>0</v>
      </c>
      <c r="D186" s="102">
        <f t="shared" ref="D186:AG186" si="146">D173*D183</f>
        <v>0</v>
      </c>
      <c r="E186" s="102">
        <f t="shared" si="146"/>
        <v>0</v>
      </c>
      <c r="F186" s="102">
        <f t="shared" si="146"/>
        <v>0</v>
      </c>
      <c r="G186" s="102">
        <f t="shared" si="146"/>
        <v>0</v>
      </c>
      <c r="H186" s="102">
        <f t="shared" si="146"/>
        <v>0</v>
      </c>
      <c r="I186" s="102">
        <f t="shared" si="146"/>
        <v>0</v>
      </c>
      <c r="J186" s="102">
        <f t="shared" si="146"/>
        <v>0</v>
      </c>
      <c r="K186" s="102">
        <f t="shared" si="146"/>
        <v>0</v>
      </c>
      <c r="L186" s="102">
        <f t="shared" si="146"/>
        <v>0</v>
      </c>
      <c r="M186" s="102">
        <f t="shared" si="146"/>
        <v>0</v>
      </c>
      <c r="N186" s="102">
        <f t="shared" si="146"/>
        <v>0</v>
      </c>
      <c r="O186" s="102">
        <f t="shared" si="146"/>
        <v>0</v>
      </c>
      <c r="P186" s="102">
        <f t="shared" si="146"/>
        <v>0</v>
      </c>
      <c r="Q186" s="102">
        <f t="shared" si="146"/>
        <v>0</v>
      </c>
      <c r="R186" s="102">
        <f t="shared" si="146"/>
        <v>0</v>
      </c>
      <c r="S186" s="102">
        <f t="shared" si="146"/>
        <v>0</v>
      </c>
      <c r="T186" s="102">
        <f t="shared" si="146"/>
        <v>0</v>
      </c>
      <c r="U186" s="102">
        <f t="shared" si="146"/>
        <v>0</v>
      </c>
      <c r="V186" s="102">
        <f t="shared" si="146"/>
        <v>0</v>
      </c>
      <c r="W186" s="102">
        <f t="shared" si="146"/>
        <v>0</v>
      </c>
      <c r="X186" s="102">
        <f t="shared" si="146"/>
        <v>0</v>
      </c>
      <c r="Y186" s="102">
        <f t="shared" si="146"/>
        <v>0</v>
      </c>
      <c r="Z186" s="102">
        <f t="shared" si="146"/>
        <v>0</v>
      </c>
      <c r="AA186" s="102">
        <f t="shared" si="146"/>
        <v>0</v>
      </c>
      <c r="AB186" s="102">
        <f t="shared" si="146"/>
        <v>0</v>
      </c>
      <c r="AC186" s="102">
        <f t="shared" si="146"/>
        <v>0</v>
      </c>
      <c r="AD186" s="102">
        <f t="shared" si="146"/>
        <v>0</v>
      </c>
      <c r="AE186" s="102">
        <f t="shared" si="146"/>
        <v>0</v>
      </c>
      <c r="AF186" s="102">
        <f t="shared" si="146"/>
        <v>0</v>
      </c>
      <c r="AG186" s="102">
        <f t="shared" si="146"/>
        <v>0</v>
      </c>
      <c r="AI186" s="125"/>
      <c r="AJ186" s="185"/>
      <c r="BC186" s="1"/>
      <c r="BD186" s="37"/>
      <c r="BF186" s="6"/>
      <c r="BG186" s="6"/>
      <c r="BH186" s="6"/>
      <c r="BI186" s="6"/>
      <c r="BJ186" s="6"/>
    </row>
    <row r="187" spans="1:63" outlineLevel="1"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I187" s="125"/>
      <c r="AJ187" s="185"/>
      <c r="BC187" s="1"/>
      <c r="BD187" s="37"/>
      <c r="BF187" s="6"/>
      <c r="BG187" s="6"/>
      <c r="BH187" s="6"/>
      <c r="BI187" s="6"/>
      <c r="BJ187" s="6"/>
    </row>
    <row r="188" spans="1:63" s="1" customFormat="1" outlineLevel="1">
      <c r="A188" s="1" t="s">
        <v>265</v>
      </c>
      <c r="B188" s="60"/>
      <c r="C188" s="250">
        <f>C182*C42</f>
        <v>0</v>
      </c>
      <c r="D188" s="250">
        <f t="shared" ref="D188:AG188" si="147">D182*D42</f>
        <v>1.9985215548760896E-3</v>
      </c>
      <c r="E188" s="250">
        <f t="shared" si="147"/>
        <v>4.8852428627850306E-3</v>
      </c>
      <c r="F188" s="250">
        <f t="shared" si="147"/>
        <v>8.7767106832666811E-3</v>
      </c>
      <c r="G188" s="250">
        <f t="shared" si="147"/>
        <v>1.3788416575849779E-2</v>
      </c>
      <c r="H188" s="250">
        <f t="shared" si="147"/>
        <v>2.0034802771649582E-2</v>
      </c>
      <c r="I188" s="250">
        <f t="shared" si="147"/>
        <v>2.6775523637150307E-2</v>
      </c>
      <c r="J188" s="250">
        <f t="shared" si="147"/>
        <v>3.4417091486477779E-2</v>
      </c>
      <c r="K188" s="250">
        <f t="shared" si="147"/>
        <v>4.2925132516345478E-2</v>
      </c>
      <c r="L188" s="250">
        <f t="shared" si="147"/>
        <v>5.225061335721614E-2</v>
      </c>
      <c r="M188" s="250">
        <f t="shared" si="147"/>
        <v>6.2330004461198366E-2</v>
      </c>
      <c r="N188" s="250">
        <f t="shared" si="147"/>
        <v>7.0905019700990446E-2</v>
      </c>
      <c r="O188" s="250">
        <f t="shared" si="147"/>
        <v>7.9807233165484923E-2</v>
      </c>
      <c r="P188" s="250">
        <f t="shared" si="147"/>
        <v>8.8953663591122209E-2</v>
      </c>
      <c r="Q188" s="250">
        <f t="shared" si="147"/>
        <v>9.825212807513653E-2</v>
      </c>
      <c r="R188" s="250">
        <f t="shared" si="147"/>
        <v>0.10760134764986555</v>
      </c>
      <c r="S188" s="250">
        <f t="shared" si="147"/>
        <v>0.11850248765058857</v>
      </c>
      <c r="T188" s="250">
        <f t="shared" si="147"/>
        <v>0.12964677276075384</v>
      </c>
      <c r="U188" s="250">
        <f t="shared" si="147"/>
        <v>0.14095762762996084</v>
      </c>
      <c r="V188" s="250">
        <f t="shared" si="147"/>
        <v>0.15235222073730656</v>
      </c>
      <c r="W188" s="250">
        <f t="shared" si="147"/>
        <v>0.16374153715056194</v>
      </c>
      <c r="X188" s="250">
        <f t="shared" si="147"/>
        <v>0.17866667197543964</v>
      </c>
      <c r="Y188" s="250">
        <f t="shared" si="147"/>
        <v>0.19356327395577386</v>
      </c>
      <c r="Z188" s="250">
        <f t="shared" si="147"/>
        <v>0.20828773378181525</v>
      </c>
      <c r="AA188" s="250">
        <f t="shared" si="147"/>
        <v>0.22268717888999323</v>
      </c>
      <c r="AB188" s="250">
        <f t="shared" si="147"/>
        <v>0.2365995827094704</v>
      </c>
      <c r="AC188" s="250">
        <f t="shared" si="147"/>
        <v>0.24736197948785574</v>
      </c>
      <c r="AD188" s="250">
        <f t="shared" si="147"/>
        <v>0.25677299724005664</v>
      </c>
      <c r="AE188" s="250">
        <f t="shared" si="147"/>
        <v>0.26459545660918615</v>
      </c>
      <c r="AF188" s="250">
        <f t="shared" si="147"/>
        <v>0.27058174577292249</v>
      </c>
      <c r="AG188" s="250">
        <f t="shared" si="147"/>
        <v>0.27447394729851066</v>
      </c>
      <c r="AH188" s="217"/>
      <c r="AI188" s="368"/>
      <c r="AJ188" s="369"/>
      <c r="AL188" s="194"/>
      <c r="AM188" s="116"/>
      <c r="AN188" s="116"/>
      <c r="AO188" s="116"/>
      <c r="BD188" s="116"/>
      <c r="BE188" s="116"/>
      <c r="BF188" s="116"/>
      <c r="BG188" s="116"/>
      <c r="BH188" s="116"/>
      <c r="BI188" s="116"/>
      <c r="BJ188" s="116"/>
      <c r="BK188" s="116"/>
    </row>
    <row r="189" spans="1:63" outlineLevel="1">
      <c r="A189" s="4" t="s">
        <v>35</v>
      </c>
      <c r="C189" s="203">
        <f>C$188*'Methanol recycling rates'!E60</f>
        <v>0</v>
      </c>
      <c r="D189" s="203">
        <f>D$188*'Methanol recycling rates'!F60</f>
        <v>2.3204914533615019E-5</v>
      </c>
      <c r="E189" s="203">
        <f>E$188*'Methanol recycling rates'!G60</f>
        <v>1.1344550458341986E-4</v>
      </c>
      <c r="F189" s="203">
        <f>F$188*'Methanol recycling rates'!H60</f>
        <v>3.0572022722681592E-4</v>
      </c>
      <c r="G189" s="203">
        <f>G$188*'Methanol recycling rates'!I60</f>
        <v>6.4039144819994214E-4</v>
      </c>
      <c r="H189" s="203">
        <f>H$188*'Methanol recycling rates'!J60</f>
        <v>1.163124522924614E-3</v>
      </c>
      <c r="I189" s="203">
        <f>I$188*'Methanol recycling rates'!K60</f>
        <v>1.8653501216744726E-3</v>
      </c>
      <c r="J189" s="203">
        <f>J$188*'Methanol recycling rates'!L60</f>
        <v>2.7973276802720796E-3</v>
      </c>
      <c r="K189" s="203">
        <f>K$188*'Methanol recycling rates'!M60</f>
        <v>3.9872435859623382E-3</v>
      </c>
      <c r="L189" s="203">
        <f>L$188*'Methanol recycling rates'!N60</f>
        <v>5.4601558481689955E-3</v>
      </c>
      <c r="M189" s="203">
        <f>M$188*'Methanol recycling rates'!O60</f>
        <v>7.2371620054487076E-3</v>
      </c>
      <c r="N189" s="203">
        <f>N$188*'Methanol recycling rates'!P60</f>
        <v>9.0560915391005841E-3</v>
      </c>
      <c r="O189" s="203">
        <f>O$188*'Methanol recycling rates'!Q60</f>
        <v>1.1119740111389598E-2</v>
      </c>
      <c r="P189" s="203">
        <f>P$188*'Methanol recycling rates'!R60</f>
        <v>1.3426979573285047E-2</v>
      </c>
      <c r="Q189" s="203">
        <f>Q$188*'Methanol recycling rates'!S60</f>
        <v>1.5971332012073177E-2</v>
      </c>
      <c r="R189" s="203">
        <f>R$188*'Methanol recycling rates'!T60</f>
        <v>1.8740453935747539E-2</v>
      </c>
      <c r="S189" s="203">
        <f>S$188*'Methanol recycling rates'!U60</f>
        <v>2.2014994764452619E-2</v>
      </c>
      <c r="T189" s="203">
        <f>T$188*'Methanol recycling rates'!V60</f>
        <v>2.5590676598031509E-2</v>
      </c>
      <c r="U189" s="203">
        <f>U$188*'Methanol recycling rates'!W60</f>
        <v>2.9459964788775609E-2</v>
      </c>
      <c r="V189" s="203">
        <f>V$188*'Methanol recycling rates'!X60</f>
        <v>3.3610388038702928E-2</v>
      </c>
      <c r="W189" s="203">
        <f>W$188*'Methanol recycling rates'!Y60</f>
        <v>3.8024192092510269E-2</v>
      </c>
      <c r="X189" s="203">
        <f>X$188*'Methanol recycling rates'!Z60</f>
        <v>4.3564624912191006E-2</v>
      </c>
      <c r="Y189" s="203">
        <f>Y$188*'Methanol recycling rates'!AA60</f>
        <v>4.9444361906777812E-2</v>
      </c>
      <c r="Z189" s="203">
        <f>Z$188*'Methanol recycling rates'!AB60</f>
        <v>5.5624057757766895E-2</v>
      </c>
      <c r="AA189" s="203">
        <f>AA$188*'Methanol recycling rates'!AC60</f>
        <v>6.2055115988312863E-2</v>
      </c>
      <c r="AB189" s="203">
        <f>AB$188*'Methanol recycling rates'!AD60</f>
        <v>6.8679182894810439E-2</v>
      </c>
      <c r="AC189" s="203">
        <f>AC$188*'Methanol recycling rates'!AE60</f>
        <v>7.4675378432019268E-2</v>
      </c>
      <c r="AD189" s="203">
        <f>AD$188*'Methanol recycling rates'!AF60</f>
        <v>8.0497844472014107E-2</v>
      </c>
      <c r="AE189" s="203">
        <f>AE$188*'Methanol recycling rates'!AG60</f>
        <v>8.6022399090627338E-2</v>
      </c>
      <c r="AF189" s="203">
        <f>AF$188*'Methanol recycling rates'!AH60</f>
        <v>9.1110331945748163E-2</v>
      </c>
      <c r="AG189" s="203">
        <f>AG$188*'Methanol recycling rates'!AI60</f>
        <v>9.5607842805990453E-2</v>
      </c>
      <c r="AH189" s="217"/>
      <c r="AI189" s="124"/>
      <c r="AJ189" s="185"/>
      <c r="AL189" s="100"/>
      <c r="AM189" s="2"/>
      <c r="AN189" s="2"/>
      <c r="AO189" s="2"/>
      <c r="BC189" s="1"/>
      <c r="BD189" s="2"/>
      <c r="BE189" s="2"/>
      <c r="BF189" s="2"/>
      <c r="BG189" s="2"/>
      <c r="BH189" s="2"/>
      <c r="BI189" s="2"/>
      <c r="BJ189" s="2"/>
      <c r="BK189" s="2"/>
    </row>
    <row r="190" spans="1:63" outlineLevel="1">
      <c r="A190" s="4" t="s">
        <v>160</v>
      </c>
      <c r="C190" s="203">
        <f>C$188*'Methanol recycling rates'!E61</f>
        <v>0</v>
      </c>
      <c r="D190" s="203">
        <f>D$188*'Methanol recycling rates'!F61</f>
        <v>0</v>
      </c>
      <c r="E190" s="203">
        <f>E$188*'Methanol recycling rates'!G61</f>
        <v>0</v>
      </c>
      <c r="F190" s="203">
        <f>F$188*'Methanol recycling rates'!H61</f>
        <v>0</v>
      </c>
      <c r="G190" s="203">
        <f>G$188*'Methanol recycling rates'!I61</f>
        <v>0</v>
      </c>
      <c r="H190" s="203">
        <f>H$188*'Methanol recycling rates'!J61</f>
        <v>0</v>
      </c>
      <c r="I190" s="203">
        <f>I$188*'Methanol recycling rates'!K61</f>
        <v>0</v>
      </c>
      <c r="J190" s="203">
        <f>J$188*'Methanol recycling rates'!L61</f>
        <v>0</v>
      </c>
      <c r="K190" s="203">
        <f>K$188*'Methanol recycling rates'!M61</f>
        <v>0</v>
      </c>
      <c r="L190" s="203">
        <f>L$188*'Methanol recycling rates'!N61</f>
        <v>0</v>
      </c>
      <c r="M190" s="203">
        <f>M$188*'Methanol recycling rates'!O61</f>
        <v>0</v>
      </c>
      <c r="N190" s="203">
        <f>N$188*'Methanol recycling rates'!P61</f>
        <v>0</v>
      </c>
      <c r="O190" s="203">
        <f>O$188*'Methanol recycling rates'!Q61</f>
        <v>0</v>
      </c>
      <c r="P190" s="203">
        <f>P$188*'Methanol recycling rates'!R61</f>
        <v>0</v>
      </c>
      <c r="Q190" s="203">
        <f>Q$188*'Methanol recycling rates'!S61</f>
        <v>0</v>
      </c>
      <c r="R190" s="203">
        <f>R$188*'Methanol recycling rates'!T61</f>
        <v>0</v>
      </c>
      <c r="S190" s="203">
        <f>S$188*'Methanol recycling rates'!U61</f>
        <v>0</v>
      </c>
      <c r="T190" s="203">
        <f>T$188*'Methanol recycling rates'!V61</f>
        <v>0</v>
      </c>
      <c r="U190" s="203">
        <f>U$188*'Methanol recycling rates'!W61</f>
        <v>0</v>
      </c>
      <c r="V190" s="203">
        <f>V$188*'Methanol recycling rates'!X61</f>
        <v>0</v>
      </c>
      <c r="W190" s="203">
        <f>W$188*'Methanol recycling rates'!Y61</f>
        <v>0</v>
      </c>
      <c r="X190" s="203">
        <f>X$188*'Methanol recycling rates'!Z61</f>
        <v>0</v>
      </c>
      <c r="Y190" s="203">
        <f>Y$188*'Methanol recycling rates'!AA61</f>
        <v>0</v>
      </c>
      <c r="Z190" s="203">
        <f>Z$188*'Methanol recycling rates'!AB61</f>
        <v>0</v>
      </c>
      <c r="AA190" s="203">
        <f>AA$188*'Methanol recycling rates'!AC61</f>
        <v>0</v>
      </c>
      <c r="AB190" s="203">
        <f>AB$188*'Methanol recycling rates'!AD61</f>
        <v>0</v>
      </c>
      <c r="AC190" s="203">
        <f>AC$188*'Methanol recycling rates'!AE61</f>
        <v>0</v>
      </c>
      <c r="AD190" s="203">
        <f>AD$188*'Methanol recycling rates'!AF61</f>
        <v>0</v>
      </c>
      <c r="AE190" s="203">
        <f>AE$188*'Methanol recycling rates'!AG61</f>
        <v>0</v>
      </c>
      <c r="AF190" s="203">
        <f>AF$188*'Methanol recycling rates'!AH61</f>
        <v>0</v>
      </c>
      <c r="AG190" s="203">
        <f>AG$188*'Methanol recycling rates'!AI61</f>
        <v>0</v>
      </c>
      <c r="AH190" s="217"/>
      <c r="AI190" s="124"/>
      <c r="AJ190" s="185"/>
      <c r="AL190" s="100"/>
      <c r="AM190" s="2"/>
      <c r="AN190" s="2"/>
      <c r="AO190" s="2"/>
      <c r="BC190" s="1"/>
      <c r="BD190" s="2"/>
      <c r="BE190" s="2"/>
      <c r="BF190" s="2"/>
      <c r="BG190" s="2"/>
      <c r="BH190" s="2"/>
      <c r="BI190" s="2"/>
      <c r="BJ190" s="2"/>
      <c r="BK190" s="2"/>
    </row>
    <row r="191" spans="1:63" outlineLevel="1">
      <c r="A191" s="4" t="s">
        <v>1040</v>
      </c>
      <c r="C191" s="203">
        <f>C$188*'Methanol recycling rates'!E62</f>
        <v>0</v>
      </c>
      <c r="D191" s="203">
        <f>D$188*'Methanol recycling rates'!F62</f>
        <v>4.3412470628921302E-5</v>
      </c>
      <c r="E191" s="203">
        <f>E$188*'Methanol recycling rates'!G62</f>
        <v>2.122373529355822E-4</v>
      </c>
      <c r="F191" s="203">
        <f>F$188*'Methanol recycling rates'!H62</f>
        <v>5.719508410998522E-4</v>
      </c>
      <c r="G191" s="203">
        <f>G$188*'Methanol recycling rates'!I62</f>
        <v>1.1980640952466951E-3</v>
      </c>
      <c r="H191" s="203">
        <f>H$188*'Methanol recycling rates'!J62</f>
        <v>2.1760092723503168E-3</v>
      </c>
      <c r="I191" s="203">
        <f>I$188*'Methanol recycling rates'!K62</f>
        <v>3.4897546057555888E-3</v>
      </c>
      <c r="J191" s="203">
        <f>J$188*'Methanol recycling rates'!L62</f>
        <v>5.2333269999060685E-3</v>
      </c>
      <c r="K191" s="203">
        <f>K$188*'Methanol recycling rates'!M62</f>
        <v>7.4594584183964568E-3</v>
      </c>
      <c r="L191" s="203">
        <f>L$188*'Methanol recycling rates'!N62</f>
        <v>1.0215028158995847E-2</v>
      </c>
      <c r="M191" s="203">
        <f>M$188*'Methanol recycling rates'!O62</f>
        <v>1.3539506148284083E-2</v>
      </c>
      <c r="N191" s="203">
        <f>N$188*'Methanol recycling rates'!P62</f>
        <v>1.6942415684595914E-2</v>
      </c>
      <c r="O191" s="203">
        <f>O$188*'Methanol recycling rates'!Q62</f>
        <v>2.0803153154804369E-2</v>
      </c>
      <c r="P191" s="203">
        <f>P$188*'Methanol recycling rates'!R62</f>
        <v>2.5119607982867911E-2</v>
      </c>
      <c r="Q191" s="203">
        <f>Q$188*'Methanol recycling rates'!S62</f>
        <v>2.98796610896572E-2</v>
      </c>
      <c r="R191" s="203">
        <f>R$188*'Methanol recycling rates'!T62</f>
        <v>3.5060219889185236E-2</v>
      </c>
      <c r="S191" s="203">
        <f>S$188*'Methanol recycling rates'!U62</f>
        <v>4.1186331982527948E-2</v>
      </c>
      <c r="T191" s="203">
        <f>T$188*'Methanol recycling rates'!V62</f>
        <v>4.7875827966395661E-2</v>
      </c>
      <c r="U191" s="203">
        <f>U$188*'Methanol recycling rates'!W62</f>
        <v>5.5114611789200886E-2</v>
      </c>
      <c r="V191" s="203">
        <f>V$188*'Methanol recycling rates'!X62</f>
        <v>6.2879351761591221E-2</v>
      </c>
      <c r="W191" s="203">
        <f>W$188*'Methanol recycling rates'!Y62</f>
        <v>7.1136832674531011E-2</v>
      </c>
      <c r="X191" s="203">
        <f>X$188*'Methanol recycling rates'!Z62</f>
        <v>8.1502045470616735E-2</v>
      </c>
      <c r="Y191" s="203">
        <f>Y$188*'Methanol recycling rates'!AA62</f>
        <v>9.2502038994123001E-2</v>
      </c>
      <c r="Z191" s="203">
        <f>Z$188*'Methanol recycling rates'!AB62</f>
        <v>0.10406320480829145</v>
      </c>
      <c r="AA191" s="203">
        <f>AA$188*'Methanol recycling rates'!AC62</f>
        <v>0.1160946271236817</v>
      </c>
      <c r="AB191" s="203">
        <f>AB$188*'Methanol recycling rates'!AD62</f>
        <v>0.12848713602974818</v>
      </c>
      <c r="AC191" s="203">
        <f>AC$188*'Methanol recycling rates'!AE62</f>
        <v>0.13970500379078898</v>
      </c>
      <c r="AD191" s="203">
        <f>AD$188*'Methanol recycling rates'!AF62</f>
        <v>0.15059785304403681</v>
      </c>
      <c r="AE191" s="203">
        <f>AE$188*'Methanol recycling rates'!AG62</f>
        <v>0.16093336041127962</v>
      </c>
      <c r="AF191" s="203">
        <f>AF$188*'Methanol recycling rates'!AH62</f>
        <v>0.17045202230141013</v>
      </c>
      <c r="AG191" s="203">
        <f>AG$188*'Methanol recycling rates'!AI62</f>
        <v>0.17886610449252022</v>
      </c>
      <c r="AH191" s="217"/>
      <c r="AI191" s="124"/>
      <c r="AJ191" s="185"/>
      <c r="AL191" s="100"/>
      <c r="AM191" s="2"/>
      <c r="AN191" s="2"/>
      <c r="AO191" s="2"/>
      <c r="BC191" s="1"/>
      <c r="BD191" s="2"/>
      <c r="BE191" s="2"/>
      <c r="BF191" s="2"/>
      <c r="BG191" s="2"/>
      <c r="BH191" s="2"/>
      <c r="BI191" s="2"/>
      <c r="BJ191" s="2"/>
      <c r="BK191" s="2"/>
    </row>
    <row r="192" spans="1:63" s="1" customFormat="1" outlineLevel="1">
      <c r="A192" s="1" t="s">
        <v>1041</v>
      </c>
      <c r="B192" s="60"/>
      <c r="C192" s="250">
        <f>C188-$C188</f>
        <v>0</v>
      </c>
      <c r="D192" s="250">
        <f t="shared" ref="D192:AG192" si="148">D188-$C188</f>
        <v>1.9985215548760896E-3</v>
      </c>
      <c r="E192" s="250">
        <f t="shared" si="148"/>
        <v>4.8852428627850306E-3</v>
      </c>
      <c r="F192" s="250">
        <f t="shared" si="148"/>
        <v>8.7767106832666811E-3</v>
      </c>
      <c r="G192" s="250">
        <f t="shared" si="148"/>
        <v>1.3788416575849779E-2</v>
      </c>
      <c r="H192" s="250">
        <f t="shared" si="148"/>
        <v>2.0034802771649582E-2</v>
      </c>
      <c r="I192" s="250">
        <f t="shared" si="148"/>
        <v>2.6775523637150307E-2</v>
      </c>
      <c r="J192" s="250">
        <f t="shared" si="148"/>
        <v>3.4417091486477779E-2</v>
      </c>
      <c r="K192" s="250">
        <f t="shared" si="148"/>
        <v>4.2925132516345478E-2</v>
      </c>
      <c r="L192" s="250">
        <f t="shared" si="148"/>
        <v>5.225061335721614E-2</v>
      </c>
      <c r="M192" s="250">
        <f t="shared" si="148"/>
        <v>6.2330004461198366E-2</v>
      </c>
      <c r="N192" s="250">
        <f t="shared" si="148"/>
        <v>7.0905019700990446E-2</v>
      </c>
      <c r="O192" s="250">
        <f t="shared" si="148"/>
        <v>7.9807233165484923E-2</v>
      </c>
      <c r="P192" s="250">
        <f t="shared" si="148"/>
        <v>8.8953663591122209E-2</v>
      </c>
      <c r="Q192" s="250">
        <f t="shared" si="148"/>
        <v>9.825212807513653E-2</v>
      </c>
      <c r="R192" s="250">
        <f t="shared" si="148"/>
        <v>0.10760134764986555</v>
      </c>
      <c r="S192" s="250">
        <f t="shared" si="148"/>
        <v>0.11850248765058857</v>
      </c>
      <c r="T192" s="250">
        <f t="shared" si="148"/>
        <v>0.12964677276075384</v>
      </c>
      <c r="U192" s="250">
        <f t="shared" si="148"/>
        <v>0.14095762762996084</v>
      </c>
      <c r="V192" s="250">
        <f t="shared" si="148"/>
        <v>0.15235222073730656</v>
      </c>
      <c r="W192" s="250">
        <f t="shared" si="148"/>
        <v>0.16374153715056194</v>
      </c>
      <c r="X192" s="250">
        <f t="shared" si="148"/>
        <v>0.17866667197543964</v>
      </c>
      <c r="Y192" s="250">
        <f t="shared" si="148"/>
        <v>0.19356327395577386</v>
      </c>
      <c r="Z192" s="250">
        <f t="shared" si="148"/>
        <v>0.20828773378181525</v>
      </c>
      <c r="AA192" s="250">
        <f t="shared" si="148"/>
        <v>0.22268717888999323</v>
      </c>
      <c r="AB192" s="250">
        <f t="shared" si="148"/>
        <v>0.2365995827094704</v>
      </c>
      <c r="AC192" s="250">
        <f t="shared" si="148"/>
        <v>0.24736197948785574</v>
      </c>
      <c r="AD192" s="250">
        <f t="shared" si="148"/>
        <v>0.25677299724005664</v>
      </c>
      <c r="AE192" s="250">
        <f t="shared" si="148"/>
        <v>0.26459545660918615</v>
      </c>
      <c r="AF192" s="250">
        <f t="shared" si="148"/>
        <v>0.27058174577292249</v>
      </c>
      <c r="AG192" s="250">
        <f t="shared" si="148"/>
        <v>0.27447394729851066</v>
      </c>
      <c r="AH192" s="217"/>
      <c r="AI192" s="368"/>
      <c r="AJ192" s="369"/>
      <c r="AL192" s="194"/>
      <c r="AM192" s="116"/>
      <c r="AN192" s="116"/>
      <c r="AO192" s="116"/>
      <c r="BD192" s="116"/>
      <c r="BE192" s="116"/>
      <c r="BF192" s="116"/>
      <c r="BG192" s="116"/>
      <c r="BH192" s="116"/>
      <c r="BI192" s="116"/>
      <c r="BJ192" s="116"/>
      <c r="BK192" s="116"/>
    </row>
    <row r="193" spans="1:63" outlineLevel="1">
      <c r="A193" s="4" t="s">
        <v>35</v>
      </c>
      <c r="C193" s="203">
        <f>C189-$C189</f>
        <v>0</v>
      </c>
      <c r="D193" s="203">
        <f t="shared" ref="D193:AF193" si="149">D189-$C189</f>
        <v>2.3204914533615019E-5</v>
      </c>
      <c r="E193" s="203">
        <f t="shared" si="149"/>
        <v>1.1344550458341986E-4</v>
      </c>
      <c r="F193" s="203">
        <f t="shared" si="149"/>
        <v>3.0572022722681592E-4</v>
      </c>
      <c r="G193" s="203">
        <f t="shared" si="149"/>
        <v>6.4039144819994214E-4</v>
      </c>
      <c r="H193" s="203">
        <f t="shared" si="149"/>
        <v>1.163124522924614E-3</v>
      </c>
      <c r="I193" s="203">
        <f t="shared" si="149"/>
        <v>1.8653501216744726E-3</v>
      </c>
      <c r="J193" s="203">
        <f t="shared" si="149"/>
        <v>2.7973276802720796E-3</v>
      </c>
      <c r="K193" s="203">
        <f t="shared" si="149"/>
        <v>3.9872435859623382E-3</v>
      </c>
      <c r="L193" s="203">
        <f t="shared" si="149"/>
        <v>5.4601558481689955E-3</v>
      </c>
      <c r="M193" s="203">
        <f t="shared" si="149"/>
        <v>7.2371620054487076E-3</v>
      </c>
      <c r="N193" s="203">
        <f t="shared" si="149"/>
        <v>9.0560915391005841E-3</v>
      </c>
      <c r="O193" s="203">
        <f t="shared" si="149"/>
        <v>1.1119740111389598E-2</v>
      </c>
      <c r="P193" s="203">
        <f t="shared" si="149"/>
        <v>1.3426979573285047E-2</v>
      </c>
      <c r="Q193" s="203">
        <f t="shared" si="149"/>
        <v>1.5971332012073177E-2</v>
      </c>
      <c r="R193" s="203">
        <f t="shared" si="149"/>
        <v>1.8740453935747539E-2</v>
      </c>
      <c r="S193" s="203">
        <f t="shared" si="149"/>
        <v>2.2014994764452619E-2</v>
      </c>
      <c r="T193" s="203">
        <f t="shared" si="149"/>
        <v>2.5590676598031509E-2</v>
      </c>
      <c r="U193" s="203">
        <f t="shared" si="149"/>
        <v>2.9459964788775609E-2</v>
      </c>
      <c r="V193" s="203">
        <f t="shared" si="149"/>
        <v>3.3610388038702928E-2</v>
      </c>
      <c r="W193" s="203">
        <f t="shared" si="149"/>
        <v>3.8024192092510269E-2</v>
      </c>
      <c r="X193" s="203">
        <f t="shared" si="149"/>
        <v>4.3564624912191006E-2</v>
      </c>
      <c r="Y193" s="203">
        <f t="shared" si="149"/>
        <v>4.9444361906777812E-2</v>
      </c>
      <c r="Z193" s="203">
        <f t="shared" si="149"/>
        <v>5.5624057757766895E-2</v>
      </c>
      <c r="AA193" s="203">
        <f t="shared" si="149"/>
        <v>6.2055115988312863E-2</v>
      </c>
      <c r="AB193" s="203">
        <f t="shared" si="149"/>
        <v>6.8679182894810439E-2</v>
      </c>
      <c r="AC193" s="203">
        <f t="shared" si="149"/>
        <v>7.4675378432019268E-2</v>
      </c>
      <c r="AD193" s="203">
        <f t="shared" si="149"/>
        <v>8.0497844472014107E-2</v>
      </c>
      <c r="AE193" s="203">
        <f t="shared" si="149"/>
        <v>8.6022399090627338E-2</v>
      </c>
      <c r="AF193" s="203">
        <f t="shared" si="149"/>
        <v>9.1110331945748163E-2</v>
      </c>
      <c r="AG193" s="203">
        <f>AG189-$C189</f>
        <v>9.5607842805990453E-2</v>
      </c>
      <c r="AH193" s="217"/>
      <c r="AI193" s="124"/>
      <c r="AJ193" s="185"/>
      <c r="AL193" s="100"/>
      <c r="AM193" s="2"/>
      <c r="AN193" s="2"/>
      <c r="AO193" s="2"/>
      <c r="BC193" s="1"/>
      <c r="BD193" s="2"/>
      <c r="BE193" s="2"/>
      <c r="BF193" s="2"/>
      <c r="BG193" s="2"/>
      <c r="BH193" s="2"/>
      <c r="BI193" s="2"/>
      <c r="BJ193" s="2"/>
      <c r="BK193" s="2"/>
    </row>
    <row r="194" spans="1:63" outlineLevel="1">
      <c r="A194" s="4" t="s">
        <v>160</v>
      </c>
      <c r="C194" s="203">
        <f t="shared" ref="C194:AG194" si="150">C190-$C190</f>
        <v>0</v>
      </c>
      <c r="D194" s="203">
        <f t="shared" si="150"/>
        <v>0</v>
      </c>
      <c r="E194" s="203">
        <f t="shared" si="150"/>
        <v>0</v>
      </c>
      <c r="F194" s="203">
        <f t="shared" si="150"/>
        <v>0</v>
      </c>
      <c r="G194" s="203">
        <f t="shared" si="150"/>
        <v>0</v>
      </c>
      <c r="H194" s="203">
        <f t="shared" si="150"/>
        <v>0</v>
      </c>
      <c r="I194" s="203">
        <f t="shared" si="150"/>
        <v>0</v>
      </c>
      <c r="J194" s="203">
        <f t="shared" si="150"/>
        <v>0</v>
      </c>
      <c r="K194" s="203">
        <f t="shared" si="150"/>
        <v>0</v>
      </c>
      <c r="L194" s="203">
        <f t="shared" si="150"/>
        <v>0</v>
      </c>
      <c r="M194" s="203">
        <f t="shared" si="150"/>
        <v>0</v>
      </c>
      <c r="N194" s="203">
        <f t="shared" si="150"/>
        <v>0</v>
      </c>
      <c r="O194" s="203">
        <f t="shared" si="150"/>
        <v>0</v>
      </c>
      <c r="P194" s="203">
        <f t="shared" si="150"/>
        <v>0</v>
      </c>
      <c r="Q194" s="203">
        <f t="shared" si="150"/>
        <v>0</v>
      </c>
      <c r="R194" s="203">
        <f t="shared" si="150"/>
        <v>0</v>
      </c>
      <c r="S194" s="203">
        <f t="shared" si="150"/>
        <v>0</v>
      </c>
      <c r="T194" s="203">
        <f t="shared" si="150"/>
        <v>0</v>
      </c>
      <c r="U194" s="203">
        <f t="shared" si="150"/>
        <v>0</v>
      </c>
      <c r="V194" s="203">
        <f t="shared" si="150"/>
        <v>0</v>
      </c>
      <c r="W194" s="203">
        <f t="shared" si="150"/>
        <v>0</v>
      </c>
      <c r="X194" s="203">
        <f t="shared" si="150"/>
        <v>0</v>
      </c>
      <c r="Y194" s="203">
        <f t="shared" si="150"/>
        <v>0</v>
      </c>
      <c r="Z194" s="203">
        <f t="shared" si="150"/>
        <v>0</v>
      </c>
      <c r="AA194" s="203">
        <f t="shared" si="150"/>
        <v>0</v>
      </c>
      <c r="AB194" s="203">
        <f t="shared" si="150"/>
        <v>0</v>
      </c>
      <c r="AC194" s="203">
        <f t="shared" si="150"/>
        <v>0</v>
      </c>
      <c r="AD194" s="203">
        <f t="shared" si="150"/>
        <v>0</v>
      </c>
      <c r="AE194" s="203">
        <f t="shared" si="150"/>
        <v>0</v>
      </c>
      <c r="AF194" s="203">
        <f t="shared" si="150"/>
        <v>0</v>
      </c>
      <c r="AG194" s="203">
        <f t="shared" si="150"/>
        <v>0</v>
      </c>
      <c r="AH194" s="217"/>
      <c r="AI194" s="124"/>
      <c r="AJ194" s="185"/>
      <c r="AL194" s="100"/>
      <c r="AM194" s="2"/>
      <c r="AN194" s="2"/>
      <c r="AO194" s="2"/>
      <c r="BC194" s="1"/>
      <c r="BD194" s="2"/>
      <c r="BE194" s="2"/>
      <c r="BF194" s="2"/>
      <c r="BG194" s="2"/>
      <c r="BH194" s="2"/>
      <c r="BI194" s="2"/>
      <c r="BJ194" s="2"/>
      <c r="BK194" s="2"/>
    </row>
    <row r="195" spans="1:63" outlineLevel="1">
      <c r="A195" s="4" t="s">
        <v>1040</v>
      </c>
      <c r="C195" s="203">
        <f t="shared" ref="C195:AG195" si="151">C191-$C191</f>
        <v>0</v>
      </c>
      <c r="D195" s="203">
        <f t="shared" si="151"/>
        <v>4.3412470628921302E-5</v>
      </c>
      <c r="E195" s="203">
        <f t="shared" si="151"/>
        <v>2.122373529355822E-4</v>
      </c>
      <c r="F195" s="203">
        <f t="shared" si="151"/>
        <v>5.719508410998522E-4</v>
      </c>
      <c r="G195" s="203">
        <f t="shared" si="151"/>
        <v>1.1980640952466951E-3</v>
      </c>
      <c r="H195" s="203">
        <f t="shared" si="151"/>
        <v>2.1760092723503168E-3</v>
      </c>
      <c r="I195" s="203">
        <f t="shared" si="151"/>
        <v>3.4897546057555888E-3</v>
      </c>
      <c r="J195" s="203">
        <f t="shared" si="151"/>
        <v>5.2333269999060685E-3</v>
      </c>
      <c r="K195" s="203">
        <f t="shared" si="151"/>
        <v>7.4594584183964568E-3</v>
      </c>
      <c r="L195" s="203">
        <f t="shared" si="151"/>
        <v>1.0215028158995847E-2</v>
      </c>
      <c r="M195" s="203">
        <f t="shared" si="151"/>
        <v>1.3539506148284083E-2</v>
      </c>
      <c r="N195" s="203">
        <f t="shared" si="151"/>
        <v>1.6942415684595914E-2</v>
      </c>
      <c r="O195" s="203">
        <f t="shared" si="151"/>
        <v>2.0803153154804369E-2</v>
      </c>
      <c r="P195" s="203">
        <f t="shared" si="151"/>
        <v>2.5119607982867911E-2</v>
      </c>
      <c r="Q195" s="203">
        <f t="shared" si="151"/>
        <v>2.98796610896572E-2</v>
      </c>
      <c r="R195" s="203">
        <f t="shared" si="151"/>
        <v>3.5060219889185236E-2</v>
      </c>
      <c r="S195" s="203">
        <f t="shared" si="151"/>
        <v>4.1186331982527948E-2</v>
      </c>
      <c r="T195" s="203">
        <f t="shared" si="151"/>
        <v>4.7875827966395661E-2</v>
      </c>
      <c r="U195" s="203">
        <f t="shared" si="151"/>
        <v>5.5114611789200886E-2</v>
      </c>
      <c r="V195" s="203">
        <f t="shared" si="151"/>
        <v>6.2879351761591221E-2</v>
      </c>
      <c r="W195" s="203">
        <f t="shared" si="151"/>
        <v>7.1136832674531011E-2</v>
      </c>
      <c r="X195" s="203">
        <f t="shared" si="151"/>
        <v>8.1502045470616735E-2</v>
      </c>
      <c r="Y195" s="203">
        <f t="shared" si="151"/>
        <v>9.2502038994123001E-2</v>
      </c>
      <c r="Z195" s="203">
        <f t="shared" si="151"/>
        <v>0.10406320480829145</v>
      </c>
      <c r="AA195" s="203">
        <f t="shared" si="151"/>
        <v>0.1160946271236817</v>
      </c>
      <c r="AB195" s="203">
        <f t="shared" si="151"/>
        <v>0.12848713602974818</v>
      </c>
      <c r="AC195" s="203">
        <f t="shared" si="151"/>
        <v>0.13970500379078898</v>
      </c>
      <c r="AD195" s="203">
        <f t="shared" si="151"/>
        <v>0.15059785304403681</v>
      </c>
      <c r="AE195" s="203">
        <f t="shared" si="151"/>
        <v>0.16093336041127962</v>
      </c>
      <c r="AF195" s="203">
        <f t="shared" si="151"/>
        <v>0.17045202230141013</v>
      </c>
      <c r="AG195" s="203">
        <f t="shared" si="151"/>
        <v>0.17886610449252022</v>
      </c>
      <c r="AH195" s="217"/>
      <c r="AI195" s="124"/>
      <c r="AJ195" s="185"/>
      <c r="AL195" s="100"/>
      <c r="AM195" s="2"/>
      <c r="AN195" s="2"/>
      <c r="AO195" s="2"/>
      <c r="BC195" s="1"/>
      <c r="BD195" s="2"/>
      <c r="BE195" s="2"/>
      <c r="BF195" s="2"/>
      <c r="BG195" s="2"/>
      <c r="BH195" s="2"/>
      <c r="BI195" s="2"/>
      <c r="BJ195" s="2"/>
      <c r="BK195" s="2"/>
    </row>
    <row r="196" spans="1:63" s="1" customFormat="1" outlineLevel="1">
      <c r="A196" s="1" t="s">
        <v>1044</v>
      </c>
      <c r="B196" s="60"/>
      <c r="C196" s="250">
        <f>C182*C42</f>
        <v>0</v>
      </c>
      <c r="D196" s="250">
        <f t="shared" ref="D196:AG196" si="152">D182*D42</f>
        <v>1.9985215548760896E-3</v>
      </c>
      <c r="E196" s="250">
        <f t="shared" si="152"/>
        <v>4.8852428627850306E-3</v>
      </c>
      <c r="F196" s="250">
        <f t="shared" si="152"/>
        <v>8.7767106832666811E-3</v>
      </c>
      <c r="G196" s="250">
        <f t="shared" si="152"/>
        <v>1.3788416575849779E-2</v>
      </c>
      <c r="H196" s="250">
        <f t="shared" si="152"/>
        <v>2.0034802771649582E-2</v>
      </c>
      <c r="I196" s="250">
        <f t="shared" si="152"/>
        <v>2.6775523637150307E-2</v>
      </c>
      <c r="J196" s="250">
        <f t="shared" si="152"/>
        <v>3.4417091486477779E-2</v>
      </c>
      <c r="K196" s="250">
        <f t="shared" si="152"/>
        <v>4.2925132516345478E-2</v>
      </c>
      <c r="L196" s="250">
        <f t="shared" si="152"/>
        <v>5.225061335721614E-2</v>
      </c>
      <c r="M196" s="250">
        <f t="shared" si="152"/>
        <v>6.2330004461198366E-2</v>
      </c>
      <c r="N196" s="250">
        <f t="shared" si="152"/>
        <v>7.0905019700990446E-2</v>
      </c>
      <c r="O196" s="250">
        <f t="shared" si="152"/>
        <v>7.9807233165484923E-2</v>
      </c>
      <c r="P196" s="250">
        <f t="shared" si="152"/>
        <v>8.8953663591122209E-2</v>
      </c>
      <c r="Q196" s="250">
        <f t="shared" si="152"/>
        <v>9.825212807513653E-2</v>
      </c>
      <c r="R196" s="250">
        <f t="shared" si="152"/>
        <v>0.10760134764986555</v>
      </c>
      <c r="S196" s="250">
        <f t="shared" si="152"/>
        <v>0.11850248765058857</v>
      </c>
      <c r="T196" s="250">
        <f t="shared" si="152"/>
        <v>0.12964677276075384</v>
      </c>
      <c r="U196" s="250">
        <f t="shared" si="152"/>
        <v>0.14095762762996084</v>
      </c>
      <c r="V196" s="250">
        <f t="shared" si="152"/>
        <v>0.15235222073730656</v>
      </c>
      <c r="W196" s="250">
        <f t="shared" si="152"/>
        <v>0.16374153715056194</v>
      </c>
      <c r="X196" s="250">
        <f t="shared" si="152"/>
        <v>0.17866667197543964</v>
      </c>
      <c r="Y196" s="250">
        <f t="shared" si="152"/>
        <v>0.19356327395577386</v>
      </c>
      <c r="Z196" s="250">
        <f t="shared" si="152"/>
        <v>0.20828773378181525</v>
      </c>
      <c r="AA196" s="250">
        <f t="shared" si="152"/>
        <v>0.22268717888999323</v>
      </c>
      <c r="AB196" s="250">
        <f t="shared" si="152"/>
        <v>0.2365995827094704</v>
      </c>
      <c r="AC196" s="250">
        <f t="shared" si="152"/>
        <v>0.24736197948785574</v>
      </c>
      <c r="AD196" s="250">
        <f t="shared" si="152"/>
        <v>0.25677299724005664</v>
      </c>
      <c r="AE196" s="250">
        <f t="shared" si="152"/>
        <v>0.26459545660918615</v>
      </c>
      <c r="AF196" s="250">
        <f t="shared" si="152"/>
        <v>0.27058174577292249</v>
      </c>
      <c r="AG196" s="250">
        <f t="shared" si="152"/>
        <v>0.27447394729851066</v>
      </c>
      <c r="AH196" s="217"/>
      <c r="AI196" s="368"/>
      <c r="AJ196" s="369"/>
      <c r="AL196" s="194"/>
      <c r="AM196" s="116"/>
      <c r="AN196" s="116"/>
      <c r="AO196" s="116"/>
      <c r="BD196" s="116"/>
      <c r="BE196" s="116"/>
      <c r="BF196" s="116"/>
      <c r="BG196" s="116"/>
      <c r="BH196" s="116"/>
      <c r="BI196" s="116"/>
      <c r="BJ196" s="116"/>
      <c r="BK196" s="116"/>
    </row>
    <row r="197" spans="1:63" outlineLevel="1">
      <c r="A197" s="4" t="s">
        <v>35</v>
      </c>
      <c r="C197" s="203">
        <f>C$196*'Methanol recycling rates'!E63</f>
        <v>0</v>
      </c>
      <c r="D197" s="203">
        <f>D$196*'Methanol recycling rates'!F63</f>
        <v>2.3204914533615019E-5</v>
      </c>
      <c r="E197" s="203">
        <f>E$196*'Methanol recycling rates'!G63</f>
        <v>1.1344550458341986E-4</v>
      </c>
      <c r="F197" s="203">
        <f>F$196*'Methanol recycling rates'!H63</f>
        <v>3.0572022722681592E-4</v>
      </c>
      <c r="G197" s="203">
        <f>G$196*'Methanol recycling rates'!I63</f>
        <v>6.4039144819994214E-4</v>
      </c>
      <c r="H197" s="203">
        <f>H$196*'Methanol recycling rates'!J63</f>
        <v>1.163124522924614E-3</v>
      </c>
      <c r="I197" s="203">
        <f>I$196*'Methanol recycling rates'!K63</f>
        <v>1.8653501216744726E-3</v>
      </c>
      <c r="J197" s="203">
        <f>J$196*'Methanol recycling rates'!L63</f>
        <v>2.7973276802720796E-3</v>
      </c>
      <c r="K197" s="203">
        <f>K$196*'Methanol recycling rates'!M63</f>
        <v>3.9872435859623382E-3</v>
      </c>
      <c r="L197" s="203">
        <f>L$196*'Methanol recycling rates'!N63</f>
        <v>5.4601558481689955E-3</v>
      </c>
      <c r="M197" s="203">
        <f>M$196*'Methanol recycling rates'!O63</f>
        <v>7.2371620054487076E-3</v>
      </c>
      <c r="N197" s="203">
        <f>N$196*'Methanol recycling rates'!P63</f>
        <v>9.0560915391005841E-3</v>
      </c>
      <c r="O197" s="203">
        <f>O$196*'Methanol recycling rates'!Q63</f>
        <v>1.1119740111389598E-2</v>
      </c>
      <c r="P197" s="203">
        <f>P$196*'Methanol recycling rates'!R63</f>
        <v>1.3426979573285047E-2</v>
      </c>
      <c r="Q197" s="203">
        <f>Q$196*'Methanol recycling rates'!S63</f>
        <v>1.5971332012073177E-2</v>
      </c>
      <c r="R197" s="203">
        <f>R$196*'Methanol recycling rates'!T63</f>
        <v>1.8740453935747539E-2</v>
      </c>
      <c r="S197" s="203">
        <f>S$196*'Methanol recycling rates'!U63</f>
        <v>2.2014994764452619E-2</v>
      </c>
      <c r="T197" s="203">
        <f>T$196*'Methanol recycling rates'!V63</f>
        <v>2.5590676598031509E-2</v>
      </c>
      <c r="U197" s="203">
        <f>U$196*'Methanol recycling rates'!W63</f>
        <v>2.9459964788775609E-2</v>
      </c>
      <c r="V197" s="203">
        <f>V$196*'Methanol recycling rates'!X63</f>
        <v>3.3610388038702928E-2</v>
      </c>
      <c r="W197" s="203">
        <f>W$196*'Methanol recycling rates'!Y63</f>
        <v>3.8024192092510269E-2</v>
      </c>
      <c r="X197" s="203">
        <f>X$196*'Methanol recycling rates'!Z63</f>
        <v>4.3564624912191006E-2</v>
      </c>
      <c r="Y197" s="203">
        <f>Y$196*'Methanol recycling rates'!AA63</f>
        <v>4.9444361906777812E-2</v>
      </c>
      <c r="Z197" s="203">
        <f>Z$196*'Methanol recycling rates'!AB63</f>
        <v>5.5624057757766895E-2</v>
      </c>
      <c r="AA197" s="203">
        <f>AA$196*'Methanol recycling rates'!AC63</f>
        <v>6.2055115988312863E-2</v>
      </c>
      <c r="AB197" s="203">
        <f>AB$196*'Methanol recycling rates'!AD63</f>
        <v>6.8679182894810439E-2</v>
      </c>
      <c r="AC197" s="203">
        <f>AC$196*'Methanol recycling rates'!AE63</f>
        <v>7.4675378432019268E-2</v>
      </c>
      <c r="AD197" s="203">
        <f>AD$196*'Methanol recycling rates'!AF63</f>
        <v>8.0497844472014107E-2</v>
      </c>
      <c r="AE197" s="203">
        <f>AE$196*'Methanol recycling rates'!AG63</f>
        <v>8.6022399090627338E-2</v>
      </c>
      <c r="AF197" s="203">
        <f>AF$196*'Methanol recycling rates'!AH63</f>
        <v>9.1110331945748163E-2</v>
      </c>
      <c r="AG197" s="203">
        <f>AG$196*'Methanol recycling rates'!AI63</f>
        <v>9.5607842805990453E-2</v>
      </c>
      <c r="AH197" s="217"/>
      <c r="AI197" s="124"/>
      <c r="AJ197" s="185"/>
      <c r="AL197" s="100"/>
      <c r="AM197" s="2"/>
      <c r="AN197" s="2"/>
      <c r="AO197" s="2"/>
      <c r="BC197" s="1"/>
      <c r="BD197" s="2"/>
      <c r="BE197" s="2"/>
      <c r="BF197" s="2"/>
      <c r="BG197" s="2"/>
      <c r="BH197" s="2"/>
      <c r="BI197" s="2"/>
      <c r="BJ197" s="2"/>
      <c r="BK197" s="2"/>
    </row>
    <row r="198" spans="1:63" outlineLevel="1">
      <c r="A198" s="4" t="s">
        <v>160</v>
      </c>
      <c r="C198" s="203">
        <f>C$196*'Methanol recycling rates'!E64</f>
        <v>0</v>
      </c>
      <c r="D198" s="203">
        <f>D$196*'Methanol recycling rates'!F64</f>
        <v>0</v>
      </c>
      <c r="E198" s="203">
        <f>E$196*'Methanol recycling rates'!G64</f>
        <v>0</v>
      </c>
      <c r="F198" s="203">
        <f>F$196*'Methanol recycling rates'!H64</f>
        <v>0</v>
      </c>
      <c r="G198" s="203">
        <f>G$196*'Methanol recycling rates'!I64</f>
        <v>0</v>
      </c>
      <c r="H198" s="203">
        <f>H$196*'Methanol recycling rates'!J64</f>
        <v>0</v>
      </c>
      <c r="I198" s="203">
        <f>I$196*'Methanol recycling rates'!K64</f>
        <v>0</v>
      </c>
      <c r="J198" s="203">
        <f>J$196*'Methanol recycling rates'!L64</f>
        <v>0</v>
      </c>
      <c r="K198" s="203">
        <f>K$196*'Methanol recycling rates'!M64</f>
        <v>0</v>
      </c>
      <c r="L198" s="203">
        <f>L$196*'Methanol recycling rates'!N64</f>
        <v>0</v>
      </c>
      <c r="M198" s="203">
        <f>M$196*'Methanol recycling rates'!O64</f>
        <v>0</v>
      </c>
      <c r="N198" s="203">
        <f>N$196*'Methanol recycling rates'!P64</f>
        <v>0</v>
      </c>
      <c r="O198" s="203">
        <f>O$196*'Methanol recycling rates'!Q64</f>
        <v>0</v>
      </c>
      <c r="P198" s="203">
        <f>P$196*'Methanol recycling rates'!R64</f>
        <v>0</v>
      </c>
      <c r="Q198" s="203">
        <f>Q$196*'Methanol recycling rates'!S64</f>
        <v>0</v>
      </c>
      <c r="R198" s="203">
        <f>R$196*'Methanol recycling rates'!T64</f>
        <v>0</v>
      </c>
      <c r="S198" s="203">
        <f>S$196*'Methanol recycling rates'!U64</f>
        <v>0</v>
      </c>
      <c r="T198" s="203">
        <f>T$196*'Methanol recycling rates'!V64</f>
        <v>0</v>
      </c>
      <c r="U198" s="203">
        <f>U$196*'Methanol recycling rates'!W64</f>
        <v>0</v>
      </c>
      <c r="V198" s="203">
        <f>V$196*'Methanol recycling rates'!X64</f>
        <v>0</v>
      </c>
      <c r="W198" s="203">
        <f>W$196*'Methanol recycling rates'!Y64</f>
        <v>0</v>
      </c>
      <c r="X198" s="203">
        <f>X$196*'Methanol recycling rates'!Z64</f>
        <v>0</v>
      </c>
      <c r="Y198" s="203">
        <f>Y$196*'Methanol recycling rates'!AA64</f>
        <v>0</v>
      </c>
      <c r="Z198" s="203">
        <f>Z$196*'Methanol recycling rates'!AB64</f>
        <v>0</v>
      </c>
      <c r="AA198" s="203">
        <f>AA$196*'Methanol recycling rates'!AC64</f>
        <v>0</v>
      </c>
      <c r="AB198" s="203">
        <f>AB$196*'Methanol recycling rates'!AD64</f>
        <v>0</v>
      </c>
      <c r="AC198" s="203">
        <f>AC$196*'Methanol recycling rates'!AE64</f>
        <v>0</v>
      </c>
      <c r="AD198" s="203">
        <f>AD$196*'Methanol recycling rates'!AF64</f>
        <v>0</v>
      </c>
      <c r="AE198" s="203">
        <f>AE$196*'Methanol recycling rates'!AG64</f>
        <v>0</v>
      </c>
      <c r="AF198" s="203">
        <f>AF$196*'Methanol recycling rates'!AH64</f>
        <v>0</v>
      </c>
      <c r="AG198" s="203">
        <f>AG$196*'Methanol recycling rates'!AI64</f>
        <v>0</v>
      </c>
      <c r="AH198" s="217"/>
      <c r="AI198" s="124"/>
      <c r="AJ198" s="185"/>
      <c r="AL198" s="100"/>
      <c r="AM198" s="2"/>
      <c r="AN198" s="2"/>
      <c r="AO198" s="2"/>
      <c r="BC198" s="1"/>
      <c r="BD198" s="2"/>
      <c r="BE198" s="2"/>
      <c r="BF198" s="2"/>
      <c r="BG198" s="2"/>
      <c r="BH198" s="2"/>
      <c r="BI198" s="2"/>
      <c r="BJ198" s="2"/>
      <c r="BK198" s="2"/>
    </row>
    <row r="199" spans="1:63" outlineLevel="1">
      <c r="A199" s="4" t="s">
        <v>1040</v>
      </c>
      <c r="C199" s="203">
        <f>C$196*'Methanol recycling rates'!E65</f>
        <v>0</v>
      </c>
      <c r="D199" s="203">
        <f>D$196*'Methanol recycling rates'!F65</f>
        <v>4.3412470628921302E-5</v>
      </c>
      <c r="E199" s="203">
        <f>E$196*'Methanol recycling rates'!G65</f>
        <v>2.122373529355822E-4</v>
      </c>
      <c r="F199" s="203">
        <f>F$196*'Methanol recycling rates'!H65</f>
        <v>5.719508410998522E-4</v>
      </c>
      <c r="G199" s="203">
        <f>G$196*'Methanol recycling rates'!I65</f>
        <v>1.1980640952466951E-3</v>
      </c>
      <c r="H199" s="203">
        <f>H$196*'Methanol recycling rates'!J65</f>
        <v>2.1760092723503168E-3</v>
      </c>
      <c r="I199" s="203">
        <f>I$196*'Methanol recycling rates'!K65</f>
        <v>3.4897546057555888E-3</v>
      </c>
      <c r="J199" s="203">
        <f>J$196*'Methanol recycling rates'!L65</f>
        <v>5.2333269999060685E-3</v>
      </c>
      <c r="K199" s="203">
        <f>K$196*'Methanol recycling rates'!M65</f>
        <v>7.4594584183964568E-3</v>
      </c>
      <c r="L199" s="203">
        <f>L$196*'Methanol recycling rates'!N65</f>
        <v>1.0215028158995847E-2</v>
      </c>
      <c r="M199" s="203">
        <f>M$196*'Methanol recycling rates'!O65</f>
        <v>1.3539506148284083E-2</v>
      </c>
      <c r="N199" s="203">
        <f>N$196*'Methanol recycling rates'!P65</f>
        <v>1.6942415684595914E-2</v>
      </c>
      <c r="O199" s="203">
        <f>O$196*'Methanol recycling rates'!Q65</f>
        <v>2.0803153154804369E-2</v>
      </c>
      <c r="P199" s="203">
        <f>P$196*'Methanol recycling rates'!R65</f>
        <v>2.5119607982867911E-2</v>
      </c>
      <c r="Q199" s="203">
        <f>Q$196*'Methanol recycling rates'!S65</f>
        <v>2.98796610896572E-2</v>
      </c>
      <c r="R199" s="203">
        <f>R$196*'Methanol recycling rates'!T65</f>
        <v>3.5060219889185236E-2</v>
      </c>
      <c r="S199" s="203">
        <f>S$196*'Methanol recycling rates'!U65</f>
        <v>4.1186331982527948E-2</v>
      </c>
      <c r="T199" s="203">
        <f>T$196*'Methanol recycling rates'!V65</f>
        <v>4.7875827966395661E-2</v>
      </c>
      <c r="U199" s="203">
        <f>U$196*'Methanol recycling rates'!W65</f>
        <v>5.5114611789200886E-2</v>
      </c>
      <c r="V199" s="203">
        <f>V$196*'Methanol recycling rates'!X65</f>
        <v>6.2879351761591221E-2</v>
      </c>
      <c r="W199" s="203">
        <f>W$196*'Methanol recycling rates'!Y65</f>
        <v>7.1136832674531011E-2</v>
      </c>
      <c r="X199" s="203">
        <f>X$196*'Methanol recycling rates'!Z65</f>
        <v>8.1502045470616735E-2</v>
      </c>
      <c r="Y199" s="203">
        <f>Y$196*'Methanol recycling rates'!AA65</f>
        <v>9.2502038994123001E-2</v>
      </c>
      <c r="Z199" s="203">
        <f>Z$196*'Methanol recycling rates'!AB65</f>
        <v>0.10406320480829145</v>
      </c>
      <c r="AA199" s="203">
        <f>AA$196*'Methanol recycling rates'!AC65</f>
        <v>0.1160946271236817</v>
      </c>
      <c r="AB199" s="203">
        <f>AB$196*'Methanol recycling rates'!AD65</f>
        <v>0.12848713602974818</v>
      </c>
      <c r="AC199" s="203">
        <f>AC$196*'Methanol recycling rates'!AE65</f>
        <v>0.13970500379078898</v>
      </c>
      <c r="AD199" s="203">
        <f>AD$196*'Methanol recycling rates'!AF65</f>
        <v>0.15059785304403681</v>
      </c>
      <c r="AE199" s="203">
        <f>AE$196*'Methanol recycling rates'!AG65</f>
        <v>0.16093336041127962</v>
      </c>
      <c r="AF199" s="203">
        <f>AF$196*'Methanol recycling rates'!AH65</f>
        <v>0.17045202230141013</v>
      </c>
      <c r="AG199" s="203">
        <f>AG$196*'Methanol recycling rates'!AI65</f>
        <v>0.17886610449252022</v>
      </c>
      <c r="AH199" s="217"/>
      <c r="AI199" s="124"/>
      <c r="AJ199" s="185"/>
      <c r="AL199" s="100"/>
      <c r="AM199" s="2"/>
      <c r="AN199" s="2"/>
      <c r="AO199" s="2"/>
      <c r="BC199" s="1"/>
      <c r="BD199" s="2"/>
      <c r="BE199" s="2"/>
      <c r="BF199" s="2"/>
      <c r="BG199" s="2"/>
      <c r="BH199" s="2"/>
      <c r="BI199" s="2"/>
      <c r="BJ199" s="2"/>
      <c r="BK199" s="2"/>
    </row>
    <row r="200" spans="1:63" s="1" customFormat="1" outlineLevel="1">
      <c r="A200" s="1" t="s">
        <v>1047</v>
      </c>
      <c r="B200" s="60"/>
      <c r="C200" s="250">
        <f>C196-$C196</f>
        <v>0</v>
      </c>
      <c r="D200" s="250">
        <f t="shared" ref="D200:AG200" si="153">D196-$C196</f>
        <v>1.9985215548760896E-3</v>
      </c>
      <c r="E200" s="250">
        <f t="shared" si="153"/>
        <v>4.8852428627850306E-3</v>
      </c>
      <c r="F200" s="250">
        <f t="shared" si="153"/>
        <v>8.7767106832666811E-3</v>
      </c>
      <c r="G200" s="250">
        <f t="shared" si="153"/>
        <v>1.3788416575849779E-2</v>
      </c>
      <c r="H200" s="250">
        <f t="shared" si="153"/>
        <v>2.0034802771649582E-2</v>
      </c>
      <c r="I200" s="250">
        <f t="shared" si="153"/>
        <v>2.6775523637150307E-2</v>
      </c>
      <c r="J200" s="250">
        <f t="shared" si="153"/>
        <v>3.4417091486477779E-2</v>
      </c>
      <c r="K200" s="250">
        <f t="shared" si="153"/>
        <v>4.2925132516345478E-2</v>
      </c>
      <c r="L200" s="250">
        <f t="shared" si="153"/>
        <v>5.225061335721614E-2</v>
      </c>
      <c r="M200" s="250">
        <f t="shared" si="153"/>
        <v>6.2330004461198366E-2</v>
      </c>
      <c r="N200" s="250">
        <f t="shared" si="153"/>
        <v>7.0905019700990446E-2</v>
      </c>
      <c r="O200" s="250">
        <f t="shared" si="153"/>
        <v>7.9807233165484923E-2</v>
      </c>
      <c r="P200" s="250">
        <f t="shared" si="153"/>
        <v>8.8953663591122209E-2</v>
      </c>
      <c r="Q200" s="250">
        <f t="shared" si="153"/>
        <v>9.825212807513653E-2</v>
      </c>
      <c r="R200" s="250">
        <f t="shared" si="153"/>
        <v>0.10760134764986555</v>
      </c>
      <c r="S200" s="250">
        <f t="shared" si="153"/>
        <v>0.11850248765058857</v>
      </c>
      <c r="T200" s="250">
        <f t="shared" si="153"/>
        <v>0.12964677276075384</v>
      </c>
      <c r="U200" s="250">
        <f t="shared" si="153"/>
        <v>0.14095762762996084</v>
      </c>
      <c r="V200" s="250">
        <f t="shared" si="153"/>
        <v>0.15235222073730656</v>
      </c>
      <c r="W200" s="250">
        <f t="shared" si="153"/>
        <v>0.16374153715056194</v>
      </c>
      <c r="X200" s="250">
        <f t="shared" si="153"/>
        <v>0.17866667197543964</v>
      </c>
      <c r="Y200" s="250">
        <f t="shared" si="153"/>
        <v>0.19356327395577386</v>
      </c>
      <c r="Z200" s="250">
        <f t="shared" si="153"/>
        <v>0.20828773378181525</v>
      </c>
      <c r="AA200" s="250">
        <f t="shared" si="153"/>
        <v>0.22268717888999323</v>
      </c>
      <c r="AB200" s="250">
        <f t="shared" si="153"/>
        <v>0.2365995827094704</v>
      </c>
      <c r="AC200" s="250">
        <f t="shared" si="153"/>
        <v>0.24736197948785574</v>
      </c>
      <c r="AD200" s="250">
        <f t="shared" si="153"/>
        <v>0.25677299724005664</v>
      </c>
      <c r="AE200" s="250">
        <f t="shared" si="153"/>
        <v>0.26459545660918615</v>
      </c>
      <c r="AF200" s="250">
        <f t="shared" si="153"/>
        <v>0.27058174577292249</v>
      </c>
      <c r="AG200" s="250">
        <f t="shared" si="153"/>
        <v>0.27447394729851066</v>
      </c>
      <c r="AH200" s="217"/>
      <c r="AI200" s="368"/>
      <c r="AJ200" s="369"/>
      <c r="AL200" s="194"/>
      <c r="AM200" s="116"/>
      <c r="AN200" s="116"/>
      <c r="AO200" s="116"/>
      <c r="BD200" s="116"/>
      <c r="BE200" s="116"/>
      <c r="BF200" s="116"/>
      <c r="BG200" s="116"/>
      <c r="BH200" s="116"/>
      <c r="BI200" s="116"/>
      <c r="BJ200" s="116"/>
      <c r="BK200" s="116"/>
    </row>
    <row r="201" spans="1:63" outlineLevel="1">
      <c r="A201" s="4" t="s">
        <v>35</v>
      </c>
      <c r="C201" s="203">
        <f t="shared" ref="C201:C203" si="154">C197-$C197</f>
        <v>0</v>
      </c>
      <c r="D201" s="203">
        <f t="shared" ref="D201:AG201" si="155">D197-$C197</f>
        <v>2.3204914533615019E-5</v>
      </c>
      <c r="E201" s="203">
        <f t="shared" si="155"/>
        <v>1.1344550458341986E-4</v>
      </c>
      <c r="F201" s="203">
        <f t="shared" si="155"/>
        <v>3.0572022722681592E-4</v>
      </c>
      <c r="G201" s="203">
        <f t="shared" si="155"/>
        <v>6.4039144819994214E-4</v>
      </c>
      <c r="H201" s="203">
        <f t="shared" si="155"/>
        <v>1.163124522924614E-3</v>
      </c>
      <c r="I201" s="203">
        <f t="shared" si="155"/>
        <v>1.8653501216744726E-3</v>
      </c>
      <c r="J201" s="203">
        <f t="shared" si="155"/>
        <v>2.7973276802720796E-3</v>
      </c>
      <c r="K201" s="203">
        <f t="shared" si="155"/>
        <v>3.9872435859623382E-3</v>
      </c>
      <c r="L201" s="203">
        <f t="shared" si="155"/>
        <v>5.4601558481689955E-3</v>
      </c>
      <c r="M201" s="203">
        <f t="shared" si="155"/>
        <v>7.2371620054487076E-3</v>
      </c>
      <c r="N201" s="203">
        <f t="shared" si="155"/>
        <v>9.0560915391005841E-3</v>
      </c>
      <c r="O201" s="203">
        <f t="shared" si="155"/>
        <v>1.1119740111389598E-2</v>
      </c>
      <c r="P201" s="203">
        <f t="shared" si="155"/>
        <v>1.3426979573285047E-2</v>
      </c>
      <c r="Q201" s="203">
        <f t="shared" si="155"/>
        <v>1.5971332012073177E-2</v>
      </c>
      <c r="R201" s="203">
        <f t="shared" si="155"/>
        <v>1.8740453935747539E-2</v>
      </c>
      <c r="S201" s="203">
        <f t="shared" si="155"/>
        <v>2.2014994764452619E-2</v>
      </c>
      <c r="T201" s="203">
        <f t="shared" si="155"/>
        <v>2.5590676598031509E-2</v>
      </c>
      <c r="U201" s="203">
        <f t="shared" si="155"/>
        <v>2.9459964788775609E-2</v>
      </c>
      <c r="V201" s="203">
        <f t="shared" si="155"/>
        <v>3.3610388038702928E-2</v>
      </c>
      <c r="W201" s="203">
        <f t="shared" si="155"/>
        <v>3.8024192092510269E-2</v>
      </c>
      <c r="X201" s="203">
        <f t="shared" si="155"/>
        <v>4.3564624912191006E-2</v>
      </c>
      <c r="Y201" s="203">
        <f t="shared" si="155"/>
        <v>4.9444361906777812E-2</v>
      </c>
      <c r="Z201" s="203">
        <f t="shared" si="155"/>
        <v>5.5624057757766895E-2</v>
      </c>
      <c r="AA201" s="203">
        <f t="shared" si="155"/>
        <v>6.2055115988312863E-2</v>
      </c>
      <c r="AB201" s="203">
        <f t="shared" si="155"/>
        <v>6.8679182894810439E-2</v>
      </c>
      <c r="AC201" s="203">
        <f t="shared" si="155"/>
        <v>7.4675378432019268E-2</v>
      </c>
      <c r="AD201" s="203">
        <f t="shared" si="155"/>
        <v>8.0497844472014107E-2</v>
      </c>
      <c r="AE201" s="203">
        <f t="shared" si="155"/>
        <v>8.6022399090627338E-2</v>
      </c>
      <c r="AF201" s="203">
        <f t="shared" si="155"/>
        <v>9.1110331945748163E-2</v>
      </c>
      <c r="AG201" s="203">
        <f t="shared" si="155"/>
        <v>9.5607842805990453E-2</v>
      </c>
      <c r="AH201" s="217"/>
      <c r="AI201" s="124"/>
      <c r="AJ201" s="185"/>
      <c r="AL201" s="100"/>
      <c r="AM201" s="2"/>
      <c r="AN201" s="2"/>
      <c r="AO201" s="2"/>
      <c r="BC201" s="1"/>
      <c r="BD201" s="2"/>
      <c r="BE201" s="2"/>
      <c r="BF201" s="2"/>
      <c r="BG201" s="2"/>
      <c r="BH201" s="2"/>
      <c r="BI201" s="2"/>
      <c r="BJ201" s="2"/>
      <c r="BK201" s="2"/>
    </row>
    <row r="202" spans="1:63" outlineLevel="1">
      <c r="A202" s="4" t="s">
        <v>160</v>
      </c>
      <c r="C202" s="203">
        <f t="shared" si="154"/>
        <v>0</v>
      </c>
      <c r="D202" s="203">
        <f t="shared" ref="D202:AG202" si="156">D198-$C198</f>
        <v>0</v>
      </c>
      <c r="E202" s="203">
        <f t="shared" si="156"/>
        <v>0</v>
      </c>
      <c r="F202" s="203">
        <f t="shared" si="156"/>
        <v>0</v>
      </c>
      <c r="G202" s="203">
        <f t="shared" si="156"/>
        <v>0</v>
      </c>
      <c r="H202" s="203">
        <f t="shared" si="156"/>
        <v>0</v>
      </c>
      <c r="I202" s="203">
        <f t="shared" si="156"/>
        <v>0</v>
      </c>
      <c r="J202" s="203">
        <f t="shared" si="156"/>
        <v>0</v>
      </c>
      <c r="K202" s="203">
        <f t="shared" si="156"/>
        <v>0</v>
      </c>
      <c r="L202" s="203">
        <f t="shared" si="156"/>
        <v>0</v>
      </c>
      <c r="M202" s="203">
        <f t="shared" si="156"/>
        <v>0</v>
      </c>
      <c r="N202" s="203">
        <f t="shared" si="156"/>
        <v>0</v>
      </c>
      <c r="O202" s="203">
        <f t="shared" si="156"/>
        <v>0</v>
      </c>
      <c r="P202" s="203">
        <f t="shared" si="156"/>
        <v>0</v>
      </c>
      <c r="Q202" s="203">
        <f t="shared" si="156"/>
        <v>0</v>
      </c>
      <c r="R202" s="203">
        <f t="shared" si="156"/>
        <v>0</v>
      </c>
      <c r="S202" s="203">
        <f t="shared" si="156"/>
        <v>0</v>
      </c>
      <c r="T202" s="203">
        <f t="shared" si="156"/>
        <v>0</v>
      </c>
      <c r="U202" s="203">
        <f t="shared" si="156"/>
        <v>0</v>
      </c>
      <c r="V202" s="203">
        <f t="shared" si="156"/>
        <v>0</v>
      </c>
      <c r="W202" s="203">
        <f t="shared" si="156"/>
        <v>0</v>
      </c>
      <c r="X202" s="203">
        <f t="shared" si="156"/>
        <v>0</v>
      </c>
      <c r="Y202" s="203">
        <f t="shared" si="156"/>
        <v>0</v>
      </c>
      <c r="Z202" s="203">
        <f t="shared" si="156"/>
        <v>0</v>
      </c>
      <c r="AA202" s="203">
        <f t="shared" si="156"/>
        <v>0</v>
      </c>
      <c r="AB202" s="203">
        <f t="shared" si="156"/>
        <v>0</v>
      </c>
      <c r="AC202" s="203">
        <f t="shared" si="156"/>
        <v>0</v>
      </c>
      <c r="AD202" s="203">
        <f t="shared" si="156"/>
        <v>0</v>
      </c>
      <c r="AE202" s="203">
        <f t="shared" si="156"/>
        <v>0</v>
      </c>
      <c r="AF202" s="203">
        <f t="shared" si="156"/>
        <v>0</v>
      </c>
      <c r="AG202" s="203">
        <f t="shared" si="156"/>
        <v>0</v>
      </c>
      <c r="AH202" s="217"/>
      <c r="AI202" s="124"/>
      <c r="AJ202" s="185"/>
      <c r="AL202" s="100"/>
      <c r="AM202" s="2"/>
      <c r="AN202" s="2"/>
      <c r="AO202" s="2"/>
      <c r="BC202" s="1"/>
      <c r="BD202" s="2"/>
      <c r="BE202" s="2"/>
      <c r="BF202" s="2"/>
      <c r="BG202" s="2"/>
      <c r="BH202" s="2"/>
      <c r="BI202" s="2"/>
      <c r="BJ202" s="2"/>
      <c r="BK202" s="2"/>
    </row>
    <row r="203" spans="1:63" outlineLevel="1">
      <c r="A203" s="4" t="s">
        <v>1040</v>
      </c>
      <c r="C203" s="203">
        <f t="shared" si="154"/>
        <v>0</v>
      </c>
      <c r="D203" s="203">
        <f t="shared" ref="D203:AG203" si="157">D199-$C199</f>
        <v>4.3412470628921302E-5</v>
      </c>
      <c r="E203" s="203">
        <f t="shared" si="157"/>
        <v>2.122373529355822E-4</v>
      </c>
      <c r="F203" s="203">
        <f t="shared" si="157"/>
        <v>5.719508410998522E-4</v>
      </c>
      <c r="G203" s="203">
        <f t="shared" si="157"/>
        <v>1.1980640952466951E-3</v>
      </c>
      <c r="H203" s="203">
        <f t="shared" si="157"/>
        <v>2.1760092723503168E-3</v>
      </c>
      <c r="I203" s="203">
        <f t="shared" si="157"/>
        <v>3.4897546057555888E-3</v>
      </c>
      <c r="J203" s="203">
        <f t="shared" si="157"/>
        <v>5.2333269999060685E-3</v>
      </c>
      <c r="K203" s="203">
        <f t="shared" si="157"/>
        <v>7.4594584183964568E-3</v>
      </c>
      <c r="L203" s="203">
        <f t="shared" si="157"/>
        <v>1.0215028158995847E-2</v>
      </c>
      <c r="M203" s="203">
        <f t="shared" si="157"/>
        <v>1.3539506148284083E-2</v>
      </c>
      <c r="N203" s="203">
        <f t="shared" si="157"/>
        <v>1.6942415684595914E-2</v>
      </c>
      <c r="O203" s="203">
        <f t="shared" si="157"/>
        <v>2.0803153154804369E-2</v>
      </c>
      <c r="P203" s="203">
        <f t="shared" si="157"/>
        <v>2.5119607982867911E-2</v>
      </c>
      <c r="Q203" s="203">
        <f t="shared" si="157"/>
        <v>2.98796610896572E-2</v>
      </c>
      <c r="R203" s="203">
        <f t="shared" si="157"/>
        <v>3.5060219889185236E-2</v>
      </c>
      <c r="S203" s="203">
        <f t="shared" si="157"/>
        <v>4.1186331982527948E-2</v>
      </c>
      <c r="T203" s="203">
        <f t="shared" si="157"/>
        <v>4.7875827966395661E-2</v>
      </c>
      <c r="U203" s="203">
        <f t="shared" si="157"/>
        <v>5.5114611789200886E-2</v>
      </c>
      <c r="V203" s="203">
        <f t="shared" si="157"/>
        <v>6.2879351761591221E-2</v>
      </c>
      <c r="W203" s="203">
        <f t="shared" si="157"/>
        <v>7.1136832674531011E-2</v>
      </c>
      <c r="X203" s="203">
        <f t="shared" si="157"/>
        <v>8.1502045470616735E-2</v>
      </c>
      <c r="Y203" s="203">
        <f t="shared" si="157"/>
        <v>9.2502038994123001E-2</v>
      </c>
      <c r="Z203" s="203">
        <f t="shared" si="157"/>
        <v>0.10406320480829145</v>
      </c>
      <c r="AA203" s="203">
        <f t="shared" si="157"/>
        <v>0.1160946271236817</v>
      </c>
      <c r="AB203" s="203">
        <f t="shared" si="157"/>
        <v>0.12848713602974818</v>
      </c>
      <c r="AC203" s="203">
        <f t="shared" si="157"/>
        <v>0.13970500379078898</v>
      </c>
      <c r="AD203" s="203">
        <f t="shared" si="157"/>
        <v>0.15059785304403681</v>
      </c>
      <c r="AE203" s="203">
        <f t="shared" si="157"/>
        <v>0.16093336041127962</v>
      </c>
      <c r="AF203" s="203">
        <f t="shared" si="157"/>
        <v>0.17045202230141013</v>
      </c>
      <c r="AG203" s="203">
        <f t="shared" si="157"/>
        <v>0.17886610449252022</v>
      </c>
      <c r="AH203" s="217"/>
      <c r="AI203" s="124"/>
      <c r="AJ203" s="185"/>
      <c r="AL203" s="100"/>
      <c r="AM203" s="2"/>
      <c r="AN203" s="2"/>
      <c r="AO203" s="2"/>
      <c r="BC203" s="1"/>
      <c r="BD203" s="2"/>
      <c r="BE203" s="2"/>
      <c r="BF203" s="2"/>
      <c r="BG203" s="2"/>
      <c r="BH203" s="2"/>
      <c r="BI203" s="2"/>
      <c r="BJ203" s="2"/>
      <c r="BK203" s="2"/>
    </row>
    <row r="204" spans="1:63" s="1" customFormat="1" outlineLevel="1">
      <c r="A204" s="1" t="s">
        <v>1043</v>
      </c>
      <c r="B204" s="60"/>
      <c r="C204" s="250">
        <f>C182*C42</f>
        <v>0</v>
      </c>
      <c r="D204" s="250">
        <f t="shared" ref="D204:AG204" si="158">D182*D42</f>
        <v>1.9985215548760896E-3</v>
      </c>
      <c r="E204" s="250">
        <f t="shared" si="158"/>
        <v>4.8852428627850306E-3</v>
      </c>
      <c r="F204" s="250">
        <f t="shared" si="158"/>
        <v>8.7767106832666811E-3</v>
      </c>
      <c r="G204" s="250">
        <f t="shared" si="158"/>
        <v>1.3788416575849779E-2</v>
      </c>
      <c r="H204" s="250">
        <f t="shared" si="158"/>
        <v>2.0034802771649582E-2</v>
      </c>
      <c r="I204" s="250">
        <f t="shared" si="158"/>
        <v>2.6775523637150307E-2</v>
      </c>
      <c r="J204" s="250">
        <f t="shared" si="158"/>
        <v>3.4417091486477779E-2</v>
      </c>
      <c r="K204" s="250">
        <f t="shared" si="158"/>
        <v>4.2925132516345478E-2</v>
      </c>
      <c r="L204" s="250">
        <f t="shared" si="158"/>
        <v>5.225061335721614E-2</v>
      </c>
      <c r="M204" s="250">
        <f t="shared" si="158"/>
        <v>6.2330004461198366E-2</v>
      </c>
      <c r="N204" s="250">
        <f t="shared" si="158"/>
        <v>7.0905019700990446E-2</v>
      </c>
      <c r="O204" s="250">
        <f t="shared" si="158"/>
        <v>7.9807233165484923E-2</v>
      </c>
      <c r="P204" s="250">
        <f t="shared" si="158"/>
        <v>8.8953663591122209E-2</v>
      </c>
      <c r="Q204" s="250">
        <f t="shared" si="158"/>
        <v>9.825212807513653E-2</v>
      </c>
      <c r="R204" s="250">
        <f t="shared" si="158"/>
        <v>0.10760134764986555</v>
      </c>
      <c r="S204" s="250">
        <f t="shared" si="158"/>
        <v>0.11850248765058857</v>
      </c>
      <c r="T204" s="250">
        <f t="shared" si="158"/>
        <v>0.12964677276075384</v>
      </c>
      <c r="U204" s="250">
        <f t="shared" si="158"/>
        <v>0.14095762762996084</v>
      </c>
      <c r="V204" s="250">
        <f t="shared" si="158"/>
        <v>0.15235222073730656</v>
      </c>
      <c r="W204" s="250">
        <f t="shared" si="158"/>
        <v>0.16374153715056194</v>
      </c>
      <c r="X204" s="250">
        <f t="shared" si="158"/>
        <v>0.17866667197543964</v>
      </c>
      <c r="Y204" s="250">
        <f t="shared" si="158"/>
        <v>0.19356327395577386</v>
      </c>
      <c r="Z204" s="250">
        <f t="shared" si="158"/>
        <v>0.20828773378181525</v>
      </c>
      <c r="AA204" s="250">
        <f t="shared" si="158"/>
        <v>0.22268717888999323</v>
      </c>
      <c r="AB204" s="250">
        <f t="shared" si="158"/>
        <v>0.2365995827094704</v>
      </c>
      <c r="AC204" s="250">
        <f t="shared" si="158"/>
        <v>0.24736197948785574</v>
      </c>
      <c r="AD204" s="250">
        <f t="shared" si="158"/>
        <v>0.25677299724005664</v>
      </c>
      <c r="AE204" s="250">
        <f t="shared" si="158"/>
        <v>0.26459545660918615</v>
      </c>
      <c r="AF204" s="250">
        <f t="shared" si="158"/>
        <v>0.27058174577292249</v>
      </c>
      <c r="AG204" s="250">
        <f t="shared" si="158"/>
        <v>0.27447394729851066</v>
      </c>
      <c r="AH204" s="217"/>
      <c r="AI204" s="368"/>
      <c r="AJ204" s="369"/>
      <c r="AL204" s="194"/>
      <c r="AM204" s="116"/>
      <c r="AN204" s="116"/>
      <c r="AO204" s="116"/>
      <c r="BD204" s="116"/>
      <c r="BE204" s="116"/>
      <c r="BF204" s="116"/>
      <c r="BG204" s="116"/>
      <c r="BH204" s="116"/>
      <c r="BI204" s="116"/>
      <c r="BJ204" s="116"/>
      <c r="BK204" s="116"/>
    </row>
    <row r="205" spans="1:63" outlineLevel="1">
      <c r="A205" s="4" t="s">
        <v>35</v>
      </c>
      <c r="C205" s="203">
        <f>C$204*'Methanol recycling rates'!E66</f>
        <v>0</v>
      </c>
      <c r="D205" s="203">
        <f>D$204*'Methanol recycling rates'!F66</f>
        <v>2.3204914533615019E-5</v>
      </c>
      <c r="E205" s="203">
        <f>E$204*'Methanol recycling rates'!G66</f>
        <v>1.1344550458341986E-4</v>
      </c>
      <c r="F205" s="203">
        <f>F$204*'Methanol recycling rates'!H66</f>
        <v>3.0572022722681592E-4</v>
      </c>
      <c r="G205" s="203">
        <f>G$204*'Methanol recycling rates'!I66</f>
        <v>6.4039144819994214E-4</v>
      </c>
      <c r="H205" s="203">
        <f>H$204*'Methanol recycling rates'!J66</f>
        <v>1.163124522924614E-3</v>
      </c>
      <c r="I205" s="203">
        <f>I$204*'Methanol recycling rates'!K66</f>
        <v>1.8653501216744726E-3</v>
      </c>
      <c r="J205" s="203">
        <f>J$204*'Methanol recycling rates'!L66</f>
        <v>2.7973276802720796E-3</v>
      </c>
      <c r="K205" s="203">
        <f>K$204*'Methanol recycling rates'!M66</f>
        <v>3.9872435859623382E-3</v>
      </c>
      <c r="L205" s="203">
        <f>L$204*'Methanol recycling rates'!N66</f>
        <v>5.4601558481689955E-3</v>
      </c>
      <c r="M205" s="203">
        <f>M$204*'Methanol recycling rates'!O66</f>
        <v>7.2371620054487076E-3</v>
      </c>
      <c r="N205" s="203">
        <f>N$204*'Methanol recycling rates'!P66</f>
        <v>9.0560915391005841E-3</v>
      </c>
      <c r="O205" s="203">
        <f>O$204*'Methanol recycling rates'!Q66</f>
        <v>1.1119740111389598E-2</v>
      </c>
      <c r="P205" s="203">
        <f>P$204*'Methanol recycling rates'!R66</f>
        <v>1.3426979573285047E-2</v>
      </c>
      <c r="Q205" s="203">
        <f>Q$204*'Methanol recycling rates'!S66</f>
        <v>1.5971332012073177E-2</v>
      </c>
      <c r="R205" s="203">
        <f>R$204*'Methanol recycling rates'!T66</f>
        <v>1.8740453935747539E-2</v>
      </c>
      <c r="S205" s="203">
        <f>S$204*'Methanol recycling rates'!U66</f>
        <v>2.2014994764452619E-2</v>
      </c>
      <c r="T205" s="203">
        <f>T$204*'Methanol recycling rates'!V66</f>
        <v>2.5590676598031509E-2</v>
      </c>
      <c r="U205" s="203">
        <f>U$204*'Methanol recycling rates'!W66</f>
        <v>2.9459964788775609E-2</v>
      </c>
      <c r="V205" s="203">
        <f>V$204*'Methanol recycling rates'!X66</f>
        <v>3.3610388038702928E-2</v>
      </c>
      <c r="W205" s="203">
        <f>W$204*'Methanol recycling rates'!Y66</f>
        <v>3.8024192092510269E-2</v>
      </c>
      <c r="X205" s="203">
        <f>X$204*'Methanol recycling rates'!Z66</f>
        <v>4.3564624912191006E-2</v>
      </c>
      <c r="Y205" s="203">
        <f>Y$204*'Methanol recycling rates'!AA66</f>
        <v>4.9444361906777812E-2</v>
      </c>
      <c r="Z205" s="203">
        <f>Z$204*'Methanol recycling rates'!AB66</f>
        <v>5.5624057757766895E-2</v>
      </c>
      <c r="AA205" s="203">
        <f>AA$204*'Methanol recycling rates'!AC66</f>
        <v>6.2055115988312863E-2</v>
      </c>
      <c r="AB205" s="203">
        <f>AB$204*'Methanol recycling rates'!AD66</f>
        <v>6.8679182894810439E-2</v>
      </c>
      <c r="AC205" s="203">
        <f>AC$204*'Methanol recycling rates'!AE66</f>
        <v>7.4675378432019268E-2</v>
      </c>
      <c r="AD205" s="203">
        <f>AD$204*'Methanol recycling rates'!AF66</f>
        <v>8.0497844472014107E-2</v>
      </c>
      <c r="AE205" s="203">
        <f>AE$204*'Methanol recycling rates'!AG66</f>
        <v>8.6022399090627338E-2</v>
      </c>
      <c r="AF205" s="203">
        <f>AF$204*'Methanol recycling rates'!AH66</f>
        <v>9.1110331945748163E-2</v>
      </c>
      <c r="AG205" s="203">
        <f>AG$204*'Methanol recycling rates'!AI66</f>
        <v>9.5607842805990453E-2</v>
      </c>
      <c r="AH205" s="217"/>
      <c r="AI205" s="124"/>
      <c r="AJ205" s="185"/>
      <c r="AL205" s="100"/>
      <c r="AM205" s="2"/>
      <c r="AN205" s="2"/>
      <c r="AO205" s="2"/>
      <c r="BC205" s="1"/>
      <c r="BD205" s="2"/>
      <c r="BE205" s="2"/>
      <c r="BF205" s="2"/>
      <c r="BG205" s="2"/>
      <c r="BH205" s="2"/>
      <c r="BI205" s="2"/>
      <c r="BJ205" s="2"/>
      <c r="BK205" s="2"/>
    </row>
    <row r="206" spans="1:63" outlineLevel="1">
      <c r="A206" s="4" t="s">
        <v>160</v>
      </c>
      <c r="C206" s="203">
        <f>C$204*'Methanol recycling rates'!E67</f>
        <v>0</v>
      </c>
      <c r="D206" s="203">
        <f>D$204*'Methanol recycling rates'!F67</f>
        <v>0</v>
      </c>
      <c r="E206" s="203">
        <f>E$204*'Methanol recycling rates'!G67</f>
        <v>0</v>
      </c>
      <c r="F206" s="203">
        <f>F$204*'Methanol recycling rates'!H67</f>
        <v>0</v>
      </c>
      <c r="G206" s="203">
        <f>G$204*'Methanol recycling rates'!I67</f>
        <v>0</v>
      </c>
      <c r="H206" s="203">
        <f>H$204*'Methanol recycling rates'!J67</f>
        <v>0</v>
      </c>
      <c r="I206" s="203">
        <f>I$204*'Methanol recycling rates'!K67</f>
        <v>0</v>
      </c>
      <c r="J206" s="203">
        <f>J$204*'Methanol recycling rates'!L67</f>
        <v>0</v>
      </c>
      <c r="K206" s="203">
        <f>K$204*'Methanol recycling rates'!M67</f>
        <v>0</v>
      </c>
      <c r="L206" s="203">
        <f>L$204*'Methanol recycling rates'!N67</f>
        <v>0</v>
      </c>
      <c r="M206" s="203">
        <f>M$204*'Methanol recycling rates'!O67</f>
        <v>0</v>
      </c>
      <c r="N206" s="203">
        <f>N$204*'Methanol recycling rates'!P67</f>
        <v>0</v>
      </c>
      <c r="O206" s="203">
        <f>O$204*'Methanol recycling rates'!Q67</f>
        <v>0</v>
      </c>
      <c r="P206" s="203">
        <f>P$204*'Methanol recycling rates'!R67</f>
        <v>0</v>
      </c>
      <c r="Q206" s="203">
        <f>Q$204*'Methanol recycling rates'!S67</f>
        <v>0</v>
      </c>
      <c r="R206" s="203">
        <f>R$204*'Methanol recycling rates'!T67</f>
        <v>0</v>
      </c>
      <c r="S206" s="203">
        <f>S$204*'Methanol recycling rates'!U67</f>
        <v>0</v>
      </c>
      <c r="T206" s="203">
        <f>T$204*'Methanol recycling rates'!V67</f>
        <v>0</v>
      </c>
      <c r="U206" s="203">
        <f>U$204*'Methanol recycling rates'!W67</f>
        <v>0</v>
      </c>
      <c r="V206" s="203">
        <f>V$204*'Methanol recycling rates'!X67</f>
        <v>0</v>
      </c>
      <c r="W206" s="203">
        <f>W$204*'Methanol recycling rates'!Y67</f>
        <v>0</v>
      </c>
      <c r="X206" s="203">
        <f>X$204*'Methanol recycling rates'!Z67</f>
        <v>0</v>
      </c>
      <c r="Y206" s="203">
        <f>Y$204*'Methanol recycling rates'!AA67</f>
        <v>0</v>
      </c>
      <c r="Z206" s="203">
        <f>Z$204*'Methanol recycling rates'!AB67</f>
        <v>0</v>
      </c>
      <c r="AA206" s="203">
        <f>AA$204*'Methanol recycling rates'!AC67</f>
        <v>0</v>
      </c>
      <c r="AB206" s="203">
        <f>AB$204*'Methanol recycling rates'!AD67</f>
        <v>0</v>
      </c>
      <c r="AC206" s="203">
        <f>AC$204*'Methanol recycling rates'!AE67</f>
        <v>0</v>
      </c>
      <c r="AD206" s="203">
        <f>AD$204*'Methanol recycling rates'!AF67</f>
        <v>0</v>
      </c>
      <c r="AE206" s="203">
        <f>AE$204*'Methanol recycling rates'!AG67</f>
        <v>0</v>
      </c>
      <c r="AF206" s="203">
        <f>AF$204*'Methanol recycling rates'!AH67</f>
        <v>0</v>
      </c>
      <c r="AG206" s="203">
        <f>AG$204*'Methanol recycling rates'!AI67</f>
        <v>0</v>
      </c>
      <c r="AH206" s="217"/>
      <c r="AI206" s="124"/>
      <c r="AJ206" s="185"/>
      <c r="AL206" s="100"/>
      <c r="AM206" s="2"/>
      <c r="AN206" s="2"/>
      <c r="AO206" s="2"/>
      <c r="BC206" s="1"/>
      <c r="BD206" s="2"/>
      <c r="BE206" s="2"/>
      <c r="BF206" s="2"/>
      <c r="BG206" s="2"/>
      <c r="BH206" s="2"/>
      <c r="BI206" s="2"/>
      <c r="BJ206" s="2"/>
      <c r="BK206" s="2"/>
    </row>
    <row r="207" spans="1:63" outlineLevel="1">
      <c r="A207" s="4" t="s">
        <v>1040</v>
      </c>
      <c r="C207" s="203">
        <f>C$204*'Methanol recycling rates'!E68</f>
        <v>0</v>
      </c>
      <c r="D207" s="203">
        <f>D$204*'Methanol recycling rates'!F68</f>
        <v>4.3412470628921302E-5</v>
      </c>
      <c r="E207" s="203">
        <f>E$204*'Methanol recycling rates'!G68</f>
        <v>2.122373529355822E-4</v>
      </c>
      <c r="F207" s="203">
        <f>F$204*'Methanol recycling rates'!H68</f>
        <v>5.719508410998522E-4</v>
      </c>
      <c r="G207" s="203">
        <f>G$204*'Methanol recycling rates'!I68</f>
        <v>1.1980640952466951E-3</v>
      </c>
      <c r="H207" s="203">
        <f>H$204*'Methanol recycling rates'!J68</f>
        <v>2.1760092723503168E-3</v>
      </c>
      <c r="I207" s="203">
        <f>I$204*'Methanol recycling rates'!K68</f>
        <v>3.4897546057555888E-3</v>
      </c>
      <c r="J207" s="203">
        <f>J$204*'Methanol recycling rates'!L68</f>
        <v>5.2333269999060685E-3</v>
      </c>
      <c r="K207" s="203">
        <f>K$204*'Methanol recycling rates'!M68</f>
        <v>7.4594584183964568E-3</v>
      </c>
      <c r="L207" s="203">
        <f>L$204*'Methanol recycling rates'!N68</f>
        <v>1.0215028158995847E-2</v>
      </c>
      <c r="M207" s="203">
        <f>M$204*'Methanol recycling rates'!O68</f>
        <v>1.3539506148284083E-2</v>
      </c>
      <c r="N207" s="203">
        <f>N$204*'Methanol recycling rates'!P68</f>
        <v>1.6942415684595914E-2</v>
      </c>
      <c r="O207" s="203">
        <f>O$204*'Methanol recycling rates'!Q68</f>
        <v>2.0803153154804369E-2</v>
      </c>
      <c r="P207" s="203">
        <f>P$204*'Methanol recycling rates'!R68</f>
        <v>2.5119607982867911E-2</v>
      </c>
      <c r="Q207" s="203">
        <f>Q$204*'Methanol recycling rates'!S68</f>
        <v>2.98796610896572E-2</v>
      </c>
      <c r="R207" s="203">
        <f>R$204*'Methanol recycling rates'!T68</f>
        <v>3.5060219889185236E-2</v>
      </c>
      <c r="S207" s="203">
        <f>S$204*'Methanol recycling rates'!U68</f>
        <v>4.1186331982527948E-2</v>
      </c>
      <c r="T207" s="203">
        <f>T$204*'Methanol recycling rates'!V68</f>
        <v>4.7875827966395661E-2</v>
      </c>
      <c r="U207" s="203">
        <f>U$204*'Methanol recycling rates'!W68</f>
        <v>5.5114611789200886E-2</v>
      </c>
      <c r="V207" s="203">
        <f>V$204*'Methanol recycling rates'!X68</f>
        <v>6.2879351761591221E-2</v>
      </c>
      <c r="W207" s="203">
        <f>W$204*'Methanol recycling rates'!Y68</f>
        <v>7.1136832674531011E-2</v>
      </c>
      <c r="X207" s="203">
        <f>X$204*'Methanol recycling rates'!Z68</f>
        <v>8.1502045470616735E-2</v>
      </c>
      <c r="Y207" s="203">
        <f>Y$204*'Methanol recycling rates'!AA68</f>
        <v>9.2502038994123001E-2</v>
      </c>
      <c r="Z207" s="203">
        <f>Z$204*'Methanol recycling rates'!AB68</f>
        <v>0.10406320480829145</v>
      </c>
      <c r="AA207" s="203">
        <f>AA$204*'Methanol recycling rates'!AC68</f>
        <v>0.1160946271236817</v>
      </c>
      <c r="AB207" s="203">
        <f>AB$204*'Methanol recycling rates'!AD68</f>
        <v>0.12848713602974818</v>
      </c>
      <c r="AC207" s="203">
        <f>AC$204*'Methanol recycling rates'!AE68</f>
        <v>0.13970500379078898</v>
      </c>
      <c r="AD207" s="203">
        <f>AD$204*'Methanol recycling rates'!AF68</f>
        <v>0.15059785304403681</v>
      </c>
      <c r="AE207" s="203">
        <f>AE$204*'Methanol recycling rates'!AG68</f>
        <v>0.16093336041127962</v>
      </c>
      <c r="AF207" s="203">
        <f>AF$204*'Methanol recycling rates'!AH68</f>
        <v>0.17045202230141013</v>
      </c>
      <c r="AG207" s="203">
        <f>AG$204*'Methanol recycling rates'!AI68</f>
        <v>0.17886610449252022</v>
      </c>
      <c r="AH207" s="217"/>
      <c r="AI207" s="124"/>
      <c r="AJ207" s="185"/>
      <c r="AL207" s="100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s="1" customFormat="1" outlineLevel="1">
      <c r="A208" s="1" t="s">
        <v>1046</v>
      </c>
      <c r="B208" s="60"/>
      <c r="C208" s="250">
        <f>C204-$C204</f>
        <v>0</v>
      </c>
      <c r="D208" s="250">
        <f t="shared" ref="D208:AG208" si="159">D204-$C204</f>
        <v>1.9985215548760896E-3</v>
      </c>
      <c r="E208" s="250">
        <f t="shared" si="159"/>
        <v>4.8852428627850306E-3</v>
      </c>
      <c r="F208" s="250">
        <f t="shared" si="159"/>
        <v>8.7767106832666811E-3</v>
      </c>
      <c r="G208" s="250">
        <f t="shared" si="159"/>
        <v>1.3788416575849779E-2</v>
      </c>
      <c r="H208" s="250">
        <f t="shared" si="159"/>
        <v>2.0034802771649582E-2</v>
      </c>
      <c r="I208" s="250">
        <f t="shared" si="159"/>
        <v>2.6775523637150307E-2</v>
      </c>
      <c r="J208" s="250">
        <f t="shared" si="159"/>
        <v>3.4417091486477779E-2</v>
      </c>
      <c r="K208" s="250">
        <f t="shared" si="159"/>
        <v>4.2925132516345478E-2</v>
      </c>
      <c r="L208" s="250">
        <f t="shared" si="159"/>
        <v>5.225061335721614E-2</v>
      </c>
      <c r="M208" s="250">
        <f t="shared" si="159"/>
        <v>6.2330004461198366E-2</v>
      </c>
      <c r="N208" s="250">
        <f t="shared" si="159"/>
        <v>7.0905019700990446E-2</v>
      </c>
      <c r="O208" s="250">
        <f t="shared" si="159"/>
        <v>7.9807233165484923E-2</v>
      </c>
      <c r="P208" s="250">
        <f t="shared" si="159"/>
        <v>8.8953663591122209E-2</v>
      </c>
      <c r="Q208" s="250">
        <f t="shared" si="159"/>
        <v>9.825212807513653E-2</v>
      </c>
      <c r="R208" s="250">
        <f t="shared" si="159"/>
        <v>0.10760134764986555</v>
      </c>
      <c r="S208" s="250">
        <f t="shared" si="159"/>
        <v>0.11850248765058857</v>
      </c>
      <c r="T208" s="250">
        <f t="shared" si="159"/>
        <v>0.12964677276075384</v>
      </c>
      <c r="U208" s="250">
        <f t="shared" si="159"/>
        <v>0.14095762762996084</v>
      </c>
      <c r="V208" s="250">
        <f t="shared" si="159"/>
        <v>0.15235222073730656</v>
      </c>
      <c r="W208" s="250">
        <f t="shared" si="159"/>
        <v>0.16374153715056194</v>
      </c>
      <c r="X208" s="250">
        <f t="shared" si="159"/>
        <v>0.17866667197543964</v>
      </c>
      <c r="Y208" s="250">
        <f t="shared" si="159"/>
        <v>0.19356327395577386</v>
      </c>
      <c r="Z208" s="250">
        <f t="shared" si="159"/>
        <v>0.20828773378181525</v>
      </c>
      <c r="AA208" s="250">
        <f t="shared" si="159"/>
        <v>0.22268717888999323</v>
      </c>
      <c r="AB208" s="250">
        <f t="shared" si="159"/>
        <v>0.2365995827094704</v>
      </c>
      <c r="AC208" s="250">
        <f t="shared" si="159"/>
        <v>0.24736197948785574</v>
      </c>
      <c r="AD208" s="250">
        <f t="shared" si="159"/>
        <v>0.25677299724005664</v>
      </c>
      <c r="AE208" s="250">
        <f t="shared" si="159"/>
        <v>0.26459545660918615</v>
      </c>
      <c r="AF208" s="250">
        <f t="shared" si="159"/>
        <v>0.27058174577292249</v>
      </c>
      <c r="AG208" s="250">
        <f t="shared" si="159"/>
        <v>0.27447394729851066</v>
      </c>
      <c r="AH208" s="217"/>
      <c r="AI208" s="368"/>
      <c r="AJ208" s="369"/>
      <c r="AL208" s="194"/>
      <c r="AM208" s="116"/>
      <c r="AN208" s="116"/>
      <c r="AO208" s="116"/>
      <c r="BD208" s="116"/>
      <c r="BE208" s="116"/>
      <c r="BF208" s="116"/>
      <c r="BG208" s="116"/>
      <c r="BH208" s="116"/>
      <c r="BI208" s="116"/>
      <c r="BJ208" s="116"/>
      <c r="BK208" s="116"/>
    </row>
    <row r="209" spans="1:63" outlineLevel="1">
      <c r="A209" s="4" t="s">
        <v>35</v>
      </c>
      <c r="C209" s="203">
        <f t="shared" ref="C209:C211" si="160">C205-$C205</f>
        <v>0</v>
      </c>
      <c r="D209" s="203">
        <f t="shared" ref="D209:AG209" si="161">D205-$C205</f>
        <v>2.3204914533615019E-5</v>
      </c>
      <c r="E209" s="203">
        <f t="shared" si="161"/>
        <v>1.1344550458341986E-4</v>
      </c>
      <c r="F209" s="203">
        <f t="shared" si="161"/>
        <v>3.0572022722681592E-4</v>
      </c>
      <c r="G209" s="203">
        <f t="shared" si="161"/>
        <v>6.4039144819994214E-4</v>
      </c>
      <c r="H209" s="203">
        <f t="shared" si="161"/>
        <v>1.163124522924614E-3</v>
      </c>
      <c r="I209" s="203">
        <f t="shared" si="161"/>
        <v>1.8653501216744726E-3</v>
      </c>
      <c r="J209" s="203">
        <f t="shared" si="161"/>
        <v>2.7973276802720796E-3</v>
      </c>
      <c r="K209" s="203">
        <f t="shared" si="161"/>
        <v>3.9872435859623382E-3</v>
      </c>
      <c r="L209" s="203">
        <f t="shared" si="161"/>
        <v>5.4601558481689955E-3</v>
      </c>
      <c r="M209" s="203">
        <f t="shared" si="161"/>
        <v>7.2371620054487076E-3</v>
      </c>
      <c r="N209" s="203">
        <f t="shared" si="161"/>
        <v>9.0560915391005841E-3</v>
      </c>
      <c r="O209" s="203">
        <f t="shared" si="161"/>
        <v>1.1119740111389598E-2</v>
      </c>
      <c r="P209" s="203">
        <f t="shared" si="161"/>
        <v>1.3426979573285047E-2</v>
      </c>
      <c r="Q209" s="203">
        <f t="shared" si="161"/>
        <v>1.5971332012073177E-2</v>
      </c>
      <c r="R209" s="203">
        <f t="shared" si="161"/>
        <v>1.8740453935747539E-2</v>
      </c>
      <c r="S209" s="203">
        <f t="shared" si="161"/>
        <v>2.2014994764452619E-2</v>
      </c>
      <c r="T209" s="203">
        <f t="shared" si="161"/>
        <v>2.5590676598031509E-2</v>
      </c>
      <c r="U209" s="203">
        <f t="shared" si="161"/>
        <v>2.9459964788775609E-2</v>
      </c>
      <c r="V209" s="203">
        <f t="shared" si="161"/>
        <v>3.3610388038702928E-2</v>
      </c>
      <c r="W209" s="203">
        <f t="shared" si="161"/>
        <v>3.8024192092510269E-2</v>
      </c>
      <c r="X209" s="203">
        <f t="shared" si="161"/>
        <v>4.3564624912191006E-2</v>
      </c>
      <c r="Y209" s="203">
        <f t="shared" si="161"/>
        <v>4.9444361906777812E-2</v>
      </c>
      <c r="Z209" s="203">
        <f t="shared" si="161"/>
        <v>5.5624057757766895E-2</v>
      </c>
      <c r="AA209" s="203">
        <f t="shared" si="161"/>
        <v>6.2055115988312863E-2</v>
      </c>
      <c r="AB209" s="203">
        <f t="shared" si="161"/>
        <v>6.8679182894810439E-2</v>
      </c>
      <c r="AC209" s="203">
        <f t="shared" si="161"/>
        <v>7.4675378432019268E-2</v>
      </c>
      <c r="AD209" s="203">
        <f t="shared" si="161"/>
        <v>8.0497844472014107E-2</v>
      </c>
      <c r="AE209" s="203">
        <f t="shared" si="161"/>
        <v>8.6022399090627338E-2</v>
      </c>
      <c r="AF209" s="203">
        <f t="shared" si="161"/>
        <v>9.1110331945748163E-2</v>
      </c>
      <c r="AG209" s="203">
        <f t="shared" si="161"/>
        <v>9.5607842805990453E-2</v>
      </c>
      <c r="AH209" s="217"/>
      <c r="AI209" s="124"/>
      <c r="AJ209" s="185"/>
      <c r="AL209" s="100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160</v>
      </c>
      <c r="C210" s="203">
        <f t="shared" si="160"/>
        <v>0</v>
      </c>
      <c r="D210" s="203">
        <f t="shared" ref="D210:AG210" si="162">D206-$C206</f>
        <v>0</v>
      </c>
      <c r="E210" s="203">
        <f t="shared" si="162"/>
        <v>0</v>
      </c>
      <c r="F210" s="203">
        <f t="shared" si="162"/>
        <v>0</v>
      </c>
      <c r="G210" s="203">
        <f t="shared" si="162"/>
        <v>0</v>
      </c>
      <c r="H210" s="203">
        <f t="shared" si="162"/>
        <v>0</v>
      </c>
      <c r="I210" s="203">
        <f t="shared" si="162"/>
        <v>0</v>
      </c>
      <c r="J210" s="203">
        <f t="shared" si="162"/>
        <v>0</v>
      </c>
      <c r="K210" s="203">
        <f t="shared" si="162"/>
        <v>0</v>
      </c>
      <c r="L210" s="203">
        <f t="shared" si="162"/>
        <v>0</v>
      </c>
      <c r="M210" s="203">
        <f t="shared" si="162"/>
        <v>0</v>
      </c>
      <c r="N210" s="203">
        <f t="shared" si="162"/>
        <v>0</v>
      </c>
      <c r="O210" s="203">
        <f t="shared" si="162"/>
        <v>0</v>
      </c>
      <c r="P210" s="203">
        <f t="shared" si="162"/>
        <v>0</v>
      </c>
      <c r="Q210" s="203">
        <f t="shared" si="162"/>
        <v>0</v>
      </c>
      <c r="R210" s="203">
        <f t="shared" si="162"/>
        <v>0</v>
      </c>
      <c r="S210" s="203">
        <f t="shared" si="162"/>
        <v>0</v>
      </c>
      <c r="T210" s="203">
        <f t="shared" si="162"/>
        <v>0</v>
      </c>
      <c r="U210" s="203">
        <f t="shared" si="162"/>
        <v>0</v>
      </c>
      <c r="V210" s="203">
        <f t="shared" si="162"/>
        <v>0</v>
      </c>
      <c r="W210" s="203">
        <f t="shared" si="162"/>
        <v>0</v>
      </c>
      <c r="X210" s="203">
        <f t="shared" si="162"/>
        <v>0</v>
      </c>
      <c r="Y210" s="203">
        <f t="shared" si="162"/>
        <v>0</v>
      </c>
      <c r="Z210" s="203">
        <f t="shared" si="162"/>
        <v>0</v>
      </c>
      <c r="AA210" s="203">
        <f t="shared" si="162"/>
        <v>0</v>
      </c>
      <c r="AB210" s="203">
        <f t="shared" si="162"/>
        <v>0</v>
      </c>
      <c r="AC210" s="203">
        <f t="shared" si="162"/>
        <v>0</v>
      </c>
      <c r="AD210" s="203">
        <f t="shared" si="162"/>
        <v>0</v>
      </c>
      <c r="AE210" s="203">
        <f t="shared" si="162"/>
        <v>0</v>
      </c>
      <c r="AF210" s="203">
        <f t="shared" si="162"/>
        <v>0</v>
      </c>
      <c r="AG210" s="203">
        <f t="shared" si="162"/>
        <v>0</v>
      </c>
      <c r="AH210" s="217"/>
      <c r="AI210" s="124"/>
      <c r="AJ210" s="185"/>
      <c r="AL210" s="100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outlineLevel="1">
      <c r="A211" s="4" t="s">
        <v>1040</v>
      </c>
      <c r="C211" s="203">
        <f t="shared" si="160"/>
        <v>0</v>
      </c>
      <c r="D211" s="203">
        <f t="shared" ref="D211:AG211" si="163">D207-$C207</f>
        <v>4.3412470628921302E-5</v>
      </c>
      <c r="E211" s="203">
        <f t="shared" si="163"/>
        <v>2.122373529355822E-4</v>
      </c>
      <c r="F211" s="203">
        <f t="shared" si="163"/>
        <v>5.719508410998522E-4</v>
      </c>
      <c r="G211" s="203">
        <f t="shared" si="163"/>
        <v>1.1980640952466951E-3</v>
      </c>
      <c r="H211" s="203">
        <f t="shared" si="163"/>
        <v>2.1760092723503168E-3</v>
      </c>
      <c r="I211" s="203">
        <f t="shared" si="163"/>
        <v>3.4897546057555888E-3</v>
      </c>
      <c r="J211" s="203">
        <f t="shared" si="163"/>
        <v>5.2333269999060685E-3</v>
      </c>
      <c r="K211" s="203">
        <f t="shared" si="163"/>
        <v>7.4594584183964568E-3</v>
      </c>
      <c r="L211" s="203">
        <f t="shared" si="163"/>
        <v>1.0215028158995847E-2</v>
      </c>
      <c r="M211" s="203">
        <f t="shared" si="163"/>
        <v>1.3539506148284083E-2</v>
      </c>
      <c r="N211" s="203">
        <f t="shared" si="163"/>
        <v>1.6942415684595914E-2</v>
      </c>
      <c r="O211" s="203">
        <f t="shared" si="163"/>
        <v>2.0803153154804369E-2</v>
      </c>
      <c r="P211" s="203">
        <f t="shared" si="163"/>
        <v>2.5119607982867911E-2</v>
      </c>
      <c r="Q211" s="203">
        <f t="shared" si="163"/>
        <v>2.98796610896572E-2</v>
      </c>
      <c r="R211" s="203">
        <f t="shared" si="163"/>
        <v>3.5060219889185236E-2</v>
      </c>
      <c r="S211" s="203">
        <f t="shared" si="163"/>
        <v>4.1186331982527948E-2</v>
      </c>
      <c r="T211" s="203">
        <f t="shared" si="163"/>
        <v>4.7875827966395661E-2</v>
      </c>
      <c r="U211" s="203">
        <f t="shared" si="163"/>
        <v>5.5114611789200886E-2</v>
      </c>
      <c r="V211" s="203">
        <f t="shared" si="163"/>
        <v>6.2879351761591221E-2</v>
      </c>
      <c r="W211" s="203">
        <f t="shared" si="163"/>
        <v>7.1136832674531011E-2</v>
      </c>
      <c r="X211" s="203">
        <f t="shared" si="163"/>
        <v>8.1502045470616735E-2</v>
      </c>
      <c r="Y211" s="203">
        <f t="shared" si="163"/>
        <v>9.2502038994123001E-2</v>
      </c>
      <c r="Z211" s="203">
        <f t="shared" si="163"/>
        <v>0.10406320480829145</v>
      </c>
      <c r="AA211" s="203">
        <f t="shared" si="163"/>
        <v>0.1160946271236817</v>
      </c>
      <c r="AB211" s="203">
        <f t="shared" si="163"/>
        <v>0.12848713602974818</v>
      </c>
      <c r="AC211" s="203">
        <f t="shared" si="163"/>
        <v>0.13970500379078898</v>
      </c>
      <c r="AD211" s="203">
        <f t="shared" si="163"/>
        <v>0.15059785304403681</v>
      </c>
      <c r="AE211" s="203">
        <f t="shared" si="163"/>
        <v>0.16093336041127962</v>
      </c>
      <c r="AF211" s="203">
        <f t="shared" si="163"/>
        <v>0.17045202230141013</v>
      </c>
      <c r="AG211" s="203">
        <f t="shared" si="163"/>
        <v>0.17886610449252022</v>
      </c>
      <c r="AH211" s="217"/>
      <c r="AI211" s="124"/>
      <c r="AJ211" s="185"/>
      <c r="AL211" s="100"/>
      <c r="AM211" s="2"/>
      <c r="AN211" s="2"/>
      <c r="AO211" s="2"/>
      <c r="BC211" s="1"/>
      <c r="BD211" s="2"/>
      <c r="BE211" s="2"/>
      <c r="BF211" s="2"/>
      <c r="BG211" s="2"/>
      <c r="BH211" s="2"/>
      <c r="BI211" s="2"/>
      <c r="BJ211" s="2"/>
      <c r="BK211" s="2"/>
    </row>
    <row r="212" spans="1:63" outlineLevel="1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J212" s="185"/>
    </row>
    <row r="213" spans="1:63" s="174" customFormat="1" ht="15.5" thickBot="1">
      <c r="A213" s="174" t="s">
        <v>446</v>
      </c>
      <c r="B213" s="189"/>
      <c r="C213" s="197">
        <f>C214</f>
        <v>0.02</v>
      </c>
      <c r="D213" s="197">
        <f t="shared" ref="D213:AG213" si="164">D214</f>
        <v>4.1442327559921402E-2</v>
      </c>
      <c r="E213" s="197">
        <f t="shared" si="164"/>
        <v>6.28846551198428E-2</v>
      </c>
      <c r="F213" s="197">
        <f t="shared" si="164"/>
        <v>8.4326982679764198E-2</v>
      </c>
      <c r="G213" s="197">
        <f t="shared" si="164"/>
        <v>0.1057693102396856</v>
      </c>
      <c r="H213" s="197">
        <f t="shared" si="164"/>
        <v>0.12721163779960698</v>
      </c>
      <c r="I213" s="197">
        <f t="shared" si="164"/>
        <v>0.14865396535952838</v>
      </c>
      <c r="J213" s="197">
        <f t="shared" si="164"/>
        <v>0.17009629291944978</v>
      </c>
      <c r="K213" s="197">
        <f t="shared" si="164"/>
        <v>0.19153862047937117</v>
      </c>
      <c r="L213" s="197">
        <f t="shared" si="164"/>
        <v>0.21298094803929257</v>
      </c>
      <c r="M213" s="197">
        <f t="shared" si="164"/>
        <v>0.23442327559921397</v>
      </c>
      <c r="N213" s="197">
        <f t="shared" si="164"/>
        <v>0.24882881581566058</v>
      </c>
      <c r="O213" s="197">
        <f t="shared" si="164"/>
        <v>0.26323435603210721</v>
      </c>
      <c r="P213" s="197">
        <f t="shared" si="164"/>
        <v>0.27763989624855379</v>
      </c>
      <c r="Q213" s="197">
        <f t="shared" si="164"/>
        <v>0.29204543646500042</v>
      </c>
      <c r="R213" s="197">
        <f t="shared" si="164"/>
        <v>0.306450976681447</v>
      </c>
      <c r="S213" s="197">
        <f t="shared" si="164"/>
        <v>0.32085651689789363</v>
      </c>
      <c r="T213" s="197">
        <f t="shared" si="164"/>
        <v>0.33526205711434021</v>
      </c>
      <c r="U213" s="197">
        <f t="shared" si="164"/>
        <v>0.34966759733078684</v>
      </c>
      <c r="V213" s="197">
        <f t="shared" si="164"/>
        <v>0.36407313754723347</v>
      </c>
      <c r="W213" s="197">
        <f t="shared" si="164"/>
        <v>0.37847867776368005</v>
      </c>
      <c r="X213" s="197">
        <f t="shared" si="164"/>
        <v>0.40063080998731204</v>
      </c>
      <c r="Y213" s="197">
        <f t="shared" si="164"/>
        <v>0.42278294221094403</v>
      </c>
      <c r="Z213" s="197">
        <f t="shared" si="164"/>
        <v>0.44493507443457603</v>
      </c>
      <c r="AA213" s="197">
        <f t="shared" si="164"/>
        <v>0.46708720665820802</v>
      </c>
      <c r="AB213" s="197">
        <f t="shared" si="164"/>
        <v>0.48923933888184001</v>
      </c>
      <c r="AC213" s="197">
        <f t="shared" si="164"/>
        <v>0.51139147110547201</v>
      </c>
      <c r="AD213" s="197">
        <f t="shared" si="164"/>
        <v>0.533543603329104</v>
      </c>
      <c r="AE213" s="197">
        <f t="shared" si="164"/>
        <v>0.55569573555273599</v>
      </c>
      <c r="AF213" s="197">
        <f t="shared" si="164"/>
        <v>0.57784786777636798</v>
      </c>
      <c r="AG213" s="197">
        <f t="shared" si="164"/>
        <v>0.6</v>
      </c>
      <c r="AJ213" s="204" t="s">
        <v>458</v>
      </c>
      <c r="AL213" s="191"/>
      <c r="AM213" s="198"/>
      <c r="AN213" s="198"/>
      <c r="AO213" s="198"/>
    </row>
    <row r="214" spans="1:63" ht="15.5" outlineLevel="1" thickTop="1">
      <c r="A214" t="s">
        <v>454</v>
      </c>
      <c r="B214" s="50" t="s">
        <v>126</v>
      </c>
      <c r="C214" s="558">
        <f>'Ethylene Recycling HC'!C193</f>
        <v>0.02</v>
      </c>
      <c r="D214" s="102">
        <f>'Ethylene Recycling HC'!D193</f>
        <v>4.1442327559921402E-2</v>
      </c>
      <c r="E214" s="102">
        <f>'Ethylene Recycling HC'!E193</f>
        <v>6.28846551198428E-2</v>
      </c>
      <c r="F214" s="102">
        <f>'Ethylene Recycling HC'!F193</f>
        <v>8.4326982679764198E-2</v>
      </c>
      <c r="G214" s="102">
        <f>'Ethylene Recycling HC'!G193</f>
        <v>0.1057693102396856</v>
      </c>
      <c r="H214" s="102">
        <f>'Ethylene Recycling HC'!H193</f>
        <v>0.12721163779960698</v>
      </c>
      <c r="I214" s="102">
        <f>'Ethylene Recycling HC'!I193</f>
        <v>0.14865396535952838</v>
      </c>
      <c r="J214" s="102">
        <f>'Ethylene Recycling HC'!J193</f>
        <v>0.17009629291944978</v>
      </c>
      <c r="K214" s="102">
        <f>'Ethylene Recycling HC'!K193</f>
        <v>0.19153862047937117</v>
      </c>
      <c r="L214" s="102">
        <f>'Ethylene Recycling HC'!L193</f>
        <v>0.21298094803929257</v>
      </c>
      <c r="M214" s="113">
        <f>'Ethylene Recycling HC'!M193</f>
        <v>0.23442327559921397</v>
      </c>
      <c r="N214" s="113">
        <f>'Ethylene Recycling HC'!N193</f>
        <v>0.24882881581566058</v>
      </c>
      <c r="O214" s="113">
        <f>'Ethylene Recycling HC'!O193</f>
        <v>0.26323435603210721</v>
      </c>
      <c r="P214" s="113">
        <f>'Ethylene Recycling HC'!P193</f>
        <v>0.27763989624855379</v>
      </c>
      <c r="Q214" s="113">
        <f>'Ethylene Recycling HC'!Q193</f>
        <v>0.29204543646500042</v>
      </c>
      <c r="R214" s="113">
        <f>'Ethylene Recycling HC'!R193</f>
        <v>0.306450976681447</v>
      </c>
      <c r="S214" s="113">
        <f>'Ethylene Recycling HC'!S193</f>
        <v>0.32085651689789363</v>
      </c>
      <c r="T214" s="113">
        <f>'Ethylene Recycling HC'!T193</f>
        <v>0.33526205711434021</v>
      </c>
      <c r="U214" s="113">
        <f>'Ethylene Recycling HC'!U193</f>
        <v>0.34966759733078684</v>
      </c>
      <c r="V214" s="113">
        <f>'Ethylene Recycling HC'!V193</f>
        <v>0.36407313754723347</v>
      </c>
      <c r="W214" s="113">
        <f>'Ethylene Recycling HC'!W193</f>
        <v>0.37847867776368005</v>
      </c>
      <c r="X214" s="22">
        <f>'Ethylene Recycling HC'!X193</f>
        <v>0.40063080998731204</v>
      </c>
      <c r="Y214" s="22">
        <f>'Ethylene Recycling HC'!Y193</f>
        <v>0.42278294221094403</v>
      </c>
      <c r="Z214" s="22">
        <f>'Ethylene Recycling HC'!Z193</f>
        <v>0.44493507443457603</v>
      </c>
      <c r="AA214" s="22">
        <f>'Ethylene Recycling HC'!AA193</f>
        <v>0.46708720665820802</v>
      </c>
      <c r="AB214" s="22">
        <f>'Ethylene Recycling HC'!AB193</f>
        <v>0.48923933888184001</v>
      </c>
      <c r="AC214" s="22">
        <f>'Ethylene Recycling HC'!AC193</f>
        <v>0.51139147110547201</v>
      </c>
      <c r="AD214" s="22">
        <f>'Ethylene Recycling HC'!AD193</f>
        <v>0.533543603329104</v>
      </c>
      <c r="AE214" s="22">
        <f>'Ethylene Recycling HC'!AE193</f>
        <v>0.55569573555273599</v>
      </c>
      <c r="AF214" s="22">
        <f>'Ethylene Recycling HC'!AF193</f>
        <v>0.57784786777636798</v>
      </c>
      <c r="AG214" s="558">
        <f>'Ethylene Recycling HC'!AG193</f>
        <v>0.6</v>
      </c>
      <c r="AJ214" s="185" t="s">
        <v>1469</v>
      </c>
    </row>
    <row r="215" spans="1:63" outlineLevel="1">
      <c r="C215" s="105"/>
      <c r="D215" s="102"/>
      <c r="E215" s="102"/>
      <c r="F215" s="102"/>
      <c r="G215" s="102"/>
      <c r="H215" s="102"/>
      <c r="I215" s="102"/>
      <c r="J215" s="102"/>
      <c r="K215" s="102"/>
      <c r="L215" s="102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22"/>
      <c r="Y215" s="22"/>
      <c r="Z215" s="22"/>
      <c r="AA215" s="22"/>
      <c r="AB215" s="22"/>
      <c r="AC215" s="22"/>
      <c r="AD215" s="22"/>
      <c r="AE215" s="22"/>
      <c r="AF215" s="22"/>
      <c r="AG215" s="98"/>
      <c r="AJ215" s="185"/>
    </row>
    <row r="216" spans="1:63" outlineLevel="1">
      <c r="A216" t="s">
        <v>992</v>
      </c>
      <c r="C216" s="437">
        <f>'Overall recycling rates'!E85</f>
        <v>0</v>
      </c>
      <c r="D216" s="437">
        <f>C216-($C216-$AG216)/($AG$1-$C$1)</f>
        <v>2.6666666666666668E-2</v>
      </c>
      <c r="E216" s="437">
        <f t="shared" ref="E216:AF216" si="165">D216-($C216-$AG216)/($AG$1-$C$1)</f>
        <v>5.3333333333333337E-2</v>
      </c>
      <c r="F216" s="437">
        <f t="shared" si="165"/>
        <v>0.08</v>
      </c>
      <c r="G216" s="437">
        <f t="shared" si="165"/>
        <v>0.10666666666666667</v>
      </c>
      <c r="H216" s="437">
        <f t="shared" si="165"/>
        <v>0.13333333333333333</v>
      </c>
      <c r="I216" s="437">
        <f t="shared" si="165"/>
        <v>0.16</v>
      </c>
      <c r="J216" s="437">
        <f t="shared" si="165"/>
        <v>0.18666666666666668</v>
      </c>
      <c r="K216" s="437">
        <f t="shared" si="165"/>
        <v>0.21333333333333335</v>
      </c>
      <c r="L216" s="437">
        <f t="shared" si="165"/>
        <v>0.24000000000000002</v>
      </c>
      <c r="M216" s="437">
        <f t="shared" si="165"/>
        <v>0.26666666666666666</v>
      </c>
      <c r="N216" s="437">
        <f t="shared" si="165"/>
        <v>0.29333333333333333</v>
      </c>
      <c r="O216" s="437">
        <f t="shared" si="165"/>
        <v>0.32</v>
      </c>
      <c r="P216" s="437">
        <f t="shared" si="165"/>
        <v>0.34666666666666668</v>
      </c>
      <c r="Q216" s="437">
        <f t="shared" si="165"/>
        <v>0.37333333333333335</v>
      </c>
      <c r="R216" s="437">
        <f t="shared" si="165"/>
        <v>0.4</v>
      </c>
      <c r="S216" s="437">
        <f t="shared" si="165"/>
        <v>0.42666666666666669</v>
      </c>
      <c r="T216" s="437">
        <f t="shared" si="165"/>
        <v>0.45333333333333337</v>
      </c>
      <c r="U216" s="437">
        <f t="shared" si="165"/>
        <v>0.48000000000000004</v>
      </c>
      <c r="V216" s="437">
        <f t="shared" si="165"/>
        <v>0.50666666666666671</v>
      </c>
      <c r="W216" s="437">
        <f t="shared" si="165"/>
        <v>0.53333333333333333</v>
      </c>
      <c r="X216" s="437">
        <f t="shared" si="165"/>
        <v>0.55999999999999994</v>
      </c>
      <c r="Y216" s="437">
        <f t="shared" si="165"/>
        <v>0.58666666666666656</v>
      </c>
      <c r="Z216" s="437">
        <f t="shared" si="165"/>
        <v>0.61333333333333317</v>
      </c>
      <c r="AA216" s="437">
        <f t="shared" si="165"/>
        <v>0.63999999999999979</v>
      </c>
      <c r="AB216" s="437">
        <f t="shared" si="165"/>
        <v>0.66666666666666641</v>
      </c>
      <c r="AC216" s="437">
        <f t="shared" si="165"/>
        <v>0.69333333333333302</v>
      </c>
      <c r="AD216" s="437">
        <f t="shared" si="165"/>
        <v>0.71999999999999964</v>
      </c>
      <c r="AE216" s="437">
        <f t="shared" si="165"/>
        <v>0.74666666666666626</v>
      </c>
      <c r="AF216" s="437">
        <f t="shared" si="165"/>
        <v>0.77333333333333287</v>
      </c>
      <c r="AG216" s="437">
        <f>'Overall recycling rates'!E94</f>
        <v>0.8</v>
      </c>
      <c r="AI216" s="124"/>
      <c r="AJ216" s="185" t="s">
        <v>1000</v>
      </c>
      <c r="AL216" s="100"/>
      <c r="AM216" s="181"/>
      <c r="AN216" s="181"/>
      <c r="AO216" s="181"/>
      <c r="BC216" s="1"/>
      <c r="BD216" s="181"/>
      <c r="BE216" s="181"/>
      <c r="BF216" s="181"/>
      <c r="BG216" s="181"/>
      <c r="BH216" s="181"/>
      <c r="BI216" s="181"/>
      <c r="BJ216" s="181"/>
      <c r="BK216" s="181"/>
    </row>
    <row r="217" spans="1:63" outlineLevel="1">
      <c r="A217" t="s">
        <v>1001</v>
      </c>
      <c r="B217" s="50" t="s">
        <v>126</v>
      </c>
      <c r="C217" s="102">
        <f>C214*C216</f>
        <v>0</v>
      </c>
      <c r="D217" s="102">
        <f t="shared" ref="D217:AG217" si="166">D214*D216</f>
        <v>1.1051287349312375E-3</v>
      </c>
      <c r="E217" s="102">
        <f t="shared" si="166"/>
        <v>3.353848273058283E-3</v>
      </c>
      <c r="F217" s="102">
        <f t="shared" si="166"/>
        <v>6.7461586143811357E-3</v>
      </c>
      <c r="G217" s="102">
        <f t="shared" si="166"/>
        <v>1.1282059758899798E-2</v>
      </c>
      <c r="H217" s="102">
        <f t="shared" si="166"/>
        <v>1.6961551706614265E-2</v>
      </c>
      <c r="I217" s="102">
        <f t="shared" si="166"/>
        <v>2.3784634457524542E-2</v>
      </c>
      <c r="J217" s="102">
        <f t="shared" si="166"/>
        <v>3.1751308011630626E-2</v>
      </c>
      <c r="K217" s="102">
        <f t="shared" si="166"/>
        <v>4.0861572368932522E-2</v>
      </c>
      <c r="L217" s="102">
        <f t="shared" si="166"/>
        <v>5.111542752943022E-2</v>
      </c>
      <c r="M217" s="102">
        <f t="shared" si="166"/>
        <v>6.2512873493123719E-2</v>
      </c>
      <c r="N217" s="102">
        <f t="shared" si="166"/>
        <v>7.2989785972593771E-2</v>
      </c>
      <c r="O217" s="102">
        <f t="shared" si="166"/>
        <v>8.423499393027431E-2</v>
      </c>
      <c r="P217" s="102">
        <f t="shared" si="166"/>
        <v>9.6248497366165323E-2</v>
      </c>
      <c r="Q217" s="102">
        <f t="shared" si="166"/>
        <v>0.10903029628026682</v>
      </c>
      <c r="R217" s="102">
        <f t="shared" si="166"/>
        <v>0.12258039067257881</v>
      </c>
      <c r="S217" s="102">
        <f t="shared" si="166"/>
        <v>0.13689878054310128</v>
      </c>
      <c r="T217" s="102">
        <f t="shared" si="166"/>
        <v>0.15198546589183423</v>
      </c>
      <c r="U217" s="102">
        <f t="shared" si="166"/>
        <v>0.16784044671877771</v>
      </c>
      <c r="V217" s="102">
        <f t="shared" si="166"/>
        <v>0.18446372302393163</v>
      </c>
      <c r="W217" s="102">
        <f t="shared" si="166"/>
        <v>0.20185529480729603</v>
      </c>
      <c r="X217" s="102">
        <f t="shared" si="166"/>
        <v>0.22435325359289471</v>
      </c>
      <c r="Y217" s="102">
        <f t="shared" si="166"/>
        <v>0.24803265943042047</v>
      </c>
      <c r="Z217" s="102">
        <f t="shared" si="166"/>
        <v>0.27289351231987324</v>
      </c>
      <c r="AA217" s="102">
        <f t="shared" si="166"/>
        <v>0.29893581226125304</v>
      </c>
      <c r="AB217" s="102">
        <f t="shared" si="166"/>
        <v>0.32615955925455986</v>
      </c>
      <c r="AC217" s="102">
        <f t="shared" si="166"/>
        <v>0.35456475329979376</v>
      </c>
      <c r="AD217" s="102">
        <f t="shared" si="166"/>
        <v>0.38415139439695467</v>
      </c>
      <c r="AE217" s="102">
        <f t="shared" si="166"/>
        <v>0.41491948254604266</v>
      </c>
      <c r="AF217" s="102">
        <f t="shared" si="166"/>
        <v>0.44686901774705762</v>
      </c>
      <c r="AG217" s="102">
        <f t="shared" si="166"/>
        <v>0.48</v>
      </c>
      <c r="AJ217" s="185" t="s">
        <v>447</v>
      </c>
    </row>
    <row r="218" spans="1:63" outlineLevel="1"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I218" s="125"/>
      <c r="AJ218" s="185"/>
      <c r="BC218" s="1"/>
      <c r="BD218" s="37"/>
      <c r="BF218" s="6"/>
      <c r="BG218" s="6"/>
      <c r="BH218" s="6"/>
      <c r="BI218" s="6"/>
      <c r="BJ218" s="6"/>
    </row>
    <row r="219" spans="1:63" s="1" customFormat="1" outlineLevel="1">
      <c r="A219" s="1" t="s">
        <v>265</v>
      </c>
      <c r="B219" s="60"/>
      <c r="C219" s="250">
        <f>C217*C41</f>
        <v>0</v>
      </c>
      <c r="D219" s="250">
        <f t="shared" ref="D219:AG219" si="167">D217*D41</f>
        <v>25.351732512652081</v>
      </c>
      <c r="E219" s="250">
        <f t="shared" si="167"/>
        <v>76.767674813385128</v>
      </c>
      <c r="F219" s="250">
        <f t="shared" si="167"/>
        <v>154.07484017670481</v>
      </c>
      <c r="G219" s="250">
        <f t="shared" si="167"/>
        <v>257.10100618487951</v>
      </c>
      <c r="H219" s="250">
        <f t="shared" si="167"/>
        <v>385.67471191482559</v>
      </c>
      <c r="I219" s="250">
        <f t="shared" si="167"/>
        <v>539.62525513431081</v>
      </c>
      <c r="J219" s="250">
        <f t="shared" si="167"/>
        <v>718.78268950744473</v>
      </c>
      <c r="K219" s="250">
        <f t="shared" si="167"/>
        <v>922.97782180943057</v>
      </c>
      <c r="L219" s="250">
        <f t="shared" si="167"/>
        <v>1152.0422091505459</v>
      </c>
      <c r="M219" s="250">
        <f t="shared" si="167"/>
        <v>1405.8081562093287</v>
      </c>
      <c r="N219" s="250">
        <f t="shared" si="167"/>
        <v>1637.7925420844642</v>
      </c>
      <c r="O219" s="250">
        <f t="shared" si="167"/>
        <v>1885.9472899074453</v>
      </c>
      <c r="P219" s="250">
        <f t="shared" si="167"/>
        <v>2150.1619010540726</v>
      </c>
      <c r="Q219" s="250">
        <f t="shared" si="167"/>
        <v>2430.3263697930379</v>
      </c>
      <c r="R219" s="250">
        <f t="shared" si="167"/>
        <v>2726.3311814631775</v>
      </c>
      <c r="S219" s="250">
        <f t="shared" si="167"/>
        <v>3038.0673106567629</v>
      </c>
      <c r="T219" s="250">
        <f t="shared" si="167"/>
        <v>3365.426219408846</v>
      </c>
      <c r="U219" s="250">
        <f t="shared" si="167"/>
        <v>3708.2998553926118</v>
      </c>
      <c r="V219" s="250">
        <f t="shared" si="167"/>
        <v>4066.5806501207239</v>
      </c>
      <c r="W219" s="250">
        <f t="shared" si="167"/>
        <v>4440.1615171526619</v>
      </c>
      <c r="X219" s="250">
        <f t="shared" si="167"/>
        <v>4924.149132362264</v>
      </c>
      <c r="Y219" s="250">
        <f t="shared" si="167"/>
        <v>5431.8516185943827</v>
      </c>
      <c r="Z219" s="250">
        <f t="shared" si="167"/>
        <v>5963.1047950480661</v>
      </c>
      <c r="AA219" s="250">
        <f t="shared" si="167"/>
        <v>6517.7452163244525</v>
      </c>
      <c r="AB219" s="250">
        <f t="shared" si="167"/>
        <v>7095.6101697016165</v>
      </c>
      <c r="AC219" s="250">
        <f t="shared" si="167"/>
        <v>7696.5376724184807</v>
      </c>
      <c r="AD219" s="250">
        <f t="shared" si="167"/>
        <v>8320.3664689677698</v>
      </c>
      <c r="AE219" s="250">
        <f t="shared" si="167"/>
        <v>8966.9360283979604</v>
      </c>
      <c r="AF219" s="250">
        <f t="shared" si="167"/>
        <v>9636.0865416242123</v>
      </c>
      <c r="AG219" s="250">
        <f t="shared" si="167"/>
        <v>10327.658918748268</v>
      </c>
      <c r="AH219" s="217"/>
      <c r="AI219" s="368"/>
      <c r="AJ219" s="369"/>
      <c r="AL219" s="194"/>
      <c r="AM219" s="116"/>
      <c r="AN219" s="116"/>
      <c r="AO219" s="116"/>
      <c r="BD219" s="116"/>
      <c r="BE219" s="116"/>
      <c r="BF219" s="116"/>
      <c r="BG219" s="116"/>
      <c r="BH219" s="116"/>
      <c r="BI219" s="116"/>
      <c r="BJ219" s="116"/>
      <c r="BK219" s="116"/>
    </row>
    <row r="220" spans="1:63" outlineLevel="1">
      <c r="A220" s="4" t="s">
        <v>35</v>
      </c>
      <c r="C220" s="203">
        <f>C$219*'Methanol recycling rates'!E69</f>
        <v>0</v>
      </c>
      <c r="D220" s="203">
        <f>D$219*'Methanol recycling rates'!F69</f>
        <v>2.7495258752234161E-5</v>
      </c>
      <c r="E220" s="203">
        <f>E$219*'Methanol recycling rates'!G69</f>
        <v>1.6651698906557964E-4</v>
      </c>
      <c r="F220" s="203">
        <f>F$219*'Methanol recycling rates'!H69</f>
        <v>5.013062830029585E-4</v>
      </c>
      <c r="G220" s="203">
        <f>G$219*'Methanol recycling rates'!I69</f>
        <v>1.1153570963223314E-3</v>
      </c>
      <c r="H220" s="203">
        <f>H$219*'Methanol recycling rates'!J69</f>
        <v>2.0914203778773961E-3</v>
      </c>
      <c r="I220" s="203">
        <f>I$219*'Methanol recycling rates'!K69</f>
        <v>3.5115081807731135E-3</v>
      </c>
      <c r="J220" s="203">
        <f>J$219*'Methanol recycling rates'!L69</f>
        <v>5.4568977553465714E-3</v>
      </c>
      <c r="K220" s="203">
        <f>K$219*'Methanol recycling rates'!M69</f>
        <v>8.0081356240434675E-3</v>
      </c>
      <c r="L220" s="203">
        <f>L$219*'Methanol recycling rates'!N69</f>
        <v>1.1245041638260199E-2</v>
      </c>
      <c r="M220" s="203">
        <f>M$219*'Methanol recycling rates'!O69</f>
        <v>1.5246713017221386E-2</v>
      </c>
      <c r="N220" s="203">
        <f>N$219*'Methanol recycling rates'!P69</f>
        <v>1.9538973391692263E-2</v>
      </c>
      <c r="O220" s="203">
        <f>O$219*'Methanol recycling rates'!Q69</f>
        <v>2.4544882857154473E-2</v>
      </c>
      <c r="P220" s="203">
        <f>P$219*'Methanol recycling rates'!R69</f>
        <v>3.031549624426072E-2</v>
      </c>
      <c r="Q220" s="203">
        <f>Q$219*'Methanol recycling rates'!S69</f>
        <v>3.6901396501830615E-2</v>
      </c>
      <c r="R220" s="203">
        <f>R$219*'Methanol recycling rates'!T69</f>
        <v>4.4352697340036266E-2</v>
      </c>
      <c r="S220" s="203">
        <f>S$219*'Methanol recycling rates'!U69</f>
        <v>5.2719045861831494E-2</v>
      </c>
      <c r="T220" s="203">
        <f>T$219*'Methanol recycling rates'!V69</f>
        <v>6.2049625182670765E-2</v>
      </c>
      <c r="U220" s="203">
        <f>U$219*'Methanol recycling rates'!W69</f>
        <v>7.2393157038562903E-2</v>
      </c>
      <c r="V220" s="203">
        <f>V$219*'Methanol recycling rates'!X69</f>
        <v>8.3797904382504937E-2</v>
      </c>
      <c r="W220" s="203">
        <f>W$219*'Methanol recycling rates'!Y69</f>
        <v>9.6311673969341469E-2</v>
      </c>
      <c r="X220" s="203">
        <f>X$219*'Methanol recycling rates'!Z69</f>
        <v>0.11215035673351914</v>
      </c>
      <c r="Y220" s="203">
        <f>Y$219*'Methanol recycling rates'!AA69</f>
        <v>0.12960469841712438</v>
      </c>
      <c r="Z220" s="203">
        <f>Z$219*'Methanol recycling rates'!AB69</f>
        <v>0.14874776357664446</v>
      </c>
      <c r="AA220" s="203">
        <f>AA$219*'Methanol recycling rates'!AC69</f>
        <v>0.16965192366040488</v>
      </c>
      <c r="AB220" s="203">
        <f>AB$219*'Methanol recycling rates'!AD69</f>
        <v>0.19238886092258725</v>
      </c>
      <c r="AC220" s="203">
        <f>AC$219*'Methanol recycling rates'!AE69</f>
        <v>0.2170295723197693</v>
      </c>
      <c r="AD220" s="203">
        <f>AD$219*'Methanol recycling rates'!AF69</f>
        <v>0.24364437339005535</v>
      </c>
      <c r="AE220" s="203">
        <f>AE$219*'Methanol recycling rates'!AG69</f>
        <v>0.27230290211486435</v>
      </c>
      <c r="AF220" s="203">
        <f>AF$219*'Methanol recycling rates'!AH69</f>
        <v>0.30307412276344325</v>
      </c>
      <c r="AG220" s="203">
        <f>AG$219*'Methanol recycling rates'!AI69</f>
        <v>0.3360263297201736</v>
      </c>
      <c r="AH220" s="217"/>
      <c r="AI220" s="124"/>
      <c r="AJ220" s="185"/>
      <c r="AL220" s="100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outlineLevel="1">
      <c r="A221" s="4" t="s">
        <v>160</v>
      </c>
      <c r="C221" s="203">
        <f>C$219*'Methanol recycling rates'!E70</f>
        <v>0</v>
      </c>
      <c r="D221" s="203">
        <f>D$219*'Methanol recycling rates'!F70</f>
        <v>4.8116897874622984E-2</v>
      </c>
      <c r="E221" s="203">
        <f>E$219*'Methanol recycling rates'!G70</f>
        <v>0.29140591217775541</v>
      </c>
      <c r="F221" s="203">
        <f>F$219*'Methanol recycling rates'!H70</f>
        <v>0.87728955164679767</v>
      </c>
      <c r="G221" s="203">
        <f>G$219*'Methanol recycling rates'!I70</f>
        <v>1.9518828311850978</v>
      </c>
      <c r="H221" s="203">
        <f>H$219*'Methanol recycling rates'!J70</f>
        <v>3.6600004983424661</v>
      </c>
      <c r="I221" s="203">
        <f>I$219*'Methanol recycling rates'!K70</f>
        <v>6.1451642278665144</v>
      </c>
      <c r="J221" s="203">
        <f>J$219*'Methanol recycling rates'!L70</f>
        <v>9.5496097844482026</v>
      </c>
      <c r="K221" s="203">
        <f>K$219*'Methanol recycling rates'!M70</f>
        <v>14.01429415378459</v>
      </c>
      <c r="L221" s="203">
        <f>L$219*'Methanol recycling rates'!N70</f>
        <v>19.678902642081276</v>
      </c>
      <c r="M221" s="203">
        <f>M$219*'Methanol recycling rates'!O70</f>
        <v>26.68185594411672</v>
      </c>
      <c r="N221" s="203">
        <f>N$219*'Methanol recycling rates'!P70</f>
        <v>34.193342049804826</v>
      </c>
      <c r="O221" s="203">
        <f>O$219*'Methanol recycling rates'!Q70</f>
        <v>42.953719127532146</v>
      </c>
      <c r="P221" s="203">
        <f>P$219*'Methanol recycling rates'!R70</f>
        <v>53.052333493136601</v>
      </c>
      <c r="Q221" s="203">
        <f>Q$219*'Methanol recycling rates'!S70</f>
        <v>64.577705665900538</v>
      </c>
      <c r="R221" s="203">
        <f>R$219*'Methanol recycling rates'!T70</f>
        <v>77.617534994144293</v>
      </c>
      <c r="S221" s="203">
        <f>S$219*'Methanol recycling rates'!U70</f>
        <v>92.258704260245963</v>
      </c>
      <c r="T221" s="203">
        <f>T$219*'Methanol recycling rates'!V70</f>
        <v>108.58728426516814</v>
      </c>
      <c r="U221" s="203">
        <f>U$219*'Methanol recycling rates'!W70</f>
        <v>126.68853839257039</v>
      </c>
      <c r="V221" s="203">
        <f>V$219*'Methanol recycling rates'!X70</f>
        <v>146.64692715258693</v>
      </c>
      <c r="W221" s="203">
        <f>W$219*'Methanol recycling rates'!Y70</f>
        <v>168.54611270534883</v>
      </c>
      <c r="X221" s="203">
        <f>X$219*'Methanol recycling rates'!Z70</f>
        <v>196.26391990621983</v>
      </c>
      <c r="Y221" s="203">
        <f>Y$219*'Methanol recycling rates'!AA70</f>
        <v>226.80914167797587</v>
      </c>
      <c r="Z221" s="203">
        <f>Z$219*'Methanol recycling rates'!AB70</f>
        <v>260.30964151280779</v>
      </c>
      <c r="AA221" s="203">
        <f>AA$219*'Methanol recycling rates'!AC70</f>
        <v>296.89206995870626</v>
      </c>
      <c r="AB221" s="203">
        <f>AB$219*'Methanol recycling rates'!AD70</f>
        <v>336.68187146902085</v>
      </c>
      <c r="AC221" s="203">
        <f>AC$219*'Methanol recycling rates'!AE70</f>
        <v>379.8032912214328</v>
      </c>
      <c r="AD221" s="203">
        <f>AD$219*'Methanol recycling rates'!AF70</f>
        <v>426.37938190646048</v>
      </c>
      <c r="AE221" s="203">
        <f>AE$219*'Methanol recycling rates'!AG70</f>
        <v>476.53201048561635</v>
      </c>
      <c r="AF221" s="203">
        <f>AF$219*'Methanol recycling rates'!AH70</f>
        <v>530.3818649193322</v>
      </c>
      <c r="AG221" s="203">
        <f>AG$219*'Methanol recycling rates'!AI70</f>
        <v>588.04846086477335</v>
      </c>
      <c r="AH221" s="217"/>
      <c r="AI221" s="124"/>
      <c r="AJ221" s="185"/>
      <c r="AL221" s="100"/>
      <c r="AM221" s="2"/>
      <c r="AN221" s="2"/>
      <c r="AO221" s="2"/>
      <c r="BC221" s="1"/>
      <c r="BD221" s="2"/>
      <c r="BE221" s="2"/>
      <c r="BF221" s="2"/>
      <c r="BG221" s="2"/>
      <c r="BH221" s="2"/>
      <c r="BI221" s="2"/>
      <c r="BJ221" s="2"/>
      <c r="BK221" s="2"/>
    </row>
    <row r="222" spans="1:63" outlineLevel="1">
      <c r="A222" s="4" t="s">
        <v>1040</v>
      </c>
      <c r="C222" s="203">
        <f>C$219*'Methanol recycling rates'!E71</f>
        <v>0</v>
      </c>
      <c r="D222" s="203">
        <f>D$219*'Methanol recycling rates'!F71</f>
        <v>0.79691335728836099</v>
      </c>
      <c r="E222" s="203">
        <f>E$219*'Methanol recycling rates'!G71</f>
        <v>4.8262725583921879</v>
      </c>
      <c r="F222" s="203">
        <f>F$219*'Methanol recycling rates'!H71</f>
        <v>14.529693159740683</v>
      </c>
      <c r="G222" s="203">
        <f>G$219*'Methanol recycling rates'!I71</f>
        <v>32.327135969702518</v>
      </c>
      <c r="H222" s="203">
        <f>H$219*'Methanol recycling rates'!J71</f>
        <v>60.617026733750592</v>
      </c>
      <c r="I222" s="203">
        <f>I$219*'Methanol recycling rates'!K71</f>
        <v>101.77637529081487</v>
      </c>
      <c r="J222" s="203">
        <f>J$219*'Methanol recycling rates'!L71</f>
        <v>158.1608942028669</v>
      </c>
      <c r="K222" s="203">
        <f>K$219*'Methanol recycling rates'!M71</f>
        <v>232.10511685977283</v>
      </c>
      <c r="L222" s="203">
        <f>L$219*'Methanol recycling rates'!N71</f>
        <v>325.92251506144419</v>
      </c>
      <c r="M222" s="203">
        <f>M$219*'Methanol recycling rates'!O71</f>
        <v>441.90561607930891</v>
      </c>
      <c r="N222" s="203">
        <f>N$219*'Methanol recycling rates'!P71</f>
        <v>566.31105107444034</v>
      </c>
      <c r="O222" s="203">
        <f>O$219*'Methanol recycling rates'!Q71</f>
        <v>711.40065195258876</v>
      </c>
      <c r="P222" s="203">
        <f>P$219*'Methanol recycling rates'!R71</f>
        <v>878.6541748007171</v>
      </c>
      <c r="Q222" s="203">
        <f>Q$219*'Methanol recycling rates'!S71</f>
        <v>1069.5376988410151</v>
      </c>
      <c r="R222" s="203">
        <f>R$219*'Methanol recycling rates'!T71</f>
        <v>1285.5037030401043</v>
      </c>
      <c r="S222" s="203">
        <f>S$219*'Methanol recycling rates'!U71</f>
        <v>1527.991142377499</v>
      </c>
      <c r="T222" s="203">
        <f>T$219*'Methanol recycling rates'!V71</f>
        <v>1798.425523774662</v>
      </c>
      <c r="U222" s="203">
        <f>U$219*'Methanol recycling rates'!W71</f>
        <v>2098.2189816859582</v>
      </c>
      <c r="V222" s="203">
        <f>V$219*'Methanol recycling rates'!X71</f>
        <v>2428.7703533528229</v>
      </c>
      <c r="W222" s="203">
        <f>W$219*'Methanol recycling rates'!Y71</f>
        <v>2791.465253722457</v>
      </c>
      <c r="X222" s="203">
        <f>X$219*'Methanol recycling rates'!Z71</f>
        <v>3250.5283223906326</v>
      </c>
      <c r="Y222" s="203">
        <f>Y$219*'Methanol recycling rates'!AA71</f>
        <v>3756.419107259489</v>
      </c>
      <c r="Z222" s="203">
        <f>Z$219*'Methanol recycling rates'!AB71</f>
        <v>4311.2552869271349</v>
      </c>
      <c r="AA222" s="203">
        <f>AA$219*'Methanol recycling rates'!AC71</f>
        <v>4917.1344511771977</v>
      </c>
      <c r="AB222" s="203">
        <f>AB$219*'Methanol recycling rates'!AD71</f>
        <v>5576.1342144214068</v>
      </c>
      <c r="AC222" s="203">
        <f>AC$219*'Methanol recycling rates'!AE71</f>
        <v>6290.3123286356013</v>
      </c>
      <c r="AD222" s="203">
        <f>AD$219*'Methanol recycling rates'!AF71</f>
        <v>7061.7067957911468</v>
      </c>
      <c r="AE222" s="203">
        <f>AE$219*'Methanol recycling rates'!AG71</f>
        <v>7892.3359797837038</v>
      </c>
      <c r="AF222" s="203">
        <f>AF$219*'Methanol recycling rates'!AH71</f>
        <v>8784.1987178613144</v>
      </c>
      <c r="AG222" s="203">
        <f>AG$219*'Methanol recycling rates'!AI71</f>
        <v>9739.2744315537748</v>
      </c>
      <c r="AH222" s="217"/>
      <c r="AI222" s="124"/>
      <c r="AJ222" s="185"/>
      <c r="AL222" s="100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s="1" customFormat="1" outlineLevel="1">
      <c r="A223" s="1" t="s">
        <v>1041</v>
      </c>
      <c r="B223" s="60"/>
      <c r="C223" s="250">
        <f>C219-$C219</f>
        <v>0</v>
      </c>
      <c r="D223" s="250">
        <f t="shared" ref="D223:AG223" si="168">D219-$C219</f>
        <v>25.351732512652081</v>
      </c>
      <c r="E223" s="250">
        <f t="shared" si="168"/>
        <v>76.767674813385128</v>
      </c>
      <c r="F223" s="250">
        <f t="shared" si="168"/>
        <v>154.07484017670481</v>
      </c>
      <c r="G223" s="250">
        <f t="shared" si="168"/>
        <v>257.10100618487951</v>
      </c>
      <c r="H223" s="250">
        <f t="shared" si="168"/>
        <v>385.67471191482559</v>
      </c>
      <c r="I223" s="250">
        <f t="shared" si="168"/>
        <v>539.62525513431081</v>
      </c>
      <c r="J223" s="250">
        <f t="shared" si="168"/>
        <v>718.78268950744473</v>
      </c>
      <c r="K223" s="250">
        <f t="shared" si="168"/>
        <v>922.97782180943057</v>
      </c>
      <c r="L223" s="250">
        <f t="shared" si="168"/>
        <v>1152.0422091505459</v>
      </c>
      <c r="M223" s="250">
        <f t="shared" si="168"/>
        <v>1405.8081562093287</v>
      </c>
      <c r="N223" s="250">
        <f t="shared" si="168"/>
        <v>1637.7925420844642</v>
      </c>
      <c r="O223" s="250">
        <f t="shared" si="168"/>
        <v>1885.9472899074453</v>
      </c>
      <c r="P223" s="250">
        <f t="shared" si="168"/>
        <v>2150.1619010540726</v>
      </c>
      <c r="Q223" s="250">
        <f t="shared" si="168"/>
        <v>2430.3263697930379</v>
      </c>
      <c r="R223" s="250">
        <f t="shared" si="168"/>
        <v>2726.3311814631775</v>
      </c>
      <c r="S223" s="250">
        <f t="shared" si="168"/>
        <v>3038.0673106567629</v>
      </c>
      <c r="T223" s="250">
        <f t="shared" si="168"/>
        <v>3365.426219408846</v>
      </c>
      <c r="U223" s="250">
        <f t="shared" si="168"/>
        <v>3708.2998553926118</v>
      </c>
      <c r="V223" s="250">
        <f t="shared" si="168"/>
        <v>4066.5806501207239</v>
      </c>
      <c r="W223" s="250">
        <f t="shared" si="168"/>
        <v>4440.1615171526619</v>
      </c>
      <c r="X223" s="250">
        <f t="shared" si="168"/>
        <v>4924.149132362264</v>
      </c>
      <c r="Y223" s="250">
        <f t="shared" si="168"/>
        <v>5431.8516185943827</v>
      </c>
      <c r="Z223" s="250">
        <f t="shared" si="168"/>
        <v>5963.1047950480661</v>
      </c>
      <c r="AA223" s="250">
        <f t="shared" si="168"/>
        <v>6517.7452163244525</v>
      </c>
      <c r="AB223" s="250">
        <f t="shared" si="168"/>
        <v>7095.6101697016165</v>
      </c>
      <c r="AC223" s="250">
        <f t="shared" si="168"/>
        <v>7696.5376724184807</v>
      </c>
      <c r="AD223" s="250">
        <f t="shared" si="168"/>
        <v>8320.3664689677698</v>
      </c>
      <c r="AE223" s="250">
        <f t="shared" si="168"/>
        <v>8966.9360283979604</v>
      </c>
      <c r="AF223" s="250">
        <f t="shared" si="168"/>
        <v>9636.0865416242123</v>
      </c>
      <c r="AG223" s="250">
        <f t="shared" si="168"/>
        <v>10327.658918748268</v>
      </c>
      <c r="AH223" s="217"/>
      <c r="AI223" s="368"/>
      <c r="AJ223" s="369"/>
      <c r="AL223" s="194"/>
      <c r="AM223" s="116"/>
      <c r="AN223" s="116"/>
      <c r="AO223" s="116"/>
      <c r="BD223" s="116"/>
      <c r="BE223" s="116"/>
      <c r="BF223" s="116"/>
      <c r="BG223" s="116"/>
      <c r="BH223" s="116"/>
      <c r="BI223" s="116"/>
      <c r="BJ223" s="116"/>
      <c r="BK223" s="116"/>
    </row>
    <row r="224" spans="1:63" outlineLevel="1">
      <c r="A224" s="4" t="s">
        <v>35</v>
      </c>
      <c r="C224" s="203">
        <f>C220-$C220</f>
        <v>0</v>
      </c>
      <c r="D224" s="203">
        <f t="shared" ref="D224:AF224" si="169">D220-$C220</f>
        <v>2.7495258752234161E-5</v>
      </c>
      <c r="E224" s="203">
        <f t="shared" si="169"/>
        <v>1.6651698906557964E-4</v>
      </c>
      <c r="F224" s="203">
        <f t="shared" si="169"/>
        <v>5.013062830029585E-4</v>
      </c>
      <c r="G224" s="203">
        <f t="shared" si="169"/>
        <v>1.1153570963223314E-3</v>
      </c>
      <c r="H224" s="203">
        <f t="shared" si="169"/>
        <v>2.0914203778773961E-3</v>
      </c>
      <c r="I224" s="203">
        <f t="shared" si="169"/>
        <v>3.5115081807731135E-3</v>
      </c>
      <c r="J224" s="203">
        <f t="shared" si="169"/>
        <v>5.4568977553465714E-3</v>
      </c>
      <c r="K224" s="203">
        <f t="shared" si="169"/>
        <v>8.0081356240434675E-3</v>
      </c>
      <c r="L224" s="203">
        <f t="shared" si="169"/>
        <v>1.1245041638260199E-2</v>
      </c>
      <c r="M224" s="203">
        <f t="shared" si="169"/>
        <v>1.5246713017221386E-2</v>
      </c>
      <c r="N224" s="203">
        <f t="shared" si="169"/>
        <v>1.9538973391692263E-2</v>
      </c>
      <c r="O224" s="203">
        <f t="shared" si="169"/>
        <v>2.4544882857154473E-2</v>
      </c>
      <c r="P224" s="203">
        <f t="shared" si="169"/>
        <v>3.031549624426072E-2</v>
      </c>
      <c r="Q224" s="203">
        <f t="shared" si="169"/>
        <v>3.6901396501830615E-2</v>
      </c>
      <c r="R224" s="203">
        <f t="shared" si="169"/>
        <v>4.4352697340036266E-2</v>
      </c>
      <c r="S224" s="203">
        <f t="shared" si="169"/>
        <v>5.2719045861831494E-2</v>
      </c>
      <c r="T224" s="203">
        <f t="shared" si="169"/>
        <v>6.2049625182670765E-2</v>
      </c>
      <c r="U224" s="203">
        <f t="shared" si="169"/>
        <v>7.2393157038562903E-2</v>
      </c>
      <c r="V224" s="203">
        <f t="shared" si="169"/>
        <v>8.3797904382504937E-2</v>
      </c>
      <c r="W224" s="203">
        <f t="shared" si="169"/>
        <v>9.6311673969341469E-2</v>
      </c>
      <c r="X224" s="203">
        <f t="shared" si="169"/>
        <v>0.11215035673351914</v>
      </c>
      <c r="Y224" s="203">
        <f t="shared" si="169"/>
        <v>0.12960469841712438</v>
      </c>
      <c r="Z224" s="203">
        <f t="shared" si="169"/>
        <v>0.14874776357664446</v>
      </c>
      <c r="AA224" s="203">
        <f t="shared" si="169"/>
        <v>0.16965192366040488</v>
      </c>
      <c r="AB224" s="203">
        <f t="shared" si="169"/>
        <v>0.19238886092258725</v>
      </c>
      <c r="AC224" s="203">
        <f t="shared" si="169"/>
        <v>0.2170295723197693</v>
      </c>
      <c r="AD224" s="203">
        <f t="shared" si="169"/>
        <v>0.24364437339005535</v>
      </c>
      <c r="AE224" s="203">
        <f t="shared" si="169"/>
        <v>0.27230290211486435</v>
      </c>
      <c r="AF224" s="203">
        <f t="shared" si="169"/>
        <v>0.30307412276344325</v>
      </c>
      <c r="AG224" s="203">
        <f>AG220-$C220</f>
        <v>0.3360263297201736</v>
      </c>
      <c r="AH224" s="217"/>
      <c r="AI224" s="124"/>
      <c r="AJ224" s="185"/>
      <c r="AL224" s="100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160</v>
      </c>
      <c r="C225" s="203">
        <f t="shared" ref="C225:AG225" si="170">C221-$C221</f>
        <v>0</v>
      </c>
      <c r="D225" s="203">
        <f t="shared" si="170"/>
        <v>4.8116897874622984E-2</v>
      </c>
      <c r="E225" s="203">
        <f t="shared" si="170"/>
        <v>0.29140591217775541</v>
      </c>
      <c r="F225" s="203">
        <f t="shared" si="170"/>
        <v>0.87728955164679767</v>
      </c>
      <c r="G225" s="203">
        <f t="shared" si="170"/>
        <v>1.9518828311850978</v>
      </c>
      <c r="H225" s="203">
        <f t="shared" si="170"/>
        <v>3.6600004983424661</v>
      </c>
      <c r="I225" s="203">
        <f t="shared" si="170"/>
        <v>6.1451642278665144</v>
      </c>
      <c r="J225" s="203">
        <f t="shared" si="170"/>
        <v>9.5496097844482026</v>
      </c>
      <c r="K225" s="203">
        <f t="shared" si="170"/>
        <v>14.01429415378459</v>
      </c>
      <c r="L225" s="203">
        <f t="shared" si="170"/>
        <v>19.678902642081276</v>
      </c>
      <c r="M225" s="203">
        <f t="shared" si="170"/>
        <v>26.68185594411672</v>
      </c>
      <c r="N225" s="203">
        <f t="shared" si="170"/>
        <v>34.193342049804826</v>
      </c>
      <c r="O225" s="203">
        <f t="shared" si="170"/>
        <v>42.953719127532146</v>
      </c>
      <c r="P225" s="203">
        <f t="shared" si="170"/>
        <v>53.052333493136601</v>
      </c>
      <c r="Q225" s="203">
        <f t="shared" si="170"/>
        <v>64.577705665900538</v>
      </c>
      <c r="R225" s="203">
        <f t="shared" si="170"/>
        <v>77.617534994144293</v>
      </c>
      <c r="S225" s="203">
        <f t="shared" si="170"/>
        <v>92.258704260245963</v>
      </c>
      <c r="T225" s="203">
        <f t="shared" si="170"/>
        <v>108.58728426516814</v>
      </c>
      <c r="U225" s="203">
        <f t="shared" si="170"/>
        <v>126.68853839257039</v>
      </c>
      <c r="V225" s="203">
        <f t="shared" si="170"/>
        <v>146.64692715258693</v>
      </c>
      <c r="W225" s="203">
        <f t="shared" si="170"/>
        <v>168.54611270534883</v>
      </c>
      <c r="X225" s="203">
        <f t="shared" si="170"/>
        <v>196.26391990621983</v>
      </c>
      <c r="Y225" s="203">
        <f t="shared" si="170"/>
        <v>226.80914167797587</v>
      </c>
      <c r="Z225" s="203">
        <f t="shared" si="170"/>
        <v>260.30964151280779</v>
      </c>
      <c r="AA225" s="203">
        <f t="shared" si="170"/>
        <v>296.89206995870626</v>
      </c>
      <c r="AB225" s="203">
        <f t="shared" si="170"/>
        <v>336.68187146902085</v>
      </c>
      <c r="AC225" s="203">
        <f t="shared" si="170"/>
        <v>379.8032912214328</v>
      </c>
      <c r="AD225" s="203">
        <f t="shared" si="170"/>
        <v>426.37938190646048</v>
      </c>
      <c r="AE225" s="203">
        <f t="shared" si="170"/>
        <v>476.53201048561635</v>
      </c>
      <c r="AF225" s="203">
        <f t="shared" si="170"/>
        <v>530.3818649193322</v>
      </c>
      <c r="AG225" s="203">
        <f t="shared" si="170"/>
        <v>588.04846086477335</v>
      </c>
      <c r="AH225" s="217"/>
      <c r="AI225" s="124"/>
      <c r="AJ225" s="185"/>
      <c r="AL225" s="100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outlineLevel="1">
      <c r="A226" s="4" t="s">
        <v>1040</v>
      </c>
      <c r="C226" s="203">
        <f t="shared" ref="C226:AG226" si="171">C222-$C222</f>
        <v>0</v>
      </c>
      <c r="D226" s="203">
        <f t="shared" si="171"/>
        <v>0.79691335728836099</v>
      </c>
      <c r="E226" s="203">
        <f t="shared" si="171"/>
        <v>4.8262725583921879</v>
      </c>
      <c r="F226" s="203">
        <f t="shared" si="171"/>
        <v>14.529693159740683</v>
      </c>
      <c r="G226" s="203">
        <f t="shared" si="171"/>
        <v>32.327135969702518</v>
      </c>
      <c r="H226" s="203">
        <f t="shared" si="171"/>
        <v>60.617026733750592</v>
      </c>
      <c r="I226" s="203">
        <f t="shared" si="171"/>
        <v>101.77637529081487</v>
      </c>
      <c r="J226" s="203">
        <f t="shared" si="171"/>
        <v>158.1608942028669</v>
      </c>
      <c r="K226" s="203">
        <f t="shared" si="171"/>
        <v>232.10511685977283</v>
      </c>
      <c r="L226" s="203">
        <f t="shared" si="171"/>
        <v>325.92251506144419</v>
      </c>
      <c r="M226" s="203">
        <f t="shared" si="171"/>
        <v>441.90561607930891</v>
      </c>
      <c r="N226" s="203">
        <f t="shared" si="171"/>
        <v>566.31105107444034</v>
      </c>
      <c r="O226" s="203">
        <f t="shared" si="171"/>
        <v>711.40065195258876</v>
      </c>
      <c r="P226" s="203">
        <f t="shared" si="171"/>
        <v>878.6541748007171</v>
      </c>
      <c r="Q226" s="203">
        <f t="shared" si="171"/>
        <v>1069.5376988410151</v>
      </c>
      <c r="R226" s="203">
        <f t="shared" si="171"/>
        <v>1285.5037030401043</v>
      </c>
      <c r="S226" s="203">
        <f t="shared" si="171"/>
        <v>1527.991142377499</v>
      </c>
      <c r="T226" s="203">
        <f t="shared" si="171"/>
        <v>1798.425523774662</v>
      </c>
      <c r="U226" s="203">
        <f t="shared" si="171"/>
        <v>2098.2189816859582</v>
      </c>
      <c r="V226" s="203">
        <f t="shared" si="171"/>
        <v>2428.7703533528229</v>
      </c>
      <c r="W226" s="203">
        <f t="shared" si="171"/>
        <v>2791.465253722457</v>
      </c>
      <c r="X226" s="203">
        <f t="shared" si="171"/>
        <v>3250.5283223906326</v>
      </c>
      <c r="Y226" s="203">
        <f t="shared" si="171"/>
        <v>3756.419107259489</v>
      </c>
      <c r="Z226" s="203">
        <f t="shared" si="171"/>
        <v>4311.2552869271349</v>
      </c>
      <c r="AA226" s="203">
        <f t="shared" si="171"/>
        <v>4917.1344511771977</v>
      </c>
      <c r="AB226" s="203">
        <f t="shared" si="171"/>
        <v>5576.1342144214068</v>
      </c>
      <c r="AC226" s="203">
        <f t="shared" si="171"/>
        <v>6290.3123286356013</v>
      </c>
      <c r="AD226" s="203">
        <f t="shared" si="171"/>
        <v>7061.7067957911468</v>
      </c>
      <c r="AE226" s="203">
        <f t="shared" si="171"/>
        <v>7892.3359797837038</v>
      </c>
      <c r="AF226" s="203">
        <f t="shared" si="171"/>
        <v>8784.1987178613144</v>
      </c>
      <c r="AG226" s="203">
        <f t="shared" si="171"/>
        <v>9739.2744315537748</v>
      </c>
      <c r="AH226" s="217"/>
      <c r="AI226" s="124"/>
      <c r="AJ226" s="185"/>
      <c r="AL226" s="100"/>
      <c r="AM226" s="2"/>
      <c r="AN226" s="2"/>
      <c r="AO226" s="2"/>
      <c r="BC226" s="1"/>
      <c r="BD226" s="2"/>
      <c r="BE226" s="2"/>
      <c r="BF226" s="2"/>
      <c r="BG226" s="2"/>
      <c r="BH226" s="2"/>
      <c r="BI226" s="2"/>
      <c r="BJ226" s="2"/>
      <c r="BK226" s="2"/>
    </row>
    <row r="227" spans="1:63" outlineLevel="1">
      <c r="AJ227" s="185"/>
    </row>
    <row r="228" spans="1:63" s="174" customFormat="1" ht="15.5" thickBot="1">
      <c r="A228" s="174" t="s">
        <v>448</v>
      </c>
      <c r="B228" s="189"/>
      <c r="C228" s="197">
        <f>C229</f>
        <v>0.14000000000000001</v>
      </c>
      <c r="D228" s="197">
        <f t="shared" ref="D228:AG228" si="172">D229</f>
        <v>0.15700598392683424</v>
      </c>
      <c r="E228" s="197">
        <f t="shared" si="172"/>
        <v>0.17401196785366843</v>
      </c>
      <c r="F228" s="197">
        <f t="shared" si="172"/>
        <v>0.19101795178050265</v>
      </c>
      <c r="G228" s="197">
        <f t="shared" si="172"/>
        <v>0.20802393570733685</v>
      </c>
      <c r="H228" s="197">
        <f t="shared" si="172"/>
        <v>0.22502991963417107</v>
      </c>
      <c r="I228" s="197">
        <f t="shared" si="172"/>
        <v>0.24203590356100529</v>
      </c>
      <c r="J228" s="197">
        <f t="shared" si="172"/>
        <v>0.25904188748783952</v>
      </c>
      <c r="K228" s="197">
        <f t="shared" si="172"/>
        <v>0.27604787141467368</v>
      </c>
      <c r="L228" s="197">
        <f t="shared" si="172"/>
        <v>0.29305385534150796</v>
      </c>
      <c r="M228" s="197">
        <f t="shared" si="172"/>
        <v>0.31005983926834213</v>
      </c>
      <c r="N228" s="197">
        <f t="shared" si="172"/>
        <v>0.32148492288828256</v>
      </c>
      <c r="O228" s="197">
        <f t="shared" si="172"/>
        <v>0.33291000650822294</v>
      </c>
      <c r="P228" s="197">
        <f t="shared" si="172"/>
        <v>0.34433509012816338</v>
      </c>
      <c r="Q228" s="197">
        <f t="shared" si="172"/>
        <v>0.35576017374810376</v>
      </c>
      <c r="R228" s="197">
        <f t="shared" si="172"/>
        <v>0.36718525736804419</v>
      </c>
      <c r="S228" s="197">
        <f t="shared" si="172"/>
        <v>0.37861034098798463</v>
      </c>
      <c r="T228" s="197">
        <f t="shared" si="172"/>
        <v>0.39003542460792501</v>
      </c>
      <c r="U228" s="197">
        <f t="shared" si="172"/>
        <v>0.40146050822786544</v>
      </c>
      <c r="V228" s="197">
        <f t="shared" si="172"/>
        <v>0.41288559184780582</v>
      </c>
      <c r="W228" s="197">
        <f t="shared" si="172"/>
        <v>0.42431067546774626</v>
      </c>
      <c r="X228" s="197">
        <f t="shared" si="172"/>
        <v>0.44187960792097164</v>
      </c>
      <c r="Y228" s="197">
        <f t="shared" si="172"/>
        <v>0.45944854037419702</v>
      </c>
      <c r="Z228" s="197">
        <f t="shared" si="172"/>
        <v>0.47701747282742235</v>
      </c>
      <c r="AA228" s="197">
        <f t="shared" si="172"/>
        <v>0.49458640528064773</v>
      </c>
      <c r="AB228" s="197">
        <f t="shared" si="172"/>
        <v>0.51215533773387312</v>
      </c>
      <c r="AC228" s="197">
        <f t="shared" si="172"/>
        <v>0.52972427018709856</v>
      </c>
      <c r="AD228" s="197">
        <f t="shared" si="172"/>
        <v>0.54729320264032388</v>
      </c>
      <c r="AE228" s="197">
        <f t="shared" si="172"/>
        <v>0.56486213509354921</v>
      </c>
      <c r="AF228" s="197">
        <f t="shared" si="172"/>
        <v>0.58243106754677465</v>
      </c>
      <c r="AG228" s="197">
        <f t="shared" si="172"/>
        <v>0.6</v>
      </c>
      <c r="AJ228" s="204" t="s">
        <v>457</v>
      </c>
      <c r="AL228" s="191"/>
      <c r="AM228" s="198"/>
      <c r="AN228" s="198"/>
      <c r="AO228" s="198"/>
    </row>
    <row r="229" spans="1:63" ht="15.5" outlineLevel="2" thickTop="1">
      <c r="A229" t="s">
        <v>449</v>
      </c>
      <c r="B229" s="50" t="s">
        <v>126</v>
      </c>
      <c r="C229" s="118">
        <f>'Ethylene Recycling HC'!C206</f>
        <v>0.14000000000000001</v>
      </c>
      <c r="D229" s="102">
        <f>'Ethylene Recycling HC'!D206</f>
        <v>0.15700598392683424</v>
      </c>
      <c r="E229" s="102">
        <f>'Ethylene Recycling HC'!E206</f>
        <v>0.17401196785366843</v>
      </c>
      <c r="F229" s="102">
        <f>'Ethylene Recycling HC'!F206</f>
        <v>0.19101795178050265</v>
      </c>
      <c r="G229" s="102">
        <f>'Ethylene Recycling HC'!G206</f>
        <v>0.20802393570733685</v>
      </c>
      <c r="H229" s="102">
        <f>'Ethylene Recycling HC'!H206</f>
        <v>0.22502991963417107</v>
      </c>
      <c r="I229" s="102">
        <f>'Ethylene Recycling HC'!I206</f>
        <v>0.24203590356100529</v>
      </c>
      <c r="J229" s="102">
        <f>'Ethylene Recycling HC'!J206</f>
        <v>0.25904188748783952</v>
      </c>
      <c r="K229" s="102">
        <f>'Ethylene Recycling HC'!K206</f>
        <v>0.27604787141467368</v>
      </c>
      <c r="L229" s="102">
        <f>'Ethylene Recycling HC'!L206</f>
        <v>0.29305385534150796</v>
      </c>
      <c r="M229" s="113">
        <f>'Ethylene Recycling HC'!M206</f>
        <v>0.31005983926834213</v>
      </c>
      <c r="N229" s="113">
        <f>'Ethylene Recycling HC'!N206</f>
        <v>0.32148492288828256</v>
      </c>
      <c r="O229" s="113">
        <f>'Ethylene Recycling HC'!O206</f>
        <v>0.33291000650822294</v>
      </c>
      <c r="P229" s="113">
        <f>'Ethylene Recycling HC'!P206</f>
        <v>0.34433509012816338</v>
      </c>
      <c r="Q229" s="113">
        <f>'Ethylene Recycling HC'!Q206</f>
        <v>0.35576017374810376</v>
      </c>
      <c r="R229" s="113">
        <f>'Ethylene Recycling HC'!R206</f>
        <v>0.36718525736804419</v>
      </c>
      <c r="S229" s="113">
        <f>'Ethylene Recycling HC'!S206</f>
        <v>0.37861034098798463</v>
      </c>
      <c r="T229" s="113">
        <f>'Ethylene Recycling HC'!T206</f>
        <v>0.39003542460792501</v>
      </c>
      <c r="U229" s="113">
        <f>'Ethylene Recycling HC'!U206</f>
        <v>0.40146050822786544</v>
      </c>
      <c r="V229" s="113">
        <f>'Ethylene Recycling HC'!V206</f>
        <v>0.41288559184780582</v>
      </c>
      <c r="W229" s="113">
        <f>'Ethylene Recycling HC'!W206</f>
        <v>0.42431067546774626</v>
      </c>
      <c r="X229" s="22">
        <f>'Ethylene Recycling HC'!X206</f>
        <v>0.44187960792097164</v>
      </c>
      <c r="Y229" s="22">
        <f>'Ethylene Recycling HC'!Y206</f>
        <v>0.45944854037419702</v>
      </c>
      <c r="Z229" s="22">
        <f>'Ethylene Recycling HC'!Z206</f>
        <v>0.47701747282742235</v>
      </c>
      <c r="AA229" s="22">
        <f>'Ethylene Recycling HC'!AA206</f>
        <v>0.49458640528064773</v>
      </c>
      <c r="AB229" s="22">
        <f>'Ethylene Recycling HC'!AB206</f>
        <v>0.51215533773387312</v>
      </c>
      <c r="AC229" s="22">
        <f>'Ethylene Recycling HC'!AC206</f>
        <v>0.52972427018709856</v>
      </c>
      <c r="AD229" s="22">
        <f>'Ethylene Recycling HC'!AD206</f>
        <v>0.54729320264032388</v>
      </c>
      <c r="AE229" s="22">
        <f>'Ethylene Recycling HC'!AE206</f>
        <v>0.56486213509354921</v>
      </c>
      <c r="AF229" s="22">
        <f>'Ethylene Recycling HC'!AF206</f>
        <v>0.58243106754677465</v>
      </c>
      <c r="AG229" s="118">
        <f>'Ethylene Recycling HC'!AG206</f>
        <v>0.6</v>
      </c>
      <c r="AJ229" s="185" t="s">
        <v>1469</v>
      </c>
    </row>
    <row r="230" spans="1:63" outlineLevel="2">
      <c r="C230" s="105"/>
      <c r="D230" s="102"/>
      <c r="E230" s="102"/>
      <c r="F230" s="102"/>
      <c r="G230" s="102"/>
      <c r="H230" s="102"/>
      <c r="I230" s="102"/>
      <c r="J230" s="102"/>
      <c r="K230" s="102"/>
      <c r="L230" s="102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22"/>
      <c r="Y230" s="22"/>
      <c r="Z230" s="22"/>
      <c r="AA230" s="22"/>
      <c r="AB230" s="22"/>
      <c r="AC230" s="22"/>
      <c r="AD230" s="22"/>
      <c r="AE230" s="22"/>
      <c r="AF230" s="22"/>
      <c r="AG230" s="98"/>
      <c r="AJ230" s="185"/>
    </row>
    <row r="231" spans="1:63" outlineLevel="1">
      <c r="A231" t="s">
        <v>992</v>
      </c>
      <c r="C231" s="437">
        <f>'Overall recycling rates'!E88</f>
        <v>1</v>
      </c>
      <c r="D231" s="437">
        <f>C231-($C231-$AG231)/($AG$1-$C$1)</f>
        <v>1</v>
      </c>
      <c r="E231" s="437">
        <f t="shared" ref="E231:AF231" si="173">D231-($C231-$AG231)/($AG$1-$C$1)</f>
        <v>1</v>
      </c>
      <c r="F231" s="437">
        <f t="shared" si="173"/>
        <v>1</v>
      </c>
      <c r="G231" s="437">
        <f t="shared" si="173"/>
        <v>1</v>
      </c>
      <c r="H231" s="437">
        <f t="shared" si="173"/>
        <v>1</v>
      </c>
      <c r="I231" s="437">
        <f t="shared" si="173"/>
        <v>1</v>
      </c>
      <c r="J231" s="437">
        <f t="shared" si="173"/>
        <v>1</v>
      </c>
      <c r="K231" s="437">
        <f t="shared" si="173"/>
        <v>1</v>
      </c>
      <c r="L231" s="437">
        <f t="shared" si="173"/>
        <v>1</v>
      </c>
      <c r="M231" s="437">
        <f t="shared" si="173"/>
        <v>1</v>
      </c>
      <c r="N231" s="437">
        <f t="shared" si="173"/>
        <v>1</v>
      </c>
      <c r="O231" s="437">
        <f t="shared" si="173"/>
        <v>1</v>
      </c>
      <c r="P231" s="437">
        <f t="shared" si="173"/>
        <v>1</v>
      </c>
      <c r="Q231" s="437">
        <f t="shared" si="173"/>
        <v>1</v>
      </c>
      <c r="R231" s="437">
        <f t="shared" si="173"/>
        <v>1</v>
      </c>
      <c r="S231" s="437">
        <f t="shared" si="173"/>
        <v>1</v>
      </c>
      <c r="T231" s="437">
        <f t="shared" si="173"/>
        <v>1</v>
      </c>
      <c r="U231" s="437">
        <f t="shared" si="173"/>
        <v>1</v>
      </c>
      <c r="V231" s="437">
        <f t="shared" si="173"/>
        <v>1</v>
      </c>
      <c r="W231" s="437">
        <f t="shared" si="173"/>
        <v>1</v>
      </c>
      <c r="X231" s="437">
        <f t="shared" si="173"/>
        <v>1</v>
      </c>
      <c r="Y231" s="437">
        <f t="shared" si="173"/>
        <v>1</v>
      </c>
      <c r="Z231" s="437">
        <f t="shared" si="173"/>
        <v>1</v>
      </c>
      <c r="AA231" s="437">
        <f t="shared" si="173"/>
        <v>1</v>
      </c>
      <c r="AB231" s="437">
        <f t="shared" si="173"/>
        <v>1</v>
      </c>
      <c r="AC231" s="437">
        <f t="shared" si="173"/>
        <v>1</v>
      </c>
      <c r="AD231" s="437">
        <f t="shared" si="173"/>
        <v>1</v>
      </c>
      <c r="AE231" s="437">
        <f t="shared" si="173"/>
        <v>1</v>
      </c>
      <c r="AF231" s="437">
        <f t="shared" si="173"/>
        <v>1</v>
      </c>
      <c r="AG231" s="437">
        <f>'Overall recycling rates'!E97</f>
        <v>1</v>
      </c>
      <c r="AI231" s="124"/>
      <c r="AJ231" s="185" t="s">
        <v>1000</v>
      </c>
      <c r="AL231" s="100"/>
      <c r="AM231" s="181"/>
      <c r="AN231" s="181"/>
      <c r="AO231" s="181"/>
      <c r="BC231" s="1"/>
      <c r="BD231" s="181"/>
      <c r="BE231" s="181"/>
      <c r="BF231" s="181"/>
      <c r="BG231" s="181"/>
      <c r="BH231" s="181"/>
      <c r="BI231" s="181"/>
      <c r="BJ231" s="181"/>
      <c r="BK231" s="181"/>
    </row>
    <row r="232" spans="1:63" outlineLevel="1">
      <c r="A232" t="s">
        <v>1001</v>
      </c>
      <c r="B232" s="50" t="s">
        <v>126</v>
      </c>
      <c r="C232" s="102">
        <f>C229*C231</f>
        <v>0.14000000000000001</v>
      </c>
      <c r="D232" s="102">
        <f t="shared" ref="D232:AG232" si="174">D229*D231</f>
        <v>0.15700598392683424</v>
      </c>
      <c r="E232" s="102">
        <f t="shared" si="174"/>
        <v>0.17401196785366843</v>
      </c>
      <c r="F232" s="102">
        <f t="shared" si="174"/>
        <v>0.19101795178050265</v>
      </c>
      <c r="G232" s="102">
        <f t="shared" si="174"/>
        <v>0.20802393570733685</v>
      </c>
      <c r="H232" s="102">
        <f t="shared" si="174"/>
        <v>0.22502991963417107</v>
      </c>
      <c r="I232" s="102">
        <f t="shared" si="174"/>
        <v>0.24203590356100529</v>
      </c>
      <c r="J232" s="102">
        <f t="shared" si="174"/>
        <v>0.25904188748783952</v>
      </c>
      <c r="K232" s="102">
        <f t="shared" si="174"/>
        <v>0.27604787141467368</v>
      </c>
      <c r="L232" s="102">
        <f t="shared" si="174"/>
        <v>0.29305385534150796</v>
      </c>
      <c r="M232" s="102">
        <f t="shared" si="174"/>
        <v>0.31005983926834213</v>
      </c>
      <c r="N232" s="102">
        <f t="shared" si="174"/>
        <v>0.32148492288828256</v>
      </c>
      <c r="O232" s="102">
        <f t="shared" si="174"/>
        <v>0.33291000650822294</v>
      </c>
      <c r="P232" s="102">
        <f t="shared" si="174"/>
        <v>0.34433509012816338</v>
      </c>
      <c r="Q232" s="102">
        <f t="shared" si="174"/>
        <v>0.35576017374810376</v>
      </c>
      <c r="R232" s="102">
        <f t="shared" si="174"/>
        <v>0.36718525736804419</v>
      </c>
      <c r="S232" s="102">
        <f t="shared" si="174"/>
        <v>0.37861034098798463</v>
      </c>
      <c r="T232" s="102">
        <f t="shared" si="174"/>
        <v>0.39003542460792501</v>
      </c>
      <c r="U232" s="102">
        <f t="shared" si="174"/>
        <v>0.40146050822786544</v>
      </c>
      <c r="V232" s="102">
        <f t="shared" si="174"/>
        <v>0.41288559184780582</v>
      </c>
      <c r="W232" s="102">
        <f t="shared" si="174"/>
        <v>0.42431067546774626</v>
      </c>
      <c r="X232" s="102">
        <f t="shared" si="174"/>
        <v>0.44187960792097164</v>
      </c>
      <c r="Y232" s="102">
        <f t="shared" si="174"/>
        <v>0.45944854037419702</v>
      </c>
      <c r="Z232" s="102">
        <f t="shared" si="174"/>
        <v>0.47701747282742235</v>
      </c>
      <c r="AA232" s="102">
        <f t="shared" si="174"/>
        <v>0.49458640528064773</v>
      </c>
      <c r="AB232" s="102">
        <f t="shared" si="174"/>
        <v>0.51215533773387312</v>
      </c>
      <c r="AC232" s="102">
        <f t="shared" si="174"/>
        <v>0.52972427018709856</v>
      </c>
      <c r="AD232" s="102">
        <f t="shared" si="174"/>
        <v>0.54729320264032388</v>
      </c>
      <c r="AE232" s="102">
        <f t="shared" si="174"/>
        <v>0.56486213509354921</v>
      </c>
      <c r="AF232" s="102">
        <f t="shared" si="174"/>
        <v>0.58243106754677465</v>
      </c>
      <c r="AG232" s="102">
        <f t="shared" si="174"/>
        <v>0.6</v>
      </c>
      <c r="AJ232" s="185" t="s">
        <v>447</v>
      </c>
    </row>
    <row r="233" spans="1:63" outlineLevel="1"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J233" s="185"/>
    </row>
    <row r="234" spans="1:63" s="1" customFormat="1" outlineLevel="1">
      <c r="A234" s="1" t="s">
        <v>265</v>
      </c>
      <c r="B234" s="60"/>
      <c r="C234" s="250">
        <f>C232*C43</f>
        <v>64035.344910281616</v>
      </c>
      <c r="D234" s="250">
        <f t="shared" ref="D234:AG234" si="175">D232*D43</f>
        <v>71655.268042465628</v>
      </c>
      <c r="E234" s="250">
        <f t="shared" si="175"/>
        <v>79241.236004899358</v>
      </c>
      <c r="F234" s="250">
        <f t="shared" si="175"/>
        <v>86793.361579906865</v>
      </c>
      <c r="G234" s="250">
        <f t="shared" si="175"/>
        <v>94311.757217338032</v>
      </c>
      <c r="H234" s="250">
        <f t="shared" si="175"/>
        <v>101796.53503548689</v>
      </c>
      <c r="I234" s="250">
        <f t="shared" si="175"/>
        <v>108526.77129698222</v>
      </c>
      <c r="J234" s="250">
        <f t="shared" si="175"/>
        <v>115125.69700556742</v>
      </c>
      <c r="K234" s="250">
        <f t="shared" si="175"/>
        <v>121594.08230255714</v>
      </c>
      <c r="L234" s="250">
        <f t="shared" si="175"/>
        <v>127932.69407620745</v>
      </c>
      <c r="M234" s="250">
        <f t="shared" si="175"/>
        <v>134142.29597341252</v>
      </c>
      <c r="N234" s="250">
        <f t="shared" si="175"/>
        <v>137830.93677060746</v>
      </c>
      <c r="O234" s="250">
        <f t="shared" si="175"/>
        <v>141435.46297160161</v>
      </c>
      <c r="P234" s="250">
        <f t="shared" si="175"/>
        <v>144956.37627251761</v>
      </c>
      <c r="Q234" s="250">
        <f t="shared" si="175"/>
        <v>148394.17623696788</v>
      </c>
      <c r="R234" s="250">
        <f t="shared" si="175"/>
        <v>151749.36030374808</v>
      </c>
      <c r="S234" s="250">
        <f t="shared" si="175"/>
        <v>155022.42379450458</v>
      </c>
      <c r="T234" s="250">
        <f t="shared" si="175"/>
        <v>158213.85992137756</v>
      </c>
      <c r="U234" s="250">
        <f t="shared" si="175"/>
        <v>161324.15979461872</v>
      </c>
      <c r="V234" s="250">
        <f t="shared" si="175"/>
        <v>164353.81243018419</v>
      </c>
      <c r="W234" s="250">
        <f t="shared" si="175"/>
        <v>167303.30475730245</v>
      </c>
      <c r="X234" s="250">
        <f t="shared" si="175"/>
        <v>172572.55273295174</v>
      </c>
      <c r="Y234" s="250">
        <f t="shared" si="175"/>
        <v>177716.68035830458</v>
      </c>
      <c r="Z234" s="250">
        <f t="shared" si="175"/>
        <v>182736.43743380578</v>
      </c>
      <c r="AA234" s="250">
        <f t="shared" si="175"/>
        <v>187632.57056676937</v>
      </c>
      <c r="AB234" s="250">
        <f t="shared" si="175"/>
        <v>192405.82318290981</v>
      </c>
      <c r="AC234" s="250">
        <f t="shared" si="175"/>
        <v>197011.18282468524</v>
      </c>
      <c r="AD234" s="250">
        <f t="shared" si="175"/>
        <v>201492.31312123733</v>
      </c>
      <c r="AE234" s="250">
        <f t="shared" si="175"/>
        <v>205849.96740822119</v>
      </c>
      <c r="AF234" s="250">
        <f t="shared" si="175"/>
        <v>210084.89579886419</v>
      </c>
      <c r="AG234" s="250">
        <f t="shared" si="175"/>
        <v>214197.84519562978</v>
      </c>
      <c r="AH234" s="217"/>
      <c r="AI234" s="368"/>
      <c r="AJ234" s="369"/>
      <c r="AL234" s="194"/>
      <c r="AM234" s="116"/>
      <c r="AN234" s="116"/>
      <c r="AO234" s="116"/>
      <c r="BD234" s="116"/>
      <c r="BE234" s="116"/>
      <c r="BF234" s="116"/>
      <c r="BG234" s="116"/>
      <c r="BH234" s="116"/>
      <c r="BI234" s="116"/>
      <c r="BJ234" s="116"/>
      <c r="BK234" s="116"/>
    </row>
    <row r="235" spans="1:63" outlineLevel="1">
      <c r="A235" s="4" t="s">
        <v>35</v>
      </c>
      <c r="C235" s="203">
        <f>C$234*'Methanol recycling rates'!E72</f>
        <v>0</v>
      </c>
      <c r="D235" s="203">
        <f>D$234*'Methanol recycling rates'!F72</f>
        <v>0</v>
      </c>
      <c r="E235" s="203">
        <f>E$234*'Methanol recycling rates'!G72</f>
        <v>0</v>
      </c>
      <c r="F235" s="203">
        <f>F$234*'Methanol recycling rates'!H72</f>
        <v>0</v>
      </c>
      <c r="G235" s="203">
        <f>G$234*'Methanol recycling rates'!I72</f>
        <v>0</v>
      </c>
      <c r="H235" s="203">
        <f>H$234*'Methanol recycling rates'!J72</f>
        <v>0</v>
      </c>
      <c r="I235" s="203">
        <f>I$234*'Methanol recycling rates'!K72</f>
        <v>0</v>
      </c>
      <c r="J235" s="203">
        <f>J$234*'Methanol recycling rates'!L72</f>
        <v>0</v>
      </c>
      <c r="K235" s="203">
        <f>K$234*'Methanol recycling rates'!M72</f>
        <v>0</v>
      </c>
      <c r="L235" s="203">
        <f>L$234*'Methanol recycling rates'!N72</f>
        <v>0</v>
      </c>
      <c r="M235" s="203">
        <f>M$234*'Methanol recycling rates'!O72</f>
        <v>0</v>
      </c>
      <c r="N235" s="203">
        <f>N$234*'Methanol recycling rates'!P72</f>
        <v>0</v>
      </c>
      <c r="O235" s="203">
        <f>O$234*'Methanol recycling rates'!Q72</f>
        <v>0</v>
      </c>
      <c r="P235" s="203">
        <f>P$234*'Methanol recycling rates'!R72</f>
        <v>0</v>
      </c>
      <c r="Q235" s="203">
        <f>Q$234*'Methanol recycling rates'!S72</f>
        <v>0</v>
      </c>
      <c r="R235" s="203">
        <f>R$234*'Methanol recycling rates'!T72</f>
        <v>0</v>
      </c>
      <c r="S235" s="203">
        <f>S$234*'Methanol recycling rates'!U72</f>
        <v>0</v>
      </c>
      <c r="T235" s="203">
        <f>T$234*'Methanol recycling rates'!V72</f>
        <v>0</v>
      </c>
      <c r="U235" s="203">
        <f>U$234*'Methanol recycling rates'!W72</f>
        <v>0</v>
      </c>
      <c r="V235" s="203">
        <f>V$234*'Methanol recycling rates'!X72</f>
        <v>0</v>
      </c>
      <c r="W235" s="203">
        <f>W$234*'Methanol recycling rates'!Y72</f>
        <v>0</v>
      </c>
      <c r="X235" s="203">
        <f>X$234*'Methanol recycling rates'!Z72</f>
        <v>0</v>
      </c>
      <c r="Y235" s="203">
        <f>Y$234*'Methanol recycling rates'!AA72</f>
        <v>0</v>
      </c>
      <c r="Z235" s="203">
        <f>Z$234*'Methanol recycling rates'!AB72</f>
        <v>0</v>
      </c>
      <c r="AA235" s="203">
        <f>AA$234*'Methanol recycling rates'!AC72</f>
        <v>0</v>
      </c>
      <c r="AB235" s="203">
        <f>AB$234*'Methanol recycling rates'!AD72</f>
        <v>0</v>
      </c>
      <c r="AC235" s="203">
        <f>AC$234*'Methanol recycling rates'!AE72</f>
        <v>0</v>
      </c>
      <c r="AD235" s="203">
        <f>AD$234*'Methanol recycling rates'!AF72</f>
        <v>0</v>
      </c>
      <c r="AE235" s="203">
        <f>AE$234*'Methanol recycling rates'!AG72</f>
        <v>0</v>
      </c>
      <c r="AF235" s="203">
        <f>AF$234*'Methanol recycling rates'!AH72</f>
        <v>0</v>
      </c>
      <c r="AG235" s="203">
        <f>AG$234*'Methanol recycling rates'!AI72</f>
        <v>0</v>
      </c>
      <c r="AH235" s="217"/>
      <c r="AI235" s="124"/>
      <c r="AJ235" s="185"/>
      <c r="AL235" s="100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A236" s="4" t="s">
        <v>160</v>
      </c>
      <c r="C236" s="203">
        <f>C$234*'Methanol recycling rates'!E73</f>
        <v>1167.9615290796132</v>
      </c>
      <c r="D236" s="203">
        <f>D$234*'Methanol recycling rates'!F73</f>
        <v>1306.9437909133555</v>
      </c>
      <c r="E236" s="203">
        <f>E$234*'Methanol recycling rates'!G73</f>
        <v>1445.3067333378362</v>
      </c>
      <c r="F236" s="203">
        <f>F$234*'Methanol recycling rates'!H73</f>
        <v>1583.052413426627</v>
      </c>
      <c r="G236" s="203">
        <f>G$234*'Methanol recycling rates'!I73</f>
        <v>1720.1828821891943</v>
      </c>
      <c r="H236" s="203">
        <f>H$234*'Methanol recycling rates'!J73</f>
        <v>1856.7001845876498</v>
      </c>
      <c r="I236" s="203">
        <f>I$234*'Methanol recycling rates'!K73</f>
        <v>1979.4551575804012</v>
      </c>
      <c r="J236" s="203">
        <f>J$234*'Methanol recycling rates'!L73</f>
        <v>2099.8151145960219</v>
      </c>
      <c r="K236" s="203">
        <f>K$234*'Methanol recycling rates'!M73</f>
        <v>2217.7941024929887</v>
      </c>
      <c r="L236" s="203">
        <f>L$234*'Methanol recycling rates'!N73</f>
        <v>2333.4061087961823</v>
      </c>
      <c r="M236" s="203">
        <f>M$234*'Methanol recycling rates'!O73</f>
        <v>2446.6650619102275</v>
      </c>
      <c r="N236" s="203">
        <f>N$234*'Methanol recycling rates'!P73</f>
        <v>2513.9433837768988</v>
      </c>
      <c r="O236" s="203">
        <f>O$234*'Methanol recycling rates'!Q73</f>
        <v>2579.6875121050762</v>
      </c>
      <c r="P236" s="203">
        <f>P$234*'Methanol recycling rates'!R73</f>
        <v>2643.9065974938758</v>
      </c>
      <c r="Q236" s="203">
        <f>Q$234*'Methanol recycling rates'!S73</f>
        <v>2706.6097516468644</v>
      </c>
      <c r="R236" s="203">
        <f>R$234*'Methanol recycling rates'!T73</f>
        <v>2767.8060475123834</v>
      </c>
      <c r="S236" s="203">
        <f>S$234*'Methanol recycling rates'!U73</f>
        <v>2827.5045194233985</v>
      </c>
      <c r="T236" s="203">
        <f>T$234*'Methanol recycling rates'!V73</f>
        <v>2885.7141632369044</v>
      </c>
      <c r="U236" s="203">
        <f>U$234*'Methanol recycling rates'!W73</f>
        <v>2942.4439364728664</v>
      </c>
      <c r="V236" s="203">
        <f>V$234*'Methanol recycling rates'!X73</f>
        <v>2997.7027584527095</v>
      </c>
      <c r="W236" s="203">
        <f>W$234*'Methanol recycling rates'!Y73</f>
        <v>3051.4995104373552</v>
      </c>
      <c r="X236" s="203">
        <f>X$234*'Methanol recycling rates'!Z73</f>
        <v>3147.6070418539753</v>
      </c>
      <c r="Y236" s="203">
        <f>Y$234*'Methanol recycling rates'!AA73</f>
        <v>3241.432462416723</v>
      </c>
      <c r="Z236" s="203">
        <f>Z$234*'Methanol recycling rates'!AB73</f>
        <v>3332.9894479803197</v>
      </c>
      <c r="AA236" s="203">
        <f>AA$234*'Methanol recycling rates'!AC73</f>
        <v>3422.2916161589333</v>
      </c>
      <c r="AB236" s="203">
        <f>AB$234*'Methanol recycling rates'!AD73</f>
        <v>3509.352526536501</v>
      </c>
      <c r="AC236" s="203">
        <f>AC$234*'Methanol recycling rates'!AE73</f>
        <v>3593.3511822274445</v>
      </c>
      <c r="AD236" s="203">
        <f>AD$234*'Methanol recycling rates'!AF73</f>
        <v>3675.0839783964807</v>
      </c>
      <c r="AE236" s="203">
        <f>AE$234*'Methanol recycling rates'!AG73</f>
        <v>3754.564655378183</v>
      </c>
      <c r="AF236" s="203">
        <f>AF$234*'Methanol recycling rates'!AH73</f>
        <v>3831.8068947322167</v>
      </c>
      <c r="AG236" s="203">
        <f>AG$234*'Methanol recycling rates'!AI73</f>
        <v>3906.824319456075</v>
      </c>
      <c r="AH236" s="217"/>
      <c r="AI236" s="124"/>
      <c r="AJ236" s="185"/>
      <c r="AL236" s="100"/>
      <c r="AM236" s="2"/>
      <c r="AN236" s="2"/>
      <c r="AO236" s="2"/>
      <c r="BC236" s="1"/>
      <c r="BD236" s="2"/>
      <c r="BE236" s="2"/>
      <c r="BF236" s="2"/>
      <c r="BG236" s="2"/>
      <c r="BH236" s="2"/>
      <c r="BI236" s="2"/>
      <c r="BJ236" s="2"/>
      <c r="BK236" s="2"/>
    </row>
    <row r="237" spans="1:63" outlineLevel="1">
      <c r="A237" s="4" t="s">
        <v>1040</v>
      </c>
      <c r="C237" s="203">
        <f>C$234*'Methanol recycling rates'!E74</f>
        <v>62867.383381202002</v>
      </c>
      <c r="D237" s="203">
        <f>D$234*'Methanol recycling rates'!F74</f>
        <v>70348.324251552272</v>
      </c>
      <c r="E237" s="203">
        <f>E$234*'Methanol recycling rates'!G74</f>
        <v>77795.92927156153</v>
      </c>
      <c r="F237" s="203">
        <f>F$234*'Methanol recycling rates'!H74</f>
        <v>85210.309166480234</v>
      </c>
      <c r="G237" s="203">
        <f>G$234*'Methanol recycling rates'!I74</f>
        <v>92591.574335148835</v>
      </c>
      <c r="H237" s="203">
        <f>H$234*'Methanol recycling rates'!J74</f>
        <v>99939.834850899235</v>
      </c>
      <c r="I237" s="203">
        <f>I$234*'Methanol recycling rates'!K74</f>
        <v>106547.31613940182</v>
      </c>
      <c r="J237" s="203">
        <f>J$234*'Methanol recycling rates'!L74</f>
        <v>113025.8818909714</v>
      </c>
      <c r="K237" s="203">
        <f>K$234*'Methanol recycling rates'!M74</f>
        <v>119376.28820006415</v>
      </c>
      <c r="L237" s="203">
        <f>L$234*'Methanol recycling rates'!N74</f>
        <v>125599.28796741128</v>
      </c>
      <c r="M237" s="203">
        <f>M$234*'Methanol recycling rates'!O74</f>
        <v>131695.63091150229</v>
      </c>
      <c r="N237" s="203">
        <f>N$234*'Methanol recycling rates'!P74</f>
        <v>135316.99338683055</v>
      </c>
      <c r="O237" s="203">
        <f>O$234*'Methanol recycling rates'!Q74</f>
        <v>138855.77545949654</v>
      </c>
      <c r="P237" s="203">
        <f>P$234*'Methanol recycling rates'!R74</f>
        <v>142312.46967502375</v>
      </c>
      <c r="Q237" s="203">
        <f>Q$234*'Methanol recycling rates'!S74</f>
        <v>145687.566485321</v>
      </c>
      <c r="R237" s="203">
        <f>R$234*'Methanol recycling rates'!T74</f>
        <v>148981.55425623572</v>
      </c>
      <c r="S237" s="203">
        <f>S$234*'Methanol recycling rates'!U74</f>
        <v>152194.91927508119</v>
      </c>
      <c r="T237" s="203">
        <f>T$234*'Methanol recycling rates'!V74</f>
        <v>155328.14575814066</v>
      </c>
      <c r="U237" s="203">
        <f>U$234*'Methanol recycling rates'!W74</f>
        <v>158381.71585814588</v>
      </c>
      <c r="V237" s="203">
        <f>V$234*'Methanol recycling rates'!X74</f>
        <v>161356.10967173148</v>
      </c>
      <c r="W237" s="203">
        <f>W$234*'Methanol recycling rates'!Y74</f>
        <v>164251.80524686511</v>
      </c>
      <c r="X237" s="203">
        <f>X$234*'Methanol recycling rates'!Z74</f>
        <v>169424.94569109776</v>
      </c>
      <c r="Y237" s="203">
        <f>Y$234*'Methanol recycling rates'!AA74</f>
        <v>174475.24789588788</v>
      </c>
      <c r="Z237" s="203">
        <f>Z$234*'Methanol recycling rates'!AB74</f>
        <v>179403.44798582548</v>
      </c>
      <c r="AA237" s="203">
        <f>AA$234*'Methanol recycling rates'!AC74</f>
        <v>184210.27895061043</v>
      </c>
      <c r="AB237" s="203">
        <f>AB$234*'Methanol recycling rates'!AD74</f>
        <v>188896.47065637331</v>
      </c>
      <c r="AC237" s="203">
        <f>AC$234*'Methanol recycling rates'!AE74</f>
        <v>193417.83164245781</v>
      </c>
      <c r="AD237" s="203">
        <f>AD$234*'Methanol recycling rates'!AF74</f>
        <v>197817.22914284086</v>
      </c>
      <c r="AE237" s="203">
        <f>AE$234*'Methanol recycling rates'!AG74</f>
        <v>202095.40275284302</v>
      </c>
      <c r="AF237" s="203">
        <f>AF$234*'Methanol recycling rates'!AH74</f>
        <v>206253.08890413199</v>
      </c>
      <c r="AG237" s="203">
        <f>AG$234*'Methanol recycling rates'!AI74</f>
        <v>210291.02087617369</v>
      </c>
      <c r="AH237" s="217"/>
      <c r="AI237" s="124"/>
      <c r="AJ237" s="185"/>
      <c r="AL237" s="100"/>
      <c r="AM237" s="2"/>
      <c r="AN237" s="2"/>
      <c r="AO237" s="2"/>
      <c r="BC237" s="1"/>
      <c r="BD237" s="2"/>
      <c r="BE237" s="2"/>
      <c r="BF237" s="2"/>
      <c r="BG237" s="2"/>
      <c r="BH237" s="2"/>
      <c r="BI237" s="2"/>
      <c r="BJ237" s="2"/>
      <c r="BK237" s="2"/>
    </row>
    <row r="238" spans="1:63" s="1" customFormat="1" outlineLevel="1">
      <c r="A238" s="1" t="s">
        <v>1041</v>
      </c>
      <c r="B238" s="60"/>
      <c r="C238" s="250">
        <f>C234-$C234</f>
        <v>0</v>
      </c>
      <c r="D238" s="250">
        <f t="shared" ref="D238:AG238" si="176">D234-$C234</f>
        <v>7619.9231321840125</v>
      </c>
      <c r="E238" s="250">
        <f t="shared" si="176"/>
        <v>15205.891094617742</v>
      </c>
      <c r="F238" s="250">
        <f t="shared" si="176"/>
        <v>22758.016669625249</v>
      </c>
      <c r="G238" s="250">
        <f t="shared" si="176"/>
        <v>30276.412307056416</v>
      </c>
      <c r="H238" s="250">
        <f t="shared" si="176"/>
        <v>37761.19012520527</v>
      </c>
      <c r="I238" s="250">
        <f t="shared" si="176"/>
        <v>44491.426386700601</v>
      </c>
      <c r="J238" s="250">
        <f t="shared" si="176"/>
        <v>51090.352095285802</v>
      </c>
      <c r="K238" s="250">
        <f t="shared" si="176"/>
        <v>57558.737392275529</v>
      </c>
      <c r="L238" s="250">
        <f t="shared" si="176"/>
        <v>63897.349165925836</v>
      </c>
      <c r="M238" s="250">
        <f t="shared" si="176"/>
        <v>70106.951063130895</v>
      </c>
      <c r="N238" s="250">
        <f t="shared" si="176"/>
        <v>73795.591860325832</v>
      </c>
      <c r="O238" s="250">
        <f t="shared" si="176"/>
        <v>77400.118061319983</v>
      </c>
      <c r="P238" s="250">
        <f t="shared" si="176"/>
        <v>80921.031362235983</v>
      </c>
      <c r="Q238" s="250">
        <f t="shared" si="176"/>
        <v>84358.831326686253</v>
      </c>
      <c r="R238" s="250">
        <f t="shared" si="176"/>
        <v>87714.015393466456</v>
      </c>
      <c r="S238" s="250">
        <f t="shared" si="176"/>
        <v>90987.078884222952</v>
      </c>
      <c r="T238" s="250">
        <f t="shared" si="176"/>
        <v>94178.515011095937</v>
      </c>
      <c r="U238" s="250">
        <f t="shared" si="176"/>
        <v>97288.814884337102</v>
      </c>
      <c r="V238" s="250">
        <f t="shared" si="176"/>
        <v>100318.46751990257</v>
      </c>
      <c r="W238" s="250">
        <f t="shared" si="176"/>
        <v>103267.95984702083</v>
      </c>
      <c r="X238" s="250">
        <f t="shared" si="176"/>
        <v>108537.20782267011</v>
      </c>
      <c r="Y238" s="250">
        <f t="shared" si="176"/>
        <v>113681.33544802296</v>
      </c>
      <c r="Z238" s="250">
        <f t="shared" si="176"/>
        <v>118701.09252352416</v>
      </c>
      <c r="AA238" s="250">
        <f t="shared" si="176"/>
        <v>123597.22565648775</v>
      </c>
      <c r="AB238" s="250">
        <f t="shared" si="176"/>
        <v>128370.47827262818</v>
      </c>
      <c r="AC238" s="250">
        <f t="shared" si="176"/>
        <v>132975.83791440362</v>
      </c>
      <c r="AD238" s="250">
        <f t="shared" si="176"/>
        <v>137456.9682109557</v>
      </c>
      <c r="AE238" s="250">
        <f t="shared" si="176"/>
        <v>141814.62249793956</v>
      </c>
      <c r="AF238" s="250">
        <f t="shared" si="176"/>
        <v>146049.55088858257</v>
      </c>
      <c r="AG238" s="250">
        <f t="shared" si="176"/>
        <v>150162.50028534816</v>
      </c>
      <c r="AH238" s="217"/>
      <c r="AI238" s="368"/>
      <c r="AJ238" s="369"/>
      <c r="AL238" s="194"/>
      <c r="AM238" s="116"/>
      <c r="AN238" s="116"/>
      <c r="AO238" s="116"/>
      <c r="BD238" s="116"/>
      <c r="BE238" s="116"/>
      <c r="BF238" s="116"/>
      <c r="BG238" s="116"/>
      <c r="BH238" s="116"/>
      <c r="BI238" s="116"/>
      <c r="BJ238" s="116"/>
      <c r="BK238" s="116"/>
    </row>
    <row r="239" spans="1:63" outlineLevel="1">
      <c r="A239" s="4" t="s">
        <v>35</v>
      </c>
      <c r="C239" s="203">
        <f>C235-$C235</f>
        <v>0</v>
      </c>
      <c r="D239" s="203">
        <f t="shared" ref="D239:AF239" si="177">D235-$C235</f>
        <v>0</v>
      </c>
      <c r="E239" s="203">
        <f t="shared" si="177"/>
        <v>0</v>
      </c>
      <c r="F239" s="203">
        <f t="shared" si="177"/>
        <v>0</v>
      </c>
      <c r="G239" s="203">
        <f t="shared" si="177"/>
        <v>0</v>
      </c>
      <c r="H239" s="203">
        <f t="shared" si="177"/>
        <v>0</v>
      </c>
      <c r="I239" s="203">
        <f t="shared" si="177"/>
        <v>0</v>
      </c>
      <c r="J239" s="203">
        <f t="shared" si="177"/>
        <v>0</v>
      </c>
      <c r="K239" s="203">
        <f t="shared" si="177"/>
        <v>0</v>
      </c>
      <c r="L239" s="203">
        <f t="shared" si="177"/>
        <v>0</v>
      </c>
      <c r="M239" s="203">
        <f t="shared" si="177"/>
        <v>0</v>
      </c>
      <c r="N239" s="203">
        <f t="shared" si="177"/>
        <v>0</v>
      </c>
      <c r="O239" s="203">
        <f t="shared" si="177"/>
        <v>0</v>
      </c>
      <c r="P239" s="203">
        <f t="shared" si="177"/>
        <v>0</v>
      </c>
      <c r="Q239" s="203">
        <f t="shared" si="177"/>
        <v>0</v>
      </c>
      <c r="R239" s="203">
        <f t="shared" si="177"/>
        <v>0</v>
      </c>
      <c r="S239" s="203">
        <f t="shared" si="177"/>
        <v>0</v>
      </c>
      <c r="T239" s="203">
        <f t="shared" si="177"/>
        <v>0</v>
      </c>
      <c r="U239" s="203">
        <f t="shared" si="177"/>
        <v>0</v>
      </c>
      <c r="V239" s="203">
        <f t="shared" si="177"/>
        <v>0</v>
      </c>
      <c r="W239" s="203">
        <f t="shared" si="177"/>
        <v>0</v>
      </c>
      <c r="X239" s="203">
        <f t="shared" si="177"/>
        <v>0</v>
      </c>
      <c r="Y239" s="203">
        <f t="shared" si="177"/>
        <v>0</v>
      </c>
      <c r="Z239" s="203">
        <f t="shared" si="177"/>
        <v>0</v>
      </c>
      <c r="AA239" s="203">
        <f t="shared" si="177"/>
        <v>0</v>
      </c>
      <c r="AB239" s="203">
        <f t="shared" si="177"/>
        <v>0</v>
      </c>
      <c r="AC239" s="203">
        <f t="shared" si="177"/>
        <v>0</v>
      </c>
      <c r="AD239" s="203">
        <f t="shared" si="177"/>
        <v>0</v>
      </c>
      <c r="AE239" s="203">
        <f t="shared" si="177"/>
        <v>0</v>
      </c>
      <c r="AF239" s="203">
        <f t="shared" si="177"/>
        <v>0</v>
      </c>
      <c r="AG239" s="203">
        <f>AG235-$C235</f>
        <v>0</v>
      </c>
      <c r="AH239" s="217"/>
      <c r="AI239" s="124"/>
      <c r="AJ239" s="185"/>
      <c r="AL239" s="100"/>
      <c r="AM239" s="2"/>
      <c r="AN239" s="2"/>
      <c r="AO239" s="2"/>
      <c r="BC239" s="1"/>
      <c r="BD239" s="2"/>
      <c r="BE239" s="2"/>
      <c r="BF239" s="2"/>
      <c r="BG239" s="2"/>
      <c r="BH239" s="2"/>
      <c r="BI239" s="2"/>
      <c r="BJ239" s="2"/>
      <c r="BK239" s="2"/>
    </row>
    <row r="240" spans="1:63" outlineLevel="1">
      <c r="A240" s="4" t="s">
        <v>160</v>
      </c>
      <c r="C240" s="203">
        <f t="shared" ref="C240:AG240" si="178">C236-$C236</f>
        <v>0</v>
      </c>
      <c r="D240" s="203">
        <f t="shared" si="178"/>
        <v>138.98226183374231</v>
      </c>
      <c r="E240" s="203">
        <f t="shared" si="178"/>
        <v>277.34520425822302</v>
      </c>
      <c r="F240" s="203">
        <f t="shared" si="178"/>
        <v>415.0908843470138</v>
      </c>
      <c r="G240" s="203">
        <f t="shared" si="178"/>
        <v>552.22135310958106</v>
      </c>
      <c r="H240" s="203">
        <f t="shared" si="178"/>
        <v>688.73865550803657</v>
      </c>
      <c r="I240" s="203">
        <f t="shared" si="178"/>
        <v>811.49362850078796</v>
      </c>
      <c r="J240" s="203">
        <f t="shared" si="178"/>
        <v>931.85358551640866</v>
      </c>
      <c r="K240" s="203">
        <f t="shared" si="178"/>
        <v>1049.8325734133755</v>
      </c>
      <c r="L240" s="203">
        <f t="shared" si="178"/>
        <v>1165.444579716569</v>
      </c>
      <c r="M240" s="203">
        <f t="shared" si="178"/>
        <v>1278.7035328306142</v>
      </c>
      <c r="N240" s="203">
        <f t="shared" si="178"/>
        <v>1345.9818546972856</v>
      </c>
      <c r="O240" s="203">
        <f t="shared" si="178"/>
        <v>1411.7259830254629</v>
      </c>
      <c r="P240" s="203">
        <f t="shared" si="178"/>
        <v>1475.9450684142626</v>
      </c>
      <c r="Q240" s="203">
        <f t="shared" si="178"/>
        <v>1538.6482225672512</v>
      </c>
      <c r="R240" s="203">
        <f t="shared" si="178"/>
        <v>1599.8445184327702</v>
      </c>
      <c r="S240" s="203">
        <f t="shared" si="178"/>
        <v>1659.5429903437853</v>
      </c>
      <c r="T240" s="203">
        <f t="shared" si="178"/>
        <v>1717.7526341572911</v>
      </c>
      <c r="U240" s="203">
        <f t="shared" si="178"/>
        <v>1774.4824073932532</v>
      </c>
      <c r="V240" s="203">
        <f t="shared" si="178"/>
        <v>1829.7412293730963</v>
      </c>
      <c r="W240" s="203">
        <f t="shared" si="178"/>
        <v>1883.537981357742</v>
      </c>
      <c r="X240" s="203">
        <f t="shared" si="178"/>
        <v>1979.645512774362</v>
      </c>
      <c r="Y240" s="203">
        <f t="shared" si="178"/>
        <v>2073.4709333371097</v>
      </c>
      <c r="Z240" s="203">
        <f t="shared" si="178"/>
        <v>2165.0279189007065</v>
      </c>
      <c r="AA240" s="203">
        <f t="shared" si="178"/>
        <v>2254.33008707932</v>
      </c>
      <c r="AB240" s="203">
        <f t="shared" si="178"/>
        <v>2341.3909974568878</v>
      </c>
      <c r="AC240" s="203">
        <f t="shared" si="178"/>
        <v>2425.3896531478313</v>
      </c>
      <c r="AD240" s="203">
        <f t="shared" si="178"/>
        <v>2507.1224493168675</v>
      </c>
      <c r="AE240" s="203">
        <f t="shared" si="178"/>
        <v>2586.6031262985698</v>
      </c>
      <c r="AF240" s="203">
        <f t="shared" si="178"/>
        <v>2663.8453656526035</v>
      </c>
      <c r="AG240" s="203">
        <f t="shared" si="178"/>
        <v>2738.8627903764618</v>
      </c>
      <c r="AH240" s="217"/>
      <c r="AI240" s="124"/>
      <c r="AJ240" s="185"/>
      <c r="AL240" s="100"/>
      <c r="AM240" s="2"/>
      <c r="AN240" s="2"/>
      <c r="AO240" s="2"/>
      <c r="BC240" s="1"/>
      <c r="BD240" s="2"/>
      <c r="BE240" s="2"/>
      <c r="BF240" s="2"/>
      <c r="BG240" s="2"/>
      <c r="BH240" s="2"/>
      <c r="BI240" s="2"/>
      <c r="BJ240" s="2"/>
      <c r="BK240" s="2"/>
    </row>
    <row r="241" spans="1:63" outlineLevel="1">
      <c r="A241" s="4" t="s">
        <v>1040</v>
      </c>
      <c r="C241" s="203">
        <f t="shared" ref="C241:AG241" si="179">C237-$C237</f>
        <v>0</v>
      </c>
      <c r="D241" s="203">
        <f t="shared" si="179"/>
        <v>7480.9408703502704</v>
      </c>
      <c r="E241" s="203">
        <f t="shared" si="179"/>
        <v>14928.545890359528</v>
      </c>
      <c r="F241" s="203">
        <f t="shared" si="179"/>
        <v>22342.925785278232</v>
      </c>
      <c r="G241" s="203">
        <f t="shared" si="179"/>
        <v>29724.190953946832</v>
      </c>
      <c r="H241" s="203">
        <f t="shared" si="179"/>
        <v>37072.451469697233</v>
      </c>
      <c r="I241" s="203">
        <f t="shared" si="179"/>
        <v>43679.932758199822</v>
      </c>
      <c r="J241" s="203">
        <f t="shared" si="179"/>
        <v>50158.498509769401</v>
      </c>
      <c r="K241" s="203">
        <f t="shared" si="179"/>
        <v>56508.904818862153</v>
      </c>
      <c r="L241" s="203">
        <f t="shared" si="179"/>
        <v>62731.904586209275</v>
      </c>
      <c r="M241" s="203">
        <f t="shared" si="179"/>
        <v>68828.247530300287</v>
      </c>
      <c r="N241" s="203">
        <f t="shared" si="179"/>
        <v>72449.61000562855</v>
      </c>
      <c r="O241" s="203">
        <f t="shared" si="179"/>
        <v>75988.392078294535</v>
      </c>
      <c r="P241" s="203">
        <f t="shared" si="179"/>
        <v>79445.086293821747</v>
      </c>
      <c r="Q241" s="203">
        <f t="shared" si="179"/>
        <v>82820.183104119002</v>
      </c>
      <c r="R241" s="203">
        <f t="shared" si="179"/>
        <v>86114.170875033713</v>
      </c>
      <c r="S241" s="203">
        <f t="shared" si="179"/>
        <v>89327.535893879191</v>
      </c>
      <c r="T241" s="203">
        <f t="shared" si="179"/>
        <v>92460.762376938656</v>
      </c>
      <c r="U241" s="203">
        <f t="shared" si="179"/>
        <v>95514.332476943877</v>
      </c>
      <c r="V241" s="203">
        <f t="shared" si="179"/>
        <v>98488.726290529477</v>
      </c>
      <c r="W241" s="203">
        <f t="shared" si="179"/>
        <v>101384.42186566311</v>
      </c>
      <c r="X241" s="203">
        <f t="shared" si="179"/>
        <v>106557.56230989576</v>
      </c>
      <c r="Y241" s="203">
        <f t="shared" si="179"/>
        <v>111607.86451468588</v>
      </c>
      <c r="Z241" s="203">
        <f t="shared" si="179"/>
        <v>116536.06460462348</v>
      </c>
      <c r="AA241" s="203">
        <f t="shared" si="179"/>
        <v>121342.89556940843</v>
      </c>
      <c r="AB241" s="203">
        <f t="shared" si="179"/>
        <v>126029.0872751713</v>
      </c>
      <c r="AC241" s="203">
        <f t="shared" si="179"/>
        <v>130550.44826125581</v>
      </c>
      <c r="AD241" s="203">
        <f t="shared" si="179"/>
        <v>134949.84576163886</v>
      </c>
      <c r="AE241" s="203">
        <f t="shared" si="179"/>
        <v>139228.01937164101</v>
      </c>
      <c r="AF241" s="203">
        <f t="shared" si="179"/>
        <v>143385.70552292999</v>
      </c>
      <c r="AG241" s="203">
        <f t="shared" si="179"/>
        <v>147423.63749497168</v>
      </c>
      <c r="AH241" s="217"/>
      <c r="AI241" s="124"/>
      <c r="AJ241" s="185"/>
      <c r="AL241" s="100"/>
      <c r="AM241" s="2"/>
      <c r="AN241" s="2"/>
      <c r="AO241" s="2"/>
      <c r="BC241" s="1"/>
      <c r="BD241" s="2"/>
      <c r="BE241" s="2"/>
      <c r="BF241" s="2"/>
      <c r="BG241" s="2"/>
      <c r="BH241" s="2"/>
      <c r="BI241" s="2"/>
      <c r="BJ241" s="2"/>
      <c r="BK241" s="2"/>
    </row>
    <row r="242" spans="1:63" outlineLevel="2">
      <c r="C242" s="105"/>
      <c r="D242" s="102"/>
      <c r="E242" s="102"/>
      <c r="F242" s="102"/>
      <c r="G242" s="102"/>
      <c r="H242" s="102"/>
      <c r="I242" s="102"/>
      <c r="J242" s="102"/>
      <c r="K242" s="102"/>
      <c r="L242" s="102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22"/>
      <c r="Y242" s="22"/>
      <c r="Z242" s="22"/>
      <c r="AA242" s="22"/>
      <c r="AB242" s="22"/>
      <c r="AC242" s="22"/>
      <c r="AD242" s="22"/>
      <c r="AE242" s="22"/>
      <c r="AF242" s="22"/>
      <c r="AG242" s="98"/>
      <c r="AJ242" s="185"/>
    </row>
    <row r="243" spans="1:63" s="174" customFormat="1" ht="15.5" thickBot="1">
      <c r="A243" s="200" t="s">
        <v>1002</v>
      </c>
      <c r="B243" s="201"/>
      <c r="C243" s="202">
        <f>(C39*C63+C40*C129+C42*C184+C41*C217+C43*C232)/C44</f>
        <v>0.11709332918781439</v>
      </c>
      <c r="D243" s="202">
        <f t="shared" ref="D243:AG243" si="180">(D39*D63+D40*D129+D42*D184+D41*D217+D43*D232)/D44</f>
        <v>0.13215491324994644</v>
      </c>
      <c r="E243" s="202">
        <f t="shared" si="180"/>
        <v>0.14736496491667983</v>
      </c>
      <c r="F243" s="202">
        <f t="shared" si="180"/>
        <v>0.16272326035911316</v>
      </c>
      <c r="G243" s="202">
        <f t="shared" si="180"/>
        <v>0.17822944581737576</v>
      </c>
      <c r="H243" s="202">
        <f t="shared" si="180"/>
        <v>0.19388316727491761</v>
      </c>
      <c r="I243" s="202">
        <f t="shared" si="180"/>
        <v>0.20950667939702169</v>
      </c>
      <c r="J243" s="202">
        <f t="shared" si="180"/>
        <v>0.22526332772391736</v>
      </c>
      <c r="K243" s="202">
        <f t="shared" si="180"/>
        <v>0.24115495937416384</v>
      </c>
      <c r="L243" s="202">
        <f t="shared" si="180"/>
        <v>0.25718346403812614</v>
      </c>
      <c r="M243" s="202">
        <f t="shared" si="180"/>
        <v>0.27335077521237988</v>
      </c>
      <c r="N243" s="202">
        <f t="shared" si="180"/>
        <v>0.28480448696039529</v>
      </c>
      <c r="O243" s="202">
        <f t="shared" si="180"/>
        <v>0.29635736939838714</v>
      </c>
      <c r="P243" s="202">
        <f t="shared" si="180"/>
        <v>0.30802559168677462</v>
      </c>
      <c r="Q243" s="202">
        <f t="shared" si="180"/>
        <v>0.31979547496113386</v>
      </c>
      <c r="R243" s="202">
        <f t="shared" si="180"/>
        <v>0.33166810254941298</v>
      </c>
      <c r="S243" s="202">
        <f t="shared" si="180"/>
        <v>0.34364456179561831</v>
      </c>
      <c r="T243" s="202">
        <f t="shared" si="180"/>
        <v>0.35572601191064429</v>
      </c>
      <c r="U243" s="202">
        <f t="shared" si="180"/>
        <v>0.36791361831450548</v>
      </c>
      <c r="V243" s="202">
        <f t="shared" si="180"/>
        <v>0.38020857555464099</v>
      </c>
      <c r="W243" s="202">
        <f t="shared" si="180"/>
        <v>0.39261210827149989</v>
      </c>
      <c r="X243" s="202">
        <f t="shared" si="180"/>
        <v>0.41077059388122861</v>
      </c>
      <c r="Y243" s="202">
        <f t="shared" si="180"/>
        <v>0.42909332582210935</v>
      </c>
      <c r="Z243" s="202">
        <f t="shared" si="180"/>
        <v>0.44761833053154337</v>
      </c>
      <c r="AA243" s="202">
        <f t="shared" si="180"/>
        <v>0.46631179596914613</v>
      </c>
      <c r="AB243" s="202">
        <f t="shared" si="180"/>
        <v>0.48517532837361488</v>
      </c>
      <c r="AC243" s="202">
        <f t="shared" si="180"/>
        <v>0.50420575715012117</v>
      </c>
      <c r="AD243" s="202">
        <f t="shared" si="180"/>
        <v>0.52341011182342301</v>
      </c>
      <c r="AE243" s="202">
        <f t="shared" si="180"/>
        <v>0.54279020807592826</v>
      </c>
      <c r="AF243" s="202">
        <f t="shared" si="180"/>
        <v>0.5623479011336443</v>
      </c>
      <c r="AG243" s="202">
        <f t="shared" si="180"/>
        <v>0.58208508738583742</v>
      </c>
      <c r="AJ243" s="421"/>
      <c r="AL243" s="191"/>
      <c r="AM243" s="198"/>
      <c r="AN243" s="198"/>
      <c r="AO243" s="198"/>
    </row>
    <row r="244" spans="1:63" s="174" customFormat="1" ht="16.25" thickTop="1" thickBot="1">
      <c r="A244" s="200" t="s">
        <v>452</v>
      </c>
      <c r="B244" s="201"/>
      <c r="C244" s="202">
        <f t="shared" ref="C244:AG244" si="181">(C11*C46+C110*C12+C14*C167+C213*C13+C228*C15)/C16</f>
        <v>0.18370882040382572</v>
      </c>
      <c r="D244" s="202">
        <f t="shared" si="181"/>
        <v>0.20016277671844832</v>
      </c>
      <c r="E244" s="202">
        <f t="shared" si="181"/>
        <v>0.21661673303307094</v>
      </c>
      <c r="F244" s="202">
        <f t="shared" si="181"/>
        <v>0.23307068934769359</v>
      </c>
      <c r="G244" s="202">
        <f t="shared" si="181"/>
        <v>0.24952464566231622</v>
      </c>
      <c r="H244" s="202">
        <f t="shared" si="181"/>
        <v>0.26597860197693879</v>
      </c>
      <c r="I244" s="202">
        <f t="shared" si="181"/>
        <v>0.28243255829156144</v>
      </c>
      <c r="J244" s="202">
        <f t="shared" si="181"/>
        <v>0.29888651460618398</v>
      </c>
      <c r="K244" s="202">
        <f t="shared" si="181"/>
        <v>0.31534047092080664</v>
      </c>
      <c r="L244" s="202">
        <f t="shared" si="181"/>
        <v>0.33179442723542923</v>
      </c>
      <c r="M244" s="202">
        <f t="shared" si="181"/>
        <v>0.34824838355005183</v>
      </c>
      <c r="N244" s="202">
        <f t="shared" si="181"/>
        <v>0.35930259997070713</v>
      </c>
      <c r="O244" s="202">
        <f t="shared" si="181"/>
        <v>0.37035681639136236</v>
      </c>
      <c r="P244" s="202">
        <f t="shared" si="181"/>
        <v>0.38141103281201755</v>
      </c>
      <c r="Q244" s="202">
        <f t="shared" si="181"/>
        <v>0.39246524923267279</v>
      </c>
      <c r="R244" s="202">
        <f t="shared" si="181"/>
        <v>0.40351946565332808</v>
      </c>
      <c r="S244" s="202">
        <f t="shared" si="181"/>
        <v>0.41457368207398337</v>
      </c>
      <c r="T244" s="202">
        <f t="shared" si="181"/>
        <v>0.42562789849463861</v>
      </c>
      <c r="U244" s="202">
        <f t="shared" si="181"/>
        <v>0.4366821149152938</v>
      </c>
      <c r="V244" s="202">
        <f t="shared" si="181"/>
        <v>0.44773633133594903</v>
      </c>
      <c r="W244" s="202">
        <f t="shared" si="181"/>
        <v>0.45879054775660427</v>
      </c>
      <c r="X244" s="202">
        <f t="shared" si="181"/>
        <v>0.47578917884573413</v>
      </c>
      <c r="Y244" s="202">
        <f t="shared" si="181"/>
        <v>0.49278780993486387</v>
      </c>
      <c r="Z244" s="202">
        <f t="shared" si="181"/>
        <v>0.50978644102399373</v>
      </c>
      <c r="AA244" s="202">
        <f t="shared" si="181"/>
        <v>0.52678507211312331</v>
      </c>
      <c r="AB244" s="202">
        <f t="shared" si="181"/>
        <v>0.54378370320225333</v>
      </c>
      <c r="AC244" s="202">
        <f t="shared" si="181"/>
        <v>0.56078233429138302</v>
      </c>
      <c r="AD244" s="202">
        <f t="shared" si="181"/>
        <v>0.57778096538051282</v>
      </c>
      <c r="AE244" s="202">
        <f t="shared" si="181"/>
        <v>0.59477959646964262</v>
      </c>
      <c r="AF244" s="202">
        <f t="shared" si="181"/>
        <v>0.61177822755877254</v>
      </c>
      <c r="AG244" s="202">
        <f t="shared" si="181"/>
        <v>0.62877685864790223</v>
      </c>
      <c r="AJ244" s="199"/>
      <c r="AL244" s="191"/>
      <c r="AM244" s="198"/>
      <c r="AN244" s="198"/>
      <c r="AO244" s="198"/>
    </row>
    <row r="245" spans="1:63" ht="15.5" thickTop="1">
      <c r="B245" s="121"/>
      <c r="C245" s="105"/>
      <c r="D245" s="22"/>
      <c r="E245" s="22"/>
      <c r="F245" s="22"/>
      <c r="G245" s="22"/>
      <c r="H245" s="22"/>
      <c r="I245" s="22"/>
      <c r="J245" s="22"/>
      <c r="K245" s="22"/>
      <c r="L245" s="22"/>
      <c r="M245" s="118"/>
      <c r="N245" s="102"/>
      <c r="O245" s="102"/>
      <c r="P245" s="102"/>
      <c r="Q245" s="102"/>
      <c r="R245" s="102"/>
      <c r="S245" s="102"/>
      <c r="T245" s="102"/>
      <c r="U245" s="102"/>
      <c r="V245" s="102"/>
      <c r="W245" s="118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5"/>
    </row>
    <row r="246" spans="1:63">
      <c r="A246" t="s">
        <v>1003</v>
      </c>
      <c r="B246" s="121"/>
      <c r="C246" s="203">
        <f>(C39*C63+C40*C129+C42*C184+C41*C217+C43*C232)</f>
        <v>64870.026675377754</v>
      </c>
      <c r="D246" s="203">
        <f t="shared" ref="D246:AG246" si="182">(D39*D63+D40*D129+D42*D184+D41*D217+D43*D232)</f>
        <v>73039.320641801445</v>
      </c>
      <c r="E246" s="203">
        <f t="shared" si="182"/>
        <v>81251.077770096614</v>
      </c>
      <c r="F246" s="203">
        <f t="shared" si="182"/>
        <v>89504.729165096869</v>
      </c>
      <c r="G246" s="203">
        <f t="shared" si="182"/>
        <v>97799.638152649321</v>
      </c>
      <c r="H246" s="203">
        <f t="shared" si="182"/>
        <v>106135.17210050763</v>
      </c>
      <c r="I246" s="203">
        <f t="shared" si="182"/>
        <v>113789.65960571487</v>
      </c>
      <c r="J246" s="203">
        <f t="shared" si="182"/>
        <v>121385.60054627834</v>
      </c>
      <c r="K246" s="203">
        <f t="shared" si="182"/>
        <v>128923.03301115113</v>
      </c>
      <c r="L246" s="203">
        <f t="shared" si="182"/>
        <v>136401.99611801366</v>
      </c>
      <c r="M246" s="203">
        <f t="shared" si="182"/>
        <v>143822.53000544617</v>
      </c>
      <c r="N246" s="203">
        <f t="shared" si="182"/>
        <v>148614.29976925396</v>
      </c>
      <c r="O246" s="203">
        <f t="shared" si="182"/>
        <v>153363.00182758155</v>
      </c>
      <c r="P246" s="203">
        <f t="shared" si="182"/>
        <v>158057.65795278552</v>
      </c>
      <c r="Q246" s="203">
        <f t="shared" si="182"/>
        <v>162707.47572948091</v>
      </c>
      <c r="R246" s="203">
        <f t="shared" si="182"/>
        <v>167312.23723632976</v>
      </c>
      <c r="S246" s="203">
        <f t="shared" si="182"/>
        <v>171871.7334981224</v>
      </c>
      <c r="T246" s="203">
        <f t="shared" si="182"/>
        <v>176385.74535171391</v>
      </c>
      <c r="U246" s="203">
        <f t="shared" si="182"/>
        <v>180854.06141466909</v>
      </c>
      <c r="V246" s="203">
        <f t="shared" si="182"/>
        <v>185276.47243691771</v>
      </c>
      <c r="W246" s="203">
        <f t="shared" si="182"/>
        <v>189652.77129186213</v>
      </c>
      <c r="X246" s="203">
        <f t="shared" si="182"/>
        <v>196685.60595082236</v>
      </c>
      <c r="Y246" s="203">
        <f t="shared" si="182"/>
        <v>203649.51763964817</v>
      </c>
      <c r="Z246" s="203">
        <f t="shared" si="182"/>
        <v>210497.40918450087</v>
      </c>
      <c r="AA246" s="203">
        <f t="shared" si="182"/>
        <v>217269.43100180218</v>
      </c>
      <c r="AB246" s="203">
        <f t="shared" si="182"/>
        <v>223964.90890223553</v>
      </c>
      <c r="AC246" s="203">
        <f t="shared" si="182"/>
        <v>230537.40671810639</v>
      </c>
      <c r="AD246" s="203">
        <f t="shared" si="182"/>
        <v>237029.17944806514</v>
      </c>
      <c r="AE246" s="203">
        <f t="shared" si="182"/>
        <v>243439.56678877398</v>
      </c>
      <c r="AF246" s="203">
        <f t="shared" si="182"/>
        <v>249767.90665858076</v>
      </c>
      <c r="AG246" s="203">
        <f t="shared" si="182"/>
        <v>256013.53525721922</v>
      </c>
      <c r="AI246" s="22">
        <f>(AG246/C246)^(1/30)-1</f>
        <v>4.6824700811972209E-2</v>
      </c>
      <c r="AJ246" s="448">
        <f>AG246-C246</f>
        <v>191143.50858184148</v>
      </c>
    </row>
    <row r="247" spans="1:63">
      <c r="A247" t="s">
        <v>1004</v>
      </c>
      <c r="B247" s="121"/>
      <c r="C247" s="203">
        <f>C246</f>
        <v>64870.026675377754</v>
      </c>
      <c r="D247" s="203">
        <f>C247*(1+$AI$247)</f>
        <v>65953.356120856552</v>
      </c>
      <c r="E247" s="203">
        <f t="shared" ref="E247:AG247" si="183">D247*(1+$AI$247)</f>
        <v>67054.777168074856</v>
      </c>
      <c r="F247" s="203">
        <f t="shared" si="183"/>
        <v>68174.5919467817</v>
      </c>
      <c r="G247" s="203">
        <f t="shared" si="183"/>
        <v>69313.107632292944</v>
      </c>
      <c r="H247" s="203">
        <f t="shared" si="183"/>
        <v>70470.636529752228</v>
      </c>
      <c r="I247" s="203">
        <f t="shared" si="183"/>
        <v>71647.496159799091</v>
      </c>
      <c r="J247" s="203">
        <f t="shared" si="183"/>
        <v>72844.009345667728</v>
      </c>
      <c r="K247" s="203">
        <f t="shared" si="183"/>
        <v>74060.50430174038</v>
      </c>
      <c r="L247" s="203">
        <f t="shared" si="183"/>
        <v>75297.314723579446</v>
      </c>
      <c r="M247" s="203">
        <f>L247*(1+$AI$247)</f>
        <v>76554.779879463211</v>
      </c>
      <c r="N247" s="203">
        <f t="shared" si="183"/>
        <v>77833.24470345024</v>
      </c>
      <c r="O247" s="203">
        <f t="shared" si="183"/>
        <v>79133.05988999785</v>
      </c>
      <c r="P247" s="203">
        <f t="shared" si="183"/>
        <v>80454.581990160805</v>
      </c>
      <c r="Q247" s="203">
        <f t="shared" si="183"/>
        <v>81798.173509396482</v>
      </c>
      <c r="R247" s="203">
        <f t="shared" si="183"/>
        <v>83164.203007003394</v>
      </c>
      <c r="S247" s="203">
        <f t="shared" si="183"/>
        <v>84553.045197220345</v>
      </c>
      <c r="T247" s="203">
        <f t="shared" si="183"/>
        <v>85965.08105201392</v>
      </c>
      <c r="U247" s="203">
        <f t="shared" si="183"/>
        <v>87400.69790558255</v>
      </c>
      <c r="V247" s="203">
        <f t="shared" si="183"/>
        <v>88860.289560605772</v>
      </c>
      <c r="W247" s="203">
        <f t="shared" si="183"/>
        <v>90344.256396267883</v>
      </c>
      <c r="X247" s="203">
        <f t="shared" si="183"/>
        <v>91853.005478085557</v>
      </c>
      <c r="Y247" s="203">
        <f t="shared" si="183"/>
        <v>93386.950669569575</v>
      </c>
      <c r="Z247" s="203">
        <f t="shared" si="183"/>
        <v>94946.512745751374</v>
      </c>
      <c r="AA247" s="203">
        <f t="shared" si="183"/>
        <v>96532.119508605421</v>
      </c>
      <c r="AB247" s="203">
        <f t="shared" si="183"/>
        <v>98144.205904399132</v>
      </c>
      <c r="AC247" s="203">
        <f t="shared" si="183"/>
        <v>99783.214143002595</v>
      </c>
      <c r="AD247" s="203">
        <f t="shared" si="183"/>
        <v>101449.59381919073</v>
      </c>
      <c r="AE247" s="203">
        <f t="shared" si="183"/>
        <v>103143.80203597121</v>
      </c>
      <c r="AF247" s="203">
        <f t="shared" si="183"/>
        <v>104866.30352997192</v>
      </c>
      <c r="AG247" s="203">
        <f t="shared" si="183"/>
        <v>106617.57079892245</v>
      </c>
      <c r="AI247" s="188">
        <v>1.67E-2</v>
      </c>
      <c r="AJ247" s="3" t="s">
        <v>599</v>
      </c>
    </row>
    <row r="248" spans="1:63">
      <c r="B248" s="47"/>
    </row>
    <row r="249" spans="1:63" s="54" customFormat="1">
      <c r="A249" s="54" t="s">
        <v>626</v>
      </c>
      <c r="B249" s="253"/>
      <c r="C249" s="254"/>
      <c r="D249" s="254"/>
      <c r="E249" s="254"/>
      <c r="F249" s="254"/>
      <c r="G249" s="254"/>
      <c r="H249" s="254"/>
      <c r="I249" s="254"/>
      <c r="J249" s="254"/>
      <c r="K249" s="254"/>
      <c r="L249" s="254"/>
      <c r="M249" s="254"/>
      <c r="N249" s="254"/>
      <c r="O249" s="254"/>
      <c r="P249" s="254"/>
      <c r="Q249" s="254"/>
      <c r="R249" s="254"/>
      <c r="S249" s="254"/>
      <c r="T249" s="254"/>
      <c r="U249" s="254"/>
      <c r="V249" s="254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I249" s="255"/>
      <c r="AJ249" s="256"/>
    </row>
    <row r="250" spans="1:63" s="166" customFormat="1" outlineLevel="1">
      <c r="A250" s="293" t="s">
        <v>630</v>
      </c>
      <c r="B250" s="268" t="s">
        <v>126</v>
      </c>
      <c r="C250" s="561">
        <v>0.98</v>
      </c>
      <c r="D250" s="269">
        <f>-($C250-$AG250)/30+C250</f>
        <v>0.98033333333333328</v>
      </c>
      <c r="E250" s="269">
        <f t="shared" ref="E250:AF252" si="184">-($C250-$AG250)/30+D250</f>
        <v>0.98066666666666658</v>
      </c>
      <c r="F250" s="269">
        <f t="shared" si="184"/>
        <v>0.98099999999999987</v>
      </c>
      <c r="G250" s="269">
        <f t="shared" si="184"/>
        <v>0.98133333333333317</v>
      </c>
      <c r="H250" s="269">
        <f t="shared" si="184"/>
        <v>0.98166666666666647</v>
      </c>
      <c r="I250" s="269">
        <f t="shared" si="184"/>
        <v>0.98199999999999976</v>
      </c>
      <c r="J250" s="269">
        <f t="shared" si="184"/>
        <v>0.98233333333333306</v>
      </c>
      <c r="K250" s="269">
        <f t="shared" si="184"/>
        <v>0.98266666666666636</v>
      </c>
      <c r="L250" s="269">
        <f t="shared" si="184"/>
        <v>0.98299999999999965</v>
      </c>
      <c r="M250" s="269">
        <f t="shared" si="184"/>
        <v>0.98333333333333295</v>
      </c>
      <c r="N250" s="269">
        <f t="shared" si="184"/>
        <v>0.98366666666666625</v>
      </c>
      <c r="O250" s="269">
        <f t="shared" si="184"/>
        <v>0.98399999999999954</v>
      </c>
      <c r="P250" s="269">
        <f t="shared" si="184"/>
        <v>0.98433333333333284</v>
      </c>
      <c r="Q250" s="269">
        <f t="shared" si="184"/>
        <v>0.98466666666666613</v>
      </c>
      <c r="R250" s="269">
        <f t="shared" si="184"/>
        <v>0.98499999999999943</v>
      </c>
      <c r="S250" s="269">
        <f t="shared" si="184"/>
        <v>0.98533333333333273</v>
      </c>
      <c r="T250" s="269">
        <f t="shared" si="184"/>
        <v>0.98566666666666602</v>
      </c>
      <c r="U250" s="269">
        <f t="shared" si="184"/>
        <v>0.98599999999999932</v>
      </c>
      <c r="V250" s="269">
        <f t="shared" si="184"/>
        <v>0.98633333333333262</v>
      </c>
      <c r="W250" s="269">
        <f t="shared" si="184"/>
        <v>0.98666666666666591</v>
      </c>
      <c r="X250" s="269">
        <f t="shared" si="184"/>
        <v>0.98699999999999921</v>
      </c>
      <c r="Y250" s="269">
        <f t="shared" si="184"/>
        <v>0.98733333333333251</v>
      </c>
      <c r="Z250" s="269">
        <f t="shared" si="184"/>
        <v>0.9876666666666658</v>
      </c>
      <c r="AA250" s="269">
        <f t="shared" si="184"/>
        <v>0.9879999999999991</v>
      </c>
      <c r="AB250" s="269">
        <f t="shared" si="184"/>
        <v>0.9883333333333324</v>
      </c>
      <c r="AC250" s="269">
        <f t="shared" si="184"/>
        <v>0.98866666666666569</v>
      </c>
      <c r="AD250" s="269">
        <f t="shared" si="184"/>
        <v>0.98899999999999899</v>
      </c>
      <c r="AE250" s="269">
        <f t="shared" si="184"/>
        <v>0.98933333333333229</v>
      </c>
      <c r="AF250" s="269">
        <f t="shared" si="184"/>
        <v>0.98966666666666558</v>
      </c>
      <c r="AG250" s="561">
        <v>0.99</v>
      </c>
      <c r="AI250" s="270"/>
      <c r="AJ250" s="271" t="s">
        <v>1469</v>
      </c>
    </row>
    <row r="251" spans="1:63" outlineLevel="1">
      <c r="A251" s="3" t="s">
        <v>621</v>
      </c>
      <c r="B251" s="252" t="s">
        <v>126</v>
      </c>
      <c r="C251" s="255">
        <f>1-SUM(C252:C256)</f>
        <v>0.97</v>
      </c>
      <c r="D251" s="287">
        <f t="shared" ref="D251:S252" si="185">-($C251-$AG251)/30+C251</f>
        <v>0.97033333333333327</v>
      </c>
      <c r="E251" s="287">
        <f t="shared" si="185"/>
        <v>0.97066666666666657</v>
      </c>
      <c r="F251" s="287">
        <f t="shared" si="185"/>
        <v>0.97099999999999986</v>
      </c>
      <c r="G251" s="287">
        <f t="shared" si="185"/>
        <v>0.97133333333333316</v>
      </c>
      <c r="H251" s="287">
        <f t="shared" si="185"/>
        <v>0.97166666666666646</v>
      </c>
      <c r="I251" s="287">
        <f t="shared" si="185"/>
        <v>0.97199999999999975</v>
      </c>
      <c r="J251" s="287">
        <f t="shared" si="185"/>
        <v>0.97233333333333305</v>
      </c>
      <c r="K251" s="287">
        <f t="shared" si="185"/>
        <v>0.97266666666666635</v>
      </c>
      <c r="L251" s="287">
        <f t="shared" si="185"/>
        <v>0.97299999999999964</v>
      </c>
      <c r="M251" s="287">
        <f t="shared" si="185"/>
        <v>0.97333333333333294</v>
      </c>
      <c r="N251" s="287">
        <f t="shared" si="185"/>
        <v>0.97366666666666624</v>
      </c>
      <c r="O251" s="287">
        <f t="shared" si="185"/>
        <v>0.97399999999999953</v>
      </c>
      <c r="P251" s="287">
        <f t="shared" si="185"/>
        <v>0.97433333333333283</v>
      </c>
      <c r="Q251" s="287">
        <f t="shared" si="185"/>
        <v>0.97466666666666613</v>
      </c>
      <c r="R251" s="287">
        <f t="shared" si="185"/>
        <v>0.97499999999999942</v>
      </c>
      <c r="S251" s="287">
        <f t="shared" si="185"/>
        <v>0.97533333333333272</v>
      </c>
      <c r="T251" s="287">
        <f t="shared" si="184"/>
        <v>0.97566666666666602</v>
      </c>
      <c r="U251" s="287">
        <f t="shared" si="184"/>
        <v>0.97599999999999931</v>
      </c>
      <c r="V251" s="287">
        <f t="shared" si="184"/>
        <v>0.97633333333333261</v>
      </c>
      <c r="W251" s="287">
        <f t="shared" si="184"/>
        <v>0.97666666666666591</v>
      </c>
      <c r="X251" s="287">
        <f t="shared" si="184"/>
        <v>0.9769999999999992</v>
      </c>
      <c r="Y251" s="287">
        <f t="shared" si="184"/>
        <v>0.9773333333333325</v>
      </c>
      <c r="Z251" s="287">
        <f t="shared" si="184"/>
        <v>0.9776666666666658</v>
      </c>
      <c r="AA251" s="287">
        <f t="shared" si="184"/>
        <v>0.97799999999999909</v>
      </c>
      <c r="AB251" s="287">
        <f t="shared" si="184"/>
        <v>0.97833333333333239</v>
      </c>
      <c r="AC251" s="287">
        <f t="shared" si="184"/>
        <v>0.97866666666666569</v>
      </c>
      <c r="AD251" s="287">
        <f t="shared" si="184"/>
        <v>0.97899999999999898</v>
      </c>
      <c r="AE251" s="287">
        <f t="shared" si="184"/>
        <v>0.97933333333333228</v>
      </c>
      <c r="AF251" s="287">
        <f t="shared" si="184"/>
        <v>0.97966666666666558</v>
      </c>
      <c r="AG251" s="255">
        <f>1-SUM(AG252:AG256)</f>
        <v>0.98</v>
      </c>
      <c r="AI251" s="188"/>
      <c r="AJ251" s="271"/>
    </row>
    <row r="252" spans="1:63" outlineLevel="1">
      <c r="A252" s="3" t="s">
        <v>620</v>
      </c>
      <c r="B252" s="252" t="s">
        <v>126</v>
      </c>
      <c r="C252" s="266">
        <v>0.01</v>
      </c>
      <c r="D252" s="267">
        <f t="shared" si="185"/>
        <v>0.01</v>
      </c>
      <c r="E252" s="267">
        <f t="shared" si="185"/>
        <v>0.01</v>
      </c>
      <c r="F252" s="267">
        <f t="shared" si="185"/>
        <v>0.01</v>
      </c>
      <c r="G252" s="267">
        <f t="shared" si="185"/>
        <v>0.01</v>
      </c>
      <c r="H252" s="267">
        <f t="shared" si="185"/>
        <v>0.01</v>
      </c>
      <c r="I252" s="267">
        <f t="shared" si="185"/>
        <v>0.01</v>
      </c>
      <c r="J252" s="267">
        <f t="shared" si="185"/>
        <v>0.01</v>
      </c>
      <c r="K252" s="267">
        <f t="shared" si="185"/>
        <v>0.01</v>
      </c>
      <c r="L252" s="267">
        <f t="shared" si="185"/>
        <v>0.01</v>
      </c>
      <c r="M252" s="267">
        <f t="shared" si="185"/>
        <v>0.01</v>
      </c>
      <c r="N252" s="267">
        <f t="shared" si="185"/>
        <v>0.01</v>
      </c>
      <c r="O252" s="267">
        <f t="shared" si="185"/>
        <v>0.01</v>
      </c>
      <c r="P252" s="267">
        <f t="shared" si="185"/>
        <v>0.01</v>
      </c>
      <c r="Q252" s="267">
        <f t="shared" si="185"/>
        <v>0.01</v>
      </c>
      <c r="R252" s="267">
        <f t="shared" si="185"/>
        <v>0.01</v>
      </c>
      <c r="S252" s="267">
        <f t="shared" si="185"/>
        <v>0.01</v>
      </c>
      <c r="T252" s="267">
        <f t="shared" si="184"/>
        <v>0.01</v>
      </c>
      <c r="U252" s="267">
        <f t="shared" si="184"/>
        <v>0.01</v>
      </c>
      <c r="V252" s="267">
        <f t="shared" si="184"/>
        <v>0.01</v>
      </c>
      <c r="W252" s="267">
        <f t="shared" si="184"/>
        <v>0.01</v>
      </c>
      <c r="X252" s="267">
        <f t="shared" si="184"/>
        <v>0.01</v>
      </c>
      <c r="Y252" s="267">
        <f t="shared" si="184"/>
        <v>0.01</v>
      </c>
      <c r="Z252" s="267">
        <f t="shared" si="184"/>
        <v>0.01</v>
      </c>
      <c r="AA252" s="267">
        <f t="shared" si="184"/>
        <v>0.01</v>
      </c>
      <c r="AB252" s="267">
        <f t="shared" si="184"/>
        <v>0.01</v>
      </c>
      <c r="AC252" s="267">
        <f t="shared" si="184"/>
        <v>0.01</v>
      </c>
      <c r="AD252" s="267">
        <f t="shared" si="184"/>
        <v>0.01</v>
      </c>
      <c r="AE252" s="267">
        <f t="shared" si="184"/>
        <v>0.01</v>
      </c>
      <c r="AF252" s="267">
        <f t="shared" si="184"/>
        <v>0.01</v>
      </c>
      <c r="AG252" s="266">
        <v>0.01</v>
      </c>
      <c r="AI252" s="188"/>
      <c r="AJ252" s="271" t="s">
        <v>1469</v>
      </c>
    </row>
    <row r="253" spans="1:63" outlineLevel="1">
      <c r="A253" s="3" t="s">
        <v>622</v>
      </c>
      <c r="B253" s="252" t="s">
        <v>126</v>
      </c>
      <c r="C253" s="562">
        <v>0</v>
      </c>
      <c r="D253" s="267">
        <f t="shared" ref="D253:AF256" si="186">-($C253-$AG253)/30+C253</f>
        <v>0</v>
      </c>
      <c r="E253" s="267">
        <f t="shared" si="186"/>
        <v>0</v>
      </c>
      <c r="F253" s="267">
        <f t="shared" si="186"/>
        <v>0</v>
      </c>
      <c r="G253" s="267">
        <f t="shared" si="186"/>
        <v>0</v>
      </c>
      <c r="H253" s="267">
        <f t="shared" si="186"/>
        <v>0</v>
      </c>
      <c r="I253" s="267">
        <f t="shared" si="186"/>
        <v>0</v>
      </c>
      <c r="J253" s="267">
        <f t="shared" si="186"/>
        <v>0</v>
      </c>
      <c r="K253" s="267">
        <f t="shared" si="186"/>
        <v>0</v>
      </c>
      <c r="L253" s="267">
        <f t="shared" si="186"/>
        <v>0</v>
      </c>
      <c r="M253" s="267">
        <f t="shared" si="186"/>
        <v>0</v>
      </c>
      <c r="N253" s="267">
        <f t="shared" si="186"/>
        <v>0</v>
      </c>
      <c r="O253" s="267">
        <f t="shared" si="186"/>
        <v>0</v>
      </c>
      <c r="P253" s="267">
        <f t="shared" si="186"/>
        <v>0</v>
      </c>
      <c r="Q253" s="267">
        <f t="shared" si="186"/>
        <v>0</v>
      </c>
      <c r="R253" s="267">
        <f t="shared" si="186"/>
        <v>0</v>
      </c>
      <c r="S253" s="267">
        <f t="shared" si="186"/>
        <v>0</v>
      </c>
      <c r="T253" s="267">
        <f t="shared" si="186"/>
        <v>0</v>
      </c>
      <c r="U253" s="267">
        <f t="shared" si="186"/>
        <v>0</v>
      </c>
      <c r="V253" s="267">
        <f t="shared" si="186"/>
        <v>0</v>
      </c>
      <c r="W253" s="267">
        <f t="shared" si="186"/>
        <v>0</v>
      </c>
      <c r="X253" s="267">
        <f t="shared" si="186"/>
        <v>0</v>
      </c>
      <c r="Y253" s="267">
        <f t="shared" si="186"/>
        <v>0</v>
      </c>
      <c r="Z253" s="267">
        <f t="shared" si="186"/>
        <v>0</v>
      </c>
      <c r="AA253" s="267">
        <f t="shared" si="186"/>
        <v>0</v>
      </c>
      <c r="AB253" s="267">
        <f t="shared" si="186"/>
        <v>0</v>
      </c>
      <c r="AC253" s="267">
        <f t="shared" si="186"/>
        <v>0</v>
      </c>
      <c r="AD253" s="267">
        <f t="shared" si="186"/>
        <v>0</v>
      </c>
      <c r="AE253" s="267">
        <f t="shared" si="186"/>
        <v>0</v>
      </c>
      <c r="AF253" s="267">
        <f t="shared" si="186"/>
        <v>0</v>
      </c>
      <c r="AG253" s="562">
        <v>0</v>
      </c>
      <c r="AI253" s="188"/>
      <c r="AJ253" t="s">
        <v>1470</v>
      </c>
    </row>
    <row r="254" spans="1:63" outlineLevel="1">
      <c r="A254" s="3" t="s">
        <v>623</v>
      </c>
      <c r="B254" s="252" t="s">
        <v>126</v>
      </c>
      <c r="C254" s="562">
        <v>0</v>
      </c>
      <c r="D254" s="267">
        <f t="shared" si="186"/>
        <v>0</v>
      </c>
      <c r="E254" s="267">
        <f t="shared" si="186"/>
        <v>0</v>
      </c>
      <c r="F254" s="267">
        <f t="shared" si="186"/>
        <v>0</v>
      </c>
      <c r="G254" s="267">
        <f t="shared" si="186"/>
        <v>0</v>
      </c>
      <c r="H254" s="267">
        <f t="shared" si="186"/>
        <v>0</v>
      </c>
      <c r="I254" s="267">
        <f t="shared" si="186"/>
        <v>0</v>
      </c>
      <c r="J254" s="267">
        <f t="shared" si="186"/>
        <v>0</v>
      </c>
      <c r="K254" s="267">
        <f t="shared" si="186"/>
        <v>0</v>
      </c>
      <c r="L254" s="267">
        <f t="shared" si="186"/>
        <v>0</v>
      </c>
      <c r="M254" s="267">
        <f t="shared" si="186"/>
        <v>0</v>
      </c>
      <c r="N254" s="267">
        <f t="shared" si="186"/>
        <v>0</v>
      </c>
      <c r="O254" s="267">
        <f t="shared" si="186"/>
        <v>0</v>
      </c>
      <c r="P254" s="267">
        <f t="shared" si="186"/>
        <v>0</v>
      </c>
      <c r="Q254" s="267">
        <f t="shared" si="186"/>
        <v>0</v>
      </c>
      <c r="R254" s="267">
        <f t="shared" si="186"/>
        <v>0</v>
      </c>
      <c r="S254" s="267">
        <f t="shared" si="186"/>
        <v>0</v>
      </c>
      <c r="T254" s="267">
        <f t="shared" si="186"/>
        <v>0</v>
      </c>
      <c r="U254" s="267">
        <f t="shared" si="186"/>
        <v>0</v>
      </c>
      <c r="V254" s="267">
        <f t="shared" si="186"/>
        <v>0</v>
      </c>
      <c r="W254" s="267">
        <f t="shared" si="186"/>
        <v>0</v>
      </c>
      <c r="X254" s="267">
        <f t="shared" si="186"/>
        <v>0</v>
      </c>
      <c r="Y254" s="267">
        <f t="shared" si="186"/>
        <v>0</v>
      </c>
      <c r="Z254" s="267">
        <f t="shared" si="186"/>
        <v>0</v>
      </c>
      <c r="AA254" s="267">
        <f t="shared" si="186"/>
        <v>0</v>
      </c>
      <c r="AB254" s="267">
        <f t="shared" si="186"/>
        <v>0</v>
      </c>
      <c r="AC254" s="267">
        <f t="shared" si="186"/>
        <v>0</v>
      </c>
      <c r="AD254" s="267">
        <f t="shared" si="186"/>
        <v>0</v>
      </c>
      <c r="AE254" s="267">
        <f t="shared" si="186"/>
        <v>0</v>
      </c>
      <c r="AF254" s="267">
        <f t="shared" si="186"/>
        <v>0</v>
      </c>
      <c r="AG254" s="562">
        <v>0</v>
      </c>
      <c r="AI254" s="188"/>
      <c r="AJ254" t="s">
        <v>1470</v>
      </c>
    </row>
    <row r="255" spans="1:63" outlineLevel="1">
      <c r="A255" s="3" t="s">
        <v>624</v>
      </c>
      <c r="B255" s="252" t="s">
        <v>126</v>
      </c>
      <c r="C255" s="562">
        <v>1.4999999999999999E-2</v>
      </c>
      <c r="D255" s="267">
        <f t="shared" si="186"/>
        <v>1.4733333333333333E-2</v>
      </c>
      <c r="E255" s="267">
        <f t="shared" si="186"/>
        <v>1.4466666666666666E-2</v>
      </c>
      <c r="F255" s="267">
        <f t="shared" si="186"/>
        <v>1.4199999999999999E-2</v>
      </c>
      <c r="G255" s="267">
        <f t="shared" si="186"/>
        <v>1.3933333333333332E-2</v>
      </c>
      <c r="H255" s="267">
        <f t="shared" si="186"/>
        <v>1.3666666666666666E-2</v>
      </c>
      <c r="I255" s="267">
        <f t="shared" si="186"/>
        <v>1.3399999999999999E-2</v>
      </c>
      <c r="J255" s="267">
        <f t="shared" si="186"/>
        <v>1.3133333333333332E-2</v>
      </c>
      <c r="K255" s="267">
        <f t="shared" si="186"/>
        <v>1.2866666666666665E-2</v>
      </c>
      <c r="L255" s="267">
        <f t="shared" si="186"/>
        <v>1.2599999999999998E-2</v>
      </c>
      <c r="M255" s="267">
        <f t="shared" si="186"/>
        <v>1.2333333333333332E-2</v>
      </c>
      <c r="N255" s="267">
        <f t="shared" si="186"/>
        <v>1.2066666666666665E-2</v>
      </c>
      <c r="O255" s="267">
        <f t="shared" si="186"/>
        <v>1.1799999999999998E-2</v>
      </c>
      <c r="P255" s="267">
        <f t="shared" si="186"/>
        <v>1.1533333333333331E-2</v>
      </c>
      <c r="Q255" s="267">
        <f t="shared" si="186"/>
        <v>1.1266666666666664E-2</v>
      </c>
      <c r="R255" s="267">
        <f t="shared" si="186"/>
        <v>1.0999999999999998E-2</v>
      </c>
      <c r="S255" s="267">
        <f t="shared" si="186"/>
        <v>1.0733333333333331E-2</v>
      </c>
      <c r="T255" s="267">
        <f t="shared" si="186"/>
        <v>1.0466666666666664E-2</v>
      </c>
      <c r="U255" s="267">
        <f t="shared" si="186"/>
        <v>1.0199999999999997E-2</v>
      </c>
      <c r="V255" s="267">
        <f t="shared" si="186"/>
        <v>9.9333333333333305E-3</v>
      </c>
      <c r="W255" s="267">
        <f t="shared" si="186"/>
        <v>9.6666666666666637E-3</v>
      </c>
      <c r="X255" s="267">
        <f t="shared" si="186"/>
        <v>9.3999999999999969E-3</v>
      </c>
      <c r="Y255" s="267">
        <f t="shared" si="186"/>
        <v>9.1333333333333301E-3</v>
      </c>
      <c r="Z255" s="267">
        <f t="shared" si="186"/>
        <v>8.8666666666666633E-3</v>
      </c>
      <c r="AA255" s="267">
        <f t="shared" si="186"/>
        <v>8.5999999999999965E-3</v>
      </c>
      <c r="AB255" s="267">
        <f t="shared" si="186"/>
        <v>8.3333333333333297E-3</v>
      </c>
      <c r="AC255" s="267">
        <f t="shared" si="186"/>
        <v>8.066666666666663E-3</v>
      </c>
      <c r="AD255" s="267">
        <f t="shared" si="186"/>
        <v>7.7999999999999962E-3</v>
      </c>
      <c r="AE255" s="267">
        <f t="shared" si="186"/>
        <v>7.5333333333333294E-3</v>
      </c>
      <c r="AF255" s="267">
        <f t="shared" si="186"/>
        <v>7.2666666666666626E-3</v>
      </c>
      <c r="AG255" s="562">
        <v>7.0000000000000001E-3</v>
      </c>
      <c r="AI255" s="188"/>
      <c r="AJ255" t="s">
        <v>1470</v>
      </c>
    </row>
    <row r="256" spans="1:63" outlineLevel="1">
      <c r="A256" s="3" t="s">
        <v>625</v>
      </c>
      <c r="B256" s="252" t="s">
        <v>126</v>
      </c>
      <c r="C256" s="562">
        <v>5.0000000000000001E-3</v>
      </c>
      <c r="D256" s="267">
        <f t="shared" si="186"/>
        <v>4.9333333333333338E-3</v>
      </c>
      <c r="E256" s="267">
        <f t="shared" si="186"/>
        <v>4.8666666666666676E-3</v>
      </c>
      <c r="F256" s="267">
        <f t="shared" si="186"/>
        <v>4.8000000000000013E-3</v>
      </c>
      <c r="G256" s="267">
        <f t="shared" si="186"/>
        <v>4.7333333333333351E-3</v>
      </c>
      <c r="H256" s="267">
        <f t="shared" si="186"/>
        <v>4.6666666666666688E-3</v>
      </c>
      <c r="I256" s="267">
        <f t="shared" si="186"/>
        <v>4.6000000000000025E-3</v>
      </c>
      <c r="J256" s="267">
        <f t="shared" si="186"/>
        <v>4.5333333333333363E-3</v>
      </c>
      <c r="K256" s="267">
        <f t="shared" si="186"/>
        <v>4.46666666666667E-3</v>
      </c>
      <c r="L256" s="267">
        <f t="shared" si="186"/>
        <v>4.4000000000000037E-3</v>
      </c>
      <c r="M256" s="267">
        <f t="shared" si="186"/>
        <v>4.3333333333333375E-3</v>
      </c>
      <c r="N256" s="267">
        <f t="shared" si="186"/>
        <v>4.2666666666666712E-3</v>
      </c>
      <c r="O256" s="267">
        <f t="shared" si="186"/>
        <v>4.2000000000000049E-3</v>
      </c>
      <c r="P256" s="267">
        <f t="shared" si="186"/>
        <v>4.1333333333333387E-3</v>
      </c>
      <c r="Q256" s="267">
        <f t="shared" si="186"/>
        <v>4.0666666666666724E-3</v>
      </c>
      <c r="R256" s="267">
        <f t="shared" si="186"/>
        <v>4.0000000000000062E-3</v>
      </c>
      <c r="S256" s="267">
        <f t="shared" si="186"/>
        <v>3.9333333333333399E-3</v>
      </c>
      <c r="T256" s="267">
        <f t="shared" si="186"/>
        <v>3.8666666666666732E-3</v>
      </c>
      <c r="U256" s="267">
        <f t="shared" si="186"/>
        <v>3.8000000000000065E-3</v>
      </c>
      <c r="V256" s="267">
        <f t="shared" si="186"/>
        <v>3.7333333333333398E-3</v>
      </c>
      <c r="W256" s="267">
        <f t="shared" si="186"/>
        <v>3.6666666666666731E-3</v>
      </c>
      <c r="X256" s="267">
        <f t="shared" si="186"/>
        <v>3.6000000000000064E-3</v>
      </c>
      <c r="Y256" s="267">
        <f t="shared" si="186"/>
        <v>3.5333333333333397E-3</v>
      </c>
      <c r="Z256" s="267">
        <f t="shared" si="186"/>
        <v>3.466666666666673E-3</v>
      </c>
      <c r="AA256" s="267">
        <f t="shared" si="186"/>
        <v>3.4000000000000063E-3</v>
      </c>
      <c r="AB256" s="267">
        <f t="shared" si="186"/>
        <v>3.3333333333333396E-3</v>
      </c>
      <c r="AC256" s="267">
        <f t="shared" si="186"/>
        <v>3.2666666666666729E-3</v>
      </c>
      <c r="AD256" s="267">
        <f t="shared" si="186"/>
        <v>3.2000000000000062E-3</v>
      </c>
      <c r="AE256" s="267">
        <f t="shared" si="186"/>
        <v>3.1333333333333395E-3</v>
      </c>
      <c r="AF256" s="267">
        <f t="shared" si="186"/>
        <v>3.0666666666666728E-3</v>
      </c>
      <c r="AG256" s="562">
        <v>3.0000000000000001E-3</v>
      </c>
      <c r="AI256" s="188"/>
      <c r="AJ256" t="s">
        <v>1470</v>
      </c>
    </row>
    <row r="257" spans="1:36" s="54" customFormat="1" outlineLevel="1">
      <c r="A257" s="256" t="s">
        <v>627</v>
      </c>
      <c r="B257" s="253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254"/>
      <c r="T257" s="254"/>
      <c r="U257" s="254"/>
      <c r="V257" s="254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I257" s="255"/>
      <c r="AJ257" s="256"/>
    </row>
    <row r="258" spans="1:36" s="54" customFormat="1" outlineLevel="1">
      <c r="A258" s="257" t="s">
        <v>656</v>
      </c>
      <c r="B258" s="258" t="s">
        <v>126</v>
      </c>
      <c r="C258" s="563">
        <f>C250</f>
        <v>0.98</v>
      </c>
      <c r="D258" s="287">
        <f>-($C258-$AG258)/30+C258</f>
        <v>0.98033333333333328</v>
      </c>
      <c r="E258" s="287">
        <f t="shared" ref="E258:AF259" si="187">-($C258-$AG258)/30+D258</f>
        <v>0.98066666666666658</v>
      </c>
      <c r="F258" s="287">
        <f t="shared" si="187"/>
        <v>0.98099999999999987</v>
      </c>
      <c r="G258" s="287">
        <f t="shared" si="187"/>
        <v>0.98133333333333317</v>
      </c>
      <c r="H258" s="287">
        <f t="shared" si="187"/>
        <v>0.98166666666666647</v>
      </c>
      <c r="I258" s="287">
        <f t="shared" si="187"/>
        <v>0.98199999999999976</v>
      </c>
      <c r="J258" s="287">
        <f t="shared" si="187"/>
        <v>0.98233333333333306</v>
      </c>
      <c r="K258" s="287">
        <f t="shared" si="187"/>
        <v>0.98266666666666636</v>
      </c>
      <c r="L258" s="287">
        <f t="shared" si="187"/>
        <v>0.98299999999999965</v>
      </c>
      <c r="M258" s="287">
        <f t="shared" si="187"/>
        <v>0.98333333333333295</v>
      </c>
      <c r="N258" s="287">
        <f t="shared" si="187"/>
        <v>0.98366666666666625</v>
      </c>
      <c r="O258" s="287">
        <f t="shared" si="187"/>
        <v>0.98399999999999954</v>
      </c>
      <c r="P258" s="287">
        <f t="shared" si="187"/>
        <v>0.98433333333333284</v>
      </c>
      <c r="Q258" s="287">
        <f t="shared" si="187"/>
        <v>0.98466666666666613</v>
      </c>
      <c r="R258" s="287">
        <f t="shared" si="187"/>
        <v>0.98499999999999943</v>
      </c>
      <c r="S258" s="287">
        <f t="shared" si="187"/>
        <v>0.98533333333333273</v>
      </c>
      <c r="T258" s="287">
        <f t="shared" si="187"/>
        <v>0.98566666666666602</v>
      </c>
      <c r="U258" s="287">
        <f t="shared" si="187"/>
        <v>0.98599999999999932</v>
      </c>
      <c r="V258" s="287">
        <f t="shared" si="187"/>
        <v>0.98633333333333262</v>
      </c>
      <c r="W258" s="287">
        <f t="shared" si="187"/>
        <v>0.98666666666666591</v>
      </c>
      <c r="X258" s="287">
        <f t="shared" si="187"/>
        <v>0.98699999999999921</v>
      </c>
      <c r="Y258" s="287">
        <f t="shared" si="187"/>
        <v>0.98733333333333251</v>
      </c>
      <c r="Z258" s="287">
        <f t="shared" si="187"/>
        <v>0.9876666666666658</v>
      </c>
      <c r="AA258" s="287">
        <f t="shared" si="187"/>
        <v>0.9879999999999991</v>
      </c>
      <c r="AB258" s="287">
        <f t="shared" si="187"/>
        <v>0.9883333333333324</v>
      </c>
      <c r="AC258" s="287">
        <f t="shared" si="187"/>
        <v>0.98866666666666569</v>
      </c>
      <c r="AD258" s="287">
        <f t="shared" si="187"/>
        <v>0.98899999999999899</v>
      </c>
      <c r="AE258" s="287">
        <f t="shared" si="187"/>
        <v>0.98933333333333229</v>
      </c>
      <c r="AF258" s="287">
        <f t="shared" si="187"/>
        <v>0.98966666666666558</v>
      </c>
      <c r="AG258" s="563">
        <f>AG250</f>
        <v>0.99</v>
      </c>
      <c r="AI258" s="255"/>
      <c r="AJ258" s="271" t="s">
        <v>1469</v>
      </c>
    </row>
    <row r="259" spans="1:36" s="54" customFormat="1" outlineLevel="1">
      <c r="A259" s="257" t="s">
        <v>667</v>
      </c>
      <c r="B259" s="258" t="s">
        <v>126</v>
      </c>
      <c r="C259" s="563">
        <v>1</v>
      </c>
      <c r="D259" s="287">
        <f>-($C259-$AG259)/30+C259</f>
        <v>1</v>
      </c>
      <c r="E259" s="287">
        <f t="shared" si="187"/>
        <v>1</v>
      </c>
      <c r="F259" s="287">
        <f t="shared" si="187"/>
        <v>1</v>
      </c>
      <c r="G259" s="287">
        <f t="shared" si="187"/>
        <v>1</v>
      </c>
      <c r="H259" s="287">
        <f t="shared" si="187"/>
        <v>1</v>
      </c>
      <c r="I259" s="287">
        <f t="shared" si="187"/>
        <v>1</v>
      </c>
      <c r="J259" s="287">
        <f t="shared" si="187"/>
        <v>1</v>
      </c>
      <c r="K259" s="287">
        <f t="shared" si="187"/>
        <v>1</v>
      </c>
      <c r="L259" s="287">
        <f t="shared" si="187"/>
        <v>1</v>
      </c>
      <c r="M259" s="287">
        <f t="shared" si="187"/>
        <v>1</v>
      </c>
      <c r="N259" s="287">
        <f t="shared" si="187"/>
        <v>1</v>
      </c>
      <c r="O259" s="287">
        <f t="shared" si="187"/>
        <v>1</v>
      </c>
      <c r="P259" s="287">
        <f t="shared" si="187"/>
        <v>1</v>
      </c>
      <c r="Q259" s="287">
        <f t="shared" si="187"/>
        <v>1</v>
      </c>
      <c r="R259" s="287">
        <f t="shared" si="187"/>
        <v>1</v>
      </c>
      <c r="S259" s="287">
        <f t="shared" si="187"/>
        <v>1</v>
      </c>
      <c r="T259" s="287">
        <f t="shared" si="187"/>
        <v>1</v>
      </c>
      <c r="U259" s="287">
        <f t="shared" si="187"/>
        <v>1</v>
      </c>
      <c r="V259" s="287">
        <f t="shared" si="187"/>
        <v>1</v>
      </c>
      <c r="W259" s="287">
        <f t="shared" si="187"/>
        <v>1</v>
      </c>
      <c r="X259" s="287">
        <f t="shared" si="187"/>
        <v>1</v>
      </c>
      <c r="Y259" s="287">
        <f t="shared" si="187"/>
        <v>1</v>
      </c>
      <c r="Z259" s="287">
        <f t="shared" si="187"/>
        <v>1</v>
      </c>
      <c r="AA259" s="287">
        <f t="shared" si="187"/>
        <v>1</v>
      </c>
      <c r="AB259" s="287">
        <f t="shared" si="187"/>
        <v>1</v>
      </c>
      <c r="AC259" s="287">
        <f t="shared" si="187"/>
        <v>1</v>
      </c>
      <c r="AD259" s="287">
        <f t="shared" si="187"/>
        <v>1</v>
      </c>
      <c r="AE259" s="287">
        <f t="shared" si="187"/>
        <v>1</v>
      </c>
      <c r="AF259" s="287">
        <f t="shared" si="187"/>
        <v>1</v>
      </c>
      <c r="AG259" s="563">
        <v>1</v>
      </c>
      <c r="AI259" s="255"/>
      <c r="AJ259" t="s">
        <v>1470</v>
      </c>
    </row>
    <row r="260" spans="1:36" s="58" customFormat="1" outlineLevel="1">
      <c r="A260" s="261" t="s">
        <v>668</v>
      </c>
      <c r="B260" s="262" t="s">
        <v>126</v>
      </c>
      <c r="C260" s="289">
        <f>1-C259</f>
        <v>0</v>
      </c>
      <c r="D260" s="289">
        <f t="shared" ref="D260:AG260" si="188">1-D259</f>
        <v>0</v>
      </c>
      <c r="E260" s="289">
        <f t="shared" si="188"/>
        <v>0</v>
      </c>
      <c r="F260" s="289">
        <f t="shared" si="188"/>
        <v>0</v>
      </c>
      <c r="G260" s="289">
        <f t="shared" si="188"/>
        <v>0</v>
      </c>
      <c r="H260" s="289">
        <f t="shared" si="188"/>
        <v>0</v>
      </c>
      <c r="I260" s="289">
        <f t="shared" si="188"/>
        <v>0</v>
      </c>
      <c r="J260" s="289">
        <f t="shared" si="188"/>
        <v>0</v>
      </c>
      <c r="K260" s="289">
        <f t="shared" si="188"/>
        <v>0</v>
      </c>
      <c r="L260" s="289">
        <f t="shared" si="188"/>
        <v>0</v>
      </c>
      <c r="M260" s="289">
        <f t="shared" si="188"/>
        <v>0</v>
      </c>
      <c r="N260" s="289">
        <f t="shared" si="188"/>
        <v>0</v>
      </c>
      <c r="O260" s="289">
        <f t="shared" si="188"/>
        <v>0</v>
      </c>
      <c r="P260" s="289">
        <f t="shared" si="188"/>
        <v>0</v>
      </c>
      <c r="Q260" s="289">
        <f t="shared" si="188"/>
        <v>0</v>
      </c>
      <c r="R260" s="289">
        <f t="shared" si="188"/>
        <v>0</v>
      </c>
      <c r="S260" s="289">
        <f t="shared" si="188"/>
        <v>0</v>
      </c>
      <c r="T260" s="289">
        <f t="shared" si="188"/>
        <v>0</v>
      </c>
      <c r="U260" s="289">
        <f t="shared" si="188"/>
        <v>0</v>
      </c>
      <c r="V260" s="289">
        <f t="shared" si="188"/>
        <v>0</v>
      </c>
      <c r="W260" s="289">
        <f t="shared" si="188"/>
        <v>0</v>
      </c>
      <c r="X260" s="289">
        <f t="shared" si="188"/>
        <v>0</v>
      </c>
      <c r="Y260" s="289">
        <f t="shared" si="188"/>
        <v>0</v>
      </c>
      <c r="Z260" s="289">
        <f t="shared" si="188"/>
        <v>0</v>
      </c>
      <c r="AA260" s="289">
        <f t="shared" si="188"/>
        <v>0</v>
      </c>
      <c r="AB260" s="289">
        <f t="shared" si="188"/>
        <v>0</v>
      </c>
      <c r="AC260" s="289">
        <f t="shared" si="188"/>
        <v>0</v>
      </c>
      <c r="AD260" s="289">
        <f t="shared" si="188"/>
        <v>0</v>
      </c>
      <c r="AE260" s="289">
        <f t="shared" si="188"/>
        <v>0</v>
      </c>
      <c r="AF260" s="289">
        <f t="shared" si="188"/>
        <v>0</v>
      </c>
      <c r="AG260" s="289">
        <f t="shared" si="188"/>
        <v>0</v>
      </c>
      <c r="AI260" s="291"/>
      <c r="AJ260" s="290"/>
    </row>
    <row r="261" spans="1:36" s="1" customFormat="1" outlineLevel="1">
      <c r="A261" t="s">
        <v>649</v>
      </c>
      <c r="B261" s="252" t="s">
        <v>126</v>
      </c>
      <c r="C261" s="562">
        <v>1</v>
      </c>
      <c r="D261" s="267">
        <f t="shared" ref="D261:S276" si="189">-($C261-$AG261)/30+C261</f>
        <v>1</v>
      </c>
      <c r="E261" s="267">
        <f t="shared" si="189"/>
        <v>1</v>
      </c>
      <c r="F261" s="267">
        <f t="shared" si="189"/>
        <v>1</v>
      </c>
      <c r="G261" s="267">
        <f t="shared" si="189"/>
        <v>1</v>
      </c>
      <c r="H261" s="267">
        <f t="shared" si="189"/>
        <v>1</v>
      </c>
      <c r="I261" s="267">
        <f t="shared" si="189"/>
        <v>1</v>
      </c>
      <c r="J261" s="267">
        <f t="shared" si="189"/>
        <v>1</v>
      </c>
      <c r="K261" s="267">
        <f t="shared" si="189"/>
        <v>1</v>
      </c>
      <c r="L261" s="267">
        <f t="shared" si="189"/>
        <v>1</v>
      </c>
      <c r="M261" s="267">
        <f t="shared" si="189"/>
        <v>1</v>
      </c>
      <c r="N261" s="267">
        <f t="shared" si="189"/>
        <v>1</v>
      </c>
      <c r="O261" s="267">
        <f t="shared" si="189"/>
        <v>1</v>
      </c>
      <c r="P261" s="267">
        <f t="shared" si="189"/>
        <v>1</v>
      </c>
      <c r="Q261" s="267">
        <f t="shared" si="189"/>
        <v>1</v>
      </c>
      <c r="R261" s="267">
        <f t="shared" si="189"/>
        <v>1</v>
      </c>
      <c r="S261" s="267">
        <f t="shared" si="189"/>
        <v>1</v>
      </c>
      <c r="T261" s="267">
        <f t="shared" ref="T261:AF275" si="190">-($C261-$AG261)/30+S261</f>
        <v>1</v>
      </c>
      <c r="U261" s="267">
        <f t="shared" si="190"/>
        <v>1</v>
      </c>
      <c r="V261" s="267">
        <f t="shared" si="190"/>
        <v>1</v>
      </c>
      <c r="W261" s="267">
        <f t="shared" si="190"/>
        <v>1</v>
      </c>
      <c r="X261" s="267">
        <f t="shared" si="190"/>
        <v>1</v>
      </c>
      <c r="Y261" s="267">
        <f t="shared" si="190"/>
        <v>1</v>
      </c>
      <c r="Z261" s="267">
        <f t="shared" si="190"/>
        <v>1</v>
      </c>
      <c r="AA261" s="267">
        <f t="shared" si="190"/>
        <v>1</v>
      </c>
      <c r="AB261" s="267">
        <f t="shared" si="190"/>
        <v>1</v>
      </c>
      <c r="AC261" s="267">
        <f t="shared" si="190"/>
        <v>1</v>
      </c>
      <c r="AD261" s="267">
        <f t="shared" si="190"/>
        <v>1</v>
      </c>
      <c r="AE261" s="267">
        <f t="shared" si="190"/>
        <v>1</v>
      </c>
      <c r="AF261" s="267">
        <f t="shared" si="190"/>
        <v>1</v>
      </c>
      <c r="AG261" s="562">
        <v>1</v>
      </c>
      <c r="AI261" s="266"/>
      <c r="AJ261" s="185"/>
    </row>
    <row r="262" spans="1:36" s="1" customFormat="1" outlineLevel="1">
      <c r="A262" t="s">
        <v>655</v>
      </c>
      <c r="B262" s="252" t="s">
        <v>126</v>
      </c>
      <c r="C262" s="562">
        <v>0</v>
      </c>
      <c r="D262" s="267">
        <f t="shared" si="189"/>
        <v>0</v>
      </c>
      <c r="E262" s="267">
        <f t="shared" si="189"/>
        <v>0</v>
      </c>
      <c r="F262" s="267">
        <f t="shared" si="189"/>
        <v>0</v>
      </c>
      <c r="G262" s="267">
        <f t="shared" si="189"/>
        <v>0</v>
      </c>
      <c r="H262" s="267">
        <f t="shared" si="189"/>
        <v>0</v>
      </c>
      <c r="I262" s="267">
        <f t="shared" si="189"/>
        <v>0</v>
      </c>
      <c r="J262" s="267">
        <f t="shared" si="189"/>
        <v>0</v>
      </c>
      <c r="K262" s="267">
        <f t="shared" si="189"/>
        <v>0</v>
      </c>
      <c r="L262" s="267">
        <f t="shared" si="189"/>
        <v>0</v>
      </c>
      <c r="M262" s="267">
        <f t="shared" si="189"/>
        <v>0</v>
      </c>
      <c r="N262" s="267">
        <f t="shared" si="189"/>
        <v>0</v>
      </c>
      <c r="O262" s="267">
        <f t="shared" si="189"/>
        <v>0</v>
      </c>
      <c r="P262" s="267">
        <f t="shared" si="189"/>
        <v>0</v>
      </c>
      <c r="Q262" s="267">
        <f t="shared" si="189"/>
        <v>0</v>
      </c>
      <c r="R262" s="267">
        <f t="shared" si="189"/>
        <v>0</v>
      </c>
      <c r="S262" s="267">
        <f t="shared" si="189"/>
        <v>0</v>
      </c>
      <c r="T262" s="267">
        <f t="shared" si="190"/>
        <v>0</v>
      </c>
      <c r="U262" s="267">
        <f t="shared" si="190"/>
        <v>0</v>
      </c>
      <c r="V262" s="267">
        <f t="shared" si="190"/>
        <v>0</v>
      </c>
      <c r="W262" s="267">
        <f t="shared" si="190"/>
        <v>0</v>
      </c>
      <c r="X262" s="267">
        <f t="shared" si="190"/>
        <v>0</v>
      </c>
      <c r="Y262" s="267">
        <f t="shared" si="190"/>
        <v>0</v>
      </c>
      <c r="Z262" s="267">
        <f t="shared" si="190"/>
        <v>0</v>
      </c>
      <c r="AA262" s="267">
        <f t="shared" si="190"/>
        <v>0</v>
      </c>
      <c r="AB262" s="267">
        <f t="shared" si="190"/>
        <v>0</v>
      </c>
      <c r="AC262" s="267">
        <f t="shared" si="190"/>
        <v>0</v>
      </c>
      <c r="AD262" s="267">
        <f t="shared" si="190"/>
        <v>0</v>
      </c>
      <c r="AE262" s="267">
        <f t="shared" si="190"/>
        <v>0</v>
      </c>
      <c r="AF262" s="267">
        <f t="shared" si="190"/>
        <v>0</v>
      </c>
      <c r="AG262" s="562">
        <v>0</v>
      </c>
      <c r="AI262" s="380" t="s">
        <v>777</v>
      </c>
      <c r="AJ262" s="185" t="s">
        <v>1471</v>
      </c>
    </row>
    <row r="263" spans="1:36" s="1" customFormat="1" outlineLevel="1">
      <c r="A263" t="s">
        <v>650</v>
      </c>
      <c r="B263" s="252" t="s">
        <v>126</v>
      </c>
      <c r="C263" s="246">
        <v>0.15</v>
      </c>
      <c r="D263" s="267">
        <f t="shared" si="189"/>
        <v>0.15633333333333332</v>
      </c>
      <c r="E263" s="267">
        <f t="shared" si="189"/>
        <v>0.16266666666666665</v>
      </c>
      <c r="F263" s="267">
        <f t="shared" si="189"/>
        <v>0.16899999999999998</v>
      </c>
      <c r="G263" s="267">
        <f t="shared" si="189"/>
        <v>0.17533333333333331</v>
      </c>
      <c r="H263" s="267">
        <f t="shared" si="189"/>
        <v>0.18166666666666664</v>
      </c>
      <c r="I263" s="267">
        <f t="shared" si="189"/>
        <v>0.18799999999999997</v>
      </c>
      <c r="J263" s="267">
        <f t="shared" si="189"/>
        <v>0.1943333333333333</v>
      </c>
      <c r="K263" s="267">
        <f t="shared" si="189"/>
        <v>0.20066666666666663</v>
      </c>
      <c r="L263" s="267">
        <f t="shared" si="189"/>
        <v>0.20699999999999996</v>
      </c>
      <c r="M263" s="267">
        <f t="shared" si="189"/>
        <v>0.21333333333333329</v>
      </c>
      <c r="N263" s="267">
        <f t="shared" si="189"/>
        <v>0.21966666666666662</v>
      </c>
      <c r="O263" s="267">
        <f t="shared" si="189"/>
        <v>0.22599999999999995</v>
      </c>
      <c r="P263" s="267">
        <f t="shared" si="189"/>
        <v>0.23233333333333328</v>
      </c>
      <c r="Q263" s="267">
        <f t="shared" si="189"/>
        <v>0.23866666666666661</v>
      </c>
      <c r="R263" s="267">
        <f t="shared" si="189"/>
        <v>0.24499999999999994</v>
      </c>
      <c r="S263" s="267">
        <f t="shared" si="189"/>
        <v>0.2513333333333333</v>
      </c>
      <c r="T263" s="267">
        <f t="shared" si="190"/>
        <v>0.25766666666666665</v>
      </c>
      <c r="U263" s="267">
        <f t="shared" si="190"/>
        <v>0.26400000000000001</v>
      </c>
      <c r="V263" s="267">
        <f t="shared" si="190"/>
        <v>0.27033333333333337</v>
      </c>
      <c r="W263" s="267">
        <f t="shared" si="190"/>
        <v>0.27666666666666673</v>
      </c>
      <c r="X263" s="267">
        <f t="shared" si="190"/>
        <v>0.28300000000000008</v>
      </c>
      <c r="Y263" s="267">
        <f t="shared" si="190"/>
        <v>0.28933333333333344</v>
      </c>
      <c r="Z263" s="267">
        <f t="shared" si="190"/>
        <v>0.2956666666666668</v>
      </c>
      <c r="AA263" s="267">
        <f t="shared" si="190"/>
        <v>0.30200000000000016</v>
      </c>
      <c r="AB263" s="267">
        <f t="shared" si="190"/>
        <v>0.30833333333333351</v>
      </c>
      <c r="AC263" s="267">
        <f t="shared" si="190"/>
        <v>0.31466666666666687</v>
      </c>
      <c r="AD263" s="267">
        <f t="shared" si="190"/>
        <v>0.32100000000000023</v>
      </c>
      <c r="AE263" s="267">
        <f t="shared" si="190"/>
        <v>0.32733333333333359</v>
      </c>
      <c r="AF263" s="267">
        <f t="shared" si="190"/>
        <v>0.33366666666666694</v>
      </c>
      <c r="AG263" s="246">
        <v>0.34</v>
      </c>
      <c r="AI263" s="266"/>
      <c r="AJ263" t="s">
        <v>1470</v>
      </c>
    </row>
    <row r="264" spans="1:36" s="1" customFormat="1" outlineLevel="1">
      <c r="A264" t="s">
        <v>651</v>
      </c>
      <c r="B264" s="252" t="s">
        <v>126</v>
      </c>
      <c r="C264" s="267">
        <f>1-C263</f>
        <v>0.85</v>
      </c>
      <c r="D264" s="267">
        <f t="shared" si="189"/>
        <v>0.84366666666666668</v>
      </c>
      <c r="E264" s="267">
        <f t="shared" si="189"/>
        <v>0.83733333333333337</v>
      </c>
      <c r="F264" s="267">
        <f t="shared" si="189"/>
        <v>0.83100000000000007</v>
      </c>
      <c r="G264" s="267">
        <f t="shared" si="189"/>
        <v>0.82466666666666677</v>
      </c>
      <c r="H264" s="267">
        <f t="shared" si="189"/>
        <v>0.81833333333333347</v>
      </c>
      <c r="I264" s="267">
        <f t="shared" si="189"/>
        <v>0.81200000000000017</v>
      </c>
      <c r="J264" s="267">
        <f t="shared" si="189"/>
        <v>0.80566666666666686</v>
      </c>
      <c r="K264" s="267">
        <f t="shared" si="189"/>
        <v>0.79933333333333356</v>
      </c>
      <c r="L264" s="267">
        <f t="shared" si="189"/>
        <v>0.79300000000000026</v>
      </c>
      <c r="M264" s="267">
        <f t="shared" si="189"/>
        <v>0.78666666666666696</v>
      </c>
      <c r="N264" s="267">
        <f t="shared" si="189"/>
        <v>0.78033333333333366</v>
      </c>
      <c r="O264" s="267">
        <f t="shared" si="189"/>
        <v>0.77400000000000035</v>
      </c>
      <c r="P264" s="267">
        <f t="shared" si="189"/>
        <v>0.76766666666666705</v>
      </c>
      <c r="Q264" s="267">
        <f t="shared" si="189"/>
        <v>0.76133333333333375</v>
      </c>
      <c r="R264" s="267">
        <f t="shared" si="189"/>
        <v>0.75500000000000045</v>
      </c>
      <c r="S264" s="267">
        <f t="shared" si="189"/>
        <v>0.74866666666666715</v>
      </c>
      <c r="T264" s="267">
        <f t="shared" si="190"/>
        <v>0.74233333333333384</v>
      </c>
      <c r="U264" s="267">
        <f t="shared" si="190"/>
        <v>0.73600000000000054</v>
      </c>
      <c r="V264" s="267">
        <f t="shared" si="190"/>
        <v>0.72966666666666724</v>
      </c>
      <c r="W264" s="267">
        <f t="shared" si="190"/>
        <v>0.72333333333333394</v>
      </c>
      <c r="X264" s="267">
        <f t="shared" si="190"/>
        <v>0.71700000000000064</v>
      </c>
      <c r="Y264" s="267">
        <f t="shared" si="190"/>
        <v>0.71066666666666733</v>
      </c>
      <c r="Z264" s="267">
        <f t="shared" si="190"/>
        <v>0.70433333333333403</v>
      </c>
      <c r="AA264" s="267">
        <f t="shared" si="190"/>
        <v>0.69800000000000073</v>
      </c>
      <c r="AB264" s="267">
        <f t="shared" si="190"/>
        <v>0.69166666666666743</v>
      </c>
      <c r="AC264" s="267">
        <f t="shared" si="190"/>
        <v>0.68533333333333413</v>
      </c>
      <c r="AD264" s="267">
        <f t="shared" si="190"/>
        <v>0.67900000000000083</v>
      </c>
      <c r="AE264" s="267">
        <f t="shared" si="190"/>
        <v>0.67266666666666752</v>
      </c>
      <c r="AF264" s="267">
        <f t="shared" si="190"/>
        <v>0.66633333333333422</v>
      </c>
      <c r="AG264" s="267">
        <f>1-AG263</f>
        <v>0.65999999999999992</v>
      </c>
      <c r="AI264" s="266"/>
      <c r="AJ264" t="s">
        <v>1470</v>
      </c>
    </row>
    <row r="265" spans="1:36" s="1" customFormat="1" outlineLevel="1">
      <c r="A265" t="s">
        <v>654</v>
      </c>
      <c r="B265" s="252" t="s">
        <v>126</v>
      </c>
      <c r="C265" s="246">
        <v>0</v>
      </c>
      <c r="D265" s="267">
        <f t="shared" si="189"/>
        <v>0</v>
      </c>
      <c r="E265" s="267">
        <f t="shared" si="189"/>
        <v>0</v>
      </c>
      <c r="F265" s="267">
        <f t="shared" si="189"/>
        <v>0</v>
      </c>
      <c r="G265" s="267">
        <f t="shared" si="189"/>
        <v>0</v>
      </c>
      <c r="H265" s="267">
        <f t="shared" si="189"/>
        <v>0</v>
      </c>
      <c r="I265" s="267">
        <f t="shared" si="189"/>
        <v>0</v>
      </c>
      <c r="J265" s="267">
        <f t="shared" si="189"/>
        <v>0</v>
      </c>
      <c r="K265" s="267">
        <f t="shared" si="189"/>
        <v>0</v>
      </c>
      <c r="L265" s="267">
        <f t="shared" si="189"/>
        <v>0</v>
      </c>
      <c r="M265" s="267">
        <f t="shared" si="189"/>
        <v>0</v>
      </c>
      <c r="N265" s="267">
        <f t="shared" si="189"/>
        <v>0</v>
      </c>
      <c r="O265" s="267">
        <f t="shared" si="189"/>
        <v>0</v>
      </c>
      <c r="P265" s="267">
        <f t="shared" si="189"/>
        <v>0</v>
      </c>
      <c r="Q265" s="267">
        <f t="shared" si="189"/>
        <v>0</v>
      </c>
      <c r="R265" s="267">
        <f t="shared" si="189"/>
        <v>0</v>
      </c>
      <c r="S265" s="267">
        <f t="shared" si="189"/>
        <v>0</v>
      </c>
      <c r="T265" s="267">
        <f t="shared" si="190"/>
        <v>0</v>
      </c>
      <c r="U265" s="267">
        <f t="shared" si="190"/>
        <v>0</v>
      </c>
      <c r="V265" s="267">
        <f t="shared" si="190"/>
        <v>0</v>
      </c>
      <c r="W265" s="267">
        <f t="shared" si="190"/>
        <v>0</v>
      </c>
      <c r="X265" s="267">
        <f t="shared" si="190"/>
        <v>0</v>
      </c>
      <c r="Y265" s="267">
        <f t="shared" si="190"/>
        <v>0</v>
      </c>
      <c r="Z265" s="267">
        <f t="shared" si="190"/>
        <v>0</v>
      </c>
      <c r="AA265" s="267">
        <f t="shared" si="190"/>
        <v>0</v>
      </c>
      <c r="AB265" s="267">
        <f t="shared" si="190"/>
        <v>0</v>
      </c>
      <c r="AC265" s="267">
        <f t="shared" si="190"/>
        <v>0</v>
      </c>
      <c r="AD265" s="267">
        <f t="shared" si="190"/>
        <v>0</v>
      </c>
      <c r="AE265" s="267">
        <f t="shared" si="190"/>
        <v>0</v>
      </c>
      <c r="AF265" s="267">
        <f t="shared" si="190"/>
        <v>0</v>
      </c>
      <c r="AG265" s="246">
        <v>0</v>
      </c>
      <c r="AI265" s="266"/>
      <c r="AJ265" t="s">
        <v>1470</v>
      </c>
    </row>
    <row r="266" spans="1:36" s="1" customFormat="1" outlineLevel="1">
      <c r="A266" t="s">
        <v>665</v>
      </c>
      <c r="B266" s="252" t="s">
        <v>126</v>
      </c>
      <c r="C266" s="246">
        <v>1</v>
      </c>
      <c r="D266" s="267">
        <f t="shared" si="189"/>
        <v>1</v>
      </c>
      <c r="E266" s="267">
        <f t="shared" si="189"/>
        <v>1</v>
      </c>
      <c r="F266" s="267">
        <f t="shared" si="189"/>
        <v>1</v>
      </c>
      <c r="G266" s="267">
        <f t="shared" si="189"/>
        <v>1</v>
      </c>
      <c r="H266" s="267">
        <f t="shared" si="189"/>
        <v>1</v>
      </c>
      <c r="I266" s="267">
        <f t="shared" si="189"/>
        <v>1</v>
      </c>
      <c r="J266" s="267">
        <f t="shared" si="189"/>
        <v>1</v>
      </c>
      <c r="K266" s="267">
        <f t="shared" si="189"/>
        <v>1</v>
      </c>
      <c r="L266" s="267">
        <f t="shared" si="189"/>
        <v>1</v>
      </c>
      <c r="M266" s="267">
        <f t="shared" si="189"/>
        <v>1</v>
      </c>
      <c r="N266" s="267">
        <f t="shared" si="189"/>
        <v>1</v>
      </c>
      <c r="O266" s="267">
        <f t="shared" si="189"/>
        <v>1</v>
      </c>
      <c r="P266" s="267">
        <f t="shared" si="189"/>
        <v>1</v>
      </c>
      <c r="Q266" s="267">
        <f t="shared" si="189"/>
        <v>1</v>
      </c>
      <c r="R266" s="267">
        <f t="shared" si="189"/>
        <v>1</v>
      </c>
      <c r="S266" s="267">
        <f t="shared" si="189"/>
        <v>1</v>
      </c>
      <c r="T266" s="267">
        <f t="shared" si="190"/>
        <v>1</v>
      </c>
      <c r="U266" s="267">
        <f t="shared" si="190"/>
        <v>1</v>
      </c>
      <c r="V266" s="267">
        <f t="shared" si="190"/>
        <v>1</v>
      </c>
      <c r="W266" s="267">
        <f t="shared" si="190"/>
        <v>1</v>
      </c>
      <c r="X266" s="267">
        <f t="shared" si="190"/>
        <v>1</v>
      </c>
      <c r="Y266" s="267">
        <f t="shared" si="190"/>
        <v>1</v>
      </c>
      <c r="Z266" s="267">
        <f t="shared" si="190"/>
        <v>1</v>
      </c>
      <c r="AA266" s="267">
        <f t="shared" si="190"/>
        <v>1</v>
      </c>
      <c r="AB266" s="267">
        <f t="shared" si="190"/>
        <v>1</v>
      </c>
      <c r="AC266" s="267">
        <f t="shared" si="190"/>
        <v>1</v>
      </c>
      <c r="AD266" s="267">
        <f t="shared" si="190"/>
        <v>1</v>
      </c>
      <c r="AE266" s="267">
        <f t="shared" si="190"/>
        <v>1</v>
      </c>
      <c r="AF266" s="267">
        <f t="shared" si="190"/>
        <v>1</v>
      </c>
      <c r="AG266" s="246">
        <v>1</v>
      </c>
      <c r="AI266" s="266"/>
      <c r="AJ266" t="s">
        <v>1470</v>
      </c>
    </row>
    <row r="267" spans="1:36" s="1" customFormat="1" outlineLevel="1">
      <c r="A267" t="s">
        <v>652</v>
      </c>
      <c r="B267" s="252" t="s">
        <v>126</v>
      </c>
      <c r="C267" s="246">
        <v>0.8</v>
      </c>
      <c r="D267" s="267">
        <f t="shared" si="189"/>
        <v>0.80333333333333334</v>
      </c>
      <c r="E267" s="267">
        <f t="shared" si="189"/>
        <v>0.80666666666666664</v>
      </c>
      <c r="F267" s="267">
        <f t="shared" si="189"/>
        <v>0.80999999999999994</v>
      </c>
      <c r="G267" s="267">
        <f t="shared" si="189"/>
        <v>0.81333333333333324</v>
      </c>
      <c r="H267" s="267">
        <f t="shared" si="189"/>
        <v>0.81666666666666654</v>
      </c>
      <c r="I267" s="267">
        <f t="shared" si="189"/>
        <v>0.81999999999999984</v>
      </c>
      <c r="J267" s="267">
        <f t="shared" si="189"/>
        <v>0.82333333333333314</v>
      </c>
      <c r="K267" s="267">
        <f t="shared" si="189"/>
        <v>0.82666666666666644</v>
      </c>
      <c r="L267" s="267">
        <f t="shared" si="189"/>
        <v>0.82999999999999974</v>
      </c>
      <c r="M267" s="267">
        <f t="shared" si="189"/>
        <v>0.83333333333333304</v>
      </c>
      <c r="N267" s="267">
        <f t="shared" si="189"/>
        <v>0.83666666666666634</v>
      </c>
      <c r="O267" s="267">
        <f t="shared" si="189"/>
        <v>0.83999999999999964</v>
      </c>
      <c r="P267" s="267">
        <f t="shared" si="189"/>
        <v>0.84333333333333294</v>
      </c>
      <c r="Q267" s="267">
        <f t="shared" si="189"/>
        <v>0.84666666666666623</v>
      </c>
      <c r="R267" s="267">
        <f t="shared" si="189"/>
        <v>0.84999999999999953</v>
      </c>
      <c r="S267" s="267">
        <f t="shared" si="189"/>
        <v>0.85333333333333283</v>
      </c>
      <c r="T267" s="267">
        <f t="shared" si="190"/>
        <v>0.85666666666666613</v>
      </c>
      <c r="U267" s="267">
        <f t="shared" si="190"/>
        <v>0.85999999999999943</v>
      </c>
      <c r="V267" s="267">
        <f t="shared" si="190"/>
        <v>0.86333333333333273</v>
      </c>
      <c r="W267" s="267">
        <f t="shared" si="190"/>
        <v>0.86666666666666603</v>
      </c>
      <c r="X267" s="267">
        <f t="shared" si="190"/>
        <v>0.86999999999999933</v>
      </c>
      <c r="Y267" s="267">
        <f t="shared" si="190"/>
        <v>0.87333333333333263</v>
      </c>
      <c r="Z267" s="267">
        <f t="shared" si="190"/>
        <v>0.87666666666666593</v>
      </c>
      <c r="AA267" s="267">
        <f t="shared" si="190"/>
        <v>0.87999999999999923</v>
      </c>
      <c r="AB267" s="267">
        <f t="shared" si="190"/>
        <v>0.88333333333333253</v>
      </c>
      <c r="AC267" s="267">
        <f t="shared" si="190"/>
        <v>0.88666666666666583</v>
      </c>
      <c r="AD267" s="267">
        <f t="shared" si="190"/>
        <v>0.88999999999999913</v>
      </c>
      <c r="AE267" s="267">
        <f t="shared" si="190"/>
        <v>0.89333333333333242</v>
      </c>
      <c r="AF267" s="267">
        <f t="shared" si="190"/>
        <v>0.89666666666666572</v>
      </c>
      <c r="AG267" s="246">
        <v>0.9</v>
      </c>
      <c r="AI267" s="266"/>
      <c r="AJ267" t="s">
        <v>1470</v>
      </c>
    </row>
    <row r="268" spans="1:36" s="1" customFormat="1" outlineLevel="1">
      <c r="A268" t="s">
        <v>653</v>
      </c>
      <c r="B268" s="252" t="s">
        <v>126</v>
      </c>
      <c r="C268" s="246">
        <v>0.2</v>
      </c>
      <c r="D268" s="267">
        <f t="shared" si="189"/>
        <v>0.19666666666666668</v>
      </c>
      <c r="E268" s="267">
        <f t="shared" si="189"/>
        <v>0.19333333333333336</v>
      </c>
      <c r="F268" s="267">
        <f t="shared" si="189"/>
        <v>0.19000000000000003</v>
      </c>
      <c r="G268" s="267">
        <f t="shared" si="189"/>
        <v>0.1866666666666667</v>
      </c>
      <c r="H268" s="267">
        <f t="shared" si="189"/>
        <v>0.18333333333333338</v>
      </c>
      <c r="I268" s="267">
        <f t="shared" si="189"/>
        <v>0.18000000000000005</v>
      </c>
      <c r="J268" s="267">
        <f t="shared" si="189"/>
        <v>0.17666666666666672</v>
      </c>
      <c r="K268" s="267">
        <f t="shared" si="189"/>
        <v>0.17333333333333339</v>
      </c>
      <c r="L268" s="267">
        <f t="shared" si="189"/>
        <v>0.17000000000000007</v>
      </c>
      <c r="M268" s="267">
        <f t="shared" si="189"/>
        <v>0.16666666666666674</v>
      </c>
      <c r="N268" s="267">
        <f t="shared" si="189"/>
        <v>0.16333333333333341</v>
      </c>
      <c r="O268" s="267">
        <f t="shared" si="189"/>
        <v>0.16000000000000009</v>
      </c>
      <c r="P268" s="267">
        <f t="shared" si="189"/>
        <v>0.15666666666666676</v>
      </c>
      <c r="Q268" s="267">
        <f t="shared" si="189"/>
        <v>0.15333333333333343</v>
      </c>
      <c r="R268" s="267">
        <f t="shared" si="189"/>
        <v>0.15000000000000011</v>
      </c>
      <c r="S268" s="267">
        <f t="shared" si="189"/>
        <v>0.14666666666666678</v>
      </c>
      <c r="T268" s="267">
        <f t="shared" si="190"/>
        <v>0.14333333333333345</v>
      </c>
      <c r="U268" s="267">
        <f t="shared" si="190"/>
        <v>0.14000000000000012</v>
      </c>
      <c r="V268" s="267">
        <f t="shared" si="190"/>
        <v>0.1366666666666668</v>
      </c>
      <c r="W268" s="267">
        <f t="shared" si="190"/>
        <v>0.13333333333333347</v>
      </c>
      <c r="X268" s="267">
        <f t="shared" si="190"/>
        <v>0.13000000000000014</v>
      </c>
      <c r="Y268" s="267">
        <f t="shared" si="190"/>
        <v>0.12666666666666682</v>
      </c>
      <c r="Z268" s="267">
        <f t="shared" si="190"/>
        <v>0.12333333333333349</v>
      </c>
      <c r="AA268" s="267">
        <f t="shared" si="190"/>
        <v>0.12000000000000016</v>
      </c>
      <c r="AB268" s="267">
        <f t="shared" si="190"/>
        <v>0.11666666666666684</v>
      </c>
      <c r="AC268" s="267">
        <f t="shared" si="190"/>
        <v>0.11333333333333351</v>
      </c>
      <c r="AD268" s="267">
        <f t="shared" si="190"/>
        <v>0.11000000000000018</v>
      </c>
      <c r="AE268" s="267">
        <f t="shared" si="190"/>
        <v>0.10666666666666685</v>
      </c>
      <c r="AF268" s="267">
        <f t="shared" si="190"/>
        <v>0.10333333333333353</v>
      </c>
      <c r="AG268" s="246">
        <v>0.1</v>
      </c>
      <c r="AI268" s="266"/>
      <c r="AJ268" t="s">
        <v>1470</v>
      </c>
    </row>
    <row r="269" spans="1:36" s="1" customFormat="1" outlineLevel="1">
      <c r="A269" t="s">
        <v>663</v>
      </c>
      <c r="B269" s="252" t="s">
        <v>126</v>
      </c>
      <c r="C269" s="246">
        <v>0.95</v>
      </c>
      <c r="D269" s="267">
        <f t="shared" si="189"/>
        <v>0.94866666666666666</v>
      </c>
      <c r="E269" s="267">
        <f t="shared" si="189"/>
        <v>0.94733333333333336</v>
      </c>
      <c r="F269" s="267">
        <f t="shared" si="189"/>
        <v>0.94600000000000006</v>
      </c>
      <c r="G269" s="267">
        <f t="shared" si="189"/>
        <v>0.94466666666666677</v>
      </c>
      <c r="H269" s="267">
        <f t="shared" si="189"/>
        <v>0.94333333333333347</v>
      </c>
      <c r="I269" s="267">
        <f t="shared" si="189"/>
        <v>0.94200000000000017</v>
      </c>
      <c r="J269" s="267">
        <f t="shared" si="189"/>
        <v>0.94066666666666687</v>
      </c>
      <c r="K269" s="267">
        <f t="shared" si="189"/>
        <v>0.93933333333333358</v>
      </c>
      <c r="L269" s="267">
        <f t="shared" si="189"/>
        <v>0.93800000000000028</v>
      </c>
      <c r="M269" s="267">
        <f t="shared" si="189"/>
        <v>0.93666666666666698</v>
      </c>
      <c r="N269" s="267">
        <f t="shared" si="189"/>
        <v>0.93533333333333368</v>
      </c>
      <c r="O269" s="267">
        <f t="shared" si="189"/>
        <v>0.93400000000000039</v>
      </c>
      <c r="P269" s="267">
        <f t="shared" si="189"/>
        <v>0.93266666666666709</v>
      </c>
      <c r="Q269" s="267">
        <f t="shared" si="189"/>
        <v>0.93133333333333379</v>
      </c>
      <c r="R269" s="267">
        <f t="shared" si="189"/>
        <v>0.93000000000000049</v>
      </c>
      <c r="S269" s="267">
        <f t="shared" si="189"/>
        <v>0.9286666666666672</v>
      </c>
      <c r="T269" s="267">
        <f t="shared" si="190"/>
        <v>0.9273333333333339</v>
      </c>
      <c r="U269" s="267">
        <f t="shared" si="190"/>
        <v>0.9260000000000006</v>
      </c>
      <c r="V269" s="267">
        <f t="shared" si="190"/>
        <v>0.9246666666666673</v>
      </c>
      <c r="W269" s="267">
        <f t="shared" si="190"/>
        <v>0.92333333333333401</v>
      </c>
      <c r="X269" s="267">
        <f t="shared" si="190"/>
        <v>0.92200000000000071</v>
      </c>
      <c r="Y269" s="267">
        <f t="shared" si="190"/>
        <v>0.92066666666666741</v>
      </c>
      <c r="Z269" s="267">
        <f t="shared" si="190"/>
        <v>0.91933333333333411</v>
      </c>
      <c r="AA269" s="267">
        <f t="shared" si="190"/>
        <v>0.91800000000000082</v>
      </c>
      <c r="AB269" s="267">
        <f t="shared" si="190"/>
        <v>0.91666666666666752</v>
      </c>
      <c r="AC269" s="267">
        <f t="shared" si="190"/>
        <v>0.91533333333333422</v>
      </c>
      <c r="AD269" s="267">
        <f t="shared" si="190"/>
        <v>0.91400000000000092</v>
      </c>
      <c r="AE269" s="267">
        <f t="shared" si="190"/>
        <v>0.91266666666666763</v>
      </c>
      <c r="AF269" s="267">
        <f t="shared" si="190"/>
        <v>0.91133333333333433</v>
      </c>
      <c r="AG269" s="246">
        <v>0.91</v>
      </c>
      <c r="AI269" s="266"/>
      <c r="AJ269" t="s">
        <v>1470</v>
      </c>
    </row>
    <row r="270" spans="1:36" s="1" customFormat="1" outlineLevel="1">
      <c r="A270" t="s">
        <v>664</v>
      </c>
      <c r="B270" s="252" t="s">
        <v>126</v>
      </c>
      <c r="C270" s="246">
        <v>0.05</v>
      </c>
      <c r="D270" s="267">
        <f t="shared" si="189"/>
        <v>5.1333333333333335E-2</v>
      </c>
      <c r="E270" s="267">
        <f t="shared" si="189"/>
        <v>5.2666666666666667E-2</v>
      </c>
      <c r="F270" s="267">
        <f t="shared" si="189"/>
        <v>5.3999999999999999E-2</v>
      </c>
      <c r="G270" s="267">
        <f t="shared" si="189"/>
        <v>5.5333333333333332E-2</v>
      </c>
      <c r="H270" s="267">
        <f t="shared" si="189"/>
        <v>5.6666666666666664E-2</v>
      </c>
      <c r="I270" s="267">
        <f t="shared" si="189"/>
        <v>5.7999999999999996E-2</v>
      </c>
      <c r="J270" s="267">
        <f t="shared" si="189"/>
        <v>5.9333333333333328E-2</v>
      </c>
      <c r="K270" s="267">
        <f t="shared" si="189"/>
        <v>6.066666666666666E-2</v>
      </c>
      <c r="L270" s="267">
        <f t="shared" si="189"/>
        <v>6.1999999999999993E-2</v>
      </c>
      <c r="M270" s="267">
        <f t="shared" si="189"/>
        <v>6.3333333333333325E-2</v>
      </c>
      <c r="N270" s="267">
        <f t="shared" si="189"/>
        <v>6.4666666666666664E-2</v>
      </c>
      <c r="O270" s="267">
        <f t="shared" si="189"/>
        <v>6.6000000000000003E-2</v>
      </c>
      <c r="P270" s="267">
        <f t="shared" si="189"/>
        <v>6.7333333333333342E-2</v>
      </c>
      <c r="Q270" s="267">
        <f t="shared" si="189"/>
        <v>6.8666666666666681E-2</v>
      </c>
      <c r="R270" s="267">
        <f t="shared" si="189"/>
        <v>7.0000000000000021E-2</v>
      </c>
      <c r="S270" s="267">
        <f t="shared" si="189"/>
        <v>7.133333333333336E-2</v>
      </c>
      <c r="T270" s="267">
        <f t="shared" si="190"/>
        <v>7.2666666666666699E-2</v>
      </c>
      <c r="U270" s="267">
        <f t="shared" si="190"/>
        <v>7.4000000000000038E-2</v>
      </c>
      <c r="V270" s="267">
        <f t="shared" si="190"/>
        <v>7.5333333333333377E-2</v>
      </c>
      <c r="W270" s="267">
        <f t="shared" si="190"/>
        <v>7.6666666666666716E-2</v>
      </c>
      <c r="X270" s="267">
        <f t="shared" si="190"/>
        <v>7.8000000000000055E-2</v>
      </c>
      <c r="Y270" s="267">
        <f t="shared" si="190"/>
        <v>7.9333333333333395E-2</v>
      </c>
      <c r="Z270" s="267">
        <f t="shared" si="190"/>
        <v>8.0666666666666734E-2</v>
      </c>
      <c r="AA270" s="267">
        <f t="shared" si="190"/>
        <v>8.2000000000000073E-2</v>
      </c>
      <c r="AB270" s="267">
        <f t="shared" si="190"/>
        <v>8.3333333333333412E-2</v>
      </c>
      <c r="AC270" s="267">
        <f t="shared" si="190"/>
        <v>8.4666666666666751E-2</v>
      </c>
      <c r="AD270" s="267">
        <f t="shared" si="190"/>
        <v>8.600000000000009E-2</v>
      </c>
      <c r="AE270" s="267">
        <f t="shared" si="190"/>
        <v>8.7333333333333429E-2</v>
      </c>
      <c r="AF270" s="267">
        <f t="shared" si="190"/>
        <v>8.8666666666666769E-2</v>
      </c>
      <c r="AG270" s="246">
        <v>0.09</v>
      </c>
      <c r="AI270" s="266"/>
      <c r="AJ270" t="s">
        <v>1470</v>
      </c>
    </row>
    <row r="271" spans="1:36" s="1" customFormat="1" outlineLevel="1">
      <c r="A271" t="s">
        <v>666</v>
      </c>
      <c r="B271" s="252"/>
      <c r="C271" s="246">
        <v>0.27</v>
      </c>
      <c r="D271" s="267">
        <f t="shared" si="189"/>
        <v>0.26600000000000001</v>
      </c>
      <c r="E271" s="267">
        <f t="shared" si="189"/>
        <v>0.26200000000000001</v>
      </c>
      <c r="F271" s="267">
        <f t="shared" si="189"/>
        <v>0.25800000000000001</v>
      </c>
      <c r="G271" s="267">
        <f t="shared" si="189"/>
        <v>0.254</v>
      </c>
      <c r="H271" s="267">
        <f t="shared" si="189"/>
        <v>0.25</v>
      </c>
      <c r="I271" s="267">
        <f t="shared" si="189"/>
        <v>0.246</v>
      </c>
      <c r="J271" s="267">
        <f t="shared" si="189"/>
        <v>0.24199999999999999</v>
      </c>
      <c r="K271" s="267">
        <f t="shared" si="189"/>
        <v>0.23799999999999999</v>
      </c>
      <c r="L271" s="267">
        <f t="shared" si="189"/>
        <v>0.23399999999999999</v>
      </c>
      <c r="M271" s="267">
        <f t="shared" si="189"/>
        <v>0.22999999999999998</v>
      </c>
      <c r="N271" s="267">
        <f t="shared" si="189"/>
        <v>0.22599999999999998</v>
      </c>
      <c r="O271" s="267">
        <f t="shared" si="189"/>
        <v>0.22199999999999998</v>
      </c>
      <c r="P271" s="267">
        <f t="shared" si="189"/>
        <v>0.21799999999999997</v>
      </c>
      <c r="Q271" s="267">
        <f t="shared" si="189"/>
        <v>0.21399999999999997</v>
      </c>
      <c r="R271" s="267">
        <f t="shared" si="189"/>
        <v>0.20999999999999996</v>
      </c>
      <c r="S271" s="267">
        <f t="shared" si="189"/>
        <v>0.20599999999999996</v>
      </c>
      <c r="T271" s="267">
        <f t="shared" si="190"/>
        <v>0.20199999999999996</v>
      </c>
      <c r="U271" s="267">
        <f t="shared" si="190"/>
        <v>0.19799999999999995</v>
      </c>
      <c r="V271" s="267">
        <f t="shared" si="190"/>
        <v>0.19399999999999995</v>
      </c>
      <c r="W271" s="267">
        <f t="shared" si="190"/>
        <v>0.18999999999999995</v>
      </c>
      <c r="X271" s="267">
        <f t="shared" si="190"/>
        <v>0.18599999999999994</v>
      </c>
      <c r="Y271" s="267">
        <f t="shared" si="190"/>
        <v>0.18199999999999994</v>
      </c>
      <c r="Z271" s="267">
        <f t="shared" si="190"/>
        <v>0.17799999999999994</v>
      </c>
      <c r="AA271" s="267">
        <f t="shared" si="190"/>
        <v>0.17399999999999993</v>
      </c>
      <c r="AB271" s="267">
        <f t="shared" si="190"/>
        <v>0.16999999999999993</v>
      </c>
      <c r="AC271" s="267">
        <f t="shared" si="190"/>
        <v>0.16599999999999993</v>
      </c>
      <c r="AD271" s="267">
        <f t="shared" si="190"/>
        <v>0.16199999999999992</v>
      </c>
      <c r="AE271" s="267">
        <f t="shared" si="190"/>
        <v>0.15799999999999992</v>
      </c>
      <c r="AF271" s="267">
        <f t="shared" si="190"/>
        <v>0.15399999999999991</v>
      </c>
      <c r="AG271" s="246">
        <v>0.15</v>
      </c>
      <c r="AI271" s="266"/>
      <c r="AJ271" t="s">
        <v>1470</v>
      </c>
    </row>
    <row r="272" spans="1:36" s="61" customFormat="1" outlineLevel="1">
      <c r="A272" s="294" t="s">
        <v>657</v>
      </c>
      <c r="B272" s="258" t="s">
        <v>126</v>
      </c>
      <c r="C272" s="255">
        <f>1-SUM(C273:C277)</f>
        <v>0.97</v>
      </c>
      <c r="D272" s="287">
        <f t="shared" ref="D272:S273" si="191">-($C272-$AG272)/30+C272</f>
        <v>0.97033333333333327</v>
      </c>
      <c r="E272" s="287">
        <f t="shared" si="191"/>
        <v>0.97066666666666657</v>
      </c>
      <c r="F272" s="287">
        <f t="shared" si="191"/>
        <v>0.97099999999999986</v>
      </c>
      <c r="G272" s="287">
        <f t="shared" si="191"/>
        <v>0.97133333333333316</v>
      </c>
      <c r="H272" s="287">
        <f t="shared" si="191"/>
        <v>0.97166666666666646</v>
      </c>
      <c r="I272" s="287">
        <f t="shared" si="191"/>
        <v>0.97199999999999975</v>
      </c>
      <c r="J272" s="287">
        <f t="shared" si="191"/>
        <v>0.97233333333333305</v>
      </c>
      <c r="K272" s="287">
        <f t="shared" si="191"/>
        <v>0.97266666666666635</v>
      </c>
      <c r="L272" s="287">
        <f t="shared" si="191"/>
        <v>0.97299999999999964</v>
      </c>
      <c r="M272" s="287">
        <f t="shared" si="191"/>
        <v>0.97333333333333294</v>
      </c>
      <c r="N272" s="287">
        <f t="shared" si="191"/>
        <v>0.97366666666666624</v>
      </c>
      <c r="O272" s="287">
        <f t="shared" si="191"/>
        <v>0.97399999999999953</v>
      </c>
      <c r="P272" s="287">
        <f t="shared" si="191"/>
        <v>0.97433333333333283</v>
      </c>
      <c r="Q272" s="287">
        <f t="shared" si="191"/>
        <v>0.97466666666666613</v>
      </c>
      <c r="R272" s="287">
        <f t="shared" si="191"/>
        <v>0.97499999999999942</v>
      </c>
      <c r="S272" s="287">
        <f t="shared" si="191"/>
        <v>0.97533333333333272</v>
      </c>
      <c r="T272" s="287">
        <f t="shared" si="190"/>
        <v>0.97566666666666602</v>
      </c>
      <c r="U272" s="287">
        <f t="shared" si="190"/>
        <v>0.97599999999999931</v>
      </c>
      <c r="V272" s="287">
        <f t="shared" si="190"/>
        <v>0.97633333333333261</v>
      </c>
      <c r="W272" s="287">
        <f t="shared" si="190"/>
        <v>0.97666666666666591</v>
      </c>
      <c r="X272" s="287">
        <f t="shared" si="190"/>
        <v>0.9769999999999992</v>
      </c>
      <c r="Y272" s="287">
        <f t="shared" si="190"/>
        <v>0.9773333333333325</v>
      </c>
      <c r="Z272" s="287">
        <f t="shared" si="190"/>
        <v>0.9776666666666658</v>
      </c>
      <c r="AA272" s="287">
        <f t="shared" si="190"/>
        <v>0.97799999999999909</v>
      </c>
      <c r="AB272" s="287">
        <f t="shared" si="190"/>
        <v>0.97833333333333239</v>
      </c>
      <c r="AC272" s="287">
        <f t="shared" si="190"/>
        <v>0.97866666666666569</v>
      </c>
      <c r="AD272" s="287">
        <f t="shared" si="190"/>
        <v>0.97899999999999898</v>
      </c>
      <c r="AE272" s="287">
        <f t="shared" si="190"/>
        <v>0.97933333333333228</v>
      </c>
      <c r="AF272" s="287">
        <f t="shared" si="190"/>
        <v>0.97966666666666558</v>
      </c>
      <c r="AG272" s="255">
        <f>1-SUM(AG273:AG277)</f>
        <v>0.98</v>
      </c>
      <c r="AH272"/>
      <c r="AI272" s="188"/>
      <c r="AJ272" t="s">
        <v>1470</v>
      </c>
    </row>
    <row r="273" spans="1:36" outlineLevel="1">
      <c r="A273" s="295" t="s">
        <v>658</v>
      </c>
      <c r="B273" s="252" t="s">
        <v>126</v>
      </c>
      <c r="C273" s="266">
        <v>0.01</v>
      </c>
      <c r="D273" s="267">
        <f t="shared" si="191"/>
        <v>0.01</v>
      </c>
      <c r="E273" s="267">
        <f t="shared" si="191"/>
        <v>0.01</v>
      </c>
      <c r="F273" s="267">
        <f t="shared" si="191"/>
        <v>0.01</v>
      </c>
      <c r="G273" s="267">
        <f t="shared" si="191"/>
        <v>0.01</v>
      </c>
      <c r="H273" s="267">
        <f t="shared" si="191"/>
        <v>0.01</v>
      </c>
      <c r="I273" s="267">
        <f t="shared" si="191"/>
        <v>0.01</v>
      </c>
      <c r="J273" s="267">
        <f t="shared" si="191"/>
        <v>0.01</v>
      </c>
      <c r="K273" s="267">
        <f t="shared" si="191"/>
        <v>0.01</v>
      </c>
      <c r="L273" s="267">
        <f t="shared" si="191"/>
        <v>0.01</v>
      </c>
      <c r="M273" s="267">
        <f t="shared" si="191"/>
        <v>0.01</v>
      </c>
      <c r="N273" s="267">
        <f t="shared" si="191"/>
        <v>0.01</v>
      </c>
      <c r="O273" s="267">
        <f t="shared" si="191"/>
        <v>0.01</v>
      </c>
      <c r="P273" s="267">
        <f t="shared" si="191"/>
        <v>0.01</v>
      </c>
      <c r="Q273" s="267">
        <f t="shared" si="191"/>
        <v>0.01</v>
      </c>
      <c r="R273" s="267">
        <f t="shared" si="191"/>
        <v>0.01</v>
      </c>
      <c r="S273" s="267">
        <f t="shared" si="191"/>
        <v>0.01</v>
      </c>
      <c r="T273" s="267">
        <f t="shared" si="190"/>
        <v>0.01</v>
      </c>
      <c r="U273" s="267">
        <f t="shared" si="190"/>
        <v>0.01</v>
      </c>
      <c r="V273" s="267">
        <f t="shared" si="190"/>
        <v>0.01</v>
      </c>
      <c r="W273" s="267">
        <f t="shared" si="190"/>
        <v>0.01</v>
      </c>
      <c r="X273" s="267">
        <f t="shared" si="190"/>
        <v>0.01</v>
      </c>
      <c r="Y273" s="267">
        <f t="shared" si="190"/>
        <v>0.01</v>
      </c>
      <c r="Z273" s="267">
        <f t="shared" si="190"/>
        <v>0.01</v>
      </c>
      <c r="AA273" s="267">
        <f t="shared" si="190"/>
        <v>0.01</v>
      </c>
      <c r="AB273" s="267">
        <f t="shared" si="190"/>
        <v>0.01</v>
      </c>
      <c r="AC273" s="267">
        <f t="shared" si="190"/>
        <v>0.01</v>
      </c>
      <c r="AD273" s="267">
        <f t="shared" si="190"/>
        <v>0.01</v>
      </c>
      <c r="AE273" s="267">
        <f t="shared" si="190"/>
        <v>0.01</v>
      </c>
      <c r="AF273" s="267">
        <f t="shared" si="190"/>
        <v>0.01</v>
      </c>
      <c r="AG273" s="266">
        <v>0.01</v>
      </c>
      <c r="AI273" s="188"/>
      <c r="AJ273" s="271" t="s">
        <v>1469</v>
      </c>
    </row>
    <row r="274" spans="1:36" outlineLevel="1">
      <c r="A274" s="295" t="s">
        <v>659</v>
      </c>
      <c r="B274" s="252" t="s">
        <v>126</v>
      </c>
      <c r="C274" s="562">
        <v>0</v>
      </c>
      <c r="D274" s="267">
        <f t="shared" si="189"/>
        <v>0</v>
      </c>
      <c r="E274" s="267">
        <f t="shared" si="189"/>
        <v>0</v>
      </c>
      <c r="F274" s="267">
        <f t="shared" si="189"/>
        <v>0</v>
      </c>
      <c r="G274" s="267">
        <f t="shared" si="189"/>
        <v>0</v>
      </c>
      <c r="H274" s="267">
        <f t="shared" si="189"/>
        <v>0</v>
      </c>
      <c r="I274" s="267">
        <f t="shared" si="189"/>
        <v>0</v>
      </c>
      <c r="J274" s="267">
        <f t="shared" si="189"/>
        <v>0</v>
      </c>
      <c r="K274" s="267">
        <f t="shared" si="189"/>
        <v>0</v>
      </c>
      <c r="L274" s="267">
        <f t="shared" si="189"/>
        <v>0</v>
      </c>
      <c r="M274" s="267">
        <f t="shared" si="189"/>
        <v>0</v>
      </c>
      <c r="N274" s="267">
        <f t="shared" si="189"/>
        <v>0</v>
      </c>
      <c r="O274" s="267">
        <f t="shared" si="189"/>
        <v>0</v>
      </c>
      <c r="P274" s="267">
        <f t="shared" si="189"/>
        <v>0</v>
      </c>
      <c r="Q274" s="267">
        <f t="shared" si="189"/>
        <v>0</v>
      </c>
      <c r="R274" s="267">
        <f t="shared" si="189"/>
        <v>0</v>
      </c>
      <c r="S274" s="267">
        <f t="shared" si="189"/>
        <v>0</v>
      </c>
      <c r="T274" s="267">
        <f t="shared" si="190"/>
        <v>0</v>
      </c>
      <c r="U274" s="267">
        <f t="shared" si="190"/>
        <v>0</v>
      </c>
      <c r="V274" s="267">
        <f t="shared" si="190"/>
        <v>0</v>
      </c>
      <c r="W274" s="267">
        <f t="shared" si="190"/>
        <v>0</v>
      </c>
      <c r="X274" s="267">
        <f t="shared" si="190"/>
        <v>0</v>
      </c>
      <c r="Y274" s="267">
        <f t="shared" si="190"/>
        <v>0</v>
      </c>
      <c r="Z274" s="267">
        <f t="shared" si="190"/>
        <v>0</v>
      </c>
      <c r="AA274" s="267">
        <f t="shared" si="190"/>
        <v>0</v>
      </c>
      <c r="AB274" s="267">
        <f t="shared" si="190"/>
        <v>0</v>
      </c>
      <c r="AC274" s="267">
        <f t="shared" si="190"/>
        <v>0</v>
      </c>
      <c r="AD274" s="267">
        <f t="shared" si="190"/>
        <v>0</v>
      </c>
      <c r="AE274" s="267">
        <f t="shared" si="190"/>
        <v>0</v>
      </c>
      <c r="AF274" s="267">
        <f t="shared" si="190"/>
        <v>0</v>
      </c>
      <c r="AG274" s="562">
        <v>0</v>
      </c>
      <c r="AI274" s="246"/>
      <c r="AJ274" t="s">
        <v>1470</v>
      </c>
    </row>
    <row r="275" spans="1:36" outlineLevel="1">
      <c r="A275" s="295" t="s">
        <v>660</v>
      </c>
      <c r="B275" s="252" t="s">
        <v>126</v>
      </c>
      <c r="C275" s="562">
        <v>0</v>
      </c>
      <c r="D275" s="267">
        <f t="shared" si="189"/>
        <v>0</v>
      </c>
      <c r="E275" s="267">
        <f t="shared" si="189"/>
        <v>0</v>
      </c>
      <c r="F275" s="267">
        <f t="shared" si="189"/>
        <v>0</v>
      </c>
      <c r="G275" s="267">
        <f t="shared" si="189"/>
        <v>0</v>
      </c>
      <c r="H275" s="267">
        <f t="shared" si="189"/>
        <v>0</v>
      </c>
      <c r="I275" s="267">
        <f t="shared" si="189"/>
        <v>0</v>
      </c>
      <c r="J275" s="267">
        <f t="shared" si="189"/>
        <v>0</v>
      </c>
      <c r="K275" s="267">
        <f t="shared" si="189"/>
        <v>0</v>
      </c>
      <c r="L275" s="267">
        <f t="shared" si="189"/>
        <v>0</v>
      </c>
      <c r="M275" s="267">
        <f t="shared" si="189"/>
        <v>0</v>
      </c>
      <c r="N275" s="267">
        <f t="shared" si="189"/>
        <v>0</v>
      </c>
      <c r="O275" s="267">
        <f t="shared" si="189"/>
        <v>0</v>
      </c>
      <c r="P275" s="267">
        <f t="shared" si="189"/>
        <v>0</v>
      </c>
      <c r="Q275" s="267">
        <f t="shared" si="189"/>
        <v>0</v>
      </c>
      <c r="R275" s="267">
        <f t="shared" si="189"/>
        <v>0</v>
      </c>
      <c r="S275" s="267">
        <f t="shared" si="189"/>
        <v>0</v>
      </c>
      <c r="T275" s="267">
        <f t="shared" si="190"/>
        <v>0</v>
      </c>
      <c r="U275" s="267">
        <f t="shared" si="190"/>
        <v>0</v>
      </c>
      <c r="V275" s="267">
        <f t="shared" si="190"/>
        <v>0</v>
      </c>
      <c r="W275" s="267">
        <f t="shared" si="190"/>
        <v>0</v>
      </c>
      <c r="X275" s="267">
        <f t="shared" si="190"/>
        <v>0</v>
      </c>
      <c r="Y275" s="267">
        <f t="shared" si="190"/>
        <v>0</v>
      </c>
      <c r="Z275" s="267">
        <f t="shared" si="190"/>
        <v>0</v>
      </c>
      <c r="AA275" s="267">
        <f t="shared" si="190"/>
        <v>0</v>
      </c>
      <c r="AB275" s="267">
        <f t="shared" si="190"/>
        <v>0</v>
      </c>
      <c r="AC275" s="267">
        <f t="shared" si="190"/>
        <v>0</v>
      </c>
      <c r="AD275" s="267">
        <f t="shared" si="190"/>
        <v>0</v>
      </c>
      <c r="AE275" s="267">
        <f t="shared" si="190"/>
        <v>0</v>
      </c>
      <c r="AF275" s="267">
        <f t="shared" si="190"/>
        <v>0</v>
      </c>
      <c r="AG275" s="562">
        <v>0</v>
      </c>
      <c r="AI275" s="246"/>
      <c r="AJ275" t="s">
        <v>1470</v>
      </c>
    </row>
    <row r="276" spans="1:36" outlineLevel="1">
      <c r="A276" s="295" t="s">
        <v>661</v>
      </c>
      <c r="B276" s="252" t="s">
        <v>126</v>
      </c>
      <c r="C276" s="562">
        <v>1.4999999999999999E-2</v>
      </c>
      <c r="D276" s="267">
        <f t="shared" si="189"/>
        <v>1.4733333333333333E-2</v>
      </c>
      <c r="E276" s="267">
        <f t="shared" si="189"/>
        <v>1.4466666666666666E-2</v>
      </c>
      <c r="F276" s="267">
        <f t="shared" si="189"/>
        <v>1.4199999999999999E-2</v>
      </c>
      <c r="G276" s="267">
        <f t="shared" si="189"/>
        <v>1.3933333333333332E-2</v>
      </c>
      <c r="H276" s="267">
        <f t="shared" si="189"/>
        <v>1.3666666666666666E-2</v>
      </c>
      <c r="I276" s="267">
        <f t="shared" si="189"/>
        <v>1.3399999999999999E-2</v>
      </c>
      <c r="J276" s="267">
        <f t="shared" si="189"/>
        <v>1.3133333333333332E-2</v>
      </c>
      <c r="K276" s="267">
        <f t="shared" si="189"/>
        <v>1.2866666666666665E-2</v>
      </c>
      <c r="L276" s="267">
        <f t="shared" si="189"/>
        <v>1.2599999999999998E-2</v>
      </c>
      <c r="M276" s="267">
        <f t="shared" si="189"/>
        <v>1.2333333333333332E-2</v>
      </c>
      <c r="N276" s="267">
        <f t="shared" si="189"/>
        <v>1.2066666666666665E-2</v>
      </c>
      <c r="O276" s="267">
        <f t="shared" si="189"/>
        <v>1.1799999999999998E-2</v>
      </c>
      <c r="P276" s="267">
        <f t="shared" si="189"/>
        <v>1.1533333333333331E-2</v>
      </c>
      <c r="Q276" s="267">
        <f t="shared" si="189"/>
        <v>1.1266666666666664E-2</v>
      </c>
      <c r="R276" s="267">
        <f t="shared" si="189"/>
        <v>1.0999999999999998E-2</v>
      </c>
      <c r="S276" s="267">
        <f t="shared" ref="S276:AF276" si="192">-($C276-$AG276)/30+R276</f>
        <v>1.0733333333333331E-2</v>
      </c>
      <c r="T276" s="267">
        <f t="shared" si="192"/>
        <v>1.0466666666666664E-2</v>
      </c>
      <c r="U276" s="267">
        <f t="shared" si="192"/>
        <v>1.0199999999999997E-2</v>
      </c>
      <c r="V276" s="267">
        <f t="shared" si="192"/>
        <v>9.9333333333333305E-3</v>
      </c>
      <c r="W276" s="267">
        <f t="shared" si="192"/>
        <v>9.6666666666666637E-3</v>
      </c>
      <c r="X276" s="267">
        <f t="shared" si="192"/>
        <v>9.3999999999999969E-3</v>
      </c>
      <c r="Y276" s="267">
        <f t="shared" si="192"/>
        <v>9.1333333333333301E-3</v>
      </c>
      <c r="Z276" s="267">
        <f t="shared" si="192"/>
        <v>8.8666666666666633E-3</v>
      </c>
      <c r="AA276" s="267">
        <f t="shared" si="192"/>
        <v>8.5999999999999965E-3</v>
      </c>
      <c r="AB276" s="267">
        <f t="shared" si="192"/>
        <v>8.3333333333333297E-3</v>
      </c>
      <c r="AC276" s="267">
        <f t="shared" si="192"/>
        <v>8.066666666666663E-3</v>
      </c>
      <c r="AD276" s="267">
        <f t="shared" si="192"/>
        <v>7.7999999999999962E-3</v>
      </c>
      <c r="AE276" s="267">
        <f t="shared" si="192"/>
        <v>7.5333333333333294E-3</v>
      </c>
      <c r="AF276" s="267">
        <f t="shared" si="192"/>
        <v>7.2666666666666626E-3</v>
      </c>
      <c r="AG276" s="562">
        <v>7.0000000000000001E-3</v>
      </c>
      <c r="AI276" s="246"/>
      <c r="AJ276" t="s">
        <v>1470</v>
      </c>
    </row>
    <row r="277" spans="1:36" s="62" customFormat="1" outlineLevel="1">
      <c r="A277" s="296" t="s">
        <v>662</v>
      </c>
      <c r="B277" s="262" t="s">
        <v>126</v>
      </c>
      <c r="C277" s="564">
        <v>5.0000000000000001E-3</v>
      </c>
      <c r="D277" s="289">
        <f t="shared" ref="D277:AF277" si="193">-($C277-$AG277)/30+C277</f>
        <v>4.9333333333333338E-3</v>
      </c>
      <c r="E277" s="289">
        <f t="shared" si="193"/>
        <v>4.8666666666666676E-3</v>
      </c>
      <c r="F277" s="289">
        <f t="shared" si="193"/>
        <v>4.8000000000000013E-3</v>
      </c>
      <c r="G277" s="289">
        <f t="shared" si="193"/>
        <v>4.7333333333333351E-3</v>
      </c>
      <c r="H277" s="289">
        <f t="shared" si="193"/>
        <v>4.6666666666666688E-3</v>
      </c>
      <c r="I277" s="289">
        <f t="shared" si="193"/>
        <v>4.6000000000000025E-3</v>
      </c>
      <c r="J277" s="289">
        <f t="shared" si="193"/>
        <v>4.5333333333333363E-3</v>
      </c>
      <c r="K277" s="289">
        <f t="shared" si="193"/>
        <v>4.46666666666667E-3</v>
      </c>
      <c r="L277" s="289">
        <f t="shared" si="193"/>
        <v>4.4000000000000037E-3</v>
      </c>
      <c r="M277" s="289">
        <f t="shared" si="193"/>
        <v>4.3333333333333375E-3</v>
      </c>
      <c r="N277" s="289">
        <f t="shared" si="193"/>
        <v>4.2666666666666712E-3</v>
      </c>
      <c r="O277" s="289">
        <f t="shared" si="193"/>
        <v>4.2000000000000049E-3</v>
      </c>
      <c r="P277" s="289">
        <f t="shared" si="193"/>
        <v>4.1333333333333387E-3</v>
      </c>
      <c r="Q277" s="289">
        <f t="shared" si="193"/>
        <v>4.0666666666666724E-3</v>
      </c>
      <c r="R277" s="289">
        <f t="shared" si="193"/>
        <v>4.0000000000000062E-3</v>
      </c>
      <c r="S277" s="289">
        <f t="shared" si="193"/>
        <v>3.9333333333333399E-3</v>
      </c>
      <c r="T277" s="289">
        <f t="shared" si="193"/>
        <v>3.8666666666666732E-3</v>
      </c>
      <c r="U277" s="289">
        <f t="shared" si="193"/>
        <v>3.8000000000000065E-3</v>
      </c>
      <c r="V277" s="289">
        <f t="shared" si="193"/>
        <v>3.7333333333333398E-3</v>
      </c>
      <c r="W277" s="289">
        <f t="shared" si="193"/>
        <v>3.6666666666666731E-3</v>
      </c>
      <c r="X277" s="289">
        <f t="shared" si="193"/>
        <v>3.6000000000000064E-3</v>
      </c>
      <c r="Y277" s="289">
        <f t="shared" si="193"/>
        <v>3.5333333333333397E-3</v>
      </c>
      <c r="Z277" s="289">
        <f t="shared" si="193"/>
        <v>3.466666666666673E-3</v>
      </c>
      <c r="AA277" s="289">
        <f t="shared" si="193"/>
        <v>3.4000000000000063E-3</v>
      </c>
      <c r="AB277" s="289">
        <f t="shared" si="193"/>
        <v>3.3333333333333396E-3</v>
      </c>
      <c r="AC277" s="289">
        <f t="shared" si="193"/>
        <v>3.2666666666666729E-3</v>
      </c>
      <c r="AD277" s="289">
        <f t="shared" si="193"/>
        <v>3.2000000000000062E-3</v>
      </c>
      <c r="AE277" s="289">
        <f t="shared" si="193"/>
        <v>3.1333333333333395E-3</v>
      </c>
      <c r="AF277" s="289">
        <f t="shared" si="193"/>
        <v>3.0666666666666728E-3</v>
      </c>
      <c r="AG277" s="564">
        <v>3.0000000000000001E-3</v>
      </c>
      <c r="AI277" s="264"/>
      <c r="AJ277" t="s">
        <v>1470</v>
      </c>
    </row>
    <row r="278" spans="1:36" s="54" customFormat="1" outlineLevel="1">
      <c r="A278" s="54" t="s">
        <v>626</v>
      </c>
      <c r="B278" s="253"/>
      <c r="C278" s="254">
        <f>C29</f>
        <v>554002.75255072874</v>
      </c>
      <c r="D278" s="254">
        <f t="shared" ref="D278:AG278" si="194">D29</f>
        <v>552779.75002807355</v>
      </c>
      <c r="E278" s="254">
        <f t="shared" si="194"/>
        <v>551559.44737498323</v>
      </c>
      <c r="F278" s="254">
        <f t="shared" si="194"/>
        <v>550341.83863129374</v>
      </c>
      <c r="G278" s="254">
        <f t="shared" si="194"/>
        <v>549126.91784999834</v>
      </c>
      <c r="H278" s="254">
        <f t="shared" si="194"/>
        <v>547914.67909721902</v>
      </c>
      <c r="I278" s="254">
        <f t="shared" si="194"/>
        <v>546705.11645217729</v>
      </c>
      <c r="J278" s="254">
        <f t="shared" si="194"/>
        <v>545498.22400716494</v>
      </c>
      <c r="K278" s="254">
        <f t="shared" si="194"/>
        <v>544293.9958675158</v>
      </c>
      <c r="L278" s="254">
        <f t="shared" si="194"/>
        <v>543092.42615157645</v>
      </c>
      <c r="M278" s="254">
        <f t="shared" si="194"/>
        <v>541893.50899067766</v>
      </c>
      <c r="N278" s="254">
        <f t="shared" si="194"/>
        <v>540697.23852910567</v>
      </c>
      <c r="O278" s="254">
        <f t="shared" si="194"/>
        <v>539503.60892407363</v>
      </c>
      <c r="P278" s="254">
        <f t="shared" si="194"/>
        <v>538312.61434569326</v>
      </c>
      <c r="Q278" s="254">
        <f t="shared" si="194"/>
        <v>537124.24897694623</v>
      </c>
      <c r="R278" s="254">
        <f t="shared" si="194"/>
        <v>535938.50701365538</v>
      </c>
      <c r="S278" s="254">
        <f t="shared" si="194"/>
        <v>534755.38266445685</v>
      </c>
      <c r="T278" s="254">
        <f t="shared" si="194"/>
        <v>533574.87015077204</v>
      </c>
      <c r="U278" s="254">
        <f t="shared" si="194"/>
        <v>532396.96370677825</v>
      </c>
      <c r="V278" s="254">
        <f t="shared" si="194"/>
        <v>531221.65757938195</v>
      </c>
      <c r="W278" s="254">
        <f t="shared" si="194"/>
        <v>530048.9460281895</v>
      </c>
      <c r="X278" s="254">
        <f t="shared" si="194"/>
        <v>528878.82332547999</v>
      </c>
      <c r="Y278" s="254">
        <f t="shared" si="194"/>
        <v>527711.28375617671</v>
      </c>
      <c r="Z278" s="254">
        <f t="shared" si="194"/>
        <v>526546.32161781925</v>
      </c>
      <c r="AA278" s="254">
        <f t="shared" si="194"/>
        <v>525383.93122053612</v>
      </c>
      <c r="AB278" s="254">
        <f t="shared" si="194"/>
        <v>524224.10688701656</v>
      </c>
      <c r="AC278" s="254">
        <f t="shared" si="194"/>
        <v>523066.84295248269</v>
      </c>
      <c r="AD278" s="254">
        <f t="shared" si="194"/>
        <v>521912.13376466231</v>
      </c>
      <c r="AE278" s="254">
        <f t="shared" si="194"/>
        <v>520759.97368376085</v>
      </c>
      <c r="AF278" s="254">
        <f t="shared" si="194"/>
        <v>519610.357082434</v>
      </c>
      <c r="AG278" s="254">
        <f t="shared" si="194"/>
        <v>518463.27834576054</v>
      </c>
      <c r="AI278" s="255"/>
      <c r="AJ278" s="256"/>
    </row>
    <row r="279" spans="1:36" s="54" customFormat="1" outlineLevel="1">
      <c r="A279" s="257" t="s">
        <v>178</v>
      </c>
      <c r="B279" s="258" t="s">
        <v>127</v>
      </c>
      <c r="C279" s="259">
        <v>0</v>
      </c>
      <c r="D279" s="259">
        <v>0</v>
      </c>
      <c r="E279" s="259">
        <v>0</v>
      </c>
      <c r="F279" s="259">
        <v>0</v>
      </c>
      <c r="G279" s="259">
        <v>0</v>
      </c>
      <c r="H279" s="259">
        <v>0</v>
      </c>
      <c r="I279" s="259">
        <v>0</v>
      </c>
      <c r="J279" s="259">
        <v>0</v>
      </c>
      <c r="K279" s="259">
        <v>0</v>
      </c>
      <c r="L279" s="259">
        <v>0</v>
      </c>
      <c r="M279" s="259">
        <v>0</v>
      </c>
      <c r="N279" s="259">
        <v>0</v>
      </c>
      <c r="O279" s="259">
        <v>0</v>
      </c>
      <c r="P279" s="259">
        <v>0</v>
      </c>
      <c r="Q279" s="259">
        <v>0</v>
      </c>
      <c r="R279" s="259">
        <v>0</v>
      </c>
      <c r="S279" s="259">
        <v>0</v>
      </c>
      <c r="T279" s="259">
        <v>0</v>
      </c>
      <c r="U279" s="259">
        <v>0</v>
      </c>
      <c r="V279" s="259">
        <v>0</v>
      </c>
      <c r="W279" s="259">
        <v>0</v>
      </c>
      <c r="X279" s="259">
        <v>0</v>
      </c>
      <c r="Y279" s="259">
        <v>0</v>
      </c>
      <c r="Z279" s="259">
        <v>0</v>
      </c>
      <c r="AA279" s="259">
        <v>0</v>
      </c>
      <c r="AB279" s="259">
        <v>0</v>
      </c>
      <c r="AC279" s="259">
        <v>0</v>
      </c>
      <c r="AD279" s="259">
        <v>0</v>
      </c>
      <c r="AE279" s="259">
        <v>0</v>
      </c>
      <c r="AF279" s="259">
        <v>0</v>
      </c>
      <c r="AG279" s="259">
        <v>0</v>
      </c>
      <c r="AI279" s="255"/>
      <c r="AJ279" s="256"/>
    </row>
    <row r="280" spans="1:36" outlineLevel="1">
      <c r="A280" s="260" t="s">
        <v>619</v>
      </c>
      <c r="B280" s="252" t="s">
        <v>127</v>
      </c>
      <c r="C280" s="218">
        <f t="shared" ref="C280:AG280" si="195">C247</f>
        <v>64870.026675377754</v>
      </c>
      <c r="D280" s="218">
        <f t="shared" si="195"/>
        <v>65953.356120856552</v>
      </c>
      <c r="E280" s="218">
        <f t="shared" si="195"/>
        <v>67054.777168074856</v>
      </c>
      <c r="F280" s="218">
        <f t="shared" si="195"/>
        <v>68174.5919467817</v>
      </c>
      <c r="G280" s="218">
        <f t="shared" si="195"/>
        <v>69313.107632292944</v>
      </c>
      <c r="H280" s="218">
        <f t="shared" si="195"/>
        <v>70470.636529752228</v>
      </c>
      <c r="I280" s="218">
        <f t="shared" si="195"/>
        <v>71647.496159799091</v>
      </c>
      <c r="J280" s="218">
        <f t="shared" si="195"/>
        <v>72844.009345667728</v>
      </c>
      <c r="K280" s="218">
        <f t="shared" si="195"/>
        <v>74060.50430174038</v>
      </c>
      <c r="L280" s="218">
        <f t="shared" si="195"/>
        <v>75297.314723579446</v>
      </c>
      <c r="M280" s="218">
        <f t="shared" si="195"/>
        <v>76554.779879463211</v>
      </c>
      <c r="N280" s="218">
        <f t="shared" si="195"/>
        <v>77833.24470345024</v>
      </c>
      <c r="O280" s="218">
        <f t="shared" si="195"/>
        <v>79133.05988999785</v>
      </c>
      <c r="P280" s="218">
        <f t="shared" si="195"/>
        <v>80454.581990160805</v>
      </c>
      <c r="Q280" s="218">
        <f t="shared" si="195"/>
        <v>81798.173509396482</v>
      </c>
      <c r="R280" s="218">
        <f t="shared" si="195"/>
        <v>83164.203007003394</v>
      </c>
      <c r="S280" s="218">
        <f t="shared" si="195"/>
        <v>84553.045197220345</v>
      </c>
      <c r="T280" s="218">
        <f t="shared" si="195"/>
        <v>85965.08105201392</v>
      </c>
      <c r="U280" s="218">
        <f t="shared" si="195"/>
        <v>87400.69790558255</v>
      </c>
      <c r="V280" s="218">
        <f t="shared" si="195"/>
        <v>88860.289560605772</v>
      </c>
      <c r="W280" s="218">
        <f t="shared" si="195"/>
        <v>90344.256396267883</v>
      </c>
      <c r="X280" s="218">
        <f t="shared" si="195"/>
        <v>91853.005478085557</v>
      </c>
      <c r="Y280" s="218">
        <f t="shared" si="195"/>
        <v>93386.950669569575</v>
      </c>
      <c r="Z280" s="218">
        <f t="shared" si="195"/>
        <v>94946.512745751374</v>
      </c>
      <c r="AA280" s="218">
        <f t="shared" si="195"/>
        <v>96532.119508605421</v>
      </c>
      <c r="AB280" s="218">
        <f t="shared" si="195"/>
        <v>98144.205904399132</v>
      </c>
      <c r="AC280" s="218">
        <f t="shared" si="195"/>
        <v>99783.214143002595</v>
      </c>
      <c r="AD280" s="218">
        <f t="shared" si="195"/>
        <v>101449.59381919073</v>
      </c>
      <c r="AE280" s="218">
        <f t="shared" si="195"/>
        <v>103143.80203597121</v>
      </c>
      <c r="AF280" s="218">
        <f t="shared" si="195"/>
        <v>104866.30352997192</v>
      </c>
      <c r="AG280" s="218">
        <f t="shared" si="195"/>
        <v>106617.57079892245</v>
      </c>
      <c r="AI280" s="246"/>
    </row>
    <row r="281" spans="1:36" s="62" customFormat="1" outlineLevel="1">
      <c r="A281" s="261" t="s">
        <v>628</v>
      </c>
      <c r="B281" s="262" t="s">
        <v>127</v>
      </c>
      <c r="C281" s="263">
        <f>C278-C279-C280</f>
        <v>489132.725875351</v>
      </c>
      <c r="D281" s="263">
        <f t="shared" ref="D281:AG281" si="196">D278-D279-D280</f>
        <v>486826.39390721702</v>
      </c>
      <c r="E281" s="263">
        <f t="shared" si="196"/>
        <v>484504.67020690837</v>
      </c>
      <c r="F281" s="263">
        <f t="shared" si="196"/>
        <v>482167.24668451201</v>
      </c>
      <c r="G281" s="263">
        <f t="shared" si="196"/>
        <v>479813.81021770538</v>
      </c>
      <c r="H281" s="263">
        <f t="shared" si="196"/>
        <v>477444.04256746679</v>
      </c>
      <c r="I281" s="263">
        <f t="shared" si="196"/>
        <v>475057.62029237818</v>
      </c>
      <c r="J281" s="263">
        <f t="shared" si="196"/>
        <v>472654.21466149722</v>
      </c>
      <c r="K281" s="263">
        <f t="shared" si="196"/>
        <v>470233.49156577542</v>
      </c>
      <c r="L281" s="263">
        <f t="shared" si="196"/>
        <v>467795.11142799701</v>
      </c>
      <c r="M281" s="263">
        <f t="shared" si="196"/>
        <v>465338.72911121446</v>
      </c>
      <c r="N281" s="263">
        <f t="shared" si="196"/>
        <v>462863.99382565543</v>
      </c>
      <c r="O281" s="263">
        <f t="shared" si="196"/>
        <v>460370.54903407581</v>
      </c>
      <c r="P281" s="263">
        <f t="shared" si="196"/>
        <v>457858.03235553246</v>
      </c>
      <c r="Q281" s="263">
        <f t="shared" si="196"/>
        <v>455326.07546754973</v>
      </c>
      <c r="R281" s="263">
        <f t="shared" si="196"/>
        <v>452774.30400665198</v>
      </c>
      <c r="S281" s="263">
        <f t="shared" si="196"/>
        <v>450202.3374672365</v>
      </c>
      <c r="T281" s="263">
        <f t="shared" si="196"/>
        <v>447609.78909875813</v>
      </c>
      <c r="U281" s="263">
        <f t="shared" si="196"/>
        <v>444996.2658011957</v>
      </c>
      <c r="V281" s="263">
        <f t="shared" si="196"/>
        <v>442361.36801877618</v>
      </c>
      <c r="W281" s="263">
        <f t="shared" si="196"/>
        <v>439704.68963192159</v>
      </c>
      <c r="X281" s="263">
        <f t="shared" si="196"/>
        <v>437025.81784739444</v>
      </c>
      <c r="Y281" s="263">
        <f t="shared" si="196"/>
        <v>434324.33308660716</v>
      </c>
      <c r="Z281" s="263">
        <f t="shared" si="196"/>
        <v>431599.80887206789</v>
      </c>
      <c r="AA281" s="263">
        <f t="shared" si="196"/>
        <v>428851.81171193067</v>
      </c>
      <c r="AB281" s="263">
        <f t="shared" si="196"/>
        <v>426079.9009826174</v>
      </c>
      <c r="AC281" s="263">
        <f t="shared" si="196"/>
        <v>423283.62880948011</v>
      </c>
      <c r="AD281" s="263">
        <f t="shared" si="196"/>
        <v>420462.53994547157</v>
      </c>
      <c r="AE281" s="263">
        <f t="shared" si="196"/>
        <v>417616.17164778966</v>
      </c>
      <c r="AF281" s="263">
        <f t="shared" si="196"/>
        <v>414744.05355246208</v>
      </c>
      <c r="AG281" s="263">
        <f t="shared" si="196"/>
        <v>411845.70754683809</v>
      </c>
      <c r="AI281" s="264"/>
      <c r="AJ281" s="265"/>
    </row>
    <row r="282" spans="1:36" outlineLevel="1">
      <c r="A282" s="104" t="s">
        <v>621</v>
      </c>
      <c r="B282" s="252" t="s">
        <v>127</v>
      </c>
      <c r="C282" s="203">
        <f>C251*C$281</f>
        <v>474458.74409909046</v>
      </c>
      <c r="D282" s="203">
        <f t="shared" ref="D282:AG282" si="197">D251*D$281</f>
        <v>472383.87755463622</v>
      </c>
      <c r="E282" s="203">
        <f t="shared" si="197"/>
        <v>470292.53321417235</v>
      </c>
      <c r="F282" s="203">
        <f t="shared" si="197"/>
        <v>468184.39653066109</v>
      </c>
      <c r="G282" s="203">
        <f t="shared" si="197"/>
        <v>466059.14765813109</v>
      </c>
      <c r="H282" s="203">
        <f t="shared" si="197"/>
        <v>463916.46136138844</v>
      </c>
      <c r="I282" s="203">
        <f t="shared" si="197"/>
        <v>461756.00692419149</v>
      </c>
      <c r="J282" s="203">
        <f t="shared" si="197"/>
        <v>459577.44805586233</v>
      </c>
      <c r="K282" s="203">
        <f t="shared" si="197"/>
        <v>457380.44279631076</v>
      </c>
      <c r="L282" s="203">
        <f t="shared" si="197"/>
        <v>455164.64341944089</v>
      </c>
      <c r="M282" s="203">
        <f t="shared" si="197"/>
        <v>452929.69633491524</v>
      </c>
      <c r="N282" s="203">
        <f t="shared" si="197"/>
        <v>450675.24198824633</v>
      </c>
      <c r="O282" s="203">
        <f t="shared" si="197"/>
        <v>448400.91475918965</v>
      </c>
      <c r="P282" s="203">
        <f t="shared" si="197"/>
        <v>446106.34285840689</v>
      </c>
      <c r="Q282" s="203">
        <f t="shared" si="197"/>
        <v>443791.14822237153</v>
      </c>
      <c r="R282" s="203">
        <f t="shared" si="197"/>
        <v>441454.9464064854</v>
      </c>
      <c r="S282" s="203">
        <f t="shared" si="197"/>
        <v>439097.34647637774</v>
      </c>
      <c r="T282" s="203">
        <f t="shared" si="197"/>
        <v>436717.95089735475</v>
      </c>
      <c r="U282" s="203">
        <f t="shared" si="197"/>
        <v>434316.3554219667</v>
      </c>
      <c r="V282" s="203">
        <f t="shared" si="197"/>
        <v>431892.14897566481</v>
      </c>
      <c r="W282" s="203">
        <f t="shared" si="197"/>
        <v>429444.91354050976</v>
      </c>
      <c r="X282" s="203">
        <f t="shared" si="197"/>
        <v>426974.22403690399</v>
      </c>
      <c r="Y282" s="203">
        <f t="shared" si="197"/>
        <v>424479.64820331038</v>
      </c>
      <c r="Z282" s="203">
        <f t="shared" si="197"/>
        <v>421960.74647392466</v>
      </c>
      <c r="AA282" s="203">
        <f t="shared" si="197"/>
        <v>419417.07185426779</v>
      </c>
      <c r="AB282" s="203">
        <f t="shared" si="197"/>
        <v>416848.16979466029</v>
      </c>
      <c r="AC282" s="203">
        <f t="shared" si="197"/>
        <v>414253.5780615441</v>
      </c>
      <c r="AD282" s="203">
        <f t="shared" si="197"/>
        <v>411632.82660661626</v>
      </c>
      <c r="AE282" s="203">
        <f t="shared" si="197"/>
        <v>408985.43743373489</v>
      </c>
      <c r="AF282" s="203">
        <f t="shared" si="197"/>
        <v>406310.92446356156</v>
      </c>
      <c r="AG282" s="203">
        <f t="shared" si="197"/>
        <v>403608.79339590133</v>
      </c>
      <c r="AI282" s="188"/>
    </row>
    <row r="283" spans="1:36" outlineLevel="1">
      <c r="A283" s="104" t="s">
        <v>620</v>
      </c>
      <c r="B283" s="252" t="s">
        <v>127</v>
      </c>
      <c r="C283" s="203">
        <f t="shared" ref="C283:AG283" si="198">C252*C$281</f>
        <v>4891.3272587535103</v>
      </c>
      <c r="D283" s="203">
        <f t="shared" si="198"/>
        <v>4868.2639390721706</v>
      </c>
      <c r="E283" s="203">
        <f t="shared" si="198"/>
        <v>4845.0467020690839</v>
      </c>
      <c r="F283" s="203">
        <f t="shared" si="198"/>
        <v>4821.6724668451197</v>
      </c>
      <c r="G283" s="203">
        <f t="shared" si="198"/>
        <v>4798.138102177054</v>
      </c>
      <c r="H283" s="203">
        <f t="shared" si="198"/>
        <v>4774.4404256746684</v>
      </c>
      <c r="I283" s="203">
        <f t="shared" si="198"/>
        <v>4750.5762029237821</v>
      </c>
      <c r="J283" s="203">
        <f t="shared" si="198"/>
        <v>4726.5421466149719</v>
      </c>
      <c r="K283" s="203">
        <f t="shared" si="198"/>
        <v>4702.3349156577542</v>
      </c>
      <c r="L283" s="203">
        <f t="shared" si="198"/>
        <v>4677.9511142799702</v>
      </c>
      <c r="M283" s="203">
        <f t="shared" si="198"/>
        <v>4653.3872911121443</v>
      </c>
      <c r="N283" s="203">
        <f t="shared" si="198"/>
        <v>4628.6399382565542</v>
      </c>
      <c r="O283" s="203">
        <f t="shared" si="198"/>
        <v>4603.7054903407579</v>
      </c>
      <c r="P283" s="203">
        <f t="shared" si="198"/>
        <v>4578.5803235553249</v>
      </c>
      <c r="Q283" s="203">
        <f t="shared" si="198"/>
        <v>4553.2607546754971</v>
      </c>
      <c r="R283" s="203">
        <f t="shared" si="198"/>
        <v>4527.7430400665198</v>
      </c>
      <c r="S283" s="203">
        <f t="shared" si="198"/>
        <v>4502.0233746723652</v>
      </c>
      <c r="T283" s="203">
        <f t="shared" si="198"/>
        <v>4476.0978909875812</v>
      </c>
      <c r="U283" s="203">
        <f t="shared" si="198"/>
        <v>4449.9626580119575</v>
      </c>
      <c r="V283" s="203">
        <f t="shared" si="198"/>
        <v>4423.6136801877619</v>
      </c>
      <c r="W283" s="203">
        <f t="shared" si="198"/>
        <v>4397.0468963192161</v>
      </c>
      <c r="X283" s="203">
        <f t="shared" si="198"/>
        <v>4370.2581784739441</v>
      </c>
      <c r="Y283" s="203">
        <f t="shared" si="198"/>
        <v>4343.243330866072</v>
      </c>
      <c r="Z283" s="203">
        <f t="shared" si="198"/>
        <v>4315.9980887206793</v>
      </c>
      <c r="AA283" s="203">
        <f t="shared" si="198"/>
        <v>4288.5181171193071</v>
      </c>
      <c r="AB283" s="203">
        <f t="shared" si="198"/>
        <v>4260.7990098261744</v>
      </c>
      <c r="AC283" s="203">
        <f t="shared" si="198"/>
        <v>4232.8362880948016</v>
      </c>
      <c r="AD283" s="203">
        <f t="shared" si="198"/>
        <v>4204.625399454716</v>
      </c>
      <c r="AE283" s="203">
        <f t="shared" si="198"/>
        <v>4176.1617164778963</v>
      </c>
      <c r="AF283" s="203">
        <f t="shared" si="198"/>
        <v>4147.4405355246208</v>
      </c>
      <c r="AG283" s="203">
        <f t="shared" si="198"/>
        <v>4118.4570754683809</v>
      </c>
      <c r="AI283" s="188"/>
    </row>
    <row r="284" spans="1:36" outlineLevel="1">
      <c r="A284" s="104" t="s">
        <v>622</v>
      </c>
      <c r="B284" s="252" t="s">
        <v>127</v>
      </c>
      <c r="C284" s="203">
        <f t="shared" ref="C284:AG284" si="199">C253*C$281</f>
        <v>0</v>
      </c>
      <c r="D284" s="203">
        <f t="shared" si="199"/>
        <v>0</v>
      </c>
      <c r="E284" s="203">
        <f t="shared" si="199"/>
        <v>0</v>
      </c>
      <c r="F284" s="203">
        <f t="shared" si="199"/>
        <v>0</v>
      </c>
      <c r="G284" s="203">
        <f t="shared" si="199"/>
        <v>0</v>
      </c>
      <c r="H284" s="203">
        <f t="shared" si="199"/>
        <v>0</v>
      </c>
      <c r="I284" s="203">
        <f t="shared" si="199"/>
        <v>0</v>
      </c>
      <c r="J284" s="203">
        <f t="shared" si="199"/>
        <v>0</v>
      </c>
      <c r="K284" s="203">
        <f t="shared" si="199"/>
        <v>0</v>
      </c>
      <c r="L284" s="203">
        <f t="shared" si="199"/>
        <v>0</v>
      </c>
      <c r="M284" s="203">
        <f t="shared" si="199"/>
        <v>0</v>
      </c>
      <c r="N284" s="203">
        <f t="shared" si="199"/>
        <v>0</v>
      </c>
      <c r="O284" s="203">
        <f t="shared" si="199"/>
        <v>0</v>
      </c>
      <c r="P284" s="203">
        <f t="shared" si="199"/>
        <v>0</v>
      </c>
      <c r="Q284" s="203">
        <f t="shared" si="199"/>
        <v>0</v>
      </c>
      <c r="R284" s="203">
        <f t="shared" si="199"/>
        <v>0</v>
      </c>
      <c r="S284" s="203">
        <f t="shared" si="199"/>
        <v>0</v>
      </c>
      <c r="T284" s="203">
        <f t="shared" si="199"/>
        <v>0</v>
      </c>
      <c r="U284" s="203">
        <f t="shared" si="199"/>
        <v>0</v>
      </c>
      <c r="V284" s="203">
        <f t="shared" si="199"/>
        <v>0</v>
      </c>
      <c r="W284" s="203">
        <f t="shared" si="199"/>
        <v>0</v>
      </c>
      <c r="X284" s="203">
        <f t="shared" si="199"/>
        <v>0</v>
      </c>
      <c r="Y284" s="203">
        <f t="shared" si="199"/>
        <v>0</v>
      </c>
      <c r="Z284" s="203">
        <f t="shared" si="199"/>
        <v>0</v>
      </c>
      <c r="AA284" s="203">
        <f t="shared" si="199"/>
        <v>0</v>
      </c>
      <c r="AB284" s="203">
        <f t="shared" si="199"/>
        <v>0</v>
      </c>
      <c r="AC284" s="203">
        <f t="shared" si="199"/>
        <v>0</v>
      </c>
      <c r="AD284" s="203">
        <f t="shared" si="199"/>
        <v>0</v>
      </c>
      <c r="AE284" s="203">
        <f t="shared" si="199"/>
        <v>0</v>
      </c>
      <c r="AF284" s="203">
        <f t="shared" si="199"/>
        <v>0</v>
      </c>
      <c r="AG284" s="203">
        <f t="shared" si="199"/>
        <v>0</v>
      </c>
      <c r="AI284" s="188"/>
    </row>
    <row r="285" spans="1:36" outlineLevel="1">
      <c r="A285" s="104" t="s">
        <v>623</v>
      </c>
      <c r="B285" s="252" t="s">
        <v>127</v>
      </c>
      <c r="C285" s="203">
        <f t="shared" ref="C285:AG285" si="200">C254*C$281</f>
        <v>0</v>
      </c>
      <c r="D285" s="203">
        <f t="shared" si="200"/>
        <v>0</v>
      </c>
      <c r="E285" s="203">
        <f t="shared" si="200"/>
        <v>0</v>
      </c>
      <c r="F285" s="203">
        <f t="shared" si="200"/>
        <v>0</v>
      </c>
      <c r="G285" s="203">
        <f t="shared" si="200"/>
        <v>0</v>
      </c>
      <c r="H285" s="203">
        <f t="shared" si="200"/>
        <v>0</v>
      </c>
      <c r="I285" s="203">
        <f t="shared" si="200"/>
        <v>0</v>
      </c>
      <c r="J285" s="203">
        <f t="shared" si="200"/>
        <v>0</v>
      </c>
      <c r="K285" s="203">
        <f t="shared" si="200"/>
        <v>0</v>
      </c>
      <c r="L285" s="203">
        <f t="shared" si="200"/>
        <v>0</v>
      </c>
      <c r="M285" s="203">
        <f t="shared" si="200"/>
        <v>0</v>
      </c>
      <c r="N285" s="203">
        <f t="shared" si="200"/>
        <v>0</v>
      </c>
      <c r="O285" s="203">
        <f t="shared" si="200"/>
        <v>0</v>
      </c>
      <c r="P285" s="203">
        <f t="shared" si="200"/>
        <v>0</v>
      </c>
      <c r="Q285" s="203">
        <f t="shared" si="200"/>
        <v>0</v>
      </c>
      <c r="R285" s="203">
        <f t="shared" si="200"/>
        <v>0</v>
      </c>
      <c r="S285" s="203">
        <f t="shared" si="200"/>
        <v>0</v>
      </c>
      <c r="T285" s="203">
        <f t="shared" si="200"/>
        <v>0</v>
      </c>
      <c r="U285" s="203">
        <f t="shared" si="200"/>
        <v>0</v>
      </c>
      <c r="V285" s="203">
        <f t="shared" si="200"/>
        <v>0</v>
      </c>
      <c r="W285" s="203">
        <f t="shared" si="200"/>
        <v>0</v>
      </c>
      <c r="X285" s="203">
        <f t="shared" si="200"/>
        <v>0</v>
      </c>
      <c r="Y285" s="203">
        <f t="shared" si="200"/>
        <v>0</v>
      </c>
      <c r="Z285" s="203">
        <f t="shared" si="200"/>
        <v>0</v>
      </c>
      <c r="AA285" s="203">
        <f t="shared" si="200"/>
        <v>0</v>
      </c>
      <c r="AB285" s="203">
        <f t="shared" si="200"/>
        <v>0</v>
      </c>
      <c r="AC285" s="203">
        <f t="shared" si="200"/>
        <v>0</v>
      </c>
      <c r="AD285" s="203">
        <f t="shared" si="200"/>
        <v>0</v>
      </c>
      <c r="AE285" s="203">
        <f t="shared" si="200"/>
        <v>0</v>
      </c>
      <c r="AF285" s="203">
        <f t="shared" si="200"/>
        <v>0</v>
      </c>
      <c r="AG285" s="203">
        <f t="shared" si="200"/>
        <v>0</v>
      </c>
      <c r="AI285" s="188"/>
    </row>
    <row r="286" spans="1:36" outlineLevel="1">
      <c r="A286" s="104" t="s">
        <v>624</v>
      </c>
      <c r="B286" s="252" t="s">
        <v>127</v>
      </c>
      <c r="C286" s="203">
        <f t="shared" ref="C286:AG286" si="201">C255*C$281</f>
        <v>7336.9908881302645</v>
      </c>
      <c r="D286" s="203">
        <f t="shared" si="201"/>
        <v>7172.5755368996633</v>
      </c>
      <c r="E286" s="203">
        <f t="shared" si="201"/>
        <v>7009.1675623266074</v>
      </c>
      <c r="F286" s="203">
        <f t="shared" si="201"/>
        <v>6846.7749029200704</v>
      </c>
      <c r="G286" s="203">
        <f t="shared" si="201"/>
        <v>6685.4057557000278</v>
      </c>
      <c r="H286" s="203">
        <f t="shared" si="201"/>
        <v>6525.0685817553785</v>
      </c>
      <c r="I286" s="203">
        <f t="shared" si="201"/>
        <v>6365.7721119178668</v>
      </c>
      <c r="J286" s="203">
        <f t="shared" si="201"/>
        <v>6207.5253525543294</v>
      </c>
      <c r="K286" s="203">
        <f t="shared" si="201"/>
        <v>6050.3375914796434</v>
      </c>
      <c r="L286" s="203">
        <f t="shared" si="201"/>
        <v>5894.2184039927615</v>
      </c>
      <c r="M286" s="203">
        <f t="shared" si="201"/>
        <v>5739.1776590383106</v>
      </c>
      <c r="N286" s="203">
        <f t="shared" si="201"/>
        <v>5585.2255254962411</v>
      </c>
      <c r="O286" s="203">
        <f t="shared" si="201"/>
        <v>5432.3724786020939</v>
      </c>
      <c r="P286" s="203">
        <f t="shared" si="201"/>
        <v>5280.6293065004729</v>
      </c>
      <c r="Q286" s="203">
        <f t="shared" si="201"/>
        <v>5130.0071169343928</v>
      </c>
      <c r="R286" s="203">
        <f t="shared" si="201"/>
        <v>4980.5173440731705</v>
      </c>
      <c r="S286" s="203">
        <f t="shared" si="201"/>
        <v>4832.1717554816705</v>
      </c>
      <c r="T286" s="203">
        <f t="shared" si="201"/>
        <v>4684.9824592336672</v>
      </c>
      <c r="U286" s="203">
        <f t="shared" si="201"/>
        <v>4538.961911172195</v>
      </c>
      <c r="V286" s="203">
        <f t="shared" si="201"/>
        <v>4394.1229223198425</v>
      </c>
      <c r="W286" s="203">
        <f t="shared" si="201"/>
        <v>4250.4786664419071</v>
      </c>
      <c r="X286" s="203">
        <f t="shared" si="201"/>
        <v>4108.0426877655063</v>
      </c>
      <c r="Y286" s="203">
        <f t="shared" si="201"/>
        <v>3966.8289088576776</v>
      </c>
      <c r="Z286" s="203">
        <f t="shared" si="201"/>
        <v>3826.851638665667</v>
      </c>
      <c r="AA286" s="203">
        <f t="shared" si="201"/>
        <v>3688.1255807226021</v>
      </c>
      <c r="AB286" s="203">
        <f t="shared" si="201"/>
        <v>3550.6658415218103</v>
      </c>
      <c r="AC286" s="203">
        <f t="shared" si="201"/>
        <v>3414.4879390631381</v>
      </c>
      <c r="AD286" s="203">
        <f t="shared" si="201"/>
        <v>3279.6078115746768</v>
      </c>
      <c r="AE286" s="203">
        <f t="shared" si="201"/>
        <v>3146.0418264133473</v>
      </c>
      <c r="AF286" s="203">
        <f t="shared" si="201"/>
        <v>3013.8067891478895</v>
      </c>
      <c r="AG286" s="203">
        <f t="shared" si="201"/>
        <v>2882.9199528278668</v>
      </c>
      <c r="AI286" s="188"/>
    </row>
    <row r="287" spans="1:36" outlineLevel="1">
      <c r="A287" s="104" t="s">
        <v>625</v>
      </c>
      <c r="B287" s="252" t="s">
        <v>127</v>
      </c>
      <c r="C287" s="203">
        <f t="shared" ref="C287:AG287" si="202">C256*C$281</f>
        <v>2445.6636293767551</v>
      </c>
      <c r="D287" s="203">
        <f t="shared" si="202"/>
        <v>2401.6768766089376</v>
      </c>
      <c r="E287" s="203">
        <f t="shared" si="202"/>
        <v>2357.9227283402879</v>
      </c>
      <c r="F287" s="203">
        <f t="shared" si="202"/>
        <v>2314.4027840856584</v>
      </c>
      <c r="G287" s="203">
        <f t="shared" si="202"/>
        <v>2271.1187016971398</v>
      </c>
      <c r="H287" s="203">
        <f t="shared" si="202"/>
        <v>2228.0721986481794</v>
      </c>
      <c r="I287" s="203">
        <f t="shared" si="202"/>
        <v>2185.265053344941</v>
      </c>
      <c r="J287" s="203">
        <f t="shared" si="202"/>
        <v>2142.6991064654553</v>
      </c>
      <c r="K287" s="203">
        <f t="shared" si="202"/>
        <v>2100.3762623271318</v>
      </c>
      <c r="L287" s="203">
        <f t="shared" si="202"/>
        <v>2058.2984902831886</v>
      </c>
      <c r="M287" s="203">
        <f t="shared" si="202"/>
        <v>2016.4678261485979</v>
      </c>
      <c r="N287" s="203">
        <f t="shared" si="202"/>
        <v>1974.886373656132</v>
      </c>
      <c r="O287" s="203">
        <f t="shared" si="202"/>
        <v>1933.5563059431206</v>
      </c>
      <c r="P287" s="203">
        <f t="shared" si="202"/>
        <v>1892.4798670695366</v>
      </c>
      <c r="Q287" s="203">
        <f t="shared" si="202"/>
        <v>1851.6593735680383</v>
      </c>
      <c r="R287" s="203">
        <f t="shared" si="202"/>
        <v>1811.0972160266108</v>
      </c>
      <c r="S287" s="203">
        <f t="shared" si="202"/>
        <v>1770.7958607044666</v>
      </c>
      <c r="T287" s="203">
        <f t="shared" si="202"/>
        <v>1730.7578511818676</v>
      </c>
      <c r="U287" s="203">
        <f t="shared" si="202"/>
        <v>1690.9858100445465</v>
      </c>
      <c r="V287" s="203">
        <f t="shared" si="202"/>
        <v>1651.4824406034338</v>
      </c>
      <c r="W287" s="203">
        <f t="shared" si="202"/>
        <v>1612.250528650382</v>
      </c>
      <c r="X287" s="203">
        <f t="shared" si="202"/>
        <v>1573.2929442506229</v>
      </c>
      <c r="Y287" s="203">
        <f t="shared" si="202"/>
        <v>1534.6126435726815</v>
      </c>
      <c r="Z287" s="203">
        <f t="shared" si="202"/>
        <v>1496.2126707565048</v>
      </c>
      <c r="AA287" s="203">
        <f t="shared" si="202"/>
        <v>1458.096159820567</v>
      </c>
      <c r="AB287" s="203">
        <f t="shared" si="202"/>
        <v>1420.2663366087274</v>
      </c>
      <c r="AC287" s="203">
        <f t="shared" si="202"/>
        <v>1382.7265207776377</v>
      </c>
      <c r="AD287" s="203">
        <f t="shared" si="202"/>
        <v>1345.4801278255115</v>
      </c>
      <c r="AE287" s="203">
        <f t="shared" si="202"/>
        <v>1308.5306711630769</v>
      </c>
      <c r="AF287" s="203">
        <f t="shared" si="202"/>
        <v>1271.8817642275528</v>
      </c>
      <c r="AG287" s="203">
        <f t="shared" si="202"/>
        <v>1235.5371226405143</v>
      </c>
      <c r="AI287" s="188"/>
    </row>
    <row r="288" spans="1:36" s="54" customFormat="1">
      <c r="A288" s="54" t="s">
        <v>627</v>
      </c>
      <c r="B288" s="253"/>
      <c r="C288" s="254">
        <f>C44</f>
        <v>554002.75255072874</v>
      </c>
      <c r="D288" s="254">
        <f t="shared" ref="D288:AG288" si="203">D44</f>
        <v>552679.57010165148</v>
      </c>
      <c r="E288" s="254">
        <f t="shared" si="203"/>
        <v>551359.52983150363</v>
      </c>
      <c r="F288" s="254">
        <f t="shared" si="203"/>
        <v>550042.62431547476</v>
      </c>
      <c r="G288" s="254">
        <f t="shared" si="203"/>
        <v>548728.84614622267</v>
      </c>
      <c r="H288" s="254">
        <f t="shared" si="203"/>
        <v>547418.18793383299</v>
      </c>
      <c r="I288" s="254">
        <f t="shared" si="203"/>
        <v>543131.41677970043</v>
      </c>
      <c r="J288" s="254">
        <f t="shared" si="203"/>
        <v>538860.90458118636</v>
      </c>
      <c r="K288" s="254">
        <f t="shared" si="203"/>
        <v>534606.60044366191</v>
      </c>
      <c r="L288" s="254">
        <f t="shared" si="203"/>
        <v>530368.45361796964</v>
      </c>
      <c r="M288" s="254">
        <f t="shared" si="203"/>
        <v>526146.41350002855</v>
      </c>
      <c r="N288" s="254">
        <f t="shared" si="203"/>
        <v>521811.65175926517</v>
      </c>
      <c r="O288" s="254">
        <f t="shared" si="203"/>
        <v>517493.46452532051</v>
      </c>
      <c r="P288" s="254">
        <f t="shared" si="203"/>
        <v>513131.57808495127</v>
      </c>
      <c r="Q288" s="254">
        <f t="shared" si="203"/>
        <v>508786.04754884494</v>
      </c>
      <c r="R288" s="254">
        <f t="shared" si="203"/>
        <v>504456.82280044717</v>
      </c>
      <c r="S288" s="254">
        <f t="shared" si="203"/>
        <v>500143.90625026874</v>
      </c>
      <c r="T288" s="254">
        <f t="shared" si="203"/>
        <v>495847.19544215029</v>
      </c>
      <c r="U288" s="254">
        <f t="shared" si="203"/>
        <v>491566.64067832544</v>
      </c>
      <c r="V288" s="254">
        <f t="shared" si="203"/>
        <v>487302.19239963207</v>
      </c>
      <c r="W288" s="254">
        <f t="shared" si="203"/>
        <v>483053.80118514603</v>
      </c>
      <c r="X288" s="254">
        <f t="shared" si="203"/>
        <v>478821.04727217305</v>
      </c>
      <c r="Y288" s="254">
        <f t="shared" si="203"/>
        <v>474604.25363053964</v>
      </c>
      <c r="Z288" s="254">
        <f t="shared" si="203"/>
        <v>470260.92281461484</v>
      </c>
      <c r="AA288" s="254">
        <f t="shared" si="203"/>
        <v>465931.66392080282</v>
      </c>
      <c r="AB288" s="254">
        <f t="shared" si="203"/>
        <v>461616.44214886532</v>
      </c>
      <c r="AC288" s="254">
        <f t="shared" si="203"/>
        <v>457228.8266225938</v>
      </c>
      <c r="AD288" s="254">
        <f t="shared" si="203"/>
        <v>452855.56028391945</v>
      </c>
      <c r="AE288" s="254">
        <f t="shared" si="203"/>
        <v>448496.60728352785</v>
      </c>
      <c r="AF288" s="254">
        <f t="shared" si="203"/>
        <v>444151.93184694112</v>
      </c>
      <c r="AG288" s="254">
        <f t="shared" si="203"/>
        <v>439821.49827439169</v>
      </c>
      <c r="AI288" s="255"/>
      <c r="AJ288" s="256"/>
    </row>
    <row r="289" spans="1:36" s="54" customFormat="1">
      <c r="A289" s="257" t="s">
        <v>178</v>
      </c>
      <c r="B289" s="258" t="s">
        <v>127</v>
      </c>
      <c r="C289" s="259">
        <f>C288-C278</f>
        <v>0</v>
      </c>
      <c r="D289" s="259">
        <f t="shared" ref="D289:AG289" si="204">D288-D278</f>
        <v>-100.17992642207537</v>
      </c>
      <c r="E289" s="259">
        <f t="shared" si="204"/>
        <v>-199.91754347959068</v>
      </c>
      <c r="F289" s="259">
        <f t="shared" si="204"/>
        <v>-299.21431581897195</v>
      </c>
      <c r="G289" s="259">
        <f t="shared" si="204"/>
        <v>-398.07170377566945</v>
      </c>
      <c r="H289" s="259">
        <f t="shared" si="204"/>
        <v>-496.49116338603199</v>
      </c>
      <c r="I289" s="259">
        <f t="shared" si="204"/>
        <v>-3573.6996724768542</v>
      </c>
      <c r="J289" s="259">
        <f t="shared" si="204"/>
        <v>-6637.3194259785814</v>
      </c>
      <c r="K289" s="259">
        <f t="shared" si="204"/>
        <v>-9687.3954238538863</v>
      </c>
      <c r="L289" s="259">
        <f t="shared" si="204"/>
        <v>-12723.972533606808</v>
      </c>
      <c r="M289" s="259">
        <f t="shared" si="204"/>
        <v>-15747.09549064911</v>
      </c>
      <c r="N289" s="259">
        <f t="shared" si="204"/>
        <v>-18885.586769840505</v>
      </c>
      <c r="O289" s="259">
        <f t="shared" si="204"/>
        <v>-22010.144398753124</v>
      </c>
      <c r="P289" s="259">
        <f t="shared" si="204"/>
        <v>-25181.036260741996</v>
      </c>
      <c r="Q289" s="259">
        <f t="shared" si="204"/>
        <v>-28338.201428101282</v>
      </c>
      <c r="R289" s="259">
        <f t="shared" si="204"/>
        <v>-31481.684213208209</v>
      </c>
      <c r="S289" s="259">
        <f t="shared" si="204"/>
        <v>-34611.476414188102</v>
      </c>
      <c r="T289" s="259">
        <f t="shared" si="204"/>
        <v>-37727.674708621751</v>
      </c>
      <c r="U289" s="259">
        <f t="shared" si="204"/>
        <v>-40830.323028452811</v>
      </c>
      <c r="V289" s="259">
        <f t="shared" si="204"/>
        <v>-43919.465179749881</v>
      </c>
      <c r="W289" s="259">
        <f t="shared" si="204"/>
        <v>-46995.144843043468</v>
      </c>
      <c r="X289" s="259">
        <f t="shared" si="204"/>
        <v>-50057.776053306938</v>
      </c>
      <c r="Y289" s="259">
        <f t="shared" si="204"/>
        <v>-53107.030125637073</v>
      </c>
      <c r="Z289" s="259">
        <f t="shared" si="204"/>
        <v>-56285.398803204414</v>
      </c>
      <c r="AA289" s="259">
        <f t="shared" si="204"/>
        <v>-59452.267299733299</v>
      </c>
      <c r="AB289" s="259">
        <f t="shared" si="204"/>
        <v>-62607.664738151245</v>
      </c>
      <c r="AC289" s="259">
        <f t="shared" si="204"/>
        <v>-65838.016329888895</v>
      </c>
      <c r="AD289" s="259">
        <f t="shared" si="204"/>
        <v>-69056.573480742867</v>
      </c>
      <c r="AE289" s="259">
        <f t="shared" si="204"/>
        <v>-72263.366400233004</v>
      </c>
      <c r="AF289" s="259">
        <f t="shared" si="204"/>
        <v>-75458.425235492876</v>
      </c>
      <c r="AG289" s="259">
        <f t="shared" si="204"/>
        <v>-78641.780071368848</v>
      </c>
      <c r="AI289" s="255"/>
      <c r="AJ289" s="256"/>
    </row>
    <row r="290" spans="1:36">
      <c r="A290" s="260" t="s">
        <v>619</v>
      </c>
      <c r="B290" s="252" t="s">
        <v>127</v>
      </c>
      <c r="C290" s="218">
        <f>C246</f>
        <v>64870.026675377754</v>
      </c>
      <c r="D290" s="218">
        <f t="shared" ref="D290:AG290" si="205">D246</f>
        <v>73039.320641801445</v>
      </c>
      <c r="E290" s="218">
        <f t="shared" si="205"/>
        <v>81251.077770096614</v>
      </c>
      <c r="F290" s="218">
        <f t="shared" si="205"/>
        <v>89504.729165096869</v>
      </c>
      <c r="G290" s="218">
        <f t="shared" si="205"/>
        <v>97799.638152649321</v>
      </c>
      <c r="H290" s="218">
        <f t="shared" si="205"/>
        <v>106135.17210050763</v>
      </c>
      <c r="I290" s="218">
        <f t="shared" si="205"/>
        <v>113789.65960571487</v>
      </c>
      <c r="J290" s="218">
        <f t="shared" si="205"/>
        <v>121385.60054627834</v>
      </c>
      <c r="K290" s="218">
        <f t="shared" si="205"/>
        <v>128923.03301115113</v>
      </c>
      <c r="L290" s="218">
        <f t="shared" si="205"/>
        <v>136401.99611801366</v>
      </c>
      <c r="M290" s="218">
        <f t="shared" si="205"/>
        <v>143822.53000544617</v>
      </c>
      <c r="N290" s="218">
        <f t="shared" si="205"/>
        <v>148614.29976925396</v>
      </c>
      <c r="O290" s="218">
        <f t="shared" si="205"/>
        <v>153363.00182758155</v>
      </c>
      <c r="P290" s="218">
        <f t="shared" si="205"/>
        <v>158057.65795278552</v>
      </c>
      <c r="Q290" s="218">
        <f t="shared" si="205"/>
        <v>162707.47572948091</v>
      </c>
      <c r="R290" s="218">
        <f t="shared" si="205"/>
        <v>167312.23723632976</v>
      </c>
      <c r="S290" s="218">
        <f t="shared" si="205"/>
        <v>171871.7334981224</v>
      </c>
      <c r="T290" s="218">
        <f t="shared" si="205"/>
        <v>176385.74535171391</v>
      </c>
      <c r="U290" s="218">
        <f t="shared" si="205"/>
        <v>180854.06141466909</v>
      </c>
      <c r="V290" s="218">
        <f t="shared" si="205"/>
        <v>185276.47243691771</v>
      </c>
      <c r="W290" s="218">
        <f t="shared" si="205"/>
        <v>189652.77129186213</v>
      </c>
      <c r="X290" s="218">
        <f t="shared" si="205"/>
        <v>196685.60595082236</v>
      </c>
      <c r="Y290" s="218">
        <f t="shared" si="205"/>
        <v>203649.51763964817</v>
      </c>
      <c r="Z290" s="218">
        <f t="shared" si="205"/>
        <v>210497.40918450087</v>
      </c>
      <c r="AA290" s="218">
        <f t="shared" si="205"/>
        <v>217269.43100180218</v>
      </c>
      <c r="AB290" s="218">
        <f t="shared" si="205"/>
        <v>223964.90890223553</v>
      </c>
      <c r="AC290" s="218">
        <f t="shared" si="205"/>
        <v>230537.40671810639</v>
      </c>
      <c r="AD290" s="218">
        <f t="shared" si="205"/>
        <v>237029.17944806514</v>
      </c>
      <c r="AE290" s="218">
        <f t="shared" si="205"/>
        <v>243439.56678877398</v>
      </c>
      <c r="AF290" s="218">
        <f t="shared" si="205"/>
        <v>249767.90665858076</v>
      </c>
      <c r="AG290" s="218">
        <f t="shared" si="205"/>
        <v>256013.53525721922</v>
      </c>
      <c r="AI290" s="246"/>
    </row>
    <row r="291" spans="1:36" s="62" customFormat="1">
      <c r="A291" s="261" t="s">
        <v>628</v>
      </c>
      <c r="B291" s="262" t="s">
        <v>127</v>
      </c>
      <c r="C291" s="263">
        <f>C288-C290</f>
        <v>489132.725875351</v>
      </c>
      <c r="D291" s="263">
        <f t="shared" ref="D291:AG291" si="206">D288-D290</f>
        <v>479640.24945985002</v>
      </c>
      <c r="E291" s="263">
        <f t="shared" si="206"/>
        <v>470108.45206140704</v>
      </c>
      <c r="F291" s="263">
        <f t="shared" si="206"/>
        <v>460537.89515037788</v>
      </c>
      <c r="G291" s="263">
        <f t="shared" si="206"/>
        <v>450929.20799357333</v>
      </c>
      <c r="H291" s="263">
        <f t="shared" si="206"/>
        <v>441283.01583332533</v>
      </c>
      <c r="I291" s="263">
        <f t="shared" si="206"/>
        <v>429341.75717398559</v>
      </c>
      <c r="J291" s="263">
        <f t="shared" si="206"/>
        <v>417475.30403490801</v>
      </c>
      <c r="K291" s="263">
        <f t="shared" si="206"/>
        <v>405683.56743251078</v>
      </c>
      <c r="L291" s="263">
        <f t="shared" si="206"/>
        <v>393966.45749995601</v>
      </c>
      <c r="M291" s="263">
        <f t="shared" si="206"/>
        <v>382323.88349458238</v>
      </c>
      <c r="N291" s="263">
        <f t="shared" si="206"/>
        <v>373197.35199001117</v>
      </c>
      <c r="O291" s="263">
        <f t="shared" si="206"/>
        <v>364130.46269773896</v>
      </c>
      <c r="P291" s="263">
        <f t="shared" si="206"/>
        <v>355073.92013216577</v>
      </c>
      <c r="Q291" s="263">
        <f t="shared" si="206"/>
        <v>346078.57181936404</v>
      </c>
      <c r="R291" s="263">
        <f t="shared" si="206"/>
        <v>337144.58556411741</v>
      </c>
      <c r="S291" s="263">
        <f t="shared" si="206"/>
        <v>328272.17275214638</v>
      </c>
      <c r="T291" s="263">
        <f t="shared" si="206"/>
        <v>319461.45009043638</v>
      </c>
      <c r="U291" s="263">
        <f t="shared" si="206"/>
        <v>310712.57926365634</v>
      </c>
      <c r="V291" s="263">
        <f t="shared" si="206"/>
        <v>302025.71996271436</v>
      </c>
      <c r="W291" s="263">
        <f t="shared" si="206"/>
        <v>293401.02989328391</v>
      </c>
      <c r="X291" s="263">
        <f t="shared" si="206"/>
        <v>282135.44132135069</v>
      </c>
      <c r="Y291" s="263">
        <f t="shared" si="206"/>
        <v>270954.73599089147</v>
      </c>
      <c r="Z291" s="263">
        <f t="shared" si="206"/>
        <v>259763.51363011397</v>
      </c>
      <c r="AA291" s="263">
        <f t="shared" si="206"/>
        <v>248662.23291900064</v>
      </c>
      <c r="AB291" s="263">
        <f t="shared" si="206"/>
        <v>237651.53324662978</v>
      </c>
      <c r="AC291" s="263">
        <f t="shared" si="206"/>
        <v>226691.41990448741</v>
      </c>
      <c r="AD291" s="263">
        <f t="shared" si="206"/>
        <v>215826.3808358543</v>
      </c>
      <c r="AE291" s="263">
        <f t="shared" si="206"/>
        <v>205057.04049475386</v>
      </c>
      <c r="AF291" s="263">
        <f t="shared" si="206"/>
        <v>194384.02518836036</v>
      </c>
      <c r="AG291" s="263">
        <f t="shared" si="206"/>
        <v>183807.96301717247</v>
      </c>
      <c r="AI291" s="264"/>
      <c r="AJ291" s="265"/>
    </row>
    <row r="292" spans="1:36" s="54" customFormat="1" outlineLevel="1">
      <c r="A292" s="257" t="s">
        <v>656</v>
      </c>
      <c r="B292" s="258" t="s">
        <v>126</v>
      </c>
      <c r="C292" s="259">
        <f>C288*C258</f>
        <v>542922.69749971409</v>
      </c>
      <c r="D292" s="259">
        <f t="shared" ref="D292:AG292" si="207">D288*D258</f>
        <v>541810.20522298559</v>
      </c>
      <c r="E292" s="259">
        <f t="shared" si="207"/>
        <v>540699.91225476121</v>
      </c>
      <c r="F292" s="259">
        <f t="shared" si="207"/>
        <v>539591.81445348065</v>
      </c>
      <c r="G292" s="259">
        <f t="shared" si="207"/>
        <v>538485.90768482641</v>
      </c>
      <c r="H292" s="259">
        <f t="shared" si="207"/>
        <v>537382.18782171258</v>
      </c>
      <c r="I292" s="259">
        <f t="shared" si="207"/>
        <v>533355.05127766565</v>
      </c>
      <c r="J292" s="259">
        <f t="shared" si="207"/>
        <v>529341.02860025188</v>
      </c>
      <c r="K292" s="259">
        <f t="shared" si="207"/>
        <v>525340.08603597165</v>
      </c>
      <c r="L292" s="259">
        <f t="shared" si="207"/>
        <v>521352.18990646396</v>
      </c>
      <c r="M292" s="259">
        <f t="shared" si="207"/>
        <v>517377.30660836119</v>
      </c>
      <c r="N292" s="259">
        <f t="shared" si="207"/>
        <v>513288.72811386362</v>
      </c>
      <c r="O292" s="259">
        <f t="shared" si="207"/>
        <v>509213.56909291516</v>
      </c>
      <c r="P292" s="259">
        <f t="shared" si="207"/>
        <v>505092.51669495343</v>
      </c>
      <c r="Q292" s="259">
        <f t="shared" si="207"/>
        <v>500984.66148642905</v>
      </c>
      <c r="R292" s="259">
        <f t="shared" si="207"/>
        <v>496889.97045844019</v>
      </c>
      <c r="S292" s="259">
        <f t="shared" si="207"/>
        <v>492808.46229193115</v>
      </c>
      <c r="T292" s="259">
        <f t="shared" si="207"/>
        <v>488740.05230747914</v>
      </c>
      <c r="U292" s="259">
        <f t="shared" si="207"/>
        <v>484684.70770882856</v>
      </c>
      <c r="V292" s="259">
        <f t="shared" si="207"/>
        <v>480642.39577017009</v>
      </c>
      <c r="W292" s="259">
        <f t="shared" si="207"/>
        <v>476613.08383601037</v>
      </c>
      <c r="X292" s="259">
        <f t="shared" si="207"/>
        <v>472596.37365763442</v>
      </c>
      <c r="Y292" s="259">
        <f t="shared" si="207"/>
        <v>468592.5997512191</v>
      </c>
      <c r="Z292" s="259">
        <f t="shared" si="207"/>
        <v>464461.03809990088</v>
      </c>
      <c r="AA292" s="259">
        <f t="shared" si="207"/>
        <v>460340.48395375279</v>
      </c>
      <c r="AB292" s="259">
        <f t="shared" si="207"/>
        <v>456230.91699046147</v>
      </c>
      <c r="AC292" s="259">
        <f t="shared" si="207"/>
        <v>452046.89992087061</v>
      </c>
      <c r="AD292" s="259">
        <f t="shared" si="207"/>
        <v>447874.14912079589</v>
      </c>
      <c r="AE292" s="259">
        <f t="shared" si="207"/>
        <v>443712.64347250306</v>
      </c>
      <c r="AF292" s="259">
        <f t="shared" si="207"/>
        <v>439562.36188452225</v>
      </c>
      <c r="AG292" s="259">
        <f t="shared" si="207"/>
        <v>435423.28329164779</v>
      </c>
      <c r="AI292" s="255"/>
      <c r="AJ292" s="288" t="s">
        <v>629</v>
      </c>
    </row>
    <row r="293" spans="1:36" s="54" customFormat="1" outlineLevel="1">
      <c r="A293" s="257" t="s">
        <v>667</v>
      </c>
      <c r="B293" s="258" t="s">
        <v>126</v>
      </c>
      <c r="C293" s="259">
        <f>C292*C259</f>
        <v>542922.69749971409</v>
      </c>
      <c r="D293" s="259">
        <f t="shared" ref="D293:AG293" si="208">D292*D259</f>
        <v>541810.20522298559</v>
      </c>
      <c r="E293" s="259">
        <f t="shared" si="208"/>
        <v>540699.91225476121</v>
      </c>
      <c r="F293" s="259">
        <f t="shared" si="208"/>
        <v>539591.81445348065</v>
      </c>
      <c r="G293" s="259">
        <f t="shared" si="208"/>
        <v>538485.90768482641</v>
      </c>
      <c r="H293" s="259">
        <f t="shared" si="208"/>
        <v>537382.18782171258</v>
      </c>
      <c r="I293" s="259">
        <f t="shared" si="208"/>
        <v>533355.05127766565</v>
      </c>
      <c r="J293" s="259">
        <f t="shared" si="208"/>
        <v>529341.02860025188</v>
      </c>
      <c r="K293" s="259">
        <f t="shared" si="208"/>
        <v>525340.08603597165</v>
      </c>
      <c r="L293" s="259">
        <f t="shared" si="208"/>
        <v>521352.18990646396</v>
      </c>
      <c r="M293" s="259">
        <f t="shared" si="208"/>
        <v>517377.30660836119</v>
      </c>
      <c r="N293" s="259">
        <f t="shared" si="208"/>
        <v>513288.72811386362</v>
      </c>
      <c r="O293" s="259">
        <f t="shared" si="208"/>
        <v>509213.56909291516</v>
      </c>
      <c r="P293" s="259">
        <f t="shared" si="208"/>
        <v>505092.51669495343</v>
      </c>
      <c r="Q293" s="259">
        <f t="shared" si="208"/>
        <v>500984.66148642905</v>
      </c>
      <c r="R293" s="259">
        <f t="shared" si="208"/>
        <v>496889.97045844019</v>
      </c>
      <c r="S293" s="259">
        <f t="shared" si="208"/>
        <v>492808.46229193115</v>
      </c>
      <c r="T293" s="259">
        <f t="shared" si="208"/>
        <v>488740.05230747914</v>
      </c>
      <c r="U293" s="259">
        <f t="shared" si="208"/>
        <v>484684.70770882856</v>
      </c>
      <c r="V293" s="259">
        <f t="shared" si="208"/>
        <v>480642.39577017009</v>
      </c>
      <c r="W293" s="259">
        <f t="shared" si="208"/>
        <v>476613.08383601037</v>
      </c>
      <c r="X293" s="259">
        <f t="shared" si="208"/>
        <v>472596.37365763442</v>
      </c>
      <c r="Y293" s="259">
        <f t="shared" si="208"/>
        <v>468592.5997512191</v>
      </c>
      <c r="Z293" s="259">
        <f t="shared" si="208"/>
        <v>464461.03809990088</v>
      </c>
      <c r="AA293" s="259">
        <f t="shared" si="208"/>
        <v>460340.48395375279</v>
      </c>
      <c r="AB293" s="259">
        <f t="shared" si="208"/>
        <v>456230.91699046147</v>
      </c>
      <c r="AC293" s="259">
        <f t="shared" si="208"/>
        <v>452046.89992087061</v>
      </c>
      <c r="AD293" s="259">
        <f t="shared" si="208"/>
        <v>447874.14912079589</v>
      </c>
      <c r="AE293" s="259">
        <f t="shared" si="208"/>
        <v>443712.64347250306</v>
      </c>
      <c r="AF293" s="259">
        <f t="shared" si="208"/>
        <v>439562.36188452225</v>
      </c>
      <c r="AG293" s="259">
        <f t="shared" si="208"/>
        <v>435423.28329164779</v>
      </c>
      <c r="AI293" s="255"/>
      <c r="AJ293" s="288" t="s">
        <v>629</v>
      </c>
    </row>
    <row r="294" spans="1:36" s="58" customFormat="1" outlineLevel="1">
      <c r="A294" s="261" t="s">
        <v>668</v>
      </c>
      <c r="B294" s="262" t="s">
        <v>126</v>
      </c>
      <c r="C294" s="263">
        <f>C292*C260</f>
        <v>0</v>
      </c>
      <c r="D294" s="263">
        <f t="shared" ref="D294:AG294" si="209">D292*D260</f>
        <v>0</v>
      </c>
      <c r="E294" s="263">
        <f t="shared" si="209"/>
        <v>0</v>
      </c>
      <c r="F294" s="263">
        <f t="shared" si="209"/>
        <v>0</v>
      </c>
      <c r="G294" s="263">
        <f t="shared" si="209"/>
        <v>0</v>
      </c>
      <c r="H294" s="263">
        <f t="shared" si="209"/>
        <v>0</v>
      </c>
      <c r="I294" s="263">
        <f t="shared" si="209"/>
        <v>0</v>
      </c>
      <c r="J294" s="263">
        <f t="shared" si="209"/>
        <v>0</v>
      </c>
      <c r="K294" s="263">
        <f t="shared" si="209"/>
        <v>0</v>
      </c>
      <c r="L294" s="263">
        <f t="shared" si="209"/>
        <v>0</v>
      </c>
      <c r="M294" s="263">
        <f t="shared" si="209"/>
        <v>0</v>
      </c>
      <c r="N294" s="263">
        <f t="shared" si="209"/>
        <v>0</v>
      </c>
      <c r="O294" s="263">
        <f t="shared" si="209"/>
        <v>0</v>
      </c>
      <c r="P294" s="263">
        <f t="shared" si="209"/>
        <v>0</v>
      </c>
      <c r="Q294" s="263">
        <f t="shared" si="209"/>
        <v>0</v>
      </c>
      <c r="R294" s="263">
        <f t="shared" si="209"/>
        <v>0</v>
      </c>
      <c r="S294" s="263">
        <f t="shared" si="209"/>
        <v>0</v>
      </c>
      <c r="T294" s="263">
        <f t="shared" si="209"/>
        <v>0</v>
      </c>
      <c r="U294" s="263">
        <f t="shared" si="209"/>
        <v>0</v>
      </c>
      <c r="V294" s="263">
        <f t="shared" si="209"/>
        <v>0</v>
      </c>
      <c r="W294" s="263">
        <f t="shared" si="209"/>
        <v>0</v>
      </c>
      <c r="X294" s="263">
        <f t="shared" si="209"/>
        <v>0</v>
      </c>
      <c r="Y294" s="263">
        <f t="shared" si="209"/>
        <v>0</v>
      </c>
      <c r="Z294" s="263">
        <f t="shared" si="209"/>
        <v>0</v>
      </c>
      <c r="AA294" s="263">
        <f t="shared" si="209"/>
        <v>0</v>
      </c>
      <c r="AB294" s="263">
        <f t="shared" si="209"/>
        <v>0</v>
      </c>
      <c r="AC294" s="263">
        <f t="shared" si="209"/>
        <v>0</v>
      </c>
      <c r="AD294" s="263">
        <f t="shared" si="209"/>
        <v>0</v>
      </c>
      <c r="AE294" s="263">
        <f t="shared" si="209"/>
        <v>0</v>
      </c>
      <c r="AF294" s="263">
        <f t="shared" si="209"/>
        <v>0</v>
      </c>
      <c r="AG294" s="263">
        <f t="shared" si="209"/>
        <v>0</v>
      </c>
      <c r="AI294" s="291"/>
      <c r="AJ294" s="290" t="s">
        <v>629</v>
      </c>
    </row>
    <row r="295" spans="1:36" s="1" customFormat="1" outlineLevel="1">
      <c r="A295" t="s">
        <v>649</v>
      </c>
      <c r="B295" s="252" t="s">
        <v>127</v>
      </c>
      <c r="C295" s="218">
        <f>C261*C292</f>
        <v>542922.69749971409</v>
      </c>
      <c r="D295" s="218">
        <f t="shared" ref="D295:AG295" si="210">D261*D292</f>
        <v>541810.20522298559</v>
      </c>
      <c r="E295" s="218">
        <f t="shared" si="210"/>
        <v>540699.91225476121</v>
      </c>
      <c r="F295" s="218">
        <f t="shared" si="210"/>
        <v>539591.81445348065</v>
      </c>
      <c r="G295" s="218">
        <f t="shared" si="210"/>
        <v>538485.90768482641</v>
      </c>
      <c r="H295" s="218">
        <f t="shared" si="210"/>
        <v>537382.18782171258</v>
      </c>
      <c r="I295" s="218">
        <f t="shared" si="210"/>
        <v>533355.05127766565</v>
      </c>
      <c r="J295" s="218">
        <f t="shared" si="210"/>
        <v>529341.02860025188</v>
      </c>
      <c r="K295" s="218">
        <f t="shared" si="210"/>
        <v>525340.08603597165</v>
      </c>
      <c r="L295" s="218">
        <f t="shared" si="210"/>
        <v>521352.18990646396</v>
      </c>
      <c r="M295" s="218">
        <f t="shared" si="210"/>
        <v>517377.30660836119</v>
      </c>
      <c r="N295" s="218">
        <f t="shared" si="210"/>
        <v>513288.72811386362</v>
      </c>
      <c r="O295" s="218">
        <f t="shared" si="210"/>
        <v>509213.56909291516</v>
      </c>
      <c r="P295" s="218">
        <f t="shared" si="210"/>
        <v>505092.51669495343</v>
      </c>
      <c r="Q295" s="218">
        <f t="shared" si="210"/>
        <v>500984.66148642905</v>
      </c>
      <c r="R295" s="218">
        <f t="shared" si="210"/>
        <v>496889.97045844019</v>
      </c>
      <c r="S295" s="218">
        <f t="shared" si="210"/>
        <v>492808.46229193115</v>
      </c>
      <c r="T295" s="218">
        <f t="shared" si="210"/>
        <v>488740.05230747914</v>
      </c>
      <c r="U295" s="218">
        <f t="shared" si="210"/>
        <v>484684.70770882856</v>
      </c>
      <c r="V295" s="218">
        <f t="shared" si="210"/>
        <v>480642.39577017009</v>
      </c>
      <c r="W295" s="218">
        <f t="shared" si="210"/>
        <v>476613.08383601037</v>
      </c>
      <c r="X295" s="218">
        <f t="shared" si="210"/>
        <v>472596.37365763442</v>
      </c>
      <c r="Y295" s="218">
        <f t="shared" si="210"/>
        <v>468592.5997512191</v>
      </c>
      <c r="Z295" s="218">
        <f t="shared" si="210"/>
        <v>464461.03809990088</v>
      </c>
      <c r="AA295" s="218">
        <f t="shared" si="210"/>
        <v>460340.48395375279</v>
      </c>
      <c r="AB295" s="218">
        <f t="shared" si="210"/>
        <v>456230.91699046147</v>
      </c>
      <c r="AC295" s="218">
        <f t="shared" si="210"/>
        <v>452046.89992087061</v>
      </c>
      <c r="AD295" s="218">
        <f t="shared" si="210"/>
        <v>447874.14912079589</v>
      </c>
      <c r="AE295" s="218">
        <f t="shared" si="210"/>
        <v>443712.64347250306</v>
      </c>
      <c r="AF295" s="218">
        <f t="shared" si="210"/>
        <v>439562.36188452225</v>
      </c>
      <c r="AG295" s="218">
        <f t="shared" si="210"/>
        <v>435423.28329164779</v>
      </c>
      <c r="AI295" s="266"/>
      <c r="AJ295" s="185" t="s">
        <v>629</v>
      </c>
    </row>
    <row r="296" spans="1:36" s="1" customFormat="1" outlineLevel="1">
      <c r="A296" t="s">
        <v>655</v>
      </c>
      <c r="B296" s="252" t="s">
        <v>127</v>
      </c>
      <c r="C296" s="218">
        <f>C262*C292</f>
        <v>0</v>
      </c>
      <c r="D296" s="218">
        <f t="shared" ref="D296:AG296" si="211">D262*D292</f>
        <v>0</v>
      </c>
      <c r="E296" s="218">
        <f t="shared" si="211"/>
        <v>0</v>
      </c>
      <c r="F296" s="218">
        <f t="shared" si="211"/>
        <v>0</v>
      </c>
      <c r="G296" s="218">
        <f t="shared" si="211"/>
        <v>0</v>
      </c>
      <c r="H296" s="218">
        <f t="shared" si="211"/>
        <v>0</v>
      </c>
      <c r="I296" s="218">
        <f t="shared" si="211"/>
        <v>0</v>
      </c>
      <c r="J296" s="218">
        <f t="shared" si="211"/>
        <v>0</v>
      </c>
      <c r="K296" s="218">
        <f t="shared" si="211"/>
        <v>0</v>
      </c>
      <c r="L296" s="218">
        <f t="shared" si="211"/>
        <v>0</v>
      </c>
      <c r="M296" s="218">
        <f t="shared" si="211"/>
        <v>0</v>
      </c>
      <c r="N296" s="218">
        <f t="shared" si="211"/>
        <v>0</v>
      </c>
      <c r="O296" s="218">
        <f t="shared" si="211"/>
        <v>0</v>
      </c>
      <c r="P296" s="218">
        <f t="shared" si="211"/>
        <v>0</v>
      </c>
      <c r="Q296" s="218">
        <f t="shared" si="211"/>
        <v>0</v>
      </c>
      <c r="R296" s="218">
        <f t="shared" si="211"/>
        <v>0</v>
      </c>
      <c r="S296" s="218">
        <f t="shared" si="211"/>
        <v>0</v>
      </c>
      <c r="T296" s="218">
        <f t="shared" si="211"/>
        <v>0</v>
      </c>
      <c r="U296" s="218">
        <f t="shared" si="211"/>
        <v>0</v>
      </c>
      <c r="V296" s="218">
        <f t="shared" si="211"/>
        <v>0</v>
      </c>
      <c r="W296" s="218">
        <f t="shared" si="211"/>
        <v>0</v>
      </c>
      <c r="X296" s="218">
        <f t="shared" si="211"/>
        <v>0</v>
      </c>
      <c r="Y296" s="218">
        <f t="shared" si="211"/>
        <v>0</v>
      </c>
      <c r="Z296" s="218">
        <f t="shared" si="211"/>
        <v>0</v>
      </c>
      <c r="AA296" s="218">
        <f t="shared" si="211"/>
        <v>0</v>
      </c>
      <c r="AB296" s="218">
        <f t="shared" si="211"/>
        <v>0</v>
      </c>
      <c r="AC296" s="218">
        <f t="shared" si="211"/>
        <v>0</v>
      </c>
      <c r="AD296" s="218">
        <f t="shared" si="211"/>
        <v>0</v>
      </c>
      <c r="AE296" s="218">
        <f t="shared" si="211"/>
        <v>0</v>
      </c>
      <c r="AF296" s="218">
        <f t="shared" si="211"/>
        <v>0</v>
      </c>
      <c r="AG296" s="218">
        <f t="shared" si="211"/>
        <v>0</v>
      </c>
      <c r="AI296" s="266"/>
      <c r="AJ296" s="185" t="s">
        <v>629</v>
      </c>
    </row>
    <row r="297" spans="1:36" s="1" customFormat="1" outlineLevel="1">
      <c r="A297" t="s">
        <v>650</v>
      </c>
      <c r="B297" s="252" t="s">
        <v>127</v>
      </c>
      <c r="C297" s="218">
        <f>C295*C263</f>
        <v>81438.404624957111</v>
      </c>
      <c r="D297" s="218">
        <f t="shared" ref="D297:AG297" si="212">D295*D263</f>
        <v>84702.995416526741</v>
      </c>
      <c r="E297" s="218">
        <f t="shared" si="212"/>
        <v>87953.85239344115</v>
      </c>
      <c r="F297" s="218">
        <f t="shared" si="212"/>
        <v>91191.01664263822</v>
      </c>
      <c r="G297" s="218">
        <f t="shared" si="212"/>
        <v>94414.529147406225</v>
      </c>
      <c r="H297" s="218">
        <f t="shared" si="212"/>
        <v>97624.430787611112</v>
      </c>
      <c r="I297" s="218">
        <f t="shared" si="212"/>
        <v>100270.74964020113</v>
      </c>
      <c r="J297" s="218">
        <f t="shared" si="212"/>
        <v>102868.60655798226</v>
      </c>
      <c r="K297" s="218">
        <f t="shared" si="212"/>
        <v>105418.2439312183</v>
      </c>
      <c r="L297" s="218">
        <f t="shared" si="212"/>
        <v>107919.90331063802</v>
      </c>
      <c r="M297" s="218">
        <f t="shared" si="212"/>
        <v>110373.82540978371</v>
      </c>
      <c r="N297" s="218">
        <f t="shared" si="212"/>
        <v>112752.42394234535</v>
      </c>
      <c r="O297" s="218">
        <f t="shared" si="212"/>
        <v>115082.26661499881</v>
      </c>
      <c r="P297" s="218">
        <f t="shared" si="212"/>
        <v>117349.82804546082</v>
      </c>
      <c r="Q297" s="218">
        <f t="shared" si="212"/>
        <v>119568.33920809437</v>
      </c>
      <c r="R297" s="218">
        <f t="shared" si="212"/>
        <v>121738.04276231781</v>
      </c>
      <c r="S297" s="218">
        <f t="shared" si="212"/>
        <v>123859.19352270535</v>
      </c>
      <c r="T297" s="218">
        <f t="shared" si="212"/>
        <v>125932.02014456045</v>
      </c>
      <c r="U297" s="218">
        <f t="shared" si="212"/>
        <v>127956.76283513075</v>
      </c>
      <c r="V297" s="218">
        <f t="shared" si="212"/>
        <v>129933.66098986933</v>
      </c>
      <c r="W297" s="218">
        <f t="shared" si="212"/>
        <v>131862.95319462958</v>
      </c>
      <c r="X297" s="218">
        <f t="shared" si="212"/>
        <v>133744.77374511058</v>
      </c>
      <c r="Y297" s="218">
        <f t="shared" si="212"/>
        <v>135579.45886135279</v>
      </c>
      <c r="Z297" s="218">
        <f t="shared" si="212"/>
        <v>137325.64693153743</v>
      </c>
      <c r="AA297" s="218">
        <f t="shared" si="212"/>
        <v>139022.82615403342</v>
      </c>
      <c r="AB297" s="218">
        <f t="shared" si="212"/>
        <v>140671.19940539237</v>
      </c>
      <c r="AC297" s="218">
        <f t="shared" si="212"/>
        <v>142244.09117510071</v>
      </c>
      <c r="AD297" s="218">
        <f t="shared" si="212"/>
        <v>143767.60186777558</v>
      </c>
      <c r="AE297" s="218">
        <f t="shared" si="212"/>
        <v>145241.93862999944</v>
      </c>
      <c r="AF297" s="218">
        <f t="shared" si="212"/>
        <v>146667.30808213571</v>
      </c>
      <c r="AG297" s="218">
        <f t="shared" si="212"/>
        <v>148043.91631916026</v>
      </c>
      <c r="AI297" s="266"/>
      <c r="AJ297" s="185" t="s">
        <v>629</v>
      </c>
    </row>
    <row r="298" spans="1:36" s="1" customFormat="1" outlineLevel="1">
      <c r="A298" t="s">
        <v>651</v>
      </c>
      <c r="B298" s="252" t="s">
        <v>127</v>
      </c>
      <c r="C298" s="218">
        <f>C295*C264</f>
        <v>461484.29287475697</v>
      </c>
      <c r="D298" s="218">
        <f t="shared" ref="D298:AG298" si="213">D295*D264</f>
        <v>457107.20980645885</v>
      </c>
      <c r="E298" s="218">
        <f t="shared" si="213"/>
        <v>452746.05986132007</v>
      </c>
      <c r="F298" s="218">
        <f t="shared" si="213"/>
        <v>448400.79781084246</v>
      </c>
      <c r="G298" s="218">
        <f t="shared" si="213"/>
        <v>444071.37853742024</v>
      </c>
      <c r="H298" s="218">
        <f t="shared" si="213"/>
        <v>439757.75703410152</v>
      </c>
      <c r="I298" s="218">
        <f t="shared" si="213"/>
        <v>433084.30163746461</v>
      </c>
      <c r="J298" s="218">
        <f t="shared" si="213"/>
        <v>426472.42204226973</v>
      </c>
      <c r="K298" s="218">
        <f t="shared" si="213"/>
        <v>419921.84210475348</v>
      </c>
      <c r="L298" s="218">
        <f t="shared" si="213"/>
        <v>413432.28659582604</v>
      </c>
      <c r="M298" s="218">
        <f t="shared" si="213"/>
        <v>407003.48119857762</v>
      </c>
      <c r="N298" s="218">
        <f t="shared" si="213"/>
        <v>400536.30417151842</v>
      </c>
      <c r="O298" s="218">
        <f t="shared" si="213"/>
        <v>394131.30247791653</v>
      </c>
      <c r="P298" s="218">
        <f t="shared" si="213"/>
        <v>387742.6886494928</v>
      </c>
      <c r="Q298" s="218">
        <f t="shared" si="213"/>
        <v>381416.32227833488</v>
      </c>
      <c r="R298" s="218">
        <f t="shared" si="213"/>
        <v>375151.92769612256</v>
      </c>
      <c r="S298" s="218">
        <f t="shared" si="213"/>
        <v>368949.26876922604</v>
      </c>
      <c r="T298" s="218">
        <f t="shared" si="213"/>
        <v>362808.03216291894</v>
      </c>
      <c r="U298" s="218">
        <f t="shared" si="213"/>
        <v>356727.94487369806</v>
      </c>
      <c r="V298" s="218">
        <f t="shared" si="213"/>
        <v>350708.73478030105</v>
      </c>
      <c r="W298" s="218">
        <f t="shared" si="213"/>
        <v>344750.13064138114</v>
      </c>
      <c r="X298" s="218">
        <f t="shared" si="213"/>
        <v>338851.59991252417</v>
      </c>
      <c r="Y298" s="218">
        <f t="shared" si="213"/>
        <v>333013.14088986669</v>
      </c>
      <c r="Z298" s="218">
        <f t="shared" si="213"/>
        <v>327135.39116836386</v>
      </c>
      <c r="AA298" s="218">
        <f t="shared" si="213"/>
        <v>321317.65779971977</v>
      </c>
      <c r="AB298" s="218">
        <f t="shared" si="213"/>
        <v>315559.71758506953</v>
      </c>
      <c r="AC298" s="218">
        <f t="shared" si="213"/>
        <v>309802.80874577037</v>
      </c>
      <c r="AD298" s="218">
        <f t="shared" si="213"/>
        <v>304106.54725302081</v>
      </c>
      <c r="AE298" s="218">
        <f t="shared" si="213"/>
        <v>298470.70484250411</v>
      </c>
      <c r="AF298" s="218">
        <f t="shared" si="213"/>
        <v>292895.05380238703</v>
      </c>
      <c r="AG298" s="218">
        <f t="shared" si="213"/>
        <v>287379.36697248754</v>
      </c>
      <c r="AI298" s="266"/>
      <c r="AJ298" s="185" t="s">
        <v>629</v>
      </c>
    </row>
    <row r="299" spans="1:36" s="1" customFormat="1" outlineLevel="1">
      <c r="A299" t="s">
        <v>654</v>
      </c>
      <c r="B299" s="252" t="s">
        <v>127</v>
      </c>
      <c r="C299" s="218">
        <f>C265*C298</f>
        <v>0</v>
      </c>
      <c r="D299" s="218">
        <f t="shared" ref="D299:AG299" si="214">D265*D298</f>
        <v>0</v>
      </c>
      <c r="E299" s="218">
        <f t="shared" si="214"/>
        <v>0</v>
      </c>
      <c r="F299" s="218">
        <f t="shared" si="214"/>
        <v>0</v>
      </c>
      <c r="G299" s="218">
        <f t="shared" si="214"/>
        <v>0</v>
      </c>
      <c r="H299" s="218">
        <f t="shared" si="214"/>
        <v>0</v>
      </c>
      <c r="I299" s="218">
        <f t="shared" si="214"/>
        <v>0</v>
      </c>
      <c r="J299" s="218">
        <f t="shared" si="214"/>
        <v>0</v>
      </c>
      <c r="K299" s="218">
        <f t="shared" si="214"/>
        <v>0</v>
      </c>
      <c r="L299" s="218">
        <f t="shared" si="214"/>
        <v>0</v>
      </c>
      <c r="M299" s="218">
        <f t="shared" si="214"/>
        <v>0</v>
      </c>
      <c r="N299" s="218">
        <f t="shared" si="214"/>
        <v>0</v>
      </c>
      <c r="O299" s="218">
        <f t="shared" si="214"/>
        <v>0</v>
      </c>
      <c r="P299" s="218">
        <f t="shared" si="214"/>
        <v>0</v>
      </c>
      <c r="Q299" s="218">
        <f t="shared" si="214"/>
        <v>0</v>
      </c>
      <c r="R299" s="218">
        <f t="shared" si="214"/>
        <v>0</v>
      </c>
      <c r="S299" s="218">
        <f t="shared" si="214"/>
        <v>0</v>
      </c>
      <c r="T299" s="218">
        <f t="shared" si="214"/>
        <v>0</v>
      </c>
      <c r="U299" s="218">
        <f t="shared" si="214"/>
        <v>0</v>
      </c>
      <c r="V299" s="218">
        <f t="shared" si="214"/>
        <v>0</v>
      </c>
      <c r="W299" s="218">
        <f t="shared" si="214"/>
        <v>0</v>
      </c>
      <c r="X299" s="218">
        <f t="shared" si="214"/>
        <v>0</v>
      </c>
      <c r="Y299" s="218">
        <f t="shared" si="214"/>
        <v>0</v>
      </c>
      <c r="Z299" s="218">
        <f t="shared" si="214"/>
        <v>0</v>
      </c>
      <c r="AA299" s="218">
        <f t="shared" si="214"/>
        <v>0</v>
      </c>
      <c r="AB299" s="218">
        <f t="shared" si="214"/>
        <v>0</v>
      </c>
      <c r="AC299" s="218">
        <f t="shared" si="214"/>
        <v>0</v>
      </c>
      <c r="AD299" s="218">
        <f t="shared" si="214"/>
        <v>0</v>
      </c>
      <c r="AE299" s="218">
        <f t="shared" si="214"/>
        <v>0</v>
      </c>
      <c r="AF299" s="218">
        <f t="shared" si="214"/>
        <v>0</v>
      </c>
      <c r="AG299" s="218">
        <f t="shared" si="214"/>
        <v>0</v>
      </c>
      <c r="AI299" s="266"/>
      <c r="AJ299" s="185" t="s">
        <v>629</v>
      </c>
    </row>
    <row r="300" spans="1:36" s="1" customFormat="1" outlineLevel="1">
      <c r="A300" t="s">
        <v>683</v>
      </c>
      <c r="B300" s="252" t="s">
        <v>127</v>
      </c>
      <c r="C300" s="218">
        <f>C266*C298</f>
        <v>461484.29287475697</v>
      </c>
      <c r="D300" s="218">
        <f t="shared" ref="D300:AG300" si="215">D266*D298</f>
        <v>457107.20980645885</v>
      </c>
      <c r="E300" s="218">
        <f t="shared" si="215"/>
        <v>452746.05986132007</v>
      </c>
      <c r="F300" s="218">
        <f t="shared" si="215"/>
        <v>448400.79781084246</v>
      </c>
      <c r="G300" s="218">
        <f t="shared" si="215"/>
        <v>444071.37853742024</v>
      </c>
      <c r="H300" s="218">
        <f t="shared" si="215"/>
        <v>439757.75703410152</v>
      </c>
      <c r="I300" s="218">
        <f t="shared" si="215"/>
        <v>433084.30163746461</v>
      </c>
      <c r="J300" s="218">
        <f t="shared" si="215"/>
        <v>426472.42204226973</v>
      </c>
      <c r="K300" s="218">
        <f t="shared" si="215"/>
        <v>419921.84210475348</v>
      </c>
      <c r="L300" s="218">
        <f t="shared" si="215"/>
        <v>413432.28659582604</v>
      </c>
      <c r="M300" s="218">
        <f t="shared" si="215"/>
        <v>407003.48119857762</v>
      </c>
      <c r="N300" s="218">
        <f t="shared" si="215"/>
        <v>400536.30417151842</v>
      </c>
      <c r="O300" s="218">
        <f t="shared" si="215"/>
        <v>394131.30247791653</v>
      </c>
      <c r="P300" s="218">
        <f t="shared" si="215"/>
        <v>387742.6886494928</v>
      </c>
      <c r="Q300" s="218">
        <f t="shared" si="215"/>
        <v>381416.32227833488</v>
      </c>
      <c r="R300" s="218">
        <f t="shared" si="215"/>
        <v>375151.92769612256</v>
      </c>
      <c r="S300" s="218">
        <f t="shared" si="215"/>
        <v>368949.26876922604</v>
      </c>
      <c r="T300" s="218">
        <f t="shared" si="215"/>
        <v>362808.03216291894</v>
      </c>
      <c r="U300" s="218">
        <f t="shared" si="215"/>
        <v>356727.94487369806</v>
      </c>
      <c r="V300" s="218">
        <f t="shared" si="215"/>
        <v>350708.73478030105</v>
      </c>
      <c r="W300" s="218">
        <f t="shared" si="215"/>
        <v>344750.13064138114</v>
      </c>
      <c r="X300" s="218">
        <f t="shared" si="215"/>
        <v>338851.59991252417</v>
      </c>
      <c r="Y300" s="218">
        <f t="shared" si="215"/>
        <v>333013.14088986669</v>
      </c>
      <c r="Z300" s="218">
        <f t="shared" si="215"/>
        <v>327135.39116836386</v>
      </c>
      <c r="AA300" s="218">
        <f t="shared" si="215"/>
        <v>321317.65779971977</v>
      </c>
      <c r="AB300" s="218">
        <f t="shared" si="215"/>
        <v>315559.71758506953</v>
      </c>
      <c r="AC300" s="218">
        <f t="shared" si="215"/>
        <v>309802.80874577037</v>
      </c>
      <c r="AD300" s="218">
        <f t="shared" si="215"/>
        <v>304106.54725302081</v>
      </c>
      <c r="AE300" s="218">
        <f t="shared" si="215"/>
        <v>298470.70484250411</v>
      </c>
      <c r="AF300" s="218">
        <f t="shared" si="215"/>
        <v>292895.05380238703</v>
      </c>
      <c r="AG300" s="218">
        <f t="shared" si="215"/>
        <v>287379.36697248754</v>
      </c>
      <c r="AI300" s="266"/>
      <c r="AJ300" s="185" t="s">
        <v>629</v>
      </c>
    </row>
    <row r="301" spans="1:36" s="1" customFormat="1" outlineLevel="1">
      <c r="A301" t="s">
        <v>652</v>
      </c>
      <c r="B301" s="252" t="s">
        <v>127</v>
      </c>
      <c r="C301" s="218">
        <f>C267*(C299+C297)</f>
        <v>65150.723699965689</v>
      </c>
      <c r="D301" s="218">
        <f t="shared" ref="D301:AG301" si="216">D267*(D299+D297)</f>
        <v>68044.739651276483</v>
      </c>
      <c r="E301" s="218">
        <f t="shared" si="216"/>
        <v>70949.440930709199</v>
      </c>
      <c r="F301" s="218">
        <f t="shared" si="216"/>
        <v>73864.723480536952</v>
      </c>
      <c r="G301" s="218">
        <f t="shared" si="216"/>
        <v>76790.483706557061</v>
      </c>
      <c r="H301" s="218">
        <f t="shared" si="216"/>
        <v>79726.618476549062</v>
      </c>
      <c r="I301" s="218">
        <f t="shared" si="216"/>
        <v>82222.014704964909</v>
      </c>
      <c r="J301" s="218">
        <f t="shared" si="216"/>
        <v>84695.152732738701</v>
      </c>
      <c r="K301" s="218">
        <f t="shared" si="216"/>
        <v>87145.748316473764</v>
      </c>
      <c r="L301" s="218">
        <f t="shared" si="216"/>
        <v>89573.51974782953</v>
      </c>
      <c r="M301" s="218">
        <f t="shared" si="216"/>
        <v>91978.18784148639</v>
      </c>
      <c r="N301" s="218">
        <f t="shared" si="216"/>
        <v>94336.19469842891</v>
      </c>
      <c r="O301" s="218">
        <f t="shared" si="216"/>
        <v>96669.103956598963</v>
      </c>
      <c r="P301" s="218">
        <f t="shared" si="216"/>
        <v>98965.021651671908</v>
      </c>
      <c r="Q301" s="218">
        <f t="shared" si="216"/>
        <v>101234.52719618652</v>
      </c>
      <c r="R301" s="218">
        <f t="shared" si="216"/>
        <v>103477.33634797008</v>
      </c>
      <c r="S301" s="218">
        <f t="shared" si="216"/>
        <v>105693.1784727085</v>
      </c>
      <c r="T301" s="218">
        <f t="shared" si="216"/>
        <v>107881.76392384004</v>
      </c>
      <c r="U301" s="218">
        <f t="shared" si="216"/>
        <v>110042.81603821238</v>
      </c>
      <c r="V301" s="218">
        <f t="shared" si="216"/>
        <v>112176.06065458711</v>
      </c>
      <c r="W301" s="218">
        <f t="shared" si="216"/>
        <v>114281.22610201221</v>
      </c>
      <c r="X301" s="218">
        <f t="shared" si="216"/>
        <v>116357.95315824612</v>
      </c>
      <c r="Y301" s="218">
        <f t="shared" si="216"/>
        <v>118406.06073891468</v>
      </c>
      <c r="Z301" s="218">
        <f t="shared" si="216"/>
        <v>120388.81714331437</v>
      </c>
      <c r="AA301" s="218">
        <f t="shared" si="216"/>
        <v>122340.0870155493</v>
      </c>
      <c r="AB301" s="218">
        <f t="shared" si="216"/>
        <v>124259.55947476314</v>
      </c>
      <c r="AC301" s="218">
        <f t="shared" si="216"/>
        <v>126123.09417525584</v>
      </c>
      <c r="AD301" s="218">
        <f t="shared" si="216"/>
        <v>127953.16566232014</v>
      </c>
      <c r="AE301" s="218">
        <f t="shared" si="216"/>
        <v>129749.4651761327</v>
      </c>
      <c r="AF301" s="218">
        <f t="shared" si="216"/>
        <v>131511.68624698155</v>
      </c>
      <c r="AG301" s="218">
        <f t="shared" si="216"/>
        <v>133239.52468724424</v>
      </c>
      <c r="AH301" s="218"/>
      <c r="AI301" s="266"/>
      <c r="AJ301" s="185" t="s">
        <v>629</v>
      </c>
    </row>
    <row r="302" spans="1:36" s="1" customFormat="1" outlineLevel="1">
      <c r="A302" t="s">
        <v>653</v>
      </c>
      <c r="B302" s="252" t="s">
        <v>127</v>
      </c>
      <c r="C302" s="218">
        <f>C268*(C299+C297)</f>
        <v>16287.680924991422</v>
      </c>
      <c r="D302" s="218">
        <f t="shared" ref="D302:AG302" si="217">D268*(D299+D297)</f>
        <v>16658.255765250262</v>
      </c>
      <c r="E302" s="218">
        <f t="shared" si="217"/>
        <v>17004.411462731958</v>
      </c>
      <c r="F302" s="218">
        <f t="shared" si="217"/>
        <v>17326.293162101265</v>
      </c>
      <c r="G302" s="218">
        <f t="shared" si="217"/>
        <v>17624.045440849164</v>
      </c>
      <c r="H302" s="218">
        <f t="shared" si="217"/>
        <v>17897.81231106204</v>
      </c>
      <c r="I302" s="218">
        <f t="shared" si="217"/>
        <v>18048.734935236207</v>
      </c>
      <c r="J302" s="218">
        <f t="shared" si="217"/>
        <v>18173.453825243538</v>
      </c>
      <c r="K302" s="218">
        <f t="shared" si="217"/>
        <v>18272.495614744512</v>
      </c>
      <c r="L302" s="218">
        <f t="shared" si="217"/>
        <v>18346.383562808471</v>
      </c>
      <c r="M302" s="218">
        <f t="shared" si="217"/>
        <v>18395.637568297294</v>
      </c>
      <c r="N302" s="218">
        <f t="shared" si="217"/>
        <v>18416.229243916416</v>
      </c>
      <c r="O302" s="218">
        <f t="shared" si="217"/>
        <v>18413.162658399819</v>
      </c>
      <c r="P302" s="218">
        <f t="shared" si="217"/>
        <v>18384.806393788873</v>
      </c>
      <c r="Q302" s="218">
        <f t="shared" si="217"/>
        <v>18333.812011907816</v>
      </c>
      <c r="R302" s="218">
        <f t="shared" si="217"/>
        <v>18260.706414347685</v>
      </c>
      <c r="S302" s="218">
        <f t="shared" si="217"/>
        <v>18166.015049996797</v>
      </c>
      <c r="T302" s="218">
        <f t="shared" si="217"/>
        <v>18050.256220720345</v>
      </c>
      <c r="U302" s="218">
        <f t="shared" si="217"/>
        <v>17913.946796918321</v>
      </c>
      <c r="V302" s="218">
        <f t="shared" si="217"/>
        <v>17757.600335282157</v>
      </c>
      <c r="W302" s="218">
        <f t="shared" si="217"/>
        <v>17581.727092617293</v>
      </c>
      <c r="X302" s="218">
        <f t="shared" si="217"/>
        <v>17386.820586864393</v>
      </c>
      <c r="Y302" s="218">
        <f t="shared" si="217"/>
        <v>17173.39812243804</v>
      </c>
      <c r="Z302" s="218">
        <f t="shared" si="217"/>
        <v>16936.829788222971</v>
      </c>
      <c r="AA302" s="218">
        <f t="shared" si="217"/>
        <v>16682.739138484034</v>
      </c>
      <c r="AB302" s="218">
        <f t="shared" si="217"/>
        <v>16411.639930629135</v>
      </c>
      <c r="AC302" s="218">
        <f t="shared" si="217"/>
        <v>16120.996999844772</v>
      </c>
      <c r="AD302" s="218">
        <f t="shared" si="217"/>
        <v>15814.43620545534</v>
      </c>
      <c r="AE302" s="218">
        <f t="shared" si="217"/>
        <v>15492.473453866634</v>
      </c>
      <c r="AF302" s="218">
        <f t="shared" si="217"/>
        <v>15155.621835154052</v>
      </c>
      <c r="AG302" s="218">
        <f t="shared" si="217"/>
        <v>14804.391631916027</v>
      </c>
      <c r="AI302" s="266"/>
      <c r="AJ302" s="185" t="s">
        <v>629</v>
      </c>
    </row>
    <row r="303" spans="1:36" s="1" customFormat="1" outlineLevel="1">
      <c r="A303" t="s">
        <v>663</v>
      </c>
      <c r="B303" s="252" t="s">
        <v>127</v>
      </c>
      <c r="C303" s="218">
        <f>C296*C269</f>
        <v>0</v>
      </c>
      <c r="D303" s="218">
        <f t="shared" ref="D303:AG303" si="218">D296*D269</f>
        <v>0</v>
      </c>
      <c r="E303" s="218">
        <f t="shared" si="218"/>
        <v>0</v>
      </c>
      <c r="F303" s="218">
        <f t="shared" si="218"/>
        <v>0</v>
      </c>
      <c r="G303" s="218">
        <f t="shared" si="218"/>
        <v>0</v>
      </c>
      <c r="H303" s="218">
        <f t="shared" si="218"/>
        <v>0</v>
      </c>
      <c r="I303" s="218">
        <f t="shared" si="218"/>
        <v>0</v>
      </c>
      <c r="J303" s="218">
        <f t="shared" si="218"/>
        <v>0</v>
      </c>
      <c r="K303" s="218">
        <f t="shared" si="218"/>
        <v>0</v>
      </c>
      <c r="L303" s="218">
        <f t="shared" si="218"/>
        <v>0</v>
      </c>
      <c r="M303" s="218">
        <f t="shared" si="218"/>
        <v>0</v>
      </c>
      <c r="N303" s="218">
        <f t="shared" si="218"/>
        <v>0</v>
      </c>
      <c r="O303" s="218">
        <f t="shared" si="218"/>
        <v>0</v>
      </c>
      <c r="P303" s="218">
        <f t="shared" si="218"/>
        <v>0</v>
      </c>
      <c r="Q303" s="218">
        <f t="shared" si="218"/>
        <v>0</v>
      </c>
      <c r="R303" s="218">
        <f t="shared" si="218"/>
        <v>0</v>
      </c>
      <c r="S303" s="218">
        <f t="shared" si="218"/>
        <v>0</v>
      </c>
      <c r="T303" s="218">
        <f t="shared" si="218"/>
        <v>0</v>
      </c>
      <c r="U303" s="218">
        <f t="shared" si="218"/>
        <v>0</v>
      </c>
      <c r="V303" s="218">
        <f t="shared" si="218"/>
        <v>0</v>
      </c>
      <c r="W303" s="218">
        <f t="shared" si="218"/>
        <v>0</v>
      </c>
      <c r="X303" s="218">
        <f t="shared" si="218"/>
        <v>0</v>
      </c>
      <c r="Y303" s="218">
        <f t="shared" si="218"/>
        <v>0</v>
      </c>
      <c r="Z303" s="218">
        <f t="shared" si="218"/>
        <v>0</v>
      </c>
      <c r="AA303" s="218">
        <f t="shared" si="218"/>
        <v>0</v>
      </c>
      <c r="AB303" s="218">
        <f t="shared" si="218"/>
        <v>0</v>
      </c>
      <c r="AC303" s="218">
        <f t="shared" si="218"/>
        <v>0</v>
      </c>
      <c r="AD303" s="218">
        <f t="shared" si="218"/>
        <v>0</v>
      </c>
      <c r="AE303" s="218">
        <f t="shared" si="218"/>
        <v>0</v>
      </c>
      <c r="AF303" s="218">
        <f t="shared" si="218"/>
        <v>0</v>
      </c>
      <c r="AG303" s="218">
        <f t="shared" si="218"/>
        <v>0</v>
      </c>
      <c r="AI303" s="266"/>
      <c r="AJ303" s="185" t="s">
        <v>629</v>
      </c>
    </row>
    <row r="304" spans="1:36" s="1" customFormat="1" outlineLevel="1">
      <c r="A304" t="s">
        <v>684</v>
      </c>
      <c r="B304" s="252" t="s">
        <v>127</v>
      </c>
      <c r="C304" s="218">
        <f>C296*C270</f>
        <v>0</v>
      </c>
      <c r="D304" s="218">
        <f t="shared" ref="D304:AG304" si="219">D296*D270</f>
        <v>0</v>
      </c>
      <c r="E304" s="218">
        <f t="shared" si="219"/>
        <v>0</v>
      </c>
      <c r="F304" s="218">
        <f t="shared" si="219"/>
        <v>0</v>
      </c>
      <c r="G304" s="218">
        <f t="shared" si="219"/>
        <v>0</v>
      </c>
      <c r="H304" s="218">
        <f t="shared" si="219"/>
        <v>0</v>
      </c>
      <c r="I304" s="218">
        <f t="shared" si="219"/>
        <v>0</v>
      </c>
      <c r="J304" s="218">
        <f t="shared" si="219"/>
        <v>0</v>
      </c>
      <c r="K304" s="218">
        <f t="shared" si="219"/>
        <v>0</v>
      </c>
      <c r="L304" s="218">
        <f t="shared" si="219"/>
        <v>0</v>
      </c>
      <c r="M304" s="218">
        <f t="shared" si="219"/>
        <v>0</v>
      </c>
      <c r="N304" s="218">
        <f t="shared" si="219"/>
        <v>0</v>
      </c>
      <c r="O304" s="218">
        <f t="shared" si="219"/>
        <v>0</v>
      </c>
      <c r="P304" s="218">
        <f t="shared" si="219"/>
        <v>0</v>
      </c>
      <c r="Q304" s="218">
        <f t="shared" si="219"/>
        <v>0</v>
      </c>
      <c r="R304" s="218">
        <f t="shared" si="219"/>
        <v>0</v>
      </c>
      <c r="S304" s="218">
        <f t="shared" si="219"/>
        <v>0</v>
      </c>
      <c r="T304" s="218">
        <f t="shared" si="219"/>
        <v>0</v>
      </c>
      <c r="U304" s="218">
        <f t="shared" si="219"/>
        <v>0</v>
      </c>
      <c r="V304" s="218">
        <f t="shared" si="219"/>
        <v>0</v>
      </c>
      <c r="W304" s="218">
        <f t="shared" si="219"/>
        <v>0</v>
      </c>
      <c r="X304" s="218">
        <f t="shared" si="219"/>
        <v>0</v>
      </c>
      <c r="Y304" s="218">
        <f t="shared" si="219"/>
        <v>0</v>
      </c>
      <c r="Z304" s="218">
        <f t="shared" si="219"/>
        <v>0</v>
      </c>
      <c r="AA304" s="218">
        <f t="shared" si="219"/>
        <v>0</v>
      </c>
      <c r="AB304" s="218">
        <f t="shared" si="219"/>
        <v>0</v>
      </c>
      <c r="AC304" s="218">
        <f t="shared" si="219"/>
        <v>0</v>
      </c>
      <c r="AD304" s="218">
        <f t="shared" si="219"/>
        <v>0</v>
      </c>
      <c r="AE304" s="218">
        <f t="shared" si="219"/>
        <v>0</v>
      </c>
      <c r="AF304" s="218">
        <f t="shared" si="219"/>
        <v>0</v>
      </c>
      <c r="AG304" s="218">
        <f t="shared" si="219"/>
        <v>0</v>
      </c>
      <c r="AI304" s="266"/>
      <c r="AJ304" s="185" t="s">
        <v>629</v>
      </c>
    </row>
    <row r="305" spans="1:36" s="1" customFormat="1" outlineLevel="1">
      <c r="A305" t="s">
        <v>666</v>
      </c>
      <c r="B305" s="252" t="s">
        <v>127</v>
      </c>
      <c r="C305" s="218">
        <f t="shared" ref="C305:AG305" si="220">C301*C271</f>
        <v>17590.695398990738</v>
      </c>
      <c r="D305" s="218">
        <f t="shared" si="220"/>
        <v>18099.900747239546</v>
      </c>
      <c r="E305" s="218">
        <f t="shared" si="220"/>
        <v>18588.753523845811</v>
      </c>
      <c r="F305" s="218">
        <f t="shared" si="220"/>
        <v>19057.098657978535</v>
      </c>
      <c r="G305" s="218">
        <f t="shared" si="220"/>
        <v>19504.782861465494</v>
      </c>
      <c r="H305" s="218">
        <f t="shared" si="220"/>
        <v>19931.654619137265</v>
      </c>
      <c r="I305" s="218">
        <f t="shared" si="220"/>
        <v>20226.615617421368</v>
      </c>
      <c r="J305" s="218">
        <f t="shared" si="220"/>
        <v>20496.226961322765</v>
      </c>
      <c r="K305" s="218">
        <f t="shared" si="220"/>
        <v>20740.688099320756</v>
      </c>
      <c r="L305" s="218">
        <f t="shared" si="220"/>
        <v>20960.20362099211</v>
      </c>
      <c r="M305" s="218">
        <f t="shared" si="220"/>
        <v>21154.983203541869</v>
      </c>
      <c r="N305" s="218">
        <f t="shared" si="220"/>
        <v>21319.980001844931</v>
      </c>
      <c r="O305" s="218">
        <f t="shared" si="220"/>
        <v>21460.541078364968</v>
      </c>
      <c r="P305" s="218">
        <f t="shared" si="220"/>
        <v>21574.374720064472</v>
      </c>
      <c r="Q305" s="218">
        <f t="shared" si="220"/>
        <v>21664.188819983912</v>
      </c>
      <c r="R305" s="218">
        <f t="shared" si="220"/>
        <v>21730.240633073714</v>
      </c>
      <c r="S305" s="218">
        <f t="shared" si="220"/>
        <v>21772.794765377948</v>
      </c>
      <c r="T305" s="218">
        <f t="shared" si="220"/>
        <v>21792.116312615683</v>
      </c>
      <c r="U305" s="218">
        <f t="shared" si="220"/>
        <v>21788.477575566045</v>
      </c>
      <c r="V305" s="218">
        <f t="shared" si="220"/>
        <v>21762.155766989894</v>
      </c>
      <c r="W305" s="218">
        <f t="shared" si="220"/>
        <v>21713.432959382313</v>
      </c>
      <c r="X305" s="218">
        <f t="shared" si="220"/>
        <v>21642.579287433771</v>
      </c>
      <c r="Y305" s="218">
        <f t="shared" si="220"/>
        <v>21549.903054482464</v>
      </c>
      <c r="Z305" s="218">
        <f t="shared" si="220"/>
        <v>21429.209451509949</v>
      </c>
      <c r="AA305" s="218">
        <f t="shared" si="220"/>
        <v>21287.175140705571</v>
      </c>
      <c r="AB305" s="218">
        <f t="shared" si="220"/>
        <v>21124.125110709723</v>
      </c>
      <c r="AC305" s="218">
        <f t="shared" si="220"/>
        <v>20936.43363309246</v>
      </c>
      <c r="AD305" s="218">
        <f t="shared" si="220"/>
        <v>20728.412837295851</v>
      </c>
      <c r="AE305" s="218">
        <f t="shared" si="220"/>
        <v>20500.415497828955</v>
      </c>
      <c r="AF305" s="218">
        <f t="shared" si="220"/>
        <v>20252.799682035147</v>
      </c>
      <c r="AG305" s="218">
        <f t="shared" si="220"/>
        <v>19985.928703086636</v>
      </c>
      <c r="AI305" s="266"/>
      <c r="AJ305" s="185"/>
    </row>
    <row r="306" spans="1:36" s="61" customFormat="1">
      <c r="A306" s="294" t="s">
        <v>657</v>
      </c>
      <c r="B306" s="258" t="s">
        <v>127</v>
      </c>
      <c r="C306" s="259">
        <f>C272*C$291</f>
        <v>474458.74409909046</v>
      </c>
      <c r="D306" s="259">
        <f t="shared" ref="D306:AG311" si="221">D272*D$291</f>
        <v>465410.92205920775</v>
      </c>
      <c r="E306" s="259">
        <f t="shared" si="221"/>
        <v>456318.60413427238</v>
      </c>
      <c r="F306" s="259">
        <f t="shared" si="221"/>
        <v>447182.29619101685</v>
      </c>
      <c r="G306" s="259">
        <f t="shared" si="221"/>
        <v>438002.57069775747</v>
      </c>
      <c r="H306" s="259">
        <f t="shared" si="221"/>
        <v>428779.99705138104</v>
      </c>
      <c r="I306" s="259">
        <f t="shared" si="221"/>
        <v>417320.18797311391</v>
      </c>
      <c r="J306" s="259">
        <f t="shared" si="221"/>
        <v>405925.15395660879</v>
      </c>
      <c r="K306" s="259">
        <f t="shared" si="221"/>
        <v>394594.883256022</v>
      </c>
      <c r="L306" s="259">
        <f t="shared" si="221"/>
        <v>383329.36314745707</v>
      </c>
      <c r="M306" s="259">
        <f t="shared" si="221"/>
        <v>372128.5799347267</v>
      </c>
      <c r="N306" s="259">
        <f t="shared" si="221"/>
        <v>363369.8217209407</v>
      </c>
      <c r="O306" s="259">
        <f t="shared" si="221"/>
        <v>354663.07066759758</v>
      </c>
      <c r="P306" s="259">
        <f t="shared" si="221"/>
        <v>345960.35618210665</v>
      </c>
      <c r="Q306" s="259">
        <f t="shared" si="221"/>
        <v>337311.24799993995</v>
      </c>
      <c r="R306" s="259">
        <f t="shared" si="221"/>
        <v>328715.97092501429</v>
      </c>
      <c r="S306" s="259">
        <f t="shared" si="221"/>
        <v>320174.79249092657</v>
      </c>
      <c r="T306" s="259">
        <f t="shared" si="221"/>
        <v>311687.88813823555</v>
      </c>
      <c r="U306" s="259">
        <f t="shared" si="221"/>
        <v>303255.47736132838</v>
      </c>
      <c r="V306" s="259">
        <f t="shared" si="221"/>
        <v>294877.77792359656</v>
      </c>
      <c r="W306" s="259">
        <f t="shared" si="221"/>
        <v>286555.00586244039</v>
      </c>
      <c r="X306" s="259">
        <f t="shared" si="221"/>
        <v>275646.32617095939</v>
      </c>
      <c r="Y306" s="259">
        <f t="shared" si="221"/>
        <v>264813.09530843102</v>
      </c>
      <c r="Z306" s="259">
        <f t="shared" si="221"/>
        <v>253962.12849237453</v>
      </c>
      <c r="AA306" s="259">
        <f t="shared" si="221"/>
        <v>243191.66379478239</v>
      </c>
      <c r="AB306" s="259">
        <f t="shared" si="221"/>
        <v>232502.41669295257</v>
      </c>
      <c r="AC306" s="259">
        <f t="shared" si="221"/>
        <v>221855.33627985814</v>
      </c>
      <c r="AD306" s="259">
        <f t="shared" si="221"/>
        <v>211294.02683830116</v>
      </c>
      <c r="AE306" s="259">
        <f t="shared" si="221"/>
        <v>200819.1949911954</v>
      </c>
      <c r="AF306" s="259">
        <f t="shared" si="221"/>
        <v>190431.55000953015</v>
      </c>
      <c r="AG306" s="259">
        <f t="shared" si="221"/>
        <v>180131.80375682903</v>
      </c>
      <c r="AI306" s="286"/>
      <c r="AJ306" s="297"/>
    </row>
    <row r="307" spans="1:36">
      <c r="A307" s="295" t="s">
        <v>658</v>
      </c>
      <c r="B307" s="252" t="s">
        <v>127</v>
      </c>
      <c r="C307" s="218">
        <f t="shared" ref="C307:R311" si="222">C273*C$291</f>
        <v>4891.3272587535103</v>
      </c>
      <c r="D307" s="218">
        <f t="shared" si="222"/>
        <v>4796.4024945985002</v>
      </c>
      <c r="E307" s="218">
        <f t="shared" si="222"/>
        <v>4701.0845206140702</v>
      </c>
      <c r="F307" s="218">
        <f t="shared" si="222"/>
        <v>4605.3789515037788</v>
      </c>
      <c r="G307" s="218">
        <f t="shared" si="222"/>
        <v>4509.2920799357335</v>
      </c>
      <c r="H307" s="218">
        <f t="shared" si="222"/>
        <v>4412.8301583332532</v>
      </c>
      <c r="I307" s="218">
        <f t="shared" si="222"/>
        <v>4293.4175717398557</v>
      </c>
      <c r="J307" s="218">
        <f t="shared" si="222"/>
        <v>4174.75304034908</v>
      </c>
      <c r="K307" s="218">
        <f t="shared" si="222"/>
        <v>4056.8356743251079</v>
      </c>
      <c r="L307" s="218">
        <f t="shared" si="222"/>
        <v>3939.66457499956</v>
      </c>
      <c r="M307" s="218">
        <f t="shared" si="222"/>
        <v>3823.2388349458238</v>
      </c>
      <c r="N307" s="218">
        <f t="shared" si="222"/>
        <v>3731.9735199001116</v>
      </c>
      <c r="O307" s="218">
        <f t="shared" si="222"/>
        <v>3641.3046269773895</v>
      </c>
      <c r="P307" s="218">
        <f t="shared" si="222"/>
        <v>3550.7392013216577</v>
      </c>
      <c r="Q307" s="218">
        <f t="shared" si="222"/>
        <v>3460.7857181936406</v>
      </c>
      <c r="R307" s="218">
        <f t="shared" si="222"/>
        <v>3371.4458556411741</v>
      </c>
      <c r="S307" s="218">
        <f t="shared" si="221"/>
        <v>3282.7217275214639</v>
      </c>
      <c r="T307" s="218">
        <f t="shared" si="221"/>
        <v>3194.6145009043639</v>
      </c>
      <c r="U307" s="218">
        <f t="shared" si="221"/>
        <v>3107.1257926365633</v>
      </c>
      <c r="V307" s="218">
        <f t="shared" si="221"/>
        <v>3020.2571996271436</v>
      </c>
      <c r="W307" s="218">
        <f t="shared" si="221"/>
        <v>2934.0102989328393</v>
      </c>
      <c r="X307" s="218">
        <f t="shared" si="221"/>
        <v>2821.3544132135071</v>
      </c>
      <c r="Y307" s="218">
        <f t="shared" si="221"/>
        <v>2709.5473599089146</v>
      </c>
      <c r="Z307" s="218">
        <f t="shared" si="221"/>
        <v>2597.6351363011399</v>
      </c>
      <c r="AA307" s="218">
        <f t="shared" si="221"/>
        <v>2486.6223291900064</v>
      </c>
      <c r="AB307" s="218">
        <f t="shared" si="221"/>
        <v>2376.5153324662979</v>
      </c>
      <c r="AC307" s="218">
        <f t="shared" si="221"/>
        <v>2266.9141990448743</v>
      </c>
      <c r="AD307" s="218">
        <f t="shared" si="221"/>
        <v>2158.263808358543</v>
      </c>
      <c r="AE307" s="218">
        <f t="shared" si="221"/>
        <v>2050.5704049475385</v>
      </c>
      <c r="AF307" s="218">
        <f t="shared" si="221"/>
        <v>1943.8402518836037</v>
      </c>
      <c r="AG307" s="218">
        <f t="shared" si="221"/>
        <v>1838.0796301717248</v>
      </c>
      <c r="AI307" s="246"/>
    </row>
    <row r="308" spans="1:36">
      <c r="A308" s="295" t="s">
        <v>659</v>
      </c>
      <c r="B308" s="252" t="s">
        <v>127</v>
      </c>
      <c r="C308" s="218">
        <f t="shared" si="222"/>
        <v>0</v>
      </c>
      <c r="D308" s="218">
        <f t="shared" si="221"/>
        <v>0</v>
      </c>
      <c r="E308" s="218">
        <f t="shared" si="221"/>
        <v>0</v>
      </c>
      <c r="F308" s="218">
        <f t="shared" si="221"/>
        <v>0</v>
      </c>
      <c r="G308" s="218">
        <f t="shared" si="221"/>
        <v>0</v>
      </c>
      <c r="H308" s="218">
        <f t="shared" si="221"/>
        <v>0</v>
      </c>
      <c r="I308" s="218">
        <f t="shared" si="221"/>
        <v>0</v>
      </c>
      <c r="J308" s="218">
        <f t="shared" si="221"/>
        <v>0</v>
      </c>
      <c r="K308" s="218">
        <f t="shared" si="221"/>
        <v>0</v>
      </c>
      <c r="L308" s="218">
        <f t="shared" si="221"/>
        <v>0</v>
      </c>
      <c r="M308" s="218">
        <f t="shared" si="221"/>
        <v>0</v>
      </c>
      <c r="N308" s="218">
        <f t="shared" si="221"/>
        <v>0</v>
      </c>
      <c r="O308" s="218">
        <f t="shared" si="221"/>
        <v>0</v>
      </c>
      <c r="P308" s="218">
        <f t="shared" si="221"/>
        <v>0</v>
      </c>
      <c r="Q308" s="218">
        <f t="shared" si="221"/>
        <v>0</v>
      </c>
      <c r="R308" s="218">
        <f t="shared" si="221"/>
        <v>0</v>
      </c>
      <c r="S308" s="218">
        <f t="shared" si="221"/>
        <v>0</v>
      </c>
      <c r="T308" s="218">
        <f t="shared" si="221"/>
        <v>0</v>
      </c>
      <c r="U308" s="218">
        <f t="shared" si="221"/>
        <v>0</v>
      </c>
      <c r="V308" s="218">
        <f t="shared" si="221"/>
        <v>0</v>
      </c>
      <c r="W308" s="218">
        <f t="shared" si="221"/>
        <v>0</v>
      </c>
      <c r="X308" s="218">
        <f t="shared" si="221"/>
        <v>0</v>
      </c>
      <c r="Y308" s="218">
        <f t="shared" si="221"/>
        <v>0</v>
      </c>
      <c r="Z308" s="218">
        <f t="shared" si="221"/>
        <v>0</v>
      </c>
      <c r="AA308" s="218">
        <f t="shared" si="221"/>
        <v>0</v>
      </c>
      <c r="AB308" s="218">
        <f t="shared" si="221"/>
        <v>0</v>
      </c>
      <c r="AC308" s="218">
        <f t="shared" si="221"/>
        <v>0</v>
      </c>
      <c r="AD308" s="218">
        <f t="shared" si="221"/>
        <v>0</v>
      </c>
      <c r="AE308" s="218">
        <f t="shared" si="221"/>
        <v>0</v>
      </c>
      <c r="AF308" s="218">
        <f t="shared" si="221"/>
        <v>0</v>
      </c>
      <c r="AG308" s="218">
        <f t="shared" si="221"/>
        <v>0</v>
      </c>
      <c r="AI308" s="246"/>
    </row>
    <row r="309" spans="1:36">
      <c r="A309" s="295" t="s">
        <v>660</v>
      </c>
      <c r="B309" s="252" t="s">
        <v>127</v>
      </c>
      <c r="C309" s="218">
        <f t="shared" si="222"/>
        <v>0</v>
      </c>
      <c r="D309" s="218">
        <f t="shared" si="221"/>
        <v>0</v>
      </c>
      <c r="E309" s="218">
        <f t="shared" si="221"/>
        <v>0</v>
      </c>
      <c r="F309" s="218">
        <f t="shared" si="221"/>
        <v>0</v>
      </c>
      <c r="G309" s="218">
        <f t="shared" si="221"/>
        <v>0</v>
      </c>
      <c r="H309" s="218">
        <f t="shared" si="221"/>
        <v>0</v>
      </c>
      <c r="I309" s="218">
        <f t="shared" si="221"/>
        <v>0</v>
      </c>
      <c r="J309" s="218">
        <f t="shared" si="221"/>
        <v>0</v>
      </c>
      <c r="K309" s="218">
        <f t="shared" si="221"/>
        <v>0</v>
      </c>
      <c r="L309" s="218">
        <f t="shared" si="221"/>
        <v>0</v>
      </c>
      <c r="M309" s="218">
        <f t="shared" si="221"/>
        <v>0</v>
      </c>
      <c r="N309" s="218">
        <f t="shared" si="221"/>
        <v>0</v>
      </c>
      <c r="O309" s="218">
        <f t="shared" si="221"/>
        <v>0</v>
      </c>
      <c r="P309" s="218">
        <f t="shared" si="221"/>
        <v>0</v>
      </c>
      <c r="Q309" s="218">
        <f t="shared" si="221"/>
        <v>0</v>
      </c>
      <c r="R309" s="218">
        <f t="shared" si="221"/>
        <v>0</v>
      </c>
      <c r="S309" s="218">
        <f t="shared" si="221"/>
        <v>0</v>
      </c>
      <c r="T309" s="218">
        <f t="shared" si="221"/>
        <v>0</v>
      </c>
      <c r="U309" s="218">
        <f t="shared" si="221"/>
        <v>0</v>
      </c>
      <c r="V309" s="218">
        <f t="shared" si="221"/>
        <v>0</v>
      </c>
      <c r="W309" s="218">
        <f t="shared" si="221"/>
        <v>0</v>
      </c>
      <c r="X309" s="218">
        <f t="shared" si="221"/>
        <v>0</v>
      </c>
      <c r="Y309" s="218">
        <f t="shared" si="221"/>
        <v>0</v>
      </c>
      <c r="Z309" s="218">
        <f t="shared" si="221"/>
        <v>0</v>
      </c>
      <c r="AA309" s="218">
        <f t="shared" si="221"/>
        <v>0</v>
      </c>
      <c r="AB309" s="218">
        <f t="shared" si="221"/>
        <v>0</v>
      </c>
      <c r="AC309" s="218">
        <f t="shared" si="221"/>
        <v>0</v>
      </c>
      <c r="AD309" s="218">
        <f t="shared" si="221"/>
        <v>0</v>
      </c>
      <c r="AE309" s="218">
        <f t="shared" si="221"/>
        <v>0</v>
      </c>
      <c r="AF309" s="218">
        <f t="shared" si="221"/>
        <v>0</v>
      </c>
      <c r="AG309" s="218">
        <f t="shared" si="221"/>
        <v>0</v>
      </c>
      <c r="AI309" s="246"/>
    </row>
    <row r="310" spans="1:36">
      <c r="A310" s="295" t="s">
        <v>661</v>
      </c>
      <c r="B310" s="252" t="s">
        <v>127</v>
      </c>
      <c r="C310" s="218">
        <f t="shared" si="222"/>
        <v>7336.9908881302645</v>
      </c>
      <c r="D310" s="218">
        <f t="shared" si="221"/>
        <v>7066.6996753751237</v>
      </c>
      <c r="E310" s="218">
        <f t="shared" si="221"/>
        <v>6800.9022731550212</v>
      </c>
      <c r="F310" s="218">
        <f t="shared" si="221"/>
        <v>6539.6381111353658</v>
      </c>
      <c r="G310" s="218">
        <f t="shared" si="221"/>
        <v>6282.9469647104543</v>
      </c>
      <c r="H310" s="218">
        <f t="shared" si="221"/>
        <v>6030.8678830554454</v>
      </c>
      <c r="I310" s="218">
        <f t="shared" si="221"/>
        <v>5753.1795461314068</v>
      </c>
      <c r="J310" s="218">
        <f t="shared" si="221"/>
        <v>5482.8423263251243</v>
      </c>
      <c r="K310" s="218">
        <f t="shared" si="221"/>
        <v>5219.7952342983044</v>
      </c>
      <c r="L310" s="218">
        <f t="shared" si="221"/>
        <v>4963.9773644994448</v>
      </c>
      <c r="M310" s="218">
        <f t="shared" si="221"/>
        <v>4715.3278964331821</v>
      </c>
      <c r="N310" s="218">
        <f t="shared" si="221"/>
        <v>4503.2480473461337</v>
      </c>
      <c r="O310" s="218">
        <f t="shared" si="221"/>
        <v>4296.7394598333185</v>
      </c>
      <c r="P310" s="218">
        <f t="shared" si="221"/>
        <v>4095.1858788576446</v>
      </c>
      <c r="Q310" s="218">
        <f t="shared" si="221"/>
        <v>3899.1519091648338</v>
      </c>
      <c r="R310" s="218">
        <f t="shared" si="221"/>
        <v>3708.5904412052905</v>
      </c>
      <c r="S310" s="218">
        <f t="shared" si="221"/>
        <v>3523.4546542063704</v>
      </c>
      <c r="T310" s="218">
        <f t="shared" si="221"/>
        <v>3343.6965109465668</v>
      </c>
      <c r="U310" s="218">
        <f t="shared" si="221"/>
        <v>3169.2683084892938</v>
      </c>
      <c r="V310" s="218">
        <f t="shared" si="221"/>
        <v>3000.1221516296282</v>
      </c>
      <c r="W310" s="218">
        <f t="shared" si="221"/>
        <v>2836.2099556350768</v>
      </c>
      <c r="X310" s="218">
        <f t="shared" si="221"/>
        <v>2652.0731484206958</v>
      </c>
      <c r="Y310" s="218">
        <f t="shared" si="221"/>
        <v>2474.7199220501411</v>
      </c>
      <c r="Z310" s="218">
        <f t="shared" si="221"/>
        <v>2303.236487520343</v>
      </c>
      <c r="AA310" s="218">
        <f t="shared" si="221"/>
        <v>2138.4952031034045</v>
      </c>
      <c r="AB310" s="218">
        <f t="shared" si="221"/>
        <v>1980.4294437219139</v>
      </c>
      <c r="AC310" s="218">
        <f t="shared" si="221"/>
        <v>1828.6441205628644</v>
      </c>
      <c r="AD310" s="218">
        <f t="shared" si="221"/>
        <v>1683.4457705196628</v>
      </c>
      <c r="AE310" s="218">
        <f t="shared" si="221"/>
        <v>1544.7630383938117</v>
      </c>
      <c r="AF310" s="218">
        <f t="shared" si="221"/>
        <v>1412.5239163687511</v>
      </c>
      <c r="AG310" s="218">
        <f t="shared" si="221"/>
        <v>1286.6557411202073</v>
      </c>
      <c r="AI310" s="246"/>
    </row>
    <row r="311" spans="1:36" s="62" customFormat="1">
      <c r="A311" s="296" t="s">
        <v>662</v>
      </c>
      <c r="B311" s="262" t="s">
        <v>127</v>
      </c>
      <c r="C311" s="263">
        <f t="shared" si="222"/>
        <v>2445.6636293767551</v>
      </c>
      <c r="D311" s="263">
        <f t="shared" si="221"/>
        <v>2366.2252306685937</v>
      </c>
      <c r="E311" s="263">
        <f t="shared" si="221"/>
        <v>2287.8611333655149</v>
      </c>
      <c r="F311" s="263">
        <f t="shared" si="221"/>
        <v>2210.5818967218142</v>
      </c>
      <c r="G311" s="263">
        <f t="shared" si="221"/>
        <v>2134.3982511695813</v>
      </c>
      <c r="H311" s="263">
        <f t="shared" si="221"/>
        <v>2059.320740555519</v>
      </c>
      <c r="I311" s="263">
        <f t="shared" si="221"/>
        <v>1974.9720830003348</v>
      </c>
      <c r="J311" s="263">
        <f t="shared" si="221"/>
        <v>1892.5547116249174</v>
      </c>
      <c r="K311" s="263">
        <f t="shared" si="221"/>
        <v>1812.0532678652162</v>
      </c>
      <c r="L311" s="263">
        <f t="shared" si="221"/>
        <v>1733.4524129998078</v>
      </c>
      <c r="M311" s="263">
        <f t="shared" si="221"/>
        <v>1656.7368284765253</v>
      </c>
      <c r="N311" s="263">
        <f t="shared" si="221"/>
        <v>1592.3087018240494</v>
      </c>
      <c r="O311" s="263">
        <f t="shared" si="221"/>
        <v>1529.3479433305054</v>
      </c>
      <c r="P311" s="263">
        <f t="shared" si="221"/>
        <v>1467.6388698796204</v>
      </c>
      <c r="Q311" s="263">
        <f t="shared" si="221"/>
        <v>1407.3861920654158</v>
      </c>
      <c r="R311" s="263">
        <f t="shared" si="221"/>
        <v>1348.5783422564716</v>
      </c>
      <c r="S311" s="263">
        <f t="shared" si="221"/>
        <v>1291.2038794917778</v>
      </c>
      <c r="T311" s="263">
        <f t="shared" si="221"/>
        <v>1235.2509403496895</v>
      </c>
      <c r="U311" s="263">
        <f t="shared" si="221"/>
        <v>1180.707801201896</v>
      </c>
      <c r="V311" s="263">
        <f t="shared" si="221"/>
        <v>1127.5626878608023</v>
      </c>
      <c r="W311" s="263">
        <f t="shared" si="221"/>
        <v>1075.8037762753763</v>
      </c>
      <c r="X311" s="263">
        <f t="shared" si="221"/>
        <v>1015.6875887568643</v>
      </c>
      <c r="Y311" s="263">
        <f t="shared" si="221"/>
        <v>957.37340050115154</v>
      </c>
      <c r="Z311" s="263">
        <f t="shared" si="221"/>
        <v>900.51351391773005</v>
      </c>
      <c r="AA311" s="263">
        <f t="shared" si="221"/>
        <v>845.4515919246038</v>
      </c>
      <c r="AB311" s="263">
        <f t="shared" si="221"/>
        <v>792.17177748876748</v>
      </c>
      <c r="AC311" s="263">
        <f t="shared" si="221"/>
        <v>740.52530502132697</v>
      </c>
      <c r="AD311" s="263">
        <f t="shared" si="221"/>
        <v>690.64441867473511</v>
      </c>
      <c r="AE311" s="263">
        <f t="shared" si="221"/>
        <v>642.51206021689666</v>
      </c>
      <c r="AF311" s="263">
        <f t="shared" si="221"/>
        <v>596.1110105776396</v>
      </c>
      <c r="AG311" s="263">
        <f t="shared" si="221"/>
        <v>551.42388905151745</v>
      </c>
      <c r="AI311" s="264"/>
      <c r="AJ311" s="265"/>
    </row>
    <row r="312" spans="1:36" s="160" customFormat="1">
      <c r="B312" s="156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J312" s="272"/>
    </row>
    <row r="313" spans="1:36" s="160" customFormat="1">
      <c r="A313" s="160" t="s">
        <v>1054</v>
      </c>
      <c r="B313" s="299" t="s">
        <v>127</v>
      </c>
      <c r="C313" s="203">
        <f>C246</f>
        <v>64870.026675377754</v>
      </c>
      <c r="D313" s="203">
        <f t="shared" ref="D313:AG313" si="223">D246</f>
        <v>73039.320641801445</v>
      </c>
      <c r="E313" s="203">
        <f t="shared" si="223"/>
        <v>81251.077770096614</v>
      </c>
      <c r="F313" s="203">
        <f t="shared" si="223"/>
        <v>89504.729165096869</v>
      </c>
      <c r="G313" s="203">
        <f t="shared" si="223"/>
        <v>97799.638152649321</v>
      </c>
      <c r="H313" s="203">
        <f t="shared" si="223"/>
        <v>106135.17210050763</v>
      </c>
      <c r="I313" s="203">
        <f t="shared" si="223"/>
        <v>113789.65960571487</v>
      </c>
      <c r="J313" s="203">
        <f t="shared" si="223"/>
        <v>121385.60054627834</v>
      </c>
      <c r="K313" s="203">
        <f t="shared" si="223"/>
        <v>128923.03301115113</v>
      </c>
      <c r="L313" s="203">
        <f t="shared" si="223"/>
        <v>136401.99611801366</v>
      </c>
      <c r="M313" s="203">
        <f t="shared" si="223"/>
        <v>143822.53000544617</v>
      </c>
      <c r="N313" s="203">
        <f t="shared" si="223"/>
        <v>148614.29976925396</v>
      </c>
      <c r="O313" s="203">
        <f t="shared" si="223"/>
        <v>153363.00182758155</v>
      </c>
      <c r="P313" s="203">
        <f t="shared" si="223"/>
        <v>158057.65795278552</v>
      </c>
      <c r="Q313" s="203">
        <f t="shared" si="223"/>
        <v>162707.47572948091</v>
      </c>
      <c r="R313" s="203">
        <f t="shared" si="223"/>
        <v>167312.23723632976</v>
      </c>
      <c r="S313" s="203">
        <f t="shared" si="223"/>
        <v>171871.7334981224</v>
      </c>
      <c r="T313" s="203">
        <f t="shared" si="223"/>
        <v>176385.74535171391</v>
      </c>
      <c r="U313" s="203">
        <f t="shared" si="223"/>
        <v>180854.06141466909</v>
      </c>
      <c r="V313" s="203">
        <f t="shared" si="223"/>
        <v>185276.47243691771</v>
      </c>
      <c r="W313" s="203">
        <f t="shared" si="223"/>
        <v>189652.77129186213</v>
      </c>
      <c r="X313" s="203">
        <f t="shared" si="223"/>
        <v>196685.60595082236</v>
      </c>
      <c r="Y313" s="203">
        <f t="shared" si="223"/>
        <v>203649.51763964817</v>
      </c>
      <c r="Z313" s="203">
        <f t="shared" si="223"/>
        <v>210497.40918450087</v>
      </c>
      <c r="AA313" s="203">
        <f t="shared" si="223"/>
        <v>217269.43100180218</v>
      </c>
      <c r="AB313" s="203">
        <f t="shared" si="223"/>
        <v>223964.90890223553</v>
      </c>
      <c r="AC313" s="203">
        <f t="shared" si="223"/>
        <v>230537.40671810639</v>
      </c>
      <c r="AD313" s="203">
        <f t="shared" si="223"/>
        <v>237029.17944806514</v>
      </c>
      <c r="AE313" s="203">
        <f t="shared" si="223"/>
        <v>243439.56678877398</v>
      </c>
      <c r="AF313" s="203">
        <f t="shared" si="223"/>
        <v>249767.90665858076</v>
      </c>
      <c r="AG313" s="203">
        <f t="shared" si="223"/>
        <v>256013.53525721922</v>
      </c>
      <c r="AI313" s="616"/>
      <c r="AJ313" s="272"/>
    </row>
    <row r="314" spans="1:36" s="160" customFormat="1">
      <c r="A314" s="160" t="s">
        <v>1055</v>
      </c>
      <c r="B314" s="298" t="s">
        <v>127</v>
      </c>
      <c r="C314" s="218">
        <f>C313/(1-C271)</f>
        <v>88863.050240243494</v>
      </c>
      <c r="D314" s="218">
        <f t="shared" ref="D314:AG314" si="224">D313/(1-D271)</f>
        <v>99508.611228612324</v>
      </c>
      <c r="E314" s="218">
        <f t="shared" si="224"/>
        <v>110096.31134159432</v>
      </c>
      <c r="F314" s="218">
        <f t="shared" si="224"/>
        <v>120626.3196295106</v>
      </c>
      <c r="G314" s="218">
        <f t="shared" si="224"/>
        <v>131098.71066038782</v>
      </c>
      <c r="H314" s="218">
        <f t="shared" si="224"/>
        <v>141513.56280067682</v>
      </c>
      <c r="I314" s="218">
        <f t="shared" si="224"/>
        <v>150914.66791208868</v>
      </c>
      <c r="J314" s="218">
        <f t="shared" si="224"/>
        <v>160139.31470485267</v>
      </c>
      <c r="K314" s="218">
        <f t="shared" si="224"/>
        <v>169190.33203563141</v>
      </c>
      <c r="L314" s="218">
        <f t="shared" si="224"/>
        <v>178070.49101568363</v>
      </c>
      <c r="M314" s="218">
        <f t="shared" si="224"/>
        <v>186782.50650057945</v>
      </c>
      <c r="N314" s="218">
        <f t="shared" si="224"/>
        <v>192008.13923676222</v>
      </c>
      <c r="O314" s="218">
        <f t="shared" si="224"/>
        <v>197124.68101231562</v>
      </c>
      <c r="P314" s="218">
        <f t="shared" si="224"/>
        <v>202119.76720305052</v>
      </c>
      <c r="Q314" s="218">
        <f t="shared" si="224"/>
        <v>207006.96657694771</v>
      </c>
      <c r="R314" s="218">
        <f t="shared" si="224"/>
        <v>211787.64207130347</v>
      </c>
      <c r="S314" s="218">
        <f t="shared" si="224"/>
        <v>216463.14042584682</v>
      </c>
      <c r="T314" s="218">
        <f t="shared" si="224"/>
        <v>221034.76861117029</v>
      </c>
      <c r="U314" s="218">
        <f t="shared" si="224"/>
        <v>225503.81722527317</v>
      </c>
      <c r="V314" s="218">
        <f t="shared" si="224"/>
        <v>229871.55389195745</v>
      </c>
      <c r="W314" s="218">
        <f t="shared" si="224"/>
        <v>234139.22381711373</v>
      </c>
      <c r="X314" s="218">
        <f t="shared" si="224"/>
        <v>241628.50853909377</v>
      </c>
      <c r="Y314" s="218">
        <f t="shared" si="224"/>
        <v>248960.2905130173</v>
      </c>
      <c r="Z314" s="218">
        <f t="shared" si="224"/>
        <v>256079.57321715431</v>
      </c>
      <c r="AA314" s="218">
        <f t="shared" si="224"/>
        <v>263038.05206029315</v>
      </c>
      <c r="AB314" s="218">
        <f t="shared" si="224"/>
        <v>269837.23964124761</v>
      </c>
      <c r="AC314" s="218">
        <f t="shared" si="224"/>
        <v>276423.74906247767</v>
      </c>
      <c r="AD314" s="218">
        <f t="shared" si="224"/>
        <v>282851.04946069821</v>
      </c>
      <c r="AE314" s="218">
        <f t="shared" si="224"/>
        <v>289120.62563987408</v>
      </c>
      <c r="AF314" s="218">
        <f t="shared" si="224"/>
        <v>295233.93222054461</v>
      </c>
      <c r="AG314" s="218">
        <f t="shared" si="224"/>
        <v>301192.39442025789</v>
      </c>
      <c r="AI314" s="616"/>
      <c r="AJ314" s="272"/>
    </row>
    <row r="315" spans="1:36" s="160" customFormat="1">
      <c r="A315" s="160" t="s">
        <v>1056</v>
      </c>
      <c r="B315" s="298" t="s">
        <v>127</v>
      </c>
      <c r="C315" s="218">
        <f>C303</f>
        <v>0</v>
      </c>
      <c r="D315" s="218">
        <f t="shared" ref="D315:AG315" si="225">D303</f>
        <v>0</v>
      </c>
      <c r="E315" s="218">
        <f t="shared" si="225"/>
        <v>0</v>
      </c>
      <c r="F315" s="218">
        <f t="shared" si="225"/>
        <v>0</v>
      </c>
      <c r="G315" s="218">
        <f t="shared" si="225"/>
        <v>0</v>
      </c>
      <c r="H315" s="218">
        <f t="shared" si="225"/>
        <v>0</v>
      </c>
      <c r="I315" s="218">
        <f t="shared" si="225"/>
        <v>0</v>
      </c>
      <c r="J315" s="218">
        <f t="shared" si="225"/>
        <v>0</v>
      </c>
      <c r="K315" s="218">
        <f t="shared" si="225"/>
        <v>0</v>
      </c>
      <c r="L315" s="218">
        <f t="shared" si="225"/>
        <v>0</v>
      </c>
      <c r="M315" s="218">
        <f t="shared" si="225"/>
        <v>0</v>
      </c>
      <c r="N315" s="218">
        <f t="shared" si="225"/>
        <v>0</v>
      </c>
      <c r="O315" s="218">
        <f t="shared" si="225"/>
        <v>0</v>
      </c>
      <c r="P315" s="218">
        <f t="shared" si="225"/>
        <v>0</v>
      </c>
      <c r="Q315" s="218">
        <f t="shared" si="225"/>
        <v>0</v>
      </c>
      <c r="R315" s="218">
        <f t="shared" si="225"/>
        <v>0</v>
      </c>
      <c r="S315" s="218">
        <f t="shared" si="225"/>
        <v>0</v>
      </c>
      <c r="T315" s="218">
        <f t="shared" si="225"/>
        <v>0</v>
      </c>
      <c r="U315" s="218">
        <f t="shared" si="225"/>
        <v>0</v>
      </c>
      <c r="V315" s="218">
        <f t="shared" si="225"/>
        <v>0</v>
      </c>
      <c r="W315" s="218">
        <f t="shared" si="225"/>
        <v>0</v>
      </c>
      <c r="X315" s="218">
        <f t="shared" si="225"/>
        <v>0</v>
      </c>
      <c r="Y315" s="218">
        <f t="shared" si="225"/>
        <v>0</v>
      </c>
      <c r="Z315" s="218">
        <f t="shared" si="225"/>
        <v>0</v>
      </c>
      <c r="AA315" s="218">
        <f t="shared" si="225"/>
        <v>0</v>
      </c>
      <c r="AB315" s="218">
        <f t="shared" si="225"/>
        <v>0</v>
      </c>
      <c r="AC315" s="218">
        <f t="shared" si="225"/>
        <v>0</v>
      </c>
      <c r="AD315" s="218">
        <f t="shared" si="225"/>
        <v>0</v>
      </c>
      <c r="AE315" s="218">
        <f t="shared" si="225"/>
        <v>0</v>
      </c>
      <c r="AF315" s="218">
        <f t="shared" si="225"/>
        <v>0</v>
      </c>
      <c r="AG315" s="218">
        <f t="shared" si="225"/>
        <v>0</v>
      </c>
      <c r="AI315" s="616"/>
      <c r="AJ315" s="272"/>
    </row>
    <row r="316" spans="1:36" s="160" customFormat="1">
      <c r="A316" s="160" t="s">
        <v>1057</v>
      </c>
      <c r="B316" s="298" t="s">
        <v>127</v>
      </c>
      <c r="C316" s="218">
        <f>C314-C315</f>
        <v>88863.050240243494</v>
      </c>
      <c r="D316" s="218">
        <f t="shared" ref="D316:AG316" si="226">D314-D315</f>
        <v>99508.611228612324</v>
      </c>
      <c r="E316" s="218">
        <f t="shared" si="226"/>
        <v>110096.31134159432</v>
      </c>
      <c r="F316" s="218">
        <f t="shared" si="226"/>
        <v>120626.3196295106</v>
      </c>
      <c r="G316" s="218">
        <f t="shared" si="226"/>
        <v>131098.71066038782</v>
      </c>
      <c r="H316" s="218">
        <f t="shared" si="226"/>
        <v>141513.56280067682</v>
      </c>
      <c r="I316" s="218">
        <f t="shared" si="226"/>
        <v>150914.66791208868</v>
      </c>
      <c r="J316" s="218">
        <f t="shared" si="226"/>
        <v>160139.31470485267</v>
      </c>
      <c r="K316" s="218">
        <f t="shared" si="226"/>
        <v>169190.33203563141</v>
      </c>
      <c r="L316" s="218">
        <f t="shared" si="226"/>
        <v>178070.49101568363</v>
      </c>
      <c r="M316" s="218">
        <f t="shared" si="226"/>
        <v>186782.50650057945</v>
      </c>
      <c r="N316" s="218">
        <f t="shared" si="226"/>
        <v>192008.13923676222</v>
      </c>
      <c r="O316" s="218">
        <f t="shared" si="226"/>
        <v>197124.68101231562</v>
      </c>
      <c r="P316" s="218">
        <f t="shared" si="226"/>
        <v>202119.76720305052</v>
      </c>
      <c r="Q316" s="218">
        <f t="shared" si="226"/>
        <v>207006.96657694771</v>
      </c>
      <c r="R316" s="218">
        <f t="shared" si="226"/>
        <v>211787.64207130347</v>
      </c>
      <c r="S316" s="218">
        <f t="shared" si="226"/>
        <v>216463.14042584682</v>
      </c>
      <c r="T316" s="218">
        <f t="shared" si="226"/>
        <v>221034.76861117029</v>
      </c>
      <c r="U316" s="218">
        <f t="shared" si="226"/>
        <v>225503.81722527317</v>
      </c>
      <c r="V316" s="218">
        <f t="shared" si="226"/>
        <v>229871.55389195745</v>
      </c>
      <c r="W316" s="218">
        <f t="shared" si="226"/>
        <v>234139.22381711373</v>
      </c>
      <c r="X316" s="218">
        <f t="shared" si="226"/>
        <v>241628.50853909377</v>
      </c>
      <c r="Y316" s="218">
        <f t="shared" si="226"/>
        <v>248960.2905130173</v>
      </c>
      <c r="Z316" s="218">
        <f t="shared" si="226"/>
        <v>256079.57321715431</v>
      </c>
      <c r="AA316" s="218">
        <f t="shared" si="226"/>
        <v>263038.05206029315</v>
      </c>
      <c r="AB316" s="218">
        <f t="shared" si="226"/>
        <v>269837.23964124761</v>
      </c>
      <c r="AC316" s="218">
        <f t="shared" si="226"/>
        <v>276423.74906247767</v>
      </c>
      <c r="AD316" s="218">
        <f t="shared" si="226"/>
        <v>282851.04946069821</v>
      </c>
      <c r="AE316" s="218">
        <f t="shared" si="226"/>
        <v>289120.62563987408</v>
      </c>
      <c r="AF316" s="218">
        <f t="shared" si="226"/>
        <v>295233.93222054461</v>
      </c>
      <c r="AG316" s="218">
        <f t="shared" si="226"/>
        <v>301192.39442025789</v>
      </c>
      <c r="AI316" s="616"/>
      <c r="AJ316" s="272"/>
    </row>
    <row r="317" spans="1:36" s="160" customFormat="1">
      <c r="A317" s="160" t="s">
        <v>1058</v>
      </c>
      <c r="B317" s="298" t="s">
        <v>127</v>
      </c>
      <c r="C317" s="218">
        <f>(C316)/(1-C268)</f>
        <v>111078.81280030437</v>
      </c>
      <c r="D317" s="218">
        <f t="shared" ref="D317:AG317" si="227">(D314-D303)/(1-D268)</f>
        <v>123869.6405335423</v>
      </c>
      <c r="E317" s="218">
        <f t="shared" si="227"/>
        <v>136483.03058875329</v>
      </c>
      <c r="F317" s="218">
        <f t="shared" si="227"/>
        <v>148921.38225865507</v>
      </c>
      <c r="G317" s="218">
        <f t="shared" si="227"/>
        <v>161186.93933654242</v>
      </c>
      <c r="H317" s="218">
        <f t="shared" si="227"/>
        <v>173281.91363348183</v>
      </c>
      <c r="I317" s="218">
        <f t="shared" si="227"/>
        <v>184042.27794157158</v>
      </c>
      <c r="J317" s="218">
        <f t="shared" si="227"/>
        <v>194501.1919492138</v>
      </c>
      <c r="K317" s="218">
        <f t="shared" si="227"/>
        <v>204665.72423665089</v>
      </c>
      <c r="L317" s="218">
        <f t="shared" si="227"/>
        <v>214542.76025985979</v>
      </c>
      <c r="M317" s="218">
        <f t="shared" si="227"/>
        <v>224139.00780069534</v>
      </c>
      <c r="N317" s="218">
        <f t="shared" si="227"/>
        <v>229491.79988457638</v>
      </c>
      <c r="O317" s="218">
        <f t="shared" si="227"/>
        <v>234672.23930037578</v>
      </c>
      <c r="P317" s="218">
        <f t="shared" si="227"/>
        <v>239667.70814590974</v>
      </c>
      <c r="Q317" s="218">
        <f t="shared" si="227"/>
        <v>244496.41721686741</v>
      </c>
      <c r="R317" s="218">
        <f t="shared" si="227"/>
        <v>249161.93184859236</v>
      </c>
      <c r="S317" s="218">
        <f t="shared" si="227"/>
        <v>253667.74268653928</v>
      </c>
      <c r="T317" s="218">
        <f t="shared" si="227"/>
        <v>258017.23962393423</v>
      </c>
      <c r="U317" s="218">
        <f t="shared" si="227"/>
        <v>262213.74095961999</v>
      </c>
      <c r="V317" s="218">
        <f t="shared" si="227"/>
        <v>266260.48713354149</v>
      </c>
      <c r="W317" s="218">
        <f t="shared" si="227"/>
        <v>270160.64286590053</v>
      </c>
      <c r="X317" s="218">
        <f t="shared" si="227"/>
        <v>277733.91786102735</v>
      </c>
      <c r="Y317" s="218">
        <f t="shared" si="227"/>
        <v>285069.03493856947</v>
      </c>
      <c r="Z317" s="218">
        <f t="shared" si="227"/>
        <v>292105.97705378826</v>
      </c>
      <c r="AA317" s="218">
        <f t="shared" si="227"/>
        <v>298906.87734124227</v>
      </c>
      <c r="AB317" s="218">
        <f t="shared" si="227"/>
        <v>305476.12034858222</v>
      </c>
      <c r="AC317" s="218">
        <f t="shared" si="227"/>
        <v>311756.10796520044</v>
      </c>
      <c r="AD317" s="218">
        <f t="shared" si="227"/>
        <v>317810.16793336882</v>
      </c>
      <c r="AE317" s="218">
        <f t="shared" si="227"/>
        <v>323642.49138791882</v>
      </c>
      <c r="AF317" s="218">
        <f t="shared" si="227"/>
        <v>329257.17348016135</v>
      </c>
      <c r="AG317" s="218">
        <f t="shared" si="227"/>
        <v>334658.21602250874</v>
      </c>
      <c r="AI317" s="616"/>
      <c r="AJ317" s="272"/>
    </row>
    <row r="318" spans="1:36" s="160" customFormat="1">
      <c r="A318" s="160" t="s">
        <v>1059</v>
      </c>
      <c r="B318" s="298" t="s">
        <v>127</v>
      </c>
      <c r="C318" s="218">
        <f>IF(C297&gt;C317,C317,C297)</f>
        <v>81438.404624957111</v>
      </c>
      <c r="D318" s="218">
        <f t="shared" ref="D318:AG318" si="228">IF(D297&gt;D317,D317,D297)</f>
        <v>84702.995416526741</v>
      </c>
      <c r="E318" s="218">
        <f t="shared" si="228"/>
        <v>87953.85239344115</v>
      </c>
      <c r="F318" s="218">
        <f t="shared" si="228"/>
        <v>91191.01664263822</v>
      </c>
      <c r="G318" s="218">
        <f t="shared" si="228"/>
        <v>94414.529147406225</v>
      </c>
      <c r="H318" s="218">
        <f t="shared" si="228"/>
        <v>97624.430787611112</v>
      </c>
      <c r="I318" s="218">
        <f t="shared" si="228"/>
        <v>100270.74964020113</v>
      </c>
      <c r="J318" s="218">
        <f t="shared" si="228"/>
        <v>102868.60655798226</v>
      </c>
      <c r="K318" s="218">
        <f t="shared" si="228"/>
        <v>105418.2439312183</v>
      </c>
      <c r="L318" s="218">
        <f t="shared" si="228"/>
        <v>107919.90331063802</v>
      </c>
      <c r="M318" s="218">
        <f t="shared" si="228"/>
        <v>110373.82540978371</v>
      </c>
      <c r="N318" s="218">
        <f t="shared" si="228"/>
        <v>112752.42394234535</v>
      </c>
      <c r="O318" s="218">
        <f t="shared" si="228"/>
        <v>115082.26661499881</v>
      </c>
      <c r="P318" s="218">
        <f t="shared" si="228"/>
        <v>117349.82804546082</v>
      </c>
      <c r="Q318" s="218">
        <f t="shared" si="228"/>
        <v>119568.33920809437</v>
      </c>
      <c r="R318" s="218">
        <f t="shared" si="228"/>
        <v>121738.04276231781</v>
      </c>
      <c r="S318" s="218">
        <f t="shared" si="228"/>
        <v>123859.19352270535</v>
      </c>
      <c r="T318" s="218">
        <f t="shared" si="228"/>
        <v>125932.02014456045</v>
      </c>
      <c r="U318" s="218">
        <f t="shared" si="228"/>
        <v>127956.76283513075</v>
      </c>
      <c r="V318" s="218">
        <f t="shared" si="228"/>
        <v>129933.66098986933</v>
      </c>
      <c r="W318" s="218">
        <f t="shared" si="228"/>
        <v>131862.95319462958</v>
      </c>
      <c r="X318" s="218">
        <f t="shared" si="228"/>
        <v>133744.77374511058</v>
      </c>
      <c r="Y318" s="218">
        <f t="shared" si="228"/>
        <v>135579.45886135279</v>
      </c>
      <c r="Z318" s="218">
        <f t="shared" si="228"/>
        <v>137325.64693153743</v>
      </c>
      <c r="AA318" s="218">
        <f t="shared" si="228"/>
        <v>139022.82615403342</v>
      </c>
      <c r="AB318" s="218">
        <f t="shared" si="228"/>
        <v>140671.19940539237</v>
      </c>
      <c r="AC318" s="218">
        <f t="shared" si="228"/>
        <v>142244.09117510071</v>
      </c>
      <c r="AD318" s="218">
        <f t="shared" si="228"/>
        <v>143767.60186777558</v>
      </c>
      <c r="AE318" s="218">
        <f t="shared" si="228"/>
        <v>145241.93862999944</v>
      </c>
      <c r="AF318" s="218">
        <f t="shared" si="228"/>
        <v>146667.30808213571</v>
      </c>
      <c r="AG318" s="218">
        <f t="shared" si="228"/>
        <v>148043.91631916026</v>
      </c>
      <c r="AI318" s="616"/>
      <c r="AJ318" s="272"/>
    </row>
    <row r="319" spans="1:36" s="160" customFormat="1">
      <c r="A319" s="160" t="s">
        <v>1060</v>
      </c>
      <c r="B319" s="298" t="s">
        <v>127</v>
      </c>
      <c r="C319" s="218">
        <f>IF(C317-C318&lt;0,0,C317-C318)</f>
        <v>29640.408175347256</v>
      </c>
      <c r="D319" s="218">
        <f t="shared" ref="D319:AG319" si="229">IF(D317-D318&lt;0,0,D317-D318)</f>
        <v>39166.645117015563</v>
      </c>
      <c r="E319" s="218">
        <f t="shared" si="229"/>
        <v>48529.178195312139</v>
      </c>
      <c r="F319" s="218">
        <f t="shared" si="229"/>
        <v>57730.365616016847</v>
      </c>
      <c r="G319" s="218">
        <f t="shared" si="229"/>
        <v>66772.410189136193</v>
      </c>
      <c r="H319" s="218">
        <f t="shared" si="229"/>
        <v>75657.48284587072</v>
      </c>
      <c r="I319" s="218">
        <f t="shared" si="229"/>
        <v>83771.528301370447</v>
      </c>
      <c r="J319" s="218">
        <f t="shared" si="229"/>
        <v>91632.585391231536</v>
      </c>
      <c r="K319" s="218">
        <f t="shared" si="229"/>
        <v>99247.480305432589</v>
      </c>
      <c r="L319" s="218">
        <f t="shared" si="229"/>
        <v>106622.85694922176</v>
      </c>
      <c r="M319" s="218">
        <f t="shared" si="229"/>
        <v>113765.18239091164</v>
      </c>
      <c r="N319" s="218">
        <f t="shared" si="229"/>
        <v>116739.37594223102</v>
      </c>
      <c r="O319" s="218">
        <f t="shared" si="229"/>
        <v>119589.97268537697</v>
      </c>
      <c r="P319" s="218">
        <f t="shared" si="229"/>
        <v>122317.88010044892</v>
      </c>
      <c r="Q319" s="218">
        <f t="shared" si="229"/>
        <v>124928.07800877304</v>
      </c>
      <c r="R319" s="218">
        <f t="shared" si="229"/>
        <v>127423.88908627455</v>
      </c>
      <c r="S319" s="218">
        <f t="shared" si="229"/>
        <v>129808.54916383393</v>
      </c>
      <c r="T319" s="218">
        <f t="shared" si="229"/>
        <v>132085.21947937377</v>
      </c>
      <c r="U319" s="218">
        <f t="shared" si="229"/>
        <v>134256.97812448925</v>
      </c>
      <c r="V319" s="218">
        <f t="shared" si="229"/>
        <v>136326.82614367217</v>
      </c>
      <c r="W319" s="218">
        <f t="shared" si="229"/>
        <v>138297.68967127096</v>
      </c>
      <c r="X319" s="218">
        <f t="shared" si="229"/>
        <v>143989.14411591677</v>
      </c>
      <c r="Y319" s="218">
        <f t="shared" si="229"/>
        <v>149489.57607721668</v>
      </c>
      <c r="Z319" s="218">
        <f t="shared" si="229"/>
        <v>154780.33012225083</v>
      </c>
      <c r="AA319" s="218">
        <f t="shared" si="229"/>
        <v>159884.05118720885</v>
      </c>
      <c r="AB319" s="218">
        <f t="shared" si="229"/>
        <v>164804.92094318985</v>
      </c>
      <c r="AC319" s="218">
        <f t="shared" si="229"/>
        <v>169512.01679009973</v>
      </c>
      <c r="AD319" s="218">
        <f t="shared" si="229"/>
        <v>174042.56606559324</v>
      </c>
      <c r="AE319" s="218">
        <f t="shared" si="229"/>
        <v>178400.55275791939</v>
      </c>
      <c r="AF319" s="218">
        <f t="shared" si="229"/>
        <v>182589.86539802563</v>
      </c>
      <c r="AG319" s="218">
        <f t="shared" si="229"/>
        <v>186614.29970334849</v>
      </c>
      <c r="AI319" s="616"/>
      <c r="AJ319" s="272"/>
    </row>
    <row r="320" spans="1:36" s="160" customFormat="1">
      <c r="A320" s="160" t="s">
        <v>1061</v>
      </c>
      <c r="B320" s="298" t="s">
        <v>127</v>
      </c>
      <c r="C320" s="218">
        <f>C314*C271+C268*C317+C304+IF(C297&gt;C317,C297-C317,0)</f>
        <v>46208.786124926613</v>
      </c>
      <c r="D320" s="218">
        <f t="shared" ref="D320:AG320" si="230">D314*D271+D268*D317+D304+IF(D297&gt;D317,D297-D317,0)</f>
        <v>50830.319891740866</v>
      </c>
      <c r="E320" s="218">
        <f t="shared" si="230"/>
        <v>55231.952818656689</v>
      </c>
      <c r="F320" s="218">
        <f t="shared" si="230"/>
        <v>59416.653093558205</v>
      </c>
      <c r="G320" s="218">
        <f t="shared" si="230"/>
        <v>63387.301183893098</v>
      </c>
      <c r="H320" s="218">
        <f t="shared" si="230"/>
        <v>67146.741532974207</v>
      </c>
      <c r="I320" s="218">
        <f t="shared" si="230"/>
        <v>70252.618335856707</v>
      </c>
      <c r="J320" s="218">
        <f t="shared" si="230"/>
        <v>73115.591402935461</v>
      </c>
      <c r="K320" s="218">
        <f t="shared" si="230"/>
        <v>75742.691225499773</v>
      </c>
      <c r="L320" s="218">
        <f t="shared" si="230"/>
        <v>78140.764141846143</v>
      </c>
      <c r="M320" s="218">
        <f t="shared" si="230"/>
        <v>80316.477795249171</v>
      </c>
      <c r="N320" s="218">
        <f t="shared" si="230"/>
        <v>80877.500115322415</v>
      </c>
      <c r="O320" s="218">
        <f t="shared" si="230"/>
        <v>81309.237472794208</v>
      </c>
      <c r="P320" s="218">
        <f t="shared" si="230"/>
        <v>81610.050193124218</v>
      </c>
      <c r="Q320" s="218">
        <f t="shared" si="230"/>
        <v>81788.941487386503</v>
      </c>
      <c r="R320" s="218">
        <f t="shared" si="230"/>
        <v>81849.694612262596</v>
      </c>
      <c r="S320" s="218">
        <f t="shared" si="230"/>
        <v>81796.00918841688</v>
      </c>
      <c r="T320" s="218">
        <f t="shared" si="230"/>
        <v>81631.494272220327</v>
      </c>
      <c r="U320" s="218">
        <f t="shared" si="230"/>
        <v>81359.679544950923</v>
      </c>
      <c r="V320" s="218">
        <f t="shared" si="230"/>
        <v>80984.014696623781</v>
      </c>
      <c r="W320" s="218">
        <f t="shared" si="230"/>
        <v>80507.871574038378</v>
      </c>
      <c r="X320" s="218">
        <f t="shared" si="230"/>
        <v>81048.311910205026</v>
      </c>
      <c r="Y320" s="218">
        <f t="shared" si="230"/>
        <v>81419.517298921302</v>
      </c>
      <c r="Z320" s="218">
        <f t="shared" si="230"/>
        <v>81608.567869287377</v>
      </c>
      <c r="AA320" s="218">
        <f t="shared" si="230"/>
        <v>81637.446339440125</v>
      </c>
      <c r="AB320" s="218">
        <f t="shared" si="230"/>
        <v>81511.211446346715</v>
      </c>
      <c r="AC320" s="218">
        <f t="shared" si="230"/>
        <v>81218.701247094054</v>
      </c>
      <c r="AD320" s="218">
        <f t="shared" si="230"/>
        <v>80780.988485303707</v>
      </c>
      <c r="AE320" s="218">
        <f t="shared" si="230"/>
        <v>80202.924599144812</v>
      </c>
      <c r="AF320" s="218">
        <f t="shared" si="230"/>
        <v>79489.266821580575</v>
      </c>
      <c r="AG320" s="218">
        <f t="shared" si="230"/>
        <v>78644.680765289551</v>
      </c>
      <c r="AI320" s="616"/>
      <c r="AJ320" s="272"/>
    </row>
    <row r="321" spans="1:37" s="160" customFormat="1">
      <c r="A321" s="160" t="s">
        <v>1062</v>
      </c>
      <c r="B321" s="298" t="s">
        <v>127</v>
      </c>
      <c r="C321" s="218">
        <f>C300-C319</f>
        <v>431843.88469940971</v>
      </c>
      <c r="D321" s="218">
        <f t="shared" ref="D321:AF321" si="231">D300-D319</f>
        <v>417940.56468944327</v>
      </c>
      <c r="E321" s="218">
        <f t="shared" si="231"/>
        <v>404216.88166600792</v>
      </c>
      <c r="F321" s="218">
        <f t="shared" si="231"/>
        <v>390670.43219482561</v>
      </c>
      <c r="G321" s="218">
        <f t="shared" si="231"/>
        <v>377298.96834828402</v>
      </c>
      <c r="H321" s="218">
        <f t="shared" si="231"/>
        <v>364100.2741882308</v>
      </c>
      <c r="I321" s="218">
        <f t="shared" si="231"/>
        <v>349312.77333609416</v>
      </c>
      <c r="J321" s="218">
        <f t="shared" si="231"/>
        <v>334839.8366510382</v>
      </c>
      <c r="K321" s="218">
        <f t="shared" si="231"/>
        <v>320674.3617993209</v>
      </c>
      <c r="L321" s="218">
        <f t="shared" si="231"/>
        <v>306809.42964660429</v>
      </c>
      <c r="M321" s="218">
        <f t="shared" si="231"/>
        <v>293238.298807666</v>
      </c>
      <c r="N321" s="218">
        <f t="shared" si="231"/>
        <v>283796.92822928738</v>
      </c>
      <c r="O321" s="218">
        <f t="shared" si="231"/>
        <v>274541.32979253959</v>
      </c>
      <c r="P321" s="218">
        <f t="shared" si="231"/>
        <v>265424.8085490439</v>
      </c>
      <c r="Q321" s="218">
        <f t="shared" si="231"/>
        <v>256488.24426956184</v>
      </c>
      <c r="R321" s="218">
        <f t="shared" si="231"/>
        <v>247728.03860984801</v>
      </c>
      <c r="S321" s="218">
        <f t="shared" si="231"/>
        <v>239140.71960539211</v>
      </c>
      <c r="T321" s="218">
        <f t="shared" si="231"/>
        <v>230722.81268354517</v>
      </c>
      <c r="U321" s="218">
        <f t="shared" si="231"/>
        <v>222470.9667492088</v>
      </c>
      <c r="V321" s="218">
        <f t="shared" si="231"/>
        <v>214381.90863662888</v>
      </c>
      <c r="W321" s="218">
        <f t="shared" si="231"/>
        <v>206452.44097011018</v>
      </c>
      <c r="X321" s="218">
        <f t="shared" si="231"/>
        <v>194862.45579660739</v>
      </c>
      <c r="Y321" s="218">
        <f t="shared" si="231"/>
        <v>183523.56481265</v>
      </c>
      <c r="Z321" s="218">
        <f t="shared" si="231"/>
        <v>172355.06104611303</v>
      </c>
      <c r="AA321" s="218">
        <f t="shared" si="231"/>
        <v>161433.60661251092</v>
      </c>
      <c r="AB321" s="218">
        <f t="shared" si="231"/>
        <v>150754.79664187969</v>
      </c>
      <c r="AC321" s="218">
        <f t="shared" si="231"/>
        <v>140290.79195567063</v>
      </c>
      <c r="AD321" s="218">
        <f t="shared" si="231"/>
        <v>130063.98118742756</v>
      </c>
      <c r="AE321" s="218">
        <f t="shared" si="231"/>
        <v>120070.15208458473</v>
      </c>
      <c r="AF321" s="218">
        <f t="shared" si="231"/>
        <v>110305.1884043614</v>
      </c>
      <c r="AG321" s="218">
        <f>AG300-AG319</f>
        <v>100765.06726913905</v>
      </c>
      <c r="AI321" s="616"/>
      <c r="AJ321" s="272"/>
    </row>
    <row r="322" spans="1:37" s="160" customFormat="1">
      <c r="B322" s="299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  <c r="AB322" s="276"/>
      <c r="AC322" s="276"/>
      <c r="AD322" s="276"/>
      <c r="AE322" s="276"/>
      <c r="AF322" s="276"/>
      <c r="AG322" s="276"/>
      <c r="AJ322" s="272"/>
    </row>
    <row r="323" spans="1:37" s="160" customFormat="1">
      <c r="A323" s="160" t="s">
        <v>677</v>
      </c>
      <c r="B323" s="299" t="s">
        <v>126</v>
      </c>
      <c r="C323" s="246">
        <v>0.8</v>
      </c>
      <c r="D323" s="267">
        <f>C323</f>
        <v>0.8</v>
      </c>
      <c r="E323" s="267">
        <f t="shared" ref="E323:AG323" si="232">D323</f>
        <v>0.8</v>
      </c>
      <c r="F323" s="267">
        <f t="shared" si="232"/>
        <v>0.8</v>
      </c>
      <c r="G323" s="267">
        <f t="shared" si="232"/>
        <v>0.8</v>
      </c>
      <c r="H323" s="267">
        <f t="shared" si="232"/>
        <v>0.8</v>
      </c>
      <c r="I323" s="267">
        <f t="shared" si="232"/>
        <v>0.8</v>
      </c>
      <c r="J323" s="267">
        <f t="shared" si="232"/>
        <v>0.8</v>
      </c>
      <c r="K323" s="267">
        <f t="shared" si="232"/>
        <v>0.8</v>
      </c>
      <c r="L323" s="267">
        <f t="shared" si="232"/>
        <v>0.8</v>
      </c>
      <c r="M323" s="267">
        <f>L323</f>
        <v>0.8</v>
      </c>
      <c r="N323" s="267">
        <f t="shared" si="232"/>
        <v>0.8</v>
      </c>
      <c r="O323" s="267">
        <f t="shared" si="232"/>
        <v>0.8</v>
      </c>
      <c r="P323" s="267">
        <f t="shared" si="232"/>
        <v>0.8</v>
      </c>
      <c r="Q323" s="267">
        <f t="shared" si="232"/>
        <v>0.8</v>
      </c>
      <c r="R323" s="267">
        <f t="shared" si="232"/>
        <v>0.8</v>
      </c>
      <c r="S323" s="267">
        <f t="shared" si="232"/>
        <v>0.8</v>
      </c>
      <c r="T323" s="267">
        <f t="shared" si="232"/>
        <v>0.8</v>
      </c>
      <c r="U323" s="267">
        <f t="shared" si="232"/>
        <v>0.8</v>
      </c>
      <c r="V323" s="267">
        <f t="shared" si="232"/>
        <v>0.8</v>
      </c>
      <c r="W323" s="267">
        <f t="shared" si="232"/>
        <v>0.8</v>
      </c>
      <c r="X323" s="267">
        <f t="shared" si="232"/>
        <v>0.8</v>
      </c>
      <c r="Y323" s="267">
        <f t="shared" si="232"/>
        <v>0.8</v>
      </c>
      <c r="Z323" s="267">
        <f t="shared" si="232"/>
        <v>0.8</v>
      </c>
      <c r="AA323" s="267">
        <f t="shared" si="232"/>
        <v>0.8</v>
      </c>
      <c r="AB323" s="267">
        <f t="shared" si="232"/>
        <v>0.8</v>
      </c>
      <c r="AC323" s="267">
        <f t="shared" si="232"/>
        <v>0.8</v>
      </c>
      <c r="AD323" s="267">
        <f t="shared" si="232"/>
        <v>0.8</v>
      </c>
      <c r="AE323" s="267">
        <f t="shared" si="232"/>
        <v>0.8</v>
      </c>
      <c r="AF323" s="267">
        <f t="shared" si="232"/>
        <v>0.8</v>
      </c>
      <c r="AG323" s="267">
        <f t="shared" si="232"/>
        <v>0.8</v>
      </c>
      <c r="AJ323" s="272" t="s">
        <v>678</v>
      </c>
    </row>
    <row r="324" spans="1:37" s="160" customFormat="1">
      <c r="B324" s="299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  <c r="AB324" s="276"/>
      <c r="AC324" s="276"/>
      <c r="AD324" s="276"/>
      <c r="AE324" s="276"/>
      <c r="AF324" s="276"/>
      <c r="AG324" s="276"/>
      <c r="AJ324" s="272"/>
    </row>
    <row r="325" spans="1:37" s="160" customFormat="1">
      <c r="A325" s="160" t="s">
        <v>634</v>
      </c>
      <c r="B325" s="299" t="s">
        <v>127</v>
      </c>
      <c r="C325" s="276">
        <f>C259*C320*C323</f>
        <v>36967.028899941295</v>
      </c>
      <c r="D325" s="276">
        <f t="shared" ref="D325:AG325" si="233">D259*D320*D323</f>
        <v>40664.255913392699</v>
      </c>
      <c r="E325" s="276">
        <f t="shared" si="233"/>
        <v>44185.562254925353</v>
      </c>
      <c r="F325" s="276">
        <f t="shared" si="233"/>
        <v>47533.322474846565</v>
      </c>
      <c r="G325" s="276">
        <f t="shared" si="233"/>
        <v>50709.840947114484</v>
      </c>
      <c r="H325" s="276">
        <f t="shared" si="233"/>
        <v>53717.393226379369</v>
      </c>
      <c r="I325" s="276">
        <f t="shared" si="233"/>
        <v>56202.094668685371</v>
      </c>
      <c r="J325" s="276">
        <f t="shared" si="233"/>
        <v>58492.473122348369</v>
      </c>
      <c r="K325" s="276">
        <f t="shared" si="233"/>
        <v>60594.15298039982</v>
      </c>
      <c r="L325" s="276">
        <f t="shared" si="233"/>
        <v>62512.611313476918</v>
      </c>
      <c r="M325" s="276">
        <f t="shared" si="233"/>
        <v>64253.18223619934</v>
      </c>
      <c r="N325" s="276">
        <f t="shared" si="233"/>
        <v>64702.000092257935</v>
      </c>
      <c r="O325" s="276">
        <f t="shared" si="233"/>
        <v>65047.389978235369</v>
      </c>
      <c r="P325" s="276">
        <f t="shared" si="233"/>
        <v>65288.04015449938</v>
      </c>
      <c r="Q325" s="276">
        <f t="shared" si="233"/>
        <v>65431.153189909208</v>
      </c>
      <c r="R325" s="276">
        <f t="shared" si="233"/>
        <v>65479.755689810081</v>
      </c>
      <c r="S325" s="276">
        <f t="shared" si="233"/>
        <v>65436.807350733507</v>
      </c>
      <c r="T325" s="276">
        <f t="shared" si="233"/>
        <v>65305.195417776267</v>
      </c>
      <c r="U325" s="276">
        <f t="shared" si="233"/>
        <v>65087.743635960738</v>
      </c>
      <c r="V325" s="276">
        <f t="shared" si="233"/>
        <v>64787.211757299025</v>
      </c>
      <c r="W325" s="276">
        <f t="shared" si="233"/>
        <v>64406.297259230705</v>
      </c>
      <c r="X325" s="276">
        <f t="shared" si="233"/>
        <v>64838.649528164024</v>
      </c>
      <c r="Y325" s="276">
        <f t="shared" si="233"/>
        <v>65135.613839137048</v>
      </c>
      <c r="Z325" s="276">
        <f t="shared" si="233"/>
        <v>65286.854295429905</v>
      </c>
      <c r="AA325" s="276">
        <f t="shared" si="233"/>
        <v>65309.957071552104</v>
      </c>
      <c r="AB325" s="276">
        <f t="shared" si="233"/>
        <v>65208.969157077372</v>
      </c>
      <c r="AC325" s="276">
        <f t="shared" si="233"/>
        <v>64974.960997675247</v>
      </c>
      <c r="AD325" s="276">
        <f t="shared" si="233"/>
        <v>64624.790788242972</v>
      </c>
      <c r="AE325" s="276">
        <f t="shared" si="233"/>
        <v>64162.339679315854</v>
      </c>
      <c r="AF325" s="276">
        <f t="shared" si="233"/>
        <v>63591.413457264462</v>
      </c>
      <c r="AG325" s="276">
        <f t="shared" si="233"/>
        <v>62915.744612231647</v>
      </c>
      <c r="AJ325" s="272"/>
    </row>
    <row r="326" spans="1:37" s="160" customFormat="1">
      <c r="A326" s="160" t="s">
        <v>639</v>
      </c>
      <c r="B326" s="299" t="s">
        <v>127</v>
      </c>
      <c r="C326" s="276">
        <f>C320*C323-C325</f>
        <v>0</v>
      </c>
      <c r="D326" s="276">
        <f t="shared" ref="D326:AG326" si="234">D320*D323-D325</f>
        <v>0</v>
      </c>
      <c r="E326" s="276">
        <f t="shared" si="234"/>
        <v>0</v>
      </c>
      <c r="F326" s="276">
        <f t="shared" si="234"/>
        <v>0</v>
      </c>
      <c r="G326" s="276">
        <f t="shared" si="234"/>
        <v>0</v>
      </c>
      <c r="H326" s="276">
        <f t="shared" si="234"/>
        <v>0</v>
      </c>
      <c r="I326" s="276">
        <f t="shared" si="234"/>
        <v>0</v>
      </c>
      <c r="J326" s="276">
        <f t="shared" si="234"/>
        <v>0</v>
      </c>
      <c r="K326" s="276">
        <f t="shared" si="234"/>
        <v>0</v>
      </c>
      <c r="L326" s="276">
        <f t="shared" si="234"/>
        <v>0</v>
      </c>
      <c r="M326" s="276">
        <f t="shared" si="234"/>
        <v>0</v>
      </c>
      <c r="N326" s="276">
        <f t="shared" si="234"/>
        <v>0</v>
      </c>
      <c r="O326" s="276">
        <f t="shared" si="234"/>
        <v>0</v>
      </c>
      <c r="P326" s="276">
        <f t="shared" si="234"/>
        <v>0</v>
      </c>
      <c r="Q326" s="276">
        <f t="shared" si="234"/>
        <v>0</v>
      </c>
      <c r="R326" s="276">
        <f t="shared" si="234"/>
        <v>0</v>
      </c>
      <c r="S326" s="276">
        <f t="shared" si="234"/>
        <v>0</v>
      </c>
      <c r="T326" s="276">
        <f t="shared" si="234"/>
        <v>0</v>
      </c>
      <c r="U326" s="276">
        <f t="shared" si="234"/>
        <v>0</v>
      </c>
      <c r="V326" s="276">
        <f t="shared" si="234"/>
        <v>0</v>
      </c>
      <c r="W326" s="276">
        <f t="shared" si="234"/>
        <v>0</v>
      </c>
      <c r="X326" s="276">
        <f t="shared" si="234"/>
        <v>0</v>
      </c>
      <c r="Y326" s="276">
        <f t="shared" si="234"/>
        <v>0</v>
      </c>
      <c r="Z326" s="276">
        <f t="shared" si="234"/>
        <v>0</v>
      </c>
      <c r="AA326" s="276">
        <f t="shared" si="234"/>
        <v>0</v>
      </c>
      <c r="AB326" s="276">
        <f t="shared" si="234"/>
        <v>0</v>
      </c>
      <c r="AC326" s="276">
        <f t="shared" si="234"/>
        <v>0</v>
      </c>
      <c r="AD326" s="276">
        <f t="shared" si="234"/>
        <v>0</v>
      </c>
      <c r="AE326" s="276">
        <f t="shared" si="234"/>
        <v>0</v>
      </c>
      <c r="AF326" s="276">
        <f t="shared" si="234"/>
        <v>0</v>
      </c>
      <c r="AG326" s="276">
        <f t="shared" si="234"/>
        <v>0</v>
      </c>
      <c r="AJ326" s="272"/>
    </row>
    <row r="327" spans="1:37" s="160" customFormat="1">
      <c r="B327" s="15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  <c r="AB327" s="276"/>
      <c r="AC327" s="276"/>
      <c r="AD327" s="276"/>
      <c r="AE327" s="276"/>
      <c r="AF327" s="276"/>
      <c r="AG327" s="276"/>
      <c r="AJ327" s="272"/>
    </row>
    <row r="328" spans="1:37" s="160" customFormat="1">
      <c r="B328" s="184" t="s">
        <v>633</v>
      </c>
      <c r="C328" s="280">
        <v>0</v>
      </c>
      <c r="D328" s="280">
        <f>C328+1</f>
        <v>1</v>
      </c>
      <c r="E328" s="280">
        <f t="shared" ref="E328:AG328" si="235">D328+1</f>
        <v>2</v>
      </c>
      <c r="F328" s="280">
        <f t="shared" si="235"/>
        <v>3</v>
      </c>
      <c r="G328" s="280">
        <f t="shared" si="235"/>
        <v>4</v>
      </c>
      <c r="H328" s="280">
        <f t="shared" si="235"/>
        <v>5</v>
      </c>
      <c r="I328" s="280">
        <f t="shared" si="235"/>
        <v>6</v>
      </c>
      <c r="J328" s="280">
        <f t="shared" si="235"/>
        <v>7</v>
      </c>
      <c r="K328" s="280">
        <f t="shared" si="235"/>
        <v>8</v>
      </c>
      <c r="L328" s="280">
        <f t="shared" si="235"/>
        <v>9</v>
      </c>
      <c r="M328" s="280">
        <f t="shared" si="235"/>
        <v>10</v>
      </c>
      <c r="N328" s="280">
        <f t="shared" si="235"/>
        <v>11</v>
      </c>
      <c r="O328" s="280">
        <f t="shared" si="235"/>
        <v>12</v>
      </c>
      <c r="P328" s="280">
        <f t="shared" si="235"/>
        <v>13</v>
      </c>
      <c r="Q328" s="280">
        <f t="shared" si="235"/>
        <v>14</v>
      </c>
      <c r="R328" s="280">
        <f t="shared" si="235"/>
        <v>15</v>
      </c>
      <c r="S328" s="280">
        <f t="shared" si="235"/>
        <v>16</v>
      </c>
      <c r="T328" s="280">
        <f t="shared" si="235"/>
        <v>17</v>
      </c>
      <c r="U328" s="280">
        <f t="shared" si="235"/>
        <v>18</v>
      </c>
      <c r="V328" s="280">
        <f t="shared" si="235"/>
        <v>19</v>
      </c>
      <c r="W328" s="280">
        <f t="shared" si="235"/>
        <v>20</v>
      </c>
      <c r="X328" s="280">
        <f t="shared" si="235"/>
        <v>21</v>
      </c>
      <c r="Y328" s="280">
        <f t="shared" si="235"/>
        <v>22</v>
      </c>
      <c r="Z328" s="280">
        <f t="shared" si="235"/>
        <v>23</v>
      </c>
      <c r="AA328" s="280">
        <f t="shared" si="235"/>
        <v>24</v>
      </c>
      <c r="AB328" s="280">
        <f t="shared" si="235"/>
        <v>25</v>
      </c>
      <c r="AC328" s="280">
        <f t="shared" si="235"/>
        <v>26</v>
      </c>
      <c r="AD328" s="280">
        <f t="shared" si="235"/>
        <v>27</v>
      </c>
      <c r="AE328" s="280">
        <f t="shared" si="235"/>
        <v>28</v>
      </c>
      <c r="AF328" s="280">
        <f t="shared" si="235"/>
        <v>29</v>
      </c>
      <c r="AG328" s="280">
        <f t="shared" si="235"/>
        <v>30</v>
      </c>
      <c r="AJ328" s="272" t="s">
        <v>641</v>
      </c>
      <c r="AK328" s="160">
        <f>'Propylene Recycling HC'!AK196</f>
        <v>1.9</v>
      </c>
    </row>
    <row r="329" spans="1:37" s="160" customFormat="1">
      <c r="A329" s="160" t="s">
        <v>686</v>
      </c>
      <c r="B329" s="156"/>
      <c r="C329" s="282">
        <f>$AK$330/((1+EXP(-$AK$329*(C328-$AK$331)))^$AK$328)</f>
        <v>4.6088632748610021E-5</v>
      </c>
      <c r="D329" s="282">
        <f t="shared" ref="D329:AG329" si="236">$AK$330/((1+EXP(-$AK$329*(D328-$AK$331)))^$AK$328)</f>
        <v>8.924759460408035E-5</v>
      </c>
      <c r="E329" s="282">
        <f t="shared" si="236"/>
        <v>1.7252431976790472E-4</v>
      </c>
      <c r="F329" s="282">
        <f t="shared" si="236"/>
        <v>3.3269643715580369E-4</v>
      </c>
      <c r="G329" s="282">
        <f t="shared" si="236"/>
        <v>6.393827369910735E-4</v>
      </c>
      <c r="H329" s="282">
        <f t="shared" si="236"/>
        <v>1.2229053771654547E-3</v>
      </c>
      <c r="I329" s="282">
        <f t="shared" si="236"/>
        <v>2.3234018804222717E-3</v>
      </c>
      <c r="J329" s="282">
        <f t="shared" si="236"/>
        <v>4.3736281679830789E-3</v>
      </c>
      <c r="K329" s="282">
        <f t="shared" si="236"/>
        <v>8.1294184230466908E-3</v>
      </c>
      <c r="L329" s="282">
        <f t="shared" si="236"/>
        <v>1.4853985082038716E-2</v>
      </c>
      <c r="M329" s="282">
        <f t="shared" si="236"/>
        <v>2.6531412096832362E-2</v>
      </c>
      <c r="N329" s="282">
        <f t="shared" si="236"/>
        <v>4.6014759335105015E-2</v>
      </c>
      <c r="O329" s="282">
        <f t="shared" si="236"/>
        <v>7.6910635328419796E-2</v>
      </c>
      <c r="P329" s="282">
        <f t="shared" si="236"/>
        <v>0.12294065829885638</v>
      </c>
      <c r="Q329" s="282">
        <f t="shared" si="236"/>
        <v>0.18666754187878853</v>
      </c>
      <c r="R329" s="282">
        <f t="shared" si="236"/>
        <v>0.26794336563407328</v>
      </c>
      <c r="S329" s="282">
        <f t="shared" si="236"/>
        <v>0.36297326582455031</v>
      </c>
      <c r="T329" s="282">
        <f t="shared" si="236"/>
        <v>0.46484396312424381</v>
      </c>
      <c r="U329" s="282">
        <f t="shared" si="236"/>
        <v>0.56546260593861253</v>
      </c>
      <c r="V329" s="282">
        <f t="shared" si="236"/>
        <v>0.6578403022607352</v>
      </c>
      <c r="W329" s="282">
        <f t="shared" si="236"/>
        <v>0.73754668886795227</v>
      </c>
      <c r="X329" s="282">
        <f t="shared" si="236"/>
        <v>0.80293052021410605</v>
      </c>
      <c r="Y329" s="282">
        <f t="shared" si="236"/>
        <v>0.85447682949112158</v>
      </c>
      <c r="Z329" s="282">
        <f t="shared" si="236"/>
        <v>0.89389910336617451</v>
      </c>
      <c r="AA329" s="282">
        <f t="shared" si="236"/>
        <v>0.92337223319290385</v>
      </c>
      <c r="AB329" s="282">
        <f t="shared" si="236"/>
        <v>0.94504210708611314</v>
      </c>
      <c r="AC329" s="282">
        <f t="shared" si="236"/>
        <v>0.96078240575184182</v>
      </c>
      <c r="AD329" s="282">
        <f t="shared" si="236"/>
        <v>0.97211605463477313</v>
      </c>
      <c r="AE329" s="282">
        <f t="shared" si="236"/>
        <v>0.98022577885232642</v>
      </c>
      <c r="AF329" s="282">
        <f t="shared" si="236"/>
        <v>0.98600279580400285</v>
      </c>
      <c r="AG329" s="282">
        <f t="shared" si="236"/>
        <v>0.9901050637460882</v>
      </c>
      <c r="AI329" s="156" t="s">
        <v>640</v>
      </c>
      <c r="AJ329" s="272" t="s">
        <v>642</v>
      </c>
      <c r="AK329" s="160">
        <f>'Propylene Recycling HC'!AK197</f>
        <v>0.35</v>
      </c>
    </row>
    <row r="330" spans="1:37" s="160" customFormat="1">
      <c r="B330" s="156"/>
      <c r="C330" s="278">
        <v>0</v>
      </c>
      <c r="D330" s="278">
        <v>0</v>
      </c>
      <c r="E330" s="278">
        <v>0</v>
      </c>
      <c r="F330" s="278">
        <v>0</v>
      </c>
      <c r="G330" s="278">
        <v>0</v>
      </c>
      <c r="H330" s="278">
        <v>0</v>
      </c>
      <c r="I330" s="278">
        <v>0</v>
      </c>
      <c r="J330" s="278">
        <v>0</v>
      </c>
      <c r="K330" s="278">
        <v>0</v>
      </c>
      <c r="L330" s="278">
        <v>0</v>
      </c>
      <c r="M330" s="278">
        <f>C329</f>
        <v>4.6088632748610021E-5</v>
      </c>
      <c r="N330" s="278">
        <v>0</v>
      </c>
      <c r="O330" s="278">
        <v>0</v>
      </c>
      <c r="P330" s="278">
        <v>0</v>
      </c>
      <c r="Q330" s="278">
        <v>0</v>
      </c>
      <c r="R330" s="278">
        <f t="shared" ref="R330:AG330" si="237">C329</f>
        <v>4.6088632748610021E-5</v>
      </c>
      <c r="S330" s="278">
        <f t="shared" si="237"/>
        <v>8.924759460408035E-5</v>
      </c>
      <c r="T330" s="278">
        <f t="shared" si="237"/>
        <v>1.7252431976790472E-4</v>
      </c>
      <c r="U330" s="278">
        <f t="shared" si="237"/>
        <v>3.3269643715580369E-4</v>
      </c>
      <c r="V330" s="278">
        <f t="shared" si="237"/>
        <v>6.393827369910735E-4</v>
      </c>
      <c r="W330" s="278">
        <f t="shared" si="237"/>
        <v>1.2229053771654547E-3</v>
      </c>
      <c r="X330" s="278">
        <f t="shared" si="237"/>
        <v>2.3234018804222717E-3</v>
      </c>
      <c r="Y330" s="278">
        <f t="shared" si="237"/>
        <v>4.3736281679830789E-3</v>
      </c>
      <c r="Z330" s="278">
        <f t="shared" si="237"/>
        <v>8.1294184230466908E-3</v>
      </c>
      <c r="AA330" s="278">
        <f t="shared" si="237"/>
        <v>1.4853985082038716E-2</v>
      </c>
      <c r="AB330" s="278">
        <f t="shared" si="237"/>
        <v>2.6531412096832362E-2</v>
      </c>
      <c r="AC330" s="278">
        <f t="shared" si="237"/>
        <v>4.6014759335105015E-2</v>
      </c>
      <c r="AD330" s="278">
        <f t="shared" si="237"/>
        <v>7.6910635328419796E-2</v>
      </c>
      <c r="AE330" s="278">
        <f t="shared" si="237"/>
        <v>0.12294065829885638</v>
      </c>
      <c r="AF330" s="278">
        <f t="shared" si="237"/>
        <v>0.18666754187878853</v>
      </c>
      <c r="AG330" s="278">
        <f t="shared" si="237"/>
        <v>0.26794336563407328</v>
      </c>
      <c r="AI330" s="156" t="s">
        <v>687</v>
      </c>
      <c r="AJ330" s="272" t="s">
        <v>643</v>
      </c>
      <c r="AK330" s="160">
        <f>'Propylene Recycling HC'!AK198</f>
        <v>1</v>
      </c>
    </row>
    <row r="331" spans="1:37" s="160" customFormat="1">
      <c r="B331" s="15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  <c r="AB331" s="276"/>
      <c r="AC331" s="276"/>
      <c r="AD331" s="276"/>
      <c r="AE331" s="276"/>
      <c r="AF331" s="276"/>
      <c r="AG331" s="276"/>
      <c r="AJ331" s="272" t="s">
        <v>644</v>
      </c>
      <c r="AK331" s="160">
        <f>'Propylene Recycling HC'!AK199</f>
        <v>15</v>
      </c>
    </row>
    <row r="332" spans="1:37" s="160" customFormat="1">
      <c r="A332" s="160" t="s">
        <v>762</v>
      </c>
      <c r="B332" s="156" t="s">
        <v>126</v>
      </c>
      <c r="C332" s="277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5.5962026272778194E-2</v>
      </c>
      <c r="D332" s="277">
        <f>C332</f>
        <v>5.5962026272778194E-2</v>
      </c>
      <c r="E332" s="277">
        <f t="shared" ref="E332:AG332" si="238">D332</f>
        <v>5.5962026272778194E-2</v>
      </c>
      <c r="F332" s="277">
        <f t="shared" si="238"/>
        <v>5.5962026272778194E-2</v>
      </c>
      <c r="G332" s="277">
        <f t="shared" si="238"/>
        <v>5.5962026272778194E-2</v>
      </c>
      <c r="H332" s="277">
        <f t="shared" si="238"/>
        <v>5.5962026272778194E-2</v>
      </c>
      <c r="I332" s="277">
        <f t="shared" si="238"/>
        <v>5.5962026272778194E-2</v>
      </c>
      <c r="J332" s="277">
        <f t="shared" si="238"/>
        <v>5.5962026272778194E-2</v>
      </c>
      <c r="K332" s="277">
        <f t="shared" si="238"/>
        <v>5.5962026272778194E-2</v>
      </c>
      <c r="L332" s="277">
        <f t="shared" si="238"/>
        <v>5.5962026272778194E-2</v>
      </c>
      <c r="M332" s="277">
        <f t="shared" si="238"/>
        <v>5.5962026272778194E-2</v>
      </c>
      <c r="N332" s="277">
        <f t="shared" si="238"/>
        <v>5.5962026272778194E-2</v>
      </c>
      <c r="O332" s="277">
        <f t="shared" si="238"/>
        <v>5.5962026272778194E-2</v>
      </c>
      <c r="P332" s="277">
        <f t="shared" si="238"/>
        <v>5.5962026272778194E-2</v>
      </c>
      <c r="Q332" s="277">
        <f t="shared" si="238"/>
        <v>5.5962026272778194E-2</v>
      </c>
      <c r="R332" s="277">
        <f t="shared" si="238"/>
        <v>5.5962026272778194E-2</v>
      </c>
      <c r="S332" s="277">
        <f t="shared" si="238"/>
        <v>5.5962026272778194E-2</v>
      </c>
      <c r="T332" s="277">
        <f t="shared" si="238"/>
        <v>5.5962026272778194E-2</v>
      </c>
      <c r="U332" s="277">
        <f t="shared" si="238"/>
        <v>5.5962026272778194E-2</v>
      </c>
      <c r="V332" s="277">
        <f t="shared" si="238"/>
        <v>5.5962026272778194E-2</v>
      </c>
      <c r="W332" s="277">
        <f t="shared" si="238"/>
        <v>5.5962026272778194E-2</v>
      </c>
      <c r="X332" s="277">
        <f t="shared" si="238"/>
        <v>5.5962026272778194E-2</v>
      </c>
      <c r="Y332" s="277">
        <f t="shared" si="238"/>
        <v>5.5962026272778194E-2</v>
      </c>
      <c r="Z332" s="277">
        <f t="shared" si="238"/>
        <v>5.5962026272778194E-2</v>
      </c>
      <c r="AA332" s="277">
        <f t="shared" si="238"/>
        <v>5.5962026272778194E-2</v>
      </c>
      <c r="AB332" s="277">
        <f t="shared" si="238"/>
        <v>5.5962026272778194E-2</v>
      </c>
      <c r="AC332" s="277">
        <f t="shared" si="238"/>
        <v>5.5962026272778194E-2</v>
      </c>
      <c r="AD332" s="277">
        <f t="shared" si="238"/>
        <v>5.5962026272778194E-2</v>
      </c>
      <c r="AE332" s="277">
        <f t="shared" si="238"/>
        <v>5.5962026272778194E-2</v>
      </c>
      <c r="AF332" s="277">
        <f t="shared" si="238"/>
        <v>5.5962026272778194E-2</v>
      </c>
      <c r="AG332" s="277">
        <f t="shared" si="238"/>
        <v>5.5962026272778194E-2</v>
      </c>
      <c r="AI332" s="156" t="s">
        <v>766</v>
      </c>
      <c r="AJ332" s="272"/>
    </row>
    <row r="333" spans="1:37" s="250" customFormat="1" ht="15.5" thickBot="1">
      <c r="A333" s="283" t="s">
        <v>631</v>
      </c>
      <c r="B333" s="284" t="s">
        <v>127</v>
      </c>
      <c r="C333" s="285">
        <f>C332*(C325*C329+C326*C330)</f>
        <v>9.5345851740882559E-2</v>
      </c>
      <c r="D333" s="285">
        <f t="shared" ref="D333:AG333" si="239">D332*(D325*D329+D326*D330)</f>
        <v>0.20309665973337637</v>
      </c>
      <c r="E333" s="285">
        <f t="shared" si="239"/>
        <v>0.42660323109410697</v>
      </c>
      <c r="F333" s="285">
        <f t="shared" si="239"/>
        <v>0.8849928310141506</v>
      </c>
      <c r="G333" s="285">
        <f t="shared" si="239"/>
        <v>1.814456604200406</v>
      </c>
      <c r="H333" s="285">
        <f t="shared" si="239"/>
        <v>3.6762176422453874</v>
      </c>
      <c r="I333" s="285">
        <f t="shared" si="239"/>
        <v>7.3075243251742226</v>
      </c>
      <c r="J333" s="285">
        <f t="shared" si="239"/>
        <v>14.316447768271612</v>
      </c>
      <c r="K333" s="285">
        <f t="shared" si="239"/>
        <v>27.566626843144697</v>
      </c>
      <c r="L333" s="285">
        <f t="shared" si="239"/>
        <v>51.964177232665357</v>
      </c>
      <c r="M333" s="285">
        <f>M332*(M325*M329+M326*M330)</f>
        <v>95.400013897709343</v>
      </c>
      <c r="N333" s="285">
        <f t="shared" si="239"/>
        <v>166.61277274969549</v>
      </c>
      <c r="O333" s="285">
        <f t="shared" si="239"/>
        <v>279.96884468916289</v>
      </c>
      <c r="P333" s="285">
        <f t="shared" si="239"/>
        <v>449.18226139936951</v>
      </c>
      <c r="Q333" s="285">
        <f t="shared" si="239"/>
        <v>683.51305531855928</v>
      </c>
      <c r="R333" s="285">
        <f t="shared" si="239"/>
        <v>981.84625878357599</v>
      </c>
      <c r="S333" s="285">
        <f t="shared" si="239"/>
        <v>1329.1995086593993</v>
      </c>
      <c r="T333" s="285">
        <f t="shared" si="239"/>
        <v>1698.8238896069324</v>
      </c>
      <c r="U333" s="285">
        <f t="shared" si="239"/>
        <v>2059.6647562654121</v>
      </c>
      <c r="V333" s="285">
        <f t="shared" si="239"/>
        <v>2385.0813554985525</v>
      </c>
      <c r="W333" s="285">
        <f t="shared" si="239"/>
        <v>2658.3446192820388</v>
      </c>
      <c r="X333" s="285">
        <f t="shared" si="239"/>
        <v>2913.4351657778634</v>
      </c>
      <c r="Y333" s="285">
        <f t="shared" si="239"/>
        <v>3114.6713779068009</v>
      </c>
      <c r="Z333" s="285">
        <f t="shared" si="239"/>
        <v>3265.9360474878927</v>
      </c>
      <c r="AA333" s="285">
        <f t="shared" si="239"/>
        <v>3374.8124301657463</v>
      </c>
      <c r="AB333" s="285">
        <f t="shared" si="239"/>
        <v>3448.6722709790747</v>
      </c>
      <c r="AC333" s="285">
        <f t="shared" si="239"/>
        <v>3493.5301848452923</v>
      </c>
      <c r="AD333" s="285">
        <f t="shared" si="239"/>
        <v>3515.6909968058062</v>
      </c>
      <c r="AE333" s="285">
        <f t="shared" si="239"/>
        <v>3519.6521419405408</v>
      </c>
      <c r="AF333" s="285">
        <f t="shared" si="239"/>
        <v>3508.8924391497435</v>
      </c>
      <c r="AG333" s="285">
        <f t="shared" si="239"/>
        <v>3486.0535455926874</v>
      </c>
      <c r="AJ333" s="275"/>
    </row>
    <row r="334" spans="1:37" s="203" customFormat="1">
      <c r="A334" s="274" t="s">
        <v>637</v>
      </c>
      <c r="B334" s="273" t="s">
        <v>126</v>
      </c>
      <c r="C334" s="279">
        <v>0.5</v>
      </c>
      <c r="D334" s="279">
        <v>0.5</v>
      </c>
      <c r="E334" s="279">
        <v>0.5</v>
      </c>
      <c r="F334" s="279">
        <v>0.5</v>
      </c>
      <c r="G334" s="279">
        <v>0.5</v>
      </c>
      <c r="H334" s="279">
        <v>0.5</v>
      </c>
      <c r="I334" s="279">
        <v>0.5</v>
      </c>
      <c r="J334" s="279">
        <v>0.5</v>
      </c>
      <c r="K334" s="279">
        <v>0.5</v>
      </c>
      <c r="L334" s="279">
        <v>0.5</v>
      </c>
      <c r="M334" s="279">
        <v>0.5</v>
      </c>
      <c r="N334" s="279">
        <v>0.5</v>
      </c>
      <c r="O334" s="279">
        <v>0.5</v>
      </c>
      <c r="P334" s="279">
        <v>0.5</v>
      </c>
      <c r="Q334" s="279">
        <v>0.5</v>
      </c>
      <c r="R334" s="279">
        <v>0.5</v>
      </c>
      <c r="S334" s="279">
        <v>0.5</v>
      </c>
      <c r="T334" s="279">
        <v>0.5</v>
      </c>
      <c r="U334" s="279">
        <v>0.5</v>
      </c>
      <c r="V334" s="279">
        <v>0.5</v>
      </c>
      <c r="W334" s="279">
        <v>0.5</v>
      </c>
      <c r="X334" s="279">
        <v>0.5</v>
      </c>
      <c r="Y334" s="279">
        <v>0.5</v>
      </c>
      <c r="Z334" s="279">
        <v>0.5</v>
      </c>
      <c r="AA334" s="279">
        <v>0.5</v>
      </c>
      <c r="AB334" s="279">
        <v>0.5</v>
      </c>
      <c r="AC334" s="279">
        <v>0.5</v>
      </c>
      <c r="AD334" s="279">
        <v>0.5</v>
      </c>
      <c r="AE334" s="279">
        <v>0.5</v>
      </c>
      <c r="AF334" s="279">
        <v>0.5</v>
      </c>
      <c r="AG334" s="279">
        <v>0.5</v>
      </c>
      <c r="AJ334" s="203" t="s">
        <v>681</v>
      </c>
    </row>
    <row r="335" spans="1:37" s="203" customFormat="1" ht="15.5" thickBot="1">
      <c r="A335" s="251" t="s">
        <v>632</v>
      </c>
      <c r="B335" s="284" t="s">
        <v>127</v>
      </c>
      <c r="C335" s="285">
        <f>C334*(C325*C329+C326*C330)</f>
        <v>0.8518799093883237</v>
      </c>
      <c r="D335" s="285">
        <f t="shared" ref="D335:AG335" si="240">D334*(D325*D329+D326*D330)</f>
        <v>1.8145935133175244</v>
      </c>
      <c r="E335" s="285">
        <f t="shared" si="240"/>
        <v>3.8115420357967014</v>
      </c>
      <c r="F335" s="285">
        <f t="shared" si="240"/>
        <v>7.9070835167796707</v>
      </c>
      <c r="G335" s="285">
        <f t="shared" si="240"/>
        <v>16.211498448574034</v>
      </c>
      <c r="H335" s="285">
        <f t="shared" si="240"/>
        <v>32.845644511925251</v>
      </c>
      <c r="I335" s="285">
        <f t="shared" si="240"/>
        <v>65.290026218447053</v>
      </c>
      <c r="J335" s="285">
        <f t="shared" si="240"/>
        <v>127.91216403144799</v>
      </c>
      <c r="K335" s="285">
        <f t="shared" si="240"/>
        <v>246.29761178388591</v>
      </c>
      <c r="L335" s="285">
        <f t="shared" si="240"/>
        <v>464.28069794483542</v>
      </c>
      <c r="M335" s="285">
        <f t="shared" si="240"/>
        <v>852.36382822073676</v>
      </c>
      <c r="N335" s="285">
        <f t="shared" si="240"/>
        <v>1488.6234813725957</v>
      </c>
      <c r="O335" s="285">
        <f t="shared" si="240"/>
        <v>2501.4180448407847</v>
      </c>
      <c r="P335" s="285">
        <f t="shared" si="240"/>
        <v>4013.2773178181615</v>
      </c>
      <c r="Q335" s="285">
        <f t="shared" si="240"/>
        <v>6106.9362641274029</v>
      </c>
      <c r="R335" s="285">
        <f t="shared" si="240"/>
        <v>8772.4330602122864</v>
      </c>
      <c r="S335" s="285">
        <f t="shared" si="240"/>
        <v>11875.905834613841</v>
      </c>
      <c r="T335" s="285">
        <f t="shared" si="240"/>
        <v>15178.362925301164</v>
      </c>
      <c r="U335" s="285">
        <f t="shared" si="240"/>
        <v>18402.34256552735</v>
      </c>
      <c r="V335" s="285">
        <f t="shared" si="240"/>
        <v>21309.819482525923</v>
      </c>
      <c r="W335" s="285">
        <f t="shared" si="240"/>
        <v>23751.325642895339</v>
      </c>
      <c r="X335" s="285">
        <f t="shared" si="240"/>
        <v>26030.465297814422</v>
      </c>
      <c r="Y335" s="285">
        <f t="shared" si="240"/>
        <v>27828.436400111925</v>
      </c>
      <c r="Z335" s="285">
        <f t="shared" si="240"/>
        <v>29179.930258141434</v>
      </c>
      <c r="AA335" s="285">
        <f t="shared" si="240"/>
        <v>30152.700455445876</v>
      </c>
      <c r="AB335" s="285">
        <f t="shared" si="240"/>
        <v>30812.610806558881</v>
      </c>
      <c r="AC335" s="285">
        <f t="shared" si="240"/>
        <v>31213.39967048926</v>
      </c>
      <c r="AD335" s="285">
        <f t="shared" si="240"/>
        <v>31411.398326332193</v>
      </c>
      <c r="AE335" s="285">
        <f t="shared" si="240"/>
        <v>31446.789692572456</v>
      </c>
      <c r="AF335" s="285">
        <f t="shared" si="240"/>
        <v>31350.655728995524</v>
      </c>
      <c r="AG335" s="285">
        <f t="shared" si="240"/>
        <v>31146.598664963109</v>
      </c>
      <c r="AJ335" s="274"/>
    </row>
    <row r="336" spans="1:37" s="203" customFormat="1">
      <c r="A336" s="275"/>
      <c r="B336" s="273"/>
      <c r="AJ336" s="274"/>
    </row>
    <row r="337" spans="1:36" s="203" customFormat="1">
      <c r="A337" s="275" t="s">
        <v>635</v>
      </c>
      <c r="B337" s="273" t="s">
        <v>127</v>
      </c>
      <c r="C337" s="203">
        <f>SUM(C306:C307)-SUM(C333,C335)</f>
        <v>479349.12413208286</v>
      </c>
      <c r="D337" s="203">
        <f t="shared" ref="D337:AG337" si="241">SUM(D306:D307)-SUM(D333,D335)</f>
        <v>470205.30686363316</v>
      </c>
      <c r="E337" s="203">
        <f t="shared" si="241"/>
        <v>461015.45050961955</v>
      </c>
      <c r="F337" s="203">
        <f t="shared" si="241"/>
        <v>451778.88306617283</v>
      </c>
      <c r="G337" s="203">
        <f t="shared" si="241"/>
        <v>442493.83682264044</v>
      </c>
      <c r="H337" s="203">
        <f t="shared" si="241"/>
        <v>433156.30534756009</v>
      </c>
      <c r="I337" s="203">
        <f t="shared" si="241"/>
        <v>421541.00799431017</v>
      </c>
      <c r="J337" s="203">
        <f t="shared" si="241"/>
        <v>409957.67838515813</v>
      </c>
      <c r="K337" s="203">
        <f t="shared" si="241"/>
        <v>398377.8546917201</v>
      </c>
      <c r="L337" s="203">
        <f t="shared" si="241"/>
        <v>386752.7828472791</v>
      </c>
      <c r="M337" s="203">
        <f t="shared" si="241"/>
        <v>375004.0549275541</v>
      </c>
      <c r="N337" s="203">
        <f t="shared" si="241"/>
        <v>365446.55898671853</v>
      </c>
      <c r="O337" s="203">
        <f t="shared" si="241"/>
        <v>355522.98840504501</v>
      </c>
      <c r="P337" s="203">
        <f t="shared" si="241"/>
        <v>345048.63580421079</v>
      </c>
      <c r="Q337" s="203">
        <f t="shared" si="241"/>
        <v>333981.58439868764</v>
      </c>
      <c r="R337" s="203">
        <f t="shared" si="241"/>
        <v>322333.13746165956</v>
      </c>
      <c r="S337" s="203">
        <f t="shared" si="241"/>
        <v>310252.40887517476</v>
      </c>
      <c r="T337" s="203">
        <f t="shared" si="241"/>
        <v>298005.31582423177</v>
      </c>
      <c r="U337" s="203">
        <f t="shared" si="241"/>
        <v>285900.59583217214</v>
      </c>
      <c r="V337" s="203">
        <f t="shared" si="241"/>
        <v>274203.13428519922</v>
      </c>
      <c r="W337" s="203">
        <f t="shared" si="241"/>
        <v>263079.34589919588</v>
      </c>
      <c r="X337" s="203">
        <f t="shared" si="241"/>
        <v>249523.7801205806</v>
      </c>
      <c r="Y337" s="203">
        <f t="shared" si="241"/>
        <v>236579.53489032123</v>
      </c>
      <c r="Z337" s="203">
        <f t="shared" si="241"/>
        <v>224113.89732304635</v>
      </c>
      <c r="AA337" s="203">
        <f t="shared" si="241"/>
        <v>212150.77323836077</v>
      </c>
      <c r="AB337" s="203">
        <f t="shared" si="241"/>
        <v>200617.64894788092</v>
      </c>
      <c r="AC337" s="203">
        <f t="shared" si="241"/>
        <v>189415.32062356846</v>
      </c>
      <c r="AD337" s="203">
        <f t="shared" si="241"/>
        <v>178525.2013235217</v>
      </c>
      <c r="AE337" s="203">
        <f t="shared" si="241"/>
        <v>167903.32356162992</v>
      </c>
      <c r="AF337" s="203">
        <f t="shared" si="241"/>
        <v>157515.8420932685</v>
      </c>
      <c r="AG337" s="203">
        <f t="shared" si="241"/>
        <v>147337.23117644497</v>
      </c>
      <c r="AJ337" s="274"/>
    </row>
    <row r="338" spans="1:36" s="203" customFormat="1">
      <c r="A338" s="275"/>
      <c r="B338" s="273"/>
      <c r="AJ338" s="274"/>
    </row>
    <row r="339" spans="1:36" s="203" customFormat="1">
      <c r="A339" s="274" t="s">
        <v>646</v>
      </c>
      <c r="B339" s="273" t="s">
        <v>127</v>
      </c>
      <c r="C339" s="276">
        <f>C259*C258*C179</f>
        <v>0</v>
      </c>
      <c r="D339" s="276">
        <f t="shared" ref="D339:AG339" si="242">D259*D258*D179</f>
        <v>1.0238495754269192E-2</v>
      </c>
      <c r="E339" s="276">
        <f t="shared" si="242"/>
        <v>2.0302680173288335E-2</v>
      </c>
      <c r="F339" s="276">
        <f t="shared" si="242"/>
        <v>3.0192368409406048E-2</v>
      </c>
      <c r="G339" s="276">
        <f t="shared" si="242"/>
        <v>3.9907375614970951E-2</v>
      </c>
      <c r="H339" s="276">
        <f t="shared" si="242"/>
        <v>4.9447516942331668E-2</v>
      </c>
      <c r="I339" s="276">
        <f t="shared" si="242"/>
        <v>5.8812607543836819E-2</v>
      </c>
      <c r="J339" s="276">
        <f t="shared" si="242"/>
        <v>6.8002462571835037E-2</v>
      </c>
      <c r="K339" s="276">
        <f t="shared" si="242"/>
        <v>7.7016897178674909E-2</v>
      </c>
      <c r="L339" s="276">
        <f t="shared" si="242"/>
        <v>8.5855726516705075E-2</v>
      </c>
      <c r="M339" s="276">
        <f t="shared" si="242"/>
        <v>9.4518765738274182E-2</v>
      </c>
      <c r="N339" s="276">
        <f t="shared" si="242"/>
        <v>9.9932765881634272E-2</v>
      </c>
      <c r="O339" s="276">
        <f t="shared" si="242"/>
        <v>0.10522821485444192</v>
      </c>
      <c r="P339" s="276">
        <f t="shared" si="242"/>
        <v>0.11040498847100558</v>
      </c>
      <c r="Q339" s="276">
        <f t="shared" si="242"/>
        <v>0.11546296254563372</v>
      </c>
      <c r="R339" s="276">
        <f t="shared" si="242"/>
        <v>0.12040201289263487</v>
      </c>
      <c r="S339" s="276">
        <f t="shared" si="242"/>
        <v>0.12522201532631747</v>
      </c>
      <c r="T339" s="276">
        <f t="shared" si="242"/>
        <v>0.12992284566098997</v>
      </c>
      <c r="U339" s="276">
        <f t="shared" si="242"/>
        <v>0.13450437971096094</v>
      </c>
      <c r="V339" s="276">
        <f t="shared" si="242"/>
        <v>0.13896649329053878</v>
      </c>
      <c r="W339" s="276">
        <f t="shared" si="242"/>
        <v>0.14330906221403197</v>
      </c>
      <c r="X339" s="276">
        <f t="shared" si="242"/>
        <v>0.15059690810148849</v>
      </c>
      <c r="Y339" s="276">
        <f t="shared" si="242"/>
        <v>0.15770109609806179</v>
      </c>
      <c r="Z339" s="276">
        <f t="shared" si="242"/>
        <v>0.16462143523709469</v>
      </c>
      <c r="AA339" s="276">
        <f t="shared" si="242"/>
        <v>0.17135773455193024</v>
      </c>
      <c r="AB339" s="276">
        <f t="shared" si="242"/>
        <v>0.17790980307591125</v>
      </c>
      <c r="AC339" s="276">
        <f t="shared" si="242"/>
        <v>0.18427744984238062</v>
      </c>
      <c r="AD339" s="276">
        <f t="shared" si="242"/>
        <v>0.19046048388468123</v>
      </c>
      <c r="AE339" s="276">
        <f t="shared" si="242"/>
        <v>0.19645871423615602</v>
      </c>
      <c r="AF339" s="276">
        <f t="shared" si="242"/>
        <v>0.20227194993014791</v>
      </c>
      <c r="AG339" s="276">
        <f t="shared" si="242"/>
        <v>0.2079</v>
      </c>
      <c r="AJ339" s="274"/>
    </row>
    <row r="340" spans="1:36" s="203" customFormat="1">
      <c r="A340" s="203" t="s">
        <v>645</v>
      </c>
      <c r="B340" s="273" t="s">
        <v>127</v>
      </c>
      <c r="C340" s="276">
        <f>C260*C258*C179</f>
        <v>0</v>
      </c>
      <c r="D340" s="276">
        <f t="shared" ref="D340:AG340" si="243">D260*D258*D179</f>
        <v>0</v>
      </c>
      <c r="E340" s="276">
        <f t="shared" si="243"/>
        <v>0</v>
      </c>
      <c r="F340" s="276">
        <f t="shared" si="243"/>
        <v>0</v>
      </c>
      <c r="G340" s="276">
        <f t="shared" si="243"/>
        <v>0</v>
      </c>
      <c r="H340" s="276">
        <f t="shared" si="243"/>
        <v>0</v>
      </c>
      <c r="I340" s="276">
        <f t="shared" si="243"/>
        <v>0</v>
      </c>
      <c r="J340" s="276">
        <f t="shared" si="243"/>
        <v>0</v>
      </c>
      <c r="K340" s="276">
        <f t="shared" si="243"/>
        <v>0</v>
      </c>
      <c r="L340" s="276">
        <f t="shared" si="243"/>
        <v>0</v>
      </c>
      <c r="M340" s="276">
        <f t="shared" si="243"/>
        <v>0</v>
      </c>
      <c r="N340" s="276">
        <f t="shared" si="243"/>
        <v>0</v>
      </c>
      <c r="O340" s="276">
        <f t="shared" si="243"/>
        <v>0</v>
      </c>
      <c r="P340" s="276">
        <f t="shared" si="243"/>
        <v>0</v>
      </c>
      <c r="Q340" s="276">
        <f t="shared" si="243"/>
        <v>0</v>
      </c>
      <c r="R340" s="276">
        <f t="shared" si="243"/>
        <v>0</v>
      </c>
      <c r="S340" s="276">
        <f t="shared" si="243"/>
        <v>0</v>
      </c>
      <c r="T340" s="276">
        <f t="shared" si="243"/>
        <v>0</v>
      </c>
      <c r="U340" s="276">
        <f t="shared" si="243"/>
        <v>0</v>
      </c>
      <c r="V340" s="276">
        <f t="shared" si="243"/>
        <v>0</v>
      </c>
      <c r="W340" s="276">
        <f t="shared" si="243"/>
        <v>0</v>
      </c>
      <c r="X340" s="276">
        <f t="shared" si="243"/>
        <v>0</v>
      </c>
      <c r="Y340" s="276">
        <f t="shared" si="243"/>
        <v>0</v>
      </c>
      <c r="Z340" s="276">
        <f t="shared" si="243"/>
        <v>0</v>
      </c>
      <c r="AA340" s="276">
        <f t="shared" si="243"/>
        <v>0</v>
      </c>
      <c r="AB340" s="276">
        <f t="shared" si="243"/>
        <v>0</v>
      </c>
      <c r="AC340" s="276">
        <f t="shared" si="243"/>
        <v>0</v>
      </c>
      <c r="AD340" s="276">
        <f t="shared" si="243"/>
        <v>0</v>
      </c>
      <c r="AE340" s="276">
        <f t="shared" si="243"/>
        <v>0</v>
      </c>
      <c r="AF340" s="276">
        <f t="shared" si="243"/>
        <v>0</v>
      </c>
      <c r="AG340" s="276">
        <f t="shared" si="243"/>
        <v>0</v>
      </c>
      <c r="AJ340" s="274"/>
    </row>
    <row r="341" spans="1:36" s="203" customFormat="1">
      <c r="B341" s="273"/>
      <c r="C341" s="267"/>
      <c r="D341" s="267"/>
      <c r="E341" s="267"/>
      <c r="F341" s="267"/>
      <c r="G341" s="267"/>
      <c r="H341" s="267"/>
      <c r="I341" s="267"/>
      <c r="J341" s="267"/>
      <c r="K341" s="267"/>
      <c r="L341" s="267"/>
      <c r="M341" s="267"/>
      <c r="N341" s="267"/>
      <c r="O341" s="267"/>
      <c r="P341" s="267"/>
      <c r="Q341" s="267"/>
      <c r="R341" s="267"/>
      <c r="S341" s="267"/>
      <c r="T341" s="267"/>
      <c r="U341" s="267"/>
      <c r="V341" s="267"/>
      <c r="W341" s="267"/>
      <c r="X341" s="267"/>
      <c r="Y341" s="267"/>
      <c r="Z341" s="267"/>
      <c r="AA341" s="267"/>
      <c r="AB341" s="267"/>
      <c r="AC341" s="267"/>
      <c r="AD341" s="267"/>
      <c r="AE341" s="267"/>
      <c r="AF341" s="267"/>
      <c r="AG341" s="267"/>
      <c r="AJ341" s="274"/>
    </row>
    <row r="342" spans="1:36" s="203" customFormat="1">
      <c r="A342" s="300" t="s">
        <v>647</v>
      </c>
      <c r="B342" s="301" t="s">
        <v>127</v>
      </c>
      <c r="C342" s="254">
        <f>C320-C333-C335</f>
        <v>46207.838899165487</v>
      </c>
      <c r="D342" s="302">
        <f t="shared" ref="D342:AG342" si="244">D320-D333-D335</f>
        <v>50828.302201567822</v>
      </c>
      <c r="E342" s="302">
        <f t="shared" si="244"/>
        <v>55227.714673389804</v>
      </c>
      <c r="F342" s="302">
        <f t="shared" si="244"/>
        <v>59407.861017210409</v>
      </c>
      <c r="G342" s="302">
        <f t="shared" si="244"/>
        <v>63369.275228840321</v>
      </c>
      <c r="H342" s="302">
        <f t="shared" si="244"/>
        <v>67110.219670820035</v>
      </c>
      <c r="I342" s="302">
        <f t="shared" si="244"/>
        <v>70180.020785313085</v>
      </c>
      <c r="J342" s="302">
        <f t="shared" si="244"/>
        <v>72973.362791135733</v>
      </c>
      <c r="K342" s="302">
        <f t="shared" si="244"/>
        <v>75468.826986872751</v>
      </c>
      <c r="L342" s="302">
        <f t="shared" si="244"/>
        <v>77624.519266668634</v>
      </c>
      <c r="M342" s="302">
        <f t="shared" si="244"/>
        <v>79368.713953130718</v>
      </c>
      <c r="N342" s="302">
        <f t="shared" si="244"/>
        <v>79222.263861200132</v>
      </c>
      <c r="O342" s="302">
        <f t="shared" si="244"/>
        <v>78527.850583264255</v>
      </c>
      <c r="P342" s="302">
        <f t="shared" si="244"/>
        <v>77147.590613906679</v>
      </c>
      <c r="Q342" s="302">
        <f t="shared" si="244"/>
        <v>74998.492167940538</v>
      </c>
      <c r="R342" s="302">
        <f t="shared" si="244"/>
        <v>72095.415293266735</v>
      </c>
      <c r="S342" s="302">
        <f t="shared" si="244"/>
        <v>68590.90384514365</v>
      </c>
      <c r="T342" s="302">
        <f t="shared" si="244"/>
        <v>64754.307457312229</v>
      </c>
      <c r="U342" s="302">
        <f t="shared" si="244"/>
        <v>60897.672223158166</v>
      </c>
      <c r="V342" s="302">
        <f t="shared" si="244"/>
        <v>57289.113858599303</v>
      </c>
      <c r="W342" s="302">
        <f t="shared" si="244"/>
        <v>54098.201311860998</v>
      </c>
      <c r="X342" s="302">
        <f t="shared" si="244"/>
        <v>52104.411446612743</v>
      </c>
      <c r="Y342" s="302">
        <f t="shared" si="244"/>
        <v>50476.409520902584</v>
      </c>
      <c r="Z342" s="302">
        <f t="shared" si="244"/>
        <v>49162.701563658047</v>
      </c>
      <c r="AA342" s="302">
        <f t="shared" si="244"/>
        <v>48109.933453828497</v>
      </c>
      <c r="AB342" s="302">
        <f t="shared" si="244"/>
        <v>47249.92836880876</v>
      </c>
      <c r="AC342" s="302">
        <f t="shared" si="244"/>
        <v>46511.771391759496</v>
      </c>
      <c r="AD342" s="302">
        <f t="shared" si="244"/>
        <v>45853.899162165711</v>
      </c>
      <c r="AE342" s="302">
        <f t="shared" si="244"/>
        <v>45236.482764631808</v>
      </c>
      <c r="AF342" s="302">
        <f t="shared" si="244"/>
        <v>44629.71865343531</v>
      </c>
      <c r="AG342" s="303">
        <f t="shared" si="244"/>
        <v>44012.028554733755</v>
      </c>
      <c r="AI342" s="203" t="s">
        <v>679</v>
      </c>
      <c r="AJ342" s="274"/>
    </row>
    <row r="343" spans="1:36" s="203" customFormat="1">
      <c r="A343" s="304" t="s">
        <v>648</v>
      </c>
      <c r="B343" s="305" t="s">
        <v>127</v>
      </c>
      <c r="C343" s="306">
        <f>C321+C342</f>
        <v>478051.72359857522</v>
      </c>
      <c r="D343" s="306">
        <f t="shared" ref="D343:AG343" si="245">D321+D342</f>
        <v>468768.86689101107</v>
      </c>
      <c r="E343" s="306">
        <f t="shared" si="245"/>
        <v>459444.59633939771</v>
      </c>
      <c r="F343" s="306">
        <f t="shared" si="245"/>
        <v>450078.29321203602</v>
      </c>
      <c r="G343" s="306">
        <f t="shared" si="245"/>
        <v>440668.24357712432</v>
      </c>
      <c r="H343" s="306">
        <f t="shared" si="245"/>
        <v>431210.49385905085</v>
      </c>
      <c r="I343" s="306">
        <f t="shared" si="245"/>
        <v>419492.79412140726</v>
      </c>
      <c r="J343" s="306">
        <f t="shared" si="245"/>
        <v>407813.19944217394</v>
      </c>
      <c r="K343" s="306">
        <f t="shared" si="245"/>
        <v>396143.18878619367</v>
      </c>
      <c r="L343" s="306">
        <f t="shared" si="245"/>
        <v>384433.94891327294</v>
      </c>
      <c r="M343" s="306">
        <f t="shared" si="245"/>
        <v>372607.0127607967</v>
      </c>
      <c r="N343" s="306">
        <f t="shared" si="245"/>
        <v>363019.19209048752</v>
      </c>
      <c r="O343" s="306">
        <f t="shared" si="245"/>
        <v>353069.18037580384</v>
      </c>
      <c r="P343" s="306">
        <f t="shared" si="245"/>
        <v>342572.39916295058</v>
      </c>
      <c r="Q343" s="306">
        <f t="shared" si="245"/>
        <v>331486.73643750238</v>
      </c>
      <c r="R343" s="306">
        <f t="shared" si="245"/>
        <v>319823.45390311477</v>
      </c>
      <c r="S343" s="306">
        <f t="shared" si="245"/>
        <v>307731.62345053576</v>
      </c>
      <c r="T343" s="306">
        <f t="shared" si="245"/>
        <v>295477.12014085741</v>
      </c>
      <c r="U343" s="306">
        <f t="shared" si="245"/>
        <v>283368.63897236699</v>
      </c>
      <c r="V343" s="306">
        <f t="shared" si="245"/>
        <v>271671.02249522822</v>
      </c>
      <c r="W343" s="306">
        <f t="shared" si="245"/>
        <v>260550.64228197117</v>
      </c>
      <c r="X343" s="306">
        <f t="shared" si="245"/>
        <v>246966.86724322013</v>
      </c>
      <c r="Y343" s="306">
        <f t="shared" si="245"/>
        <v>233999.97433355259</v>
      </c>
      <c r="Z343" s="306">
        <f t="shared" si="245"/>
        <v>221517.76260977107</v>
      </c>
      <c r="AA343" s="306">
        <f t="shared" si="245"/>
        <v>209543.54006633942</v>
      </c>
      <c r="AB343" s="306">
        <f t="shared" si="245"/>
        <v>198004.72501068845</v>
      </c>
      <c r="AC343" s="306">
        <f t="shared" si="245"/>
        <v>186802.56334743014</v>
      </c>
      <c r="AD343" s="306">
        <f t="shared" si="245"/>
        <v>175917.88034959327</v>
      </c>
      <c r="AE343" s="306">
        <f t="shared" si="245"/>
        <v>165306.63484921653</v>
      </c>
      <c r="AF343" s="306">
        <f t="shared" si="245"/>
        <v>154934.90705779672</v>
      </c>
      <c r="AG343" s="307">
        <f t="shared" si="245"/>
        <v>144777.09582387281</v>
      </c>
      <c r="AI343" s="203" t="s">
        <v>680</v>
      </c>
      <c r="AJ343" s="274"/>
    </row>
    <row r="344" spans="1:36" s="203" customFormat="1">
      <c r="A344" s="378"/>
      <c r="B344" s="379"/>
      <c r="C344" s="378"/>
      <c r="D344" s="378"/>
      <c r="E344" s="378"/>
      <c r="F344" s="378"/>
      <c r="G344" s="378"/>
      <c r="H344" s="378"/>
      <c r="I344" s="378"/>
      <c r="J344" s="378"/>
      <c r="K344" s="378"/>
      <c r="L344" s="378"/>
      <c r="M344" s="378"/>
      <c r="N344" s="378"/>
      <c r="O344" s="378"/>
      <c r="P344" s="378"/>
      <c r="Q344" s="378"/>
      <c r="R344" s="378"/>
      <c r="S344" s="378"/>
      <c r="T344" s="378"/>
      <c r="U344" s="378"/>
      <c r="V344" s="378"/>
      <c r="W344" s="378"/>
      <c r="X344" s="378"/>
      <c r="Y344" s="378"/>
      <c r="Z344" s="378"/>
      <c r="AA344" s="378"/>
      <c r="AB344" s="378"/>
      <c r="AC344" s="378"/>
      <c r="AD344" s="378"/>
      <c r="AE344" s="378"/>
      <c r="AF344" s="378"/>
      <c r="AG344" s="378"/>
      <c r="AJ344" s="274"/>
    </row>
    <row r="345" spans="1:36">
      <c r="B345" s="121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I345" s="22"/>
    </row>
    <row r="346" spans="1:36">
      <c r="B346" s="121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I346" s="188"/>
    </row>
  </sheetData>
  <mergeCells count="5">
    <mergeCell ref="AI313:AI321"/>
    <mergeCell ref="BD113:BE113"/>
    <mergeCell ref="BD118:BE118"/>
    <mergeCell ref="BD123:BE123"/>
    <mergeCell ref="BD131:BE131"/>
  </mergeCells>
  <hyperlinks>
    <hyperlink ref="AJ117" r:id="rId1" xr:uid="{A12556A6-42D7-4AF9-A95B-465E9C1F1206}"/>
    <hyperlink ref="AJ118" r:id="rId2" xr:uid="{29E1D7A7-C920-41F1-8EF3-26DCC7794D26}"/>
  </hyperlinks>
  <pageMargins left="0.7" right="0.7" top="0.75" bottom="0.75" header="0.3" footer="0.3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B49F-A45B-45CD-9041-5E3417A79274}">
  <sheetPr>
    <tabColor theme="4"/>
  </sheetPr>
  <dimension ref="A1:BL374"/>
  <sheetViews>
    <sheetView zoomScale="60" zoomScaleNormal="60" workbookViewId="0">
      <pane xSplit="2" ySplit="3" topLeftCell="C342" activePane="bottomRight" state="frozen"/>
      <selection pane="topRight" activeCell="C1" sqref="C1"/>
      <selection pane="bottomLeft" activeCell="A4" sqref="A4"/>
      <selection pane="bottomRight" activeCell="AJ278" sqref="AJ278:AJ362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2.1796875" style="99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0.453125" style="99" bestFit="1" customWidth="1" collapsed="1"/>
    <col min="24" max="32" width="8.81640625" style="99" hidden="1" customWidth="1" outlineLevel="1"/>
    <col min="33" max="33" width="10.4531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1216</v>
      </c>
      <c r="B18" s="50" t="s">
        <v>126</v>
      </c>
      <c r="C18" s="139">
        <f>SUM('Overall recycling rates'!F76:H76)</f>
        <v>0.12988469370263708</v>
      </c>
      <c r="D18" s="139">
        <f>C18</f>
        <v>0.12988469370263708</v>
      </c>
      <c r="E18" s="139">
        <f t="shared" ref="E18:AF19" si="9">D18</f>
        <v>0.12988469370263708</v>
      </c>
      <c r="F18" s="139">
        <f t="shared" si="9"/>
        <v>0.12988469370263708</v>
      </c>
      <c r="G18" s="139">
        <f t="shared" si="9"/>
        <v>0.12988469370263708</v>
      </c>
      <c r="H18" s="139">
        <f t="shared" si="9"/>
        <v>0.12988469370263708</v>
      </c>
      <c r="I18" s="139">
        <f t="shared" si="9"/>
        <v>0.12988469370263708</v>
      </c>
      <c r="J18" s="139">
        <f t="shared" si="9"/>
        <v>0.12988469370263708</v>
      </c>
      <c r="K18" s="139">
        <f t="shared" si="9"/>
        <v>0.12988469370263708</v>
      </c>
      <c r="L18" s="139">
        <f t="shared" si="9"/>
        <v>0.12988469370263708</v>
      </c>
      <c r="M18" s="139">
        <f t="shared" si="9"/>
        <v>0.12988469370263708</v>
      </c>
      <c r="N18" s="139">
        <f t="shared" si="9"/>
        <v>0.12988469370263708</v>
      </c>
      <c r="O18" s="139">
        <f t="shared" si="9"/>
        <v>0.12988469370263708</v>
      </c>
      <c r="P18" s="139">
        <f t="shared" si="9"/>
        <v>0.12988469370263708</v>
      </c>
      <c r="Q18" s="139">
        <f t="shared" si="9"/>
        <v>0.12988469370263708</v>
      </c>
      <c r="R18" s="139">
        <f t="shared" si="9"/>
        <v>0.12988469370263708</v>
      </c>
      <c r="S18" s="139">
        <f t="shared" si="9"/>
        <v>0.12988469370263708</v>
      </c>
      <c r="T18" s="139">
        <f t="shared" si="9"/>
        <v>0.12988469370263708</v>
      </c>
      <c r="U18" s="139">
        <f t="shared" si="9"/>
        <v>0.12988469370263708</v>
      </c>
      <c r="V18" s="139">
        <f t="shared" si="9"/>
        <v>0.12988469370263708</v>
      </c>
      <c r="W18" s="139">
        <f t="shared" si="9"/>
        <v>0.12988469370263708</v>
      </c>
      <c r="X18" s="139">
        <f t="shared" si="9"/>
        <v>0.12988469370263708</v>
      </c>
      <c r="Y18" s="139">
        <f t="shared" si="9"/>
        <v>0.12988469370263708</v>
      </c>
      <c r="Z18" s="139">
        <f t="shared" si="9"/>
        <v>0.12988469370263708</v>
      </c>
      <c r="AA18" s="139">
        <f t="shared" si="9"/>
        <v>0.12988469370263708</v>
      </c>
      <c r="AB18" s="139">
        <f t="shared" si="9"/>
        <v>0.12988469370263708</v>
      </c>
      <c r="AC18" s="139">
        <f t="shared" si="9"/>
        <v>0.12988469370263708</v>
      </c>
      <c r="AD18" s="139">
        <f t="shared" si="9"/>
        <v>0.12988469370263708</v>
      </c>
      <c r="AE18" s="139">
        <f t="shared" si="9"/>
        <v>0.12988469370263708</v>
      </c>
      <c r="AF18" s="139">
        <f t="shared" si="9"/>
        <v>0.12988469370263708</v>
      </c>
      <c r="AG18" s="139">
        <f>AF18</f>
        <v>0.12988469370263708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1217</v>
      </c>
      <c r="B19" s="50" t="s">
        <v>126</v>
      </c>
      <c r="C19" s="139">
        <f>SUM('Overall recycling rates'!F77:H77)</f>
        <v>0.11421218976227566</v>
      </c>
      <c r="D19" s="139">
        <f t="shared" ref="D19:S22" si="10">C19</f>
        <v>0.11421218976227566</v>
      </c>
      <c r="E19" s="139">
        <f t="shared" si="10"/>
        <v>0.11421218976227566</v>
      </c>
      <c r="F19" s="139">
        <f t="shared" si="10"/>
        <v>0.11421218976227566</v>
      </c>
      <c r="G19" s="139">
        <f t="shared" si="10"/>
        <v>0.11421218976227566</v>
      </c>
      <c r="H19" s="139">
        <f t="shared" si="10"/>
        <v>0.11421218976227566</v>
      </c>
      <c r="I19" s="139">
        <f t="shared" si="10"/>
        <v>0.11421218976227566</v>
      </c>
      <c r="J19" s="139">
        <f t="shared" si="10"/>
        <v>0.11421218976227566</v>
      </c>
      <c r="K19" s="139">
        <f t="shared" si="10"/>
        <v>0.11421218976227566</v>
      </c>
      <c r="L19" s="139">
        <f t="shared" si="10"/>
        <v>0.11421218976227566</v>
      </c>
      <c r="M19" s="139">
        <f t="shared" si="10"/>
        <v>0.11421218976227566</v>
      </c>
      <c r="N19" s="139">
        <f t="shared" si="10"/>
        <v>0.11421218976227566</v>
      </c>
      <c r="O19" s="139">
        <f t="shared" si="10"/>
        <v>0.11421218976227566</v>
      </c>
      <c r="P19" s="139">
        <f t="shared" si="10"/>
        <v>0.11421218976227566</v>
      </c>
      <c r="Q19" s="139">
        <f t="shared" si="10"/>
        <v>0.11421218976227566</v>
      </c>
      <c r="R19" s="139">
        <f t="shared" si="10"/>
        <v>0.11421218976227566</v>
      </c>
      <c r="S19" s="139">
        <f t="shared" si="10"/>
        <v>0.11421218976227566</v>
      </c>
      <c r="T19" s="139">
        <f t="shared" si="9"/>
        <v>0.11421218976227566</v>
      </c>
      <c r="U19" s="139">
        <f t="shared" si="9"/>
        <v>0.11421218976227566</v>
      </c>
      <c r="V19" s="139">
        <f t="shared" si="9"/>
        <v>0.11421218976227566</v>
      </c>
      <c r="W19" s="139">
        <f t="shared" si="9"/>
        <v>0.11421218976227566</v>
      </c>
      <c r="X19" s="139">
        <f t="shared" si="9"/>
        <v>0.11421218976227566</v>
      </c>
      <c r="Y19" s="139">
        <f t="shared" si="9"/>
        <v>0.11421218976227566</v>
      </c>
      <c r="Z19" s="139">
        <f t="shared" si="9"/>
        <v>0.11421218976227566</v>
      </c>
      <c r="AA19" s="139">
        <f t="shared" si="9"/>
        <v>0.11421218976227566</v>
      </c>
      <c r="AB19" s="139">
        <f t="shared" si="9"/>
        <v>0.11421218976227566</v>
      </c>
      <c r="AC19" s="139">
        <f t="shared" si="9"/>
        <v>0.11421218976227566</v>
      </c>
      <c r="AD19" s="139">
        <f t="shared" si="9"/>
        <v>0.11421218976227566</v>
      </c>
      <c r="AE19" s="139">
        <f t="shared" si="9"/>
        <v>0.11421218976227566</v>
      </c>
      <c r="AF19" s="139">
        <f t="shared" si="9"/>
        <v>0.11421218976227566</v>
      </c>
      <c r="AG19" s="139">
        <f t="shared" ref="T19:AG22" si="11">AF19</f>
        <v>0.11421218976227566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1218</v>
      </c>
      <c r="B20" s="50" t="s">
        <v>126</v>
      </c>
      <c r="C20" s="139">
        <f>SUM('Overall recycling rates'!F78:H78)</f>
        <v>0.10868541106370912</v>
      </c>
      <c r="D20" s="139">
        <f t="shared" si="10"/>
        <v>0.10868541106370912</v>
      </c>
      <c r="E20" s="139">
        <f t="shared" si="10"/>
        <v>0.10868541106370912</v>
      </c>
      <c r="F20" s="139">
        <f t="shared" si="10"/>
        <v>0.10868541106370912</v>
      </c>
      <c r="G20" s="139">
        <f t="shared" si="10"/>
        <v>0.10868541106370912</v>
      </c>
      <c r="H20" s="139">
        <f t="shared" si="10"/>
        <v>0.10868541106370912</v>
      </c>
      <c r="I20" s="139">
        <f t="shared" si="10"/>
        <v>0.10868541106370912</v>
      </c>
      <c r="J20" s="139">
        <f t="shared" si="10"/>
        <v>0.10868541106370912</v>
      </c>
      <c r="K20" s="139">
        <f t="shared" si="10"/>
        <v>0.10868541106370912</v>
      </c>
      <c r="L20" s="139">
        <f t="shared" si="10"/>
        <v>0.10868541106370912</v>
      </c>
      <c r="M20" s="139">
        <f t="shared" si="10"/>
        <v>0.10868541106370912</v>
      </c>
      <c r="N20" s="139">
        <f t="shared" si="10"/>
        <v>0.10868541106370912</v>
      </c>
      <c r="O20" s="139">
        <f t="shared" si="10"/>
        <v>0.10868541106370912</v>
      </c>
      <c r="P20" s="139">
        <f t="shared" si="10"/>
        <v>0.10868541106370912</v>
      </c>
      <c r="Q20" s="139">
        <f t="shared" si="10"/>
        <v>0.10868541106370912</v>
      </c>
      <c r="R20" s="139">
        <f t="shared" si="10"/>
        <v>0.10868541106370912</v>
      </c>
      <c r="S20" s="139">
        <f t="shared" si="10"/>
        <v>0.10868541106370912</v>
      </c>
      <c r="T20" s="139">
        <f t="shared" si="11"/>
        <v>0.10868541106370912</v>
      </c>
      <c r="U20" s="139">
        <f t="shared" si="11"/>
        <v>0.10868541106370912</v>
      </c>
      <c r="V20" s="139">
        <f t="shared" si="11"/>
        <v>0.10868541106370912</v>
      </c>
      <c r="W20" s="139">
        <f t="shared" si="11"/>
        <v>0.10868541106370912</v>
      </c>
      <c r="X20" s="139">
        <f t="shared" si="11"/>
        <v>0.10868541106370912</v>
      </c>
      <c r="Y20" s="139">
        <f t="shared" si="11"/>
        <v>0.10868541106370912</v>
      </c>
      <c r="Z20" s="139">
        <f t="shared" si="11"/>
        <v>0.10868541106370912</v>
      </c>
      <c r="AA20" s="139">
        <f t="shared" si="11"/>
        <v>0.10868541106370912</v>
      </c>
      <c r="AB20" s="139">
        <f t="shared" si="11"/>
        <v>0.10868541106370912</v>
      </c>
      <c r="AC20" s="139">
        <f t="shared" si="11"/>
        <v>0.10868541106370912</v>
      </c>
      <c r="AD20" s="139">
        <f t="shared" si="11"/>
        <v>0.10868541106370912</v>
      </c>
      <c r="AE20" s="139">
        <f t="shared" si="11"/>
        <v>0.10868541106370912</v>
      </c>
      <c r="AF20" s="139">
        <f t="shared" si="11"/>
        <v>0.10868541106370912</v>
      </c>
      <c r="AG20" s="139">
        <f t="shared" si="11"/>
        <v>0.10868541106370912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1219</v>
      </c>
      <c r="B21" s="50" t="s">
        <v>126</v>
      </c>
      <c r="C21" s="139">
        <f>SUM('Overall recycling rates'!F79:H79)</f>
        <v>0.55207046844051222</v>
      </c>
      <c r="D21" s="139">
        <f t="shared" si="10"/>
        <v>0.55207046844051222</v>
      </c>
      <c r="E21" s="139">
        <f t="shared" si="10"/>
        <v>0.55207046844051222</v>
      </c>
      <c r="F21" s="139">
        <f t="shared" si="10"/>
        <v>0.55207046844051222</v>
      </c>
      <c r="G21" s="139">
        <f t="shared" si="10"/>
        <v>0.55207046844051222</v>
      </c>
      <c r="H21" s="139">
        <f t="shared" si="10"/>
        <v>0.55207046844051222</v>
      </c>
      <c r="I21" s="139">
        <f t="shared" si="10"/>
        <v>0.55207046844051222</v>
      </c>
      <c r="J21" s="139">
        <f t="shared" si="10"/>
        <v>0.55207046844051222</v>
      </c>
      <c r="K21" s="139">
        <f t="shared" si="10"/>
        <v>0.55207046844051222</v>
      </c>
      <c r="L21" s="139">
        <f t="shared" si="10"/>
        <v>0.55207046844051222</v>
      </c>
      <c r="M21" s="139">
        <f t="shared" si="10"/>
        <v>0.55207046844051222</v>
      </c>
      <c r="N21" s="139">
        <f t="shared" si="10"/>
        <v>0.55207046844051222</v>
      </c>
      <c r="O21" s="139">
        <f t="shared" si="10"/>
        <v>0.55207046844051222</v>
      </c>
      <c r="P21" s="139">
        <f t="shared" si="10"/>
        <v>0.55207046844051222</v>
      </c>
      <c r="Q21" s="139">
        <f t="shared" si="10"/>
        <v>0.55207046844051222</v>
      </c>
      <c r="R21" s="139">
        <f t="shared" si="10"/>
        <v>0.55207046844051222</v>
      </c>
      <c r="S21" s="139">
        <f t="shared" si="10"/>
        <v>0.55207046844051222</v>
      </c>
      <c r="T21" s="139">
        <f t="shared" si="11"/>
        <v>0.55207046844051222</v>
      </c>
      <c r="U21" s="139">
        <f t="shared" si="11"/>
        <v>0.55207046844051222</v>
      </c>
      <c r="V21" s="139">
        <f t="shared" si="11"/>
        <v>0.55207046844051222</v>
      </c>
      <c r="W21" s="139">
        <f t="shared" si="11"/>
        <v>0.55207046844051222</v>
      </c>
      <c r="X21" s="139">
        <f t="shared" si="11"/>
        <v>0.55207046844051222</v>
      </c>
      <c r="Y21" s="139">
        <f t="shared" si="11"/>
        <v>0.55207046844051222</v>
      </c>
      <c r="Z21" s="139">
        <f t="shared" si="11"/>
        <v>0.55207046844051222</v>
      </c>
      <c r="AA21" s="139">
        <f t="shared" si="11"/>
        <v>0.55207046844051222</v>
      </c>
      <c r="AB21" s="139">
        <f t="shared" si="11"/>
        <v>0.55207046844051222</v>
      </c>
      <c r="AC21" s="139">
        <f t="shared" si="11"/>
        <v>0.55207046844051222</v>
      </c>
      <c r="AD21" s="139">
        <f t="shared" si="11"/>
        <v>0.55207046844051222</v>
      </c>
      <c r="AE21" s="139">
        <f t="shared" si="11"/>
        <v>0.55207046844051222</v>
      </c>
      <c r="AF21" s="139">
        <f t="shared" si="11"/>
        <v>0.55207046844051222</v>
      </c>
      <c r="AG21" s="139">
        <f t="shared" si="11"/>
        <v>0.55207046844051222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1220</v>
      </c>
      <c r="B22" s="50" t="s">
        <v>126</v>
      </c>
      <c r="C22" s="139">
        <f>SUM('Overall recycling rates'!F80:H80)</f>
        <v>0.15677620202539996</v>
      </c>
      <c r="D22" s="139">
        <f>C22</f>
        <v>0.15677620202539996</v>
      </c>
      <c r="E22" s="139">
        <f t="shared" si="10"/>
        <v>0.15677620202539996</v>
      </c>
      <c r="F22" s="139">
        <f t="shared" si="10"/>
        <v>0.15677620202539996</v>
      </c>
      <c r="G22" s="139">
        <f t="shared" si="10"/>
        <v>0.15677620202539996</v>
      </c>
      <c r="H22" s="139">
        <f t="shared" si="10"/>
        <v>0.15677620202539996</v>
      </c>
      <c r="I22" s="139">
        <f t="shared" si="10"/>
        <v>0.15677620202539996</v>
      </c>
      <c r="J22" s="139">
        <f t="shared" si="10"/>
        <v>0.15677620202539996</v>
      </c>
      <c r="K22" s="139">
        <f t="shared" si="10"/>
        <v>0.15677620202539996</v>
      </c>
      <c r="L22" s="139">
        <f t="shared" si="10"/>
        <v>0.15677620202539996</v>
      </c>
      <c r="M22" s="139">
        <f t="shared" si="10"/>
        <v>0.15677620202539996</v>
      </c>
      <c r="N22" s="139">
        <f t="shared" si="10"/>
        <v>0.15677620202539996</v>
      </c>
      <c r="O22" s="139">
        <f t="shared" si="10"/>
        <v>0.15677620202539996</v>
      </c>
      <c r="P22" s="139">
        <f t="shared" si="10"/>
        <v>0.15677620202539996</v>
      </c>
      <c r="Q22" s="139">
        <f t="shared" si="10"/>
        <v>0.15677620202539996</v>
      </c>
      <c r="R22" s="139">
        <f t="shared" si="10"/>
        <v>0.15677620202539996</v>
      </c>
      <c r="S22" s="139">
        <f t="shared" si="10"/>
        <v>0.15677620202539996</v>
      </c>
      <c r="T22" s="139">
        <f t="shared" si="11"/>
        <v>0.15677620202539996</v>
      </c>
      <c r="U22" s="139">
        <f t="shared" si="11"/>
        <v>0.15677620202539996</v>
      </c>
      <c r="V22" s="139">
        <f t="shared" si="11"/>
        <v>0.15677620202539996</v>
      </c>
      <c r="W22" s="139">
        <f t="shared" si="11"/>
        <v>0.15677620202539996</v>
      </c>
      <c r="X22" s="139">
        <f t="shared" si="11"/>
        <v>0.15677620202539996</v>
      </c>
      <c r="Y22" s="139">
        <f t="shared" si="11"/>
        <v>0.15677620202539996</v>
      </c>
      <c r="Z22" s="139">
        <f t="shared" si="11"/>
        <v>0.15677620202539996</v>
      </c>
      <c r="AA22" s="139">
        <f t="shared" si="11"/>
        <v>0.15677620202539996</v>
      </c>
      <c r="AB22" s="139">
        <f t="shared" si="11"/>
        <v>0.15677620202539996</v>
      </c>
      <c r="AC22" s="139">
        <f t="shared" si="11"/>
        <v>0.15677620202539996</v>
      </c>
      <c r="AD22" s="139">
        <f t="shared" si="11"/>
        <v>0.15677620202539996</v>
      </c>
      <c r="AE22" s="139">
        <f t="shared" si="11"/>
        <v>0.15677620202539996</v>
      </c>
      <c r="AF22" s="139">
        <f t="shared" si="11"/>
        <v>0.15677620202539996</v>
      </c>
      <c r="AG22" s="139">
        <f t="shared" si="11"/>
        <v>0.15677620202539996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1221</v>
      </c>
      <c r="B24" s="50" t="s">
        <v>1268</v>
      </c>
      <c r="C24" s="178">
        <f>C11*C18</f>
        <v>579487.25533013325</v>
      </c>
      <c r="D24" s="178">
        <f t="shared" ref="D24:AG24" si="12">D11*D18</f>
        <v>578207.99386102997</v>
      </c>
      <c r="E24" s="178">
        <f t="shared" si="12"/>
        <v>576931.55645732477</v>
      </c>
      <c r="F24" s="178">
        <f t="shared" si="12"/>
        <v>575657.93688468193</v>
      </c>
      <c r="G24" s="178">
        <f t="shared" si="12"/>
        <v>574387.12892252835</v>
      </c>
      <c r="H24" s="178">
        <f t="shared" si="12"/>
        <v>573119.12636402377</v>
      </c>
      <c r="I24" s="178">
        <f t="shared" si="12"/>
        <v>571853.92301602988</v>
      </c>
      <c r="J24" s="178">
        <f t="shared" si="12"/>
        <v>570591.51269907958</v>
      </c>
      <c r="K24" s="178">
        <f t="shared" si="12"/>
        <v>569331.88924734842</v>
      </c>
      <c r="L24" s="178">
        <f t="shared" si="12"/>
        <v>568075.04650862247</v>
      </c>
      <c r="M24" s="178">
        <f>M11*M18</f>
        <v>566820.97834427003</v>
      </c>
      <c r="N24" s="178">
        <f t="shared" si="12"/>
        <v>565569.67862921057</v>
      </c>
      <c r="O24" s="178">
        <f t="shared" si="12"/>
        <v>564321.14125188522</v>
      </c>
      <c r="P24" s="178">
        <f t="shared" si="12"/>
        <v>563075.36011422647</v>
      </c>
      <c r="Q24" s="178">
        <f t="shared" si="12"/>
        <v>561832.32913162932</v>
      </c>
      <c r="R24" s="178">
        <f t="shared" si="12"/>
        <v>560592.04223292076</v>
      </c>
      <c r="S24" s="178">
        <f t="shared" si="12"/>
        <v>559354.49336033012</v>
      </c>
      <c r="T24" s="178">
        <f t="shared" si="12"/>
        <v>558119.67646946013</v>
      </c>
      <c r="U24" s="178">
        <f t="shared" si="12"/>
        <v>556887.58552925638</v>
      </c>
      <c r="V24" s="178">
        <f t="shared" si="12"/>
        <v>555658.21452197933</v>
      </c>
      <c r="W24" s="178">
        <f t="shared" si="12"/>
        <v>554431.55744317314</v>
      </c>
      <c r="X24" s="178">
        <f t="shared" si="12"/>
        <v>553207.60830163793</v>
      </c>
      <c r="Y24" s="178">
        <f t="shared" si="12"/>
        <v>551986.36111939955</v>
      </c>
      <c r="Z24" s="178">
        <f t="shared" si="12"/>
        <v>550767.80993168068</v>
      </c>
      <c r="AA24" s="178">
        <f t="shared" si="12"/>
        <v>549551.94878687162</v>
      </c>
      <c r="AB24" s="178">
        <f t="shared" si="12"/>
        <v>548338.77174650144</v>
      </c>
      <c r="AC24" s="178">
        <f t="shared" si="12"/>
        <v>547128.27288520895</v>
      </c>
      <c r="AD24" s="178">
        <f t="shared" si="12"/>
        <v>545920.44629071339</v>
      </c>
      <c r="AE24" s="178">
        <f t="shared" si="12"/>
        <v>544715.28606378578</v>
      </c>
      <c r="AF24" s="178">
        <f t="shared" si="12"/>
        <v>543512.78631822031</v>
      </c>
      <c r="AG24" s="178">
        <f t="shared" si="12"/>
        <v>542312.94118080533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1222</v>
      </c>
      <c r="B25" s="50" t="s">
        <v>1268</v>
      </c>
      <c r="C25" s="178">
        <f t="shared" ref="C25:AG28" si="13">C12*C19</f>
        <v>32237.695322400119</v>
      </c>
      <c r="D25" s="178">
        <f t="shared" si="13"/>
        <v>32166.528198189357</v>
      </c>
      <c r="E25" s="178">
        <f t="shared" si="13"/>
        <v>32095.518180729483</v>
      </c>
      <c r="F25" s="178">
        <f t="shared" si="13"/>
        <v>32024.664923195607</v>
      </c>
      <c r="G25" s="178">
        <f t="shared" si="13"/>
        <v>31953.968079528448</v>
      </c>
      <c r="H25" s="178">
        <f t="shared" si="13"/>
        <v>31883.427304432698</v>
      </c>
      <c r="I25" s="178">
        <f t="shared" si="13"/>
        <v>31813.042253375323</v>
      </c>
      <c r="J25" s="178">
        <f t="shared" si="13"/>
        <v>31742.812582583843</v>
      </c>
      <c r="K25" s="178">
        <f t="shared" si="13"/>
        <v>31672.737949044695</v>
      </c>
      <c r="L25" s="178">
        <f t="shared" si="13"/>
        <v>31602.818010501553</v>
      </c>
      <c r="M25" s="178">
        <f t="shared" si="13"/>
        <v>31533.052425453647</v>
      </c>
      <c r="N25" s="178">
        <f t="shared" si="13"/>
        <v>31463.440853154076</v>
      </c>
      <c r="O25" s="178">
        <f t="shared" si="13"/>
        <v>31393.982953608178</v>
      </c>
      <c r="P25" s="178">
        <f t="shared" si="13"/>
        <v>31324.678387571865</v>
      </c>
      <c r="Q25" s="178">
        <f t="shared" si="13"/>
        <v>31255.526816549926</v>
      </c>
      <c r="R25" s="178">
        <f t="shared" si="13"/>
        <v>31186.527902794423</v>
      </c>
      <c r="S25" s="178">
        <f t="shared" si="13"/>
        <v>31117.681309303036</v>
      </c>
      <c r="T25" s="178">
        <f t="shared" si="13"/>
        <v>31048.986699817371</v>
      </c>
      <c r="U25" s="178">
        <f t="shared" si="13"/>
        <v>30980.44373882137</v>
      </c>
      <c r="V25" s="178">
        <f t="shared" si="13"/>
        <v>30912.052091539648</v>
      </c>
      <c r="W25" s="178">
        <f t="shared" si="13"/>
        <v>30843.811423935855</v>
      </c>
      <c r="X25" s="178">
        <f t="shared" si="13"/>
        <v>30775.721402711064</v>
      </c>
      <c r="Y25" s="178">
        <f t="shared" si="13"/>
        <v>30707.781695302117</v>
      </c>
      <c r="Z25" s="178">
        <f t="shared" si="13"/>
        <v>30639.99196988003</v>
      </c>
      <c r="AA25" s="178">
        <f t="shared" si="13"/>
        <v>30572.351895348333</v>
      </c>
      <c r="AB25" s="178">
        <f t="shared" si="13"/>
        <v>30504.861141341495</v>
      </c>
      <c r="AC25" s="178">
        <f t="shared" si="13"/>
        <v>30437.519378223293</v>
      </c>
      <c r="AD25" s="178">
        <f t="shared" si="13"/>
        <v>30370.32627708518</v>
      </c>
      <c r="AE25" s="178">
        <f t="shared" si="13"/>
        <v>30303.281509744731</v>
      </c>
      <c r="AF25" s="178">
        <f t="shared" si="13"/>
        <v>30236.384748743974</v>
      </c>
      <c r="AG25" s="178">
        <f t="shared" si="13"/>
        <v>30169.635667347851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1223</v>
      </c>
      <c r="B26" s="50" t="s">
        <v>1268</v>
      </c>
      <c r="C26" s="178">
        <f t="shared" si="13"/>
        <v>60365.794603215123</v>
      </c>
      <c r="D26" s="178">
        <f t="shared" si="13"/>
        <v>60232.532595505058</v>
      </c>
      <c r="E26" s="178">
        <f t="shared" si="13"/>
        <v>60099.564773646693</v>
      </c>
      <c r="F26" s="178">
        <f t="shared" si="13"/>
        <v>59966.890488202756</v>
      </c>
      <c r="G26" s="178">
        <f t="shared" si="13"/>
        <v>59834.509091169639</v>
      </c>
      <c r="H26" s="178">
        <f t="shared" si="13"/>
        <v>59702.419935974271</v>
      </c>
      <c r="I26" s="178">
        <f t="shared" si="13"/>
        <v>59570.622377470936</v>
      </c>
      <c r="J26" s="178">
        <f t="shared" si="13"/>
        <v>59439.115771938123</v>
      </c>
      <c r="K26" s="178">
        <f t="shared" si="13"/>
        <v>59307.899477075371</v>
      </c>
      <c r="L26" s="178">
        <f t="shared" si="13"/>
        <v>59176.972852000174</v>
      </c>
      <c r="M26" s="178">
        <f t="shared" si="13"/>
        <v>59046.335257244784</v>
      </c>
      <c r="N26" s="178">
        <f t="shared" si="13"/>
        <v>58915.986054753164</v>
      </c>
      <c r="O26" s="178">
        <f t="shared" si="13"/>
        <v>58785.924607877816</v>
      </c>
      <c r="P26" s="178">
        <f t="shared" si="13"/>
        <v>58656.150281376678</v>
      </c>
      <c r="Q26" s="178">
        <f t="shared" si="13"/>
        <v>58526.662441410037</v>
      </c>
      <c r="R26" s="178">
        <f t="shared" si="13"/>
        <v>58397.460455537461</v>
      </c>
      <c r="S26" s="178">
        <f t="shared" si="13"/>
        <v>58268.543692714637</v>
      </c>
      <c r="T26" s="178">
        <f t="shared" si="13"/>
        <v>58139.911523290335</v>
      </c>
      <c r="U26" s="178">
        <f t="shared" si="13"/>
        <v>58011.563319003362</v>
      </c>
      <c r="V26" s="178">
        <f t="shared" si="13"/>
        <v>57883.498452979416</v>
      </c>
      <c r="W26" s="178">
        <f t="shared" si="13"/>
        <v>57755.716299728083</v>
      </c>
      <c r="X26" s="178">
        <f t="shared" si="13"/>
        <v>57628.216235139764</v>
      </c>
      <c r="Y26" s="178">
        <f t="shared" si="13"/>
        <v>57500.997636482651</v>
      </c>
      <c r="Z26" s="178">
        <f t="shared" si="13"/>
        <v>57374.059882399619</v>
      </c>
      <c r="AA26" s="178">
        <f t="shared" si="13"/>
        <v>57247.402352905272</v>
      </c>
      <c r="AB26" s="178">
        <f t="shared" si="13"/>
        <v>57121.024429382887</v>
      </c>
      <c r="AC26" s="178">
        <f t="shared" si="13"/>
        <v>56994.925494581315</v>
      </c>
      <c r="AD26" s="178">
        <f t="shared" si="13"/>
        <v>56869.104932612121</v>
      </c>
      <c r="AE26" s="178">
        <f t="shared" si="13"/>
        <v>56743.562128946447</v>
      </c>
      <c r="AF26" s="178">
        <f t="shared" si="13"/>
        <v>56618.296470412031</v>
      </c>
      <c r="AG26" s="178">
        <f t="shared" si="13"/>
        <v>56493.307345190296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1224</v>
      </c>
      <c r="B27" s="50" t="s">
        <v>1268</v>
      </c>
      <c r="C27" s="178">
        <f t="shared" si="13"/>
        <v>251335.80093508548</v>
      </c>
      <c r="D27" s="178">
        <f t="shared" si="13"/>
        <v>250780.95835143057</v>
      </c>
      <c r="E27" s="178">
        <f t="shared" si="13"/>
        <v>250227.34062428836</v>
      </c>
      <c r="F27" s="178">
        <f t="shared" si="13"/>
        <v>249674.9450496964</v>
      </c>
      <c r="G27" s="178">
        <f t="shared" si="13"/>
        <v>249123.76892966151</v>
      </c>
      <c r="H27" s="178">
        <f t="shared" si="13"/>
        <v>248573.80957214654</v>
      </c>
      <c r="I27" s="178">
        <f t="shared" si="13"/>
        <v>248025.06429105718</v>
      </c>
      <c r="J27" s="178">
        <f t="shared" si="13"/>
        <v>247477.53040622888</v>
      </c>
      <c r="K27" s="178">
        <f t="shared" si="13"/>
        <v>246931.20524341383</v>
      </c>
      <c r="L27" s="178">
        <f t="shared" si="13"/>
        <v>246386.08613426765</v>
      </c>
      <c r="M27" s="178">
        <f t="shared" si="13"/>
        <v>245842.17041633674</v>
      </c>
      <c r="N27" s="178">
        <f t="shared" si="13"/>
        <v>245299.45543304493</v>
      </c>
      <c r="O27" s="178">
        <f t="shared" si="13"/>
        <v>244757.93853368066</v>
      </c>
      <c r="P27" s="178">
        <f t="shared" si="13"/>
        <v>244217.61707338403</v>
      </c>
      <c r="Q27" s="178">
        <f t="shared" si="13"/>
        <v>243678.48841313389</v>
      </c>
      <c r="R27" s="178">
        <f t="shared" si="13"/>
        <v>243140.54991973485</v>
      </c>
      <c r="S27" s="178">
        <f t="shared" si="13"/>
        <v>242603.7989658046</v>
      </c>
      <c r="T27" s="178">
        <f t="shared" si="13"/>
        <v>242068.23292976091</v>
      </c>
      <c r="U27" s="178">
        <f t="shared" si="13"/>
        <v>241533.84919580887</v>
      </c>
      <c r="V27" s="178">
        <f t="shared" si="13"/>
        <v>241000.64515392817</v>
      </c>
      <c r="W27" s="178">
        <f t="shared" si="13"/>
        <v>240468.61819986033</v>
      </c>
      <c r="X27" s="178">
        <f t="shared" si="13"/>
        <v>239937.76573509592</v>
      </c>
      <c r="Y27" s="178">
        <f t="shared" si="13"/>
        <v>239408.08516686194</v>
      </c>
      <c r="Z27" s="178">
        <f t="shared" si="13"/>
        <v>238879.57390810916</v>
      </c>
      <c r="AA27" s="178">
        <f t="shared" si="13"/>
        <v>238352.22937749934</v>
      </c>
      <c r="AB27" s="178">
        <f t="shared" si="13"/>
        <v>237826.04899939289</v>
      </c>
      <c r="AC27" s="178">
        <f t="shared" si="13"/>
        <v>237301.03020383607</v>
      </c>
      <c r="AD27" s="178">
        <f t="shared" si="13"/>
        <v>236777.17042654846</v>
      </c>
      <c r="AE27" s="178">
        <f t="shared" si="13"/>
        <v>236254.46710891052</v>
      </c>
      <c r="AF27" s="178">
        <f t="shared" si="13"/>
        <v>235732.91769795111</v>
      </c>
      <c r="AG27" s="178">
        <f t="shared" si="13"/>
        <v>235212.51964633481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1225</v>
      </c>
      <c r="B28" s="156" t="s">
        <v>1268</v>
      </c>
      <c r="C28" s="178">
        <f t="shared" si="13"/>
        <v>441091.26054906554</v>
      </c>
      <c r="D28" s="178">
        <f t="shared" si="13"/>
        <v>440117.51859220903</v>
      </c>
      <c r="E28" s="178">
        <f t="shared" si="13"/>
        <v>439145.92624357046</v>
      </c>
      <c r="F28" s="178">
        <f t="shared" si="13"/>
        <v>438176.47875772888</v>
      </c>
      <c r="G28" s="178">
        <f t="shared" si="13"/>
        <v>437209.17139973928</v>
      </c>
      <c r="H28" s="178">
        <f t="shared" si="13"/>
        <v>436243.99944510916</v>
      </c>
      <c r="I28" s="178">
        <f t="shared" si="13"/>
        <v>435280.95817977597</v>
      </c>
      <c r="J28" s="178">
        <f t="shared" si="13"/>
        <v>434320.04290008364</v>
      </c>
      <c r="K28" s="178">
        <f t="shared" si="13"/>
        <v>433361.24891275977</v>
      </c>
      <c r="L28" s="178">
        <f t="shared" si="13"/>
        <v>432404.57153489284</v>
      </c>
      <c r="M28" s="178">
        <f t="shared" si="13"/>
        <v>431450.00609390921</v>
      </c>
      <c r="N28" s="178">
        <f t="shared" si="13"/>
        <v>430497.54792754998</v>
      </c>
      <c r="O28" s="178">
        <f t="shared" si="13"/>
        <v>429547.19238384895</v>
      </c>
      <c r="P28" s="178">
        <f t="shared" si="13"/>
        <v>428598.93482110911</v>
      </c>
      <c r="Q28" s="178">
        <f t="shared" si="13"/>
        <v>427652.77060788072</v>
      </c>
      <c r="R28" s="178">
        <f t="shared" si="13"/>
        <v>426708.69512293814</v>
      </c>
      <c r="S28" s="178">
        <f t="shared" si="13"/>
        <v>425766.70375525719</v>
      </c>
      <c r="T28" s="178">
        <f t="shared" si="13"/>
        <v>424826.79190399341</v>
      </c>
      <c r="U28" s="178">
        <f t="shared" si="13"/>
        <v>423888.95497845847</v>
      </c>
      <c r="V28" s="178">
        <f t="shared" si="13"/>
        <v>422953.18839809863</v>
      </c>
      <c r="W28" s="178">
        <f t="shared" si="13"/>
        <v>422019.48759247217</v>
      </c>
      <c r="X28" s="178">
        <f t="shared" si="13"/>
        <v>421087.84800122672</v>
      </c>
      <c r="Y28" s="178">
        <f t="shared" si="13"/>
        <v>420158.26507407735</v>
      </c>
      <c r="Z28" s="178">
        <f t="shared" si="13"/>
        <v>419230.73427078419</v>
      </c>
      <c r="AA28" s="178">
        <f t="shared" si="13"/>
        <v>418305.25106113032</v>
      </c>
      <c r="AB28" s="178">
        <f t="shared" si="13"/>
        <v>417381.81092489959</v>
      </c>
      <c r="AC28" s="178">
        <f t="shared" si="13"/>
        <v>416460.40935185459</v>
      </c>
      <c r="AD28" s="178">
        <f t="shared" si="13"/>
        <v>415541.04184171453</v>
      </c>
      <c r="AE28" s="178">
        <f t="shared" si="13"/>
        <v>414623.70390413341</v>
      </c>
      <c r="AF28" s="178">
        <f t="shared" si="13"/>
        <v>413708.39105867792</v>
      </c>
      <c r="AG28" s="178">
        <f t="shared" si="13"/>
        <v>412795.09883480583</v>
      </c>
      <c r="AL28" s="100"/>
      <c r="AM28" s="181"/>
      <c r="AN28" s="181"/>
      <c r="AO28" s="181"/>
    </row>
    <row r="29" spans="1:64" s="1" customFormat="1" ht="15.5" thickBot="1">
      <c r="A29" s="174" t="s">
        <v>1226</v>
      </c>
      <c r="B29" s="193" t="s">
        <v>1268</v>
      </c>
      <c r="C29" s="190">
        <f>SUM(C24:C28)</f>
        <v>1364517.8067398996</v>
      </c>
      <c r="D29" s="190">
        <f t="shared" ref="D29:AG29" si="14">SUM(D24:D28)</f>
        <v>1361505.531598364</v>
      </c>
      <c r="E29" s="190">
        <f t="shared" si="14"/>
        <v>1358499.9062795597</v>
      </c>
      <c r="F29" s="190">
        <f t="shared" si="14"/>
        <v>1355500.9161035055</v>
      </c>
      <c r="G29" s="190">
        <f t="shared" si="14"/>
        <v>1352508.5464226273</v>
      </c>
      <c r="H29" s="190">
        <f t="shared" si="14"/>
        <v>1349522.7826216863</v>
      </c>
      <c r="I29" s="190">
        <f t="shared" si="14"/>
        <v>1346543.6101177093</v>
      </c>
      <c r="J29" s="190">
        <f t="shared" si="14"/>
        <v>1343571.014359914</v>
      </c>
      <c r="K29" s="190">
        <f t="shared" si="14"/>
        <v>1340604.9808296419</v>
      </c>
      <c r="L29" s="190">
        <f t="shared" si="14"/>
        <v>1337645.4950402847</v>
      </c>
      <c r="M29" s="190">
        <f t="shared" si="14"/>
        <v>1334692.5425372145</v>
      </c>
      <c r="N29" s="190">
        <f t="shared" si="14"/>
        <v>1331746.1088977128</v>
      </c>
      <c r="O29" s="190">
        <f t="shared" si="14"/>
        <v>1328806.1797309008</v>
      </c>
      <c r="P29" s="190">
        <f t="shared" si="14"/>
        <v>1325872.740677668</v>
      </c>
      <c r="Q29" s="190">
        <f t="shared" si="14"/>
        <v>1322945.7774106038</v>
      </c>
      <c r="R29" s="190">
        <f t="shared" si="14"/>
        <v>1320025.2756339256</v>
      </c>
      <c r="S29" s="190">
        <f t="shared" si="14"/>
        <v>1317111.2210834096</v>
      </c>
      <c r="T29" s="190">
        <f t="shared" si="14"/>
        <v>1314203.5995263222</v>
      </c>
      <c r="U29" s="190">
        <f t="shared" si="14"/>
        <v>1311302.3967613485</v>
      </c>
      <c r="V29" s="190">
        <f t="shared" si="14"/>
        <v>1308407.5986185251</v>
      </c>
      <c r="W29" s="190">
        <f t="shared" si="14"/>
        <v>1305519.1909591695</v>
      </c>
      <c r="X29" s="190">
        <f t="shared" si="14"/>
        <v>1302637.1596758114</v>
      </c>
      <c r="Y29" s="190">
        <f t="shared" si="14"/>
        <v>1299761.4906921235</v>
      </c>
      <c r="Z29" s="190">
        <f t="shared" si="14"/>
        <v>1296892.1699628537</v>
      </c>
      <c r="AA29" s="190">
        <f t="shared" si="14"/>
        <v>1294029.1834737547</v>
      </c>
      <c r="AB29" s="190">
        <f t="shared" si="14"/>
        <v>1291172.5172415182</v>
      </c>
      <c r="AC29" s="190">
        <f t="shared" si="14"/>
        <v>1288322.1573137043</v>
      </c>
      <c r="AD29" s="190">
        <f t="shared" si="14"/>
        <v>1285478.0897686738</v>
      </c>
      <c r="AE29" s="190">
        <f t="shared" si="14"/>
        <v>1282640.300715521</v>
      </c>
      <c r="AF29" s="190">
        <f t="shared" si="14"/>
        <v>1279808.7762940053</v>
      </c>
      <c r="AG29" s="190">
        <f t="shared" si="14"/>
        <v>1276983.5026744842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1227</v>
      </c>
      <c r="B31" s="156" t="s">
        <v>1268</v>
      </c>
      <c r="C31" s="99">
        <f>C29</f>
        <v>1364517.8067398996</v>
      </c>
      <c r="D31" s="99">
        <f t="shared" ref="D31:AG31" si="15">D29</f>
        <v>1361505.531598364</v>
      </c>
      <c r="E31" s="99">
        <f t="shared" si="15"/>
        <v>1358499.9062795597</v>
      </c>
      <c r="F31" s="99">
        <f t="shared" si="15"/>
        <v>1355500.9161035055</v>
      </c>
      <c r="G31" s="99">
        <f t="shared" si="15"/>
        <v>1352508.5464226273</v>
      </c>
      <c r="H31" s="99">
        <f t="shared" si="15"/>
        <v>1349522.7826216863</v>
      </c>
      <c r="I31" s="99">
        <f t="shared" si="15"/>
        <v>1346543.6101177093</v>
      </c>
      <c r="J31" s="99">
        <f t="shared" si="15"/>
        <v>1343571.014359914</v>
      </c>
      <c r="K31" s="99">
        <f t="shared" si="15"/>
        <v>1340604.9808296419</v>
      </c>
      <c r="L31" s="99">
        <f t="shared" si="15"/>
        <v>1337645.4950402847</v>
      </c>
      <c r="M31" s="99">
        <f t="shared" si="15"/>
        <v>1334692.5425372145</v>
      </c>
      <c r="N31" s="99">
        <f t="shared" si="15"/>
        <v>1331746.1088977128</v>
      </c>
      <c r="O31" s="99">
        <f t="shared" si="15"/>
        <v>1328806.1797309008</v>
      </c>
      <c r="P31" s="99">
        <f t="shared" si="15"/>
        <v>1325872.740677668</v>
      </c>
      <c r="Q31" s="99">
        <f t="shared" si="15"/>
        <v>1322945.7774106038</v>
      </c>
      <c r="R31" s="99">
        <f t="shared" si="15"/>
        <v>1320025.2756339256</v>
      </c>
      <c r="S31" s="99">
        <f t="shared" si="15"/>
        <v>1317111.2210834096</v>
      </c>
      <c r="T31" s="99">
        <f t="shared" si="15"/>
        <v>1314203.5995263222</v>
      </c>
      <c r="U31" s="99">
        <f t="shared" si="15"/>
        <v>1311302.3967613485</v>
      </c>
      <c r="V31" s="99">
        <f t="shared" si="15"/>
        <v>1308407.5986185251</v>
      </c>
      <c r="W31" s="99">
        <f t="shared" si="15"/>
        <v>1305519.1909591695</v>
      </c>
      <c r="X31" s="99">
        <f t="shared" si="15"/>
        <v>1302637.1596758114</v>
      </c>
      <c r="Y31" s="99">
        <f t="shared" si="15"/>
        <v>1299761.4906921235</v>
      </c>
      <c r="Z31" s="99">
        <f t="shared" si="15"/>
        <v>1296892.1699628537</v>
      </c>
      <c r="AA31" s="99">
        <f t="shared" si="15"/>
        <v>1294029.1834737547</v>
      </c>
      <c r="AB31" s="99">
        <f t="shared" si="15"/>
        <v>1291172.5172415182</v>
      </c>
      <c r="AC31" s="99">
        <f t="shared" si="15"/>
        <v>1288322.1573137043</v>
      </c>
      <c r="AD31" s="99">
        <f t="shared" si="15"/>
        <v>1285478.0897686738</v>
      </c>
      <c r="AE31" s="99">
        <f t="shared" si="15"/>
        <v>1282640.300715521</v>
      </c>
      <c r="AF31" s="99">
        <f t="shared" si="15"/>
        <v>1279808.7762940053</v>
      </c>
      <c r="AG31" s="99">
        <f t="shared" si="15"/>
        <v>1276983.5026744842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1228</v>
      </c>
      <c r="B33" s="50" t="s">
        <v>126</v>
      </c>
      <c r="C33" s="179">
        <f>'Yearly BTX'!D34/'Yearly BTX'!D27</f>
        <v>1</v>
      </c>
      <c r="D33" s="179">
        <f>'Yearly BTX'!E34/'Yearly BTX'!E27</f>
        <v>0.98788713400080996</v>
      </c>
      <c r="E33" s="179">
        <f>'Yearly BTX'!F34/'Yearly BTX'!F27</f>
        <v>0.9719480668178696</v>
      </c>
      <c r="F33" s="179">
        <f>'Yearly BTX'!G34/'Yearly BTX'!G27</f>
        <v>0.95792210022680435</v>
      </c>
      <c r="G33" s="179">
        <f>'Yearly BTX'!H34/'Yearly BTX'!H27</f>
        <v>0.94389613363573921</v>
      </c>
      <c r="H33" s="179">
        <f>'Yearly BTX'!I34/'Yearly BTX'!I27</f>
        <v>0.92987016704467396</v>
      </c>
      <c r="I33" s="179">
        <f>'Yearly BTX'!J34/'Yearly BTX'!J27</f>
        <v>0.9158442004536087</v>
      </c>
      <c r="J33" s="179">
        <f>'Yearly BTX'!K34/'Yearly BTX'!K27</f>
        <v>0.90181823386254345</v>
      </c>
      <c r="K33" s="179">
        <f>'Yearly BTX'!L34/'Yearly BTX'!L27</f>
        <v>0.8877922672714782</v>
      </c>
      <c r="L33" s="179">
        <f>'Yearly BTX'!M34/'Yearly BTX'!M27</f>
        <v>0.87376630068041294</v>
      </c>
      <c r="M33" s="179">
        <f>'Yearly BTX'!N34/'Yearly BTX'!N27</f>
        <v>0.85974033408934769</v>
      </c>
      <c r="N33" s="179">
        <f>'Yearly BTX'!O34/'Yearly BTX'!O27</f>
        <v>0.83669588522919036</v>
      </c>
      <c r="O33" s="179">
        <f>'Yearly BTX'!P34/'Yearly BTX'!P27</f>
        <v>0.81365143636903259</v>
      </c>
      <c r="P33" s="179">
        <f>'Yearly BTX'!Q34/'Yearly BTX'!Q27</f>
        <v>0.79060698750887493</v>
      </c>
      <c r="Q33" s="179">
        <f>'Yearly BTX'!R34/'Yearly BTX'!R27</f>
        <v>0.76756253864871749</v>
      </c>
      <c r="R33" s="179">
        <f>'Yearly BTX'!S34/'Yearly BTX'!S27</f>
        <v>0.74451808978855982</v>
      </c>
      <c r="S33" s="179">
        <f>'Yearly BTX'!T34/'Yearly BTX'!T27</f>
        <v>0.72147364092840238</v>
      </c>
      <c r="T33" s="179">
        <f>'Yearly BTX'!U34/'Yearly BTX'!U27</f>
        <v>0.69842919206824472</v>
      </c>
      <c r="U33" s="179">
        <f>'Yearly BTX'!V34/'Yearly BTX'!V27</f>
        <v>0.67538474320808706</v>
      </c>
      <c r="V33" s="179">
        <f>'Yearly BTX'!W34/'Yearly BTX'!W27</f>
        <v>0.65234029434792962</v>
      </c>
      <c r="W33" s="179">
        <f>'Yearly BTX'!X34/'Yearly BTX'!X27</f>
        <v>0.62929584548777195</v>
      </c>
      <c r="X33" s="179">
        <f>'Yearly BTX'!Y34/'Yearly BTX'!Y27</f>
        <v>0.61267018307426835</v>
      </c>
      <c r="Y33" s="179">
        <f>'Yearly BTX'!Z34/'Yearly BTX'!Z27</f>
        <v>0.59604452066076496</v>
      </c>
      <c r="Z33" s="179">
        <f>'Yearly BTX'!AA34/'Yearly BTX'!AA27</f>
        <v>0.57941885824726147</v>
      </c>
      <c r="AA33" s="179">
        <f>'Yearly BTX'!AB34/'Yearly BTX'!AB27</f>
        <v>0.56279319583375798</v>
      </c>
      <c r="AB33" s="179">
        <f>'Yearly BTX'!AC34/'Yearly BTX'!AC27</f>
        <v>0.54616753342025448</v>
      </c>
      <c r="AC33" s="179">
        <f>'Yearly BTX'!AD34/'Yearly BTX'!AD27</f>
        <v>0.52954187100675087</v>
      </c>
      <c r="AD33" s="179">
        <f>'Yearly BTX'!AE34/'Yearly BTX'!AE27</f>
        <v>0.51291620859324727</v>
      </c>
      <c r="AE33" s="179">
        <f>'Yearly BTX'!AF34/'Yearly BTX'!AF27</f>
        <v>0.49629054617974366</v>
      </c>
      <c r="AF33" s="179">
        <f>'Yearly BTX'!AG34/'Yearly BTX'!AG27</f>
        <v>0.47966488376624028</v>
      </c>
      <c r="AG33" s="179">
        <f>'Yearly BTX'!AH34/'Yearly BTX'!AH27</f>
        <v>0.46303922135273673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1229</v>
      </c>
      <c r="B34" s="50" t="s">
        <v>126</v>
      </c>
      <c r="C34" s="179">
        <f>'Yearly BTX'!D23/'Yearly BTX'!D16</f>
        <v>1</v>
      </c>
      <c r="D34" s="179">
        <f>'Yearly BTX'!E23/'Yearly BTX'!E16</f>
        <v>0.99658919999999995</v>
      </c>
      <c r="E34" s="179">
        <f>'Yearly BTX'!F23/'Yearly BTX'!F16</f>
        <v>0.99315679999999995</v>
      </c>
      <c r="F34" s="179">
        <f>'Yearly BTX'!G23/'Yearly BTX'!G16</f>
        <v>0.98970279999999999</v>
      </c>
      <c r="G34" s="179">
        <f>'Yearly BTX'!H23/'Yearly BTX'!H16</f>
        <v>0.98622720000000008</v>
      </c>
      <c r="H34" s="179">
        <f>'Yearly BTX'!I23/'Yearly BTX'!I16</f>
        <v>0.98272999999999988</v>
      </c>
      <c r="I34" s="179">
        <f>'Yearly BTX'!J23/'Yearly BTX'!J16</f>
        <v>0.97921120000000006</v>
      </c>
      <c r="J34" s="179">
        <f>'Yearly BTX'!K23/'Yearly BTX'!K16</f>
        <v>0.97567079999999995</v>
      </c>
      <c r="K34" s="179">
        <f>'Yearly BTX'!L23/'Yearly BTX'!L16</f>
        <v>0.97210879999999988</v>
      </c>
      <c r="L34" s="179">
        <f>'Yearly BTX'!M23/'Yearly BTX'!M16</f>
        <v>0.96852519999999998</v>
      </c>
      <c r="M34" s="179">
        <f>'Yearly BTX'!N23/'Yearly BTX'!N16</f>
        <v>0.96492</v>
      </c>
      <c r="N34" s="179">
        <f>'Yearly BTX'!O23/'Yearly BTX'!O16</f>
        <v>0.95304500000000003</v>
      </c>
      <c r="O34" s="179">
        <f>'Yearly BTX'!P23/'Yearly BTX'!P16</f>
        <v>0.94100799999999996</v>
      </c>
      <c r="P34" s="179">
        <f>'Yearly BTX'!Q23/'Yearly BTX'!Q16</f>
        <v>0.928809</v>
      </c>
      <c r="Q34" s="179">
        <f>'Yearly BTX'!R23/'Yearly BTX'!R16</f>
        <v>0.91644800000000004</v>
      </c>
      <c r="R34" s="179">
        <f>'Yearly BTX'!S23/'Yearly BTX'!S16</f>
        <v>0.90392499999999998</v>
      </c>
      <c r="S34" s="179">
        <f>'Yearly BTX'!T23/'Yearly BTX'!T16</f>
        <v>0.89123999999999992</v>
      </c>
      <c r="T34" s="179">
        <f>'Yearly BTX'!U23/'Yearly BTX'!U16</f>
        <v>0.87839299999999998</v>
      </c>
      <c r="U34" s="179">
        <f>'Yearly BTX'!V23/'Yearly BTX'!V16</f>
        <v>0.86538399999999982</v>
      </c>
      <c r="V34" s="179">
        <f>'Yearly BTX'!W23/'Yearly BTX'!W16</f>
        <v>0.85221300000000011</v>
      </c>
      <c r="W34" s="179">
        <f>'Yearly BTX'!X23/'Yearly BTX'!X16</f>
        <v>0.83888000000000007</v>
      </c>
      <c r="X34" s="179">
        <f>'Yearly BTX'!Y23/'Yearly BTX'!Y16</f>
        <v>0.80646679999999993</v>
      </c>
      <c r="Y34" s="179">
        <f>'Yearly BTX'!Z23/'Yearly BTX'!Z16</f>
        <v>0.77385919999999997</v>
      </c>
      <c r="Z34" s="179">
        <f>'Yearly BTX'!AA23/'Yearly BTX'!AA16</f>
        <v>0.74105719999999997</v>
      </c>
      <c r="AA34" s="179">
        <f>'Yearly BTX'!AB23/'Yearly BTX'!AB16</f>
        <v>0.70806080000000005</v>
      </c>
      <c r="AB34" s="179">
        <f>'Yearly BTX'!AC23/'Yearly BTX'!AC16</f>
        <v>0.67487000000000008</v>
      </c>
      <c r="AC34" s="179">
        <f>'Yearly BTX'!AD23/'Yearly BTX'!AD16</f>
        <v>0.64148479999999997</v>
      </c>
      <c r="AD34" s="179">
        <f>'Yearly BTX'!AE23/'Yearly BTX'!AE16</f>
        <v>0.60790520000000003</v>
      </c>
      <c r="AE34" s="179">
        <f>'Yearly BTX'!AF23/'Yearly BTX'!AF16</f>
        <v>0.57413120000000006</v>
      </c>
      <c r="AF34" s="179">
        <f>'Yearly BTX'!AG23/'Yearly BTX'!AG16</f>
        <v>0.54016280000000005</v>
      </c>
      <c r="AG34" s="179">
        <f>'Yearly BTX'!AH23/'Yearly BTX'!AH16</f>
        <v>0.50600000000000012</v>
      </c>
      <c r="AL34" s="100"/>
      <c r="AM34" s="181"/>
      <c r="AN34" s="181"/>
      <c r="AO34" s="181"/>
      <c r="BL34" s="1"/>
    </row>
    <row r="35" spans="1:64" outlineLevel="1">
      <c r="A35" t="s">
        <v>1230</v>
      </c>
      <c r="B35" s="50" t="s">
        <v>126</v>
      </c>
      <c r="C35" s="179">
        <f>'Yearly BTX'!D41/'Yearly BTX'!D38</f>
        <v>1</v>
      </c>
      <c r="D35" s="179">
        <f>'Yearly BTX'!E41/'Yearly BTX'!E38</f>
        <v>0.97593875518672191</v>
      </c>
      <c r="E35" s="179">
        <f>'Yearly BTX'!F41/'Yearly BTX'!F38</f>
        <v>0.95187751037344392</v>
      </c>
      <c r="F35" s="179">
        <f>'Yearly BTX'!G41/'Yearly BTX'!G38</f>
        <v>0.92781626556016605</v>
      </c>
      <c r="G35" s="179">
        <f>'Yearly BTX'!H41/'Yearly BTX'!H38</f>
        <v>0.90375502074688807</v>
      </c>
      <c r="H35" s="179">
        <f>'Yearly BTX'!I41/'Yearly BTX'!I38</f>
        <v>0.87969377593360998</v>
      </c>
      <c r="I35" s="179">
        <f>'Yearly BTX'!J41/'Yearly BTX'!J38</f>
        <v>0.85563253112033189</v>
      </c>
      <c r="J35" s="179">
        <f>'Yearly BTX'!K41/'Yearly BTX'!K38</f>
        <v>0.83157128630705401</v>
      </c>
      <c r="K35" s="179">
        <f>'Yearly BTX'!L41/'Yearly BTX'!L38</f>
        <v>0.80751004149377581</v>
      </c>
      <c r="L35" s="179">
        <f>'Yearly BTX'!M41/'Yearly BTX'!M38</f>
        <v>0.78344879668049794</v>
      </c>
      <c r="M35" s="179">
        <f>'Yearly BTX'!N41/'Yearly BTX'!N38</f>
        <v>0.75938755186721985</v>
      </c>
      <c r="N35" s="179">
        <f>'Yearly BTX'!O41/'Yearly BTX'!O38</f>
        <v>0.73532630705394186</v>
      </c>
      <c r="O35" s="179">
        <f>'Yearly BTX'!P41/'Yearly BTX'!P38</f>
        <v>0.71126506224066388</v>
      </c>
      <c r="P35" s="179">
        <f>'Yearly BTX'!Q41/'Yearly BTX'!Q38</f>
        <v>0.68720381742738579</v>
      </c>
      <c r="Q35" s="179">
        <f>'Yearly BTX'!R41/'Yearly BTX'!R38</f>
        <v>0.66314257261410781</v>
      </c>
      <c r="R35" s="179">
        <f>'Yearly BTX'!S41/'Yearly BTX'!S38</f>
        <v>0.63908132780082982</v>
      </c>
      <c r="S35" s="179">
        <f>'Yearly BTX'!T41/'Yearly BTX'!T38</f>
        <v>0.61502008298755184</v>
      </c>
      <c r="T35" s="179">
        <f>'Yearly BTX'!U41/'Yearly BTX'!U38</f>
        <v>0.59095883817427386</v>
      </c>
      <c r="U35" s="179">
        <f>'Yearly BTX'!V41/'Yearly BTX'!V38</f>
        <v>0.56689759336099577</v>
      </c>
      <c r="V35" s="179">
        <f>'Yearly BTX'!W41/'Yearly BTX'!W38</f>
        <v>0.5428363485477179</v>
      </c>
      <c r="W35" s="179">
        <f>'Yearly BTX'!X41/'Yearly BTX'!X38</f>
        <v>0.5187751037344398</v>
      </c>
      <c r="X35" s="179">
        <f>'Yearly BTX'!Y41/'Yearly BTX'!Y38</f>
        <v>0.49398473029045625</v>
      </c>
      <c r="Y35" s="179">
        <f>'Yearly BTX'!Z41/'Yearly BTX'!Z38</f>
        <v>0.46919435684647298</v>
      </c>
      <c r="Z35" s="179">
        <f>'Yearly BTX'!AA41/'Yearly BTX'!AA38</f>
        <v>0.44440398340248954</v>
      </c>
      <c r="AA35" s="179">
        <f>'Yearly BTX'!AB41/'Yearly BTX'!AB38</f>
        <v>0.41961360995850616</v>
      </c>
      <c r="AB35" s="179">
        <f>'Yearly BTX'!AC41/'Yearly BTX'!AC38</f>
        <v>0.39482323651452272</v>
      </c>
      <c r="AC35" s="179">
        <f>'Yearly BTX'!AD41/'Yearly BTX'!AD38</f>
        <v>0.37003286307053923</v>
      </c>
      <c r="AD35" s="179">
        <f>'Yearly BTX'!AE41/'Yearly BTX'!AE38</f>
        <v>0.3452424896265559</v>
      </c>
      <c r="AE35" s="179">
        <f>'Yearly BTX'!AF41/'Yearly BTX'!AF38</f>
        <v>0.32045211618257263</v>
      </c>
      <c r="AF35" s="179">
        <f>'Yearly BTX'!AG41/'Yearly BTX'!AG38</f>
        <v>0.29566174273858914</v>
      </c>
      <c r="AG35" s="179">
        <f>'Yearly BTX'!AH41/'Yearly BTX'!AH38</f>
        <v>0.2708713692946057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1231</v>
      </c>
      <c r="B36" s="50" t="s">
        <v>126</v>
      </c>
      <c r="C36" s="179">
        <f>'Yearly BTX'!D50/'Yearly BTX'!D45</f>
        <v>1</v>
      </c>
      <c r="D36" s="179">
        <f>'Yearly BTX'!E50/'Yearly BTX'!E45</f>
        <v>0.96910000000000007</v>
      </c>
      <c r="E36" s="179">
        <f>'Yearly BTX'!F50/'Yearly BTX'!F45</f>
        <v>0.93819999999999992</v>
      </c>
      <c r="F36" s="179">
        <f>'Yearly BTX'!G50/'Yearly BTX'!G45</f>
        <v>0.90730000000000011</v>
      </c>
      <c r="G36" s="179">
        <f>'Yearly BTX'!H50/'Yearly BTX'!H45</f>
        <v>0.87639999999999996</v>
      </c>
      <c r="H36" s="179">
        <f>'Yearly BTX'!I50/'Yearly BTX'!I45</f>
        <v>0.84550000000000003</v>
      </c>
      <c r="I36" s="179">
        <f>'Yearly BTX'!J50/'Yearly BTX'!J45</f>
        <v>0.8146000000000001</v>
      </c>
      <c r="J36" s="179">
        <f>'Yearly BTX'!K50/'Yearly BTX'!K45</f>
        <v>0.78370000000000006</v>
      </c>
      <c r="K36" s="179">
        <f>'Yearly BTX'!L50/'Yearly BTX'!L45</f>
        <v>0.75280000000000002</v>
      </c>
      <c r="L36" s="179">
        <f>'Yearly BTX'!M50/'Yearly BTX'!M45</f>
        <v>0.72189999999999999</v>
      </c>
      <c r="M36" s="179">
        <f>'Yearly BTX'!N50/'Yearly BTX'!N45</f>
        <v>0.69100000000000006</v>
      </c>
      <c r="N36" s="179">
        <f>'Yearly BTX'!O50/'Yearly BTX'!O45</f>
        <v>0.66920000000000002</v>
      </c>
      <c r="O36" s="179">
        <f>'Yearly BTX'!P50/'Yearly BTX'!P45</f>
        <v>0.64739999999999998</v>
      </c>
      <c r="P36" s="179">
        <f>'Yearly BTX'!Q50/'Yearly BTX'!Q45</f>
        <v>0.62559999999999993</v>
      </c>
      <c r="Q36" s="179">
        <f>'Yearly BTX'!R50/'Yearly BTX'!R45</f>
        <v>0.60379999999999989</v>
      </c>
      <c r="R36" s="179">
        <f>'Yearly BTX'!S50/'Yearly BTX'!S45</f>
        <v>0.58199999999999996</v>
      </c>
      <c r="S36" s="179">
        <f>'Yearly BTX'!T50/'Yearly BTX'!T45</f>
        <v>0.56019999999999992</v>
      </c>
      <c r="T36" s="179">
        <f>'Yearly BTX'!U50/'Yearly BTX'!U45</f>
        <v>0.53839999999999988</v>
      </c>
      <c r="U36" s="179">
        <f>'Yearly BTX'!V50/'Yearly BTX'!V45</f>
        <v>0.51659999999999995</v>
      </c>
      <c r="V36" s="179">
        <f>'Yearly BTX'!W50/'Yearly BTX'!W45</f>
        <v>0.49479999999999996</v>
      </c>
      <c r="W36" s="179">
        <f>'Yearly BTX'!X50/'Yearly BTX'!X45</f>
        <v>0.47299999999999998</v>
      </c>
      <c r="X36" s="179">
        <f>'Yearly BTX'!Y50/'Yearly BTX'!Y45</f>
        <v>0.44669999999999993</v>
      </c>
      <c r="Y36" s="179">
        <f>'Yearly BTX'!Z50/'Yearly BTX'!Z45</f>
        <v>0.42040000000000005</v>
      </c>
      <c r="Z36" s="179">
        <f>'Yearly BTX'!AA50/'Yearly BTX'!AA45</f>
        <v>0.39409999999999995</v>
      </c>
      <c r="AA36" s="179">
        <f>'Yearly BTX'!AB50/'Yearly BTX'!AB45</f>
        <v>0.36779999999999996</v>
      </c>
      <c r="AB36" s="179">
        <f>'Yearly BTX'!AC50/'Yearly BTX'!AC45</f>
        <v>0.34150000000000003</v>
      </c>
      <c r="AC36" s="179">
        <f>'Yearly BTX'!AD50/'Yearly BTX'!AD45</f>
        <v>0.31519999999999992</v>
      </c>
      <c r="AD36" s="179">
        <f>'Yearly BTX'!AE50/'Yearly BTX'!AE45</f>
        <v>0.28889999999999999</v>
      </c>
      <c r="AE36" s="179">
        <f>'Yearly BTX'!AF50/'Yearly BTX'!AF45</f>
        <v>0.26259999999999994</v>
      </c>
      <c r="AF36" s="179">
        <f>'Yearly BTX'!AG50/'Yearly BTX'!AG45</f>
        <v>0.23629999999999993</v>
      </c>
      <c r="AG36" s="179">
        <f>'Yearly BTX'!AH50/'Yearly BTX'!AH45</f>
        <v>0.20999999999999991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1232</v>
      </c>
      <c r="B37" s="156" t="s">
        <v>126</v>
      </c>
      <c r="C37" s="139">
        <f>'Yearly BTX'!D57/'Yearly BTX'!D54</f>
        <v>1</v>
      </c>
      <c r="D37" s="139">
        <f>'Yearly BTX'!E57/'Yearly BTX'!E54</f>
        <v>0.99340000000000006</v>
      </c>
      <c r="E37" s="139">
        <f>'Yearly BTX'!F57/'Yearly BTX'!F54</f>
        <v>0.98680000000000001</v>
      </c>
      <c r="F37" s="139">
        <f>'Yearly BTX'!G57/'Yearly BTX'!G54</f>
        <v>0.98019999999999996</v>
      </c>
      <c r="G37" s="139">
        <f>'Yearly BTX'!H57/'Yearly BTX'!H54</f>
        <v>0.97359999999999991</v>
      </c>
      <c r="H37" s="139">
        <f>'Yearly BTX'!I57/'Yearly BTX'!I54</f>
        <v>0.96700000000000019</v>
      </c>
      <c r="I37" s="139">
        <f>'Yearly BTX'!J57/'Yearly BTX'!J54</f>
        <v>0.96039999999999992</v>
      </c>
      <c r="J37" s="139">
        <f>'Yearly BTX'!K57/'Yearly BTX'!K54</f>
        <v>0.95379999999999987</v>
      </c>
      <c r="K37" s="139">
        <f>'Yearly BTX'!L57/'Yearly BTX'!L54</f>
        <v>0.94719999999999993</v>
      </c>
      <c r="L37" s="139">
        <f>'Yearly BTX'!M57/'Yearly BTX'!M54</f>
        <v>0.94059999999999999</v>
      </c>
      <c r="M37" s="139">
        <f>'Yearly BTX'!N57/'Yearly BTX'!N54</f>
        <v>0.93400000000000005</v>
      </c>
      <c r="N37" s="139">
        <f>'Yearly BTX'!O57/'Yearly BTX'!O54</f>
        <v>0.9274</v>
      </c>
      <c r="O37" s="139">
        <f>'Yearly BTX'!P57/'Yearly BTX'!P54</f>
        <v>0.92080000000000006</v>
      </c>
      <c r="P37" s="139">
        <f>'Yearly BTX'!Q57/'Yearly BTX'!Q54</f>
        <v>0.91420000000000001</v>
      </c>
      <c r="Q37" s="139">
        <f>'Yearly BTX'!R57/'Yearly BTX'!R54</f>
        <v>0.90760000000000007</v>
      </c>
      <c r="R37" s="139">
        <f>'Yearly BTX'!S57/'Yearly BTX'!S54</f>
        <v>0.90099999999999991</v>
      </c>
      <c r="S37" s="139">
        <f>'Yearly BTX'!T57/'Yearly BTX'!T54</f>
        <v>0.89439999999999997</v>
      </c>
      <c r="T37" s="139">
        <f>'Yearly BTX'!U57/'Yearly BTX'!U54</f>
        <v>0.88779999999999992</v>
      </c>
      <c r="U37" s="139">
        <f>'Yearly BTX'!V57/'Yearly BTX'!V54</f>
        <v>0.88119999999999987</v>
      </c>
      <c r="V37" s="139">
        <f>'Yearly BTX'!W57/'Yearly BTX'!W54</f>
        <v>0.87459999999999993</v>
      </c>
      <c r="W37" s="139">
        <f>'Yearly BTX'!X57/'Yearly BTX'!X54</f>
        <v>0.8680000000000001</v>
      </c>
      <c r="X37" s="139">
        <f>'Yearly BTX'!Y57/'Yearly BTX'!Y54</f>
        <v>0.86120000000000008</v>
      </c>
      <c r="Y37" s="139">
        <f>'Yearly BTX'!Z57/'Yearly BTX'!Z54</f>
        <v>0.85440000000000005</v>
      </c>
      <c r="Z37" s="139">
        <f>'Yearly BTX'!AA57/'Yearly BTX'!AA54</f>
        <v>0.84760000000000013</v>
      </c>
      <c r="AA37" s="139">
        <f>'Yearly BTX'!AB57/'Yearly BTX'!AB54</f>
        <v>0.84079999999999988</v>
      </c>
      <c r="AB37" s="139">
        <f>'Yearly BTX'!AC57/'Yearly BTX'!AC54</f>
        <v>0.83399999999999996</v>
      </c>
      <c r="AC37" s="139">
        <f>'Yearly BTX'!AD57/'Yearly BTX'!AD54</f>
        <v>0.82720000000000005</v>
      </c>
      <c r="AD37" s="139">
        <f>'Yearly BTX'!AE57/'Yearly BTX'!AE54</f>
        <v>0.82039999999999991</v>
      </c>
      <c r="AE37" s="139">
        <f>'Yearly BTX'!AF57/'Yearly BTX'!AF54</f>
        <v>0.81359999999999999</v>
      </c>
      <c r="AF37" s="139">
        <f>'Yearly BTX'!AG57/'Yearly BTX'!AG54</f>
        <v>0.80680000000000007</v>
      </c>
      <c r="AG37" s="139">
        <f>'Yearly BTX'!AH57/'Yearly BTX'!AH54</f>
        <v>0.8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1233</v>
      </c>
      <c r="B39" s="50" t="s">
        <v>1268</v>
      </c>
      <c r="C39" s="99">
        <f>C24*C33</f>
        <v>579487.25533013325</v>
      </c>
      <c r="D39" s="99">
        <f t="shared" ref="D39:AF39" si="16">D24*D33</f>
        <v>571204.23791173077</v>
      </c>
      <c r="E39" s="99">
        <f t="shared" si="16"/>
        <v>560747.51098492136</v>
      </c>
      <c r="F39" s="99">
        <f t="shared" si="16"/>
        <v>551435.45991280372</v>
      </c>
      <c r="G39" s="99">
        <f t="shared" si="16"/>
        <v>542161.79020010738</v>
      </c>
      <c r="H39" s="99">
        <f t="shared" si="16"/>
        <v>532926.37776861235</v>
      </c>
      <c r="I39" s="99">
        <f t="shared" si="16"/>
        <v>523729.09890087537</v>
      </c>
      <c r="J39" s="99">
        <f t="shared" si="16"/>
        <v>514569.83023924101</v>
      </c>
      <c r="K39" s="99">
        <f t="shared" si="16"/>
        <v>505448.44878485758</v>
      </c>
      <c r="L39" s="99">
        <f t="shared" si="16"/>
        <v>496364.83189669257</v>
      </c>
      <c r="M39" s="99">
        <f t="shared" si="16"/>
        <v>487318.85729055363</v>
      </c>
      <c r="N39" s="99">
        <f t="shared" si="16"/>
        <v>473209.82291945606</v>
      </c>
      <c r="O39" s="99">
        <f t="shared" si="16"/>
        <v>459160.70715300814</v>
      </c>
      <c r="P39" s="99">
        <f t="shared" si="16"/>
        <v>445171.31420038349</v>
      </c>
      <c r="Q39" s="99">
        <f t="shared" si="16"/>
        <v>431241.44884319522</v>
      </c>
      <c r="R39" s="99">
        <f t="shared" si="16"/>
        <v>417370.91643392184</v>
      </c>
      <c r="S39" s="99">
        <f t="shared" si="16"/>
        <v>403559.52289433923</v>
      </c>
      <c r="T39" s="99">
        <f t="shared" si="16"/>
        <v>389807.07471395517</v>
      </c>
      <c r="U39" s="99">
        <f t="shared" si="16"/>
        <v>376113.37894844846</v>
      </c>
      <c r="V39" s="99">
        <f t="shared" si="16"/>
        <v>362478.24321811303</v>
      </c>
      <c r="W39" s="99">
        <f t="shared" si="16"/>
        <v>348901.47570630384</v>
      </c>
      <c r="X39" s="99">
        <f t="shared" si="16"/>
        <v>338933.80665624264</v>
      </c>
      <c r="Y39" s="99">
        <f t="shared" si="16"/>
        <v>329008.44602469238</v>
      </c>
      <c r="Z39" s="99">
        <f t="shared" si="16"/>
        <v>319125.25558995915</v>
      </c>
      <c r="AA39" s="99">
        <f t="shared" si="16"/>
        <v>309284.09753443318</v>
      </c>
      <c r="AB39" s="99">
        <f t="shared" si="16"/>
        <v>299484.83444347861</v>
      </c>
      <c r="AC39" s="99">
        <f t="shared" si="16"/>
        <v>289727.32930432569</v>
      </c>
      <c r="AD39" s="99">
        <f t="shared" si="16"/>
        <v>280011.44550496619</v>
      </c>
      <c r="AE39" s="99">
        <f t="shared" si="16"/>
        <v>270337.04683305154</v>
      </c>
      <c r="AF39" s="99">
        <f t="shared" si="16"/>
        <v>260703.99747479454</v>
      </c>
      <c r="AG39" s="99">
        <f>AG24*AG33</f>
        <v>251112.16201387261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1234</v>
      </c>
      <c r="B40" s="50" t="s">
        <v>1268</v>
      </c>
      <c r="C40" s="99">
        <f t="shared" ref="C40:O40" si="17">C25*$C$34</f>
        <v>32237.695322400119</v>
      </c>
      <c r="D40" s="99">
        <f t="shared" si="17"/>
        <v>32166.528198189357</v>
      </c>
      <c r="E40" s="99">
        <f t="shared" si="17"/>
        <v>32095.518180729483</v>
      </c>
      <c r="F40" s="99">
        <f t="shared" si="17"/>
        <v>32024.664923195607</v>
      </c>
      <c r="G40" s="99">
        <f t="shared" si="17"/>
        <v>31953.968079528448</v>
      </c>
      <c r="H40" s="99">
        <f t="shared" si="17"/>
        <v>31883.427304432698</v>
      </c>
      <c r="I40" s="99">
        <f t="shared" si="17"/>
        <v>31813.042253375323</v>
      </c>
      <c r="J40" s="99">
        <f t="shared" si="17"/>
        <v>31742.812582583843</v>
      </c>
      <c r="K40" s="99">
        <f t="shared" si="17"/>
        <v>31672.737949044695</v>
      </c>
      <c r="L40" s="99">
        <f t="shared" si="17"/>
        <v>31602.818010501553</v>
      </c>
      <c r="M40" s="99">
        <f t="shared" si="17"/>
        <v>31533.052425453647</v>
      </c>
      <c r="N40" s="99">
        <f t="shared" si="17"/>
        <v>31463.440853154076</v>
      </c>
      <c r="O40" s="99">
        <f t="shared" si="17"/>
        <v>31393.982953608178</v>
      </c>
      <c r="P40" s="99">
        <f t="shared" ref="P40:AG40" si="18">D34*P25</f>
        <v>31217.836174527532</v>
      </c>
      <c r="Q40" s="99">
        <f t="shared" si="18"/>
        <v>31041.638995438909</v>
      </c>
      <c r="R40" s="99">
        <f t="shared" si="18"/>
        <v>30865.393987673768</v>
      </c>
      <c r="S40" s="99">
        <f t="shared" si="18"/>
        <v>30689.103708166269</v>
      </c>
      <c r="T40" s="99">
        <f t="shared" si="18"/>
        <v>30512.770699511522</v>
      </c>
      <c r="U40" s="99">
        <f t="shared" si="18"/>
        <v>30336.397490023763</v>
      </c>
      <c r="V40" s="99">
        <f t="shared" si="18"/>
        <v>30159.986593794161</v>
      </c>
      <c r="W40" s="99">
        <f t="shared" si="18"/>
        <v>29983.540510748571</v>
      </c>
      <c r="X40" s="99">
        <f t="shared" si="18"/>
        <v>29807.061726705015</v>
      </c>
      <c r="Y40" s="99">
        <f t="shared" si="18"/>
        <v>29630.55271343092</v>
      </c>
      <c r="Z40" s="99">
        <f t="shared" si="18"/>
        <v>29201.291146934313</v>
      </c>
      <c r="AA40" s="99">
        <f t="shared" si="18"/>
        <v>28768.827712337941</v>
      </c>
      <c r="AB40" s="99">
        <f t="shared" si="18"/>
        <v>28333.189571828254</v>
      </c>
      <c r="AC40" s="99">
        <f t="shared" si="18"/>
        <v>27894.40375913398</v>
      </c>
      <c r="AD40" s="99">
        <f t="shared" si="18"/>
        <v>27452.497180014219</v>
      </c>
      <c r="AE40" s="99">
        <f t="shared" si="18"/>
        <v>27007.496612744893</v>
      </c>
      <c r="AF40" s="99">
        <f t="shared" si="18"/>
        <v>26559.428708603464</v>
      </c>
      <c r="AG40" s="99">
        <f t="shared" si="18"/>
        <v>26108.319992352146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1235</v>
      </c>
      <c r="B41" s="50" t="s">
        <v>1268</v>
      </c>
      <c r="C41" s="99">
        <f t="shared" ref="C41:AG41" si="19">C26</f>
        <v>60365.794603215123</v>
      </c>
      <c r="D41" s="99">
        <f t="shared" si="19"/>
        <v>60232.532595505058</v>
      </c>
      <c r="E41" s="99">
        <f t="shared" si="19"/>
        <v>60099.564773646693</v>
      </c>
      <c r="F41" s="99">
        <f t="shared" si="19"/>
        <v>59966.890488202756</v>
      </c>
      <c r="G41" s="99">
        <f t="shared" si="19"/>
        <v>59834.509091169639</v>
      </c>
      <c r="H41" s="99">
        <f t="shared" si="19"/>
        <v>59702.419935974271</v>
      </c>
      <c r="I41" s="99">
        <f t="shared" si="19"/>
        <v>59570.622377470936</v>
      </c>
      <c r="J41" s="99">
        <f t="shared" si="19"/>
        <v>59439.115771938123</v>
      </c>
      <c r="K41" s="99">
        <f t="shared" si="19"/>
        <v>59307.899477075371</v>
      </c>
      <c r="L41" s="99">
        <f t="shared" si="19"/>
        <v>59176.972852000174</v>
      </c>
      <c r="M41" s="99">
        <f t="shared" si="19"/>
        <v>59046.335257244784</v>
      </c>
      <c r="N41" s="99">
        <f t="shared" si="19"/>
        <v>58915.986054753164</v>
      </c>
      <c r="O41" s="99">
        <f t="shared" si="19"/>
        <v>58785.924607877816</v>
      </c>
      <c r="P41" s="99">
        <f t="shared" si="19"/>
        <v>58656.150281376678</v>
      </c>
      <c r="Q41" s="99">
        <f t="shared" si="19"/>
        <v>58526.662441410037</v>
      </c>
      <c r="R41" s="99">
        <f t="shared" si="19"/>
        <v>58397.460455537461</v>
      </c>
      <c r="S41" s="99">
        <f t="shared" si="19"/>
        <v>58268.543692714637</v>
      </c>
      <c r="T41" s="99">
        <f t="shared" si="19"/>
        <v>58139.911523290335</v>
      </c>
      <c r="U41" s="99">
        <f t="shared" si="19"/>
        <v>58011.563319003362</v>
      </c>
      <c r="V41" s="99">
        <f t="shared" si="19"/>
        <v>57883.498452979416</v>
      </c>
      <c r="W41" s="99">
        <f t="shared" si="19"/>
        <v>57755.716299728083</v>
      </c>
      <c r="X41" s="99">
        <f t="shared" si="19"/>
        <v>57628.216235139764</v>
      </c>
      <c r="Y41" s="99">
        <f t="shared" si="19"/>
        <v>57500.997636482651</v>
      </c>
      <c r="Z41" s="99">
        <f t="shared" si="19"/>
        <v>57374.059882399619</v>
      </c>
      <c r="AA41" s="99">
        <f t="shared" si="19"/>
        <v>57247.402352905272</v>
      </c>
      <c r="AB41" s="99">
        <f t="shared" si="19"/>
        <v>57121.024429382887</v>
      </c>
      <c r="AC41" s="99">
        <f t="shared" si="19"/>
        <v>56994.925494581315</v>
      </c>
      <c r="AD41" s="99">
        <f t="shared" si="19"/>
        <v>56869.104932612121</v>
      </c>
      <c r="AE41" s="99">
        <f t="shared" si="19"/>
        <v>56743.562128946447</v>
      </c>
      <c r="AF41" s="99">
        <f t="shared" si="19"/>
        <v>56618.296470412031</v>
      </c>
      <c r="AG41" s="99">
        <f t="shared" si="19"/>
        <v>56493.307345190296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1236</v>
      </c>
      <c r="B42" s="50" t="s">
        <v>1268</v>
      </c>
      <c r="C42" s="222">
        <f t="shared" ref="C42:H42" si="20">C27*$C$36</f>
        <v>251335.80093508548</v>
      </c>
      <c r="D42" s="222">
        <f t="shared" si="20"/>
        <v>250780.95835143057</v>
      </c>
      <c r="E42" s="222">
        <f t="shared" si="20"/>
        <v>250227.34062428836</v>
      </c>
      <c r="F42" s="222">
        <f t="shared" si="20"/>
        <v>249674.9450496964</v>
      </c>
      <c r="G42" s="222">
        <f t="shared" si="20"/>
        <v>249123.76892966151</v>
      </c>
      <c r="H42" s="222">
        <f t="shared" si="20"/>
        <v>248573.80957214654</v>
      </c>
      <c r="I42" s="222">
        <f t="shared" ref="I42:AG43" si="21">I27*D36</f>
        <v>240361.08980446353</v>
      </c>
      <c r="J42" s="222">
        <f t="shared" si="21"/>
        <v>232183.41902712392</v>
      </c>
      <c r="K42" s="222">
        <f t="shared" si="21"/>
        <v>224040.6825173494</v>
      </c>
      <c r="L42" s="222">
        <f t="shared" si="21"/>
        <v>215932.76588807217</v>
      </c>
      <c r="M42" s="222">
        <f t="shared" si="21"/>
        <v>207859.55508701273</v>
      </c>
      <c r="N42" s="222">
        <f t="shared" si="21"/>
        <v>199820.93639575841</v>
      </c>
      <c r="O42" s="222">
        <f t="shared" si="21"/>
        <v>191816.79642884556</v>
      </c>
      <c r="P42" s="222">
        <f t="shared" si="21"/>
        <v>183847.0221328435</v>
      </c>
      <c r="Q42" s="222">
        <f t="shared" si="21"/>
        <v>175911.50078544134</v>
      </c>
      <c r="R42" s="222">
        <f t="shared" si="21"/>
        <v>168010.1199945368</v>
      </c>
      <c r="S42" s="222">
        <f t="shared" si="21"/>
        <v>162350.46226791645</v>
      </c>
      <c r="T42" s="222">
        <f t="shared" si="21"/>
        <v>156714.97399872722</v>
      </c>
      <c r="U42" s="222">
        <f t="shared" si="21"/>
        <v>151103.57605689802</v>
      </c>
      <c r="V42" s="222">
        <f t="shared" si="21"/>
        <v>145516.18954394181</v>
      </c>
      <c r="W42" s="222">
        <f t="shared" si="21"/>
        <v>139952.73579231871</v>
      </c>
      <c r="X42" s="222">
        <f t="shared" si="21"/>
        <v>134413.13636480071</v>
      </c>
      <c r="Y42" s="222">
        <f t="shared" si="21"/>
        <v>128897.31305383844</v>
      </c>
      <c r="Z42" s="222">
        <f t="shared" si="21"/>
        <v>123405.18788092918</v>
      </c>
      <c r="AA42" s="222">
        <f t="shared" si="21"/>
        <v>117936.68309598666</v>
      </c>
      <c r="AB42" s="222">
        <f t="shared" si="21"/>
        <v>112491.72117671283</v>
      </c>
      <c r="AC42" s="222">
        <f t="shared" si="21"/>
        <v>106002.37019205355</v>
      </c>
      <c r="AD42" s="222">
        <f t="shared" si="21"/>
        <v>99541.122447320988</v>
      </c>
      <c r="AE42" s="222">
        <f t="shared" si="21"/>
        <v>93107.885487621621</v>
      </c>
      <c r="AF42" s="222">
        <f t="shared" si="21"/>
        <v>86702.567129306408</v>
      </c>
      <c r="AG42" s="222">
        <f t="shared" si="21"/>
        <v>80325.075459223342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1237</v>
      </c>
      <c r="B43" s="156" t="s">
        <v>1268</v>
      </c>
      <c r="C43" s="99">
        <f t="shared" ref="C43:H43" si="22">C28*$C$37</f>
        <v>441091.26054906554</v>
      </c>
      <c r="D43" s="99">
        <f t="shared" si="22"/>
        <v>440117.51859220903</v>
      </c>
      <c r="E43" s="99">
        <f t="shared" si="22"/>
        <v>439145.92624357046</v>
      </c>
      <c r="F43" s="99">
        <f t="shared" si="22"/>
        <v>438176.47875772888</v>
      </c>
      <c r="G43" s="99">
        <f t="shared" si="22"/>
        <v>437209.17139973928</v>
      </c>
      <c r="H43" s="99">
        <f t="shared" si="22"/>
        <v>436243.99944510916</v>
      </c>
      <c r="I43" s="99">
        <f t="shared" si="21"/>
        <v>432408.10385578946</v>
      </c>
      <c r="J43" s="99">
        <f t="shared" si="21"/>
        <v>428587.01833380252</v>
      </c>
      <c r="K43" s="99">
        <f t="shared" si="21"/>
        <v>424780.69618428708</v>
      </c>
      <c r="L43" s="99">
        <f t="shared" si="21"/>
        <v>420989.0908463716</v>
      </c>
      <c r="M43" s="99">
        <f t="shared" si="21"/>
        <v>417212.15589281026</v>
      </c>
      <c r="N43" s="99">
        <f t="shared" si="21"/>
        <v>413449.84502961894</v>
      </c>
      <c r="O43" s="99">
        <f t="shared" si="21"/>
        <v>409702.11209571507</v>
      </c>
      <c r="P43" s="99">
        <f t="shared" si="21"/>
        <v>405968.91106255451</v>
      </c>
      <c r="Q43" s="99">
        <f t="shared" si="21"/>
        <v>402250.19603377261</v>
      </c>
      <c r="R43" s="99">
        <f t="shared" si="21"/>
        <v>398545.92124482425</v>
      </c>
      <c r="S43" s="99">
        <f t="shared" si="21"/>
        <v>394856.04106262553</v>
      </c>
      <c r="T43" s="99">
        <f t="shared" si="21"/>
        <v>391180.50998519716</v>
      </c>
      <c r="U43" s="99">
        <f t="shared" si="21"/>
        <v>387519.28264130675</v>
      </c>
      <c r="V43" s="99">
        <f t="shared" si="21"/>
        <v>383872.31379011436</v>
      </c>
      <c r="W43" s="99">
        <f t="shared" si="21"/>
        <v>380239.55832081736</v>
      </c>
      <c r="X43" s="99">
        <f t="shared" si="21"/>
        <v>376620.97125229717</v>
      </c>
      <c r="Y43" s="99">
        <f t="shared" si="21"/>
        <v>373016.50773276587</v>
      </c>
      <c r="Z43" s="99">
        <f t="shared" si="21"/>
        <v>369426.12303941499</v>
      </c>
      <c r="AA43" s="99">
        <f t="shared" si="21"/>
        <v>365849.77257806453</v>
      </c>
      <c r="AB43" s="99">
        <f t="shared" si="21"/>
        <v>362287.41188281291</v>
      </c>
      <c r="AC43" s="99">
        <f t="shared" si="21"/>
        <v>358655.70453381719</v>
      </c>
      <c r="AD43" s="99">
        <f t="shared" si="21"/>
        <v>355038.26614956092</v>
      </c>
      <c r="AE43" s="99">
        <f t="shared" si="21"/>
        <v>351435.05142914352</v>
      </c>
      <c r="AF43" s="99">
        <f t="shared" si="21"/>
        <v>347846.01520213636</v>
      </c>
      <c r="AG43" s="99">
        <f t="shared" si="21"/>
        <v>344271.11242822802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1238</v>
      </c>
      <c r="B44" s="189" t="s">
        <v>1268</v>
      </c>
      <c r="C44" s="190">
        <f>SUM(C39:C43)</f>
        <v>1364517.8067398996</v>
      </c>
      <c r="D44" s="190">
        <f t="shared" ref="D44:AF44" si="23">SUM(D39:D43)</f>
        <v>1354501.7756490647</v>
      </c>
      <c r="E44" s="190">
        <f t="shared" si="23"/>
        <v>1342315.8608071562</v>
      </c>
      <c r="F44" s="190">
        <f t="shared" si="23"/>
        <v>1331278.4391316273</v>
      </c>
      <c r="G44" s="190">
        <f t="shared" si="23"/>
        <v>1320283.2077002062</v>
      </c>
      <c r="H44" s="190">
        <f t="shared" si="23"/>
        <v>1309330.0340262749</v>
      </c>
      <c r="I44" s="190">
        <f t="shared" si="23"/>
        <v>1287881.9571919746</v>
      </c>
      <c r="J44" s="190">
        <f t="shared" si="23"/>
        <v>1266522.1959546895</v>
      </c>
      <c r="K44" s="190">
        <f t="shared" si="23"/>
        <v>1245250.4649126141</v>
      </c>
      <c r="L44" s="190">
        <f t="shared" si="23"/>
        <v>1224066.479493638</v>
      </c>
      <c r="M44" s="190">
        <f t="shared" si="23"/>
        <v>1202969.9559530751</v>
      </c>
      <c r="N44" s="190">
        <f t="shared" si="23"/>
        <v>1176860.0312527406</v>
      </c>
      <c r="O44" s="190">
        <f t="shared" si="23"/>
        <v>1150859.5232390547</v>
      </c>
      <c r="P44" s="190">
        <f t="shared" si="23"/>
        <v>1124861.2338516857</v>
      </c>
      <c r="Q44" s="190">
        <f t="shared" si="23"/>
        <v>1098971.4470992582</v>
      </c>
      <c r="R44" s="190">
        <f t="shared" si="23"/>
        <v>1073189.8121164942</v>
      </c>
      <c r="S44" s="190">
        <f t="shared" si="23"/>
        <v>1049723.6736257621</v>
      </c>
      <c r="T44" s="190">
        <f t="shared" si="23"/>
        <v>1026355.2409206813</v>
      </c>
      <c r="U44" s="190">
        <f t="shared" si="23"/>
        <v>1003084.1984556804</v>
      </c>
      <c r="V44" s="190">
        <f t="shared" si="23"/>
        <v>979910.23159894277</v>
      </c>
      <c r="W44" s="190">
        <f t="shared" si="23"/>
        <v>956833.02662991663</v>
      </c>
      <c r="X44" s="190">
        <f t="shared" si="23"/>
        <v>937403.1922351853</v>
      </c>
      <c r="Y44" s="190">
        <f t="shared" si="23"/>
        <v>918053.81716121023</v>
      </c>
      <c r="Z44" s="190">
        <f t="shared" si="23"/>
        <v>898531.9175396373</v>
      </c>
      <c r="AA44" s="190">
        <f t="shared" si="23"/>
        <v>879086.78327372763</v>
      </c>
      <c r="AB44" s="190">
        <f t="shared" si="23"/>
        <v>859718.18150421546</v>
      </c>
      <c r="AC44" s="190">
        <f t="shared" si="23"/>
        <v>839274.73328391172</v>
      </c>
      <c r="AD44" s="190">
        <f t="shared" si="23"/>
        <v>818912.43621447438</v>
      </c>
      <c r="AE44" s="190">
        <f t="shared" si="23"/>
        <v>798631.04249150807</v>
      </c>
      <c r="AF44" s="190">
        <f t="shared" si="23"/>
        <v>778430.30498525279</v>
      </c>
      <c r="AG44" s="190">
        <f>SUM(AG39:AG43)</f>
        <v>758309.9772388665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0.25</v>
      </c>
      <c r="D46" s="195">
        <f t="shared" ref="D46:AG46" si="24">D49</f>
        <v>0.26498239436619719</v>
      </c>
      <c r="E46" s="195">
        <f t="shared" si="24"/>
        <v>0.27996478873239439</v>
      </c>
      <c r="F46" s="195">
        <f t="shared" si="24"/>
        <v>0.29494718309859158</v>
      </c>
      <c r="G46" s="195">
        <f t="shared" si="24"/>
        <v>0.30992957746478877</v>
      </c>
      <c r="H46" s="195">
        <f t="shared" si="24"/>
        <v>0.32491197183098597</v>
      </c>
      <c r="I46" s="195">
        <f t="shared" si="24"/>
        <v>0.33989436619718311</v>
      </c>
      <c r="J46" s="195">
        <f t="shared" si="24"/>
        <v>0.3548767605633803</v>
      </c>
      <c r="K46" s="195">
        <f t="shared" si="24"/>
        <v>0.36985915492957749</v>
      </c>
      <c r="L46" s="195">
        <f t="shared" si="24"/>
        <v>0.38484154929577463</v>
      </c>
      <c r="M46" s="195">
        <f t="shared" si="24"/>
        <v>0.39982394366197183</v>
      </c>
      <c r="N46" s="195">
        <f t="shared" si="24"/>
        <v>0.40988952464788736</v>
      </c>
      <c r="O46" s="195">
        <f t="shared" si="24"/>
        <v>0.41995510563380289</v>
      </c>
      <c r="P46" s="195">
        <f t="shared" si="24"/>
        <v>0.43002068661971832</v>
      </c>
      <c r="Q46" s="195">
        <f t="shared" si="24"/>
        <v>0.4400862676056338</v>
      </c>
      <c r="R46" s="195">
        <f t="shared" si="24"/>
        <v>0.45015184859154933</v>
      </c>
      <c r="S46" s="195">
        <f t="shared" si="24"/>
        <v>0.46021742957746481</v>
      </c>
      <c r="T46" s="195">
        <f t="shared" si="24"/>
        <v>0.47028301056338029</v>
      </c>
      <c r="U46" s="195">
        <f t="shared" si="24"/>
        <v>0.48034859154929577</v>
      </c>
      <c r="V46" s="195">
        <f t="shared" si="24"/>
        <v>0.49041417253521125</v>
      </c>
      <c r="W46" s="195">
        <f t="shared" si="24"/>
        <v>0.50047975352112672</v>
      </c>
      <c r="X46" s="195">
        <f t="shared" si="24"/>
        <v>0.51595810959507049</v>
      </c>
      <c r="Y46" s="195">
        <f t="shared" si="24"/>
        <v>0.53143646566901404</v>
      </c>
      <c r="Z46" s="195">
        <f t="shared" si="24"/>
        <v>0.5469148217429578</v>
      </c>
      <c r="AA46" s="195">
        <f t="shared" si="24"/>
        <v>0.56239317781690135</v>
      </c>
      <c r="AB46" s="195">
        <f t="shared" si="24"/>
        <v>0.57787153389084511</v>
      </c>
      <c r="AC46" s="195">
        <f t="shared" si="24"/>
        <v>0.59334988996478877</v>
      </c>
      <c r="AD46" s="195">
        <f t="shared" si="24"/>
        <v>0.60882824603873242</v>
      </c>
      <c r="AE46" s="195">
        <f t="shared" si="24"/>
        <v>0.62430660211267608</v>
      </c>
      <c r="AF46" s="195">
        <f t="shared" si="24"/>
        <v>0.63978495818661973</v>
      </c>
      <c r="AG46" s="195">
        <f t="shared" si="24"/>
        <v>0.65526331426056339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18">
        <f>'Ethylene Recycling HC'!C50</f>
        <v>8.2746478873239437E-2</v>
      </c>
      <c r="D47" s="102">
        <f>'Ethylene Recycling HC'!D50</f>
        <v>8.9366197183098586E-2</v>
      </c>
      <c r="E47" s="102">
        <f>'Ethylene Recycling HC'!E50</f>
        <v>9.5985915492957749E-2</v>
      </c>
      <c r="F47" s="102">
        <f>'Ethylene Recycling HC'!F50</f>
        <v>0.1026056338028169</v>
      </c>
      <c r="G47" s="102">
        <f>'Ethylene Recycling HC'!G50</f>
        <v>0.10922535211267606</v>
      </c>
      <c r="H47" s="102">
        <f>'Ethylene Recycling HC'!H50</f>
        <v>0.11584507042253521</v>
      </c>
      <c r="I47" s="102">
        <f>'Ethylene Recycling HC'!I50</f>
        <v>0.12246478873239436</v>
      </c>
      <c r="J47" s="102">
        <f>'Ethylene Recycling HC'!J50</f>
        <v>0.12908450704225352</v>
      </c>
      <c r="K47" s="102">
        <f>'Ethylene Recycling HC'!K50</f>
        <v>0.13570422535211268</v>
      </c>
      <c r="L47" s="102">
        <f>'Ethylene Recycling HC'!L50</f>
        <v>0.14232394366197182</v>
      </c>
      <c r="M47" s="105">
        <f>'Ethylene Recycling HC'!M50</f>
        <v>0.14894366197183098</v>
      </c>
      <c r="N47" s="102">
        <f>'Ethylene Recycling HC'!N50</f>
        <v>0.15788028169014084</v>
      </c>
      <c r="O47" s="102">
        <f>'Ethylene Recycling HC'!O50</f>
        <v>0.16681690140845071</v>
      </c>
      <c r="P47" s="102">
        <f>'Ethylene Recycling HC'!P50</f>
        <v>0.17575352112676057</v>
      </c>
      <c r="Q47" s="102">
        <f>'Ethylene Recycling HC'!Q50</f>
        <v>0.18469014084507041</v>
      </c>
      <c r="R47" s="102">
        <f>'Ethylene Recycling HC'!R50</f>
        <v>0.1936267605633803</v>
      </c>
      <c r="S47" s="102">
        <f>'Ethylene Recycling HC'!S50</f>
        <v>0.20256338028169013</v>
      </c>
      <c r="T47" s="102">
        <f>'Ethylene Recycling HC'!T50</f>
        <v>0.21149999999999999</v>
      </c>
      <c r="U47" s="102">
        <f>'Ethylene Recycling HC'!U50</f>
        <v>0.22043661971830986</v>
      </c>
      <c r="V47" s="102">
        <f>'Ethylene Recycling HC'!V50</f>
        <v>0.22937323943661972</v>
      </c>
      <c r="W47" s="105">
        <f>'Ethylene Recycling HC'!W50</f>
        <v>0.23830985915492958</v>
      </c>
      <c r="X47" s="102">
        <f>'Ethylene Recycling HC'!X50</f>
        <v>0.25260845070422533</v>
      </c>
      <c r="Y47" s="102">
        <f>'Ethylene Recycling HC'!Y50</f>
        <v>0.26690704225352113</v>
      </c>
      <c r="Z47" s="102">
        <f>'Ethylene Recycling HC'!Z50</f>
        <v>0.28120563380281693</v>
      </c>
      <c r="AA47" s="102">
        <f>'Ethylene Recycling HC'!AA50</f>
        <v>0.29550422535211268</v>
      </c>
      <c r="AB47" s="102">
        <f>'Ethylene Recycling HC'!AB50</f>
        <v>0.30980281690140843</v>
      </c>
      <c r="AC47" s="102">
        <f>'Ethylene Recycling HC'!AC50</f>
        <v>0.32410140845070423</v>
      </c>
      <c r="AD47" s="102">
        <f>'Ethylene Recycling HC'!AD50</f>
        <v>0.33840000000000003</v>
      </c>
      <c r="AE47" s="102">
        <f>'Ethylene Recycling HC'!AE50</f>
        <v>0.35269859154929578</v>
      </c>
      <c r="AF47" s="102">
        <f>'Ethylene Recycling HC'!AF50</f>
        <v>0.36699718309859153</v>
      </c>
      <c r="AG47" s="102">
        <f>'Ethylene Recycling HC'!AG50</f>
        <v>0.38129577464788733</v>
      </c>
      <c r="AI47" s="124"/>
      <c r="AJ47" s="185" t="s">
        <v>1469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18">
        <f>'Ethylene Recycling HC'!C51</f>
        <v>0.16725352112676059</v>
      </c>
      <c r="D48" s="102">
        <f>'Ethylene Recycling HC'!D51</f>
        <v>0.17561619718309862</v>
      </c>
      <c r="E48" s="102">
        <f>'Ethylene Recycling HC'!E51</f>
        <v>0.18397887323943665</v>
      </c>
      <c r="F48" s="102">
        <f>'Ethylene Recycling HC'!F51</f>
        <v>0.19234154929577468</v>
      </c>
      <c r="G48" s="102">
        <f>'Ethylene Recycling HC'!G51</f>
        <v>0.20070422535211269</v>
      </c>
      <c r="H48" s="102">
        <f>'Ethylene Recycling HC'!H51</f>
        <v>0.20906690140845074</v>
      </c>
      <c r="I48" s="102">
        <f>'Ethylene Recycling HC'!I51</f>
        <v>0.21742957746478875</v>
      </c>
      <c r="J48" s="102">
        <f>'Ethylene Recycling HC'!J51</f>
        <v>0.22579225352112678</v>
      </c>
      <c r="K48" s="102">
        <f>'Ethylene Recycling HC'!K51</f>
        <v>0.23415492957746481</v>
      </c>
      <c r="L48" s="102">
        <f>'Ethylene Recycling HC'!L51</f>
        <v>0.24251760563380284</v>
      </c>
      <c r="M48" s="105">
        <f>'Ethylene Recycling HC'!M51</f>
        <v>0.25088028169014087</v>
      </c>
      <c r="N48" s="102">
        <f>'Ethylene Recycling HC'!N51</f>
        <v>0.25200924295774652</v>
      </c>
      <c r="O48" s="102">
        <f>'Ethylene Recycling HC'!O51</f>
        <v>0.25313820422535216</v>
      </c>
      <c r="P48" s="102">
        <f>'Ethylene Recycling HC'!P51</f>
        <v>0.25426716549295775</v>
      </c>
      <c r="Q48" s="102">
        <f>'Ethylene Recycling HC'!Q51</f>
        <v>0.25539612676056339</v>
      </c>
      <c r="R48" s="102">
        <f>'Ethylene Recycling HC'!R51</f>
        <v>0.25652508802816903</v>
      </c>
      <c r="S48" s="102">
        <f>'Ethylene Recycling HC'!S51</f>
        <v>0.25765404929577468</v>
      </c>
      <c r="T48" s="102">
        <f>'Ethylene Recycling HC'!T51</f>
        <v>0.25878301056338032</v>
      </c>
      <c r="U48" s="102">
        <f>'Ethylene Recycling HC'!U51</f>
        <v>0.25991197183098591</v>
      </c>
      <c r="V48" s="102">
        <f>'Ethylene Recycling HC'!V51</f>
        <v>0.26104093309859155</v>
      </c>
      <c r="W48" s="105">
        <f>'Ethylene Recycling HC'!W51</f>
        <v>0.2621698943661972</v>
      </c>
      <c r="X48" s="102">
        <f>'Ethylene Recycling HC'!X51</f>
        <v>0.26334965889084511</v>
      </c>
      <c r="Y48" s="102">
        <f>'Ethylene Recycling HC'!Y51</f>
        <v>0.26452942341549296</v>
      </c>
      <c r="Z48" s="102">
        <f>'Ethylene Recycling HC'!Z51</f>
        <v>0.26570918794014087</v>
      </c>
      <c r="AA48" s="102">
        <f>'Ethylene Recycling HC'!AA51</f>
        <v>0.26688895246478872</v>
      </c>
      <c r="AB48" s="102">
        <f>'Ethylene Recycling HC'!AB51</f>
        <v>0.26806871698943663</v>
      </c>
      <c r="AC48" s="102">
        <f>'Ethylene Recycling HC'!AC51</f>
        <v>0.26924848151408454</v>
      </c>
      <c r="AD48" s="102">
        <f>'Ethylene Recycling HC'!AD51</f>
        <v>0.27042824603873239</v>
      </c>
      <c r="AE48" s="102">
        <f>'Ethylene Recycling HC'!AE51</f>
        <v>0.2716080105633803</v>
      </c>
      <c r="AF48" s="102">
        <f>'Ethylene Recycling HC'!AF51</f>
        <v>0.27278777508802815</v>
      </c>
      <c r="AG48" s="102">
        <f>'Ethylene Recycling HC'!AG51</f>
        <v>0.27396753961267606</v>
      </c>
      <c r="AI48" s="124"/>
      <c r="AJ48" s="185" t="s">
        <v>1469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0.25</v>
      </c>
      <c r="D49" s="102">
        <f t="shared" ref="D49:AF49" si="25">D47+D48</f>
        <v>0.26498239436619719</v>
      </c>
      <c r="E49" s="102">
        <f t="shared" si="25"/>
        <v>0.27996478873239439</v>
      </c>
      <c r="F49" s="102">
        <f t="shared" si="25"/>
        <v>0.29494718309859158</v>
      </c>
      <c r="G49" s="102">
        <f t="shared" si="25"/>
        <v>0.30992957746478877</v>
      </c>
      <c r="H49" s="102">
        <f t="shared" si="25"/>
        <v>0.32491197183098597</v>
      </c>
      <c r="I49" s="102">
        <f t="shared" si="25"/>
        <v>0.33989436619718311</v>
      </c>
      <c r="J49" s="102">
        <f t="shared" si="25"/>
        <v>0.3548767605633803</v>
      </c>
      <c r="K49" s="102">
        <f t="shared" si="25"/>
        <v>0.36985915492957749</v>
      </c>
      <c r="L49" s="102">
        <f t="shared" si="25"/>
        <v>0.38484154929577463</v>
      </c>
      <c r="M49" s="102">
        <f t="shared" si="25"/>
        <v>0.39982394366197183</v>
      </c>
      <c r="N49" s="102">
        <f t="shared" si="25"/>
        <v>0.40988952464788736</v>
      </c>
      <c r="O49" s="102">
        <f t="shared" si="25"/>
        <v>0.41995510563380289</v>
      </c>
      <c r="P49" s="102">
        <f t="shared" si="25"/>
        <v>0.43002068661971832</v>
      </c>
      <c r="Q49" s="102">
        <f t="shared" si="25"/>
        <v>0.4400862676056338</v>
      </c>
      <c r="R49" s="102">
        <f t="shared" si="25"/>
        <v>0.45015184859154933</v>
      </c>
      <c r="S49" s="102">
        <f t="shared" si="25"/>
        <v>0.46021742957746481</v>
      </c>
      <c r="T49" s="102">
        <f t="shared" si="25"/>
        <v>0.47028301056338029</v>
      </c>
      <c r="U49" s="102">
        <f t="shared" si="25"/>
        <v>0.48034859154929577</v>
      </c>
      <c r="V49" s="102">
        <f t="shared" si="25"/>
        <v>0.49041417253521125</v>
      </c>
      <c r="W49" s="102">
        <f t="shared" si="25"/>
        <v>0.50047975352112672</v>
      </c>
      <c r="X49" s="102">
        <f t="shared" si="25"/>
        <v>0.51595810959507049</v>
      </c>
      <c r="Y49" s="102">
        <f t="shared" si="25"/>
        <v>0.53143646566901404</v>
      </c>
      <c r="Z49" s="102">
        <f t="shared" si="25"/>
        <v>0.5469148217429578</v>
      </c>
      <c r="AA49" s="102">
        <f t="shared" si="25"/>
        <v>0.56239317781690135</v>
      </c>
      <c r="AB49" s="102">
        <f t="shared" si="25"/>
        <v>0.57787153389084511</v>
      </c>
      <c r="AC49" s="102">
        <f t="shared" si="25"/>
        <v>0.59334988996478877</v>
      </c>
      <c r="AD49" s="102">
        <f t="shared" si="25"/>
        <v>0.60882824603873242</v>
      </c>
      <c r="AE49" s="102">
        <f t="shared" si="25"/>
        <v>0.62430660211267608</v>
      </c>
      <c r="AF49" s="102">
        <f t="shared" si="25"/>
        <v>0.63978495818661973</v>
      </c>
      <c r="AG49" s="102">
        <f>AG47+AG48</f>
        <v>0.65526331426056339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HC'!C54</f>
        <v>0.11499935012302656</v>
      </c>
      <c r="D51" s="102">
        <f>'Ethylene Recycling HC'!D54</f>
        <v>0.11283270511892568</v>
      </c>
      <c r="E51" s="102">
        <f>'Ethylene Recycling HC'!E54</f>
        <v>0.1106660601148248</v>
      </c>
      <c r="F51" s="102">
        <f>'Ethylene Recycling HC'!F54</f>
        <v>0.10849941511072392</v>
      </c>
      <c r="G51" s="102">
        <f>'Ethylene Recycling HC'!G54</f>
        <v>0.10633277010662304</v>
      </c>
      <c r="H51" s="102">
        <f>'Ethylene Recycling HC'!H54</f>
        <v>0.10416612510252216</v>
      </c>
      <c r="I51" s="102">
        <f>'Ethylene Recycling HC'!I54</f>
        <v>0.10199948009842127</v>
      </c>
      <c r="J51" s="102">
        <f>'Ethylene Recycling HC'!J54</f>
        <v>9.9832835094320393E-2</v>
      </c>
      <c r="K51" s="102">
        <f>'Ethylene Recycling HC'!K54</f>
        <v>9.7666190090219512E-2</v>
      </c>
      <c r="L51" s="102">
        <f>'Ethylene Recycling HC'!L54</f>
        <v>9.5499545086118631E-2</v>
      </c>
      <c r="M51" s="102">
        <f>'Ethylene Recycling HC'!M54</f>
        <v>9.333290008201775E-2</v>
      </c>
      <c r="N51" s="102">
        <f>'Ethylene Recycling HC'!N54</f>
        <v>9.1166255077916869E-2</v>
      </c>
      <c r="O51" s="102">
        <f>'Ethylene Recycling HC'!O54</f>
        <v>8.8999610073815988E-2</v>
      </c>
      <c r="P51" s="102">
        <f>'Ethylene Recycling HC'!P54</f>
        <v>8.6832965069715107E-2</v>
      </c>
      <c r="Q51" s="102">
        <f>'Ethylene Recycling HC'!Q54</f>
        <v>8.4666320065614226E-2</v>
      </c>
      <c r="R51" s="102">
        <f>'Ethylene Recycling HC'!R54</f>
        <v>8.2499675061513345E-2</v>
      </c>
      <c r="S51" s="102">
        <f>'Ethylene Recycling HC'!S54</f>
        <v>8.0333030057412463E-2</v>
      </c>
      <c r="T51" s="102">
        <f>'Ethylene Recycling HC'!T54</f>
        <v>7.8166385053311582E-2</v>
      </c>
      <c r="U51" s="102">
        <f>'Ethylene Recycling HC'!U54</f>
        <v>7.5999740049210701E-2</v>
      </c>
      <c r="V51" s="102">
        <f>'Ethylene Recycling HC'!V54</f>
        <v>7.383309504510982E-2</v>
      </c>
      <c r="W51" s="102">
        <f>'Ethylene Recycling HC'!W54</f>
        <v>7.1666450041008939E-2</v>
      </c>
      <c r="X51" s="102">
        <f>'Ethylene Recycling HC'!X54</f>
        <v>6.9499805036908058E-2</v>
      </c>
      <c r="Y51" s="102">
        <f>'Ethylene Recycling HC'!Y54</f>
        <v>6.7333160032807177E-2</v>
      </c>
      <c r="Z51" s="102">
        <f>'Ethylene Recycling HC'!Z54</f>
        <v>6.5166515028706296E-2</v>
      </c>
      <c r="AA51" s="102">
        <f>'Ethylene Recycling HC'!AA54</f>
        <v>6.2999870024605414E-2</v>
      </c>
      <c r="AB51" s="102">
        <f>'Ethylene Recycling HC'!AB54</f>
        <v>6.0833225020504526E-2</v>
      </c>
      <c r="AC51" s="102">
        <f>'Ethylene Recycling HC'!AC54</f>
        <v>5.8666580016403638E-2</v>
      </c>
      <c r="AD51" s="102">
        <f>'Ethylene Recycling HC'!AD54</f>
        <v>5.649993501230275E-2</v>
      </c>
      <c r="AE51" s="102">
        <f>'Ethylene Recycling HC'!AE54</f>
        <v>5.4333290008201862E-2</v>
      </c>
      <c r="AF51" s="102">
        <f>'Ethylene Recycling HC'!AF54</f>
        <v>5.2166645004100974E-2</v>
      </c>
      <c r="AG51" s="102">
        <f>'Ethylene Recycling HC'!AG54</f>
        <v>0.05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f>'Ethylene Recycling HC'!C55</f>
        <v>0.13791632052401978</v>
      </c>
      <c r="D52" s="102">
        <f>'Ethylene Recycling HC'!D55</f>
        <v>0.13791632052401978</v>
      </c>
      <c r="E52" s="102">
        <f>'Ethylene Recycling HC'!E55</f>
        <v>0.13791632052401978</v>
      </c>
      <c r="F52" s="102">
        <f>'Ethylene Recycling HC'!F55</f>
        <v>0.13791632052401978</v>
      </c>
      <c r="G52" s="102">
        <f>'Ethylene Recycling HC'!G55</f>
        <v>0.13791632052401978</v>
      </c>
      <c r="H52" s="102">
        <f>'Ethylene Recycling HC'!H55</f>
        <v>0.13791632052401978</v>
      </c>
      <c r="I52" s="102">
        <f>'Ethylene Recycling HC'!I55</f>
        <v>0.13791632052401978</v>
      </c>
      <c r="J52" s="102">
        <f>'Ethylene Recycling HC'!J55</f>
        <v>0.13791632052401978</v>
      </c>
      <c r="K52" s="102">
        <f>'Ethylene Recycling HC'!K55</f>
        <v>0.13791632052401978</v>
      </c>
      <c r="L52" s="102">
        <f>'Ethylene Recycling HC'!L55</f>
        <v>0.13791632052401978</v>
      </c>
      <c r="M52" s="102">
        <f>'Ethylene Recycling HC'!M55</f>
        <v>0.13791632052401978</v>
      </c>
      <c r="N52" s="102">
        <f>'Ethylene Recycling HC'!N55</f>
        <v>0.13791632052401978</v>
      </c>
      <c r="O52" s="102">
        <f>'Ethylene Recycling HC'!O55</f>
        <v>0.13791632052401978</v>
      </c>
      <c r="P52" s="102">
        <f>'Ethylene Recycling HC'!P55</f>
        <v>0.13791632052401978</v>
      </c>
      <c r="Q52" s="102">
        <f>'Ethylene Recycling HC'!Q55</f>
        <v>0.13791632052401978</v>
      </c>
      <c r="R52" s="102">
        <f>'Ethylene Recycling HC'!R55</f>
        <v>0.13791632052401978</v>
      </c>
      <c r="S52" s="102">
        <f>'Ethylene Recycling HC'!S55</f>
        <v>0.13791632052401978</v>
      </c>
      <c r="T52" s="102">
        <f>'Ethylene Recycling HC'!T55</f>
        <v>0.13791632052401978</v>
      </c>
      <c r="U52" s="102">
        <f>'Ethylene Recycling HC'!U55</f>
        <v>0.13791632052401978</v>
      </c>
      <c r="V52" s="102">
        <f>'Ethylene Recycling HC'!V55</f>
        <v>0.13791632052401978</v>
      </c>
      <c r="W52" s="102">
        <f>'Ethylene Recycling HC'!W55</f>
        <v>0.13791632052401978</v>
      </c>
      <c r="X52" s="102">
        <f>'Ethylene Recycling HC'!X55</f>
        <v>0.13791632052401978</v>
      </c>
      <c r="Y52" s="102">
        <f>'Ethylene Recycling HC'!Y55</f>
        <v>0.13791632052401978</v>
      </c>
      <c r="Z52" s="102">
        <f>'Ethylene Recycling HC'!Z55</f>
        <v>0.13791632052401978</v>
      </c>
      <c r="AA52" s="102">
        <f>'Ethylene Recycling HC'!AA55</f>
        <v>0.13791632052401978</v>
      </c>
      <c r="AB52" s="102">
        <f>'Ethylene Recycling HC'!AB55</f>
        <v>0.13791632052401978</v>
      </c>
      <c r="AC52" s="102">
        <f>'Ethylene Recycling HC'!AC55</f>
        <v>0.13791632052401978</v>
      </c>
      <c r="AD52" s="102">
        <f>'Ethylene Recycling HC'!AD55</f>
        <v>0.13791632052401978</v>
      </c>
      <c r="AE52" s="102">
        <f>'Ethylene Recycling HC'!AE55</f>
        <v>0.13791632052401978</v>
      </c>
      <c r="AF52" s="102">
        <f>'Ethylene Recycling HC'!AF55</f>
        <v>0.13791632052401978</v>
      </c>
      <c r="AG52" s="102">
        <f>'Ethylene Recycling HC'!AG55</f>
        <v>0.13791632052401978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f>'Ethylene Recycling HC'!C56</f>
        <v>0.10855071452136934</v>
      </c>
      <c r="D53" s="102">
        <f>'Ethylene Recycling HC'!D56</f>
        <v>0.10855071452136934</v>
      </c>
      <c r="E53" s="102">
        <f>'Ethylene Recycling HC'!E56</f>
        <v>0.10855071452136934</v>
      </c>
      <c r="F53" s="102">
        <f>'Ethylene Recycling HC'!F56</f>
        <v>0.10855071452136934</v>
      </c>
      <c r="G53" s="102">
        <f>'Ethylene Recycling HC'!G56</f>
        <v>0.10855071452136934</v>
      </c>
      <c r="H53" s="102">
        <f>'Ethylene Recycling HC'!H56</f>
        <v>0.10855071452136934</v>
      </c>
      <c r="I53" s="102">
        <f>'Ethylene Recycling HC'!I56</f>
        <v>0.10855071452136934</v>
      </c>
      <c r="J53" s="102">
        <f>'Ethylene Recycling HC'!J56</f>
        <v>0.10855071452136934</v>
      </c>
      <c r="K53" s="102">
        <f>'Ethylene Recycling HC'!K56</f>
        <v>0.10855071452136934</v>
      </c>
      <c r="L53" s="102">
        <f>'Ethylene Recycling HC'!L56</f>
        <v>0.10855071452136934</v>
      </c>
      <c r="M53" s="102">
        <f>'Ethylene Recycling HC'!M56</f>
        <v>0.10855071452136934</v>
      </c>
      <c r="N53" s="102">
        <f>'Ethylene Recycling HC'!N56</f>
        <v>0.10855071452136934</v>
      </c>
      <c r="O53" s="102">
        <f>'Ethylene Recycling HC'!O56</f>
        <v>0.10855071452136934</v>
      </c>
      <c r="P53" s="102">
        <f>'Ethylene Recycling HC'!P56</f>
        <v>0.10855071452136934</v>
      </c>
      <c r="Q53" s="102">
        <f>'Ethylene Recycling HC'!Q56</f>
        <v>0.10855071452136934</v>
      </c>
      <c r="R53" s="102">
        <f>'Ethylene Recycling HC'!R56</f>
        <v>0.10855071452136934</v>
      </c>
      <c r="S53" s="102">
        <f>'Ethylene Recycling HC'!S56</f>
        <v>0.10855071452136934</v>
      </c>
      <c r="T53" s="102">
        <f>'Ethylene Recycling HC'!T56</f>
        <v>0.10855071452136934</v>
      </c>
      <c r="U53" s="102">
        <f>'Ethylene Recycling HC'!U56</f>
        <v>0.10855071452136934</v>
      </c>
      <c r="V53" s="102">
        <f>'Ethylene Recycling HC'!V56</f>
        <v>0.10855071452136934</v>
      </c>
      <c r="W53" s="102">
        <f>'Ethylene Recycling HC'!W56</f>
        <v>0.10855071452136934</v>
      </c>
      <c r="X53" s="102">
        <f>'Ethylene Recycling HC'!X56</f>
        <v>0.10855071452136934</v>
      </c>
      <c r="Y53" s="102">
        <f>'Ethylene Recycling HC'!Y56</f>
        <v>0.10855071452136934</v>
      </c>
      <c r="Z53" s="102">
        <f>'Ethylene Recycling HC'!Z56</f>
        <v>0.10855071452136934</v>
      </c>
      <c r="AA53" s="102">
        <f>'Ethylene Recycling HC'!AA56</f>
        <v>0.10855071452136934</v>
      </c>
      <c r="AB53" s="102">
        <f>'Ethylene Recycling HC'!AB56</f>
        <v>0.10855071452136934</v>
      </c>
      <c r="AC53" s="102">
        <f>'Ethylene Recycling HC'!AC56</f>
        <v>0.10855071452136934</v>
      </c>
      <c r="AD53" s="102">
        <f>'Ethylene Recycling HC'!AD56</f>
        <v>0.10855071452136934</v>
      </c>
      <c r="AE53" s="102">
        <f>'Ethylene Recycling HC'!AE56</f>
        <v>0.10855071452136934</v>
      </c>
      <c r="AF53" s="102">
        <f>'Ethylene Recycling HC'!AF56</f>
        <v>0.10855071452136934</v>
      </c>
      <c r="AG53" s="102">
        <f>'Ethylene Recycling HC'!AG56</f>
        <v>0.10855071452136934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f>'Ethylene Recycling HC'!C57</f>
        <v>0.63853361483158433</v>
      </c>
      <c r="D54" s="102">
        <f>'Ethylene Recycling HC'!D57</f>
        <v>0.64070025983568524</v>
      </c>
      <c r="E54" s="102">
        <f>'Ethylene Recycling HC'!E57</f>
        <v>0.64286690483978604</v>
      </c>
      <c r="F54" s="102">
        <f>'Ethylene Recycling HC'!F57</f>
        <v>0.64503354984388694</v>
      </c>
      <c r="G54" s="102">
        <f>'Ethylene Recycling HC'!G57</f>
        <v>0.64720019484798785</v>
      </c>
      <c r="H54" s="102">
        <f>'Ethylene Recycling HC'!H57</f>
        <v>0.64936683985208865</v>
      </c>
      <c r="I54" s="102">
        <f>'Ethylene Recycling HC'!I57</f>
        <v>0.65153348485618956</v>
      </c>
      <c r="J54" s="102">
        <f>'Ethylene Recycling HC'!J57</f>
        <v>0.65370012986029047</v>
      </c>
      <c r="K54" s="102">
        <f>'Ethylene Recycling HC'!K57</f>
        <v>0.65586677486439138</v>
      </c>
      <c r="L54" s="102">
        <f>'Ethylene Recycling HC'!L57</f>
        <v>0.65803341986849229</v>
      </c>
      <c r="M54" s="102">
        <f>'Ethylene Recycling HC'!M57</f>
        <v>0.66020006487259308</v>
      </c>
      <c r="N54" s="102">
        <f>'Ethylene Recycling HC'!N57</f>
        <v>0.66236670987669399</v>
      </c>
      <c r="O54" s="102">
        <f>'Ethylene Recycling HC'!O57</f>
        <v>0.6645333548807949</v>
      </c>
      <c r="P54" s="102">
        <f>'Ethylene Recycling HC'!P57</f>
        <v>0.6666999998848957</v>
      </c>
      <c r="Q54" s="102">
        <f>'Ethylene Recycling HC'!Q57</f>
        <v>0.66886664488899661</v>
      </c>
      <c r="R54" s="102">
        <f>'Ethylene Recycling HC'!R57</f>
        <v>0.67103328989309752</v>
      </c>
      <c r="S54" s="102">
        <f>'Ethylene Recycling HC'!S57</f>
        <v>0.67319993489719843</v>
      </c>
      <c r="T54" s="102">
        <f>'Ethylene Recycling HC'!T57</f>
        <v>0.67536657990129934</v>
      </c>
      <c r="U54" s="102">
        <f>'Ethylene Recycling HC'!U57</f>
        <v>0.67753322490540013</v>
      </c>
      <c r="V54" s="102">
        <f>'Ethylene Recycling HC'!V57</f>
        <v>0.67969986990950104</v>
      </c>
      <c r="W54" s="102">
        <f>'Ethylene Recycling HC'!W57</f>
        <v>0.68186651491360195</v>
      </c>
      <c r="X54" s="102">
        <f>'Ethylene Recycling HC'!X57</f>
        <v>0.68403315991770275</v>
      </c>
      <c r="Y54" s="102">
        <f>'Ethylene Recycling HC'!Y57</f>
        <v>0.68619980492180366</v>
      </c>
      <c r="Z54" s="102">
        <f>'Ethylene Recycling HC'!Z57</f>
        <v>0.68836644992590457</v>
      </c>
      <c r="AA54" s="102">
        <f>'Ethylene Recycling HC'!AA57</f>
        <v>0.69053309493000548</v>
      </c>
      <c r="AB54" s="102">
        <f>'Ethylene Recycling HC'!AB57</f>
        <v>0.69269973993410638</v>
      </c>
      <c r="AC54" s="102">
        <f>'Ethylene Recycling HC'!AC57</f>
        <v>0.69486638493820718</v>
      </c>
      <c r="AD54" s="102">
        <f>'Ethylene Recycling HC'!AD57</f>
        <v>0.69703302994230809</v>
      </c>
      <c r="AE54" s="102">
        <f>'Ethylene Recycling HC'!AE57</f>
        <v>0.699199674946409</v>
      </c>
      <c r="AF54" s="102">
        <f>'Ethylene Recycling HC'!AF57</f>
        <v>0.70136631995050991</v>
      </c>
      <c r="AG54" s="102">
        <f>'Ethylene Recycling HC'!AG57</f>
        <v>0.70353296495461082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f>'Ethylene Recycling HC'!C58</f>
        <v>1.923404623536536E-2</v>
      </c>
      <c r="D55" s="102">
        <f>'Ethylene Recycling HC'!D58</f>
        <v>1.9815250590867674E-2</v>
      </c>
      <c r="E55" s="102">
        <f>'Ethylene Recycling HC'!E58</f>
        <v>2.0360217045773229E-2</v>
      </c>
      <c r="F55" s="102">
        <f>'Ethylene Recycling HC'!F58</f>
        <v>2.0868945600082026E-2</v>
      </c>
      <c r="G55" s="102">
        <f>'Ethylene Recycling HC'!G58</f>
        <v>2.1341436253794061E-2</v>
      </c>
      <c r="H55" s="102">
        <f>'Ethylene Recycling HC'!H58</f>
        <v>2.1777689006909347E-2</v>
      </c>
      <c r="I55" s="102">
        <f>'Ethylene Recycling HC'!I58</f>
        <v>2.2177703859427866E-2</v>
      </c>
      <c r="J55" s="102">
        <f>'Ethylene Recycling HC'!J58</f>
        <v>2.2541480811349632E-2</v>
      </c>
      <c r="K55" s="102">
        <f>'Ethylene Recycling HC'!K58</f>
        <v>2.2869019862674641E-2</v>
      </c>
      <c r="L55" s="102">
        <f>'Ethylene Recycling HC'!L58</f>
        <v>2.3160321013402891E-2</v>
      </c>
      <c r="M55" s="102">
        <f>'Ethylene Recycling HC'!M58</f>
        <v>2.3415384263534386E-2</v>
      </c>
      <c r="N55" s="102">
        <f>'Ethylene Recycling HC'!N58</f>
        <v>2.2974738925478643E-2</v>
      </c>
      <c r="O55" s="102">
        <f>'Ethylene Recycling HC'!O58</f>
        <v>2.252920147084234E-2</v>
      </c>
      <c r="P55" s="102">
        <f>'Ethylene Recycling HC'!P58</f>
        <v>2.2078771899625472E-2</v>
      </c>
      <c r="Q55" s="102">
        <f>'Ethylene Recycling HC'!Q58</f>
        <v>2.1623450211828044E-2</v>
      </c>
      <c r="R55" s="102">
        <f>'Ethylene Recycling HC'!R58</f>
        <v>2.1163236407450051E-2</v>
      </c>
      <c r="S55" s="102">
        <f>'Ethylene Recycling HC'!S58</f>
        <v>2.0698130486491498E-2</v>
      </c>
      <c r="T55" s="102">
        <f>'Ethylene Recycling HC'!T58</f>
        <v>2.0228132448952385E-2</v>
      </c>
      <c r="U55" s="102">
        <f>'Ethylene Recycling HC'!U58</f>
        <v>1.9753242294832704E-2</v>
      </c>
      <c r="V55" s="102">
        <f>'Ethylene Recycling HC'!V58</f>
        <v>1.9273460024132463E-2</v>
      </c>
      <c r="W55" s="102">
        <f>'Ethylene Recycling HC'!W58</f>
        <v>1.8788785636851664E-2</v>
      </c>
      <c r="X55" s="102">
        <f>'Ethylene Recycling HC'!X58</f>
        <v>1.8302749949449977E-2</v>
      </c>
      <c r="Y55" s="102">
        <f>'Ethylene Recycling HC'!Y58</f>
        <v>1.7811602000221596E-2</v>
      </c>
      <c r="Z55" s="102">
        <f>'Ethylene Recycling HC'!Z58</f>
        <v>1.7315341789166536E-2</v>
      </c>
      <c r="AA55" s="102">
        <f>'Ethylene Recycling HC'!AA58</f>
        <v>1.6813969316284781E-2</v>
      </c>
      <c r="AB55" s="102">
        <f>'Ethylene Recycling HC'!AB58</f>
        <v>1.6307484581576343E-2</v>
      </c>
      <c r="AC55" s="102">
        <f>'Ethylene Recycling HC'!AC58</f>
        <v>1.5795887585041215E-2</v>
      </c>
      <c r="AD55" s="102">
        <f>'Ethylene Recycling HC'!AD58</f>
        <v>1.5279178326679398E-2</v>
      </c>
      <c r="AE55" s="102">
        <f>'Ethylene Recycling HC'!AE58</f>
        <v>1.4757356806490896E-2</v>
      </c>
      <c r="AF55" s="102">
        <f>'Ethylene Recycling HC'!AF58</f>
        <v>1.4230423024475703E-2</v>
      </c>
      <c r="AG55" s="102">
        <f>'Ethylene Recycling HC'!AG58</f>
        <v>1.3698376980633803E-2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f>'Ethylene Recycling HC'!C59</f>
        <v>2.3066990228489227E-2</v>
      </c>
      <c r="D56" s="102">
        <f>'Ethylene Recycling HC'!D59</f>
        <v>2.422033973991369E-2</v>
      </c>
      <c r="E56" s="102">
        <f>'Ethylene Recycling HC'!E59</f>
        <v>2.537368925133815E-2</v>
      </c>
      <c r="F56" s="102">
        <f>'Ethylene Recycling HC'!F59</f>
        <v>2.6527038762762613E-2</v>
      </c>
      <c r="G56" s="102">
        <f>'Ethylene Recycling HC'!G59</f>
        <v>2.7680388274187069E-2</v>
      </c>
      <c r="H56" s="102">
        <f>'Ethylene Recycling HC'!H59</f>
        <v>2.8833737785611536E-2</v>
      </c>
      <c r="I56" s="102">
        <f>'Ethylene Recycling HC'!I59</f>
        <v>2.9987087297035992E-2</v>
      </c>
      <c r="J56" s="102">
        <f>'Ethylene Recycling HC'!J59</f>
        <v>3.1140436808460455E-2</v>
      </c>
      <c r="K56" s="102">
        <f>'Ethylene Recycling HC'!K59</f>
        <v>3.2293786319884915E-2</v>
      </c>
      <c r="L56" s="102">
        <f>'Ethylene Recycling HC'!L59</f>
        <v>3.3447135831309378E-2</v>
      </c>
      <c r="M56" s="102">
        <f>'Ethylene Recycling HC'!M59</f>
        <v>3.4600485342733842E-2</v>
      </c>
      <c r="N56" s="102">
        <f>'Ethylene Recycling HC'!N59</f>
        <v>3.4756187526776144E-2</v>
      </c>
      <c r="O56" s="102">
        <f>'Ethylene Recycling HC'!O59</f>
        <v>3.4911889710818447E-2</v>
      </c>
      <c r="P56" s="102">
        <f>'Ethylene Recycling HC'!P59</f>
        <v>3.5067591894860743E-2</v>
      </c>
      <c r="Q56" s="102">
        <f>'Ethylene Recycling HC'!Q59</f>
        <v>3.5223294078903046E-2</v>
      </c>
      <c r="R56" s="102">
        <f>'Ethylene Recycling HC'!R59</f>
        <v>3.5378996262945349E-2</v>
      </c>
      <c r="S56" s="102">
        <f>'Ethylene Recycling HC'!S59</f>
        <v>3.5534698446987652E-2</v>
      </c>
      <c r="T56" s="102">
        <f>'Ethylene Recycling HC'!T59</f>
        <v>3.5690400631029955E-2</v>
      </c>
      <c r="U56" s="102">
        <f>'Ethylene Recycling HC'!U59</f>
        <v>3.584610281507225E-2</v>
      </c>
      <c r="V56" s="102">
        <f>'Ethylene Recycling HC'!V59</f>
        <v>3.600180499911456E-2</v>
      </c>
      <c r="W56" s="102">
        <f>'Ethylene Recycling HC'!W59</f>
        <v>3.6157507183156863E-2</v>
      </c>
      <c r="X56" s="102">
        <f>'Ethylene Recycling HC'!X59</f>
        <v>3.6320215965481066E-2</v>
      </c>
      <c r="Y56" s="102">
        <f>'Ethylene Recycling HC'!Y59</f>
        <v>3.6482924747805269E-2</v>
      </c>
      <c r="Z56" s="102">
        <f>'Ethylene Recycling HC'!Z59</f>
        <v>3.6645633530129479E-2</v>
      </c>
      <c r="AA56" s="102">
        <f>'Ethylene Recycling HC'!AA59</f>
        <v>3.6808342312453682E-2</v>
      </c>
      <c r="AB56" s="102">
        <f>'Ethylene Recycling HC'!AB59</f>
        <v>3.6971051094777892E-2</v>
      </c>
      <c r="AC56" s="102">
        <f>'Ethylene Recycling HC'!AC59</f>
        <v>3.7133759877102095E-2</v>
      </c>
      <c r="AD56" s="102">
        <f>'Ethylene Recycling HC'!AD59</f>
        <v>3.7296468659426298E-2</v>
      </c>
      <c r="AE56" s="102">
        <f>'Ethylene Recycling HC'!AE59</f>
        <v>3.7459177441750507E-2</v>
      </c>
      <c r="AF56" s="102">
        <f>'Ethylene Recycling HC'!AF59</f>
        <v>3.762188622407471E-2</v>
      </c>
      <c r="AG56" s="102">
        <f>'Ethylene Recycling HC'!AG59</f>
        <v>3.778459500639892E-2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f>'Ethylene Recycling HC'!C60</f>
        <v>1.8155489224524805E-2</v>
      </c>
      <c r="D57" s="102">
        <f>'Ethylene Recycling HC'!D60</f>
        <v>1.9063263685751047E-2</v>
      </c>
      <c r="E57" s="102">
        <f>'Ethylene Recycling HC'!E60</f>
        <v>1.9971038146977284E-2</v>
      </c>
      <c r="F57" s="102">
        <f>'Ethylene Recycling HC'!F60</f>
        <v>2.0878812608203526E-2</v>
      </c>
      <c r="G57" s="102">
        <f>'Ethylene Recycling HC'!G60</f>
        <v>2.1786587069429764E-2</v>
      </c>
      <c r="H57" s="102">
        <f>'Ethylene Recycling HC'!H60</f>
        <v>2.2694361530656008E-2</v>
      </c>
      <c r="I57" s="102">
        <f>'Ethylene Recycling HC'!I60</f>
        <v>2.3602135991882243E-2</v>
      </c>
      <c r="J57" s="102">
        <f>'Ethylene Recycling HC'!J60</f>
        <v>2.4509910453108484E-2</v>
      </c>
      <c r="K57" s="102">
        <f>'Ethylene Recycling HC'!K60</f>
        <v>2.5417684914334725E-2</v>
      </c>
      <c r="L57" s="102">
        <f>'Ethylene Recycling HC'!L60</f>
        <v>2.6325459375560967E-2</v>
      </c>
      <c r="M57" s="102">
        <f>'Ethylene Recycling HC'!M60</f>
        <v>2.7233233836787205E-2</v>
      </c>
      <c r="N57" s="102">
        <f>'Ethylene Recycling HC'!N60</f>
        <v>2.735578338905275E-2</v>
      </c>
      <c r="O57" s="102">
        <f>'Ethylene Recycling HC'!O60</f>
        <v>2.7478332941318292E-2</v>
      </c>
      <c r="P57" s="102">
        <f>'Ethylene Recycling HC'!P60</f>
        <v>2.760088249358383E-2</v>
      </c>
      <c r="Q57" s="102">
        <f>'Ethylene Recycling HC'!Q60</f>
        <v>2.7723432045849376E-2</v>
      </c>
      <c r="R57" s="102">
        <f>'Ethylene Recycling HC'!R60</f>
        <v>2.7845981598114918E-2</v>
      </c>
      <c r="S57" s="102">
        <f>'Ethylene Recycling HC'!S60</f>
        <v>2.7968531150380459E-2</v>
      </c>
      <c r="T57" s="102">
        <f>'Ethylene Recycling HC'!T60</f>
        <v>2.8091080702646005E-2</v>
      </c>
      <c r="U57" s="102">
        <f>'Ethylene Recycling HC'!U60</f>
        <v>2.8213630254911543E-2</v>
      </c>
      <c r="V57" s="102">
        <f>'Ethylene Recycling HC'!V60</f>
        <v>2.8336179807177085E-2</v>
      </c>
      <c r="W57" s="102">
        <f>'Ethylene Recycling HC'!W60</f>
        <v>2.845872935944263E-2</v>
      </c>
      <c r="X57" s="102">
        <f>'Ethylene Recycling HC'!X60</f>
        <v>2.8586793641560124E-2</v>
      </c>
      <c r="Y57" s="102">
        <f>'Ethylene Recycling HC'!Y60</f>
        <v>2.871485792367761E-2</v>
      </c>
      <c r="Z57" s="102">
        <f>'Ethylene Recycling HC'!Z60</f>
        <v>2.8842922205795107E-2</v>
      </c>
      <c r="AA57" s="102">
        <f>'Ethylene Recycling HC'!AA60</f>
        <v>2.8970986487912593E-2</v>
      </c>
      <c r="AB57" s="102">
        <f>'Ethylene Recycling HC'!AB60</f>
        <v>2.9099050770030086E-2</v>
      </c>
      <c r="AC57" s="102">
        <f>'Ethylene Recycling HC'!AC60</f>
        <v>2.9227115052147583E-2</v>
      </c>
      <c r="AD57" s="102">
        <f>'Ethylene Recycling HC'!AD60</f>
        <v>2.9355179334265069E-2</v>
      </c>
      <c r="AE57" s="102">
        <f>'Ethylene Recycling HC'!AE60</f>
        <v>2.9483243616382562E-2</v>
      </c>
      <c r="AF57" s="102">
        <f>'Ethylene Recycling HC'!AF60</f>
        <v>2.9611307898500052E-2</v>
      </c>
      <c r="AG57" s="102">
        <f>'Ethylene Recycling HC'!AG60</f>
        <v>2.9739372180617545E-2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f>'Ethylene Recycling HC'!C61</f>
        <v>0.1067969954383812</v>
      </c>
      <c r="D58" s="102">
        <f>'Ethylene Recycling HC'!D61</f>
        <v>0.11251734316656622</v>
      </c>
      <c r="E58" s="102">
        <f>'Ethylene Recycling HC'!E61</f>
        <v>0.11827392879534798</v>
      </c>
      <c r="F58" s="102">
        <f>'Ethylene Recycling HC'!F61</f>
        <v>0.12406675232472651</v>
      </c>
      <c r="G58" s="102">
        <f>'Ethylene Recycling HC'!G61</f>
        <v>0.1298958137547018</v>
      </c>
      <c r="H58" s="102">
        <f>'Ethylene Recycling HC'!H61</f>
        <v>0.13576111308527383</v>
      </c>
      <c r="I58" s="102">
        <f>'Ethylene Recycling HC'!I61</f>
        <v>0.14166265031644262</v>
      </c>
      <c r="J58" s="102">
        <f>'Ethylene Recycling HC'!J61</f>
        <v>0.1476004254482082</v>
      </c>
      <c r="K58" s="102">
        <f>'Ethylene Recycling HC'!K61</f>
        <v>0.15357443848057054</v>
      </c>
      <c r="L58" s="102">
        <f>'Ethylene Recycling HC'!L61</f>
        <v>0.1595846894135296</v>
      </c>
      <c r="M58" s="102">
        <f>'Ethylene Recycling HC'!M61</f>
        <v>0.16563117824708543</v>
      </c>
      <c r="N58" s="102">
        <f>'Ethylene Recycling HC'!N61</f>
        <v>0.16692253311643898</v>
      </c>
      <c r="O58" s="102">
        <f>'Ethylene Recycling HC'!O61</f>
        <v>0.16821878010237309</v>
      </c>
      <c r="P58" s="102">
        <f>'Ethylene Recycling HC'!P61</f>
        <v>0.16951991920488768</v>
      </c>
      <c r="Q58" s="102">
        <f>'Ethylene Recycling HC'!Q61</f>
        <v>0.17082595042398291</v>
      </c>
      <c r="R58" s="102">
        <f>'Ethylene Recycling HC'!R61</f>
        <v>0.17213687375965872</v>
      </c>
      <c r="S58" s="102">
        <f>'Ethylene Recycling HC'!S61</f>
        <v>0.17345268921191506</v>
      </c>
      <c r="T58" s="102">
        <f>'Ethylene Recycling HC'!T61</f>
        <v>0.17477339678075199</v>
      </c>
      <c r="U58" s="102">
        <f>'Ethylene Recycling HC'!U61</f>
        <v>0.17609899646616939</v>
      </c>
      <c r="V58" s="102">
        <f>'Ethylene Recycling HC'!V61</f>
        <v>0.17742948826816746</v>
      </c>
      <c r="W58" s="102">
        <f>'Ethylene Recycling HC'!W61</f>
        <v>0.17876487218674605</v>
      </c>
      <c r="X58" s="102">
        <f>'Ethylene Recycling HC'!X61</f>
        <v>0.18013989933435393</v>
      </c>
      <c r="Y58" s="102">
        <f>'Ethylene Recycling HC'!Y61</f>
        <v>0.18152003874378847</v>
      </c>
      <c r="Z58" s="102">
        <f>'Ethylene Recycling HC'!Z61</f>
        <v>0.18290529041504974</v>
      </c>
      <c r="AA58" s="102">
        <f>'Ethylene Recycling HC'!AA61</f>
        <v>0.18429565434813766</v>
      </c>
      <c r="AB58" s="102">
        <f>'Ethylene Recycling HC'!AB61</f>
        <v>0.18569113054305231</v>
      </c>
      <c r="AC58" s="102">
        <f>'Ethylene Recycling HC'!AC61</f>
        <v>0.18709171899979363</v>
      </c>
      <c r="AD58" s="102">
        <f>'Ethylene Recycling HC'!AD61</f>
        <v>0.18849741971836162</v>
      </c>
      <c r="AE58" s="102">
        <f>'Ethylene Recycling HC'!AE61</f>
        <v>0.18990823269875631</v>
      </c>
      <c r="AF58" s="102">
        <f>'Ethylene Recycling HC'!AF61</f>
        <v>0.19132415794097768</v>
      </c>
      <c r="AG58" s="102">
        <f>'Ethylene Recycling HC'!AG61</f>
        <v>0.19274519544502577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1239</v>
      </c>
      <c r="C60" s="329">
        <f>('Overall recycling rates'!F84*'Yearly BTX'!D5+'Overall recycling rates'!G84*'Yearly BTX'!D6+'Overall recycling rates'!H84*'Yearly BTX'!D7)/'Yearly BTX'!D4</f>
        <v>4.046692996996252</v>
      </c>
      <c r="D60" s="329">
        <f>C60-($C60-$AG60)/($AG$1-$C$1)</f>
        <v>3.948469897096377</v>
      </c>
      <c r="E60" s="329">
        <f t="shared" ref="E60:AF60" si="26">D60-($C60-$AG60)/($AG$1-$C$1)</f>
        <v>3.850246797196502</v>
      </c>
      <c r="F60" s="329">
        <f t="shared" si="26"/>
        <v>3.752023697296627</v>
      </c>
      <c r="G60" s="329">
        <f t="shared" si="26"/>
        <v>3.653800597396752</v>
      </c>
      <c r="H60" s="329">
        <f t="shared" si="26"/>
        <v>3.555577497496877</v>
      </c>
      <c r="I60" s="329">
        <f t="shared" si="26"/>
        <v>3.457354397597002</v>
      </c>
      <c r="J60" s="329">
        <f t="shared" si="26"/>
        <v>3.359131297697127</v>
      </c>
      <c r="K60" s="329">
        <f t="shared" si="26"/>
        <v>3.2609081977972521</v>
      </c>
      <c r="L60" s="329">
        <f t="shared" si="26"/>
        <v>3.1626850978973771</v>
      </c>
      <c r="M60" s="329">
        <f t="shared" si="26"/>
        <v>3.0644619979975021</v>
      </c>
      <c r="N60" s="329">
        <f t="shared" si="26"/>
        <v>2.9662388980976271</v>
      </c>
      <c r="O60" s="329">
        <f t="shared" si="26"/>
        <v>2.8680157981977521</v>
      </c>
      <c r="P60" s="329">
        <f t="shared" si="26"/>
        <v>2.7697926982978771</v>
      </c>
      <c r="Q60" s="329">
        <f t="shared" si="26"/>
        <v>2.6715695983980021</v>
      </c>
      <c r="R60" s="329">
        <f t="shared" si="26"/>
        <v>2.5733464984981271</v>
      </c>
      <c r="S60" s="329">
        <f t="shared" si="26"/>
        <v>2.4751233985982521</v>
      </c>
      <c r="T60" s="329">
        <f t="shared" si="26"/>
        <v>2.3769002986983772</v>
      </c>
      <c r="U60" s="329">
        <f t="shared" si="26"/>
        <v>2.2786771987985022</v>
      </c>
      <c r="V60" s="329">
        <f t="shared" si="26"/>
        <v>2.1804540988986272</v>
      </c>
      <c r="W60" s="329">
        <f t="shared" si="26"/>
        <v>2.0822309989987522</v>
      </c>
      <c r="X60" s="329">
        <f t="shared" si="26"/>
        <v>1.9840078990988772</v>
      </c>
      <c r="Y60" s="329">
        <f t="shared" si="26"/>
        <v>1.8857847991990022</v>
      </c>
      <c r="Z60" s="329">
        <f t="shared" si="26"/>
        <v>1.7875616992991272</v>
      </c>
      <c r="AA60" s="329">
        <f t="shared" si="26"/>
        <v>1.6893385993992522</v>
      </c>
      <c r="AB60" s="329">
        <f t="shared" si="26"/>
        <v>1.5911154994993773</v>
      </c>
      <c r="AC60" s="329">
        <f t="shared" si="26"/>
        <v>1.4928923995995023</v>
      </c>
      <c r="AD60" s="329">
        <f t="shared" si="26"/>
        <v>1.3946692996996273</v>
      </c>
      <c r="AE60" s="329">
        <f t="shared" si="26"/>
        <v>1.2964461997997523</v>
      </c>
      <c r="AF60" s="329">
        <f t="shared" si="26"/>
        <v>1.1982230998998773</v>
      </c>
      <c r="AG60" s="329">
        <f>'Overall recycling rates'!G93</f>
        <v>1.1000000000000001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1240</v>
      </c>
      <c r="B61" s="50" t="s">
        <v>126</v>
      </c>
      <c r="C61" s="102">
        <f>C47*C$60</f>
        <v>0.33484959658243635</v>
      </c>
      <c r="D61" s="102">
        <f t="shared" ref="D61:AG62" si="27">D47*D$60</f>
        <v>0.35285973939544379</v>
      </c>
      <c r="E61" s="102">
        <f t="shared" si="27"/>
        <v>0.36956946370273469</v>
      </c>
      <c r="F61" s="102">
        <f t="shared" si="27"/>
        <v>0.38497876950430882</v>
      </c>
      <c r="G61" s="102">
        <f t="shared" si="27"/>
        <v>0.39908765680016639</v>
      </c>
      <c r="H61" s="102">
        <f t="shared" si="27"/>
        <v>0.41189612559030725</v>
      </c>
      <c r="I61" s="102">
        <f t="shared" si="27"/>
        <v>0.42340417587473139</v>
      </c>
      <c r="J61" s="102">
        <f t="shared" si="27"/>
        <v>0.43361180765343899</v>
      </c>
      <c r="K61" s="102">
        <f t="shared" si="27"/>
        <v>0.44251902092642992</v>
      </c>
      <c r="L61" s="102">
        <f t="shared" si="27"/>
        <v>0.45012581569370413</v>
      </c>
      <c r="M61" s="102">
        <f t="shared" si="27"/>
        <v>0.45643219195526175</v>
      </c>
      <c r="N61" s="102">
        <f t="shared" si="27"/>
        <v>0.46831063279190632</v>
      </c>
      <c r="O61" s="102">
        <f t="shared" si="27"/>
        <v>0.47843350864583345</v>
      </c>
      <c r="P61" s="102">
        <f t="shared" si="27"/>
        <v>0.48680081951704313</v>
      </c>
      <c r="Q61" s="102">
        <f t="shared" si="27"/>
        <v>0.49341256540553519</v>
      </c>
      <c r="R61" s="102">
        <f t="shared" si="27"/>
        <v>0.49826874631130991</v>
      </c>
      <c r="S61" s="102">
        <f t="shared" si="27"/>
        <v>0.50136936223436701</v>
      </c>
      <c r="T61" s="102">
        <f t="shared" si="27"/>
        <v>0.50271441317470678</v>
      </c>
      <c r="U61" s="102">
        <f t="shared" si="27"/>
        <v>0.50230389913232898</v>
      </c>
      <c r="V61" s="102">
        <f t="shared" si="27"/>
        <v>0.50013782010723373</v>
      </c>
      <c r="W61" s="102">
        <f t="shared" si="27"/>
        <v>0.49621617609942098</v>
      </c>
      <c r="X61" s="102">
        <f t="shared" si="27"/>
        <v>0.50117716157631242</v>
      </c>
      <c r="Y61" s="102">
        <f t="shared" si="27"/>
        <v>0.50332924308085591</v>
      </c>
      <c r="Z61" s="102">
        <f t="shared" si="27"/>
        <v>0.50267242061305151</v>
      </c>
      <c r="AA61" s="102">
        <f t="shared" si="27"/>
        <v>0.49920669417289903</v>
      </c>
      <c r="AB61" s="102">
        <f t="shared" si="27"/>
        <v>0.49293206376039861</v>
      </c>
      <c r="AC61" s="102">
        <f t="shared" si="27"/>
        <v>0.48384852937555023</v>
      </c>
      <c r="AD61" s="102">
        <f t="shared" si="27"/>
        <v>0.4719560910183539</v>
      </c>
      <c r="AE61" s="102">
        <f t="shared" si="27"/>
        <v>0.45725474868880955</v>
      </c>
      <c r="AF61" s="102">
        <f t="shared" si="27"/>
        <v>0.4397445023869172</v>
      </c>
      <c r="AG61" s="102">
        <f t="shared" si="27"/>
        <v>0.41942535211267612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1241</v>
      </c>
      <c r="B62" s="50" t="s">
        <v>126</v>
      </c>
      <c r="C62" s="102">
        <f>C48*C$60</f>
        <v>0.67682365266662681</v>
      </c>
      <c r="D62" s="102">
        <f t="shared" si="27"/>
        <v>0.69341526802000641</v>
      </c>
      <c r="E62" s="102">
        <f t="shared" si="27"/>
        <v>0.70836406744196223</v>
      </c>
      <c r="F62" s="102">
        <f t="shared" si="27"/>
        <v>0.72167005093249392</v>
      </c>
      <c r="G62" s="102">
        <f t="shared" si="27"/>
        <v>0.73333321849160171</v>
      </c>
      <c r="H62" s="102">
        <f t="shared" si="27"/>
        <v>0.7433535701192856</v>
      </c>
      <c r="I62" s="102">
        <f t="shared" si="27"/>
        <v>0.75173110581554536</v>
      </c>
      <c r="J62" s="102">
        <f t="shared" si="27"/>
        <v>0.75846582558038134</v>
      </c>
      <c r="K62" s="102">
        <f t="shared" si="27"/>
        <v>0.7635577294137933</v>
      </c>
      <c r="L62" s="102">
        <f t="shared" si="27"/>
        <v>0.76700681731578124</v>
      </c>
      <c r="M62" s="102">
        <f t="shared" si="27"/>
        <v>0.76881308928634529</v>
      </c>
      <c r="N62" s="102">
        <f t="shared" si="27"/>
        <v>0.74751961914140319</v>
      </c>
      <c r="O62" s="102">
        <f t="shared" si="27"/>
        <v>0.72600436884571895</v>
      </c>
      <c r="P62" s="102">
        <f t="shared" si="27"/>
        <v>0.70426733839929234</v>
      </c>
      <c r="Q62" s="102">
        <f t="shared" si="27"/>
        <v>0.68230852780212359</v>
      </c>
      <c r="R62" s="102">
        <f t="shared" si="27"/>
        <v>0.66012793705421258</v>
      </c>
      <c r="S62" s="102">
        <f t="shared" si="27"/>
        <v>0.63772556615555942</v>
      </c>
      <c r="T62" s="102">
        <f t="shared" si="27"/>
        <v>0.61510141510616401</v>
      </c>
      <c r="U62" s="102">
        <f t="shared" si="27"/>
        <v>0.59225548390602623</v>
      </c>
      <c r="V62" s="102">
        <f t="shared" si="27"/>
        <v>0.5691877725551463</v>
      </c>
      <c r="W62" s="102">
        <f t="shared" si="27"/>
        <v>0.54589828105352411</v>
      </c>
      <c r="X62" s="102">
        <f t="shared" si="27"/>
        <v>0.52248780346443158</v>
      </c>
      <c r="Y62" s="102">
        <f t="shared" si="27"/>
        <v>0.49884556561781324</v>
      </c>
      <c r="Z62" s="102">
        <f t="shared" si="27"/>
        <v>0.47497156751366937</v>
      </c>
      <c r="AA62" s="102">
        <f t="shared" si="27"/>
        <v>0.45086580915199981</v>
      </c>
      <c r="AB62" s="102">
        <f t="shared" si="27"/>
        <v>0.42652829053280467</v>
      </c>
      <c r="AC62" s="102">
        <f t="shared" si="27"/>
        <v>0.40195901165608389</v>
      </c>
      <c r="AD62" s="102">
        <f t="shared" si="27"/>
        <v>0.37715797252183741</v>
      </c>
      <c r="AE62" s="102">
        <f t="shared" si="27"/>
        <v>0.35212517313006536</v>
      </c>
      <c r="AF62" s="102">
        <f t="shared" si="27"/>
        <v>0.32686061348076761</v>
      </c>
      <c r="AG62" s="102">
        <f t="shared" si="27"/>
        <v>0.30136429357394368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1242</v>
      </c>
      <c r="B63" s="156" t="s">
        <v>126</v>
      </c>
      <c r="C63" s="102">
        <f>SUM(C61:C62)</f>
        <v>1.0116732492490632</v>
      </c>
      <c r="D63" s="102">
        <f t="shared" ref="D63:AG63" si="28">SUM(D61:D62)</f>
        <v>1.0462750074154501</v>
      </c>
      <c r="E63" s="102">
        <f t="shared" si="28"/>
        <v>1.0779335311446969</v>
      </c>
      <c r="F63" s="102">
        <f t="shared" si="28"/>
        <v>1.1066488204368028</v>
      </c>
      <c r="G63" s="102">
        <f t="shared" si="28"/>
        <v>1.1324208752917682</v>
      </c>
      <c r="H63" s="102">
        <f t="shared" si="28"/>
        <v>1.1552496957095928</v>
      </c>
      <c r="I63" s="102">
        <f t="shared" si="28"/>
        <v>1.1751352816902767</v>
      </c>
      <c r="J63" s="102">
        <f t="shared" si="28"/>
        <v>1.1920776332338203</v>
      </c>
      <c r="K63" s="102">
        <f t="shared" si="28"/>
        <v>1.2060767503402232</v>
      </c>
      <c r="L63" s="102">
        <f t="shared" si="28"/>
        <v>1.2171326330094854</v>
      </c>
      <c r="M63" s="102">
        <f t="shared" si="28"/>
        <v>1.225245281241607</v>
      </c>
      <c r="N63" s="102">
        <f t="shared" si="28"/>
        <v>1.2158302519333095</v>
      </c>
      <c r="O63" s="102">
        <f t="shared" si="28"/>
        <v>1.2044378774915523</v>
      </c>
      <c r="P63" s="102">
        <f t="shared" si="28"/>
        <v>1.1910681579163356</v>
      </c>
      <c r="Q63" s="102">
        <f t="shared" si="28"/>
        <v>1.1757210932076587</v>
      </c>
      <c r="R63" s="102">
        <f t="shared" si="28"/>
        <v>1.1583966833655226</v>
      </c>
      <c r="S63" s="102">
        <f t="shared" si="28"/>
        <v>1.1390949283899263</v>
      </c>
      <c r="T63" s="102">
        <f t="shared" si="28"/>
        <v>1.1178158282808708</v>
      </c>
      <c r="U63" s="102">
        <f t="shared" si="28"/>
        <v>1.0945593830383551</v>
      </c>
      <c r="V63" s="102">
        <f t="shared" si="28"/>
        <v>1.0693255926623801</v>
      </c>
      <c r="W63" s="102">
        <f t="shared" si="28"/>
        <v>1.042114457152945</v>
      </c>
      <c r="X63" s="102">
        <f t="shared" si="28"/>
        <v>1.0236649650407439</v>
      </c>
      <c r="Y63" s="102">
        <f t="shared" si="28"/>
        <v>1.002174808698669</v>
      </c>
      <c r="Z63" s="102">
        <f t="shared" si="28"/>
        <v>0.97764398812672093</v>
      </c>
      <c r="AA63" s="102">
        <f t="shared" si="28"/>
        <v>0.9500725033248989</v>
      </c>
      <c r="AB63" s="102">
        <f t="shared" si="28"/>
        <v>0.91946035429320327</v>
      </c>
      <c r="AC63" s="102">
        <f t="shared" si="28"/>
        <v>0.88580754103163417</v>
      </c>
      <c r="AD63" s="102">
        <f t="shared" si="28"/>
        <v>0.84911406354019126</v>
      </c>
      <c r="AE63" s="102">
        <f t="shared" si="28"/>
        <v>0.80937992181887486</v>
      </c>
      <c r="AF63" s="102">
        <f t="shared" si="28"/>
        <v>0.76660511586768476</v>
      </c>
      <c r="AG63" s="102">
        <f t="shared" si="28"/>
        <v>0.72078964568661985</v>
      </c>
      <c r="AI63" s="124"/>
      <c r="AJ63" s="185"/>
      <c r="AL63" s="100"/>
      <c r="AM63" s="2"/>
      <c r="AN63" s="2"/>
      <c r="AO63" s="2"/>
    </row>
    <row r="64" spans="1:63" outlineLevel="1">
      <c r="A64" t="s">
        <v>1243</v>
      </c>
      <c r="B64" s="50" t="s">
        <v>126</v>
      </c>
      <c r="C64" s="102">
        <f>C$60*C55</f>
        <v>7.7834280204555129E-2</v>
      </c>
      <c r="D64" s="102">
        <f t="shared" ref="D64:AG67" si="29">D$60*D55</f>
        <v>7.8239920461462206E-2</v>
      </c>
      <c r="E64" s="102">
        <f t="shared" si="29"/>
        <v>7.8391860470714003E-2</v>
      </c>
      <c r="F64" s="102">
        <f t="shared" si="29"/>
        <v>7.8300778429101936E-2</v>
      </c>
      <c r="G64" s="102">
        <f t="shared" si="29"/>
        <v>7.7977352533417435E-2</v>
      </c>
      <c r="H64" s="102">
        <f t="shared" si="29"/>
        <v>7.7432260980451986E-2</v>
      </c>
      <c r="I64" s="102">
        <f t="shared" si="29"/>
        <v>7.6676181966996937E-2</v>
      </c>
      <c r="J64" s="102">
        <f t="shared" si="29"/>
        <v>7.5719793689843773E-2</v>
      </c>
      <c r="K64" s="102">
        <f t="shared" si="29"/>
        <v>7.4573774345783925E-2</v>
      </c>
      <c r="L64" s="102">
        <f t="shared" si="29"/>
        <v>7.3248802131608795E-2</v>
      </c>
      <c r="M64" s="102">
        <f t="shared" si="29"/>
        <v>7.1755555244109856E-2</v>
      </c>
      <c r="N64" s="102">
        <f t="shared" si="29"/>
        <v>6.8148564274392434E-2</v>
      </c>
      <c r="O64" s="102">
        <f t="shared" si="29"/>
        <v>6.4614105739155867E-2</v>
      </c>
      <c r="P64" s="102">
        <f t="shared" si="29"/>
        <v>6.1153621194966978E-2</v>
      </c>
      <c r="Q64" s="102">
        <f t="shared" si="29"/>
        <v>5.7768552198392643E-2</v>
      </c>
      <c r="R64" s="102">
        <f t="shared" si="29"/>
        <v>5.4460340305999673E-2</v>
      </c>
      <c r="S64" s="102">
        <f t="shared" si="29"/>
        <v>5.1230427074354934E-2</v>
      </c>
      <c r="T64" s="102">
        <f t="shared" si="29"/>
        <v>4.8080254060025258E-2</v>
      </c>
      <c r="U64" s="102">
        <f t="shared" si="29"/>
        <v>4.5011262819577486E-2</v>
      </c>
      <c r="V64" s="102">
        <f t="shared" si="29"/>
        <v>4.2024894909578461E-2</v>
      </c>
      <c r="W64" s="102">
        <f t="shared" si="29"/>
        <v>3.9122591886595046E-2</v>
      </c>
      <c r="X64" s="102">
        <f t="shared" si="29"/>
        <v>3.6312800474940329E-2</v>
      </c>
      <c r="Y64" s="102">
        <f t="shared" si="29"/>
        <v>3.358884830140043E-2</v>
      </c>
      <c r="Z64" s="102">
        <f t="shared" si="29"/>
        <v>3.0952241792587723E-2</v>
      </c>
      <c r="AA64" s="102">
        <f t="shared" si="29"/>
        <v>2.8404487375114536E-2</v>
      </c>
      <c r="AB64" s="102">
        <f t="shared" si="29"/>
        <v>2.5947091475593237E-2</v>
      </c>
      <c r="AC64" s="102">
        <f t="shared" si="29"/>
        <v>2.3581560520636168E-2</v>
      </c>
      <c r="AD64" s="102">
        <f t="shared" si="29"/>
        <v>2.1309400936855679E-2</v>
      </c>
      <c r="AE64" s="102">
        <f t="shared" si="29"/>
        <v>1.913211915086413E-2</v>
      </c>
      <c r="AF64" s="102">
        <f t="shared" si="29"/>
        <v>1.7051221589273864E-2</v>
      </c>
      <c r="AG64" s="102">
        <f t="shared" si="29"/>
        <v>1.5068214678697185E-2</v>
      </c>
      <c r="AI64" s="124"/>
      <c r="AJ64" s="185"/>
      <c r="AL64" s="100"/>
      <c r="AM64" s="2"/>
      <c r="AN64" s="2"/>
      <c r="AO64" s="2"/>
    </row>
    <row r="65" spans="1:63" outlineLevel="1">
      <c r="A65" t="s">
        <v>1244</v>
      </c>
      <c r="B65" s="50" t="s">
        <v>126</v>
      </c>
      <c r="C65" s="102">
        <f t="shared" ref="C65:R67" si="30">C$60*C56</f>
        <v>9.334502781940833E-2</v>
      </c>
      <c r="D65" s="102">
        <f t="shared" si="30"/>
        <v>9.5633282360496299E-2</v>
      </c>
      <c r="E65" s="102">
        <f t="shared" si="30"/>
        <v>9.7694965773024015E-2</v>
      </c>
      <c r="F65" s="102">
        <f t="shared" si="30"/>
        <v>9.9530078056991517E-2</v>
      </c>
      <c r="G65" s="102">
        <f t="shared" si="30"/>
        <v>0.10113861921239876</v>
      </c>
      <c r="H65" s="102">
        <f t="shared" si="30"/>
        <v>0.10252058923924581</v>
      </c>
      <c r="I65" s="102">
        <f t="shared" si="30"/>
        <v>0.10367598813753258</v>
      </c>
      <c r="J65" s="102">
        <f t="shared" si="30"/>
        <v>0.10460481590725915</v>
      </c>
      <c r="K65" s="102">
        <f t="shared" si="30"/>
        <v>0.10530707254842547</v>
      </c>
      <c r="L65" s="102">
        <f t="shared" si="30"/>
        <v>0.10578275806103157</v>
      </c>
      <c r="M65" s="102">
        <f t="shared" si="30"/>
        <v>0.10603187244507743</v>
      </c>
      <c r="N65" s="102">
        <f t="shared" si="30"/>
        <v>0.10309515539149897</v>
      </c>
      <c r="O65" s="102">
        <f t="shared" si="30"/>
        <v>0.10012785123556486</v>
      </c>
      <c r="P65" s="102">
        <f t="shared" si="30"/>
        <v>9.712995997727511E-2</v>
      </c>
      <c r="Q65" s="102">
        <f t="shared" si="30"/>
        <v>9.4101481616629734E-2</v>
      </c>
      <c r="R65" s="102">
        <f t="shared" si="30"/>
        <v>9.1042416153628736E-2</v>
      </c>
      <c r="S65" s="102">
        <f t="shared" si="29"/>
        <v>8.7952763588272115E-2</v>
      </c>
      <c r="T65" s="102">
        <f t="shared" si="29"/>
        <v>8.4832523920559844E-2</v>
      </c>
      <c r="U65" s="102">
        <f t="shared" si="29"/>
        <v>8.1681697150491936E-2</v>
      </c>
      <c r="V65" s="102">
        <f t="shared" si="29"/>
        <v>7.8500283278068433E-2</v>
      </c>
      <c r="W65" s="102">
        <f t="shared" si="29"/>
        <v>7.5288282303289267E-2</v>
      </c>
      <c r="X65" s="102">
        <f t="shared" si="29"/>
        <v>7.2059595372491583E-2</v>
      </c>
      <c r="Y65" s="102">
        <f t="shared" si="29"/>
        <v>6.8798944919732263E-2</v>
      </c>
      <c r="Z65" s="102">
        <f t="shared" si="29"/>
        <v>6.5506330945011321E-2</v>
      </c>
      <c r="AA65" s="102">
        <f t="shared" si="29"/>
        <v>6.2181753448328735E-2</v>
      </c>
      <c r="AB65" s="102">
        <f t="shared" si="29"/>
        <v>5.8825212429684526E-2</v>
      </c>
      <c r="AC65" s="102">
        <f t="shared" si="29"/>
        <v>5.5436707889078667E-2</v>
      </c>
      <c r="AD65" s="102">
        <f t="shared" si="29"/>
        <v>5.2016239826511171E-2</v>
      </c>
      <c r="AE65" s="102">
        <f t="shared" si="29"/>
        <v>4.8563808241982052E-2</v>
      </c>
      <c r="AF65" s="102">
        <f t="shared" si="29"/>
        <v>4.5079413135491291E-2</v>
      </c>
      <c r="AG65" s="102">
        <f t="shared" si="29"/>
        <v>4.1563054507038816E-2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1245</v>
      </c>
      <c r="C66" s="102">
        <f t="shared" si="30"/>
        <v>7.3469691101925444E-2</v>
      </c>
      <c r="D66" s="102">
        <f t="shared" si="29"/>
        <v>7.5270722803598533E-2</v>
      </c>
      <c r="E66" s="102">
        <f t="shared" si="29"/>
        <v>7.6893425662088455E-2</v>
      </c>
      <c r="F66" s="102">
        <f t="shared" si="29"/>
        <v>7.8337799677395223E-2</v>
      </c>
      <c r="G66" s="102">
        <f t="shared" si="29"/>
        <v>7.9603844849518823E-2</v>
      </c>
      <c r="H66" s="102">
        <f t="shared" si="29"/>
        <v>8.0691561178459284E-2</v>
      </c>
      <c r="I66" s="102">
        <f t="shared" si="29"/>
        <v>8.1600948664216549E-2</v>
      </c>
      <c r="J66" s="102">
        <f t="shared" si="29"/>
        <v>8.2332007306790675E-2</v>
      </c>
      <c r="K66" s="102">
        <f t="shared" si="29"/>
        <v>8.2884737106181647E-2</v>
      </c>
      <c r="L66" s="102">
        <f t="shared" si="29"/>
        <v>8.3259138062389465E-2</v>
      </c>
      <c r="M66" s="102">
        <f t="shared" si="29"/>
        <v>8.3455210175414102E-2</v>
      </c>
      <c r="N66" s="102">
        <f t="shared" si="29"/>
        <v>8.1143788776541201E-2</v>
      </c>
      <c r="O66" s="102">
        <f t="shared" si="29"/>
        <v>7.8808292983838568E-2</v>
      </c>
      <c r="P66" s="102">
        <f t="shared" si="29"/>
        <v>7.644872279730619E-2</v>
      </c>
      <c r="Q66" s="102">
        <f t="shared" si="29"/>
        <v>7.4065078216944122E-2</v>
      </c>
      <c r="R66" s="102">
        <f t="shared" si="29"/>
        <v>7.1657359242752308E-2</v>
      </c>
      <c r="S66" s="102">
        <f t="shared" si="29"/>
        <v>6.9225565874730763E-2</v>
      </c>
      <c r="T66" s="102">
        <f t="shared" si="29"/>
        <v>6.6769698112879514E-2</v>
      </c>
      <c r="U66" s="102">
        <f t="shared" si="29"/>
        <v>6.4289755957198505E-2</v>
      </c>
      <c r="V66" s="102">
        <f t="shared" si="29"/>
        <v>6.1785739407687786E-2</v>
      </c>
      <c r="W66" s="102">
        <f t="shared" si="29"/>
        <v>5.9257648464347348E-2</v>
      </c>
      <c r="X66" s="102">
        <f t="shared" si="29"/>
        <v>5.671642439476484E-2</v>
      </c>
      <c r="Y66" s="102">
        <f t="shared" si="29"/>
        <v>5.4150042583630258E-2</v>
      </c>
      <c r="Z66" s="102">
        <f t="shared" si="29"/>
        <v>5.1558503030943635E-2</v>
      </c>
      <c r="AA66" s="102">
        <f t="shared" si="29"/>
        <v>4.8941805736704924E-2</v>
      </c>
      <c r="AB66" s="102">
        <f t="shared" si="29"/>
        <v>4.6299950700914159E-2</v>
      </c>
      <c r="AC66" s="102">
        <f t="shared" si="29"/>
        <v>4.3632937923571334E-2</v>
      </c>
      <c r="AD66" s="102">
        <f t="shared" si="29"/>
        <v>4.0940767404676434E-2</v>
      </c>
      <c r="AE66" s="102">
        <f t="shared" si="29"/>
        <v>3.822343914422948E-2</v>
      </c>
      <c r="AF66" s="102">
        <f t="shared" si="29"/>
        <v>3.5480953142230452E-2</v>
      </c>
      <c r="AG66" s="102">
        <f t="shared" si="29"/>
        <v>3.2713309398679301E-2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1246</v>
      </c>
      <c r="B67" s="50" t="s">
        <v>126</v>
      </c>
      <c r="C67" s="102">
        <f t="shared" si="30"/>
        <v>0.43217465354073786</v>
      </c>
      <c r="D67" s="102">
        <f t="shared" si="29"/>
        <v>0.44427134239444949</v>
      </c>
      <c r="E67" s="102">
        <f t="shared" si="29"/>
        <v>0.45538381553613572</v>
      </c>
      <c r="F67" s="102">
        <f t="shared" si="29"/>
        <v>0.46550139476900526</v>
      </c>
      <c r="G67" s="102">
        <f t="shared" si="29"/>
        <v>0.47461340189626666</v>
      </c>
      <c r="H67" s="102">
        <f t="shared" si="29"/>
        <v>0.48270915872112846</v>
      </c>
      <c r="I67" s="102">
        <f t="shared" si="29"/>
        <v>0.48977798704679926</v>
      </c>
      <c r="J67" s="102">
        <f t="shared" si="29"/>
        <v>0.49580920867648764</v>
      </c>
      <c r="K67" s="102">
        <f t="shared" si="29"/>
        <v>0.50079214541340222</v>
      </c>
      <c r="L67" s="102">
        <f t="shared" si="29"/>
        <v>0.50471611906075142</v>
      </c>
      <c r="M67" s="102">
        <f t="shared" si="29"/>
        <v>0.50757045142174384</v>
      </c>
      <c r="N67" s="102">
        <f t="shared" si="29"/>
        <v>0.49513211069897062</v>
      </c>
      <c r="O67" s="102">
        <f t="shared" si="29"/>
        <v>0.48245411888715972</v>
      </c>
      <c r="P67" s="102">
        <f t="shared" si="29"/>
        <v>0.46953503442974398</v>
      </c>
      <c r="Q67" s="102">
        <f t="shared" si="29"/>
        <v>0.45637341577015705</v>
      </c>
      <c r="R67" s="102">
        <f t="shared" si="29"/>
        <v>0.44296782135183194</v>
      </c>
      <c r="S67" s="102">
        <f t="shared" si="29"/>
        <v>0.42931680961820157</v>
      </c>
      <c r="T67" s="102">
        <f t="shared" si="29"/>
        <v>0.41541893901269938</v>
      </c>
      <c r="U67" s="102">
        <f t="shared" si="29"/>
        <v>0.40127276797875822</v>
      </c>
      <c r="V67" s="102">
        <f t="shared" si="29"/>
        <v>0.38687685495981161</v>
      </c>
      <c r="W67" s="102">
        <f t="shared" si="29"/>
        <v>0.37222975839929251</v>
      </c>
      <c r="X67" s="102">
        <f t="shared" si="29"/>
        <v>0.35739898322223473</v>
      </c>
      <c r="Y67" s="102">
        <f t="shared" si="29"/>
        <v>0.34230772981305024</v>
      </c>
      <c r="Z67" s="102">
        <f t="shared" si="29"/>
        <v>0.3269544917451267</v>
      </c>
      <c r="AA67" s="102">
        <f t="shared" si="29"/>
        <v>0.31133776259185159</v>
      </c>
      <c r="AB67" s="102">
        <f t="shared" si="29"/>
        <v>0.29545603592661274</v>
      </c>
      <c r="AC67" s="102">
        <f t="shared" si="29"/>
        <v>0.2793078053227977</v>
      </c>
      <c r="AD67" s="102">
        <f t="shared" si="29"/>
        <v>0.26289156435379413</v>
      </c>
      <c r="AE67" s="102">
        <f t="shared" si="29"/>
        <v>0.24620580659298968</v>
      </c>
      <c r="AF67" s="102">
        <f t="shared" si="29"/>
        <v>0.229249025613772</v>
      </c>
      <c r="AG67" s="102">
        <f t="shared" si="29"/>
        <v>0.21201971498952837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C39*C61</f>
        <v>194041.07367195841</v>
      </c>
      <c r="D69" s="250">
        <f t="shared" ref="D69:AG69" si="31">D39*D61</f>
        <v>201554.9785311064</v>
      </c>
      <c r="E69" s="250">
        <f t="shared" si="31"/>
        <v>207235.15690734072</v>
      </c>
      <c r="F69" s="250">
        <f t="shared" si="31"/>
        <v>212290.9448182738</v>
      </c>
      <c r="G69" s="250">
        <f t="shared" si="31"/>
        <v>216370.07845754427</v>
      </c>
      <c r="H69" s="250">
        <f t="shared" si="31"/>
        <v>219510.31022776788</v>
      </c>
      <c r="I69" s="250">
        <f t="shared" si="31"/>
        <v>221749.08750174084</v>
      </c>
      <c r="J69" s="250">
        <f t="shared" si="31"/>
        <v>223123.55425396052</v>
      </c>
      <c r="K69" s="250">
        <f t="shared" si="31"/>
        <v>223670.55268505792</v>
      </c>
      <c r="L69" s="250">
        <f t="shared" si="31"/>
        <v>223426.62483916708</v>
      </c>
      <c r="M69" s="250">
        <f t="shared" si="31"/>
        <v>222428.01421426077</v>
      </c>
      <c r="N69" s="250">
        <f t="shared" si="31"/>
        <v>221609.19161475639</v>
      </c>
      <c r="O69" s="250">
        <f t="shared" si="31"/>
        <v>219677.86815551572</v>
      </c>
      <c r="P69" s="250">
        <f t="shared" si="31"/>
        <v>216709.76057822577</v>
      </c>
      <c r="Q69" s="250">
        <f t="shared" si="31"/>
        <v>212779.94958292082</v>
      </c>
      <c r="R69" s="250">
        <f t="shared" si="31"/>
        <v>207962.88327833274</v>
      </c>
      <c r="S69" s="250">
        <f t="shared" si="31"/>
        <v>202332.3806171403</v>
      </c>
      <c r="T69" s="250">
        <f t="shared" si="31"/>
        <v>195961.63481617506</v>
      </c>
      <c r="U69" s="250">
        <f t="shared" si="31"/>
        <v>188923.21676164088</v>
      </c>
      <c r="V69" s="250">
        <f t="shared" si="31"/>
        <v>181289.07839940672</v>
      </c>
      <c r="W69" s="250">
        <f t="shared" si="31"/>
        <v>173130.5561104271</v>
      </c>
      <c r="X69" s="250">
        <f t="shared" si="31"/>
        <v>169865.88318223035</v>
      </c>
      <c r="Y69" s="250">
        <f t="shared" si="31"/>
        <v>165599.57210481705</v>
      </c>
      <c r="Z69" s="250">
        <f t="shared" si="31"/>
        <v>160415.4647061635</v>
      </c>
      <c r="AA69" s="250">
        <f t="shared" si="31"/>
        <v>154396.69189041285</v>
      </c>
      <c r="AB69" s="250">
        <f t="shared" si="31"/>
        <v>147625.67750716521</v>
      </c>
      <c r="AC69" s="250">
        <f t="shared" si="31"/>
        <v>140184.14220380373</v>
      </c>
      <c r="AD69" s="250">
        <f t="shared" si="31"/>
        <v>132153.10726092267</v>
      </c>
      <c r="AE69" s="250">
        <f t="shared" si="31"/>
        <v>123612.89841092192</v>
      </c>
      <c r="AF69" s="250">
        <f t="shared" si="31"/>
        <v>114643.14963983365</v>
      </c>
      <c r="AG69" s="250">
        <f t="shared" si="31"/>
        <v>105322.8069724439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outlineLevel="1">
      <c r="A70" s="4" t="s">
        <v>35</v>
      </c>
      <c r="C70" s="203">
        <f>C$69*'BTX recycling rates'!E38</f>
        <v>163907.83519179781</v>
      </c>
      <c r="D70" s="203">
        <f>D$69*'BTX recycling rates'!F38</f>
        <v>167109.83173686068</v>
      </c>
      <c r="E70" s="203">
        <f>E$69*'BTX recycling rates'!G38</f>
        <v>168585.60058745989</v>
      </c>
      <c r="F70" s="203">
        <f>F$69*'BTX recycling rates'!H38</f>
        <v>169385.90507542784</v>
      </c>
      <c r="G70" s="203">
        <f>G$69*'BTX recycling rates'!I38</f>
        <v>169264.40118134316</v>
      </c>
      <c r="H70" s="203">
        <f>H$69*'BTX recycling rates'!J38</f>
        <v>168295.75213965552</v>
      </c>
      <c r="I70" s="203">
        <f>I$69*'BTX recycling rates'!K38</f>
        <v>166552.03573786246</v>
      </c>
      <c r="J70" s="203">
        <f>J$69*'BTX recycling rates'!L38</f>
        <v>164102.76931478659</v>
      </c>
      <c r="K70" s="203">
        <f>K$69*'BTX recycling rates'!M38</f>
        <v>161014.93460100118</v>
      </c>
      <c r="L70" s="203">
        <f>L$69*'BTX recycling rates'!N38</f>
        <v>157353.00240219652</v>
      </c>
      <c r="M70" s="203">
        <f>M$69*'BTX recycling rates'!O38</f>
        <v>153178.9571262782</v>
      </c>
      <c r="N70" s="203">
        <f>N$69*'BTX recycling rates'!P38</f>
        <v>149157.08514051023</v>
      </c>
      <c r="O70" s="203">
        <f>O$69*'BTX recycling rates'!Q38</f>
        <v>144429.34239719887</v>
      </c>
      <c r="P70" s="203">
        <f>P$69*'BTX recycling rates'!R38</f>
        <v>139096.40629589077</v>
      </c>
      <c r="Q70" s="203">
        <f>Q$69*'BTX recycling rates'!S38</f>
        <v>133253.82999742209</v>
      </c>
      <c r="R70" s="203">
        <f>R$69*'BTX recycling rates'!T38</f>
        <v>126992.09415463058</v>
      </c>
      <c r="S70" s="203">
        <f>S$69*'BTX recycling rates'!U38</f>
        <v>120396.65831104782</v>
      </c>
      <c r="T70" s="203">
        <f>T$69*'BTX recycling rates'!V38</f>
        <v>113548.01196925428</v>
      </c>
      <c r="U70" s="203">
        <f>U$69*'BTX recycling rates'!W38</f>
        <v>106521.72533057228</v>
      </c>
      <c r="V70" s="203">
        <f>V$69*'BTX recycling rates'!X38</f>
        <v>99388.499707767056</v>
      </c>
      <c r="W70" s="203">
        <f>W$69*'BTX recycling rates'!Y38</f>
        <v>92214.217612414621</v>
      </c>
      <c r="X70" s="203">
        <f>X$69*'BTX recycling rates'!Z38</f>
        <v>87824.784521504538</v>
      </c>
      <c r="Y70" s="203">
        <f>Y$69*'BTX recycling rates'!AA38</f>
        <v>83034.993181181708</v>
      </c>
      <c r="Z70" s="203">
        <f>Z$69*'BTX recycling rates'!AB38</f>
        <v>77932.46381640654</v>
      </c>
      <c r="AA70" s="203">
        <f>AA$69*'BTX recycling rates'!AC38</f>
        <v>72599.249317146183</v>
      </c>
      <c r="AB70" s="203">
        <f>AB$69*'BTX recycling rates'!AD38</f>
        <v>67111.892463433382</v>
      </c>
      <c r="AC70" s="203">
        <f>AC$69*'BTX recycling rates'!AE38</f>
        <v>61541.482780721053</v>
      </c>
      <c r="AD70" s="203">
        <f>AD$69*'BTX recycling rates'!AF38</f>
        <v>55953.713027413578</v>
      </c>
      <c r="AE70" s="203">
        <f>AE$69*'BTX recycling rates'!AG38</f>
        <v>50408.935316446776</v>
      </c>
      <c r="AF70" s="203">
        <f>AF$69*'BTX recycling rates'!AH38</f>
        <v>44962.216872781122</v>
      </c>
      <c r="AG70" s="203">
        <f>AG$69*'BTX recycling rates'!AI38</f>
        <v>39663.395428663309</v>
      </c>
      <c r="AH70" s="217"/>
      <c r="AI70" s="124"/>
      <c r="AJ70" s="185"/>
      <c r="AL70" s="100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74</v>
      </c>
      <c r="C71" s="203">
        <f>C$69*'BTX recycling rates'!E39</f>
        <v>30133.238480160624</v>
      </c>
      <c r="D71" s="203">
        <f>D$69*'BTX recycling rates'!F39</f>
        <v>33846.104781991497</v>
      </c>
      <c r="E71" s="203">
        <f>E$69*'BTX recycling rates'!G39</f>
        <v>37417.708153109415</v>
      </c>
      <c r="F71" s="203">
        <f>F$69*'BTX recycling rates'!H39</f>
        <v>41012.188536280475</v>
      </c>
      <c r="G71" s="203">
        <f>G$69*'BTX recycling rates'!I39</f>
        <v>44533.381257806039</v>
      </c>
      <c r="H71" s="203">
        <f>H$69*'BTX recycling rates'!J39</f>
        <v>47952.522615019254</v>
      </c>
      <c r="I71" s="203">
        <f>I$69*'BTX recycling rates'!K39</f>
        <v>51242.68594585656</v>
      </c>
      <c r="J71" s="203">
        <f>J$69*'BTX recycling rates'!L39</f>
        <v>54378.762761056903</v>
      </c>
      <c r="K71" s="203">
        <f>K$69*'BTX recycling rates'!M39</f>
        <v>57337.443998198578</v>
      </c>
      <c r="L71" s="203">
        <f>L$69*'BTX recycling rates'!N39</f>
        <v>60097.201396953533</v>
      </c>
      <c r="M71" s="203">
        <f>M$69*'BTX recycling rates'!O39</f>
        <v>62638.268994942977</v>
      </c>
      <c r="N71" s="203">
        <f>N$69*'BTX recycling rates'!P39</f>
        <v>65207.009441611946</v>
      </c>
      <c r="O71" s="203">
        <f>O$69*'BTX recycling rates'!Q39</f>
        <v>67413.664631294145</v>
      </c>
      <c r="P71" s="203">
        <f>P$69*'BTX recycling rates'!R39</f>
        <v>69240.267812459089</v>
      </c>
      <c r="Q71" s="203">
        <f>Q$69*'BTX recycling rates'!S39</f>
        <v>70672.466744362071</v>
      </c>
      <c r="R71" s="203">
        <f>R$69*'BTX recycling rates'!T39</f>
        <v>71699.484714764709</v>
      </c>
      <c r="S71" s="203">
        <f>S$69*'BTX recycling rates'!U39</f>
        <v>72314.081813763594</v>
      </c>
      <c r="T71" s="203">
        <f>T$69*'BTX recycling rates'!V39</f>
        <v>72512.51646241355</v>
      </c>
      <c r="U71" s="203">
        <f>U$69*'BTX recycling rates'!W39</f>
        <v>72294.507194836842</v>
      </c>
      <c r="V71" s="203">
        <f>V$69*'BTX recycling rates'!X39</f>
        <v>71663.194692516801</v>
      </c>
      <c r="W71" s="203">
        <f>W$69*'BTX recycling rates'!Y39</f>
        <v>70625.104069478388</v>
      </c>
      <c r="X71" s="203">
        <f>X$69*'BTX recycling rates'!Z39</f>
        <v>71439.064290031107</v>
      </c>
      <c r="Y71" s="203">
        <f>Y$69*'BTX recycling rates'!AA39</f>
        <v>71736.643857225281</v>
      </c>
      <c r="Z71" s="203">
        <f>Z$69*'BTX recycling rates'!AB39</f>
        <v>71517.263997937291</v>
      </c>
      <c r="AA71" s="203">
        <f>AA$69*'BTX recycling rates'!AC39</f>
        <v>70784.256314769897</v>
      </c>
      <c r="AB71" s="203">
        <f>AB$69*'BTX recycling rates'!AD39</f>
        <v>69544.819707477232</v>
      </c>
      <c r="AC71" s="203">
        <f>AC$69*'BTX recycling rates'!AE39</f>
        <v>67809.977579441125</v>
      </c>
      <c r="AD71" s="203">
        <f>AD$69*'BTX recycling rates'!AF39</f>
        <v>65594.535327731806</v>
      </c>
      <c r="AE71" s="203">
        <f>AE$69*'BTX recycling rates'!AG39</f>
        <v>62917.038115291507</v>
      </c>
      <c r="AF71" s="203">
        <f>AF$69*'BTX recycling rates'!AH39</f>
        <v>59799.728923786686</v>
      </c>
      <c r="AG71" s="203">
        <f>AG$69*'BTX recycling rates'!AI39</f>
        <v>56268.506885679883</v>
      </c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160</v>
      </c>
      <c r="C72" s="203">
        <f>C$69*'BTX recycling rates'!E40</f>
        <v>0</v>
      </c>
      <c r="D72" s="203">
        <f>D$69*'BTX recycling rates'!F40</f>
        <v>194.94661881700893</v>
      </c>
      <c r="E72" s="203">
        <f>E$69*'BTX recycling rates'!G40</f>
        <v>400.88112368669073</v>
      </c>
      <c r="F72" s="203">
        <f>F$69*'BTX recycling rates'!H40</f>
        <v>615.9917586665357</v>
      </c>
      <c r="G72" s="203">
        <f>G$69*'BTX recycling rates'!I40</f>
        <v>837.1039111189084</v>
      </c>
      <c r="H72" s="203">
        <f>H$69*'BTX recycling rates'!J40</f>
        <v>1061.5662556747943</v>
      </c>
      <c r="I72" s="203">
        <f>I$69*'BTX recycling rates'!K40</f>
        <v>1286.8717552679977</v>
      </c>
      <c r="J72" s="203">
        <f>J$69*'BTX recycling rates'!L40</f>
        <v>1510.6561970371285</v>
      </c>
      <c r="K72" s="203">
        <f>K$69*'BTX recycling rates'!M40</f>
        <v>1730.69673764091</v>
      </c>
      <c r="L72" s="203">
        <f>L$69*'BTX recycling rates'!N40</f>
        <v>1944.91045793904</v>
      </c>
      <c r="M72" s="203">
        <f>M$69*'BTX recycling rates'!O40</f>
        <v>2151.3529269910659</v>
      </c>
      <c r="N72" s="203">
        <f>N$69*'BTX recycling rates'!P40</f>
        <v>2357.7764841536741</v>
      </c>
      <c r="O72" s="203">
        <f>O$69*'BTX recycling rates'!Q40</f>
        <v>2549.7037843242624</v>
      </c>
      <c r="P72" s="203">
        <f>P$69*'BTX recycling rates'!R40</f>
        <v>2724.8587961672783</v>
      </c>
      <c r="Q72" s="203">
        <f>Q$69*'BTX recycling rates'!S40</f>
        <v>2881.2498126201881</v>
      </c>
      <c r="R72" s="203">
        <f>R$69*'BTX recycling rates'!T40</f>
        <v>3017.1664250126937</v>
      </c>
      <c r="S72" s="203">
        <f>S$69*'BTX recycling rates'!U40</f>
        <v>3131.1765169756</v>
      </c>
      <c r="T72" s="203">
        <f>T$69*'BTX recycling rates'!V40</f>
        <v>3222.1232780380387</v>
      </c>
      <c r="U72" s="203">
        <f>U$69*'BTX recycling rates'!W40</f>
        <v>3289.1222368121889</v>
      </c>
      <c r="V72" s="203">
        <f>V$69*'BTX recycling rates'!X40</f>
        <v>3331.5583136651262</v>
      </c>
      <c r="W72" s="203">
        <f>W$69*'BTX recycling rates'!Y40</f>
        <v>3349.0828927777943</v>
      </c>
      <c r="X72" s="203">
        <f>X$69*'BTX recycling rates'!Z40</f>
        <v>3450.2267134335912</v>
      </c>
      <c r="Y72" s="203">
        <f>Y$69*'BTX recycling rates'!AA40</f>
        <v>3523.7417189210996</v>
      </c>
      <c r="Z72" s="203">
        <f>Z$69*'BTX recycling rates'!AB40</f>
        <v>3568.5866536349913</v>
      </c>
      <c r="AA72" s="203">
        <f>AA$69*'BTX recycling rates'!AC40</f>
        <v>3584.02813087613</v>
      </c>
      <c r="AB72" s="203">
        <f>AB$69*'BTX recycling rates'!AD40</f>
        <v>3569.6372883379913</v>
      </c>
      <c r="AC72" s="203">
        <f>AC$69*'BTX recycling rates'!AE40</f>
        <v>3525.2864656210559</v>
      </c>
      <c r="AD72" s="203">
        <f>AD$69*'BTX recycling rates'!AF40</f>
        <v>3451.1459036620313</v>
      </c>
      <c r="AE72" s="203">
        <f>AE$69*'BTX recycling rates'!AG40</f>
        <v>3347.6804659652498</v>
      </c>
      <c r="AF72" s="203">
        <f>AF$69*'BTX recycling rates'!AH40</f>
        <v>3215.6463815241059</v>
      </c>
      <c r="AG72" s="203">
        <f>AG$69*'BTX recycling rates'!AI40</f>
        <v>3056.0880093208366</v>
      </c>
      <c r="AH72" s="217"/>
      <c r="AI72" s="124"/>
      <c r="AJ72" s="185"/>
      <c r="AL72" s="100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1040</v>
      </c>
      <c r="C73" s="203">
        <f>C$69*'BTX recycling rates'!E41</f>
        <v>0</v>
      </c>
      <c r="D73" s="203">
        <f>D$69*'BTX recycling rates'!F41</f>
        <v>404.09539343723969</v>
      </c>
      <c r="E73" s="203">
        <f>E$69*'BTX recycling rates'!G41</f>
        <v>830.96704308473079</v>
      </c>
      <c r="F73" s="203">
        <f>F$69*'BTX recycling rates'!H41</f>
        <v>1276.8594478989394</v>
      </c>
      <c r="G73" s="203">
        <f>G$69*'BTX recycling rates'!I41</f>
        <v>1735.1921072761568</v>
      </c>
      <c r="H73" s="203">
        <f>H$69*'BTX recycling rates'!J41</f>
        <v>2200.4692174182801</v>
      </c>
      <c r="I73" s="203">
        <f>I$69*'BTX recycling rates'!K41</f>
        <v>2667.4940627537658</v>
      </c>
      <c r="J73" s="203">
        <f>J$69*'BTX recycling rates'!L41</f>
        <v>3131.3659810798508</v>
      </c>
      <c r="K73" s="203">
        <f>K$69*'BTX recycling rates'!M41</f>
        <v>3587.4773482171918</v>
      </c>
      <c r="L73" s="203">
        <f>L$69*'BTX recycling rates'!N41</f>
        <v>4031.5105820779027</v>
      </c>
      <c r="M73" s="203">
        <f>M$69*'BTX recycling rates'!O41</f>
        <v>4459.4351660484508</v>
      </c>
      <c r="N73" s="203">
        <f>N$69*'BTX recycling rates'!P41</f>
        <v>4887.3205484804375</v>
      </c>
      <c r="O73" s="203">
        <f>O$69*'BTX recycling rates'!Q41</f>
        <v>5285.157342698355</v>
      </c>
      <c r="P73" s="203">
        <f>P$69*'BTX recycling rates'!R41</f>
        <v>5648.2276737085404</v>
      </c>
      <c r="Q73" s="203">
        <f>Q$69*'BTX recycling rates'!S41</f>
        <v>5972.403028516359</v>
      </c>
      <c r="R73" s="203">
        <f>R$69*'BTX recycling rates'!T41</f>
        <v>6254.1379839246465</v>
      </c>
      <c r="S73" s="203">
        <f>S$69*'BTX recycling rates'!U41</f>
        <v>6490.4639753531628</v>
      </c>
      <c r="T73" s="203">
        <f>T$69*'BTX recycling rates'!V41</f>
        <v>6678.9831064690825</v>
      </c>
      <c r="U73" s="203">
        <f>U$69*'BTX recycling rates'!W41</f>
        <v>6817.8619994194605</v>
      </c>
      <c r="V73" s="203">
        <f>V$69*'BTX recycling rates'!X41</f>
        <v>6905.825685457623</v>
      </c>
      <c r="W73" s="203">
        <f>W$69*'BTX recycling rates'!Y41</f>
        <v>6942.1515357561757</v>
      </c>
      <c r="X73" s="203">
        <f>X$69*'BTX recycling rates'!Z41</f>
        <v>7151.8076572609816</v>
      </c>
      <c r="Y73" s="203">
        <f>Y$69*'BTX recycling rates'!AA41</f>
        <v>7304.193347488831</v>
      </c>
      <c r="Z73" s="203">
        <f>Z$69*'BTX recycling rates'!AB41</f>
        <v>7397.1502381845748</v>
      </c>
      <c r="AA73" s="203">
        <f>AA$69*'BTX recycling rates'!AC41</f>
        <v>7429.1581276205397</v>
      </c>
      <c r="AB73" s="203">
        <f>AB$69*'BTX recycling rates'!AD41</f>
        <v>7399.3280479165096</v>
      </c>
      <c r="AC73" s="203">
        <f>AC$69*'BTX recycling rates'!AE41</f>
        <v>7307.3953780204074</v>
      </c>
      <c r="AD73" s="203">
        <f>AD$69*'BTX recycling rates'!AF41</f>
        <v>7153.7130021151734</v>
      </c>
      <c r="AE73" s="203">
        <f>AE$69*'BTX recycling rates'!AG41</f>
        <v>6939.2445132183075</v>
      </c>
      <c r="AF73" s="203">
        <f>AF$69*'BTX recycling rates'!AH41</f>
        <v>6665.557461741656</v>
      </c>
      <c r="AG73" s="203">
        <f>AG$69*'BTX recycling rates'!AI41</f>
        <v>6334.8166487798835</v>
      </c>
      <c r="AH73" s="217"/>
      <c r="AI73" s="124"/>
      <c r="AJ73" s="185"/>
      <c r="AL73" s="100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s="1" customFormat="1" outlineLevel="1">
      <c r="A74" s="1" t="s">
        <v>1041</v>
      </c>
      <c r="B74" s="60"/>
      <c r="C74" s="250">
        <f t="shared" ref="C74:AG74" si="32">C69-$C69</f>
        <v>0</v>
      </c>
      <c r="D74" s="250">
        <f t="shared" si="32"/>
        <v>7513.904859147995</v>
      </c>
      <c r="E74" s="250">
        <f t="shared" si="32"/>
        <v>13194.083235382306</v>
      </c>
      <c r="F74" s="250">
        <f t="shared" si="32"/>
        <v>18249.871146315389</v>
      </c>
      <c r="G74" s="250">
        <f t="shared" si="32"/>
        <v>22329.004785585857</v>
      </c>
      <c r="H74" s="250">
        <f t="shared" si="32"/>
        <v>25469.236555809475</v>
      </c>
      <c r="I74" s="250">
        <f t="shared" si="32"/>
        <v>27708.013829782431</v>
      </c>
      <c r="J74" s="250">
        <f t="shared" si="32"/>
        <v>29082.480582002114</v>
      </c>
      <c r="K74" s="250">
        <f t="shared" si="32"/>
        <v>29629.47901309951</v>
      </c>
      <c r="L74" s="250">
        <f t="shared" si="32"/>
        <v>29385.551167208672</v>
      </c>
      <c r="M74" s="250">
        <f t="shared" si="32"/>
        <v>28386.940542302356</v>
      </c>
      <c r="N74" s="250">
        <f t="shared" si="32"/>
        <v>27568.117942797981</v>
      </c>
      <c r="O74" s="250">
        <f t="shared" si="32"/>
        <v>25636.794483557314</v>
      </c>
      <c r="P74" s="250">
        <f t="shared" si="32"/>
        <v>22668.686906267365</v>
      </c>
      <c r="Q74" s="250">
        <f t="shared" si="32"/>
        <v>18738.875910962408</v>
      </c>
      <c r="R74" s="250">
        <f t="shared" si="32"/>
        <v>13921.809606374329</v>
      </c>
      <c r="S74" s="250">
        <f t="shared" si="32"/>
        <v>8291.3069451818883</v>
      </c>
      <c r="T74" s="250">
        <f t="shared" si="32"/>
        <v>1920.5611442166555</v>
      </c>
      <c r="U74" s="250">
        <f t="shared" si="32"/>
        <v>-5117.856910317525</v>
      </c>
      <c r="V74" s="250">
        <f t="shared" si="32"/>
        <v>-12751.995272551692</v>
      </c>
      <c r="W74" s="250">
        <f t="shared" si="32"/>
        <v>-20910.517561531306</v>
      </c>
      <c r="X74" s="250">
        <f t="shared" si="32"/>
        <v>-24175.190489728062</v>
      </c>
      <c r="Y74" s="250">
        <f t="shared" si="32"/>
        <v>-28441.501567141357</v>
      </c>
      <c r="Z74" s="250">
        <f t="shared" si="32"/>
        <v>-33625.608965794905</v>
      </c>
      <c r="AA74" s="250">
        <f t="shared" si="32"/>
        <v>-39644.381781545555</v>
      </c>
      <c r="AB74" s="250">
        <f t="shared" si="32"/>
        <v>-46415.396164793201</v>
      </c>
      <c r="AC74" s="250">
        <f t="shared" si="32"/>
        <v>-53856.931468154682</v>
      </c>
      <c r="AD74" s="250">
        <f t="shared" si="32"/>
        <v>-61887.966411035741</v>
      </c>
      <c r="AE74" s="250">
        <f t="shared" si="32"/>
        <v>-70428.175261036493</v>
      </c>
      <c r="AF74" s="250">
        <f t="shared" si="32"/>
        <v>-79397.924032124763</v>
      </c>
      <c r="AG74" s="250">
        <f t="shared" si="32"/>
        <v>-88718.266699514512</v>
      </c>
      <c r="AH74" s="217"/>
      <c r="AI74" s="368"/>
      <c r="AJ74" s="369"/>
      <c r="AL74" s="194"/>
      <c r="AM74" s="116"/>
      <c r="AN74" s="116"/>
      <c r="AO74" s="116"/>
      <c r="BD74" s="116"/>
      <c r="BE74" s="116"/>
      <c r="BF74" s="116"/>
      <c r="BG74" s="116"/>
      <c r="BH74" s="116"/>
      <c r="BI74" s="116"/>
      <c r="BJ74" s="116"/>
      <c r="BK74" s="116"/>
    </row>
    <row r="75" spans="1:63" outlineLevel="1">
      <c r="A75" s="4" t="s">
        <v>35</v>
      </c>
      <c r="C75" s="203">
        <f t="shared" ref="C75:AG75" si="33">C70-$C70</f>
        <v>0</v>
      </c>
      <c r="D75" s="203">
        <f t="shared" si="33"/>
        <v>3201.9965450628661</v>
      </c>
      <c r="E75" s="203">
        <f t="shared" si="33"/>
        <v>4677.7653956620779</v>
      </c>
      <c r="F75" s="203">
        <f t="shared" si="33"/>
        <v>5478.0698836300289</v>
      </c>
      <c r="G75" s="203">
        <f t="shared" si="33"/>
        <v>5356.5659895453427</v>
      </c>
      <c r="H75" s="203">
        <f t="shared" si="33"/>
        <v>4387.9169478577096</v>
      </c>
      <c r="I75" s="203">
        <f t="shared" si="33"/>
        <v>2644.2005460646469</v>
      </c>
      <c r="J75" s="203">
        <f t="shared" si="33"/>
        <v>194.93412298877956</v>
      </c>
      <c r="K75" s="203">
        <f t="shared" si="33"/>
        <v>-2892.9005907966348</v>
      </c>
      <c r="L75" s="203">
        <f t="shared" si="33"/>
        <v>-6554.8327896012925</v>
      </c>
      <c r="M75" s="203">
        <f t="shared" si="33"/>
        <v>-10728.878065519617</v>
      </c>
      <c r="N75" s="203">
        <f t="shared" si="33"/>
        <v>-14750.750051287585</v>
      </c>
      <c r="O75" s="203">
        <f t="shared" si="33"/>
        <v>-19478.492794598948</v>
      </c>
      <c r="P75" s="203">
        <f t="shared" si="33"/>
        <v>-24811.42889590704</v>
      </c>
      <c r="Q75" s="203">
        <f t="shared" si="33"/>
        <v>-30654.005194375728</v>
      </c>
      <c r="R75" s="203">
        <f t="shared" si="33"/>
        <v>-36915.74103716723</v>
      </c>
      <c r="S75" s="203">
        <f t="shared" si="33"/>
        <v>-43511.17688074999</v>
      </c>
      <c r="T75" s="203">
        <f t="shared" si="33"/>
        <v>-50359.823222543535</v>
      </c>
      <c r="U75" s="203">
        <f t="shared" si="33"/>
        <v>-57386.10986122553</v>
      </c>
      <c r="V75" s="203">
        <f t="shared" si="33"/>
        <v>-64519.335484030758</v>
      </c>
      <c r="W75" s="203">
        <f t="shared" si="33"/>
        <v>-71693.617579383194</v>
      </c>
      <c r="X75" s="203">
        <f t="shared" si="33"/>
        <v>-76083.050670293276</v>
      </c>
      <c r="Y75" s="203">
        <f t="shared" si="33"/>
        <v>-80872.842010616107</v>
      </c>
      <c r="Z75" s="203">
        <f t="shared" si="33"/>
        <v>-85975.371375391274</v>
      </c>
      <c r="AA75" s="203">
        <f t="shared" si="33"/>
        <v>-91308.585874651631</v>
      </c>
      <c r="AB75" s="203">
        <f t="shared" si="33"/>
        <v>-96795.942728364433</v>
      </c>
      <c r="AC75" s="203">
        <f t="shared" si="33"/>
        <v>-102366.35241107676</v>
      </c>
      <c r="AD75" s="203">
        <f t="shared" si="33"/>
        <v>-107954.12216438423</v>
      </c>
      <c r="AE75" s="203">
        <f t="shared" si="33"/>
        <v>-113498.89987535104</v>
      </c>
      <c r="AF75" s="203">
        <f t="shared" si="33"/>
        <v>-118945.61831901669</v>
      </c>
      <c r="AG75" s="203">
        <f t="shared" si="33"/>
        <v>-124244.43976313451</v>
      </c>
      <c r="AH75" s="217"/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74</v>
      </c>
      <c r="C76" s="203">
        <f t="shared" ref="C76:AG76" si="34">C71-$C71</f>
        <v>0</v>
      </c>
      <c r="D76" s="203">
        <f t="shared" si="34"/>
        <v>3712.8663018308725</v>
      </c>
      <c r="E76" s="203">
        <f t="shared" si="34"/>
        <v>7284.4696729487914</v>
      </c>
      <c r="F76" s="203">
        <f t="shared" si="34"/>
        <v>10878.950056119851</v>
      </c>
      <c r="G76" s="203">
        <f t="shared" si="34"/>
        <v>14400.142777645415</v>
      </c>
      <c r="H76" s="203">
        <f t="shared" si="34"/>
        <v>17819.28413485863</v>
      </c>
      <c r="I76" s="203">
        <f t="shared" si="34"/>
        <v>21109.447465695936</v>
      </c>
      <c r="J76" s="203">
        <f t="shared" si="34"/>
        <v>24245.524280896279</v>
      </c>
      <c r="K76" s="203">
        <f t="shared" si="34"/>
        <v>27204.205518037954</v>
      </c>
      <c r="L76" s="203">
        <f t="shared" si="34"/>
        <v>29963.962916792909</v>
      </c>
      <c r="M76" s="203">
        <f t="shared" si="34"/>
        <v>32505.030514782353</v>
      </c>
      <c r="N76" s="203">
        <f t="shared" si="34"/>
        <v>35073.770961451322</v>
      </c>
      <c r="O76" s="203">
        <f t="shared" si="34"/>
        <v>37280.426151133521</v>
      </c>
      <c r="P76" s="203">
        <f t="shared" si="34"/>
        <v>39107.029332298465</v>
      </c>
      <c r="Q76" s="203">
        <f t="shared" si="34"/>
        <v>40539.228264201447</v>
      </c>
      <c r="R76" s="203">
        <f t="shared" si="34"/>
        <v>41566.246234604085</v>
      </c>
      <c r="S76" s="203">
        <f t="shared" si="34"/>
        <v>42180.84333360297</v>
      </c>
      <c r="T76" s="203">
        <f t="shared" si="34"/>
        <v>42379.277982252926</v>
      </c>
      <c r="U76" s="203">
        <f t="shared" si="34"/>
        <v>42161.268714676218</v>
      </c>
      <c r="V76" s="203">
        <f t="shared" si="34"/>
        <v>41529.956212356177</v>
      </c>
      <c r="W76" s="203">
        <f t="shared" si="34"/>
        <v>40491.865589317764</v>
      </c>
      <c r="X76" s="203">
        <f t="shared" si="34"/>
        <v>41305.825809870483</v>
      </c>
      <c r="Y76" s="203">
        <f t="shared" si="34"/>
        <v>41603.405377064657</v>
      </c>
      <c r="Z76" s="203">
        <f t="shared" si="34"/>
        <v>41384.025517776667</v>
      </c>
      <c r="AA76" s="203">
        <f t="shared" si="34"/>
        <v>40651.017834609273</v>
      </c>
      <c r="AB76" s="203">
        <f t="shared" si="34"/>
        <v>39411.581227316608</v>
      </c>
      <c r="AC76" s="203">
        <f t="shared" si="34"/>
        <v>37676.739099280501</v>
      </c>
      <c r="AD76" s="203">
        <f t="shared" si="34"/>
        <v>35461.296847571182</v>
      </c>
      <c r="AE76" s="203">
        <f t="shared" si="34"/>
        <v>32783.799635130883</v>
      </c>
      <c r="AF76" s="203">
        <f t="shared" si="34"/>
        <v>29666.490443626062</v>
      </c>
      <c r="AG76" s="203">
        <f t="shared" si="34"/>
        <v>26135.268405519259</v>
      </c>
      <c r="AH76" s="217"/>
      <c r="AI76" s="124"/>
      <c r="AJ76" s="185"/>
      <c r="AL76" s="100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160</v>
      </c>
      <c r="C77" s="203">
        <f t="shared" ref="C77:AG77" si="35">C72-$C72</f>
        <v>0</v>
      </c>
      <c r="D77" s="203">
        <f t="shared" si="35"/>
        <v>194.94661881700893</v>
      </c>
      <c r="E77" s="203">
        <f t="shared" si="35"/>
        <v>400.88112368669073</v>
      </c>
      <c r="F77" s="203">
        <f t="shared" si="35"/>
        <v>615.9917586665357</v>
      </c>
      <c r="G77" s="203">
        <f t="shared" si="35"/>
        <v>837.1039111189084</v>
      </c>
      <c r="H77" s="203">
        <f t="shared" si="35"/>
        <v>1061.5662556747943</v>
      </c>
      <c r="I77" s="203">
        <f t="shared" si="35"/>
        <v>1286.8717552679977</v>
      </c>
      <c r="J77" s="203">
        <f t="shared" si="35"/>
        <v>1510.6561970371285</v>
      </c>
      <c r="K77" s="203">
        <f t="shared" si="35"/>
        <v>1730.69673764091</v>
      </c>
      <c r="L77" s="203">
        <f t="shared" si="35"/>
        <v>1944.91045793904</v>
      </c>
      <c r="M77" s="203">
        <f t="shared" si="35"/>
        <v>2151.3529269910659</v>
      </c>
      <c r="N77" s="203">
        <f t="shared" si="35"/>
        <v>2357.7764841536741</v>
      </c>
      <c r="O77" s="203">
        <f t="shared" si="35"/>
        <v>2549.7037843242624</v>
      </c>
      <c r="P77" s="203">
        <f t="shared" si="35"/>
        <v>2724.8587961672783</v>
      </c>
      <c r="Q77" s="203">
        <f t="shared" si="35"/>
        <v>2881.2498126201881</v>
      </c>
      <c r="R77" s="203">
        <f t="shared" si="35"/>
        <v>3017.1664250126937</v>
      </c>
      <c r="S77" s="203">
        <f t="shared" si="35"/>
        <v>3131.1765169756</v>
      </c>
      <c r="T77" s="203">
        <f t="shared" si="35"/>
        <v>3222.1232780380387</v>
      </c>
      <c r="U77" s="203">
        <f t="shared" si="35"/>
        <v>3289.1222368121889</v>
      </c>
      <c r="V77" s="203">
        <f t="shared" si="35"/>
        <v>3331.5583136651262</v>
      </c>
      <c r="W77" s="203">
        <f t="shared" si="35"/>
        <v>3349.0828927777943</v>
      </c>
      <c r="X77" s="203">
        <f t="shared" si="35"/>
        <v>3450.2267134335912</v>
      </c>
      <c r="Y77" s="203">
        <f t="shared" si="35"/>
        <v>3523.7417189210996</v>
      </c>
      <c r="Z77" s="203">
        <f t="shared" si="35"/>
        <v>3568.5866536349913</v>
      </c>
      <c r="AA77" s="203">
        <f t="shared" si="35"/>
        <v>3584.02813087613</v>
      </c>
      <c r="AB77" s="203">
        <f t="shared" si="35"/>
        <v>3569.6372883379913</v>
      </c>
      <c r="AC77" s="203">
        <f t="shared" si="35"/>
        <v>3525.2864656210559</v>
      </c>
      <c r="AD77" s="203">
        <f t="shared" si="35"/>
        <v>3451.1459036620313</v>
      </c>
      <c r="AE77" s="203">
        <f t="shared" si="35"/>
        <v>3347.6804659652498</v>
      </c>
      <c r="AF77" s="203">
        <f t="shared" si="35"/>
        <v>3215.6463815241059</v>
      </c>
      <c r="AG77" s="203">
        <f t="shared" si="35"/>
        <v>3056.0880093208366</v>
      </c>
      <c r="AH77" s="217"/>
      <c r="AI77" s="124"/>
      <c r="AJ77" s="185"/>
      <c r="AL77" s="100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1040</v>
      </c>
      <c r="C78" s="203">
        <f t="shared" ref="C78:AG78" si="36">C73-$C73</f>
        <v>0</v>
      </c>
      <c r="D78" s="203">
        <f t="shared" si="36"/>
        <v>404.09539343723969</v>
      </c>
      <c r="E78" s="203">
        <f t="shared" si="36"/>
        <v>830.96704308473079</v>
      </c>
      <c r="F78" s="203">
        <f t="shared" si="36"/>
        <v>1276.8594478989394</v>
      </c>
      <c r="G78" s="203">
        <f t="shared" si="36"/>
        <v>1735.1921072761568</v>
      </c>
      <c r="H78" s="203">
        <f t="shared" si="36"/>
        <v>2200.4692174182801</v>
      </c>
      <c r="I78" s="203">
        <f t="shared" si="36"/>
        <v>2667.4940627537658</v>
      </c>
      <c r="J78" s="203">
        <f t="shared" si="36"/>
        <v>3131.3659810798508</v>
      </c>
      <c r="K78" s="203">
        <f t="shared" si="36"/>
        <v>3587.4773482171918</v>
      </c>
      <c r="L78" s="203">
        <f t="shared" si="36"/>
        <v>4031.5105820779027</v>
      </c>
      <c r="M78" s="203">
        <f t="shared" si="36"/>
        <v>4459.4351660484508</v>
      </c>
      <c r="N78" s="203">
        <f t="shared" si="36"/>
        <v>4887.3205484804375</v>
      </c>
      <c r="O78" s="203">
        <f t="shared" si="36"/>
        <v>5285.157342698355</v>
      </c>
      <c r="P78" s="203">
        <f t="shared" si="36"/>
        <v>5648.2276737085404</v>
      </c>
      <c r="Q78" s="203">
        <f t="shared" si="36"/>
        <v>5972.403028516359</v>
      </c>
      <c r="R78" s="203">
        <f t="shared" si="36"/>
        <v>6254.1379839246465</v>
      </c>
      <c r="S78" s="203">
        <f t="shared" si="36"/>
        <v>6490.4639753531628</v>
      </c>
      <c r="T78" s="203">
        <f t="shared" si="36"/>
        <v>6678.9831064690825</v>
      </c>
      <c r="U78" s="203">
        <f t="shared" si="36"/>
        <v>6817.8619994194605</v>
      </c>
      <c r="V78" s="203">
        <f t="shared" si="36"/>
        <v>6905.825685457623</v>
      </c>
      <c r="W78" s="203">
        <f t="shared" si="36"/>
        <v>6942.1515357561757</v>
      </c>
      <c r="X78" s="203">
        <f t="shared" si="36"/>
        <v>7151.8076572609816</v>
      </c>
      <c r="Y78" s="203">
        <f t="shared" si="36"/>
        <v>7304.193347488831</v>
      </c>
      <c r="Z78" s="203">
        <f t="shared" si="36"/>
        <v>7397.1502381845748</v>
      </c>
      <c r="AA78" s="203">
        <f t="shared" si="36"/>
        <v>7429.1581276205397</v>
      </c>
      <c r="AB78" s="203">
        <f t="shared" si="36"/>
        <v>7399.3280479165096</v>
      </c>
      <c r="AC78" s="203">
        <f t="shared" si="36"/>
        <v>7307.3953780204074</v>
      </c>
      <c r="AD78" s="203">
        <f t="shared" si="36"/>
        <v>7153.7130021151734</v>
      </c>
      <c r="AE78" s="203">
        <f t="shared" si="36"/>
        <v>6939.2445132183075</v>
      </c>
      <c r="AF78" s="203">
        <f t="shared" si="36"/>
        <v>6665.557461741656</v>
      </c>
      <c r="AG78" s="203">
        <f t="shared" si="36"/>
        <v>6334.8166487798835</v>
      </c>
      <c r="AH78" s="217"/>
      <c r="AI78" s="124"/>
      <c r="AJ78" s="185"/>
      <c r="AL78" s="100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s="1" customFormat="1" outlineLevel="1">
      <c r="A79" s="1" t="s">
        <v>1042</v>
      </c>
      <c r="B79" s="60"/>
      <c r="C79" s="250">
        <f>C39*C64</f>
        <v>45103.973406334175</v>
      </c>
      <c r="D79" s="250">
        <f t="shared" ref="D79:AG79" si="37">D39*D64</f>
        <v>44690.97414146395</v>
      </c>
      <c r="E79" s="250">
        <f t="shared" si="37"/>
        <v>43958.040640430125</v>
      </c>
      <c r="F79" s="250">
        <f t="shared" si="37"/>
        <v>43177.825764582369</v>
      </c>
      <c r="G79" s="250">
        <f t="shared" si="37"/>
        <v>42276.341044582477</v>
      </c>
      <c r="H79" s="250">
        <f t="shared" si="37"/>
        <v>41265.694366746138</v>
      </c>
      <c r="I79" s="250">
        <f t="shared" si="37"/>
        <v>40157.547688734856</v>
      </c>
      <c r="J79" s="250">
        <f t="shared" si="37"/>
        <v>38963.121384733262</v>
      </c>
      <c r="K79" s="250">
        <f t="shared" si="37"/>
        <v>37693.19856310849</v>
      </c>
      <c r="L79" s="250">
        <f t="shared" si="37"/>
        <v>36358.129356690093</v>
      </c>
      <c r="M79" s="250">
        <f t="shared" si="37"/>
        <v>34967.835185808806</v>
      </c>
      <c r="N79" s="250">
        <f t="shared" si="37"/>
        <v>32248.570032500415</v>
      </c>
      <c r="O79" s="250">
        <f t="shared" si="37"/>
        <v>29668.258483250051</v>
      </c>
      <c r="P79" s="250">
        <f t="shared" si="37"/>
        <v>27223.837915475877</v>
      </c>
      <c r="Q79" s="250">
        <f t="shared" si="37"/>
        <v>24912.194147608592</v>
      </c>
      <c r="R79" s="250">
        <f t="shared" si="37"/>
        <v>22730.162142818335</v>
      </c>
      <c r="S79" s="250">
        <f t="shared" si="37"/>
        <v>20674.526707799916</v>
      </c>
      <c r="T79" s="250">
        <f t="shared" si="37"/>
        <v>18742.023186642211</v>
      </c>
      <c r="U79" s="250">
        <f t="shared" si="37"/>
        <v>16929.338149807954</v>
      </c>
      <c r="V79" s="250">
        <f t="shared" si="37"/>
        <v>15233.110078249822</v>
      </c>
      <c r="W79" s="250">
        <f t="shared" si="37"/>
        <v>13649.93004268848</v>
      </c>
      <c r="X79" s="250">
        <f t="shared" si="37"/>
        <v>12307.635695320141</v>
      </c>
      <c r="Y79" s="250">
        <f t="shared" si="37"/>
        <v>11051.014783402883</v>
      </c>
      <c r="Z79" s="250">
        <f t="shared" si="37"/>
        <v>9877.6420731417729</v>
      </c>
      <c r="AA79" s="250">
        <f t="shared" si="37"/>
        <v>8785.0562437405006</v>
      </c>
      <c r="AB79" s="250">
        <f t="shared" si="37"/>
        <v>7770.7603948578353</v>
      </c>
      <c r="AC79" s="250">
        <f t="shared" si="37"/>
        <v>6832.222550472241</v>
      </c>
      <c r="AD79" s="250">
        <f t="shared" si="37"/>
        <v>5966.8761591738394</v>
      </c>
      <c r="AE79" s="250">
        <f t="shared" si="37"/>
        <v>5172.1205909026785</v>
      </c>
      <c r="AF79" s="250">
        <f t="shared" si="37"/>
        <v>4445.3216301522152</v>
      </c>
      <c r="AG79" s="250">
        <f t="shared" si="37"/>
        <v>3783.811965656821</v>
      </c>
      <c r="AH79" s="217"/>
      <c r="AI79" s="368"/>
      <c r="AJ79" s="369"/>
      <c r="AL79" s="194"/>
      <c r="AM79" s="116"/>
      <c r="AN79" s="116"/>
      <c r="AO79" s="116"/>
      <c r="BD79" s="116"/>
      <c r="BE79" s="116"/>
      <c r="BF79" s="116"/>
      <c r="BG79" s="116"/>
      <c r="BH79" s="116"/>
      <c r="BI79" s="116"/>
      <c r="BJ79" s="116"/>
      <c r="BK79" s="116"/>
    </row>
    <row r="80" spans="1:63" outlineLevel="1">
      <c r="A80" s="4" t="s">
        <v>35</v>
      </c>
      <c r="C80" s="203">
        <f>C$79*'BTX recycling rates'!E42</f>
        <v>38099.637873983935</v>
      </c>
      <c r="D80" s="203">
        <f>D$79*'BTX recycling rates'!F42</f>
        <v>37053.41948566075</v>
      </c>
      <c r="E80" s="203">
        <f>E$79*'BTX recycling rates'!G42</f>
        <v>35759.823731686425</v>
      </c>
      <c r="F80" s="203">
        <f>F$79*'BTX recycling rates'!H42</f>
        <v>34451.37569378491</v>
      </c>
      <c r="G80" s="203">
        <f>G$79*'BTX recycling rates'!I42</f>
        <v>33072.408172434087</v>
      </c>
      <c r="H80" s="203">
        <f>H$79*'BTX recycling rates'!J42</f>
        <v>31637.880989784004</v>
      </c>
      <c r="I80" s="203">
        <f>I$79*'BTX recycling rates'!K42</f>
        <v>30161.663315735528</v>
      </c>
      <c r="J80" s="203">
        <f>J$79*'BTX recycling rates'!L42</f>
        <v>28656.571654937303</v>
      </c>
      <c r="K80" s="203">
        <f>K$79*'BTX recycling rates'!M42</f>
        <v>27134.407407162049</v>
      </c>
      <c r="L80" s="203">
        <f>L$79*'BTX recycling rates'!N42</f>
        <v>25605.994004165415</v>
      </c>
      <c r="M80" s="203">
        <f>M$79*'BTX recycling rates'!O42</f>
        <v>24081.213626113255</v>
      </c>
      <c r="N80" s="203">
        <f>N$79*'BTX recycling rates'!P42</f>
        <v>21705.339345126147</v>
      </c>
      <c r="O80" s="203">
        <f>O$79*'BTX recycling rates'!Q42</f>
        <v>19505.683930674713</v>
      </c>
      <c r="P80" s="203">
        <f>P$79*'BTX recycling rates'!R42</f>
        <v>17473.776951812048</v>
      </c>
      <c r="Q80" s="203">
        <f>Q$79*'BTX recycling rates'!S42</f>
        <v>15601.306844536757</v>
      </c>
      <c r="R80" s="203">
        <f>R$79*'BTX recycling rates'!T42</f>
        <v>13880.125364137755</v>
      </c>
      <c r="S80" s="203">
        <f>S$79*'BTX recycling rates'!U42</f>
        <v>12302.251968713083</v>
      </c>
      <c r="T80" s="203">
        <f>T$79*'BTX recycling rates'!V42</f>
        <v>10859.878134417522</v>
      </c>
      <c r="U80" s="203">
        <f>U$79*'BTX recycling rates'!W42</f>
        <v>9545.37160299069</v>
      </c>
      <c r="V80" s="203">
        <f>V$79*'BTX recycling rates'!X42</f>
        <v>8351.2805621139414</v>
      </c>
      <c r="W80" s="203">
        <f>W$79*'BTX recycling rates'!Y42</f>
        <v>7270.3377591409644</v>
      </c>
      <c r="X80" s="203">
        <f>X$79*'BTX recycling rates'!Z42</f>
        <v>6363.3463804563644</v>
      </c>
      <c r="Y80" s="203">
        <f>Y$79*'BTX recycling rates'!AA42</f>
        <v>5541.2035521697126</v>
      </c>
      <c r="Z80" s="203">
        <f>Z$79*'BTX recycling rates'!AB42</f>
        <v>4798.7205277656694</v>
      </c>
      <c r="AA80" s="203">
        <f>AA$79*'BTX recycling rates'!AC42</f>
        <v>4130.8429649331838</v>
      </c>
      <c r="AB80" s="203">
        <f>AB$79*'BTX recycling rates'!AD42</f>
        <v>3532.6539717556516</v>
      </c>
      <c r="AC80" s="203">
        <f>AC$79*'BTX recycling rates'!AE42</f>
        <v>2999.3771038143336</v>
      </c>
      <c r="AD80" s="203">
        <f>AD$79*'BTX recycling rates'!AF42</f>
        <v>2526.3793126054848</v>
      </c>
      <c r="AE80" s="203">
        <f>AE$79*'BTX recycling rates'!AG42</f>
        <v>2109.1738456691619</v>
      </c>
      <c r="AF80" s="203">
        <f>AF$79*'BTX recycling rates'!AH42</f>
        <v>1743.423098825278</v>
      </c>
      <c r="AG80" s="207">
        <f>AG$79*'BTX recycling rates'!AI42</f>
        <v>1424.9414209100989</v>
      </c>
      <c r="AH80" s="217"/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74</v>
      </c>
      <c r="C81" s="203">
        <f>C$79*'BTX recycling rates'!E43</f>
        <v>7004.3355323502474</v>
      </c>
      <c r="D81" s="203">
        <f>D$79*'BTX recycling rates'!F43</f>
        <v>7504.728509436527</v>
      </c>
      <c r="E81" s="203">
        <f>E$79*'BTX recycling rates'!G43</f>
        <v>7936.9213226767633</v>
      </c>
      <c r="F81" s="203">
        <f>F$79*'BTX recycling rates'!H43</f>
        <v>8341.4633269430469</v>
      </c>
      <c r="G81" s="203">
        <f>G$79*'BTX recycling rates'!I43</f>
        <v>8701.3344328608127</v>
      </c>
      <c r="H81" s="203">
        <f>H$79*'BTX recycling rates'!J43</f>
        <v>9014.5840543555078</v>
      </c>
      <c r="I81" s="203">
        <f>I$79*'BTX recycling rates'!K43</f>
        <v>9279.770337514663</v>
      </c>
      <c r="J81" s="203">
        <f>J$79*'BTX recycling rates'!L43</f>
        <v>9495.9330550959257</v>
      </c>
      <c r="K81" s="203">
        <f>K$79*'BTX recycling rates'!M43</f>
        <v>9662.5668233062443</v>
      </c>
      <c r="L81" s="203">
        <f>L$79*'BTX recycling rates'!N43</f>
        <v>9779.5946384562449</v>
      </c>
      <c r="M81" s="203">
        <f>M$79*'BTX recycling rates'!O43</f>
        <v>9847.3417311077774</v>
      </c>
      <c r="N81" s="203">
        <f>N$79*'BTX recycling rates'!P43</f>
        <v>9488.9241518613817</v>
      </c>
      <c r="O81" s="203">
        <f>O$79*'BTX recycling rates'!Q43</f>
        <v>9104.449366599285</v>
      </c>
      <c r="P81" s="203">
        <f>P$79*'BTX recycling rates'!R43</f>
        <v>8698.2045622726055</v>
      </c>
      <c r="Q81" s="203">
        <f>Q$79*'BTX recycling rates'!S43</f>
        <v>8274.3050549499621</v>
      </c>
      <c r="R81" s="203">
        <f>R$79*'BTX recycling rates'!T43</f>
        <v>7836.6912760192836</v>
      </c>
      <c r="S81" s="203">
        <f>S$79*'BTX recycling rates'!U43</f>
        <v>7389.1258099596125</v>
      </c>
      <c r="T81" s="203">
        <f>T$79*'BTX recycling rates'!V43</f>
        <v>6935.1904832555147</v>
      </c>
      <c r="U81" s="203">
        <f>U$79*'BTX recycling rates'!W43</f>
        <v>6478.2835040294431</v>
      </c>
      <c r="V81" s="203">
        <f>V$79*'BTX recycling rates'!X43</f>
        <v>6021.6166519699691</v>
      </c>
      <c r="W81" s="203">
        <f>W$79*'BTX recycling rates'!Y43</f>
        <v>5568.2125181362662</v>
      </c>
      <c r="X81" s="203">
        <f>X$79*'BTX recycling rates'!Z43</f>
        <v>5176.1187192192765</v>
      </c>
      <c r="Y81" s="203">
        <f>Y$79*'BTX recycling rates'!AA43</f>
        <v>4787.2268128574706</v>
      </c>
      <c r="Z81" s="203">
        <f>Z$79*'BTX recycling rates'!AB43</f>
        <v>4403.7022061182261</v>
      </c>
      <c r="AA81" s="203">
        <f>AA$79*'BTX recycling rates'!AC43</f>
        <v>4027.5712211370906</v>
      </c>
      <c r="AB81" s="203">
        <f>AB$79*'BTX recycling rates'!AD43</f>
        <v>3660.7190549500638</v>
      </c>
      <c r="AC81" s="203">
        <f>AC$79*'BTX recycling rates'!AE43</f>
        <v>3304.8877760490645</v>
      </c>
      <c r="AD81" s="203">
        <f>AD$79*'BTX recycling rates'!AF43</f>
        <v>2961.6743573524996</v>
      </c>
      <c r="AE81" s="203">
        <f>AE$79*'BTX recycling rates'!AG43</f>
        <v>2632.5287452846878</v>
      </c>
      <c r="AF81" s="203">
        <f>AF$79*'BTX recycling rates'!AH43</f>
        <v>2318.7519646597675</v>
      </c>
      <c r="AG81" s="207">
        <f>AG$79*'BTX recycling rates'!AI43</f>
        <v>2021.4942590675853</v>
      </c>
      <c r="AH81" s="217"/>
      <c r="AI81" s="124"/>
      <c r="AJ81" s="185"/>
      <c r="AL81" s="100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160</v>
      </c>
      <c r="C82" s="203">
        <f>C$79*'BTX recycling rates'!E44</f>
        <v>0</v>
      </c>
      <c r="D82" s="203">
        <f>D$79*'BTX recycling rates'!F44</f>
        <v>43.225696353474987</v>
      </c>
      <c r="E82" s="203">
        <f>E$79*'BTX recycling rates'!G44</f>
        <v>85.033586916335821</v>
      </c>
      <c r="F82" s="203">
        <f>F$79*'BTX recycling rates'!H44</f>
        <v>125.28647819100426</v>
      </c>
      <c r="G82" s="203">
        <f>G$79*'BTX recycling rates'!I44</f>
        <v>163.56092620801505</v>
      </c>
      <c r="H82" s="203">
        <f>H$79*'BTX recycling rates'!J44</f>
        <v>199.56360414812849</v>
      </c>
      <c r="I82" s="203">
        <f>I$79*'BTX recycling rates'!K44</f>
        <v>233.04544096964935</v>
      </c>
      <c r="J82" s="203">
        <f>J$79*'BTX recycling rates'!L44</f>
        <v>263.79949428719885</v>
      </c>
      <c r="K82" s="203">
        <f>K$79*'BTX recycling rates'!M44</f>
        <v>291.6588482538358</v>
      </c>
      <c r="L82" s="203">
        <f>L$79*'BTX recycling rates'!N44</f>
        <v>316.49453626142241</v>
      </c>
      <c r="M82" s="203">
        <f>M$79*'BTX recycling rates'!O44</f>
        <v>338.21348827520023</v>
      </c>
      <c r="N82" s="203">
        <f>N$79*'BTX recycling rates'!P44</f>
        <v>343.10363896092741</v>
      </c>
      <c r="O82" s="203">
        <f>O$79*'BTX recycling rates'!Q44</f>
        <v>344.34634478290627</v>
      </c>
      <c r="P82" s="203">
        <f>P$79*'BTX recycling rates'!R44</f>
        <v>342.30629027269646</v>
      </c>
      <c r="Q82" s="203">
        <f>Q$79*'BTX recycling rates'!S44</f>
        <v>337.33561296753129</v>
      </c>
      <c r="R82" s="203">
        <f>R$79*'BTX recycling rates'!T44</f>
        <v>329.77366427748194</v>
      </c>
      <c r="S82" s="203">
        <f>S$79*'BTX recycling rates'!U44</f>
        <v>319.94677436006987</v>
      </c>
      <c r="T82" s="203">
        <f>T$79*'BTX recycling rates'!V44</f>
        <v>308.16802096929581</v>
      </c>
      <c r="U82" s="203">
        <f>U$79*'BTX recycling rates'!W44</f>
        <v>294.73700224625918</v>
      </c>
      <c r="V82" s="203">
        <f>V$79*'BTX recycling rates'!X44</f>
        <v>279.93961341873808</v>
      </c>
      <c r="W82" s="203">
        <f>W$79*'BTX recycling rates'!Y44</f>
        <v>264.04782737729795</v>
      </c>
      <c r="X82" s="203">
        <f>X$79*'BTX recycling rates'!Z44</f>
        <v>249.98624008357984</v>
      </c>
      <c r="Y82" s="203">
        <f>Y$79*'BTX recycling rates'!AA44</f>
        <v>235.15110174344358</v>
      </c>
      <c r="Z82" s="203">
        <f>Z$79*'BTX recycling rates'!AB44</f>
        <v>219.73705425573505</v>
      </c>
      <c r="AA82" s="203">
        <f>AA$79*'BTX recycling rates'!AC44</f>
        <v>203.92851895585227</v>
      </c>
      <c r="AB82" s="203">
        <f>AB$79*'BTX recycling rates'!AD44</f>
        <v>187.89953436710385</v>
      </c>
      <c r="AC82" s="203">
        <f>AC$79*'BTX recycling rates'!AE44</f>
        <v>171.81359680665244</v>
      </c>
      <c r="AD82" s="203">
        <f>AD$79*'BTX recycling rates'!AF44</f>
        <v>155.82350382222603</v>
      </c>
      <c r="AE82" s="203">
        <f>AE$79*'BTX recycling rates'!AG44</f>
        <v>140.07120043592226</v>
      </c>
      <c r="AF82" s="203">
        <f>AF$79*'BTX recycling rates'!AH44</f>
        <v>124.687628171575</v>
      </c>
      <c r="AG82" s="207">
        <f>AG$79*'BTX recycling rates'!AI44</f>
        <v>109.79257684229752</v>
      </c>
      <c r="AH82" s="217"/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1040</v>
      </c>
      <c r="C83" s="203">
        <f>C$79*'BTX recycling rates'!E45</f>
        <v>0</v>
      </c>
      <c r="D83" s="203">
        <f>D$79*'BTX recycling rates'!F45</f>
        <v>89.600450013201893</v>
      </c>
      <c r="E83" s="203">
        <f>E$79*'BTX recycling rates'!G45</f>
        <v>176.26199915060241</v>
      </c>
      <c r="F83" s="203">
        <f>F$79*'BTX recycling rates'!H45</f>
        <v>259.70026566340636</v>
      </c>
      <c r="G83" s="203">
        <f>G$79*'BTX recycling rates'!I45</f>
        <v>339.03751307955753</v>
      </c>
      <c r="H83" s="203">
        <f>H$79*'BTX recycling rates'!J45</f>
        <v>413.66571845849086</v>
      </c>
      <c r="I83" s="203">
        <f>I$79*'BTX recycling rates'!K45</f>
        <v>483.06859451500787</v>
      </c>
      <c r="J83" s="203">
        <f>J$79*'BTX recycling rates'!L45</f>
        <v>546.81718041282454</v>
      </c>
      <c r="K83" s="203">
        <f>K$79*'BTX recycling rates'!M45</f>
        <v>604.56548438634934</v>
      </c>
      <c r="L83" s="203">
        <f>L$79*'BTX recycling rates'!N45</f>
        <v>656.04617780699664</v>
      </c>
      <c r="M83" s="203">
        <f>M$79*'BTX recycling rates'!O45</f>
        <v>701.06634031256124</v>
      </c>
      <c r="N83" s="203">
        <f>N$79*'BTX recycling rates'!P45</f>
        <v>711.20289655194495</v>
      </c>
      <c r="O83" s="203">
        <f>O$79*'BTX recycling rates'!Q45</f>
        <v>713.77884119313251</v>
      </c>
      <c r="P83" s="203">
        <f>P$79*'BTX recycling rates'!R45</f>
        <v>709.55011111851411</v>
      </c>
      <c r="Q83" s="203">
        <f>Q$79*'BTX recycling rates'!S45</f>
        <v>699.2466351543286</v>
      </c>
      <c r="R83" s="203">
        <f>R$79*'BTX recycling rates'!T45</f>
        <v>683.5718383838032</v>
      </c>
      <c r="S83" s="203">
        <f>S$79*'BTX recycling rates'!U45</f>
        <v>663.20215476713815</v>
      </c>
      <c r="T83" s="203">
        <f>T$79*'BTX recycling rates'!V45</f>
        <v>638.78654799986771</v>
      </c>
      <c r="U83" s="203">
        <f>U$79*'BTX recycling rates'!W45</f>
        <v>610.94604054155172</v>
      </c>
      <c r="V83" s="203">
        <f>V$79*'BTX recycling rates'!X45</f>
        <v>580.27325074716293</v>
      </c>
      <c r="W83" s="203">
        <f>W$79*'BTX recycling rates'!Y45</f>
        <v>547.33193803394192</v>
      </c>
      <c r="X83" s="203">
        <f>X$79*'BTX recycling rates'!Z45</f>
        <v>518.18435556091185</v>
      </c>
      <c r="Y83" s="203">
        <f>Y$79*'BTX recycling rates'!AA45</f>
        <v>487.43331663224797</v>
      </c>
      <c r="Z83" s="203">
        <f>Z$79*'BTX recycling rates'!AB45</f>
        <v>455.48228500213469</v>
      </c>
      <c r="AA83" s="203">
        <f>AA$79*'BTX recycling rates'!AC45</f>
        <v>422.71353871436753</v>
      </c>
      <c r="AB83" s="203">
        <f>AB$79*'BTX recycling rates'!AD45</f>
        <v>389.48783378501071</v>
      </c>
      <c r="AC83" s="203">
        <f>AC$79*'BTX recycling rates'!AE45</f>
        <v>356.14407380218631</v>
      </c>
      <c r="AD83" s="203">
        <f>AD$79*'BTX recycling rates'!AF45</f>
        <v>322.99898539362516</v>
      </c>
      <c r="AE83" s="203">
        <f>AE$79*'BTX recycling rates'!AG45</f>
        <v>290.34679951290337</v>
      </c>
      <c r="AF83" s="203">
        <f>AF$79*'BTX recycling rates'!AH45</f>
        <v>258.45893849559172</v>
      </c>
      <c r="AG83" s="207">
        <f>AG$79*'BTX recycling rates'!AI45</f>
        <v>227.58370883683995</v>
      </c>
      <c r="AH83" s="217"/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1045</v>
      </c>
      <c r="B84" s="60"/>
      <c r="C84" s="250">
        <f>C79-$C79</f>
        <v>0</v>
      </c>
      <c r="D84" s="250">
        <f t="shared" ref="D84:AG84" si="38">D79-$C79</f>
        <v>-412.99926487022458</v>
      </c>
      <c r="E84" s="250">
        <f t="shared" si="38"/>
        <v>-1145.93276590405</v>
      </c>
      <c r="F84" s="250">
        <f t="shared" si="38"/>
        <v>-1926.1476417518061</v>
      </c>
      <c r="G84" s="250">
        <f t="shared" si="38"/>
        <v>-2827.6323617516973</v>
      </c>
      <c r="H84" s="250">
        <f t="shared" si="38"/>
        <v>-3838.2790395880365</v>
      </c>
      <c r="I84" s="250">
        <f t="shared" si="38"/>
        <v>-4946.4257175993189</v>
      </c>
      <c r="J84" s="250">
        <f t="shared" si="38"/>
        <v>-6140.8520216009128</v>
      </c>
      <c r="K84" s="250">
        <f t="shared" si="38"/>
        <v>-7410.7748432256849</v>
      </c>
      <c r="L84" s="250">
        <f t="shared" si="38"/>
        <v>-8745.8440496440817</v>
      </c>
      <c r="M84" s="250">
        <f t="shared" si="38"/>
        <v>-10136.138220525369</v>
      </c>
      <c r="N84" s="250">
        <f t="shared" si="38"/>
        <v>-12855.40337383376</v>
      </c>
      <c r="O84" s="250">
        <f t="shared" si="38"/>
        <v>-15435.714923084124</v>
      </c>
      <c r="P84" s="250">
        <f t="shared" si="38"/>
        <v>-17880.135490858298</v>
      </c>
      <c r="Q84" s="250">
        <f t="shared" si="38"/>
        <v>-20191.779258725583</v>
      </c>
      <c r="R84" s="250">
        <f t="shared" si="38"/>
        <v>-22373.81126351584</v>
      </c>
      <c r="S84" s="250">
        <f t="shared" si="38"/>
        <v>-24429.446698534259</v>
      </c>
      <c r="T84" s="250">
        <f t="shared" si="38"/>
        <v>-26361.950219691964</v>
      </c>
      <c r="U84" s="250">
        <f t="shared" si="38"/>
        <v>-28174.63525652622</v>
      </c>
      <c r="V84" s="250">
        <f t="shared" si="38"/>
        <v>-29870.863328084353</v>
      </c>
      <c r="W84" s="250">
        <f t="shared" si="38"/>
        <v>-31454.043363645695</v>
      </c>
      <c r="X84" s="250">
        <f t="shared" si="38"/>
        <v>-32796.337711014035</v>
      </c>
      <c r="Y84" s="250">
        <f t="shared" si="38"/>
        <v>-34052.958622931292</v>
      </c>
      <c r="Z84" s="250">
        <f t="shared" si="38"/>
        <v>-35226.3313331924</v>
      </c>
      <c r="AA84" s="250">
        <f t="shared" si="38"/>
        <v>-36318.917162593672</v>
      </c>
      <c r="AB84" s="250">
        <f t="shared" si="38"/>
        <v>-37333.213011476342</v>
      </c>
      <c r="AC84" s="250">
        <f t="shared" si="38"/>
        <v>-38271.75085586193</v>
      </c>
      <c r="AD84" s="250">
        <f t="shared" si="38"/>
        <v>-39137.097247160338</v>
      </c>
      <c r="AE84" s="250">
        <f t="shared" si="38"/>
        <v>-39931.852815431499</v>
      </c>
      <c r="AF84" s="250">
        <f t="shared" si="38"/>
        <v>-40658.651776181956</v>
      </c>
      <c r="AG84" s="250">
        <f t="shared" si="38"/>
        <v>-41320.161440677351</v>
      </c>
      <c r="AH84" s="217"/>
      <c r="AI84" s="368"/>
      <c r="AJ84" s="369"/>
      <c r="AL84" s="194"/>
      <c r="AM84" s="116"/>
      <c r="AN84" s="116"/>
      <c r="AO84" s="116"/>
      <c r="BD84" s="116"/>
      <c r="BE84" s="116"/>
      <c r="BF84" s="116"/>
      <c r="BG84" s="116"/>
      <c r="BH84" s="116"/>
      <c r="BI84" s="116"/>
      <c r="BJ84" s="116"/>
      <c r="BK84" s="116"/>
    </row>
    <row r="85" spans="1:63" outlineLevel="1">
      <c r="A85" s="4" t="s">
        <v>35</v>
      </c>
      <c r="C85" s="203">
        <f>C80-$C80</f>
        <v>0</v>
      </c>
      <c r="D85" s="203">
        <f t="shared" ref="D85:AG85" si="39">D80-$C80</f>
        <v>-1046.2183883231846</v>
      </c>
      <c r="E85" s="203">
        <f t="shared" si="39"/>
        <v>-2339.8141422975095</v>
      </c>
      <c r="F85" s="203">
        <f t="shared" si="39"/>
        <v>-3648.2621801990244</v>
      </c>
      <c r="G85" s="203">
        <f t="shared" si="39"/>
        <v>-5027.229701549848</v>
      </c>
      <c r="H85" s="203">
        <f t="shared" si="39"/>
        <v>-6461.7568841999309</v>
      </c>
      <c r="I85" s="203">
        <f t="shared" si="39"/>
        <v>-7937.9745582484065</v>
      </c>
      <c r="J85" s="203">
        <f t="shared" si="39"/>
        <v>-9443.0662190466319</v>
      </c>
      <c r="K85" s="203">
        <f t="shared" si="39"/>
        <v>-10965.230466821886</v>
      </c>
      <c r="L85" s="203">
        <f t="shared" si="39"/>
        <v>-12493.643869818519</v>
      </c>
      <c r="M85" s="203">
        <f t="shared" si="39"/>
        <v>-14018.42424787068</v>
      </c>
      <c r="N85" s="203">
        <f t="shared" si="39"/>
        <v>-16394.298528857787</v>
      </c>
      <c r="O85" s="203">
        <f t="shared" si="39"/>
        <v>-18593.953943309221</v>
      </c>
      <c r="P85" s="203">
        <f t="shared" si="39"/>
        <v>-20625.860922171887</v>
      </c>
      <c r="Q85" s="203">
        <f t="shared" si="39"/>
        <v>-22498.331029447178</v>
      </c>
      <c r="R85" s="203">
        <f t="shared" si="39"/>
        <v>-24219.512509846179</v>
      </c>
      <c r="S85" s="203">
        <f t="shared" si="39"/>
        <v>-25797.38590527085</v>
      </c>
      <c r="T85" s="203">
        <f t="shared" si="39"/>
        <v>-27239.759739566412</v>
      </c>
      <c r="U85" s="203">
        <f t="shared" si="39"/>
        <v>-28554.266270993245</v>
      </c>
      <c r="V85" s="203">
        <f t="shared" si="39"/>
        <v>-29748.357311869993</v>
      </c>
      <c r="W85" s="203">
        <f t="shared" si="39"/>
        <v>-30829.300114842968</v>
      </c>
      <c r="X85" s="203">
        <f t="shared" si="39"/>
        <v>-31736.291493527569</v>
      </c>
      <c r="Y85" s="203">
        <f t="shared" si="39"/>
        <v>-32558.434321814224</v>
      </c>
      <c r="Z85" s="203">
        <f t="shared" si="39"/>
        <v>-33300.917346218266</v>
      </c>
      <c r="AA85" s="203">
        <f t="shared" si="39"/>
        <v>-33968.794909050754</v>
      </c>
      <c r="AB85" s="203">
        <f t="shared" si="39"/>
        <v>-34566.983902228283</v>
      </c>
      <c r="AC85" s="203">
        <f t="shared" si="39"/>
        <v>-35100.260770169603</v>
      </c>
      <c r="AD85" s="203">
        <f t="shared" si="39"/>
        <v>-35573.258561378447</v>
      </c>
      <c r="AE85" s="203">
        <f t="shared" si="39"/>
        <v>-35990.464028314775</v>
      </c>
      <c r="AF85" s="203">
        <f t="shared" si="39"/>
        <v>-36356.21477515866</v>
      </c>
      <c r="AG85" s="203">
        <f t="shared" si="39"/>
        <v>-36674.696453073833</v>
      </c>
      <c r="AH85" s="217"/>
      <c r="AI85" s="124"/>
      <c r="AJ85" s="185"/>
      <c r="AL85" s="100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03">
        <f t="shared" ref="C86:AG86" si="40">C81-$C81</f>
        <v>0</v>
      </c>
      <c r="D86" s="203">
        <f t="shared" si="40"/>
        <v>500.39297708627964</v>
      </c>
      <c r="E86" s="203">
        <f t="shared" si="40"/>
        <v>932.58579032651596</v>
      </c>
      <c r="F86" s="203">
        <f t="shared" si="40"/>
        <v>1337.1277945927995</v>
      </c>
      <c r="G86" s="203">
        <f t="shared" si="40"/>
        <v>1696.9989005105654</v>
      </c>
      <c r="H86" s="203">
        <f t="shared" si="40"/>
        <v>2010.2485220052604</v>
      </c>
      <c r="I86" s="203">
        <f t="shared" si="40"/>
        <v>2275.4348051644156</v>
      </c>
      <c r="J86" s="203">
        <f t="shared" si="40"/>
        <v>2491.5975227456784</v>
      </c>
      <c r="K86" s="203">
        <f t="shared" si="40"/>
        <v>2658.2312909559969</v>
      </c>
      <c r="L86" s="203">
        <f t="shared" si="40"/>
        <v>2775.2591061059975</v>
      </c>
      <c r="M86" s="203">
        <f t="shared" si="40"/>
        <v>2843.00619875753</v>
      </c>
      <c r="N86" s="203">
        <f t="shared" si="40"/>
        <v>2484.5886195111343</v>
      </c>
      <c r="O86" s="203">
        <f t="shared" si="40"/>
        <v>2100.1138342490376</v>
      </c>
      <c r="P86" s="203">
        <f t="shared" si="40"/>
        <v>1693.8690299223581</v>
      </c>
      <c r="Q86" s="203">
        <f t="shared" si="40"/>
        <v>1269.9695225997148</v>
      </c>
      <c r="R86" s="203">
        <f t="shared" si="40"/>
        <v>832.3557436690362</v>
      </c>
      <c r="S86" s="203">
        <f t="shared" si="40"/>
        <v>384.79027760936515</v>
      </c>
      <c r="T86" s="203">
        <f t="shared" si="40"/>
        <v>-69.145049094732713</v>
      </c>
      <c r="U86" s="203">
        <f t="shared" si="40"/>
        <v>-526.05202832080431</v>
      </c>
      <c r="V86" s="203">
        <f t="shared" si="40"/>
        <v>-982.71888038027828</v>
      </c>
      <c r="W86" s="203">
        <f t="shared" si="40"/>
        <v>-1436.1230142139812</v>
      </c>
      <c r="X86" s="203">
        <f t="shared" si="40"/>
        <v>-1828.2168131309709</v>
      </c>
      <c r="Y86" s="203">
        <f t="shared" si="40"/>
        <v>-2217.1087194927768</v>
      </c>
      <c r="Z86" s="203">
        <f t="shared" si="40"/>
        <v>-2600.6333262320213</v>
      </c>
      <c r="AA86" s="203">
        <f t="shared" si="40"/>
        <v>-2976.7643112131568</v>
      </c>
      <c r="AB86" s="203">
        <f t="shared" si="40"/>
        <v>-3343.6164774001836</v>
      </c>
      <c r="AC86" s="203">
        <f t="shared" si="40"/>
        <v>-3699.4477563011828</v>
      </c>
      <c r="AD86" s="203">
        <f t="shared" si="40"/>
        <v>-4042.6611749977478</v>
      </c>
      <c r="AE86" s="203">
        <f t="shared" si="40"/>
        <v>-4371.8067870655595</v>
      </c>
      <c r="AF86" s="203">
        <f t="shared" si="40"/>
        <v>-4685.5835676904799</v>
      </c>
      <c r="AG86" s="203">
        <f t="shared" si="40"/>
        <v>-4982.8412732826619</v>
      </c>
      <c r="AH86" s="217"/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03">
        <f t="shared" ref="C87:AG87" si="41">C82-$C82</f>
        <v>0</v>
      </c>
      <c r="D87" s="203">
        <f t="shared" si="41"/>
        <v>43.225696353474987</v>
      </c>
      <c r="E87" s="203">
        <f t="shared" si="41"/>
        <v>85.033586916335821</v>
      </c>
      <c r="F87" s="203">
        <f t="shared" si="41"/>
        <v>125.28647819100426</v>
      </c>
      <c r="G87" s="203">
        <f t="shared" si="41"/>
        <v>163.56092620801505</v>
      </c>
      <c r="H87" s="203">
        <f t="shared" si="41"/>
        <v>199.56360414812849</v>
      </c>
      <c r="I87" s="203">
        <f t="shared" si="41"/>
        <v>233.04544096964935</v>
      </c>
      <c r="J87" s="203">
        <f t="shared" si="41"/>
        <v>263.79949428719885</v>
      </c>
      <c r="K87" s="203">
        <f t="shared" si="41"/>
        <v>291.6588482538358</v>
      </c>
      <c r="L87" s="203">
        <f t="shared" si="41"/>
        <v>316.49453626142241</v>
      </c>
      <c r="M87" s="203">
        <f t="shared" si="41"/>
        <v>338.21348827520023</v>
      </c>
      <c r="N87" s="203">
        <f t="shared" si="41"/>
        <v>343.10363896092741</v>
      </c>
      <c r="O87" s="203">
        <f t="shared" si="41"/>
        <v>344.34634478290627</v>
      </c>
      <c r="P87" s="203">
        <f t="shared" si="41"/>
        <v>342.30629027269646</v>
      </c>
      <c r="Q87" s="203">
        <f t="shared" si="41"/>
        <v>337.33561296753129</v>
      </c>
      <c r="R87" s="203">
        <f t="shared" si="41"/>
        <v>329.77366427748194</v>
      </c>
      <c r="S87" s="203">
        <f t="shared" si="41"/>
        <v>319.94677436006987</v>
      </c>
      <c r="T87" s="203">
        <f t="shared" si="41"/>
        <v>308.16802096929581</v>
      </c>
      <c r="U87" s="203">
        <f t="shared" si="41"/>
        <v>294.73700224625918</v>
      </c>
      <c r="V87" s="203">
        <f t="shared" si="41"/>
        <v>279.93961341873808</v>
      </c>
      <c r="W87" s="203">
        <f t="shared" si="41"/>
        <v>264.04782737729795</v>
      </c>
      <c r="X87" s="203">
        <f t="shared" si="41"/>
        <v>249.98624008357984</v>
      </c>
      <c r="Y87" s="203">
        <f t="shared" si="41"/>
        <v>235.15110174344358</v>
      </c>
      <c r="Z87" s="203">
        <f t="shared" si="41"/>
        <v>219.73705425573505</v>
      </c>
      <c r="AA87" s="203">
        <f t="shared" si="41"/>
        <v>203.92851895585227</v>
      </c>
      <c r="AB87" s="203">
        <f t="shared" si="41"/>
        <v>187.89953436710385</v>
      </c>
      <c r="AC87" s="203">
        <f t="shared" si="41"/>
        <v>171.81359680665244</v>
      </c>
      <c r="AD87" s="203">
        <f t="shared" si="41"/>
        <v>155.82350382222603</v>
      </c>
      <c r="AE87" s="203">
        <f t="shared" si="41"/>
        <v>140.07120043592226</v>
      </c>
      <c r="AF87" s="203">
        <f t="shared" si="41"/>
        <v>124.687628171575</v>
      </c>
      <c r="AG87" s="203">
        <f t="shared" si="41"/>
        <v>109.79257684229752</v>
      </c>
      <c r="AH87" s="217"/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1040</v>
      </c>
      <c r="C88" s="203">
        <f t="shared" ref="C88:AG88" si="42">C83-$C83</f>
        <v>0</v>
      </c>
      <c r="D88" s="203">
        <f t="shared" si="42"/>
        <v>89.600450013201893</v>
      </c>
      <c r="E88" s="203">
        <f t="shared" si="42"/>
        <v>176.26199915060241</v>
      </c>
      <c r="F88" s="203">
        <f t="shared" si="42"/>
        <v>259.70026566340636</v>
      </c>
      <c r="G88" s="203">
        <f t="shared" si="42"/>
        <v>339.03751307955753</v>
      </c>
      <c r="H88" s="203">
        <f t="shared" si="42"/>
        <v>413.66571845849086</v>
      </c>
      <c r="I88" s="203">
        <f t="shared" si="42"/>
        <v>483.06859451500787</v>
      </c>
      <c r="J88" s="203">
        <f t="shared" si="42"/>
        <v>546.81718041282454</v>
      </c>
      <c r="K88" s="203">
        <f t="shared" si="42"/>
        <v>604.56548438634934</v>
      </c>
      <c r="L88" s="203">
        <f t="shared" si="42"/>
        <v>656.04617780699664</v>
      </c>
      <c r="M88" s="203">
        <f t="shared" si="42"/>
        <v>701.06634031256124</v>
      </c>
      <c r="N88" s="203">
        <f t="shared" si="42"/>
        <v>711.20289655194495</v>
      </c>
      <c r="O88" s="203">
        <f t="shared" si="42"/>
        <v>713.77884119313251</v>
      </c>
      <c r="P88" s="203">
        <f t="shared" si="42"/>
        <v>709.55011111851411</v>
      </c>
      <c r="Q88" s="203">
        <f t="shared" si="42"/>
        <v>699.2466351543286</v>
      </c>
      <c r="R88" s="203">
        <f t="shared" si="42"/>
        <v>683.5718383838032</v>
      </c>
      <c r="S88" s="203">
        <f t="shared" si="42"/>
        <v>663.20215476713815</v>
      </c>
      <c r="T88" s="203">
        <f t="shared" si="42"/>
        <v>638.78654799986771</v>
      </c>
      <c r="U88" s="203">
        <f t="shared" si="42"/>
        <v>610.94604054155172</v>
      </c>
      <c r="V88" s="203">
        <f t="shared" si="42"/>
        <v>580.27325074716293</v>
      </c>
      <c r="W88" s="203">
        <f t="shared" si="42"/>
        <v>547.33193803394192</v>
      </c>
      <c r="X88" s="203">
        <f t="shared" si="42"/>
        <v>518.18435556091185</v>
      </c>
      <c r="Y88" s="203">
        <f t="shared" si="42"/>
        <v>487.43331663224797</v>
      </c>
      <c r="Z88" s="203">
        <f t="shared" si="42"/>
        <v>455.48228500213469</v>
      </c>
      <c r="AA88" s="203">
        <f t="shared" si="42"/>
        <v>422.71353871436753</v>
      </c>
      <c r="AB88" s="203">
        <f t="shared" si="42"/>
        <v>389.48783378501071</v>
      </c>
      <c r="AC88" s="203">
        <f t="shared" si="42"/>
        <v>356.14407380218631</v>
      </c>
      <c r="AD88" s="203">
        <f t="shared" si="42"/>
        <v>322.99898539362516</v>
      </c>
      <c r="AE88" s="203">
        <f t="shared" si="42"/>
        <v>290.34679951290337</v>
      </c>
      <c r="AF88" s="203">
        <f t="shared" si="42"/>
        <v>258.45893849559172</v>
      </c>
      <c r="AG88" s="203">
        <f t="shared" si="42"/>
        <v>227.58370883683995</v>
      </c>
      <c r="AH88" s="217"/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1050</v>
      </c>
      <c r="B89" s="60"/>
      <c r="C89" s="250">
        <f>C47*C66</f>
        <v>6.0793582425889012E-3</v>
      </c>
      <c r="D89" s="250">
        <f t="shared" ref="D89:AG89" si="43">D47*D66</f>
        <v>6.7266582561807415E-3</v>
      </c>
      <c r="E89" s="250">
        <f t="shared" si="43"/>
        <v>7.3806858575652511E-3</v>
      </c>
      <c r="F89" s="250">
        <f t="shared" si="43"/>
        <v>8.037899586617242E-3</v>
      </c>
      <c r="G89" s="250">
        <f t="shared" si="43"/>
        <v>8.6947579832115287E-3</v>
      </c>
      <c r="H89" s="250">
        <f t="shared" si="43"/>
        <v>9.3477195872229239E-3</v>
      </c>
      <c r="I89" s="250">
        <f t="shared" si="43"/>
        <v>9.993242938526237E-3</v>
      </c>
      <c r="J89" s="250">
        <f t="shared" si="43"/>
        <v>1.0627786576996289E-2</v>
      </c>
      <c r="K89" s="250">
        <f t="shared" si="43"/>
        <v>1.1247809042507891E-2</v>
      </c>
      <c r="L89" s="250">
        <f t="shared" si="43"/>
        <v>1.1849768874935851E-2</v>
      </c>
      <c r="M89" s="250">
        <f t="shared" si="43"/>
        <v>1.2430124614154988E-2</v>
      </c>
      <c r="N89" s="250">
        <f t="shared" si="43"/>
        <v>1.2811004229445614E-2</v>
      </c>
      <c r="O89" s="250">
        <f t="shared" si="43"/>
        <v>1.3146555240853296E-2</v>
      </c>
      <c r="P89" s="250">
        <f t="shared" si="43"/>
        <v>1.3436132217270216E-2</v>
      </c>
      <c r="Q89" s="250">
        <f t="shared" si="43"/>
        <v>1.3679089727588566E-2</v>
      </c>
      <c r="R89" s="250">
        <f t="shared" si="43"/>
        <v>1.3874782340700527E-2</v>
      </c>
      <c r="S89" s="250">
        <f t="shared" si="43"/>
        <v>1.4022564625498279E-2</v>
      </c>
      <c r="T89" s="250">
        <f t="shared" si="43"/>
        <v>1.4121791150874016E-2</v>
      </c>
      <c r="U89" s="250">
        <f t="shared" si="43"/>
        <v>1.4171816485719912E-2</v>
      </c>
      <c r="V89" s="250">
        <f t="shared" si="43"/>
        <v>1.4171995198928162E-2</v>
      </c>
      <c r="W89" s="250">
        <f t="shared" si="43"/>
        <v>1.4121681859390946E-2</v>
      </c>
      <c r="X89" s="250">
        <f t="shared" si="43"/>
        <v>1.4327048095844877E-2</v>
      </c>
      <c r="Y89" s="250">
        <f t="shared" si="43"/>
        <v>1.4453027703898971E-2</v>
      </c>
      <c r="Z89" s="250">
        <f t="shared" si="43"/>
        <v>1.4498541522740964E-2</v>
      </c>
      <c r="AA89" s="250">
        <f t="shared" si="43"/>
        <v>1.4462510391558573E-2</v>
      </c>
      <c r="AB89" s="250">
        <f t="shared" si="43"/>
        <v>1.4343855149539547E-2</v>
      </c>
      <c r="AC89" s="250">
        <f t="shared" si="43"/>
        <v>1.4141496635871616E-2</v>
      </c>
      <c r="AD89" s="250">
        <f t="shared" si="43"/>
        <v>1.3854355689742507E-2</v>
      </c>
      <c r="AE89" s="250">
        <f t="shared" si="43"/>
        <v>1.3481353150339957E-2</v>
      </c>
      <c r="AF89" s="250">
        <f t="shared" si="43"/>
        <v>1.3021409856851695E-2</v>
      </c>
      <c r="AG89" s="250">
        <f t="shared" si="43"/>
        <v>1.2473446648465437E-2</v>
      </c>
      <c r="AH89" s="217"/>
      <c r="AI89" s="368"/>
      <c r="AJ89" s="369"/>
      <c r="AL89" s="194"/>
      <c r="AM89" s="116"/>
      <c r="AN89" s="116"/>
      <c r="AO89" s="116"/>
      <c r="BD89" s="116"/>
      <c r="BE89" s="116"/>
      <c r="BF89" s="116"/>
      <c r="BG89" s="116"/>
      <c r="BH89" s="116"/>
      <c r="BI89" s="116"/>
      <c r="BJ89" s="116"/>
      <c r="BK89" s="116"/>
    </row>
    <row r="90" spans="1:63" outlineLevel="1">
      <c r="A90" s="4" t="s">
        <v>35</v>
      </c>
      <c r="C90" s="203">
        <f>C$89*'BTX recycling rates'!E46</f>
        <v>5.1352758982499925E-3</v>
      </c>
      <c r="D90" s="203">
        <f>D$89*'BTX recycling rates'!F46</f>
        <v>5.4926528676736948E-3</v>
      </c>
      <c r="E90" s="203">
        <f>E$89*'BTX recycling rates'!G46</f>
        <v>5.8188819014857512E-3</v>
      </c>
      <c r="F90" s="203">
        <f>F$89*'BTX recycling rates'!H46</f>
        <v>6.1107023694524339E-3</v>
      </c>
      <c r="G90" s="203">
        <f>G$89*'BTX recycling rates'!I46</f>
        <v>6.3652525074505461E-3</v>
      </c>
      <c r="H90" s="203">
        <f>H$89*'BTX recycling rates'!J46</f>
        <v>6.5800694174674174E-3</v>
      </c>
      <c r="I90" s="203">
        <f>I$89*'BTX recycling rates'!K46</f>
        <v>6.7530890676009044E-3</v>
      </c>
      <c r="J90" s="203">
        <f>J$89*'BTX recycling rates'!L46</f>
        <v>6.8826462920594002E-3</v>
      </c>
      <c r="K90" s="203">
        <f>K$89*'BTX recycling rates'!M46</f>
        <v>6.967474791161817E-3</v>
      </c>
      <c r="L90" s="203">
        <f>L$89*'BTX recycling rates'!N46</f>
        <v>7.0067071313376006E-3</v>
      </c>
      <c r="M90" s="203">
        <f>M$89*'BTX recycling rates'!O46</f>
        <v>6.999874745126723E-3</v>
      </c>
      <c r="N90" s="203">
        <f>N$89*'BTX recycling rates'!P46</f>
        <v>6.8536443810164483E-3</v>
      </c>
      <c r="O90" s="203">
        <f>O$89*'BTX recycling rates'!Q46</f>
        <v>6.6629916099120627E-3</v>
      </c>
      <c r="P90" s="203">
        <f>P$89*'BTX recycling rates'!R46</f>
        <v>6.4314364235607407E-3</v>
      </c>
      <c r="Q90" s="203">
        <f>Q$89*'BTX recycling rates'!S46</f>
        <v>6.1625715070583054E-3</v>
      </c>
      <c r="R90" s="203">
        <f>R$89*'BTX recycling rates'!T46</f>
        <v>5.8600622388492191E-3</v>
      </c>
      <c r="S90" s="203">
        <f>S$89*'BTX recycling rates'!U46</f>
        <v>5.5276466907265859E-3</v>
      </c>
      <c r="T90" s="203">
        <f>T$89*'BTX recycling rates'!V46</f>
        <v>5.1691356278321622E-3</v>
      </c>
      <c r="U90" s="203">
        <f>U$89*'BTX recycling rates'!W46</f>
        <v>4.7884125086563381E-3</v>
      </c>
      <c r="V90" s="203">
        <f>V$89*'BTX recycling rates'!X46</f>
        <v>4.3894334850381553E-3</v>
      </c>
      <c r="W90" s="203">
        <f>W$89*'BTX recycling rates'!Y46</f>
        <v>3.9762274021652956E-3</v>
      </c>
      <c r="X90" s="203">
        <f>X$89*'BTX recycling rates'!Z46</f>
        <v>3.6306469454740939E-3</v>
      </c>
      <c r="Y90" s="203">
        <f>Y$89*'BTX recycling rates'!AA46</f>
        <v>3.2556192879975156E-3</v>
      </c>
      <c r="Z90" s="203">
        <f>Z$89*'BTX recycling rates'!AB46</f>
        <v>2.8576375723315017E-3</v>
      </c>
      <c r="AA90" s="203">
        <f>AA$89*'BTX recycling rates'!AC46</f>
        <v>2.4433164843509227E-3</v>
      </c>
      <c r="AB90" s="203">
        <f>AB$89*'BTX recycling rates'!AD46</f>
        <v>2.0193922532095862E-3</v>
      </c>
      <c r="AC90" s="203">
        <f>AC$89*'BTX recycling rates'!AE46</f>
        <v>1.5927226513402298E-3</v>
      </c>
      <c r="AD90" s="203">
        <f>AD$89*'BTX recycling rates'!AF46</f>
        <v>1.1702869944545228E-3</v>
      </c>
      <c r="AE90" s="203">
        <f>AE$89*'BTX recycling rates'!AG46</f>
        <v>7.5918614154306906E-4</v>
      </c>
      <c r="AF90" s="203">
        <f>AF$89*'BTX recycling rates'!AH46</f>
        <v>3.6664249487540344E-4</v>
      </c>
      <c r="AG90" s="203">
        <f>AG$89*'BTX recycling rates'!AI46</f>
        <v>0</v>
      </c>
      <c r="AH90" s="217"/>
      <c r="AI90" s="124"/>
      <c r="AJ90" s="185"/>
      <c r="AL90" s="100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74</v>
      </c>
      <c r="C91" s="203">
        <f>C$89*'BTX recycling rates'!E47</f>
        <v>9.4408234433890944E-4</v>
      </c>
      <c r="D91" s="203">
        <f>D$89*'BTX recycling rates'!F47</f>
        <v>1.009783446634356E-3</v>
      </c>
      <c r="E91" s="203">
        <f>E$89*'BTX recycling rates'!G47</f>
        <v>1.0697582322418168E-3</v>
      </c>
      <c r="F91" s="203">
        <f>F$89*'BTX recycling rates'!H47</f>
        <v>1.1234072585030836E-3</v>
      </c>
      <c r="G91" s="203">
        <f>G$89*'BTX recycling rates'!I47</f>
        <v>1.1702044113327782E-3</v>
      </c>
      <c r="H91" s="203">
        <f>H$89*'BTX recycling rates'!J47</f>
        <v>1.2096969052183514E-3</v>
      </c>
      <c r="I91" s="203">
        <f>I$89*'BTX recycling rates'!K47</f>
        <v>1.2415052832200836E-3</v>
      </c>
      <c r="J91" s="203">
        <f>J$89*'BTX recycling rates'!L47</f>
        <v>1.2653234169710864E-3</v>
      </c>
      <c r="K91" s="203">
        <f>K$89*'BTX recycling rates'!M47</f>
        <v>1.2809185066772995E-3</v>
      </c>
      <c r="L91" s="203">
        <f>L$89*'BTX recycling rates'!N47</f>
        <v>1.2881310811174924E-3</v>
      </c>
      <c r="M91" s="203">
        <f>M$89*'BTX recycling rates'!O47</f>
        <v>1.2868749976432644E-3</v>
      </c>
      <c r="N91" s="203">
        <f>N$89*'BTX recycling rates'!P47</f>
        <v>1.259991630965769E-3</v>
      </c>
      <c r="O91" s="203">
        <f>O$89*'BTX recycling rates'!Q47</f>
        <v>1.2249415345999097E-3</v>
      </c>
      <c r="P91" s="203">
        <f>P$89*'BTX recycling rates'!R47</f>
        <v>1.1823718328923761E-3</v>
      </c>
      <c r="Q91" s="203">
        <f>Q$89*'BTX recycling rates'!S47</f>
        <v>1.1329430143222571E-3</v>
      </c>
      <c r="R91" s="203">
        <f>R$89*'BTX recycling rates'!T47</f>
        <v>1.0773289315010386E-3</v>
      </c>
      <c r="S91" s="203">
        <f>S$89*'BTX recycling rates'!U47</f>
        <v>1.0162168011726049E-3</v>
      </c>
      <c r="T91" s="203">
        <f>T$89*'BTX recycling rates'!V47</f>
        <v>9.5030720421323926E-4</v>
      </c>
      <c r="U91" s="203">
        <f>U$89*'BTX recycling rates'!W47</f>
        <v>8.8031408563162157E-4</v>
      </c>
      <c r="V91" s="203">
        <f>V$89*'BTX recycling rates'!X47</f>
        <v>8.0696475456883197E-4</v>
      </c>
      <c r="W91" s="203">
        <f>W$89*'BTX recycling rates'!Y47</f>
        <v>7.309998842983473E-4</v>
      </c>
      <c r="X91" s="203">
        <f>X$89*'BTX recycling rates'!Z47</f>
        <v>6.6746748327936351E-4</v>
      </c>
      <c r="Y91" s="203">
        <f>Y$89*'BTX recycling rates'!AA47</f>
        <v>5.9852143304220417E-4</v>
      </c>
      <c r="Z91" s="203">
        <f>Z$89*'BTX recycling rates'!AB47</f>
        <v>5.2535544964138383E-4</v>
      </c>
      <c r="AA91" s="203">
        <f>AA$89*'BTX recycling rates'!AC47</f>
        <v>4.4918559396078627E-4</v>
      </c>
      <c r="AB91" s="203">
        <f>AB$89*'BTX recycling rates'!AD47</f>
        <v>3.7125027171366605E-4</v>
      </c>
      <c r="AC91" s="203">
        <f>AC$89*'BTX recycling rates'!AE47</f>
        <v>2.9281023344264695E-4</v>
      </c>
      <c r="AD91" s="203">
        <f>AD$89*'BTX recycling rates'!AF47</f>
        <v>2.1514857451972248E-4</v>
      </c>
      <c r="AE91" s="203">
        <f>AE$89*'BTX recycling rates'!AG47</f>
        <v>1.395707351462562E-4</v>
      </c>
      <c r="AF91" s="203">
        <f>AF$89*'BTX recycling rates'!AH47</f>
        <v>6.740450035298129E-5</v>
      </c>
      <c r="AG91" s="203">
        <f>AG$89*'BTX recycling rates'!AI47</f>
        <v>0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160</v>
      </c>
      <c r="C92" s="203">
        <f>C$89*'BTX recycling rates'!E48</f>
        <v>0</v>
      </c>
      <c r="D92" s="203">
        <f>D$89*'BTX recycling rates'!F48</f>
        <v>1.121109709363457E-4</v>
      </c>
      <c r="E92" s="203">
        <f>E$89*'BTX recycling rates'!G48</f>
        <v>2.4602286191884168E-4</v>
      </c>
      <c r="F92" s="203">
        <f>F$89*'BTX recycling rates'!H48</f>
        <v>4.0189497933086214E-4</v>
      </c>
      <c r="G92" s="203">
        <f>G$89*'BTX recycling rates'!I48</f>
        <v>5.7965053221410191E-4</v>
      </c>
      <c r="H92" s="203">
        <f>H$89*'BTX recycling rates'!J48</f>
        <v>7.7897663226857692E-4</v>
      </c>
      <c r="I92" s="203">
        <f>I$89*'BTX recycling rates'!K48</f>
        <v>9.9932429385262366E-4</v>
      </c>
      <c r="J92" s="203">
        <f>J$89*'BTX recycling rates'!L48</f>
        <v>1.2399084339829002E-3</v>
      </c>
      <c r="K92" s="203">
        <f>K$89*'BTX recycling rates'!M48</f>
        <v>1.4997078723343854E-3</v>
      </c>
      <c r="L92" s="203">
        <f>L$89*'BTX recycling rates'!N48</f>
        <v>1.7774653312403776E-3</v>
      </c>
      <c r="M92" s="203">
        <f>M$89*'BTX recycling rates'!O48</f>
        <v>2.0716874356924977E-3</v>
      </c>
      <c r="N92" s="203">
        <f>N$89*'BTX recycling rates'!P48</f>
        <v>2.3486841087316957E-3</v>
      </c>
      <c r="O92" s="203">
        <f>O$89*'BTX recycling rates'!Q48</f>
        <v>2.6293110481706589E-3</v>
      </c>
      <c r="P92" s="203">
        <f>P$89*'BTX recycling rates'!R48</f>
        <v>2.9111619804085467E-3</v>
      </c>
      <c r="Q92" s="203">
        <f>Q$89*'BTX recycling rates'!S48</f>
        <v>3.1917876031039983E-3</v>
      </c>
      <c r="R92" s="203">
        <f>R$89*'BTX recycling rates'!T48</f>
        <v>3.4686955851751314E-3</v>
      </c>
      <c r="S92" s="203">
        <f>S$89*'BTX recycling rates'!U48</f>
        <v>3.7393505667995411E-3</v>
      </c>
      <c r="T92" s="203">
        <f>T$89*'BTX recycling rates'!V48</f>
        <v>4.0011741594143044E-3</v>
      </c>
      <c r="U92" s="203">
        <f>U$89*'BTX recycling rates'!W48</f>
        <v>4.2515449457159737E-3</v>
      </c>
      <c r="V92" s="203">
        <f>V$89*'BTX recycling rates'!X48</f>
        <v>4.4877984796605841E-3</v>
      </c>
      <c r="W92" s="203">
        <f>W$89*'BTX recycling rates'!Y48</f>
        <v>4.7072272864636484E-3</v>
      </c>
      <c r="X92" s="203">
        <f>X$89*'BTX recycling rates'!Z48</f>
        <v>5.0144668335457068E-3</v>
      </c>
      <c r="Y92" s="203">
        <f>Y$89*'BTX recycling rates'!AA48</f>
        <v>5.2994434914296219E-3</v>
      </c>
      <c r="Z92" s="203">
        <f>Z$89*'BTX recycling rates'!AB48</f>
        <v>5.5577742503840353E-3</v>
      </c>
      <c r="AA92" s="203">
        <f>AA$89*'BTX recycling rates'!AC48</f>
        <v>5.7850041566234285E-3</v>
      </c>
      <c r="AB92" s="203">
        <f>AB$89*'BTX recycling rates'!AD48</f>
        <v>5.9766063123081435E-3</v>
      </c>
      <c r="AC92" s="203">
        <f>AC$89*'BTX recycling rates'!AE48</f>
        <v>6.1279818755443664E-3</v>
      </c>
      <c r="AD92" s="203">
        <f>AD$89*'BTX recycling rates'!AF48</f>
        <v>6.2344600603841272E-3</v>
      </c>
      <c r="AE92" s="203">
        <f>AE$89*'BTX recycling rates'!AG48</f>
        <v>6.2912981368253131E-3</v>
      </c>
      <c r="AF92" s="203">
        <f>AF$89*'BTX recycling rates'!AH48</f>
        <v>6.2936814308116517E-3</v>
      </c>
      <c r="AG92" s="203">
        <f>AG$89*'BTX recycling rates'!AI48</f>
        <v>6.2367233242327184E-3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1040</v>
      </c>
      <c r="C93" s="203">
        <f>C$89*'BTX recycling rates'!E49</f>
        <v>0</v>
      </c>
      <c r="D93" s="203">
        <f>D$89*'BTX recycling rates'!F49</f>
        <v>1.121109709363457E-4</v>
      </c>
      <c r="E93" s="203">
        <f>E$89*'BTX recycling rates'!G49</f>
        <v>2.4602286191884168E-4</v>
      </c>
      <c r="F93" s="203">
        <f>F$89*'BTX recycling rates'!H49</f>
        <v>4.0189497933086214E-4</v>
      </c>
      <c r="G93" s="203">
        <f>G$89*'BTX recycling rates'!I49</f>
        <v>5.7965053221410191E-4</v>
      </c>
      <c r="H93" s="203">
        <f>H$89*'BTX recycling rates'!J49</f>
        <v>7.7897663226857692E-4</v>
      </c>
      <c r="I93" s="203">
        <f>I$89*'BTX recycling rates'!K49</f>
        <v>9.9932429385262366E-4</v>
      </c>
      <c r="J93" s="203">
        <f>J$89*'BTX recycling rates'!L49</f>
        <v>1.2399084339829002E-3</v>
      </c>
      <c r="K93" s="203">
        <f>K$89*'BTX recycling rates'!M49</f>
        <v>1.4997078723343854E-3</v>
      </c>
      <c r="L93" s="203">
        <f>L$89*'BTX recycling rates'!N49</f>
        <v>1.7774653312403776E-3</v>
      </c>
      <c r="M93" s="203">
        <f>M$89*'BTX recycling rates'!O49</f>
        <v>2.0716874356924977E-3</v>
      </c>
      <c r="N93" s="203">
        <f>N$89*'BTX recycling rates'!P49</f>
        <v>2.3486841087316957E-3</v>
      </c>
      <c r="O93" s="203">
        <f>O$89*'BTX recycling rates'!Q49</f>
        <v>2.6293110481706589E-3</v>
      </c>
      <c r="P93" s="203">
        <f>P$89*'BTX recycling rates'!R49</f>
        <v>2.9111619804085467E-3</v>
      </c>
      <c r="Q93" s="203">
        <f>Q$89*'BTX recycling rates'!S49</f>
        <v>3.1917876031039983E-3</v>
      </c>
      <c r="R93" s="203">
        <f>R$89*'BTX recycling rates'!T49</f>
        <v>3.4686955851751314E-3</v>
      </c>
      <c r="S93" s="203">
        <f>S$89*'BTX recycling rates'!U49</f>
        <v>3.7393505667995411E-3</v>
      </c>
      <c r="T93" s="203">
        <f>T$89*'BTX recycling rates'!V49</f>
        <v>4.0011741594143044E-3</v>
      </c>
      <c r="U93" s="203">
        <f>U$89*'BTX recycling rates'!W49</f>
        <v>4.2515449457159737E-3</v>
      </c>
      <c r="V93" s="203">
        <f>V$89*'BTX recycling rates'!X49</f>
        <v>4.4877984796605841E-3</v>
      </c>
      <c r="W93" s="203">
        <f>W$89*'BTX recycling rates'!Y49</f>
        <v>4.7072272864636484E-3</v>
      </c>
      <c r="X93" s="203">
        <f>X$89*'BTX recycling rates'!Z49</f>
        <v>5.0144668335457068E-3</v>
      </c>
      <c r="Y93" s="203">
        <f>Y$89*'BTX recycling rates'!AA49</f>
        <v>5.2994434914296219E-3</v>
      </c>
      <c r="Z93" s="203">
        <f>Z$89*'BTX recycling rates'!AB49</f>
        <v>5.5577742503840353E-3</v>
      </c>
      <c r="AA93" s="203">
        <f>AA$89*'BTX recycling rates'!AC49</f>
        <v>5.7850041566234285E-3</v>
      </c>
      <c r="AB93" s="203">
        <f>AB$89*'BTX recycling rates'!AD49</f>
        <v>5.9766063123081435E-3</v>
      </c>
      <c r="AC93" s="203">
        <f>AC$89*'BTX recycling rates'!AE49</f>
        <v>6.1279818755443664E-3</v>
      </c>
      <c r="AD93" s="203">
        <f>AD$89*'BTX recycling rates'!AF49</f>
        <v>6.2344600603841272E-3</v>
      </c>
      <c r="AE93" s="203">
        <f>AE$89*'BTX recycling rates'!AG49</f>
        <v>6.2912981368253131E-3</v>
      </c>
      <c r="AF93" s="203">
        <f>AF$89*'BTX recycling rates'!AH49</f>
        <v>6.2936814308116517E-3</v>
      </c>
      <c r="AG93" s="203">
        <f>AG$89*'BTX recycling rates'!AI49</f>
        <v>6.2367233242327184E-3</v>
      </c>
      <c r="AH93" s="217"/>
      <c r="AI93" s="124"/>
      <c r="AJ93" s="185"/>
      <c r="AL93" s="100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s="1" customFormat="1" outlineLevel="1">
      <c r="A94" s="1" t="s">
        <v>1051</v>
      </c>
      <c r="B94" s="60"/>
      <c r="C94" s="250">
        <f>C89-$C89</f>
        <v>0</v>
      </c>
      <c r="D94" s="250">
        <f t="shared" ref="D94:AG94" si="44">D89-$C89</f>
        <v>6.4730001359184029E-4</v>
      </c>
      <c r="E94" s="250">
        <f t="shared" si="44"/>
        <v>1.3013276149763499E-3</v>
      </c>
      <c r="F94" s="250">
        <f t="shared" si="44"/>
        <v>1.9585413440283408E-3</v>
      </c>
      <c r="G94" s="250">
        <f t="shared" si="44"/>
        <v>2.6153997406226275E-3</v>
      </c>
      <c r="H94" s="250">
        <f t="shared" si="44"/>
        <v>3.2683613446340227E-3</v>
      </c>
      <c r="I94" s="250">
        <f t="shared" si="44"/>
        <v>3.9138846959373358E-3</v>
      </c>
      <c r="J94" s="250">
        <f t="shared" si="44"/>
        <v>4.5484283344073883E-3</v>
      </c>
      <c r="K94" s="250">
        <f t="shared" si="44"/>
        <v>5.1684507999189893E-3</v>
      </c>
      <c r="L94" s="250">
        <f t="shared" si="44"/>
        <v>5.7704106323469501E-3</v>
      </c>
      <c r="M94" s="250">
        <f t="shared" si="44"/>
        <v>6.3507663715660868E-3</v>
      </c>
      <c r="N94" s="250">
        <f t="shared" si="44"/>
        <v>6.7316459868567132E-3</v>
      </c>
      <c r="O94" s="250">
        <f t="shared" si="44"/>
        <v>7.0671969982643952E-3</v>
      </c>
      <c r="P94" s="250">
        <f t="shared" si="44"/>
        <v>7.3567739746813144E-3</v>
      </c>
      <c r="Q94" s="250">
        <f t="shared" si="44"/>
        <v>7.5997314849996648E-3</v>
      </c>
      <c r="R94" s="250">
        <f t="shared" si="44"/>
        <v>7.795424098111626E-3</v>
      </c>
      <c r="S94" s="250">
        <f t="shared" si="44"/>
        <v>7.9432063829093791E-3</v>
      </c>
      <c r="T94" s="250">
        <f t="shared" si="44"/>
        <v>8.0424329082851159E-3</v>
      </c>
      <c r="U94" s="250">
        <f t="shared" si="44"/>
        <v>8.0924582431310121E-3</v>
      </c>
      <c r="V94" s="250">
        <f t="shared" si="44"/>
        <v>8.0926369563392615E-3</v>
      </c>
      <c r="W94" s="250">
        <f t="shared" si="44"/>
        <v>8.042323616802044E-3</v>
      </c>
      <c r="X94" s="250">
        <f t="shared" si="44"/>
        <v>8.2476898532559753E-3</v>
      </c>
      <c r="Y94" s="250">
        <f t="shared" si="44"/>
        <v>8.3736694613100703E-3</v>
      </c>
      <c r="Z94" s="250">
        <f t="shared" si="44"/>
        <v>8.4191832801520615E-3</v>
      </c>
      <c r="AA94" s="250">
        <f t="shared" si="44"/>
        <v>8.3831521489696713E-3</v>
      </c>
      <c r="AB94" s="250">
        <f t="shared" si="44"/>
        <v>8.2644969069506462E-3</v>
      </c>
      <c r="AC94" s="250">
        <f t="shared" si="44"/>
        <v>8.0621383932827154E-3</v>
      </c>
      <c r="AD94" s="250">
        <f t="shared" si="44"/>
        <v>7.7749974471536054E-3</v>
      </c>
      <c r="AE94" s="250">
        <f t="shared" si="44"/>
        <v>7.401994907751056E-3</v>
      </c>
      <c r="AF94" s="250">
        <f t="shared" si="44"/>
        <v>6.9420516142627937E-3</v>
      </c>
      <c r="AG94" s="250">
        <f t="shared" si="44"/>
        <v>6.3940884058765355E-3</v>
      </c>
      <c r="AH94" s="217"/>
      <c r="AI94" s="368"/>
      <c r="AJ94" s="369"/>
      <c r="AL94" s="194"/>
      <c r="AM94" s="116"/>
      <c r="AN94" s="116"/>
      <c r="AO94" s="116"/>
      <c r="BD94" s="116"/>
      <c r="BE94" s="116"/>
      <c r="BF94" s="116"/>
      <c r="BG94" s="116"/>
      <c r="BH94" s="116"/>
      <c r="BI94" s="116"/>
      <c r="BJ94" s="116"/>
      <c r="BK94" s="116"/>
    </row>
    <row r="95" spans="1:63" outlineLevel="1">
      <c r="A95" s="4" t="s">
        <v>35</v>
      </c>
      <c r="C95" s="203">
        <f>C90-$C90</f>
        <v>0</v>
      </c>
      <c r="D95" s="203">
        <f t="shared" ref="D95:AG95" si="45">D90-$C90</f>
        <v>3.573769694237023E-4</v>
      </c>
      <c r="E95" s="203">
        <f t="shared" si="45"/>
        <v>6.8360600323575868E-4</v>
      </c>
      <c r="F95" s="203">
        <f t="shared" si="45"/>
        <v>9.7542647120244137E-4</v>
      </c>
      <c r="G95" s="203">
        <f t="shared" si="45"/>
        <v>1.2299766092005535E-3</v>
      </c>
      <c r="H95" s="203">
        <f t="shared" si="45"/>
        <v>1.4447935192174249E-3</v>
      </c>
      <c r="I95" s="203">
        <f t="shared" si="45"/>
        <v>1.6178131693509118E-3</v>
      </c>
      <c r="J95" s="203">
        <f t="shared" si="45"/>
        <v>1.7473703938094077E-3</v>
      </c>
      <c r="K95" s="203">
        <f t="shared" si="45"/>
        <v>1.8321988929118245E-3</v>
      </c>
      <c r="L95" s="203">
        <f t="shared" si="45"/>
        <v>1.871431233087608E-3</v>
      </c>
      <c r="M95" s="203">
        <f t="shared" si="45"/>
        <v>1.8645988468767305E-3</v>
      </c>
      <c r="N95" s="203">
        <f t="shared" si="45"/>
        <v>1.7183684827664558E-3</v>
      </c>
      <c r="O95" s="203">
        <f t="shared" si="45"/>
        <v>1.5277157116620702E-3</v>
      </c>
      <c r="P95" s="203">
        <f t="shared" si="45"/>
        <v>1.2961605253107482E-3</v>
      </c>
      <c r="Q95" s="203">
        <f t="shared" si="45"/>
        <v>1.0272956088083129E-3</v>
      </c>
      <c r="R95" s="203">
        <f t="shared" si="45"/>
        <v>7.2478634059922661E-4</v>
      </c>
      <c r="S95" s="203">
        <f t="shared" si="45"/>
        <v>3.9237079247659342E-4</v>
      </c>
      <c r="T95" s="203">
        <f t="shared" si="45"/>
        <v>3.3859729582169651E-5</v>
      </c>
      <c r="U95" s="203">
        <f t="shared" si="45"/>
        <v>-3.4686338959365442E-4</v>
      </c>
      <c r="V95" s="203">
        <f t="shared" si="45"/>
        <v>-7.4584241321183718E-4</v>
      </c>
      <c r="W95" s="203">
        <f t="shared" si="45"/>
        <v>-1.159048496084697E-3</v>
      </c>
      <c r="X95" s="203">
        <f t="shared" si="45"/>
        <v>-1.5046289527758986E-3</v>
      </c>
      <c r="Y95" s="203">
        <f t="shared" si="45"/>
        <v>-1.879656610252477E-3</v>
      </c>
      <c r="Z95" s="203">
        <f t="shared" si="45"/>
        <v>-2.2776383259184908E-3</v>
      </c>
      <c r="AA95" s="203">
        <f t="shared" si="45"/>
        <v>-2.6919594138990698E-3</v>
      </c>
      <c r="AB95" s="203">
        <f t="shared" si="45"/>
        <v>-3.1158836450404064E-3</v>
      </c>
      <c r="AC95" s="203">
        <f t="shared" si="45"/>
        <v>-3.542553246909763E-3</v>
      </c>
      <c r="AD95" s="203">
        <f t="shared" si="45"/>
        <v>-3.9649889037954699E-3</v>
      </c>
      <c r="AE95" s="203">
        <f t="shared" si="45"/>
        <v>-4.3760897567069234E-3</v>
      </c>
      <c r="AF95" s="203">
        <f t="shared" si="45"/>
        <v>-4.7686334033745894E-3</v>
      </c>
      <c r="AG95" s="203">
        <f t="shared" si="45"/>
        <v>-5.1352758982499925E-3</v>
      </c>
      <c r="AH95" s="217"/>
      <c r="AI95" s="124"/>
      <c r="AJ95" s="185"/>
      <c r="AL95" s="100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74</v>
      </c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17"/>
      <c r="AI96" s="124"/>
      <c r="AJ96" s="185"/>
      <c r="AL96" s="100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outlineLevel="1">
      <c r="A97" s="4" t="s">
        <v>160</v>
      </c>
      <c r="C97" s="203">
        <f t="shared" ref="C97:AG97" si="46">C92-$C92</f>
        <v>0</v>
      </c>
      <c r="D97" s="203">
        <f t="shared" si="46"/>
        <v>1.121109709363457E-4</v>
      </c>
      <c r="E97" s="203">
        <f t="shared" si="46"/>
        <v>2.4602286191884168E-4</v>
      </c>
      <c r="F97" s="203">
        <f t="shared" si="46"/>
        <v>4.0189497933086214E-4</v>
      </c>
      <c r="G97" s="203">
        <f t="shared" si="46"/>
        <v>5.7965053221410191E-4</v>
      </c>
      <c r="H97" s="203">
        <f t="shared" si="46"/>
        <v>7.7897663226857692E-4</v>
      </c>
      <c r="I97" s="203">
        <f t="shared" si="46"/>
        <v>9.9932429385262366E-4</v>
      </c>
      <c r="J97" s="203">
        <f t="shared" si="46"/>
        <v>1.2399084339829002E-3</v>
      </c>
      <c r="K97" s="203">
        <f t="shared" si="46"/>
        <v>1.4997078723343854E-3</v>
      </c>
      <c r="L97" s="203">
        <f t="shared" si="46"/>
        <v>1.7774653312403776E-3</v>
      </c>
      <c r="M97" s="203">
        <f t="shared" si="46"/>
        <v>2.0716874356924977E-3</v>
      </c>
      <c r="N97" s="203">
        <f t="shared" si="46"/>
        <v>2.3486841087316957E-3</v>
      </c>
      <c r="O97" s="203">
        <f t="shared" si="46"/>
        <v>2.6293110481706589E-3</v>
      </c>
      <c r="P97" s="203">
        <f t="shared" si="46"/>
        <v>2.9111619804085467E-3</v>
      </c>
      <c r="Q97" s="203">
        <f t="shared" si="46"/>
        <v>3.1917876031039983E-3</v>
      </c>
      <c r="R97" s="203">
        <f t="shared" si="46"/>
        <v>3.4686955851751314E-3</v>
      </c>
      <c r="S97" s="203">
        <f t="shared" si="46"/>
        <v>3.7393505667995411E-3</v>
      </c>
      <c r="T97" s="203">
        <f t="shared" si="46"/>
        <v>4.0011741594143044E-3</v>
      </c>
      <c r="U97" s="203">
        <f t="shared" si="46"/>
        <v>4.2515449457159737E-3</v>
      </c>
      <c r="V97" s="203">
        <f t="shared" si="46"/>
        <v>4.4877984796605841E-3</v>
      </c>
      <c r="W97" s="203">
        <f t="shared" si="46"/>
        <v>4.7072272864636484E-3</v>
      </c>
      <c r="X97" s="203">
        <f t="shared" si="46"/>
        <v>5.0144668335457068E-3</v>
      </c>
      <c r="Y97" s="203">
        <f t="shared" si="46"/>
        <v>5.2994434914296219E-3</v>
      </c>
      <c r="Z97" s="203">
        <f t="shared" si="46"/>
        <v>5.5577742503840353E-3</v>
      </c>
      <c r="AA97" s="203">
        <f t="shared" si="46"/>
        <v>5.7850041566234285E-3</v>
      </c>
      <c r="AB97" s="203">
        <f t="shared" si="46"/>
        <v>5.9766063123081435E-3</v>
      </c>
      <c r="AC97" s="203">
        <f t="shared" si="46"/>
        <v>6.1279818755443664E-3</v>
      </c>
      <c r="AD97" s="203">
        <f t="shared" si="46"/>
        <v>6.2344600603841272E-3</v>
      </c>
      <c r="AE97" s="203">
        <f t="shared" si="46"/>
        <v>6.2912981368253131E-3</v>
      </c>
      <c r="AF97" s="203">
        <f t="shared" si="46"/>
        <v>6.2936814308116517E-3</v>
      </c>
      <c r="AG97" s="203">
        <f t="shared" si="46"/>
        <v>6.2367233242327184E-3</v>
      </c>
      <c r="AH97" s="217"/>
      <c r="AI97" s="124"/>
      <c r="AJ97" s="185"/>
      <c r="AL97" s="100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1040</v>
      </c>
      <c r="C98" s="203">
        <f t="shared" ref="C98:AG98" si="47">C93-$C93</f>
        <v>0</v>
      </c>
      <c r="D98" s="203">
        <f t="shared" si="47"/>
        <v>1.121109709363457E-4</v>
      </c>
      <c r="E98" s="203">
        <f t="shared" si="47"/>
        <v>2.4602286191884168E-4</v>
      </c>
      <c r="F98" s="203">
        <f t="shared" si="47"/>
        <v>4.0189497933086214E-4</v>
      </c>
      <c r="G98" s="203">
        <f t="shared" si="47"/>
        <v>5.7965053221410191E-4</v>
      </c>
      <c r="H98" s="203">
        <f t="shared" si="47"/>
        <v>7.7897663226857692E-4</v>
      </c>
      <c r="I98" s="203">
        <f t="shared" si="47"/>
        <v>9.9932429385262366E-4</v>
      </c>
      <c r="J98" s="203">
        <f t="shared" si="47"/>
        <v>1.2399084339829002E-3</v>
      </c>
      <c r="K98" s="203">
        <f t="shared" si="47"/>
        <v>1.4997078723343854E-3</v>
      </c>
      <c r="L98" s="203">
        <f t="shared" si="47"/>
        <v>1.7774653312403776E-3</v>
      </c>
      <c r="M98" s="203">
        <f t="shared" si="47"/>
        <v>2.0716874356924977E-3</v>
      </c>
      <c r="N98" s="203">
        <f t="shared" si="47"/>
        <v>2.3486841087316957E-3</v>
      </c>
      <c r="O98" s="203">
        <f t="shared" si="47"/>
        <v>2.6293110481706589E-3</v>
      </c>
      <c r="P98" s="203">
        <f t="shared" si="47"/>
        <v>2.9111619804085467E-3</v>
      </c>
      <c r="Q98" s="203">
        <f t="shared" si="47"/>
        <v>3.1917876031039983E-3</v>
      </c>
      <c r="R98" s="203">
        <f t="shared" si="47"/>
        <v>3.4686955851751314E-3</v>
      </c>
      <c r="S98" s="203">
        <f t="shared" si="47"/>
        <v>3.7393505667995411E-3</v>
      </c>
      <c r="T98" s="203">
        <f t="shared" si="47"/>
        <v>4.0011741594143044E-3</v>
      </c>
      <c r="U98" s="203">
        <f t="shared" si="47"/>
        <v>4.2515449457159737E-3</v>
      </c>
      <c r="V98" s="203">
        <f t="shared" si="47"/>
        <v>4.4877984796605841E-3</v>
      </c>
      <c r="W98" s="203">
        <f t="shared" si="47"/>
        <v>4.7072272864636484E-3</v>
      </c>
      <c r="X98" s="203">
        <f t="shared" si="47"/>
        <v>5.0144668335457068E-3</v>
      </c>
      <c r="Y98" s="203">
        <f t="shared" si="47"/>
        <v>5.2994434914296219E-3</v>
      </c>
      <c r="Z98" s="203">
        <f t="shared" si="47"/>
        <v>5.5577742503840353E-3</v>
      </c>
      <c r="AA98" s="203">
        <f t="shared" si="47"/>
        <v>5.7850041566234285E-3</v>
      </c>
      <c r="AB98" s="203">
        <f t="shared" si="47"/>
        <v>5.9766063123081435E-3</v>
      </c>
      <c r="AC98" s="203">
        <f t="shared" si="47"/>
        <v>6.1279818755443664E-3</v>
      </c>
      <c r="AD98" s="203">
        <f t="shared" si="47"/>
        <v>6.2344600603841272E-3</v>
      </c>
      <c r="AE98" s="203">
        <f t="shared" si="47"/>
        <v>6.2912981368253131E-3</v>
      </c>
      <c r="AF98" s="203">
        <f t="shared" si="47"/>
        <v>6.2936814308116517E-3</v>
      </c>
      <c r="AG98" s="203">
        <f t="shared" si="47"/>
        <v>6.2367233242327184E-3</v>
      </c>
      <c r="AH98" s="217"/>
      <c r="AI98" s="124"/>
      <c r="AJ98" s="185"/>
      <c r="AL98" s="100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s="1" customFormat="1" outlineLevel="1">
      <c r="A99" s="1" t="s">
        <v>1043</v>
      </c>
      <c r="B99" s="60"/>
      <c r="C99" s="250">
        <f>C39*C65</f>
        <v>54092.253969783866</v>
      </c>
      <c r="D99" s="250">
        <f t="shared" ref="D99:AG99" si="48">D39*D65</f>
        <v>54626.136169724654</v>
      </c>
      <c r="E99" s="250">
        <f t="shared" si="48"/>
        <v>54782.208892980299</v>
      </c>
      <c r="F99" s="250">
        <f t="shared" si="48"/>
        <v>54884.414368514372</v>
      </c>
      <c r="G99" s="250">
        <f t="shared" si="48"/>
        <v>54833.494850561088</v>
      </c>
      <c r="H99" s="250">
        <f t="shared" si="48"/>
        <v>54635.926269975047</v>
      </c>
      <c r="I99" s="250">
        <f t="shared" si="48"/>
        <v>54298.131844927782</v>
      </c>
      <c r="J99" s="250">
        <f t="shared" si="48"/>
        <v>53826.482363605399</v>
      </c>
      <c r="K99" s="250">
        <f t="shared" si="48"/>
        <v>53227.296465676118</v>
      </c>
      <c r="L99" s="250">
        <f t="shared" si="48"/>
        <v>52506.840922532436</v>
      </c>
      <c r="M99" s="250">
        <f t="shared" si="48"/>
        <v>51671.330916312872</v>
      </c>
      <c r="N99" s="250">
        <f t="shared" si="48"/>
        <v>48785.640226665033</v>
      </c>
      <c r="O99" s="250">
        <f t="shared" si="48"/>
        <v>45974.774979033165</v>
      </c>
      <c r="P99" s="250">
        <f t="shared" si="48"/>
        <v>43239.471931314212</v>
      </c>
      <c r="Q99" s="250">
        <f t="shared" si="48"/>
        <v>40580.459270646708</v>
      </c>
      <c r="R99" s="250">
        <f t="shared" si="48"/>
        <v>37998.456664398516</v>
      </c>
      <c r="S99" s="250">
        <f t="shared" si="48"/>
        <v>35494.17531092171</v>
      </c>
      <c r="T99" s="250">
        <f t="shared" si="48"/>
        <v>33068.317990075062</v>
      </c>
      <c r="U99" s="250">
        <f t="shared" si="48"/>
        <v>30721.579113515378</v>
      </c>
      <c r="V99" s="250">
        <f t="shared" si="48"/>
        <v>28454.644774758461</v>
      </c>
      <c r="W99" s="250">
        <f t="shared" si="48"/>
        <v>26268.192799010427</v>
      </c>
      <c r="X99" s="250">
        <f t="shared" si="48"/>
        <v>24423.432965707139</v>
      </c>
      <c r="Y99" s="250">
        <f t="shared" si="48"/>
        <v>22635.433956179517</v>
      </c>
      <c r="Z99" s="250">
        <f t="shared" si="48"/>
        <v>20904.724605587187</v>
      </c>
      <c r="AA99" s="250">
        <f t="shared" si="48"/>
        <v>19231.82749837498</v>
      </c>
      <c r="AB99" s="250">
        <f t="shared" si="48"/>
        <v>17617.259005606531</v>
      </c>
      <c r="AC99" s="250">
        <f t="shared" si="48"/>
        <v>16061.529322126804</v>
      </c>
      <c r="AD99" s="250">
        <f t="shared" si="48"/>
        <v>14565.142503554385</v>
      </c>
      <c r="AE99" s="250">
        <f t="shared" si="48"/>
        <v>13128.596503104036</v>
      </c>
      <c r="AF99" s="250">
        <f t="shared" si="48"/>
        <v>11752.383208240341</v>
      </c>
      <c r="AG99" s="250">
        <f t="shared" si="48"/>
        <v>10436.988477162949</v>
      </c>
      <c r="AH99" s="217"/>
      <c r="AI99" s="368"/>
      <c r="AJ99" s="369"/>
      <c r="AL99" s="194"/>
      <c r="AM99" s="116"/>
      <c r="AN99" s="116"/>
      <c r="AO99" s="116"/>
      <c r="BD99" s="116"/>
      <c r="BE99" s="116"/>
      <c r="BF99" s="116"/>
      <c r="BG99" s="116"/>
      <c r="BH99" s="116"/>
      <c r="BI99" s="116"/>
      <c r="BJ99" s="116"/>
      <c r="BK99" s="116"/>
    </row>
    <row r="100" spans="1:63" outlineLevel="1">
      <c r="A100" s="4" t="s">
        <v>35</v>
      </c>
      <c r="C100" s="203">
        <f>C$99*'BTX recycling rates'!E54</f>
        <v>45692.100548882314</v>
      </c>
      <c r="D100" s="203">
        <f>D$99*'BTX recycling rates'!F54</f>
        <v>45290.691851348616</v>
      </c>
      <c r="E100" s="203">
        <f>E$99*'BTX recycling rates'!G54</f>
        <v>44565.274182025765</v>
      </c>
      <c r="F100" s="203">
        <f>F$99*'BTX recycling rates'!H54</f>
        <v>43792.005402320756</v>
      </c>
      <c r="G100" s="203">
        <f>G$99*'BTX recycling rates'!I54</f>
        <v>42895.758677564358</v>
      </c>
      <c r="H100" s="203">
        <f>H$99*'BTX recycling rates'!J54</f>
        <v>41888.66707860474</v>
      </c>
      <c r="I100" s="203">
        <f>I$99*'BTX recycling rates'!K54</f>
        <v>40782.419884657182</v>
      </c>
      <c r="J100" s="203">
        <f>J$99*'BTX recycling rates'!L54</f>
        <v>39588.266903848744</v>
      </c>
      <c r="K100" s="203">
        <f>K$99*'BTX recycling rates'!M54</f>
        <v>38317.022766410308</v>
      </c>
      <c r="L100" s="203">
        <f>L$99*'BTX recycling rates'!N54</f>
        <v>36979.071190653529</v>
      </c>
      <c r="M100" s="203">
        <f>M$99*'BTX recycling rates'!O54</f>
        <v>35584.369221870082</v>
      </c>
      <c r="N100" s="203">
        <f>N$99*'BTX recycling rates'!P54</f>
        <v>32835.839704576763</v>
      </c>
      <c r="O100" s="203">
        <f>O$99*'BTX recycling rates'!Q54</f>
        <v>30226.561158997803</v>
      </c>
      <c r="P100" s="203">
        <f>P$99*'BTX recycling rates'!R54</f>
        <v>27753.503763420969</v>
      </c>
      <c r="Q100" s="203">
        <f>Q$99*'BTX recycling rates'!S54</f>
        <v>25413.586343391591</v>
      </c>
      <c r="R100" s="203">
        <f>R$99*'BTX recycling rates'!T54</f>
        <v>23203.677071535902</v>
      </c>
      <c r="S100" s="203">
        <f>S$99*'BTX recycling rates'!U54</f>
        <v>21120.594162472171</v>
      </c>
      <c r="T100" s="203">
        <f>T$99*'BTX recycling rates'!V54</f>
        <v>19161.106562835317</v>
      </c>
      <c r="U100" s="203">
        <f>U$99*'BTX recycling rates'!W54</f>
        <v>17321.93463644107</v>
      </c>
      <c r="V100" s="203">
        <f>V$99*'BTX recycling rates'!X54</f>
        <v>15599.750844615422</v>
      </c>
      <c r="W100" s="203">
        <f>W$99*'BTX recycling rates'!Y54</f>
        <v>13991.18042171484</v>
      </c>
      <c r="X100" s="203">
        <f>X$99*'BTX recycling rates'!Z54</f>
        <v>12627.50763899732</v>
      </c>
      <c r="Y100" s="203">
        <f>Y$99*'BTX recycling rates'!AA54</f>
        <v>11349.866912788855</v>
      </c>
      <c r="Z100" s="203">
        <f>Z$99*'BTX recycling rates'!AB54</f>
        <v>10155.858083265406</v>
      </c>
      <c r="AA100" s="203">
        <f>AA$99*'BTX recycling rates'!AC54</f>
        <v>9043.0450438010321</v>
      </c>
      <c r="AB100" s="203">
        <f>AB$99*'BTX recycling rates'!AD54</f>
        <v>8008.9562456188078</v>
      </c>
      <c r="AC100" s="203">
        <f>AC$99*'BTX recycling rates'!AE54</f>
        <v>7051.0851988713212</v>
      </c>
      <c r="AD100" s="203">
        <f>AD$99*'BTX recycling rates'!AF54</f>
        <v>6166.8909701698085</v>
      </c>
      <c r="AE100" s="203">
        <f>AE$99*'BTX recycling rates'!AG54</f>
        <v>5353.79867658072</v>
      </c>
      <c r="AF100" s="203">
        <f>AF$99*'BTX recycling rates'!AH54</f>
        <v>4609.1999761085781</v>
      </c>
      <c r="AG100" s="203">
        <f>AG$99*'BTX recycling rates'!AI54</f>
        <v>3930.4535546837878</v>
      </c>
      <c r="AH100" s="217"/>
      <c r="AI100" s="124"/>
      <c r="AJ100" s="185"/>
      <c r="AL100" s="100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74</v>
      </c>
      <c r="C101" s="203">
        <f>C$99*'BTX recycling rates'!E55</f>
        <v>8400.1534209015572</v>
      </c>
      <c r="D101" s="203">
        <f>D$99*'BTX recycling rates'!F55</f>
        <v>9173.0898542428931</v>
      </c>
      <c r="E101" s="203">
        <f>E$99*'BTX recycling rates'!G55</f>
        <v>9891.2980544933926</v>
      </c>
      <c r="F101" s="203">
        <f>F$99*'BTX recycling rates'!H55</f>
        <v>10603.042686119765</v>
      </c>
      <c r="G101" s="203">
        <f>G$99*'BTX recycling rates'!I55</f>
        <v>11285.853151627573</v>
      </c>
      <c r="H101" s="203">
        <f>H$99*'BTX recycling rates'!J55</f>
        <v>11935.34138480792</v>
      </c>
      <c r="I101" s="203">
        <f>I$99*'BTX recycling rates'!K55</f>
        <v>12547.434349891088</v>
      </c>
      <c r="J101" s="203">
        <f>J$99*'BTX recycling rates'!L55</f>
        <v>13118.370781155463</v>
      </c>
      <c r="K101" s="203">
        <f>K$99*'BTX recycling rates'!M55</f>
        <v>13644.697943647088</v>
      </c>
      <c r="L101" s="203">
        <f>L$99*'BTX recycling rates'!N55</f>
        <v>14123.268414902297</v>
      </c>
      <c r="M101" s="203">
        <f>M$99*'BTX recycling rates'!O55</f>
        <v>14551.236887566509</v>
      </c>
      <c r="N101" s="203">
        <f>N$99*'BTX recycling rates'!P55</f>
        <v>14354.845481343313</v>
      </c>
      <c r="O101" s="203">
        <f>O$99*'BTX recycling rates'!Q55</f>
        <v>14108.513014800652</v>
      </c>
      <c r="P101" s="203">
        <f>P$99*'BTX recycling rates'!R55</f>
        <v>13815.31043458834</v>
      </c>
      <c r="Q101" s="203">
        <f>Q$99*'BTX recycling rates'!S55</f>
        <v>13478.343067085294</v>
      </c>
      <c r="R101" s="203">
        <f>R$99*'BTX recycling rates'!T55</f>
        <v>13100.750094656665</v>
      </c>
      <c r="S101" s="203">
        <f>S$99*'BTX recycling rates'!U55</f>
        <v>12685.704035692166</v>
      </c>
      <c r="T101" s="203">
        <f>T$99*'BTX recycling rates'!V55</f>
        <v>12236.410228405175</v>
      </c>
      <c r="U101" s="203">
        <f>U$99*'BTX recycling rates'!W55</f>
        <v>11756.106318372515</v>
      </c>
      <c r="V101" s="203">
        <f>V$99*'BTX recycling rates'!X55</f>
        <v>11248.061749794822</v>
      </c>
      <c r="W101" s="203">
        <f>W$99*'BTX recycling rates'!Y55</f>
        <v>10715.577260457385</v>
      </c>
      <c r="X101" s="203">
        <f>X$99*'BTX recycling rates'!Z55</f>
        <v>10271.557567263981</v>
      </c>
      <c r="Y101" s="203">
        <f>Y$99*'BTX recycling rates'!AA55</f>
        <v>9805.5208937400403</v>
      </c>
      <c r="Z101" s="203">
        <f>Z$99*'BTX recycling rates'!AB55</f>
        <v>9319.8539876468112</v>
      </c>
      <c r="AA101" s="203">
        <f>AA$99*'BTX recycling rates'!AC55</f>
        <v>8816.9674516902269</v>
      </c>
      <c r="AB101" s="203">
        <f>AB$99*'BTX recycling rates'!AD55</f>
        <v>8299.2953663184344</v>
      </c>
      <c r="AC101" s="203">
        <f>AC$99*'BTX recycling rates'!AE55</f>
        <v>7769.2949152661176</v>
      </c>
      <c r="AD101" s="203">
        <f>AD$99*'BTX recycling rates'!AF55</f>
        <v>7229.4460138309114</v>
      </c>
      <c r="AE101" s="203">
        <f>AE$99*'BTX recycling rates'!AG55</f>
        <v>6682.2509398671009</v>
      </c>
      <c r="AF101" s="203">
        <f>AF$99*'BTX recycling rates'!AH55</f>
        <v>6130.2339674820423</v>
      </c>
      <c r="AG101" s="203">
        <f>AG$99*'BTX recycling rates'!AI55</f>
        <v>5575.9410034206194</v>
      </c>
      <c r="AH101" s="217"/>
      <c r="AI101" s="124"/>
      <c r="AJ101" s="185"/>
      <c r="AL101" s="100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A102" s="4" t="s">
        <v>160</v>
      </c>
      <c r="C102" s="203">
        <f>C$99*'BTX recycling rates'!E56</f>
        <v>0</v>
      </c>
      <c r="D102" s="203">
        <f>D$99*'BTX recycling rates'!F56</f>
        <v>52.835115376134581</v>
      </c>
      <c r="E102" s="203">
        <f>E$99*'BTX recycling rates'!G56</f>
        <v>105.97214192221385</v>
      </c>
      <c r="F102" s="203">
        <f>F$99*'BTX recycling rates'!H56</f>
        <v>159.25477631269112</v>
      </c>
      <c r="G102" s="203">
        <f>G$99*'BTX recycling rates'!I56</f>
        <v>212.14270164776912</v>
      </c>
      <c r="H102" s="203">
        <f>H$99*'BTX recycling rates'!J56</f>
        <v>264.22292244751532</v>
      </c>
      <c r="I102" s="203">
        <f>I$99*'BTX recycling rates'!K56</f>
        <v>315.10719174664848</v>
      </c>
      <c r="J102" s="203">
        <f>J$99*'BTX recycling rates'!L56</f>
        <v>364.43175808654843</v>
      </c>
      <c r="K102" s="203">
        <f>K$99*'BTX recycling rates'!M56</f>
        <v>411.85711413832075</v>
      </c>
      <c r="L102" s="203">
        <f>L$99*'BTX recycling rates'!N56</f>
        <v>457.06774694862992</v>
      </c>
      <c r="M102" s="203">
        <f>M$99*'BTX recycling rates'!O56</f>
        <v>499.77188980005076</v>
      </c>
      <c r="N102" s="203">
        <f>N$99*'BTX recycling rates'!P56</f>
        <v>519.04722206095107</v>
      </c>
      <c r="O102" s="203">
        <f>O$99*'BTX recycling rates'!Q56</f>
        <v>533.60886434182203</v>
      </c>
      <c r="P102" s="203">
        <f>P$99*'BTX recycling rates'!R56</f>
        <v>543.68319691414922</v>
      </c>
      <c r="Q102" s="203">
        <f>Q$99*'BTX recycling rates'!S56</f>
        <v>549.49933440052382</v>
      </c>
      <c r="R102" s="203">
        <f>R$99*'BTX recycling rates'!T56</f>
        <v>551.28908506563278</v>
      </c>
      <c r="S102" s="203">
        <f>S$99*'BTX recycling rates'!U56</f>
        <v>549.28691039954197</v>
      </c>
      <c r="T102" s="203">
        <f>T$99*'BTX recycling rates'!V56</f>
        <v>543.72988499170265</v>
      </c>
      <c r="U102" s="203">
        <f>U$99*'BTX recycling rates'!W56</f>
        <v>534.85765669412945</v>
      </c>
      <c r="V102" s="203">
        <f>V$99*'BTX recycling rates'!X56</f>
        <v>522.9124070721997</v>
      </c>
      <c r="W102" s="203">
        <f>W$99*'BTX recycling rates'!Y56</f>
        <v>508.13881214152843</v>
      </c>
      <c r="X102" s="203">
        <f>X$99*'BTX recycling rates'!Z56</f>
        <v>496.07595871171657</v>
      </c>
      <c r="Y102" s="203">
        <f>Y$99*'BTX recycling rates'!AA56</f>
        <v>481.65234935986217</v>
      </c>
      <c r="Z102" s="203">
        <f>Z$99*'BTX recycling rates'!AB56</f>
        <v>465.04444794060521</v>
      </c>
      <c r="AA102" s="203">
        <f>AA$99*'BTX recycling rates'!AC56</f>
        <v>446.43061919523569</v>
      </c>
      <c r="AB102" s="203">
        <f>AB$99*'BTX recycling rates'!AD56</f>
        <v>425.99109942556595</v>
      </c>
      <c r="AC102" s="203">
        <f>AC$99*'BTX recycling rates'!AE56</f>
        <v>403.90796738015774</v>
      </c>
      <c r="AD102" s="203">
        <f>AD$99*'BTX recycling rates'!AF56</f>
        <v>380.36511535176834</v>
      </c>
      <c r="AE102" s="203">
        <f>AE$99*'BTX recycling rates'!AG56</f>
        <v>355.5482204848762</v>
      </c>
      <c r="AF102" s="203">
        <f>AF$99*'BTX recycling rates'!AH56</f>
        <v>329.64471629216092</v>
      </c>
      <c r="AG102" s="203">
        <f>AG$99*'BTX recycling rates'!AI56</f>
        <v>302.84376437880752</v>
      </c>
      <c r="AH102" s="217"/>
      <c r="AI102" s="124"/>
      <c r="AJ102" s="185"/>
      <c r="AL102" s="100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1040</v>
      </c>
      <c r="C103" s="203">
        <f>C$99*'BTX recycling rates'!E57</f>
        <v>0</v>
      </c>
      <c r="D103" s="203">
        <f>D$99*'BTX recycling rates'!F57</f>
        <v>109.51934875701599</v>
      </c>
      <c r="E103" s="203">
        <f>E$99*'BTX recycling rates'!G57</f>
        <v>219.66451453892952</v>
      </c>
      <c r="F103" s="203">
        <f>F$99*'BTX recycling rates'!H57</f>
        <v>330.11150376116035</v>
      </c>
      <c r="G103" s="203">
        <f>G$99*'BTX recycling rates'!I57</f>
        <v>439.74031972138368</v>
      </c>
      <c r="H103" s="203">
        <f>H$99*'BTX recycling rates'!J57</f>
        <v>547.69488411486248</v>
      </c>
      <c r="I103" s="203">
        <f>I$99*'BTX recycling rates'!K57</f>
        <v>653.17041863285669</v>
      </c>
      <c r="J103" s="203">
        <f>J$99*'BTX recycling rates'!L57</f>
        <v>755.41292051462858</v>
      </c>
      <c r="K103" s="203">
        <f>K$99*'BTX recycling rates'!M57</f>
        <v>853.71864148038287</v>
      </c>
      <c r="L103" s="203">
        <f>L$99*'BTX recycling rates'!N57</f>
        <v>947.4335700279637</v>
      </c>
      <c r="M103" s="203">
        <f>M$99*'BTX recycling rates'!O57</f>
        <v>1035.95291707621</v>
      </c>
      <c r="N103" s="203">
        <f>N$99*'BTX recycling rates'!P57</f>
        <v>1075.9078186839852</v>
      </c>
      <c r="O103" s="203">
        <f>O$99*'BTX recycling rates'!Q57</f>
        <v>1106.0919408928671</v>
      </c>
      <c r="P103" s="203">
        <f>P$99*'BTX recycling rates'!R57</f>
        <v>1126.9745363907325</v>
      </c>
      <c r="Q103" s="203">
        <f>Q$99*'BTX recycling rates'!S57</f>
        <v>1139.0305257692798</v>
      </c>
      <c r="R103" s="203">
        <f>R$99*'BTX recycling rates'!T57</f>
        <v>1142.7404131402973</v>
      </c>
      <c r="S103" s="203">
        <f>S$99*'BTX recycling rates'!U57</f>
        <v>1138.5902023578089</v>
      </c>
      <c r="T103" s="203">
        <f>T$99*'BTX recycling rates'!V57</f>
        <v>1127.0713138428489</v>
      </c>
      <c r="U103" s="203">
        <f>U$99*'BTX recycling rates'!W57</f>
        <v>1108.6805020076447</v>
      </c>
      <c r="V103" s="203">
        <f>V$99*'BTX recycling rates'!X57</f>
        <v>1083.9197732759978</v>
      </c>
      <c r="W103" s="203">
        <f>W$99*'BTX recycling rates'!Y57</f>
        <v>1053.2963046966538</v>
      </c>
      <c r="X103" s="203">
        <f>X$99*'BTX recycling rates'!Z57</f>
        <v>1028.2918007341041</v>
      </c>
      <c r="Y103" s="203">
        <f>Y$99*'BTX recycling rates'!AA57</f>
        <v>998.393800290743</v>
      </c>
      <c r="Z103" s="203">
        <f>Z$99*'BTX recycling rates'!AB57</f>
        <v>963.96808673435078</v>
      </c>
      <c r="AA103" s="203">
        <f>AA$99*'BTX recycling rates'!AC57</f>
        <v>925.38438368847244</v>
      </c>
      <c r="AB103" s="203">
        <f>AB$99*'BTX recycling rates'!AD57</f>
        <v>883.0162942437106</v>
      </c>
      <c r="AC103" s="203">
        <f>AC$99*'BTX recycling rates'!AE57</f>
        <v>837.24124060919655</v>
      </c>
      <c r="AD103" s="203">
        <f>AD$99*'BTX recycling rates'!AF57</f>
        <v>788.44040420188821</v>
      </c>
      <c r="AE103" s="203">
        <f>AE$99*'BTX recycling rates'!AG57</f>
        <v>736.99866617133137</v>
      </c>
      <c r="AF103" s="203">
        <f>AF$99*'BTX recycling rates'!AH57</f>
        <v>683.30454835755165</v>
      </c>
      <c r="AG103" s="203">
        <f>AG$99*'BTX recycling rates'!AI57</f>
        <v>627.75015467973628</v>
      </c>
      <c r="AH103" s="217"/>
      <c r="AI103" s="124"/>
      <c r="AJ103" s="185"/>
      <c r="AL103" s="100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s="1" customFormat="1" outlineLevel="1">
      <c r="A104" s="1" t="s">
        <v>1046</v>
      </c>
      <c r="B104" s="60"/>
      <c r="C104" s="250">
        <f>C99-$C99</f>
        <v>0</v>
      </c>
      <c r="D104" s="250">
        <f t="shared" ref="D104:AG104" si="49">D99-$C99</f>
        <v>533.88219994078827</v>
      </c>
      <c r="E104" s="250">
        <f t="shared" si="49"/>
        <v>689.95492319643381</v>
      </c>
      <c r="F104" s="250">
        <f t="shared" si="49"/>
        <v>792.16039873050613</v>
      </c>
      <c r="G104" s="250">
        <f t="shared" si="49"/>
        <v>741.24088077722263</v>
      </c>
      <c r="H104" s="250">
        <f t="shared" si="49"/>
        <v>543.67230019118142</v>
      </c>
      <c r="I104" s="250">
        <f t="shared" si="49"/>
        <v>205.87787514391675</v>
      </c>
      <c r="J104" s="250">
        <f t="shared" si="49"/>
        <v>-265.77160617846675</v>
      </c>
      <c r="K104" s="250">
        <f t="shared" si="49"/>
        <v>-864.95750410774781</v>
      </c>
      <c r="L104" s="250">
        <f t="shared" si="49"/>
        <v>-1585.4130472514298</v>
      </c>
      <c r="M104" s="250">
        <f t="shared" si="49"/>
        <v>-2420.9230534709932</v>
      </c>
      <c r="N104" s="250">
        <f t="shared" si="49"/>
        <v>-5306.6137431188326</v>
      </c>
      <c r="O104" s="250">
        <f t="shared" si="49"/>
        <v>-8117.4789907507002</v>
      </c>
      <c r="P104" s="250">
        <f t="shared" si="49"/>
        <v>-10852.782038469653</v>
      </c>
      <c r="Q104" s="250">
        <f t="shared" si="49"/>
        <v>-13511.794699137157</v>
      </c>
      <c r="R104" s="250">
        <f t="shared" si="49"/>
        <v>-16093.797305385349</v>
      </c>
      <c r="S104" s="250">
        <f t="shared" si="49"/>
        <v>-18598.078658862156</v>
      </c>
      <c r="T104" s="250">
        <f t="shared" si="49"/>
        <v>-21023.935979708804</v>
      </c>
      <c r="U104" s="250">
        <f t="shared" si="49"/>
        <v>-23370.674856268488</v>
      </c>
      <c r="V104" s="250">
        <f t="shared" si="49"/>
        <v>-25637.609195025405</v>
      </c>
      <c r="W104" s="250">
        <f t="shared" si="49"/>
        <v>-27824.061170773439</v>
      </c>
      <c r="X104" s="250">
        <f t="shared" si="49"/>
        <v>-29668.821004076726</v>
      </c>
      <c r="Y104" s="250">
        <f t="shared" si="49"/>
        <v>-31456.820013604349</v>
      </c>
      <c r="Z104" s="250">
        <f t="shared" si="49"/>
        <v>-33187.529364196678</v>
      </c>
      <c r="AA104" s="250">
        <f t="shared" si="49"/>
        <v>-34860.426471408886</v>
      </c>
      <c r="AB104" s="250">
        <f t="shared" si="49"/>
        <v>-36474.994964177335</v>
      </c>
      <c r="AC104" s="250">
        <f t="shared" si="49"/>
        <v>-38030.724647657058</v>
      </c>
      <c r="AD104" s="250">
        <f t="shared" si="49"/>
        <v>-39527.111466229479</v>
      </c>
      <c r="AE104" s="250">
        <f t="shared" si="49"/>
        <v>-40963.657466679826</v>
      </c>
      <c r="AF104" s="250">
        <f t="shared" si="49"/>
        <v>-42339.870761543527</v>
      </c>
      <c r="AG104" s="250">
        <f t="shared" si="49"/>
        <v>-43655.265492620914</v>
      </c>
      <c r="AH104" s="217"/>
      <c r="AI104" s="368"/>
      <c r="AJ104" s="369"/>
      <c r="AL104" s="194"/>
      <c r="AM104" s="116"/>
      <c r="AN104" s="116"/>
      <c r="AO104" s="116"/>
      <c r="BD104" s="116"/>
      <c r="BE104" s="116"/>
      <c r="BF104" s="116"/>
      <c r="BG104" s="116"/>
      <c r="BH104" s="116"/>
      <c r="BI104" s="116"/>
      <c r="BJ104" s="116"/>
      <c r="BK104" s="116"/>
    </row>
    <row r="105" spans="1:63" outlineLevel="1">
      <c r="A105" s="4" t="s">
        <v>35</v>
      </c>
      <c r="C105" s="203">
        <f>C100-$C100</f>
        <v>0</v>
      </c>
      <c r="D105" s="203">
        <f t="shared" ref="D105:AG105" si="50">D100-$C100</f>
        <v>-401.4086975336977</v>
      </c>
      <c r="E105" s="203">
        <f t="shared" si="50"/>
        <v>-1126.8263668565487</v>
      </c>
      <c r="F105" s="203">
        <f t="shared" si="50"/>
        <v>-1900.0951465615581</v>
      </c>
      <c r="G105" s="203">
        <f t="shared" si="50"/>
        <v>-2796.3418713179562</v>
      </c>
      <c r="H105" s="203">
        <f t="shared" si="50"/>
        <v>-3803.4334702775741</v>
      </c>
      <c r="I105" s="203">
        <f t="shared" si="50"/>
        <v>-4909.6806642251322</v>
      </c>
      <c r="J105" s="203">
        <f t="shared" si="50"/>
        <v>-6103.8336450335701</v>
      </c>
      <c r="K105" s="203">
        <f t="shared" si="50"/>
        <v>-7375.0777824720062</v>
      </c>
      <c r="L105" s="203">
        <f t="shared" si="50"/>
        <v>-8713.029358228785</v>
      </c>
      <c r="M105" s="203">
        <f t="shared" si="50"/>
        <v>-10107.731327012232</v>
      </c>
      <c r="N105" s="203">
        <f t="shared" si="50"/>
        <v>-12856.260844305551</v>
      </c>
      <c r="O105" s="203">
        <f t="shared" si="50"/>
        <v>-15465.53938988451</v>
      </c>
      <c r="P105" s="203">
        <f t="shared" si="50"/>
        <v>-17938.596785461345</v>
      </c>
      <c r="Q105" s="203">
        <f t="shared" si="50"/>
        <v>-20278.514205490723</v>
      </c>
      <c r="R105" s="203">
        <f t="shared" si="50"/>
        <v>-22488.423477346412</v>
      </c>
      <c r="S105" s="203">
        <f t="shared" si="50"/>
        <v>-24571.506386410143</v>
      </c>
      <c r="T105" s="203">
        <f t="shared" si="50"/>
        <v>-26530.993986046997</v>
      </c>
      <c r="U105" s="203">
        <f t="shared" si="50"/>
        <v>-28370.165912441244</v>
      </c>
      <c r="V105" s="203">
        <f t="shared" si="50"/>
        <v>-30092.34970426689</v>
      </c>
      <c r="W105" s="203">
        <f t="shared" si="50"/>
        <v>-31700.920127167476</v>
      </c>
      <c r="X105" s="203">
        <f t="shared" si="50"/>
        <v>-33064.592909884996</v>
      </c>
      <c r="Y105" s="203">
        <f t="shared" si="50"/>
        <v>-34342.233636093457</v>
      </c>
      <c r="Z105" s="203">
        <f t="shared" si="50"/>
        <v>-35536.24246561691</v>
      </c>
      <c r="AA105" s="203">
        <f t="shared" si="50"/>
        <v>-36649.055505081284</v>
      </c>
      <c r="AB105" s="203">
        <f t="shared" si="50"/>
        <v>-37683.144303263507</v>
      </c>
      <c r="AC105" s="203">
        <f t="shared" si="50"/>
        <v>-38641.015350010995</v>
      </c>
      <c r="AD105" s="203">
        <f t="shared" si="50"/>
        <v>-39525.209578712507</v>
      </c>
      <c r="AE105" s="203">
        <f t="shared" si="50"/>
        <v>-40338.301872301592</v>
      </c>
      <c r="AF105" s="203">
        <f t="shared" si="50"/>
        <v>-41082.900572773739</v>
      </c>
      <c r="AG105" s="203">
        <f t="shared" si="50"/>
        <v>-41761.646994198527</v>
      </c>
      <c r="AH105" s="217"/>
      <c r="AI105" s="124"/>
      <c r="AJ105" s="185"/>
      <c r="AL105" s="100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74</v>
      </c>
      <c r="C106" s="203">
        <f t="shared" ref="C106:AG106" si="51">C101-$C101</f>
        <v>0</v>
      </c>
      <c r="D106" s="203">
        <f t="shared" si="51"/>
        <v>772.93643334133594</v>
      </c>
      <c r="E106" s="203">
        <f t="shared" si="51"/>
        <v>1491.1446335918354</v>
      </c>
      <c r="F106" s="203">
        <f t="shared" si="51"/>
        <v>2202.8892652182076</v>
      </c>
      <c r="G106" s="203">
        <f t="shared" si="51"/>
        <v>2885.6997307260153</v>
      </c>
      <c r="H106" s="203">
        <f t="shared" si="51"/>
        <v>3535.1879639063627</v>
      </c>
      <c r="I106" s="203">
        <f t="shared" si="51"/>
        <v>4147.2809289895304</v>
      </c>
      <c r="J106" s="203">
        <f t="shared" si="51"/>
        <v>4718.217360253906</v>
      </c>
      <c r="K106" s="203">
        <f t="shared" si="51"/>
        <v>5244.5445227455311</v>
      </c>
      <c r="L106" s="203">
        <f t="shared" si="51"/>
        <v>5723.1149940007399</v>
      </c>
      <c r="M106" s="203">
        <f t="shared" si="51"/>
        <v>6151.0834666649516</v>
      </c>
      <c r="N106" s="203">
        <f t="shared" si="51"/>
        <v>5954.6920604417555</v>
      </c>
      <c r="O106" s="203">
        <f t="shared" si="51"/>
        <v>5708.3595938990948</v>
      </c>
      <c r="P106" s="203">
        <f t="shared" si="51"/>
        <v>5415.1570136867831</v>
      </c>
      <c r="Q106" s="203">
        <f t="shared" si="51"/>
        <v>5078.1896461837368</v>
      </c>
      <c r="R106" s="203">
        <f t="shared" si="51"/>
        <v>4700.596673755108</v>
      </c>
      <c r="S106" s="203">
        <f t="shared" si="51"/>
        <v>4285.550614790609</v>
      </c>
      <c r="T106" s="203">
        <f t="shared" si="51"/>
        <v>3836.2568075036179</v>
      </c>
      <c r="U106" s="203">
        <f t="shared" si="51"/>
        <v>3355.9528974709574</v>
      </c>
      <c r="V106" s="203">
        <f t="shared" si="51"/>
        <v>2847.9083288932652</v>
      </c>
      <c r="W106" s="203">
        <f t="shared" si="51"/>
        <v>2315.4238395558277</v>
      </c>
      <c r="X106" s="203">
        <f t="shared" si="51"/>
        <v>1871.4041463624235</v>
      </c>
      <c r="Y106" s="203">
        <f t="shared" si="51"/>
        <v>1405.3674728384831</v>
      </c>
      <c r="Z106" s="203">
        <f t="shared" si="51"/>
        <v>919.70056674525404</v>
      </c>
      <c r="AA106" s="203">
        <f t="shared" si="51"/>
        <v>416.8140307886697</v>
      </c>
      <c r="AB106" s="203">
        <f t="shared" si="51"/>
        <v>-100.85805458312279</v>
      </c>
      <c r="AC106" s="203">
        <f t="shared" si="51"/>
        <v>-630.85850563543954</v>
      </c>
      <c r="AD106" s="203">
        <f t="shared" si="51"/>
        <v>-1170.7074070706458</v>
      </c>
      <c r="AE106" s="203">
        <f t="shared" si="51"/>
        <v>-1717.9024810344563</v>
      </c>
      <c r="AF106" s="203">
        <f t="shared" si="51"/>
        <v>-2269.9194534195149</v>
      </c>
      <c r="AG106" s="203">
        <f t="shared" si="51"/>
        <v>-2824.2124174809378</v>
      </c>
      <c r="AH106" s="217"/>
      <c r="AI106" s="124"/>
      <c r="AJ106" s="185"/>
      <c r="AL106" s="100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03">
        <f t="shared" ref="C107:AG107" si="52">C102-$C102</f>
        <v>0</v>
      </c>
      <c r="D107" s="203">
        <f t="shared" si="52"/>
        <v>52.835115376134581</v>
      </c>
      <c r="E107" s="203">
        <f t="shared" si="52"/>
        <v>105.97214192221385</v>
      </c>
      <c r="F107" s="203">
        <f t="shared" si="52"/>
        <v>159.25477631269112</v>
      </c>
      <c r="G107" s="203">
        <f t="shared" si="52"/>
        <v>212.14270164776912</v>
      </c>
      <c r="H107" s="203">
        <f t="shared" si="52"/>
        <v>264.22292244751532</v>
      </c>
      <c r="I107" s="203">
        <f t="shared" si="52"/>
        <v>315.10719174664848</v>
      </c>
      <c r="J107" s="203">
        <f t="shared" si="52"/>
        <v>364.43175808654843</v>
      </c>
      <c r="K107" s="203">
        <f t="shared" si="52"/>
        <v>411.85711413832075</v>
      </c>
      <c r="L107" s="203">
        <f t="shared" si="52"/>
        <v>457.06774694862992</v>
      </c>
      <c r="M107" s="203">
        <f t="shared" si="52"/>
        <v>499.77188980005076</v>
      </c>
      <c r="N107" s="203">
        <f t="shared" si="52"/>
        <v>519.04722206095107</v>
      </c>
      <c r="O107" s="203">
        <f t="shared" si="52"/>
        <v>533.60886434182203</v>
      </c>
      <c r="P107" s="203">
        <f t="shared" si="52"/>
        <v>543.68319691414922</v>
      </c>
      <c r="Q107" s="203">
        <f t="shared" si="52"/>
        <v>549.49933440052382</v>
      </c>
      <c r="R107" s="203">
        <f t="shared" si="52"/>
        <v>551.28908506563278</v>
      </c>
      <c r="S107" s="203">
        <f t="shared" si="52"/>
        <v>549.28691039954197</v>
      </c>
      <c r="T107" s="203">
        <f t="shared" si="52"/>
        <v>543.72988499170265</v>
      </c>
      <c r="U107" s="203">
        <f t="shared" si="52"/>
        <v>534.85765669412945</v>
      </c>
      <c r="V107" s="203">
        <f t="shared" si="52"/>
        <v>522.9124070721997</v>
      </c>
      <c r="W107" s="203">
        <f t="shared" si="52"/>
        <v>508.13881214152843</v>
      </c>
      <c r="X107" s="203">
        <f t="shared" si="52"/>
        <v>496.07595871171657</v>
      </c>
      <c r="Y107" s="203">
        <f t="shared" si="52"/>
        <v>481.65234935986217</v>
      </c>
      <c r="Z107" s="203">
        <f t="shared" si="52"/>
        <v>465.04444794060521</v>
      </c>
      <c r="AA107" s="203">
        <f t="shared" si="52"/>
        <v>446.43061919523569</v>
      </c>
      <c r="AB107" s="203">
        <f t="shared" si="52"/>
        <v>425.99109942556595</v>
      </c>
      <c r="AC107" s="203">
        <f t="shared" si="52"/>
        <v>403.90796738015774</v>
      </c>
      <c r="AD107" s="203">
        <f t="shared" si="52"/>
        <v>380.36511535176834</v>
      </c>
      <c r="AE107" s="203">
        <f t="shared" si="52"/>
        <v>355.5482204848762</v>
      </c>
      <c r="AF107" s="203">
        <f t="shared" si="52"/>
        <v>329.64471629216092</v>
      </c>
      <c r="AG107" s="203">
        <f t="shared" si="52"/>
        <v>302.84376437880752</v>
      </c>
      <c r="AH107" s="217"/>
      <c r="AI107" s="124"/>
      <c r="AJ107" s="185"/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1040</v>
      </c>
      <c r="C108" s="203">
        <f t="shared" ref="C108:AG108" si="53">C103-$C103</f>
        <v>0</v>
      </c>
      <c r="D108" s="203">
        <f t="shared" si="53"/>
        <v>109.51934875701599</v>
      </c>
      <c r="E108" s="203">
        <f t="shared" si="53"/>
        <v>219.66451453892952</v>
      </c>
      <c r="F108" s="203">
        <f t="shared" si="53"/>
        <v>330.11150376116035</v>
      </c>
      <c r="G108" s="203">
        <f t="shared" si="53"/>
        <v>439.74031972138368</v>
      </c>
      <c r="H108" s="203">
        <f t="shared" si="53"/>
        <v>547.69488411486248</v>
      </c>
      <c r="I108" s="203">
        <f t="shared" si="53"/>
        <v>653.17041863285669</v>
      </c>
      <c r="J108" s="203">
        <f t="shared" si="53"/>
        <v>755.41292051462858</v>
      </c>
      <c r="K108" s="203">
        <f t="shared" si="53"/>
        <v>853.71864148038287</v>
      </c>
      <c r="L108" s="203">
        <f t="shared" si="53"/>
        <v>947.4335700279637</v>
      </c>
      <c r="M108" s="203">
        <f t="shared" si="53"/>
        <v>1035.95291707621</v>
      </c>
      <c r="N108" s="203">
        <f t="shared" si="53"/>
        <v>1075.9078186839852</v>
      </c>
      <c r="O108" s="203">
        <f t="shared" si="53"/>
        <v>1106.0919408928671</v>
      </c>
      <c r="P108" s="203">
        <f t="shared" si="53"/>
        <v>1126.9745363907325</v>
      </c>
      <c r="Q108" s="203">
        <f t="shared" si="53"/>
        <v>1139.0305257692798</v>
      </c>
      <c r="R108" s="203">
        <f t="shared" si="53"/>
        <v>1142.7404131402973</v>
      </c>
      <c r="S108" s="203">
        <f t="shared" si="53"/>
        <v>1138.5902023578089</v>
      </c>
      <c r="T108" s="203">
        <f t="shared" si="53"/>
        <v>1127.0713138428489</v>
      </c>
      <c r="U108" s="203">
        <f t="shared" si="53"/>
        <v>1108.6805020076447</v>
      </c>
      <c r="V108" s="203">
        <f t="shared" si="53"/>
        <v>1083.9197732759978</v>
      </c>
      <c r="W108" s="203">
        <f t="shared" si="53"/>
        <v>1053.2963046966538</v>
      </c>
      <c r="X108" s="203">
        <f t="shared" si="53"/>
        <v>1028.2918007341041</v>
      </c>
      <c r="Y108" s="203">
        <f t="shared" si="53"/>
        <v>998.393800290743</v>
      </c>
      <c r="Z108" s="203">
        <f t="shared" si="53"/>
        <v>963.96808673435078</v>
      </c>
      <c r="AA108" s="203">
        <f t="shared" si="53"/>
        <v>925.38438368847244</v>
      </c>
      <c r="AB108" s="203">
        <f t="shared" si="53"/>
        <v>883.0162942437106</v>
      </c>
      <c r="AC108" s="203">
        <f t="shared" si="53"/>
        <v>837.24124060919655</v>
      </c>
      <c r="AD108" s="203">
        <f t="shared" si="53"/>
        <v>788.44040420188821</v>
      </c>
      <c r="AE108" s="203">
        <f t="shared" si="53"/>
        <v>736.99866617133137</v>
      </c>
      <c r="AF108" s="203">
        <f t="shared" si="53"/>
        <v>683.30454835755165</v>
      </c>
      <c r="AG108" s="203">
        <f t="shared" si="53"/>
        <v>627.75015467973628</v>
      </c>
      <c r="AH108" s="217"/>
      <c r="AI108" s="124"/>
      <c r="AJ108" s="185"/>
      <c r="AL108" s="100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1044</v>
      </c>
      <c r="B109" s="60"/>
      <c r="C109" s="250">
        <f>C39*C67</f>
        <v>250439.70380357344</v>
      </c>
      <c r="D109" s="250">
        <f t="shared" ref="D109:AG109" si="54">D39*D67</f>
        <v>253769.67355844312</v>
      </c>
      <c r="E109" s="250">
        <f t="shared" si="54"/>
        <v>255355.34110470465</v>
      </c>
      <c r="F109" s="250">
        <f t="shared" si="54"/>
        <v>256693.97571449802</v>
      </c>
      <c r="G109" s="250">
        <f t="shared" si="54"/>
        <v>257317.25162504296</v>
      </c>
      <c r="H109" s="250">
        <f t="shared" si="54"/>
        <v>257248.44347298518</v>
      </c>
      <c r="I109" s="250">
        <f t="shared" si="54"/>
        <v>256510.98381750478</v>
      </c>
      <c r="J109" s="250">
        <f t="shared" si="54"/>
        <v>255128.46033971268</v>
      </c>
      <c r="K109" s="250">
        <f t="shared" si="54"/>
        <v>253124.61306284499</v>
      </c>
      <c r="L109" s="250">
        <f t="shared" si="54"/>
        <v>250523.33159314096</v>
      </c>
      <c r="M109" s="250">
        <f t="shared" si="54"/>
        <v>247348.65238129467</v>
      </c>
      <c r="N109" s="250">
        <f t="shared" si="54"/>
        <v>234301.3784255964</v>
      </c>
      <c r="O109" s="250">
        <f t="shared" si="54"/>
        <v>221523.97439710973</v>
      </c>
      <c r="P109" s="250">
        <f t="shared" si="54"/>
        <v>209023.52834021143</v>
      </c>
      <c r="Q109" s="250">
        <f t="shared" si="54"/>
        <v>196807.13303024045</v>
      </c>
      <c r="R109" s="250">
        <f t="shared" si="54"/>
        <v>184881.88554835186</v>
      </c>
      <c r="S109" s="250">
        <f t="shared" si="54"/>
        <v>173254.8868600413</v>
      </c>
      <c r="T109" s="250">
        <f t="shared" si="54"/>
        <v>161933.24139731529</v>
      </c>
      <c r="U109" s="250">
        <f t="shared" si="54"/>
        <v>150924.05664448751</v>
      </c>
      <c r="V109" s="250">
        <f t="shared" si="54"/>
        <v>140234.44272758122</v>
      </c>
      <c r="W109" s="250">
        <f t="shared" si="54"/>
        <v>129871.5120073141</v>
      </c>
      <c r="X109" s="250">
        <f t="shared" si="54"/>
        <v>121134.59787858262</v>
      </c>
      <c r="Y109" s="250">
        <f t="shared" si="54"/>
        <v>112622.13424803193</v>
      </c>
      <c r="Z109" s="250">
        <f t="shared" si="54"/>
        <v>104339.43574444875</v>
      </c>
      <c r="AA109" s="250">
        <f t="shared" si="54"/>
        <v>96291.818931610425</v>
      </c>
      <c r="AB109" s="250">
        <f t="shared" si="54"/>
        <v>88484.602004808083</v>
      </c>
      <c r="AC109" s="250">
        <f t="shared" si="54"/>
        <v>80923.104490026701</v>
      </c>
      <c r="AD109" s="250">
        <f t="shared" si="54"/>
        <v>73612.64694576773</v>
      </c>
      <c r="AE109" s="250">
        <f t="shared" si="54"/>
        <v>66558.55066749829</v>
      </c>
      <c r="AF109" s="250">
        <f t="shared" si="54"/>
        <v>59766.137394711921</v>
      </c>
      <c r="AG109" s="250">
        <f t="shared" si="54"/>
        <v>53240.729020585546</v>
      </c>
      <c r="AH109" s="217"/>
      <c r="AI109" s="368"/>
      <c r="AJ109" s="369"/>
      <c r="AL109" s="194"/>
      <c r="AM109" s="116"/>
      <c r="AN109" s="116"/>
      <c r="AO109" s="116"/>
      <c r="BD109" s="116"/>
      <c r="BE109" s="116"/>
      <c r="BF109" s="116"/>
      <c r="BG109" s="116"/>
      <c r="BH109" s="116"/>
      <c r="BI109" s="116"/>
      <c r="BJ109" s="116"/>
      <c r="BK109" s="116"/>
    </row>
    <row r="110" spans="1:63" outlineLevel="1">
      <c r="A110" s="4" t="s">
        <v>35</v>
      </c>
      <c r="C110" s="203">
        <f>C$109*'BTX recycling rates'!E50</f>
        <v>211548.14761494964</v>
      </c>
      <c r="D110" s="203">
        <f>D$109*'BTX recycling rates'!F50</f>
        <v>207215.62953174463</v>
      </c>
      <c r="E110" s="203">
        <f>E$109*'BTX recycling rates'!G50</f>
        <v>201320.39236961253</v>
      </c>
      <c r="F110" s="203">
        <f>F$109*'BTX recycling rates'!H50</f>
        <v>195148.05686729006</v>
      </c>
      <c r="G110" s="203">
        <f>G$109*'BTX recycling rates'!I50</f>
        <v>188376.63846183455</v>
      </c>
      <c r="H110" s="203">
        <f>H$109*'BTX recycling rates'!J50</f>
        <v>181082.94753528936</v>
      </c>
      <c r="I110" s="203">
        <f>I$109*'BTX recycling rates'!K50</f>
        <v>173341.27982212428</v>
      </c>
      <c r="J110" s="203">
        <f>J$109*'BTX recycling rates'!L50</f>
        <v>165223.39236249798</v>
      </c>
      <c r="K110" s="203">
        <f>K$109*'BTX recycling rates'!M50</f>
        <v>156798.47994154142</v>
      </c>
      <c r="L110" s="203">
        <f>L$109*'BTX recycling rates'!N50</f>
        <v>148133.15201049586</v>
      </c>
      <c r="M110" s="203">
        <f>M$109*'BTX recycling rates'!O50</f>
        <v>139291.41008556625</v>
      </c>
      <c r="N110" s="203">
        <f>N$109*'BTX recycling rates'!P50</f>
        <v>125346.79537612546</v>
      </c>
      <c r="O110" s="203">
        <f>O$109*'BTX recycling rates'!Q50</f>
        <v>112273.69875688545</v>
      </c>
      <c r="P110" s="203">
        <f>P$109*'BTX recycling rates'!R50</f>
        <v>100052.71694338378</v>
      </c>
      <c r="Q110" s="203">
        <f>Q$109*'BTX recycling rates'!S50</f>
        <v>88663.650473166374</v>
      </c>
      <c r="R110" s="203">
        <f>R$109*'BTX recycling rates'!T50</f>
        <v>78085.502860179564</v>
      </c>
      <c r="S110" s="203">
        <f>S$109*'BTX recycling rates'!U50</f>
        <v>68296.479822433743</v>
      </c>
      <c r="T110" s="203">
        <f>T$109*'BTX recycling rates'!V50</f>
        <v>59273.988582206301</v>
      </c>
      <c r="U110" s="203">
        <f>U$109*'BTX recycling rates'!W50</f>
        <v>50994.637238058334</v>
      </c>
      <c r="V110" s="203">
        <f>V$109*'BTX recycling rates'!X50</f>
        <v>43434.234207944472</v>
      </c>
      <c r="W110" s="203">
        <f>W$109*'BTX recycling rates'!Y50</f>
        <v>36567.787742698325</v>
      </c>
      <c r="X110" s="203">
        <f>X$109*'BTX recycling rates'!Z50</f>
        <v>30696.969455044848</v>
      </c>
      <c r="Y110" s="203">
        <f>Y$109*'BTX recycling rates'!AA50</f>
        <v>25368.718584440714</v>
      </c>
      <c r="Z110" s="203">
        <f>Z$109*'BTX recycling rates'!AB50</f>
        <v>20565.123146458183</v>
      </c>
      <c r="AA110" s="203">
        <f>AA$109*'BTX recycling rates'!AC50</f>
        <v>16267.672909750188</v>
      </c>
      <c r="AB110" s="203">
        <f>AB$109*'BTX recycling rates'!AD50</f>
        <v>12457.259080908862</v>
      </c>
      <c r="AC110" s="203">
        <f>AC$109*'BTX recycling rates'!AE50</f>
        <v>9114.1740408930709</v>
      </c>
      <c r="AD110" s="203">
        <f>AD$109*'BTX recycling rates'!AF50</f>
        <v>6218.111132500132</v>
      </c>
      <c r="AE110" s="203">
        <f>AE$109*'BTX recycling rates'!AG50</f>
        <v>3748.1644983599199</v>
      </c>
      <c r="AF110" s="203">
        <f>AF$109*'BTX recycling rates'!AH50</f>
        <v>1682.8289689332753</v>
      </c>
      <c r="AG110" s="203">
        <f>AG$109*'BTX recycling rates'!AI50</f>
        <v>0</v>
      </c>
      <c r="AH110" s="217"/>
      <c r="AI110" s="124"/>
      <c r="AJ110" s="185"/>
      <c r="AL110" s="100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203">
        <f>C$109*'BTX recycling rates'!E51</f>
        <v>38891.556188623836</v>
      </c>
      <c r="D111" s="203">
        <f>D$109*'BTX recycling rates'!F51</f>
        <v>38095.05490808373</v>
      </c>
      <c r="E111" s="203">
        <f>E$109*'BTX recycling rates'!G51</f>
        <v>37011.259328111839</v>
      </c>
      <c r="F111" s="203">
        <f>F$109*'BTX recycling rates'!H51</f>
        <v>35876.521275758183</v>
      </c>
      <c r="G111" s="203">
        <f>G$109*'BTX recycling rates'!I51</f>
        <v>34631.646279869332</v>
      </c>
      <c r="H111" s="203">
        <f>H$109*'BTX recycling rates'!J51</f>
        <v>33290.755358864924</v>
      </c>
      <c r="I111" s="203">
        <f>I$109*'BTX recycling rates'!K51</f>
        <v>31867.507231879496</v>
      </c>
      <c r="J111" s="203">
        <f>J$109*'BTX recycling rates'!L51</f>
        <v>30375.093897948369</v>
      </c>
      <c r="K111" s="203">
        <f>K$109*'BTX recycling rates'!M51</f>
        <v>28826.23630454484</v>
      </c>
      <c r="L111" s="203">
        <f>L$109*'BTX recycling rates'!N51</f>
        <v>27233.180104702729</v>
      </c>
      <c r="M111" s="203">
        <f>M$109*'BTX recycling rates'!O51</f>
        <v>25607.691501963436</v>
      </c>
      <c r="N111" s="203">
        <f>N$109*'BTX recycling rates'!P51</f>
        <v>23044.077626752165</v>
      </c>
      <c r="O111" s="203">
        <f>O$109*'BTX recycling rates'!Q51</f>
        <v>20640.68588138029</v>
      </c>
      <c r="P111" s="203">
        <f>P$109*'BTX recycling rates'!R51</f>
        <v>18393.949116069267</v>
      </c>
      <c r="Q111" s="203">
        <f>Q$109*'BTX recycling rates'!S51</f>
        <v>16300.153809628444</v>
      </c>
      <c r="R111" s="203">
        <f>R$109*'BTX recycling rates'!T51</f>
        <v>14355.439913996292</v>
      </c>
      <c r="S111" s="203">
        <f>S$109*'BTX recycling rates'!U51</f>
        <v>12555.800712252125</v>
      </c>
      <c r="T111" s="203">
        <f>T$109*'BTX recycling rates'!V51</f>
        <v>10897.08268996359</v>
      </c>
      <c r="U111" s="203">
        <f>U$109*'BTX recycling rates'!W51</f>
        <v>9374.9854197366094</v>
      </c>
      <c r="V111" s="203">
        <f>V$109*'BTX recycling rates'!X51</f>
        <v>7985.0614588352528</v>
      </c>
      <c r="W111" s="203">
        <f>W$109*'BTX recycling rates'!Y51</f>
        <v>6722.7162597396546</v>
      </c>
      <c r="X111" s="203">
        <f>X$109*'BTX recycling rates'!Z51</f>
        <v>5643.4099085298894</v>
      </c>
      <c r="Y111" s="203">
        <f>Y$109*'BTX recycling rates'!AA51</f>
        <v>4663.8505483677545</v>
      </c>
      <c r="Z111" s="203">
        <f>Z$109*'BTX recycling rates'!AB51</f>
        <v>3780.7451939131506</v>
      </c>
      <c r="AA111" s="203">
        <f>AA$109*'BTX recycling rates'!AC51</f>
        <v>2990.6908765718576</v>
      </c>
      <c r="AB111" s="203">
        <f>AB$109*'BTX recycling rates'!AD51</f>
        <v>2290.1745865591174</v>
      </c>
      <c r="AC111" s="203">
        <f>AC$109*'BTX recycling rates'!AE51</f>
        <v>1675.5732244437913</v>
      </c>
      <c r="AD111" s="203">
        <f>AD$109*'BTX recycling rates'!AF51</f>
        <v>1143.1535620766124</v>
      </c>
      <c r="AE111" s="203">
        <f>AE$109*'BTX recycling rates'!AG51</f>
        <v>689.07221280660713</v>
      </c>
      <c r="AF111" s="203">
        <f>AF$109*'BTX recycling rates'!AH51</f>
        <v>309.3756108904322</v>
      </c>
      <c r="AG111" s="203">
        <f>AG$109*'BTX recycling rates'!AI51</f>
        <v>0</v>
      </c>
      <c r="AH111" s="217"/>
      <c r="AI111" s="124"/>
      <c r="AJ111" s="185"/>
      <c r="AL111" s="100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160</v>
      </c>
      <c r="C112" s="203">
        <f>C$109*'BTX recycling rates'!E52</f>
        <v>0</v>
      </c>
      <c r="D112" s="203">
        <f>D$109*'BTX recycling rates'!F52</f>
        <v>4229.4945593073853</v>
      </c>
      <c r="E112" s="203">
        <f>E$109*'BTX recycling rates'!G52</f>
        <v>8511.8447034901546</v>
      </c>
      <c r="F112" s="203">
        <f>F$109*'BTX recycling rates'!H52</f>
        <v>12834.698785724902</v>
      </c>
      <c r="G112" s="203">
        <f>G$109*'BTX recycling rates'!I52</f>
        <v>17154.48344166953</v>
      </c>
      <c r="H112" s="203">
        <f>H$109*'BTX recycling rates'!J52</f>
        <v>21437.37028941543</v>
      </c>
      <c r="I112" s="203">
        <f>I$109*'BTX recycling rates'!K52</f>
        <v>25651.098381750475</v>
      </c>
      <c r="J112" s="203">
        <f>J$109*'BTX recycling rates'!L52</f>
        <v>29764.987039633143</v>
      </c>
      <c r="K112" s="203">
        <f>K$109*'BTX recycling rates'!M52</f>
        <v>33749.948408379329</v>
      </c>
      <c r="L112" s="203">
        <f>L$109*'BTX recycling rates'!N52</f>
        <v>37578.499738971143</v>
      </c>
      <c r="M112" s="203">
        <f>M$109*'BTX recycling rates'!O52</f>
        <v>41224.77539688244</v>
      </c>
      <c r="N112" s="203">
        <f>N$109*'BTX recycling rates'!P52</f>
        <v>42955.252711359339</v>
      </c>
      <c r="O112" s="203">
        <f>O$109*'BTX recycling rates'!Q52</f>
        <v>44304.794879421941</v>
      </c>
      <c r="P112" s="203">
        <f>P$109*'BTX recycling rates'!R52</f>
        <v>45288.431140379136</v>
      </c>
      <c r="Q112" s="203">
        <f>Q$109*'BTX recycling rates'!S52</f>
        <v>45921.664373722764</v>
      </c>
      <c r="R112" s="203">
        <f>R$109*'BTX recycling rates'!T52</f>
        <v>46220.471387087957</v>
      </c>
      <c r="S112" s="203">
        <f>S$109*'BTX recycling rates'!U52</f>
        <v>46201.303162677679</v>
      </c>
      <c r="T112" s="203">
        <f>T$109*'BTX recycling rates'!V52</f>
        <v>45881.085062572667</v>
      </c>
      <c r="U112" s="203">
        <f>U$109*'BTX recycling rates'!W52</f>
        <v>45277.21699334625</v>
      </c>
      <c r="V112" s="203">
        <f>V$109*'BTX recycling rates'!X52</f>
        <v>44407.573530400718</v>
      </c>
      <c r="W112" s="203">
        <f>W$109*'BTX recycling rates'!Y52</f>
        <v>43290.504002438029</v>
      </c>
      <c r="X112" s="203">
        <f>X$109*'BTX recycling rates'!Z52</f>
        <v>42397.109257503915</v>
      </c>
      <c r="Y112" s="203">
        <f>Y$109*'BTX recycling rates'!AA52</f>
        <v>41294.782557611703</v>
      </c>
      <c r="Z112" s="203">
        <f>Z$109*'BTX recycling rates'!AB52</f>
        <v>39996.783702038687</v>
      </c>
      <c r="AA112" s="203">
        <f>AA$109*'BTX recycling rates'!AC52</f>
        <v>38516.727572644166</v>
      </c>
      <c r="AB112" s="203">
        <f>AB$109*'BTX recycling rates'!AD52</f>
        <v>36868.58416867003</v>
      </c>
      <c r="AC112" s="203">
        <f>AC$109*'BTX recycling rates'!AE52</f>
        <v>35066.678612344898</v>
      </c>
      <c r="AD112" s="203">
        <f>AD$109*'BTX recycling rates'!AF52</f>
        <v>33125.691125595476</v>
      </c>
      <c r="AE112" s="203">
        <f>AE$109*'BTX recycling rates'!AG52</f>
        <v>31060.656978165865</v>
      </c>
      <c r="AF112" s="203">
        <f>AF$109*'BTX recycling rates'!AH52</f>
        <v>28886.966407444092</v>
      </c>
      <c r="AG112" s="203">
        <f>AG$109*'BTX recycling rates'!AI52</f>
        <v>26620.364510292773</v>
      </c>
      <c r="AH112" s="217"/>
      <c r="AI112" s="124"/>
      <c r="AJ112" s="185"/>
      <c r="AL112" s="100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1040</v>
      </c>
      <c r="C113" s="203">
        <f>C$109*'BTX recycling rates'!E53</f>
        <v>0</v>
      </c>
      <c r="D113" s="203">
        <f>D$109*'BTX recycling rates'!F53</f>
        <v>4229.4945593073853</v>
      </c>
      <c r="E113" s="203">
        <f>E$109*'BTX recycling rates'!G53</f>
        <v>8511.8447034901546</v>
      </c>
      <c r="F113" s="203">
        <f>F$109*'BTX recycling rates'!H53</f>
        <v>12834.698785724902</v>
      </c>
      <c r="G113" s="203">
        <f>G$109*'BTX recycling rates'!I53</f>
        <v>17154.48344166953</v>
      </c>
      <c r="H113" s="203">
        <f>H$109*'BTX recycling rates'!J53</f>
        <v>21437.37028941543</v>
      </c>
      <c r="I113" s="203">
        <f>I$109*'BTX recycling rates'!K53</f>
        <v>25651.098381750475</v>
      </c>
      <c r="J113" s="203">
        <f>J$109*'BTX recycling rates'!L53</f>
        <v>29764.987039633143</v>
      </c>
      <c r="K113" s="203">
        <f>K$109*'BTX recycling rates'!M53</f>
        <v>33749.948408379329</v>
      </c>
      <c r="L113" s="203">
        <f>L$109*'BTX recycling rates'!N53</f>
        <v>37578.499738971143</v>
      </c>
      <c r="M113" s="203">
        <f>M$109*'BTX recycling rates'!O53</f>
        <v>41224.77539688244</v>
      </c>
      <c r="N113" s="203">
        <f>N$109*'BTX recycling rates'!P53</f>
        <v>42955.252711359339</v>
      </c>
      <c r="O113" s="203">
        <f>O$109*'BTX recycling rates'!Q53</f>
        <v>44304.794879421941</v>
      </c>
      <c r="P113" s="203">
        <f>P$109*'BTX recycling rates'!R53</f>
        <v>45288.431140379136</v>
      </c>
      <c r="Q113" s="203">
        <f>Q$109*'BTX recycling rates'!S53</f>
        <v>45921.664373722764</v>
      </c>
      <c r="R113" s="203">
        <f>R$109*'BTX recycling rates'!T53</f>
        <v>46220.471387087957</v>
      </c>
      <c r="S113" s="203">
        <f>S$109*'BTX recycling rates'!U53</f>
        <v>46201.303162677679</v>
      </c>
      <c r="T113" s="203">
        <f>T$109*'BTX recycling rates'!V53</f>
        <v>45881.085062572667</v>
      </c>
      <c r="U113" s="203">
        <f>U$109*'BTX recycling rates'!W53</f>
        <v>45277.21699334625</v>
      </c>
      <c r="V113" s="203">
        <f>V$109*'BTX recycling rates'!X53</f>
        <v>44407.573530400718</v>
      </c>
      <c r="W113" s="203">
        <f>W$109*'BTX recycling rates'!Y53</f>
        <v>43290.504002438029</v>
      </c>
      <c r="X113" s="203">
        <f>X$109*'BTX recycling rates'!Z53</f>
        <v>42397.109257503915</v>
      </c>
      <c r="Y113" s="203">
        <f>Y$109*'BTX recycling rates'!AA53</f>
        <v>41294.782557611703</v>
      </c>
      <c r="Z113" s="203">
        <f>Z$109*'BTX recycling rates'!AB53</f>
        <v>39996.783702038687</v>
      </c>
      <c r="AA113" s="203">
        <f>AA$109*'BTX recycling rates'!AC53</f>
        <v>38516.727572644166</v>
      </c>
      <c r="AB113" s="203">
        <f>AB$109*'BTX recycling rates'!AD53</f>
        <v>36868.58416867003</v>
      </c>
      <c r="AC113" s="203">
        <f>AC$109*'BTX recycling rates'!AE53</f>
        <v>35066.678612344898</v>
      </c>
      <c r="AD113" s="203">
        <f>AD$109*'BTX recycling rates'!AF53</f>
        <v>33125.691125595476</v>
      </c>
      <c r="AE113" s="203">
        <f>AE$109*'BTX recycling rates'!AG53</f>
        <v>31060.656978165865</v>
      </c>
      <c r="AF113" s="203">
        <f>AF$109*'BTX recycling rates'!AH53</f>
        <v>28886.966407444092</v>
      </c>
      <c r="AG113" s="203">
        <f>AG$109*'BTX recycling rates'!AI53</f>
        <v>26620.364510292773</v>
      </c>
      <c r="AH113" s="217"/>
      <c r="AI113" s="124"/>
      <c r="AJ113" s="185"/>
      <c r="AL113" s="100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s="1" customFormat="1" outlineLevel="1">
      <c r="A114" s="1" t="s">
        <v>1047</v>
      </c>
      <c r="B114" s="60"/>
      <c r="C114" s="250">
        <f>C109-$C109</f>
        <v>0</v>
      </c>
      <c r="D114" s="250">
        <f t="shared" ref="D114:AG114" si="55">D109-$C109</f>
        <v>3329.9697548696713</v>
      </c>
      <c r="E114" s="250">
        <f t="shared" si="55"/>
        <v>4915.6373011312098</v>
      </c>
      <c r="F114" s="250">
        <f t="shared" si="55"/>
        <v>6254.2719109245809</v>
      </c>
      <c r="G114" s="250">
        <f t="shared" si="55"/>
        <v>6877.5478214695177</v>
      </c>
      <c r="H114" s="250">
        <f t="shared" si="55"/>
        <v>6808.7396694117342</v>
      </c>
      <c r="I114" s="250">
        <f t="shared" si="55"/>
        <v>6071.2800139313331</v>
      </c>
      <c r="J114" s="250">
        <f t="shared" si="55"/>
        <v>4688.7565361392335</v>
      </c>
      <c r="K114" s="250">
        <f t="shared" si="55"/>
        <v>2684.909259271546</v>
      </c>
      <c r="L114" s="250">
        <f t="shared" si="55"/>
        <v>83.62778956751572</v>
      </c>
      <c r="M114" s="250">
        <f t="shared" si="55"/>
        <v>-3091.0514222787751</v>
      </c>
      <c r="N114" s="250">
        <f t="shared" si="55"/>
        <v>-16138.325377977046</v>
      </c>
      <c r="O114" s="250">
        <f t="shared" si="55"/>
        <v>-28915.72940646371</v>
      </c>
      <c r="P114" s="250">
        <f t="shared" si="55"/>
        <v>-41416.175463362015</v>
      </c>
      <c r="Q114" s="250">
        <f t="shared" si="55"/>
        <v>-53632.570773332991</v>
      </c>
      <c r="R114" s="250">
        <f t="shared" si="55"/>
        <v>-65557.818255221588</v>
      </c>
      <c r="S114" s="250">
        <f t="shared" si="55"/>
        <v>-77184.816943532147</v>
      </c>
      <c r="T114" s="250">
        <f t="shared" si="55"/>
        <v>-88506.462406258157</v>
      </c>
      <c r="U114" s="250">
        <f t="shared" si="55"/>
        <v>-99515.647159085929</v>
      </c>
      <c r="V114" s="250">
        <f t="shared" si="55"/>
        <v>-110205.26107599222</v>
      </c>
      <c r="W114" s="250">
        <f t="shared" si="55"/>
        <v>-120568.19179625934</v>
      </c>
      <c r="X114" s="250">
        <f t="shared" si="55"/>
        <v>-129305.10592499083</v>
      </c>
      <c r="Y114" s="250">
        <f t="shared" si="55"/>
        <v>-137817.5695555415</v>
      </c>
      <c r="Z114" s="250">
        <f t="shared" si="55"/>
        <v>-146100.2680591247</v>
      </c>
      <c r="AA114" s="250">
        <f t="shared" si="55"/>
        <v>-154147.884871963</v>
      </c>
      <c r="AB114" s="250">
        <f t="shared" si="55"/>
        <v>-161955.10179876536</v>
      </c>
      <c r="AC114" s="250">
        <f t="shared" si="55"/>
        <v>-169516.59931354673</v>
      </c>
      <c r="AD114" s="250">
        <f t="shared" si="55"/>
        <v>-176827.0568578057</v>
      </c>
      <c r="AE114" s="250">
        <f t="shared" si="55"/>
        <v>-183881.15313607515</v>
      </c>
      <c r="AF114" s="250">
        <f t="shared" si="55"/>
        <v>-190673.56640886152</v>
      </c>
      <c r="AG114" s="250">
        <f t="shared" si="55"/>
        <v>-197198.97478298791</v>
      </c>
      <c r="AH114" s="217"/>
      <c r="AI114" s="368"/>
      <c r="AJ114" s="369"/>
      <c r="AL114" s="194"/>
      <c r="AM114" s="116"/>
      <c r="AN114" s="116"/>
      <c r="AO114" s="116"/>
      <c r="BD114" s="116"/>
      <c r="BE114" s="116"/>
      <c r="BF114" s="116"/>
      <c r="BG114" s="116"/>
      <c r="BH114" s="116"/>
      <c r="BI114" s="116"/>
      <c r="BJ114" s="116"/>
      <c r="BK114" s="116"/>
    </row>
    <row r="115" spans="1:63" outlineLevel="1">
      <c r="A115" s="4" t="s">
        <v>35</v>
      </c>
      <c r="C115" s="203">
        <f>C110-$C110</f>
        <v>0</v>
      </c>
      <c r="D115" s="203">
        <f t="shared" ref="D115:AG115" si="56">D110-$C110</f>
        <v>-4332.51808320501</v>
      </c>
      <c r="E115" s="203">
        <f t="shared" si="56"/>
        <v>-10227.755245337117</v>
      </c>
      <c r="F115" s="203">
        <f t="shared" si="56"/>
        <v>-16400.090747659589</v>
      </c>
      <c r="G115" s="203">
        <f t="shared" si="56"/>
        <v>-23171.509153115097</v>
      </c>
      <c r="H115" s="203">
        <f t="shared" si="56"/>
        <v>-30465.200079660281</v>
      </c>
      <c r="I115" s="203">
        <f t="shared" si="56"/>
        <v>-38206.86779282536</v>
      </c>
      <c r="J115" s="203">
        <f t="shared" si="56"/>
        <v>-46324.755252451665</v>
      </c>
      <c r="K115" s="203">
        <f t="shared" si="56"/>
        <v>-54749.667673408228</v>
      </c>
      <c r="L115" s="203">
        <f t="shared" si="56"/>
        <v>-63414.995604453783</v>
      </c>
      <c r="M115" s="203">
        <f t="shared" si="56"/>
        <v>-72256.73752938339</v>
      </c>
      <c r="N115" s="203">
        <f t="shared" si="56"/>
        <v>-86201.352238824184</v>
      </c>
      <c r="O115" s="203">
        <f t="shared" si="56"/>
        <v>-99274.448858064192</v>
      </c>
      <c r="P115" s="203">
        <f t="shared" si="56"/>
        <v>-111495.43067156586</v>
      </c>
      <c r="Q115" s="203">
        <f t="shared" si="56"/>
        <v>-122884.49714178327</v>
      </c>
      <c r="R115" s="203">
        <f t="shared" si="56"/>
        <v>-133462.6447547701</v>
      </c>
      <c r="S115" s="203">
        <f t="shared" si="56"/>
        <v>-143251.66779251589</v>
      </c>
      <c r="T115" s="203">
        <f t="shared" si="56"/>
        <v>-152274.15903274334</v>
      </c>
      <c r="U115" s="203">
        <f t="shared" si="56"/>
        <v>-160553.5103768913</v>
      </c>
      <c r="V115" s="203">
        <f t="shared" si="56"/>
        <v>-168113.91340700517</v>
      </c>
      <c r="W115" s="203">
        <f t="shared" si="56"/>
        <v>-174980.35987225131</v>
      </c>
      <c r="X115" s="203">
        <f t="shared" si="56"/>
        <v>-180851.17815990478</v>
      </c>
      <c r="Y115" s="203">
        <f t="shared" si="56"/>
        <v>-186179.42903050894</v>
      </c>
      <c r="Z115" s="203">
        <f t="shared" si="56"/>
        <v>-190983.02446849147</v>
      </c>
      <c r="AA115" s="203">
        <f t="shared" si="56"/>
        <v>-195280.47470519945</v>
      </c>
      <c r="AB115" s="203">
        <f t="shared" si="56"/>
        <v>-199090.88853404077</v>
      </c>
      <c r="AC115" s="203">
        <f t="shared" si="56"/>
        <v>-202433.97357405658</v>
      </c>
      <c r="AD115" s="203">
        <f t="shared" si="56"/>
        <v>-205330.0364824495</v>
      </c>
      <c r="AE115" s="203">
        <f t="shared" si="56"/>
        <v>-207799.98311658972</v>
      </c>
      <c r="AF115" s="203">
        <f t="shared" si="56"/>
        <v>-209865.31864601636</v>
      </c>
      <c r="AG115" s="203">
        <f t="shared" si="56"/>
        <v>-211548.14761494964</v>
      </c>
      <c r="AH115" s="217"/>
      <c r="AI115" s="124"/>
      <c r="AJ115" s="185"/>
      <c r="AL115" s="100"/>
      <c r="AM115" s="2"/>
      <c r="AN115" s="2"/>
      <c r="AO115" s="2"/>
      <c r="BC115" s="1"/>
      <c r="BD115" s="2"/>
      <c r="BE115" s="2"/>
      <c r="BF115" s="2"/>
      <c r="BG115" s="2"/>
      <c r="BH115" s="2"/>
      <c r="BI115" s="2"/>
      <c r="BJ115" s="2"/>
      <c r="BK115" s="2"/>
    </row>
    <row r="116" spans="1:63" outlineLevel="1">
      <c r="A116" s="4" t="s">
        <v>74</v>
      </c>
      <c r="C116" s="203">
        <f t="shared" ref="C116:AG116" si="57">C111-$C111</f>
        <v>0</v>
      </c>
      <c r="D116" s="203">
        <f t="shared" si="57"/>
        <v>-796.50128054010565</v>
      </c>
      <c r="E116" s="203">
        <f t="shared" si="57"/>
        <v>-1880.2968605119968</v>
      </c>
      <c r="F116" s="203">
        <f t="shared" si="57"/>
        <v>-3015.0349128656526</v>
      </c>
      <c r="G116" s="203">
        <f t="shared" si="57"/>
        <v>-4259.9099087545037</v>
      </c>
      <c r="H116" s="203">
        <f t="shared" si="57"/>
        <v>-5600.8008297589113</v>
      </c>
      <c r="I116" s="203">
        <f t="shared" si="57"/>
        <v>-7024.0489567443401</v>
      </c>
      <c r="J116" s="203">
        <f t="shared" si="57"/>
        <v>-8516.4622906754666</v>
      </c>
      <c r="K116" s="203">
        <f t="shared" si="57"/>
        <v>-10065.319884078996</v>
      </c>
      <c r="L116" s="203">
        <f t="shared" si="57"/>
        <v>-11658.376083921106</v>
      </c>
      <c r="M116" s="203">
        <f t="shared" si="57"/>
        <v>-13283.864686660399</v>
      </c>
      <c r="N116" s="203">
        <f t="shared" si="57"/>
        <v>-15847.478561871671</v>
      </c>
      <c r="O116" s="203">
        <f t="shared" si="57"/>
        <v>-18250.870307243546</v>
      </c>
      <c r="P116" s="203">
        <f t="shared" si="57"/>
        <v>-20497.607072554569</v>
      </c>
      <c r="Q116" s="203">
        <f t="shared" si="57"/>
        <v>-22591.402378995394</v>
      </c>
      <c r="R116" s="203">
        <f t="shared" si="57"/>
        <v>-24536.116274627544</v>
      </c>
      <c r="S116" s="203">
        <f t="shared" si="57"/>
        <v>-26335.755476371713</v>
      </c>
      <c r="T116" s="203">
        <f t="shared" si="57"/>
        <v>-27994.473498660245</v>
      </c>
      <c r="U116" s="203">
        <f t="shared" si="57"/>
        <v>-29516.570768887228</v>
      </c>
      <c r="V116" s="203">
        <f t="shared" si="57"/>
        <v>-30906.494729788581</v>
      </c>
      <c r="W116" s="203">
        <f t="shared" si="57"/>
        <v>-32168.839928884183</v>
      </c>
      <c r="X116" s="203">
        <f t="shared" si="57"/>
        <v>-33248.146280093948</v>
      </c>
      <c r="Y116" s="203">
        <f t="shared" si="57"/>
        <v>-34227.705640256085</v>
      </c>
      <c r="Z116" s="203">
        <f t="shared" si="57"/>
        <v>-35110.810994710686</v>
      </c>
      <c r="AA116" s="203">
        <f t="shared" si="57"/>
        <v>-35900.865312051981</v>
      </c>
      <c r="AB116" s="203">
        <f t="shared" si="57"/>
        <v>-36601.381602064721</v>
      </c>
      <c r="AC116" s="203">
        <f t="shared" si="57"/>
        <v>-37215.982964180046</v>
      </c>
      <c r="AD116" s="203">
        <f t="shared" si="57"/>
        <v>-37748.40262654722</v>
      </c>
      <c r="AE116" s="203">
        <f t="shared" si="57"/>
        <v>-38202.483975817231</v>
      </c>
      <c r="AF116" s="203">
        <f t="shared" si="57"/>
        <v>-38582.180577733401</v>
      </c>
      <c r="AG116" s="203">
        <f t="shared" si="57"/>
        <v>-38891.556188623836</v>
      </c>
      <c r="AH116" s="217"/>
      <c r="AI116" s="124"/>
      <c r="AJ116" s="185"/>
      <c r="AL116" s="100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160</v>
      </c>
      <c r="C117" s="203">
        <f t="shared" ref="C117:AG117" si="58">C112-$C112</f>
        <v>0</v>
      </c>
      <c r="D117" s="203">
        <f t="shared" si="58"/>
        <v>4229.4945593073853</v>
      </c>
      <c r="E117" s="203">
        <f t="shared" si="58"/>
        <v>8511.8447034901546</v>
      </c>
      <c r="F117" s="203">
        <f t="shared" si="58"/>
        <v>12834.698785724902</v>
      </c>
      <c r="G117" s="203">
        <f t="shared" si="58"/>
        <v>17154.48344166953</v>
      </c>
      <c r="H117" s="203">
        <f t="shared" si="58"/>
        <v>21437.37028941543</v>
      </c>
      <c r="I117" s="203">
        <f t="shared" si="58"/>
        <v>25651.098381750475</v>
      </c>
      <c r="J117" s="203">
        <f t="shared" si="58"/>
        <v>29764.987039633143</v>
      </c>
      <c r="K117" s="203">
        <f t="shared" si="58"/>
        <v>33749.948408379329</v>
      </c>
      <c r="L117" s="203">
        <f t="shared" si="58"/>
        <v>37578.499738971143</v>
      </c>
      <c r="M117" s="203">
        <f t="shared" si="58"/>
        <v>41224.77539688244</v>
      </c>
      <c r="N117" s="203">
        <f t="shared" si="58"/>
        <v>42955.252711359339</v>
      </c>
      <c r="O117" s="203">
        <f t="shared" si="58"/>
        <v>44304.794879421941</v>
      </c>
      <c r="P117" s="203">
        <f t="shared" si="58"/>
        <v>45288.431140379136</v>
      </c>
      <c r="Q117" s="203">
        <f t="shared" si="58"/>
        <v>45921.664373722764</v>
      </c>
      <c r="R117" s="203">
        <f t="shared" si="58"/>
        <v>46220.471387087957</v>
      </c>
      <c r="S117" s="203">
        <f t="shared" si="58"/>
        <v>46201.303162677679</v>
      </c>
      <c r="T117" s="203">
        <f t="shared" si="58"/>
        <v>45881.085062572667</v>
      </c>
      <c r="U117" s="203">
        <f t="shared" si="58"/>
        <v>45277.21699334625</v>
      </c>
      <c r="V117" s="203">
        <f t="shared" si="58"/>
        <v>44407.573530400718</v>
      </c>
      <c r="W117" s="203">
        <f t="shared" si="58"/>
        <v>43290.504002438029</v>
      </c>
      <c r="X117" s="203">
        <f t="shared" si="58"/>
        <v>42397.109257503915</v>
      </c>
      <c r="Y117" s="203">
        <f t="shared" si="58"/>
        <v>41294.782557611703</v>
      </c>
      <c r="Z117" s="203">
        <f t="shared" si="58"/>
        <v>39996.783702038687</v>
      </c>
      <c r="AA117" s="203">
        <f t="shared" si="58"/>
        <v>38516.727572644166</v>
      </c>
      <c r="AB117" s="203">
        <f t="shared" si="58"/>
        <v>36868.58416867003</v>
      </c>
      <c r="AC117" s="203">
        <f t="shared" si="58"/>
        <v>35066.678612344898</v>
      </c>
      <c r="AD117" s="203">
        <f t="shared" si="58"/>
        <v>33125.691125595476</v>
      </c>
      <c r="AE117" s="203">
        <f t="shared" si="58"/>
        <v>31060.656978165865</v>
      </c>
      <c r="AF117" s="203">
        <f t="shared" si="58"/>
        <v>28886.966407444092</v>
      </c>
      <c r="AG117" s="203">
        <f t="shared" si="58"/>
        <v>26620.364510292773</v>
      </c>
      <c r="AH117" s="217"/>
      <c r="AI117" s="124"/>
      <c r="AJ117" s="185"/>
      <c r="AL117" s="100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1040</v>
      </c>
      <c r="C118" s="203">
        <f t="shared" ref="C118:AG118" si="59">C113-$C113</f>
        <v>0</v>
      </c>
      <c r="D118" s="203">
        <f t="shared" si="59"/>
        <v>4229.4945593073853</v>
      </c>
      <c r="E118" s="203">
        <f t="shared" si="59"/>
        <v>8511.8447034901546</v>
      </c>
      <c r="F118" s="203">
        <f t="shared" si="59"/>
        <v>12834.698785724902</v>
      </c>
      <c r="G118" s="203">
        <f t="shared" si="59"/>
        <v>17154.48344166953</v>
      </c>
      <c r="H118" s="203">
        <f t="shared" si="59"/>
        <v>21437.37028941543</v>
      </c>
      <c r="I118" s="203">
        <f t="shared" si="59"/>
        <v>25651.098381750475</v>
      </c>
      <c r="J118" s="203">
        <f t="shared" si="59"/>
        <v>29764.987039633143</v>
      </c>
      <c r="K118" s="203">
        <f t="shared" si="59"/>
        <v>33749.948408379329</v>
      </c>
      <c r="L118" s="203">
        <f t="shared" si="59"/>
        <v>37578.499738971143</v>
      </c>
      <c r="M118" s="203">
        <f t="shared" si="59"/>
        <v>41224.77539688244</v>
      </c>
      <c r="N118" s="203">
        <f t="shared" si="59"/>
        <v>42955.252711359339</v>
      </c>
      <c r="O118" s="203">
        <f t="shared" si="59"/>
        <v>44304.794879421941</v>
      </c>
      <c r="P118" s="203">
        <f t="shared" si="59"/>
        <v>45288.431140379136</v>
      </c>
      <c r="Q118" s="203">
        <f t="shared" si="59"/>
        <v>45921.664373722764</v>
      </c>
      <c r="R118" s="203">
        <f t="shared" si="59"/>
        <v>46220.471387087957</v>
      </c>
      <c r="S118" s="203">
        <f t="shared" si="59"/>
        <v>46201.303162677679</v>
      </c>
      <c r="T118" s="203">
        <f t="shared" si="59"/>
        <v>45881.085062572667</v>
      </c>
      <c r="U118" s="203">
        <f t="shared" si="59"/>
        <v>45277.21699334625</v>
      </c>
      <c r="V118" s="203">
        <f t="shared" si="59"/>
        <v>44407.573530400718</v>
      </c>
      <c r="W118" s="203">
        <f t="shared" si="59"/>
        <v>43290.504002438029</v>
      </c>
      <c r="X118" s="203">
        <f t="shared" si="59"/>
        <v>42397.109257503915</v>
      </c>
      <c r="Y118" s="203">
        <f t="shared" si="59"/>
        <v>41294.782557611703</v>
      </c>
      <c r="Z118" s="203">
        <f t="shared" si="59"/>
        <v>39996.783702038687</v>
      </c>
      <c r="AA118" s="203">
        <f t="shared" si="59"/>
        <v>38516.727572644166</v>
      </c>
      <c r="AB118" s="203">
        <f t="shared" si="59"/>
        <v>36868.58416867003</v>
      </c>
      <c r="AC118" s="203">
        <f t="shared" si="59"/>
        <v>35066.678612344898</v>
      </c>
      <c r="AD118" s="203">
        <f t="shared" si="59"/>
        <v>33125.691125595476</v>
      </c>
      <c r="AE118" s="203">
        <f t="shared" si="59"/>
        <v>31060.656978165865</v>
      </c>
      <c r="AF118" s="203">
        <f t="shared" si="59"/>
        <v>28886.966407444092</v>
      </c>
      <c r="AG118" s="203">
        <f t="shared" si="59"/>
        <v>26620.364510292773</v>
      </c>
      <c r="AH118" s="217"/>
      <c r="AI118" s="124"/>
      <c r="AJ118" s="185"/>
      <c r="AL118" s="100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I119" s="125"/>
      <c r="AJ119" s="185"/>
      <c r="AL119" s="100"/>
      <c r="AM119" s="123"/>
      <c r="AN119" s="2"/>
      <c r="AO119" s="2"/>
    </row>
    <row r="120" spans="1:63" s="174" customFormat="1" ht="15.5" thickBot="1">
      <c r="A120" s="174" t="s">
        <v>421</v>
      </c>
      <c r="B120" s="189"/>
      <c r="C120" s="195">
        <f>C121</f>
        <v>0.19</v>
      </c>
      <c r="D120" s="195">
        <f t="shared" ref="D120:AG120" si="60">D121</f>
        <v>0.20515750741304789</v>
      </c>
      <c r="E120" s="195">
        <f t="shared" si="60"/>
        <v>0.22031501482609578</v>
      </c>
      <c r="F120" s="195">
        <f t="shared" si="60"/>
        <v>0.23547252223914367</v>
      </c>
      <c r="G120" s="195">
        <f t="shared" si="60"/>
        <v>0.25063002965219155</v>
      </c>
      <c r="H120" s="195">
        <f t="shared" si="60"/>
        <v>0.26578753706523939</v>
      </c>
      <c r="I120" s="195">
        <f t="shared" si="60"/>
        <v>0.28094504447828728</v>
      </c>
      <c r="J120" s="195">
        <f t="shared" si="60"/>
        <v>0.29610255189133516</v>
      </c>
      <c r="K120" s="195">
        <f t="shared" si="60"/>
        <v>0.31126005930438305</v>
      </c>
      <c r="L120" s="195">
        <f t="shared" si="60"/>
        <v>0.32641756671743094</v>
      </c>
      <c r="M120" s="195">
        <f t="shared" si="60"/>
        <v>0.34157507413047883</v>
      </c>
      <c r="N120" s="195">
        <f t="shared" si="60"/>
        <v>0.35175830083520832</v>
      </c>
      <c r="O120" s="195">
        <f t="shared" si="60"/>
        <v>0.3619415275399378</v>
      </c>
      <c r="P120" s="195">
        <f t="shared" si="60"/>
        <v>0.37212475424466734</v>
      </c>
      <c r="Q120" s="195">
        <f t="shared" si="60"/>
        <v>0.38230798094939683</v>
      </c>
      <c r="R120" s="195">
        <f t="shared" si="60"/>
        <v>0.39249120765412632</v>
      </c>
      <c r="S120" s="195">
        <f t="shared" si="60"/>
        <v>0.4026744343588558</v>
      </c>
      <c r="T120" s="195">
        <f t="shared" si="60"/>
        <v>0.41285766106358529</v>
      </c>
      <c r="U120" s="195">
        <f t="shared" si="60"/>
        <v>0.42304088776831483</v>
      </c>
      <c r="V120" s="195">
        <f t="shared" si="60"/>
        <v>0.43322411447304432</v>
      </c>
      <c r="W120" s="195">
        <f t="shared" si="60"/>
        <v>0.44340734117777381</v>
      </c>
      <c r="X120" s="195">
        <f t="shared" si="60"/>
        <v>0.45906660705999641</v>
      </c>
      <c r="Y120" s="195">
        <f t="shared" si="60"/>
        <v>0.47472587294221902</v>
      </c>
      <c r="Z120" s="195">
        <f t="shared" si="60"/>
        <v>0.49038513882444168</v>
      </c>
      <c r="AA120" s="195">
        <f t="shared" si="60"/>
        <v>0.50604440470666423</v>
      </c>
      <c r="AB120" s="195">
        <f t="shared" si="60"/>
        <v>0.52170367058888689</v>
      </c>
      <c r="AC120" s="195">
        <f t="shared" si="60"/>
        <v>0.53736293647110944</v>
      </c>
      <c r="AD120" s="195">
        <f t="shared" si="60"/>
        <v>0.5530222023533321</v>
      </c>
      <c r="AE120" s="195">
        <f t="shared" si="60"/>
        <v>0.56868146823555477</v>
      </c>
      <c r="AF120" s="195">
        <f t="shared" si="60"/>
        <v>0.58434073411777732</v>
      </c>
      <c r="AG120" s="195">
        <f t="shared" si="60"/>
        <v>0.6</v>
      </c>
      <c r="AJ120" s="204" t="s">
        <v>457</v>
      </c>
      <c r="AL120" s="191"/>
      <c r="AM120" s="192"/>
      <c r="AN120" s="192"/>
      <c r="AO120" s="192"/>
    </row>
    <row r="121" spans="1:63" ht="15.5" outlineLevel="1" thickTop="1">
      <c r="A121" t="s">
        <v>413</v>
      </c>
      <c r="B121" s="50" t="s">
        <v>126</v>
      </c>
      <c r="C121" s="118">
        <f>'Ethylene Recycling HC'!C104</f>
        <v>0.19</v>
      </c>
      <c r="D121" s="102">
        <f>'Ethylene Recycling HC'!D104</f>
        <v>0.20515750741304789</v>
      </c>
      <c r="E121" s="102">
        <f>'Ethylene Recycling HC'!E104</f>
        <v>0.22031501482609578</v>
      </c>
      <c r="F121" s="102">
        <f>'Ethylene Recycling HC'!F104</f>
        <v>0.23547252223914367</v>
      </c>
      <c r="G121" s="102">
        <f>'Ethylene Recycling HC'!G104</f>
        <v>0.25063002965219155</v>
      </c>
      <c r="H121" s="102">
        <f>'Ethylene Recycling HC'!H104</f>
        <v>0.26578753706523939</v>
      </c>
      <c r="I121" s="102">
        <f>'Ethylene Recycling HC'!I104</f>
        <v>0.28094504447828728</v>
      </c>
      <c r="J121" s="102">
        <f>'Ethylene Recycling HC'!J104</f>
        <v>0.29610255189133516</v>
      </c>
      <c r="K121" s="102">
        <f>'Ethylene Recycling HC'!K104</f>
        <v>0.31126005930438305</v>
      </c>
      <c r="L121" s="102">
        <f>'Ethylene Recycling HC'!L104</f>
        <v>0.32641756671743094</v>
      </c>
      <c r="M121" s="113">
        <f>'Ethylene Recycling HC'!M104</f>
        <v>0.34157507413047883</v>
      </c>
      <c r="N121" s="113">
        <f>'Ethylene Recycling HC'!N104</f>
        <v>0.35175830083520832</v>
      </c>
      <c r="O121" s="113">
        <f>'Ethylene Recycling HC'!O104</f>
        <v>0.3619415275399378</v>
      </c>
      <c r="P121" s="113">
        <f>'Ethylene Recycling HC'!P104</f>
        <v>0.37212475424466734</v>
      </c>
      <c r="Q121" s="113">
        <f>'Ethylene Recycling HC'!Q104</f>
        <v>0.38230798094939683</v>
      </c>
      <c r="R121" s="113">
        <f>'Ethylene Recycling HC'!R104</f>
        <v>0.39249120765412632</v>
      </c>
      <c r="S121" s="113">
        <f>'Ethylene Recycling HC'!S104</f>
        <v>0.4026744343588558</v>
      </c>
      <c r="T121" s="113">
        <f>'Ethylene Recycling HC'!T104</f>
        <v>0.41285766106358529</v>
      </c>
      <c r="U121" s="113">
        <f>'Ethylene Recycling HC'!U104</f>
        <v>0.42304088776831483</v>
      </c>
      <c r="V121" s="113">
        <f>'Ethylene Recycling HC'!V104</f>
        <v>0.43322411447304432</v>
      </c>
      <c r="W121" s="113">
        <f>'Ethylene Recycling HC'!W104</f>
        <v>0.44340734117777381</v>
      </c>
      <c r="X121" s="102">
        <f>'Ethylene Recycling HC'!X104</f>
        <v>0.45906660705999641</v>
      </c>
      <c r="Y121" s="102">
        <f>'Ethylene Recycling HC'!Y104</f>
        <v>0.47472587294221902</v>
      </c>
      <c r="Z121" s="102">
        <f>'Ethylene Recycling HC'!Z104</f>
        <v>0.49038513882444168</v>
      </c>
      <c r="AA121" s="102">
        <f>'Ethylene Recycling HC'!AA104</f>
        <v>0.50604440470666423</v>
      </c>
      <c r="AB121" s="102">
        <f>'Ethylene Recycling HC'!AB104</f>
        <v>0.52170367058888689</v>
      </c>
      <c r="AC121" s="102">
        <f>'Ethylene Recycling HC'!AC104</f>
        <v>0.53736293647110944</v>
      </c>
      <c r="AD121" s="102">
        <f>'Ethylene Recycling HC'!AD104</f>
        <v>0.5530222023533321</v>
      </c>
      <c r="AE121" s="102">
        <f>'Ethylene Recycling HC'!AE104</f>
        <v>0.56868146823555477</v>
      </c>
      <c r="AF121" s="102">
        <f>'Ethylene Recycling HC'!AF104</f>
        <v>0.58434073411777732</v>
      </c>
      <c r="AG121" s="118">
        <f>'Ethylene Recycling HC'!AG104</f>
        <v>0.6</v>
      </c>
      <c r="AJ121" s="185" t="s">
        <v>1469</v>
      </c>
    </row>
    <row r="122" spans="1:63" outlineLevel="1">
      <c r="A122" t="s">
        <v>414</v>
      </c>
      <c r="B122" s="50" t="s">
        <v>126</v>
      </c>
      <c r="C122" s="188">
        <v>0.08</v>
      </c>
      <c r="D122" s="102">
        <f t="shared" ref="D122:AF122" si="61">C122-($C$122-$AG$122)/($AG$1-$C$1)</f>
        <v>0.10400000000000001</v>
      </c>
      <c r="E122" s="102">
        <f t="shared" si="61"/>
        <v>0.128</v>
      </c>
      <c r="F122" s="102">
        <f t="shared" si="61"/>
        <v>0.152</v>
      </c>
      <c r="G122" s="102">
        <f t="shared" si="61"/>
        <v>0.17599999999999999</v>
      </c>
      <c r="H122" s="102">
        <f t="shared" si="61"/>
        <v>0.19999999999999998</v>
      </c>
      <c r="I122" s="102">
        <f t="shared" si="61"/>
        <v>0.22399999999999998</v>
      </c>
      <c r="J122" s="102">
        <f t="shared" si="61"/>
        <v>0.24799999999999997</v>
      </c>
      <c r="K122" s="102">
        <f t="shared" si="61"/>
        <v>0.27199999999999996</v>
      </c>
      <c r="L122" s="102">
        <f t="shared" si="61"/>
        <v>0.29599999999999999</v>
      </c>
      <c r="M122" s="102">
        <f t="shared" si="61"/>
        <v>0.32</v>
      </c>
      <c r="N122" s="102">
        <f t="shared" si="61"/>
        <v>0.34400000000000003</v>
      </c>
      <c r="O122" s="102">
        <f t="shared" si="61"/>
        <v>0.36800000000000005</v>
      </c>
      <c r="P122" s="102">
        <f t="shared" si="61"/>
        <v>0.39200000000000007</v>
      </c>
      <c r="Q122" s="102">
        <f t="shared" si="61"/>
        <v>0.41600000000000009</v>
      </c>
      <c r="R122" s="102">
        <f t="shared" si="61"/>
        <v>0.44000000000000011</v>
      </c>
      <c r="S122" s="102">
        <f t="shared" si="61"/>
        <v>0.46400000000000013</v>
      </c>
      <c r="T122" s="102">
        <f t="shared" si="61"/>
        <v>0.48800000000000016</v>
      </c>
      <c r="U122" s="102">
        <f t="shared" si="61"/>
        <v>0.51200000000000012</v>
      </c>
      <c r="V122" s="102">
        <f t="shared" si="61"/>
        <v>0.53600000000000014</v>
      </c>
      <c r="W122" s="102">
        <f t="shared" si="61"/>
        <v>0.56000000000000016</v>
      </c>
      <c r="X122" s="102">
        <f t="shared" si="61"/>
        <v>0.58400000000000019</v>
      </c>
      <c r="Y122" s="102">
        <f t="shared" si="61"/>
        <v>0.60800000000000021</v>
      </c>
      <c r="Z122" s="102">
        <f t="shared" si="61"/>
        <v>0.63200000000000023</v>
      </c>
      <c r="AA122" s="102">
        <f t="shared" si="61"/>
        <v>0.65600000000000025</v>
      </c>
      <c r="AB122" s="102">
        <f t="shared" si="61"/>
        <v>0.68000000000000027</v>
      </c>
      <c r="AC122" s="102">
        <f t="shared" si="61"/>
        <v>0.70400000000000029</v>
      </c>
      <c r="AD122" s="102">
        <f t="shared" si="61"/>
        <v>0.72800000000000031</v>
      </c>
      <c r="AE122" s="102">
        <f t="shared" si="61"/>
        <v>0.75200000000000033</v>
      </c>
      <c r="AF122" s="102">
        <f t="shared" si="61"/>
        <v>0.77600000000000036</v>
      </c>
      <c r="AG122" s="188">
        <v>0.8</v>
      </c>
      <c r="AI122" s="125"/>
      <c r="AJ122" s="185" t="s">
        <v>1472</v>
      </c>
      <c r="AL122" s="50" t="s">
        <v>298</v>
      </c>
    </row>
    <row r="123" spans="1:63" outlineLevel="1">
      <c r="A123" t="s">
        <v>415</v>
      </c>
      <c r="B123" s="156" t="s">
        <v>126</v>
      </c>
      <c r="C123" s="102">
        <f>1-C122</f>
        <v>0.92</v>
      </c>
      <c r="D123" s="102">
        <f t="shared" ref="D123:AG123" si="62">1-D122</f>
        <v>0.89600000000000002</v>
      </c>
      <c r="E123" s="102">
        <f t="shared" si="62"/>
        <v>0.872</v>
      </c>
      <c r="F123" s="102">
        <f t="shared" si="62"/>
        <v>0.84799999999999998</v>
      </c>
      <c r="G123" s="102">
        <f t="shared" si="62"/>
        <v>0.82400000000000007</v>
      </c>
      <c r="H123" s="102">
        <f t="shared" si="62"/>
        <v>0.8</v>
      </c>
      <c r="I123" s="102">
        <f t="shared" si="62"/>
        <v>0.77600000000000002</v>
      </c>
      <c r="J123" s="102">
        <f t="shared" si="62"/>
        <v>0.752</v>
      </c>
      <c r="K123" s="102">
        <f t="shared" si="62"/>
        <v>0.72799999999999998</v>
      </c>
      <c r="L123" s="102">
        <f t="shared" si="62"/>
        <v>0.70399999999999996</v>
      </c>
      <c r="M123" s="102">
        <f t="shared" si="62"/>
        <v>0.67999999999999994</v>
      </c>
      <c r="N123" s="102">
        <f t="shared" si="62"/>
        <v>0.65599999999999992</v>
      </c>
      <c r="O123" s="102">
        <f t="shared" si="62"/>
        <v>0.6319999999999999</v>
      </c>
      <c r="P123" s="102">
        <f t="shared" si="62"/>
        <v>0.60799999999999987</v>
      </c>
      <c r="Q123" s="102">
        <f t="shared" si="62"/>
        <v>0.58399999999999985</v>
      </c>
      <c r="R123" s="102">
        <f t="shared" si="62"/>
        <v>0.55999999999999983</v>
      </c>
      <c r="S123" s="102">
        <f t="shared" si="62"/>
        <v>0.53599999999999981</v>
      </c>
      <c r="T123" s="102">
        <f t="shared" si="62"/>
        <v>0.51199999999999979</v>
      </c>
      <c r="U123" s="102">
        <f t="shared" si="62"/>
        <v>0.48799999999999988</v>
      </c>
      <c r="V123" s="102">
        <f t="shared" si="62"/>
        <v>0.46399999999999986</v>
      </c>
      <c r="W123" s="102">
        <f t="shared" si="62"/>
        <v>0.43999999999999984</v>
      </c>
      <c r="X123" s="102">
        <f t="shared" si="62"/>
        <v>0.41599999999999981</v>
      </c>
      <c r="Y123" s="102">
        <f t="shared" si="62"/>
        <v>0.39199999999999979</v>
      </c>
      <c r="Z123" s="102">
        <f t="shared" si="62"/>
        <v>0.36799999999999977</v>
      </c>
      <c r="AA123" s="102">
        <f t="shared" si="62"/>
        <v>0.34399999999999975</v>
      </c>
      <c r="AB123" s="102">
        <f t="shared" si="62"/>
        <v>0.31999999999999973</v>
      </c>
      <c r="AC123" s="102">
        <f t="shared" si="62"/>
        <v>0.29599999999999971</v>
      </c>
      <c r="AD123" s="102">
        <f t="shared" si="62"/>
        <v>0.27199999999999969</v>
      </c>
      <c r="AE123" s="102">
        <f t="shared" si="62"/>
        <v>0.24799999999999967</v>
      </c>
      <c r="AF123" s="102">
        <f t="shared" si="62"/>
        <v>0.22399999999999964</v>
      </c>
      <c r="AG123" s="102">
        <f t="shared" si="62"/>
        <v>0.19999999999999996</v>
      </c>
      <c r="AI123" s="125"/>
      <c r="AJ123" s="185"/>
      <c r="BD123" s="605"/>
      <c r="BE123" s="605"/>
    </row>
    <row r="124" spans="1:63" outlineLevel="1">
      <c r="A124" t="s">
        <v>480</v>
      </c>
      <c r="B124" s="50" t="s">
        <v>126</v>
      </c>
      <c r="C124" s="102">
        <f>C121*C122</f>
        <v>1.52E-2</v>
      </c>
      <c r="D124" s="102">
        <f t="shared" ref="D124:AG124" si="63">D121*D122</f>
        <v>2.1336380770956981E-2</v>
      </c>
      <c r="E124" s="102">
        <f t="shared" si="63"/>
        <v>2.8200321897740261E-2</v>
      </c>
      <c r="F124" s="102">
        <f t="shared" si="63"/>
        <v>3.5791823380349835E-2</v>
      </c>
      <c r="G124" s="102">
        <f t="shared" si="63"/>
        <v>4.4110885218785714E-2</v>
      </c>
      <c r="H124" s="102">
        <f t="shared" si="63"/>
        <v>5.3157507413047873E-2</v>
      </c>
      <c r="I124" s="102">
        <f t="shared" si="63"/>
        <v>6.2931689963136347E-2</v>
      </c>
      <c r="J124" s="102">
        <f t="shared" si="63"/>
        <v>7.3433432869051116E-2</v>
      </c>
      <c r="K124" s="102">
        <f t="shared" si="63"/>
        <v>8.4662736130792185E-2</v>
      </c>
      <c r="L124" s="102">
        <f t="shared" si="63"/>
        <v>9.6619599748359555E-2</v>
      </c>
      <c r="M124" s="102">
        <f t="shared" si="63"/>
        <v>0.10930402372175323</v>
      </c>
      <c r="N124" s="102">
        <f t="shared" si="63"/>
        <v>0.12100485548731167</v>
      </c>
      <c r="O124" s="102">
        <f t="shared" si="63"/>
        <v>0.13319448213469712</v>
      </c>
      <c r="P124" s="102">
        <f t="shared" si="63"/>
        <v>0.14587290366390962</v>
      </c>
      <c r="Q124" s="102">
        <f t="shared" si="63"/>
        <v>0.15904012007494911</v>
      </c>
      <c r="R124" s="102">
        <f t="shared" si="63"/>
        <v>0.17269613136781561</v>
      </c>
      <c r="S124" s="102">
        <f t="shared" si="63"/>
        <v>0.18684093754250913</v>
      </c>
      <c r="T124" s="102">
        <f t="shared" si="63"/>
        <v>0.2014745385990297</v>
      </c>
      <c r="U124" s="102">
        <f t="shared" si="63"/>
        <v>0.21659693453737724</v>
      </c>
      <c r="V124" s="102">
        <f t="shared" si="63"/>
        <v>0.23220812535755181</v>
      </c>
      <c r="W124" s="102">
        <f t="shared" si="63"/>
        <v>0.24830811105955342</v>
      </c>
      <c r="X124" s="102">
        <f t="shared" si="63"/>
        <v>0.26809489852303797</v>
      </c>
      <c r="Y124" s="102">
        <f t="shared" si="63"/>
        <v>0.28863333074886927</v>
      </c>
      <c r="Z124" s="102">
        <f t="shared" si="63"/>
        <v>0.30992340773704724</v>
      </c>
      <c r="AA124" s="102">
        <f t="shared" si="63"/>
        <v>0.33196512948757184</v>
      </c>
      <c r="AB124" s="102">
        <f t="shared" si="63"/>
        <v>0.35475849600044324</v>
      </c>
      <c r="AC124" s="102">
        <f t="shared" si="63"/>
        <v>0.3783035072756612</v>
      </c>
      <c r="AD124" s="102">
        <f t="shared" si="63"/>
        <v>0.40260016331322596</v>
      </c>
      <c r="AE124" s="102">
        <f t="shared" si="63"/>
        <v>0.42764846411313739</v>
      </c>
      <c r="AF124" s="102">
        <f t="shared" si="63"/>
        <v>0.4534484096753954</v>
      </c>
      <c r="AG124" s="102">
        <f t="shared" si="63"/>
        <v>0.48</v>
      </c>
      <c r="AI124" s="125"/>
      <c r="AJ124" s="185"/>
      <c r="BD124" s="177"/>
      <c r="BE124" s="177"/>
    </row>
    <row r="125" spans="1:63" outlineLevel="1">
      <c r="A125" t="s">
        <v>481</v>
      </c>
      <c r="B125" s="50" t="s">
        <v>126</v>
      </c>
      <c r="C125" s="102">
        <f>C121*C123</f>
        <v>0.17480000000000001</v>
      </c>
      <c r="D125" s="102">
        <f t="shared" ref="D125:AG125" si="64">D121*D123</f>
        <v>0.18382112664209091</v>
      </c>
      <c r="E125" s="102">
        <f t="shared" si="64"/>
        <v>0.19211469292835551</v>
      </c>
      <c r="F125" s="102">
        <f t="shared" si="64"/>
        <v>0.19968069885879383</v>
      </c>
      <c r="G125" s="102">
        <f t="shared" si="64"/>
        <v>0.20651914443340585</v>
      </c>
      <c r="H125" s="102">
        <f t="shared" si="64"/>
        <v>0.21263002965219152</v>
      </c>
      <c r="I125" s="102">
        <f t="shared" si="64"/>
        <v>0.21801335451515094</v>
      </c>
      <c r="J125" s="102">
        <f t="shared" si="64"/>
        <v>0.22266911902228403</v>
      </c>
      <c r="K125" s="102">
        <f t="shared" si="64"/>
        <v>0.22659732317359085</v>
      </c>
      <c r="L125" s="102">
        <f t="shared" si="64"/>
        <v>0.22979796696907137</v>
      </c>
      <c r="M125" s="102">
        <f t="shared" si="64"/>
        <v>0.23227105040872559</v>
      </c>
      <c r="N125" s="102">
        <f t="shared" si="64"/>
        <v>0.23075344534789663</v>
      </c>
      <c r="O125" s="102">
        <f t="shared" si="64"/>
        <v>0.22874704540524066</v>
      </c>
      <c r="P125" s="102">
        <f t="shared" si="64"/>
        <v>0.2262518505807577</v>
      </c>
      <c r="Q125" s="102">
        <f t="shared" si="64"/>
        <v>0.22326786087444769</v>
      </c>
      <c r="R125" s="102">
        <f t="shared" si="64"/>
        <v>0.21979507628631068</v>
      </c>
      <c r="S125" s="102">
        <f t="shared" si="64"/>
        <v>0.21583349681634664</v>
      </c>
      <c r="T125" s="102">
        <f t="shared" si="64"/>
        <v>0.2113831224645556</v>
      </c>
      <c r="U125" s="102">
        <f t="shared" si="64"/>
        <v>0.20644395323093759</v>
      </c>
      <c r="V125" s="102">
        <f t="shared" si="64"/>
        <v>0.20101598911549251</v>
      </c>
      <c r="W125" s="102">
        <f t="shared" si="64"/>
        <v>0.19509923011822039</v>
      </c>
      <c r="X125" s="102">
        <f t="shared" si="64"/>
        <v>0.19097170853695841</v>
      </c>
      <c r="Y125" s="102">
        <f t="shared" si="64"/>
        <v>0.18609254219334975</v>
      </c>
      <c r="Z125" s="102">
        <f t="shared" si="64"/>
        <v>0.18046173108739444</v>
      </c>
      <c r="AA125" s="102">
        <f t="shared" si="64"/>
        <v>0.17407927521909236</v>
      </c>
      <c r="AB125" s="102">
        <f t="shared" si="64"/>
        <v>0.16694517458844366</v>
      </c>
      <c r="AC125" s="102">
        <f t="shared" si="64"/>
        <v>0.15905942919544824</v>
      </c>
      <c r="AD125" s="102">
        <f t="shared" si="64"/>
        <v>0.15042203904010615</v>
      </c>
      <c r="AE125" s="102">
        <f t="shared" si="64"/>
        <v>0.1410330041224174</v>
      </c>
      <c r="AF125" s="102">
        <f t="shared" si="64"/>
        <v>0.13089232444238191</v>
      </c>
      <c r="AG125" s="102">
        <f t="shared" si="64"/>
        <v>0.11999999999999997</v>
      </c>
      <c r="AI125" s="125"/>
      <c r="AJ125" s="185"/>
      <c r="BD125" s="177"/>
      <c r="BE125" s="177"/>
    </row>
    <row r="126" spans="1:63" outlineLevel="1">
      <c r="B126" s="156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I126" s="125"/>
      <c r="AJ126" s="185"/>
      <c r="BD126" s="177"/>
      <c r="BE126" s="177"/>
    </row>
    <row r="127" spans="1:63" outlineLevel="1">
      <c r="A127" t="s">
        <v>422</v>
      </c>
      <c r="B127" s="50" t="s">
        <v>126</v>
      </c>
      <c r="C127" s="188">
        <v>0.52</v>
      </c>
      <c r="D127" s="102">
        <f>C127</f>
        <v>0.52</v>
      </c>
      <c r="E127" s="102">
        <f t="shared" ref="E127:T127" si="65">D127</f>
        <v>0.52</v>
      </c>
      <c r="F127" s="102">
        <f t="shared" si="65"/>
        <v>0.52</v>
      </c>
      <c r="G127" s="102">
        <f t="shared" si="65"/>
        <v>0.52</v>
      </c>
      <c r="H127" s="102">
        <f t="shared" si="65"/>
        <v>0.52</v>
      </c>
      <c r="I127" s="102">
        <f t="shared" si="65"/>
        <v>0.52</v>
      </c>
      <c r="J127" s="102">
        <f t="shared" si="65"/>
        <v>0.52</v>
      </c>
      <c r="K127" s="102">
        <f t="shared" si="65"/>
        <v>0.52</v>
      </c>
      <c r="L127" s="102">
        <f t="shared" si="65"/>
        <v>0.52</v>
      </c>
      <c r="M127" s="102">
        <f t="shared" si="65"/>
        <v>0.52</v>
      </c>
      <c r="N127" s="102">
        <f t="shared" si="65"/>
        <v>0.52</v>
      </c>
      <c r="O127" s="102">
        <f t="shared" si="65"/>
        <v>0.52</v>
      </c>
      <c r="P127" s="102">
        <f t="shared" si="65"/>
        <v>0.52</v>
      </c>
      <c r="Q127" s="102">
        <f t="shared" si="65"/>
        <v>0.52</v>
      </c>
      <c r="R127" s="102">
        <f t="shared" si="65"/>
        <v>0.52</v>
      </c>
      <c r="S127" s="102">
        <f t="shared" si="65"/>
        <v>0.52</v>
      </c>
      <c r="T127" s="102">
        <f t="shared" si="65"/>
        <v>0.52</v>
      </c>
      <c r="U127" s="102">
        <f t="shared" ref="T127:AG129" si="66">T127</f>
        <v>0.52</v>
      </c>
      <c r="V127" s="102">
        <f t="shared" si="66"/>
        <v>0.52</v>
      </c>
      <c r="W127" s="102">
        <f t="shared" si="66"/>
        <v>0.52</v>
      </c>
      <c r="X127" s="102">
        <f t="shared" si="66"/>
        <v>0.52</v>
      </c>
      <c r="Y127" s="102">
        <f t="shared" si="66"/>
        <v>0.52</v>
      </c>
      <c r="Z127" s="102">
        <f t="shared" si="66"/>
        <v>0.52</v>
      </c>
      <c r="AA127" s="102">
        <f t="shared" si="66"/>
        <v>0.52</v>
      </c>
      <c r="AB127" s="102">
        <f t="shared" si="66"/>
        <v>0.52</v>
      </c>
      <c r="AC127" s="102">
        <f t="shared" si="66"/>
        <v>0.52</v>
      </c>
      <c r="AD127" s="102">
        <f t="shared" si="66"/>
        <v>0.52</v>
      </c>
      <c r="AE127" s="102">
        <f t="shared" si="66"/>
        <v>0.52</v>
      </c>
      <c r="AF127" s="102">
        <f t="shared" si="66"/>
        <v>0.52</v>
      </c>
      <c r="AG127" s="102">
        <f t="shared" si="66"/>
        <v>0.52</v>
      </c>
      <c r="AI127" s="124" t="s">
        <v>431</v>
      </c>
      <c r="AJ127" s="205" t="s">
        <v>443</v>
      </c>
      <c r="BD127" s="177"/>
      <c r="BE127" s="177"/>
    </row>
    <row r="128" spans="1:63" outlineLevel="1">
      <c r="A128" t="s">
        <v>429</v>
      </c>
      <c r="B128" s="50" t="s">
        <v>126</v>
      </c>
      <c r="C128" s="188">
        <v>0.12</v>
      </c>
      <c r="D128" s="102">
        <f t="shared" ref="D128:S129" si="67">C128</f>
        <v>0.12</v>
      </c>
      <c r="E128" s="102">
        <f t="shared" si="67"/>
        <v>0.12</v>
      </c>
      <c r="F128" s="102">
        <f t="shared" si="67"/>
        <v>0.12</v>
      </c>
      <c r="G128" s="102">
        <f t="shared" si="67"/>
        <v>0.12</v>
      </c>
      <c r="H128" s="102">
        <f t="shared" si="67"/>
        <v>0.12</v>
      </c>
      <c r="I128" s="102">
        <f t="shared" si="67"/>
        <v>0.12</v>
      </c>
      <c r="J128" s="102">
        <f t="shared" si="67"/>
        <v>0.12</v>
      </c>
      <c r="K128" s="102">
        <f t="shared" si="67"/>
        <v>0.12</v>
      </c>
      <c r="L128" s="102">
        <f t="shared" si="67"/>
        <v>0.12</v>
      </c>
      <c r="M128" s="102">
        <f t="shared" si="67"/>
        <v>0.12</v>
      </c>
      <c r="N128" s="102">
        <f t="shared" si="67"/>
        <v>0.12</v>
      </c>
      <c r="O128" s="102">
        <f t="shared" si="67"/>
        <v>0.12</v>
      </c>
      <c r="P128" s="102">
        <f t="shared" si="67"/>
        <v>0.12</v>
      </c>
      <c r="Q128" s="102">
        <f t="shared" si="67"/>
        <v>0.12</v>
      </c>
      <c r="R128" s="102">
        <f t="shared" si="67"/>
        <v>0.12</v>
      </c>
      <c r="S128" s="102">
        <f t="shared" si="67"/>
        <v>0.12</v>
      </c>
      <c r="T128" s="102">
        <f t="shared" si="66"/>
        <v>0.12</v>
      </c>
      <c r="U128" s="102">
        <f t="shared" si="66"/>
        <v>0.12</v>
      </c>
      <c r="V128" s="102">
        <f t="shared" si="66"/>
        <v>0.12</v>
      </c>
      <c r="W128" s="102">
        <f t="shared" si="66"/>
        <v>0.12</v>
      </c>
      <c r="X128" s="102">
        <f t="shared" si="66"/>
        <v>0.12</v>
      </c>
      <c r="Y128" s="102">
        <f t="shared" si="66"/>
        <v>0.12</v>
      </c>
      <c r="Z128" s="102">
        <f t="shared" si="66"/>
        <v>0.12</v>
      </c>
      <c r="AA128" s="102">
        <f t="shared" si="66"/>
        <v>0.12</v>
      </c>
      <c r="AB128" s="102">
        <f t="shared" si="66"/>
        <v>0.12</v>
      </c>
      <c r="AC128" s="102">
        <f t="shared" si="66"/>
        <v>0.12</v>
      </c>
      <c r="AD128" s="102">
        <f t="shared" si="66"/>
        <v>0.12</v>
      </c>
      <c r="AE128" s="102">
        <f t="shared" si="66"/>
        <v>0.12</v>
      </c>
      <c r="AF128" s="102">
        <f t="shared" si="66"/>
        <v>0.12</v>
      </c>
      <c r="AG128" s="102">
        <f t="shared" si="66"/>
        <v>0.12</v>
      </c>
      <c r="AI128" s="124" t="s">
        <v>431</v>
      </c>
      <c r="AJ128" s="205" t="s">
        <v>443</v>
      </c>
      <c r="AL128" s="1"/>
      <c r="BC128" s="1"/>
      <c r="BD128" s="615"/>
      <c r="BE128" s="605"/>
      <c r="BF128" s="6"/>
      <c r="BG128" s="6"/>
      <c r="BH128" s="6"/>
      <c r="BI128" s="6"/>
      <c r="BJ128" s="6"/>
    </row>
    <row r="129" spans="1:63" outlineLevel="1">
      <c r="A129" t="s">
        <v>430</v>
      </c>
      <c r="B129" s="50" t="s">
        <v>126</v>
      </c>
      <c r="C129" s="113">
        <f>1-C127-C128</f>
        <v>0.36</v>
      </c>
      <c r="D129" s="102">
        <f t="shared" si="67"/>
        <v>0.36</v>
      </c>
      <c r="E129" s="102">
        <f t="shared" si="67"/>
        <v>0.36</v>
      </c>
      <c r="F129" s="102">
        <f t="shared" si="67"/>
        <v>0.36</v>
      </c>
      <c r="G129" s="102">
        <f t="shared" si="67"/>
        <v>0.36</v>
      </c>
      <c r="H129" s="102">
        <f t="shared" si="67"/>
        <v>0.36</v>
      </c>
      <c r="I129" s="102">
        <f t="shared" si="67"/>
        <v>0.36</v>
      </c>
      <c r="J129" s="102">
        <f t="shared" si="67"/>
        <v>0.36</v>
      </c>
      <c r="K129" s="102">
        <f t="shared" si="67"/>
        <v>0.36</v>
      </c>
      <c r="L129" s="102">
        <f t="shared" si="67"/>
        <v>0.36</v>
      </c>
      <c r="M129" s="102">
        <f t="shared" si="67"/>
        <v>0.36</v>
      </c>
      <c r="N129" s="102">
        <f t="shared" si="67"/>
        <v>0.36</v>
      </c>
      <c r="O129" s="102">
        <f t="shared" si="67"/>
        <v>0.36</v>
      </c>
      <c r="P129" s="102">
        <f t="shared" si="67"/>
        <v>0.36</v>
      </c>
      <c r="Q129" s="102">
        <f t="shared" si="67"/>
        <v>0.36</v>
      </c>
      <c r="R129" s="102">
        <f t="shared" si="67"/>
        <v>0.36</v>
      </c>
      <c r="S129" s="102">
        <f t="shared" si="67"/>
        <v>0.36</v>
      </c>
      <c r="T129" s="102">
        <f t="shared" si="66"/>
        <v>0.36</v>
      </c>
      <c r="U129" s="102">
        <f t="shared" si="66"/>
        <v>0.36</v>
      </c>
      <c r="V129" s="102">
        <f t="shared" si="66"/>
        <v>0.36</v>
      </c>
      <c r="W129" s="102">
        <f t="shared" si="66"/>
        <v>0.36</v>
      </c>
      <c r="X129" s="102">
        <f t="shared" si="66"/>
        <v>0.36</v>
      </c>
      <c r="Y129" s="102">
        <f t="shared" si="66"/>
        <v>0.36</v>
      </c>
      <c r="Z129" s="102">
        <f t="shared" si="66"/>
        <v>0.36</v>
      </c>
      <c r="AA129" s="102">
        <f t="shared" si="66"/>
        <v>0.36</v>
      </c>
      <c r="AB129" s="102">
        <f t="shared" si="66"/>
        <v>0.36</v>
      </c>
      <c r="AC129" s="102">
        <f t="shared" si="66"/>
        <v>0.36</v>
      </c>
      <c r="AD129" s="102">
        <f t="shared" si="66"/>
        <v>0.36</v>
      </c>
      <c r="AE129" s="102">
        <f t="shared" si="66"/>
        <v>0.36</v>
      </c>
      <c r="AF129" s="102">
        <f t="shared" si="66"/>
        <v>0.36</v>
      </c>
      <c r="AG129" s="102">
        <f t="shared" si="66"/>
        <v>0.36</v>
      </c>
      <c r="AI129" s="124"/>
      <c r="AJ129" s="196"/>
      <c r="BC129" s="1"/>
      <c r="BD129" s="37"/>
      <c r="BF129" s="6"/>
      <c r="BG129" s="6"/>
      <c r="BH129" s="6"/>
      <c r="BI129" s="6"/>
      <c r="BJ129" s="6"/>
    </row>
    <row r="130" spans="1:63" outlineLevel="1">
      <c r="A130" t="s">
        <v>418</v>
      </c>
      <c r="B130" s="50" t="s">
        <v>126</v>
      </c>
      <c r="C130" s="102">
        <f>SUM(C127:C129)</f>
        <v>1</v>
      </c>
      <c r="D130" s="102">
        <f t="shared" ref="D130:AG130" si="68">SUM(D127:D129)</f>
        <v>1</v>
      </c>
      <c r="E130" s="102">
        <f t="shared" si="68"/>
        <v>1</v>
      </c>
      <c r="F130" s="102">
        <f t="shared" si="68"/>
        <v>1</v>
      </c>
      <c r="G130" s="102">
        <f t="shared" si="68"/>
        <v>1</v>
      </c>
      <c r="H130" s="102">
        <f t="shared" si="68"/>
        <v>1</v>
      </c>
      <c r="I130" s="102">
        <f t="shared" si="68"/>
        <v>1</v>
      </c>
      <c r="J130" s="102">
        <f t="shared" si="68"/>
        <v>1</v>
      </c>
      <c r="K130" s="102">
        <f t="shared" si="68"/>
        <v>1</v>
      </c>
      <c r="L130" s="102">
        <f t="shared" si="68"/>
        <v>1</v>
      </c>
      <c r="M130" s="102">
        <f t="shared" si="68"/>
        <v>1</v>
      </c>
      <c r="N130" s="102">
        <f t="shared" si="68"/>
        <v>1</v>
      </c>
      <c r="O130" s="102">
        <f t="shared" si="68"/>
        <v>1</v>
      </c>
      <c r="P130" s="102">
        <f t="shared" si="68"/>
        <v>1</v>
      </c>
      <c r="Q130" s="102">
        <f t="shared" si="68"/>
        <v>1</v>
      </c>
      <c r="R130" s="102">
        <f t="shared" si="68"/>
        <v>1</v>
      </c>
      <c r="S130" s="102">
        <f t="shared" si="68"/>
        <v>1</v>
      </c>
      <c r="T130" s="102">
        <f t="shared" si="68"/>
        <v>1</v>
      </c>
      <c r="U130" s="102">
        <f t="shared" si="68"/>
        <v>1</v>
      </c>
      <c r="V130" s="102">
        <f t="shared" si="68"/>
        <v>1</v>
      </c>
      <c r="W130" s="102">
        <f t="shared" si="68"/>
        <v>1</v>
      </c>
      <c r="X130" s="102">
        <f t="shared" si="68"/>
        <v>1</v>
      </c>
      <c r="Y130" s="102">
        <f t="shared" si="68"/>
        <v>1</v>
      </c>
      <c r="Z130" s="102">
        <f t="shared" si="68"/>
        <v>1</v>
      </c>
      <c r="AA130" s="102">
        <f t="shared" si="68"/>
        <v>1</v>
      </c>
      <c r="AB130" s="102">
        <f t="shared" si="68"/>
        <v>1</v>
      </c>
      <c r="AC130" s="102">
        <f t="shared" si="68"/>
        <v>1</v>
      </c>
      <c r="AD130" s="102">
        <f t="shared" si="68"/>
        <v>1</v>
      </c>
      <c r="AE130" s="102">
        <f t="shared" si="68"/>
        <v>1</v>
      </c>
      <c r="AF130" s="102">
        <f t="shared" si="68"/>
        <v>1</v>
      </c>
      <c r="AG130" s="102">
        <f t="shared" si="68"/>
        <v>1</v>
      </c>
      <c r="AI130" s="124"/>
      <c r="AJ130" s="185"/>
      <c r="BC130" s="1"/>
      <c r="BD130" s="37"/>
      <c r="BF130" s="6"/>
      <c r="BG130" s="6"/>
      <c r="BH130" s="6"/>
      <c r="BI130" s="6"/>
      <c r="BJ130" s="6"/>
    </row>
    <row r="131" spans="1:63" outlineLevel="1">
      <c r="C131" s="188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I131" s="124"/>
      <c r="AJ131" s="185"/>
      <c r="BC131" s="1"/>
      <c r="BD131" s="37"/>
      <c r="BF131" s="6"/>
      <c r="BG131" s="6"/>
      <c r="BH131" s="6"/>
      <c r="BI131" s="6"/>
      <c r="BJ131" s="6"/>
    </row>
    <row r="132" spans="1:63" outlineLevel="1">
      <c r="A132" t="s">
        <v>426</v>
      </c>
      <c r="B132" s="50" t="s">
        <v>126</v>
      </c>
      <c r="C132" s="102">
        <f>C127*C125</f>
        <v>9.0896000000000005E-2</v>
      </c>
      <c r="D132" s="102">
        <f t="shared" ref="D132:AG132" si="69">D127*D125</f>
        <v>9.558698585388728E-2</v>
      </c>
      <c r="E132" s="102">
        <f t="shared" si="69"/>
        <v>9.989964032274487E-2</v>
      </c>
      <c r="F132" s="102">
        <f t="shared" si="69"/>
        <v>0.10383396340657279</v>
      </c>
      <c r="G132" s="102">
        <f t="shared" si="69"/>
        <v>0.10738995510537105</v>
      </c>
      <c r="H132" s="102">
        <f t="shared" si="69"/>
        <v>0.11056761541913959</v>
      </c>
      <c r="I132" s="102">
        <f t="shared" si="69"/>
        <v>0.11336694434787849</v>
      </c>
      <c r="J132" s="102">
        <f t="shared" si="69"/>
        <v>0.1157879418915877</v>
      </c>
      <c r="K132" s="102">
        <f t="shared" si="69"/>
        <v>0.11783060805026725</v>
      </c>
      <c r="L132" s="102">
        <f t="shared" si="69"/>
        <v>0.11949494282391712</v>
      </c>
      <c r="M132" s="102">
        <f t="shared" si="69"/>
        <v>0.12078094621253731</v>
      </c>
      <c r="N132" s="102">
        <f t="shared" si="69"/>
        <v>0.11999179158090625</v>
      </c>
      <c r="O132" s="102">
        <f t="shared" si="69"/>
        <v>0.11894846361072514</v>
      </c>
      <c r="P132" s="102">
        <f t="shared" si="69"/>
        <v>0.11765096230199401</v>
      </c>
      <c r="Q132" s="102">
        <f t="shared" si="69"/>
        <v>0.11609928765471281</v>
      </c>
      <c r="R132" s="102">
        <f t="shared" si="69"/>
        <v>0.11429343966888156</v>
      </c>
      <c r="S132" s="102">
        <f t="shared" si="69"/>
        <v>0.11223341834450026</v>
      </c>
      <c r="T132" s="102">
        <f t="shared" si="69"/>
        <v>0.10991922368156891</v>
      </c>
      <c r="U132" s="102">
        <f t="shared" si="69"/>
        <v>0.10735085568008755</v>
      </c>
      <c r="V132" s="102">
        <f t="shared" si="69"/>
        <v>0.10452831434005611</v>
      </c>
      <c r="W132" s="102">
        <f t="shared" si="69"/>
        <v>0.1014515996614746</v>
      </c>
      <c r="X132" s="102">
        <f t="shared" si="69"/>
        <v>9.9305288439218375E-2</v>
      </c>
      <c r="Y132" s="102">
        <f t="shared" si="69"/>
        <v>9.6768121940541879E-2</v>
      </c>
      <c r="Z132" s="102">
        <f t="shared" si="69"/>
        <v>9.3840100165445112E-2</v>
      </c>
      <c r="AA132" s="102">
        <f t="shared" si="69"/>
        <v>9.0521223113928032E-2</v>
      </c>
      <c r="AB132" s="102">
        <f t="shared" si="69"/>
        <v>8.6811490785990708E-2</v>
      </c>
      <c r="AC132" s="102">
        <f t="shared" si="69"/>
        <v>8.2710903181633086E-2</v>
      </c>
      <c r="AD132" s="102">
        <f t="shared" si="69"/>
        <v>7.8219460300855206E-2</v>
      </c>
      <c r="AE132" s="102">
        <f t="shared" si="69"/>
        <v>7.3337162143657056E-2</v>
      </c>
      <c r="AF132" s="102">
        <f t="shared" si="69"/>
        <v>6.8064008710038593E-2</v>
      </c>
      <c r="AG132" s="102">
        <f t="shared" si="69"/>
        <v>6.2399999999999983E-2</v>
      </c>
      <c r="AI132" s="124"/>
      <c r="AJ132" s="185"/>
      <c r="BD132" s="177"/>
      <c r="BE132" s="177"/>
    </row>
    <row r="133" spans="1:63" outlineLevel="1">
      <c r="A133" t="s">
        <v>427</v>
      </c>
      <c r="B133" s="50" t="s">
        <v>126</v>
      </c>
      <c r="C133" s="102">
        <f>C125*C128</f>
        <v>2.0976000000000002E-2</v>
      </c>
      <c r="D133" s="102">
        <f t="shared" ref="D133:AG133" si="70">D125*D128</f>
        <v>2.2058535197050907E-2</v>
      </c>
      <c r="E133" s="102">
        <f t="shared" si="70"/>
        <v>2.3053763151402659E-2</v>
      </c>
      <c r="F133" s="102">
        <f t="shared" si="70"/>
        <v>2.396168386305526E-2</v>
      </c>
      <c r="G133" s="102">
        <f t="shared" si="70"/>
        <v>2.47822973320087E-2</v>
      </c>
      <c r="H133" s="102">
        <f t="shared" si="70"/>
        <v>2.5515603558262982E-2</v>
      </c>
      <c r="I133" s="102">
        <f t="shared" si="70"/>
        <v>2.6161602541818114E-2</v>
      </c>
      <c r="J133" s="102">
        <f t="shared" si="70"/>
        <v>2.6720294282674084E-2</v>
      </c>
      <c r="K133" s="102">
        <f t="shared" si="70"/>
        <v>2.71916787808309E-2</v>
      </c>
      <c r="L133" s="102">
        <f t="shared" si="70"/>
        <v>2.7575756036288562E-2</v>
      </c>
      <c r="M133" s="102">
        <f t="shared" si="70"/>
        <v>2.787252604904707E-2</v>
      </c>
      <c r="N133" s="102">
        <f t="shared" si="70"/>
        <v>2.7690413441747594E-2</v>
      </c>
      <c r="O133" s="102">
        <f t="shared" si="70"/>
        <v>2.7449645448628879E-2</v>
      </c>
      <c r="P133" s="102">
        <f t="shared" si="70"/>
        <v>2.7150222069690921E-2</v>
      </c>
      <c r="Q133" s="102">
        <f t="shared" si="70"/>
        <v>2.6792143304933722E-2</v>
      </c>
      <c r="R133" s="102">
        <f t="shared" si="70"/>
        <v>2.6375409154357279E-2</v>
      </c>
      <c r="S133" s="102">
        <f t="shared" si="70"/>
        <v>2.5900019617961595E-2</v>
      </c>
      <c r="T133" s="102">
        <f t="shared" si="70"/>
        <v>2.5365974695746672E-2</v>
      </c>
      <c r="U133" s="102">
        <f t="shared" si="70"/>
        <v>2.4773274387712509E-2</v>
      </c>
      <c r="V133" s="102">
        <f t="shared" si="70"/>
        <v>2.4121918693859101E-2</v>
      </c>
      <c r="W133" s="102">
        <f t="shared" si="70"/>
        <v>2.3411907614186447E-2</v>
      </c>
      <c r="X133" s="102">
        <f t="shared" si="70"/>
        <v>2.2916605024435009E-2</v>
      </c>
      <c r="Y133" s="102">
        <f t="shared" si="70"/>
        <v>2.2331105063201968E-2</v>
      </c>
      <c r="Z133" s="102">
        <f t="shared" si="70"/>
        <v>2.1655407730487332E-2</v>
      </c>
      <c r="AA133" s="102">
        <f t="shared" si="70"/>
        <v>2.0889513026291082E-2</v>
      </c>
      <c r="AB133" s="102">
        <f t="shared" si="70"/>
        <v>2.0033420950613237E-2</v>
      </c>
      <c r="AC133" s="102">
        <f t="shared" si="70"/>
        <v>1.9087131503453789E-2</v>
      </c>
      <c r="AD133" s="102">
        <f t="shared" si="70"/>
        <v>1.8050644684812735E-2</v>
      </c>
      <c r="AE133" s="102">
        <f t="shared" si="70"/>
        <v>1.6923960494690086E-2</v>
      </c>
      <c r="AF133" s="102">
        <f t="shared" si="70"/>
        <v>1.570707893308583E-2</v>
      </c>
      <c r="AG133" s="102">
        <f t="shared" si="70"/>
        <v>1.4399999999999996E-2</v>
      </c>
      <c r="AI133" s="124"/>
      <c r="AJ133" s="185"/>
      <c r="AL133" s="1"/>
      <c r="BC133" s="1"/>
      <c r="BD133" s="615"/>
      <c r="BE133" s="605"/>
      <c r="BF133" s="6"/>
      <c r="BG133" s="6"/>
      <c r="BH133" s="6"/>
      <c r="BI133" s="6"/>
      <c r="BJ133" s="6"/>
    </row>
    <row r="134" spans="1:63" outlineLevel="1">
      <c r="A134" t="s">
        <v>428</v>
      </c>
      <c r="B134" s="50" t="s">
        <v>126</v>
      </c>
      <c r="C134" s="102">
        <f>C125*C129</f>
        <v>6.2927999999999998E-2</v>
      </c>
      <c r="D134" s="102">
        <f t="shared" ref="D134:AG134" si="71">D125*D129</f>
        <v>6.6175605591152722E-2</v>
      </c>
      <c r="E134" s="102">
        <f t="shared" si="71"/>
        <v>6.9161289454207978E-2</v>
      </c>
      <c r="F134" s="102">
        <f t="shared" si="71"/>
        <v>7.1885051589165777E-2</v>
      </c>
      <c r="G134" s="102">
        <f t="shared" si="71"/>
        <v>7.4346891996026107E-2</v>
      </c>
      <c r="H134" s="102">
        <f t="shared" si="71"/>
        <v>7.654681067478894E-2</v>
      </c>
      <c r="I134" s="102">
        <f t="shared" si="71"/>
        <v>7.8484807625454331E-2</v>
      </c>
      <c r="J134" s="102">
        <f t="shared" si="71"/>
        <v>8.0160882848022252E-2</v>
      </c>
      <c r="K134" s="102">
        <f t="shared" si="71"/>
        <v>8.1575036342492704E-2</v>
      </c>
      <c r="L134" s="102">
        <f t="shared" si="71"/>
        <v>8.2727268108865687E-2</v>
      </c>
      <c r="M134" s="102">
        <f t="shared" si="71"/>
        <v>8.3617578147141214E-2</v>
      </c>
      <c r="N134" s="102">
        <f t="shared" si="71"/>
        <v>8.3071240325242782E-2</v>
      </c>
      <c r="O134" s="102">
        <f t="shared" si="71"/>
        <v>8.2348936345886636E-2</v>
      </c>
      <c r="P134" s="102">
        <f t="shared" si="71"/>
        <v>8.1450666209072764E-2</v>
      </c>
      <c r="Q134" s="102">
        <f t="shared" si="71"/>
        <v>8.0376429914801165E-2</v>
      </c>
      <c r="R134" s="102">
        <f t="shared" si="71"/>
        <v>7.9126227463071838E-2</v>
      </c>
      <c r="S134" s="102">
        <f t="shared" si="71"/>
        <v>7.7700058853884785E-2</v>
      </c>
      <c r="T134" s="102">
        <f t="shared" si="71"/>
        <v>7.6097924087240018E-2</v>
      </c>
      <c r="U134" s="102">
        <f t="shared" si="71"/>
        <v>7.4319823163137524E-2</v>
      </c>
      <c r="V134" s="102">
        <f t="shared" si="71"/>
        <v>7.2365756081577304E-2</v>
      </c>
      <c r="W134" s="102">
        <f t="shared" si="71"/>
        <v>7.0235722842559342E-2</v>
      </c>
      <c r="X134" s="102">
        <f t="shared" si="71"/>
        <v>6.8749815073305021E-2</v>
      </c>
      <c r="Y134" s="102">
        <f t="shared" si="71"/>
        <v>6.6993315189605912E-2</v>
      </c>
      <c r="Z134" s="102">
        <f t="shared" si="71"/>
        <v>6.4966223191462003E-2</v>
      </c>
      <c r="AA134" s="102">
        <f t="shared" si="71"/>
        <v>6.266853907887325E-2</v>
      </c>
      <c r="AB134" s="102">
        <f t="shared" si="71"/>
        <v>6.0100262851839711E-2</v>
      </c>
      <c r="AC134" s="102">
        <f t="shared" si="71"/>
        <v>5.7261394510361364E-2</v>
      </c>
      <c r="AD134" s="102">
        <f t="shared" si="71"/>
        <v>5.415193405443821E-2</v>
      </c>
      <c r="AE134" s="102">
        <f t="shared" si="71"/>
        <v>5.0771881484070261E-2</v>
      </c>
      <c r="AF134" s="102">
        <f t="shared" si="71"/>
        <v>4.712123679925749E-2</v>
      </c>
      <c r="AG134" s="102">
        <f t="shared" si="71"/>
        <v>4.3199999999999988E-2</v>
      </c>
      <c r="AI134" s="125"/>
      <c r="AJ134" s="185"/>
      <c r="BC134" s="1"/>
      <c r="BD134" s="37"/>
      <c r="BF134" s="6"/>
      <c r="BG134" s="6"/>
      <c r="BH134" s="6"/>
      <c r="BI134" s="6"/>
      <c r="BJ134" s="6"/>
    </row>
    <row r="135" spans="1:63" outlineLevel="1"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I135" s="125"/>
      <c r="AJ135" s="185"/>
      <c r="BC135" s="1"/>
      <c r="BD135" s="37"/>
      <c r="BF135" s="6"/>
      <c r="BG135" s="6"/>
      <c r="BH135" s="6"/>
      <c r="BI135" s="6"/>
      <c r="BJ135" s="6"/>
    </row>
    <row r="136" spans="1:63" outlineLevel="1">
      <c r="A136" t="s">
        <v>1239</v>
      </c>
      <c r="C136" s="203">
        <f>('Overall recycling rates'!F86*'Yearly BTX'!D5+'Overall recycling rates'!G86*'Yearly BTX'!D6+'Overall recycling rates'!H86*'Yearly BTX'!D7)/'Yearly BTX'!D4</f>
        <v>0.41520678527155386</v>
      </c>
      <c r="D136" s="203">
        <f>C136-($C136-$AG136)/($AG$1-$C$1)</f>
        <v>0.43136655909583538</v>
      </c>
      <c r="E136" s="203">
        <f t="shared" ref="E136:AF136" si="72">D136-($C136-$AG136)/($AG$1-$C$1)</f>
        <v>0.4475263329201169</v>
      </c>
      <c r="F136" s="203">
        <f t="shared" si="72"/>
        <v>0.46368610674439842</v>
      </c>
      <c r="G136" s="203">
        <f t="shared" si="72"/>
        <v>0.47984588056867994</v>
      </c>
      <c r="H136" s="203">
        <f t="shared" si="72"/>
        <v>0.49600565439296146</v>
      </c>
      <c r="I136" s="203">
        <f t="shared" si="72"/>
        <v>0.51216542821724298</v>
      </c>
      <c r="J136" s="203">
        <f t="shared" si="72"/>
        <v>0.52832520204152456</v>
      </c>
      <c r="K136" s="203">
        <f t="shared" si="72"/>
        <v>0.54448497586580613</v>
      </c>
      <c r="L136" s="203">
        <f t="shared" si="72"/>
        <v>0.56064474969008771</v>
      </c>
      <c r="M136" s="203">
        <f t="shared" si="72"/>
        <v>0.57680452351436928</v>
      </c>
      <c r="N136" s="203">
        <f t="shared" si="72"/>
        <v>0.59296429733865086</v>
      </c>
      <c r="O136" s="203">
        <f t="shared" si="72"/>
        <v>0.60912407116293243</v>
      </c>
      <c r="P136" s="203">
        <f t="shared" si="72"/>
        <v>0.62528384498721401</v>
      </c>
      <c r="Q136" s="203">
        <f t="shared" si="72"/>
        <v>0.64144361881149559</v>
      </c>
      <c r="R136" s="203">
        <f t="shared" si="72"/>
        <v>0.65760339263577716</v>
      </c>
      <c r="S136" s="203">
        <f t="shared" si="72"/>
        <v>0.67376316646005874</v>
      </c>
      <c r="T136" s="203">
        <f t="shared" si="72"/>
        <v>0.68992294028434031</v>
      </c>
      <c r="U136" s="203">
        <f t="shared" si="72"/>
        <v>0.70608271410862189</v>
      </c>
      <c r="V136" s="203">
        <f t="shared" si="72"/>
        <v>0.72224248793290347</v>
      </c>
      <c r="W136" s="203">
        <f t="shared" si="72"/>
        <v>0.73840226175718504</v>
      </c>
      <c r="X136" s="203">
        <f t="shared" si="72"/>
        <v>0.75456203558146662</v>
      </c>
      <c r="Y136" s="203">
        <f t="shared" si="72"/>
        <v>0.77072180940574819</v>
      </c>
      <c r="Z136" s="203">
        <f t="shared" si="72"/>
        <v>0.78688158323002977</v>
      </c>
      <c r="AA136" s="203">
        <f t="shared" si="72"/>
        <v>0.80304135705431134</v>
      </c>
      <c r="AB136" s="203">
        <f t="shared" si="72"/>
        <v>0.81920113087859292</v>
      </c>
      <c r="AC136" s="203">
        <f t="shared" si="72"/>
        <v>0.8353609047028745</v>
      </c>
      <c r="AD136" s="203">
        <f t="shared" si="72"/>
        <v>0.85152067852715607</v>
      </c>
      <c r="AE136" s="203">
        <f t="shared" si="72"/>
        <v>0.86768045235143765</v>
      </c>
      <c r="AF136" s="203">
        <f t="shared" si="72"/>
        <v>0.88384022617571922</v>
      </c>
      <c r="AG136" s="203">
        <f>'Overall recycling rates'!F95</f>
        <v>0.9</v>
      </c>
      <c r="AI136" s="124"/>
      <c r="AJ136" s="185" t="s">
        <v>993</v>
      </c>
      <c r="AL136" s="100"/>
      <c r="AM136" s="181"/>
      <c r="AN136" s="181"/>
      <c r="AO136" s="181"/>
      <c r="BC136" s="1"/>
      <c r="BD136" s="181"/>
      <c r="BE136" s="181"/>
      <c r="BF136" s="181"/>
      <c r="BG136" s="181"/>
      <c r="BH136" s="181"/>
      <c r="BI136" s="181"/>
      <c r="BJ136" s="181"/>
      <c r="BK136" s="181"/>
    </row>
    <row r="137" spans="1:63" outlineLevel="1">
      <c r="A137" t="s">
        <v>1247</v>
      </c>
      <c r="B137" s="50" t="s">
        <v>126</v>
      </c>
      <c r="C137" s="102">
        <f>C124*C$136</f>
        <v>6.3111431361276187E-3</v>
      </c>
      <c r="D137" s="102">
        <f t="shared" ref="D137:AG138" si="73">D124*D$136</f>
        <v>9.2038011567262597E-3</v>
      </c>
      <c r="E137" s="102">
        <f t="shared" si="73"/>
        <v>1.2620386646062571E-2</v>
      </c>
      <c r="F137" s="102">
        <f t="shared" si="73"/>
        <v>1.6596171236517548E-2</v>
      </c>
      <c r="G137" s="102">
        <f t="shared" si="73"/>
        <v>2.1166426560472199E-2</v>
      </c>
      <c r="H137" s="102">
        <f t="shared" si="73"/>
        <v>2.636642425030751E-2</v>
      </c>
      <c r="I137" s="102">
        <f t="shared" si="73"/>
        <v>3.2231435938404503E-2</v>
      </c>
      <c r="J137" s="102">
        <f t="shared" si="73"/>
        <v>3.879673325714416E-2</v>
      </c>
      <c r="K137" s="102">
        <f t="shared" si="73"/>
        <v>4.6097587838907494E-2</v>
      </c>
      <c r="L137" s="102">
        <f t="shared" si="73"/>
        <v>5.4169271316075504E-2</v>
      </c>
      <c r="M137" s="102">
        <f t="shared" si="73"/>
        <v>6.304705532102918E-2</v>
      </c>
      <c r="N137" s="102">
        <f t="shared" si="73"/>
        <v>7.1751559108598761E-2</v>
      </c>
      <c r="O137" s="102">
        <f t="shared" si="73"/>
        <v>8.1131965214325183E-2</v>
      </c>
      <c r="P137" s="102">
        <f t="shared" si="73"/>
        <v>9.1211970082418867E-2</v>
      </c>
      <c r="Q137" s="102">
        <f t="shared" si="73"/>
        <v>0.10201527015709014</v>
      </c>
      <c r="R137" s="102">
        <f t="shared" si="73"/>
        <v>0.1135655618825494</v>
      </c>
      <c r="S137" s="102">
        <f t="shared" si="73"/>
        <v>0.12588654170300703</v>
      </c>
      <c r="T137" s="102">
        <f t="shared" si="73"/>
        <v>0.13900190606267337</v>
      </c>
      <c r="U137" s="102">
        <f t="shared" si="73"/>
        <v>0.15293535140575884</v>
      </c>
      <c r="V137" s="102">
        <f t="shared" si="73"/>
        <v>0.16771057417647375</v>
      </c>
      <c r="W137" s="102">
        <f t="shared" si="73"/>
        <v>0.18335127081902852</v>
      </c>
      <c r="X137" s="102">
        <f t="shared" si="73"/>
        <v>0.20229423235855026</v>
      </c>
      <c r="Y137" s="102">
        <f t="shared" si="73"/>
        <v>0.22245600292957629</v>
      </c>
      <c r="Z137" s="102">
        <f t="shared" si="73"/>
        <v>0.24387302176017378</v>
      </c>
      <c r="AA137" s="102">
        <f t="shared" si="73"/>
        <v>0.26658172807840985</v>
      </c>
      <c r="AB137" s="102">
        <f t="shared" si="73"/>
        <v>0.2906185611123519</v>
      </c>
      <c r="AC137" s="102">
        <f t="shared" si="73"/>
        <v>0.31601996009006678</v>
      </c>
      <c r="AD137" s="102">
        <f t="shared" si="73"/>
        <v>0.34282236423962203</v>
      </c>
      <c r="AE137" s="102">
        <f t="shared" si="73"/>
        <v>0.37106221278908458</v>
      </c>
      <c r="AF137" s="102">
        <f t="shared" si="73"/>
        <v>0.40077594496652164</v>
      </c>
      <c r="AG137" s="102">
        <f t="shared" si="73"/>
        <v>0.432</v>
      </c>
      <c r="AI137" s="124"/>
      <c r="AJ137"/>
      <c r="AL137" s="100"/>
      <c r="AM137" s="2"/>
      <c r="AN137" s="2"/>
      <c r="AO137" s="2"/>
      <c r="AV137" s="37"/>
    </row>
    <row r="138" spans="1:63" outlineLevel="1">
      <c r="A138" t="s">
        <v>1248</v>
      </c>
      <c r="B138" s="50" t="s">
        <v>126</v>
      </c>
      <c r="C138" s="102">
        <f>C125*C$136</f>
        <v>7.2578146065467614E-2</v>
      </c>
      <c r="D138" s="102">
        <f t="shared" si="73"/>
        <v>7.9294286888718549E-2</v>
      </c>
      <c r="E138" s="102">
        <f t="shared" si="73"/>
        <v>8.5976384026301256E-2</v>
      </c>
      <c r="F138" s="102">
        <f t="shared" si="73"/>
        <v>9.2589165845834751E-2</v>
      </c>
      <c r="G138" s="102">
        <f t="shared" si="73"/>
        <v>9.9097360714938035E-2</v>
      </c>
      <c r="H138" s="102">
        <f t="shared" si="73"/>
        <v>0.10546569700123005</v>
      </c>
      <c r="I138" s="102">
        <f t="shared" si="73"/>
        <v>0.11165890307232988</v>
      </c>
      <c r="J138" s="102">
        <f t="shared" si="73"/>
        <v>0.11764170729585649</v>
      </c>
      <c r="K138" s="102">
        <f t="shared" si="73"/>
        <v>0.12337883803942888</v>
      </c>
      <c r="L138" s="102">
        <f t="shared" si="73"/>
        <v>0.12883502367066607</v>
      </c>
      <c r="M138" s="102">
        <f t="shared" si="73"/>
        <v>0.13397499255718701</v>
      </c>
      <c r="N138" s="102">
        <f t="shared" si="73"/>
        <v>0.1368285545791883</v>
      </c>
      <c r="O138" s="102">
        <f t="shared" si="73"/>
        <v>0.13933533156373235</v>
      </c>
      <c r="P138" s="102">
        <f t="shared" si="73"/>
        <v>0.14147162706660879</v>
      </c>
      <c r="Q138" s="102">
        <f t="shared" si="73"/>
        <v>0.14321374464360725</v>
      </c>
      <c r="R138" s="102">
        <f t="shared" si="73"/>
        <v>0.14453798785051736</v>
      </c>
      <c r="S138" s="102">
        <f t="shared" si="73"/>
        <v>0.14542066024312872</v>
      </c>
      <c r="T138" s="102">
        <f t="shared" si="73"/>
        <v>0.14583806537723099</v>
      </c>
      <c r="U138" s="102">
        <f t="shared" si="73"/>
        <v>0.1457665068086138</v>
      </c>
      <c r="V138" s="102">
        <f t="shared" si="73"/>
        <v>0.14518228809306674</v>
      </c>
      <c r="W138" s="102">
        <f t="shared" si="73"/>
        <v>0.14406171278637944</v>
      </c>
      <c r="X138" s="102">
        <f t="shared" si="73"/>
        <v>0.14410000113211788</v>
      </c>
      <c r="Y138" s="102">
        <f t="shared" si="73"/>
        <v>0.14342558083617407</v>
      </c>
      <c r="Z138" s="102">
        <f t="shared" si="73"/>
        <v>0.14200201267048082</v>
      </c>
      <c r="AA138" s="102">
        <f t="shared" si="73"/>
        <v>0.13979285740697089</v>
      </c>
      <c r="AB138" s="102">
        <f t="shared" si="73"/>
        <v>0.13676167581757717</v>
      </c>
      <c r="AC138" s="102">
        <f t="shared" si="73"/>
        <v>0.13287202867423245</v>
      </c>
      <c r="AD138" s="102">
        <f t="shared" si="73"/>
        <v>0.12808747674886956</v>
      </c>
      <c r="AE138" s="102">
        <f t="shared" si="73"/>
        <v>0.1223715808134213</v>
      </c>
      <c r="AF138" s="102">
        <f t="shared" si="73"/>
        <v>0.11568790163982046</v>
      </c>
      <c r="AG138" s="102">
        <f t="shared" si="73"/>
        <v>0.10799999999999997</v>
      </c>
      <c r="AH138" s="217"/>
      <c r="AI138" s="124"/>
      <c r="AJ138" s="185"/>
      <c r="AL138" s="100"/>
      <c r="AM138" s="2"/>
      <c r="AN138" s="2"/>
      <c r="AO138" s="2"/>
      <c r="AV138" s="37"/>
    </row>
    <row r="139" spans="1:63" outlineLevel="1">
      <c r="A139" t="s">
        <v>1249</v>
      </c>
      <c r="B139" s="156" t="s">
        <v>126</v>
      </c>
      <c r="C139" s="102">
        <f>SUM(C137:C138)</f>
        <v>7.8889289201595228E-2</v>
      </c>
      <c r="D139" s="102">
        <f t="shared" ref="D139:AG139" si="74">SUM(D137:D138)</f>
        <v>8.8498088045444803E-2</v>
      </c>
      <c r="E139" s="102">
        <f t="shared" si="74"/>
        <v>9.8596770672363832E-2</v>
      </c>
      <c r="F139" s="102">
        <f t="shared" si="74"/>
        <v>0.1091853370823523</v>
      </c>
      <c r="G139" s="102">
        <f t="shared" si="74"/>
        <v>0.12026378727541023</v>
      </c>
      <c r="H139" s="102">
        <f t="shared" si="74"/>
        <v>0.13183212125153757</v>
      </c>
      <c r="I139" s="102">
        <f t="shared" si="74"/>
        <v>0.14389033901073439</v>
      </c>
      <c r="J139" s="102">
        <f t="shared" si="74"/>
        <v>0.15643844055300066</v>
      </c>
      <c r="K139" s="102">
        <f t="shared" si="74"/>
        <v>0.16947642587833639</v>
      </c>
      <c r="L139" s="102">
        <f t="shared" si="74"/>
        <v>0.18300429498674159</v>
      </c>
      <c r="M139" s="102">
        <f t="shared" si="74"/>
        <v>0.1970220478782162</v>
      </c>
      <c r="N139" s="102">
        <f t="shared" si="74"/>
        <v>0.20858011368778706</v>
      </c>
      <c r="O139" s="102">
        <f t="shared" si="74"/>
        <v>0.22046729677805754</v>
      </c>
      <c r="P139" s="102">
        <f t="shared" si="74"/>
        <v>0.23268359714902764</v>
      </c>
      <c r="Q139" s="102">
        <f t="shared" si="74"/>
        <v>0.24522901480069739</v>
      </c>
      <c r="R139" s="102">
        <f t="shared" si="74"/>
        <v>0.25810354973306676</v>
      </c>
      <c r="S139" s="102">
        <f t="shared" si="74"/>
        <v>0.27130720194613578</v>
      </c>
      <c r="T139" s="102">
        <f t="shared" si="74"/>
        <v>0.28483997143990436</v>
      </c>
      <c r="U139" s="102">
        <f t="shared" si="74"/>
        <v>0.29870185821437267</v>
      </c>
      <c r="V139" s="102">
        <f t="shared" si="74"/>
        <v>0.31289286226954049</v>
      </c>
      <c r="W139" s="102">
        <f t="shared" si="74"/>
        <v>0.32741298360540794</v>
      </c>
      <c r="X139" s="102">
        <f t="shared" si="74"/>
        <v>0.34639423349066811</v>
      </c>
      <c r="Y139" s="102">
        <f t="shared" si="74"/>
        <v>0.36588158376575036</v>
      </c>
      <c r="Z139" s="102">
        <f t="shared" si="74"/>
        <v>0.38587503443065463</v>
      </c>
      <c r="AA139" s="102">
        <f t="shared" si="74"/>
        <v>0.40637458548538075</v>
      </c>
      <c r="AB139" s="102">
        <f t="shared" si="74"/>
        <v>0.4273802369299291</v>
      </c>
      <c r="AC139" s="102">
        <f t="shared" si="74"/>
        <v>0.44889198876429925</v>
      </c>
      <c r="AD139" s="102">
        <f t="shared" si="74"/>
        <v>0.47090984098849159</v>
      </c>
      <c r="AE139" s="102">
        <f t="shared" si="74"/>
        <v>0.49343379360250589</v>
      </c>
      <c r="AF139" s="102">
        <f t="shared" si="74"/>
        <v>0.51646384660634204</v>
      </c>
      <c r="AG139" s="102">
        <f t="shared" si="74"/>
        <v>0.53999999999999992</v>
      </c>
      <c r="AI139" s="124"/>
      <c r="AJ139" s="185"/>
      <c r="AL139" s="100"/>
      <c r="AM139" s="2"/>
      <c r="AN139" s="2"/>
      <c r="AO139" s="2"/>
    </row>
    <row r="140" spans="1:63" outlineLevel="1">
      <c r="A140" t="s">
        <v>1250</v>
      </c>
      <c r="B140" s="50" t="s">
        <v>126</v>
      </c>
      <c r="C140" s="102">
        <f>C127*C138</f>
        <v>3.7740635954043159E-2</v>
      </c>
      <c r="D140" s="102">
        <f t="shared" ref="D140:AG140" si="75">D127*D138</f>
        <v>4.1233029182133646E-2</v>
      </c>
      <c r="E140" s="102">
        <f t="shared" si="75"/>
        <v>4.4707719693676658E-2</v>
      </c>
      <c r="F140" s="102">
        <f t="shared" si="75"/>
        <v>4.8146366239834072E-2</v>
      </c>
      <c r="G140" s="102">
        <f t="shared" si="75"/>
        <v>5.1530627571767781E-2</v>
      </c>
      <c r="H140" s="102">
        <f t="shared" si="75"/>
        <v>5.4842162440639629E-2</v>
      </c>
      <c r="I140" s="102">
        <f t="shared" si="75"/>
        <v>5.8062629597611541E-2</v>
      </c>
      <c r="J140" s="102">
        <f t="shared" si="75"/>
        <v>6.1173687793845376E-2</v>
      </c>
      <c r="K140" s="102">
        <f t="shared" si="75"/>
        <v>6.4156995780503018E-2</v>
      </c>
      <c r="L140" s="102">
        <f t="shared" si="75"/>
        <v>6.6994212308746359E-2</v>
      </c>
      <c r="M140" s="102">
        <f t="shared" si="75"/>
        <v>6.9666996129737244E-2</v>
      </c>
      <c r="N140" s="102">
        <f t="shared" si="75"/>
        <v>7.1150848381177911E-2</v>
      </c>
      <c r="O140" s="102">
        <f t="shared" si="75"/>
        <v>7.2454372413140816E-2</v>
      </c>
      <c r="P140" s="102">
        <f t="shared" si="75"/>
        <v>7.3565246074636576E-2</v>
      </c>
      <c r="Q140" s="102">
        <f t="shared" si="75"/>
        <v>7.4471147214675779E-2</v>
      </c>
      <c r="R140" s="102">
        <f t="shared" si="75"/>
        <v>7.5159753682269029E-2</v>
      </c>
      <c r="S140" s="102">
        <f t="shared" si="75"/>
        <v>7.5618743326426943E-2</v>
      </c>
      <c r="T140" s="102">
        <f t="shared" si="75"/>
        <v>7.5835793996160111E-2</v>
      </c>
      <c r="U140" s="102">
        <f t="shared" si="75"/>
        <v>7.5798583540479178E-2</v>
      </c>
      <c r="V140" s="102">
        <f t="shared" si="75"/>
        <v>7.5494789808394705E-2</v>
      </c>
      <c r="W140" s="102">
        <f t="shared" si="75"/>
        <v>7.4912090648917309E-2</v>
      </c>
      <c r="X140" s="102">
        <f t="shared" si="75"/>
        <v>7.4932000588701295E-2</v>
      </c>
      <c r="Y140" s="102">
        <f t="shared" si="75"/>
        <v>7.4581302034810518E-2</v>
      </c>
      <c r="Z140" s="102">
        <f t="shared" si="75"/>
        <v>7.3841046588650025E-2</v>
      </c>
      <c r="AA140" s="102">
        <f t="shared" si="75"/>
        <v>7.2692285851624863E-2</v>
      </c>
      <c r="AB140" s="102">
        <f t="shared" si="75"/>
        <v>7.1116071425140134E-2</v>
      </c>
      <c r="AC140" s="102">
        <f t="shared" si="75"/>
        <v>6.9093454910600871E-2</v>
      </c>
      <c r="AD140" s="102">
        <f t="shared" si="75"/>
        <v>6.6605487909412175E-2</v>
      </c>
      <c r="AE140" s="102">
        <f t="shared" si="75"/>
        <v>6.363322202297908E-2</v>
      </c>
      <c r="AF140" s="102">
        <f t="shared" si="75"/>
        <v>6.0157708852706639E-2</v>
      </c>
      <c r="AG140" s="102">
        <f t="shared" si="75"/>
        <v>5.6159999999999988E-2</v>
      </c>
      <c r="AI140" s="124"/>
      <c r="AJ140" s="185"/>
      <c r="BD140" s="177"/>
      <c r="BE140" s="177"/>
    </row>
    <row r="141" spans="1:63" outlineLevel="1">
      <c r="A141" t="s">
        <v>1251</v>
      </c>
      <c r="B141" s="50" t="s">
        <v>126</v>
      </c>
      <c r="C141" s="102">
        <f>C128*C138</f>
        <v>8.7093775278561138E-3</v>
      </c>
      <c r="D141" s="102">
        <f t="shared" ref="D141:AG141" si="76">D128*D138</f>
        <v>9.5153144266462257E-3</v>
      </c>
      <c r="E141" s="102">
        <f t="shared" si="76"/>
        <v>1.031716608315615E-2</v>
      </c>
      <c r="F141" s="102">
        <f t="shared" si="76"/>
        <v>1.111069990150017E-2</v>
      </c>
      <c r="G141" s="102">
        <f t="shared" si="76"/>
        <v>1.1891683285792563E-2</v>
      </c>
      <c r="H141" s="102">
        <f t="shared" si="76"/>
        <v>1.2655883640147607E-2</v>
      </c>
      <c r="I141" s="102">
        <f t="shared" si="76"/>
        <v>1.3399068368679585E-2</v>
      </c>
      <c r="J141" s="102">
        <f t="shared" si="76"/>
        <v>1.4117004875502779E-2</v>
      </c>
      <c r="K141" s="102">
        <f t="shared" si="76"/>
        <v>1.4805460564731466E-2</v>
      </c>
      <c r="L141" s="102">
        <f t="shared" si="76"/>
        <v>1.5460202840479928E-2</v>
      </c>
      <c r="M141" s="102">
        <f t="shared" si="76"/>
        <v>1.6076999106862441E-2</v>
      </c>
      <c r="N141" s="102">
        <f t="shared" si="76"/>
        <v>1.6419426549502597E-2</v>
      </c>
      <c r="O141" s="102">
        <f t="shared" si="76"/>
        <v>1.6720239787647882E-2</v>
      </c>
      <c r="P141" s="102">
        <f t="shared" si="76"/>
        <v>1.6976595247993054E-2</v>
      </c>
      <c r="Q141" s="102">
        <f t="shared" si="76"/>
        <v>1.7185649357232869E-2</v>
      </c>
      <c r="R141" s="102">
        <f t="shared" si="76"/>
        <v>1.7344558542062082E-2</v>
      </c>
      <c r="S141" s="102">
        <f t="shared" si="76"/>
        <v>1.7450479229175444E-2</v>
      </c>
      <c r="T141" s="102">
        <f t="shared" si="76"/>
        <v>1.7500567845267719E-2</v>
      </c>
      <c r="U141" s="102">
        <f t="shared" si="76"/>
        <v>1.7491980817033657E-2</v>
      </c>
      <c r="V141" s="102">
        <f t="shared" si="76"/>
        <v>1.7421874571168009E-2</v>
      </c>
      <c r="W141" s="102">
        <f t="shared" si="76"/>
        <v>1.7287405534365533E-2</v>
      </c>
      <c r="X141" s="102">
        <f t="shared" si="76"/>
        <v>1.7292000135854146E-2</v>
      </c>
      <c r="Y141" s="102">
        <f t="shared" si="76"/>
        <v>1.7211069700340888E-2</v>
      </c>
      <c r="Z141" s="102">
        <f t="shared" si="76"/>
        <v>1.7040241520457699E-2</v>
      </c>
      <c r="AA141" s="102">
        <f t="shared" si="76"/>
        <v>1.6775142888836508E-2</v>
      </c>
      <c r="AB141" s="102">
        <f t="shared" si="76"/>
        <v>1.6411401098109259E-2</v>
      </c>
      <c r="AC141" s="102">
        <f t="shared" si="76"/>
        <v>1.5944643440907895E-2</v>
      </c>
      <c r="AD141" s="102">
        <f t="shared" si="76"/>
        <v>1.5370497209864347E-2</v>
      </c>
      <c r="AE141" s="102">
        <f t="shared" si="76"/>
        <v>1.4684589697610556E-2</v>
      </c>
      <c r="AF141" s="102">
        <f t="shared" si="76"/>
        <v>1.3882548196778454E-2</v>
      </c>
      <c r="AG141" s="102">
        <f t="shared" si="76"/>
        <v>1.2959999999999996E-2</v>
      </c>
      <c r="AI141" s="124"/>
      <c r="AJ141" s="185"/>
      <c r="AL141" s="1"/>
      <c r="BC141" s="1"/>
      <c r="BD141" s="615"/>
      <c r="BE141" s="605"/>
      <c r="BF141" s="6"/>
      <c r="BG141" s="6"/>
      <c r="BH141" s="6"/>
      <c r="BI141" s="6"/>
      <c r="BJ141" s="6"/>
    </row>
    <row r="142" spans="1:63" outlineLevel="1">
      <c r="A142" t="s">
        <v>1252</v>
      </c>
      <c r="B142" s="50" t="s">
        <v>126</v>
      </c>
      <c r="C142" s="102">
        <f>C129*C138</f>
        <v>2.6128132583568341E-2</v>
      </c>
      <c r="D142" s="102">
        <f t="shared" ref="D142:AG142" si="77">D129*D138</f>
        <v>2.8545943279938677E-2</v>
      </c>
      <c r="E142" s="102">
        <f t="shared" si="77"/>
        <v>3.095149824946845E-2</v>
      </c>
      <c r="F142" s="102">
        <f t="shared" si="77"/>
        <v>3.333209970450051E-2</v>
      </c>
      <c r="G142" s="102">
        <f t="shared" si="77"/>
        <v>3.567504985737769E-2</v>
      </c>
      <c r="H142" s="102">
        <f t="shared" si="77"/>
        <v>3.7967650920442818E-2</v>
      </c>
      <c r="I142" s="102">
        <f t="shared" si="77"/>
        <v>4.0197205106038754E-2</v>
      </c>
      <c r="J142" s="102">
        <f t="shared" si="77"/>
        <v>4.2351014626508338E-2</v>
      </c>
      <c r="K142" s="102">
        <f t="shared" si="77"/>
        <v>4.4416381694194394E-2</v>
      </c>
      <c r="L142" s="102">
        <f t="shared" si="77"/>
        <v>4.6380608521439784E-2</v>
      </c>
      <c r="M142" s="102">
        <f t="shared" si="77"/>
        <v>4.8230997320587318E-2</v>
      </c>
      <c r="N142" s="102">
        <f t="shared" si="77"/>
        <v>4.9258279648507784E-2</v>
      </c>
      <c r="O142" s="102">
        <f t="shared" si="77"/>
        <v>5.016071936294364E-2</v>
      </c>
      <c r="P142" s="102">
        <f t="shared" si="77"/>
        <v>5.0929785743979161E-2</v>
      </c>
      <c r="Q142" s="102">
        <f t="shared" si="77"/>
        <v>5.1556948071698611E-2</v>
      </c>
      <c r="R142" s="102">
        <f t="shared" si="77"/>
        <v>5.203367562618625E-2</v>
      </c>
      <c r="S142" s="102">
        <f t="shared" si="77"/>
        <v>5.2351437687526335E-2</v>
      </c>
      <c r="T142" s="102">
        <f t="shared" si="77"/>
        <v>5.2501703535803156E-2</v>
      </c>
      <c r="U142" s="102">
        <f t="shared" si="77"/>
        <v>5.2475942451100967E-2</v>
      </c>
      <c r="V142" s="102">
        <f t="shared" si="77"/>
        <v>5.2265623713504024E-2</v>
      </c>
      <c r="W142" s="102">
        <f t="shared" si="77"/>
        <v>5.1862216603096596E-2</v>
      </c>
      <c r="X142" s="102">
        <f t="shared" si="77"/>
        <v>5.1876000407562434E-2</v>
      </c>
      <c r="Y142" s="102">
        <f t="shared" si="77"/>
        <v>5.1633209101022662E-2</v>
      </c>
      <c r="Z142" s="102">
        <f t="shared" si="77"/>
        <v>5.1120724561373093E-2</v>
      </c>
      <c r="AA142" s="102">
        <f t="shared" si="77"/>
        <v>5.032542866650952E-2</v>
      </c>
      <c r="AB142" s="102">
        <f t="shared" si="77"/>
        <v>4.9234203294327782E-2</v>
      </c>
      <c r="AC142" s="102">
        <f t="shared" si="77"/>
        <v>4.7833930322723678E-2</v>
      </c>
      <c r="AD142" s="102">
        <f t="shared" si="77"/>
        <v>4.6111491629593035E-2</v>
      </c>
      <c r="AE142" s="102">
        <f t="shared" si="77"/>
        <v>4.4053769092831666E-2</v>
      </c>
      <c r="AF142" s="102">
        <f t="shared" si="77"/>
        <v>4.1647644590335361E-2</v>
      </c>
      <c r="AG142" s="102">
        <f t="shared" si="77"/>
        <v>3.8879999999999991E-2</v>
      </c>
      <c r="AI142" s="125"/>
      <c r="AJ142" s="185"/>
      <c r="BC142" s="1"/>
      <c r="BD142" s="37"/>
      <c r="BF142" s="6"/>
      <c r="BG142" s="6"/>
      <c r="BH142" s="6"/>
      <c r="BI142" s="6"/>
      <c r="BJ142" s="6"/>
    </row>
    <row r="143" spans="1:63" outlineLevel="1"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I143" s="125"/>
      <c r="AJ143" s="185"/>
      <c r="BC143" s="1"/>
      <c r="BD143" s="37"/>
      <c r="BF143" s="6"/>
      <c r="BG143" s="6"/>
      <c r="BH143" s="6"/>
      <c r="BI143" s="6"/>
      <c r="BJ143" s="6"/>
    </row>
    <row r="144" spans="1:63" s="1" customFormat="1" outlineLevel="1">
      <c r="A144" s="1" t="s">
        <v>265</v>
      </c>
      <c r="B144" s="60"/>
      <c r="C144" s="250">
        <f>C40*C137</f>
        <v>203.45670955853896</v>
      </c>
      <c r="D144" s="250">
        <f t="shared" ref="D144:AG144" si="78">D40*D137</f>
        <v>296.05432943836303</v>
      </c>
      <c r="E144" s="250">
        <f t="shared" si="78"/>
        <v>405.05784904653683</v>
      </c>
      <c r="F144" s="250">
        <f t="shared" si="78"/>
        <v>531.48682285745144</v>
      </c>
      <c r="G144" s="250">
        <f t="shared" si="78"/>
        <v>676.35131867101177</v>
      </c>
      <c r="H144" s="250">
        <f t="shared" si="78"/>
        <v>840.65197086251089</v>
      </c>
      <c r="I144" s="250">
        <f t="shared" si="78"/>
        <v>1025.3800333954223</v>
      </c>
      <c r="J144" s="250">
        <f t="shared" si="78"/>
        <v>1231.5174325980247</v>
      </c>
      <c r="K144" s="250">
        <f t="shared" si="78"/>
        <v>1460.0368197047867</v>
      </c>
      <c r="L144" s="250">
        <f t="shared" si="78"/>
        <v>1711.9016231634162</v>
      </c>
      <c r="M144" s="250">
        <f t="shared" si="78"/>
        <v>1988.0661007084893</v>
      </c>
      <c r="N144" s="250">
        <f t="shared" si="78"/>
        <v>2257.5509361349859</v>
      </c>
      <c r="O144" s="250">
        <f t="shared" si="78"/>
        <v>2547.0555329312565</v>
      </c>
      <c r="P144" s="250">
        <f t="shared" si="78"/>
        <v>2847.4403391888586</v>
      </c>
      <c r="Q144" s="250">
        <f t="shared" si="78"/>
        <v>3166.7211882385645</v>
      </c>
      <c r="R144" s="250">
        <f t="shared" si="78"/>
        <v>3505.2458109364334</v>
      </c>
      <c r="S144" s="250">
        <f t="shared" si="78"/>
        <v>3863.3451337859806</v>
      </c>
      <c r="T144" s="250">
        <f t="shared" si="78"/>
        <v>4241.3332864853928</v>
      </c>
      <c r="U144" s="250">
        <f t="shared" si="78"/>
        <v>4639.5076105215649</v>
      </c>
      <c r="V144" s="250">
        <f t="shared" si="78"/>
        <v>5058.1486687999695</v>
      </c>
      <c r="W144" s="250">
        <f t="shared" si="78"/>
        <v>5497.5202562995737</v>
      </c>
      <c r="X144" s="250">
        <f t="shared" si="78"/>
        <v>6029.796670867715</v>
      </c>
      <c r="Y144" s="250">
        <f t="shared" si="78"/>
        <v>6591.4943212239532</v>
      </c>
      <c r="Z144" s="250">
        <f t="shared" si="78"/>
        <v>7121.4071113014816</v>
      </c>
      <c r="AA144" s="250">
        <f t="shared" si="78"/>
        <v>7669.2438063450945</v>
      </c>
      <c r="AB144" s="250">
        <f t="shared" si="78"/>
        <v>8234.1507850882208</v>
      </c>
      <c r="AC144" s="250">
        <f t="shared" si="78"/>
        <v>8815.1883626977287</v>
      </c>
      <c r="AD144" s="250">
        <f t="shared" si="78"/>
        <v>9411.3299875340308</v>
      </c>
      <c r="AE144" s="250">
        <f t="shared" si="78"/>
        <v>10021.461455018827</v>
      </c>
      <c r="AF144" s="250">
        <f t="shared" si="78"/>
        <v>10644.380138461516</v>
      </c>
      <c r="AG144" s="250">
        <f t="shared" si="78"/>
        <v>11278.794236696127</v>
      </c>
      <c r="AH144" s="217"/>
      <c r="AI144" s="368"/>
      <c r="AJ144" s="369"/>
      <c r="AL144" s="194"/>
      <c r="AM144" s="116"/>
      <c r="AN144" s="116"/>
      <c r="AO144" s="116"/>
      <c r="BD144" s="116"/>
      <c r="BE144" s="116"/>
      <c r="BF144" s="116"/>
      <c r="BG144" s="116"/>
      <c r="BH144" s="116"/>
      <c r="BI144" s="116"/>
      <c r="BJ144" s="116"/>
      <c r="BK144" s="116"/>
    </row>
    <row r="145" spans="1:63" outlineLevel="1">
      <c r="A145" s="4" t="s">
        <v>35</v>
      </c>
      <c r="C145" s="203">
        <f>C$144*'BTX recycling rates'!E58</f>
        <v>0</v>
      </c>
      <c r="D145" s="203">
        <f>D$144*'BTX recycling rates'!F58</f>
        <v>0</v>
      </c>
      <c r="E145" s="203">
        <f>E$144*'BTX recycling rates'!G58</f>
        <v>0</v>
      </c>
      <c r="F145" s="203">
        <f>F$144*'BTX recycling rates'!H58</f>
        <v>0</v>
      </c>
      <c r="G145" s="203">
        <f>G$144*'BTX recycling rates'!I58</f>
        <v>0</v>
      </c>
      <c r="H145" s="203">
        <f>H$144*'BTX recycling rates'!J58</f>
        <v>0</v>
      </c>
      <c r="I145" s="203">
        <f>I$144*'BTX recycling rates'!K58</f>
        <v>0</v>
      </c>
      <c r="J145" s="203">
        <f>J$144*'BTX recycling rates'!L58</f>
        <v>0</v>
      </c>
      <c r="K145" s="203">
        <f>K$144*'BTX recycling rates'!M58</f>
        <v>0</v>
      </c>
      <c r="L145" s="203">
        <f>L$144*'BTX recycling rates'!N58</f>
        <v>0</v>
      </c>
      <c r="M145" s="203">
        <f>M$144*'BTX recycling rates'!O58</f>
        <v>0</v>
      </c>
      <c r="N145" s="203">
        <f>N$144*'BTX recycling rates'!P58</f>
        <v>0</v>
      </c>
      <c r="O145" s="203">
        <f>O$144*'BTX recycling rates'!Q58</f>
        <v>0</v>
      </c>
      <c r="P145" s="203">
        <f>P$144*'BTX recycling rates'!R58</f>
        <v>0</v>
      </c>
      <c r="Q145" s="203">
        <f>Q$144*'BTX recycling rates'!S58</f>
        <v>0</v>
      </c>
      <c r="R145" s="203">
        <f>R$144*'BTX recycling rates'!T58</f>
        <v>0</v>
      </c>
      <c r="S145" s="203">
        <f>S$144*'BTX recycling rates'!U58</f>
        <v>0</v>
      </c>
      <c r="T145" s="203">
        <f>T$144*'BTX recycling rates'!V58</f>
        <v>0</v>
      </c>
      <c r="U145" s="203">
        <f>U$144*'BTX recycling rates'!W58</f>
        <v>0</v>
      </c>
      <c r="V145" s="203">
        <f>V$144*'BTX recycling rates'!X58</f>
        <v>0</v>
      </c>
      <c r="W145" s="203">
        <f>W$144*'BTX recycling rates'!Y58</f>
        <v>0</v>
      </c>
      <c r="X145" s="203">
        <f>X$144*'BTX recycling rates'!Z58</f>
        <v>0</v>
      </c>
      <c r="Y145" s="203">
        <f>Y$144*'BTX recycling rates'!AA58</f>
        <v>0</v>
      </c>
      <c r="Z145" s="203">
        <f>Z$144*'BTX recycling rates'!AB58</f>
        <v>0</v>
      </c>
      <c r="AA145" s="203">
        <f>AA$144*'BTX recycling rates'!AC58</f>
        <v>0</v>
      </c>
      <c r="AB145" s="203">
        <f>AB$144*'BTX recycling rates'!AD58</f>
        <v>0</v>
      </c>
      <c r="AC145" s="203">
        <f>AC$144*'BTX recycling rates'!AE58</f>
        <v>0</v>
      </c>
      <c r="AD145" s="203">
        <f>AD$144*'BTX recycling rates'!AF58</f>
        <v>0</v>
      </c>
      <c r="AE145" s="203">
        <f>AE$144*'BTX recycling rates'!AG58</f>
        <v>0</v>
      </c>
      <c r="AF145" s="203">
        <f>AF$144*'BTX recycling rates'!AH58</f>
        <v>0</v>
      </c>
      <c r="AG145" s="203">
        <f>AG$144*'BTX recycling rates'!AI58</f>
        <v>0</v>
      </c>
      <c r="AH145" s="217"/>
      <c r="AI145" s="124"/>
      <c r="AJ145" s="185"/>
      <c r="AL145" s="100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74</v>
      </c>
      <c r="C146" s="203">
        <f>C$144*'BTX recycling rates'!E59</f>
        <v>121.1421629432522</v>
      </c>
      <c r="D146" s="203">
        <f>D$144*'BTX recycling rates'!F59</f>
        <v>170.40073618055399</v>
      </c>
      <c r="E146" s="203">
        <f>E$144*'BTX recycling rates'!G59</f>
        <v>225.1008504625029</v>
      </c>
      <c r="F146" s="203">
        <f>F$144*'BTX recycling rates'!H59</f>
        <v>284.81202263048158</v>
      </c>
      <c r="G146" s="203">
        <f>G$144*'BTX recycling rates'!I59</f>
        <v>349.01793238290372</v>
      </c>
      <c r="H146" s="203">
        <f>H$144*'BTX recycling rates'!J59</f>
        <v>417.11739012261984</v>
      </c>
      <c r="I146" s="203">
        <f>I$144*'BTX recycling rates'!K59</f>
        <v>488.42529835018581</v>
      </c>
      <c r="J146" s="203">
        <f>J$144*'BTX recycling rates'!L59</f>
        <v>562.17360663635009</v>
      </c>
      <c r="K146" s="203">
        <f>K$144*'BTX recycling rates'!M59</f>
        <v>637.51226020697538</v>
      </c>
      <c r="L146" s="203">
        <f>L$144*'BTX recycling rates'!N59</f>
        <v>713.51014217345414</v>
      </c>
      <c r="M146" s="203">
        <f>M$144*'BTX recycling rates'!O59</f>
        <v>789.15600944153755</v>
      </c>
      <c r="N146" s="203">
        <f>N$144*'BTX recycling rates'!P59</f>
        <v>851.32073469517763</v>
      </c>
      <c r="O146" s="203">
        <f>O$144*'BTX recycling rates'!Q59</f>
        <v>909.94044993269279</v>
      </c>
      <c r="P146" s="203">
        <f>P$144*'BTX recycling rates'!R59</f>
        <v>960.73941215379773</v>
      </c>
      <c r="Q146" s="203">
        <f>Q$144*'BTX recycling rates'!S59</f>
        <v>1005.6152780971314</v>
      </c>
      <c r="R146" s="203">
        <f>R$144*'BTX recycling rates'!T59</f>
        <v>1043.5464627978688</v>
      </c>
      <c r="S146" s="203">
        <f>S$144*'BTX recycling rates'!U59</f>
        <v>1073.4791058764092</v>
      </c>
      <c r="T146" s="203">
        <f>T$144*'BTX recycling rates'!V59</f>
        <v>1094.3287410931769</v>
      </c>
      <c r="U146" s="203">
        <f>U$144*'BTX recycling rates'!W59</f>
        <v>1104.98196525399</v>
      </c>
      <c r="V146" s="203">
        <f>V$144*'BTX recycling rates'!X59</f>
        <v>1104.2981063181603</v>
      </c>
      <c r="W146" s="203">
        <f>W$144*'BTX recycling rates'!Y59</f>
        <v>1091.110890563273</v>
      </c>
      <c r="X146" s="203">
        <f>X$144*'BTX recycling rates'!Z59</f>
        <v>1077.0781839565218</v>
      </c>
      <c r="Y146" s="203">
        <f>Y$144*'BTX recycling rates'!AA59</f>
        <v>1046.5884113088398</v>
      </c>
      <c r="Z146" s="203">
        <f>Z$144*'BTX recycling rates'!AB59</f>
        <v>989.38633149379177</v>
      </c>
      <c r="AA146" s="203">
        <f>AA$144*'BTX recycling rates'!AC59</f>
        <v>913.28399525941393</v>
      </c>
      <c r="AB146" s="203">
        <f>AB$144*'BTX recycling rates'!AD59</f>
        <v>817.12946722249308</v>
      </c>
      <c r="AC146" s="203">
        <f>AC$144*'BTX recycling rates'!AE59</f>
        <v>699.8317478782908</v>
      </c>
      <c r="AD146" s="203">
        <f>AD$144*'BTX recycling rates'!AF59</f>
        <v>560.36926643332163</v>
      </c>
      <c r="AE146" s="203">
        <f>AE$144*'BTX recycling rates'!AG59</f>
        <v>397.79846997021053</v>
      </c>
      <c r="AF146" s="203">
        <f>AF$144*'BTX recycling rates'!AH59</f>
        <v>211.26250656488247</v>
      </c>
      <c r="AG146" s="203">
        <f>AG$144*'BTX recycling rates'!AI59</f>
        <v>0</v>
      </c>
      <c r="AH146" s="217"/>
      <c r="AI146" s="124"/>
      <c r="AJ146" s="185"/>
      <c r="AL146" s="100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160</v>
      </c>
      <c r="C147" s="203">
        <f>C$144*'BTX recycling rates'!E60</f>
        <v>0</v>
      </c>
      <c r="D147" s="203">
        <f>D$144*'BTX recycling rates'!F60</f>
        <v>1.1954574453008724</v>
      </c>
      <c r="E147" s="203">
        <f>E$144*'BTX recycling rates'!G60</f>
        <v>3.2712199976190748</v>
      </c>
      <c r="F147" s="203">
        <f>F$144*'BTX recycling rates'!H60</f>
        <v>6.4383778545268013</v>
      </c>
      <c r="G147" s="203">
        <f>G$144*'BTX recycling rates'!I60</f>
        <v>10.924335693089869</v>
      </c>
      <c r="H147" s="203">
        <f>H$144*'BTX recycling rates'!J60</f>
        <v>16.972622210607948</v>
      </c>
      <c r="I147" s="203">
        <f>I$144*'BTX recycling rates'!K60</f>
        <v>24.842700949738067</v>
      </c>
      <c r="J147" s="203">
        <f>J$144*'BTX recycling rates'!L60</f>
        <v>34.809782401325883</v>
      </c>
      <c r="K147" s="203">
        <f>K$144*'BTX recycling rates'!M60</f>
        <v>47.164637378299311</v>
      </c>
      <c r="L147" s="203">
        <f>L$144*'BTX recycling rates'!N60</f>
        <v>62.21341165400802</v>
      </c>
      <c r="M147" s="203">
        <f>M$144*'BTX recycling rates'!O60</f>
        <v>80.277441858422236</v>
      </c>
      <c r="N147" s="203">
        <f>N$144*'BTX recycling rates'!P60</f>
        <v>100.27506396731954</v>
      </c>
      <c r="O147" s="203">
        <f>O$144*'BTX recycling rates'!Q60</f>
        <v>123.41909701022153</v>
      </c>
      <c r="P147" s="203">
        <f>P$144*'BTX recycling rates'!R60</f>
        <v>149.47229071056944</v>
      </c>
      <c r="Q147" s="203">
        <f>Q$144*'BTX recycling rates'!S60</f>
        <v>179.01959415337532</v>
      </c>
      <c r="R147" s="203">
        <f>R$144*'BTX recycling rates'!T60</f>
        <v>212.31097398118268</v>
      </c>
      <c r="S147" s="203">
        <f>S$144*'BTX recycling rates'!U60</f>
        <v>249.60092765205164</v>
      </c>
      <c r="T147" s="203">
        <f>T$144*'BTX recycling rates'!V60</f>
        <v>291.14814468058285</v>
      </c>
      <c r="U147" s="203">
        <f>U$144*'BTX recycling rates'!W60</f>
        <v>337.21516813788088</v>
      </c>
      <c r="V147" s="203">
        <f>V$144*'BTX recycling rates'!X60</f>
        <v>388.06805643920205</v>
      </c>
      <c r="W147" s="203">
        <f>W$144*'BTX recycling rates'!Y60</f>
        <v>443.97604544769564</v>
      </c>
      <c r="X147" s="203">
        <f>X$144*'BTX recycling rates'!Z60</f>
        <v>511.31044794310077</v>
      </c>
      <c r="Y147" s="203">
        <f>Y$144*'BTX recycling rates'!AA60</f>
        <v>585.55712220832459</v>
      </c>
      <c r="Z147" s="203">
        <f>Z$144*'BTX recycling rates'!AB60</f>
        <v>661.38806641541282</v>
      </c>
      <c r="AA147" s="203">
        <f>AA$144*'BTX recycling rates'!AC60</f>
        <v>743.23557778187853</v>
      </c>
      <c r="AB147" s="203">
        <f>AB$144*'BTX recycling rates'!AD60</f>
        <v>831.2306123370779</v>
      </c>
      <c r="AC147" s="203">
        <f>AC$144*'BTX recycling rates'!AE60</f>
        <v>925.48130296765589</v>
      </c>
      <c r="AD147" s="203">
        <f>AD$144*'BTX recycling rates'!AF60</f>
        <v>1026.0711342352754</v>
      </c>
      <c r="AE147" s="203">
        <f>AE$144*'BTX recycling rates'!AG60</f>
        <v>1133.057099667855</v>
      </c>
      <c r="AF147" s="203">
        <f>AF$144*'BTX recycling rates'!AH60</f>
        <v>1246.4678419904299</v>
      </c>
      <c r="AG147" s="203">
        <f>AG$144*'BTX recycling rates'!AI60</f>
        <v>1366.3017767570373</v>
      </c>
      <c r="AH147" s="217"/>
      <c r="AI147" s="124"/>
      <c r="AJ147" s="185"/>
      <c r="AL147" s="100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1040</v>
      </c>
      <c r="C148" s="203">
        <f>C$144*'BTX recycling rates'!E61</f>
        <v>82.314546615286758</v>
      </c>
      <c r="D148" s="203">
        <f>D$144*'BTX recycling rates'!F61</f>
        <v>124.45813581250816</v>
      </c>
      <c r="E148" s="203">
        <f>E$144*'BTX recycling rates'!G61</f>
        <v>176.68577858641484</v>
      </c>
      <c r="F148" s="203">
        <f>F$144*'BTX recycling rates'!H61</f>
        <v>240.236422372443</v>
      </c>
      <c r="G148" s="203">
        <f>G$144*'BTX recycling rates'!I61</f>
        <v>316.40905059501807</v>
      </c>
      <c r="H148" s="203">
        <f>H$144*'BTX recycling rates'!J61</f>
        <v>406.56195852928295</v>
      </c>
      <c r="I148" s="203">
        <f>I$144*'BTX recycling rates'!K61</f>
        <v>512.11203409549819</v>
      </c>
      <c r="J148" s="203">
        <f>J$144*'BTX recycling rates'!L61</f>
        <v>634.53404356034844</v>
      </c>
      <c r="K148" s="203">
        <f>K$144*'BTX recycling rates'!M61</f>
        <v>775.35992211951168</v>
      </c>
      <c r="L148" s="203">
        <f>L$144*'BTX recycling rates'!N61</f>
        <v>936.17806933595375</v>
      </c>
      <c r="M148" s="203">
        <f>M$144*'BTX recycling rates'!O61</f>
        <v>1118.6326494085295</v>
      </c>
      <c r="N148" s="203">
        <f>N$144*'BTX recycling rates'!P61</f>
        <v>1305.9551374724886</v>
      </c>
      <c r="O148" s="203">
        <f>O$144*'BTX recycling rates'!Q61</f>
        <v>1513.695985988342</v>
      </c>
      <c r="P148" s="203">
        <f>P$144*'BTX recycling rates'!R61</f>
        <v>1737.2286363244914</v>
      </c>
      <c r="Q148" s="203">
        <f>Q$144*'BTX recycling rates'!S61</f>
        <v>1982.0863159880578</v>
      </c>
      <c r="R148" s="203">
        <f>R$144*'BTX recycling rates'!T61</f>
        <v>2249.3883741573818</v>
      </c>
      <c r="S148" s="203">
        <f>S$144*'BTX recycling rates'!U61</f>
        <v>2540.2651002575199</v>
      </c>
      <c r="T148" s="203">
        <f>T$144*'BTX recycling rates'!V61</f>
        <v>2855.8564007116333</v>
      </c>
      <c r="U148" s="203">
        <f>U$144*'BTX recycling rates'!W61</f>
        <v>3197.3104771296944</v>
      </c>
      <c r="V148" s="203">
        <f>V$144*'BTX recycling rates'!X61</f>
        <v>3565.7825060426076</v>
      </c>
      <c r="W148" s="203">
        <f>W$144*'BTX recycling rates'!Y61</f>
        <v>3962.433320288606</v>
      </c>
      <c r="X148" s="203">
        <f>X$144*'BTX recycling rates'!Z61</f>
        <v>4441.408038968093</v>
      </c>
      <c r="Y148" s="203">
        <f>Y$144*'BTX recycling rates'!AA61</f>
        <v>4959.3487877067901</v>
      </c>
      <c r="Z148" s="203">
        <f>Z$144*'BTX recycling rates'!AB61</f>
        <v>5470.6327133922787</v>
      </c>
      <c r="AA148" s="203">
        <f>AA$144*'BTX recycling rates'!AC61</f>
        <v>6012.7242333038039</v>
      </c>
      <c r="AB148" s="203">
        <f>AB$144*'BTX recycling rates'!AD61</f>
        <v>6585.7907055286523</v>
      </c>
      <c r="AC148" s="203">
        <f>AC$144*'BTX recycling rates'!AE61</f>
        <v>7189.8753118517852</v>
      </c>
      <c r="AD148" s="203">
        <f>AD$144*'BTX recycling rates'!AF61</f>
        <v>7824.8895868654372</v>
      </c>
      <c r="AE148" s="203">
        <f>AE$144*'BTX recycling rates'!AG61</f>
        <v>8490.6058853807663</v>
      </c>
      <c r="AF148" s="203">
        <f>AF$144*'BTX recycling rates'!AH61</f>
        <v>9186.6497899062088</v>
      </c>
      <c r="AG148" s="203">
        <f>AG$144*'BTX recycling rates'!AI61</f>
        <v>9912.4924599390906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s="1" customFormat="1" outlineLevel="1">
      <c r="A149" s="1" t="s">
        <v>1041</v>
      </c>
      <c r="B149" s="60"/>
      <c r="C149" s="250">
        <f t="shared" ref="C149:AG149" si="79">C144-$C144</f>
        <v>0</v>
      </c>
      <c r="D149" s="250">
        <f t="shared" si="79"/>
        <v>92.597619879824066</v>
      </c>
      <c r="E149" s="250">
        <f t="shared" si="79"/>
        <v>201.60113948799787</v>
      </c>
      <c r="F149" s="250">
        <f t="shared" si="79"/>
        <v>328.03011329891251</v>
      </c>
      <c r="G149" s="250">
        <f t="shared" si="79"/>
        <v>472.89460911247284</v>
      </c>
      <c r="H149" s="250">
        <f t="shared" si="79"/>
        <v>637.19526130397196</v>
      </c>
      <c r="I149" s="250">
        <f t="shared" si="79"/>
        <v>821.92332383688336</v>
      </c>
      <c r="J149" s="250">
        <f t="shared" si="79"/>
        <v>1028.0607230394858</v>
      </c>
      <c r="K149" s="250">
        <f t="shared" si="79"/>
        <v>1256.5801101462478</v>
      </c>
      <c r="L149" s="250">
        <f t="shared" si="79"/>
        <v>1508.4449136048772</v>
      </c>
      <c r="M149" s="250">
        <f t="shared" si="79"/>
        <v>1784.6093911499504</v>
      </c>
      <c r="N149" s="250">
        <f t="shared" si="79"/>
        <v>2054.094226576447</v>
      </c>
      <c r="O149" s="250">
        <f t="shared" si="79"/>
        <v>2343.5988233727176</v>
      </c>
      <c r="P149" s="250">
        <f t="shared" si="79"/>
        <v>2643.9836296303197</v>
      </c>
      <c r="Q149" s="250">
        <f t="shared" si="79"/>
        <v>2963.2644786800256</v>
      </c>
      <c r="R149" s="250">
        <f t="shared" si="79"/>
        <v>3301.7891013778944</v>
      </c>
      <c r="S149" s="250">
        <f t="shared" si="79"/>
        <v>3659.8884242274416</v>
      </c>
      <c r="T149" s="250">
        <f t="shared" si="79"/>
        <v>4037.8765769268539</v>
      </c>
      <c r="U149" s="250">
        <f t="shared" si="79"/>
        <v>4436.0509009630259</v>
      </c>
      <c r="V149" s="250">
        <f t="shared" si="79"/>
        <v>4854.6919592414306</v>
      </c>
      <c r="W149" s="250">
        <f t="shared" si="79"/>
        <v>5294.0635467410348</v>
      </c>
      <c r="X149" s="250">
        <f t="shared" si="79"/>
        <v>5826.339961309176</v>
      </c>
      <c r="Y149" s="250">
        <f t="shared" si="79"/>
        <v>6388.0376116654143</v>
      </c>
      <c r="Z149" s="250">
        <f t="shared" si="79"/>
        <v>6917.9504017429426</v>
      </c>
      <c r="AA149" s="250">
        <f t="shared" si="79"/>
        <v>7465.7870967865556</v>
      </c>
      <c r="AB149" s="250">
        <f t="shared" si="79"/>
        <v>8030.6940755296819</v>
      </c>
      <c r="AC149" s="250">
        <f t="shared" si="79"/>
        <v>8611.7316531391898</v>
      </c>
      <c r="AD149" s="250">
        <f t="shared" si="79"/>
        <v>9207.8732779754919</v>
      </c>
      <c r="AE149" s="250">
        <f t="shared" si="79"/>
        <v>9818.0047454602882</v>
      </c>
      <c r="AF149" s="250">
        <f t="shared" si="79"/>
        <v>10440.923428902977</v>
      </c>
      <c r="AG149" s="250">
        <f t="shared" si="79"/>
        <v>11075.337527137588</v>
      </c>
      <c r="AH149" s="217"/>
      <c r="AI149" s="368"/>
      <c r="AJ149" s="369"/>
      <c r="AL149" s="194"/>
      <c r="AM149" s="116"/>
      <c r="AN149" s="116"/>
      <c r="AO149" s="116"/>
      <c r="BD149" s="116"/>
      <c r="BE149" s="116"/>
      <c r="BF149" s="116"/>
      <c r="BG149" s="116"/>
      <c r="BH149" s="116"/>
      <c r="BI149" s="116"/>
      <c r="BJ149" s="116"/>
      <c r="BK149" s="116"/>
    </row>
    <row r="150" spans="1:63" outlineLevel="1">
      <c r="A150" s="4" t="s">
        <v>35</v>
      </c>
      <c r="C150" s="203">
        <f t="shared" ref="C150:AG150" si="80">C145-$C145</f>
        <v>0</v>
      </c>
      <c r="D150" s="203">
        <f t="shared" si="80"/>
        <v>0</v>
      </c>
      <c r="E150" s="203">
        <f t="shared" si="80"/>
        <v>0</v>
      </c>
      <c r="F150" s="203">
        <f t="shared" si="80"/>
        <v>0</v>
      </c>
      <c r="G150" s="203">
        <f t="shared" si="80"/>
        <v>0</v>
      </c>
      <c r="H150" s="203">
        <f t="shared" si="80"/>
        <v>0</v>
      </c>
      <c r="I150" s="203">
        <f t="shared" si="80"/>
        <v>0</v>
      </c>
      <c r="J150" s="203">
        <f t="shared" si="80"/>
        <v>0</v>
      </c>
      <c r="K150" s="203">
        <f t="shared" si="80"/>
        <v>0</v>
      </c>
      <c r="L150" s="203">
        <f t="shared" si="80"/>
        <v>0</v>
      </c>
      <c r="M150" s="203">
        <f t="shared" si="80"/>
        <v>0</v>
      </c>
      <c r="N150" s="203">
        <f t="shared" si="80"/>
        <v>0</v>
      </c>
      <c r="O150" s="203">
        <f t="shared" si="80"/>
        <v>0</v>
      </c>
      <c r="P150" s="203">
        <f t="shared" si="80"/>
        <v>0</v>
      </c>
      <c r="Q150" s="203">
        <f t="shared" si="80"/>
        <v>0</v>
      </c>
      <c r="R150" s="203">
        <f t="shared" si="80"/>
        <v>0</v>
      </c>
      <c r="S150" s="203">
        <f t="shared" si="80"/>
        <v>0</v>
      </c>
      <c r="T150" s="203">
        <f t="shared" si="80"/>
        <v>0</v>
      </c>
      <c r="U150" s="203">
        <f t="shared" si="80"/>
        <v>0</v>
      </c>
      <c r="V150" s="203">
        <f t="shared" si="80"/>
        <v>0</v>
      </c>
      <c r="W150" s="203">
        <f t="shared" si="80"/>
        <v>0</v>
      </c>
      <c r="X150" s="203">
        <f t="shared" si="80"/>
        <v>0</v>
      </c>
      <c r="Y150" s="203">
        <f t="shared" si="80"/>
        <v>0</v>
      </c>
      <c r="Z150" s="203">
        <f t="shared" si="80"/>
        <v>0</v>
      </c>
      <c r="AA150" s="203">
        <f t="shared" si="80"/>
        <v>0</v>
      </c>
      <c r="AB150" s="203">
        <f t="shared" si="80"/>
        <v>0</v>
      </c>
      <c r="AC150" s="203">
        <f t="shared" si="80"/>
        <v>0</v>
      </c>
      <c r="AD150" s="203">
        <f t="shared" si="80"/>
        <v>0</v>
      </c>
      <c r="AE150" s="203">
        <f t="shared" si="80"/>
        <v>0</v>
      </c>
      <c r="AF150" s="203">
        <f t="shared" si="80"/>
        <v>0</v>
      </c>
      <c r="AG150" s="203">
        <f t="shared" si="80"/>
        <v>0</v>
      </c>
      <c r="AH150" s="217"/>
      <c r="AI150" s="124"/>
      <c r="AJ150" s="185"/>
      <c r="AL150" s="100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74</v>
      </c>
      <c r="C151" s="203">
        <f t="shared" ref="C151:AG151" si="81">C146-$C146</f>
        <v>0</v>
      </c>
      <c r="D151" s="203">
        <f t="shared" si="81"/>
        <v>49.258573237301789</v>
      </c>
      <c r="E151" s="203">
        <f t="shared" si="81"/>
        <v>103.9586875192507</v>
      </c>
      <c r="F151" s="203">
        <f t="shared" si="81"/>
        <v>163.66985968722938</v>
      </c>
      <c r="G151" s="203">
        <f t="shared" si="81"/>
        <v>227.87576943965152</v>
      </c>
      <c r="H151" s="203">
        <f t="shared" si="81"/>
        <v>295.97522717936761</v>
      </c>
      <c r="I151" s="203">
        <f t="shared" si="81"/>
        <v>367.28313540693364</v>
      </c>
      <c r="J151" s="203">
        <f t="shared" si="81"/>
        <v>441.03144369309791</v>
      </c>
      <c r="K151" s="203">
        <f t="shared" si="81"/>
        <v>516.37009726372321</v>
      </c>
      <c r="L151" s="203">
        <f t="shared" si="81"/>
        <v>592.36797923020197</v>
      </c>
      <c r="M151" s="203">
        <f t="shared" si="81"/>
        <v>668.01384649828537</v>
      </c>
      <c r="N151" s="203">
        <f t="shared" si="81"/>
        <v>730.17857175192546</v>
      </c>
      <c r="O151" s="203">
        <f t="shared" si="81"/>
        <v>788.79828698944061</v>
      </c>
      <c r="P151" s="203">
        <f t="shared" si="81"/>
        <v>839.59724921054556</v>
      </c>
      <c r="Q151" s="203">
        <f t="shared" si="81"/>
        <v>884.47311515387923</v>
      </c>
      <c r="R151" s="203">
        <f t="shared" si="81"/>
        <v>922.40429985461662</v>
      </c>
      <c r="S151" s="203">
        <f t="shared" si="81"/>
        <v>952.33694293315705</v>
      </c>
      <c r="T151" s="203">
        <f t="shared" si="81"/>
        <v>973.18657814992469</v>
      </c>
      <c r="U151" s="203">
        <f t="shared" si="81"/>
        <v>983.83980231073781</v>
      </c>
      <c r="V151" s="203">
        <f t="shared" si="81"/>
        <v>983.15594337490813</v>
      </c>
      <c r="W151" s="203">
        <f t="shared" si="81"/>
        <v>969.96872762002079</v>
      </c>
      <c r="X151" s="203">
        <f t="shared" si="81"/>
        <v>955.93602101326962</v>
      </c>
      <c r="Y151" s="203">
        <f t="shared" si="81"/>
        <v>925.44624836558762</v>
      </c>
      <c r="Z151" s="203">
        <f t="shared" si="81"/>
        <v>868.2441685505396</v>
      </c>
      <c r="AA151" s="203">
        <f t="shared" si="81"/>
        <v>792.14183231616175</v>
      </c>
      <c r="AB151" s="203">
        <f t="shared" si="81"/>
        <v>695.9873042792409</v>
      </c>
      <c r="AC151" s="203">
        <f t="shared" si="81"/>
        <v>578.68958493503862</v>
      </c>
      <c r="AD151" s="203">
        <f t="shared" si="81"/>
        <v>439.22710349006945</v>
      </c>
      <c r="AE151" s="203">
        <f t="shared" si="81"/>
        <v>276.6563070269583</v>
      </c>
      <c r="AF151" s="203">
        <f t="shared" si="81"/>
        <v>90.120343621630269</v>
      </c>
      <c r="AG151" s="203">
        <f t="shared" si="81"/>
        <v>-121.1421629432522</v>
      </c>
      <c r="AH151" s="217"/>
      <c r="AI151" s="124"/>
      <c r="AJ151" s="185"/>
      <c r="AL151" s="100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03">
        <f t="shared" ref="C152:AG152" si="82">C147-$C147</f>
        <v>0</v>
      </c>
      <c r="D152" s="203">
        <f t="shared" si="82"/>
        <v>1.1954574453008724</v>
      </c>
      <c r="E152" s="203">
        <f t="shared" si="82"/>
        <v>3.2712199976190748</v>
      </c>
      <c r="F152" s="203">
        <f t="shared" si="82"/>
        <v>6.4383778545268013</v>
      </c>
      <c r="G152" s="203">
        <f t="shared" si="82"/>
        <v>10.924335693089869</v>
      </c>
      <c r="H152" s="203">
        <f t="shared" si="82"/>
        <v>16.972622210607948</v>
      </c>
      <c r="I152" s="203">
        <f t="shared" si="82"/>
        <v>24.842700949738067</v>
      </c>
      <c r="J152" s="203">
        <f t="shared" si="82"/>
        <v>34.809782401325883</v>
      </c>
      <c r="K152" s="203">
        <f t="shared" si="82"/>
        <v>47.164637378299311</v>
      </c>
      <c r="L152" s="203">
        <f t="shared" si="82"/>
        <v>62.21341165400802</v>
      </c>
      <c r="M152" s="203">
        <f t="shared" si="82"/>
        <v>80.277441858422236</v>
      </c>
      <c r="N152" s="203">
        <f t="shared" si="82"/>
        <v>100.27506396731954</v>
      </c>
      <c r="O152" s="203">
        <f t="shared" si="82"/>
        <v>123.41909701022153</v>
      </c>
      <c r="P152" s="203">
        <f t="shared" si="82"/>
        <v>149.47229071056944</v>
      </c>
      <c r="Q152" s="203">
        <f t="shared" si="82"/>
        <v>179.01959415337532</v>
      </c>
      <c r="R152" s="203">
        <f t="shared" si="82"/>
        <v>212.31097398118268</v>
      </c>
      <c r="S152" s="203">
        <f t="shared" si="82"/>
        <v>249.60092765205164</v>
      </c>
      <c r="T152" s="203">
        <f t="shared" si="82"/>
        <v>291.14814468058285</v>
      </c>
      <c r="U152" s="203">
        <f t="shared" si="82"/>
        <v>337.21516813788088</v>
      </c>
      <c r="V152" s="203">
        <f t="shared" si="82"/>
        <v>388.06805643920205</v>
      </c>
      <c r="W152" s="203">
        <f t="shared" si="82"/>
        <v>443.97604544769564</v>
      </c>
      <c r="X152" s="203">
        <f t="shared" si="82"/>
        <v>511.31044794310077</v>
      </c>
      <c r="Y152" s="203">
        <f t="shared" si="82"/>
        <v>585.55712220832459</v>
      </c>
      <c r="Z152" s="203">
        <f t="shared" si="82"/>
        <v>661.38806641541282</v>
      </c>
      <c r="AA152" s="203">
        <f t="shared" si="82"/>
        <v>743.23557778187853</v>
      </c>
      <c r="AB152" s="203">
        <f t="shared" si="82"/>
        <v>831.2306123370779</v>
      </c>
      <c r="AC152" s="203">
        <f t="shared" si="82"/>
        <v>925.48130296765589</v>
      </c>
      <c r="AD152" s="203">
        <f t="shared" si="82"/>
        <v>1026.0711342352754</v>
      </c>
      <c r="AE152" s="203">
        <f t="shared" si="82"/>
        <v>1133.057099667855</v>
      </c>
      <c r="AF152" s="203">
        <f t="shared" si="82"/>
        <v>1246.4678419904299</v>
      </c>
      <c r="AG152" s="203">
        <f t="shared" si="82"/>
        <v>1366.3017767570373</v>
      </c>
      <c r="AH152" s="217"/>
      <c r="AI152" s="124"/>
      <c r="AJ152" s="185"/>
      <c r="AL152" s="100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1040</v>
      </c>
      <c r="C153" s="203">
        <f t="shared" ref="C153:AG153" si="83">C148-$C148</f>
        <v>0</v>
      </c>
      <c r="D153" s="203">
        <f t="shared" si="83"/>
        <v>42.143589197221402</v>
      </c>
      <c r="E153" s="203">
        <f t="shared" si="83"/>
        <v>94.371231971128083</v>
      </c>
      <c r="F153" s="203">
        <f t="shared" si="83"/>
        <v>157.92187575715624</v>
      </c>
      <c r="G153" s="203">
        <f t="shared" si="83"/>
        <v>234.09450397973131</v>
      </c>
      <c r="H153" s="203">
        <f t="shared" si="83"/>
        <v>324.24741191399619</v>
      </c>
      <c r="I153" s="203">
        <f t="shared" si="83"/>
        <v>429.79748748021143</v>
      </c>
      <c r="J153" s="203">
        <f t="shared" si="83"/>
        <v>552.21949694506168</v>
      </c>
      <c r="K153" s="203">
        <f t="shared" si="83"/>
        <v>693.04537550422492</v>
      </c>
      <c r="L153" s="203">
        <f t="shared" si="83"/>
        <v>853.86352272066699</v>
      </c>
      <c r="M153" s="203">
        <f t="shared" si="83"/>
        <v>1036.3181027932428</v>
      </c>
      <c r="N153" s="203">
        <f t="shared" si="83"/>
        <v>1223.6405908572019</v>
      </c>
      <c r="O153" s="203">
        <f t="shared" si="83"/>
        <v>1431.3814393730554</v>
      </c>
      <c r="P153" s="203">
        <f t="shared" si="83"/>
        <v>1654.9140897092047</v>
      </c>
      <c r="Q153" s="203">
        <f t="shared" si="83"/>
        <v>1899.7717693727709</v>
      </c>
      <c r="R153" s="203">
        <f t="shared" si="83"/>
        <v>2167.0738275420949</v>
      </c>
      <c r="S153" s="203">
        <f t="shared" si="83"/>
        <v>2457.950553642233</v>
      </c>
      <c r="T153" s="203">
        <f t="shared" si="83"/>
        <v>2773.5418540963465</v>
      </c>
      <c r="U153" s="203">
        <f t="shared" si="83"/>
        <v>3114.9959305144075</v>
      </c>
      <c r="V153" s="203">
        <f t="shared" si="83"/>
        <v>3483.4679594273207</v>
      </c>
      <c r="W153" s="203">
        <f t="shared" si="83"/>
        <v>3880.1187736733191</v>
      </c>
      <c r="X153" s="203">
        <f t="shared" si="83"/>
        <v>4359.0934923528066</v>
      </c>
      <c r="Y153" s="203">
        <f t="shared" si="83"/>
        <v>4877.0342410915036</v>
      </c>
      <c r="Z153" s="203">
        <f t="shared" si="83"/>
        <v>5388.3181667769923</v>
      </c>
      <c r="AA153" s="203">
        <f t="shared" si="83"/>
        <v>5930.4096866885175</v>
      </c>
      <c r="AB153" s="203">
        <f t="shared" si="83"/>
        <v>6503.4761589133659</v>
      </c>
      <c r="AC153" s="203">
        <f t="shared" si="83"/>
        <v>7107.5607652364988</v>
      </c>
      <c r="AD153" s="203">
        <f t="shared" si="83"/>
        <v>7742.5750402501508</v>
      </c>
      <c r="AE153" s="203">
        <f t="shared" si="83"/>
        <v>8408.2913387654789</v>
      </c>
      <c r="AF153" s="203">
        <f t="shared" si="83"/>
        <v>9104.3352432909214</v>
      </c>
      <c r="AG153" s="203">
        <f t="shared" si="83"/>
        <v>9830.1779133238033</v>
      </c>
      <c r="AH153" s="217"/>
      <c r="AI153" s="124"/>
      <c r="AJ153" s="185"/>
      <c r="AL153" s="100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1044</v>
      </c>
      <c r="B154" s="60"/>
      <c r="C154" s="250">
        <f>C40*C140</f>
        <v>1216.671123160063</v>
      </c>
      <c r="D154" s="250">
        <f t="shared" ref="D154:AG154" si="84">D40*D140</f>
        <v>1326.3233958838666</v>
      </c>
      <c r="E154" s="250">
        <f t="shared" si="84"/>
        <v>1434.9174302473568</v>
      </c>
      <c r="F154" s="250">
        <f t="shared" si="84"/>
        <v>1541.8712461001435</v>
      </c>
      <c r="G154" s="250">
        <f t="shared" si="84"/>
        <v>1646.6080285463363</v>
      </c>
      <c r="H154" s="250">
        <f t="shared" si="84"/>
        <v>1748.556099394023</v>
      </c>
      <c r="I154" s="250">
        <f t="shared" si="84"/>
        <v>1847.1488887308965</v>
      </c>
      <c r="J154" s="250">
        <f t="shared" si="84"/>
        <v>1941.8249066255307</v>
      </c>
      <c r="K154" s="250">
        <f t="shared" si="84"/>
        <v>2032.0277149538383</v>
      </c>
      <c r="L154" s="250">
        <f t="shared" si="84"/>
        <v>2117.2058993502142</v>
      </c>
      <c r="M154" s="250">
        <f t="shared" si="84"/>
        <v>2196.8130412828809</v>
      </c>
      <c r="N154" s="250">
        <f t="shared" si="84"/>
        <v>2238.6505096929245</v>
      </c>
      <c r="O154" s="250">
        <f t="shared" si="84"/>
        <v>2274.6313324525213</v>
      </c>
      <c r="P154" s="250">
        <f t="shared" si="84"/>
        <v>2296.5478000968092</v>
      </c>
      <c r="Q154" s="250">
        <f t="shared" si="84"/>
        <v>2311.7064674141511</v>
      </c>
      <c r="R154" s="250">
        <f t="shared" si="84"/>
        <v>2319.835409419748</v>
      </c>
      <c r="S154" s="250">
        <f t="shared" si="84"/>
        <v>2320.6714562259226</v>
      </c>
      <c r="T154" s="250">
        <f t="shared" si="84"/>
        <v>2313.9601930202261</v>
      </c>
      <c r="U154" s="250">
        <f t="shared" si="84"/>
        <v>2299.455959464749</v>
      </c>
      <c r="V154" s="250">
        <f t="shared" si="84"/>
        <v>2276.9218485224924</v>
      </c>
      <c r="W154" s="250">
        <f t="shared" si="84"/>
        <v>2246.1297047166813</v>
      </c>
      <c r="X154" s="250">
        <f t="shared" si="84"/>
        <v>2233.502766852916</v>
      </c>
      <c r="Y154" s="250">
        <f t="shared" si="84"/>
        <v>2209.8852013787659</v>
      </c>
      <c r="Z154" s="250">
        <f t="shared" si="84"/>
        <v>2156.2539000295101</v>
      </c>
      <c r="AA154" s="250">
        <f t="shared" si="84"/>
        <v>2091.2718476814166</v>
      </c>
      <c r="AB154" s="250">
        <f t="shared" si="84"/>
        <v>2014.9451332921738</v>
      </c>
      <c r="AC154" s="250">
        <f t="shared" si="84"/>
        <v>1927.3207283898191</v>
      </c>
      <c r="AD154" s="250">
        <f t="shared" si="84"/>
        <v>1828.4869690066089</v>
      </c>
      <c r="AE154" s="250">
        <f t="shared" si="84"/>
        <v>1718.5740282436514</v>
      </c>
      <c r="AF154" s="250">
        <f t="shared" si="84"/>
        <v>1597.7543795463855</v>
      </c>
      <c r="AG154" s="250">
        <f t="shared" si="84"/>
        <v>1466.2432507704962</v>
      </c>
      <c r="AH154" s="217"/>
      <c r="AI154" s="368"/>
      <c r="AJ154" s="369"/>
      <c r="AL154" s="194"/>
      <c r="AM154" s="116"/>
      <c r="AN154" s="116"/>
      <c r="AO154" s="116"/>
      <c r="BD154" s="116"/>
      <c r="BE154" s="116"/>
      <c r="BF154" s="116"/>
      <c r="BG154" s="116"/>
      <c r="BH154" s="116"/>
      <c r="BI154" s="116"/>
      <c r="BJ154" s="116"/>
      <c r="BK154" s="116"/>
    </row>
    <row r="155" spans="1:63" outlineLevel="1">
      <c r="A155" s="4" t="s">
        <v>35</v>
      </c>
      <c r="C155" s="203">
        <f>C$154*'BTX recycling rates'!E62</f>
        <v>0</v>
      </c>
      <c r="D155" s="203">
        <f>D$154*'BTX recycling rates'!F62</f>
        <v>0</v>
      </c>
      <c r="E155" s="203">
        <f>E$154*'BTX recycling rates'!G62</f>
        <v>0</v>
      </c>
      <c r="F155" s="203">
        <f>F$154*'BTX recycling rates'!H62</f>
        <v>0</v>
      </c>
      <c r="G155" s="203">
        <f>G$154*'BTX recycling rates'!I62</f>
        <v>0</v>
      </c>
      <c r="H155" s="203">
        <f>H$154*'BTX recycling rates'!J62</f>
        <v>0</v>
      </c>
      <c r="I155" s="203">
        <f>I$154*'BTX recycling rates'!K62</f>
        <v>0</v>
      </c>
      <c r="J155" s="203">
        <f>J$154*'BTX recycling rates'!L62</f>
        <v>0</v>
      </c>
      <c r="K155" s="203">
        <f>K$154*'BTX recycling rates'!M62</f>
        <v>0</v>
      </c>
      <c r="L155" s="203">
        <f>L$154*'BTX recycling rates'!N62</f>
        <v>0</v>
      </c>
      <c r="M155" s="203">
        <f>M$154*'BTX recycling rates'!O62</f>
        <v>0</v>
      </c>
      <c r="N155" s="203">
        <f>N$154*'BTX recycling rates'!P62</f>
        <v>0</v>
      </c>
      <c r="O155" s="203">
        <f>O$154*'BTX recycling rates'!Q62</f>
        <v>0</v>
      </c>
      <c r="P155" s="203">
        <f>P$154*'BTX recycling rates'!R62</f>
        <v>0</v>
      </c>
      <c r="Q155" s="203">
        <f>Q$154*'BTX recycling rates'!S62</f>
        <v>0</v>
      </c>
      <c r="R155" s="203">
        <f>R$154*'BTX recycling rates'!T62</f>
        <v>0</v>
      </c>
      <c r="S155" s="203">
        <f>S$154*'BTX recycling rates'!U62</f>
        <v>0</v>
      </c>
      <c r="T155" s="203">
        <f>T$154*'BTX recycling rates'!V62</f>
        <v>0</v>
      </c>
      <c r="U155" s="203">
        <f>U$154*'BTX recycling rates'!W62</f>
        <v>0</v>
      </c>
      <c r="V155" s="203">
        <f>V$154*'BTX recycling rates'!X62</f>
        <v>0</v>
      </c>
      <c r="W155" s="203">
        <f>W$154*'BTX recycling rates'!Y62</f>
        <v>0</v>
      </c>
      <c r="X155" s="203">
        <f>X$154*'BTX recycling rates'!Z62</f>
        <v>0</v>
      </c>
      <c r="Y155" s="203">
        <f>Y$154*'BTX recycling rates'!AA62</f>
        <v>0</v>
      </c>
      <c r="Z155" s="203">
        <f>Z$154*'BTX recycling rates'!AB62</f>
        <v>0</v>
      </c>
      <c r="AA155" s="203">
        <f>AA$154*'BTX recycling rates'!AC62</f>
        <v>0</v>
      </c>
      <c r="AB155" s="203">
        <f>AB$154*'BTX recycling rates'!AD62</f>
        <v>0</v>
      </c>
      <c r="AC155" s="203">
        <f>AC$154*'BTX recycling rates'!AE62</f>
        <v>0</v>
      </c>
      <c r="AD155" s="203">
        <f>AD$154*'BTX recycling rates'!AF62</f>
        <v>0</v>
      </c>
      <c r="AE155" s="203">
        <f>AE$154*'BTX recycling rates'!AG62</f>
        <v>0</v>
      </c>
      <c r="AF155" s="203">
        <f>AF$154*'BTX recycling rates'!AH62</f>
        <v>0</v>
      </c>
      <c r="AG155" s="203">
        <f>AG$154*'BTX recycling rates'!AI62</f>
        <v>0</v>
      </c>
      <c r="AH155" s="217"/>
      <c r="AI155" s="124"/>
      <c r="AJ155" s="185"/>
      <c r="AL155" s="100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74</v>
      </c>
      <c r="C156" s="203">
        <f>C$154*'BTX recycling rates'!E63</f>
        <v>724.43013440064817</v>
      </c>
      <c r="D156" s="203">
        <f>D$154*'BTX recycling rates'!F63</f>
        <v>763.39529808888199</v>
      </c>
      <c r="E156" s="203">
        <f>E$154*'BTX recycling rates'!G63</f>
        <v>797.41976276341654</v>
      </c>
      <c r="F156" s="203">
        <f>F$154*'BTX recycling rates'!H63</f>
        <v>826.25466775748146</v>
      </c>
      <c r="G156" s="203">
        <f>G$154*'BTX recycling rates'!I63</f>
        <v>849.70002083765132</v>
      </c>
      <c r="H156" s="203">
        <f>H$154*'BTX recycling rates'!J63</f>
        <v>867.60417145504948</v>
      </c>
      <c r="I156" s="203">
        <f>I$154*'BTX recycling rates'!K63</f>
        <v>879.86328745654907</v>
      </c>
      <c r="J156" s="203">
        <f>J$154*'BTX recycling rates'!L63</f>
        <v>886.42083523821918</v>
      </c>
      <c r="K156" s="203">
        <f>K$154*'BTX recycling rates'!M63</f>
        <v>887.26706332335516</v>
      </c>
      <c r="L156" s="203">
        <f>L$154*'BTX recycling rates'!N63</f>
        <v>882.4384893474936</v>
      </c>
      <c r="M156" s="203">
        <f>M$154*'BTX recycling rates'!O63</f>
        <v>872.01739043289899</v>
      </c>
      <c r="N156" s="203">
        <f>N$154*'BTX recycling rates'!P63</f>
        <v>844.1933983116827</v>
      </c>
      <c r="O156" s="203">
        <f>O$154*'BTX recycling rates'!Q63</f>
        <v>812.61638441815228</v>
      </c>
      <c r="P156" s="203">
        <f>P$154*'BTX recycling rates'!R63</f>
        <v>774.86574629220547</v>
      </c>
      <c r="Q156" s="203">
        <f>Q$154*'BTX recycling rates'!S63</f>
        <v>734.09915301090564</v>
      </c>
      <c r="R156" s="203">
        <f>R$154*'BTX recycling rates'!T63</f>
        <v>690.63802265168033</v>
      </c>
      <c r="S156" s="203">
        <f>S$154*'BTX recycling rates'!U63</f>
        <v>644.82779394369106</v>
      </c>
      <c r="T156" s="203">
        <f>T$154*'BTX recycling rates'!V63</f>
        <v>597.03705743575256</v>
      </c>
      <c r="U156" s="203">
        <f>U$154*'BTX recycling rates'!W63</f>
        <v>547.65668652900843</v>
      </c>
      <c r="V156" s="203">
        <f>V$154*'BTX recycling rates'!X63</f>
        <v>497.0989684560551</v>
      </c>
      <c r="W156" s="203">
        <f>W$154*'BTX recycling rates'!Y63</f>
        <v>445.79673528727977</v>
      </c>
      <c r="X156" s="203">
        <f>X$154*'BTX recycling rates'!Z63</f>
        <v>398.9615629340318</v>
      </c>
      <c r="Y156" s="203">
        <f>Y$154*'BTX recycling rates'!AA63</f>
        <v>350.88253579143708</v>
      </c>
      <c r="Z156" s="203">
        <f>Z$154*'BTX recycling rates'!AB63</f>
        <v>299.57115252318329</v>
      </c>
      <c r="AA156" s="203">
        <f>AA$154*'BTX recycling rates'!AC63</f>
        <v>249.03695285366436</v>
      </c>
      <c r="AB156" s="203">
        <f>AB$154*'BTX recycling rates'!AD63</f>
        <v>199.95638727326863</v>
      </c>
      <c r="AC156" s="203">
        <f>AC$154*'BTX recycling rates'!AE63</f>
        <v>153.00866851338975</v>
      </c>
      <c r="AD156" s="203">
        <f>AD$154*'BTX recycling rates'!AF63</f>
        <v>108.87174319275947</v>
      </c>
      <c r="AE156" s="203">
        <f>AE$154*'BTX recycling rates'!AG63</f>
        <v>68.2182057012743</v>
      </c>
      <c r="AF156" s="203">
        <f>AF$154*'BTX recycling rates'!AH63</f>
        <v>31.711155624584364</v>
      </c>
      <c r="AG156" s="203">
        <f>AG$154*'BTX recycling rates'!AI63</f>
        <v>0</v>
      </c>
      <c r="AH156" s="217"/>
      <c r="AI156" s="124"/>
      <c r="AJ156" s="185"/>
      <c r="AL156" s="100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160</v>
      </c>
      <c r="C157" s="203">
        <f>C$154*'BTX recycling rates'!E64</f>
        <v>0</v>
      </c>
      <c r="D157" s="203">
        <f>D$154*'BTX recycling rates'!F64</f>
        <v>5.3556493549479089</v>
      </c>
      <c r="E157" s="203">
        <f>E$154*'BTX recycling rates'!G64</f>
        <v>11.588296841565572</v>
      </c>
      <c r="F157" s="203">
        <f>F$154*'BTX recycling rates'!H64</f>
        <v>18.678073017974597</v>
      </c>
      <c r="G157" s="203">
        <f>G$154*'BTX recycling rates'!I64</f>
        <v>26.595791805540614</v>
      </c>
      <c r="H157" s="203">
        <f>H$154*'BTX recycling rates'!J64</f>
        <v>35.303054198064537</v>
      </c>
      <c r="I157" s="203">
        <f>I$154*'BTX recycling rates'!K64</f>
        <v>44.75235128231386</v>
      </c>
      <c r="J157" s="203">
        <f>J$154*'BTX recycling rates'!L64</f>
        <v>54.887166573445462</v>
      </c>
      <c r="K157" s="203">
        <f>K$154*'BTX recycling rates'!M64</f>
        <v>65.642077668856558</v>
      </c>
      <c r="L157" s="203">
        <f>L$154*'BTX recycling rates'!N64</f>
        <v>76.942857223983964</v>
      </c>
      <c r="M157" s="203">
        <f>M$154*'BTX recycling rates'!O64</f>
        <v>88.70657325355657</v>
      </c>
      <c r="N157" s="203">
        <f>N$154*'BTX recycling rates'!P64</f>
        <v>99.435551803872173</v>
      </c>
      <c r="O157" s="203">
        <f>O$154*'BTX recycling rates'!Q64</f>
        <v>110.2186196778239</v>
      </c>
      <c r="P157" s="203">
        <f>P$154*'BTX recycling rates'!R64</f>
        <v>120.55397814044291</v>
      </c>
      <c r="Q157" s="203">
        <f>Q$154*'BTX recycling rates'!S64</f>
        <v>130.68430373196392</v>
      </c>
      <c r="R157" s="203">
        <f>R$154*'BTX recycling rates'!T64</f>
        <v>140.5112627802736</v>
      </c>
      <c r="S157" s="203">
        <f>S$154*'BTX recycling rates'!U64</f>
        <v>149.93269516202542</v>
      </c>
      <c r="T157" s="203">
        <f>T$154*'BTX recycling rates'!V64</f>
        <v>158.84279106507856</v>
      </c>
      <c r="U157" s="203">
        <f>U$154*'BTX recycling rates'!W64</f>
        <v>167.13226770833708</v>
      </c>
      <c r="V157" s="203">
        <f>V$154*'BTX recycling rates'!X64</f>
        <v>174.68854600307949</v>
      </c>
      <c r="W157" s="203">
        <f>W$154*'BTX recycling rates'!Y64</f>
        <v>181.39592714005838</v>
      </c>
      <c r="X157" s="203">
        <f>X$154*'BTX recycling rates'!Z64</f>
        <v>189.39499332029359</v>
      </c>
      <c r="Y157" s="203">
        <f>Y$154*'BTX recycling rates'!AA64</f>
        <v>196.31572991931711</v>
      </c>
      <c r="Z157" s="203">
        <f>Z$154*'BTX recycling rates'!AB64</f>
        <v>200.25826010957798</v>
      </c>
      <c r="AA157" s="203">
        <f>AA$154*'BTX recycling rates'!AC64</f>
        <v>202.66765267320474</v>
      </c>
      <c r="AB157" s="203">
        <f>AB$154*'BTX recycling rates'!AD64</f>
        <v>203.40702043072</v>
      </c>
      <c r="AC157" s="203">
        <f>AC$154*'BTX recycling rates'!AE64</f>
        <v>202.34386669429179</v>
      </c>
      <c r="AD157" s="203">
        <f>AD$154*'BTX recycling rates'!AF64</f>
        <v>199.35096322285321</v>
      </c>
      <c r="AE157" s="203">
        <f>AE$154*'BTX recycling rates'!AG64</f>
        <v>194.30723879410419</v>
      </c>
      <c r="AF157" s="203">
        <f>AF$154*'BTX recycling rates'!AH64</f>
        <v>187.09867813794457</v>
      </c>
      <c r="AG157" s="203">
        <f>AG$154*'BTX recycling rates'!AI64</f>
        <v>177.61923097841481</v>
      </c>
      <c r="AH157" s="217"/>
      <c r="AI157" s="124"/>
      <c r="AJ157" s="185"/>
      <c r="AL157" s="100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outlineLevel="1">
      <c r="A158" s="4" t="s">
        <v>1040</v>
      </c>
      <c r="C158" s="203">
        <f>C$154*'BTX recycling rates'!E65</f>
        <v>492.24098875941479</v>
      </c>
      <c r="D158" s="203">
        <f>D$154*'BTX recycling rates'!F65</f>
        <v>557.57244844003674</v>
      </c>
      <c r="E158" s="203">
        <f>E$154*'BTX recycling rates'!G65</f>
        <v>625.9093706423746</v>
      </c>
      <c r="F158" s="203">
        <f>F$154*'BTX recycling rates'!H65</f>
        <v>696.9385053246873</v>
      </c>
      <c r="G158" s="203">
        <f>G$154*'BTX recycling rates'!I65</f>
        <v>770.31221590314419</v>
      </c>
      <c r="H158" s="203">
        <f>H$154*'BTX recycling rates'!J65</f>
        <v>845.6488737409087</v>
      </c>
      <c r="I158" s="203">
        <f>I$154*'BTX recycling rates'!K65</f>
        <v>922.53324999203323</v>
      </c>
      <c r="J158" s="203">
        <f>J$154*'BTX recycling rates'!L65</f>
        <v>1000.5169048138657</v>
      </c>
      <c r="K158" s="203">
        <f>K$154*'BTX recycling rates'!M65</f>
        <v>1079.1185739616262</v>
      </c>
      <c r="L158" s="203">
        <f>L$154*'BTX recycling rates'!N65</f>
        <v>1157.8245527787362</v>
      </c>
      <c r="M158" s="203">
        <f>M$154*'BTX recycling rates'!O65</f>
        <v>1236.0890775964251</v>
      </c>
      <c r="N158" s="203">
        <f>N$154*'BTX recycling rates'!P65</f>
        <v>1295.0215595773693</v>
      </c>
      <c r="O158" s="203">
        <f>O$154*'BTX recycling rates'!Q65</f>
        <v>1351.7963283565448</v>
      </c>
      <c r="P158" s="203">
        <f>P$154*'BTX recycling rates'!R65</f>
        <v>1401.1280756641606</v>
      </c>
      <c r="Q158" s="203">
        <f>Q$154*'BTX recycling rates'!S65</f>
        <v>1446.9230106712814</v>
      </c>
      <c r="R158" s="203">
        <f>R$154*'BTX recycling rates'!T65</f>
        <v>1488.686123987794</v>
      </c>
      <c r="S158" s="203">
        <f>S$154*'BTX recycling rates'!U65</f>
        <v>1525.9109671202061</v>
      </c>
      <c r="T158" s="203">
        <f>T$154*'BTX recycling rates'!V65</f>
        <v>1558.0803445193951</v>
      </c>
      <c r="U158" s="203">
        <f>U$154*'BTX recycling rates'!W65</f>
        <v>1584.6670052274035</v>
      </c>
      <c r="V158" s="203">
        <f>V$154*'BTX recycling rates'!X65</f>
        <v>1605.134334063358</v>
      </c>
      <c r="W158" s="203">
        <f>W$154*'BTX recycling rates'!Y65</f>
        <v>1618.9370422893435</v>
      </c>
      <c r="X158" s="203">
        <f>X$154*'BTX recycling rates'!Z65</f>
        <v>1645.1462105985909</v>
      </c>
      <c r="Y158" s="203">
        <f>Y$154*'BTX recycling rates'!AA65</f>
        <v>1662.6869356680122</v>
      </c>
      <c r="Z158" s="203">
        <f>Z$154*'BTX recycling rates'!AB65</f>
        <v>1656.4244873967493</v>
      </c>
      <c r="AA158" s="203">
        <f>AA$154*'BTX recycling rates'!AC65</f>
        <v>1639.567242154548</v>
      </c>
      <c r="AB158" s="203">
        <f>AB$154*'BTX recycling rates'!AD65</f>
        <v>1611.5817255881857</v>
      </c>
      <c r="AC158" s="203">
        <f>AC$154*'BTX recycling rates'!AE65</f>
        <v>1571.9681931821383</v>
      </c>
      <c r="AD158" s="203">
        <f>AD$154*'BTX recycling rates'!AF65</f>
        <v>1520.2642625909969</v>
      </c>
      <c r="AE158" s="203">
        <f>AE$154*'BTX recycling rates'!AG65</f>
        <v>1456.0485837482736</v>
      </c>
      <c r="AF158" s="203">
        <f>AF$154*'BTX recycling rates'!AH65</f>
        <v>1378.9445457838574</v>
      </c>
      <c r="AG158" s="203">
        <f>AG$154*'BTX recycling rates'!AI65</f>
        <v>1288.6240197920813</v>
      </c>
      <c r="AH158" s="217"/>
      <c r="AI158" s="124"/>
      <c r="AJ158" s="185"/>
      <c r="AL158" s="100"/>
      <c r="AM158" s="2"/>
      <c r="AN158" s="2"/>
      <c r="AO158" s="2"/>
      <c r="BC158" s="1"/>
      <c r="BD158" s="2"/>
      <c r="BE158" s="2"/>
      <c r="BF158" s="2"/>
      <c r="BG158" s="2"/>
      <c r="BH158" s="2"/>
      <c r="BI158" s="2"/>
      <c r="BJ158" s="2"/>
      <c r="BK158" s="2"/>
    </row>
    <row r="159" spans="1:63" s="1" customFormat="1" outlineLevel="1">
      <c r="A159" s="1" t="s">
        <v>1047</v>
      </c>
      <c r="B159" s="60"/>
      <c r="C159" s="250">
        <f t="shared" ref="C159:AG159" si="85">C154-$C154</f>
        <v>0</v>
      </c>
      <c r="D159" s="250">
        <f t="shared" si="85"/>
        <v>109.65227272380366</v>
      </c>
      <c r="E159" s="250">
        <f t="shared" si="85"/>
        <v>218.24630708729387</v>
      </c>
      <c r="F159" s="250">
        <f t="shared" si="85"/>
        <v>325.20012294008052</v>
      </c>
      <c r="G159" s="250">
        <f t="shared" si="85"/>
        <v>429.93690538627334</v>
      </c>
      <c r="H159" s="250">
        <f t="shared" si="85"/>
        <v>531.88497623396006</v>
      </c>
      <c r="I159" s="250">
        <f t="shared" si="85"/>
        <v>630.47776557083353</v>
      </c>
      <c r="J159" s="250">
        <f t="shared" si="85"/>
        <v>725.15378346546777</v>
      </c>
      <c r="K159" s="250">
        <f t="shared" si="85"/>
        <v>815.35659179377535</v>
      </c>
      <c r="L159" s="250">
        <f t="shared" si="85"/>
        <v>900.53477619015121</v>
      </c>
      <c r="M159" s="250">
        <f t="shared" si="85"/>
        <v>980.14191812281797</v>
      </c>
      <c r="N159" s="250">
        <f t="shared" si="85"/>
        <v>1021.9793865328616</v>
      </c>
      <c r="O159" s="250">
        <f t="shared" si="85"/>
        <v>1057.9602092924583</v>
      </c>
      <c r="P159" s="250">
        <f t="shared" si="85"/>
        <v>1079.8766769367462</v>
      </c>
      <c r="Q159" s="250">
        <f t="shared" si="85"/>
        <v>1095.0353442540882</v>
      </c>
      <c r="R159" s="250">
        <f t="shared" si="85"/>
        <v>1103.164286259685</v>
      </c>
      <c r="S159" s="250">
        <f t="shared" si="85"/>
        <v>1104.0003330658596</v>
      </c>
      <c r="T159" s="250">
        <f t="shared" si="85"/>
        <v>1097.2890698601632</v>
      </c>
      <c r="U159" s="250">
        <f t="shared" si="85"/>
        <v>1082.784836304686</v>
      </c>
      <c r="V159" s="250">
        <f t="shared" si="85"/>
        <v>1060.2507253624294</v>
      </c>
      <c r="W159" s="250">
        <f t="shared" si="85"/>
        <v>1029.4585815566184</v>
      </c>
      <c r="X159" s="250">
        <f t="shared" si="85"/>
        <v>1016.831643692853</v>
      </c>
      <c r="Y159" s="250">
        <f t="shared" si="85"/>
        <v>993.21407821870298</v>
      </c>
      <c r="Z159" s="250">
        <f t="shared" si="85"/>
        <v>939.58277686944712</v>
      </c>
      <c r="AA159" s="250">
        <f t="shared" si="85"/>
        <v>874.60072452135364</v>
      </c>
      <c r="AB159" s="250">
        <f t="shared" si="85"/>
        <v>798.27401013211079</v>
      </c>
      <c r="AC159" s="250">
        <f t="shared" si="85"/>
        <v>710.64960522975616</v>
      </c>
      <c r="AD159" s="250">
        <f t="shared" si="85"/>
        <v>611.81584584654593</v>
      </c>
      <c r="AE159" s="250">
        <f t="shared" si="85"/>
        <v>501.90290508358839</v>
      </c>
      <c r="AF159" s="250">
        <f t="shared" si="85"/>
        <v>381.08325638632255</v>
      </c>
      <c r="AG159" s="250">
        <f t="shared" si="85"/>
        <v>249.5721276104332</v>
      </c>
      <c r="AH159" s="217"/>
      <c r="AI159" s="368"/>
      <c r="AJ159" s="369"/>
      <c r="AL159" s="194"/>
      <c r="AM159" s="116"/>
      <c r="AN159" s="116"/>
      <c r="AO159" s="116"/>
      <c r="BD159" s="116"/>
      <c r="BE159" s="116"/>
      <c r="BF159" s="116"/>
      <c r="BG159" s="116"/>
      <c r="BH159" s="116"/>
      <c r="BI159" s="116"/>
      <c r="BJ159" s="116"/>
      <c r="BK159" s="116"/>
    </row>
    <row r="160" spans="1:63" outlineLevel="1">
      <c r="A160" s="4" t="s">
        <v>35</v>
      </c>
      <c r="C160" s="203">
        <f t="shared" ref="C160:AG160" si="86">C155-$C155</f>
        <v>0</v>
      </c>
      <c r="D160" s="203">
        <f t="shared" si="86"/>
        <v>0</v>
      </c>
      <c r="E160" s="203">
        <f t="shared" si="86"/>
        <v>0</v>
      </c>
      <c r="F160" s="203">
        <f t="shared" si="86"/>
        <v>0</v>
      </c>
      <c r="G160" s="203">
        <f t="shared" si="86"/>
        <v>0</v>
      </c>
      <c r="H160" s="203">
        <f t="shared" si="86"/>
        <v>0</v>
      </c>
      <c r="I160" s="203">
        <f t="shared" si="86"/>
        <v>0</v>
      </c>
      <c r="J160" s="203">
        <f t="shared" si="86"/>
        <v>0</v>
      </c>
      <c r="K160" s="203">
        <f t="shared" si="86"/>
        <v>0</v>
      </c>
      <c r="L160" s="203">
        <f t="shared" si="86"/>
        <v>0</v>
      </c>
      <c r="M160" s="203">
        <f t="shared" si="86"/>
        <v>0</v>
      </c>
      <c r="N160" s="203">
        <f t="shared" si="86"/>
        <v>0</v>
      </c>
      <c r="O160" s="203">
        <f t="shared" si="86"/>
        <v>0</v>
      </c>
      <c r="P160" s="203">
        <f t="shared" si="86"/>
        <v>0</v>
      </c>
      <c r="Q160" s="203">
        <f t="shared" si="86"/>
        <v>0</v>
      </c>
      <c r="R160" s="203">
        <f t="shared" si="86"/>
        <v>0</v>
      </c>
      <c r="S160" s="203">
        <f t="shared" si="86"/>
        <v>0</v>
      </c>
      <c r="T160" s="203">
        <f t="shared" si="86"/>
        <v>0</v>
      </c>
      <c r="U160" s="203">
        <f t="shared" si="86"/>
        <v>0</v>
      </c>
      <c r="V160" s="203">
        <f t="shared" si="86"/>
        <v>0</v>
      </c>
      <c r="W160" s="203">
        <f t="shared" si="86"/>
        <v>0</v>
      </c>
      <c r="X160" s="203">
        <f t="shared" si="86"/>
        <v>0</v>
      </c>
      <c r="Y160" s="203">
        <f t="shared" si="86"/>
        <v>0</v>
      </c>
      <c r="Z160" s="203">
        <f t="shared" si="86"/>
        <v>0</v>
      </c>
      <c r="AA160" s="203">
        <f t="shared" si="86"/>
        <v>0</v>
      </c>
      <c r="AB160" s="203">
        <f t="shared" si="86"/>
        <v>0</v>
      </c>
      <c r="AC160" s="203">
        <f t="shared" si="86"/>
        <v>0</v>
      </c>
      <c r="AD160" s="203">
        <f t="shared" si="86"/>
        <v>0</v>
      </c>
      <c r="AE160" s="203">
        <f t="shared" si="86"/>
        <v>0</v>
      </c>
      <c r="AF160" s="203">
        <f t="shared" si="86"/>
        <v>0</v>
      </c>
      <c r="AG160" s="203">
        <f t="shared" si="86"/>
        <v>0</v>
      </c>
      <c r="AH160" s="217"/>
      <c r="AI160" s="124"/>
      <c r="AJ160" s="185"/>
      <c r="AL160" s="100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203">
        <f t="shared" ref="C161:AG161" si="87">C156-$C156</f>
        <v>0</v>
      </c>
      <c r="D161" s="203">
        <f t="shared" si="87"/>
        <v>38.965163688233815</v>
      </c>
      <c r="E161" s="203">
        <f t="shared" si="87"/>
        <v>72.989628362768372</v>
      </c>
      <c r="F161" s="203">
        <f t="shared" si="87"/>
        <v>101.82453335683329</v>
      </c>
      <c r="G161" s="203">
        <f t="shared" si="87"/>
        <v>125.26988643700315</v>
      </c>
      <c r="H161" s="203">
        <f t="shared" si="87"/>
        <v>143.17403705440131</v>
      </c>
      <c r="I161" s="203">
        <f t="shared" si="87"/>
        <v>155.4331530559009</v>
      </c>
      <c r="J161" s="203">
        <f t="shared" si="87"/>
        <v>161.99070083757101</v>
      </c>
      <c r="K161" s="203">
        <f t="shared" si="87"/>
        <v>162.83692892270699</v>
      </c>
      <c r="L161" s="203">
        <f t="shared" si="87"/>
        <v>158.00835494684543</v>
      </c>
      <c r="M161" s="203">
        <f t="shared" si="87"/>
        <v>147.58725603225082</v>
      </c>
      <c r="N161" s="203">
        <f t="shared" si="87"/>
        <v>119.76326391103453</v>
      </c>
      <c r="O161" s="203">
        <f t="shared" si="87"/>
        <v>88.186250017504108</v>
      </c>
      <c r="P161" s="203">
        <f t="shared" si="87"/>
        <v>50.435611891557301</v>
      </c>
      <c r="Q161" s="203">
        <f t="shared" si="87"/>
        <v>9.6690186102574671</v>
      </c>
      <c r="R161" s="203">
        <f t="shared" si="87"/>
        <v>-33.792111748967841</v>
      </c>
      <c r="S161" s="203">
        <f t="shared" si="87"/>
        <v>-79.602340456957108</v>
      </c>
      <c r="T161" s="203">
        <f t="shared" si="87"/>
        <v>-127.39307696489561</v>
      </c>
      <c r="U161" s="203">
        <f t="shared" si="87"/>
        <v>-176.77344787163975</v>
      </c>
      <c r="V161" s="203">
        <f t="shared" si="87"/>
        <v>-227.33116594459307</v>
      </c>
      <c r="W161" s="203">
        <f t="shared" si="87"/>
        <v>-278.6333991133684</v>
      </c>
      <c r="X161" s="203">
        <f t="shared" si="87"/>
        <v>-325.46857146661637</v>
      </c>
      <c r="Y161" s="203">
        <f t="shared" si="87"/>
        <v>-373.54759860921109</v>
      </c>
      <c r="Z161" s="203">
        <f t="shared" si="87"/>
        <v>-424.85898187746488</v>
      </c>
      <c r="AA161" s="203">
        <f t="shared" si="87"/>
        <v>-475.39318154698378</v>
      </c>
      <c r="AB161" s="203">
        <f t="shared" si="87"/>
        <v>-524.47374712737951</v>
      </c>
      <c r="AC161" s="203">
        <f t="shared" si="87"/>
        <v>-571.42146588725836</v>
      </c>
      <c r="AD161" s="203">
        <f t="shared" si="87"/>
        <v>-615.55839120788869</v>
      </c>
      <c r="AE161" s="203">
        <f t="shared" si="87"/>
        <v>-656.21192869937386</v>
      </c>
      <c r="AF161" s="203">
        <f t="shared" si="87"/>
        <v>-692.71897877606375</v>
      </c>
      <c r="AG161" s="203">
        <f t="shared" si="87"/>
        <v>-724.43013440064817</v>
      </c>
      <c r="AH161" s="217"/>
      <c r="AI161" s="124"/>
      <c r="AJ161" s="185"/>
      <c r="AL161" s="100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160</v>
      </c>
      <c r="C162" s="203">
        <f t="shared" ref="C162:AG162" si="88">C157-$C157</f>
        <v>0</v>
      </c>
      <c r="D162" s="203">
        <f t="shared" si="88"/>
        <v>5.3556493549479089</v>
      </c>
      <c r="E162" s="203">
        <f t="shared" si="88"/>
        <v>11.588296841565572</v>
      </c>
      <c r="F162" s="203">
        <f t="shared" si="88"/>
        <v>18.678073017974597</v>
      </c>
      <c r="G162" s="203">
        <f t="shared" si="88"/>
        <v>26.595791805540614</v>
      </c>
      <c r="H162" s="203">
        <f t="shared" si="88"/>
        <v>35.303054198064537</v>
      </c>
      <c r="I162" s="203">
        <f t="shared" si="88"/>
        <v>44.75235128231386</v>
      </c>
      <c r="J162" s="203">
        <f t="shared" si="88"/>
        <v>54.887166573445462</v>
      </c>
      <c r="K162" s="203">
        <f t="shared" si="88"/>
        <v>65.642077668856558</v>
      </c>
      <c r="L162" s="203">
        <f t="shared" si="88"/>
        <v>76.942857223983964</v>
      </c>
      <c r="M162" s="203">
        <f t="shared" si="88"/>
        <v>88.70657325355657</v>
      </c>
      <c r="N162" s="203">
        <f t="shared" si="88"/>
        <v>99.435551803872173</v>
      </c>
      <c r="O162" s="203">
        <f t="shared" si="88"/>
        <v>110.2186196778239</v>
      </c>
      <c r="P162" s="203">
        <f t="shared" si="88"/>
        <v>120.55397814044291</v>
      </c>
      <c r="Q162" s="203">
        <f t="shared" si="88"/>
        <v>130.68430373196392</v>
      </c>
      <c r="R162" s="203">
        <f t="shared" si="88"/>
        <v>140.5112627802736</v>
      </c>
      <c r="S162" s="203">
        <f t="shared" si="88"/>
        <v>149.93269516202542</v>
      </c>
      <c r="T162" s="203">
        <f t="shared" si="88"/>
        <v>158.84279106507856</v>
      </c>
      <c r="U162" s="203">
        <f t="shared" si="88"/>
        <v>167.13226770833708</v>
      </c>
      <c r="V162" s="203">
        <f t="shared" si="88"/>
        <v>174.68854600307949</v>
      </c>
      <c r="W162" s="203">
        <f t="shared" si="88"/>
        <v>181.39592714005838</v>
      </c>
      <c r="X162" s="203">
        <f t="shared" si="88"/>
        <v>189.39499332029359</v>
      </c>
      <c r="Y162" s="203">
        <f t="shared" si="88"/>
        <v>196.31572991931711</v>
      </c>
      <c r="Z162" s="203">
        <f t="shared" si="88"/>
        <v>200.25826010957798</v>
      </c>
      <c r="AA162" s="203">
        <f t="shared" si="88"/>
        <v>202.66765267320474</v>
      </c>
      <c r="AB162" s="203">
        <f t="shared" si="88"/>
        <v>203.40702043072</v>
      </c>
      <c r="AC162" s="203">
        <f t="shared" si="88"/>
        <v>202.34386669429179</v>
      </c>
      <c r="AD162" s="203">
        <f t="shared" si="88"/>
        <v>199.35096322285321</v>
      </c>
      <c r="AE162" s="203">
        <f t="shared" si="88"/>
        <v>194.30723879410419</v>
      </c>
      <c r="AF162" s="203">
        <f t="shared" si="88"/>
        <v>187.09867813794457</v>
      </c>
      <c r="AG162" s="203">
        <f t="shared" si="88"/>
        <v>177.61923097841481</v>
      </c>
      <c r="AH162" s="217"/>
      <c r="AI162" s="124"/>
      <c r="AJ162" s="185"/>
      <c r="AL162" s="100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1040</v>
      </c>
      <c r="C163" s="203">
        <f t="shared" ref="C163:AG163" si="89">C158-$C158</f>
        <v>0</v>
      </c>
      <c r="D163" s="203">
        <f t="shared" si="89"/>
        <v>65.331459680621947</v>
      </c>
      <c r="E163" s="203">
        <f t="shared" si="89"/>
        <v>133.66838188295981</v>
      </c>
      <c r="F163" s="203">
        <f t="shared" si="89"/>
        <v>204.69751656527251</v>
      </c>
      <c r="G163" s="203">
        <f t="shared" si="89"/>
        <v>278.0712271437294</v>
      </c>
      <c r="H163" s="203">
        <f t="shared" si="89"/>
        <v>353.40788498149391</v>
      </c>
      <c r="I163" s="203">
        <f t="shared" si="89"/>
        <v>430.29226123261844</v>
      </c>
      <c r="J163" s="203">
        <f t="shared" si="89"/>
        <v>508.27591605445093</v>
      </c>
      <c r="K163" s="203">
        <f t="shared" si="89"/>
        <v>586.87758520221143</v>
      </c>
      <c r="L163" s="203">
        <f t="shared" si="89"/>
        <v>665.58356401932144</v>
      </c>
      <c r="M163" s="203">
        <f t="shared" si="89"/>
        <v>743.84808883701032</v>
      </c>
      <c r="N163" s="203">
        <f t="shared" si="89"/>
        <v>802.78057081795453</v>
      </c>
      <c r="O163" s="203">
        <f t="shared" si="89"/>
        <v>859.55533959713</v>
      </c>
      <c r="P163" s="203">
        <f t="shared" si="89"/>
        <v>908.88708690474584</v>
      </c>
      <c r="Q163" s="203">
        <f t="shared" si="89"/>
        <v>954.68202191186663</v>
      </c>
      <c r="R163" s="203">
        <f t="shared" si="89"/>
        <v>996.44513522837917</v>
      </c>
      <c r="S163" s="203">
        <f t="shared" si="89"/>
        <v>1033.6699783607914</v>
      </c>
      <c r="T163" s="203">
        <f t="shared" si="89"/>
        <v>1065.8393557599802</v>
      </c>
      <c r="U163" s="203">
        <f t="shared" si="89"/>
        <v>1092.4260164679886</v>
      </c>
      <c r="V163" s="203">
        <f t="shared" si="89"/>
        <v>1112.8933453039431</v>
      </c>
      <c r="W163" s="203">
        <f t="shared" si="89"/>
        <v>1126.6960535299286</v>
      </c>
      <c r="X163" s="203">
        <f t="shared" si="89"/>
        <v>1152.9052218391762</v>
      </c>
      <c r="Y163" s="203">
        <f t="shared" si="89"/>
        <v>1170.4459469085973</v>
      </c>
      <c r="Z163" s="203">
        <f t="shared" si="89"/>
        <v>1164.1834986373347</v>
      </c>
      <c r="AA163" s="203">
        <f t="shared" si="89"/>
        <v>1147.3262533951333</v>
      </c>
      <c r="AB163" s="203">
        <f t="shared" si="89"/>
        <v>1119.3407368287708</v>
      </c>
      <c r="AC163" s="203">
        <f t="shared" si="89"/>
        <v>1079.7272044227234</v>
      </c>
      <c r="AD163" s="203">
        <f t="shared" si="89"/>
        <v>1028.0232738315822</v>
      </c>
      <c r="AE163" s="203">
        <f t="shared" si="89"/>
        <v>963.8075949888588</v>
      </c>
      <c r="AF163" s="203">
        <f t="shared" si="89"/>
        <v>886.7035570244426</v>
      </c>
      <c r="AG163" s="203">
        <f t="shared" si="89"/>
        <v>796.38303103266651</v>
      </c>
      <c r="AH163" s="217"/>
      <c r="AI163" s="124"/>
      <c r="AJ163" s="185"/>
      <c r="AL163" s="100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s="1" customFormat="1" outlineLevel="1">
      <c r="A164" s="1" t="s">
        <v>1048</v>
      </c>
      <c r="B164" s="60"/>
      <c r="C164" s="250">
        <f>C40*C141</f>
        <v>280.77025919078375</v>
      </c>
      <c r="D164" s="250">
        <f t="shared" ref="D164:AG164" si="90">D40*D141</f>
        <v>306.07462981935379</v>
      </c>
      <c r="E164" s="250">
        <f t="shared" si="90"/>
        <v>331.13479159554379</v>
      </c>
      <c r="F164" s="250">
        <f t="shared" si="90"/>
        <v>355.81644140772539</v>
      </c>
      <c r="G164" s="250">
        <f t="shared" si="90"/>
        <v>379.98646812607751</v>
      </c>
      <c r="H164" s="250">
        <f t="shared" si="90"/>
        <v>403.51294601400531</v>
      </c>
      <c r="I164" s="250">
        <f t="shared" si="90"/>
        <v>426.26512816866841</v>
      </c>
      <c r="J164" s="250">
        <f t="shared" si="90"/>
        <v>448.11343999050706</v>
      </c>
      <c r="K164" s="250">
        <f t="shared" si="90"/>
        <v>468.929472681655</v>
      </c>
      <c r="L164" s="250">
        <f t="shared" si="90"/>
        <v>488.58597677312633</v>
      </c>
      <c r="M164" s="250">
        <f t="shared" si="90"/>
        <v>506.95685568066477</v>
      </c>
      <c r="N164" s="250">
        <f t="shared" si="90"/>
        <v>516.61165608298268</v>
      </c>
      <c r="O164" s="250">
        <f t="shared" si="90"/>
        <v>524.91492287365884</v>
      </c>
      <c r="P164" s="250">
        <f t="shared" si="90"/>
        <v>529.97256925310978</v>
      </c>
      <c r="Q164" s="250">
        <f t="shared" si="90"/>
        <v>533.47072324941939</v>
      </c>
      <c r="R164" s="250">
        <f t="shared" si="90"/>
        <v>535.34663294301868</v>
      </c>
      <c r="S164" s="250">
        <f t="shared" si="90"/>
        <v>535.53956682136652</v>
      </c>
      <c r="T164" s="250">
        <f t="shared" si="90"/>
        <v>533.99081377389837</v>
      </c>
      <c r="U164" s="250">
        <f t="shared" si="90"/>
        <v>530.64368295340364</v>
      </c>
      <c r="V164" s="250">
        <f t="shared" si="90"/>
        <v>525.44350350519051</v>
      </c>
      <c r="W164" s="250">
        <f t="shared" si="90"/>
        <v>518.33762416538798</v>
      </c>
      <c r="X164" s="250">
        <f t="shared" si="90"/>
        <v>515.42371542759599</v>
      </c>
      <c r="Y164" s="250">
        <f t="shared" si="90"/>
        <v>509.97350801048441</v>
      </c>
      <c r="Z164" s="250">
        <f t="shared" si="90"/>
        <v>497.59705385296388</v>
      </c>
      <c r="AA164" s="250">
        <f t="shared" si="90"/>
        <v>482.60119561878849</v>
      </c>
      <c r="AB164" s="250">
        <f t="shared" si="90"/>
        <v>464.98733845204004</v>
      </c>
      <c r="AC164" s="250">
        <f t="shared" si="90"/>
        <v>444.76632193611215</v>
      </c>
      <c r="AD164" s="250">
        <f t="shared" si="90"/>
        <v>421.95853130921739</v>
      </c>
      <c r="AE164" s="250">
        <f t="shared" si="90"/>
        <v>396.59400651776565</v>
      </c>
      <c r="AF164" s="250">
        <f t="shared" si="90"/>
        <v>368.7125491260889</v>
      </c>
      <c r="AG164" s="250">
        <f t="shared" si="90"/>
        <v>338.36382710088373</v>
      </c>
      <c r="AH164" s="217"/>
      <c r="AI164" s="368"/>
      <c r="AJ164" s="369"/>
      <c r="AL164" s="194"/>
      <c r="AM164" s="116"/>
      <c r="AN164" s="116"/>
      <c r="AO164" s="116"/>
      <c r="BD164" s="116"/>
      <c r="BE164" s="116"/>
      <c r="BF164" s="116"/>
      <c r="BG164" s="116"/>
      <c r="BH164" s="116"/>
      <c r="BI164" s="116"/>
      <c r="BJ164" s="116"/>
      <c r="BK164" s="116"/>
    </row>
    <row r="165" spans="1:63" outlineLevel="1">
      <c r="A165" s="4" t="s">
        <v>35</v>
      </c>
      <c r="C165" s="203">
        <f>C$164*'BTX recycling rates'!E66</f>
        <v>0</v>
      </c>
      <c r="D165" s="203">
        <f>D$164*'BTX recycling rates'!F66</f>
        <v>0</v>
      </c>
      <c r="E165" s="203">
        <f>E$164*'BTX recycling rates'!G66</f>
        <v>0</v>
      </c>
      <c r="F165" s="203">
        <f>F$164*'BTX recycling rates'!H66</f>
        <v>0</v>
      </c>
      <c r="G165" s="203">
        <f>G$164*'BTX recycling rates'!I66</f>
        <v>0</v>
      </c>
      <c r="H165" s="203">
        <f>H$164*'BTX recycling rates'!J66</f>
        <v>0</v>
      </c>
      <c r="I165" s="203">
        <f>I$164*'BTX recycling rates'!K66</f>
        <v>0</v>
      </c>
      <c r="J165" s="203">
        <f>J$164*'BTX recycling rates'!L66</f>
        <v>0</v>
      </c>
      <c r="K165" s="203">
        <f>K$164*'BTX recycling rates'!M66</f>
        <v>0</v>
      </c>
      <c r="L165" s="203">
        <f>L$164*'BTX recycling rates'!N66</f>
        <v>0</v>
      </c>
      <c r="M165" s="203">
        <f>M$164*'BTX recycling rates'!O66</f>
        <v>0</v>
      </c>
      <c r="N165" s="203">
        <f>N$164*'BTX recycling rates'!P66</f>
        <v>0</v>
      </c>
      <c r="O165" s="203">
        <f>O$164*'BTX recycling rates'!Q66</f>
        <v>0</v>
      </c>
      <c r="P165" s="203">
        <f>P$164*'BTX recycling rates'!R66</f>
        <v>0</v>
      </c>
      <c r="Q165" s="203">
        <f>Q$164*'BTX recycling rates'!S66</f>
        <v>0</v>
      </c>
      <c r="R165" s="203">
        <f>R$164*'BTX recycling rates'!T66</f>
        <v>0</v>
      </c>
      <c r="S165" s="203">
        <f>S$164*'BTX recycling rates'!U66</f>
        <v>0</v>
      </c>
      <c r="T165" s="203">
        <f>T$164*'BTX recycling rates'!V66</f>
        <v>0</v>
      </c>
      <c r="U165" s="203">
        <f>U$164*'BTX recycling rates'!W66</f>
        <v>0</v>
      </c>
      <c r="V165" s="203">
        <f>V$164*'BTX recycling rates'!X66</f>
        <v>0</v>
      </c>
      <c r="W165" s="203">
        <f>W$164*'BTX recycling rates'!Y66</f>
        <v>0</v>
      </c>
      <c r="X165" s="203">
        <f>X$164*'BTX recycling rates'!Z66</f>
        <v>0</v>
      </c>
      <c r="Y165" s="203">
        <f>Y$164*'BTX recycling rates'!AA66</f>
        <v>0</v>
      </c>
      <c r="Z165" s="203">
        <f>Z$164*'BTX recycling rates'!AB66</f>
        <v>0</v>
      </c>
      <c r="AA165" s="203">
        <f>AA$164*'BTX recycling rates'!AC66</f>
        <v>0</v>
      </c>
      <c r="AB165" s="203">
        <f>AB$164*'BTX recycling rates'!AD66</f>
        <v>0</v>
      </c>
      <c r="AC165" s="203">
        <f>AC$164*'BTX recycling rates'!AE66</f>
        <v>0</v>
      </c>
      <c r="AD165" s="203">
        <f>AD$164*'BTX recycling rates'!AF66</f>
        <v>0</v>
      </c>
      <c r="AE165" s="203">
        <f>AE$164*'BTX recycling rates'!AG66</f>
        <v>0</v>
      </c>
      <c r="AF165" s="203">
        <f>AF$164*'BTX recycling rates'!AH66</f>
        <v>0</v>
      </c>
      <c r="AG165" s="203">
        <f>AG$164*'BTX recycling rates'!AI66</f>
        <v>0</v>
      </c>
      <c r="AH165" s="217"/>
      <c r="AI165" s="124"/>
      <c r="AJ165" s="185"/>
      <c r="AL165" s="100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A166" s="4" t="s">
        <v>74</v>
      </c>
      <c r="C166" s="203">
        <f>C$164*'BTX recycling rates'!E67</f>
        <v>167.17618486168803</v>
      </c>
      <c r="D166" s="203">
        <f>D$164*'BTX recycling rates'!F67</f>
        <v>176.1681457128189</v>
      </c>
      <c r="E166" s="203">
        <f>E$164*'BTX recycling rates'!G67</f>
        <v>184.01994525309607</v>
      </c>
      <c r="F166" s="203">
        <f>F$164*'BTX recycling rates'!H67</f>
        <v>190.67415409788032</v>
      </c>
      <c r="G166" s="203">
        <f>G$164*'BTX recycling rates'!I67</f>
        <v>196.08462019330409</v>
      </c>
      <c r="H166" s="203">
        <f>H$164*'BTX recycling rates'!J67</f>
        <v>200.21634725885758</v>
      </c>
      <c r="I166" s="203">
        <f>I$164*'BTX recycling rates'!K67</f>
        <v>203.0453740284344</v>
      </c>
      <c r="J166" s="203">
        <f>J$164*'BTX recycling rates'!L67</f>
        <v>204.55865428574288</v>
      </c>
      <c r="K166" s="203">
        <f>K$164*'BTX recycling rates'!M67</f>
        <v>204.75393769000505</v>
      </c>
      <c r="L166" s="203">
        <f>L$164*'BTX recycling rates'!N67</f>
        <v>203.63965138788313</v>
      </c>
      <c r="M166" s="203">
        <f>M$164*'BTX recycling rates'!O67</f>
        <v>201.23478240759206</v>
      </c>
      <c r="N166" s="203">
        <f>N$164*'BTX recycling rates'!P67</f>
        <v>194.8138611488499</v>
      </c>
      <c r="O166" s="203">
        <f>O$164*'BTX recycling rates'!Q67</f>
        <v>187.52685794265057</v>
      </c>
      <c r="P166" s="203">
        <f>P$164*'BTX recycling rates'!R67</f>
        <v>178.81517222127817</v>
      </c>
      <c r="Q166" s="203">
        <f>Q$164*'BTX recycling rates'!S67</f>
        <v>169.40749684867049</v>
      </c>
      <c r="R166" s="203">
        <f>R$164*'BTX recycling rates'!T67</f>
        <v>159.37800522731081</v>
      </c>
      <c r="S166" s="203">
        <f>S$164*'BTX recycling rates'!U67</f>
        <v>148.80641398700556</v>
      </c>
      <c r="T166" s="203">
        <f>T$164*'BTX recycling rates'!V67</f>
        <v>137.77778248517367</v>
      </c>
      <c r="U166" s="203">
        <f>U$164*'BTX recycling rates'!W67</f>
        <v>126.38231227592503</v>
      </c>
      <c r="V166" s="203">
        <f>V$164*'BTX recycling rates'!X67</f>
        <v>114.71514656678194</v>
      </c>
      <c r="W166" s="203">
        <f>W$164*'BTX recycling rates'!Y67</f>
        <v>102.87616968167994</v>
      </c>
      <c r="X166" s="203">
        <f>X$164*'BTX recycling rates'!Z67</f>
        <v>92.068052984776571</v>
      </c>
      <c r="Y166" s="203">
        <f>Y$164*'BTX recycling rates'!AA67</f>
        <v>80.972892874947021</v>
      </c>
      <c r="Z166" s="203">
        <f>Z$164*'BTX recycling rates'!AB67</f>
        <v>69.131804428426918</v>
      </c>
      <c r="AA166" s="203">
        <f>AA$164*'BTX recycling rates'!AC67</f>
        <v>57.470066043153317</v>
      </c>
      <c r="AB166" s="203">
        <f>AB$164*'BTX recycling rates'!AD67</f>
        <v>46.143781678446601</v>
      </c>
      <c r="AC166" s="203">
        <f>AC$164*'BTX recycling rates'!AE67</f>
        <v>35.309692733859173</v>
      </c>
      <c r="AD166" s="203">
        <f>AD$164*'BTX recycling rates'!AF67</f>
        <v>25.124248429098337</v>
      </c>
      <c r="AE166" s="203">
        <f>AE$164*'BTX recycling rates'!AG67</f>
        <v>15.742662854140219</v>
      </c>
      <c r="AF166" s="203">
        <f>AF$164*'BTX recycling rates'!AH67</f>
        <v>7.3179589902886981</v>
      </c>
      <c r="AG166" s="203">
        <f>AG$164*'BTX recycling rates'!AI67</f>
        <v>0</v>
      </c>
      <c r="AH166" s="217"/>
      <c r="AI166" s="124"/>
      <c r="AJ166" s="185"/>
      <c r="AL166" s="100"/>
      <c r="AM166" s="2"/>
      <c r="AN166" s="2"/>
      <c r="AO166" s="2"/>
      <c r="BC166" s="1"/>
      <c r="BD166" s="2"/>
      <c r="BE166" s="2"/>
      <c r="BF166" s="2"/>
      <c r="BG166" s="2"/>
      <c r="BH166" s="2"/>
      <c r="BI166" s="2"/>
      <c r="BJ166" s="2"/>
      <c r="BK166" s="2"/>
    </row>
    <row r="167" spans="1:63" outlineLevel="1">
      <c r="A167" s="4" t="s">
        <v>160</v>
      </c>
      <c r="C167" s="203">
        <f>C$164*'BTX recycling rates'!E68</f>
        <v>0</v>
      </c>
      <c r="D167" s="203">
        <f>D$164*'BTX recycling rates'!F68</f>
        <v>1.2359190819110557</v>
      </c>
      <c r="E167" s="203">
        <f>E$164*'BTX recycling rates'!G68</f>
        <v>2.6742223480535929</v>
      </c>
      <c r="F167" s="203">
        <f>F$164*'BTX recycling rates'!H68</f>
        <v>4.3103245426095214</v>
      </c>
      <c r="G167" s="203">
        <f>G$164*'BTX recycling rates'!I68</f>
        <v>6.1374904166632165</v>
      </c>
      <c r="H167" s="203">
        <f>H$164*'BTX recycling rates'!J68</f>
        <v>8.1468586610918177</v>
      </c>
      <c r="I167" s="203">
        <f>I$164*'BTX recycling rates'!K68</f>
        <v>10.327465680533967</v>
      </c>
      <c r="J167" s="203">
        <f>J$164*'BTX recycling rates'!L68</f>
        <v>12.666269209256646</v>
      </c>
      <c r="K167" s="203">
        <f>K$164*'BTX recycling rates'!M68</f>
        <v>15.14817176973613</v>
      </c>
      <c r="L167" s="203">
        <f>L$164*'BTX recycling rates'!N68</f>
        <v>17.756043974765532</v>
      </c>
      <c r="M167" s="203">
        <f>M$164*'BTX recycling rates'!O68</f>
        <v>20.470747673897669</v>
      </c>
      <c r="N167" s="203">
        <f>N$164*'BTX recycling rates'!P68</f>
        <v>22.946665800893584</v>
      </c>
      <c r="O167" s="203">
        <f>O$164*'BTX recycling rates'!Q68</f>
        <v>25.435066079497822</v>
      </c>
      <c r="P167" s="203">
        <f>P$164*'BTX recycling rates'!R68</f>
        <v>27.82014880164067</v>
      </c>
      <c r="Q167" s="203">
        <f>Q$164*'BTX recycling rates'!S68</f>
        <v>30.157916245837825</v>
      </c>
      <c r="R167" s="203">
        <f>R$164*'BTX recycling rates'!T68</f>
        <v>32.425676026216976</v>
      </c>
      <c r="S167" s="203">
        <f>S$164*'BTX recycling rates'!U68</f>
        <v>34.599852729698164</v>
      </c>
      <c r="T167" s="203">
        <f>T$164*'BTX recycling rates'!V68</f>
        <v>36.656028707325824</v>
      </c>
      <c r="U167" s="203">
        <f>U$164*'BTX recycling rates'!W68</f>
        <v>38.568984855770097</v>
      </c>
      <c r="V167" s="203">
        <f>V$164*'BTX recycling rates'!X68</f>
        <v>40.312741385326035</v>
      </c>
      <c r="W167" s="203">
        <f>W$164*'BTX recycling rates'!Y68</f>
        <v>41.860598570782699</v>
      </c>
      <c r="X167" s="203">
        <f>X$164*'BTX recycling rates'!Z68</f>
        <v>43.706536920067748</v>
      </c>
      <c r="Y167" s="203">
        <f>Y$164*'BTX recycling rates'!AA68</f>
        <v>45.303629981380865</v>
      </c>
      <c r="Z167" s="203">
        <f>Z$164*'BTX recycling rates'!AB68</f>
        <v>46.213444640671845</v>
      </c>
      <c r="AA167" s="203">
        <f>AA$164*'BTX recycling rates'!AC68</f>
        <v>46.769458309201099</v>
      </c>
      <c r="AB167" s="203">
        <f>AB$164*'BTX recycling rates'!AD68</f>
        <v>46.940081637858455</v>
      </c>
      <c r="AC167" s="203">
        <f>AC$164*'BTX recycling rates'!AE68</f>
        <v>46.694738467913496</v>
      </c>
      <c r="AD167" s="203">
        <f>AD$164*'BTX recycling rates'!AF68</f>
        <v>46.004068436043042</v>
      </c>
      <c r="AE167" s="203">
        <f>AE$164*'BTX recycling rates'!AG68</f>
        <v>44.840132029408657</v>
      </c>
      <c r="AF167" s="203">
        <f>AF$164*'BTX recycling rates'!AH68</f>
        <v>43.176618031833357</v>
      </c>
      <c r="AG167" s="203">
        <f>AG$164*'BTX recycling rates'!AI68</f>
        <v>40.989053302711106</v>
      </c>
      <c r="AH167" s="217"/>
      <c r="AI167" s="124"/>
      <c r="AJ167" s="185"/>
      <c r="AL167" s="100"/>
      <c r="AM167" s="2"/>
      <c r="AN167" s="2"/>
      <c r="AO167" s="2"/>
      <c r="BC167" s="1"/>
      <c r="BD167" s="2"/>
      <c r="BE167" s="2"/>
      <c r="BF167" s="2"/>
      <c r="BG167" s="2"/>
      <c r="BH167" s="2"/>
      <c r="BI167" s="2"/>
      <c r="BJ167" s="2"/>
      <c r="BK167" s="2"/>
    </row>
    <row r="168" spans="1:63" outlineLevel="1">
      <c r="A168" s="4" t="s">
        <v>1040</v>
      </c>
      <c r="C168" s="203">
        <f>C$164*'BTX recycling rates'!E69</f>
        <v>113.59407432909572</v>
      </c>
      <c r="D168" s="203">
        <f>D$164*'BTX recycling rates'!F69</f>
        <v>128.67056502462384</v>
      </c>
      <c r="E168" s="203">
        <f>E$164*'BTX recycling rates'!G69</f>
        <v>144.44062399439409</v>
      </c>
      <c r="F168" s="203">
        <f>F$164*'BTX recycling rates'!H69</f>
        <v>160.83196276723552</v>
      </c>
      <c r="G168" s="203">
        <f>G$164*'BTX recycling rates'!I69</f>
        <v>177.76435751611015</v>
      </c>
      <c r="H168" s="203">
        <f>H$164*'BTX recycling rates'!J69</f>
        <v>195.14974009405586</v>
      </c>
      <c r="I168" s="203">
        <f>I$164*'BTX recycling rates'!K69</f>
        <v>212.89228845969998</v>
      </c>
      <c r="J168" s="203">
        <f>J$164*'BTX recycling rates'!L69</f>
        <v>230.88851649550745</v>
      </c>
      <c r="K168" s="203">
        <f>K$164*'BTX recycling rates'!M69</f>
        <v>249.02736322191376</v>
      </c>
      <c r="L168" s="203">
        <f>L$164*'BTX recycling rates'!N69</f>
        <v>267.19028141047761</v>
      </c>
      <c r="M168" s="203">
        <f>M$164*'BTX recycling rates'!O69</f>
        <v>285.251325599175</v>
      </c>
      <c r="N168" s="203">
        <f>N$164*'BTX recycling rates'!P69</f>
        <v>298.85112913323917</v>
      </c>
      <c r="O168" s="203">
        <f>O$164*'BTX recycling rates'!Q69</f>
        <v>311.95299885151042</v>
      </c>
      <c r="P168" s="203">
        <f>P$164*'BTX recycling rates'!R69</f>
        <v>323.33724823019088</v>
      </c>
      <c r="Q168" s="203">
        <f>Q$164*'BTX recycling rates'!S69</f>
        <v>333.90531015491104</v>
      </c>
      <c r="R168" s="203">
        <f>R$164*'BTX recycling rates'!T69</f>
        <v>343.54295168949091</v>
      </c>
      <c r="S168" s="203">
        <f>S$164*'BTX recycling rates'!U69</f>
        <v>352.13330010466279</v>
      </c>
      <c r="T168" s="203">
        <f>T$164*'BTX recycling rates'!V69</f>
        <v>359.55700258139888</v>
      </c>
      <c r="U168" s="203">
        <f>U$164*'BTX recycling rates'!W69</f>
        <v>365.69238582170857</v>
      </c>
      <c r="V168" s="203">
        <f>V$164*'BTX recycling rates'!X69</f>
        <v>370.4156155530826</v>
      </c>
      <c r="W168" s="203">
        <f>W$164*'BTX recycling rates'!Y69</f>
        <v>373.6008559129254</v>
      </c>
      <c r="X168" s="203">
        <f>X$164*'BTX recycling rates'!Z69</f>
        <v>379.64912552275177</v>
      </c>
      <c r="Y168" s="203">
        <f>Y$164*'BTX recycling rates'!AA69</f>
        <v>383.69698515415661</v>
      </c>
      <c r="Z168" s="203">
        <f>Z$164*'BTX recycling rates'!AB69</f>
        <v>382.25180478386523</v>
      </c>
      <c r="AA168" s="203">
        <f>AA$164*'BTX recycling rates'!AC69</f>
        <v>378.3616712664342</v>
      </c>
      <c r="AB168" s="203">
        <f>AB$164*'BTX recycling rates'!AD69</f>
        <v>371.90347513573511</v>
      </c>
      <c r="AC168" s="203">
        <f>AC$164*'BTX recycling rates'!AE69</f>
        <v>362.7618907343396</v>
      </c>
      <c r="AD168" s="203">
        <f>AD$164*'BTX recycling rates'!AF69</f>
        <v>350.83021444407615</v>
      </c>
      <c r="AE168" s="203">
        <f>AE$164*'BTX recycling rates'!AG69</f>
        <v>336.01121163421692</v>
      </c>
      <c r="AF168" s="203">
        <f>AF$164*'BTX recycling rates'!AH69</f>
        <v>318.21797210396699</v>
      </c>
      <c r="AG168" s="203">
        <f>AG$164*'BTX recycling rates'!AI69</f>
        <v>297.37477379817261</v>
      </c>
      <c r="AH168" s="217"/>
      <c r="AI168" s="124"/>
      <c r="AJ168" s="185"/>
      <c r="AL168" s="100"/>
      <c r="AM168" s="2"/>
      <c r="AN168" s="2"/>
      <c r="AO168" s="2"/>
      <c r="BC168" s="1"/>
      <c r="BD168" s="2"/>
      <c r="BE168" s="2"/>
      <c r="BF168" s="2"/>
      <c r="BG168" s="2"/>
      <c r="BH168" s="2"/>
      <c r="BI168" s="2"/>
      <c r="BJ168" s="2"/>
      <c r="BK168" s="2"/>
    </row>
    <row r="169" spans="1:63" s="1" customFormat="1" outlineLevel="1">
      <c r="A169" s="1" t="s">
        <v>1049</v>
      </c>
      <c r="B169" s="60"/>
      <c r="C169" s="250">
        <f t="shared" ref="C169:AG169" si="91">C164-$C164</f>
        <v>0</v>
      </c>
      <c r="D169" s="250">
        <f t="shared" si="91"/>
        <v>25.304370628570041</v>
      </c>
      <c r="E169" s="250">
        <f t="shared" si="91"/>
        <v>50.364532404760041</v>
      </c>
      <c r="F169" s="250">
        <f t="shared" si="91"/>
        <v>75.046182216941645</v>
      </c>
      <c r="G169" s="250">
        <f t="shared" si="91"/>
        <v>99.216208935293764</v>
      </c>
      <c r="H169" s="250">
        <f t="shared" si="91"/>
        <v>122.74268682322156</v>
      </c>
      <c r="I169" s="250">
        <f t="shared" si="91"/>
        <v>145.49486897788466</v>
      </c>
      <c r="J169" s="250">
        <f t="shared" si="91"/>
        <v>167.34318079972331</v>
      </c>
      <c r="K169" s="250">
        <f t="shared" si="91"/>
        <v>188.15921349087125</v>
      </c>
      <c r="L169" s="250">
        <f t="shared" si="91"/>
        <v>207.81571758234259</v>
      </c>
      <c r="M169" s="250">
        <f t="shared" si="91"/>
        <v>226.18659648988103</v>
      </c>
      <c r="N169" s="250">
        <f t="shared" si="91"/>
        <v>235.84139689219893</v>
      </c>
      <c r="O169" s="250">
        <f t="shared" si="91"/>
        <v>244.14466368287509</v>
      </c>
      <c r="P169" s="250">
        <f t="shared" si="91"/>
        <v>249.20231006232603</v>
      </c>
      <c r="Q169" s="250">
        <f t="shared" si="91"/>
        <v>252.70046405863565</v>
      </c>
      <c r="R169" s="250">
        <f t="shared" si="91"/>
        <v>254.57637375223493</v>
      </c>
      <c r="S169" s="250">
        <f t="shared" si="91"/>
        <v>254.76930763058277</v>
      </c>
      <c r="T169" s="250">
        <f t="shared" si="91"/>
        <v>253.22055458311462</v>
      </c>
      <c r="U169" s="250">
        <f t="shared" si="91"/>
        <v>249.87342376261989</v>
      </c>
      <c r="V169" s="250">
        <f t="shared" si="91"/>
        <v>244.67324431440676</v>
      </c>
      <c r="W169" s="250">
        <f t="shared" si="91"/>
        <v>237.56736497460423</v>
      </c>
      <c r="X169" s="250">
        <f t="shared" si="91"/>
        <v>234.65345623681225</v>
      </c>
      <c r="Y169" s="250">
        <f t="shared" si="91"/>
        <v>229.20324881970066</v>
      </c>
      <c r="Z169" s="250">
        <f t="shared" si="91"/>
        <v>216.82679466218013</v>
      </c>
      <c r="AA169" s="250">
        <f t="shared" si="91"/>
        <v>201.83093642800475</v>
      </c>
      <c r="AB169" s="250">
        <f t="shared" si="91"/>
        <v>184.21707926125629</v>
      </c>
      <c r="AC169" s="250">
        <f t="shared" si="91"/>
        <v>163.9960627453284</v>
      </c>
      <c r="AD169" s="250">
        <f t="shared" si="91"/>
        <v>141.18827211843364</v>
      </c>
      <c r="AE169" s="250">
        <f t="shared" si="91"/>
        <v>115.8237473269819</v>
      </c>
      <c r="AF169" s="250">
        <f t="shared" si="91"/>
        <v>87.942289935305155</v>
      </c>
      <c r="AG169" s="250">
        <f t="shared" si="91"/>
        <v>57.593567910099978</v>
      </c>
      <c r="AH169" s="217"/>
      <c r="AI169" s="368"/>
      <c r="AJ169" s="369"/>
      <c r="AL169" s="194"/>
      <c r="AM169" s="116"/>
      <c r="AN169" s="116"/>
      <c r="AO169" s="116"/>
      <c r="BD169" s="116"/>
      <c r="BE169" s="116"/>
      <c r="BF169" s="116"/>
      <c r="BG169" s="116"/>
      <c r="BH169" s="116"/>
      <c r="BI169" s="116"/>
      <c r="BJ169" s="116"/>
      <c r="BK169" s="116"/>
    </row>
    <row r="170" spans="1:63" outlineLevel="1">
      <c r="A170" s="4" t="s">
        <v>35</v>
      </c>
      <c r="C170" s="203">
        <f t="shared" ref="C170:R173" si="92">C165-$C165</f>
        <v>0</v>
      </c>
      <c r="D170" s="203">
        <f t="shared" ref="D170:AG170" si="93">D165-$C165</f>
        <v>0</v>
      </c>
      <c r="E170" s="203">
        <f t="shared" si="93"/>
        <v>0</v>
      </c>
      <c r="F170" s="203">
        <f t="shared" si="93"/>
        <v>0</v>
      </c>
      <c r="G170" s="203">
        <f t="shared" si="93"/>
        <v>0</v>
      </c>
      <c r="H170" s="203">
        <f t="shared" si="93"/>
        <v>0</v>
      </c>
      <c r="I170" s="203">
        <f t="shared" si="93"/>
        <v>0</v>
      </c>
      <c r="J170" s="203">
        <f t="shared" si="93"/>
        <v>0</v>
      </c>
      <c r="K170" s="203">
        <f t="shared" si="93"/>
        <v>0</v>
      </c>
      <c r="L170" s="203">
        <f t="shared" si="93"/>
        <v>0</v>
      </c>
      <c r="M170" s="203">
        <f t="shared" si="93"/>
        <v>0</v>
      </c>
      <c r="N170" s="203">
        <f t="shared" si="93"/>
        <v>0</v>
      </c>
      <c r="O170" s="203">
        <f t="shared" si="93"/>
        <v>0</v>
      </c>
      <c r="P170" s="203">
        <f t="shared" si="93"/>
        <v>0</v>
      </c>
      <c r="Q170" s="203">
        <f t="shared" si="93"/>
        <v>0</v>
      </c>
      <c r="R170" s="203">
        <f t="shared" si="93"/>
        <v>0</v>
      </c>
      <c r="S170" s="203">
        <f t="shared" si="93"/>
        <v>0</v>
      </c>
      <c r="T170" s="203">
        <f t="shared" si="93"/>
        <v>0</v>
      </c>
      <c r="U170" s="203">
        <f t="shared" si="93"/>
        <v>0</v>
      </c>
      <c r="V170" s="203">
        <f t="shared" si="93"/>
        <v>0</v>
      </c>
      <c r="W170" s="203">
        <f t="shared" si="93"/>
        <v>0</v>
      </c>
      <c r="X170" s="203">
        <f t="shared" si="93"/>
        <v>0</v>
      </c>
      <c r="Y170" s="203">
        <f t="shared" si="93"/>
        <v>0</v>
      </c>
      <c r="Z170" s="203">
        <f t="shared" si="93"/>
        <v>0</v>
      </c>
      <c r="AA170" s="203">
        <f t="shared" si="93"/>
        <v>0</v>
      </c>
      <c r="AB170" s="203">
        <f t="shared" si="93"/>
        <v>0</v>
      </c>
      <c r="AC170" s="203">
        <f t="shared" si="93"/>
        <v>0</v>
      </c>
      <c r="AD170" s="203">
        <f t="shared" si="93"/>
        <v>0</v>
      </c>
      <c r="AE170" s="203">
        <f t="shared" si="93"/>
        <v>0</v>
      </c>
      <c r="AF170" s="203">
        <f t="shared" si="93"/>
        <v>0</v>
      </c>
      <c r="AG170" s="203">
        <f t="shared" si="93"/>
        <v>0</v>
      </c>
      <c r="AH170" s="217"/>
      <c r="AI170" s="124"/>
      <c r="AJ170" s="185"/>
      <c r="AL170" s="100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203">
        <f t="shared" si="92"/>
        <v>0</v>
      </c>
      <c r="D171" s="203">
        <f t="shared" si="92"/>
        <v>8.9919608511308695</v>
      </c>
      <c r="E171" s="203">
        <f t="shared" si="92"/>
        <v>16.84376039140804</v>
      </c>
      <c r="F171" s="203">
        <f t="shared" si="92"/>
        <v>23.49796923619229</v>
      </c>
      <c r="G171" s="203">
        <f t="shared" si="92"/>
        <v>28.908435331616062</v>
      </c>
      <c r="H171" s="203">
        <f t="shared" si="92"/>
        <v>33.040162397169553</v>
      </c>
      <c r="I171" s="203">
        <f t="shared" si="92"/>
        <v>35.869189166746366</v>
      </c>
      <c r="J171" s="203">
        <f t="shared" si="92"/>
        <v>37.382469424054847</v>
      </c>
      <c r="K171" s="203">
        <f t="shared" si="92"/>
        <v>37.577752828317017</v>
      </c>
      <c r="L171" s="203">
        <f t="shared" si="92"/>
        <v>36.463466526195106</v>
      </c>
      <c r="M171" s="203">
        <f t="shared" si="92"/>
        <v>34.058597545904036</v>
      </c>
      <c r="N171" s="203">
        <f t="shared" si="92"/>
        <v>27.637676287161867</v>
      </c>
      <c r="O171" s="203">
        <f t="shared" si="92"/>
        <v>20.350673080962537</v>
      </c>
      <c r="P171" s="203">
        <f t="shared" si="92"/>
        <v>11.638987359590146</v>
      </c>
      <c r="Q171" s="203">
        <f t="shared" si="92"/>
        <v>2.2313119869824618</v>
      </c>
      <c r="R171" s="203">
        <f t="shared" si="92"/>
        <v>-7.7981796343772203</v>
      </c>
      <c r="S171" s="203">
        <f t="shared" ref="S171:AG171" si="94">S166-$C166</f>
        <v>-18.369770874682473</v>
      </c>
      <c r="T171" s="203">
        <f t="shared" si="94"/>
        <v>-29.398402376514355</v>
      </c>
      <c r="U171" s="203">
        <f t="shared" si="94"/>
        <v>-40.793872585762998</v>
      </c>
      <c r="V171" s="203">
        <f t="shared" si="94"/>
        <v>-52.461038294906089</v>
      </c>
      <c r="W171" s="203">
        <f t="shared" si="94"/>
        <v>-64.300015180008089</v>
      </c>
      <c r="X171" s="203">
        <f t="shared" si="94"/>
        <v>-75.108131876911457</v>
      </c>
      <c r="Y171" s="203">
        <f t="shared" si="94"/>
        <v>-86.203291986741007</v>
      </c>
      <c r="Z171" s="203">
        <f t="shared" si="94"/>
        <v>-98.044380433261111</v>
      </c>
      <c r="AA171" s="203">
        <f t="shared" si="94"/>
        <v>-109.70611881853472</v>
      </c>
      <c r="AB171" s="203">
        <f t="shared" si="94"/>
        <v>-121.03240318324143</v>
      </c>
      <c r="AC171" s="203">
        <f t="shared" si="94"/>
        <v>-131.86649212782885</v>
      </c>
      <c r="AD171" s="203">
        <f t="shared" si="94"/>
        <v>-142.05193643258968</v>
      </c>
      <c r="AE171" s="203">
        <f t="shared" si="94"/>
        <v>-151.43352200754782</v>
      </c>
      <c r="AF171" s="203">
        <f t="shared" si="94"/>
        <v>-159.85822587139933</v>
      </c>
      <c r="AG171" s="203">
        <f t="shared" si="94"/>
        <v>-167.17618486168803</v>
      </c>
      <c r="AH171" s="217"/>
      <c r="AI171" s="124"/>
      <c r="AJ171" s="185"/>
      <c r="AL171" s="100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160</v>
      </c>
      <c r="C172" s="203">
        <f t="shared" si="92"/>
        <v>0</v>
      </c>
      <c r="D172" s="203">
        <f t="shared" si="92"/>
        <v>1.2359190819110557</v>
      </c>
      <c r="E172" s="203">
        <f t="shared" si="92"/>
        <v>2.6742223480535929</v>
      </c>
      <c r="F172" s="203">
        <f t="shared" si="92"/>
        <v>4.3103245426095214</v>
      </c>
      <c r="G172" s="203">
        <f t="shared" si="92"/>
        <v>6.1374904166632165</v>
      </c>
      <c r="H172" s="203">
        <f t="shared" si="92"/>
        <v>8.1468586610918177</v>
      </c>
      <c r="I172" s="203">
        <f t="shared" si="92"/>
        <v>10.327465680533967</v>
      </c>
      <c r="J172" s="203">
        <f t="shared" si="92"/>
        <v>12.666269209256646</v>
      </c>
      <c r="K172" s="203">
        <f t="shared" si="92"/>
        <v>15.14817176973613</v>
      </c>
      <c r="L172" s="203">
        <f t="shared" si="92"/>
        <v>17.756043974765532</v>
      </c>
      <c r="M172" s="203">
        <f t="shared" si="92"/>
        <v>20.470747673897669</v>
      </c>
      <c r="N172" s="203">
        <f t="shared" si="92"/>
        <v>22.946665800893584</v>
      </c>
      <c r="O172" s="203">
        <f t="shared" si="92"/>
        <v>25.435066079497822</v>
      </c>
      <c r="P172" s="203">
        <f t="shared" si="92"/>
        <v>27.82014880164067</v>
      </c>
      <c r="Q172" s="203">
        <f t="shared" si="92"/>
        <v>30.157916245837825</v>
      </c>
      <c r="R172" s="203">
        <f t="shared" si="92"/>
        <v>32.425676026216976</v>
      </c>
      <c r="S172" s="203">
        <f t="shared" ref="S172:AG172" si="95">S167-$C167</f>
        <v>34.599852729698164</v>
      </c>
      <c r="T172" s="203">
        <f t="shared" si="95"/>
        <v>36.656028707325824</v>
      </c>
      <c r="U172" s="203">
        <f t="shared" si="95"/>
        <v>38.568984855770097</v>
      </c>
      <c r="V172" s="203">
        <f t="shared" si="95"/>
        <v>40.312741385326035</v>
      </c>
      <c r="W172" s="203">
        <f t="shared" si="95"/>
        <v>41.860598570782699</v>
      </c>
      <c r="X172" s="203">
        <f t="shared" si="95"/>
        <v>43.706536920067748</v>
      </c>
      <c r="Y172" s="203">
        <f t="shared" si="95"/>
        <v>45.303629981380865</v>
      </c>
      <c r="Z172" s="203">
        <f t="shared" si="95"/>
        <v>46.213444640671845</v>
      </c>
      <c r="AA172" s="203">
        <f t="shared" si="95"/>
        <v>46.769458309201099</v>
      </c>
      <c r="AB172" s="203">
        <f t="shared" si="95"/>
        <v>46.940081637858455</v>
      </c>
      <c r="AC172" s="203">
        <f t="shared" si="95"/>
        <v>46.694738467913496</v>
      </c>
      <c r="AD172" s="203">
        <f t="shared" si="95"/>
        <v>46.004068436043042</v>
      </c>
      <c r="AE172" s="203">
        <f t="shared" si="95"/>
        <v>44.840132029408657</v>
      </c>
      <c r="AF172" s="203">
        <f t="shared" si="95"/>
        <v>43.176618031833357</v>
      </c>
      <c r="AG172" s="203">
        <f t="shared" si="95"/>
        <v>40.989053302711106</v>
      </c>
      <c r="AH172" s="217"/>
      <c r="AI172" s="124"/>
      <c r="AJ172" s="185"/>
      <c r="AL172" s="100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1040</v>
      </c>
      <c r="C173" s="203">
        <f t="shared" si="92"/>
        <v>0</v>
      </c>
      <c r="D173" s="203">
        <f t="shared" si="92"/>
        <v>15.076490695528122</v>
      </c>
      <c r="E173" s="203">
        <f t="shared" si="92"/>
        <v>30.846549665298369</v>
      </c>
      <c r="F173" s="203">
        <f t="shared" si="92"/>
        <v>47.237888438139805</v>
      </c>
      <c r="G173" s="203">
        <f t="shared" si="92"/>
        <v>64.170283187014434</v>
      </c>
      <c r="H173" s="203">
        <f t="shared" si="92"/>
        <v>81.555665764960139</v>
      </c>
      <c r="I173" s="203">
        <f t="shared" si="92"/>
        <v>99.298214130604265</v>
      </c>
      <c r="J173" s="203">
        <f t="shared" si="92"/>
        <v>117.29444216641173</v>
      </c>
      <c r="K173" s="203">
        <f t="shared" si="92"/>
        <v>135.43328889281804</v>
      </c>
      <c r="L173" s="203">
        <f t="shared" si="92"/>
        <v>153.59620708138189</v>
      </c>
      <c r="M173" s="203">
        <f t="shared" si="92"/>
        <v>171.65725127007929</v>
      </c>
      <c r="N173" s="203">
        <f t="shared" si="92"/>
        <v>185.25705480414345</v>
      </c>
      <c r="O173" s="203">
        <f t="shared" si="92"/>
        <v>198.3589245224147</v>
      </c>
      <c r="P173" s="203">
        <f t="shared" si="92"/>
        <v>209.74317390109516</v>
      </c>
      <c r="Q173" s="203">
        <f t="shared" si="92"/>
        <v>220.31123582581532</v>
      </c>
      <c r="R173" s="203">
        <f t="shared" si="92"/>
        <v>229.94887736039519</v>
      </c>
      <c r="S173" s="203">
        <f t="shared" ref="S173:AG173" si="96">S168-$C168</f>
        <v>238.53922577556708</v>
      </c>
      <c r="T173" s="203">
        <f t="shared" si="96"/>
        <v>245.96292825230316</v>
      </c>
      <c r="U173" s="203">
        <f t="shared" si="96"/>
        <v>252.09831149261285</v>
      </c>
      <c r="V173" s="203">
        <f t="shared" si="96"/>
        <v>256.82154122398686</v>
      </c>
      <c r="W173" s="203">
        <f t="shared" si="96"/>
        <v>260.00678158382971</v>
      </c>
      <c r="X173" s="203">
        <f t="shared" si="96"/>
        <v>266.05505119365603</v>
      </c>
      <c r="Y173" s="203">
        <f t="shared" si="96"/>
        <v>270.10291082506092</v>
      </c>
      <c r="Z173" s="203">
        <f t="shared" si="96"/>
        <v>268.65773045476953</v>
      </c>
      <c r="AA173" s="203">
        <f t="shared" si="96"/>
        <v>264.76759693733845</v>
      </c>
      <c r="AB173" s="203">
        <f t="shared" si="96"/>
        <v>258.30940080663936</v>
      </c>
      <c r="AC173" s="203">
        <f t="shared" si="96"/>
        <v>249.16781640524388</v>
      </c>
      <c r="AD173" s="203">
        <f t="shared" si="96"/>
        <v>237.23614011498043</v>
      </c>
      <c r="AE173" s="203">
        <f t="shared" si="96"/>
        <v>222.4171373051212</v>
      </c>
      <c r="AF173" s="203">
        <f t="shared" si="96"/>
        <v>204.62389777487127</v>
      </c>
      <c r="AG173" s="203">
        <f t="shared" si="96"/>
        <v>183.78069946907689</v>
      </c>
      <c r="AH173" s="217"/>
      <c r="AI173" s="124"/>
      <c r="AJ173" s="185"/>
      <c r="AL173" s="100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s="1" customFormat="1" outlineLevel="1">
      <c r="A174" s="1" t="s">
        <v>1043</v>
      </c>
      <c r="B174" s="60"/>
      <c r="C174" s="250">
        <f>C40*C142</f>
        <v>842.3107775723513</v>
      </c>
      <c r="D174" s="250">
        <f t="shared" ref="D174:AG174" si="97">D40*D142</f>
        <v>918.22388945806142</v>
      </c>
      <c r="E174" s="250">
        <f t="shared" si="97"/>
        <v>993.40437478663137</v>
      </c>
      <c r="F174" s="250">
        <f t="shared" si="97"/>
        <v>1067.4493242231761</v>
      </c>
      <c r="G174" s="250">
        <f t="shared" si="97"/>
        <v>1139.9594043782326</v>
      </c>
      <c r="H174" s="250">
        <f t="shared" si="97"/>
        <v>1210.5388380420159</v>
      </c>
      <c r="I174" s="250">
        <f t="shared" si="97"/>
        <v>1278.7953845060051</v>
      </c>
      <c r="J174" s="250">
        <f t="shared" si="97"/>
        <v>1344.3403199715212</v>
      </c>
      <c r="K174" s="250">
        <f t="shared" si="97"/>
        <v>1406.7884180449648</v>
      </c>
      <c r="L174" s="250">
        <f t="shared" si="97"/>
        <v>1465.7579303193791</v>
      </c>
      <c r="M174" s="250">
        <f t="shared" si="97"/>
        <v>1520.8705670419943</v>
      </c>
      <c r="N174" s="250">
        <f t="shared" si="97"/>
        <v>1549.8349682489479</v>
      </c>
      <c r="O174" s="250">
        <f t="shared" si="97"/>
        <v>1574.7447686209764</v>
      </c>
      <c r="P174" s="250">
        <f t="shared" si="97"/>
        <v>1589.9177077593292</v>
      </c>
      <c r="Q174" s="250">
        <f t="shared" si="97"/>
        <v>1600.4121697482585</v>
      </c>
      <c r="R174" s="250">
        <f t="shared" si="97"/>
        <v>1606.0398988290563</v>
      </c>
      <c r="S174" s="250">
        <f t="shared" si="97"/>
        <v>1606.6187004640999</v>
      </c>
      <c r="T174" s="250">
        <f t="shared" si="97"/>
        <v>1601.972441321695</v>
      </c>
      <c r="U174" s="250">
        <f t="shared" si="97"/>
        <v>1591.9310488602107</v>
      </c>
      <c r="V174" s="250">
        <f t="shared" si="97"/>
        <v>1576.3305105155716</v>
      </c>
      <c r="W174" s="250">
        <f t="shared" si="97"/>
        <v>1555.0128724961639</v>
      </c>
      <c r="X174" s="250">
        <f t="shared" si="97"/>
        <v>1546.2711462827879</v>
      </c>
      <c r="Y174" s="250">
        <f t="shared" si="97"/>
        <v>1529.9205240314532</v>
      </c>
      <c r="Z174" s="250">
        <f t="shared" si="97"/>
        <v>1492.7911615588916</v>
      </c>
      <c r="AA174" s="250">
        <f t="shared" si="97"/>
        <v>1447.8035868563652</v>
      </c>
      <c r="AB174" s="250">
        <f t="shared" si="97"/>
        <v>1394.9620153561202</v>
      </c>
      <c r="AC174" s="250">
        <f t="shared" si="97"/>
        <v>1334.2989658083363</v>
      </c>
      <c r="AD174" s="250">
        <f t="shared" si="97"/>
        <v>1265.8755939276521</v>
      </c>
      <c r="AE174" s="250">
        <f t="shared" si="97"/>
        <v>1189.7820195532968</v>
      </c>
      <c r="AF174" s="250">
        <f t="shared" si="97"/>
        <v>1106.1376473782668</v>
      </c>
      <c r="AG174" s="250">
        <f t="shared" si="97"/>
        <v>1015.0914813026512</v>
      </c>
      <c r="AH174" s="217"/>
      <c r="AI174" s="368"/>
      <c r="AJ174" s="369"/>
      <c r="AL174" s="194"/>
      <c r="AM174" s="116"/>
      <c r="AN174" s="116"/>
      <c r="AO174" s="116"/>
      <c r="BD174" s="116"/>
      <c r="BE174" s="116"/>
      <c r="BF174" s="116"/>
      <c r="BG174" s="116"/>
      <c r="BH174" s="116"/>
      <c r="BI174" s="116"/>
      <c r="BJ174" s="116"/>
      <c r="BK174" s="116"/>
    </row>
    <row r="175" spans="1:63" outlineLevel="1">
      <c r="A175" s="4" t="s">
        <v>35</v>
      </c>
      <c r="C175" s="203">
        <f>C$174*'BTX recycling rates'!E70</f>
        <v>0</v>
      </c>
      <c r="D175" s="203">
        <f>D$174*'BTX recycling rates'!F70</f>
        <v>0</v>
      </c>
      <c r="E175" s="203">
        <f>E$174*'BTX recycling rates'!G70</f>
        <v>0</v>
      </c>
      <c r="F175" s="203">
        <f>F$174*'BTX recycling rates'!H70</f>
        <v>0</v>
      </c>
      <c r="G175" s="203">
        <f>G$174*'BTX recycling rates'!I70</f>
        <v>0</v>
      </c>
      <c r="H175" s="203">
        <f>H$174*'BTX recycling rates'!J70</f>
        <v>0</v>
      </c>
      <c r="I175" s="203">
        <f>I$174*'BTX recycling rates'!K70</f>
        <v>0</v>
      </c>
      <c r="J175" s="203">
        <f>J$174*'BTX recycling rates'!L70</f>
        <v>0</v>
      </c>
      <c r="K175" s="203">
        <f>K$174*'BTX recycling rates'!M70</f>
        <v>0</v>
      </c>
      <c r="L175" s="203">
        <f>L$174*'BTX recycling rates'!N70</f>
        <v>0</v>
      </c>
      <c r="M175" s="203">
        <f>M$174*'BTX recycling rates'!O70</f>
        <v>0</v>
      </c>
      <c r="N175" s="203">
        <f>N$174*'BTX recycling rates'!P70</f>
        <v>0</v>
      </c>
      <c r="O175" s="203">
        <f>O$174*'BTX recycling rates'!Q70</f>
        <v>0</v>
      </c>
      <c r="P175" s="203">
        <f>P$174*'BTX recycling rates'!R70</f>
        <v>0</v>
      </c>
      <c r="Q175" s="203">
        <f>Q$174*'BTX recycling rates'!S70</f>
        <v>0</v>
      </c>
      <c r="R175" s="203">
        <f>R$174*'BTX recycling rates'!T70</f>
        <v>0</v>
      </c>
      <c r="S175" s="203">
        <f>S$174*'BTX recycling rates'!U70</f>
        <v>0</v>
      </c>
      <c r="T175" s="203">
        <f>T$174*'BTX recycling rates'!V70</f>
        <v>0</v>
      </c>
      <c r="U175" s="203">
        <f>U$174*'BTX recycling rates'!W70</f>
        <v>0</v>
      </c>
      <c r="V175" s="203">
        <f>V$174*'BTX recycling rates'!X70</f>
        <v>0</v>
      </c>
      <c r="W175" s="203">
        <f>W$174*'BTX recycling rates'!Y70</f>
        <v>0</v>
      </c>
      <c r="X175" s="203">
        <f>X$174*'BTX recycling rates'!Z70</f>
        <v>0</v>
      </c>
      <c r="Y175" s="203">
        <f>Y$174*'BTX recycling rates'!AA70</f>
        <v>0</v>
      </c>
      <c r="Z175" s="203">
        <f>Z$174*'BTX recycling rates'!AB70</f>
        <v>0</v>
      </c>
      <c r="AA175" s="203">
        <f>AA$174*'BTX recycling rates'!AC70</f>
        <v>0</v>
      </c>
      <c r="AB175" s="203">
        <f>AB$174*'BTX recycling rates'!AD70</f>
        <v>0</v>
      </c>
      <c r="AC175" s="203">
        <f>AC$174*'BTX recycling rates'!AE70</f>
        <v>0</v>
      </c>
      <c r="AD175" s="203">
        <f>AD$174*'BTX recycling rates'!AF70</f>
        <v>0</v>
      </c>
      <c r="AE175" s="203">
        <f>AE$174*'BTX recycling rates'!AG70</f>
        <v>0</v>
      </c>
      <c r="AF175" s="203">
        <f>AF$174*'BTX recycling rates'!AH70</f>
        <v>0</v>
      </c>
      <c r="AG175" s="203">
        <f>AG$174*'BTX recycling rates'!AI70</f>
        <v>0</v>
      </c>
      <c r="AH175" s="217"/>
      <c r="AI175" s="124"/>
      <c r="AJ175" s="185"/>
      <c r="AL175" s="100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74</v>
      </c>
      <c r="C176" s="203">
        <f>C$174*'BTX recycling rates'!E71</f>
        <v>501.52855458506411</v>
      </c>
      <c r="D176" s="203">
        <f>D$174*'BTX recycling rates'!F71</f>
        <v>528.50443713845675</v>
      </c>
      <c r="E176" s="203">
        <f>E$174*'BTX recycling rates'!G71</f>
        <v>552.05983575928826</v>
      </c>
      <c r="F176" s="203">
        <f>F$174*'BTX recycling rates'!H71</f>
        <v>572.02246229364084</v>
      </c>
      <c r="G176" s="203">
        <f>G$174*'BTX recycling rates'!I71</f>
        <v>588.25386057991238</v>
      </c>
      <c r="H176" s="203">
        <f>H$174*'BTX recycling rates'!J71</f>
        <v>600.64904177657263</v>
      </c>
      <c r="I176" s="203">
        <f>I$174*'BTX recycling rates'!K71</f>
        <v>609.1361220853031</v>
      </c>
      <c r="J176" s="203">
        <f>J$174*'BTX recycling rates'!L71</f>
        <v>613.67596285722868</v>
      </c>
      <c r="K176" s="203">
        <f>K$174*'BTX recycling rates'!M71</f>
        <v>614.26181307001502</v>
      </c>
      <c r="L176" s="203">
        <f>L$174*'BTX recycling rates'!N71</f>
        <v>610.91895416364946</v>
      </c>
      <c r="M176" s="203">
        <f>M$174*'BTX recycling rates'!O71</f>
        <v>603.70434722277616</v>
      </c>
      <c r="N176" s="203">
        <f>N$174*'BTX recycling rates'!P71</f>
        <v>584.44158344654966</v>
      </c>
      <c r="O176" s="203">
        <f>O$174*'BTX recycling rates'!Q71</f>
        <v>562.58057382795164</v>
      </c>
      <c r="P176" s="203">
        <f>P$174*'BTX recycling rates'!R71</f>
        <v>536.4455166638345</v>
      </c>
      <c r="Q176" s="203">
        <f>Q$174*'BTX recycling rates'!S71</f>
        <v>508.22249054601161</v>
      </c>
      <c r="R176" s="203">
        <f>R$174*'BTX recycling rates'!T71</f>
        <v>478.13401568193251</v>
      </c>
      <c r="S176" s="203">
        <f>S$174*'BTX recycling rates'!U71</f>
        <v>446.41924196101678</v>
      </c>
      <c r="T176" s="203">
        <f>T$174*'BTX recycling rates'!V71</f>
        <v>413.33334745552099</v>
      </c>
      <c r="U176" s="203">
        <f>U$174*'BTX recycling rates'!W71</f>
        <v>379.14693682777505</v>
      </c>
      <c r="V176" s="203">
        <f>V$174*'BTX recycling rates'!X71</f>
        <v>344.14543970034583</v>
      </c>
      <c r="W176" s="203">
        <f>W$174*'BTX recycling rates'!Y71</f>
        <v>308.62850904503983</v>
      </c>
      <c r="X176" s="203">
        <f>X$174*'BTX recycling rates'!Z71</f>
        <v>276.20415895432967</v>
      </c>
      <c r="Y176" s="203">
        <f>Y$174*'BTX recycling rates'!AA71</f>
        <v>242.91867862484105</v>
      </c>
      <c r="Z176" s="203">
        <f>Z$174*'BTX recycling rates'!AB71</f>
        <v>207.39541328528074</v>
      </c>
      <c r="AA176" s="203">
        <f>AA$174*'BTX recycling rates'!AC71</f>
        <v>172.41019812945993</v>
      </c>
      <c r="AB176" s="203">
        <f>AB$174*'BTX recycling rates'!AD71</f>
        <v>138.43134503533983</v>
      </c>
      <c r="AC176" s="203">
        <f>AC$174*'BTX recycling rates'!AE71</f>
        <v>105.92907820157751</v>
      </c>
      <c r="AD176" s="203">
        <f>AD$174*'BTX recycling rates'!AF71</f>
        <v>75.372745287295004</v>
      </c>
      <c r="AE176" s="203">
        <f>AE$174*'BTX recycling rates'!AG71</f>
        <v>47.227988562420656</v>
      </c>
      <c r="AF176" s="203">
        <f>AF$174*'BTX recycling rates'!AH71</f>
        <v>21.953876970866098</v>
      </c>
      <c r="AG176" s="203">
        <f>AG$174*'BTX recycling rates'!AI71</f>
        <v>0</v>
      </c>
      <c r="AH176" s="217"/>
      <c r="AI176" s="124"/>
      <c r="AJ176" s="185"/>
      <c r="AL176" s="100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160</v>
      </c>
      <c r="C177" s="203">
        <f>C$174*'BTX recycling rates'!E72</f>
        <v>0</v>
      </c>
      <c r="D177" s="203">
        <f>D$174*'BTX recycling rates'!F72</f>
        <v>3.7077572457331676</v>
      </c>
      <c r="E177" s="203">
        <f>E$174*'BTX recycling rates'!G72</f>
        <v>8.0226670441607784</v>
      </c>
      <c r="F177" s="203">
        <f>F$174*'BTX recycling rates'!H72</f>
        <v>12.930973627828564</v>
      </c>
      <c r="G177" s="203">
        <f>G$174*'BTX recycling rates'!I72</f>
        <v>18.412471249989654</v>
      </c>
      <c r="H177" s="203">
        <f>H$174*'BTX recycling rates'!J72</f>
        <v>24.440575983275448</v>
      </c>
      <c r="I177" s="203">
        <f>I$174*'BTX recycling rates'!K72</f>
        <v>30.982397041601899</v>
      </c>
      <c r="J177" s="203">
        <f>J$174*'BTX recycling rates'!L72</f>
        <v>37.998807627769935</v>
      </c>
      <c r="K177" s="203">
        <f>K$174*'BTX recycling rates'!M72</f>
        <v>45.444515309208384</v>
      </c>
      <c r="L177" s="203">
        <f>L$174*'BTX recycling rates'!N72</f>
        <v>53.268131924296597</v>
      </c>
      <c r="M177" s="203">
        <f>M$174*'BTX recycling rates'!O72</f>
        <v>61.412243021693001</v>
      </c>
      <c r="N177" s="203">
        <f>N$174*'BTX recycling rates'!P72</f>
        <v>68.839997402680737</v>
      </c>
      <c r="O177" s="203">
        <f>O$174*'BTX recycling rates'!Q72</f>
        <v>76.30519823849346</v>
      </c>
      <c r="P177" s="203">
        <f>P$174*'BTX recycling rates'!R72</f>
        <v>83.460446404921996</v>
      </c>
      <c r="Q177" s="203">
        <f>Q$174*'BTX recycling rates'!S72</f>
        <v>90.473748737513489</v>
      </c>
      <c r="R177" s="203">
        <f>R$174*'BTX recycling rates'!T72</f>
        <v>97.277028078650943</v>
      </c>
      <c r="S177" s="203">
        <f>S$174*'BTX recycling rates'!U72</f>
        <v>103.79955818909451</v>
      </c>
      <c r="T177" s="203">
        <f>T$174*'BTX recycling rates'!V72</f>
        <v>109.96808612197746</v>
      </c>
      <c r="U177" s="203">
        <f>U$174*'BTX recycling rates'!W72</f>
        <v>115.70695456731028</v>
      </c>
      <c r="V177" s="203">
        <f>V$174*'BTX recycling rates'!X72</f>
        <v>120.93822415597812</v>
      </c>
      <c r="W177" s="203">
        <f>W$174*'BTX recycling rates'!Y72</f>
        <v>125.5817957123481</v>
      </c>
      <c r="X177" s="203">
        <f>X$174*'BTX recycling rates'!Z72</f>
        <v>131.11961076020324</v>
      </c>
      <c r="Y177" s="203">
        <f>Y$174*'BTX recycling rates'!AA72</f>
        <v>135.91088994414258</v>
      </c>
      <c r="Z177" s="203">
        <f>Z$174*'BTX recycling rates'!AB72</f>
        <v>138.64033392201551</v>
      </c>
      <c r="AA177" s="203">
        <f>AA$174*'BTX recycling rates'!AC72</f>
        <v>140.30837492760327</v>
      </c>
      <c r="AB177" s="203">
        <f>AB$174*'BTX recycling rates'!AD72</f>
        <v>140.82024491357538</v>
      </c>
      <c r="AC177" s="203">
        <f>AC$174*'BTX recycling rates'!AE72</f>
        <v>140.08421540374047</v>
      </c>
      <c r="AD177" s="203">
        <f>AD$174*'BTX recycling rates'!AF72</f>
        <v>138.01220530812913</v>
      </c>
      <c r="AE177" s="203">
        <f>AE$174*'BTX recycling rates'!AG72</f>
        <v>134.52039608822594</v>
      </c>
      <c r="AF177" s="203">
        <f>AF$174*'BTX recycling rates'!AH72</f>
        <v>129.5298540955001</v>
      </c>
      <c r="AG177" s="203">
        <f>AG$174*'BTX recycling rates'!AI72</f>
        <v>122.96715990813333</v>
      </c>
      <c r="AH177" s="217"/>
      <c r="AI177" s="124"/>
      <c r="AJ177" s="185"/>
      <c r="AL177" s="100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1040</v>
      </c>
      <c r="C178" s="203">
        <f>C$174*'BTX recycling rates'!E73</f>
        <v>340.78222298728718</v>
      </c>
      <c r="D178" s="203">
        <f>D$174*'BTX recycling rates'!F73</f>
        <v>386.01169507387152</v>
      </c>
      <c r="E178" s="203">
        <f>E$174*'BTX recycling rates'!G73</f>
        <v>433.32187198318229</v>
      </c>
      <c r="F178" s="203">
        <f>F$174*'BTX recycling rates'!H73</f>
        <v>482.49588830170654</v>
      </c>
      <c r="G178" s="203">
        <f>G$174*'BTX recycling rates'!I73</f>
        <v>533.29307254833043</v>
      </c>
      <c r="H178" s="203">
        <f>H$174*'BTX recycling rates'!J73</f>
        <v>585.44922028216752</v>
      </c>
      <c r="I178" s="203">
        <f>I$174*'BTX recycling rates'!K73</f>
        <v>638.67686537909981</v>
      </c>
      <c r="J178" s="203">
        <f>J$174*'BTX recycling rates'!L73</f>
        <v>692.66554948652242</v>
      </c>
      <c r="K178" s="203">
        <f>K$174*'BTX recycling rates'!M73</f>
        <v>747.08208966574114</v>
      </c>
      <c r="L178" s="203">
        <f>L$174*'BTX recycling rates'!N73</f>
        <v>801.57084423143283</v>
      </c>
      <c r="M178" s="203">
        <f>M$174*'BTX recycling rates'!O73</f>
        <v>855.75397679752496</v>
      </c>
      <c r="N178" s="203">
        <f>N$174*'BTX recycling rates'!P73</f>
        <v>896.55338739971739</v>
      </c>
      <c r="O178" s="203">
        <f>O$174*'BTX recycling rates'!Q73</f>
        <v>935.85899655453113</v>
      </c>
      <c r="P178" s="203">
        <f>P$174*'BTX recycling rates'!R73</f>
        <v>970.01174469057264</v>
      </c>
      <c r="Q178" s="203">
        <f>Q$174*'BTX recycling rates'!S73</f>
        <v>1001.7159304647333</v>
      </c>
      <c r="R178" s="203">
        <f>R$174*'BTX recycling rates'!T73</f>
        <v>1030.6288550684728</v>
      </c>
      <c r="S178" s="203">
        <f>S$174*'BTX recycling rates'!U73</f>
        <v>1056.3999003139886</v>
      </c>
      <c r="T178" s="203">
        <f>T$174*'BTX recycling rates'!V73</f>
        <v>1078.6710077441967</v>
      </c>
      <c r="U178" s="203">
        <f>U$174*'BTX recycling rates'!W73</f>
        <v>1097.0771574651255</v>
      </c>
      <c r="V178" s="203">
        <f>V$174*'BTX recycling rates'!X73</f>
        <v>1111.2468466592479</v>
      </c>
      <c r="W178" s="203">
        <f>W$174*'BTX recycling rates'!Y73</f>
        <v>1120.8025677387761</v>
      </c>
      <c r="X178" s="203">
        <f>X$174*'BTX recycling rates'!Z73</f>
        <v>1138.9473765682551</v>
      </c>
      <c r="Y178" s="203">
        <f>Y$174*'BTX recycling rates'!AA73</f>
        <v>1151.0909554624698</v>
      </c>
      <c r="Z178" s="203">
        <f>Z$174*'BTX recycling rates'!AB73</f>
        <v>1146.7554143515956</v>
      </c>
      <c r="AA178" s="203">
        <f>AA$174*'BTX recycling rates'!AC73</f>
        <v>1135.0850137993025</v>
      </c>
      <c r="AB178" s="203">
        <f>AB$174*'BTX recycling rates'!AD73</f>
        <v>1115.7104254072053</v>
      </c>
      <c r="AC178" s="203">
        <f>AC$174*'BTX recycling rates'!AE73</f>
        <v>1088.2856722030187</v>
      </c>
      <c r="AD178" s="203">
        <f>AD$174*'BTX recycling rates'!AF73</f>
        <v>1052.4906433322285</v>
      </c>
      <c r="AE178" s="203">
        <f>AE$174*'BTX recycling rates'!AG73</f>
        <v>1008.0336349026506</v>
      </c>
      <c r="AF178" s="203">
        <f>AF$174*'BTX recycling rates'!AH73</f>
        <v>954.65391631190118</v>
      </c>
      <c r="AG178" s="203">
        <f>AG$174*'BTX recycling rates'!AI73</f>
        <v>892.12432139451789</v>
      </c>
      <c r="AH178" s="217"/>
      <c r="AI178" s="124"/>
      <c r="AJ178" s="185"/>
      <c r="AL178" s="100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1046</v>
      </c>
      <c r="B179" s="60"/>
      <c r="C179" s="250">
        <f t="shared" ref="C179:AG179" si="98">C174-$C174</f>
        <v>0</v>
      </c>
      <c r="D179" s="250">
        <f t="shared" si="98"/>
        <v>75.913111885710123</v>
      </c>
      <c r="E179" s="250">
        <f t="shared" si="98"/>
        <v>151.09359721428007</v>
      </c>
      <c r="F179" s="250">
        <f t="shared" si="98"/>
        <v>225.13854665082476</v>
      </c>
      <c r="G179" s="250">
        <f t="shared" si="98"/>
        <v>297.64862680588135</v>
      </c>
      <c r="H179" s="250">
        <f t="shared" si="98"/>
        <v>368.22806046966457</v>
      </c>
      <c r="I179" s="250">
        <f t="shared" si="98"/>
        <v>436.48460693365382</v>
      </c>
      <c r="J179" s="250">
        <f t="shared" si="98"/>
        <v>502.02954239916994</v>
      </c>
      <c r="K179" s="250">
        <f t="shared" si="98"/>
        <v>564.47764047261353</v>
      </c>
      <c r="L179" s="250">
        <f t="shared" si="98"/>
        <v>623.44715274702776</v>
      </c>
      <c r="M179" s="250">
        <f t="shared" si="98"/>
        <v>678.55978946964296</v>
      </c>
      <c r="N179" s="250">
        <f t="shared" si="98"/>
        <v>707.52419067659662</v>
      </c>
      <c r="O179" s="250">
        <f t="shared" si="98"/>
        <v>732.4339910486251</v>
      </c>
      <c r="P179" s="250">
        <f t="shared" si="98"/>
        <v>747.60693018697793</v>
      </c>
      <c r="Q179" s="250">
        <f t="shared" si="98"/>
        <v>758.10139217590722</v>
      </c>
      <c r="R179" s="250">
        <f t="shared" si="98"/>
        <v>763.72912125670496</v>
      </c>
      <c r="S179" s="250">
        <f t="shared" si="98"/>
        <v>764.3079228917486</v>
      </c>
      <c r="T179" s="250">
        <f t="shared" si="98"/>
        <v>759.66166374934369</v>
      </c>
      <c r="U179" s="250">
        <f t="shared" si="98"/>
        <v>749.6202712878594</v>
      </c>
      <c r="V179" s="250">
        <f t="shared" si="98"/>
        <v>734.01973294322033</v>
      </c>
      <c r="W179" s="250">
        <f t="shared" si="98"/>
        <v>712.70209492381264</v>
      </c>
      <c r="X179" s="250">
        <f t="shared" si="98"/>
        <v>703.96036871043657</v>
      </c>
      <c r="Y179" s="250">
        <f t="shared" si="98"/>
        <v>687.60974645910187</v>
      </c>
      <c r="Z179" s="250">
        <f t="shared" si="98"/>
        <v>650.48038398654035</v>
      </c>
      <c r="AA179" s="250">
        <f t="shared" si="98"/>
        <v>605.4928092840139</v>
      </c>
      <c r="AB179" s="250">
        <f t="shared" si="98"/>
        <v>552.65123778376892</v>
      </c>
      <c r="AC179" s="250">
        <f t="shared" si="98"/>
        <v>491.98818823598504</v>
      </c>
      <c r="AD179" s="250">
        <f t="shared" si="98"/>
        <v>423.56481635530076</v>
      </c>
      <c r="AE179" s="250">
        <f t="shared" si="98"/>
        <v>347.47124198094548</v>
      </c>
      <c r="AF179" s="250">
        <f t="shared" si="98"/>
        <v>263.82686980591552</v>
      </c>
      <c r="AG179" s="250">
        <f t="shared" si="98"/>
        <v>172.78070373029993</v>
      </c>
      <c r="AH179" s="217"/>
      <c r="AI179" s="368"/>
      <c r="AJ179" s="369"/>
      <c r="AL179" s="194"/>
      <c r="AM179" s="116"/>
      <c r="AN179" s="116"/>
      <c r="AO179" s="116"/>
      <c r="BD179" s="116"/>
      <c r="BE179" s="116"/>
      <c r="BF179" s="116"/>
      <c r="BG179" s="116"/>
      <c r="BH179" s="116"/>
      <c r="BI179" s="116"/>
      <c r="BJ179" s="116"/>
      <c r="BK179" s="116"/>
    </row>
    <row r="180" spans="1:63" outlineLevel="1">
      <c r="A180" s="4" t="s">
        <v>35</v>
      </c>
      <c r="C180" s="203">
        <f t="shared" ref="C180:R183" si="99">C175-$C175</f>
        <v>0</v>
      </c>
      <c r="D180" s="203">
        <f t="shared" ref="D180:AG180" si="100">D175-$C175</f>
        <v>0</v>
      </c>
      <c r="E180" s="203">
        <f t="shared" si="100"/>
        <v>0</v>
      </c>
      <c r="F180" s="203">
        <f t="shared" si="100"/>
        <v>0</v>
      </c>
      <c r="G180" s="203">
        <f t="shared" si="100"/>
        <v>0</v>
      </c>
      <c r="H180" s="203">
        <f t="shared" si="100"/>
        <v>0</v>
      </c>
      <c r="I180" s="203">
        <f t="shared" si="100"/>
        <v>0</v>
      </c>
      <c r="J180" s="203">
        <f t="shared" si="100"/>
        <v>0</v>
      </c>
      <c r="K180" s="203">
        <f t="shared" si="100"/>
        <v>0</v>
      </c>
      <c r="L180" s="203">
        <f t="shared" si="100"/>
        <v>0</v>
      </c>
      <c r="M180" s="203">
        <f t="shared" si="100"/>
        <v>0</v>
      </c>
      <c r="N180" s="203">
        <f t="shared" si="100"/>
        <v>0</v>
      </c>
      <c r="O180" s="203">
        <f t="shared" si="100"/>
        <v>0</v>
      </c>
      <c r="P180" s="203">
        <f t="shared" si="100"/>
        <v>0</v>
      </c>
      <c r="Q180" s="203">
        <f t="shared" si="100"/>
        <v>0</v>
      </c>
      <c r="R180" s="203">
        <f t="shared" si="100"/>
        <v>0</v>
      </c>
      <c r="S180" s="203">
        <f t="shared" si="100"/>
        <v>0</v>
      </c>
      <c r="T180" s="203">
        <f t="shared" si="100"/>
        <v>0</v>
      </c>
      <c r="U180" s="203">
        <f t="shared" si="100"/>
        <v>0</v>
      </c>
      <c r="V180" s="203">
        <f t="shared" si="100"/>
        <v>0</v>
      </c>
      <c r="W180" s="203">
        <f t="shared" si="100"/>
        <v>0</v>
      </c>
      <c r="X180" s="203">
        <f t="shared" si="100"/>
        <v>0</v>
      </c>
      <c r="Y180" s="203">
        <f t="shared" si="100"/>
        <v>0</v>
      </c>
      <c r="Z180" s="203">
        <f t="shared" si="100"/>
        <v>0</v>
      </c>
      <c r="AA180" s="203">
        <f t="shared" si="100"/>
        <v>0</v>
      </c>
      <c r="AB180" s="203">
        <f t="shared" si="100"/>
        <v>0</v>
      </c>
      <c r="AC180" s="203">
        <f t="shared" si="100"/>
        <v>0</v>
      </c>
      <c r="AD180" s="203">
        <f t="shared" si="100"/>
        <v>0</v>
      </c>
      <c r="AE180" s="203">
        <f t="shared" si="100"/>
        <v>0</v>
      </c>
      <c r="AF180" s="203">
        <f t="shared" si="100"/>
        <v>0</v>
      </c>
      <c r="AG180" s="203">
        <f t="shared" si="100"/>
        <v>0</v>
      </c>
      <c r="AH180" s="217"/>
      <c r="AI180" s="124"/>
      <c r="AJ180" s="185"/>
      <c r="AL180" s="100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03">
        <f t="shared" si="99"/>
        <v>0</v>
      </c>
      <c r="D181" s="203">
        <f t="shared" si="99"/>
        <v>26.975882553392637</v>
      </c>
      <c r="E181" s="203">
        <f t="shared" si="99"/>
        <v>50.531281174224148</v>
      </c>
      <c r="F181" s="203">
        <f t="shared" si="99"/>
        <v>70.493907708576728</v>
      </c>
      <c r="G181" s="203">
        <f t="shared" si="99"/>
        <v>86.72530599484827</v>
      </c>
      <c r="H181" s="203">
        <f t="shared" si="99"/>
        <v>99.120487191508516</v>
      </c>
      <c r="I181" s="203">
        <f t="shared" si="99"/>
        <v>107.60756750023899</v>
      </c>
      <c r="J181" s="203">
        <f t="shared" si="99"/>
        <v>112.14740827216457</v>
      </c>
      <c r="K181" s="203">
        <f t="shared" si="99"/>
        <v>112.73325848495091</v>
      </c>
      <c r="L181" s="203">
        <f t="shared" si="99"/>
        <v>109.39039957858535</v>
      </c>
      <c r="M181" s="203">
        <f t="shared" si="99"/>
        <v>102.17579263771205</v>
      </c>
      <c r="N181" s="203">
        <f t="shared" si="99"/>
        <v>82.913028861485543</v>
      </c>
      <c r="O181" s="203">
        <f t="shared" si="99"/>
        <v>61.052019242887525</v>
      </c>
      <c r="P181" s="203">
        <f t="shared" si="99"/>
        <v>34.916962078770382</v>
      </c>
      <c r="Q181" s="203">
        <f t="shared" si="99"/>
        <v>6.6939359609474991</v>
      </c>
      <c r="R181" s="203">
        <f t="shared" si="99"/>
        <v>-23.394538903131604</v>
      </c>
      <c r="S181" s="203">
        <f t="shared" ref="S181:AG181" si="101">S176-$C176</f>
        <v>-55.109312624047334</v>
      </c>
      <c r="T181" s="203">
        <f t="shared" si="101"/>
        <v>-88.195207129543121</v>
      </c>
      <c r="U181" s="203">
        <f t="shared" si="101"/>
        <v>-122.38161775728906</v>
      </c>
      <c r="V181" s="203">
        <f t="shared" si="101"/>
        <v>-157.38311488471828</v>
      </c>
      <c r="W181" s="203">
        <f t="shared" si="101"/>
        <v>-192.90004554002428</v>
      </c>
      <c r="X181" s="203">
        <f t="shared" si="101"/>
        <v>-225.32439563073444</v>
      </c>
      <c r="Y181" s="203">
        <f t="shared" si="101"/>
        <v>-258.60987596022306</v>
      </c>
      <c r="Z181" s="203">
        <f t="shared" si="101"/>
        <v>-294.13314129978335</v>
      </c>
      <c r="AA181" s="203">
        <f t="shared" si="101"/>
        <v>-329.11835645560416</v>
      </c>
      <c r="AB181" s="203">
        <f t="shared" si="101"/>
        <v>-363.09720954972431</v>
      </c>
      <c r="AC181" s="203">
        <f t="shared" si="101"/>
        <v>-395.5994763834866</v>
      </c>
      <c r="AD181" s="203">
        <f t="shared" si="101"/>
        <v>-426.15580929776911</v>
      </c>
      <c r="AE181" s="203">
        <f t="shared" si="101"/>
        <v>-454.30056602264347</v>
      </c>
      <c r="AF181" s="203">
        <f t="shared" si="101"/>
        <v>-479.57467761419804</v>
      </c>
      <c r="AG181" s="203">
        <f t="shared" si="101"/>
        <v>-501.52855458506411</v>
      </c>
      <c r="AH181" s="217"/>
      <c r="AI181" s="124"/>
      <c r="AJ181" s="185"/>
      <c r="AL181" s="100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160</v>
      </c>
      <c r="C182" s="203">
        <f t="shared" si="99"/>
        <v>0</v>
      </c>
      <c r="D182" s="203">
        <f t="shared" si="99"/>
        <v>3.7077572457331676</v>
      </c>
      <c r="E182" s="203">
        <f t="shared" si="99"/>
        <v>8.0226670441607784</v>
      </c>
      <c r="F182" s="203">
        <f t="shared" si="99"/>
        <v>12.930973627828564</v>
      </c>
      <c r="G182" s="203">
        <f t="shared" si="99"/>
        <v>18.412471249989654</v>
      </c>
      <c r="H182" s="203">
        <f t="shared" si="99"/>
        <v>24.440575983275448</v>
      </c>
      <c r="I182" s="203">
        <f t="shared" si="99"/>
        <v>30.982397041601899</v>
      </c>
      <c r="J182" s="203">
        <f t="shared" si="99"/>
        <v>37.998807627769935</v>
      </c>
      <c r="K182" s="203">
        <f t="shared" si="99"/>
        <v>45.444515309208384</v>
      </c>
      <c r="L182" s="203">
        <f t="shared" si="99"/>
        <v>53.268131924296597</v>
      </c>
      <c r="M182" s="203">
        <f t="shared" si="99"/>
        <v>61.412243021693001</v>
      </c>
      <c r="N182" s="203">
        <f t="shared" si="99"/>
        <v>68.839997402680737</v>
      </c>
      <c r="O182" s="203">
        <f t="shared" si="99"/>
        <v>76.30519823849346</v>
      </c>
      <c r="P182" s="203">
        <f t="shared" si="99"/>
        <v>83.460446404921996</v>
      </c>
      <c r="Q182" s="203">
        <f t="shared" si="99"/>
        <v>90.473748737513489</v>
      </c>
      <c r="R182" s="203">
        <f t="shared" si="99"/>
        <v>97.277028078650943</v>
      </c>
      <c r="S182" s="203">
        <f t="shared" ref="S182:AG182" si="102">S177-$C177</f>
        <v>103.79955818909451</v>
      </c>
      <c r="T182" s="203">
        <f t="shared" si="102"/>
        <v>109.96808612197746</v>
      </c>
      <c r="U182" s="203">
        <f t="shared" si="102"/>
        <v>115.70695456731028</v>
      </c>
      <c r="V182" s="203">
        <f t="shared" si="102"/>
        <v>120.93822415597812</v>
      </c>
      <c r="W182" s="203">
        <f t="shared" si="102"/>
        <v>125.5817957123481</v>
      </c>
      <c r="X182" s="203">
        <f t="shared" si="102"/>
        <v>131.11961076020324</v>
      </c>
      <c r="Y182" s="203">
        <f t="shared" si="102"/>
        <v>135.91088994414258</v>
      </c>
      <c r="Z182" s="203">
        <f t="shared" si="102"/>
        <v>138.64033392201551</v>
      </c>
      <c r="AA182" s="203">
        <f t="shared" si="102"/>
        <v>140.30837492760327</v>
      </c>
      <c r="AB182" s="203">
        <f t="shared" si="102"/>
        <v>140.82024491357538</v>
      </c>
      <c r="AC182" s="203">
        <f t="shared" si="102"/>
        <v>140.08421540374047</v>
      </c>
      <c r="AD182" s="203">
        <f t="shared" si="102"/>
        <v>138.01220530812913</v>
      </c>
      <c r="AE182" s="203">
        <f t="shared" si="102"/>
        <v>134.52039608822594</v>
      </c>
      <c r="AF182" s="203">
        <f t="shared" si="102"/>
        <v>129.5298540955001</v>
      </c>
      <c r="AG182" s="203">
        <f t="shared" si="102"/>
        <v>122.96715990813333</v>
      </c>
      <c r="AH182" s="217"/>
      <c r="AI182" s="124"/>
      <c r="AJ182" s="185"/>
      <c r="AL182" s="100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1040</v>
      </c>
      <c r="C183" s="203">
        <f t="shared" si="99"/>
        <v>0</v>
      </c>
      <c r="D183" s="203">
        <f t="shared" si="99"/>
        <v>45.229472086584337</v>
      </c>
      <c r="E183" s="203">
        <f t="shared" si="99"/>
        <v>92.539648995895107</v>
      </c>
      <c r="F183" s="203">
        <f t="shared" si="99"/>
        <v>141.71366531441936</v>
      </c>
      <c r="G183" s="203">
        <f t="shared" si="99"/>
        <v>192.51084956104324</v>
      </c>
      <c r="H183" s="203">
        <f t="shared" si="99"/>
        <v>244.66699729488033</v>
      </c>
      <c r="I183" s="203">
        <f t="shared" si="99"/>
        <v>297.89464239181262</v>
      </c>
      <c r="J183" s="203">
        <f t="shared" si="99"/>
        <v>351.88332649923524</v>
      </c>
      <c r="K183" s="203">
        <f t="shared" si="99"/>
        <v>406.29986667845395</v>
      </c>
      <c r="L183" s="203">
        <f t="shared" si="99"/>
        <v>460.78862124414565</v>
      </c>
      <c r="M183" s="203">
        <f t="shared" si="99"/>
        <v>514.97175381023771</v>
      </c>
      <c r="N183" s="203">
        <f t="shared" si="99"/>
        <v>555.77116441243015</v>
      </c>
      <c r="O183" s="203">
        <f t="shared" si="99"/>
        <v>595.07677356724389</v>
      </c>
      <c r="P183" s="203">
        <f t="shared" si="99"/>
        <v>629.2295217032854</v>
      </c>
      <c r="Q183" s="203">
        <f t="shared" si="99"/>
        <v>660.93370747744621</v>
      </c>
      <c r="R183" s="203">
        <f t="shared" si="99"/>
        <v>689.84663208118559</v>
      </c>
      <c r="S183" s="203">
        <f t="shared" ref="S183:AG183" si="103">S178-$C178</f>
        <v>715.61767732670137</v>
      </c>
      <c r="T183" s="203">
        <f t="shared" si="103"/>
        <v>737.88878475690944</v>
      </c>
      <c r="U183" s="203">
        <f t="shared" si="103"/>
        <v>756.2949344778383</v>
      </c>
      <c r="V183" s="203">
        <f t="shared" si="103"/>
        <v>770.46462367196068</v>
      </c>
      <c r="W183" s="203">
        <f t="shared" si="103"/>
        <v>780.02034475148889</v>
      </c>
      <c r="X183" s="203">
        <f t="shared" si="103"/>
        <v>798.16515358096785</v>
      </c>
      <c r="Y183" s="203">
        <f t="shared" si="103"/>
        <v>810.30873247518252</v>
      </c>
      <c r="Z183" s="203">
        <f t="shared" si="103"/>
        <v>805.97319136430838</v>
      </c>
      <c r="AA183" s="203">
        <f t="shared" si="103"/>
        <v>794.30279081201525</v>
      </c>
      <c r="AB183" s="203">
        <f t="shared" si="103"/>
        <v>774.92820241991808</v>
      </c>
      <c r="AC183" s="203">
        <f t="shared" si="103"/>
        <v>747.50344921573151</v>
      </c>
      <c r="AD183" s="203">
        <f t="shared" si="103"/>
        <v>711.70842034494126</v>
      </c>
      <c r="AE183" s="203">
        <f t="shared" si="103"/>
        <v>667.25141191536341</v>
      </c>
      <c r="AF183" s="203">
        <f t="shared" si="103"/>
        <v>613.87169332461394</v>
      </c>
      <c r="AG183" s="203">
        <f t="shared" si="103"/>
        <v>551.34209840723065</v>
      </c>
      <c r="AH183" s="217"/>
      <c r="AI183" s="124"/>
      <c r="AJ183" s="185"/>
      <c r="AL183" s="100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C184" s="10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J184" s="185"/>
      <c r="AM184" s="115"/>
      <c r="AN184" s="115"/>
    </row>
    <row r="185" spans="1:63" s="174" customFormat="1" ht="15.5" thickBot="1">
      <c r="A185" s="174" t="s">
        <v>432</v>
      </c>
      <c r="B185" s="189"/>
      <c r="C185" s="197">
        <f>C186</f>
        <v>0</v>
      </c>
      <c r="D185" s="197">
        <f t="shared" ref="D185:AG185" si="104">D186</f>
        <v>2.2181718165435932E-2</v>
      </c>
      <c r="E185" s="197">
        <f t="shared" si="104"/>
        <v>4.4363436330871864E-2</v>
      </c>
      <c r="F185" s="197">
        <f t="shared" si="104"/>
        <v>6.6545154496307796E-2</v>
      </c>
      <c r="G185" s="197">
        <f t="shared" si="104"/>
        <v>8.8726872661743728E-2</v>
      </c>
      <c r="H185" s="197">
        <f t="shared" si="104"/>
        <v>0.11090859082717966</v>
      </c>
      <c r="I185" s="197">
        <f t="shared" si="104"/>
        <v>0.13309030899261559</v>
      </c>
      <c r="J185" s="197">
        <f t="shared" si="104"/>
        <v>0.15527202715805152</v>
      </c>
      <c r="K185" s="197">
        <f t="shared" si="104"/>
        <v>0.17745374532348746</v>
      </c>
      <c r="L185" s="197">
        <f t="shared" si="104"/>
        <v>0.19963546348892339</v>
      </c>
      <c r="M185" s="197">
        <f t="shared" si="104"/>
        <v>0.22181718165435932</v>
      </c>
      <c r="N185" s="197">
        <f t="shared" si="104"/>
        <v>0.23671946463689028</v>
      </c>
      <c r="O185" s="197">
        <f t="shared" si="104"/>
        <v>0.25162174761942124</v>
      </c>
      <c r="P185" s="197">
        <f t="shared" si="104"/>
        <v>0.26652403060195223</v>
      </c>
      <c r="Q185" s="197">
        <f t="shared" si="104"/>
        <v>0.28142631358448317</v>
      </c>
      <c r="R185" s="197">
        <f t="shared" si="104"/>
        <v>0.29632859656701416</v>
      </c>
      <c r="S185" s="197">
        <f t="shared" si="104"/>
        <v>0.31123087954954509</v>
      </c>
      <c r="T185" s="197">
        <f t="shared" si="104"/>
        <v>0.32613316253207608</v>
      </c>
      <c r="U185" s="197">
        <f t="shared" si="104"/>
        <v>0.34103544551460707</v>
      </c>
      <c r="V185" s="197">
        <f t="shared" si="104"/>
        <v>0.35593772849713801</v>
      </c>
      <c r="W185" s="197">
        <f t="shared" si="104"/>
        <v>0.370840011479669</v>
      </c>
      <c r="X185" s="197">
        <f t="shared" si="104"/>
        <v>0.3937560103317021</v>
      </c>
      <c r="Y185" s="197">
        <f t="shared" si="104"/>
        <v>0.4166720091837352</v>
      </c>
      <c r="Z185" s="197">
        <f t="shared" si="104"/>
        <v>0.43958800803576825</v>
      </c>
      <c r="AA185" s="197">
        <f t="shared" si="104"/>
        <v>0.46250400688780136</v>
      </c>
      <c r="AB185" s="197">
        <f t="shared" si="104"/>
        <v>0.48542000573983446</v>
      </c>
      <c r="AC185" s="197">
        <f t="shared" si="104"/>
        <v>0.50833600459186756</v>
      </c>
      <c r="AD185" s="197">
        <f t="shared" si="104"/>
        <v>0.53125200344390067</v>
      </c>
      <c r="AE185" s="197">
        <f t="shared" si="104"/>
        <v>0.55416800229593377</v>
      </c>
      <c r="AF185" s="197">
        <f t="shared" si="104"/>
        <v>0.57708400114796687</v>
      </c>
      <c r="AG185" s="197">
        <f t="shared" si="104"/>
        <v>0.6</v>
      </c>
      <c r="AJ185" s="204" t="s">
        <v>456</v>
      </c>
      <c r="AL185" s="191"/>
      <c r="AM185" s="198"/>
      <c r="AN185" s="198"/>
      <c r="AO185" s="198"/>
    </row>
    <row r="186" spans="1:63" ht="15.5" outlineLevel="1" thickTop="1">
      <c r="A186" t="s">
        <v>433</v>
      </c>
      <c r="B186" s="50" t="s">
        <v>126</v>
      </c>
      <c r="C186" s="558">
        <f>'Ethylene Recycling HC'!C153</f>
        <v>0</v>
      </c>
      <c r="D186" s="558">
        <f>'Ethylene Recycling HC'!D153</f>
        <v>2.2181718165435932E-2</v>
      </c>
      <c r="E186" s="558">
        <f>'Ethylene Recycling HC'!E153</f>
        <v>4.4363436330871864E-2</v>
      </c>
      <c r="F186" s="558">
        <f>'Ethylene Recycling HC'!F153</f>
        <v>6.6545154496307796E-2</v>
      </c>
      <c r="G186" s="558">
        <f>'Ethylene Recycling HC'!G153</f>
        <v>8.8726872661743728E-2</v>
      </c>
      <c r="H186" s="558">
        <f>'Ethylene Recycling HC'!H153</f>
        <v>0.11090859082717966</v>
      </c>
      <c r="I186" s="558">
        <f>'Ethylene Recycling HC'!I153</f>
        <v>0.13309030899261559</v>
      </c>
      <c r="J186" s="558">
        <f>'Ethylene Recycling HC'!J153</f>
        <v>0.15527202715805152</v>
      </c>
      <c r="K186" s="558">
        <f>'Ethylene Recycling HC'!K153</f>
        <v>0.17745374532348746</v>
      </c>
      <c r="L186" s="558">
        <f>'Ethylene Recycling HC'!L153</f>
        <v>0.19963546348892339</v>
      </c>
      <c r="M186" s="558">
        <f>'Ethylene Recycling HC'!M153</f>
        <v>0.22181718165435932</v>
      </c>
      <c r="N186" s="558">
        <f>'Ethylene Recycling HC'!N153</f>
        <v>0.23671946463689028</v>
      </c>
      <c r="O186" s="558">
        <f>'Ethylene Recycling HC'!O153</f>
        <v>0.25162174761942124</v>
      </c>
      <c r="P186" s="558">
        <f>'Ethylene Recycling HC'!P153</f>
        <v>0.26652403060195223</v>
      </c>
      <c r="Q186" s="558">
        <f>'Ethylene Recycling HC'!Q153</f>
        <v>0.28142631358448317</v>
      </c>
      <c r="R186" s="558">
        <f>'Ethylene Recycling HC'!R153</f>
        <v>0.29632859656701416</v>
      </c>
      <c r="S186" s="558">
        <f>'Ethylene Recycling HC'!S153</f>
        <v>0.31123087954954509</v>
      </c>
      <c r="T186" s="558">
        <f>'Ethylene Recycling HC'!T153</f>
        <v>0.32613316253207608</v>
      </c>
      <c r="U186" s="558">
        <f>'Ethylene Recycling HC'!U153</f>
        <v>0.34103544551460707</v>
      </c>
      <c r="V186" s="558">
        <f>'Ethylene Recycling HC'!V153</f>
        <v>0.35593772849713801</v>
      </c>
      <c r="W186" s="558">
        <f>'Ethylene Recycling HC'!W153</f>
        <v>0.370840011479669</v>
      </c>
      <c r="X186" s="558">
        <f>'Ethylene Recycling HC'!X153</f>
        <v>0.3937560103317021</v>
      </c>
      <c r="Y186" s="558">
        <f>'Ethylene Recycling HC'!Y153</f>
        <v>0.4166720091837352</v>
      </c>
      <c r="Z186" s="558">
        <f>'Ethylene Recycling HC'!Z153</f>
        <v>0.43958800803576825</v>
      </c>
      <c r="AA186" s="558">
        <f>'Ethylene Recycling HC'!AA153</f>
        <v>0.46250400688780136</v>
      </c>
      <c r="AB186" s="558">
        <f>'Ethylene Recycling HC'!AB153</f>
        <v>0.48542000573983446</v>
      </c>
      <c r="AC186" s="558">
        <f>'Ethylene Recycling HC'!AC153</f>
        <v>0.50833600459186756</v>
      </c>
      <c r="AD186" s="558">
        <f>'Ethylene Recycling HC'!AD153</f>
        <v>0.53125200344390067</v>
      </c>
      <c r="AE186" s="558">
        <f>'Ethylene Recycling HC'!AE153</f>
        <v>0.55416800229593377</v>
      </c>
      <c r="AF186" s="558">
        <f>'Ethylene Recycling HC'!AF153</f>
        <v>0.57708400114796687</v>
      </c>
      <c r="AG186" s="558">
        <f>'Ethylene Recycling HC'!AG153</f>
        <v>0.6</v>
      </c>
      <c r="AJ186" s="185" t="s">
        <v>1469</v>
      </c>
    </row>
    <row r="187" spans="1:63" outlineLevel="1">
      <c r="A187" t="s">
        <v>434</v>
      </c>
      <c r="B187" s="50" t="s">
        <v>126</v>
      </c>
      <c r="C187" s="188">
        <v>0.05</v>
      </c>
      <c r="D187" s="102">
        <f t="shared" ref="D187:AF187" si="105">C187-($C$187-$AG$187)/($AG$1-$C$1)</f>
        <v>5.8333333333333334E-2</v>
      </c>
      <c r="E187" s="102">
        <f t="shared" si="105"/>
        <v>6.6666666666666666E-2</v>
      </c>
      <c r="F187" s="102">
        <f t="shared" si="105"/>
        <v>7.4999999999999997E-2</v>
      </c>
      <c r="G187" s="102">
        <f t="shared" si="105"/>
        <v>8.3333333333333329E-2</v>
      </c>
      <c r="H187" s="102">
        <f t="shared" si="105"/>
        <v>9.166666666666666E-2</v>
      </c>
      <c r="I187" s="102">
        <f t="shared" si="105"/>
        <v>9.9999999999999992E-2</v>
      </c>
      <c r="J187" s="102">
        <f t="shared" si="105"/>
        <v>0.10833333333333332</v>
      </c>
      <c r="K187" s="102">
        <f t="shared" si="105"/>
        <v>0.11666666666666665</v>
      </c>
      <c r="L187" s="102">
        <f t="shared" si="105"/>
        <v>0.12499999999999999</v>
      </c>
      <c r="M187" s="102">
        <f t="shared" si="105"/>
        <v>0.13333333333333333</v>
      </c>
      <c r="N187" s="102">
        <f t="shared" si="105"/>
        <v>0.14166666666666666</v>
      </c>
      <c r="O187" s="102">
        <f t="shared" si="105"/>
        <v>0.15</v>
      </c>
      <c r="P187" s="102">
        <f t="shared" si="105"/>
        <v>0.15833333333333333</v>
      </c>
      <c r="Q187" s="102">
        <f t="shared" si="105"/>
        <v>0.16666666666666666</v>
      </c>
      <c r="R187" s="102">
        <f t="shared" si="105"/>
        <v>0.17499999999999999</v>
      </c>
      <c r="S187" s="102">
        <f t="shared" si="105"/>
        <v>0.18333333333333332</v>
      </c>
      <c r="T187" s="102">
        <f t="shared" si="105"/>
        <v>0.19166666666666665</v>
      </c>
      <c r="U187" s="102">
        <f t="shared" si="105"/>
        <v>0.19999999999999998</v>
      </c>
      <c r="V187" s="102">
        <f t="shared" si="105"/>
        <v>0.20833333333333331</v>
      </c>
      <c r="W187" s="102">
        <f t="shared" si="105"/>
        <v>0.21666666666666665</v>
      </c>
      <c r="X187" s="102">
        <f t="shared" si="105"/>
        <v>0.22499999999999998</v>
      </c>
      <c r="Y187" s="102">
        <f t="shared" si="105"/>
        <v>0.23333333333333331</v>
      </c>
      <c r="Z187" s="102">
        <f t="shared" si="105"/>
        <v>0.24166666666666664</v>
      </c>
      <c r="AA187" s="102">
        <f t="shared" si="105"/>
        <v>0.24999999999999997</v>
      </c>
      <c r="AB187" s="102">
        <f t="shared" si="105"/>
        <v>0.2583333333333333</v>
      </c>
      <c r="AC187" s="102">
        <f t="shared" si="105"/>
        <v>0.26666666666666666</v>
      </c>
      <c r="AD187" s="102">
        <f t="shared" si="105"/>
        <v>0.27500000000000002</v>
      </c>
      <c r="AE187" s="102">
        <f t="shared" si="105"/>
        <v>0.28333333333333338</v>
      </c>
      <c r="AF187" s="102">
        <f t="shared" si="105"/>
        <v>0.29166666666666674</v>
      </c>
      <c r="AG187" s="188">
        <v>0.3</v>
      </c>
      <c r="AI187" s="126"/>
      <c r="AJ187" s="185" t="s">
        <v>568</v>
      </c>
      <c r="AM187" s="115"/>
      <c r="AN187" s="115"/>
    </row>
    <row r="188" spans="1:63" ht="14.5" customHeight="1" outlineLevel="1">
      <c r="A188" t="s">
        <v>435</v>
      </c>
      <c r="B188" s="156" t="s">
        <v>126</v>
      </c>
      <c r="C188" s="102">
        <f>1-C187</f>
        <v>0.95</v>
      </c>
      <c r="D188" s="102">
        <f t="shared" ref="D188:AG188" si="106">1-D187</f>
        <v>0.94166666666666665</v>
      </c>
      <c r="E188" s="102">
        <f t="shared" si="106"/>
        <v>0.93333333333333335</v>
      </c>
      <c r="F188" s="102">
        <f t="shared" si="106"/>
        <v>0.92500000000000004</v>
      </c>
      <c r="G188" s="102">
        <f t="shared" si="106"/>
        <v>0.91666666666666663</v>
      </c>
      <c r="H188" s="102">
        <f t="shared" si="106"/>
        <v>0.90833333333333333</v>
      </c>
      <c r="I188" s="102">
        <f t="shared" si="106"/>
        <v>0.9</v>
      </c>
      <c r="J188" s="102">
        <f t="shared" si="106"/>
        <v>0.89166666666666672</v>
      </c>
      <c r="K188" s="102">
        <f t="shared" si="106"/>
        <v>0.8833333333333333</v>
      </c>
      <c r="L188" s="102">
        <f t="shared" si="106"/>
        <v>0.875</v>
      </c>
      <c r="M188" s="102">
        <f t="shared" si="106"/>
        <v>0.8666666666666667</v>
      </c>
      <c r="N188" s="102">
        <f t="shared" si="106"/>
        <v>0.85833333333333339</v>
      </c>
      <c r="O188" s="102">
        <f t="shared" si="106"/>
        <v>0.85</v>
      </c>
      <c r="P188" s="102">
        <f t="shared" si="106"/>
        <v>0.84166666666666667</v>
      </c>
      <c r="Q188" s="102">
        <f t="shared" si="106"/>
        <v>0.83333333333333337</v>
      </c>
      <c r="R188" s="102">
        <f t="shared" si="106"/>
        <v>0.82499999999999996</v>
      </c>
      <c r="S188" s="102">
        <f t="shared" si="106"/>
        <v>0.81666666666666665</v>
      </c>
      <c r="T188" s="102">
        <f t="shared" si="106"/>
        <v>0.80833333333333335</v>
      </c>
      <c r="U188" s="102">
        <f t="shared" si="106"/>
        <v>0.8</v>
      </c>
      <c r="V188" s="102">
        <f t="shared" si="106"/>
        <v>0.79166666666666674</v>
      </c>
      <c r="W188" s="102">
        <f t="shared" si="106"/>
        <v>0.78333333333333333</v>
      </c>
      <c r="X188" s="102">
        <f t="shared" si="106"/>
        <v>0.77500000000000002</v>
      </c>
      <c r="Y188" s="102">
        <f t="shared" si="106"/>
        <v>0.76666666666666672</v>
      </c>
      <c r="Z188" s="102">
        <f t="shared" si="106"/>
        <v>0.7583333333333333</v>
      </c>
      <c r="AA188" s="102">
        <f t="shared" si="106"/>
        <v>0.75</v>
      </c>
      <c r="AB188" s="102">
        <f t="shared" si="106"/>
        <v>0.7416666666666667</v>
      </c>
      <c r="AC188" s="102">
        <f t="shared" si="106"/>
        <v>0.73333333333333339</v>
      </c>
      <c r="AD188" s="102">
        <f t="shared" si="106"/>
        <v>0.72499999999999998</v>
      </c>
      <c r="AE188" s="102">
        <f t="shared" si="106"/>
        <v>0.71666666666666656</v>
      </c>
      <c r="AF188" s="102">
        <f t="shared" si="106"/>
        <v>0.70833333333333326</v>
      </c>
      <c r="AG188" s="102">
        <f t="shared" si="106"/>
        <v>0.7</v>
      </c>
      <c r="AI188" s="126" t="s">
        <v>289</v>
      </c>
      <c r="AJ188" s="185"/>
    </row>
    <row r="189" spans="1:63" outlineLevel="1">
      <c r="A189" t="s">
        <v>436</v>
      </c>
      <c r="B189" s="50" t="s">
        <v>126</v>
      </c>
      <c r="C189" s="102">
        <f>C186*C187</f>
        <v>0</v>
      </c>
      <c r="D189" s="102">
        <f t="shared" ref="D189:AG189" si="107">D186*D187</f>
        <v>1.2939335596504294E-3</v>
      </c>
      <c r="E189" s="102">
        <f t="shared" si="107"/>
        <v>2.9575624220581241E-3</v>
      </c>
      <c r="F189" s="102">
        <f t="shared" si="107"/>
        <v>4.9908865872230843E-3</v>
      </c>
      <c r="G189" s="102">
        <f t="shared" si="107"/>
        <v>7.3939060551453106E-3</v>
      </c>
      <c r="H189" s="102">
        <f t="shared" si="107"/>
        <v>1.0166620825824802E-2</v>
      </c>
      <c r="I189" s="102">
        <f t="shared" si="107"/>
        <v>1.3309030899261559E-2</v>
      </c>
      <c r="J189" s="102">
        <f t="shared" si="107"/>
        <v>1.6821136275455579E-2</v>
      </c>
      <c r="K189" s="102">
        <f t="shared" si="107"/>
        <v>2.0702936954406868E-2</v>
      </c>
      <c r="L189" s="102">
        <f t="shared" si="107"/>
        <v>2.495443293611542E-2</v>
      </c>
      <c r="M189" s="102">
        <f t="shared" si="107"/>
        <v>2.9575624220581243E-2</v>
      </c>
      <c r="N189" s="102">
        <f t="shared" si="107"/>
        <v>3.3535257490226122E-2</v>
      </c>
      <c r="O189" s="102">
        <f t="shared" si="107"/>
        <v>3.7743262142913188E-2</v>
      </c>
      <c r="P189" s="102">
        <f t="shared" si="107"/>
        <v>4.2199638178642432E-2</v>
      </c>
      <c r="Q189" s="102">
        <f t="shared" si="107"/>
        <v>4.6904385597413861E-2</v>
      </c>
      <c r="R189" s="102">
        <f t="shared" si="107"/>
        <v>5.1857504399227476E-2</v>
      </c>
      <c r="S189" s="102">
        <f t="shared" si="107"/>
        <v>5.7058994584083263E-2</v>
      </c>
      <c r="T189" s="102">
        <f t="shared" si="107"/>
        <v>6.2508856151981249E-2</v>
      </c>
      <c r="U189" s="102">
        <f t="shared" si="107"/>
        <v>6.8207089102921406E-2</v>
      </c>
      <c r="V189" s="102">
        <f t="shared" si="107"/>
        <v>7.4153693436903742E-2</v>
      </c>
      <c r="W189" s="102">
        <f t="shared" si="107"/>
        <v>8.034866915392827E-2</v>
      </c>
      <c r="X189" s="102">
        <f t="shared" si="107"/>
        <v>8.8595102324632968E-2</v>
      </c>
      <c r="Y189" s="102">
        <f t="shared" si="107"/>
        <v>9.7223468809538208E-2</v>
      </c>
      <c r="Z189" s="102">
        <f t="shared" si="107"/>
        <v>0.10623376860864399</v>
      </c>
      <c r="AA189" s="102">
        <f t="shared" si="107"/>
        <v>0.11562600172195032</v>
      </c>
      <c r="AB189" s="102">
        <f t="shared" si="107"/>
        <v>0.12540016814945723</v>
      </c>
      <c r="AC189" s="102">
        <f t="shared" si="107"/>
        <v>0.13555626789116468</v>
      </c>
      <c r="AD189" s="102">
        <f t="shared" si="107"/>
        <v>0.14609430094707271</v>
      </c>
      <c r="AE189" s="102">
        <f t="shared" si="107"/>
        <v>0.15701426731718127</v>
      </c>
      <c r="AF189" s="102">
        <f t="shared" si="107"/>
        <v>0.16831616700149038</v>
      </c>
      <c r="AG189" s="102">
        <f t="shared" si="107"/>
        <v>0.18</v>
      </c>
      <c r="AI189" s="125"/>
      <c r="AJ189" s="185"/>
      <c r="BD189" s="177"/>
      <c r="BE189" s="177"/>
    </row>
    <row r="190" spans="1:63" outlineLevel="1">
      <c r="A190" t="s">
        <v>437</v>
      </c>
      <c r="B190" s="50" t="s">
        <v>126</v>
      </c>
      <c r="C190" s="102">
        <f>C186*C188</f>
        <v>0</v>
      </c>
      <c r="D190" s="102">
        <f t="shared" ref="D190:AG190" si="108">D186*D188</f>
        <v>2.0887784605785501E-2</v>
      </c>
      <c r="E190" s="102">
        <f t="shared" si="108"/>
        <v>4.1405873908813742E-2</v>
      </c>
      <c r="F190" s="102">
        <f t="shared" si="108"/>
        <v>6.1554267909084713E-2</v>
      </c>
      <c r="G190" s="102">
        <f t="shared" si="108"/>
        <v>8.1332966606598417E-2</v>
      </c>
      <c r="H190" s="102">
        <f t="shared" si="108"/>
        <v>0.10074197000135486</v>
      </c>
      <c r="I190" s="102">
        <f t="shared" si="108"/>
        <v>0.11978127809335404</v>
      </c>
      <c r="J190" s="102">
        <f t="shared" si="108"/>
        <v>0.13845089088259596</v>
      </c>
      <c r="K190" s="102">
        <f t="shared" si="108"/>
        <v>0.15675080836908059</v>
      </c>
      <c r="L190" s="102">
        <f t="shared" si="108"/>
        <v>0.17468103055280795</v>
      </c>
      <c r="M190" s="102">
        <f t="shared" si="108"/>
        <v>0.19224155743377808</v>
      </c>
      <c r="N190" s="102">
        <f t="shared" si="108"/>
        <v>0.20318420714666416</v>
      </c>
      <c r="O190" s="102">
        <f t="shared" si="108"/>
        <v>0.21387848547650806</v>
      </c>
      <c r="P190" s="102">
        <f t="shared" si="108"/>
        <v>0.22432439242330979</v>
      </c>
      <c r="Q190" s="102">
        <f t="shared" si="108"/>
        <v>0.23452192798706931</v>
      </c>
      <c r="R190" s="102">
        <f t="shared" si="108"/>
        <v>0.24447109216778667</v>
      </c>
      <c r="S190" s="102">
        <f t="shared" si="108"/>
        <v>0.25417188496546184</v>
      </c>
      <c r="T190" s="102">
        <f t="shared" si="108"/>
        <v>0.26362430638009482</v>
      </c>
      <c r="U190" s="102">
        <f t="shared" si="108"/>
        <v>0.27282835641168568</v>
      </c>
      <c r="V190" s="102">
        <f t="shared" si="108"/>
        <v>0.28178403506023431</v>
      </c>
      <c r="W190" s="102">
        <f t="shared" si="108"/>
        <v>0.2904913423257407</v>
      </c>
      <c r="X190" s="102">
        <f t="shared" si="108"/>
        <v>0.30516090800706913</v>
      </c>
      <c r="Y190" s="102">
        <f t="shared" si="108"/>
        <v>0.31944854037419701</v>
      </c>
      <c r="Z190" s="102">
        <f t="shared" si="108"/>
        <v>0.33335423942712422</v>
      </c>
      <c r="AA190" s="102">
        <f t="shared" si="108"/>
        <v>0.34687800516585099</v>
      </c>
      <c r="AB190" s="102">
        <f t="shared" si="108"/>
        <v>0.36001983759037726</v>
      </c>
      <c r="AC190" s="102">
        <f t="shared" si="108"/>
        <v>0.37277973670070291</v>
      </c>
      <c r="AD190" s="102">
        <f t="shared" si="108"/>
        <v>0.38515770249682796</v>
      </c>
      <c r="AE190" s="102">
        <f t="shared" si="108"/>
        <v>0.3971537349787525</v>
      </c>
      <c r="AF190" s="102">
        <f t="shared" si="108"/>
        <v>0.40876783414647649</v>
      </c>
      <c r="AG190" s="102">
        <f t="shared" si="108"/>
        <v>0.42</v>
      </c>
      <c r="AI190" s="125"/>
      <c r="AJ190" s="185"/>
      <c r="BD190" s="177"/>
      <c r="BE190" s="177"/>
    </row>
    <row r="191" spans="1:63" outlineLevel="1">
      <c r="C191" s="10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J191" s="185"/>
    </row>
    <row r="192" spans="1:63" outlineLevel="1">
      <c r="A192" t="s">
        <v>422</v>
      </c>
      <c r="B192" s="50" t="s">
        <v>126</v>
      </c>
      <c r="C192" s="188">
        <v>0.5</v>
      </c>
      <c r="D192" s="102">
        <f>C192</f>
        <v>0.5</v>
      </c>
      <c r="E192" s="102">
        <f t="shared" ref="E192:AG192" si="109">D192</f>
        <v>0.5</v>
      </c>
      <c r="F192" s="102">
        <f t="shared" si="109"/>
        <v>0.5</v>
      </c>
      <c r="G192" s="102">
        <f t="shared" si="109"/>
        <v>0.5</v>
      </c>
      <c r="H192" s="102">
        <f t="shared" si="109"/>
        <v>0.5</v>
      </c>
      <c r="I192" s="102">
        <f t="shared" si="109"/>
        <v>0.5</v>
      </c>
      <c r="J192" s="102">
        <f t="shared" si="109"/>
        <v>0.5</v>
      </c>
      <c r="K192" s="102">
        <f t="shared" si="109"/>
        <v>0.5</v>
      </c>
      <c r="L192" s="102">
        <f t="shared" si="109"/>
        <v>0.5</v>
      </c>
      <c r="M192" s="102">
        <f t="shared" si="109"/>
        <v>0.5</v>
      </c>
      <c r="N192" s="102">
        <f t="shared" si="109"/>
        <v>0.5</v>
      </c>
      <c r="O192" s="102">
        <f t="shared" si="109"/>
        <v>0.5</v>
      </c>
      <c r="P192" s="102">
        <f t="shared" si="109"/>
        <v>0.5</v>
      </c>
      <c r="Q192" s="102">
        <f t="shared" si="109"/>
        <v>0.5</v>
      </c>
      <c r="R192" s="102">
        <f t="shared" si="109"/>
        <v>0.5</v>
      </c>
      <c r="S192" s="102">
        <f t="shared" si="109"/>
        <v>0.5</v>
      </c>
      <c r="T192" s="102">
        <f t="shared" si="109"/>
        <v>0.5</v>
      </c>
      <c r="U192" s="102">
        <f t="shared" si="109"/>
        <v>0.5</v>
      </c>
      <c r="V192" s="102">
        <f t="shared" si="109"/>
        <v>0.5</v>
      </c>
      <c r="W192" s="102">
        <f t="shared" si="109"/>
        <v>0.5</v>
      </c>
      <c r="X192" s="102">
        <f t="shared" si="109"/>
        <v>0.5</v>
      </c>
      <c r="Y192" s="102">
        <f t="shared" si="109"/>
        <v>0.5</v>
      </c>
      <c r="Z192" s="102">
        <f t="shared" si="109"/>
        <v>0.5</v>
      </c>
      <c r="AA192" s="102">
        <f t="shared" si="109"/>
        <v>0.5</v>
      </c>
      <c r="AB192" s="102">
        <f t="shared" si="109"/>
        <v>0.5</v>
      </c>
      <c r="AC192" s="102">
        <f t="shared" si="109"/>
        <v>0.5</v>
      </c>
      <c r="AD192" s="102">
        <f t="shared" si="109"/>
        <v>0.5</v>
      </c>
      <c r="AE192" s="102">
        <f t="shared" si="109"/>
        <v>0.5</v>
      </c>
      <c r="AF192" s="102">
        <f t="shared" si="109"/>
        <v>0.5</v>
      </c>
      <c r="AG192" s="102">
        <f t="shared" si="109"/>
        <v>0.5</v>
      </c>
      <c r="AI192" s="50"/>
      <c r="AJ192" s="185" t="s">
        <v>445</v>
      </c>
    </row>
    <row r="193" spans="1:63" outlineLevel="1">
      <c r="A193" t="s">
        <v>430</v>
      </c>
      <c r="B193" s="50" t="s">
        <v>126</v>
      </c>
      <c r="C193" s="113">
        <f>1-C192</f>
        <v>0.5</v>
      </c>
      <c r="D193" s="102">
        <f t="shared" ref="D193:AG193" si="110">C193</f>
        <v>0.5</v>
      </c>
      <c r="E193" s="102">
        <f t="shared" si="110"/>
        <v>0.5</v>
      </c>
      <c r="F193" s="102">
        <f t="shared" si="110"/>
        <v>0.5</v>
      </c>
      <c r="G193" s="102">
        <f t="shared" si="110"/>
        <v>0.5</v>
      </c>
      <c r="H193" s="102">
        <f t="shared" si="110"/>
        <v>0.5</v>
      </c>
      <c r="I193" s="102">
        <f t="shared" si="110"/>
        <v>0.5</v>
      </c>
      <c r="J193" s="102">
        <f t="shared" si="110"/>
        <v>0.5</v>
      </c>
      <c r="K193" s="102">
        <f t="shared" si="110"/>
        <v>0.5</v>
      </c>
      <c r="L193" s="102">
        <f t="shared" si="110"/>
        <v>0.5</v>
      </c>
      <c r="M193" s="102">
        <f t="shared" si="110"/>
        <v>0.5</v>
      </c>
      <c r="N193" s="102">
        <f t="shared" si="110"/>
        <v>0.5</v>
      </c>
      <c r="O193" s="102">
        <f t="shared" si="110"/>
        <v>0.5</v>
      </c>
      <c r="P193" s="102">
        <f t="shared" si="110"/>
        <v>0.5</v>
      </c>
      <c r="Q193" s="102">
        <f t="shared" si="110"/>
        <v>0.5</v>
      </c>
      <c r="R193" s="102">
        <f t="shared" si="110"/>
        <v>0.5</v>
      </c>
      <c r="S193" s="102">
        <f t="shared" si="110"/>
        <v>0.5</v>
      </c>
      <c r="T193" s="102">
        <f t="shared" si="110"/>
        <v>0.5</v>
      </c>
      <c r="U193" s="102">
        <f t="shared" si="110"/>
        <v>0.5</v>
      </c>
      <c r="V193" s="102">
        <f t="shared" si="110"/>
        <v>0.5</v>
      </c>
      <c r="W193" s="102">
        <f t="shared" si="110"/>
        <v>0.5</v>
      </c>
      <c r="X193" s="102">
        <f t="shared" si="110"/>
        <v>0.5</v>
      </c>
      <c r="Y193" s="102">
        <f t="shared" si="110"/>
        <v>0.5</v>
      </c>
      <c r="Z193" s="102">
        <f t="shared" si="110"/>
        <v>0.5</v>
      </c>
      <c r="AA193" s="102">
        <f t="shared" si="110"/>
        <v>0.5</v>
      </c>
      <c r="AB193" s="102">
        <f t="shared" si="110"/>
        <v>0.5</v>
      </c>
      <c r="AC193" s="102">
        <f t="shared" si="110"/>
        <v>0.5</v>
      </c>
      <c r="AD193" s="102">
        <f t="shared" si="110"/>
        <v>0.5</v>
      </c>
      <c r="AE193" s="102">
        <f t="shared" si="110"/>
        <v>0.5</v>
      </c>
      <c r="AF193" s="102">
        <f t="shared" si="110"/>
        <v>0.5</v>
      </c>
      <c r="AG193" s="102">
        <f t="shared" si="110"/>
        <v>0.5</v>
      </c>
      <c r="AJ193" s="196"/>
    </row>
    <row r="194" spans="1:63" outlineLevel="1">
      <c r="A194" t="s">
        <v>418</v>
      </c>
      <c r="B194" s="50" t="s">
        <v>126</v>
      </c>
      <c r="C194" s="102">
        <f t="shared" ref="C194:AG194" si="111">SUM(C192:C193)</f>
        <v>1</v>
      </c>
      <c r="D194" s="102">
        <f t="shared" si="111"/>
        <v>1</v>
      </c>
      <c r="E194" s="102">
        <f t="shared" si="111"/>
        <v>1</v>
      </c>
      <c r="F194" s="102">
        <f t="shared" si="111"/>
        <v>1</v>
      </c>
      <c r="G194" s="102">
        <f t="shared" si="111"/>
        <v>1</v>
      </c>
      <c r="H194" s="102">
        <f t="shared" si="111"/>
        <v>1</v>
      </c>
      <c r="I194" s="102">
        <f t="shared" si="111"/>
        <v>1</v>
      </c>
      <c r="J194" s="102">
        <f t="shared" si="111"/>
        <v>1</v>
      </c>
      <c r="K194" s="102">
        <f t="shared" si="111"/>
        <v>1</v>
      </c>
      <c r="L194" s="102">
        <f t="shared" si="111"/>
        <v>1</v>
      </c>
      <c r="M194" s="102">
        <f t="shared" si="111"/>
        <v>1</v>
      </c>
      <c r="N194" s="102">
        <f t="shared" si="111"/>
        <v>1</v>
      </c>
      <c r="O194" s="102">
        <f t="shared" si="111"/>
        <v>1</v>
      </c>
      <c r="P194" s="102">
        <f t="shared" si="111"/>
        <v>1</v>
      </c>
      <c r="Q194" s="102">
        <f t="shared" si="111"/>
        <v>1</v>
      </c>
      <c r="R194" s="102">
        <f t="shared" si="111"/>
        <v>1</v>
      </c>
      <c r="S194" s="102">
        <f t="shared" si="111"/>
        <v>1</v>
      </c>
      <c r="T194" s="102">
        <f t="shared" si="111"/>
        <v>1</v>
      </c>
      <c r="U194" s="102">
        <f t="shared" si="111"/>
        <v>1</v>
      </c>
      <c r="V194" s="102">
        <f t="shared" si="111"/>
        <v>1</v>
      </c>
      <c r="W194" s="102">
        <f t="shared" si="111"/>
        <v>1</v>
      </c>
      <c r="X194" s="102">
        <f t="shared" si="111"/>
        <v>1</v>
      </c>
      <c r="Y194" s="102">
        <f t="shared" si="111"/>
        <v>1</v>
      </c>
      <c r="Z194" s="102">
        <f t="shared" si="111"/>
        <v>1</v>
      </c>
      <c r="AA194" s="102">
        <f t="shared" si="111"/>
        <v>1</v>
      </c>
      <c r="AB194" s="102">
        <f t="shared" si="111"/>
        <v>1</v>
      </c>
      <c r="AC194" s="102">
        <f t="shared" si="111"/>
        <v>1</v>
      </c>
      <c r="AD194" s="102">
        <f t="shared" si="111"/>
        <v>1</v>
      </c>
      <c r="AE194" s="102">
        <f t="shared" si="111"/>
        <v>1</v>
      </c>
      <c r="AF194" s="102">
        <f t="shared" si="111"/>
        <v>1</v>
      </c>
      <c r="AG194" s="102">
        <f t="shared" si="111"/>
        <v>1</v>
      </c>
      <c r="AH194" s="122"/>
      <c r="AI194" s="50"/>
      <c r="AJ194" s="196"/>
    </row>
    <row r="195" spans="1:63" outlineLevel="1">
      <c r="C195" s="188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22"/>
      <c r="AI195" s="122"/>
      <c r="AJ195" s="196"/>
    </row>
    <row r="196" spans="1:63" outlineLevel="1">
      <c r="A196" t="s">
        <v>440</v>
      </c>
      <c r="B196" s="50" t="s">
        <v>126</v>
      </c>
      <c r="C196" s="102">
        <f>C192*C190</f>
        <v>0</v>
      </c>
      <c r="D196" s="102">
        <f t="shared" ref="D196:AG196" si="112">D192*D190</f>
        <v>1.0443892302892751E-2</v>
      </c>
      <c r="E196" s="102">
        <f t="shared" si="112"/>
        <v>2.0702936954406871E-2</v>
      </c>
      <c r="F196" s="102">
        <f t="shared" si="112"/>
        <v>3.0777133954542357E-2</v>
      </c>
      <c r="G196" s="102">
        <f t="shared" si="112"/>
        <v>4.0666483303299208E-2</v>
      </c>
      <c r="H196" s="102">
        <f t="shared" si="112"/>
        <v>5.037098500067743E-2</v>
      </c>
      <c r="I196" s="102">
        <f t="shared" si="112"/>
        <v>5.9890639046677019E-2</v>
      </c>
      <c r="J196" s="102">
        <f t="shared" si="112"/>
        <v>6.9225445441297981E-2</v>
      </c>
      <c r="K196" s="102">
        <f t="shared" si="112"/>
        <v>7.8375404184540295E-2</v>
      </c>
      <c r="L196" s="102">
        <f t="shared" si="112"/>
        <v>8.7340515276403977E-2</v>
      </c>
      <c r="M196" s="102">
        <f t="shared" si="112"/>
        <v>9.6120778716889038E-2</v>
      </c>
      <c r="N196" s="102">
        <f t="shared" si="112"/>
        <v>0.10159210357333208</v>
      </c>
      <c r="O196" s="102">
        <f t="shared" si="112"/>
        <v>0.10693924273825403</v>
      </c>
      <c r="P196" s="102">
        <f t="shared" si="112"/>
        <v>0.11216219621165489</v>
      </c>
      <c r="Q196" s="102">
        <f t="shared" si="112"/>
        <v>0.11726096399353465</v>
      </c>
      <c r="R196" s="102">
        <f t="shared" si="112"/>
        <v>0.12223554608389334</v>
      </c>
      <c r="S196" s="102">
        <f t="shared" si="112"/>
        <v>0.12708594248273092</v>
      </c>
      <c r="T196" s="102">
        <f t="shared" si="112"/>
        <v>0.13181215319004741</v>
      </c>
      <c r="U196" s="102">
        <f t="shared" si="112"/>
        <v>0.13641417820584284</v>
      </c>
      <c r="V196" s="102">
        <f t="shared" si="112"/>
        <v>0.14089201753011715</v>
      </c>
      <c r="W196" s="102">
        <f t="shared" si="112"/>
        <v>0.14524567116287035</v>
      </c>
      <c r="X196" s="102">
        <f t="shared" si="112"/>
        <v>0.15258045400353457</v>
      </c>
      <c r="Y196" s="102">
        <f t="shared" si="112"/>
        <v>0.1597242701870985</v>
      </c>
      <c r="Z196" s="102">
        <f t="shared" si="112"/>
        <v>0.16667711971356211</v>
      </c>
      <c r="AA196" s="102">
        <f t="shared" si="112"/>
        <v>0.17343900258292549</v>
      </c>
      <c r="AB196" s="102">
        <f t="shared" si="112"/>
        <v>0.18000991879518863</v>
      </c>
      <c r="AC196" s="102">
        <f t="shared" si="112"/>
        <v>0.18638986835035146</v>
      </c>
      <c r="AD196" s="102">
        <f t="shared" si="112"/>
        <v>0.19257885124841398</v>
      </c>
      <c r="AE196" s="102">
        <f t="shared" si="112"/>
        <v>0.19857686748937625</v>
      </c>
      <c r="AF196" s="102">
        <f t="shared" si="112"/>
        <v>0.20438391707323825</v>
      </c>
      <c r="AG196" s="102">
        <f t="shared" si="112"/>
        <v>0.21</v>
      </c>
      <c r="AH196" s="122"/>
      <c r="AI196" s="122"/>
      <c r="AJ196" s="185"/>
    </row>
    <row r="197" spans="1:63" outlineLevel="1">
      <c r="A197" t="s">
        <v>518</v>
      </c>
      <c r="B197" s="50" t="s">
        <v>126</v>
      </c>
      <c r="C197" s="102">
        <f>C190*C193</f>
        <v>0</v>
      </c>
      <c r="D197" s="102">
        <f t="shared" ref="D197:AG197" si="113">D190*D193</f>
        <v>1.0443892302892751E-2</v>
      </c>
      <c r="E197" s="102">
        <f t="shared" si="113"/>
        <v>2.0702936954406871E-2</v>
      </c>
      <c r="F197" s="102">
        <f t="shared" si="113"/>
        <v>3.0777133954542357E-2</v>
      </c>
      <c r="G197" s="102">
        <f t="shared" si="113"/>
        <v>4.0666483303299208E-2</v>
      </c>
      <c r="H197" s="102">
        <f t="shared" si="113"/>
        <v>5.037098500067743E-2</v>
      </c>
      <c r="I197" s="102">
        <f t="shared" si="113"/>
        <v>5.9890639046677019E-2</v>
      </c>
      <c r="J197" s="102">
        <f t="shared" si="113"/>
        <v>6.9225445441297981E-2</v>
      </c>
      <c r="K197" s="102">
        <f t="shared" si="113"/>
        <v>7.8375404184540295E-2</v>
      </c>
      <c r="L197" s="102">
        <f t="shared" si="113"/>
        <v>8.7340515276403977E-2</v>
      </c>
      <c r="M197" s="102">
        <f t="shared" si="113"/>
        <v>9.6120778716889038E-2</v>
      </c>
      <c r="N197" s="102">
        <f t="shared" si="113"/>
        <v>0.10159210357333208</v>
      </c>
      <c r="O197" s="102">
        <f t="shared" si="113"/>
        <v>0.10693924273825403</v>
      </c>
      <c r="P197" s="102">
        <f t="shared" si="113"/>
        <v>0.11216219621165489</v>
      </c>
      <c r="Q197" s="102">
        <f t="shared" si="113"/>
        <v>0.11726096399353465</v>
      </c>
      <c r="R197" s="102">
        <f t="shared" si="113"/>
        <v>0.12223554608389334</v>
      </c>
      <c r="S197" s="102">
        <f t="shared" si="113"/>
        <v>0.12708594248273092</v>
      </c>
      <c r="T197" s="102">
        <f t="shared" si="113"/>
        <v>0.13181215319004741</v>
      </c>
      <c r="U197" s="102">
        <f t="shared" si="113"/>
        <v>0.13641417820584284</v>
      </c>
      <c r="V197" s="102">
        <f t="shared" si="113"/>
        <v>0.14089201753011715</v>
      </c>
      <c r="W197" s="102">
        <f t="shared" si="113"/>
        <v>0.14524567116287035</v>
      </c>
      <c r="X197" s="102">
        <f t="shared" si="113"/>
        <v>0.15258045400353457</v>
      </c>
      <c r="Y197" s="102">
        <f t="shared" si="113"/>
        <v>0.1597242701870985</v>
      </c>
      <c r="Z197" s="102">
        <f t="shared" si="113"/>
        <v>0.16667711971356211</v>
      </c>
      <c r="AA197" s="102">
        <f t="shared" si="113"/>
        <v>0.17343900258292549</v>
      </c>
      <c r="AB197" s="102">
        <f t="shared" si="113"/>
        <v>0.18000991879518863</v>
      </c>
      <c r="AC197" s="102">
        <f t="shared" si="113"/>
        <v>0.18638986835035146</v>
      </c>
      <c r="AD197" s="102">
        <f t="shared" si="113"/>
        <v>0.19257885124841398</v>
      </c>
      <c r="AE197" s="102">
        <f t="shared" si="113"/>
        <v>0.19857686748937625</v>
      </c>
      <c r="AF197" s="102">
        <f t="shared" si="113"/>
        <v>0.20438391707323825</v>
      </c>
      <c r="AG197" s="102">
        <f t="shared" si="113"/>
        <v>0.21</v>
      </c>
      <c r="AJ197" s="185"/>
    </row>
    <row r="198" spans="1:63" outlineLevel="1"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J198" s="185"/>
    </row>
    <row r="199" spans="1:63" outlineLevel="1">
      <c r="A199" t="s">
        <v>1239</v>
      </c>
      <c r="C199" s="203">
        <f>('Overall recycling rates'!F87*'Yearly BTX'!D5+'Overall recycling rates'!G87*'Yearly BTX'!D6+'Overall recycling rates'!H87*'Yearly BTX'!D7)/'Yearly BTX'!D4</f>
        <v>1</v>
      </c>
      <c r="D199" s="203">
        <f>C199-($C199-$AG199)/($AG$1-$C$1)</f>
        <v>1</v>
      </c>
      <c r="E199" s="203">
        <f t="shared" ref="E199:AF199" si="114">D199-($C199-$AG199)/($AG$1-$C$1)</f>
        <v>1</v>
      </c>
      <c r="F199" s="203">
        <f t="shared" si="114"/>
        <v>1</v>
      </c>
      <c r="G199" s="203">
        <f t="shared" si="114"/>
        <v>1</v>
      </c>
      <c r="H199" s="203">
        <f t="shared" si="114"/>
        <v>1</v>
      </c>
      <c r="I199" s="203">
        <f t="shared" si="114"/>
        <v>1</v>
      </c>
      <c r="J199" s="203">
        <f t="shared" si="114"/>
        <v>1</v>
      </c>
      <c r="K199" s="203">
        <f t="shared" si="114"/>
        <v>1</v>
      </c>
      <c r="L199" s="203">
        <f t="shared" si="114"/>
        <v>1</v>
      </c>
      <c r="M199" s="203">
        <f t="shared" si="114"/>
        <v>1</v>
      </c>
      <c r="N199" s="203">
        <f t="shared" si="114"/>
        <v>1</v>
      </c>
      <c r="O199" s="203">
        <f t="shared" si="114"/>
        <v>1</v>
      </c>
      <c r="P199" s="203">
        <f t="shared" si="114"/>
        <v>1</v>
      </c>
      <c r="Q199" s="203">
        <f t="shared" si="114"/>
        <v>1</v>
      </c>
      <c r="R199" s="203">
        <f t="shared" si="114"/>
        <v>1</v>
      </c>
      <c r="S199" s="203">
        <f t="shared" si="114"/>
        <v>1</v>
      </c>
      <c r="T199" s="203">
        <f t="shared" si="114"/>
        <v>1</v>
      </c>
      <c r="U199" s="203">
        <f t="shared" si="114"/>
        <v>1</v>
      </c>
      <c r="V199" s="203">
        <f t="shared" si="114"/>
        <v>1</v>
      </c>
      <c r="W199" s="203">
        <f t="shared" si="114"/>
        <v>1</v>
      </c>
      <c r="X199" s="203">
        <f t="shared" si="114"/>
        <v>1</v>
      </c>
      <c r="Y199" s="203">
        <f t="shared" si="114"/>
        <v>1</v>
      </c>
      <c r="Z199" s="203">
        <f t="shared" si="114"/>
        <v>1</v>
      </c>
      <c r="AA199" s="203">
        <f t="shared" si="114"/>
        <v>1</v>
      </c>
      <c r="AB199" s="203">
        <f t="shared" si="114"/>
        <v>1</v>
      </c>
      <c r="AC199" s="203">
        <f t="shared" si="114"/>
        <v>1</v>
      </c>
      <c r="AD199" s="203">
        <f t="shared" si="114"/>
        <v>1</v>
      </c>
      <c r="AE199" s="203">
        <f t="shared" si="114"/>
        <v>1</v>
      </c>
      <c r="AF199" s="203">
        <f t="shared" si="114"/>
        <v>1</v>
      </c>
      <c r="AG199" s="203">
        <f>'Overall recycling rates'!F96</f>
        <v>1</v>
      </c>
      <c r="AI199" s="124"/>
      <c r="AJ199" s="185" t="s">
        <v>993</v>
      </c>
      <c r="AL199" s="100"/>
      <c r="AM199" s="181"/>
      <c r="AN199" s="181"/>
      <c r="AO199" s="181"/>
      <c r="BC199" s="1"/>
      <c r="BD199" s="181"/>
      <c r="BE199" s="181"/>
      <c r="BF199" s="181"/>
      <c r="BG199" s="181"/>
      <c r="BH199" s="181"/>
      <c r="BI199" s="181"/>
      <c r="BJ199" s="181"/>
      <c r="BK199" s="181"/>
    </row>
    <row r="200" spans="1:63" outlineLevel="1">
      <c r="A200" t="s">
        <v>1247</v>
      </c>
      <c r="B200" s="50" t="s">
        <v>126</v>
      </c>
      <c r="C200" s="102">
        <f>C189*C$199</f>
        <v>0</v>
      </c>
      <c r="D200" s="102">
        <f>D189*D$136</f>
        <v>5.5815966732503163E-4</v>
      </c>
      <c r="E200" s="102">
        <f t="shared" ref="E200:AG200" si="115">E189*E$136</f>
        <v>1.3235870651260113E-3</v>
      </c>
      <c r="F200" s="102">
        <f t="shared" si="115"/>
        <v>2.3142047708323093E-3</v>
      </c>
      <c r="G200" s="102">
        <f t="shared" si="115"/>
        <v>3.547935361873296E-3</v>
      </c>
      <c r="H200" s="102">
        <f t="shared" si="115"/>
        <v>5.0427014156783408E-3</v>
      </c>
      <c r="I200" s="102">
        <f t="shared" si="115"/>
        <v>6.8164255096768147E-3</v>
      </c>
      <c r="J200" s="102">
        <f t="shared" si="115"/>
        <v>8.8870302212980864E-3</v>
      </c>
      <c r="K200" s="102">
        <f t="shared" si="115"/>
        <v>1.1272438127971528E-2</v>
      </c>
      <c r="L200" s="102">
        <f t="shared" si="115"/>
        <v>1.399057180712651E-2</v>
      </c>
      <c r="M200" s="102">
        <f t="shared" si="115"/>
        <v>1.7059353836192403E-2</v>
      </c>
      <c r="N200" s="102">
        <f t="shared" si="115"/>
        <v>1.9885210393762662E-2</v>
      </c>
      <c r="O200" s="102">
        <f t="shared" si="115"/>
        <v>2.2990329495461065E-2</v>
      </c>
      <c r="P200" s="102">
        <f t="shared" si="115"/>
        <v>2.6386752017410774E-2</v>
      </c>
      <c r="Q200" s="102">
        <f t="shared" si="115"/>
        <v>3.0086518835734939E-2</v>
      </c>
      <c r="R200" s="102">
        <f t="shared" si="115"/>
        <v>3.4101670826556726E-2</v>
      </c>
      <c r="S200" s="102">
        <f t="shared" si="115"/>
        <v>3.844424886599928E-2</v>
      </c>
      <c r="T200" s="102">
        <f t="shared" si="115"/>
        <v>4.3126293830185777E-2</v>
      </c>
      <c r="U200" s="102">
        <f t="shared" si="115"/>
        <v>4.8159846595239357E-2</v>
      </c>
      <c r="V200" s="102">
        <f t="shared" si="115"/>
        <v>5.3556948037283177E-2</v>
      </c>
      <c r="W200" s="102">
        <f t="shared" si="115"/>
        <v>5.9329639032440401E-2</v>
      </c>
      <c r="X200" s="102">
        <f t="shared" si="115"/>
        <v>6.6850500752623374E-2</v>
      </c>
      <c r="Y200" s="102">
        <f t="shared" si="115"/>
        <v>7.4932247797590612E-2</v>
      </c>
      <c r="Z200" s="102">
        <f t="shared" si="115"/>
        <v>8.3593396035262418E-2</v>
      </c>
      <c r="AA200" s="102">
        <f t="shared" si="115"/>
        <v>9.2852461333559136E-2</v>
      </c>
      <c r="AB200" s="102">
        <f t="shared" si="115"/>
        <v>0.10272795956040107</v>
      </c>
      <c r="AC200" s="102">
        <f t="shared" si="115"/>
        <v>0.11323840658370854</v>
      </c>
      <c r="AD200" s="102">
        <f t="shared" si="115"/>
        <v>0.1244023182714019</v>
      </c>
      <c r="AE200" s="102">
        <f t="shared" si="115"/>
        <v>0.13623821049140139</v>
      </c>
      <c r="AF200" s="102">
        <f t="shared" si="115"/>
        <v>0.1487645991116274</v>
      </c>
      <c r="AG200" s="102">
        <f t="shared" si="115"/>
        <v>0.16200000000000001</v>
      </c>
      <c r="AI200" s="124"/>
      <c r="AJ200"/>
      <c r="AL200" s="100"/>
      <c r="AM200" s="2"/>
      <c r="AN200" s="2"/>
      <c r="AO200" s="2"/>
      <c r="AV200" s="37"/>
    </row>
    <row r="201" spans="1:63" outlineLevel="1">
      <c r="A201" t="s">
        <v>1248</v>
      </c>
      <c r="B201" s="50" t="s">
        <v>126</v>
      </c>
      <c r="C201" s="102">
        <f>C190*C$199</f>
        <v>0</v>
      </c>
      <c r="D201" s="102">
        <f t="shared" ref="D201:AG201" si="116">D187*D$136</f>
        <v>2.5163049280590398E-2</v>
      </c>
      <c r="E201" s="102">
        <f t="shared" si="116"/>
        <v>2.9835088861341126E-2</v>
      </c>
      <c r="F201" s="102">
        <f t="shared" si="116"/>
        <v>3.4776458005829881E-2</v>
      </c>
      <c r="G201" s="102">
        <f t="shared" si="116"/>
        <v>3.9987156714056657E-2</v>
      </c>
      <c r="H201" s="102">
        <f t="shared" si="116"/>
        <v>4.5467184986021467E-2</v>
      </c>
      <c r="I201" s="102">
        <f t="shared" si="116"/>
        <v>5.1216542821724297E-2</v>
      </c>
      <c r="J201" s="102">
        <f t="shared" si="116"/>
        <v>5.7235230221165154E-2</v>
      </c>
      <c r="K201" s="102">
        <f t="shared" si="116"/>
        <v>6.3523247184344045E-2</v>
      </c>
      <c r="L201" s="102">
        <f t="shared" si="116"/>
        <v>7.0080593711260949E-2</v>
      </c>
      <c r="M201" s="102">
        <f t="shared" si="116"/>
        <v>7.6907269801915909E-2</v>
      </c>
      <c r="N201" s="102">
        <f t="shared" si="116"/>
        <v>8.4003275456308868E-2</v>
      </c>
      <c r="O201" s="102">
        <f t="shared" si="116"/>
        <v>9.1368610674439868E-2</v>
      </c>
      <c r="P201" s="102">
        <f t="shared" si="116"/>
        <v>9.9003275456308881E-2</v>
      </c>
      <c r="Q201" s="102">
        <f t="shared" si="116"/>
        <v>0.10690726980191592</v>
      </c>
      <c r="R201" s="102">
        <f t="shared" si="116"/>
        <v>0.11508059371126099</v>
      </c>
      <c r="S201" s="102">
        <f t="shared" si="116"/>
        <v>0.1235232471843441</v>
      </c>
      <c r="T201" s="102">
        <f t="shared" si="116"/>
        <v>0.13223523022116521</v>
      </c>
      <c r="U201" s="102">
        <f t="shared" si="116"/>
        <v>0.14121654282172436</v>
      </c>
      <c r="V201" s="102">
        <f t="shared" si="116"/>
        <v>0.15046718498602155</v>
      </c>
      <c r="W201" s="102">
        <f t="shared" si="116"/>
        <v>0.15998715671405675</v>
      </c>
      <c r="X201" s="102">
        <f t="shared" si="116"/>
        <v>0.16977645800582997</v>
      </c>
      <c r="Y201" s="102">
        <f t="shared" si="116"/>
        <v>0.17983508886134122</v>
      </c>
      <c r="Z201" s="102">
        <f t="shared" si="116"/>
        <v>0.1901630492805905</v>
      </c>
      <c r="AA201" s="102">
        <f t="shared" si="116"/>
        <v>0.20076033926357781</v>
      </c>
      <c r="AB201" s="102">
        <f t="shared" si="116"/>
        <v>0.21162695881030313</v>
      </c>
      <c r="AC201" s="102">
        <f t="shared" si="116"/>
        <v>0.22276290792076653</v>
      </c>
      <c r="AD201" s="102">
        <f t="shared" si="116"/>
        <v>0.23416818659496794</v>
      </c>
      <c r="AE201" s="102">
        <f t="shared" si="116"/>
        <v>0.24584279483290739</v>
      </c>
      <c r="AF201" s="102">
        <f t="shared" si="116"/>
        <v>0.25778673263458485</v>
      </c>
      <c r="AG201" s="102">
        <f t="shared" si="116"/>
        <v>0.27</v>
      </c>
      <c r="AH201" s="217"/>
      <c r="AI201" s="124"/>
      <c r="AJ201" s="185"/>
      <c r="AL201" s="100"/>
      <c r="AM201" s="2"/>
      <c r="AN201" s="2"/>
      <c r="AO201" s="2"/>
      <c r="AV201" s="37"/>
    </row>
    <row r="202" spans="1:63" outlineLevel="1">
      <c r="A202" t="s">
        <v>1249</v>
      </c>
      <c r="B202" s="156" t="s">
        <v>126</v>
      </c>
      <c r="C202" s="102">
        <f>SUM(C200:C201)</f>
        <v>0</v>
      </c>
      <c r="D202" s="102">
        <f t="shared" ref="D202:AG202" si="117">SUM(D200:D201)</f>
        <v>2.5721208947915429E-2</v>
      </c>
      <c r="E202" s="102">
        <f t="shared" si="117"/>
        <v>3.1158675926467136E-2</v>
      </c>
      <c r="F202" s="102">
        <f t="shared" si="117"/>
        <v>3.7090662776662189E-2</v>
      </c>
      <c r="G202" s="102">
        <f t="shared" si="117"/>
        <v>4.3535092075929954E-2</v>
      </c>
      <c r="H202" s="102">
        <f t="shared" si="117"/>
        <v>5.0509886401699809E-2</v>
      </c>
      <c r="I202" s="102">
        <f t="shared" si="117"/>
        <v>5.8032968331401112E-2</v>
      </c>
      <c r="J202" s="102">
        <f t="shared" si="117"/>
        <v>6.6122260442463235E-2</v>
      </c>
      <c r="K202" s="102">
        <f t="shared" si="117"/>
        <v>7.4795685312315577E-2</v>
      </c>
      <c r="L202" s="102">
        <f t="shared" si="117"/>
        <v>8.4071165518387461E-2</v>
      </c>
      <c r="M202" s="102">
        <f t="shared" si="117"/>
        <v>9.3966623638108315E-2</v>
      </c>
      <c r="N202" s="102">
        <f t="shared" si="117"/>
        <v>0.10388848585007153</v>
      </c>
      <c r="O202" s="102">
        <f t="shared" si="117"/>
        <v>0.11435894016990093</v>
      </c>
      <c r="P202" s="102">
        <f t="shared" si="117"/>
        <v>0.12539002747371966</v>
      </c>
      <c r="Q202" s="102">
        <f t="shared" si="117"/>
        <v>0.13699378863765085</v>
      </c>
      <c r="R202" s="102">
        <f t="shared" si="117"/>
        <v>0.14918226453781772</v>
      </c>
      <c r="S202" s="102">
        <f t="shared" si="117"/>
        <v>0.16196749605034338</v>
      </c>
      <c r="T202" s="102">
        <f t="shared" si="117"/>
        <v>0.17536152405135097</v>
      </c>
      <c r="U202" s="102">
        <f t="shared" si="117"/>
        <v>0.18937638941696372</v>
      </c>
      <c r="V202" s="102">
        <f t="shared" si="117"/>
        <v>0.20402413302330472</v>
      </c>
      <c r="W202" s="102">
        <f t="shared" si="117"/>
        <v>0.21931679574649715</v>
      </c>
      <c r="X202" s="102">
        <f t="shared" si="117"/>
        <v>0.23662695875845335</v>
      </c>
      <c r="Y202" s="102">
        <f t="shared" si="117"/>
        <v>0.25476733665893181</v>
      </c>
      <c r="Z202" s="102">
        <f t="shared" si="117"/>
        <v>0.27375644531585291</v>
      </c>
      <c r="AA202" s="102">
        <f t="shared" si="117"/>
        <v>0.29361280059713696</v>
      </c>
      <c r="AB202" s="102">
        <f t="shared" si="117"/>
        <v>0.31435491837070417</v>
      </c>
      <c r="AC202" s="102">
        <f t="shared" si="117"/>
        <v>0.33600131450447507</v>
      </c>
      <c r="AD202" s="102">
        <f t="shared" si="117"/>
        <v>0.35857050486636982</v>
      </c>
      <c r="AE202" s="102">
        <f t="shared" si="117"/>
        <v>0.38208100532430878</v>
      </c>
      <c r="AF202" s="102">
        <f t="shared" si="117"/>
        <v>0.40655133174621227</v>
      </c>
      <c r="AG202" s="102">
        <f t="shared" si="117"/>
        <v>0.43200000000000005</v>
      </c>
      <c r="AI202" s="124"/>
      <c r="AJ202" s="185"/>
      <c r="AL202" s="100"/>
      <c r="AM202" s="2"/>
      <c r="AN202" s="2"/>
      <c r="AO202" s="2"/>
    </row>
    <row r="203" spans="1:63" outlineLevel="1">
      <c r="A203" t="s">
        <v>1253</v>
      </c>
      <c r="B203" s="50" t="s">
        <v>126</v>
      </c>
      <c r="C203" s="102">
        <f>C192*C201</f>
        <v>0</v>
      </c>
      <c r="D203" s="102">
        <f t="shared" ref="D203:AG203" si="118">D189*D201</f>
        <v>3.2559313927293514E-5</v>
      </c>
      <c r="E203" s="102">
        <f t="shared" si="118"/>
        <v>8.8239137675067425E-5</v>
      </c>
      <c r="F203" s="102">
        <f t="shared" si="118"/>
        <v>1.735653578124232E-4</v>
      </c>
      <c r="G203" s="102">
        <f t="shared" si="118"/>
        <v>2.9566128015610796E-4</v>
      </c>
      <c r="H203" s="102">
        <f t="shared" si="118"/>
        <v>4.6224762977051459E-4</v>
      </c>
      <c r="I203" s="102">
        <f t="shared" si="118"/>
        <v>6.8164255096768141E-4</v>
      </c>
      <c r="J203" s="102">
        <f t="shared" si="118"/>
        <v>9.6276160730729258E-4</v>
      </c>
      <c r="K203" s="102">
        <f t="shared" si="118"/>
        <v>1.3151177815966784E-3</v>
      </c>
      <c r="L203" s="102">
        <f t="shared" si="118"/>
        <v>1.7488214758908133E-3</v>
      </c>
      <c r="M203" s="102">
        <f t="shared" si="118"/>
        <v>2.2745805114923207E-3</v>
      </c>
      <c r="N203" s="102">
        <f t="shared" si="118"/>
        <v>2.81707147244971E-3</v>
      </c>
      <c r="O203" s="102">
        <f t="shared" si="118"/>
        <v>3.4485494243191601E-3</v>
      </c>
      <c r="P203" s="102">
        <f t="shared" si="118"/>
        <v>4.1779024027567054E-3</v>
      </c>
      <c r="Q203" s="102">
        <f t="shared" si="118"/>
        <v>5.0144198059558229E-3</v>
      </c>
      <c r="R203" s="102">
        <f t="shared" si="118"/>
        <v>5.9677923946474263E-3</v>
      </c>
      <c r="S203" s="102">
        <f t="shared" si="118"/>
        <v>7.0481122920998682E-3</v>
      </c>
      <c r="T203" s="102">
        <f t="shared" si="118"/>
        <v>8.2658729841189396E-3</v>
      </c>
      <c r="U203" s="102">
        <f t="shared" si="118"/>
        <v>9.6319693190478686E-3</v>
      </c>
      <c r="V203" s="102">
        <f t="shared" si="118"/>
        <v>1.1157697507767328E-2</v>
      </c>
      <c r="W203" s="102">
        <f t="shared" si="118"/>
        <v>1.2854755123695419E-2</v>
      </c>
      <c r="X203" s="102">
        <f t="shared" si="118"/>
        <v>1.5041362669340258E-2</v>
      </c>
      <c r="Y203" s="102">
        <f t="shared" si="118"/>
        <v>1.7484191152771139E-2</v>
      </c>
      <c r="Z203" s="102">
        <f t="shared" si="118"/>
        <v>2.0201737375188416E-2</v>
      </c>
      <c r="AA203" s="102">
        <f t="shared" si="118"/>
        <v>2.3213115333389781E-2</v>
      </c>
      <c r="AB203" s="102">
        <f t="shared" si="118"/>
        <v>2.6538056219770272E-2</v>
      </c>
      <c r="AC203" s="102">
        <f t="shared" si="118"/>
        <v>3.0196908422322276E-2</v>
      </c>
      <c r="AD203" s="102">
        <f t="shared" si="118"/>
        <v>3.4210637524635525E-2</v>
      </c>
      <c r="AE203" s="102">
        <f t="shared" si="118"/>
        <v>3.8600826305897069E-2</v>
      </c>
      <c r="AF203" s="102">
        <f t="shared" si="118"/>
        <v>4.3389674740891331E-2</v>
      </c>
      <c r="AG203" s="102">
        <f t="shared" si="118"/>
        <v>4.8600000000000004E-2</v>
      </c>
      <c r="AI203" s="124"/>
      <c r="AJ203" s="185"/>
      <c r="BD203" s="177"/>
      <c r="BE203" s="177"/>
    </row>
    <row r="204" spans="1:63" outlineLevel="1">
      <c r="A204" t="s">
        <v>1254</v>
      </c>
      <c r="B204" s="50" t="s">
        <v>126</v>
      </c>
      <c r="C204" s="102">
        <f>C193*C201</f>
        <v>0</v>
      </c>
      <c r="D204" s="102">
        <f t="shared" ref="D204:AG204" si="119">D191*D201</f>
        <v>0</v>
      </c>
      <c r="E204" s="102">
        <f t="shared" si="119"/>
        <v>0</v>
      </c>
      <c r="F204" s="102">
        <f t="shared" si="119"/>
        <v>0</v>
      </c>
      <c r="G204" s="102">
        <f t="shared" si="119"/>
        <v>0</v>
      </c>
      <c r="H204" s="102">
        <f t="shared" si="119"/>
        <v>0</v>
      </c>
      <c r="I204" s="102">
        <f t="shared" si="119"/>
        <v>0</v>
      </c>
      <c r="J204" s="102">
        <f t="shared" si="119"/>
        <v>0</v>
      </c>
      <c r="K204" s="102">
        <f t="shared" si="119"/>
        <v>0</v>
      </c>
      <c r="L204" s="102">
        <f t="shared" si="119"/>
        <v>0</v>
      </c>
      <c r="M204" s="102">
        <f t="shared" si="119"/>
        <v>0</v>
      </c>
      <c r="N204" s="102">
        <f t="shared" si="119"/>
        <v>0</v>
      </c>
      <c r="O204" s="102">
        <f t="shared" si="119"/>
        <v>0</v>
      </c>
      <c r="P204" s="102">
        <f t="shared" si="119"/>
        <v>0</v>
      </c>
      <c r="Q204" s="102">
        <f t="shared" si="119"/>
        <v>0</v>
      </c>
      <c r="R204" s="102">
        <f t="shared" si="119"/>
        <v>0</v>
      </c>
      <c r="S204" s="102">
        <f t="shared" si="119"/>
        <v>0</v>
      </c>
      <c r="T204" s="102">
        <f t="shared" si="119"/>
        <v>0</v>
      </c>
      <c r="U204" s="102">
        <f t="shared" si="119"/>
        <v>0</v>
      </c>
      <c r="V204" s="102">
        <f t="shared" si="119"/>
        <v>0</v>
      </c>
      <c r="W204" s="102">
        <f t="shared" si="119"/>
        <v>0</v>
      </c>
      <c r="X204" s="102">
        <f t="shared" si="119"/>
        <v>0</v>
      </c>
      <c r="Y204" s="102">
        <f t="shared" si="119"/>
        <v>0</v>
      </c>
      <c r="Z204" s="102">
        <f t="shared" si="119"/>
        <v>0</v>
      </c>
      <c r="AA204" s="102">
        <f t="shared" si="119"/>
        <v>0</v>
      </c>
      <c r="AB204" s="102">
        <f t="shared" si="119"/>
        <v>0</v>
      </c>
      <c r="AC204" s="102">
        <f t="shared" si="119"/>
        <v>0</v>
      </c>
      <c r="AD204" s="102">
        <f t="shared" si="119"/>
        <v>0</v>
      </c>
      <c r="AE204" s="102">
        <f t="shared" si="119"/>
        <v>0</v>
      </c>
      <c r="AF204" s="102">
        <f t="shared" si="119"/>
        <v>0</v>
      </c>
      <c r="AG204" s="102">
        <f t="shared" si="119"/>
        <v>0</v>
      </c>
      <c r="AI204" s="125"/>
      <c r="AJ204" s="185"/>
      <c r="BC204" s="1"/>
      <c r="BD204" s="37"/>
      <c r="BF204" s="6"/>
      <c r="BG204" s="6"/>
      <c r="BH204" s="6"/>
      <c r="BI204" s="6"/>
      <c r="BJ204" s="6"/>
    </row>
    <row r="205" spans="1:63" outlineLevel="1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I205" s="125"/>
      <c r="AJ205" s="185"/>
      <c r="BC205" s="1"/>
      <c r="BD205" s="37"/>
      <c r="BF205" s="6"/>
      <c r="BG205" s="6"/>
      <c r="BH205" s="6"/>
      <c r="BI205" s="6"/>
      <c r="BJ205" s="6"/>
    </row>
    <row r="206" spans="1:63" s="1" customFormat="1" outlineLevel="1">
      <c r="A206" s="1" t="s">
        <v>265</v>
      </c>
      <c r="B206" s="60"/>
      <c r="C206" s="250">
        <f>C200*C42</f>
        <v>0</v>
      </c>
      <c r="D206" s="250">
        <f t="shared" ref="D206:AG206" si="120">D200*D42</f>
        <v>139.97581628488709</v>
      </c>
      <c r="E206" s="250">
        <f t="shared" si="120"/>
        <v>331.19767139118858</v>
      </c>
      <c r="F206" s="250">
        <f t="shared" si="120"/>
        <v>577.79894899130204</v>
      </c>
      <c r="G206" s="250">
        <f t="shared" si="120"/>
        <v>883.87502926869797</v>
      </c>
      <c r="H206" s="250">
        <f t="shared" si="120"/>
        <v>1253.4835014300218</v>
      </c>
      <c r="I206" s="250">
        <f t="shared" si="120"/>
        <v>1638.403464076865</v>
      </c>
      <c r="J206" s="250">
        <f t="shared" si="120"/>
        <v>2063.4210617783674</v>
      </c>
      <c r="K206" s="250">
        <f t="shared" si="120"/>
        <v>2525.4847318253337</v>
      </c>
      <c r="L206" s="250">
        <f t="shared" si="120"/>
        <v>3021.0228666685116</v>
      </c>
      <c r="M206" s="250">
        <f t="shared" si="120"/>
        <v>3545.9496984628768</v>
      </c>
      <c r="N206" s="250">
        <f t="shared" si="120"/>
        <v>3973.4813613083229</v>
      </c>
      <c r="O206" s="250">
        <f t="shared" si="120"/>
        <v>4409.9313526629385</v>
      </c>
      <c r="P206" s="250">
        <f t="shared" si="120"/>
        <v>4851.1257821587715</v>
      </c>
      <c r="Q206" s="250">
        <f t="shared" si="120"/>
        <v>5292.5646818035821</v>
      </c>
      <c r="R206" s="250">
        <f t="shared" si="120"/>
        <v>5729.4258075839907</v>
      </c>
      <c r="S206" s="250">
        <f t="shared" si="120"/>
        <v>6241.4415749378059</v>
      </c>
      <c r="T206" s="250">
        <f t="shared" si="120"/>
        <v>6758.5360162590341</v>
      </c>
      <c r="U206" s="250">
        <f t="shared" si="120"/>
        <v>7277.1250428922913</v>
      </c>
      <c r="V206" s="250">
        <f t="shared" si="120"/>
        <v>7793.4030019883412</v>
      </c>
      <c r="W206" s="250">
        <f t="shared" si="120"/>
        <v>8303.3452961607709</v>
      </c>
      <c r="X206" s="250">
        <f t="shared" si="120"/>
        <v>8985.5854737175778</v>
      </c>
      <c r="Y206" s="250">
        <f t="shared" si="120"/>
        <v>9658.5654021938335</v>
      </c>
      <c r="Z206" s="250">
        <f t="shared" si="120"/>
        <v>10315.858743336479</v>
      </c>
      <c r="AA206" s="250">
        <f t="shared" si="120"/>
        <v>10950.711306978319</v>
      </c>
      <c r="AB206" s="250">
        <f t="shared" si="120"/>
        <v>11556.044983921269</v>
      </c>
      <c r="AC206" s="250">
        <f t="shared" si="120"/>
        <v>12003.539494644547</v>
      </c>
      <c r="AD206" s="250">
        <f t="shared" si="120"/>
        <v>12383.146395784213</v>
      </c>
      <c r="AE206" s="250">
        <f t="shared" si="120"/>
        <v>12684.851701471891</v>
      </c>
      <c r="AF206" s="250">
        <f t="shared" si="120"/>
        <v>12898.272640940231</v>
      </c>
      <c r="AG206" s="250">
        <f t="shared" si="120"/>
        <v>13012.662224394182</v>
      </c>
      <c r="AH206" s="217"/>
      <c r="AI206" s="368"/>
      <c r="AJ206" s="369"/>
      <c r="AL206" s="194"/>
      <c r="AM206" s="116"/>
      <c r="AN206" s="116"/>
      <c r="AO206" s="116"/>
      <c r="BD206" s="116"/>
      <c r="BE206" s="116"/>
      <c r="BF206" s="116"/>
      <c r="BG206" s="116"/>
      <c r="BH206" s="116"/>
      <c r="BI206" s="116"/>
      <c r="BJ206" s="116"/>
      <c r="BK206" s="116"/>
    </row>
    <row r="207" spans="1:63" outlineLevel="1">
      <c r="A207" s="4" t="s">
        <v>35</v>
      </c>
      <c r="C207" s="560">
        <f>C$206*'BTX recycling rates'!E74</f>
        <v>0</v>
      </c>
      <c r="D207" s="203">
        <f>D$206*'BTX recycling rates'!F74</f>
        <v>4.6658124419884501</v>
      </c>
      <c r="E207" s="203">
        <f>E$206*'BTX recycling rates'!G74</f>
        <v>22.079617135998848</v>
      </c>
      <c r="F207" s="203">
        <f>F$206*'BTX recycling rates'!H74</f>
        <v>57.779299240190348</v>
      </c>
      <c r="G207" s="203">
        <f>G$206*'BTX recycling rates'!I74</f>
        <v>117.8487889745582</v>
      </c>
      <c r="H207" s="203">
        <f>H$206*'BTX recycling rates'!J74</f>
        <v>208.91176318972808</v>
      </c>
      <c r="I207" s="203">
        <f>I$206*'BTX recycling rates'!K74</f>
        <v>327.6773147210647</v>
      </c>
      <c r="J207" s="203">
        <f>J$206*'BTX recycling rates'!L74</f>
        <v>481.45995094312548</v>
      </c>
      <c r="K207" s="203">
        <f>K$206*'BTX recycling rates'!M74</f>
        <v>673.455652357556</v>
      </c>
      <c r="L207" s="203">
        <f>L$206*'BTX recycling rates'!N74</f>
        <v>906.29751678896821</v>
      </c>
      <c r="M207" s="203">
        <f>M$206*'BTX recycling rates'!O74</f>
        <v>1181.9710476330033</v>
      </c>
      <c r="N207" s="203">
        <f>N$206*'BTX recycling rates'!P74</f>
        <v>1456.9281460345785</v>
      </c>
      <c r="O207" s="203">
        <f>O$206*'BTX recycling rates'!Q74</f>
        <v>1763.9543560889722</v>
      </c>
      <c r="P207" s="203">
        <f>P$206*'BTX recycling rates'!R74</f>
        <v>2102.1328342729216</v>
      </c>
      <c r="Q207" s="203">
        <f>Q$206*'BTX recycling rates'!S74</f>
        <v>2469.8380560953765</v>
      </c>
      <c r="R207" s="203">
        <f>R$206*'BTX recycling rates'!T74</f>
        <v>2864.6833711690251</v>
      </c>
      <c r="S207" s="203">
        <f>S$206*'BTX recycling rates'!U74</f>
        <v>3328.7345233429983</v>
      </c>
      <c r="T207" s="203">
        <f>T$206*'BTX recycling rates'!V74</f>
        <v>3829.7975936917824</v>
      </c>
      <c r="U207" s="203">
        <f>U$206*'BTX recycling rates'!W74</f>
        <v>4366.2300133524768</v>
      </c>
      <c r="V207" s="203">
        <f>V$206*'BTX recycling rates'!X74</f>
        <v>4935.7710173584692</v>
      </c>
      <c r="W207" s="203">
        <f>W$206*'BTX recycling rates'!Y74</f>
        <v>5535.5064640742612</v>
      </c>
      <c r="X207" s="203">
        <f>X$206*'BTX recycling rates'!Z74</f>
        <v>6289.8449882683262</v>
      </c>
      <c r="Y207" s="203">
        <f>Y$206*'BTX recycling rates'!AA74</f>
        <v>7082.8749427623534</v>
      </c>
      <c r="Z207" s="203">
        <f>Z$206*'BTX recycling rates'!AB74</f>
        <v>7908.743503658935</v>
      </c>
      <c r="AA207" s="203">
        <f>AA$206*'BTX recycling rates'!AC74</f>
        <v>8760.4787319661373</v>
      </c>
      <c r="AB207" s="203">
        <f>AB$206*'BTX recycling rates'!AD74</f>
        <v>9629.9382095440415</v>
      </c>
      <c r="AC207" s="203">
        <f>AC$206*'BTX recycling rates'!AE74</f>
        <v>10402.960315720893</v>
      </c>
      <c r="AD207" s="203">
        <f>AD$206*'BTX recycling rates'!AF74</f>
        <v>11144.716862977264</v>
      </c>
      <c r="AE207" s="203">
        <f>AE$206*'BTX recycling rates'!AG74</f>
        <v>11839.072869883223</v>
      </c>
      <c r="AF207" s="203">
        <f>AF$206*'BTX recycling rates'!AH74</f>
        <v>12468.201682263858</v>
      </c>
      <c r="AG207" s="203">
        <f>AG$206*'BTX recycling rates'!AI74</f>
        <v>13012.528075507294</v>
      </c>
      <c r="AH207" s="217"/>
      <c r="AI207" s="124"/>
      <c r="AJ207" s="185"/>
      <c r="AL207" s="100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outlineLevel="1">
      <c r="A208" s="4" t="s">
        <v>74</v>
      </c>
      <c r="C208" s="203">
        <f>C$206*'BTX recycling rates'!E75</f>
        <v>0</v>
      </c>
      <c r="D208" s="203">
        <f>D$206*'BTX recycling rates'!F75</f>
        <v>0</v>
      </c>
      <c r="E208" s="203">
        <f>E$206*'BTX recycling rates'!G75</f>
        <v>0</v>
      </c>
      <c r="F208" s="203">
        <f>F$206*'BTX recycling rates'!H75</f>
        <v>0</v>
      </c>
      <c r="G208" s="203">
        <f>G$206*'BTX recycling rates'!I75</f>
        <v>0</v>
      </c>
      <c r="H208" s="203">
        <f>H$206*'BTX recycling rates'!J75</f>
        <v>0</v>
      </c>
      <c r="I208" s="203">
        <f>I$206*'BTX recycling rates'!K75</f>
        <v>0</v>
      </c>
      <c r="J208" s="203">
        <f>J$206*'BTX recycling rates'!L75</f>
        <v>0</v>
      </c>
      <c r="K208" s="203">
        <f>K$206*'BTX recycling rates'!M75</f>
        <v>0</v>
      </c>
      <c r="L208" s="203">
        <f>L$206*'BTX recycling rates'!N75</f>
        <v>0</v>
      </c>
      <c r="M208" s="203">
        <f>M$206*'BTX recycling rates'!O75</f>
        <v>0</v>
      </c>
      <c r="N208" s="203">
        <f>N$206*'BTX recycling rates'!P75</f>
        <v>0</v>
      </c>
      <c r="O208" s="203">
        <f>O$206*'BTX recycling rates'!Q75</f>
        <v>0</v>
      </c>
      <c r="P208" s="203">
        <f>P$206*'BTX recycling rates'!R75</f>
        <v>0</v>
      </c>
      <c r="Q208" s="203">
        <f>Q$206*'BTX recycling rates'!S75</f>
        <v>0</v>
      </c>
      <c r="R208" s="203">
        <f>R$206*'BTX recycling rates'!T75</f>
        <v>0</v>
      </c>
      <c r="S208" s="203">
        <f>S$206*'BTX recycling rates'!U75</f>
        <v>0</v>
      </c>
      <c r="T208" s="203">
        <f>T$206*'BTX recycling rates'!V75</f>
        <v>0</v>
      </c>
      <c r="U208" s="203">
        <f>U$206*'BTX recycling rates'!W75</f>
        <v>0</v>
      </c>
      <c r="V208" s="203">
        <f>V$206*'BTX recycling rates'!X75</f>
        <v>0</v>
      </c>
      <c r="W208" s="203">
        <f>W$206*'BTX recycling rates'!Y75</f>
        <v>0</v>
      </c>
      <c r="X208" s="203">
        <f>X$206*'BTX recycling rates'!Z75</f>
        <v>0</v>
      </c>
      <c r="Y208" s="203">
        <f>Y$206*'BTX recycling rates'!AA75</f>
        <v>0</v>
      </c>
      <c r="Z208" s="203">
        <f>Z$206*'BTX recycling rates'!AB75</f>
        <v>0</v>
      </c>
      <c r="AA208" s="203">
        <f>AA$206*'BTX recycling rates'!AC75</f>
        <v>0</v>
      </c>
      <c r="AB208" s="203">
        <f>AB$206*'BTX recycling rates'!AD75</f>
        <v>0</v>
      </c>
      <c r="AC208" s="203">
        <f>AC$206*'BTX recycling rates'!AE75</f>
        <v>0</v>
      </c>
      <c r="AD208" s="203">
        <f>AD$206*'BTX recycling rates'!AF75</f>
        <v>0</v>
      </c>
      <c r="AE208" s="203">
        <f>AE$206*'BTX recycling rates'!AG75</f>
        <v>0</v>
      </c>
      <c r="AF208" s="203">
        <f>AF$206*'BTX recycling rates'!AH75</f>
        <v>0</v>
      </c>
      <c r="AG208" s="203">
        <f>AG$206*'BTX recycling rates'!AI75</f>
        <v>0</v>
      </c>
      <c r="AH208" s="217"/>
      <c r="AI208" s="124"/>
      <c r="AJ208" s="185"/>
      <c r="AL208" s="100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s="4" t="s">
        <v>160</v>
      </c>
      <c r="C209" s="203">
        <f>C$206*'BTX recycling rates'!E76</f>
        <v>0</v>
      </c>
      <c r="D209" s="203">
        <f>D$206*'BTX recycling rates'!F76</f>
        <v>0</v>
      </c>
      <c r="E209" s="203">
        <f>E$206*'BTX recycling rates'!G76</f>
        <v>0</v>
      </c>
      <c r="F209" s="203">
        <f>F$206*'BTX recycling rates'!H76</f>
        <v>0</v>
      </c>
      <c r="G209" s="203">
        <f>G$206*'BTX recycling rates'!I76</f>
        <v>0</v>
      </c>
      <c r="H209" s="203">
        <f>H$206*'BTX recycling rates'!J76</f>
        <v>0</v>
      </c>
      <c r="I209" s="203">
        <f>I$206*'BTX recycling rates'!K76</f>
        <v>0</v>
      </c>
      <c r="J209" s="203">
        <f>J$206*'BTX recycling rates'!L76</f>
        <v>0</v>
      </c>
      <c r="K209" s="203">
        <f>K$206*'BTX recycling rates'!M76</f>
        <v>0</v>
      </c>
      <c r="L209" s="203">
        <f>L$206*'BTX recycling rates'!N76</f>
        <v>0</v>
      </c>
      <c r="M209" s="203">
        <f>M$206*'BTX recycling rates'!O76</f>
        <v>0</v>
      </c>
      <c r="N209" s="203">
        <f>N$206*'BTX recycling rates'!P76</f>
        <v>0</v>
      </c>
      <c r="O209" s="203">
        <f>O$206*'BTX recycling rates'!Q76</f>
        <v>0</v>
      </c>
      <c r="P209" s="203">
        <f>P$206*'BTX recycling rates'!R76</f>
        <v>0</v>
      </c>
      <c r="Q209" s="203">
        <f>Q$206*'BTX recycling rates'!S76</f>
        <v>0</v>
      </c>
      <c r="R209" s="203">
        <f>R$206*'BTX recycling rates'!T76</f>
        <v>0</v>
      </c>
      <c r="S209" s="203">
        <f>S$206*'BTX recycling rates'!U76</f>
        <v>0</v>
      </c>
      <c r="T209" s="203">
        <f>T$206*'BTX recycling rates'!V76</f>
        <v>0</v>
      </c>
      <c r="U209" s="203">
        <f>U$206*'BTX recycling rates'!W76</f>
        <v>0</v>
      </c>
      <c r="V209" s="203">
        <f>V$206*'BTX recycling rates'!X76</f>
        <v>0</v>
      </c>
      <c r="W209" s="203">
        <f>W$206*'BTX recycling rates'!Y76</f>
        <v>0</v>
      </c>
      <c r="X209" s="203">
        <f>X$206*'BTX recycling rates'!Z76</f>
        <v>0</v>
      </c>
      <c r="Y209" s="203">
        <f>Y$206*'BTX recycling rates'!AA76</f>
        <v>0</v>
      </c>
      <c r="Z209" s="203">
        <f>Z$206*'BTX recycling rates'!AB76</f>
        <v>0</v>
      </c>
      <c r="AA209" s="203">
        <f>AA$206*'BTX recycling rates'!AC76</f>
        <v>0</v>
      </c>
      <c r="AB209" s="203">
        <f>AB$206*'BTX recycling rates'!AD76</f>
        <v>0</v>
      </c>
      <c r="AC209" s="203">
        <f>AC$206*'BTX recycling rates'!AE76</f>
        <v>0</v>
      </c>
      <c r="AD209" s="203">
        <f>AD$206*'BTX recycling rates'!AF76</f>
        <v>0</v>
      </c>
      <c r="AE209" s="203">
        <f>AE$206*'BTX recycling rates'!AG76</f>
        <v>0</v>
      </c>
      <c r="AF209" s="203">
        <f>AF$206*'BTX recycling rates'!AH76</f>
        <v>0</v>
      </c>
      <c r="AG209" s="203">
        <f>AG$206*'BTX recycling rates'!AI76</f>
        <v>0</v>
      </c>
      <c r="AH209" s="217"/>
      <c r="AI209" s="124"/>
      <c r="AJ209" s="185"/>
      <c r="AL209" s="100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1040</v>
      </c>
      <c r="C210" s="203">
        <f>C$206*'BTX recycling rates'!E77</f>
        <v>0</v>
      </c>
      <c r="D210" s="203">
        <f>D$206*'BTX recycling rates'!F77</f>
        <v>4.8100841119490732E-5</v>
      </c>
      <c r="E210" s="203">
        <f>E$206*'BTX recycling rates'!G77</f>
        <v>2.2762341372325884E-4</v>
      </c>
      <c r="F210" s="203">
        <f>F$206*'BTX recycling rates'!H77</f>
        <v>5.9565893985302786E-4</v>
      </c>
      <c r="G210" s="203">
        <f>G$206*'BTX recycling rates'!I77</f>
        <v>1.2149279348601058E-3</v>
      </c>
      <c r="H210" s="203">
        <f>H$206*'BTX recycling rates'!J77</f>
        <v>2.1537152755542886E-3</v>
      </c>
      <c r="I210" s="203">
        <f>I$206*'BTX recycling rates'!K77</f>
        <v>3.3780943082963111E-3</v>
      </c>
      <c r="J210" s="203">
        <f>J$206*'BTX recycling rates'!L77</f>
        <v>4.9634718269651375E-3</v>
      </c>
      <c r="K210" s="203">
        <f>K$206*'BTX recycling rates'!M77</f>
        <v>6.9427958662796972E-3</v>
      </c>
      <c r="L210" s="203">
        <f>L$206*'BTX recycling rates'!N77</f>
        <v>9.3432115851353522E-3</v>
      </c>
      <c r="M210" s="203">
        <f>M$206*'BTX recycling rates'!O77</f>
        <v>1.2185187955348563E-2</v>
      </c>
      <c r="N210" s="203">
        <f>N$206*'BTX recycling rates'!P77</f>
        <v>1.5019778472933515E-2</v>
      </c>
      <c r="O210" s="203">
        <f>O$206*'BTX recycling rates'!Q77</f>
        <v>1.8184976202795956E-2</v>
      </c>
      <c r="P210" s="203">
        <f>P$206*'BTX recycling rates'!R77</f>
        <v>2.1671329212353468E-2</v>
      </c>
      <c r="Q210" s="203">
        <f>Q$206*'BTX recycling rates'!S77</f>
        <v>2.5462079627976968E-2</v>
      </c>
      <c r="R210" s="203">
        <f>R$206*'BTX recycling rates'!T77</f>
        <v>2.9532622969200256E-2</v>
      </c>
      <c r="S210" s="203">
        <f>S$206*'BTX recycling rates'!U77</f>
        <v>3.4316623830693123E-2</v>
      </c>
      <c r="T210" s="203">
        <f>T$206*'BTX recycling rates'!V77</f>
        <v>3.9482188335772037E-2</v>
      </c>
      <c r="U210" s="203">
        <f>U$206*'BTX recycling rates'!W77</f>
        <v>4.5012382896796127E-2</v>
      </c>
      <c r="V210" s="203">
        <f>V$206*'BTX recycling rates'!X77</f>
        <v>5.0883900812559633E-2</v>
      </c>
      <c r="W210" s="203">
        <f>W$206*'BTX recycling rates'!Y77</f>
        <v>5.7066699584451319E-2</v>
      </c>
      <c r="X210" s="203">
        <f>X$206*'BTX recycling rates'!Z77</f>
        <v>6.4843333976361509E-2</v>
      </c>
      <c r="Y210" s="203">
        <f>Y$206*'BTX recycling rates'!AA77</f>
        <v>7.3018846455353836E-2</v>
      </c>
      <c r="Z210" s="203">
        <f>Z$206*'BTX recycling rates'!AB77</f>
        <v>8.1532899029730183E-2</v>
      </c>
      <c r="AA210" s="203">
        <f>AA$206*'BTX recycling rates'!AC77</f>
        <v>9.0313616515068668E-2</v>
      </c>
      <c r="AB210" s="203">
        <f>AB$206*'BTX recycling rates'!AD77</f>
        <v>9.9277057011400938E-2</v>
      </c>
      <c r="AC210" s="203">
        <f>AC$206*'BTX recycling rates'!AE77</f>
        <v>0.10724630437686519</v>
      </c>
      <c r="AD210" s="203">
        <f>AD$206*'BTX recycling rates'!AF77</f>
        <v>0.11489322852405939</v>
      </c>
      <c r="AE210" s="203">
        <f>AE$206*'BTX recycling rates'!AG77</f>
        <v>0.12205149053819078</v>
      </c>
      <c r="AF210" s="203">
        <f>AF$206*'BTX recycling rates'!AH77</f>
        <v>0.12853731169458471</v>
      </c>
      <c r="AG210" s="203">
        <f>AG$206*'BTX recycling rates'!AI77</f>
        <v>0.13414888688841947</v>
      </c>
      <c r="AH210" s="217"/>
      <c r="AI210" s="124"/>
      <c r="AJ210" s="185"/>
      <c r="AL210" s="100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s="1" customFormat="1" outlineLevel="1">
      <c r="A211" s="1" t="s">
        <v>1041</v>
      </c>
      <c r="B211" s="60"/>
      <c r="C211" s="250">
        <f t="shared" ref="C211:AG211" si="121">C206-$C206</f>
        <v>0</v>
      </c>
      <c r="D211" s="250">
        <f t="shared" si="121"/>
        <v>139.97581628488709</v>
      </c>
      <c r="E211" s="250">
        <f t="shared" si="121"/>
        <v>331.19767139118858</v>
      </c>
      <c r="F211" s="250">
        <f t="shared" si="121"/>
        <v>577.79894899130204</v>
      </c>
      <c r="G211" s="250">
        <f t="shared" si="121"/>
        <v>883.87502926869797</v>
      </c>
      <c r="H211" s="250">
        <f t="shared" si="121"/>
        <v>1253.4835014300218</v>
      </c>
      <c r="I211" s="250">
        <f t="shared" si="121"/>
        <v>1638.403464076865</v>
      </c>
      <c r="J211" s="250">
        <f t="shared" si="121"/>
        <v>2063.4210617783674</v>
      </c>
      <c r="K211" s="250">
        <f t="shared" si="121"/>
        <v>2525.4847318253337</v>
      </c>
      <c r="L211" s="250">
        <f t="shared" si="121"/>
        <v>3021.0228666685116</v>
      </c>
      <c r="M211" s="250">
        <f t="shared" si="121"/>
        <v>3545.9496984628768</v>
      </c>
      <c r="N211" s="250">
        <f t="shared" si="121"/>
        <v>3973.4813613083229</v>
      </c>
      <c r="O211" s="250">
        <f t="shared" si="121"/>
        <v>4409.9313526629385</v>
      </c>
      <c r="P211" s="250">
        <f t="shared" si="121"/>
        <v>4851.1257821587715</v>
      </c>
      <c r="Q211" s="250">
        <f t="shared" si="121"/>
        <v>5292.5646818035821</v>
      </c>
      <c r="R211" s="250">
        <f t="shared" si="121"/>
        <v>5729.4258075839907</v>
      </c>
      <c r="S211" s="250">
        <f t="shared" si="121"/>
        <v>6241.4415749378059</v>
      </c>
      <c r="T211" s="250">
        <f t="shared" si="121"/>
        <v>6758.5360162590341</v>
      </c>
      <c r="U211" s="250">
        <f t="shared" si="121"/>
        <v>7277.1250428922913</v>
      </c>
      <c r="V211" s="250">
        <f t="shared" si="121"/>
        <v>7793.4030019883412</v>
      </c>
      <c r="W211" s="250">
        <f t="shared" si="121"/>
        <v>8303.3452961607709</v>
      </c>
      <c r="X211" s="250">
        <f t="shared" si="121"/>
        <v>8985.5854737175778</v>
      </c>
      <c r="Y211" s="250">
        <f t="shared" si="121"/>
        <v>9658.5654021938335</v>
      </c>
      <c r="Z211" s="250">
        <f t="shared" si="121"/>
        <v>10315.858743336479</v>
      </c>
      <c r="AA211" s="250">
        <f t="shared" si="121"/>
        <v>10950.711306978319</v>
      </c>
      <c r="AB211" s="250">
        <f t="shared" si="121"/>
        <v>11556.044983921269</v>
      </c>
      <c r="AC211" s="250">
        <f t="shared" si="121"/>
        <v>12003.539494644547</v>
      </c>
      <c r="AD211" s="250">
        <f t="shared" si="121"/>
        <v>12383.146395784213</v>
      </c>
      <c r="AE211" s="250">
        <f t="shared" si="121"/>
        <v>12684.851701471891</v>
      </c>
      <c r="AF211" s="250">
        <f t="shared" si="121"/>
        <v>12898.272640940231</v>
      </c>
      <c r="AG211" s="250">
        <f t="shared" si="121"/>
        <v>13012.662224394182</v>
      </c>
      <c r="AH211" s="217"/>
      <c r="AI211" s="368"/>
      <c r="AJ211" s="369"/>
      <c r="AL211" s="194"/>
      <c r="AM211" s="116"/>
      <c r="AN211" s="116"/>
      <c r="AO211" s="116"/>
      <c r="BD211" s="116"/>
      <c r="BE211" s="116"/>
      <c r="BF211" s="116"/>
      <c r="BG211" s="116"/>
      <c r="BH211" s="116"/>
      <c r="BI211" s="116"/>
      <c r="BJ211" s="116"/>
      <c r="BK211" s="116"/>
    </row>
    <row r="212" spans="1:63" outlineLevel="1">
      <c r="A212" s="4" t="s">
        <v>35</v>
      </c>
      <c r="C212" s="203">
        <f t="shared" ref="C212:AG212" si="122">C207-$C207</f>
        <v>0</v>
      </c>
      <c r="D212" s="203">
        <f t="shared" si="122"/>
        <v>4.6658124419884501</v>
      </c>
      <c r="E212" s="203">
        <f t="shared" si="122"/>
        <v>22.079617135998848</v>
      </c>
      <c r="F212" s="203">
        <f t="shared" si="122"/>
        <v>57.779299240190348</v>
      </c>
      <c r="G212" s="203">
        <f t="shared" si="122"/>
        <v>117.8487889745582</v>
      </c>
      <c r="H212" s="203">
        <f t="shared" si="122"/>
        <v>208.91176318972808</v>
      </c>
      <c r="I212" s="203">
        <f t="shared" si="122"/>
        <v>327.6773147210647</v>
      </c>
      <c r="J212" s="203">
        <f t="shared" si="122"/>
        <v>481.45995094312548</v>
      </c>
      <c r="K212" s="203">
        <f t="shared" si="122"/>
        <v>673.455652357556</v>
      </c>
      <c r="L212" s="203">
        <f t="shared" si="122"/>
        <v>906.29751678896821</v>
      </c>
      <c r="M212" s="203">
        <f t="shared" si="122"/>
        <v>1181.9710476330033</v>
      </c>
      <c r="N212" s="203">
        <f t="shared" si="122"/>
        <v>1456.9281460345785</v>
      </c>
      <c r="O212" s="203">
        <f t="shared" si="122"/>
        <v>1763.9543560889722</v>
      </c>
      <c r="P212" s="203">
        <f t="shared" si="122"/>
        <v>2102.1328342729216</v>
      </c>
      <c r="Q212" s="203">
        <f t="shared" si="122"/>
        <v>2469.8380560953765</v>
      </c>
      <c r="R212" s="203">
        <f t="shared" si="122"/>
        <v>2864.6833711690251</v>
      </c>
      <c r="S212" s="203">
        <f t="shared" si="122"/>
        <v>3328.7345233429983</v>
      </c>
      <c r="T212" s="203">
        <f t="shared" si="122"/>
        <v>3829.7975936917824</v>
      </c>
      <c r="U212" s="203">
        <f t="shared" si="122"/>
        <v>4366.2300133524768</v>
      </c>
      <c r="V212" s="203">
        <f t="shared" si="122"/>
        <v>4935.7710173584692</v>
      </c>
      <c r="W212" s="203">
        <f t="shared" si="122"/>
        <v>5535.5064640742612</v>
      </c>
      <c r="X212" s="203">
        <f t="shared" si="122"/>
        <v>6289.8449882683262</v>
      </c>
      <c r="Y212" s="203">
        <f t="shared" si="122"/>
        <v>7082.8749427623534</v>
      </c>
      <c r="Z212" s="203">
        <f t="shared" si="122"/>
        <v>7908.743503658935</v>
      </c>
      <c r="AA212" s="203">
        <f t="shared" si="122"/>
        <v>8760.4787319661373</v>
      </c>
      <c r="AB212" s="203">
        <f t="shared" si="122"/>
        <v>9629.9382095440415</v>
      </c>
      <c r="AC212" s="203">
        <f t="shared" si="122"/>
        <v>10402.960315720893</v>
      </c>
      <c r="AD212" s="203">
        <f t="shared" si="122"/>
        <v>11144.716862977264</v>
      </c>
      <c r="AE212" s="203">
        <f t="shared" si="122"/>
        <v>11839.072869883223</v>
      </c>
      <c r="AF212" s="203">
        <f t="shared" si="122"/>
        <v>12468.201682263858</v>
      </c>
      <c r="AG212" s="203">
        <f t="shared" si="122"/>
        <v>13012.528075507294</v>
      </c>
      <c r="AH212" s="217"/>
      <c r="AI212" s="124"/>
      <c r="AJ212" s="185"/>
      <c r="AL212" s="100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03">
        <f t="shared" ref="C213:AG213" si="123">C208-$C208</f>
        <v>0</v>
      </c>
      <c r="D213" s="203">
        <f t="shared" si="123"/>
        <v>0</v>
      </c>
      <c r="E213" s="203">
        <f t="shared" si="123"/>
        <v>0</v>
      </c>
      <c r="F213" s="203">
        <f t="shared" si="123"/>
        <v>0</v>
      </c>
      <c r="G213" s="203">
        <f t="shared" si="123"/>
        <v>0</v>
      </c>
      <c r="H213" s="203">
        <f t="shared" si="123"/>
        <v>0</v>
      </c>
      <c r="I213" s="203">
        <f t="shared" si="123"/>
        <v>0</v>
      </c>
      <c r="J213" s="203">
        <f t="shared" si="123"/>
        <v>0</v>
      </c>
      <c r="K213" s="203">
        <f t="shared" si="123"/>
        <v>0</v>
      </c>
      <c r="L213" s="203">
        <f t="shared" si="123"/>
        <v>0</v>
      </c>
      <c r="M213" s="203">
        <f t="shared" si="123"/>
        <v>0</v>
      </c>
      <c r="N213" s="203">
        <f t="shared" si="123"/>
        <v>0</v>
      </c>
      <c r="O213" s="203">
        <f t="shared" si="123"/>
        <v>0</v>
      </c>
      <c r="P213" s="203">
        <f t="shared" si="123"/>
        <v>0</v>
      </c>
      <c r="Q213" s="203">
        <f t="shared" si="123"/>
        <v>0</v>
      </c>
      <c r="R213" s="203">
        <f t="shared" si="123"/>
        <v>0</v>
      </c>
      <c r="S213" s="203">
        <f t="shared" si="123"/>
        <v>0</v>
      </c>
      <c r="T213" s="203">
        <f t="shared" si="123"/>
        <v>0</v>
      </c>
      <c r="U213" s="203">
        <f t="shared" si="123"/>
        <v>0</v>
      </c>
      <c r="V213" s="203">
        <f t="shared" si="123"/>
        <v>0</v>
      </c>
      <c r="W213" s="203">
        <f t="shared" si="123"/>
        <v>0</v>
      </c>
      <c r="X213" s="203">
        <f t="shared" si="123"/>
        <v>0</v>
      </c>
      <c r="Y213" s="203">
        <f t="shared" si="123"/>
        <v>0</v>
      </c>
      <c r="Z213" s="203">
        <f t="shared" si="123"/>
        <v>0</v>
      </c>
      <c r="AA213" s="203">
        <f t="shared" si="123"/>
        <v>0</v>
      </c>
      <c r="AB213" s="203">
        <f t="shared" si="123"/>
        <v>0</v>
      </c>
      <c r="AC213" s="203">
        <f t="shared" si="123"/>
        <v>0</v>
      </c>
      <c r="AD213" s="203">
        <f t="shared" si="123"/>
        <v>0</v>
      </c>
      <c r="AE213" s="203">
        <f t="shared" si="123"/>
        <v>0</v>
      </c>
      <c r="AF213" s="203">
        <f t="shared" si="123"/>
        <v>0</v>
      </c>
      <c r="AG213" s="203">
        <f t="shared" si="123"/>
        <v>0</v>
      </c>
      <c r="AH213" s="217"/>
      <c r="AI213" s="124"/>
      <c r="AJ213" s="185"/>
      <c r="AL213" s="100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160</v>
      </c>
      <c r="C214" s="203">
        <f t="shared" ref="C214:AG214" si="124">C209-$C209</f>
        <v>0</v>
      </c>
      <c r="D214" s="203">
        <f t="shared" si="124"/>
        <v>0</v>
      </c>
      <c r="E214" s="203">
        <f t="shared" si="124"/>
        <v>0</v>
      </c>
      <c r="F214" s="203">
        <f t="shared" si="124"/>
        <v>0</v>
      </c>
      <c r="G214" s="203">
        <f t="shared" si="124"/>
        <v>0</v>
      </c>
      <c r="H214" s="203">
        <f t="shared" si="124"/>
        <v>0</v>
      </c>
      <c r="I214" s="203">
        <f t="shared" si="124"/>
        <v>0</v>
      </c>
      <c r="J214" s="203">
        <f t="shared" si="124"/>
        <v>0</v>
      </c>
      <c r="K214" s="203">
        <f t="shared" si="124"/>
        <v>0</v>
      </c>
      <c r="L214" s="203">
        <f t="shared" si="124"/>
        <v>0</v>
      </c>
      <c r="M214" s="203">
        <f t="shared" si="124"/>
        <v>0</v>
      </c>
      <c r="N214" s="203">
        <f t="shared" si="124"/>
        <v>0</v>
      </c>
      <c r="O214" s="203">
        <f t="shared" si="124"/>
        <v>0</v>
      </c>
      <c r="P214" s="203">
        <f t="shared" si="124"/>
        <v>0</v>
      </c>
      <c r="Q214" s="203">
        <f t="shared" si="124"/>
        <v>0</v>
      </c>
      <c r="R214" s="203">
        <f t="shared" si="124"/>
        <v>0</v>
      </c>
      <c r="S214" s="203">
        <f t="shared" si="124"/>
        <v>0</v>
      </c>
      <c r="T214" s="203">
        <f t="shared" si="124"/>
        <v>0</v>
      </c>
      <c r="U214" s="203">
        <f t="shared" si="124"/>
        <v>0</v>
      </c>
      <c r="V214" s="203">
        <f t="shared" si="124"/>
        <v>0</v>
      </c>
      <c r="W214" s="203">
        <f t="shared" si="124"/>
        <v>0</v>
      </c>
      <c r="X214" s="203">
        <f t="shared" si="124"/>
        <v>0</v>
      </c>
      <c r="Y214" s="203">
        <f t="shared" si="124"/>
        <v>0</v>
      </c>
      <c r="Z214" s="203">
        <f t="shared" si="124"/>
        <v>0</v>
      </c>
      <c r="AA214" s="203">
        <f t="shared" si="124"/>
        <v>0</v>
      </c>
      <c r="AB214" s="203">
        <f t="shared" si="124"/>
        <v>0</v>
      </c>
      <c r="AC214" s="203">
        <f t="shared" si="124"/>
        <v>0</v>
      </c>
      <c r="AD214" s="203">
        <f t="shared" si="124"/>
        <v>0</v>
      </c>
      <c r="AE214" s="203">
        <f t="shared" si="124"/>
        <v>0</v>
      </c>
      <c r="AF214" s="203">
        <f t="shared" si="124"/>
        <v>0</v>
      </c>
      <c r="AG214" s="203">
        <f t="shared" si="124"/>
        <v>0</v>
      </c>
      <c r="AH214" s="217"/>
      <c r="AI214" s="124"/>
      <c r="AJ214" s="185"/>
      <c r="AL214" s="100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1040</v>
      </c>
      <c r="C215" s="203">
        <f t="shared" ref="C215:AG215" si="125">C210-$C210</f>
        <v>0</v>
      </c>
      <c r="D215" s="203">
        <f t="shared" si="125"/>
        <v>4.8100841119490732E-5</v>
      </c>
      <c r="E215" s="203">
        <f t="shared" si="125"/>
        <v>2.2762341372325884E-4</v>
      </c>
      <c r="F215" s="203">
        <f t="shared" si="125"/>
        <v>5.9565893985302786E-4</v>
      </c>
      <c r="G215" s="203">
        <f t="shared" si="125"/>
        <v>1.2149279348601058E-3</v>
      </c>
      <c r="H215" s="203">
        <f t="shared" si="125"/>
        <v>2.1537152755542886E-3</v>
      </c>
      <c r="I215" s="203">
        <f t="shared" si="125"/>
        <v>3.3780943082963111E-3</v>
      </c>
      <c r="J215" s="203">
        <f t="shared" si="125"/>
        <v>4.9634718269651375E-3</v>
      </c>
      <c r="K215" s="203">
        <f t="shared" si="125"/>
        <v>6.9427958662796972E-3</v>
      </c>
      <c r="L215" s="203">
        <f t="shared" si="125"/>
        <v>9.3432115851353522E-3</v>
      </c>
      <c r="M215" s="203">
        <f t="shared" si="125"/>
        <v>1.2185187955348563E-2</v>
      </c>
      <c r="N215" s="203">
        <f t="shared" si="125"/>
        <v>1.5019778472933515E-2</v>
      </c>
      <c r="O215" s="203">
        <f t="shared" si="125"/>
        <v>1.8184976202795956E-2</v>
      </c>
      <c r="P215" s="203">
        <f t="shared" si="125"/>
        <v>2.1671329212353468E-2</v>
      </c>
      <c r="Q215" s="203">
        <f t="shared" si="125"/>
        <v>2.5462079627976968E-2</v>
      </c>
      <c r="R215" s="203">
        <f t="shared" si="125"/>
        <v>2.9532622969200256E-2</v>
      </c>
      <c r="S215" s="203">
        <f t="shared" si="125"/>
        <v>3.4316623830693123E-2</v>
      </c>
      <c r="T215" s="203">
        <f t="shared" si="125"/>
        <v>3.9482188335772037E-2</v>
      </c>
      <c r="U215" s="203">
        <f t="shared" si="125"/>
        <v>4.5012382896796127E-2</v>
      </c>
      <c r="V215" s="203">
        <f t="shared" si="125"/>
        <v>5.0883900812559633E-2</v>
      </c>
      <c r="W215" s="203">
        <f t="shared" si="125"/>
        <v>5.7066699584451319E-2</v>
      </c>
      <c r="X215" s="203">
        <f t="shared" si="125"/>
        <v>6.4843333976361509E-2</v>
      </c>
      <c r="Y215" s="203">
        <f t="shared" si="125"/>
        <v>7.3018846455353836E-2</v>
      </c>
      <c r="Z215" s="203">
        <f t="shared" si="125"/>
        <v>8.1532899029730183E-2</v>
      </c>
      <c r="AA215" s="203">
        <f t="shared" si="125"/>
        <v>9.0313616515068668E-2</v>
      </c>
      <c r="AB215" s="203">
        <f t="shared" si="125"/>
        <v>9.9277057011400938E-2</v>
      </c>
      <c r="AC215" s="203">
        <f t="shared" si="125"/>
        <v>0.10724630437686519</v>
      </c>
      <c r="AD215" s="203">
        <f t="shared" si="125"/>
        <v>0.11489322852405939</v>
      </c>
      <c r="AE215" s="203">
        <f t="shared" si="125"/>
        <v>0.12205149053819078</v>
      </c>
      <c r="AF215" s="203">
        <f t="shared" si="125"/>
        <v>0.12853731169458471</v>
      </c>
      <c r="AG215" s="203">
        <f t="shared" si="125"/>
        <v>0.13414888688841947</v>
      </c>
      <c r="AH215" s="217"/>
      <c r="AI215" s="124"/>
      <c r="AJ215" s="185"/>
      <c r="AL215" s="100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s="1" customFormat="1" outlineLevel="1">
      <c r="A216" s="1" t="s">
        <v>1044</v>
      </c>
      <c r="B216" s="60"/>
      <c r="C216" s="250">
        <f>C200*C42</f>
        <v>0</v>
      </c>
      <c r="D216" s="250">
        <f t="shared" ref="D216:AG216" si="126">D200*D42</f>
        <v>139.97581628488709</v>
      </c>
      <c r="E216" s="250">
        <f t="shared" si="126"/>
        <v>331.19767139118858</v>
      </c>
      <c r="F216" s="250">
        <f t="shared" si="126"/>
        <v>577.79894899130204</v>
      </c>
      <c r="G216" s="250">
        <f t="shared" si="126"/>
        <v>883.87502926869797</v>
      </c>
      <c r="H216" s="250">
        <f t="shared" si="126"/>
        <v>1253.4835014300218</v>
      </c>
      <c r="I216" s="250">
        <f t="shared" si="126"/>
        <v>1638.403464076865</v>
      </c>
      <c r="J216" s="250">
        <f t="shared" si="126"/>
        <v>2063.4210617783674</v>
      </c>
      <c r="K216" s="250">
        <f t="shared" si="126"/>
        <v>2525.4847318253337</v>
      </c>
      <c r="L216" s="250">
        <f t="shared" si="126"/>
        <v>3021.0228666685116</v>
      </c>
      <c r="M216" s="250">
        <f t="shared" si="126"/>
        <v>3545.9496984628768</v>
      </c>
      <c r="N216" s="250">
        <f t="shared" si="126"/>
        <v>3973.4813613083229</v>
      </c>
      <c r="O216" s="250">
        <f t="shared" si="126"/>
        <v>4409.9313526629385</v>
      </c>
      <c r="P216" s="250">
        <f t="shared" si="126"/>
        <v>4851.1257821587715</v>
      </c>
      <c r="Q216" s="250">
        <f t="shared" si="126"/>
        <v>5292.5646818035821</v>
      </c>
      <c r="R216" s="250">
        <f t="shared" si="126"/>
        <v>5729.4258075839907</v>
      </c>
      <c r="S216" s="250">
        <f t="shared" si="126"/>
        <v>6241.4415749378059</v>
      </c>
      <c r="T216" s="250">
        <f t="shared" si="126"/>
        <v>6758.5360162590341</v>
      </c>
      <c r="U216" s="250">
        <f t="shared" si="126"/>
        <v>7277.1250428922913</v>
      </c>
      <c r="V216" s="250">
        <f t="shared" si="126"/>
        <v>7793.4030019883412</v>
      </c>
      <c r="W216" s="250">
        <f t="shared" si="126"/>
        <v>8303.3452961607709</v>
      </c>
      <c r="X216" s="250">
        <f t="shared" si="126"/>
        <v>8985.5854737175778</v>
      </c>
      <c r="Y216" s="250">
        <f t="shared" si="126"/>
        <v>9658.5654021938335</v>
      </c>
      <c r="Z216" s="250">
        <f t="shared" si="126"/>
        <v>10315.858743336479</v>
      </c>
      <c r="AA216" s="250">
        <f t="shared" si="126"/>
        <v>10950.711306978319</v>
      </c>
      <c r="AB216" s="250">
        <f t="shared" si="126"/>
        <v>11556.044983921269</v>
      </c>
      <c r="AC216" s="250">
        <f t="shared" si="126"/>
        <v>12003.539494644547</v>
      </c>
      <c r="AD216" s="250">
        <f t="shared" si="126"/>
        <v>12383.146395784213</v>
      </c>
      <c r="AE216" s="250">
        <f t="shared" si="126"/>
        <v>12684.851701471891</v>
      </c>
      <c r="AF216" s="250">
        <f t="shared" si="126"/>
        <v>12898.272640940231</v>
      </c>
      <c r="AG216" s="250">
        <f t="shared" si="126"/>
        <v>13012.662224394182</v>
      </c>
      <c r="AH216" s="217"/>
      <c r="AI216" s="368"/>
      <c r="AJ216" s="369"/>
      <c r="AL216" s="194"/>
      <c r="AM216" s="116"/>
      <c r="AN216" s="116"/>
      <c r="AO216" s="116"/>
      <c r="BD216" s="116"/>
      <c r="BE216" s="116"/>
      <c r="BF216" s="116"/>
      <c r="BG216" s="116"/>
      <c r="BH216" s="116"/>
      <c r="BI216" s="116"/>
      <c r="BJ216" s="116"/>
      <c r="BK216" s="116"/>
    </row>
    <row r="217" spans="1:63" outlineLevel="1">
      <c r="A217" s="4" t="s">
        <v>35</v>
      </c>
      <c r="C217" s="203">
        <f>C$216*'BTX recycling rates'!E78</f>
        <v>0</v>
      </c>
      <c r="D217" s="203">
        <f>D$216*'BTX recycling rates'!F78</f>
        <v>4.6658124419884501</v>
      </c>
      <c r="E217" s="203">
        <f>E$216*'BTX recycling rates'!G78</f>
        <v>22.079617135998848</v>
      </c>
      <c r="F217" s="203">
        <f>F$216*'BTX recycling rates'!H78</f>
        <v>57.779299240190348</v>
      </c>
      <c r="G217" s="203">
        <f>G$216*'BTX recycling rates'!I78</f>
        <v>117.8487889745582</v>
      </c>
      <c r="H217" s="203">
        <f>H$216*'BTX recycling rates'!J78</f>
        <v>208.91176318972808</v>
      </c>
      <c r="I217" s="203">
        <f>I$216*'BTX recycling rates'!K78</f>
        <v>327.6773147210647</v>
      </c>
      <c r="J217" s="203">
        <f>J$216*'BTX recycling rates'!L78</f>
        <v>481.45995094312548</v>
      </c>
      <c r="K217" s="203">
        <f>K$216*'BTX recycling rates'!M78</f>
        <v>673.455652357556</v>
      </c>
      <c r="L217" s="203">
        <f>L$216*'BTX recycling rates'!N78</f>
        <v>906.29751678896821</v>
      </c>
      <c r="M217" s="203">
        <f>M$216*'BTX recycling rates'!O78</f>
        <v>1181.9710476330033</v>
      </c>
      <c r="N217" s="203">
        <f>N$216*'BTX recycling rates'!P78</f>
        <v>1456.9281460345785</v>
      </c>
      <c r="O217" s="203">
        <f>O$216*'BTX recycling rates'!Q78</f>
        <v>1763.9543560889722</v>
      </c>
      <c r="P217" s="203">
        <f>P$216*'BTX recycling rates'!R78</f>
        <v>2102.1328342729216</v>
      </c>
      <c r="Q217" s="203">
        <f>Q$216*'BTX recycling rates'!S78</f>
        <v>2469.8380560953765</v>
      </c>
      <c r="R217" s="203">
        <f>R$216*'BTX recycling rates'!T78</f>
        <v>2864.6833711690251</v>
      </c>
      <c r="S217" s="203">
        <f>S$216*'BTX recycling rates'!U78</f>
        <v>3328.7345233429983</v>
      </c>
      <c r="T217" s="203">
        <f>T$216*'BTX recycling rates'!V78</f>
        <v>3829.7975936917824</v>
      </c>
      <c r="U217" s="203">
        <f>U$216*'BTX recycling rates'!W78</f>
        <v>4366.2300133524768</v>
      </c>
      <c r="V217" s="203">
        <f>V$216*'BTX recycling rates'!X78</f>
        <v>4935.7710173584692</v>
      </c>
      <c r="W217" s="203">
        <f>W$216*'BTX recycling rates'!Y78</f>
        <v>5535.5064640742612</v>
      </c>
      <c r="X217" s="203">
        <f>X$216*'BTX recycling rates'!Z78</f>
        <v>6289.8449882683262</v>
      </c>
      <c r="Y217" s="203">
        <f>Y$216*'BTX recycling rates'!AA78</f>
        <v>7082.8749427623534</v>
      </c>
      <c r="Z217" s="203">
        <f>Z$216*'BTX recycling rates'!AB78</f>
        <v>7908.743503658935</v>
      </c>
      <c r="AA217" s="203">
        <f>AA$216*'BTX recycling rates'!AC78</f>
        <v>8760.4787319661373</v>
      </c>
      <c r="AB217" s="203">
        <f>AB$216*'BTX recycling rates'!AD78</f>
        <v>9629.9382095440415</v>
      </c>
      <c r="AC217" s="203">
        <f>AC$216*'BTX recycling rates'!AE78</f>
        <v>10402.960315720893</v>
      </c>
      <c r="AD217" s="203">
        <f>AD$216*'BTX recycling rates'!AF78</f>
        <v>11144.716862977264</v>
      </c>
      <c r="AE217" s="203">
        <f>AE$216*'BTX recycling rates'!AG78</f>
        <v>11839.072869883223</v>
      </c>
      <c r="AF217" s="203">
        <f>AF$216*'BTX recycling rates'!AH78</f>
        <v>12468.201682263858</v>
      </c>
      <c r="AG217" s="203">
        <f>AG$216*'BTX recycling rates'!AI78</f>
        <v>13012.528075507294</v>
      </c>
      <c r="AH217" s="217"/>
      <c r="AI217" s="124"/>
      <c r="AJ217" s="185"/>
      <c r="AL217" s="100"/>
      <c r="AM217" s="2"/>
      <c r="AN217" s="2"/>
      <c r="AO217" s="2"/>
      <c r="BC217" s="1"/>
      <c r="BD217" s="2"/>
      <c r="BE217" s="2"/>
      <c r="BF217" s="2"/>
      <c r="BG217" s="2"/>
      <c r="BH217" s="2"/>
      <c r="BI217" s="2"/>
      <c r="BJ217" s="2"/>
      <c r="BK217" s="2"/>
    </row>
    <row r="218" spans="1:63" outlineLevel="1">
      <c r="A218" s="4" t="s">
        <v>74</v>
      </c>
      <c r="C218" s="203">
        <f>C$216*'BTX recycling rates'!E79</f>
        <v>0</v>
      </c>
      <c r="D218" s="203">
        <f>D$216*'BTX recycling rates'!F79</f>
        <v>0</v>
      </c>
      <c r="E218" s="203">
        <f>E$216*'BTX recycling rates'!G79</f>
        <v>0</v>
      </c>
      <c r="F218" s="203">
        <f>F$216*'BTX recycling rates'!H79</f>
        <v>0</v>
      </c>
      <c r="G218" s="203">
        <f>G$216*'BTX recycling rates'!I79</f>
        <v>0</v>
      </c>
      <c r="H218" s="203">
        <f>H$216*'BTX recycling rates'!J79</f>
        <v>0</v>
      </c>
      <c r="I218" s="203">
        <f>I$216*'BTX recycling rates'!K79</f>
        <v>0</v>
      </c>
      <c r="J218" s="203">
        <f>J$216*'BTX recycling rates'!L79</f>
        <v>0</v>
      </c>
      <c r="K218" s="203">
        <f>K$216*'BTX recycling rates'!M79</f>
        <v>0</v>
      </c>
      <c r="L218" s="203">
        <f>L$216*'BTX recycling rates'!N79</f>
        <v>0</v>
      </c>
      <c r="M218" s="203">
        <f>M$216*'BTX recycling rates'!O79</f>
        <v>0</v>
      </c>
      <c r="N218" s="203">
        <f>N$216*'BTX recycling rates'!P79</f>
        <v>0</v>
      </c>
      <c r="O218" s="203">
        <f>O$216*'BTX recycling rates'!Q79</f>
        <v>0</v>
      </c>
      <c r="P218" s="203">
        <f>P$216*'BTX recycling rates'!R79</f>
        <v>0</v>
      </c>
      <c r="Q218" s="203">
        <f>Q$216*'BTX recycling rates'!S79</f>
        <v>0</v>
      </c>
      <c r="R218" s="203">
        <f>R$216*'BTX recycling rates'!T79</f>
        <v>0</v>
      </c>
      <c r="S218" s="203">
        <f>S$216*'BTX recycling rates'!U79</f>
        <v>0</v>
      </c>
      <c r="T218" s="203">
        <f>T$216*'BTX recycling rates'!V79</f>
        <v>0</v>
      </c>
      <c r="U218" s="203">
        <f>U$216*'BTX recycling rates'!W79</f>
        <v>0</v>
      </c>
      <c r="V218" s="203">
        <f>V$216*'BTX recycling rates'!X79</f>
        <v>0</v>
      </c>
      <c r="W218" s="203">
        <f>W$216*'BTX recycling rates'!Y79</f>
        <v>0</v>
      </c>
      <c r="X218" s="203">
        <f>X$216*'BTX recycling rates'!Z79</f>
        <v>0</v>
      </c>
      <c r="Y218" s="203">
        <f>Y$216*'BTX recycling rates'!AA79</f>
        <v>0</v>
      </c>
      <c r="Z218" s="203">
        <f>Z$216*'BTX recycling rates'!AB79</f>
        <v>0</v>
      </c>
      <c r="AA218" s="203">
        <f>AA$216*'BTX recycling rates'!AC79</f>
        <v>0</v>
      </c>
      <c r="AB218" s="203">
        <f>AB$216*'BTX recycling rates'!AD79</f>
        <v>0</v>
      </c>
      <c r="AC218" s="203">
        <f>AC$216*'BTX recycling rates'!AE79</f>
        <v>0</v>
      </c>
      <c r="AD218" s="203">
        <f>AD$216*'BTX recycling rates'!AF79</f>
        <v>0</v>
      </c>
      <c r="AE218" s="203">
        <f>AE$216*'BTX recycling rates'!AG79</f>
        <v>0</v>
      </c>
      <c r="AF218" s="203">
        <f>AF$216*'BTX recycling rates'!AH79</f>
        <v>0</v>
      </c>
      <c r="AG218" s="203">
        <f>AG$216*'BTX recycling rates'!AI79</f>
        <v>0</v>
      </c>
      <c r="AH218" s="217"/>
      <c r="AI218" s="124"/>
      <c r="AJ218" s="185"/>
      <c r="AL218" s="100"/>
      <c r="AM218" s="2"/>
      <c r="AN218" s="2"/>
      <c r="AO218" s="2"/>
      <c r="BC218" s="1"/>
      <c r="BD218" s="2"/>
      <c r="BE218" s="2"/>
      <c r="BF218" s="2"/>
      <c r="BG218" s="2"/>
      <c r="BH218" s="2"/>
      <c r="BI218" s="2"/>
      <c r="BJ218" s="2"/>
      <c r="BK218" s="2"/>
    </row>
    <row r="219" spans="1:63" outlineLevel="1">
      <c r="A219" s="4" t="s">
        <v>160</v>
      </c>
      <c r="C219" s="203">
        <f>C$216*'BTX recycling rates'!E80</f>
        <v>0</v>
      </c>
      <c r="D219" s="203">
        <f>D$216*'BTX recycling rates'!F80</f>
        <v>0</v>
      </c>
      <c r="E219" s="203">
        <f>E$216*'BTX recycling rates'!G80</f>
        <v>0</v>
      </c>
      <c r="F219" s="203">
        <f>F$216*'BTX recycling rates'!H80</f>
        <v>0</v>
      </c>
      <c r="G219" s="203">
        <f>G$216*'BTX recycling rates'!I80</f>
        <v>0</v>
      </c>
      <c r="H219" s="203">
        <f>H$216*'BTX recycling rates'!J80</f>
        <v>0</v>
      </c>
      <c r="I219" s="203">
        <f>I$216*'BTX recycling rates'!K80</f>
        <v>0</v>
      </c>
      <c r="J219" s="203">
        <f>J$216*'BTX recycling rates'!L80</f>
        <v>0</v>
      </c>
      <c r="K219" s="203">
        <f>K$216*'BTX recycling rates'!M80</f>
        <v>0</v>
      </c>
      <c r="L219" s="203">
        <f>L$216*'BTX recycling rates'!N80</f>
        <v>0</v>
      </c>
      <c r="M219" s="203">
        <f>M$216*'BTX recycling rates'!O80</f>
        <v>0</v>
      </c>
      <c r="N219" s="203">
        <f>N$216*'BTX recycling rates'!P80</f>
        <v>0</v>
      </c>
      <c r="O219" s="203">
        <f>O$216*'BTX recycling rates'!Q80</f>
        <v>0</v>
      </c>
      <c r="P219" s="203">
        <f>P$216*'BTX recycling rates'!R80</f>
        <v>0</v>
      </c>
      <c r="Q219" s="203">
        <f>Q$216*'BTX recycling rates'!S80</f>
        <v>0</v>
      </c>
      <c r="R219" s="203">
        <f>R$216*'BTX recycling rates'!T80</f>
        <v>0</v>
      </c>
      <c r="S219" s="203">
        <f>S$216*'BTX recycling rates'!U80</f>
        <v>0</v>
      </c>
      <c r="T219" s="203">
        <f>T$216*'BTX recycling rates'!V80</f>
        <v>0</v>
      </c>
      <c r="U219" s="203">
        <f>U$216*'BTX recycling rates'!W80</f>
        <v>0</v>
      </c>
      <c r="V219" s="203">
        <f>V$216*'BTX recycling rates'!X80</f>
        <v>0</v>
      </c>
      <c r="W219" s="203">
        <f>W$216*'BTX recycling rates'!Y80</f>
        <v>0</v>
      </c>
      <c r="X219" s="203">
        <f>X$216*'BTX recycling rates'!Z80</f>
        <v>0</v>
      </c>
      <c r="Y219" s="203">
        <f>Y$216*'BTX recycling rates'!AA80</f>
        <v>0</v>
      </c>
      <c r="Z219" s="203">
        <f>Z$216*'BTX recycling rates'!AB80</f>
        <v>0</v>
      </c>
      <c r="AA219" s="203">
        <f>AA$216*'BTX recycling rates'!AC80</f>
        <v>0</v>
      </c>
      <c r="AB219" s="203">
        <f>AB$216*'BTX recycling rates'!AD80</f>
        <v>0</v>
      </c>
      <c r="AC219" s="203">
        <f>AC$216*'BTX recycling rates'!AE80</f>
        <v>0</v>
      </c>
      <c r="AD219" s="203">
        <f>AD$216*'BTX recycling rates'!AF80</f>
        <v>0</v>
      </c>
      <c r="AE219" s="203">
        <f>AE$216*'BTX recycling rates'!AG80</f>
        <v>0</v>
      </c>
      <c r="AF219" s="203">
        <f>AF$216*'BTX recycling rates'!AH80</f>
        <v>0</v>
      </c>
      <c r="AG219" s="203">
        <f>AG$216*'BTX recycling rates'!AI80</f>
        <v>0</v>
      </c>
      <c r="AH219" s="217"/>
      <c r="AI219" s="124"/>
      <c r="AJ219" s="185"/>
      <c r="AL219" s="100"/>
      <c r="AM219" s="2"/>
      <c r="AN219" s="2"/>
      <c r="AO219" s="2"/>
      <c r="BC219" s="1"/>
      <c r="BD219" s="2"/>
      <c r="BE219" s="2"/>
      <c r="BF219" s="2"/>
      <c r="BG219" s="2"/>
      <c r="BH219" s="2"/>
      <c r="BI219" s="2"/>
      <c r="BJ219" s="2"/>
      <c r="BK219" s="2"/>
    </row>
    <row r="220" spans="1:63" outlineLevel="1">
      <c r="A220" s="4" t="s">
        <v>1040</v>
      </c>
      <c r="C220" s="203">
        <f>C$216*'BTX recycling rates'!E81</f>
        <v>0</v>
      </c>
      <c r="D220" s="203">
        <f>D$216*'BTX recycling rates'!F81</f>
        <v>4.8100841119490732E-5</v>
      </c>
      <c r="E220" s="203">
        <f>E$216*'BTX recycling rates'!G81</f>
        <v>2.2762341372325884E-4</v>
      </c>
      <c r="F220" s="203">
        <f>F$216*'BTX recycling rates'!H81</f>
        <v>5.9565893985302786E-4</v>
      </c>
      <c r="G220" s="203">
        <f>G$216*'BTX recycling rates'!I81</f>
        <v>1.2149279348601058E-3</v>
      </c>
      <c r="H220" s="203">
        <f>H$216*'BTX recycling rates'!J81</f>
        <v>2.1537152755542886E-3</v>
      </c>
      <c r="I220" s="203">
        <f>I$216*'BTX recycling rates'!K81</f>
        <v>3.3780943082963111E-3</v>
      </c>
      <c r="J220" s="203">
        <f>J$216*'BTX recycling rates'!L81</f>
        <v>4.9634718269651375E-3</v>
      </c>
      <c r="K220" s="203">
        <f>K$216*'BTX recycling rates'!M81</f>
        <v>6.9427958662796972E-3</v>
      </c>
      <c r="L220" s="203">
        <f>L$216*'BTX recycling rates'!N81</f>
        <v>9.3432115851353522E-3</v>
      </c>
      <c r="M220" s="203">
        <f>M$216*'BTX recycling rates'!O81</f>
        <v>1.2185187955348563E-2</v>
      </c>
      <c r="N220" s="203">
        <f>N$216*'BTX recycling rates'!P81</f>
        <v>1.5019778472933515E-2</v>
      </c>
      <c r="O220" s="203">
        <f>O$216*'BTX recycling rates'!Q81</f>
        <v>1.8184976202795956E-2</v>
      </c>
      <c r="P220" s="203">
        <f>P$216*'BTX recycling rates'!R81</f>
        <v>2.1671329212353468E-2</v>
      </c>
      <c r="Q220" s="203">
        <f>Q$216*'BTX recycling rates'!S81</f>
        <v>2.5462079627976968E-2</v>
      </c>
      <c r="R220" s="203">
        <f>R$216*'BTX recycling rates'!T81</f>
        <v>2.9532622969200256E-2</v>
      </c>
      <c r="S220" s="203">
        <f>S$216*'BTX recycling rates'!U81</f>
        <v>3.4316623830693123E-2</v>
      </c>
      <c r="T220" s="203">
        <f>T$216*'BTX recycling rates'!V81</f>
        <v>3.9482188335772037E-2</v>
      </c>
      <c r="U220" s="203">
        <f>U$216*'BTX recycling rates'!W81</f>
        <v>4.5012382896796127E-2</v>
      </c>
      <c r="V220" s="203">
        <f>V$216*'BTX recycling rates'!X81</f>
        <v>5.0883900812559633E-2</v>
      </c>
      <c r="W220" s="203">
        <f>W$216*'BTX recycling rates'!Y81</f>
        <v>5.7066699584451319E-2</v>
      </c>
      <c r="X220" s="203">
        <f>X$216*'BTX recycling rates'!Z81</f>
        <v>6.4843333976361509E-2</v>
      </c>
      <c r="Y220" s="203">
        <f>Y$216*'BTX recycling rates'!AA81</f>
        <v>7.3018846455353836E-2</v>
      </c>
      <c r="Z220" s="203">
        <f>Z$216*'BTX recycling rates'!AB81</f>
        <v>8.1532899029730183E-2</v>
      </c>
      <c r="AA220" s="203">
        <f>AA$216*'BTX recycling rates'!AC81</f>
        <v>9.0313616515068668E-2</v>
      </c>
      <c r="AB220" s="203">
        <f>AB$216*'BTX recycling rates'!AD81</f>
        <v>9.9277057011400938E-2</v>
      </c>
      <c r="AC220" s="203">
        <f>AC$216*'BTX recycling rates'!AE81</f>
        <v>0.10724630437686519</v>
      </c>
      <c r="AD220" s="203">
        <f>AD$216*'BTX recycling rates'!AF81</f>
        <v>0.11489322852405939</v>
      </c>
      <c r="AE220" s="203">
        <f>AE$216*'BTX recycling rates'!AG81</f>
        <v>0.12205149053819078</v>
      </c>
      <c r="AF220" s="203">
        <f>AF$216*'BTX recycling rates'!AH81</f>
        <v>0.12853731169458471</v>
      </c>
      <c r="AG220" s="203">
        <f>AG$216*'BTX recycling rates'!AI81</f>
        <v>0.13414888688841947</v>
      </c>
      <c r="AH220" s="217"/>
      <c r="AI220" s="124"/>
      <c r="AJ220" s="185"/>
      <c r="AL220" s="100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s="1" customFormat="1" outlineLevel="1">
      <c r="A221" s="1" t="s">
        <v>1047</v>
      </c>
      <c r="B221" s="60"/>
      <c r="C221" s="250">
        <f t="shared" ref="C221:AG221" si="127">C216-$C216</f>
        <v>0</v>
      </c>
      <c r="D221" s="250">
        <f t="shared" si="127"/>
        <v>139.97581628488709</v>
      </c>
      <c r="E221" s="250">
        <f t="shared" si="127"/>
        <v>331.19767139118858</v>
      </c>
      <c r="F221" s="250">
        <f t="shared" si="127"/>
        <v>577.79894899130204</v>
      </c>
      <c r="G221" s="250">
        <f t="shared" si="127"/>
        <v>883.87502926869797</v>
      </c>
      <c r="H221" s="250">
        <f t="shared" si="127"/>
        <v>1253.4835014300218</v>
      </c>
      <c r="I221" s="250">
        <f t="shared" si="127"/>
        <v>1638.403464076865</v>
      </c>
      <c r="J221" s="250">
        <f t="shared" si="127"/>
        <v>2063.4210617783674</v>
      </c>
      <c r="K221" s="250">
        <f t="shared" si="127"/>
        <v>2525.4847318253337</v>
      </c>
      <c r="L221" s="250">
        <f t="shared" si="127"/>
        <v>3021.0228666685116</v>
      </c>
      <c r="M221" s="250">
        <f t="shared" si="127"/>
        <v>3545.9496984628768</v>
      </c>
      <c r="N221" s="250">
        <f t="shared" si="127"/>
        <v>3973.4813613083229</v>
      </c>
      <c r="O221" s="250">
        <f t="shared" si="127"/>
        <v>4409.9313526629385</v>
      </c>
      <c r="P221" s="250">
        <f t="shared" si="127"/>
        <v>4851.1257821587715</v>
      </c>
      <c r="Q221" s="250">
        <f t="shared" si="127"/>
        <v>5292.5646818035821</v>
      </c>
      <c r="R221" s="250">
        <f t="shared" si="127"/>
        <v>5729.4258075839907</v>
      </c>
      <c r="S221" s="250">
        <f t="shared" si="127"/>
        <v>6241.4415749378059</v>
      </c>
      <c r="T221" s="250">
        <f t="shared" si="127"/>
        <v>6758.5360162590341</v>
      </c>
      <c r="U221" s="250">
        <f t="shared" si="127"/>
        <v>7277.1250428922913</v>
      </c>
      <c r="V221" s="250">
        <f t="shared" si="127"/>
        <v>7793.4030019883412</v>
      </c>
      <c r="W221" s="250">
        <f t="shared" si="127"/>
        <v>8303.3452961607709</v>
      </c>
      <c r="X221" s="250">
        <f t="shared" si="127"/>
        <v>8985.5854737175778</v>
      </c>
      <c r="Y221" s="250">
        <f t="shared" si="127"/>
        <v>9658.5654021938335</v>
      </c>
      <c r="Z221" s="250">
        <f t="shared" si="127"/>
        <v>10315.858743336479</v>
      </c>
      <c r="AA221" s="250">
        <f t="shared" si="127"/>
        <v>10950.711306978319</v>
      </c>
      <c r="AB221" s="250">
        <f t="shared" si="127"/>
        <v>11556.044983921269</v>
      </c>
      <c r="AC221" s="250">
        <f t="shared" si="127"/>
        <v>12003.539494644547</v>
      </c>
      <c r="AD221" s="250">
        <f t="shared" si="127"/>
        <v>12383.146395784213</v>
      </c>
      <c r="AE221" s="250">
        <f t="shared" si="127"/>
        <v>12684.851701471891</v>
      </c>
      <c r="AF221" s="250">
        <f t="shared" si="127"/>
        <v>12898.272640940231</v>
      </c>
      <c r="AG221" s="250">
        <f t="shared" si="127"/>
        <v>13012.662224394182</v>
      </c>
      <c r="AH221" s="217"/>
      <c r="AI221" s="368"/>
      <c r="AJ221" s="369"/>
      <c r="AL221" s="194"/>
      <c r="AM221" s="116"/>
      <c r="AN221" s="116"/>
      <c r="AO221" s="116"/>
      <c r="BD221" s="116"/>
      <c r="BE221" s="116"/>
      <c r="BF221" s="116"/>
      <c r="BG221" s="116"/>
      <c r="BH221" s="116"/>
      <c r="BI221" s="116"/>
      <c r="BJ221" s="116"/>
      <c r="BK221" s="116"/>
    </row>
    <row r="222" spans="1:63" outlineLevel="1">
      <c r="A222" s="4" t="s">
        <v>35</v>
      </c>
      <c r="C222" s="203">
        <f t="shared" ref="C222:AG222" si="128">C217-$C217</f>
        <v>0</v>
      </c>
      <c r="D222" s="203">
        <f t="shared" si="128"/>
        <v>4.6658124419884501</v>
      </c>
      <c r="E222" s="203">
        <f t="shared" si="128"/>
        <v>22.079617135998848</v>
      </c>
      <c r="F222" s="203">
        <f t="shared" si="128"/>
        <v>57.779299240190348</v>
      </c>
      <c r="G222" s="203">
        <f t="shared" si="128"/>
        <v>117.8487889745582</v>
      </c>
      <c r="H222" s="203">
        <f t="shared" si="128"/>
        <v>208.91176318972808</v>
      </c>
      <c r="I222" s="203">
        <f t="shared" si="128"/>
        <v>327.6773147210647</v>
      </c>
      <c r="J222" s="203">
        <f t="shared" si="128"/>
        <v>481.45995094312548</v>
      </c>
      <c r="K222" s="203">
        <f t="shared" si="128"/>
        <v>673.455652357556</v>
      </c>
      <c r="L222" s="203">
        <f t="shared" si="128"/>
        <v>906.29751678896821</v>
      </c>
      <c r="M222" s="203">
        <f t="shared" si="128"/>
        <v>1181.9710476330033</v>
      </c>
      <c r="N222" s="203">
        <f t="shared" si="128"/>
        <v>1456.9281460345785</v>
      </c>
      <c r="O222" s="203">
        <f t="shared" si="128"/>
        <v>1763.9543560889722</v>
      </c>
      <c r="P222" s="203">
        <f t="shared" si="128"/>
        <v>2102.1328342729216</v>
      </c>
      <c r="Q222" s="203">
        <f t="shared" si="128"/>
        <v>2469.8380560953765</v>
      </c>
      <c r="R222" s="203">
        <f t="shared" si="128"/>
        <v>2864.6833711690251</v>
      </c>
      <c r="S222" s="203">
        <f t="shared" si="128"/>
        <v>3328.7345233429983</v>
      </c>
      <c r="T222" s="203">
        <f t="shared" si="128"/>
        <v>3829.7975936917824</v>
      </c>
      <c r="U222" s="203">
        <f t="shared" si="128"/>
        <v>4366.2300133524768</v>
      </c>
      <c r="V222" s="203">
        <f t="shared" si="128"/>
        <v>4935.7710173584692</v>
      </c>
      <c r="W222" s="203">
        <f t="shared" si="128"/>
        <v>5535.5064640742612</v>
      </c>
      <c r="X222" s="203">
        <f t="shared" si="128"/>
        <v>6289.8449882683262</v>
      </c>
      <c r="Y222" s="203">
        <f t="shared" si="128"/>
        <v>7082.8749427623534</v>
      </c>
      <c r="Z222" s="203">
        <f t="shared" si="128"/>
        <v>7908.743503658935</v>
      </c>
      <c r="AA222" s="203">
        <f t="shared" si="128"/>
        <v>8760.4787319661373</v>
      </c>
      <c r="AB222" s="203">
        <f t="shared" si="128"/>
        <v>9629.9382095440415</v>
      </c>
      <c r="AC222" s="203">
        <f t="shared" si="128"/>
        <v>10402.960315720893</v>
      </c>
      <c r="AD222" s="203">
        <f t="shared" si="128"/>
        <v>11144.716862977264</v>
      </c>
      <c r="AE222" s="203">
        <f t="shared" si="128"/>
        <v>11839.072869883223</v>
      </c>
      <c r="AF222" s="203">
        <f t="shared" si="128"/>
        <v>12468.201682263858</v>
      </c>
      <c r="AG222" s="203">
        <f t="shared" si="128"/>
        <v>13012.528075507294</v>
      </c>
      <c r="AH222" s="217"/>
      <c r="AI222" s="124"/>
      <c r="AJ222" s="185"/>
      <c r="AL222" s="100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outlineLevel="1">
      <c r="A223" s="4" t="s">
        <v>74</v>
      </c>
      <c r="C223" s="203">
        <f t="shared" ref="C223:AG223" si="129">C218-$C218</f>
        <v>0</v>
      </c>
      <c r="D223" s="203">
        <f t="shared" si="129"/>
        <v>0</v>
      </c>
      <c r="E223" s="203">
        <f t="shared" si="129"/>
        <v>0</v>
      </c>
      <c r="F223" s="203">
        <f t="shared" si="129"/>
        <v>0</v>
      </c>
      <c r="G223" s="203">
        <f t="shared" si="129"/>
        <v>0</v>
      </c>
      <c r="H223" s="203">
        <f t="shared" si="129"/>
        <v>0</v>
      </c>
      <c r="I223" s="203">
        <f t="shared" si="129"/>
        <v>0</v>
      </c>
      <c r="J223" s="203">
        <f t="shared" si="129"/>
        <v>0</v>
      </c>
      <c r="K223" s="203">
        <f t="shared" si="129"/>
        <v>0</v>
      </c>
      <c r="L223" s="203">
        <f t="shared" si="129"/>
        <v>0</v>
      </c>
      <c r="M223" s="203">
        <f t="shared" si="129"/>
        <v>0</v>
      </c>
      <c r="N223" s="203">
        <f t="shared" si="129"/>
        <v>0</v>
      </c>
      <c r="O223" s="203">
        <f t="shared" si="129"/>
        <v>0</v>
      </c>
      <c r="P223" s="203">
        <f t="shared" si="129"/>
        <v>0</v>
      </c>
      <c r="Q223" s="203">
        <f t="shared" si="129"/>
        <v>0</v>
      </c>
      <c r="R223" s="203">
        <f t="shared" si="129"/>
        <v>0</v>
      </c>
      <c r="S223" s="203">
        <f t="shared" si="129"/>
        <v>0</v>
      </c>
      <c r="T223" s="203">
        <f t="shared" si="129"/>
        <v>0</v>
      </c>
      <c r="U223" s="203">
        <f t="shared" si="129"/>
        <v>0</v>
      </c>
      <c r="V223" s="203">
        <f t="shared" si="129"/>
        <v>0</v>
      </c>
      <c r="W223" s="203">
        <f t="shared" si="129"/>
        <v>0</v>
      </c>
      <c r="X223" s="203">
        <f t="shared" si="129"/>
        <v>0</v>
      </c>
      <c r="Y223" s="203">
        <f t="shared" si="129"/>
        <v>0</v>
      </c>
      <c r="Z223" s="203">
        <f t="shared" si="129"/>
        <v>0</v>
      </c>
      <c r="AA223" s="203">
        <f t="shared" si="129"/>
        <v>0</v>
      </c>
      <c r="AB223" s="203">
        <f t="shared" si="129"/>
        <v>0</v>
      </c>
      <c r="AC223" s="203">
        <f t="shared" si="129"/>
        <v>0</v>
      </c>
      <c r="AD223" s="203">
        <f t="shared" si="129"/>
        <v>0</v>
      </c>
      <c r="AE223" s="203">
        <f t="shared" si="129"/>
        <v>0</v>
      </c>
      <c r="AF223" s="203">
        <f t="shared" si="129"/>
        <v>0</v>
      </c>
      <c r="AG223" s="203">
        <f t="shared" si="129"/>
        <v>0</v>
      </c>
      <c r="AH223" s="217"/>
      <c r="AI223" s="124"/>
      <c r="AJ223" s="185"/>
      <c r="AL223" s="100"/>
      <c r="AM223" s="2"/>
      <c r="AN223" s="2"/>
      <c r="AO223" s="2"/>
      <c r="BC223" s="1"/>
      <c r="BD223" s="2"/>
      <c r="BE223" s="2"/>
      <c r="BF223" s="2"/>
      <c r="BG223" s="2"/>
      <c r="BH223" s="2"/>
      <c r="BI223" s="2"/>
      <c r="BJ223" s="2"/>
      <c r="BK223" s="2"/>
    </row>
    <row r="224" spans="1:63" outlineLevel="1">
      <c r="A224" s="4" t="s">
        <v>160</v>
      </c>
      <c r="C224" s="203">
        <f t="shared" ref="C224:AG224" si="130">C219-$C219</f>
        <v>0</v>
      </c>
      <c r="D224" s="203">
        <f t="shared" si="130"/>
        <v>0</v>
      </c>
      <c r="E224" s="203">
        <f t="shared" si="130"/>
        <v>0</v>
      </c>
      <c r="F224" s="203">
        <f t="shared" si="130"/>
        <v>0</v>
      </c>
      <c r="G224" s="203">
        <f t="shared" si="130"/>
        <v>0</v>
      </c>
      <c r="H224" s="203">
        <f t="shared" si="130"/>
        <v>0</v>
      </c>
      <c r="I224" s="203">
        <f t="shared" si="130"/>
        <v>0</v>
      </c>
      <c r="J224" s="203">
        <f t="shared" si="130"/>
        <v>0</v>
      </c>
      <c r="K224" s="203">
        <f t="shared" si="130"/>
        <v>0</v>
      </c>
      <c r="L224" s="203">
        <f t="shared" si="130"/>
        <v>0</v>
      </c>
      <c r="M224" s="203">
        <f t="shared" si="130"/>
        <v>0</v>
      </c>
      <c r="N224" s="203">
        <f t="shared" si="130"/>
        <v>0</v>
      </c>
      <c r="O224" s="203">
        <f t="shared" si="130"/>
        <v>0</v>
      </c>
      <c r="P224" s="203">
        <f t="shared" si="130"/>
        <v>0</v>
      </c>
      <c r="Q224" s="203">
        <f t="shared" si="130"/>
        <v>0</v>
      </c>
      <c r="R224" s="203">
        <f t="shared" si="130"/>
        <v>0</v>
      </c>
      <c r="S224" s="203">
        <f t="shared" si="130"/>
        <v>0</v>
      </c>
      <c r="T224" s="203">
        <f t="shared" si="130"/>
        <v>0</v>
      </c>
      <c r="U224" s="203">
        <f t="shared" si="130"/>
        <v>0</v>
      </c>
      <c r="V224" s="203">
        <f t="shared" si="130"/>
        <v>0</v>
      </c>
      <c r="W224" s="203">
        <f t="shared" si="130"/>
        <v>0</v>
      </c>
      <c r="X224" s="203">
        <f t="shared" si="130"/>
        <v>0</v>
      </c>
      <c r="Y224" s="203">
        <f t="shared" si="130"/>
        <v>0</v>
      </c>
      <c r="Z224" s="203">
        <f t="shared" si="130"/>
        <v>0</v>
      </c>
      <c r="AA224" s="203">
        <f t="shared" si="130"/>
        <v>0</v>
      </c>
      <c r="AB224" s="203">
        <f t="shared" si="130"/>
        <v>0</v>
      </c>
      <c r="AC224" s="203">
        <f t="shared" si="130"/>
        <v>0</v>
      </c>
      <c r="AD224" s="203">
        <f t="shared" si="130"/>
        <v>0</v>
      </c>
      <c r="AE224" s="203">
        <f t="shared" si="130"/>
        <v>0</v>
      </c>
      <c r="AF224" s="203">
        <f t="shared" si="130"/>
        <v>0</v>
      </c>
      <c r="AG224" s="203">
        <f t="shared" si="130"/>
        <v>0</v>
      </c>
      <c r="AH224" s="217"/>
      <c r="AI224" s="124"/>
      <c r="AJ224" s="185"/>
      <c r="AL224" s="100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1040</v>
      </c>
      <c r="C225" s="203">
        <f t="shared" ref="C225:AG225" si="131">C220-$C220</f>
        <v>0</v>
      </c>
      <c r="D225" s="203">
        <f t="shared" si="131"/>
        <v>4.8100841119490732E-5</v>
      </c>
      <c r="E225" s="203">
        <f t="shared" si="131"/>
        <v>2.2762341372325884E-4</v>
      </c>
      <c r="F225" s="203">
        <f t="shared" si="131"/>
        <v>5.9565893985302786E-4</v>
      </c>
      <c r="G225" s="203">
        <f t="shared" si="131"/>
        <v>1.2149279348601058E-3</v>
      </c>
      <c r="H225" s="203">
        <f t="shared" si="131"/>
        <v>2.1537152755542886E-3</v>
      </c>
      <c r="I225" s="203">
        <f t="shared" si="131"/>
        <v>3.3780943082963111E-3</v>
      </c>
      <c r="J225" s="203">
        <f t="shared" si="131"/>
        <v>4.9634718269651375E-3</v>
      </c>
      <c r="K225" s="203">
        <f t="shared" si="131"/>
        <v>6.9427958662796972E-3</v>
      </c>
      <c r="L225" s="203">
        <f t="shared" si="131"/>
        <v>9.3432115851353522E-3</v>
      </c>
      <c r="M225" s="203">
        <f t="shared" si="131"/>
        <v>1.2185187955348563E-2</v>
      </c>
      <c r="N225" s="203">
        <f t="shared" si="131"/>
        <v>1.5019778472933515E-2</v>
      </c>
      <c r="O225" s="203">
        <f t="shared" si="131"/>
        <v>1.8184976202795956E-2</v>
      </c>
      <c r="P225" s="203">
        <f t="shared" si="131"/>
        <v>2.1671329212353468E-2</v>
      </c>
      <c r="Q225" s="203">
        <f t="shared" si="131"/>
        <v>2.5462079627976968E-2</v>
      </c>
      <c r="R225" s="203">
        <f t="shared" si="131"/>
        <v>2.9532622969200256E-2</v>
      </c>
      <c r="S225" s="203">
        <f t="shared" si="131"/>
        <v>3.4316623830693123E-2</v>
      </c>
      <c r="T225" s="203">
        <f t="shared" si="131"/>
        <v>3.9482188335772037E-2</v>
      </c>
      <c r="U225" s="203">
        <f t="shared" si="131"/>
        <v>4.5012382896796127E-2</v>
      </c>
      <c r="V225" s="203">
        <f t="shared" si="131"/>
        <v>5.0883900812559633E-2</v>
      </c>
      <c r="W225" s="203">
        <f t="shared" si="131"/>
        <v>5.7066699584451319E-2</v>
      </c>
      <c r="X225" s="203">
        <f t="shared" si="131"/>
        <v>6.4843333976361509E-2</v>
      </c>
      <c r="Y225" s="203">
        <f t="shared" si="131"/>
        <v>7.3018846455353836E-2</v>
      </c>
      <c r="Z225" s="203">
        <f t="shared" si="131"/>
        <v>8.1532899029730183E-2</v>
      </c>
      <c r="AA225" s="203">
        <f t="shared" si="131"/>
        <v>9.0313616515068668E-2</v>
      </c>
      <c r="AB225" s="203">
        <f t="shared" si="131"/>
        <v>9.9277057011400938E-2</v>
      </c>
      <c r="AC225" s="203">
        <f t="shared" si="131"/>
        <v>0.10724630437686519</v>
      </c>
      <c r="AD225" s="203">
        <f t="shared" si="131"/>
        <v>0.11489322852405939</v>
      </c>
      <c r="AE225" s="203">
        <f t="shared" si="131"/>
        <v>0.12205149053819078</v>
      </c>
      <c r="AF225" s="203">
        <f t="shared" si="131"/>
        <v>0.12853731169458471</v>
      </c>
      <c r="AG225" s="203">
        <f t="shared" si="131"/>
        <v>0.13414888688841947</v>
      </c>
      <c r="AH225" s="217"/>
      <c r="AI225" s="124"/>
      <c r="AJ225" s="185"/>
      <c r="AL225" s="100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s="1" customFormat="1" outlineLevel="1">
      <c r="A226" s="1" t="s">
        <v>1269</v>
      </c>
      <c r="B226" s="60"/>
      <c r="C226" s="250">
        <f>C200*C42</f>
        <v>0</v>
      </c>
      <c r="D226" s="250">
        <f t="shared" ref="D226:AG226" si="132">D200*D42</f>
        <v>139.97581628488709</v>
      </c>
      <c r="E226" s="250">
        <f t="shared" si="132"/>
        <v>331.19767139118858</v>
      </c>
      <c r="F226" s="250">
        <f t="shared" si="132"/>
        <v>577.79894899130204</v>
      </c>
      <c r="G226" s="250">
        <f t="shared" si="132"/>
        <v>883.87502926869797</v>
      </c>
      <c r="H226" s="250">
        <f t="shared" si="132"/>
        <v>1253.4835014300218</v>
      </c>
      <c r="I226" s="250">
        <f t="shared" si="132"/>
        <v>1638.403464076865</v>
      </c>
      <c r="J226" s="250">
        <f t="shared" si="132"/>
        <v>2063.4210617783674</v>
      </c>
      <c r="K226" s="250">
        <f t="shared" si="132"/>
        <v>2525.4847318253337</v>
      </c>
      <c r="L226" s="250">
        <f t="shared" si="132"/>
        <v>3021.0228666685116</v>
      </c>
      <c r="M226" s="250">
        <f t="shared" si="132"/>
        <v>3545.9496984628768</v>
      </c>
      <c r="N226" s="250">
        <f t="shared" si="132"/>
        <v>3973.4813613083229</v>
      </c>
      <c r="O226" s="250">
        <f t="shared" si="132"/>
        <v>4409.9313526629385</v>
      </c>
      <c r="P226" s="250">
        <f t="shared" si="132"/>
        <v>4851.1257821587715</v>
      </c>
      <c r="Q226" s="250">
        <f t="shared" si="132"/>
        <v>5292.5646818035821</v>
      </c>
      <c r="R226" s="250">
        <f t="shared" si="132"/>
        <v>5729.4258075839907</v>
      </c>
      <c r="S226" s="250">
        <f t="shared" si="132"/>
        <v>6241.4415749378059</v>
      </c>
      <c r="T226" s="250">
        <f t="shared" si="132"/>
        <v>6758.5360162590341</v>
      </c>
      <c r="U226" s="250">
        <f t="shared" si="132"/>
        <v>7277.1250428922913</v>
      </c>
      <c r="V226" s="250">
        <f t="shared" si="132"/>
        <v>7793.4030019883412</v>
      </c>
      <c r="W226" s="250">
        <f t="shared" si="132"/>
        <v>8303.3452961607709</v>
      </c>
      <c r="X226" s="250">
        <f t="shared" si="132"/>
        <v>8985.5854737175778</v>
      </c>
      <c r="Y226" s="250">
        <f t="shared" si="132"/>
        <v>9658.5654021938335</v>
      </c>
      <c r="Z226" s="250">
        <f t="shared" si="132"/>
        <v>10315.858743336479</v>
      </c>
      <c r="AA226" s="250">
        <f t="shared" si="132"/>
        <v>10950.711306978319</v>
      </c>
      <c r="AB226" s="250">
        <f t="shared" si="132"/>
        <v>11556.044983921269</v>
      </c>
      <c r="AC226" s="250">
        <f t="shared" si="132"/>
        <v>12003.539494644547</v>
      </c>
      <c r="AD226" s="250">
        <f t="shared" si="132"/>
        <v>12383.146395784213</v>
      </c>
      <c r="AE226" s="250">
        <f t="shared" si="132"/>
        <v>12684.851701471891</v>
      </c>
      <c r="AF226" s="250">
        <f t="shared" si="132"/>
        <v>12898.272640940231</v>
      </c>
      <c r="AG226" s="250">
        <f t="shared" si="132"/>
        <v>13012.662224394182</v>
      </c>
      <c r="AH226" s="217"/>
      <c r="AI226" s="368"/>
      <c r="AJ226" s="369"/>
      <c r="AL226" s="194"/>
      <c r="AM226" s="116"/>
      <c r="AN226" s="116"/>
      <c r="AO226" s="116"/>
      <c r="BD226" s="116"/>
      <c r="BE226" s="116"/>
      <c r="BF226" s="116"/>
      <c r="BG226" s="116"/>
      <c r="BH226" s="116"/>
      <c r="BI226" s="116"/>
      <c r="BJ226" s="116"/>
      <c r="BK226" s="116"/>
    </row>
    <row r="227" spans="1:63" outlineLevel="1">
      <c r="A227" s="4" t="s">
        <v>35</v>
      </c>
      <c r="C227" s="203">
        <f>C$226*'BTX recycling rates'!E82</f>
        <v>0</v>
      </c>
      <c r="D227" s="203">
        <f>D$226*'BTX recycling rates'!F82</f>
        <v>4.6658124419884501</v>
      </c>
      <c r="E227" s="203">
        <f>E$226*'BTX recycling rates'!G82</f>
        <v>22.079617135998848</v>
      </c>
      <c r="F227" s="203">
        <f>F$226*'BTX recycling rates'!H82</f>
        <v>57.779299240190348</v>
      </c>
      <c r="G227" s="203">
        <f>G$226*'BTX recycling rates'!I82</f>
        <v>117.8487889745582</v>
      </c>
      <c r="H227" s="203">
        <f>H$226*'BTX recycling rates'!J82</f>
        <v>208.91176318972808</v>
      </c>
      <c r="I227" s="203">
        <f>I$226*'BTX recycling rates'!K82</f>
        <v>327.6773147210647</v>
      </c>
      <c r="J227" s="203">
        <f>J$226*'BTX recycling rates'!L82</f>
        <v>481.45995094312548</v>
      </c>
      <c r="K227" s="203">
        <f>K$226*'BTX recycling rates'!M82</f>
        <v>673.455652357556</v>
      </c>
      <c r="L227" s="203">
        <f>L$226*'BTX recycling rates'!N82</f>
        <v>906.29751678896821</v>
      </c>
      <c r="M227" s="203">
        <f>M$226*'BTX recycling rates'!O82</f>
        <v>1181.9710476330033</v>
      </c>
      <c r="N227" s="203">
        <f>N$226*'BTX recycling rates'!P82</f>
        <v>1456.9281460345785</v>
      </c>
      <c r="O227" s="203">
        <f>O$226*'BTX recycling rates'!Q82</f>
        <v>1763.9543560889722</v>
      </c>
      <c r="P227" s="203">
        <f>P$226*'BTX recycling rates'!R82</f>
        <v>2102.1328342729216</v>
      </c>
      <c r="Q227" s="203">
        <f>Q$226*'BTX recycling rates'!S82</f>
        <v>2469.8380560953765</v>
      </c>
      <c r="R227" s="203">
        <f>R$226*'BTX recycling rates'!T82</f>
        <v>2864.6833711690251</v>
      </c>
      <c r="S227" s="203">
        <f>S$226*'BTX recycling rates'!U82</f>
        <v>3328.7345233429983</v>
      </c>
      <c r="T227" s="203">
        <f>T$226*'BTX recycling rates'!V82</f>
        <v>3829.7975936917824</v>
      </c>
      <c r="U227" s="203">
        <f>U$226*'BTX recycling rates'!W82</f>
        <v>4366.2300133524768</v>
      </c>
      <c r="V227" s="203">
        <f>V$226*'BTX recycling rates'!X82</f>
        <v>4935.7710173584692</v>
      </c>
      <c r="W227" s="203">
        <f>W$226*'BTX recycling rates'!Y82</f>
        <v>5535.5064640742612</v>
      </c>
      <c r="X227" s="203">
        <f>X$226*'BTX recycling rates'!Z82</f>
        <v>6289.8449882683262</v>
      </c>
      <c r="Y227" s="203">
        <f>Y$226*'BTX recycling rates'!AA82</f>
        <v>7082.8749427623534</v>
      </c>
      <c r="Z227" s="203">
        <f>Z$226*'BTX recycling rates'!AB82</f>
        <v>7908.743503658935</v>
      </c>
      <c r="AA227" s="203">
        <f>AA$226*'BTX recycling rates'!AC82</f>
        <v>8760.4787319661373</v>
      </c>
      <c r="AB227" s="203">
        <f>AB$226*'BTX recycling rates'!AD82</f>
        <v>9629.9382095440415</v>
      </c>
      <c r="AC227" s="203">
        <f>AC$226*'BTX recycling rates'!AE82</f>
        <v>10402.960315720893</v>
      </c>
      <c r="AD227" s="203">
        <f>AD$226*'BTX recycling rates'!AF82</f>
        <v>11144.716862977264</v>
      </c>
      <c r="AE227" s="203">
        <f>AE$226*'BTX recycling rates'!AG82</f>
        <v>11839.072869883223</v>
      </c>
      <c r="AF227" s="203">
        <f>AF$226*'BTX recycling rates'!AH82</f>
        <v>12468.201682263858</v>
      </c>
      <c r="AG227" s="203">
        <f>AG$226*'BTX recycling rates'!AI82</f>
        <v>13012.528075507294</v>
      </c>
      <c r="AH227" s="217"/>
      <c r="AI227" s="124"/>
      <c r="AJ227" s="185"/>
      <c r="AL227" s="100"/>
      <c r="AM227" s="2"/>
      <c r="AN227" s="2"/>
      <c r="AO227" s="2"/>
      <c r="BC227" s="1"/>
      <c r="BD227" s="2"/>
      <c r="BE227" s="2"/>
      <c r="BF227" s="2"/>
      <c r="BG227" s="2"/>
      <c r="BH227" s="2"/>
      <c r="BI227" s="2"/>
      <c r="BJ227" s="2"/>
      <c r="BK227" s="2"/>
    </row>
    <row r="228" spans="1:63" outlineLevel="1">
      <c r="A228" s="4" t="s">
        <v>74</v>
      </c>
      <c r="C228" s="203">
        <f>C$226*'BTX recycling rates'!E83</f>
        <v>0</v>
      </c>
      <c r="D228" s="203">
        <f>D$226*'BTX recycling rates'!F83</f>
        <v>0</v>
      </c>
      <c r="E228" s="203">
        <f>E$226*'BTX recycling rates'!G83</f>
        <v>0</v>
      </c>
      <c r="F228" s="203">
        <f>F$226*'BTX recycling rates'!H83</f>
        <v>0</v>
      </c>
      <c r="G228" s="203">
        <f>G$226*'BTX recycling rates'!I83</f>
        <v>0</v>
      </c>
      <c r="H228" s="203">
        <f>H$226*'BTX recycling rates'!J83</f>
        <v>0</v>
      </c>
      <c r="I228" s="203">
        <f>I$226*'BTX recycling rates'!K83</f>
        <v>0</v>
      </c>
      <c r="J228" s="203">
        <f>J$226*'BTX recycling rates'!L83</f>
        <v>0</v>
      </c>
      <c r="K228" s="203">
        <f>K$226*'BTX recycling rates'!M83</f>
        <v>0</v>
      </c>
      <c r="L228" s="203">
        <f>L$226*'BTX recycling rates'!N83</f>
        <v>0</v>
      </c>
      <c r="M228" s="203">
        <f>M$226*'BTX recycling rates'!O83</f>
        <v>0</v>
      </c>
      <c r="N228" s="203">
        <f>N$226*'BTX recycling rates'!P83</f>
        <v>0</v>
      </c>
      <c r="O228" s="203">
        <f>O$226*'BTX recycling rates'!Q83</f>
        <v>0</v>
      </c>
      <c r="P228" s="203">
        <f>P$226*'BTX recycling rates'!R83</f>
        <v>0</v>
      </c>
      <c r="Q228" s="203">
        <f>Q$226*'BTX recycling rates'!S83</f>
        <v>0</v>
      </c>
      <c r="R228" s="203">
        <f>R$226*'BTX recycling rates'!T83</f>
        <v>0</v>
      </c>
      <c r="S228" s="203">
        <f>S$226*'BTX recycling rates'!U83</f>
        <v>0</v>
      </c>
      <c r="T228" s="203">
        <f>T$226*'BTX recycling rates'!V83</f>
        <v>0</v>
      </c>
      <c r="U228" s="203">
        <f>U$226*'BTX recycling rates'!W83</f>
        <v>0</v>
      </c>
      <c r="V228" s="203">
        <f>V$226*'BTX recycling rates'!X83</f>
        <v>0</v>
      </c>
      <c r="W228" s="203">
        <f>W$226*'BTX recycling rates'!Y83</f>
        <v>0</v>
      </c>
      <c r="X228" s="203">
        <f>X$226*'BTX recycling rates'!Z83</f>
        <v>0</v>
      </c>
      <c r="Y228" s="203">
        <f>Y$226*'BTX recycling rates'!AA83</f>
        <v>0</v>
      </c>
      <c r="Z228" s="203">
        <f>Z$226*'BTX recycling rates'!AB83</f>
        <v>0</v>
      </c>
      <c r="AA228" s="203">
        <f>AA$226*'BTX recycling rates'!AC83</f>
        <v>0</v>
      </c>
      <c r="AB228" s="203">
        <f>AB$226*'BTX recycling rates'!AD83</f>
        <v>0</v>
      </c>
      <c r="AC228" s="203">
        <f>AC$226*'BTX recycling rates'!AE83</f>
        <v>0</v>
      </c>
      <c r="AD228" s="203">
        <f>AD$226*'BTX recycling rates'!AF83</f>
        <v>0</v>
      </c>
      <c r="AE228" s="203">
        <f>AE$226*'BTX recycling rates'!AG83</f>
        <v>0</v>
      </c>
      <c r="AF228" s="203">
        <f>AF$226*'BTX recycling rates'!AH83</f>
        <v>0</v>
      </c>
      <c r="AG228" s="203">
        <f>AG$226*'BTX recycling rates'!AI83</f>
        <v>0</v>
      </c>
      <c r="AH228" s="217"/>
      <c r="AI228" s="124"/>
      <c r="AJ228" s="185"/>
      <c r="AL228" s="100"/>
      <c r="AM228" s="2"/>
      <c r="AN228" s="2"/>
      <c r="AO228" s="2"/>
      <c r="BC228" s="1"/>
      <c r="BD228" s="2"/>
      <c r="BE228" s="2"/>
      <c r="BF228" s="2"/>
      <c r="BG228" s="2"/>
      <c r="BH228" s="2"/>
      <c r="BI228" s="2"/>
      <c r="BJ228" s="2"/>
      <c r="BK228" s="2"/>
    </row>
    <row r="229" spans="1:63" outlineLevel="1">
      <c r="A229" s="4" t="s">
        <v>160</v>
      </c>
      <c r="C229" s="203">
        <f>C$226*'BTX recycling rates'!E84</f>
        <v>0</v>
      </c>
      <c r="D229" s="203">
        <f>D$226*'BTX recycling rates'!F84</f>
        <v>0</v>
      </c>
      <c r="E229" s="203">
        <f>E$226*'BTX recycling rates'!G84</f>
        <v>0</v>
      </c>
      <c r="F229" s="203">
        <f>F$226*'BTX recycling rates'!H84</f>
        <v>0</v>
      </c>
      <c r="G229" s="203">
        <f>G$226*'BTX recycling rates'!I84</f>
        <v>0</v>
      </c>
      <c r="H229" s="203">
        <f>H$226*'BTX recycling rates'!J84</f>
        <v>0</v>
      </c>
      <c r="I229" s="203">
        <f>I$226*'BTX recycling rates'!K84</f>
        <v>0</v>
      </c>
      <c r="J229" s="203">
        <f>J$226*'BTX recycling rates'!L84</f>
        <v>0</v>
      </c>
      <c r="K229" s="203">
        <f>K$226*'BTX recycling rates'!M84</f>
        <v>0</v>
      </c>
      <c r="L229" s="203">
        <f>L$226*'BTX recycling rates'!N84</f>
        <v>0</v>
      </c>
      <c r="M229" s="203">
        <f>M$226*'BTX recycling rates'!O84</f>
        <v>0</v>
      </c>
      <c r="N229" s="203">
        <f>N$226*'BTX recycling rates'!P84</f>
        <v>0</v>
      </c>
      <c r="O229" s="203">
        <f>O$226*'BTX recycling rates'!Q84</f>
        <v>0</v>
      </c>
      <c r="P229" s="203">
        <f>P$226*'BTX recycling rates'!R84</f>
        <v>0</v>
      </c>
      <c r="Q229" s="203">
        <f>Q$226*'BTX recycling rates'!S84</f>
        <v>0</v>
      </c>
      <c r="R229" s="203">
        <f>R$226*'BTX recycling rates'!T84</f>
        <v>0</v>
      </c>
      <c r="S229" s="203">
        <f>S$226*'BTX recycling rates'!U84</f>
        <v>0</v>
      </c>
      <c r="T229" s="203">
        <f>T$226*'BTX recycling rates'!V84</f>
        <v>0</v>
      </c>
      <c r="U229" s="203">
        <f>U$226*'BTX recycling rates'!W84</f>
        <v>0</v>
      </c>
      <c r="V229" s="203">
        <f>V$226*'BTX recycling rates'!X84</f>
        <v>0</v>
      </c>
      <c r="W229" s="203">
        <f>W$226*'BTX recycling rates'!Y84</f>
        <v>0</v>
      </c>
      <c r="X229" s="203">
        <f>X$226*'BTX recycling rates'!Z84</f>
        <v>0</v>
      </c>
      <c r="Y229" s="203">
        <f>Y$226*'BTX recycling rates'!AA84</f>
        <v>0</v>
      </c>
      <c r="Z229" s="203">
        <f>Z$226*'BTX recycling rates'!AB84</f>
        <v>0</v>
      </c>
      <c r="AA229" s="203">
        <f>AA$226*'BTX recycling rates'!AC84</f>
        <v>0</v>
      </c>
      <c r="AB229" s="203">
        <f>AB$226*'BTX recycling rates'!AD84</f>
        <v>0</v>
      </c>
      <c r="AC229" s="203">
        <f>AC$226*'BTX recycling rates'!AE84</f>
        <v>0</v>
      </c>
      <c r="AD229" s="203">
        <f>AD$226*'BTX recycling rates'!AF84</f>
        <v>0</v>
      </c>
      <c r="AE229" s="203">
        <f>AE$226*'BTX recycling rates'!AG84</f>
        <v>0</v>
      </c>
      <c r="AF229" s="203">
        <f>AF$226*'BTX recycling rates'!AH84</f>
        <v>0</v>
      </c>
      <c r="AG229" s="203">
        <f>AG$226*'BTX recycling rates'!AI84</f>
        <v>0</v>
      </c>
      <c r="AH229" s="217"/>
      <c r="AI229" s="124"/>
      <c r="AJ229" s="185"/>
      <c r="AL229" s="100"/>
      <c r="AM229" s="2"/>
      <c r="AN229" s="2"/>
      <c r="AO229" s="2"/>
      <c r="BC229" s="1"/>
      <c r="BD229" s="2"/>
      <c r="BE229" s="2"/>
      <c r="BF229" s="2"/>
      <c r="BG229" s="2"/>
      <c r="BH229" s="2"/>
      <c r="BI229" s="2"/>
      <c r="BJ229" s="2"/>
      <c r="BK229" s="2"/>
    </row>
    <row r="230" spans="1:63" outlineLevel="1">
      <c r="A230" s="4" t="s">
        <v>1040</v>
      </c>
      <c r="C230" s="203">
        <f>C$226*'BTX recycling rates'!E85</f>
        <v>0</v>
      </c>
      <c r="D230" s="203">
        <f>D$226*'BTX recycling rates'!F85</f>
        <v>4.8100841119490732E-5</v>
      </c>
      <c r="E230" s="203">
        <f>E$226*'BTX recycling rates'!G85</f>
        <v>2.2762341372325884E-4</v>
      </c>
      <c r="F230" s="203">
        <f>F$226*'BTX recycling rates'!H85</f>
        <v>5.9565893985302786E-4</v>
      </c>
      <c r="G230" s="203">
        <f>G$226*'BTX recycling rates'!I85</f>
        <v>1.2149279348601058E-3</v>
      </c>
      <c r="H230" s="203">
        <f>H$226*'BTX recycling rates'!J85</f>
        <v>2.1537152755542886E-3</v>
      </c>
      <c r="I230" s="203">
        <f>I$226*'BTX recycling rates'!K85</f>
        <v>3.3780943082963111E-3</v>
      </c>
      <c r="J230" s="203">
        <f>J$226*'BTX recycling rates'!L85</f>
        <v>4.9634718269651375E-3</v>
      </c>
      <c r="K230" s="203">
        <f>K$226*'BTX recycling rates'!M85</f>
        <v>6.9427958662796972E-3</v>
      </c>
      <c r="L230" s="203">
        <f>L$226*'BTX recycling rates'!N85</f>
        <v>9.3432115851353522E-3</v>
      </c>
      <c r="M230" s="203">
        <f>M$226*'BTX recycling rates'!O85</f>
        <v>1.2185187955348563E-2</v>
      </c>
      <c r="N230" s="203">
        <f>N$226*'BTX recycling rates'!P85</f>
        <v>1.5019778472933515E-2</v>
      </c>
      <c r="O230" s="203">
        <f>O$226*'BTX recycling rates'!Q85</f>
        <v>1.8184976202795956E-2</v>
      </c>
      <c r="P230" s="203">
        <f>P$226*'BTX recycling rates'!R85</f>
        <v>2.1671329212353468E-2</v>
      </c>
      <c r="Q230" s="203">
        <f>Q$226*'BTX recycling rates'!S85</f>
        <v>2.5462079627976968E-2</v>
      </c>
      <c r="R230" s="203">
        <f>R$226*'BTX recycling rates'!T85</f>
        <v>2.9532622969200256E-2</v>
      </c>
      <c r="S230" s="203">
        <f>S$226*'BTX recycling rates'!U85</f>
        <v>3.4316623830693123E-2</v>
      </c>
      <c r="T230" s="203">
        <f>T$226*'BTX recycling rates'!V85</f>
        <v>3.9482188335772037E-2</v>
      </c>
      <c r="U230" s="203">
        <f>U$226*'BTX recycling rates'!W85</f>
        <v>4.5012382896796127E-2</v>
      </c>
      <c r="V230" s="203">
        <f>V$226*'BTX recycling rates'!X85</f>
        <v>5.0883900812559633E-2</v>
      </c>
      <c r="W230" s="203">
        <f>W$226*'BTX recycling rates'!Y85</f>
        <v>5.7066699584451319E-2</v>
      </c>
      <c r="X230" s="203">
        <f>X$226*'BTX recycling rates'!Z85</f>
        <v>6.4843333976361509E-2</v>
      </c>
      <c r="Y230" s="203">
        <f>Y$226*'BTX recycling rates'!AA85</f>
        <v>7.3018846455353836E-2</v>
      </c>
      <c r="Z230" s="203">
        <f>Z$226*'BTX recycling rates'!AB85</f>
        <v>8.1532899029730183E-2</v>
      </c>
      <c r="AA230" s="203">
        <f>AA$226*'BTX recycling rates'!AC85</f>
        <v>9.0313616515068668E-2</v>
      </c>
      <c r="AB230" s="203">
        <f>AB$226*'BTX recycling rates'!AD85</f>
        <v>9.9277057011400938E-2</v>
      </c>
      <c r="AC230" s="203">
        <f>AC$226*'BTX recycling rates'!AE85</f>
        <v>0.10724630437686519</v>
      </c>
      <c r="AD230" s="203">
        <f>AD$226*'BTX recycling rates'!AF85</f>
        <v>0.11489322852405939</v>
      </c>
      <c r="AE230" s="203">
        <f>AE$226*'BTX recycling rates'!AG85</f>
        <v>0.12205149053819078</v>
      </c>
      <c r="AF230" s="203">
        <f>AF$226*'BTX recycling rates'!AH85</f>
        <v>0.12853731169458471</v>
      </c>
      <c r="AG230" s="203">
        <f>AG$226*'BTX recycling rates'!AI85</f>
        <v>0.13414888688841947</v>
      </c>
      <c r="AH230" s="217"/>
      <c r="AI230" s="124"/>
      <c r="AJ230" s="185"/>
      <c r="AL230" s="100"/>
      <c r="AM230" s="2"/>
      <c r="AN230" s="2"/>
      <c r="AO230" s="2"/>
      <c r="BC230" s="1"/>
      <c r="BD230" s="2"/>
      <c r="BE230" s="2"/>
      <c r="BF230" s="2"/>
      <c r="BG230" s="2"/>
      <c r="BH230" s="2"/>
      <c r="BI230" s="2"/>
      <c r="BJ230" s="2"/>
      <c r="BK230" s="2"/>
    </row>
    <row r="231" spans="1:63" s="1" customFormat="1" outlineLevel="1">
      <c r="A231" s="1" t="s">
        <v>1270</v>
      </c>
      <c r="B231" s="60"/>
      <c r="C231" s="250">
        <f t="shared" ref="C231:AG231" si="133">C226-$C226</f>
        <v>0</v>
      </c>
      <c r="D231" s="250">
        <f t="shared" si="133"/>
        <v>139.97581628488709</v>
      </c>
      <c r="E231" s="250">
        <f t="shared" si="133"/>
        <v>331.19767139118858</v>
      </c>
      <c r="F231" s="250">
        <f t="shared" si="133"/>
        <v>577.79894899130204</v>
      </c>
      <c r="G231" s="250">
        <f t="shared" si="133"/>
        <v>883.87502926869797</v>
      </c>
      <c r="H231" s="250">
        <f t="shared" si="133"/>
        <v>1253.4835014300218</v>
      </c>
      <c r="I231" s="250">
        <f t="shared" si="133"/>
        <v>1638.403464076865</v>
      </c>
      <c r="J231" s="250">
        <f t="shared" si="133"/>
        <v>2063.4210617783674</v>
      </c>
      <c r="K231" s="250">
        <f t="shared" si="133"/>
        <v>2525.4847318253337</v>
      </c>
      <c r="L231" s="250">
        <f t="shared" si="133"/>
        <v>3021.0228666685116</v>
      </c>
      <c r="M231" s="250">
        <f t="shared" si="133"/>
        <v>3545.9496984628768</v>
      </c>
      <c r="N231" s="250">
        <f t="shared" si="133"/>
        <v>3973.4813613083229</v>
      </c>
      <c r="O231" s="250">
        <f t="shared" si="133"/>
        <v>4409.9313526629385</v>
      </c>
      <c r="P231" s="250">
        <f t="shared" si="133"/>
        <v>4851.1257821587715</v>
      </c>
      <c r="Q231" s="250">
        <f t="shared" si="133"/>
        <v>5292.5646818035821</v>
      </c>
      <c r="R231" s="250">
        <f t="shared" si="133"/>
        <v>5729.4258075839907</v>
      </c>
      <c r="S231" s="250">
        <f t="shared" si="133"/>
        <v>6241.4415749378059</v>
      </c>
      <c r="T231" s="250">
        <f t="shared" si="133"/>
        <v>6758.5360162590341</v>
      </c>
      <c r="U231" s="250">
        <f t="shared" si="133"/>
        <v>7277.1250428922913</v>
      </c>
      <c r="V231" s="250">
        <f t="shared" si="133"/>
        <v>7793.4030019883412</v>
      </c>
      <c r="W231" s="250">
        <f t="shared" si="133"/>
        <v>8303.3452961607709</v>
      </c>
      <c r="X231" s="250">
        <f t="shared" si="133"/>
        <v>8985.5854737175778</v>
      </c>
      <c r="Y231" s="250">
        <f t="shared" si="133"/>
        <v>9658.5654021938335</v>
      </c>
      <c r="Z231" s="250">
        <f t="shared" si="133"/>
        <v>10315.858743336479</v>
      </c>
      <c r="AA231" s="250">
        <f t="shared" si="133"/>
        <v>10950.711306978319</v>
      </c>
      <c r="AB231" s="250">
        <f t="shared" si="133"/>
        <v>11556.044983921269</v>
      </c>
      <c r="AC231" s="250">
        <f t="shared" si="133"/>
        <v>12003.539494644547</v>
      </c>
      <c r="AD231" s="250">
        <f t="shared" si="133"/>
        <v>12383.146395784213</v>
      </c>
      <c r="AE231" s="250">
        <f t="shared" si="133"/>
        <v>12684.851701471891</v>
      </c>
      <c r="AF231" s="250">
        <f t="shared" si="133"/>
        <v>12898.272640940231</v>
      </c>
      <c r="AG231" s="250">
        <f t="shared" si="133"/>
        <v>13012.662224394182</v>
      </c>
      <c r="AH231" s="217"/>
      <c r="AI231" s="368"/>
      <c r="AJ231" s="369"/>
      <c r="AL231" s="194"/>
      <c r="AM231" s="116"/>
      <c r="AN231" s="116"/>
      <c r="AO231" s="116"/>
      <c r="BD231" s="116"/>
      <c r="BE231" s="116"/>
      <c r="BF231" s="116"/>
      <c r="BG231" s="116"/>
      <c r="BH231" s="116"/>
      <c r="BI231" s="116"/>
      <c r="BJ231" s="116"/>
      <c r="BK231" s="116"/>
    </row>
    <row r="232" spans="1:63" outlineLevel="1">
      <c r="A232" s="4" t="s">
        <v>35</v>
      </c>
      <c r="C232" s="203">
        <f t="shared" ref="C232:AG232" si="134">C227-$C227</f>
        <v>0</v>
      </c>
      <c r="D232" s="203">
        <f t="shared" si="134"/>
        <v>4.6658124419884501</v>
      </c>
      <c r="E232" s="203">
        <f t="shared" si="134"/>
        <v>22.079617135998848</v>
      </c>
      <c r="F232" s="203">
        <f t="shared" si="134"/>
        <v>57.779299240190348</v>
      </c>
      <c r="G232" s="203">
        <f t="shared" si="134"/>
        <v>117.8487889745582</v>
      </c>
      <c r="H232" s="203">
        <f t="shared" si="134"/>
        <v>208.91176318972808</v>
      </c>
      <c r="I232" s="203">
        <f t="shared" si="134"/>
        <v>327.6773147210647</v>
      </c>
      <c r="J232" s="203">
        <f t="shared" si="134"/>
        <v>481.45995094312548</v>
      </c>
      <c r="K232" s="203">
        <f t="shared" si="134"/>
        <v>673.455652357556</v>
      </c>
      <c r="L232" s="203">
        <f t="shared" si="134"/>
        <v>906.29751678896821</v>
      </c>
      <c r="M232" s="203">
        <f t="shared" si="134"/>
        <v>1181.9710476330033</v>
      </c>
      <c r="N232" s="203">
        <f t="shared" si="134"/>
        <v>1456.9281460345785</v>
      </c>
      <c r="O232" s="203">
        <f t="shared" si="134"/>
        <v>1763.9543560889722</v>
      </c>
      <c r="P232" s="203">
        <f t="shared" si="134"/>
        <v>2102.1328342729216</v>
      </c>
      <c r="Q232" s="203">
        <f t="shared" si="134"/>
        <v>2469.8380560953765</v>
      </c>
      <c r="R232" s="203">
        <f t="shared" si="134"/>
        <v>2864.6833711690251</v>
      </c>
      <c r="S232" s="203">
        <f t="shared" si="134"/>
        <v>3328.7345233429983</v>
      </c>
      <c r="T232" s="203">
        <f t="shared" si="134"/>
        <v>3829.7975936917824</v>
      </c>
      <c r="U232" s="203">
        <f t="shared" si="134"/>
        <v>4366.2300133524768</v>
      </c>
      <c r="V232" s="203">
        <f t="shared" si="134"/>
        <v>4935.7710173584692</v>
      </c>
      <c r="W232" s="203">
        <f t="shared" si="134"/>
        <v>5535.5064640742612</v>
      </c>
      <c r="X232" s="203">
        <f t="shared" si="134"/>
        <v>6289.8449882683262</v>
      </c>
      <c r="Y232" s="203">
        <f t="shared" si="134"/>
        <v>7082.8749427623534</v>
      </c>
      <c r="Z232" s="203">
        <f t="shared" si="134"/>
        <v>7908.743503658935</v>
      </c>
      <c r="AA232" s="203">
        <f t="shared" si="134"/>
        <v>8760.4787319661373</v>
      </c>
      <c r="AB232" s="203">
        <f t="shared" si="134"/>
        <v>9629.9382095440415</v>
      </c>
      <c r="AC232" s="203">
        <f t="shared" si="134"/>
        <v>10402.960315720893</v>
      </c>
      <c r="AD232" s="203">
        <f t="shared" si="134"/>
        <v>11144.716862977264</v>
      </c>
      <c r="AE232" s="203">
        <f t="shared" si="134"/>
        <v>11839.072869883223</v>
      </c>
      <c r="AF232" s="203">
        <f t="shared" si="134"/>
        <v>12468.201682263858</v>
      </c>
      <c r="AG232" s="203">
        <f t="shared" si="134"/>
        <v>13012.528075507294</v>
      </c>
      <c r="AH232" s="217"/>
      <c r="AI232" s="124"/>
      <c r="AJ232" s="185"/>
      <c r="AL232" s="100"/>
      <c r="AM232" s="2"/>
      <c r="AN232" s="2"/>
      <c r="AO232" s="2"/>
      <c r="BC232" s="1"/>
      <c r="BD232" s="2"/>
      <c r="BE232" s="2"/>
      <c r="BF232" s="2"/>
      <c r="BG232" s="2"/>
      <c r="BH232" s="2"/>
      <c r="BI232" s="2"/>
      <c r="BJ232" s="2"/>
      <c r="BK232" s="2"/>
    </row>
    <row r="233" spans="1:63" outlineLevel="1">
      <c r="A233" s="4" t="s">
        <v>74</v>
      </c>
      <c r="C233" s="203">
        <f t="shared" ref="C233:AG233" si="135">C228-$C228</f>
        <v>0</v>
      </c>
      <c r="D233" s="203">
        <f t="shared" si="135"/>
        <v>0</v>
      </c>
      <c r="E233" s="203">
        <f t="shared" si="135"/>
        <v>0</v>
      </c>
      <c r="F233" s="203">
        <f t="shared" si="135"/>
        <v>0</v>
      </c>
      <c r="G233" s="203">
        <f t="shared" si="135"/>
        <v>0</v>
      </c>
      <c r="H233" s="203">
        <f t="shared" si="135"/>
        <v>0</v>
      </c>
      <c r="I233" s="203">
        <f t="shared" si="135"/>
        <v>0</v>
      </c>
      <c r="J233" s="203">
        <f t="shared" si="135"/>
        <v>0</v>
      </c>
      <c r="K233" s="203">
        <f t="shared" si="135"/>
        <v>0</v>
      </c>
      <c r="L233" s="203">
        <f t="shared" si="135"/>
        <v>0</v>
      </c>
      <c r="M233" s="203">
        <f t="shared" si="135"/>
        <v>0</v>
      </c>
      <c r="N233" s="203">
        <f t="shared" si="135"/>
        <v>0</v>
      </c>
      <c r="O233" s="203">
        <f t="shared" si="135"/>
        <v>0</v>
      </c>
      <c r="P233" s="203">
        <f t="shared" si="135"/>
        <v>0</v>
      </c>
      <c r="Q233" s="203">
        <f t="shared" si="135"/>
        <v>0</v>
      </c>
      <c r="R233" s="203">
        <f t="shared" si="135"/>
        <v>0</v>
      </c>
      <c r="S233" s="203">
        <f t="shared" si="135"/>
        <v>0</v>
      </c>
      <c r="T233" s="203">
        <f t="shared" si="135"/>
        <v>0</v>
      </c>
      <c r="U233" s="203">
        <f t="shared" si="135"/>
        <v>0</v>
      </c>
      <c r="V233" s="203">
        <f t="shared" si="135"/>
        <v>0</v>
      </c>
      <c r="W233" s="203">
        <f t="shared" si="135"/>
        <v>0</v>
      </c>
      <c r="X233" s="203">
        <f t="shared" si="135"/>
        <v>0</v>
      </c>
      <c r="Y233" s="203">
        <f t="shared" si="135"/>
        <v>0</v>
      </c>
      <c r="Z233" s="203">
        <f t="shared" si="135"/>
        <v>0</v>
      </c>
      <c r="AA233" s="203">
        <f t="shared" si="135"/>
        <v>0</v>
      </c>
      <c r="AB233" s="203">
        <f t="shared" si="135"/>
        <v>0</v>
      </c>
      <c r="AC233" s="203">
        <f t="shared" si="135"/>
        <v>0</v>
      </c>
      <c r="AD233" s="203">
        <f t="shared" si="135"/>
        <v>0</v>
      </c>
      <c r="AE233" s="203">
        <f t="shared" si="135"/>
        <v>0</v>
      </c>
      <c r="AF233" s="203">
        <f t="shared" si="135"/>
        <v>0</v>
      </c>
      <c r="AG233" s="203">
        <f t="shared" si="135"/>
        <v>0</v>
      </c>
      <c r="AH233" s="217"/>
      <c r="AI233" s="124"/>
      <c r="AJ233" s="185"/>
      <c r="AL233" s="100"/>
      <c r="AM233" s="2"/>
      <c r="AN233" s="2"/>
      <c r="AO233" s="2"/>
      <c r="BC233" s="1"/>
      <c r="BD233" s="2"/>
      <c r="BE233" s="2"/>
      <c r="BF233" s="2"/>
      <c r="BG233" s="2"/>
      <c r="BH233" s="2"/>
      <c r="BI233" s="2"/>
      <c r="BJ233" s="2"/>
      <c r="BK233" s="2"/>
    </row>
    <row r="234" spans="1:63" outlineLevel="1">
      <c r="A234" s="4" t="s">
        <v>160</v>
      </c>
      <c r="C234" s="203">
        <f t="shared" ref="C234:AG234" si="136">C229-$C229</f>
        <v>0</v>
      </c>
      <c r="D234" s="203">
        <f t="shared" si="136"/>
        <v>0</v>
      </c>
      <c r="E234" s="203">
        <f t="shared" si="136"/>
        <v>0</v>
      </c>
      <c r="F234" s="203">
        <f t="shared" si="136"/>
        <v>0</v>
      </c>
      <c r="G234" s="203">
        <f t="shared" si="136"/>
        <v>0</v>
      </c>
      <c r="H234" s="203">
        <f t="shared" si="136"/>
        <v>0</v>
      </c>
      <c r="I234" s="203">
        <f t="shared" si="136"/>
        <v>0</v>
      </c>
      <c r="J234" s="203">
        <f t="shared" si="136"/>
        <v>0</v>
      </c>
      <c r="K234" s="203">
        <f t="shared" si="136"/>
        <v>0</v>
      </c>
      <c r="L234" s="203">
        <f t="shared" si="136"/>
        <v>0</v>
      </c>
      <c r="M234" s="203">
        <f t="shared" si="136"/>
        <v>0</v>
      </c>
      <c r="N234" s="203">
        <f t="shared" si="136"/>
        <v>0</v>
      </c>
      <c r="O234" s="203">
        <f t="shared" si="136"/>
        <v>0</v>
      </c>
      <c r="P234" s="203">
        <f t="shared" si="136"/>
        <v>0</v>
      </c>
      <c r="Q234" s="203">
        <f t="shared" si="136"/>
        <v>0</v>
      </c>
      <c r="R234" s="203">
        <f t="shared" si="136"/>
        <v>0</v>
      </c>
      <c r="S234" s="203">
        <f t="shared" si="136"/>
        <v>0</v>
      </c>
      <c r="T234" s="203">
        <f t="shared" si="136"/>
        <v>0</v>
      </c>
      <c r="U234" s="203">
        <f t="shared" si="136"/>
        <v>0</v>
      </c>
      <c r="V234" s="203">
        <f t="shared" si="136"/>
        <v>0</v>
      </c>
      <c r="W234" s="203">
        <f t="shared" si="136"/>
        <v>0</v>
      </c>
      <c r="X234" s="203">
        <f t="shared" si="136"/>
        <v>0</v>
      </c>
      <c r="Y234" s="203">
        <f t="shared" si="136"/>
        <v>0</v>
      </c>
      <c r="Z234" s="203">
        <f t="shared" si="136"/>
        <v>0</v>
      </c>
      <c r="AA234" s="203">
        <f t="shared" si="136"/>
        <v>0</v>
      </c>
      <c r="AB234" s="203">
        <f t="shared" si="136"/>
        <v>0</v>
      </c>
      <c r="AC234" s="203">
        <f t="shared" si="136"/>
        <v>0</v>
      </c>
      <c r="AD234" s="203">
        <f t="shared" si="136"/>
        <v>0</v>
      </c>
      <c r="AE234" s="203">
        <f t="shared" si="136"/>
        <v>0</v>
      </c>
      <c r="AF234" s="203">
        <f t="shared" si="136"/>
        <v>0</v>
      </c>
      <c r="AG234" s="203">
        <f t="shared" si="136"/>
        <v>0</v>
      </c>
      <c r="AH234" s="217"/>
      <c r="AI234" s="124"/>
      <c r="AJ234" s="185"/>
      <c r="AL234" s="100"/>
      <c r="AM234" s="2"/>
      <c r="AN234" s="2"/>
      <c r="AO234" s="2"/>
      <c r="BC234" s="1"/>
      <c r="BD234" s="2"/>
      <c r="BE234" s="2"/>
      <c r="BF234" s="2"/>
      <c r="BG234" s="2"/>
      <c r="BH234" s="2"/>
      <c r="BI234" s="2"/>
      <c r="BJ234" s="2"/>
      <c r="BK234" s="2"/>
    </row>
    <row r="235" spans="1:63" outlineLevel="1">
      <c r="A235" s="4" t="s">
        <v>1040</v>
      </c>
      <c r="C235" s="203">
        <f t="shared" ref="C235:AG235" si="137">C230-$C230</f>
        <v>0</v>
      </c>
      <c r="D235" s="203">
        <f t="shared" si="137"/>
        <v>4.8100841119490732E-5</v>
      </c>
      <c r="E235" s="203">
        <f t="shared" si="137"/>
        <v>2.2762341372325884E-4</v>
      </c>
      <c r="F235" s="203">
        <f t="shared" si="137"/>
        <v>5.9565893985302786E-4</v>
      </c>
      <c r="G235" s="203">
        <f t="shared" si="137"/>
        <v>1.2149279348601058E-3</v>
      </c>
      <c r="H235" s="203">
        <f t="shared" si="137"/>
        <v>2.1537152755542886E-3</v>
      </c>
      <c r="I235" s="203">
        <f t="shared" si="137"/>
        <v>3.3780943082963111E-3</v>
      </c>
      <c r="J235" s="203">
        <f t="shared" si="137"/>
        <v>4.9634718269651375E-3</v>
      </c>
      <c r="K235" s="203">
        <f t="shared" si="137"/>
        <v>6.9427958662796972E-3</v>
      </c>
      <c r="L235" s="203">
        <f t="shared" si="137"/>
        <v>9.3432115851353522E-3</v>
      </c>
      <c r="M235" s="203">
        <f t="shared" si="137"/>
        <v>1.2185187955348563E-2</v>
      </c>
      <c r="N235" s="203">
        <f t="shared" si="137"/>
        <v>1.5019778472933515E-2</v>
      </c>
      <c r="O235" s="203">
        <f t="shared" si="137"/>
        <v>1.8184976202795956E-2</v>
      </c>
      <c r="P235" s="203">
        <f t="shared" si="137"/>
        <v>2.1671329212353468E-2</v>
      </c>
      <c r="Q235" s="203">
        <f t="shared" si="137"/>
        <v>2.5462079627976968E-2</v>
      </c>
      <c r="R235" s="203">
        <f t="shared" si="137"/>
        <v>2.9532622969200256E-2</v>
      </c>
      <c r="S235" s="203">
        <f t="shared" si="137"/>
        <v>3.4316623830693123E-2</v>
      </c>
      <c r="T235" s="203">
        <f t="shared" si="137"/>
        <v>3.9482188335772037E-2</v>
      </c>
      <c r="U235" s="203">
        <f t="shared" si="137"/>
        <v>4.5012382896796127E-2</v>
      </c>
      <c r="V235" s="203">
        <f t="shared" si="137"/>
        <v>5.0883900812559633E-2</v>
      </c>
      <c r="W235" s="203">
        <f t="shared" si="137"/>
        <v>5.7066699584451319E-2</v>
      </c>
      <c r="X235" s="203">
        <f t="shared" si="137"/>
        <v>6.4843333976361509E-2</v>
      </c>
      <c r="Y235" s="203">
        <f t="shared" si="137"/>
        <v>7.3018846455353836E-2</v>
      </c>
      <c r="Z235" s="203">
        <f t="shared" si="137"/>
        <v>8.1532899029730183E-2</v>
      </c>
      <c r="AA235" s="203">
        <f t="shared" si="137"/>
        <v>9.0313616515068668E-2</v>
      </c>
      <c r="AB235" s="203">
        <f t="shared" si="137"/>
        <v>9.9277057011400938E-2</v>
      </c>
      <c r="AC235" s="203">
        <f t="shared" si="137"/>
        <v>0.10724630437686519</v>
      </c>
      <c r="AD235" s="203">
        <f t="shared" si="137"/>
        <v>0.11489322852405939</v>
      </c>
      <c r="AE235" s="203">
        <f t="shared" si="137"/>
        <v>0.12205149053819078</v>
      </c>
      <c r="AF235" s="203">
        <f t="shared" si="137"/>
        <v>0.12853731169458471</v>
      </c>
      <c r="AG235" s="203">
        <f t="shared" si="137"/>
        <v>0.13414888688841947</v>
      </c>
      <c r="AH235" s="217"/>
      <c r="AI235" s="124"/>
      <c r="AJ235" s="185"/>
      <c r="AL235" s="100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J236" s="185"/>
    </row>
    <row r="237" spans="1:63" s="174" customFormat="1" ht="15.5" thickBot="1">
      <c r="A237" s="174" t="s">
        <v>446</v>
      </c>
      <c r="B237" s="189"/>
      <c r="C237" s="197">
        <f>C238</f>
        <v>0.02</v>
      </c>
      <c r="D237" s="197">
        <f t="shared" ref="D237:AG237" si="138">D238</f>
        <v>4.1442327559921402E-2</v>
      </c>
      <c r="E237" s="197">
        <f t="shared" si="138"/>
        <v>6.28846551198428E-2</v>
      </c>
      <c r="F237" s="197">
        <f t="shared" si="138"/>
        <v>8.4326982679764198E-2</v>
      </c>
      <c r="G237" s="197">
        <f t="shared" si="138"/>
        <v>0.1057693102396856</v>
      </c>
      <c r="H237" s="197">
        <f t="shared" si="138"/>
        <v>0.12721163779960698</v>
      </c>
      <c r="I237" s="197">
        <f t="shared" si="138"/>
        <v>0.14865396535952838</v>
      </c>
      <c r="J237" s="197">
        <f t="shared" si="138"/>
        <v>0.17009629291944978</v>
      </c>
      <c r="K237" s="197">
        <f t="shared" si="138"/>
        <v>0.19153862047937117</v>
      </c>
      <c r="L237" s="197">
        <f t="shared" si="138"/>
        <v>0.21298094803929257</v>
      </c>
      <c r="M237" s="197">
        <f t="shared" si="138"/>
        <v>0.23442327559921397</v>
      </c>
      <c r="N237" s="197">
        <f t="shared" si="138"/>
        <v>0.24882881581566058</v>
      </c>
      <c r="O237" s="197">
        <f t="shared" si="138"/>
        <v>0.26323435603210721</v>
      </c>
      <c r="P237" s="197">
        <f t="shared" si="138"/>
        <v>0.27763989624855379</v>
      </c>
      <c r="Q237" s="197">
        <f t="shared" si="138"/>
        <v>0.29204543646500042</v>
      </c>
      <c r="R237" s="197">
        <f t="shared" si="138"/>
        <v>0.306450976681447</v>
      </c>
      <c r="S237" s="197">
        <f t="shared" si="138"/>
        <v>0.32085651689789363</v>
      </c>
      <c r="T237" s="197">
        <f t="shared" si="138"/>
        <v>0.33526205711434021</v>
      </c>
      <c r="U237" s="197">
        <f t="shared" si="138"/>
        <v>0.34966759733078684</v>
      </c>
      <c r="V237" s="197">
        <f t="shared" si="138"/>
        <v>0.36407313754723347</v>
      </c>
      <c r="W237" s="197">
        <f t="shared" si="138"/>
        <v>0.37847867776368005</v>
      </c>
      <c r="X237" s="197">
        <f t="shared" si="138"/>
        <v>0.40063080998731204</v>
      </c>
      <c r="Y237" s="197">
        <f t="shared" si="138"/>
        <v>0.42278294221094403</v>
      </c>
      <c r="Z237" s="197">
        <f t="shared" si="138"/>
        <v>0.44493507443457603</v>
      </c>
      <c r="AA237" s="197">
        <f t="shared" si="138"/>
        <v>0.46708720665820802</v>
      </c>
      <c r="AB237" s="197">
        <f t="shared" si="138"/>
        <v>0.48923933888184001</v>
      </c>
      <c r="AC237" s="197">
        <f t="shared" si="138"/>
        <v>0.51139147110547201</v>
      </c>
      <c r="AD237" s="197">
        <f t="shared" si="138"/>
        <v>0.533543603329104</v>
      </c>
      <c r="AE237" s="197">
        <f t="shared" si="138"/>
        <v>0.55569573555273599</v>
      </c>
      <c r="AF237" s="197">
        <f t="shared" si="138"/>
        <v>0.57784786777636798</v>
      </c>
      <c r="AG237" s="197">
        <f t="shared" si="138"/>
        <v>0.6</v>
      </c>
      <c r="AJ237" s="204" t="s">
        <v>458</v>
      </c>
      <c r="AL237" s="191"/>
      <c r="AM237" s="198"/>
      <c r="AN237" s="198"/>
      <c r="AO237" s="198"/>
    </row>
    <row r="238" spans="1:63" ht="15.5" outlineLevel="1" thickTop="1">
      <c r="A238" t="s">
        <v>454</v>
      </c>
      <c r="B238" s="50" t="s">
        <v>126</v>
      </c>
      <c r="C238" s="558">
        <f>'Ethylene Recycling HC'!C193</f>
        <v>0.02</v>
      </c>
      <c r="D238" s="102">
        <f>'Ethylene Recycling HC'!D193</f>
        <v>4.1442327559921402E-2</v>
      </c>
      <c r="E238" s="102">
        <f>'Ethylene Recycling HC'!E193</f>
        <v>6.28846551198428E-2</v>
      </c>
      <c r="F238" s="102">
        <f>'Ethylene Recycling HC'!F193</f>
        <v>8.4326982679764198E-2</v>
      </c>
      <c r="G238" s="102">
        <f>'Ethylene Recycling HC'!G193</f>
        <v>0.1057693102396856</v>
      </c>
      <c r="H238" s="102">
        <f>'Ethylene Recycling HC'!H193</f>
        <v>0.12721163779960698</v>
      </c>
      <c r="I238" s="102">
        <f>'Ethylene Recycling HC'!I193</f>
        <v>0.14865396535952838</v>
      </c>
      <c r="J238" s="102">
        <f>'Ethylene Recycling HC'!J193</f>
        <v>0.17009629291944978</v>
      </c>
      <c r="K238" s="102">
        <f>'Ethylene Recycling HC'!K193</f>
        <v>0.19153862047937117</v>
      </c>
      <c r="L238" s="102">
        <f>'Ethylene Recycling HC'!L193</f>
        <v>0.21298094803929257</v>
      </c>
      <c r="M238" s="113">
        <f>'Ethylene Recycling HC'!M193</f>
        <v>0.23442327559921397</v>
      </c>
      <c r="N238" s="113">
        <f>'Ethylene Recycling HC'!N193</f>
        <v>0.24882881581566058</v>
      </c>
      <c r="O238" s="113">
        <f>'Ethylene Recycling HC'!O193</f>
        <v>0.26323435603210721</v>
      </c>
      <c r="P238" s="113">
        <f>'Ethylene Recycling HC'!P193</f>
        <v>0.27763989624855379</v>
      </c>
      <c r="Q238" s="113">
        <f>'Ethylene Recycling HC'!Q193</f>
        <v>0.29204543646500042</v>
      </c>
      <c r="R238" s="113">
        <f>'Ethylene Recycling HC'!R193</f>
        <v>0.306450976681447</v>
      </c>
      <c r="S238" s="113">
        <f>'Ethylene Recycling HC'!S193</f>
        <v>0.32085651689789363</v>
      </c>
      <c r="T238" s="113">
        <f>'Ethylene Recycling HC'!T193</f>
        <v>0.33526205711434021</v>
      </c>
      <c r="U238" s="113">
        <f>'Ethylene Recycling HC'!U193</f>
        <v>0.34966759733078684</v>
      </c>
      <c r="V238" s="113">
        <f>'Ethylene Recycling HC'!V193</f>
        <v>0.36407313754723347</v>
      </c>
      <c r="W238" s="113">
        <f>'Ethylene Recycling HC'!W193</f>
        <v>0.37847867776368005</v>
      </c>
      <c r="X238" s="22">
        <f>'Ethylene Recycling HC'!X193</f>
        <v>0.40063080998731204</v>
      </c>
      <c r="Y238" s="22">
        <f>'Ethylene Recycling HC'!Y193</f>
        <v>0.42278294221094403</v>
      </c>
      <c r="Z238" s="22">
        <f>'Ethylene Recycling HC'!Z193</f>
        <v>0.44493507443457603</v>
      </c>
      <c r="AA238" s="22">
        <f>'Ethylene Recycling HC'!AA193</f>
        <v>0.46708720665820802</v>
      </c>
      <c r="AB238" s="22">
        <f>'Ethylene Recycling HC'!AB193</f>
        <v>0.48923933888184001</v>
      </c>
      <c r="AC238" s="22">
        <f>'Ethylene Recycling HC'!AC193</f>
        <v>0.51139147110547201</v>
      </c>
      <c r="AD238" s="22">
        <f>'Ethylene Recycling HC'!AD193</f>
        <v>0.533543603329104</v>
      </c>
      <c r="AE238" s="22">
        <f>'Ethylene Recycling HC'!AE193</f>
        <v>0.55569573555273599</v>
      </c>
      <c r="AF238" s="22">
        <f>'Ethylene Recycling HC'!AF193</f>
        <v>0.57784786777636798</v>
      </c>
      <c r="AG238" s="558">
        <f>'Ethylene Recycling HC'!AG193</f>
        <v>0.6</v>
      </c>
      <c r="AJ238" s="185" t="s">
        <v>1469</v>
      </c>
    </row>
    <row r="239" spans="1:63" outlineLevel="1">
      <c r="C239" s="105"/>
      <c r="D239" s="102"/>
      <c r="E239" s="102"/>
      <c r="F239" s="102"/>
      <c r="G239" s="102"/>
      <c r="H239" s="102"/>
      <c r="I239" s="102"/>
      <c r="J239" s="102"/>
      <c r="K239" s="102"/>
      <c r="L239" s="102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22"/>
      <c r="Y239" s="22"/>
      <c r="Z239" s="22"/>
      <c r="AA239" s="22"/>
      <c r="AB239" s="22"/>
      <c r="AC239" s="22"/>
      <c r="AD239" s="22"/>
      <c r="AE239" s="22"/>
      <c r="AF239" s="22"/>
      <c r="AG239" s="98"/>
      <c r="AJ239" s="185"/>
    </row>
    <row r="240" spans="1:63" outlineLevel="1">
      <c r="A240" t="s">
        <v>1239</v>
      </c>
      <c r="C240" s="437">
        <f>('Overall recycling rates'!F85*'Yearly BTX'!D5+'Overall recycling rates'!G85*'Yearly BTX'!D6+'Overall recycling rates'!H85*'Yearly BTX'!D7)/'Yearly BTX'!D4</f>
        <v>0</v>
      </c>
      <c r="D240" s="437">
        <f>C240-($C240-$AG240)/($AG$1-$C$1)</f>
        <v>2.6666666666666668E-2</v>
      </c>
      <c r="E240" s="437">
        <f t="shared" ref="E240:AF240" si="139">D240-($C240-$AG240)/($AG$1-$C$1)</f>
        <v>5.3333333333333337E-2</v>
      </c>
      <c r="F240" s="437">
        <f t="shared" si="139"/>
        <v>0.08</v>
      </c>
      <c r="G240" s="437">
        <f t="shared" si="139"/>
        <v>0.10666666666666667</v>
      </c>
      <c r="H240" s="437">
        <f t="shared" si="139"/>
        <v>0.13333333333333333</v>
      </c>
      <c r="I240" s="437">
        <f t="shared" si="139"/>
        <v>0.16</v>
      </c>
      <c r="J240" s="437">
        <f t="shared" si="139"/>
        <v>0.18666666666666668</v>
      </c>
      <c r="K240" s="437">
        <f t="shared" si="139"/>
        <v>0.21333333333333335</v>
      </c>
      <c r="L240" s="437">
        <f t="shared" si="139"/>
        <v>0.24000000000000002</v>
      </c>
      <c r="M240" s="437">
        <f t="shared" si="139"/>
        <v>0.26666666666666666</v>
      </c>
      <c r="N240" s="437">
        <f t="shared" si="139"/>
        <v>0.29333333333333333</v>
      </c>
      <c r="O240" s="437">
        <f t="shared" si="139"/>
        <v>0.32</v>
      </c>
      <c r="P240" s="437">
        <f t="shared" si="139"/>
        <v>0.34666666666666668</v>
      </c>
      <c r="Q240" s="437">
        <f t="shared" si="139"/>
        <v>0.37333333333333335</v>
      </c>
      <c r="R240" s="437">
        <f t="shared" si="139"/>
        <v>0.4</v>
      </c>
      <c r="S240" s="437">
        <f t="shared" si="139"/>
        <v>0.42666666666666669</v>
      </c>
      <c r="T240" s="437">
        <f t="shared" si="139"/>
        <v>0.45333333333333337</v>
      </c>
      <c r="U240" s="437">
        <f t="shared" si="139"/>
        <v>0.48000000000000004</v>
      </c>
      <c r="V240" s="437">
        <f t="shared" si="139"/>
        <v>0.50666666666666671</v>
      </c>
      <c r="W240" s="437">
        <f t="shared" si="139"/>
        <v>0.53333333333333333</v>
      </c>
      <c r="X240" s="437">
        <f t="shared" si="139"/>
        <v>0.55999999999999994</v>
      </c>
      <c r="Y240" s="437">
        <f t="shared" si="139"/>
        <v>0.58666666666666656</v>
      </c>
      <c r="Z240" s="437">
        <f t="shared" si="139"/>
        <v>0.61333333333333317</v>
      </c>
      <c r="AA240" s="437">
        <f t="shared" si="139"/>
        <v>0.63999999999999979</v>
      </c>
      <c r="AB240" s="437">
        <f t="shared" si="139"/>
        <v>0.66666666666666641</v>
      </c>
      <c r="AC240" s="437">
        <f t="shared" si="139"/>
        <v>0.69333333333333302</v>
      </c>
      <c r="AD240" s="437">
        <f t="shared" si="139"/>
        <v>0.71999999999999964</v>
      </c>
      <c r="AE240" s="437">
        <f t="shared" si="139"/>
        <v>0.74666666666666626</v>
      </c>
      <c r="AF240" s="437">
        <f t="shared" si="139"/>
        <v>0.77333333333333287</v>
      </c>
      <c r="AG240" s="437">
        <f>'Overall recycling rates'!F94</f>
        <v>0.8</v>
      </c>
      <c r="AI240" s="124"/>
      <c r="AJ240" s="185" t="s">
        <v>1000</v>
      </c>
      <c r="AL240" s="100"/>
      <c r="AM240" s="181"/>
      <c r="AN240" s="181"/>
      <c r="AO240" s="181"/>
      <c r="BC240" s="1"/>
      <c r="BD240" s="181"/>
      <c r="BE240" s="181"/>
      <c r="BF240" s="181"/>
      <c r="BG240" s="181"/>
      <c r="BH240" s="181"/>
      <c r="BI240" s="181"/>
      <c r="BJ240" s="181"/>
      <c r="BK240" s="181"/>
    </row>
    <row r="241" spans="1:63" outlineLevel="1">
      <c r="A241" t="s">
        <v>1255</v>
      </c>
      <c r="B241" s="50" t="s">
        <v>126</v>
      </c>
      <c r="C241" s="102">
        <f>C238*C240</f>
        <v>0</v>
      </c>
      <c r="D241" s="102">
        <f t="shared" ref="D241:AG241" si="140">D238*D240</f>
        <v>1.1051287349312375E-3</v>
      </c>
      <c r="E241" s="102">
        <f t="shared" si="140"/>
        <v>3.353848273058283E-3</v>
      </c>
      <c r="F241" s="102">
        <f t="shared" si="140"/>
        <v>6.7461586143811357E-3</v>
      </c>
      <c r="G241" s="102">
        <f t="shared" si="140"/>
        <v>1.1282059758899798E-2</v>
      </c>
      <c r="H241" s="102">
        <f t="shared" si="140"/>
        <v>1.6961551706614265E-2</v>
      </c>
      <c r="I241" s="102">
        <f t="shared" si="140"/>
        <v>2.3784634457524542E-2</v>
      </c>
      <c r="J241" s="102">
        <f t="shared" si="140"/>
        <v>3.1751308011630626E-2</v>
      </c>
      <c r="K241" s="102">
        <f t="shared" si="140"/>
        <v>4.0861572368932522E-2</v>
      </c>
      <c r="L241" s="102">
        <f t="shared" si="140"/>
        <v>5.111542752943022E-2</v>
      </c>
      <c r="M241" s="102">
        <f t="shared" si="140"/>
        <v>6.2512873493123719E-2</v>
      </c>
      <c r="N241" s="102">
        <f t="shared" si="140"/>
        <v>7.2989785972593771E-2</v>
      </c>
      <c r="O241" s="102">
        <f t="shared" si="140"/>
        <v>8.423499393027431E-2</v>
      </c>
      <c r="P241" s="102">
        <f t="shared" si="140"/>
        <v>9.6248497366165323E-2</v>
      </c>
      <c r="Q241" s="102">
        <f t="shared" si="140"/>
        <v>0.10903029628026682</v>
      </c>
      <c r="R241" s="102">
        <f t="shared" si="140"/>
        <v>0.12258039067257881</v>
      </c>
      <c r="S241" s="102">
        <f t="shared" si="140"/>
        <v>0.13689878054310128</v>
      </c>
      <c r="T241" s="102">
        <f t="shared" si="140"/>
        <v>0.15198546589183423</v>
      </c>
      <c r="U241" s="102">
        <f t="shared" si="140"/>
        <v>0.16784044671877771</v>
      </c>
      <c r="V241" s="102">
        <f t="shared" si="140"/>
        <v>0.18446372302393163</v>
      </c>
      <c r="W241" s="102">
        <f t="shared" si="140"/>
        <v>0.20185529480729603</v>
      </c>
      <c r="X241" s="102">
        <f t="shared" si="140"/>
        <v>0.22435325359289471</v>
      </c>
      <c r="Y241" s="102">
        <f t="shared" si="140"/>
        <v>0.24803265943042047</v>
      </c>
      <c r="Z241" s="102">
        <f t="shared" si="140"/>
        <v>0.27289351231987324</v>
      </c>
      <c r="AA241" s="102">
        <f t="shared" si="140"/>
        <v>0.29893581226125304</v>
      </c>
      <c r="AB241" s="102">
        <f t="shared" si="140"/>
        <v>0.32615955925455986</v>
      </c>
      <c r="AC241" s="102">
        <f t="shared" si="140"/>
        <v>0.35456475329979376</v>
      </c>
      <c r="AD241" s="102">
        <f t="shared" si="140"/>
        <v>0.38415139439695467</v>
      </c>
      <c r="AE241" s="102">
        <f t="shared" si="140"/>
        <v>0.41491948254604266</v>
      </c>
      <c r="AF241" s="102">
        <f t="shared" si="140"/>
        <v>0.44686901774705762</v>
      </c>
      <c r="AG241" s="102">
        <f t="shared" si="140"/>
        <v>0.48</v>
      </c>
      <c r="AJ241" s="185" t="s">
        <v>447</v>
      </c>
    </row>
    <row r="242" spans="1:63" outlineLevel="1"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I242" s="125"/>
      <c r="AJ242" s="185"/>
      <c r="BC242" s="1"/>
      <c r="BD242" s="37"/>
      <c r="BF242" s="6"/>
      <c r="BG242" s="6"/>
      <c r="BH242" s="6"/>
      <c r="BI242" s="6"/>
      <c r="BJ242" s="6"/>
    </row>
    <row r="243" spans="1:63" s="1" customFormat="1" outlineLevel="1">
      <c r="A243" s="1" t="s">
        <v>265</v>
      </c>
      <c r="B243" s="60"/>
      <c r="C243" s="250">
        <f>C241*C41</f>
        <v>0</v>
      </c>
      <c r="D243" s="250">
        <f t="shared" ref="D243:AG243" si="141">D241*D41</f>
        <v>66.564702548975035</v>
      </c>
      <c r="E243" s="250">
        <f t="shared" si="141"/>
        <v>201.56482152764937</v>
      </c>
      <c r="F243" s="250">
        <f t="shared" si="141"/>
        <v>404.5461548446392</v>
      </c>
      <c r="G243" s="250">
        <f t="shared" si="141"/>
        <v>675.05650721100903</v>
      </c>
      <c r="H243" s="250">
        <f t="shared" si="141"/>
        <v>1012.645682754026</v>
      </c>
      <c r="I243" s="250">
        <f t="shared" si="141"/>
        <v>1416.8654776553778</v>
      </c>
      <c r="J243" s="250">
        <f t="shared" si="141"/>
        <v>1887.2696728137792</v>
      </c>
      <c r="K243" s="250">
        <f t="shared" si="141"/>
        <v>2423.4140265318906</v>
      </c>
      <c r="L243" s="250">
        <f t="shared" si="141"/>
        <v>3024.8562672274743</v>
      </c>
      <c r="M243" s="250">
        <f t="shared" si="141"/>
        <v>3691.156086168714</v>
      </c>
      <c r="N243" s="250">
        <f t="shared" si="141"/>
        <v>4300.2652125007526</v>
      </c>
      <c r="O243" s="250">
        <f t="shared" si="141"/>
        <v>4951.8320025301509</v>
      </c>
      <c r="P243" s="250">
        <f t="shared" si="141"/>
        <v>5645.5663258664808</v>
      </c>
      <c r="Q243" s="250">
        <f t="shared" si="141"/>
        <v>6381.1793462821006</v>
      </c>
      <c r="R243" s="250">
        <f t="shared" si="141"/>
        <v>7158.3835169262538</v>
      </c>
      <c r="S243" s="250">
        <f t="shared" si="141"/>
        <v>7976.8925755550499</v>
      </c>
      <c r="T243" s="250">
        <f t="shared" si="141"/>
        <v>8836.4215397773023</v>
      </c>
      <c r="U243" s="250">
        <f t="shared" si="141"/>
        <v>9736.6867023161831</v>
      </c>
      <c r="V243" s="250">
        <f t="shared" si="141"/>
        <v>10677.405626286571</v>
      </c>
      <c r="W243" s="250">
        <f t="shared" si="141"/>
        <v>11658.297140488165</v>
      </c>
      <c r="X243" s="250">
        <f t="shared" si="141"/>
        <v>12929.077811108484</v>
      </c>
      <c r="Y243" s="250">
        <f t="shared" si="141"/>
        <v>14262.125363679113</v>
      </c>
      <c r="Z243" s="250">
        <f t="shared" si="141"/>
        <v>15657.008717358765</v>
      </c>
      <c r="AA243" s="250">
        <f t="shared" si="141"/>
        <v>17113.298722212505</v>
      </c>
      <c r="AB243" s="250">
        <f t="shared" si="141"/>
        <v>18630.568152056469</v>
      </c>
      <c r="AC243" s="250">
        <f t="shared" si="141"/>
        <v>20208.391697326351</v>
      </c>
      <c r="AD243" s="250">
        <f t="shared" si="141"/>
        <v>21846.345957969679</v>
      </c>
      <c r="AE243" s="250">
        <f t="shared" si="141"/>
        <v>23544.009436361684</v>
      </c>
      <c r="AF243" s="250">
        <f t="shared" si="141"/>
        <v>25300.962530244724</v>
      </c>
      <c r="AG243" s="250">
        <f t="shared" si="141"/>
        <v>27116.787525691343</v>
      </c>
      <c r="AH243" s="217"/>
      <c r="AI243" s="368"/>
      <c r="AJ243" s="369"/>
      <c r="AL243" s="194"/>
      <c r="AM243" s="116"/>
      <c r="AN243" s="116"/>
      <c r="AO243" s="116"/>
      <c r="BD243" s="116"/>
      <c r="BE243" s="116"/>
      <c r="BF243" s="116"/>
      <c r="BG243" s="116"/>
      <c r="BH243" s="116"/>
      <c r="BI243" s="116"/>
      <c r="BJ243" s="116"/>
      <c r="BK243" s="116"/>
    </row>
    <row r="244" spans="1:63" outlineLevel="1">
      <c r="A244" s="4" t="s">
        <v>35</v>
      </c>
      <c r="C244" s="203">
        <f>C$243*'BTX recycling rates'!E86</f>
        <v>0</v>
      </c>
      <c r="D244" s="203">
        <f>D$243*'BTX recycling rates'!F86</f>
        <v>0.83558417361022053</v>
      </c>
      <c r="E244" s="203">
        <f>E$243*'BTX recycling rates'!G86</f>
        <v>5.0604710417252781</v>
      </c>
      <c r="F244" s="203">
        <f>F$243*'BTX recycling rates'!H86</f>
        <v>15.234757380655727</v>
      </c>
      <c r="G244" s="203">
        <f>G$243*'BTX recycling rates'!I86</f>
        <v>33.895834405815933</v>
      </c>
      <c r="H244" s="203">
        <f>H$243*'BTX recycling rates'!J86</f>
        <v>63.558513264700927</v>
      </c>
      <c r="I244" s="203">
        <f>I$243*'BTX recycling rates'!K86</f>
        <v>106.71514997539029</v>
      </c>
      <c r="J244" s="203">
        <f>J$243*'BTX recycling rates'!L86</f>
        <v>165.83576981272194</v>
      </c>
      <c r="K244" s="203">
        <f>K$243*'BTX recycling rates'!M86</f>
        <v>243.36819114427149</v>
      </c>
      <c r="L244" s="203">
        <f>L$243*'BTX recycling rates'!N86</f>
        <v>341.73814871826471</v>
      </c>
      <c r="M244" s="203">
        <f>M$243*'BTX recycling rates'!O86</f>
        <v>463.34941640554393</v>
      </c>
      <c r="N244" s="203">
        <f>N$243*'BTX recycling rates'!P86</f>
        <v>593.79171812167942</v>
      </c>
      <c r="O244" s="203">
        <f>O$243*'BTX recycling rates'!Q86</f>
        <v>745.92190033085535</v>
      </c>
      <c r="P244" s="203">
        <f>P$243*'BTX recycling rates'!R86</f>
        <v>921.29152539021004</v>
      </c>
      <c r="Q244" s="203">
        <f>Q$243*'BTX recycling rates'!S86</f>
        <v>1121.4378151120234</v>
      </c>
      <c r="R244" s="203">
        <f>R$243*'BTX recycling rates'!T86</f>
        <v>1347.8837310904387</v>
      </c>
      <c r="S244" s="203">
        <f>S$243*'BTX recycling rates'!U86</f>
        <v>1602.1380546709111</v>
      </c>
      <c r="T244" s="203">
        <f>T$243*'BTX recycling rates'!V86</f>
        <v>1885.6954665637732</v>
      </c>
      <c r="U244" s="203">
        <f>U$243*'BTX recycling rates'!W86</f>
        <v>2200.0366261033005</v>
      </c>
      <c r="V244" s="203">
        <f>V$243*'BTX recycling rates'!X86</f>
        <v>2546.6282501536402</v>
      </c>
      <c r="W244" s="203">
        <f>W$243*'BTX recycling rates'!Y86</f>
        <v>2926.923191662996</v>
      </c>
      <c r="X244" s="203">
        <f>X$243*'BTX recycling rates'!Z86</f>
        <v>3408.26263886876</v>
      </c>
      <c r="Y244" s="203">
        <f>Y$243*'BTX recycling rates'!AA86</f>
        <v>3938.7021522056048</v>
      </c>
      <c r="Z244" s="203">
        <f>Z$243*'BTX recycling rates'!AB86</f>
        <v>4520.4621722084876</v>
      </c>
      <c r="AA244" s="203">
        <f>AA$243*'BTX recycling rates'!AC86</f>
        <v>5155.742075773147</v>
      </c>
      <c r="AB244" s="203">
        <f>AB$243*'BTX recycling rates'!AD86</f>
        <v>5846.7202951035733</v>
      </c>
      <c r="AC244" s="203">
        <f>AC$243*'BTX recycling rates'!AE86</f>
        <v>6595.5544361283146</v>
      </c>
      <c r="AD244" s="203">
        <f>AD$243*'BTX recycling rates'!AF86</f>
        <v>7404.3813963877201</v>
      </c>
      <c r="AE244" s="203">
        <f>AE$243*'BTX recycling rates'!AG86</f>
        <v>8275.3174823941299</v>
      </c>
      <c r="AF244" s="203">
        <f>AF$243*'BTX recycling rates'!AH86</f>
        <v>9210.4585264670932</v>
      </c>
      <c r="AG244" s="203">
        <f>AG$243*'BTX recycling rates'!AI86</f>
        <v>10211.880003045682</v>
      </c>
      <c r="AH244" s="217"/>
      <c r="AI244" s="124"/>
      <c r="AJ244" s="185"/>
      <c r="AL244" s="100"/>
      <c r="AM244" s="2"/>
      <c r="AN244" s="2"/>
      <c r="AO244" s="2"/>
      <c r="BC244" s="1"/>
      <c r="BD244" s="2"/>
      <c r="BE244" s="2"/>
      <c r="BF244" s="2"/>
      <c r="BG244" s="2"/>
      <c r="BH244" s="2"/>
      <c r="BI244" s="2"/>
      <c r="BJ244" s="2"/>
      <c r="BK244" s="2"/>
    </row>
    <row r="245" spans="1:63" outlineLevel="1">
      <c r="A245" s="4" t="s">
        <v>74</v>
      </c>
      <c r="C245" s="203">
        <f>C$243*'BTX recycling rates'!E87</f>
        <v>0</v>
      </c>
      <c r="D245" s="203">
        <f>D$243*'BTX recycling rates'!F87</f>
        <v>1.1854021401398804</v>
      </c>
      <c r="E245" s="203">
        <f>E$243*'BTX recycling rates'!G87</f>
        <v>7.1790411934911509</v>
      </c>
      <c r="F245" s="203">
        <f>F$243*'BTX recycling rates'!H87</f>
        <v>21.612800450149937</v>
      </c>
      <c r="G245" s="203">
        <f>G$243*'BTX recycling rates'!I87</f>
        <v>48.086351938523272</v>
      </c>
      <c r="H245" s="203">
        <f>H$243*'BTX recycling rates'!J87</f>
        <v>90.167334456038702</v>
      </c>
      <c r="I245" s="203">
        <f>I$243*'BTX recycling rates'!K87</f>
        <v>151.39153081325026</v>
      </c>
      <c r="J245" s="203">
        <f>J$243*'BTX recycling rates'!L87</f>
        <v>235.26304429438116</v>
      </c>
      <c r="K245" s="203">
        <f>K$243*'BTX recycling rates'!M87</f>
        <v>345.2544743373324</v>
      </c>
      <c r="L245" s="203">
        <f>L$243*'BTX recycling rates'!N87</f>
        <v>484.80709143617611</v>
      </c>
      <c r="M245" s="203">
        <f>M$243*'BTX recycling rates'!O87</f>
        <v>657.33101126914198</v>
      </c>
      <c r="N245" s="203">
        <f>N$243*'BTX recycling rates'!P87</f>
        <v>842.38308442055211</v>
      </c>
      <c r="O245" s="203">
        <f>O$243*'BTX recycling rates'!Q87</f>
        <v>1058.202686162733</v>
      </c>
      <c r="P245" s="203">
        <f>P$243*'BTX recycling rates'!R87</f>
        <v>1306.9909416447715</v>
      </c>
      <c r="Q245" s="203">
        <f>Q$243*'BTX recycling rates'!S87</f>
        <v>1590.9286317905969</v>
      </c>
      <c r="R245" s="203">
        <f>R$243*'BTX recycling rates'!T87</f>
        <v>1912.1763072545471</v>
      </c>
      <c r="S245" s="203">
        <f>S$243*'BTX recycling rates'!U87</f>
        <v>2272.8744018700904</v>
      </c>
      <c r="T245" s="203">
        <f>T$243*'BTX recycling rates'!V87</f>
        <v>2675.1433455936713</v>
      </c>
      <c r="U245" s="203">
        <f>U$243*'BTX recycling rates'!W87</f>
        <v>3121.0836769456459</v>
      </c>
      <c r="V245" s="203">
        <f>V$243*'BTX recycling rates'!X87</f>
        <v>3612.7761549502393</v>
      </c>
      <c r="W245" s="203">
        <f>W$243*'BTX recycling rates'!Y87</f>
        <v>4152.2818705765021</v>
      </c>
      <c r="X245" s="203">
        <f>X$243*'BTX recycling rates'!Z87</f>
        <v>4835.1344530831948</v>
      </c>
      <c r="Y245" s="203">
        <f>Y$243*'BTX recycling rates'!AA87</f>
        <v>5587.6428827337131</v>
      </c>
      <c r="Z245" s="203">
        <f>Z$243*'BTX recycling rates'!AB87</f>
        <v>6412.9571892262247</v>
      </c>
      <c r="AA245" s="203">
        <f>AA$243*'BTX recycling rates'!AC87</f>
        <v>7314.1975203106776</v>
      </c>
      <c r="AB245" s="203">
        <f>AB$243*'BTX recycling rates'!AD87</f>
        <v>8294.4543105337234</v>
      </c>
      <c r="AC245" s="203">
        <f>AC$243*'BTX recycling rates'!AE87</f>
        <v>9356.7884492301018</v>
      </c>
      <c r="AD245" s="203">
        <f>AD$243*'BTX recycling rates'!AF87</f>
        <v>10504.231447763465</v>
      </c>
      <c r="AE245" s="203">
        <f>AE$243*'BTX recycling rates'!AG87</f>
        <v>11739.785606019512</v>
      </c>
      <c r="AF245" s="203">
        <f>AF$243*'BTX recycling rates'!AH87</f>
        <v>13066.424178154351</v>
      </c>
      <c r="AG245" s="203">
        <f>AG$243*'BTX recycling rates'!AI87</f>
        <v>14487.091537601058</v>
      </c>
      <c r="AH245" s="217"/>
      <c r="AI245" s="124"/>
      <c r="AJ245" s="185"/>
      <c r="AL245" s="100"/>
      <c r="AM245" s="2"/>
      <c r="AN245" s="2"/>
      <c r="AO245" s="2"/>
      <c r="BC245" s="1"/>
      <c r="BD245" s="2"/>
      <c r="BE245" s="2"/>
      <c r="BF245" s="2"/>
      <c r="BG245" s="2"/>
      <c r="BH245" s="2"/>
      <c r="BI245" s="2"/>
      <c r="BJ245" s="2"/>
      <c r="BK245" s="2"/>
    </row>
    <row r="246" spans="1:63" outlineLevel="1">
      <c r="A246" s="4" t="s">
        <v>160</v>
      </c>
      <c r="C246" s="203">
        <f>C$243*'BTX recycling rates'!E88</f>
        <v>0</v>
      </c>
      <c r="D246" s="203">
        <f>D$243*'BTX recycling rates'!F88</f>
        <v>6.4382253363589909E-2</v>
      </c>
      <c r="E246" s="203">
        <f>E$243*'BTX recycling rates'!G88</f>
        <v>0.38991227818473073</v>
      </c>
      <c r="F246" s="203">
        <f>F$243*'BTX recycling rates'!H88</f>
        <v>1.1738470408987662</v>
      </c>
      <c r="G246" s="203">
        <f>G$243*'BTX recycling rates'!I88</f>
        <v>2.6116940310833532</v>
      </c>
      <c r="H246" s="203">
        <f>H$243*'BTX recycling rates'!J88</f>
        <v>4.8972209307663377</v>
      </c>
      <c r="I246" s="203">
        <f>I$243*'BTX recycling rates'!K88</f>
        <v>8.2224652410111592</v>
      </c>
      <c r="J246" s="203">
        <f>J$243*'BTX recycling rates'!L88</f>
        <v>12.777743865944906</v>
      </c>
      <c r="K246" s="203">
        <f>K$243*'BTX recycling rates'!M88</f>
        <v>18.751662654393545</v>
      </c>
      <c r="L246" s="203">
        <f>L$243*'BTX recycling rates'!N88</f>
        <v>26.331125899288299</v>
      </c>
      <c r="M246" s="203">
        <f>M$243*'BTX recycling rates'!O88</f>
        <v>35.701345795006524</v>
      </c>
      <c r="N246" s="203">
        <f>N$243*'BTX recycling rates'!P88</f>
        <v>45.752002070762671</v>
      </c>
      <c r="O246" s="203">
        <f>O$243*'BTX recycling rates'!Q88</f>
        <v>57.473722328965103</v>
      </c>
      <c r="P246" s="203">
        <f>P$243*'BTX recycling rates'!R88</f>
        <v>70.986055364267386</v>
      </c>
      <c r="Q246" s="203">
        <f>Q$243*'BTX recycling rates'!S88</f>
        <v>86.407445023884364</v>
      </c>
      <c r="R246" s="203">
        <f>R$243*'BTX recycling rates'!T88</f>
        <v>103.8552363968135</v>
      </c>
      <c r="S246" s="203">
        <f>S$243*'BTX recycling rates'!U88</f>
        <v>123.44568197552799</v>
      </c>
      <c r="T246" s="203">
        <f>T$243*'BTX recycling rates'!V88</f>
        <v>145.29394779024898</v>
      </c>
      <c r="U246" s="203">
        <f>U$243*'BTX recycling rates'!W88</f>
        <v>169.5141195159033</v>
      </c>
      <c r="V246" s="203">
        <f>V$243*'BTX recycling rates'!X88</f>
        <v>196.21920855187179</v>
      </c>
      <c r="W246" s="203">
        <f>W$243*'BTX recycling rates'!Y88</f>
        <v>225.52115807463554</v>
      </c>
      <c r="X246" s="203">
        <f>X$243*'BTX recycling rates'!Z88</f>
        <v>262.60864635244457</v>
      </c>
      <c r="Y246" s="203">
        <f>Y$243*'BTX recycling rates'!AA88</f>
        <v>303.47932368248536</v>
      </c>
      <c r="Z246" s="203">
        <f>Z$243*'BTX recycling rates'!AB88</f>
        <v>348.30427631748421</v>
      </c>
      <c r="AA246" s="203">
        <f>AA$243*'BTX recycling rates'!AC88</f>
        <v>397.25296754434328</v>
      </c>
      <c r="AB246" s="203">
        <f>AB$243*'BTX recycling rates'!AD88</f>
        <v>450.49324684911346</v>
      </c>
      <c r="AC246" s="203">
        <f>AC$243*'BTX recycling rates'!AE88</f>
        <v>508.19135904104053</v>
      </c>
      <c r="AD246" s="203">
        <f>AD$243*'BTX recycling rates'!AF88</f>
        <v>570.51195333584656</v>
      </c>
      <c r="AE246" s="203">
        <f>AE$243*'BTX recycling rates'!AG88</f>
        <v>637.61809239840227</v>
      </c>
      <c r="AF246" s="203">
        <f>AF$243*'BTX recycling rates'!AH88</f>
        <v>709.67126134494856</v>
      </c>
      <c r="AG246" s="203">
        <f>AG$243*'BTX recycling rates'!AI88</f>
        <v>786.83137670502981</v>
      </c>
      <c r="AH246" s="217"/>
      <c r="AI246" s="124"/>
      <c r="AJ246" s="185"/>
      <c r="AL246" s="100"/>
      <c r="AM246" s="2"/>
      <c r="AN246" s="2"/>
      <c r="AO246" s="2"/>
      <c r="BC246" s="1"/>
      <c r="BD246" s="2"/>
      <c r="BE246" s="2"/>
      <c r="BF246" s="2"/>
      <c r="BG246" s="2"/>
      <c r="BH246" s="2"/>
      <c r="BI246" s="2"/>
      <c r="BJ246" s="2"/>
      <c r="BK246" s="2"/>
    </row>
    <row r="247" spans="1:63" outlineLevel="1">
      <c r="A247" s="4" t="s">
        <v>1040</v>
      </c>
      <c r="C247" s="203">
        <f>C$243*'BTX recycling rates'!E89</f>
        <v>0</v>
      </c>
      <c r="D247" s="203">
        <f>D$243*'BTX recycling rates'!F89</f>
        <v>0.1334548511854774</v>
      </c>
      <c r="E247" s="203">
        <f>E$243*'BTX recycling rates'!G89</f>
        <v>0.80823025510880053</v>
      </c>
      <c r="F247" s="203">
        <f>F$243*'BTX recycling rates'!H89</f>
        <v>2.4332106127594981</v>
      </c>
      <c r="G247" s="203">
        <f>G$243*'BTX recycling rates'!I89</f>
        <v>5.4136539193786613</v>
      </c>
      <c r="H247" s="203">
        <f>H$243*'BTX recycling rates'!J89</f>
        <v>10.151211807498388</v>
      </c>
      <c r="I247" s="203">
        <f>I$243*'BTX recycling rates'!K89</f>
        <v>17.043949501423892</v>
      </c>
      <c r="J247" s="203">
        <f>J$243*'BTX recycling rates'!L89</f>
        <v>26.48636568350053</v>
      </c>
      <c r="K247" s="203">
        <f>K$243*'BTX recycling rates'!M89</f>
        <v>38.869412272506821</v>
      </c>
      <c r="L247" s="203">
        <f>L$243*'BTX recycling rates'!N89</f>
        <v>54.580514114513299</v>
      </c>
      <c r="M247" s="203">
        <f>M$243*'BTX recycling rates'!O89</f>
        <v>74.00358858654586</v>
      </c>
      <c r="N247" s="203">
        <f>N$243*'BTX recycling rates'!P89</f>
        <v>94.837106637282048</v>
      </c>
      <c r="O247" s="203">
        <f>O$243*'BTX recycling rates'!Q89</f>
        <v>119.1344921895074</v>
      </c>
      <c r="P247" s="203">
        <f>P$243*'BTX recycling rates'!R89</f>
        <v>147.14355214289338</v>
      </c>
      <c r="Q247" s="203">
        <f>Q$243*'BTX recycling rates'!S89</f>
        <v>179.10980300514325</v>
      </c>
      <c r="R247" s="203">
        <f>R$243*'BTX recycling rates'!T89</f>
        <v>215.2764837213287</v>
      </c>
      <c r="S247" s="203">
        <f>S$243*'BTX recycling rates'!U89</f>
        <v>255.88456844616505</v>
      </c>
      <c r="T247" s="203">
        <f>T$243*'BTX recycling rates'!V89</f>
        <v>301.17277925944632</v>
      </c>
      <c r="U247" s="203">
        <f>U$243*'BTX recycling rates'!W89</f>
        <v>351.37759882486199</v>
      </c>
      <c r="V247" s="203">
        <f>V$243*'BTX recycling rates'!X89</f>
        <v>406.73328299241246</v>
      </c>
      <c r="W247" s="203">
        <f>W$243*'BTX recycling rates'!Y89</f>
        <v>467.47187334464616</v>
      </c>
      <c r="X247" s="203">
        <f>X$243*'BTX recycling rates'!Z89</f>
        <v>544.34872947154338</v>
      </c>
      <c r="Y247" s="203">
        <f>Y$243*'BTX recycling rates'!AA89</f>
        <v>629.06757474288463</v>
      </c>
      <c r="Z247" s="203">
        <f>Z$243*'BTX recycling rates'!AB89</f>
        <v>721.98304555619575</v>
      </c>
      <c r="AA247" s="203">
        <f>AA$243*'BTX recycling rates'!AC89</f>
        <v>823.44641414184161</v>
      </c>
      <c r="AB247" s="203">
        <f>AB$243*'BTX recycling rates'!AD89</f>
        <v>933.80560756065336</v>
      </c>
      <c r="AC247" s="203">
        <f>AC$243*'BTX recycling rates'!AE89</f>
        <v>1053.4052266167214</v>
      </c>
      <c r="AD247" s="203">
        <f>AD$243*'BTX recycling rates'!AF89</f>
        <v>1182.5865646856892</v>
      </c>
      <c r="AE247" s="203">
        <f>AE$243*'BTX recycling rates'!AG89</f>
        <v>1321.6876264588705</v>
      </c>
      <c r="AF247" s="203">
        <f>AF$243*'BTX recycling rates'!AH89</f>
        <v>1471.0431466035172</v>
      </c>
      <c r="AG247" s="203">
        <f>AG$243*'BTX recycling rates'!AI89</f>
        <v>1630.9846083395762</v>
      </c>
      <c r="AH247" s="217"/>
      <c r="AI247" s="124"/>
      <c r="AJ247" s="185"/>
      <c r="AL247" s="100"/>
      <c r="AM247" s="2"/>
      <c r="AN247" s="2"/>
      <c r="AO247" s="2"/>
      <c r="BC247" s="1"/>
      <c r="BD247" s="2"/>
      <c r="BE247" s="2"/>
      <c r="BF247" s="2"/>
      <c r="BG247" s="2"/>
      <c r="BH247" s="2"/>
      <c r="BI247" s="2"/>
      <c r="BJ247" s="2"/>
      <c r="BK247" s="2"/>
    </row>
    <row r="248" spans="1:63" s="1" customFormat="1" outlineLevel="1">
      <c r="A248" s="1" t="s">
        <v>1041</v>
      </c>
      <c r="B248" s="60"/>
      <c r="C248" s="250">
        <f t="shared" ref="C248:AG248" si="142">C243-$C243</f>
        <v>0</v>
      </c>
      <c r="D248" s="250">
        <f t="shared" si="142"/>
        <v>66.564702548975035</v>
      </c>
      <c r="E248" s="250">
        <f t="shared" si="142"/>
        <v>201.56482152764937</v>
      </c>
      <c r="F248" s="250">
        <f t="shared" si="142"/>
        <v>404.5461548446392</v>
      </c>
      <c r="G248" s="250">
        <f t="shared" si="142"/>
        <v>675.05650721100903</v>
      </c>
      <c r="H248" s="250">
        <f t="shared" si="142"/>
        <v>1012.645682754026</v>
      </c>
      <c r="I248" s="250">
        <f t="shared" si="142"/>
        <v>1416.8654776553778</v>
      </c>
      <c r="J248" s="250">
        <f t="shared" si="142"/>
        <v>1887.2696728137792</v>
      </c>
      <c r="K248" s="250">
        <f t="shared" si="142"/>
        <v>2423.4140265318906</v>
      </c>
      <c r="L248" s="250">
        <f t="shared" si="142"/>
        <v>3024.8562672274743</v>
      </c>
      <c r="M248" s="250">
        <f t="shared" si="142"/>
        <v>3691.156086168714</v>
      </c>
      <c r="N248" s="250">
        <f t="shared" si="142"/>
        <v>4300.2652125007526</v>
      </c>
      <c r="O248" s="250">
        <f t="shared" si="142"/>
        <v>4951.8320025301509</v>
      </c>
      <c r="P248" s="250">
        <f t="shared" si="142"/>
        <v>5645.5663258664808</v>
      </c>
      <c r="Q248" s="250">
        <f t="shared" si="142"/>
        <v>6381.1793462821006</v>
      </c>
      <c r="R248" s="250">
        <f t="shared" si="142"/>
        <v>7158.3835169262538</v>
      </c>
      <c r="S248" s="250">
        <f t="shared" si="142"/>
        <v>7976.8925755550499</v>
      </c>
      <c r="T248" s="250">
        <f t="shared" si="142"/>
        <v>8836.4215397773023</v>
      </c>
      <c r="U248" s="250">
        <f t="shared" si="142"/>
        <v>9736.6867023161831</v>
      </c>
      <c r="V248" s="250">
        <f t="shared" si="142"/>
        <v>10677.405626286571</v>
      </c>
      <c r="W248" s="250">
        <f t="shared" si="142"/>
        <v>11658.297140488165</v>
      </c>
      <c r="X248" s="250">
        <f t="shared" si="142"/>
        <v>12929.077811108484</v>
      </c>
      <c r="Y248" s="250">
        <f t="shared" si="142"/>
        <v>14262.125363679113</v>
      </c>
      <c r="Z248" s="250">
        <f t="shared" si="142"/>
        <v>15657.008717358765</v>
      </c>
      <c r="AA248" s="250">
        <f t="shared" si="142"/>
        <v>17113.298722212505</v>
      </c>
      <c r="AB248" s="250">
        <f t="shared" si="142"/>
        <v>18630.568152056469</v>
      </c>
      <c r="AC248" s="250">
        <f t="shared" si="142"/>
        <v>20208.391697326351</v>
      </c>
      <c r="AD248" s="250">
        <f t="shared" si="142"/>
        <v>21846.345957969679</v>
      </c>
      <c r="AE248" s="250">
        <f t="shared" si="142"/>
        <v>23544.009436361684</v>
      </c>
      <c r="AF248" s="250">
        <f t="shared" si="142"/>
        <v>25300.962530244724</v>
      </c>
      <c r="AG248" s="250">
        <f t="shared" si="142"/>
        <v>27116.787525691343</v>
      </c>
      <c r="AH248" s="217"/>
      <c r="AI248" s="368"/>
      <c r="AJ248" s="369"/>
      <c r="AL248" s="194"/>
      <c r="AM248" s="116"/>
      <c r="AN248" s="116"/>
      <c r="AO248" s="116"/>
      <c r="BD248" s="116"/>
      <c r="BE248" s="116"/>
      <c r="BF248" s="116"/>
      <c r="BG248" s="116"/>
      <c r="BH248" s="116"/>
      <c r="BI248" s="116"/>
      <c r="BJ248" s="116"/>
      <c r="BK248" s="116"/>
    </row>
    <row r="249" spans="1:63" outlineLevel="1">
      <c r="A249" s="4" t="s">
        <v>35</v>
      </c>
      <c r="C249" s="203">
        <f t="shared" ref="C249:AG249" si="143">C244-$C244</f>
        <v>0</v>
      </c>
      <c r="D249" s="203">
        <f t="shared" si="143"/>
        <v>0.83558417361022053</v>
      </c>
      <c r="E249" s="203">
        <f t="shared" si="143"/>
        <v>5.0604710417252781</v>
      </c>
      <c r="F249" s="203">
        <f t="shared" si="143"/>
        <v>15.234757380655727</v>
      </c>
      <c r="G249" s="203">
        <f t="shared" si="143"/>
        <v>33.895834405815933</v>
      </c>
      <c r="H249" s="203">
        <f t="shared" si="143"/>
        <v>63.558513264700927</v>
      </c>
      <c r="I249" s="203">
        <f t="shared" si="143"/>
        <v>106.71514997539029</v>
      </c>
      <c r="J249" s="203">
        <f t="shared" si="143"/>
        <v>165.83576981272194</v>
      </c>
      <c r="K249" s="203">
        <f t="shared" si="143"/>
        <v>243.36819114427149</v>
      </c>
      <c r="L249" s="203">
        <f t="shared" si="143"/>
        <v>341.73814871826471</v>
      </c>
      <c r="M249" s="203">
        <f t="shared" si="143"/>
        <v>463.34941640554393</v>
      </c>
      <c r="N249" s="203">
        <f t="shared" si="143"/>
        <v>593.79171812167942</v>
      </c>
      <c r="O249" s="203">
        <f t="shared" si="143"/>
        <v>745.92190033085535</v>
      </c>
      <c r="P249" s="203">
        <f t="shared" si="143"/>
        <v>921.29152539021004</v>
      </c>
      <c r="Q249" s="203">
        <f t="shared" si="143"/>
        <v>1121.4378151120234</v>
      </c>
      <c r="R249" s="203">
        <f t="shared" si="143"/>
        <v>1347.8837310904387</v>
      </c>
      <c r="S249" s="203">
        <f t="shared" si="143"/>
        <v>1602.1380546709111</v>
      </c>
      <c r="T249" s="203">
        <f t="shared" si="143"/>
        <v>1885.6954665637732</v>
      </c>
      <c r="U249" s="203">
        <f t="shared" si="143"/>
        <v>2200.0366261033005</v>
      </c>
      <c r="V249" s="203">
        <f t="shared" si="143"/>
        <v>2546.6282501536402</v>
      </c>
      <c r="W249" s="203">
        <f t="shared" si="143"/>
        <v>2926.923191662996</v>
      </c>
      <c r="X249" s="203">
        <f t="shared" si="143"/>
        <v>3408.26263886876</v>
      </c>
      <c r="Y249" s="203">
        <f t="shared" si="143"/>
        <v>3938.7021522056048</v>
      </c>
      <c r="Z249" s="203">
        <f t="shared" si="143"/>
        <v>4520.4621722084876</v>
      </c>
      <c r="AA249" s="203">
        <f t="shared" si="143"/>
        <v>5155.742075773147</v>
      </c>
      <c r="AB249" s="203">
        <f t="shared" si="143"/>
        <v>5846.7202951035733</v>
      </c>
      <c r="AC249" s="203">
        <f t="shared" si="143"/>
        <v>6595.5544361283146</v>
      </c>
      <c r="AD249" s="203">
        <f t="shared" si="143"/>
        <v>7404.3813963877201</v>
      </c>
      <c r="AE249" s="203">
        <f t="shared" si="143"/>
        <v>8275.3174823941299</v>
      </c>
      <c r="AF249" s="203">
        <f t="shared" si="143"/>
        <v>9210.4585264670932</v>
      </c>
      <c r="AG249" s="203">
        <f t="shared" si="143"/>
        <v>10211.880003045682</v>
      </c>
      <c r="AH249" s="217"/>
      <c r="AI249" s="124"/>
      <c r="AJ249" s="185"/>
      <c r="AL249" s="100"/>
      <c r="AM249" s="2"/>
      <c r="AN249" s="2"/>
      <c r="AO249" s="2"/>
      <c r="BC249" s="1"/>
      <c r="BD249" s="2"/>
      <c r="BE249" s="2"/>
      <c r="BF249" s="2"/>
      <c r="BG249" s="2"/>
      <c r="BH249" s="2"/>
      <c r="BI249" s="2"/>
      <c r="BJ249" s="2"/>
      <c r="BK249" s="2"/>
    </row>
    <row r="250" spans="1:63" outlineLevel="1">
      <c r="A250" s="4" t="s">
        <v>74</v>
      </c>
      <c r="C250" s="203">
        <f t="shared" ref="C250:AG250" si="144">C245-$C245</f>
        <v>0</v>
      </c>
      <c r="D250" s="203">
        <f t="shared" si="144"/>
        <v>1.1854021401398804</v>
      </c>
      <c r="E250" s="203">
        <f t="shared" si="144"/>
        <v>7.1790411934911509</v>
      </c>
      <c r="F250" s="203">
        <f t="shared" si="144"/>
        <v>21.612800450149937</v>
      </c>
      <c r="G250" s="203">
        <f t="shared" si="144"/>
        <v>48.086351938523272</v>
      </c>
      <c r="H250" s="203">
        <f t="shared" si="144"/>
        <v>90.167334456038702</v>
      </c>
      <c r="I250" s="203">
        <f t="shared" si="144"/>
        <v>151.39153081325026</v>
      </c>
      <c r="J250" s="203">
        <f t="shared" si="144"/>
        <v>235.26304429438116</v>
      </c>
      <c r="K250" s="203">
        <f t="shared" si="144"/>
        <v>345.2544743373324</v>
      </c>
      <c r="L250" s="203">
        <f t="shared" si="144"/>
        <v>484.80709143617611</v>
      </c>
      <c r="M250" s="203">
        <f t="shared" si="144"/>
        <v>657.33101126914198</v>
      </c>
      <c r="N250" s="203">
        <f t="shared" si="144"/>
        <v>842.38308442055211</v>
      </c>
      <c r="O250" s="203">
        <f t="shared" si="144"/>
        <v>1058.202686162733</v>
      </c>
      <c r="P250" s="203">
        <f t="shared" si="144"/>
        <v>1306.9909416447715</v>
      </c>
      <c r="Q250" s="203">
        <f t="shared" si="144"/>
        <v>1590.9286317905969</v>
      </c>
      <c r="R250" s="203">
        <f t="shared" si="144"/>
        <v>1912.1763072545471</v>
      </c>
      <c r="S250" s="203">
        <f t="shared" si="144"/>
        <v>2272.8744018700904</v>
      </c>
      <c r="T250" s="203">
        <f t="shared" si="144"/>
        <v>2675.1433455936713</v>
      </c>
      <c r="U250" s="203">
        <f t="shared" si="144"/>
        <v>3121.0836769456459</v>
      </c>
      <c r="V250" s="203">
        <f t="shared" si="144"/>
        <v>3612.7761549502393</v>
      </c>
      <c r="W250" s="203">
        <f t="shared" si="144"/>
        <v>4152.2818705765021</v>
      </c>
      <c r="X250" s="203">
        <f t="shared" si="144"/>
        <v>4835.1344530831948</v>
      </c>
      <c r="Y250" s="203">
        <f t="shared" si="144"/>
        <v>5587.6428827337131</v>
      </c>
      <c r="Z250" s="203">
        <f t="shared" si="144"/>
        <v>6412.9571892262247</v>
      </c>
      <c r="AA250" s="203">
        <f t="shared" si="144"/>
        <v>7314.1975203106776</v>
      </c>
      <c r="AB250" s="203">
        <f t="shared" si="144"/>
        <v>8294.4543105337234</v>
      </c>
      <c r="AC250" s="203">
        <f t="shared" si="144"/>
        <v>9356.7884492301018</v>
      </c>
      <c r="AD250" s="203">
        <f t="shared" si="144"/>
        <v>10504.231447763465</v>
      </c>
      <c r="AE250" s="203">
        <f t="shared" si="144"/>
        <v>11739.785606019512</v>
      </c>
      <c r="AF250" s="203">
        <f t="shared" si="144"/>
        <v>13066.424178154351</v>
      </c>
      <c r="AG250" s="203">
        <f t="shared" si="144"/>
        <v>14487.091537601058</v>
      </c>
      <c r="AH250" s="217"/>
      <c r="AI250" s="124"/>
      <c r="AJ250" s="185"/>
      <c r="AL250" s="100"/>
      <c r="AM250" s="2"/>
      <c r="AN250" s="2"/>
      <c r="AO250" s="2"/>
      <c r="BC250" s="1"/>
      <c r="BD250" s="2"/>
      <c r="BE250" s="2"/>
      <c r="BF250" s="2"/>
      <c r="BG250" s="2"/>
      <c r="BH250" s="2"/>
      <c r="BI250" s="2"/>
      <c r="BJ250" s="2"/>
      <c r="BK250" s="2"/>
    </row>
    <row r="251" spans="1:63" outlineLevel="1">
      <c r="A251" s="4" t="s">
        <v>160</v>
      </c>
      <c r="C251" s="203">
        <f t="shared" ref="C251:AG251" si="145">C246-$C246</f>
        <v>0</v>
      </c>
      <c r="D251" s="203">
        <f t="shared" si="145"/>
        <v>6.4382253363589909E-2</v>
      </c>
      <c r="E251" s="203">
        <f t="shared" si="145"/>
        <v>0.38991227818473073</v>
      </c>
      <c r="F251" s="203">
        <f t="shared" si="145"/>
        <v>1.1738470408987662</v>
      </c>
      <c r="G251" s="203">
        <f t="shared" si="145"/>
        <v>2.6116940310833532</v>
      </c>
      <c r="H251" s="203">
        <f t="shared" si="145"/>
        <v>4.8972209307663377</v>
      </c>
      <c r="I251" s="203">
        <f t="shared" si="145"/>
        <v>8.2224652410111592</v>
      </c>
      <c r="J251" s="203">
        <f t="shared" si="145"/>
        <v>12.777743865944906</v>
      </c>
      <c r="K251" s="203">
        <f t="shared" si="145"/>
        <v>18.751662654393545</v>
      </c>
      <c r="L251" s="203">
        <f t="shared" si="145"/>
        <v>26.331125899288299</v>
      </c>
      <c r="M251" s="203">
        <f t="shared" si="145"/>
        <v>35.701345795006524</v>
      </c>
      <c r="N251" s="203">
        <f t="shared" si="145"/>
        <v>45.752002070762671</v>
      </c>
      <c r="O251" s="203">
        <f t="shared" si="145"/>
        <v>57.473722328965103</v>
      </c>
      <c r="P251" s="203">
        <f t="shared" si="145"/>
        <v>70.986055364267386</v>
      </c>
      <c r="Q251" s="203">
        <f t="shared" si="145"/>
        <v>86.407445023884364</v>
      </c>
      <c r="R251" s="203">
        <f t="shared" si="145"/>
        <v>103.8552363968135</v>
      </c>
      <c r="S251" s="203">
        <f t="shared" si="145"/>
        <v>123.44568197552799</v>
      </c>
      <c r="T251" s="203">
        <f t="shared" si="145"/>
        <v>145.29394779024898</v>
      </c>
      <c r="U251" s="203">
        <f t="shared" si="145"/>
        <v>169.5141195159033</v>
      </c>
      <c r="V251" s="203">
        <f t="shared" si="145"/>
        <v>196.21920855187179</v>
      </c>
      <c r="W251" s="203">
        <f t="shared" si="145"/>
        <v>225.52115807463554</v>
      </c>
      <c r="X251" s="203">
        <f t="shared" si="145"/>
        <v>262.60864635244457</v>
      </c>
      <c r="Y251" s="203">
        <f t="shared" si="145"/>
        <v>303.47932368248536</v>
      </c>
      <c r="Z251" s="203">
        <f t="shared" si="145"/>
        <v>348.30427631748421</v>
      </c>
      <c r="AA251" s="203">
        <f t="shared" si="145"/>
        <v>397.25296754434328</v>
      </c>
      <c r="AB251" s="203">
        <f t="shared" si="145"/>
        <v>450.49324684911346</v>
      </c>
      <c r="AC251" s="203">
        <f t="shared" si="145"/>
        <v>508.19135904104053</v>
      </c>
      <c r="AD251" s="203">
        <f t="shared" si="145"/>
        <v>570.51195333584656</v>
      </c>
      <c r="AE251" s="203">
        <f t="shared" si="145"/>
        <v>637.61809239840227</v>
      </c>
      <c r="AF251" s="203">
        <f t="shared" si="145"/>
        <v>709.67126134494856</v>
      </c>
      <c r="AG251" s="203">
        <f t="shared" si="145"/>
        <v>786.83137670502981</v>
      </c>
      <c r="AH251" s="217"/>
      <c r="AI251" s="124"/>
      <c r="AJ251" s="185"/>
      <c r="AL251" s="100"/>
      <c r="AM251" s="2"/>
      <c r="AN251" s="2"/>
      <c r="AO251" s="2"/>
      <c r="BC251" s="1"/>
      <c r="BD251" s="2"/>
      <c r="BE251" s="2"/>
      <c r="BF251" s="2"/>
      <c r="BG251" s="2"/>
      <c r="BH251" s="2"/>
      <c r="BI251" s="2"/>
      <c r="BJ251" s="2"/>
      <c r="BK251" s="2"/>
    </row>
    <row r="252" spans="1:63" outlineLevel="1">
      <c r="A252" s="4" t="s">
        <v>1040</v>
      </c>
      <c r="C252" s="203">
        <f t="shared" ref="C252:AG252" si="146">C247-$C247</f>
        <v>0</v>
      </c>
      <c r="D252" s="203">
        <f t="shared" si="146"/>
        <v>0.1334548511854774</v>
      </c>
      <c r="E252" s="203">
        <f t="shared" si="146"/>
        <v>0.80823025510880053</v>
      </c>
      <c r="F252" s="203">
        <f t="shared" si="146"/>
        <v>2.4332106127594981</v>
      </c>
      <c r="G252" s="203">
        <f t="shared" si="146"/>
        <v>5.4136539193786613</v>
      </c>
      <c r="H252" s="203">
        <f t="shared" si="146"/>
        <v>10.151211807498388</v>
      </c>
      <c r="I252" s="203">
        <f t="shared" si="146"/>
        <v>17.043949501423892</v>
      </c>
      <c r="J252" s="203">
        <f t="shared" si="146"/>
        <v>26.48636568350053</v>
      </c>
      <c r="K252" s="203">
        <f t="shared" si="146"/>
        <v>38.869412272506821</v>
      </c>
      <c r="L252" s="203">
        <f t="shared" si="146"/>
        <v>54.580514114513299</v>
      </c>
      <c r="M252" s="203">
        <f t="shared" si="146"/>
        <v>74.00358858654586</v>
      </c>
      <c r="N252" s="203">
        <f t="shared" si="146"/>
        <v>94.837106637282048</v>
      </c>
      <c r="O252" s="203">
        <f t="shared" si="146"/>
        <v>119.1344921895074</v>
      </c>
      <c r="P252" s="203">
        <f t="shared" si="146"/>
        <v>147.14355214289338</v>
      </c>
      <c r="Q252" s="203">
        <f t="shared" si="146"/>
        <v>179.10980300514325</v>
      </c>
      <c r="R252" s="203">
        <f t="shared" si="146"/>
        <v>215.2764837213287</v>
      </c>
      <c r="S252" s="203">
        <f t="shared" si="146"/>
        <v>255.88456844616505</v>
      </c>
      <c r="T252" s="203">
        <f t="shared" si="146"/>
        <v>301.17277925944632</v>
      </c>
      <c r="U252" s="203">
        <f t="shared" si="146"/>
        <v>351.37759882486199</v>
      </c>
      <c r="V252" s="203">
        <f t="shared" si="146"/>
        <v>406.73328299241246</v>
      </c>
      <c r="W252" s="203">
        <f t="shared" si="146"/>
        <v>467.47187334464616</v>
      </c>
      <c r="X252" s="203">
        <f t="shared" si="146"/>
        <v>544.34872947154338</v>
      </c>
      <c r="Y252" s="203">
        <f t="shared" si="146"/>
        <v>629.06757474288463</v>
      </c>
      <c r="Z252" s="203">
        <f t="shared" si="146"/>
        <v>721.98304555619575</v>
      </c>
      <c r="AA252" s="203">
        <f t="shared" si="146"/>
        <v>823.44641414184161</v>
      </c>
      <c r="AB252" s="203">
        <f t="shared" si="146"/>
        <v>933.80560756065336</v>
      </c>
      <c r="AC252" s="203">
        <f t="shared" si="146"/>
        <v>1053.4052266167214</v>
      </c>
      <c r="AD252" s="203">
        <f t="shared" si="146"/>
        <v>1182.5865646856892</v>
      </c>
      <c r="AE252" s="203">
        <f t="shared" si="146"/>
        <v>1321.6876264588705</v>
      </c>
      <c r="AF252" s="203">
        <f t="shared" si="146"/>
        <v>1471.0431466035172</v>
      </c>
      <c r="AG252" s="203">
        <f t="shared" si="146"/>
        <v>1630.9846083395762</v>
      </c>
      <c r="AH252" s="217"/>
      <c r="AI252" s="124"/>
      <c r="AJ252" s="185"/>
      <c r="AL252" s="100"/>
      <c r="AM252" s="2"/>
      <c r="AN252" s="2"/>
      <c r="AO252" s="2"/>
      <c r="BC252" s="1"/>
      <c r="BD252" s="2"/>
      <c r="BE252" s="2"/>
      <c r="BF252" s="2"/>
      <c r="BG252" s="2"/>
      <c r="BH252" s="2"/>
      <c r="BI252" s="2"/>
      <c r="BJ252" s="2"/>
      <c r="BK252" s="2"/>
    </row>
    <row r="253" spans="1:63" outlineLevel="1">
      <c r="AJ253" s="185"/>
    </row>
    <row r="254" spans="1:63" s="174" customFormat="1" ht="15.5" thickBot="1">
      <c r="A254" s="174" t="s">
        <v>448</v>
      </c>
      <c r="B254" s="189"/>
      <c r="C254" s="197">
        <f>C255</f>
        <v>0.14000000000000001</v>
      </c>
      <c r="D254" s="197">
        <f t="shared" ref="D254:AG254" si="147">D255</f>
        <v>0.15700598392683424</v>
      </c>
      <c r="E254" s="197">
        <f t="shared" si="147"/>
        <v>0.17401196785366843</v>
      </c>
      <c r="F254" s="197">
        <f t="shared" si="147"/>
        <v>0.19101795178050265</v>
      </c>
      <c r="G254" s="197">
        <f t="shared" si="147"/>
        <v>0.20802393570733685</v>
      </c>
      <c r="H254" s="197">
        <f t="shared" si="147"/>
        <v>0.22502991963417107</v>
      </c>
      <c r="I254" s="197">
        <f t="shared" si="147"/>
        <v>0.24203590356100529</v>
      </c>
      <c r="J254" s="197">
        <f t="shared" si="147"/>
        <v>0.25904188748783952</v>
      </c>
      <c r="K254" s="197">
        <f t="shared" si="147"/>
        <v>0.27604787141467368</v>
      </c>
      <c r="L254" s="197">
        <f t="shared" si="147"/>
        <v>0.29305385534150796</v>
      </c>
      <c r="M254" s="197">
        <f t="shared" si="147"/>
        <v>0.31005983926834213</v>
      </c>
      <c r="N254" s="197">
        <f t="shared" si="147"/>
        <v>0.32148492288828256</v>
      </c>
      <c r="O254" s="197">
        <f t="shared" si="147"/>
        <v>0.33291000650822294</v>
      </c>
      <c r="P254" s="197">
        <f t="shared" si="147"/>
        <v>0.34433509012816338</v>
      </c>
      <c r="Q254" s="197">
        <f t="shared" si="147"/>
        <v>0.35576017374810376</v>
      </c>
      <c r="R254" s="197">
        <f t="shared" si="147"/>
        <v>0.36718525736804419</v>
      </c>
      <c r="S254" s="197">
        <f t="shared" si="147"/>
        <v>0.37861034098798463</v>
      </c>
      <c r="T254" s="197">
        <f t="shared" si="147"/>
        <v>0.39003542460792501</v>
      </c>
      <c r="U254" s="197">
        <f t="shared" si="147"/>
        <v>0.40146050822786544</v>
      </c>
      <c r="V254" s="197">
        <f t="shared" si="147"/>
        <v>0.41288559184780582</v>
      </c>
      <c r="W254" s="197">
        <f t="shared" si="147"/>
        <v>0.42431067546774626</v>
      </c>
      <c r="X254" s="197">
        <f t="shared" si="147"/>
        <v>0.44187960792097164</v>
      </c>
      <c r="Y254" s="197">
        <f t="shared" si="147"/>
        <v>0.45944854037419702</v>
      </c>
      <c r="Z254" s="197">
        <f t="shared" si="147"/>
        <v>0.47701747282742235</v>
      </c>
      <c r="AA254" s="197">
        <f t="shared" si="147"/>
        <v>0.49458640528064773</v>
      </c>
      <c r="AB254" s="197">
        <f t="shared" si="147"/>
        <v>0.51215533773387312</v>
      </c>
      <c r="AC254" s="197">
        <f t="shared" si="147"/>
        <v>0.52972427018709856</v>
      </c>
      <c r="AD254" s="197">
        <f t="shared" si="147"/>
        <v>0.54729320264032388</v>
      </c>
      <c r="AE254" s="197">
        <f t="shared" si="147"/>
        <v>0.56486213509354921</v>
      </c>
      <c r="AF254" s="197">
        <f t="shared" si="147"/>
        <v>0.58243106754677465</v>
      </c>
      <c r="AG254" s="197">
        <f t="shared" si="147"/>
        <v>0.6</v>
      </c>
      <c r="AJ254" s="204" t="s">
        <v>457</v>
      </c>
      <c r="AL254" s="191"/>
      <c r="AM254" s="198"/>
      <c r="AN254" s="198"/>
      <c r="AO254" s="198"/>
    </row>
    <row r="255" spans="1:63" ht="15.5" outlineLevel="2" thickTop="1">
      <c r="A255" t="s">
        <v>449</v>
      </c>
      <c r="B255" s="50" t="s">
        <v>126</v>
      </c>
      <c r="C255" s="118">
        <f>'Ethylene Recycling HC'!C206</f>
        <v>0.14000000000000001</v>
      </c>
      <c r="D255" s="102">
        <f>'Ethylene Recycling HC'!D206</f>
        <v>0.15700598392683424</v>
      </c>
      <c r="E255" s="102">
        <f>'Ethylene Recycling HC'!E206</f>
        <v>0.17401196785366843</v>
      </c>
      <c r="F255" s="102">
        <f>'Ethylene Recycling HC'!F206</f>
        <v>0.19101795178050265</v>
      </c>
      <c r="G255" s="102">
        <f>'Ethylene Recycling HC'!G206</f>
        <v>0.20802393570733685</v>
      </c>
      <c r="H255" s="102">
        <f>'Ethylene Recycling HC'!H206</f>
        <v>0.22502991963417107</v>
      </c>
      <c r="I255" s="102">
        <f>'Ethylene Recycling HC'!I206</f>
        <v>0.24203590356100529</v>
      </c>
      <c r="J255" s="102">
        <f>'Ethylene Recycling HC'!J206</f>
        <v>0.25904188748783952</v>
      </c>
      <c r="K255" s="102">
        <f>'Ethylene Recycling HC'!K206</f>
        <v>0.27604787141467368</v>
      </c>
      <c r="L255" s="102">
        <f>'Ethylene Recycling HC'!L206</f>
        <v>0.29305385534150796</v>
      </c>
      <c r="M255" s="113">
        <f>'Ethylene Recycling HC'!M206</f>
        <v>0.31005983926834213</v>
      </c>
      <c r="N255" s="113">
        <f>'Ethylene Recycling HC'!N206</f>
        <v>0.32148492288828256</v>
      </c>
      <c r="O255" s="113">
        <f>'Ethylene Recycling HC'!O206</f>
        <v>0.33291000650822294</v>
      </c>
      <c r="P255" s="113">
        <f>'Ethylene Recycling HC'!P206</f>
        <v>0.34433509012816338</v>
      </c>
      <c r="Q255" s="113">
        <f>'Ethylene Recycling HC'!Q206</f>
        <v>0.35576017374810376</v>
      </c>
      <c r="R255" s="113">
        <f>'Ethylene Recycling HC'!R206</f>
        <v>0.36718525736804419</v>
      </c>
      <c r="S255" s="113">
        <f>'Ethylene Recycling HC'!S206</f>
        <v>0.37861034098798463</v>
      </c>
      <c r="T255" s="113">
        <f>'Ethylene Recycling HC'!T206</f>
        <v>0.39003542460792501</v>
      </c>
      <c r="U255" s="113">
        <f>'Ethylene Recycling HC'!U206</f>
        <v>0.40146050822786544</v>
      </c>
      <c r="V255" s="113">
        <f>'Ethylene Recycling HC'!V206</f>
        <v>0.41288559184780582</v>
      </c>
      <c r="W255" s="113">
        <f>'Ethylene Recycling HC'!W206</f>
        <v>0.42431067546774626</v>
      </c>
      <c r="X255" s="22">
        <f>'Ethylene Recycling HC'!X206</f>
        <v>0.44187960792097164</v>
      </c>
      <c r="Y255" s="22">
        <f>'Ethylene Recycling HC'!Y206</f>
        <v>0.45944854037419702</v>
      </c>
      <c r="Z255" s="22">
        <f>'Ethylene Recycling HC'!Z206</f>
        <v>0.47701747282742235</v>
      </c>
      <c r="AA255" s="22">
        <f>'Ethylene Recycling HC'!AA206</f>
        <v>0.49458640528064773</v>
      </c>
      <c r="AB255" s="22">
        <f>'Ethylene Recycling HC'!AB206</f>
        <v>0.51215533773387312</v>
      </c>
      <c r="AC255" s="22">
        <f>'Ethylene Recycling HC'!AC206</f>
        <v>0.52972427018709856</v>
      </c>
      <c r="AD255" s="22">
        <f>'Ethylene Recycling HC'!AD206</f>
        <v>0.54729320264032388</v>
      </c>
      <c r="AE255" s="22">
        <f>'Ethylene Recycling HC'!AE206</f>
        <v>0.56486213509354921</v>
      </c>
      <c r="AF255" s="22">
        <f>'Ethylene Recycling HC'!AF206</f>
        <v>0.58243106754677465</v>
      </c>
      <c r="AG255" s="118">
        <f>'Ethylene Recycling HC'!AG206</f>
        <v>0.6</v>
      </c>
      <c r="AJ255" s="185" t="s">
        <v>1469</v>
      </c>
    </row>
    <row r="256" spans="1:63" outlineLevel="2">
      <c r="C256" s="105"/>
      <c r="D256" s="102"/>
      <c r="E256" s="102"/>
      <c r="F256" s="102"/>
      <c r="G256" s="102"/>
      <c r="H256" s="102"/>
      <c r="I256" s="102"/>
      <c r="J256" s="102"/>
      <c r="K256" s="102"/>
      <c r="L256" s="102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22"/>
      <c r="Y256" s="22"/>
      <c r="Z256" s="22"/>
      <c r="AA256" s="22"/>
      <c r="AB256" s="22"/>
      <c r="AC256" s="22"/>
      <c r="AD256" s="22"/>
      <c r="AE256" s="22"/>
      <c r="AF256" s="22"/>
      <c r="AG256" s="98"/>
      <c r="AJ256" s="185"/>
    </row>
    <row r="257" spans="1:63" outlineLevel="1">
      <c r="A257" t="s">
        <v>1239</v>
      </c>
      <c r="C257" s="437">
        <f>('Overall recycling rates'!F88*'Yearly BTX'!D5+'Overall recycling rates'!G88*'Yearly BTX'!D6+'Overall recycling rates'!H88*'Yearly BTX'!D7)/'Yearly BTX'!D4</f>
        <v>0.99999999999999989</v>
      </c>
      <c r="D257" s="437">
        <f>C257-($C257-$AG257)/($AG$1-$C$1)</f>
        <v>0.99999999999999989</v>
      </c>
      <c r="E257" s="437">
        <f t="shared" ref="E257:AF257" si="148">D257-($C257-$AG257)/($AG$1-$C$1)</f>
        <v>0.99999999999999989</v>
      </c>
      <c r="F257" s="437">
        <f t="shared" si="148"/>
        <v>0.99999999999999989</v>
      </c>
      <c r="G257" s="437">
        <f t="shared" si="148"/>
        <v>0.99999999999999989</v>
      </c>
      <c r="H257" s="437">
        <f t="shared" si="148"/>
        <v>0.99999999999999989</v>
      </c>
      <c r="I257" s="437">
        <f t="shared" si="148"/>
        <v>0.99999999999999989</v>
      </c>
      <c r="J257" s="437">
        <f t="shared" si="148"/>
        <v>0.99999999999999989</v>
      </c>
      <c r="K257" s="437">
        <f t="shared" si="148"/>
        <v>0.99999999999999989</v>
      </c>
      <c r="L257" s="437">
        <f t="shared" si="148"/>
        <v>0.99999999999999989</v>
      </c>
      <c r="M257" s="437">
        <f t="shared" si="148"/>
        <v>0.99999999999999989</v>
      </c>
      <c r="N257" s="437">
        <f t="shared" si="148"/>
        <v>0.99999999999999989</v>
      </c>
      <c r="O257" s="437">
        <f t="shared" si="148"/>
        <v>0.99999999999999989</v>
      </c>
      <c r="P257" s="437">
        <f t="shared" si="148"/>
        <v>0.99999999999999989</v>
      </c>
      <c r="Q257" s="437">
        <f t="shared" si="148"/>
        <v>0.99999999999999989</v>
      </c>
      <c r="R257" s="437">
        <f t="shared" si="148"/>
        <v>0.99999999999999989</v>
      </c>
      <c r="S257" s="437">
        <f t="shared" si="148"/>
        <v>0.99999999999999989</v>
      </c>
      <c r="T257" s="437">
        <f t="shared" si="148"/>
        <v>0.99999999999999989</v>
      </c>
      <c r="U257" s="437">
        <f t="shared" si="148"/>
        <v>0.99999999999999989</v>
      </c>
      <c r="V257" s="437">
        <f t="shared" si="148"/>
        <v>0.99999999999999989</v>
      </c>
      <c r="W257" s="437">
        <f t="shared" si="148"/>
        <v>0.99999999999999989</v>
      </c>
      <c r="X257" s="437">
        <f t="shared" si="148"/>
        <v>0.99999999999999989</v>
      </c>
      <c r="Y257" s="437">
        <f t="shared" si="148"/>
        <v>0.99999999999999989</v>
      </c>
      <c r="Z257" s="437">
        <f t="shared" si="148"/>
        <v>0.99999999999999989</v>
      </c>
      <c r="AA257" s="437">
        <f t="shared" si="148"/>
        <v>0.99999999999999989</v>
      </c>
      <c r="AB257" s="437">
        <f t="shared" si="148"/>
        <v>0.99999999999999989</v>
      </c>
      <c r="AC257" s="437">
        <f t="shared" si="148"/>
        <v>0.99999999999999989</v>
      </c>
      <c r="AD257" s="437">
        <f t="shared" si="148"/>
        <v>0.99999999999999989</v>
      </c>
      <c r="AE257" s="437">
        <f t="shared" si="148"/>
        <v>0.99999999999999989</v>
      </c>
      <c r="AF257" s="437">
        <f t="shared" si="148"/>
        <v>0.99999999999999989</v>
      </c>
      <c r="AG257" s="437">
        <f>'Overall recycling rates'!F97</f>
        <v>1</v>
      </c>
      <c r="AI257" s="124"/>
      <c r="AJ257" s="185" t="s">
        <v>1000</v>
      </c>
      <c r="AL257" s="100"/>
      <c r="AM257" s="181"/>
      <c r="AN257" s="181"/>
      <c r="AO257" s="181"/>
      <c r="BC257" s="1"/>
      <c r="BD257" s="181"/>
      <c r="BE257" s="181"/>
      <c r="BF257" s="181"/>
      <c r="BG257" s="181"/>
      <c r="BH257" s="181"/>
      <c r="BI257" s="181"/>
      <c r="BJ257" s="181"/>
      <c r="BK257" s="181"/>
    </row>
    <row r="258" spans="1:63" outlineLevel="1">
      <c r="A258" t="s">
        <v>1255</v>
      </c>
      <c r="B258" s="50" t="s">
        <v>126</v>
      </c>
      <c r="C258" s="102">
        <f>C255*C257</f>
        <v>0.13999999999999999</v>
      </c>
      <c r="D258" s="102">
        <f t="shared" ref="D258:AG258" si="149">D255*D257</f>
        <v>0.15700598392683421</v>
      </c>
      <c r="E258" s="102">
        <f t="shared" si="149"/>
        <v>0.1740119678536684</v>
      </c>
      <c r="F258" s="102">
        <f t="shared" si="149"/>
        <v>0.19101795178050263</v>
      </c>
      <c r="G258" s="102">
        <f t="shared" si="149"/>
        <v>0.20802393570733682</v>
      </c>
      <c r="H258" s="102">
        <f t="shared" si="149"/>
        <v>0.22502991963417104</v>
      </c>
      <c r="I258" s="102">
        <f t="shared" si="149"/>
        <v>0.24203590356100527</v>
      </c>
      <c r="J258" s="102">
        <f t="shared" si="149"/>
        <v>0.25904188748783946</v>
      </c>
      <c r="K258" s="102">
        <f t="shared" si="149"/>
        <v>0.27604787141467363</v>
      </c>
      <c r="L258" s="102">
        <f t="shared" si="149"/>
        <v>0.29305385534150791</v>
      </c>
      <c r="M258" s="102">
        <f t="shared" si="149"/>
        <v>0.31005983926834207</v>
      </c>
      <c r="N258" s="102">
        <f t="shared" si="149"/>
        <v>0.32148492288828251</v>
      </c>
      <c r="O258" s="102">
        <f t="shared" si="149"/>
        <v>0.33291000650822289</v>
      </c>
      <c r="P258" s="102">
        <f t="shared" si="149"/>
        <v>0.34433509012816332</v>
      </c>
      <c r="Q258" s="102">
        <f t="shared" si="149"/>
        <v>0.3557601737481037</v>
      </c>
      <c r="R258" s="102">
        <f t="shared" si="149"/>
        <v>0.36718525736804414</v>
      </c>
      <c r="S258" s="102">
        <f t="shared" si="149"/>
        <v>0.37861034098798457</v>
      </c>
      <c r="T258" s="102">
        <f t="shared" si="149"/>
        <v>0.39003542460792495</v>
      </c>
      <c r="U258" s="102">
        <f t="shared" si="149"/>
        <v>0.40146050822786539</v>
      </c>
      <c r="V258" s="102">
        <f t="shared" si="149"/>
        <v>0.41288559184780577</v>
      </c>
      <c r="W258" s="102">
        <f t="shared" si="149"/>
        <v>0.4243106754677462</v>
      </c>
      <c r="X258" s="102">
        <f t="shared" si="149"/>
        <v>0.44187960792097158</v>
      </c>
      <c r="Y258" s="102">
        <f t="shared" si="149"/>
        <v>0.45944854037419697</v>
      </c>
      <c r="Z258" s="102">
        <f t="shared" si="149"/>
        <v>0.4770174728274223</v>
      </c>
      <c r="AA258" s="102">
        <f t="shared" si="149"/>
        <v>0.49458640528064768</v>
      </c>
      <c r="AB258" s="102">
        <f t="shared" si="149"/>
        <v>0.51215533773387301</v>
      </c>
      <c r="AC258" s="102">
        <f t="shared" si="149"/>
        <v>0.52972427018709844</v>
      </c>
      <c r="AD258" s="102">
        <f t="shared" si="149"/>
        <v>0.54729320264032377</v>
      </c>
      <c r="AE258" s="102">
        <f t="shared" si="149"/>
        <v>0.5648621350935491</v>
      </c>
      <c r="AF258" s="102">
        <f t="shared" si="149"/>
        <v>0.58243106754677454</v>
      </c>
      <c r="AG258" s="102">
        <f t="shared" si="149"/>
        <v>0.6</v>
      </c>
      <c r="AJ258" s="185" t="s">
        <v>447</v>
      </c>
    </row>
    <row r="259" spans="1:63" outlineLevel="1"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J259" s="185"/>
    </row>
    <row r="260" spans="1:63" s="1" customFormat="1" outlineLevel="1">
      <c r="A260" s="1" t="s">
        <v>265</v>
      </c>
      <c r="B260" s="60"/>
      <c r="C260" s="250">
        <f>C258*C43</f>
        <v>61752.77647686917</v>
      </c>
      <c r="D260" s="250">
        <f t="shared" ref="D260:AG260" si="150">D258*D43</f>
        <v>69101.084050006524</v>
      </c>
      <c r="E260" s="250">
        <f t="shared" si="150"/>
        <v>76416.646800565621</v>
      </c>
      <c r="F260" s="250">
        <f t="shared" si="150"/>
        <v>83699.573490694282</v>
      </c>
      <c r="G260" s="250">
        <f t="shared" si="150"/>
        <v>90949.97256191737</v>
      </c>
      <c r="H260" s="250">
        <f t="shared" si="150"/>
        <v>98167.952136022272</v>
      </c>
      <c r="I260" s="250">
        <f t="shared" si="150"/>
        <v>104658.28612383701</v>
      </c>
      <c r="J260" s="250">
        <f t="shared" si="150"/>
        <v>111021.99018197347</v>
      </c>
      <c r="K260" s="250">
        <f t="shared" si="150"/>
        <v>117259.80699971563</v>
      </c>
      <c r="L260" s="250">
        <f t="shared" si="150"/>
        <v>123372.47612924551</v>
      </c>
      <c r="M260" s="250">
        <f t="shared" si="150"/>
        <v>129360.73399692323</v>
      </c>
      <c r="N260" s="250">
        <f t="shared" si="150"/>
        <v>132917.89154751939</v>
      </c>
      <c r="O260" s="250">
        <f t="shared" si="150"/>
        <v>136393.93280421715</v>
      </c>
      <c r="P260" s="250">
        <f t="shared" si="150"/>
        <v>139789.34157995702</v>
      </c>
      <c r="Q260" s="250">
        <f t="shared" si="150"/>
        <v>143104.59963118372</v>
      </c>
      <c r="R260" s="250">
        <f t="shared" si="150"/>
        <v>146340.18666526504</v>
      </c>
      <c r="S260" s="250">
        <f t="shared" si="150"/>
        <v>149496.58034788628</v>
      </c>
      <c r="T260" s="250">
        <f t="shared" si="150"/>
        <v>152574.25631042101</v>
      </c>
      <c r="U260" s="250">
        <f t="shared" si="150"/>
        <v>155573.68815727683</v>
      </c>
      <c r="V260" s="250">
        <f t="shared" si="150"/>
        <v>158495.34747321799</v>
      </c>
      <c r="W260" s="250">
        <f t="shared" si="150"/>
        <v>161339.70383066349</v>
      </c>
      <c r="X260" s="250">
        <f t="shared" si="150"/>
        <v>166421.12711178057</v>
      </c>
      <c r="Y260" s="250">
        <f t="shared" si="150"/>
        <v>171381.89001329962</v>
      </c>
      <c r="Z260" s="250">
        <f t="shared" si="150"/>
        <v>176222.7156086941</v>
      </c>
      <c r="AA260" s="250">
        <f t="shared" si="150"/>
        <v>180944.3238921274</v>
      </c>
      <c r="AB260" s="250">
        <f t="shared" si="150"/>
        <v>185547.43178957282</v>
      </c>
      <c r="AC260" s="250">
        <f t="shared" si="150"/>
        <v>189988.63133261591</v>
      </c>
      <c r="AD260" s="250">
        <f t="shared" si="150"/>
        <v>194310.02974086086</v>
      </c>
      <c r="AE260" s="250">
        <f t="shared" si="150"/>
        <v>198512.35349697724</v>
      </c>
      <c r="AF260" s="250">
        <f t="shared" si="150"/>
        <v>202596.32597607185</v>
      </c>
      <c r="AG260" s="250">
        <f t="shared" si="150"/>
        <v>206562.66745693682</v>
      </c>
      <c r="AH260" s="217"/>
      <c r="AI260" s="368"/>
      <c r="AJ260" s="369"/>
      <c r="AL260" s="194"/>
      <c r="AM260" s="116"/>
      <c r="AN260" s="116"/>
      <c r="AO260" s="116"/>
      <c r="BD260" s="116"/>
      <c r="BE260" s="116"/>
      <c r="BF260" s="116"/>
      <c r="BG260" s="116"/>
      <c r="BH260" s="116"/>
      <c r="BI260" s="116"/>
      <c r="BJ260" s="116"/>
      <c r="BK260" s="116"/>
    </row>
    <row r="261" spans="1:63" outlineLevel="1">
      <c r="A261" s="4" t="s">
        <v>35</v>
      </c>
      <c r="C261" s="203">
        <f>C$260*'BTX recycling rates'!E90</f>
        <v>0</v>
      </c>
      <c r="D261" s="203">
        <f>D$260*'BTX recycling rates'!F90</f>
        <v>0</v>
      </c>
      <c r="E261" s="203">
        <f>E$260*'BTX recycling rates'!G90</f>
        <v>0</v>
      </c>
      <c r="F261" s="203">
        <f>F$260*'BTX recycling rates'!H90</f>
        <v>0</v>
      </c>
      <c r="G261" s="203">
        <f>G$260*'BTX recycling rates'!I90</f>
        <v>0</v>
      </c>
      <c r="H261" s="203">
        <f>H$260*'BTX recycling rates'!J90</f>
        <v>0</v>
      </c>
      <c r="I261" s="203">
        <f>I$260*'BTX recycling rates'!K90</f>
        <v>0</v>
      </c>
      <c r="J261" s="203">
        <f>J$260*'BTX recycling rates'!L90</f>
        <v>0</v>
      </c>
      <c r="K261" s="203">
        <f>K$260*'BTX recycling rates'!M90</f>
        <v>0</v>
      </c>
      <c r="L261" s="203">
        <f>L$260*'BTX recycling rates'!N90</f>
        <v>0</v>
      </c>
      <c r="M261" s="203">
        <f>M$260*'BTX recycling rates'!O90</f>
        <v>0</v>
      </c>
      <c r="N261" s="203">
        <f>N$260*'BTX recycling rates'!P90</f>
        <v>0</v>
      </c>
      <c r="O261" s="203">
        <f>O$260*'BTX recycling rates'!Q90</f>
        <v>0</v>
      </c>
      <c r="P261" s="203">
        <f>P$260*'BTX recycling rates'!R90</f>
        <v>0</v>
      </c>
      <c r="Q261" s="203">
        <f>Q$260*'BTX recycling rates'!S90</f>
        <v>0</v>
      </c>
      <c r="R261" s="203">
        <f>R$260*'BTX recycling rates'!T90</f>
        <v>0</v>
      </c>
      <c r="S261" s="203">
        <f>S$260*'BTX recycling rates'!U90</f>
        <v>0</v>
      </c>
      <c r="T261" s="203">
        <f>T$260*'BTX recycling rates'!V90</f>
        <v>0</v>
      </c>
      <c r="U261" s="203">
        <f>U$260*'BTX recycling rates'!W90</f>
        <v>0</v>
      </c>
      <c r="V261" s="203">
        <f>V$260*'BTX recycling rates'!X90</f>
        <v>0</v>
      </c>
      <c r="W261" s="203">
        <f>W$260*'BTX recycling rates'!Y90</f>
        <v>0</v>
      </c>
      <c r="X261" s="203">
        <f>X$260*'BTX recycling rates'!Z90</f>
        <v>0</v>
      </c>
      <c r="Y261" s="203">
        <f>Y$260*'BTX recycling rates'!AA90</f>
        <v>0</v>
      </c>
      <c r="Z261" s="203">
        <f>Z$260*'BTX recycling rates'!AB90</f>
        <v>0</v>
      </c>
      <c r="AA261" s="203">
        <f>AA$260*'BTX recycling rates'!AC90</f>
        <v>0</v>
      </c>
      <c r="AB261" s="203">
        <f>AB$260*'BTX recycling rates'!AD90</f>
        <v>0</v>
      </c>
      <c r="AC261" s="203">
        <f>AC$260*'BTX recycling rates'!AE90</f>
        <v>0</v>
      </c>
      <c r="AD261" s="203">
        <f>AD$260*'BTX recycling rates'!AF90</f>
        <v>0</v>
      </c>
      <c r="AE261" s="203">
        <f>AE$260*'BTX recycling rates'!AG90</f>
        <v>0</v>
      </c>
      <c r="AF261" s="203">
        <f>AF$260*'BTX recycling rates'!AH90</f>
        <v>0</v>
      </c>
      <c r="AG261" s="203">
        <f>AG$260*'BTX recycling rates'!AI90</f>
        <v>0</v>
      </c>
      <c r="AH261" s="217"/>
      <c r="AI261" s="124"/>
      <c r="AJ261" s="185"/>
      <c r="AL261" s="100"/>
      <c r="AM261" s="2"/>
      <c r="AN261" s="2"/>
      <c r="AO261" s="2"/>
      <c r="BC261" s="1"/>
      <c r="BD261" s="2"/>
      <c r="BE261" s="2"/>
      <c r="BF261" s="2"/>
      <c r="BG261" s="2"/>
      <c r="BH261" s="2"/>
      <c r="BI261" s="2"/>
      <c r="BJ261" s="2"/>
      <c r="BK261" s="2"/>
    </row>
    <row r="262" spans="1:63" outlineLevel="1">
      <c r="A262" s="4" t="s">
        <v>74</v>
      </c>
      <c r="C262" s="203">
        <f>C$260*'BTX recycling rates'!E91</f>
        <v>13619.867097846265</v>
      </c>
      <c r="D262" s="203">
        <f>D$260*'BTX recycling rates'!F91</f>
        <v>15240.571109069408</v>
      </c>
      <c r="E262" s="203">
        <f>E$260*'BTX recycling rates'!G91</f>
        <v>16854.053094707589</v>
      </c>
      <c r="F262" s="203">
        <f>F$260*'BTX recycling rates'!H91</f>
        <v>18460.337042767227</v>
      </c>
      <c r="G262" s="203">
        <f>G$260*'BTX recycling rates'!I91</f>
        <v>20059.446870539832</v>
      </c>
      <c r="H262" s="203">
        <f>H$260*'BTX recycling rates'!J91</f>
        <v>21651.4064247973</v>
      </c>
      <c r="I262" s="203">
        <f>I$260*'BTX recycling rates'!K91</f>
        <v>23082.880301405625</v>
      </c>
      <c r="J262" s="203">
        <f>J$260*'BTX recycling rates'!L91</f>
        <v>24486.425347745502</v>
      </c>
      <c r="K262" s="203">
        <f>K$260*'BTX recycling rates'!M91</f>
        <v>25862.205367453305</v>
      </c>
      <c r="L262" s="203">
        <f>L$260*'BTX recycling rates'!N91</f>
        <v>27210.383472262714</v>
      </c>
      <c r="M262" s="203">
        <f>M$260*'BTX recycling rates'!O91</f>
        <v>28531.122084492607</v>
      </c>
      <c r="N262" s="203">
        <f>N$260*'BTX recycling rates'!P91</f>
        <v>29315.670016574128</v>
      </c>
      <c r="O262" s="203">
        <f>O$260*'BTX recycling rates'!Q91</f>
        <v>30082.327366152367</v>
      </c>
      <c r="P262" s="203">
        <f>P$260*'BTX recycling rates'!R91</f>
        <v>30831.20084046101</v>
      </c>
      <c r="Q262" s="203">
        <f>Q$260*'BTX recycling rates'!S91</f>
        <v>31562.396693163853</v>
      </c>
      <c r="R262" s="203">
        <f>R$260*'BTX recycling rates'!T91</f>
        <v>32276.020725991086</v>
      </c>
      <c r="S262" s="203">
        <f>S$260*'BTX recycling rates'!U91</f>
        <v>32972.178290370161</v>
      </c>
      <c r="T262" s="203">
        <f>T$260*'BTX recycling rates'!V91</f>
        <v>33650.974289051461</v>
      </c>
      <c r="U262" s="203">
        <f>U$260*'BTX recycling rates'!W91</f>
        <v>34312.513177728404</v>
      </c>
      <c r="V262" s="203">
        <f>V$260*'BTX recycling rates'!X91</f>
        <v>34956.898966652538</v>
      </c>
      <c r="W262" s="203">
        <f>W$260*'BTX recycling rates'!Y91</f>
        <v>35584.235222243129</v>
      </c>
      <c r="X262" s="203">
        <f>X$260*'BTX recycling rates'!Z91</f>
        <v>36704.967174799785</v>
      </c>
      <c r="Y262" s="203">
        <f>Y$260*'BTX recycling rates'!AA91</f>
        <v>37799.086909609177</v>
      </c>
      <c r="Z262" s="203">
        <f>Z$260*'BTX recycling rates'!AB91</f>
        <v>38866.753903947829</v>
      </c>
      <c r="AA262" s="203">
        <f>AA$260*'BTX recycling rates'!AC91</f>
        <v>39908.126955935855</v>
      </c>
      <c r="AB262" s="203">
        <f>AB$260*'BTX recycling rates'!AD91</f>
        <v>40923.364186989529</v>
      </c>
      <c r="AC262" s="203">
        <f>AC$260*'BTX recycling rates'!AE91</f>
        <v>41902.891764246233</v>
      </c>
      <c r="AD262" s="203">
        <f>AD$260*'BTX recycling rates'!AF91</f>
        <v>42855.996634262672</v>
      </c>
      <c r="AE262" s="203">
        <f>AE$260*'BTX recycling rates'!AG91</f>
        <v>43782.839026229711</v>
      </c>
      <c r="AF262" s="203">
        <f>AF$260*'BTX recycling rates'!AH91</f>
        <v>44683.578483950529</v>
      </c>
      <c r="AG262" s="203">
        <f>AG$260*'BTX recycling rates'!AI91</f>
        <v>45558.373868321476</v>
      </c>
      <c r="AH262" s="217"/>
      <c r="AI262" s="124"/>
      <c r="AJ262" s="185"/>
      <c r="AL262" s="100"/>
      <c r="AM262" s="2"/>
      <c r="AN262" s="2"/>
      <c r="AO262" s="2"/>
      <c r="BC262" s="1"/>
      <c r="BD262" s="2"/>
      <c r="BE262" s="2"/>
      <c r="BF262" s="2"/>
      <c r="BG262" s="2"/>
      <c r="BH262" s="2"/>
      <c r="BI262" s="2"/>
      <c r="BJ262" s="2"/>
      <c r="BK262" s="2"/>
    </row>
    <row r="263" spans="1:63" outlineLevel="1">
      <c r="A263" s="4" t="s">
        <v>160</v>
      </c>
      <c r="C263" s="203">
        <f>C$260*'BTX recycling rates'!E92</f>
        <v>6221.3204582215722</v>
      </c>
      <c r="D263" s="203">
        <f>D$260*'BTX recycling rates'!F92</f>
        <v>6961.6301065689295</v>
      </c>
      <c r="E263" s="203">
        <f>E$260*'BTX recycling rates'!G92</f>
        <v>7698.6408581503529</v>
      </c>
      <c r="F263" s="203">
        <f>F$260*'BTX recycling rates'!H92</f>
        <v>8432.3636702735766</v>
      </c>
      <c r="G263" s="203">
        <f>G$260*'BTX recycling rates'!I92</f>
        <v>9162.809467944986</v>
      </c>
      <c r="H263" s="203">
        <f>H$260*'BTX recycling rates'!J92</f>
        <v>9889.9891439588173</v>
      </c>
      <c r="I263" s="203">
        <f>I$260*'BTX recycling rates'!K92</f>
        <v>10543.86172949685</v>
      </c>
      <c r="J263" s="203">
        <f>J$260*'BTX recycling rates'!L92</f>
        <v>11184.976906913715</v>
      </c>
      <c r="K263" s="203">
        <f>K$260*'BTX recycling rates'!M92</f>
        <v>11813.409498886223</v>
      </c>
      <c r="L263" s="203">
        <f>L$260*'BTX recycling rates'!N92</f>
        <v>12429.234012041972</v>
      </c>
      <c r="M263" s="203">
        <f>M$260*'BTX recycling rates'!O92</f>
        <v>13032.524638095754</v>
      </c>
      <c r="N263" s="203">
        <f>N$260*'BTX recycling rates'!P92</f>
        <v>13390.89260639157</v>
      </c>
      <c r="O263" s="203">
        <f>O$260*'BTX recycling rates'!Q92</f>
        <v>13741.088465067112</v>
      </c>
      <c r="P263" s="203">
        <f>P$260*'BTX recycling rates'!R92</f>
        <v>14083.160956146892</v>
      </c>
      <c r="Q263" s="203">
        <f>Q$260*'BTX recycling rates'!S92</f>
        <v>14417.158614472524</v>
      </c>
      <c r="R263" s="203">
        <f>R$260*'BTX recycling rates'!T92</f>
        <v>14743.129768450135</v>
      </c>
      <c r="S263" s="203">
        <f>S$260*'BTX recycling rates'!U92</f>
        <v>15061.122540795332</v>
      </c>
      <c r="T263" s="203">
        <f>T$260*'BTX recycling rates'!V92</f>
        <v>15371.184849275764</v>
      </c>
      <c r="U263" s="203">
        <f>U$260*'BTX recycling rates'!W92</f>
        <v>15673.364407451178</v>
      </c>
      <c r="V263" s="203">
        <f>V$260*'BTX recycling rates'!X92</f>
        <v>15967.708725411145</v>
      </c>
      <c r="W263" s="203">
        <f>W$260*'BTX recycling rates'!Y92</f>
        <v>16254.265110510309</v>
      </c>
      <c r="X263" s="203">
        <f>X$260*'BTX recycling rates'!Z92</f>
        <v>16766.196142915604</v>
      </c>
      <c r="Y263" s="203">
        <f>Y$260*'BTX recycling rates'!AA92</f>
        <v>17265.971173098533</v>
      </c>
      <c r="Z263" s="203">
        <f>Z$260*'BTX recycling rates'!AB92</f>
        <v>17753.663047529331</v>
      </c>
      <c r="AA263" s="203">
        <f>AA$260*'BTX recycling rates'!AC92</f>
        <v>18229.344302451285</v>
      </c>
      <c r="AB263" s="203">
        <f>AB$260*'BTX recycling rates'!AD92</f>
        <v>18693.087165001038</v>
      </c>
      <c r="AC263" s="203">
        <f>AC$260*'BTX recycling rates'!AE92</f>
        <v>19140.518473397799</v>
      </c>
      <c r="AD263" s="203">
        <f>AD$260*'BTX recycling rates'!AF92</f>
        <v>19575.880344704277</v>
      </c>
      <c r="AE263" s="203">
        <f>AE$260*'BTX recycling rates'!AG92</f>
        <v>19999.24596885221</v>
      </c>
      <c r="AF263" s="203">
        <f>AF$260*'BTX recycling rates'!AH92</f>
        <v>20410.688222700053</v>
      </c>
      <c r="AG263" s="203">
        <f>AG$260*'BTX recycling rates'!AI92</f>
        <v>20810.279671166194</v>
      </c>
      <c r="AH263" s="217"/>
      <c r="AI263" s="124"/>
      <c r="AJ263" s="185"/>
      <c r="AL263" s="100"/>
      <c r="AM263" s="2"/>
      <c r="AN263" s="2"/>
      <c r="AO263" s="2"/>
      <c r="BC263" s="1"/>
      <c r="BD263" s="2"/>
      <c r="BE263" s="2"/>
      <c r="BF263" s="2"/>
      <c r="BG263" s="2"/>
      <c r="BH263" s="2"/>
      <c r="BI263" s="2"/>
      <c r="BJ263" s="2"/>
      <c r="BK263" s="2"/>
    </row>
    <row r="264" spans="1:63" outlineLevel="1">
      <c r="A264" s="4" t="s">
        <v>1040</v>
      </c>
      <c r="C264" s="203">
        <f>C$260*'BTX recycling rates'!E93</f>
        <v>41911.588920801332</v>
      </c>
      <c r="D264" s="203">
        <f>D$260*'BTX recycling rates'!F93</f>
        <v>46898.882834368189</v>
      </c>
      <c r="E264" s="203">
        <f>E$260*'BTX recycling rates'!G93</f>
        <v>51863.952847707682</v>
      </c>
      <c r="F264" s="203">
        <f>F$260*'BTX recycling rates'!H93</f>
        <v>56806.87277765348</v>
      </c>
      <c r="G264" s="203">
        <f>G$260*'BTX recycling rates'!I93</f>
        <v>61727.716223432559</v>
      </c>
      <c r="H264" s="203">
        <f>H$260*'BTX recycling rates'!J93</f>
        <v>66626.556567266161</v>
      </c>
      <c r="I264" s="203">
        <f>I$260*'BTX recycling rates'!K93</f>
        <v>71031.544092934535</v>
      </c>
      <c r="J264" s="203">
        <f>J$260*'BTX recycling rates'!L93</f>
        <v>75350.587927314249</v>
      </c>
      <c r="K264" s="203">
        <f>K$260*'BTX recycling rates'!M93</f>
        <v>79584.192133376098</v>
      </c>
      <c r="L264" s="203">
        <f>L$260*'BTX recycling rates'!N93</f>
        <v>83732.858644940832</v>
      </c>
      <c r="M264" s="203">
        <f>M$260*'BTX recycling rates'!O93</f>
        <v>87797.087274334874</v>
      </c>
      <c r="N264" s="203">
        <f>N$260*'BTX recycling rates'!P93</f>
        <v>90211.328924553702</v>
      </c>
      <c r="O264" s="203">
        <f>O$260*'BTX recycling rates'!Q93</f>
        <v>92570.516972997677</v>
      </c>
      <c r="P264" s="203">
        <f>P$260*'BTX recycling rates'!R93</f>
        <v>94874.979783349132</v>
      </c>
      <c r="Q264" s="203">
        <f>Q$260*'BTX recycling rates'!S93</f>
        <v>97125.04432354735</v>
      </c>
      <c r="R264" s="203">
        <f>R$260*'BTX recycling rates'!T93</f>
        <v>99321.03617082382</v>
      </c>
      <c r="S264" s="203">
        <f>S$260*'BTX recycling rates'!U93</f>
        <v>101463.2795167208</v>
      </c>
      <c r="T264" s="203">
        <f>T$260*'BTX recycling rates'!V93</f>
        <v>103552.0971720938</v>
      </c>
      <c r="U264" s="203">
        <f>U$260*'BTX recycling rates'!W93</f>
        <v>105587.81057209725</v>
      </c>
      <c r="V264" s="203">
        <f>V$260*'BTX recycling rates'!X93</f>
        <v>107570.73978115432</v>
      </c>
      <c r="W264" s="203">
        <f>W$260*'BTX recycling rates'!Y93</f>
        <v>109501.20349791006</v>
      </c>
      <c r="X264" s="203">
        <f>X$260*'BTX recycling rates'!Z93</f>
        <v>112949.96379406519</v>
      </c>
      <c r="Y264" s="203">
        <f>Y$260*'BTX recycling rates'!AA93</f>
        <v>116316.83193059191</v>
      </c>
      <c r="Z264" s="203">
        <f>Z$260*'BTX recycling rates'!AB93</f>
        <v>119602.29865721695</v>
      </c>
      <c r="AA264" s="203">
        <f>AA$260*'BTX recycling rates'!AC93</f>
        <v>122806.85263374027</v>
      </c>
      <c r="AB264" s="203">
        <f>AB$260*'BTX recycling rates'!AD93</f>
        <v>125930.98043758226</v>
      </c>
      <c r="AC264" s="203">
        <f>AC$260*'BTX recycling rates'!AE93</f>
        <v>128945.22109497189</v>
      </c>
      <c r="AD264" s="203">
        <f>AD$260*'BTX recycling rates'!AF93</f>
        <v>131878.15276189393</v>
      </c>
      <c r="AE264" s="203">
        <f>AE$260*'BTX recycling rates'!AG93</f>
        <v>134730.26850189533</v>
      </c>
      <c r="AF264" s="203">
        <f>AF$260*'BTX recycling rates'!AH93</f>
        <v>137502.05926942127</v>
      </c>
      <c r="AG264" s="203">
        <f>AG$260*'BTX recycling rates'!AI93</f>
        <v>140194.01391744916</v>
      </c>
      <c r="AH264" s="217"/>
      <c r="AI264" s="124"/>
      <c r="AJ264" s="185"/>
      <c r="AL264" s="100"/>
      <c r="AM264" s="2"/>
      <c r="AN264" s="2"/>
      <c r="AO264" s="2"/>
      <c r="BC264" s="1"/>
      <c r="BD264" s="2"/>
      <c r="BE264" s="2"/>
      <c r="BF264" s="2"/>
      <c r="BG264" s="2"/>
      <c r="BH264" s="2"/>
      <c r="BI264" s="2"/>
      <c r="BJ264" s="2"/>
      <c r="BK264" s="2"/>
    </row>
    <row r="265" spans="1:63" s="1" customFormat="1" outlineLevel="1">
      <c r="A265" s="1" t="s">
        <v>1041</v>
      </c>
      <c r="B265" s="60"/>
      <c r="C265" s="250">
        <f t="shared" ref="C265:AG265" si="151">C260-$C260</f>
        <v>0</v>
      </c>
      <c r="D265" s="250">
        <f t="shared" si="151"/>
        <v>7348.3075731373538</v>
      </c>
      <c r="E265" s="250">
        <f t="shared" si="151"/>
        <v>14663.87032369645</v>
      </c>
      <c r="F265" s="250">
        <f t="shared" si="151"/>
        <v>21946.797013825111</v>
      </c>
      <c r="G265" s="250">
        <f t="shared" si="151"/>
        <v>29197.196085048199</v>
      </c>
      <c r="H265" s="250">
        <f t="shared" si="151"/>
        <v>36415.175659153101</v>
      </c>
      <c r="I265" s="250">
        <f t="shared" si="151"/>
        <v>42905.509646967839</v>
      </c>
      <c r="J265" s="250">
        <f t="shared" si="151"/>
        <v>49269.213705104296</v>
      </c>
      <c r="K265" s="250">
        <f t="shared" si="151"/>
        <v>55507.030522846457</v>
      </c>
      <c r="L265" s="250">
        <f t="shared" si="151"/>
        <v>61619.699652376337</v>
      </c>
      <c r="M265" s="250">
        <f t="shared" si="151"/>
        <v>67607.957520054057</v>
      </c>
      <c r="N265" s="250">
        <f t="shared" si="151"/>
        <v>71165.115070650223</v>
      </c>
      <c r="O265" s="250">
        <f t="shared" si="151"/>
        <v>74641.156327347984</v>
      </c>
      <c r="P265" s="250">
        <f t="shared" si="151"/>
        <v>78036.565103087851</v>
      </c>
      <c r="Q265" s="250">
        <f t="shared" si="151"/>
        <v>81351.823154314552</v>
      </c>
      <c r="R265" s="250">
        <f t="shared" si="151"/>
        <v>84587.410188395865</v>
      </c>
      <c r="S265" s="250">
        <f t="shared" si="151"/>
        <v>87743.803871017109</v>
      </c>
      <c r="T265" s="250">
        <f t="shared" si="151"/>
        <v>90821.479833551843</v>
      </c>
      <c r="U265" s="250">
        <f t="shared" si="151"/>
        <v>93820.911680407662</v>
      </c>
      <c r="V265" s="250">
        <f t="shared" si="151"/>
        <v>96742.570996348819</v>
      </c>
      <c r="W265" s="250">
        <f t="shared" si="151"/>
        <v>99586.927353794323</v>
      </c>
      <c r="X265" s="250">
        <f t="shared" si="151"/>
        <v>104668.3506349114</v>
      </c>
      <c r="Y265" s="250">
        <f t="shared" si="151"/>
        <v>109629.11353643045</v>
      </c>
      <c r="Z265" s="250">
        <f t="shared" si="151"/>
        <v>114469.93913182493</v>
      </c>
      <c r="AA265" s="250">
        <f t="shared" si="151"/>
        <v>119191.54741525823</v>
      </c>
      <c r="AB265" s="250">
        <f t="shared" si="151"/>
        <v>123794.65531270365</v>
      </c>
      <c r="AC265" s="250">
        <f t="shared" si="151"/>
        <v>128235.85485574674</v>
      </c>
      <c r="AD265" s="250">
        <f t="shared" si="151"/>
        <v>132557.25326399168</v>
      </c>
      <c r="AE265" s="250">
        <f t="shared" si="151"/>
        <v>136759.57702010806</v>
      </c>
      <c r="AF265" s="250">
        <f t="shared" si="151"/>
        <v>140843.54949920269</v>
      </c>
      <c r="AG265" s="250">
        <f t="shared" si="151"/>
        <v>144809.89098006766</v>
      </c>
      <c r="AH265" s="217"/>
      <c r="AI265" s="368"/>
      <c r="AJ265" s="369"/>
      <c r="AL265" s="194"/>
      <c r="AM265" s="116"/>
      <c r="AN265" s="116"/>
      <c r="AO265" s="116"/>
      <c r="BD265" s="116"/>
      <c r="BE265" s="116"/>
      <c r="BF265" s="116"/>
      <c r="BG265" s="116"/>
      <c r="BH265" s="116"/>
      <c r="BI265" s="116"/>
      <c r="BJ265" s="116"/>
      <c r="BK265" s="116"/>
    </row>
    <row r="266" spans="1:63" outlineLevel="1">
      <c r="A266" s="4" t="s">
        <v>35</v>
      </c>
      <c r="C266" s="203">
        <f t="shared" ref="C266:AG266" si="152">C261-$C261</f>
        <v>0</v>
      </c>
      <c r="D266" s="203">
        <f t="shared" si="152"/>
        <v>0</v>
      </c>
      <c r="E266" s="203">
        <f t="shared" si="152"/>
        <v>0</v>
      </c>
      <c r="F266" s="203">
        <f t="shared" si="152"/>
        <v>0</v>
      </c>
      <c r="G266" s="203">
        <f t="shared" si="152"/>
        <v>0</v>
      </c>
      <c r="H266" s="203">
        <f t="shared" si="152"/>
        <v>0</v>
      </c>
      <c r="I266" s="203">
        <f t="shared" si="152"/>
        <v>0</v>
      </c>
      <c r="J266" s="203">
        <f t="shared" si="152"/>
        <v>0</v>
      </c>
      <c r="K266" s="203">
        <f t="shared" si="152"/>
        <v>0</v>
      </c>
      <c r="L266" s="203">
        <f t="shared" si="152"/>
        <v>0</v>
      </c>
      <c r="M266" s="203">
        <f t="shared" si="152"/>
        <v>0</v>
      </c>
      <c r="N266" s="203">
        <f t="shared" si="152"/>
        <v>0</v>
      </c>
      <c r="O266" s="203">
        <f t="shared" si="152"/>
        <v>0</v>
      </c>
      <c r="P266" s="203">
        <f t="shared" si="152"/>
        <v>0</v>
      </c>
      <c r="Q266" s="203">
        <f t="shared" si="152"/>
        <v>0</v>
      </c>
      <c r="R266" s="203">
        <f t="shared" si="152"/>
        <v>0</v>
      </c>
      <c r="S266" s="203">
        <f t="shared" si="152"/>
        <v>0</v>
      </c>
      <c r="T266" s="203">
        <f t="shared" si="152"/>
        <v>0</v>
      </c>
      <c r="U266" s="203">
        <f t="shared" si="152"/>
        <v>0</v>
      </c>
      <c r="V266" s="203">
        <f t="shared" si="152"/>
        <v>0</v>
      </c>
      <c r="W266" s="203">
        <f t="shared" si="152"/>
        <v>0</v>
      </c>
      <c r="X266" s="203">
        <f t="shared" si="152"/>
        <v>0</v>
      </c>
      <c r="Y266" s="203">
        <f t="shared" si="152"/>
        <v>0</v>
      </c>
      <c r="Z266" s="203">
        <f t="shared" si="152"/>
        <v>0</v>
      </c>
      <c r="AA266" s="203">
        <f t="shared" si="152"/>
        <v>0</v>
      </c>
      <c r="AB266" s="203">
        <f t="shared" si="152"/>
        <v>0</v>
      </c>
      <c r="AC266" s="203">
        <f t="shared" si="152"/>
        <v>0</v>
      </c>
      <c r="AD266" s="203">
        <f t="shared" si="152"/>
        <v>0</v>
      </c>
      <c r="AE266" s="203">
        <f t="shared" si="152"/>
        <v>0</v>
      </c>
      <c r="AF266" s="203">
        <f t="shared" si="152"/>
        <v>0</v>
      </c>
      <c r="AG266" s="203">
        <f t="shared" si="152"/>
        <v>0</v>
      </c>
      <c r="AH266" s="217"/>
      <c r="AI266" s="124"/>
      <c r="AJ266" s="185"/>
      <c r="AL266" s="100"/>
      <c r="AM266" s="2"/>
      <c r="AN266" s="2"/>
      <c r="AO266" s="2"/>
      <c r="BC266" s="1"/>
      <c r="BD266" s="2"/>
      <c r="BE266" s="2"/>
      <c r="BF266" s="2"/>
      <c r="BG266" s="2"/>
      <c r="BH266" s="2"/>
      <c r="BI266" s="2"/>
      <c r="BJ266" s="2"/>
      <c r="BK266" s="2"/>
    </row>
    <row r="267" spans="1:63" outlineLevel="1">
      <c r="A267" s="4" t="s">
        <v>74</v>
      </c>
      <c r="C267" s="203">
        <f t="shared" ref="C267:AG267" si="153">C262-$C262</f>
        <v>0</v>
      </c>
      <c r="D267" s="203">
        <f t="shared" si="153"/>
        <v>1620.7040112231425</v>
      </c>
      <c r="E267" s="203">
        <f t="shared" si="153"/>
        <v>3234.1859968613244</v>
      </c>
      <c r="F267" s="203">
        <f t="shared" si="153"/>
        <v>4840.469944920962</v>
      </c>
      <c r="G267" s="203">
        <f t="shared" si="153"/>
        <v>6439.5797726935671</v>
      </c>
      <c r="H267" s="203">
        <f t="shared" si="153"/>
        <v>8031.539326951035</v>
      </c>
      <c r="I267" s="203">
        <f t="shared" si="153"/>
        <v>9463.0132035593597</v>
      </c>
      <c r="J267" s="203">
        <f t="shared" si="153"/>
        <v>10866.558249899237</v>
      </c>
      <c r="K267" s="203">
        <f t="shared" si="153"/>
        <v>12242.33826960704</v>
      </c>
      <c r="L267" s="203">
        <f t="shared" si="153"/>
        <v>13590.516374416449</v>
      </c>
      <c r="M267" s="203">
        <f t="shared" si="153"/>
        <v>14911.254986646341</v>
      </c>
      <c r="N267" s="203">
        <f t="shared" si="153"/>
        <v>15695.802918727863</v>
      </c>
      <c r="O267" s="203">
        <f t="shared" si="153"/>
        <v>16462.460268306102</v>
      </c>
      <c r="P267" s="203">
        <f t="shared" si="153"/>
        <v>17211.333742614745</v>
      </c>
      <c r="Q267" s="203">
        <f t="shared" si="153"/>
        <v>17942.529595317588</v>
      </c>
      <c r="R267" s="203">
        <f t="shared" si="153"/>
        <v>18656.153628144821</v>
      </c>
      <c r="S267" s="203">
        <f t="shared" si="153"/>
        <v>19352.311192523895</v>
      </c>
      <c r="T267" s="203">
        <f t="shared" si="153"/>
        <v>20031.107191205196</v>
      </c>
      <c r="U267" s="203">
        <f t="shared" si="153"/>
        <v>20692.646079882139</v>
      </c>
      <c r="V267" s="203">
        <f t="shared" si="153"/>
        <v>21337.031868806273</v>
      </c>
      <c r="W267" s="203">
        <f t="shared" si="153"/>
        <v>21964.368124396864</v>
      </c>
      <c r="X267" s="203">
        <f t="shared" si="153"/>
        <v>23085.10007695352</v>
      </c>
      <c r="Y267" s="203">
        <f t="shared" si="153"/>
        <v>24179.219811762912</v>
      </c>
      <c r="Z267" s="203">
        <f t="shared" si="153"/>
        <v>25246.886806101564</v>
      </c>
      <c r="AA267" s="203">
        <f t="shared" si="153"/>
        <v>26288.25985808959</v>
      </c>
      <c r="AB267" s="203">
        <f t="shared" si="153"/>
        <v>27303.497089143264</v>
      </c>
      <c r="AC267" s="203">
        <f t="shared" si="153"/>
        <v>28283.024666399968</v>
      </c>
      <c r="AD267" s="203">
        <f t="shared" si="153"/>
        <v>29236.129536416407</v>
      </c>
      <c r="AE267" s="203">
        <f t="shared" si="153"/>
        <v>30162.971928383446</v>
      </c>
      <c r="AF267" s="203">
        <f t="shared" si="153"/>
        <v>31063.711386104264</v>
      </c>
      <c r="AG267" s="203">
        <f t="shared" si="153"/>
        <v>31938.506770475211</v>
      </c>
      <c r="AH267" s="217"/>
      <c r="AI267" s="124"/>
      <c r="AJ267" s="185"/>
      <c r="AL267" s="100"/>
      <c r="AM267" s="2"/>
      <c r="AN267" s="2"/>
      <c r="AO267" s="2"/>
      <c r="BC267" s="1"/>
      <c r="BD267" s="2"/>
      <c r="BE267" s="2"/>
      <c r="BF267" s="2"/>
      <c r="BG267" s="2"/>
      <c r="BH267" s="2"/>
      <c r="BI267" s="2"/>
      <c r="BJ267" s="2"/>
      <c r="BK267" s="2"/>
    </row>
    <row r="268" spans="1:63" outlineLevel="1">
      <c r="A268" s="4" t="s">
        <v>160</v>
      </c>
      <c r="C268" s="203">
        <f t="shared" ref="C268:AG268" si="154">C263-$C263</f>
        <v>0</v>
      </c>
      <c r="D268" s="203">
        <f t="shared" si="154"/>
        <v>740.30964834735732</v>
      </c>
      <c r="E268" s="203">
        <f t="shared" si="154"/>
        <v>1477.3203999287807</v>
      </c>
      <c r="F268" s="203">
        <f t="shared" si="154"/>
        <v>2211.0432120520045</v>
      </c>
      <c r="G268" s="203">
        <f t="shared" si="154"/>
        <v>2941.4890097234138</v>
      </c>
      <c r="H268" s="203">
        <f t="shared" si="154"/>
        <v>3668.6686857372451</v>
      </c>
      <c r="I268" s="203">
        <f t="shared" si="154"/>
        <v>4322.5412712752777</v>
      </c>
      <c r="J268" s="203">
        <f t="shared" si="154"/>
        <v>4963.6564486921425</v>
      </c>
      <c r="K268" s="203">
        <f t="shared" si="154"/>
        <v>5592.0890406646513</v>
      </c>
      <c r="L268" s="203">
        <f t="shared" si="154"/>
        <v>6207.9135538204</v>
      </c>
      <c r="M268" s="203">
        <f t="shared" si="154"/>
        <v>6811.204179874182</v>
      </c>
      <c r="N268" s="203">
        <f t="shared" si="154"/>
        <v>7169.5721481699975</v>
      </c>
      <c r="O268" s="203">
        <f t="shared" si="154"/>
        <v>7519.7680068455402</v>
      </c>
      <c r="P268" s="203">
        <f t="shared" si="154"/>
        <v>7861.8404979253201</v>
      </c>
      <c r="Q268" s="203">
        <f t="shared" si="154"/>
        <v>8195.838156250953</v>
      </c>
      <c r="R268" s="203">
        <f t="shared" si="154"/>
        <v>8521.8093102285638</v>
      </c>
      <c r="S268" s="203">
        <f t="shared" si="154"/>
        <v>8839.8020825737585</v>
      </c>
      <c r="T268" s="203">
        <f t="shared" si="154"/>
        <v>9149.8643910541905</v>
      </c>
      <c r="U268" s="203">
        <f t="shared" si="154"/>
        <v>9452.0439492296064</v>
      </c>
      <c r="V268" s="203">
        <f t="shared" si="154"/>
        <v>9746.3882671895735</v>
      </c>
      <c r="W268" s="203">
        <f t="shared" si="154"/>
        <v>10032.944652288737</v>
      </c>
      <c r="X268" s="203">
        <f t="shared" si="154"/>
        <v>10544.87568469403</v>
      </c>
      <c r="Y268" s="203">
        <f t="shared" si="154"/>
        <v>11044.65071487696</v>
      </c>
      <c r="Z268" s="203">
        <f t="shared" si="154"/>
        <v>11532.342589307758</v>
      </c>
      <c r="AA268" s="203">
        <f t="shared" si="154"/>
        <v>12008.023844229712</v>
      </c>
      <c r="AB268" s="203">
        <f t="shared" si="154"/>
        <v>12471.766706779465</v>
      </c>
      <c r="AC268" s="203">
        <f t="shared" si="154"/>
        <v>12919.198015176225</v>
      </c>
      <c r="AD268" s="203">
        <f t="shared" si="154"/>
        <v>13354.559886482704</v>
      </c>
      <c r="AE268" s="203">
        <f t="shared" si="154"/>
        <v>13777.925510630637</v>
      </c>
      <c r="AF268" s="203">
        <f t="shared" si="154"/>
        <v>14189.36776447848</v>
      </c>
      <c r="AG268" s="203">
        <f t="shared" si="154"/>
        <v>14588.959212944621</v>
      </c>
      <c r="AH268" s="217"/>
      <c r="AI268" s="124"/>
      <c r="AJ268" s="185"/>
      <c r="AL268" s="100"/>
      <c r="AM268" s="2"/>
      <c r="AN268" s="2"/>
      <c r="AO268" s="2"/>
      <c r="BC268" s="1"/>
      <c r="BD268" s="2"/>
      <c r="BE268" s="2"/>
      <c r="BF268" s="2"/>
      <c r="BG268" s="2"/>
      <c r="BH268" s="2"/>
      <c r="BI268" s="2"/>
      <c r="BJ268" s="2"/>
      <c r="BK268" s="2"/>
    </row>
    <row r="269" spans="1:63" outlineLevel="1">
      <c r="A269" s="4" t="s">
        <v>1040</v>
      </c>
      <c r="C269" s="203">
        <f t="shared" ref="C269:AG269" si="155">C264-$C264</f>
        <v>0</v>
      </c>
      <c r="D269" s="203">
        <f t="shared" si="155"/>
        <v>4987.2939135668566</v>
      </c>
      <c r="E269" s="203">
        <f t="shared" si="155"/>
        <v>9952.3639269063497</v>
      </c>
      <c r="F269" s="203">
        <f t="shared" si="155"/>
        <v>14895.283856852147</v>
      </c>
      <c r="G269" s="203">
        <f t="shared" si="155"/>
        <v>19816.127302631226</v>
      </c>
      <c r="H269" s="203">
        <f t="shared" si="155"/>
        <v>24714.967646464829</v>
      </c>
      <c r="I269" s="203">
        <f t="shared" si="155"/>
        <v>29119.955172133203</v>
      </c>
      <c r="J269" s="203">
        <f t="shared" si="155"/>
        <v>33438.999006512917</v>
      </c>
      <c r="K269" s="203">
        <f t="shared" si="155"/>
        <v>37672.603212574766</v>
      </c>
      <c r="L269" s="203">
        <f t="shared" si="155"/>
        <v>41821.2697241395</v>
      </c>
      <c r="M269" s="203">
        <f t="shared" si="155"/>
        <v>45885.498353533541</v>
      </c>
      <c r="N269" s="203">
        <f t="shared" si="155"/>
        <v>48299.740003752369</v>
      </c>
      <c r="O269" s="203">
        <f t="shared" si="155"/>
        <v>50658.928052196345</v>
      </c>
      <c r="P269" s="203">
        <f t="shared" si="155"/>
        <v>52963.3908625478</v>
      </c>
      <c r="Q269" s="203">
        <f t="shared" si="155"/>
        <v>55213.455402746018</v>
      </c>
      <c r="R269" s="203">
        <f t="shared" si="155"/>
        <v>57409.447250022487</v>
      </c>
      <c r="S269" s="203">
        <f t="shared" si="155"/>
        <v>59551.690595919463</v>
      </c>
      <c r="T269" s="203">
        <f t="shared" si="155"/>
        <v>61640.508251292464</v>
      </c>
      <c r="U269" s="203">
        <f t="shared" si="155"/>
        <v>63676.22165129592</v>
      </c>
      <c r="V269" s="203">
        <f t="shared" si="155"/>
        <v>65659.150860352995</v>
      </c>
      <c r="W269" s="203">
        <f t="shared" si="155"/>
        <v>67589.614577108732</v>
      </c>
      <c r="X269" s="203">
        <f t="shared" si="155"/>
        <v>71038.374873263849</v>
      </c>
      <c r="Y269" s="203">
        <f t="shared" si="155"/>
        <v>74405.243009790574</v>
      </c>
      <c r="Z269" s="203">
        <f t="shared" si="155"/>
        <v>77690.709736415622</v>
      </c>
      <c r="AA269" s="203">
        <f t="shared" si="155"/>
        <v>80895.263712938933</v>
      </c>
      <c r="AB269" s="203">
        <f t="shared" si="155"/>
        <v>84019.391516780917</v>
      </c>
      <c r="AC269" s="203">
        <f t="shared" si="155"/>
        <v>87033.632174170547</v>
      </c>
      <c r="AD269" s="203">
        <f t="shared" si="155"/>
        <v>89966.563841092604</v>
      </c>
      <c r="AE269" s="203">
        <f t="shared" si="155"/>
        <v>92818.679581094009</v>
      </c>
      <c r="AF269" s="203">
        <f t="shared" si="155"/>
        <v>95590.470348619943</v>
      </c>
      <c r="AG269" s="203">
        <f t="shared" si="155"/>
        <v>98282.424996647838</v>
      </c>
      <c r="AH269" s="217"/>
      <c r="AI269" s="124"/>
      <c r="AJ269" s="185"/>
      <c r="AL269" s="100"/>
      <c r="AM269" s="2"/>
      <c r="AN269" s="2"/>
      <c r="AO269" s="2"/>
      <c r="BC269" s="1"/>
      <c r="BD269" s="2"/>
      <c r="BE269" s="2"/>
      <c r="BF269" s="2"/>
      <c r="BG269" s="2"/>
      <c r="BH269" s="2"/>
      <c r="BI269" s="2"/>
      <c r="BJ269" s="2"/>
      <c r="BK269" s="2"/>
    </row>
    <row r="270" spans="1:63" outlineLevel="2">
      <c r="C270" s="105"/>
      <c r="D270" s="102"/>
      <c r="E270" s="102"/>
      <c r="F270" s="102"/>
      <c r="G270" s="102"/>
      <c r="H270" s="102"/>
      <c r="I270" s="102"/>
      <c r="J270" s="102"/>
      <c r="K270" s="102"/>
      <c r="L270" s="102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22"/>
      <c r="Y270" s="22"/>
      <c r="Z270" s="22"/>
      <c r="AA270" s="22"/>
      <c r="AB270" s="22"/>
      <c r="AC270" s="22"/>
      <c r="AD270" s="22"/>
      <c r="AE270" s="22"/>
      <c r="AF270" s="22"/>
      <c r="AG270" s="98"/>
      <c r="AJ270" s="185"/>
    </row>
    <row r="271" spans="1:63" s="174" customFormat="1" ht="15.5" thickBot="1">
      <c r="A271" s="200" t="s">
        <v>1256</v>
      </c>
      <c r="B271" s="201"/>
      <c r="C271" s="202">
        <f>(C39*C63+C40*C139+C42*C202+C41*C241+C43*C258)/C44</f>
        <v>0.47676016877998412</v>
      </c>
      <c r="D271" s="202">
        <f t="shared" ref="D271:AG271" si="156">(D39*D63+D40*D139+D42*D202+D41*D241+D43*D258)/D44</f>
        <v>0.49915138159189343</v>
      </c>
      <c r="E271" s="202">
        <f t="shared" si="156"/>
        <v>0.51554782557860246</v>
      </c>
      <c r="F271" s="202">
        <f t="shared" si="156"/>
        <v>0.53114865616806084</v>
      </c>
      <c r="G271" s="202">
        <f t="shared" si="156"/>
        <v>0.54554120306528431</v>
      </c>
      <c r="H271" s="202">
        <f t="shared" si="156"/>
        <v>0.55876082370164226</v>
      </c>
      <c r="I271" s="202">
        <f t="shared" si="156"/>
        <v>0.5746288676400626</v>
      </c>
      <c r="J271" s="202">
        <f t="shared" si="156"/>
        <v>0.58951571177133966</v>
      </c>
      <c r="K271" s="202">
        <f t="shared" si="156"/>
        <v>0.60342712055605263</v>
      </c>
      <c r="L271" s="202">
        <f t="shared" si="156"/>
        <v>0.61636875982400574</v>
      </c>
      <c r="M271" s="202">
        <f t="shared" si="156"/>
        <v>0.62834618923354058</v>
      </c>
      <c r="N271" s="202">
        <f t="shared" si="156"/>
        <v>0.62869219611729821</v>
      </c>
      <c r="O271" s="202">
        <f t="shared" si="156"/>
        <v>0.62842910872856772</v>
      </c>
      <c r="P271" s="202">
        <f t="shared" si="156"/>
        <v>0.62761585642238416</v>
      </c>
      <c r="Q271" s="202">
        <f t="shared" si="156"/>
        <v>0.62623696181604804</v>
      </c>
      <c r="R271" s="202">
        <f t="shared" si="156"/>
        <v>0.62431663613102717</v>
      </c>
      <c r="S271" s="202">
        <f t="shared" si="156"/>
        <v>0.6209136440812123</v>
      </c>
      <c r="T271" s="202">
        <f t="shared" si="156"/>
        <v>0.6170536322198712</v>
      </c>
      <c r="U271" s="202">
        <f t="shared" si="156"/>
        <v>0.6127758684501724</v>
      </c>
      <c r="V271" s="202">
        <f t="shared" si="156"/>
        <v>0.60812271888158465</v>
      </c>
      <c r="W271" s="202">
        <f t="shared" si="156"/>
        <v>0.60313998669854163</v>
      </c>
      <c r="X271" s="202">
        <f t="shared" si="156"/>
        <v>0.60639396040885474</v>
      </c>
      <c r="Y271" s="202">
        <f t="shared" si="156"/>
        <v>0.60894914882502582</v>
      </c>
      <c r="Z271" s="202">
        <f t="shared" si="156"/>
        <v>0.61090943570552214</v>
      </c>
      <c r="AA271" s="202">
        <f t="shared" si="156"/>
        <v>0.61224737977129096</v>
      </c>
      <c r="AB271" s="202">
        <f t="shared" si="156"/>
        <v>0.61300762780478835</v>
      </c>
      <c r="AC271" s="202">
        <f t="shared" si="156"/>
        <v>0.61359905862960551</v>
      </c>
      <c r="AD271" s="202">
        <f t="shared" si="156"/>
        <v>0.61366535836852065</v>
      </c>
      <c r="AE271" s="202">
        <f t="shared" si="156"/>
        <v>0.6132530301301079</v>
      </c>
      <c r="AF271" s="202">
        <f t="shared" si="156"/>
        <v>0.6124123540558053</v>
      </c>
      <c r="AG271" s="202">
        <f t="shared" si="156"/>
        <v>0.6111978486028391</v>
      </c>
      <c r="AJ271" s="421"/>
      <c r="AL271" s="191"/>
      <c r="AM271" s="198"/>
      <c r="AN271" s="198"/>
      <c r="AO271" s="198"/>
    </row>
    <row r="272" spans="1:63" s="174" customFormat="1" ht="16.25" thickTop="1" thickBot="1">
      <c r="A272" s="200" t="s">
        <v>452</v>
      </c>
      <c r="B272" s="201"/>
      <c r="C272" s="202">
        <f t="shared" ref="C272:AG272" si="157">(C11*C46+C120*C12+C14*C185+C237*C13+C254*C15)/C16</f>
        <v>0.18370882040382572</v>
      </c>
      <c r="D272" s="202">
        <f t="shared" si="157"/>
        <v>0.20016277671844832</v>
      </c>
      <c r="E272" s="202">
        <f t="shared" si="157"/>
        <v>0.21661673303307094</v>
      </c>
      <c r="F272" s="202">
        <f t="shared" si="157"/>
        <v>0.23307068934769359</v>
      </c>
      <c r="G272" s="202">
        <f t="shared" si="157"/>
        <v>0.24952464566231622</v>
      </c>
      <c r="H272" s="202">
        <f t="shared" si="157"/>
        <v>0.26597860197693879</v>
      </c>
      <c r="I272" s="202">
        <f t="shared" si="157"/>
        <v>0.28243255829156144</v>
      </c>
      <c r="J272" s="202">
        <f t="shared" si="157"/>
        <v>0.29888651460618398</v>
      </c>
      <c r="K272" s="202">
        <f t="shared" si="157"/>
        <v>0.31534047092080664</v>
      </c>
      <c r="L272" s="202">
        <f t="shared" si="157"/>
        <v>0.33179442723542923</v>
      </c>
      <c r="M272" s="202">
        <f t="shared" si="157"/>
        <v>0.34824838355005183</v>
      </c>
      <c r="N272" s="202">
        <f t="shared" si="157"/>
        <v>0.35930259997070713</v>
      </c>
      <c r="O272" s="202">
        <f t="shared" si="157"/>
        <v>0.37035681639136236</v>
      </c>
      <c r="P272" s="202">
        <f t="shared" si="157"/>
        <v>0.38141103281201755</v>
      </c>
      <c r="Q272" s="202">
        <f t="shared" si="157"/>
        <v>0.39246524923267279</v>
      </c>
      <c r="R272" s="202">
        <f t="shared" si="157"/>
        <v>0.40351946565332808</v>
      </c>
      <c r="S272" s="202">
        <f t="shared" si="157"/>
        <v>0.41457368207398337</v>
      </c>
      <c r="T272" s="202">
        <f t="shared" si="157"/>
        <v>0.42562789849463861</v>
      </c>
      <c r="U272" s="202">
        <f t="shared" si="157"/>
        <v>0.4366821149152938</v>
      </c>
      <c r="V272" s="202">
        <f t="shared" si="157"/>
        <v>0.44773633133594903</v>
      </c>
      <c r="W272" s="202">
        <f t="shared" si="157"/>
        <v>0.45879054775660427</v>
      </c>
      <c r="X272" s="202">
        <f t="shared" si="157"/>
        <v>0.47578917884573413</v>
      </c>
      <c r="Y272" s="202">
        <f t="shared" si="157"/>
        <v>0.49278780993486387</v>
      </c>
      <c r="Z272" s="202">
        <f t="shared" si="157"/>
        <v>0.50978644102399373</v>
      </c>
      <c r="AA272" s="202">
        <f t="shared" si="157"/>
        <v>0.52678507211312331</v>
      </c>
      <c r="AB272" s="202">
        <f t="shared" si="157"/>
        <v>0.54378370320225333</v>
      </c>
      <c r="AC272" s="202">
        <f t="shared" si="157"/>
        <v>0.56078233429138302</v>
      </c>
      <c r="AD272" s="202">
        <f t="shared" si="157"/>
        <v>0.57778096538051282</v>
      </c>
      <c r="AE272" s="202">
        <f t="shared" si="157"/>
        <v>0.59477959646964262</v>
      </c>
      <c r="AF272" s="202">
        <f t="shared" si="157"/>
        <v>0.61177822755877254</v>
      </c>
      <c r="AG272" s="202">
        <f t="shared" si="157"/>
        <v>0.62877685864790223</v>
      </c>
      <c r="AJ272" s="199"/>
      <c r="AL272" s="191"/>
      <c r="AM272" s="198"/>
      <c r="AN272" s="198"/>
      <c r="AO272" s="198"/>
    </row>
    <row r="273" spans="1:36" ht="15.5" thickTop="1">
      <c r="B273" s="121"/>
      <c r="C273" s="105"/>
      <c r="D273" s="22"/>
      <c r="E273" s="22"/>
      <c r="F273" s="22"/>
      <c r="G273" s="22"/>
      <c r="H273" s="22"/>
      <c r="I273" s="22"/>
      <c r="J273" s="22"/>
      <c r="K273" s="22"/>
      <c r="L273" s="22"/>
      <c r="M273" s="118"/>
      <c r="N273" s="102"/>
      <c r="O273" s="102"/>
      <c r="P273" s="102"/>
      <c r="Q273" s="102"/>
      <c r="R273" s="102"/>
      <c r="S273" s="102"/>
      <c r="T273" s="102"/>
      <c r="U273" s="102"/>
      <c r="V273" s="102"/>
      <c r="W273" s="118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5"/>
    </row>
    <row r="274" spans="1:36">
      <c r="A274" t="s">
        <v>1257</v>
      </c>
      <c r="B274" s="121"/>
      <c r="C274" s="203">
        <f>C260+C243+C226+C216+C206+C174+C164+C154+C144+C109+C99+C89+C79+C69</f>
        <v>607972.99627735908</v>
      </c>
      <c r="D274" s="203">
        <f t="shared" ref="D274:AG274" si="158">D260+D243+D226+D216+D206+D174+D164+D154+D144+D109+D99+D89+D79+D69</f>
        <v>627076.02157340618</v>
      </c>
      <c r="E274" s="203">
        <f t="shared" si="158"/>
        <v>642107.0740080846</v>
      </c>
      <c r="F274" s="203">
        <f t="shared" si="158"/>
        <v>656381.30903086939</v>
      </c>
      <c r="G274" s="203">
        <f t="shared" si="158"/>
        <v>668916.7340491449</v>
      </c>
      <c r="H274" s="203">
        <f t="shared" si="158"/>
        <v>679804.69186257268</v>
      </c>
      <c r="I274" s="203">
        <f t="shared" si="158"/>
        <v>688283.71227467514</v>
      </c>
      <c r="J274" s="203">
        <f t="shared" si="158"/>
        <v>695106.94810910639</v>
      </c>
      <c r="K274" s="203">
        <f t="shared" si="158"/>
        <v>700343.1296716053</v>
      </c>
      <c r="L274" s="203">
        <f t="shared" si="158"/>
        <v>704058.79098738404</v>
      </c>
      <c r="M274" s="203">
        <f t="shared" si="158"/>
        <v>706318.29087099642</v>
      </c>
      <c r="N274" s="203">
        <f t="shared" si="158"/>
        <v>692646.04202462733</v>
      </c>
      <c r="O274" s="203">
        <f t="shared" si="158"/>
        <v>678341.79458307847</v>
      </c>
      <c r="P274" s="203">
        <f t="shared" si="158"/>
        <v>663448.7758699574</v>
      </c>
      <c r="Q274" s="203">
        <f t="shared" si="158"/>
        <v>648055.53328203317</v>
      </c>
      <c r="R274" s="203">
        <f t="shared" si="158"/>
        <v>632226.71686575538</v>
      </c>
      <c r="S274" s="203">
        <f t="shared" si="158"/>
        <v>616279.95602401998</v>
      </c>
      <c r="T274" s="203">
        <f t="shared" si="158"/>
        <v>600082.77414557547</v>
      </c>
      <c r="U274" s="203">
        <f t="shared" si="158"/>
        <v>583701.49313133804</v>
      </c>
      <c r="V274" s="203">
        <f t="shared" si="158"/>
        <v>567201.09678880428</v>
      </c>
      <c r="W274" s="203">
        <f t="shared" si="158"/>
        <v>550645.24239843374</v>
      </c>
      <c r="X274" s="203">
        <f t="shared" si="158"/>
        <v>544363.51969236112</v>
      </c>
      <c r="Y274" s="203">
        <f t="shared" si="158"/>
        <v>537369.15468366398</v>
      </c>
      <c r="Z274" s="203">
        <f t="shared" si="158"/>
        <v>529632.63141068793</v>
      </c>
      <c r="AA274" s="203">
        <f t="shared" si="158"/>
        <v>521306.08599842561</v>
      </c>
      <c r="AB274" s="203">
        <f t="shared" si="158"/>
        <v>512453.49342187447</v>
      </c>
      <c r="AC274" s="203">
        <f t="shared" si="158"/>
        <v>502730.22860063403</v>
      </c>
      <c r="AD274" s="203">
        <f t="shared" si="158"/>
        <v>492531.25269173499</v>
      </c>
      <c r="AE274" s="203">
        <f t="shared" si="158"/>
        <v>481909.50920086831</v>
      </c>
      <c r="AF274" s="203">
        <f t="shared" si="158"/>
        <v>470916.09603799751</v>
      </c>
      <c r="AG274" s="203">
        <f t="shared" si="158"/>
        <v>459600.28336097673</v>
      </c>
      <c r="AH274" s="217"/>
      <c r="AI274" s="22">
        <f>(AG274/C274)^(1/30)-1</f>
        <v>-9.2824266211272155E-3</v>
      </c>
      <c r="AJ274" s="448">
        <f>AG274-C274</f>
        <v>-148372.71291638236</v>
      </c>
    </row>
    <row r="275" spans="1:36">
      <c r="A275" t="s">
        <v>1258</v>
      </c>
      <c r="B275" s="121"/>
      <c r="C275" s="203">
        <f>C274</f>
        <v>607972.99627735908</v>
      </c>
      <c r="D275" s="203">
        <f>C275*(1+$AI$275)</f>
        <v>618126.14531519089</v>
      </c>
      <c r="E275" s="203">
        <f t="shared" ref="E275:AG275" si="159">D275*(1+$AI$275)</f>
        <v>628448.85194195458</v>
      </c>
      <c r="F275" s="203">
        <f t="shared" si="159"/>
        <v>638943.94776938518</v>
      </c>
      <c r="G275" s="203">
        <f t="shared" si="159"/>
        <v>649614.31169713382</v>
      </c>
      <c r="H275" s="203">
        <f t="shared" si="159"/>
        <v>660462.87070247589</v>
      </c>
      <c r="I275" s="203">
        <f t="shared" si="159"/>
        <v>671492.6006432072</v>
      </c>
      <c r="J275" s="203">
        <f t="shared" si="159"/>
        <v>682706.52707394876</v>
      </c>
      <c r="K275" s="203">
        <f t="shared" si="159"/>
        <v>694107.72607608361</v>
      </c>
      <c r="L275" s="203">
        <f t="shared" si="159"/>
        <v>705699.32510155416</v>
      </c>
      <c r="M275" s="203">
        <f>L275*(1+$AI$275)</f>
        <v>717484.50383075012</v>
      </c>
      <c r="N275" s="203">
        <f t="shared" si="159"/>
        <v>729466.49504472362</v>
      </c>
      <c r="O275" s="203">
        <f t="shared" si="159"/>
        <v>741648.58551197045</v>
      </c>
      <c r="P275" s="203">
        <f t="shared" si="159"/>
        <v>754034.11689002032</v>
      </c>
      <c r="Q275" s="203">
        <f t="shared" si="159"/>
        <v>766626.48664208362</v>
      </c>
      <c r="R275" s="203">
        <f t="shared" si="159"/>
        <v>779429.14896900638</v>
      </c>
      <c r="S275" s="203">
        <f t="shared" si="159"/>
        <v>792445.61575678876</v>
      </c>
      <c r="T275" s="203">
        <f t="shared" si="159"/>
        <v>805679.4575399271</v>
      </c>
      <c r="U275" s="203">
        <f t="shared" si="159"/>
        <v>819134.30448084383</v>
      </c>
      <c r="V275" s="203">
        <f t="shared" si="159"/>
        <v>832813.84736567386</v>
      </c>
      <c r="W275" s="203">
        <f t="shared" si="159"/>
        <v>846721.83861668059</v>
      </c>
      <c r="X275" s="203">
        <f t="shared" si="159"/>
        <v>860862.09332157904</v>
      </c>
      <c r="Y275" s="203">
        <f t="shared" si="159"/>
        <v>875238.49028004939</v>
      </c>
      <c r="Z275" s="203">
        <f t="shared" si="159"/>
        <v>889854.97306772613</v>
      </c>
      <c r="AA275" s="203">
        <f t="shared" si="159"/>
        <v>904715.5511179571</v>
      </c>
      <c r="AB275" s="203">
        <f t="shared" si="159"/>
        <v>919824.30082162691</v>
      </c>
      <c r="AC275" s="203">
        <f t="shared" si="159"/>
        <v>935185.36664534803</v>
      </c>
      <c r="AD275" s="203">
        <f t="shared" si="159"/>
        <v>950802.96226832527</v>
      </c>
      <c r="AE275" s="203">
        <f t="shared" si="159"/>
        <v>966681.37173820625</v>
      </c>
      <c r="AF275" s="203">
        <f t="shared" si="159"/>
        <v>982824.95064623421</v>
      </c>
      <c r="AG275" s="203">
        <f t="shared" si="159"/>
        <v>999238.1273220263</v>
      </c>
      <c r="AI275" s="188">
        <v>1.67E-2</v>
      </c>
      <c r="AJ275" s="3" t="s">
        <v>599</v>
      </c>
    </row>
    <row r="276" spans="1:36">
      <c r="B276" s="47"/>
    </row>
    <row r="277" spans="1:36" s="54" customFormat="1">
      <c r="A277" s="54" t="s">
        <v>626</v>
      </c>
      <c r="B277" s="253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254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I277" s="255"/>
      <c r="AJ277" s="256"/>
    </row>
    <row r="278" spans="1:36" s="166" customFormat="1" outlineLevel="1">
      <c r="A278" s="293" t="s">
        <v>630</v>
      </c>
      <c r="B278" s="268" t="s">
        <v>126</v>
      </c>
      <c r="C278" s="561">
        <v>0.98</v>
      </c>
      <c r="D278" s="269">
        <f>-($C278-$AG278)/30+C278</f>
        <v>0.98033333333333328</v>
      </c>
      <c r="E278" s="269">
        <f t="shared" ref="E278:AF280" si="160">-($C278-$AG278)/30+D278</f>
        <v>0.98066666666666658</v>
      </c>
      <c r="F278" s="269">
        <f t="shared" si="160"/>
        <v>0.98099999999999987</v>
      </c>
      <c r="G278" s="269">
        <f t="shared" si="160"/>
        <v>0.98133333333333317</v>
      </c>
      <c r="H278" s="269">
        <f t="shared" si="160"/>
        <v>0.98166666666666647</v>
      </c>
      <c r="I278" s="269">
        <f t="shared" si="160"/>
        <v>0.98199999999999976</v>
      </c>
      <c r="J278" s="269">
        <f t="shared" si="160"/>
        <v>0.98233333333333306</v>
      </c>
      <c r="K278" s="269">
        <f t="shared" si="160"/>
        <v>0.98266666666666636</v>
      </c>
      <c r="L278" s="269">
        <f t="shared" si="160"/>
        <v>0.98299999999999965</v>
      </c>
      <c r="M278" s="269">
        <f t="shared" si="160"/>
        <v>0.98333333333333295</v>
      </c>
      <c r="N278" s="269">
        <f t="shared" si="160"/>
        <v>0.98366666666666625</v>
      </c>
      <c r="O278" s="269">
        <f t="shared" si="160"/>
        <v>0.98399999999999954</v>
      </c>
      <c r="P278" s="269">
        <f t="shared" si="160"/>
        <v>0.98433333333333284</v>
      </c>
      <c r="Q278" s="269">
        <f t="shared" si="160"/>
        <v>0.98466666666666613</v>
      </c>
      <c r="R278" s="269">
        <f t="shared" si="160"/>
        <v>0.98499999999999943</v>
      </c>
      <c r="S278" s="269">
        <f t="shared" si="160"/>
        <v>0.98533333333333273</v>
      </c>
      <c r="T278" s="269">
        <f t="shared" si="160"/>
        <v>0.98566666666666602</v>
      </c>
      <c r="U278" s="269">
        <f t="shared" si="160"/>
        <v>0.98599999999999932</v>
      </c>
      <c r="V278" s="269">
        <f t="shared" si="160"/>
        <v>0.98633333333333262</v>
      </c>
      <c r="W278" s="269">
        <f t="shared" si="160"/>
        <v>0.98666666666666591</v>
      </c>
      <c r="X278" s="269">
        <f t="shared" si="160"/>
        <v>0.98699999999999921</v>
      </c>
      <c r="Y278" s="269">
        <f t="shared" si="160"/>
        <v>0.98733333333333251</v>
      </c>
      <c r="Z278" s="269">
        <f t="shared" si="160"/>
        <v>0.9876666666666658</v>
      </c>
      <c r="AA278" s="269">
        <f t="shared" si="160"/>
        <v>0.9879999999999991</v>
      </c>
      <c r="AB278" s="269">
        <f t="shared" si="160"/>
        <v>0.9883333333333324</v>
      </c>
      <c r="AC278" s="269">
        <f t="shared" si="160"/>
        <v>0.98866666666666569</v>
      </c>
      <c r="AD278" s="269">
        <f t="shared" si="160"/>
        <v>0.98899999999999899</v>
      </c>
      <c r="AE278" s="269">
        <f t="shared" si="160"/>
        <v>0.98933333333333229</v>
      </c>
      <c r="AF278" s="269">
        <f t="shared" si="160"/>
        <v>0.98966666666666558</v>
      </c>
      <c r="AG278" s="561">
        <v>0.99</v>
      </c>
      <c r="AI278" s="270"/>
      <c r="AJ278" s="271" t="s">
        <v>1469</v>
      </c>
    </row>
    <row r="279" spans="1:36" outlineLevel="1">
      <c r="A279" s="3" t="s">
        <v>621</v>
      </c>
      <c r="B279" s="252" t="s">
        <v>126</v>
      </c>
      <c r="C279" s="255">
        <f>1-SUM(C280:C284)</f>
        <v>0.97</v>
      </c>
      <c r="D279" s="287">
        <f t="shared" ref="D279:S280" si="161">-($C279-$AG279)/30+C279</f>
        <v>0.97033333333333327</v>
      </c>
      <c r="E279" s="287">
        <f t="shared" si="161"/>
        <v>0.97066666666666657</v>
      </c>
      <c r="F279" s="287">
        <f t="shared" si="161"/>
        <v>0.97099999999999986</v>
      </c>
      <c r="G279" s="287">
        <f t="shared" si="161"/>
        <v>0.97133333333333316</v>
      </c>
      <c r="H279" s="287">
        <f t="shared" si="161"/>
        <v>0.97166666666666646</v>
      </c>
      <c r="I279" s="287">
        <f t="shared" si="161"/>
        <v>0.97199999999999975</v>
      </c>
      <c r="J279" s="287">
        <f t="shared" si="161"/>
        <v>0.97233333333333305</v>
      </c>
      <c r="K279" s="287">
        <f t="shared" si="161"/>
        <v>0.97266666666666635</v>
      </c>
      <c r="L279" s="287">
        <f t="shared" si="161"/>
        <v>0.97299999999999964</v>
      </c>
      <c r="M279" s="287">
        <f t="shared" si="161"/>
        <v>0.97333333333333294</v>
      </c>
      <c r="N279" s="287">
        <f t="shared" si="161"/>
        <v>0.97366666666666624</v>
      </c>
      <c r="O279" s="287">
        <f t="shared" si="161"/>
        <v>0.97399999999999953</v>
      </c>
      <c r="P279" s="287">
        <f t="shared" si="161"/>
        <v>0.97433333333333283</v>
      </c>
      <c r="Q279" s="287">
        <f t="shared" si="161"/>
        <v>0.97466666666666613</v>
      </c>
      <c r="R279" s="287">
        <f t="shared" si="161"/>
        <v>0.97499999999999942</v>
      </c>
      <c r="S279" s="287">
        <f t="shared" si="161"/>
        <v>0.97533333333333272</v>
      </c>
      <c r="T279" s="287">
        <f t="shared" si="160"/>
        <v>0.97566666666666602</v>
      </c>
      <c r="U279" s="287">
        <f t="shared" si="160"/>
        <v>0.97599999999999931</v>
      </c>
      <c r="V279" s="287">
        <f t="shared" si="160"/>
        <v>0.97633333333333261</v>
      </c>
      <c r="W279" s="287">
        <f t="shared" si="160"/>
        <v>0.97666666666666591</v>
      </c>
      <c r="X279" s="287">
        <f t="shared" si="160"/>
        <v>0.9769999999999992</v>
      </c>
      <c r="Y279" s="287">
        <f t="shared" si="160"/>
        <v>0.9773333333333325</v>
      </c>
      <c r="Z279" s="287">
        <f t="shared" si="160"/>
        <v>0.9776666666666658</v>
      </c>
      <c r="AA279" s="287">
        <f t="shared" si="160"/>
        <v>0.97799999999999909</v>
      </c>
      <c r="AB279" s="287">
        <f t="shared" si="160"/>
        <v>0.97833333333333239</v>
      </c>
      <c r="AC279" s="287">
        <f t="shared" si="160"/>
        <v>0.97866666666666569</v>
      </c>
      <c r="AD279" s="287">
        <f t="shared" si="160"/>
        <v>0.97899999999999898</v>
      </c>
      <c r="AE279" s="287">
        <f t="shared" si="160"/>
        <v>0.97933333333333228</v>
      </c>
      <c r="AF279" s="287">
        <f t="shared" si="160"/>
        <v>0.97966666666666558</v>
      </c>
      <c r="AG279" s="255">
        <f>1-SUM(AG280:AG284)</f>
        <v>0.98</v>
      </c>
      <c r="AI279" s="188"/>
      <c r="AJ279" s="271"/>
    </row>
    <row r="280" spans="1:36" outlineLevel="1">
      <c r="A280" s="3" t="s">
        <v>620</v>
      </c>
      <c r="B280" s="252" t="s">
        <v>126</v>
      </c>
      <c r="C280" s="266">
        <v>0.01</v>
      </c>
      <c r="D280" s="267">
        <f t="shared" si="161"/>
        <v>0.01</v>
      </c>
      <c r="E280" s="267">
        <f t="shared" si="161"/>
        <v>0.01</v>
      </c>
      <c r="F280" s="267">
        <f t="shared" si="161"/>
        <v>0.01</v>
      </c>
      <c r="G280" s="267">
        <f t="shared" si="161"/>
        <v>0.01</v>
      </c>
      <c r="H280" s="267">
        <f t="shared" si="161"/>
        <v>0.01</v>
      </c>
      <c r="I280" s="267">
        <f t="shared" si="161"/>
        <v>0.01</v>
      </c>
      <c r="J280" s="267">
        <f t="shared" si="161"/>
        <v>0.01</v>
      </c>
      <c r="K280" s="267">
        <f t="shared" si="161"/>
        <v>0.01</v>
      </c>
      <c r="L280" s="267">
        <f t="shared" si="161"/>
        <v>0.01</v>
      </c>
      <c r="M280" s="267">
        <f t="shared" si="161"/>
        <v>0.01</v>
      </c>
      <c r="N280" s="267">
        <f t="shared" si="161"/>
        <v>0.01</v>
      </c>
      <c r="O280" s="267">
        <f t="shared" si="161"/>
        <v>0.01</v>
      </c>
      <c r="P280" s="267">
        <f t="shared" si="161"/>
        <v>0.01</v>
      </c>
      <c r="Q280" s="267">
        <f t="shared" si="161"/>
        <v>0.01</v>
      </c>
      <c r="R280" s="267">
        <f t="shared" si="161"/>
        <v>0.01</v>
      </c>
      <c r="S280" s="267">
        <f t="shared" si="161"/>
        <v>0.01</v>
      </c>
      <c r="T280" s="267">
        <f t="shared" si="160"/>
        <v>0.01</v>
      </c>
      <c r="U280" s="267">
        <f t="shared" si="160"/>
        <v>0.01</v>
      </c>
      <c r="V280" s="267">
        <f t="shared" si="160"/>
        <v>0.01</v>
      </c>
      <c r="W280" s="267">
        <f t="shared" si="160"/>
        <v>0.01</v>
      </c>
      <c r="X280" s="267">
        <f t="shared" si="160"/>
        <v>0.01</v>
      </c>
      <c r="Y280" s="267">
        <f t="shared" si="160"/>
        <v>0.01</v>
      </c>
      <c r="Z280" s="267">
        <f t="shared" si="160"/>
        <v>0.01</v>
      </c>
      <c r="AA280" s="267">
        <f t="shared" si="160"/>
        <v>0.01</v>
      </c>
      <c r="AB280" s="267">
        <f t="shared" si="160"/>
        <v>0.01</v>
      </c>
      <c r="AC280" s="267">
        <f t="shared" si="160"/>
        <v>0.01</v>
      </c>
      <c r="AD280" s="267">
        <f t="shared" si="160"/>
        <v>0.01</v>
      </c>
      <c r="AE280" s="267">
        <f t="shared" si="160"/>
        <v>0.01</v>
      </c>
      <c r="AF280" s="267">
        <f t="shared" si="160"/>
        <v>0.01</v>
      </c>
      <c r="AG280" s="266">
        <v>0.01</v>
      </c>
      <c r="AI280" s="188"/>
      <c r="AJ280" s="271" t="s">
        <v>1469</v>
      </c>
    </row>
    <row r="281" spans="1:36" outlineLevel="1">
      <c r="A281" s="3" t="s">
        <v>622</v>
      </c>
      <c r="B281" s="252" t="s">
        <v>126</v>
      </c>
      <c r="C281" s="562">
        <v>0</v>
      </c>
      <c r="D281" s="267">
        <f t="shared" ref="D281:AF284" si="162">-($C281-$AG281)/30+C281</f>
        <v>0</v>
      </c>
      <c r="E281" s="267">
        <f t="shared" si="162"/>
        <v>0</v>
      </c>
      <c r="F281" s="267">
        <f t="shared" si="162"/>
        <v>0</v>
      </c>
      <c r="G281" s="267">
        <f t="shared" si="162"/>
        <v>0</v>
      </c>
      <c r="H281" s="267">
        <f t="shared" si="162"/>
        <v>0</v>
      </c>
      <c r="I281" s="267">
        <f t="shared" si="162"/>
        <v>0</v>
      </c>
      <c r="J281" s="267">
        <f t="shared" si="162"/>
        <v>0</v>
      </c>
      <c r="K281" s="267">
        <f t="shared" si="162"/>
        <v>0</v>
      </c>
      <c r="L281" s="267">
        <f t="shared" si="162"/>
        <v>0</v>
      </c>
      <c r="M281" s="267">
        <f t="shared" si="162"/>
        <v>0</v>
      </c>
      <c r="N281" s="267">
        <f t="shared" si="162"/>
        <v>0</v>
      </c>
      <c r="O281" s="267">
        <f t="shared" si="162"/>
        <v>0</v>
      </c>
      <c r="P281" s="267">
        <f t="shared" si="162"/>
        <v>0</v>
      </c>
      <c r="Q281" s="267">
        <f t="shared" si="162"/>
        <v>0</v>
      </c>
      <c r="R281" s="267">
        <f t="shared" si="162"/>
        <v>0</v>
      </c>
      <c r="S281" s="267">
        <f t="shared" si="162"/>
        <v>0</v>
      </c>
      <c r="T281" s="267">
        <f t="shared" si="162"/>
        <v>0</v>
      </c>
      <c r="U281" s="267">
        <f t="shared" si="162"/>
        <v>0</v>
      </c>
      <c r="V281" s="267">
        <f t="shared" si="162"/>
        <v>0</v>
      </c>
      <c r="W281" s="267">
        <f t="shared" si="162"/>
        <v>0</v>
      </c>
      <c r="X281" s="267">
        <f t="shared" si="162"/>
        <v>0</v>
      </c>
      <c r="Y281" s="267">
        <f t="shared" si="162"/>
        <v>0</v>
      </c>
      <c r="Z281" s="267">
        <f t="shared" si="162"/>
        <v>0</v>
      </c>
      <c r="AA281" s="267">
        <f t="shared" si="162"/>
        <v>0</v>
      </c>
      <c r="AB281" s="267">
        <f t="shared" si="162"/>
        <v>0</v>
      </c>
      <c r="AC281" s="267">
        <f t="shared" si="162"/>
        <v>0</v>
      </c>
      <c r="AD281" s="267">
        <f t="shared" si="162"/>
        <v>0</v>
      </c>
      <c r="AE281" s="267">
        <f t="shared" si="162"/>
        <v>0</v>
      </c>
      <c r="AF281" s="267">
        <f t="shared" si="162"/>
        <v>0</v>
      </c>
      <c r="AG281" s="562">
        <v>0</v>
      </c>
      <c r="AI281" s="188"/>
      <c r="AJ281" t="s">
        <v>1470</v>
      </c>
    </row>
    <row r="282" spans="1:36" outlineLevel="1">
      <c r="A282" s="3" t="s">
        <v>623</v>
      </c>
      <c r="B282" s="252" t="s">
        <v>126</v>
      </c>
      <c r="C282" s="562">
        <v>0</v>
      </c>
      <c r="D282" s="267">
        <f t="shared" si="162"/>
        <v>0</v>
      </c>
      <c r="E282" s="267">
        <f t="shared" si="162"/>
        <v>0</v>
      </c>
      <c r="F282" s="267">
        <f t="shared" si="162"/>
        <v>0</v>
      </c>
      <c r="G282" s="267">
        <f t="shared" si="162"/>
        <v>0</v>
      </c>
      <c r="H282" s="267">
        <f t="shared" si="162"/>
        <v>0</v>
      </c>
      <c r="I282" s="267">
        <f t="shared" si="162"/>
        <v>0</v>
      </c>
      <c r="J282" s="267">
        <f t="shared" si="162"/>
        <v>0</v>
      </c>
      <c r="K282" s="267">
        <f t="shared" si="162"/>
        <v>0</v>
      </c>
      <c r="L282" s="267">
        <f t="shared" si="162"/>
        <v>0</v>
      </c>
      <c r="M282" s="267">
        <f t="shared" si="162"/>
        <v>0</v>
      </c>
      <c r="N282" s="267">
        <f t="shared" si="162"/>
        <v>0</v>
      </c>
      <c r="O282" s="267">
        <f t="shared" si="162"/>
        <v>0</v>
      </c>
      <c r="P282" s="267">
        <f t="shared" si="162"/>
        <v>0</v>
      </c>
      <c r="Q282" s="267">
        <f t="shared" si="162"/>
        <v>0</v>
      </c>
      <c r="R282" s="267">
        <f t="shared" si="162"/>
        <v>0</v>
      </c>
      <c r="S282" s="267">
        <f t="shared" si="162"/>
        <v>0</v>
      </c>
      <c r="T282" s="267">
        <f t="shared" si="162"/>
        <v>0</v>
      </c>
      <c r="U282" s="267">
        <f t="shared" si="162"/>
        <v>0</v>
      </c>
      <c r="V282" s="267">
        <f t="shared" si="162"/>
        <v>0</v>
      </c>
      <c r="W282" s="267">
        <f t="shared" si="162"/>
        <v>0</v>
      </c>
      <c r="X282" s="267">
        <f t="shared" si="162"/>
        <v>0</v>
      </c>
      <c r="Y282" s="267">
        <f t="shared" si="162"/>
        <v>0</v>
      </c>
      <c r="Z282" s="267">
        <f t="shared" si="162"/>
        <v>0</v>
      </c>
      <c r="AA282" s="267">
        <f t="shared" si="162"/>
        <v>0</v>
      </c>
      <c r="AB282" s="267">
        <f t="shared" si="162"/>
        <v>0</v>
      </c>
      <c r="AC282" s="267">
        <f t="shared" si="162"/>
        <v>0</v>
      </c>
      <c r="AD282" s="267">
        <f t="shared" si="162"/>
        <v>0</v>
      </c>
      <c r="AE282" s="267">
        <f t="shared" si="162"/>
        <v>0</v>
      </c>
      <c r="AF282" s="267">
        <f t="shared" si="162"/>
        <v>0</v>
      </c>
      <c r="AG282" s="562">
        <v>0</v>
      </c>
      <c r="AI282" s="188"/>
      <c r="AJ282" t="s">
        <v>1470</v>
      </c>
    </row>
    <row r="283" spans="1:36" outlineLevel="1">
      <c r="A283" s="3" t="s">
        <v>624</v>
      </c>
      <c r="B283" s="252" t="s">
        <v>126</v>
      </c>
      <c r="C283" s="562">
        <v>1.4999999999999999E-2</v>
      </c>
      <c r="D283" s="267">
        <f t="shared" si="162"/>
        <v>1.4733333333333333E-2</v>
      </c>
      <c r="E283" s="267">
        <f t="shared" si="162"/>
        <v>1.4466666666666666E-2</v>
      </c>
      <c r="F283" s="267">
        <f t="shared" si="162"/>
        <v>1.4199999999999999E-2</v>
      </c>
      <c r="G283" s="267">
        <f t="shared" si="162"/>
        <v>1.3933333333333332E-2</v>
      </c>
      <c r="H283" s="267">
        <f t="shared" si="162"/>
        <v>1.3666666666666666E-2</v>
      </c>
      <c r="I283" s="267">
        <f t="shared" si="162"/>
        <v>1.3399999999999999E-2</v>
      </c>
      <c r="J283" s="267">
        <f t="shared" si="162"/>
        <v>1.3133333333333332E-2</v>
      </c>
      <c r="K283" s="267">
        <f t="shared" si="162"/>
        <v>1.2866666666666665E-2</v>
      </c>
      <c r="L283" s="267">
        <f t="shared" si="162"/>
        <v>1.2599999999999998E-2</v>
      </c>
      <c r="M283" s="267">
        <f t="shared" si="162"/>
        <v>1.2333333333333332E-2</v>
      </c>
      <c r="N283" s="267">
        <f t="shared" si="162"/>
        <v>1.2066666666666665E-2</v>
      </c>
      <c r="O283" s="267">
        <f t="shared" si="162"/>
        <v>1.1799999999999998E-2</v>
      </c>
      <c r="P283" s="267">
        <f t="shared" si="162"/>
        <v>1.1533333333333331E-2</v>
      </c>
      <c r="Q283" s="267">
        <f t="shared" si="162"/>
        <v>1.1266666666666664E-2</v>
      </c>
      <c r="R283" s="267">
        <f t="shared" si="162"/>
        <v>1.0999999999999998E-2</v>
      </c>
      <c r="S283" s="267">
        <f t="shared" si="162"/>
        <v>1.0733333333333331E-2</v>
      </c>
      <c r="T283" s="267">
        <f t="shared" si="162"/>
        <v>1.0466666666666664E-2</v>
      </c>
      <c r="U283" s="267">
        <f t="shared" si="162"/>
        <v>1.0199999999999997E-2</v>
      </c>
      <c r="V283" s="267">
        <f t="shared" si="162"/>
        <v>9.9333333333333305E-3</v>
      </c>
      <c r="W283" s="267">
        <f t="shared" si="162"/>
        <v>9.6666666666666637E-3</v>
      </c>
      <c r="X283" s="267">
        <f t="shared" si="162"/>
        <v>9.3999999999999969E-3</v>
      </c>
      <c r="Y283" s="267">
        <f t="shared" si="162"/>
        <v>9.1333333333333301E-3</v>
      </c>
      <c r="Z283" s="267">
        <f t="shared" si="162"/>
        <v>8.8666666666666633E-3</v>
      </c>
      <c r="AA283" s="267">
        <f t="shared" si="162"/>
        <v>8.5999999999999965E-3</v>
      </c>
      <c r="AB283" s="267">
        <f t="shared" si="162"/>
        <v>8.3333333333333297E-3</v>
      </c>
      <c r="AC283" s="267">
        <f t="shared" si="162"/>
        <v>8.066666666666663E-3</v>
      </c>
      <c r="AD283" s="267">
        <f t="shared" si="162"/>
        <v>7.7999999999999962E-3</v>
      </c>
      <c r="AE283" s="267">
        <f t="shared" si="162"/>
        <v>7.5333333333333294E-3</v>
      </c>
      <c r="AF283" s="267">
        <f t="shared" si="162"/>
        <v>7.2666666666666626E-3</v>
      </c>
      <c r="AG283" s="562">
        <v>7.0000000000000001E-3</v>
      </c>
      <c r="AI283" s="188"/>
      <c r="AJ283" t="s">
        <v>1470</v>
      </c>
    </row>
    <row r="284" spans="1:36" outlineLevel="1">
      <c r="A284" s="3" t="s">
        <v>625</v>
      </c>
      <c r="B284" s="252" t="s">
        <v>126</v>
      </c>
      <c r="C284" s="562">
        <v>5.0000000000000001E-3</v>
      </c>
      <c r="D284" s="267">
        <f t="shared" si="162"/>
        <v>4.9333333333333338E-3</v>
      </c>
      <c r="E284" s="267">
        <f t="shared" si="162"/>
        <v>4.8666666666666676E-3</v>
      </c>
      <c r="F284" s="267">
        <f t="shared" si="162"/>
        <v>4.8000000000000013E-3</v>
      </c>
      <c r="G284" s="267">
        <f t="shared" si="162"/>
        <v>4.7333333333333351E-3</v>
      </c>
      <c r="H284" s="267">
        <f t="shared" si="162"/>
        <v>4.6666666666666688E-3</v>
      </c>
      <c r="I284" s="267">
        <f t="shared" si="162"/>
        <v>4.6000000000000025E-3</v>
      </c>
      <c r="J284" s="267">
        <f t="shared" si="162"/>
        <v>4.5333333333333363E-3</v>
      </c>
      <c r="K284" s="267">
        <f t="shared" si="162"/>
        <v>4.46666666666667E-3</v>
      </c>
      <c r="L284" s="267">
        <f t="shared" si="162"/>
        <v>4.4000000000000037E-3</v>
      </c>
      <c r="M284" s="267">
        <f t="shared" si="162"/>
        <v>4.3333333333333375E-3</v>
      </c>
      <c r="N284" s="267">
        <f t="shared" si="162"/>
        <v>4.2666666666666712E-3</v>
      </c>
      <c r="O284" s="267">
        <f t="shared" si="162"/>
        <v>4.2000000000000049E-3</v>
      </c>
      <c r="P284" s="267">
        <f t="shared" si="162"/>
        <v>4.1333333333333387E-3</v>
      </c>
      <c r="Q284" s="267">
        <f t="shared" si="162"/>
        <v>4.0666666666666724E-3</v>
      </c>
      <c r="R284" s="267">
        <f t="shared" si="162"/>
        <v>4.0000000000000062E-3</v>
      </c>
      <c r="S284" s="267">
        <f t="shared" si="162"/>
        <v>3.9333333333333399E-3</v>
      </c>
      <c r="T284" s="267">
        <f t="shared" si="162"/>
        <v>3.8666666666666732E-3</v>
      </c>
      <c r="U284" s="267">
        <f t="shared" si="162"/>
        <v>3.8000000000000065E-3</v>
      </c>
      <c r="V284" s="267">
        <f t="shared" si="162"/>
        <v>3.7333333333333398E-3</v>
      </c>
      <c r="W284" s="267">
        <f t="shared" si="162"/>
        <v>3.6666666666666731E-3</v>
      </c>
      <c r="X284" s="267">
        <f t="shared" si="162"/>
        <v>3.6000000000000064E-3</v>
      </c>
      <c r="Y284" s="267">
        <f t="shared" si="162"/>
        <v>3.5333333333333397E-3</v>
      </c>
      <c r="Z284" s="267">
        <f t="shared" si="162"/>
        <v>3.466666666666673E-3</v>
      </c>
      <c r="AA284" s="267">
        <f t="shared" si="162"/>
        <v>3.4000000000000063E-3</v>
      </c>
      <c r="AB284" s="267">
        <f t="shared" si="162"/>
        <v>3.3333333333333396E-3</v>
      </c>
      <c r="AC284" s="267">
        <f t="shared" si="162"/>
        <v>3.2666666666666729E-3</v>
      </c>
      <c r="AD284" s="267">
        <f t="shared" si="162"/>
        <v>3.2000000000000062E-3</v>
      </c>
      <c r="AE284" s="267">
        <f t="shared" si="162"/>
        <v>3.1333333333333395E-3</v>
      </c>
      <c r="AF284" s="267">
        <f t="shared" si="162"/>
        <v>3.0666666666666728E-3</v>
      </c>
      <c r="AG284" s="562">
        <v>3.0000000000000001E-3</v>
      </c>
      <c r="AI284" s="188"/>
      <c r="AJ284" t="s">
        <v>1470</v>
      </c>
    </row>
    <row r="285" spans="1:36" s="54" customFormat="1" outlineLevel="1">
      <c r="A285" s="256" t="s">
        <v>627</v>
      </c>
      <c r="B285" s="253"/>
      <c r="C285" s="254"/>
      <c r="D285" s="254"/>
      <c r="E285" s="254"/>
      <c r="F285" s="254"/>
      <c r="G285" s="254"/>
      <c r="H285" s="254"/>
      <c r="I285" s="254"/>
      <c r="J285" s="254"/>
      <c r="K285" s="254"/>
      <c r="L285" s="254"/>
      <c r="M285" s="254"/>
      <c r="N285" s="254"/>
      <c r="O285" s="254"/>
      <c r="P285" s="254"/>
      <c r="Q285" s="254"/>
      <c r="R285" s="254"/>
      <c r="S285" s="254"/>
      <c r="T285" s="254"/>
      <c r="U285" s="254"/>
      <c r="V285" s="254"/>
      <c r="W285" s="254"/>
      <c r="X285" s="254"/>
      <c r="Y285" s="254"/>
      <c r="Z285" s="254"/>
      <c r="AA285" s="254"/>
      <c r="AB285" s="254"/>
      <c r="AC285" s="254"/>
      <c r="AD285" s="254"/>
      <c r="AE285" s="254"/>
      <c r="AF285" s="254"/>
      <c r="AG285" s="254"/>
      <c r="AI285" s="255"/>
      <c r="AJ285" s="256"/>
    </row>
    <row r="286" spans="1:36" s="54" customFormat="1" outlineLevel="1">
      <c r="A286" s="257" t="s">
        <v>656</v>
      </c>
      <c r="B286" s="258" t="s">
        <v>126</v>
      </c>
      <c r="C286" s="563">
        <f>C278</f>
        <v>0.98</v>
      </c>
      <c r="D286" s="287">
        <f>-($C286-$AG286)/30+C286</f>
        <v>0.98033333333333328</v>
      </c>
      <c r="E286" s="287">
        <f t="shared" ref="E286:AF287" si="163">-($C286-$AG286)/30+D286</f>
        <v>0.98066666666666658</v>
      </c>
      <c r="F286" s="287">
        <f t="shared" si="163"/>
        <v>0.98099999999999987</v>
      </c>
      <c r="G286" s="287">
        <f t="shared" si="163"/>
        <v>0.98133333333333317</v>
      </c>
      <c r="H286" s="287">
        <f t="shared" si="163"/>
        <v>0.98166666666666647</v>
      </c>
      <c r="I286" s="287">
        <f t="shared" si="163"/>
        <v>0.98199999999999976</v>
      </c>
      <c r="J286" s="287">
        <f t="shared" si="163"/>
        <v>0.98233333333333306</v>
      </c>
      <c r="K286" s="287">
        <f t="shared" si="163"/>
        <v>0.98266666666666636</v>
      </c>
      <c r="L286" s="287">
        <f t="shared" si="163"/>
        <v>0.98299999999999965</v>
      </c>
      <c r="M286" s="287">
        <f t="shared" si="163"/>
        <v>0.98333333333333295</v>
      </c>
      <c r="N286" s="287">
        <f t="shared" si="163"/>
        <v>0.98366666666666625</v>
      </c>
      <c r="O286" s="287">
        <f t="shared" si="163"/>
        <v>0.98399999999999954</v>
      </c>
      <c r="P286" s="287">
        <f t="shared" si="163"/>
        <v>0.98433333333333284</v>
      </c>
      <c r="Q286" s="287">
        <f t="shared" si="163"/>
        <v>0.98466666666666613</v>
      </c>
      <c r="R286" s="287">
        <f t="shared" si="163"/>
        <v>0.98499999999999943</v>
      </c>
      <c r="S286" s="287">
        <f t="shared" si="163"/>
        <v>0.98533333333333273</v>
      </c>
      <c r="T286" s="287">
        <f t="shared" si="163"/>
        <v>0.98566666666666602</v>
      </c>
      <c r="U286" s="287">
        <f t="shared" si="163"/>
        <v>0.98599999999999932</v>
      </c>
      <c r="V286" s="287">
        <f t="shared" si="163"/>
        <v>0.98633333333333262</v>
      </c>
      <c r="W286" s="287">
        <f t="shared" si="163"/>
        <v>0.98666666666666591</v>
      </c>
      <c r="X286" s="287">
        <f t="shared" si="163"/>
        <v>0.98699999999999921</v>
      </c>
      <c r="Y286" s="287">
        <f t="shared" si="163"/>
        <v>0.98733333333333251</v>
      </c>
      <c r="Z286" s="287">
        <f t="shared" si="163"/>
        <v>0.9876666666666658</v>
      </c>
      <c r="AA286" s="287">
        <f t="shared" si="163"/>
        <v>0.9879999999999991</v>
      </c>
      <c r="AB286" s="287">
        <f t="shared" si="163"/>
        <v>0.9883333333333324</v>
      </c>
      <c r="AC286" s="287">
        <f t="shared" si="163"/>
        <v>0.98866666666666569</v>
      </c>
      <c r="AD286" s="287">
        <f t="shared" si="163"/>
        <v>0.98899999999999899</v>
      </c>
      <c r="AE286" s="287">
        <f t="shared" si="163"/>
        <v>0.98933333333333229</v>
      </c>
      <c r="AF286" s="287">
        <f t="shared" si="163"/>
        <v>0.98966666666666558</v>
      </c>
      <c r="AG286" s="563">
        <f>AG278</f>
        <v>0.99</v>
      </c>
      <c r="AI286" s="255"/>
      <c r="AJ286" s="271" t="s">
        <v>1469</v>
      </c>
    </row>
    <row r="287" spans="1:36" s="54" customFormat="1" outlineLevel="1">
      <c r="A287" s="257" t="s">
        <v>667</v>
      </c>
      <c r="B287" s="258" t="s">
        <v>126</v>
      </c>
      <c r="C287" s="563">
        <v>1</v>
      </c>
      <c r="D287" s="287">
        <f>-($C287-$AG287)/30+C287</f>
        <v>1</v>
      </c>
      <c r="E287" s="287">
        <f t="shared" si="163"/>
        <v>1</v>
      </c>
      <c r="F287" s="287">
        <f t="shared" si="163"/>
        <v>1</v>
      </c>
      <c r="G287" s="287">
        <f t="shared" si="163"/>
        <v>1</v>
      </c>
      <c r="H287" s="287">
        <f t="shared" si="163"/>
        <v>1</v>
      </c>
      <c r="I287" s="287">
        <f t="shared" si="163"/>
        <v>1</v>
      </c>
      <c r="J287" s="287">
        <f t="shared" si="163"/>
        <v>1</v>
      </c>
      <c r="K287" s="287">
        <f t="shared" si="163"/>
        <v>1</v>
      </c>
      <c r="L287" s="287">
        <f t="shared" si="163"/>
        <v>1</v>
      </c>
      <c r="M287" s="287">
        <f t="shared" si="163"/>
        <v>1</v>
      </c>
      <c r="N287" s="287">
        <f t="shared" si="163"/>
        <v>1</v>
      </c>
      <c r="O287" s="287">
        <f t="shared" si="163"/>
        <v>1</v>
      </c>
      <c r="P287" s="287">
        <f t="shared" si="163"/>
        <v>1</v>
      </c>
      <c r="Q287" s="287">
        <f t="shared" si="163"/>
        <v>1</v>
      </c>
      <c r="R287" s="287">
        <f t="shared" si="163"/>
        <v>1</v>
      </c>
      <c r="S287" s="287">
        <f t="shared" si="163"/>
        <v>1</v>
      </c>
      <c r="T287" s="287">
        <f t="shared" si="163"/>
        <v>1</v>
      </c>
      <c r="U287" s="287">
        <f t="shared" si="163"/>
        <v>1</v>
      </c>
      <c r="V287" s="287">
        <f t="shared" si="163"/>
        <v>1</v>
      </c>
      <c r="W287" s="287">
        <f t="shared" si="163"/>
        <v>1</v>
      </c>
      <c r="X287" s="287">
        <f t="shared" si="163"/>
        <v>1</v>
      </c>
      <c r="Y287" s="287">
        <f t="shared" si="163"/>
        <v>1</v>
      </c>
      <c r="Z287" s="287">
        <f t="shared" si="163"/>
        <v>1</v>
      </c>
      <c r="AA287" s="287">
        <f t="shared" si="163"/>
        <v>1</v>
      </c>
      <c r="AB287" s="287">
        <f t="shared" si="163"/>
        <v>1</v>
      </c>
      <c r="AC287" s="287">
        <f t="shared" si="163"/>
        <v>1</v>
      </c>
      <c r="AD287" s="287">
        <f t="shared" si="163"/>
        <v>1</v>
      </c>
      <c r="AE287" s="287">
        <f t="shared" si="163"/>
        <v>1</v>
      </c>
      <c r="AF287" s="287">
        <f t="shared" si="163"/>
        <v>1</v>
      </c>
      <c r="AG287" s="563">
        <v>1</v>
      </c>
      <c r="AI287" s="255"/>
      <c r="AJ287" t="s">
        <v>1470</v>
      </c>
    </row>
    <row r="288" spans="1:36" s="58" customFormat="1" outlineLevel="1">
      <c r="A288" s="261" t="s">
        <v>668</v>
      </c>
      <c r="B288" s="262" t="s">
        <v>126</v>
      </c>
      <c r="C288" s="289">
        <f>1-C287</f>
        <v>0</v>
      </c>
      <c r="D288" s="289">
        <f t="shared" ref="D288:AG288" si="164">1-D287</f>
        <v>0</v>
      </c>
      <c r="E288" s="289">
        <f t="shared" si="164"/>
        <v>0</v>
      </c>
      <c r="F288" s="289">
        <f t="shared" si="164"/>
        <v>0</v>
      </c>
      <c r="G288" s="289">
        <f t="shared" si="164"/>
        <v>0</v>
      </c>
      <c r="H288" s="289">
        <f t="shared" si="164"/>
        <v>0</v>
      </c>
      <c r="I288" s="289">
        <f t="shared" si="164"/>
        <v>0</v>
      </c>
      <c r="J288" s="289">
        <f t="shared" si="164"/>
        <v>0</v>
      </c>
      <c r="K288" s="289">
        <f t="shared" si="164"/>
        <v>0</v>
      </c>
      <c r="L288" s="289">
        <f t="shared" si="164"/>
        <v>0</v>
      </c>
      <c r="M288" s="289">
        <f t="shared" si="164"/>
        <v>0</v>
      </c>
      <c r="N288" s="289">
        <f t="shared" si="164"/>
        <v>0</v>
      </c>
      <c r="O288" s="289">
        <f t="shared" si="164"/>
        <v>0</v>
      </c>
      <c r="P288" s="289">
        <f t="shared" si="164"/>
        <v>0</v>
      </c>
      <c r="Q288" s="289">
        <f t="shared" si="164"/>
        <v>0</v>
      </c>
      <c r="R288" s="289">
        <f t="shared" si="164"/>
        <v>0</v>
      </c>
      <c r="S288" s="289">
        <f t="shared" si="164"/>
        <v>0</v>
      </c>
      <c r="T288" s="289">
        <f t="shared" si="164"/>
        <v>0</v>
      </c>
      <c r="U288" s="289">
        <f t="shared" si="164"/>
        <v>0</v>
      </c>
      <c r="V288" s="289">
        <f t="shared" si="164"/>
        <v>0</v>
      </c>
      <c r="W288" s="289">
        <f t="shared" si="164"/>
        <v>0</v>
      </c>
      <c r="X288" s="289">
        <f t="shared" si="164"/>
        <v>0</v>
      </c>
      <c r="Y288" s="289">
        <f t="shared" si="164"/>
        <v>0</v>
      </c>
      <c r="Z288" s="289">
        <f t="shared" si="164"/>
        <v>0</v>
      </c>
      <c r="AA288" s="289">
        <f t="shared" si="164"/>
        <v>0</v>
      </c>
      <c r="AB288" s="289">
        <f t="shared" si="164"/>
        <v>0</v>
      </c>
      <c r="AC288" s="289">
        <f t="shared" si="164"/>
        <v>0</v>
      </c>
      <c r="AD288" s="289">
        <f t="shared" si="164"/>
        <v>0</v>
      </c>
      <c r="AE288" s="289">
        <f t="shared" si="164"/>
        <v>0</v>
      </c>
      <c r="AF288" s="289">
        <f t="shared" si="164"/>
        <v>0</v>
      </c>
      <c r="AG288" s="289">
        <f t="shared" si="164"/>
        <v>0</v>
      </c>
      <c r="AI288" s="291"/>
      <c r="AJ288" s="290"/>
    </row>
    <row r="289" spans="1:36" s="1" customFormat="1" outlineLevel="1">
      <c r="A289" t="s">
        <v>649</v>
      </c>
      <c r="B289" s="252" t="s">
        <v>126</v>
      </c>
      <c r="C289" s="562">
        <v>1</v>
      </c>
      <c r="D289" s="267">
        <f t="shared" ref="D289:S304" si="165">-($C289-$AG289)/30+C289</f>
        <v>1</v>
      </c>
      <c r="E289" s="267">
        <f t="shared" si="165"/>
        <v>1</v>
      </c>
      <c r="F289" s="267">
        <f t="shared" si="165"/>
        <v>1</v>
      </c>
      <c r="G289" s="267">
        <f t="shared" si="165"/>
        <v>1</v>
      </c>
      <c r="H289" s="267">
        <f t="shared" si="165"/>
        <v>1</v>
      </c>
      <c r="I289" s="267">
        <f t="shared" si="165"/>
        <v>1</v>
      </c>
      <c r="J289" s="267">
        <f t="shared" si="165"/>
        <v>1</v>
      </c>
      <c r="K289" s="267">
        <f t="shared" si="165"/>
        <v>1</v>
      </c>
      <c r="L289" s="267">
        <f t="shared" si="165"/>
        <v>1</v>
      </c>
      <c r="M289" s="267">
        <f t="shared" si="165"/>
        <v>1</v>
      </c>
      <c r="N289" s="267">
        <f t="shared" si="165"/>
        <v>1</v>
      </c>
      <c r="O289" s="267">
        <f t="shared" si="165"/>
        <v>1</v>
      </c>
      <c r="P289" s="267">
        <f t="shared" si="165"/>
        <v>1</v>
      </c>
      <c r="Q289" s="267">
        <f t="shared" si="165"/>
        <v>1</v>
      </c>
      <c r="R289" s="267">
        <f t="shared" si="165"/>
        <v>1</v>
      </c>
      <c r="S289" s="267">
        <f t="shared" si="165"/>
        <v>1</v>
      </c>
      <c r="T289" s="267">
        <f t="shared" ref="T289:AF303" si="166">-($C289-$AG289)/30+S289</f>
        <v>1</v>
      </c>
      <c r="U289" s="267">
        <f t="shared" si="166"/>
        <v>1</v>
      </c>
      <c r="V289" s="267">
        <f t="shared" si="166"/>
        <v>1</v>
      </c>
      <c r="W289" s="267">
        <f t="shared" si="166"/>
        <v>1</v>
      </c>
      <c r="X289" s="267">
        <f t="shared" si="166"/>
        <v>1</v>
      </c>
      <c r="Y289" s="267">
        <f t="shared" si="166"/>
        <v>1</v>
      </c>
      <c r="Z289" s="267">
        <f t="shared" si="166"/>
        <v>1</v>
      </c>
      <c r="AA289" s="267">
        <f t="shared" si="166"/>
        <v>1</v>
      </c>
      <c r="AB289" s="267">
        <f t="shared" si="166"/>
        <v>1</v>
      </c>
      <c r="AC289" s="267">
        <f t="shared" si="166"/>
        <v>1</v>
      </c>
      <c r="AD289" s="267">
        <f t="shared" si="166"/>
        <v>1</v>
      </c>
      <c r="AE289" s="267">
        <f t="shared" si="166"/>
        <v>1</v>
      </c>
      <c r="AF289" s="267">
        <f t="shared" si="166"/>
        <v>1</v>
      </c>
      <c r="AG289" s="562">
        <v>1</v>
      </c>
      <c r="AI289" s="266"/>
      <c r="AJ289" s="185"/>
    </row>
    <row r="290" spans="1:36" s="1" customFormat="1" outlineLevel="1">
      <c r="A290" t="s">
        <v>655</v>
      </c>
      <c r="B290" s="252" t="s">
        <v>126</v>
      </c>
      <c r="C290" s="562">
        <v>0</v>
      </c>
      <c r="D290" s="267">
        <f t="shared" si="165"/>
        <v>0</v>
      </c>
      <c r="E290" s="267">
        <f t="shared" si="165"/>
        <v>0</v>
      </c>
      <c r="F290" s="267">
        <f t="shared" si="165"/>
        <v>0</v>
      </c>
      <c r="G290" s="267">
        <f t="shared" si="165"/>
        <v>0</v>
      </c>
      <c r="H290" s="267">
        <f t="shared" si="165"/>
        <v>0</v>
      </c>
      <c r="I290" s="267">
        <f t="shared" si="165"/>
        <v>0</v>
      </c>
      <c r="J290" s="267">
        <f t="shared" si="165"/>
        <v>0</v>
      </c>
      <c r="K290" s="267">
        <f t="shared" si="165"/>
        <v>0</v>
      </c>
      <c r="L290" s="267">
        <f t="shared" si="165"/>
        <v>0</v>
      </c>
      <c r="M290" s="267">
        <f t="shared" si="165"/>
        <v>0</v>
      </c>
      <c r="N290" s="267">
        <f t="shared" si="165"/>
        <v>0</v>
      </c>
      <c r="O290" s="267">
        <f t="shared" si="165"/>
        <v>0</v>
      </c>
      <c r="P290" s="267">
        <f t="shared" si="165"/>
        <v>0</v>
      </c>
      <c r="Q290" s="267">
        <f t="shared" si="165"/>
        <v>0</v>
      </c>
      <c r="R290" s="267">
        <f t="shared" si="165"/>
        <v>0</v>
      </c>
      <c r="S290" s="267">
        <f t="shared" si="165"/>
        <v>0</v>
      </c>
      <c r="T290" s="267">
        <f t="shared" si="166"/>
        <v>0</v>
      </c>
      <c r="U290" s="267">
        <f t="shared" si="166"/>
        <v>0</v>
      </c>
      <c r="V290" s="267">
        <f t="shared" si="166"/>
        <v>0</v>
      </c>
      <c r="W290" s="267">
        <f t="shared" si="166"/>
        <v>0</v>
      </c>
      <c r="X290" s="267">
        <f t="shared" si="166"/>
        <v>0</v>
      </c>
      <c r="Y290" s="267">
        <f t="shared" si="166"/>
        <v>0</v>
      </c>
      <c r="Z290" s="267">
        <f t="shared" si="166"/>
        <v>0</v>
      </c>
      <c r="AA290" s="267">
        <f t="shared" si="166"/>
        <v>0</v>
      </c>
      <c r="AB290" s="267">
        <f t="shared" si="166"/>
        <v>0</v>
      </c>
      <c r="AC290" s="267">
        <f t="shared" si="166"/>
        <v>0</v>
      </c>
      <c r="AD290" s="267">
        <f t="shared" si="166"/>
        <v>0</v>
      </c>
      <c r="AE290" s="267">
        <f t="shared" si="166"/>
        <v>0</v>
      </c>
      <c r="AF290" s="267">
        <f t="shared" si="166"/>
        <v>0</v>
      </c>
      <c r="AG290" s="562">
        <v>0</v>
      </c>
      <c r="AI290" s="380" t="s">
        <v>777</v>
      </c>
      <c r="AJ290" s="185" t="s">
        <v>1471</v>
      </c>
    </row>
    <row r="291" spans="1:36" s="1" customFormat="1" outlineLevel="1">
      <c r="A291" t="s">
        <v>650</v>
      </c>
      <c r="B291" s="252" t="s">
        <v>126</v>
      </c>
      <c r="C291" s="246">
        <v>0.15</v>
      </c>
      <c r="D291" s="267">
        <f t="shared" si="165"/>
        <v>0.15633333333333332</v>
      </c>
      <c r="E291" s="267">
        <f t="shared" si="165"/>
        <v>0.16266666666666665</v>
      </c>
      <c r="F291" s="267">
        <f t="shared" si="165"/>
        <v>0.16899999999999998</v>
      </c>
      <c r="G291" s="267">
        <f t="shared" si="165"/>
        <v>0.17533333333333331</v>
      </c>
      <c r="H291" s="267">
        <f t="shared" si="165"/>
        <v>0.18166666666666664</v>
      </c>
      <c r="I291" s="267">
        <f t="shared" si="165"/>
        <v>0.18799999999999997</v>
      </c>
      <c r="J291" s="267">
        <f t="shared" si="165"/>
        <v>0.1943333333333333</v>
      </c>
      <c r="K291" s="267">
        <f t="shared" si="165"/>
        <v>0.20066666666666663</v>
      </c>
      <c r="L291" s="267">
        <f t="shared" si="165"/>
        <v>0.20699999999999996</v>
      </c>
      <c r="M291" s="267">
        <f t="shared" si="165"/>
        <v>0.21333333333333329</v>
      </c>
      <c r="N291" s="267">
        <f t="shared" si="165"/>
        <v>0.21966666666666662</v>
      </c>
      <c r="O291" s="267">
        <f t="shared" si="165"/>
        <v>0.22599999999999995</v>
      </c>
      <c r="P291" s="267">
        <f t="shared" si="165"/>
        <v>0.23233333333333328</v>
      </c>
      <c r="Q291" s="267">
        <f t="shared" si="165"/>
        <v>0.23866666666666661</v>
      </c>
      <c r="R291" s="267">
        <f t="shared" si="165"/>
        <v>0.24499999999999994</v>
      </c>
      <c r="S291" s="267">
        <f t="shared" si="165"/>
        <v>0.2513333333333333</v>
      </c>
      <c r="T291" s="267">
        <f t="shared" si="166"/>
        <v>0.25766666666666665</v>
      </c>
      <c r="U291" s="267">
        <f t="shared" si="166"/>
        <v>0.26400000000000001</v>
      </c>
      <c r="V291" s="267">
        <f t="shared" si="166"/>
        <v>0.27033333333333337</v>
      </c>
      <c r="W291" s="267">
        <f t="shared" si="166"/>
        <v>0.27666666666666673</v>
      </c>
      <c r="X291" s="267">
        <f t="shared" si="166"/>
        <v>0.28300000000000008</v>
      </c>
      <c r="Y291" s="267">
        <f t="shared" si="166"/>
        <v>0.28933333333333344</v>
      </c>
      <c r="Z291" s="267">
        <f t="shared" si="166"/>
        <v>0.2956666666666668</v>
      </c>
      <c r="AA291" s="267">
        <f t="shared" si="166"/>
        <v>0.30200000000000016</v>
      </c>
      <c r="AB291" s="267">
        <f t="shared" si="166"/>
        <v>0.30833333333333351</v>
      </c>
      <c r="AC291" s="267">
        <f t="shared" si="166"/>
        <v>0.31466666666666687</v>
      </c>
      <c r="AD291" s="267">
        <f t="shared" si="166"/>
        <v>0.32100000000000023</v>
      </c>
      <c r="AE291" s="267">
        <f t="shared" si="166"/>
        <v>0.32733333333333359</v>
      </c>
      <c r="AF291" s="267">
        <f t="shared" si="166"/>
        <v>0.33366666666666694</v>
      </c>
      <c r="AG291" s="246">
        <v>0.34</v>
      </c>
      <c r="AI291" s="266"/>
      <c r="AJ291" t="s">
        <v>1470</v>
      </c>
    </row>
    <row r="292" spans="1:36" s="1" customFormat="1" outlineLevel="1">
      <c r="A292" t="s">
        <v>651</v>
      </c>
      <c r="B292" s="252" t="s">
        <v>126</v>
      </c>
      <c r="C292" s="267">
        <f>1-C291</f>
        <v>0.85</v>
      </c>
      <c r="D292" s="267">
        <f t="shared" si="165"/>
        <v>0.84366666666666668</v>
      </c>
      <c r="E292" s="267">
        <f t="shared" si="165"/>
        <v>0.83733333333333337</v>
      </c>
      <c r="F292" s="267">
        <f t="shared" si="165"/>
        <v>0.83100000000000007</v>
      </c>
      <c r="G292" s="267">
        <f t="shared" si="165"/>
        <v>0.82466666666666677</v>
      </c>
      <c r="H292" s="267">
        <f t="shared" si="165"/>
        <v>0.81833333333333347</v>
      </c>
      <c r="I292" s="267">
        <f t="shared" si="165"/>
        <v>0.81200000000000017</v>
      </c>
      <c r="J292" s="267">
        <f t="shared" si="165"/>
        <v>0.80566666666666686</v>
      </c>
      <c r="K292" s="267">
        <f t="shared" si="165"/>
        <v>0.79933333333333356</v>
      </c>
      <c r="L292" s="267">
        <f t="shared" si="165"/>
        <v>0.79300000000000026</v>
      </c>
      <c r="M292" s="267">
        <f t="shared" si="165"/>
        <v>0.78666666666666696</v>
      </c>
      <c r="N292" s="267">
        <f t="shared" si="165"/>
        <v>0.78033333333333366</v>
      </c>
      <c r="O292" s="267">
        <f t="shared" si="165"/>
        <v>0.77400000000000035</v>
      </c>
      <c r="P292" s="267">
        <f t="shared" si="165"/>
        <v>0.76766666666666705</v>
      </c>
      <c r="Q292" s="267">
        <f t="shared" si="165"/>
        <v>0.76133333333333375</v>
      </c>
      <c r="R292" s="267">
        <f t="shared" si="165"/>
        <v>0.75500000000000045</v>
      </c>
      <c r="S292" s="267">
        <f t="shared" si="165"/>
        <v>0.74866666666666715</v>
      </c>
      <c r="T292" s="267">
        <f t="shared" si="166"/>
        <v>0.74233333333333384</v>
      </c>
      <c r="U292" s="267">
        <f t="shared" si="166"/>
        <v>0.73600000000000054</v>
      </c>
      <c r="V292" s="267">
        <f t="shared" si="166"/>
        <v>0.72966666666666724</v>
      </c>
      <c r="W292" s="267">
        <f t="shared" si="166"/>
        <v>0.72333333333333394</v>
      </c>
      <c r="X292" s="267">
        <f t="shared" si="166"/>
        <v>0.71700000000000064</v>
      </c>
      <c r="Y292" s="267">
        <f t="shared" si="166"/>
        <v>0.71066666666666733</v>
      </c>
      <c r="Z292" s="267">
        <f t="shared" si="166"/>
        <v>0.70433333333333403</v>
      </c>
      <c r="AA292" s="267">
        <f t="shared" si="166"/>
        <v>0.69800000000000073</v>
      </c>
      <c r="AB292" s="267">
        <f t="shared" si="166"/>
        <v>0.69166666666666743</v>
      </c>
      <c r="AC292" s="267">
        <f t="shared" si="166"/>
        <v>0.68533333333333413</v>
      </c>
      <c r="AD292" s="267">
        <f t="shared" si="166"/>
        <v>0.67900000000000083</v>
      </c>
      <c r="AE292" s="267">
        <f t="shared" si="166"/>
        <v>0.67266666666666752</v>
      </c>
      <c r="AF292" s="267">
        <f t="shared" si="166"/>
        <v>0.66633333333333422</v>
      </c>
      <c r="AG292" s="267">
        <f>1-AG291</f>
        <v>0.65999999999999992</v>
      </c>
      <c r="AI292" s="266"/>
      <c r="AJ292" t="s">
        <v>1470</v>
      </c>
    </row>
    <row r="293" spans="1:36" s="1" customFormat="1" outlineLevel="1">
      <c r="A293" t="s">
        <v>654</v>
      </c>
      <c r="B293" s="252" t="s">
        <v>126</v>
      </c>
      <c r="C293" s="246">
        <v>0</v>
      </c>
      <c r="D293" s="267">
        <f t="shared" si="165"/>
        <v>0</v>
      </c>
      <c r="E293" s="267">
        <f t="shared" si="165"/>
        <v>0</v>
      </c>
      <c r="F293" s="267">
        <f t="shared" si="165"/>
        <v>0</v>
      </c>
      <c r="G293" s="267">
        <f t="shared" si="165"/>
        <v>0</v>
      </c>
      <c r="H293" s="267">
        <f t="shared" si="165"/>
        <v>0</v>
      </c>
      <c r="I293" s="267">
        <f t="shared" si="165"/>
        <v>0</v>
      </c>
      <c r="J293" s="267">
        <f t="shared" si="165"/>
        <v>0</v>
      </c>
      <c r="K293" s="267">
        <f t="shared" si="165"/>
        <v>0</v>
      </c>
      <c r="L293" s="267">
        <f t="shared" si="165"/>
        <v>0</v>
      </c>
      <c r="M293" s="267">
        <f t="shared" si="165"/>
        <v>0</v>
      </c>
      <c r="N293" s="267">
        <f t="shared" si="165"/>
        <v>0</v>
      </c>
      <c r="O293" s="267">
        <f t="shared" si="165"/>
        <v>0</v>
      </c>
      <c r="P293" s="267">
        <f t="shared" si="165"/>
        <v>0</v>
      </c>
      <c r="Q293" s="267">
        <f t="shared" si="165"/>
        <v>0</v>
      </c>
      <c r="R293" s="267">
        <f t="shared" si="165"/>
        <v>0</v>
      </c>
      <c r="S293" s="267">
        <f t="shared" si="165"/>
        <v>0</v>
      </c>
      <c r="T293" s="267">
        <f t="shared" si="166"/>
        <v>0</v>
      </c>
      <c r="U293" s="267">
        <f t="shared" si="166"/>
        <v>0</v>
      </c>
      <c r="V293" s="267">
        <f t="shared" si="166"/>
        <v>0</v>
      </c>
      <c r="W293" s="267">
        <f t="shared" si="166"/>
        <v>0</v>
      </c>
      <c r="X293" s="267">
        <f t="shared" si="166"/>
        <v>0</v>
      </c>
      <c r="Y293" s="267">
        <f t="shared" si="166"/>
        <v>0</v>
      </c>
      <c r="Z293" s="267">
        <f t="shared" si="166"/>
        <v>0</v>
      </c>
      <c r="AA293" s="267">
        <f t="shared" si="166"/>
        <v>0</v>
      </c>
      <c r="AB293" s="267">
        <f t="shared" si="166"/>
        <v>0</v>
      </c>
      <c r="AC293" s="267">
        <f t="shared" si="166"/>
        <v>0</v>
      </c>
      <c r="AD293" s="267">
        <f t="shared" si="166"/>
        <v>0</v>
      </c>
      <c r="AE293" s="267">
        <f t="shared" si="166"/>
        <v>0</v>
      </c>
      <c r="AF293" s="267">
        <f t="shared" si="166"/>
        <v>0</v>
      </c>
      <c r="AG293" s="246">
        <v>0</v>
      </c>
      <c r="AI293" s="266"/>
      <c r="AJ293" t="s">
        <v>1470</v>
      </c>
    </row>
    <row r="294" spans="1:36" s="1" customFormat="1" outlineLevel="1">
      <c r="A294" t="s">
        <v>665</v>
      </c>
      <c r="B294" s="252" t="s">
        <v>126</v>
      </c>
      <c r="C294" s="246">
        <v>1</v>
      </c>
      <c r="D294" s="267">
        <f t="shared" si="165"/>
        <v>1</v>
      </c>
      <c r="E294" s="267">
        <f t="shared" si="165"/>
        <v>1</v>
      </c>
      <c r="F294" s="267">
        <f t="shared" si="165"/>
        <v>1</v>
      </c>
      <c r="G294" s="267">
        <f t="shared" si="165"/>
        <v>1</v>
      </c>
      <c r="H294" s="267">
        <f t="shared" si="165"/>
        <v>1</v>
      </c>
      <c r="I294" s="267">
        <f t="shared" si="165"/>
        <v>1</v>
      </c>
      <c r="J294" s="267">
        <f t="shared" si="165"/>
        <v>1</v>
      </c>
      <c r="K294" s="267">
        <f t="shared" si="165"/>
        <v>1</v>
      </c>
      <c r="L294" s="267">
        <f t="shared" si="165"/>
        <v>1</v>
      </c>
      <c r="M294" s="267">
        <f t="shared" si="165"/>
        <v>1</v>
      </c>
      <c r="N294" s="267">
        <f t="shared" si="165"/>
        <v>1</v>
      </c>
      <c r="O294" s="267">
        <f t="shared" si="165"/>
        <v>1</v>
      </c>
      <c r="P294" s="267">
        <f t="shared" si="165"/>
        <v>1</v>
      </c>
      <c r="Q294" s="267">
        <f t="shared" si="165"/>
        <v>1</v>
      </c>
      <c r="R294" s="267">
        <f t="shared" si="165"/>
        <v>1</v>
      </c>
      <c r="S294" s="267">
        <f t="shared" si="165"/>
        <v>1</v>
      </c>
      <c r="T294" s="267">
        <f t="shared" si="166"/>
        <v>1</v>
      </c>
      <c r="U294" s="267">
        <f t="shared" si="166"/>
        <v>1</v>
      </c>
      <c r="V294" s="267">
        <f t="shared" si="166"/>
        <v>1</v>
      </c>
      <c r="W294" s="267">
        <f t="shared" si="166"/>
        <v>1</v>
      </c>
      <c r="X294" s="267">
        <f t="shared" si="166"/>
        <v>1</v>
      </c>
      <c r="Y294" s="267">
        <f t="shared" si="166"/>
        <v>1</v>
      </c>
      <c r="Z294" s="267">
        <f t="shared" si="166"/>
        <v>1</v>
      </c>
      <c r="AA294" s="267">
        <f t="shared" si="166"/>
        <v>1</v>
      </c>
      <c r="AB294" s="267">
        <f t="shared" si="166"/>
        <v>1</v>
      </c>
      <c r="AC294" s="267">
        <f t="shared" si="166"/>
        <v>1</v>
      </c>
      <c r="AD294" s="267">
        <f t="shared" si="166"/>
        <v>1</v>
      </c>
      <c r="AE294" s="267">
        <f t="shared" si="166"/>
        <v>1</v>
      </c>
      <c r="AF294" s="267">
        <f t="shared" si="166"/>
        <v>1</v>
      </c>
      <c r="AG294" s="246">
        <v>1</v>
      </c>
      <c r="AI294" s="266"/>
      <c r="AJ294" t="s">
        <v>1470</v>
      </c>
    </row>
    <row r="295" spans="1:36" s="1" customFormat="1" outlineLevel="1">
      <c r="A295" t="s">
        <v>652</v>
      </c>
      <c r="B295" s="252" t="s">
        <v>126</v>
      </c>
      <c r="C295" s="246">
        <v>0.8</v>
      </c>
      <c r="D295" s="267">
        <f t="shared" si="165"/>
        <v>0.80333333333333334</v>
      </c>
      <c r="E295" s="267">
        <f t="shared" si="165"/>
        <v>0.80666666666666664</v>
      </c>
      <c r="F295" s="267">
        <f t="shared" si="165"/>
        <v>0.80999999999999994</v>
      </c>
      <c r="G295" s="267">
        <f t="shared" si="165"/>
        <v>0.81333333333333324</v>
      </c>
      <c r="H295" s="267">
        <f t="shared" si="165"/>
        <v>0.81666666666666654</v>
      </c>
      <c r="I295" s="267">
        <f t="shared" si="165"/>
        <v>0.81999999999999984</v>
      </c>
      <c r="J295" s="267">
        <f t="shared" si="165"/>
        <v>0.82333333333333314</v>
      </c>
      <c r="K295" s="267">
        <f t="shared" si="165"/>
        <v>0.82666666666666644</v>
      </c>
      <c r="L295" s="267">
        <f t="shared" si="165"/>
        <v>0.82999999999999974</v>
      </c>
      <c r="M295" s="267">
        <f t="shared" si="165"/>
        <v>0.83333333333333304</v>
      </c>
      <c r="N295" s="267">
        <f t="shared" si="165"/>
        <v>0.83666666666666634</v>
      </c>
      <c r="O295" s="267">
        <f t="shared" si="165"/>
        <v>0.83999999999999964</v>
      </c>
      <c r="P295" s="267">
        <f t="shared" si="165"/>
        <v>0.84333333333333294</v>
      </c>
      <c r="Q295" s="267">
        <f t="shared" si="165"/>
        <v>0.84666666666666623</v>
      </c>
      <c r="R295" s="267">
        <f t="shared" si="165"/>
        <v>0.84999999999999953</v>
      </c>
      <c r="S295" s="267">
        <f t="shared" si="165"/>
        <v>0.85333333333333283</v>
      </c>
      <c r="T295" s="267">
        <f t="shared" si="166"/>
        <v>0.85666666666666613</v>
      </c>
      <c r="U295" s="267">
        <f t="shared" si="166"/>
        <v>0.85999999999999943</v>
      </c>
      <c r="V295" s="267">
        <f t="shared" si="166"/>
        <v>0.86333333333333273</v>
      </c>
      <c r="W295" s="267">
        <f t="shared" si="166"/>
        <v>0.86666666666666603</v>
      </c>
      <c r="X295" s="267">
        <f t="shared" si="166"/>
        <v>0.86999999999999933</v>
      </c>
      <c r="Y295" s="267">
        <f t="shared" si="166"/>
        <v>0.87333333333333263</v>
      </c>
      <c r="Z295" s="267">
        <f t="shared" si="166"/>
        <v>0.87666666666666593</v>
      </c>
      <c r="AA295" s="267">
        <f t="shared" si="166"/>
        <v>0.87999999999999923</v>
      </c>
      <c r="AB295" s="267">
        <f t="shared" si="166"/>
        <v>0.88333333333333253</v>
      </c>
      <c r="AC295" s="267">
        <f t="shared" si="166"/>
        <v>0.88666666666666583</v>
      </c>
      <c r="AD295" s="267">
        <f t="shared" si="166"/>
        <v>0.88999999999999913</v>
      </c>
      <c r="AE295" s="267">
        <f t="shared" si="166"/>
        <v>0.89333333333333242</v>
      </c>
      <c r="AF295" s="267">
        <f t="shared" si="166"/>
        <v>0.89666666666666572</v>
      </c>
      <c r="AG295" s="246">
        <v>0.9</v>
      </c>
      <c r="AI295" s="266"/>
      <c r="AJ295" t="s">
        <v>1470</v>
      </c>
    </row>
    <row r="296" spans="1:36" s="1" customFormat="1" outlineLevel="1">
      <c r="A296" t="s">
        <v>653</v>
      </c>
      <c r="B296" s="252" t="s">
        <v>126</v>
      </c>
      <c r="C296" s="246">
        <v>0.2</v>
      </c>
      <c r="D296" s="267">
        <f t="shared" si="165"/>
        <v>0.19666666666666668</v>
      </c>
      <c r="E296" s="267">
        <f t="shared" si="165"/>
        <v>0.19333333333333336</v>
      </c>
      <c r="F296" s="267">
        <f t="shared" si="165"/>
        <v>0.19000000000000003</v>
      </c>
      <c r="G296" s="267">
        <f t="shared" si="165"/>
        <v>0.1866666666666667</v>
      </c>
      <c r="H296" s="267">
        <f t="shared" si="165"/>
        <v>0.18333333333333338</v>
      </c>
      <c r="I296" s="267">
        <f t="shared" si="165"/>
        <v>0.18000000000000005</v>
      </c>
      <c r="J296" s="267">
        <f t="shared" si="165"/>
        <v>0.17666666666666672</v>
      </c>
      <c r="K296" s="267">
        <f t="shared" si="165"/>
        <v>0.17333333333333339</v>
      </c>
      <c r="L296" s="267">
        <f t="shared" si="165"/>
        <v>0.17000000000000007</v>
      </c>
      <c r="M296" s="267">
        <f t="shared" si="165"/>
        <v>0.16666666666666674</v>
      </c>
      <c r="N296" s="267">
        <f t="shared" si="165"/>
        <v>0.16333333333333341</v>
      </c>
      <c r="O296" s="267">
        <f t="shared" si="165"/>
        <v>0.16000000000000009</v>
      </c>
      <c r="P296" s="267">
        <f t="shared" si="165"/>
        <v>0.15666666666666676</v>
      </c>
      <c r="Q296" s="267">
        <f t="shared" si="165"/>
        <v>0.15333333333333343</v>
      </c>
      <c r="R296" s="267">
        <f t="shared" si="165"/>
        <v>0.15000000000000011</v>
      </c>
      <c r="S296" s="267">
        <f t="shared" si="165"/>
        <v>0.14666666666666678</v>
      </c>
      <c r="T296" s="267">
        <f t="shared" si="166"/>
        <v>0.14333333333333345</v>
      </c>
      <c r="U296" s="267">
        <f t="shared" si="166"/>
        <v>0.14000000000000012</v>
      </c>
      <c r="V296" s="267">
        <f t="shared" si="166"/>
        <v>0.1366666666666668</v>
      </c>
      <c r="W296" s="267">
        <f t="shared" si="166"/>
        <v>0.13333333333333347</v>
      </c>
      <c r="X296" s="267">
        <f t="shared" si="166"/>
        <v>0.13000000000000014</v>
      </c>
      <c r="Y296" s="267">
        <f t="shared" si="166"/>
        <v>0.12666666666666682</v>
      </c>
      <c r="Z296" s="267">
        <f t="shared" si="166"/>
        <v>0.12333333333333349</v>
      </c>
      <c r="AA296" s="267">
        <f t="shared" si="166"/>
        <v>0.12000000000000016</v>
      </c>
      <c r="AB296" s="267">
        <f t="shared" si="166"/>
        <v>0.11666666666666684</v>
      </c>
      <c r="AC296" s="267">
        <f t="shared" si="166"/>
        <v>0.11333333333333351</v>
      </c>
      <c r="AD296" s="267">
        <f t="shared" si="166"/>
        <v>0.11000000000000018</v>
      </c>
      <c r="AE296" s="267">
        <f t="shared" si="166"/>
        <v>0.10666666666666685</v>
      </c>
      <c r="AF296" s="267">
        <f t="shared" si="166"/>
        <v>0.10333333333333353</v>
      </c>
      <c r="AG296" s="246">
        <v>0.1</v>
      </c>
      <c r="AI296" s="266"/>
      <c r="AJ296" t="s">
        <v>1470</v>
      </c>
    </row>
    <row r="297" spans="1:36" s="1" customFormat="1" outlineLevel="1">
      <c r="A297" t="s">
        <v>663</v>
      </c>
      <c r="B297" s="252" t="s">
        <v>126</v>
      </c>
      <c r="C297" s="246">
        <v>0.95</v>
      </c>
      <c r="D297" s="267">
        <f t="shared" si="165"/>
        <v>0.94866666666666666</v>
      </c>
      <c r="E297" s="267">
        <f t="shared" si="165"/>
        <v>0.94733333333333336</v>
      </c>
      <c r="F297" s="267">
        <f t="shared" si="165"/>
        <v>0.94600000000000006</v>
      </c>
      <c r="G297" s="267">
        <f t="shared" si="165"/>
        <v>0.94466666666666677</v>
      </c>
      <c r="H297" s="267">
        <f t="shared" si="165"/>
        <v>0.94333333333333347</v>
      </c>
      <c r="I297" s="267">
        <f t="shared" si="165"/>
        <v>0.94200000000000017</v>
      </c>
      <c r="J297" s="267">
        <f t="shared" si="165"/>
        <v>0.94066666666666687</v>
      </c>
      <c r="K297" s="267">
        <f t="shared" si="165"/>
        <v>0.93933333333333358</v>
      </c>
      <c r="L297" s="267">
        <f t="shared" si="165"/>
        <v>0.93800000000000028</v>
      </c>
      <c r="M297" s="267">
        <f t="shared" si="165"/>
        <v>0.93666666666666698</v>
      </c>
      <c r="N297" s="267">
        <f t="shared" si="165"/>
        <v>0.93533333333333368</v>
      </c>
      <c r="O297" s="267">
        <f t="shared" si="165"/>
        <v>0.93400000000000039</v>
      </c>
      <c r="P297" s="267">
        <f t="shared" si="165"/>
        <v>0.93266666666666709</v>
      </c>
      <c r="Q297" s="267">
        <f t="shared" si="165"/>
        <v>0.93133333333333379</v>
      </c>
      <c r="R297" s="267">
        <f t="shared" si="165"/>
        <v>0.93000000000000049</v>
      </c>
      <c r="S297" s="267">
        <f t="shared" si="165"/>
        <v>0.9286666666666672</v>
      </c>
      <c r="T297" s="267">
        <f t="shared" si="166"/>
        <v>0.9273333333333339</v>
      </c>
      <c r="U297" s="267">
        <f t="shared" si="166"/>
        <v>0.9260000000000006</v>
      </c>
      <c r="V297" s="267">
        <f t="shared" si="166"/>
        <v>0.9246666666666673</v>
      </c>
      <c r="W297" s="267">
        <f t="shared" si="166"/>
        <v>0.92333333333333401</v>
      </c>
      <c r="X297" s="267">
        <f t="shared" si="166"/>
        <v>0.92200000000000071</v>
      </c>
      <c r="Y297" s="267">
        <f t="shared" si="166"/>
        <v>0.92066666666666741</v>
      </c>
      <c r="Z297" s="267">
        <f t="shared" si="166"/>
        <v>0.91933333333333411</v>
      </c>
      <c r="AA297" s="267">
        <f t="shared" si="166"/>
        <v>0.91800000000000082</v>
      </c>
      <c r="AB297" s="267">
        <f t="shared" si="166"/>
        <v>0.91666666666666752</v>
      </c>
      <c r="AC297" s="267">
        <f t="shared" si="166"/>
        <v>0.91533333333333422</v>
      </c>
      <c r="AD297" s="267">
        <f t="shared" si="166"/>
        <v>0.91400000000000092</v>
      </c>
      <c r="AE297" s="267">
        <f t="shared" si="166"/>
        <v>0.91266666666666763</v>
      </c>
      <c r="AF297" s="267">
        <f t="shared" si="166"/>
        <v>0.91133333333333433</v>
      </c>
      <c r="AG297" s="246">
        <v>0.91</v>
      </c>
      <c r="AI297" s="266"/>
      <c r="AJ297" t="s">
        <v>1470</v>
      </c>
    </row>
    <row r="298" spans="1:36" s="1" customFormat="1" outlineLevel="1">
      <c r="A298" t="s">
        <v>664</v>
      </c>
      <c r="B298" s="252" t="s">
        <v>126</v>
      </c>
      <c r="C298" s="246">
        <v>0.05</v>
      </c>
      <c r="D298" s="267">
        <f t="shared" si="165"/>
        <v>5.1333333333333335E-2</v>
      </c>
      <c r="E298" s="267">
        <f t="shared" si="165"/>
        <v>5.2666666666666667E-2</v>
      </c>
      <c r="F298" s="267">
        <f t="shared" si="165"/>
        <v>5.3999999999999999E-2</v>
      </c>
      <c r="G298" s="267">
        <f t="shared" si="165"/>
        <v>5.5333333333333332E-2</v>
      </c>
      <c r="H298" s="267">
        <f t="shared" si="165"/>
        <v>5.6666666666666664E-2</v>
      </c>
      <c r="I298" s="267">
        <f t="shared" si="165"/>
        <v>5.7999999999999996E-2</v>
      </c>
      <c r="J298" s="267">
        <f t="shared" si="165"/>
        <v>5.9333333333333328E-2</v>
      </c>
      <c r="K298" s="267">
        <f t="shared" si="165"/>
        <v>6.066666666666666E-2</v>
      </c>
      <c r="L298" s="267">
        <f t="shared" si="165"/>
        <v>6.1999999999999993E-2</v>
      </c>
      <c r="M298" s="267">
        <f t="shared" si="165"/>
        <v>6.3333333333333325E-2</v>
      </c>
      <c r="N298" s="267">
        <f t="shared" si="165"/>
        <v>6.4666666666666664E-2</v>
      </c>
      <c r="O298" s="267">
        <f t="shared" si="165"/>
        <v>6.6000000000000003E-2</v>
      </c>
      <c r="P298" s="267">
        <f t="shared" si="165"/>
        <v>6.7333333333333342E-2</v>
      </c>
      <c r="Q298" s="267">
        <f t="shared" si="165"/>
        <v>6.8666666666666681E-2</v>
      </c>
      <c r="R298" s="267">
        <f t="shared" si="165"/>
        <v>7.0000000000000021E-2</v>
      </c>
      <c r="S298" s="267">
        <f t="shared" si="165"/>
        <v>7.133333333333336E-2</v>
      </c>
      <c r="T298" s="267">
        <f t="shared" si="166"/>
        <v>7.2666666666666699E-2</v>
      </c>
      <c r="U298" s="267">
        <f t="shared" si="166"/>
        <v>7.4000000000000038E-2</v>
      </c>
      <c r="V298" s="267">
        <f t="shared" si="166"/>
        <v>7.5333333333333377E-2</v>
      </c>
      <c r="W298" s="267">
        <f t="shared" si="166"/>
        <v>7.6666666666666716E-2</v>
      </c>
      <c r="X298" s="267">
        <f t="shared" si="166"/>
        <v>7.8000000000000055E-2</v>
      </c>
      <c r="Y298" s="267">
        <f t="shared" si="166"/>
        <v>7.9333333333333395E-2</v>
      </c>
      <c r="Z298" s="267">
        <f t="shared" si="166"/>
        <v>8.0666666666666734E-2</v>
      </c>
      <c r="AA298" s="267">
        <f t="shared" si="166"/>
        <v>8.2000000000000073E-2</v>
      </c>
      <c r="AB298" s="267">
        <f t="shared" si="166"/>
        <v>8.3333333333333412E-2</v>
      </c>
      <c r="AC298" s="267">
        <f t="shared" si="166"/>
        <v>8.4666666666666751E-2</v>
      </c>
      <c r="AD298" s="267">
        <f t="shared" si="166"/>
        <v>8.600000000000009E-2</v>
      </c>
      <c r="AE298" s="267">
        <f t="shared" si="166"/>
        <v>8.7333333333333429E-2</v>
      </c>
      <c r="AF298" s="267">
        <f t="shared" si="166"/>
        <v>8.8666666666666769E-2</v>
      </c>
      <c r="AG298" s="246">
        <v>0.09</v>
      </c>
      <c r="AI298" s="266"/>
      <c r="AJ298" t="s">
        <v>1470</v>
      </c>
    </row>
    <row r="299" spans="1:36" s="1" customFormat="1" outlineLevel="1">
      <c r="A299" t="s">
        <v>666</v>
      </c>
      <c r="B299" s="252"/>
      <c r="C299" s="246">
        <v>0.27</v>
      </c>
      <c r="D299" s="267">
        <f t="shared" si="165"/>
        <v>0.26600000000000001</v>
      </c>
      <c r="E299" s="267">
        <f t="shared" si="165"/>
        <v>0.26200000000000001</v>
      </c>
      <c r="F299" s="267">
        <f t="shared" si="165"/>
        <v>0.25800000000000001</v>
      </c>
      <c r="G299" s="267">
        <f t="shared" si="165"/>
        <v>0.254</v>
      </c>
      <c r="H299" s="267">
        <f t="shared" si="165"/>
        <v>0.25</v>
      </c>
      <c r="I299" s="267">
        <f t="shared" si="165"/>
        <v>0.246</v>
      </c>
      <c r="J299" s="267">
        <f t="shared" si="165"/>
        <v>0.24199999999999999</v>
      </c>
      <c r="K299" s="267">
        <f t="shared" si="165"/>
        <v>0.23799999999999999</v>
      </c>
      <c r="L299" s="267">
        <f t="shared" si="165"/>
        <v>0.23399999999999999</v>
      </c>
      <c r="M299" s="267">
        <f t="shared" si="165"/>
        <v>0.22999999999999998</v>
      </c>
      <c r="N299" s="267">
        <f t="shared" si="165"/>
        <v>0.22599999999999998</v>
      </c>
      <c r="O299" s="267">
        <f t="shared" si="165"/>
        <v>0.22199999999999998</v>
      </c>
      <c r="P299" s="267">
        <f t="shared" si="165"/>
        <v>0.21799999999999997</v>
      </c>
      <c r="Q299" s="267">
        <f t="shared" si="165"/>
        <v>0.21399999999999997</v>
      </c>
      <c r="R299" s="267">
        <f t="shared" si="165"/>
        <v>0.20999999999999996</v>
      </c>
      <c r="S299" s="267">
        <f t="shared" si="165"/>
        <v>0.20599999999999996</v>
      </c>
      <c r="T299" s="267">
        <f t="shared" si="166"/>
        <v>0.20199999999999996</v>
      </c>
      <c r="U299" s="267">
        <f t="shared" si="166"/>
        <v>0.19799999999999995</v>
      </c>
      <c r="V299" s="267">
        <f t="shared" si="166"/>
        <v>0.19399999999999995</v>
      </c>
      <c r="W299" s="267">
        <f t="shared" si="166"/>
        <v>0.18999999999999995</v>
      </c>
      <c r="X299" s="267">
        <f t="shared" si="166"/>
        <v>0.18599999999999994</v>
      </c>
      <c r="Y299" s="267">
        <f t="shared" si="166"/>
        <v>0.18199999999999994</v>
      </c>
      <c r="Z299" s="267">
        <f t="shared" si="166"/>
        <v>0.17799999999999994</v>
      </c>
      <c r="AA299" s="267">
        <f t="shared" si="166"/>
        <v>0.17399999999999993</v>
      </c>
      <c r="AB299" s="267">
        <f t="shared" si="166"/>
        <v>0.16999999999999993</v>
      </c>
      <c r="AC299" s="267">
        <f t="shared" si="166"/>
        <v>0.16599999999999993</v>
      </c>
      <c r="AD299" s="267">
        <f t="shared" si="166"/>
        <v>0.16199999999999992</v>
      </c>
      <c r="AE299" s="267">
        <f t="shared" si="166"/>
        <v>0.15799999999999992</v>
      </c>
      <c r="AF299" s="267">
        <f t="shared" si="166"/>
        <v>0.15399999999999991</v>
      </c>
      <c r="AG299" s="246">
        <v>0.15</v>
      </c>
      <c r="AI299" s="266"/>
      <c r="AJ299" t="s">
        <v>1470</v>
      </c>
    </row>
    <row r="300" spans="1:36" s="61" customFormat="1" outlineLevel="1">
      <c r="A300" s="294" t="s">
        <v>657</v>
      </c>
      <c r="B300" s="258" t="s">
        <v>126</v>
      </c>
      <c r="C300" s="255">
        <f>1-SUM(C301:C305)</f>
        <v>0.97</v>
      </c>
      <c r="D300" s="287">
        <f t="shared" ref="D300:S301" si="167">-($C300-$AG300)/30+C300</f>
        <v>0.97033333333333327</v>
      </c>
      <c r="E300" s="287">
        <f t="shared" si="167"/>
        <v>0.97066666666666657</v>
      </c>
      <c r="F300" s="287">
        <f t="shared" si="167"/>
        <v>0.97099999999999986</v>
      </c>
      <c r="G300" s="287">
        <f t="shared" si="167"/>
        <v>0.97133333333333316</v>
      </c>
      <c r="H300" s="287">
        <f t="shared" si="167"/>
        <v>0.97166666666666646</v>
      </c>
      <c r="I300" s="287">
        <f t="shared" si="167"/>
        <v>0.97199999999999975</v>
      </c>
      <c r="J300" s="287">
        <f t="shared" si="167"/>
        <v>0.97233333333333305</v>
      </c>
      <c r="K300" s="287">
        <f t="shared" si="167"/>
        <v>0.97266666666666635</v>
      </c>
      <c r="L300" s="287">
        <f t="shared" si="167"/>
        <v>0.97299999999999964</v>
      </c>
      <c r="M300" s="287">
        <f t="shared" si="167"/>
        <v>0.97333333333333294</v>
      </c>
      <c r="N300" s="287">
        <f t="shared" si="167"/>
        <v>0.97366666666666624</v>
      </c>
      <c r="O300" s="287">
        <f t="shared" si="167"/>
        <v>0.97399999999999953</v>
      </c>
      <c r="P300" s="287">
        <f t="shared" si="167"/>
        <v>0.97433333333333283</v>
      </c>
      <c r="Q300" s="287">
        <f t="shared" si="167"/>
        <v>0.97466666666666613</v>
      </c>
      <c r="R300" s="287">
        <f t="shared" si="167"/>
        <v>0.97499999999999942</v>
      </c>
      <c r="S300" s="287">
        <f t="shared" si="167"/>
        <v>0.97533333333333272</v>
      </c>
      <c r="T300" s="287">
        <f t="shared" si="166"/>
        <v>0.97566666666666602</v>
      </c>
      <c r="U300" s="287">
        <f t="shared" si="166"/>
        <v>0.97599999999999931</v>
      </c>
      <c r="V300" s="287">
        <f t="shared" si="166"/>
        <v>0.97633333333333261</v>
      </c>
      <c r="W300" s="287">
        <f t="shared" si="166"/>
        <v>0.97666666666666591</v>
      </c>
      <c r="X300" s="287">
        <f t="shared" si="166"/>
        <v>0.9769999999999992</v>
      </c>
      <c r="Y300" s="287">
        <f t="shared" si="166"/>
        <v>0.9773333333333325</v>
      </c>
      <c r="Z300" s="287">
        <f t="shared" si="166"/>
        <v>0.9776666666666658</v>
      </c>
      <c r="AA300" s="287">
        <f t="shared" si="166"/>
        <v>0.97799999999999909</v>
      </c>
      <c r="AB300" s="287">
        <f t="shared" si="166"/>
        <v>0.97833333333333239</v>
      </c>
      <c r="AC300" s="287">
        <f t="shared" si="166"/>
        <v>0.97866666666666569</v>
      </c>
      <c r="AD300" s="287">
        <f t="shared" si="166"/>
        <v>0.97899999999999898</v>
      </c>
      <c r="AE300" s="287">
        <f t="shared" si="166"/>
        <v>0.97933333333333228</v>
      </c>
      <c r="AF300" s="287">
        <f t="shared" si="166"/>
        <v>0.97966666666666558</v>
      </c>
      <c r="AG300" s="255">
        <f>1-SUM(AG301:AG305)</f>
        <v>0.98</v>
      </c>
      <c r="AH300"/>
      <c r="AI300" s="188"/>
      <c r="AJ300" t="s">
        <v>1470</v>
      </c>
    </row>
    <row r="301" spans="1:36" outlineLevel="1">
      <c r="A301" s="295" t="s">
        <v>658</v>
      </c>
      <c r="B301" s="252" t="s">
        <v>126</v>
      </c>
      <c r="C301" s="266">
        <v>0.01</v>
      </c>
      <c r="D301" s="267">
        <f t="shared" si="167"/>
        <v>0.01</v>
      </c>
      <c r="E301" s="267">
        <f t="shared" si="167"/>
        <v>0.01</v>
      </c>
      <c r="F301" s="267">
        <f t="shared" si="167"/>
        <v>0.01</v>
      </c>
      <c r="G301" s="267">
        <f t="shared" si="167"/>
        <v>0.01</v>
      </c>
      <c r="H301" s="267">
        <f t="shared" si="167"/>
        <v>0.01</v>
      </c>
      <c r="I301" s="267">
        <f t="shared" si="167"/>
        <v>0.01</v>
      </c>
      <c r="J301" s="267">
        <f t="shared" si="167"/>
        <v>0.01</v>
      </c>
      <c r="K301" s="267">
        <f t="shared" si="167"/>
        <v>0.01</v>
      </c>
      <c r="L301" s="267">
        <f t="shared" si="167"/>
        <v>0.01</v>
      </c>
      <c r="M301" s="267">
        <f t="shared" si="167"/>
        <v>0.01</v>
      </c>
      <c r="N301" s="267">
        <f t="shared" si="167"/>
        <v>0.01</v>
      </c>
      <c r="O301" s="267">
        <f t="shared" si="167"/>
        <v>0.01</v>
      </c>
      <c r="P301" s="267">
        <f t="shared" si="167"/>
        <v>0.01</v>
      </c>
      <c r="Q301" s="267">
        <f t="shared" si="167"/>
        <v>0.01</v>
      </c>
      <c r="R301" s="267">
        <f t="shared" si="167"/>
        <v>0.01</v>
      </c>
      <c r="S301" s="267">
        <f t="shared" si="167"/>
        <v>0.01</v>
      </c>
      <c r="T301" s="267">
        <f t="shared" si="166"/>
        <v>0.01</v>
      </c>
      <c r="U301" s="267">
        <f t="shared" si="166"/>
        <v>0.01</v>
      </c>
      <c r="V301" s="267">
        <f t="shared" si="166"/>
        <v>0.01</v>
      </c>
      <c r="W301" s="267">
        <f t="shared" si="166"/>
        <v>0.01</v>
      </c>
      <c r="X301" s="267">
        <f t="shared" si="166"/>
        <v>0.01</v>
      </c>
      <c r="Y301" s="267">
        <f t="shared" si="166"/>
        <v>0.01</v>
      </c>
      <c r="Z301" s="267">
        <f t="shared" si="166"/>
        <v>0.01</v>
      </c>
      <c r="AA301" s="267">
        <f t="shared" si="166"/>
        <v>0.01</v>
      </c>
      <c r="AB301" s="267">
        <f t="shared" si="166"/>
        <v>0.01</v>
      </c>
      <c r="AC301" s="267">
        <f t="shared" si="166"/>
        <v>0.01</v>
      </c>
      <c r="AD301" s="267">
        <f t="shared" si="166"/>
        <v>0.01</v>
      </c>
      <c r="AE301" s="267">
        <f t="shared" si="166"/>
        <v>0.01</v>
      </c>
      <c r="AF301" s="267">
        <f t="shared" si="166"/>
        <v>0.01</v>
      </c>
      <c r="AG301" s="266">
        <v>0.01</v>
      </c>
      <c r="AI301" s="188"/>
      <c r="AJ301" s="271" t="s">
        <v>1469</v>
      </c>
    </row>
    <row r="302" spans="1:36" outlineLevel="1">
      <c r="A302" s="295" t="s">
        <v>659</v>
      </c>
      <c r="B302" s="252" t="s">
        <v>126</v>
      </c>
      <c r="C302" s="562">
        <v>0</v>
      </c>
      <c r="D302" s="267">
        <f t="shared" si="165"/>
        <v>0</v>
      </c>
      <c r="E302" s="267">
        <f t="shared" si="165"/>
        <v>0</v>
      </c>
      <c r="F302" s="267">
        <f t="shared" si="165"/>
        <v>0</v>
      </c>
      <c r="G302" s="267">
        <f t="shared" si="165"/>
        <v>0</v>
      </c>
      <c r="H302" s="267">
        <f t="shared" si="165"/>
        <v>0</v>
      </c>
      <c r="I302" s="267">
        <f t="shared" si="165"/>
        <v>0</v>
      </c>
      <c r="J302" s="267">
        <f t="shared" si="165"/>
        <v>0</v>
      </c>
      <c r="K302" s="267">
        <f t="shared" si="165"/>
        <v>0</v>
      </c>
      <c r="L302" s="267">
        <f t="shared" si="165"/>
        <v>0</v>
      </c>
      <c r="M302" s="267">
        <f t="shared" si="165"/>
        <v>0</v>
      </c>
      <c r="N302" s="267">
        <f t="shared" si="165"/>
        <v>0</v>
      </c>
      <c r="O302" s="267">
        <f t="shared" si="165"/>
        <v>0</v>
      </c>
      <c r="P302" s="267">
        <f t="shared" si="165"/>
        <v>0</v>
      </c>
      <c r="Q302" s="267">
        <f t="shared" si="165"/>
        <v>0</v>
      </c>
      <c r="R302" s="267">
        <f t="shared" si="165"/>
        <v>0</v>
      </c>
      <c r="S302" s="267">
        <f t="shared" si="165"/>
        <v>0</v>
      </c>
      <c r="T302" s="267">
        <f t="shared" si="166"/>
        <v>0</v>
      </c>
      <c r="U302" s="267">
        <f t="shared" si="166"/>
        <v>0</v>
      </c>
      <c r="V302" s="267">
        <f t="shared" si="166"/>
        <v>0</v>
      </c>
      <c r="W302" s="267">
        <f t="shared" si="166"/>
        <v>0</v>
      </c>
      <c r="X302" s="267">
        <f t="shared" si="166"/>
        <v>0</v>
      </c>
      <c r="Y302" s="267">
        <f t="shared" si="166"/>
        <v>0</v>
      </c>
      <c r="Z302" s="267">
        <f t="shared" si="166"/>
        <v>0</v>
      </c>
      <c r="AA302" s="267">
        <f t="shared" si="166"/>
        <v>0</v>
      </c>
      <c r="AB302" s="267">
        <f t="shared" si="166"/>
        <v>0</v>
      </c>
      <c r="AC302" s="267">
        <f t="shared" si="166"/>
        <v>0</v>
      </c>
      <c r="AD302" s="267">
        <f t="shared" si="166"/>
        <v>0</v>
      </c>
      <c r="AE302" s="267">
        <f t="shared" si="166"/>
        <v>0</v>
      </c>
      <c r="AF302" s="267">
        <f t="shared" si="166"/>
        <v>0</v>
      </c>
      <c r="AG302" s="562">
        <v>0</v>
      </c>
      <c r="AI302" s="246"/>
      <c r="AJ302" t="s">
        <v>1470</v>
      </c>
    </row>
    <row r="303" spans="1:36" outlineLevel="1">
      <c r="A303" s="295" t="s">
        <v>660</v>
      </c>
      <c r="B303" s="252" t="s">
        <v>126</v>
      </c>
      <c r="C303" s="562">
        <v>0</v>
      </c>
      <c r="D303" s="267">
        <f t="shared" si="165"/>
        <v>0</v>
      </c>
      <c r="E303" s="267">
        <f t="shared" si="165"/>
        <v>0</v>
      </c>
      <c r="F303" s="267">
        <f t="shared" si="165"/>
        <v>0</v>
      </c>
      <c r="G303" s="267">
        <f t="shared" si="165"/>
        <v>0</v>
      </c>
      <c r="H303" s="267">
        <f t="shared" si="165"/>
        <v>0</v>
      </c>
      <c r="I303" s="267">
        <f t="shared" si="165"/>
        <v>0</v>
      </c>
      <c r="J303" s="267">
        <f t="shared" si="165"/>
        <v>0</v>
      </c>
      <c r="K303" s="267">
        <f t="shared" si="165"/>
        <v>0</v>
      </c>
      <c r="L303" s="267">
        <f t="shared" si="165"/>
        <v>0</v>
      </c>
      <c r="M303" s="267">
        <f t="shared" si="165"/>
        <v>0</v>
      </c>
      <c r="N303" s="267">
        <f t="shared" si="165"/>
        <v>0</v>
      </c>
      <c r="O303" s="267">
        <f t="shared" si="165"/>
        <v>0</v>
      </c>
      <c r="P303" s="267">
        <f t="shared" si="165"/>
        <v>0</v>
      </c>
      <c r="Q303" s="267">
        <f t="shared" si="165"/>
        <v>0</v>
      </c>
      <c r="R303" s="267">
        <f t="shared" si="165"/>
        <v>0</v>
      </c>
      <c r="S303" s="267">
        <f t="shared" si="165"/>
        <v>0</v>
      </c>
      <c r="T303" s="267">
        <f t="shared" si="166"/>
        <v>0</v>
      </c>
      <c r="U303" s="267">
        <f t="shared" si="166"/>
        <v>0</v>
      </c>
      <c r="V303" s="267">
        <f t="shared" si="166"/>
        <v>0</v>
      </c>
      <c r="W303" s="267">
        <f t="shared" si="166"/>
        <v>0</v>
      </c>
      <c r="X303" s="267">
        <f t="shared" si="166"/>
        <v>0</v>
      </c>
      <c r="Y303" s="267">
        <f t="shared" si="166"/>
        <v>0</v>
      </c>
      <c r="Z303" s="267">
        <f t="shared" si="166"/>
        <v>0</v>
      </c>
      <c r="AA303" s="267">
        <f t="shared" si="166"/>
        <v>0</v>
      </c>
      <c r="AB303" s="267">
        <f t="shared" si="166"/>
        <v>0</v>
      </c>
      <c r="AC303" s="267">
        <f t="shared" si="166"/>
        <v>0</v>
      </c>
      <c r="AD303" s="267">
        <f t="shared" si="166"/>
        <v>0</v>
      </c>
      <c r="AE303" s="267">
        <f t="shared" si="166"/>
        <v>0</v>
      </c>
      <c r="AF303" s="267">
        <f t="shared" si="166"/>
        <v>0</v>
      </c>
      <c r="AG303" s="562">
        <v>0</v>
      </c>
      <c r="AI303" s="246"/>
      <c r="AJ303" t="s">
        <v>1470</v>
      </c>
    </row>
    <row r="304" spans="1:36" outlineLevel="1">
      <c r="A304" s="295" t="s">
        <v>661</v>
      </c>
      <c r="B304" s="252" t="s">
        <v>126</v>
      </c>
      <c r="C304" s="562">
        <v>1.4999999999999999E-2</v>
      </c>
      <c r="D304" s="267">
        <f t="shared" si="165"/>
        <v>1.4733333333333333E-2</v>
      </c>
      <c r="E304" s="267">
        <f t="shared" si="165"/>
        <v>1.4466666666666666E-2</v>
      </c>
      <c r="F304" s="267">
        <f t="shared" si="165"/>
        <v>1.4199999999999999E-2</v>
      </c>
      <c r="G304" s="267">
        <f t="shared" si="165"/>
        <v>1.3933333333333332E-2</v>
      </c>
      <c r="H304" s="267">
        <f t="shared" si="165"/>
        <v>1.3666666666666666E-2</v>
      </c>
      <c r="I304" s="267">
        <f t="shared" si="165"/>
        <v>1.3399999999999999E-2</v>
      </c>
      <c r="J304" s="267">
        <f t="shared" si="165"/>
        <v>1.3133333333333332E-2</v>
      </c>
      <c r="K304" s="267">
        <f t="shared" si="165"/>
        <v>1.2866666666666665E-2</v>
      </c>
      <c r="L304" s="267">
        <f t="shared" si="165"/>
        <v>1.2599999999999998E-2</v>
      </c>
      <c r="M304" s="267">
        <f t="shared" si="165"/>
        <v>1.2333333333333332E-2</v>
      </c>
      <c r="N304" s="267">
        <f t="shared" si="165"/>
        <v>1.2066666666666665E-2</v>
      </c>
      <c r="O304" s="267">
        <f t="shared" si="165"/>
        <v>1.1799999999999998E-2</v>
      </c>
      <c r="P304" s="267">
        <f t="shared" si="165"/>
        <v>1.1533333333333331E-2</v>
      </c>
      <c r="Q304" s="267">
        <f t="shared" si="165"/>
        <v>1.1266666666666664E-2</v>
      </c>
      <c r="R304" s="267">
        <f t="shared" si="165"/>
        <v>1.0999999999999998E-2</v>
      </c>
      <c r="S304" s="267">
        <f t="shared" ref="S304:AF304" si="168">-($C304-$AG304)/30+R304</f>
        <v>1.0733333333333331E-2</v>
      </c>
      <c r="T304" s="267">
        <f t="shared" si="168"/>
        <v>1.0466666666666664E-2</v>
      </c>
      <c r="U304" s="267">
        <f t="shared" si="168"/>
        <v>1.0199999999999997E-2</v>
      </c>
      <c r="V304" s="267">
        <f t="shared" si="168"/>
        <v>9.9333333333333305E-3</v>
      </c>
      <c r="W304" s="267">
        <f t="shared" si="168"/>
        <v>9.6666666666666637E-3</v>
      </c>
      <c r="X304" s="267">
        <f t="shared" si="168"/>
        <v>9.3999999999999969E-3</v>
      </c>
      <c r="Y304" s="267">
        <f t="shared" si="168"/>
        <v>9.1333333333333301E-3</v>
      </c>
      <c r="Z304" s="267">
        <f t="shared" si="168"/>
        <v>8.8666666666666633E-3</v>
      </c>
      <c r="AA304" s="267">
        <f t="shared" si="168"/>
        <v>8.5999999999999965E-3</v>
      </c>
      <c r="AB304" s="267">
        <f t="shared" si="168"/>
        <v>8.3333333333333297E-3</v>
      </c>
      <c r="AC304" s="267">
        <f t="shared" si="168"/>
        <v>8.066666666666663E-3</v>
      </c>
      <c r="AD304" s="267">
        <f t="shared" si="168"/>
        <v>7.7999999999999962E-3</v>
      </c>
      <c r="AE304" s="267">
        <f t="shared" si="168"/>
        <v>7.5333333333333294E-3</v>
      </c>
      <c r="AF304" s="267">
        <f t="shared" si="168"/>
        <v>7.2666666666666626E-3</v>
      </c>
      <c r="AG304" s="562">
        <v>7.0000000000000001E-3</v>
      </c>
      <c r="AI304" s="246"/>
      <c r="AJ304" t="s">
        <v>1470</v>
      </c>
    </row>
    <row r="305" spans="1:36" s="62" customFormat="1" outlineLevel="1">
      <c r="A305" s="296" t="s">
        <v>662</v>
      </c>
      <c r="B305" s="262" t="s">
        <v>126</v>
      </c>
      <c r="C305" s="564">
        <v>5.0000000000000001E-3</v>
      </c>
      <c r="D305" s="289">
        <f t="shared" ref="D305:AF305" si="169">-($C305-$AG305)/30+C305</f>
        <v>4.9333333333333338E-3</v>
      </c>
      <c r="E305" s="289">
        <f t="shared" si="169"/>
        <v>4.8666666666666676E-3</v>
      </c>
      <c r="F305" s="289">
        <f t="shared" si="169"/>
        <v>4.8000000000000013E-3</v>
      </c>
      <c r="G305" s="289">
        <f t="shared" si="169"/>
        <v>4.7333333333333351E-3</v>
      </c>
      <c r="H305" s="289">
        <f t="shared" si="169"/>
        <v>4.6666666666666688E-3</v>
      </c>
      <c r="I305" s="289">
        <f t="shared" si="169"/>
        <v>4.6000000000000025E-3</v>
      </c>
      <c r="J305" s="289">
        <f t="shared" si="169"/>
        <v>4.5333333333333363E-3</v>
      </c>
      <c r="K305" s="289">
        <f t="shared" si="169"/>
        <v>4.46666666666667E-3</v>
      </c>
      <c r="L305" s="289">
        <f t="shared" si="169"/>
        <v>4.4000000000000037E-3</v>
      </c>
      <c r="M305" s="289">
        <f t="shared" si="169"/>
        <v>4.3333333333333375E-3</v>
      </c>
      <c r="N305" s="289">
        <f t="shared" si="169"/>
        <v>4.2666666666666712E-3</v>
      </c>
      <c r="O305" s="289">
        <f t="shared" si="169"/>
        <v>4.2000000000000049E-3</v>
      </c>
      <c r="P305" s="289">
        <f t="shared" si="169"/>
        <v>4.1333333333333387E-3</v>
      </c>
      <c r="Q305" s="289">
        <f t="shared" si="169"/>
        <v>4.0666666666666724E-3</v>
      </c>
      <c r="R305" s="289">
        <f t="shared" si="169"/>
        <v>4.0000000000000062E-3</v>
      </c>
      <c r="S305" s="289">
        <f t="shared" si="169"/>
        <v>3.9333333333333399E-3</v>
      </c>
      <c r="T305" s="289">
        <f t="shared" si="169"/>
        <v>3.8666666666666732E-3</v>
      </c>
      <c r="U305" s="289">
        <f t="shared" si="169"/>
        <v>3.8000000000000065E-3</v>
      </c>
      <c r="V305" s="289">
        <f t="shared" si="169"/>
        <v>3.7333333333333398E-3</v>
      </c>
      <c r="W305" s="289">
        <f t="shared" si="169"/>
        <v>3.6666666666666731E-3</v>
      </c>
      <c r="X305" s="289">
        <f t="shared" si="169"/>
        <v>3.6000000000000064E-3</v>
      </c>
      <c r="Y305" s="289">
        <f t="shared" si="169"/>
        <v>3.5333333333333397E-3</v>
      </c>
      <c r="Z305" s="289">
        <f t="shared" si="169"/>
        <v>3.466666666666673E-3</v>
      </c>
      <c r="AA305" s="289">
        <f t="shared" si="169"/>
        <v>3.4000000000000063E-3</v>
      </c>
      <c r="AB305" s="289">
        <f t="shared" si="169"/>
        <v>3.3333333333333396E-3</v>
      </c>
      <c r="AC305" s="289">
        <f t="shared" si="169"/>
        <v>3.2666666666666729E-3</v>
      </c>
      <c r="AD305" s="289">
        <f t="shared" si="169"/>
        <v>3.2000000000000062E-3</v>
      </c>
      <c r="AE305" s="289">
        <f t="shared" si="169"/>
        <v>3.1333333333333395E-3</v>
      </c>
      <c r="AF305" s="289">
        <f t="shared" si="169"/>
        <v>3.0666666666666728E-3</v>
      </c>
      <c r="AG305" s="564">
        <v>3.0000000000000001E-3</v>
      </c>
      <c r="AI305" s="264"/>
      <c r="AJ305" t="s">
        <v>1470</v>
      </c>
    </row>
    <row r="306" spans="1:36" s="54" customFormat="1" outlineLevel="1">
      <c r="A306" s="54" t="s">
        <v>626</v>
      </c>
      <c r="B306" s="253"/>
      <c r="C306" s="254">
        <f>C29</f>
        <v>1364517.8067398996</v>
      </c>
      <c r="D306" s="254">
        <f t="shared" ref="D306:AG306" si="170">D29</f>
        <v>1361505.531598364</v>
      </c>
      <c r="E306" s="254">
        <f t="shared" si="170"/>
        <v>1358499.9062795597</v>
      </c>
      <c r="F306" s="254">
        <f t="shared" si="170"/>
        <v>1355500.9161035055</v>
      </c>
      <c r="G306" s="254">
        <f t="shared" si="170"/>
        <v>1352508.5464226273</v>
      </c>
      <c r="H306" s="254">
        <f t="shared" si="170"/>
        <v>1349522.7826216863</v>
      </c>
      <c r="I306" s="254">
        <f t="shared" si="170"/>
        <v>1346543.6101177093</v>
      </c>
      <c r="J306" s="254">
        <f t="shared" si="170"/>
        <v>1343571.014359914</v>
      </c>
      <c r="K306" s="254">
        <f t="shared" si="170"/>
        <v>1340604.9808296419</v>
      </c>
      <c r="L306" s="254">
        <f t="shared" si="170"/>
        <v>1337645.4950402847</v>
      </c>
      <c r="M306" s="254">
        <f t="shared" si="170"/>
        <v>1334692.5425372145</v>
      </c>
      <c r="N306" s="254">
        <f t="shared" si="170"/>
        <v>1331746.1088977128</v>
      </c>
      <c r="O306" s="254">
        <f t="shared" si="170"/>
        <v>1328806.1797309008</v>
      </c>
      <c r="P306" s="254">
        <f t="shared" si="170"/>
        <v>1325872.740677668</v>
      </c>
      <c r="Q306" s="254">
        <f t="shared" si="170"/>
        <v>1322945.7774106038</v>
      </c>
      <c r="R306" s="254">
        <f t="shared" si="170"/>
        <v>1320025.2756339256</v>
      </c>
      <c r="S306" s="254">
        <f t="shared" si="170"/>
        <v>1317111.2210834096</v>
      </c>
      <c r="T306" s="254">
        <f t="shared" si="170"/>
        <v>1314203.5995263222</v>
      </c>
      <c r="U306" s="254">
        <f t="shared" si="170"/>
        <v>1311302.3967613485</v>
      </c>
      <c r="V306" s="254">
        <f t="shared" si="170"/>
        <v>1308407.5986185251</v>
      </c>
      <c r="W306" s="254">
        <f t="shared" si="170"/>
        <v>1305519.1909591695</v>
      </c>
      <c r="X306" s="254">
        <f t="shared" si="170"/>
        <v>1302637.1596758114</v>
      </c>
      <c r="Y306" s="254">
        <f t="shared" si="170"/>
        <v>1299761.4906921235</v>
      </c>
      <c r="Z306" s="254">
        <f t="shared" si="170"/>
        <v>1296892.1699628537</v>
      </c>
      <c r="AA306" s="254">
        <f t="shared" si="170"/>
        <v>1294029.1834737547</v>
      </c>
      <c r="AB306" s="254">
        <f t="shared" si="170"/>
        <v>1291172.5172415182</v>
      </c>
      <c r="AC306" s="254">
        <f t="shared" si="170"/>
        <v>1288322.1573137043</v>
      </c>
      <c r="AD306" s="254">
        <f t="shared" si="170"/>
        <v>1285478.0897686738</v>
      </c>
      <c r="AE306" s="254">
        <f t="shared" si="170"/>
        <v>1282640.300715521</v>
      </c>
      <c r="AF306" s="254">
        <f t="shared" si="170"/>
        <v>1279808.7762940053</v>
      </c>
      <c r="AG306" s="254">
        <f t="shared" si="170"/>
        <v>1276983.5026744842</v>
      </c>
      <c r="AI306" s="255"/>
      <c r="AJ306" s="256"/>
    </row>
    <row r="307" spans="1:36" s="54" customFormat="1" outlineLevel="1">
      <c r="A307" s="257" t="s">
        <v>178</v>
      </c>
      <c r="B307" s="258" t="s">
        <v>127</v>
      </c>
      <c r="C307" s="259">
        <v>0</v>
      </c>
      <c r="D307" s="259">
        <v>0</v>
      </c>
      <c r="E307" s="259">
        <v>0</v>
      </c>
      <c r="F307" s="259">
        <v>0</v>
      </c>
      <c r="G307" s="259">
        <v>0</v>
      </c>
      <c r="H307" s="259">
        <v>0</v>
      </c>
      <c r="I307" s="259">
        <v>0</v>
      </c>
      <c r="J307" s="259">
        <v>0</v>
      </c>
      <c r="K307" s="259">
        <v>0</v>
      </c>
      <c r="L307" s="259">
        <v>0</v>
      </c>
      <c r="M307" s="259">
        <v>0</v>
      </c>
      <c r="N307" s="259">
        <v>0</v>
      </c>
      <c r="O307" s="259">
        <v>0</v>
      </c>
      <c r="P307" s="259">
        <v>0</v>
      </c>
      <c r="Q307" s="259">
        <v>0</v>
      </c>
      <c r="R307" s="259">
        <v>0</v>
      </c>
      <c r="S307" s="259">
        <v>0</v>
      </c>
      <c r="T307" s="259">
        <v>0</v>
      </c>
      <c r="U307" s="259">
        <v>0</v>
      </c>
      <c r="V307" s="259">
        <v>0</v>
      </c>
      <c r="W307" s="259">
        <v>0</v>
      </c>
      <c r="X307" s="259">
        <v>0</v>
      </c>
      <c r="Y307" s="259">
        <v>0</v>
      </c>
      <c r="Z307" s="259">
        <v>0</v>
      </c>
      <c r="AA307" s="259">
        <v>0</v>
      </c>
      <c r="AB307" s="259">
        <v>0</v>
      </c>
      <c r="AC307" s="259">
        <v>0</v>
      </c>
      <c r="AD307" s="259">
        <v>0</v>
      </c>
      <c r="AE307" s="259">
        <v>0</v>
      </c>
      <c r="AF307" s="259">
        <v>0</v>
      </c>
      <c r="AG307" s="259">
        <v>0</v>
      </c>
      <c r="AI307" s="255"/>
      <c r="AJ307" s="256"/>
    </row>
    <row r="308" spans="1:36" outlineLevel="1">
      <c r="A308" s="260" t="s">
        <v>619</v>
      </c>
      <c r="B308" s="252" t="s">
        <v>127</v>
      </c>
      <c r="C308" s="218">
        <f t="shared" ref="C308:AG308" si="171">C275</f>
        <v>607972.99627735908</v>
      </c>
      <c r="D308" s="218">
        <f t="shared" si="171"/>
        <v>618126.14531519089</v>
      </c>
      <c r="E308" s="218">
        <f t="shared" si="171"/>
        <v>628448.85194195458</v>
      </c>
      <c r="F308" s="218">
        <f t="shared" si="171"/>
        <v>638943.94776938518</v>
      </c>
      <c r="G308" s="218">
        <f t="shared" si="171"/>
        <v>649614.31169713382</v>
      </c>
      <c r="H308" s="218">
        <f t="shared" si="171"/>
        <v>660462.87070247589</v>
      </c>
      <c r="I308" s="218">
        <f t="shared" si="171"/>
        <v>671492.6006432072</v>
      </c>
      <c r="J308" s="218">
        <f t="shared" si="171"/>
        <v>682706.52707394876</v>
      </c>
      <c r="K308" s="218">
        <f t="shared" si="171"/>
        <v>694107.72607608361</v>
      </c>
      <c r="L308" s="218">
        <f t="shared" si="171"/>
        <v>705699.32510155416</v>
      </c>
      <c r="M308" s="218">
        <f t="shared" si="171"/>
        <v>717484.50383075012</v>
      </c>
      <c r="N308" s="218">
        <f t="shared" si="171"/>
        <v>729466.49504472362</v>
      </c>
      <c r="O308" s="218">
        <f t="shared" si="171"/>
        <v>741648.58551197045</v>
      </c>
      <c r="P308" s="218">
        <f t="shared" si="171"/>
        <v>754034.11689002032</v>
      </c>
      <c r="Q308" s="218">
        <f t="shared" si="171"/>
        <v>766626.48664208362</v>
      </c>
      <c r="R308" s="218">
        <f t="shared" si="171"/>
        <v>779429.14896900638</v>
      </c>
      <c r="S308" s="218">
        <f t="shared" si="171"/>
        <v>792445.61575678876</v>
      </c>
      <c r="T308" s="218">
        <f t="shared" si="171"/>
        <v>805679.4575399271</v>
      </c>
      <c r="U308" s="218">
        <f t="shared" si="171"/>
        <v>819134.30448084383</v>
      </c>
      <c r="V308" s="218">
        <f t="shared" si="171"/>
        <v>832813.84736567386</v>
      </c>
      <c r="W308" s="218">
        <f t="shared" si="171"/>
        <v>846721.83861668059</v>
      </c>
      <c r="X308" s="218">
        <f t="shared" si="171"/>
        <v>860862.09332157904</v>
      </c>
      <c r="Y308" s="218">
        <f t="shared" si="171"/>
        <v>875238.49028004939</v>
      </c>
      <c r="Z308" s="218">
        <f t="shared" si="171"/>
        <v>889854.97306772613</v>
      </c>
      <c r="AA308" s="218">
        <f t="shared" si="171"/>
        <v>904715.5511179571</v>
      </c>
      <c r="AB308" s="218">
        <f t="shared" si="171"/>
        <v>919824.30082162691</v>
      </c>
      <c r="AC308" s="218">
        <f t="shared" si="171"/>
        <v>935185.36664534803</v>
      </c>
      <c r="AD308" s="218">
        <f t="shared" si="171"/>
        <v>950802.96226832527</v>
      </c>
      <c r="AE308" s="218">
        <f t="shared" si="171"/>
        <v>966681.37173820625</v>
      </c>
      <c r="AF308" s="218">
        <f t="shared" si="171"/>
        <v>982824.95064623421</v>
      </c>
      <c r="AG308" s="218">
        <f t="shared" si="171"/>
        <v>999238.1273220263</v>
      </c>
      <c r="AI308" s="246"/>
    </row>
    <row r="309" spans="1:36" s="62" customFormat="1" outlineLevel="1">
      <c r="A309" s="261" t="s">
        <v>628</v>
      </c>
      <c r="B309" s="262" t="s">
        <v>127</v>
      </c>
      <c r="C309" s="263">
        <f>C306-C307-C308</f>
        <v>756544.81046254048</v>
      </c>
      <c r="D309" s="263">
        <f t="shared" ref="D309:AG309" si="172">D306-D307-D308</f>
        <v>743379.38628317311</v>
      </c>
      <c r="E309" s="263">
        <f t="shared" si="172"/>
        <v>730051.05433760514</v>
      </c>
      <c r="F309" s="263">
        <f t="shared" si="172"/>
        <v>716556.96833412035</v>
      </c>
      <c r="G309" s="263">
        <f t="shared" si="172"/>
        <v>702894.23472549347</v>
      </c>
      <c r="H309" s="263">
        <f t="shared" si="172"/>
        <v>689059.91191921046</v>
      </c>
      <c r="I309" s="263">
        <f t="shared" si="172"/>
        <v>675051.00947450206</v>
      </c>
      <c r="J309" s="263">
        <f t="shared" si="172"/>
        <v>660864.48728596524</v>
      </c>
      <c r="K309" s="263">
        <f t="shared" si="172"/>
        <v>646497.25475355831</v>
      </c>
      <c r="L309" s="263">
        <f t="shared" si="172"/>
        <v>631946.16993873054</v>
      </c>
      <c r="M309" s="263">
        <f t="shared" si="172"/>
        <v>617208.03870646434</v>
      </c>
      <c r="N309" s="263">
        <f t="shared" si="172"/>
        <v>602279.61385298916</v>
      </c>
      <c r="O309" s="263">
        <f t="shared" si="172"/>
        <v>587157.59421893035</v>
      </c>
      <c r="P309" s="263">
        <f t="shared" si="172"/>
        <v>571838.6237876477</v>
      </c>
      <c r="Q309" s="263">
        <f t="shared" si="172"/>
        <v>556319.29076852021</v>
      </c>
      <c r="R309" s="263">
        <f t="shared" si="172"/>
        <v>540596.1266649192</v>
      </c>
      <c r="S309" s="263">
        <f t="shared" si="172"/>
        <v>524665.60532662086</v>
      </c>
      <c r="T309" s="263">
        <f t="shared" si="172"/>
        <v>508524.14198639512</v>
      </c>
      <c r="U309" s="263">
        <f t="shared" si="172"/>
        <v>492168.09228050464</v>
      </c>
      <c r="V309" s="263">
        <f t="shared" si="172"/>
        <v>475593.75125285122</v>
      </c>
      <c r="W309" s="263">
        <f t="shared" si="172"/>
        <v>458797.35234248894</v>
      </c>
      <c r="X309" s="263">
        <f t="shared" si="172"/>
        <v>441775.06635423237</v>
      </c>
      <c r="Y309" s="263">
        <f t="shared" si="172"/>
        <v>424523.00041207415</v>
      </c>
      <c r="Z309" s="263">
        <f t="shared" si="172"/>
        <v>407037.19689512753</v>
      </c>
      <c r="AA309" s="263">
        <f t="shared" si="172"/>
        <v>389313.63235579757</v>
      </c>
      <c r="AB309" s="263">
        <f t="shared" si="172"/>
        <v>371348.21641989134</v>
      </c>
      <c r="AC309" s="263">
        <f t="shared" si="172"/>
        <v>353136.79066835623</v>
      </c>
      <c r="AD309" s="263">
        <f t="shared" si="172"/>
        <v>334675.12750034849</v>
      </c>
      <c r="AE309" s="263">
        <f t="shared" si="172"/>
        <v>315958.92897731473</v>
      </c>
      <c r="AF309" s="263">
        <f t="shared" si="172"/>
        <v>296983.82564777113</v>
      </c>
      <c r="AG309" s="263">
        <f t="shared" si="172"/>
        <v>277745.37535245786</v>
      </c>
      <c r="AI309" s="264"/>
      <c r="AJ309" s="265"/>
    </row>
    <row r="310" spans="1:36" outlineLevel="1">
      <c r="A310" s="104" t="s">
        <v>621</v>
      </c>
      <c r="B310" s="252" t="s">
        <v>127</v>
      </c>
      <c r="C310" s="203">
        <f>C279*C$309</f>
        <v>733848.46614866424</v>
      </c>
      <c r="D310" s="203">
        <f t="shared" ref="D310:AG310" si="173">D279*D$309</f>
        <v>721325.79782343889</v>
      </c>
      <c r="E310" s="203">
        <f t="shared" si="173"/>
        <v>708636.22341036866</v>
      </c>
      <c r="F310" s="203">
        <f t="shared" si="173"/>
        <v>695776.81625243078</v>
      </c>
      <c r="G310" s="203">
        <f t="shared" si="173"/>
        <v>682744.59999669588</v>
      </c>
      <c r="H310" s="203">
        <f t="shared" si="173"/>
        <v>669536.54774816602</v>
      </c>
      <c r="I310" s="203">
        <f t="shared" si="173"/>
        <v>656149.5812092158</v>
      </c>
      <c r="J310" s="203">
        <f t="shared" si="173"/>
        <v>642580.5698043867</v>
      </c>
      <c r="K310" s="203">
        <f t="shared" si="173"/>
        <v>628826.32979029417</v>
      </c>
      <c r="L310" s="203">
        <f t="shared" si="173"/>
        <v>614883.62335038465</v>
      </c>
      <c r="M310" s="203">
        <f t="shared" si="173"/>
        <v>600749.15767429175</v>
      </c>
      <c r="N310" s="203">
        <f t="shared" si="173"/>
        <v>586419.58402152685</v>
      </c>
      <c r="O310" s="203">
        <f t="shared" si="173"/>
        <v>571891.49676923791</v>
      </c>
      <c r="P310" s="203">
        <f t="shared" si="173"/>
        <v>557161.43244376441</v>
      </c>
      <c r="Q310" s="203">
        <f t="shared" si="173"/>
        <v>542225.86873571738</v>
      </c>
      <c r="R310" s="203">
        <f t="shared" si="173"/>
        <v>527081.22349829588</v>
      </c>
      <c r="S310" s="203">
        <f t="shared" si="173"/>
        <v>511723.85372856387</v>
      </c>
      <c r="T310" s="203">
        <f t="shared" si="173"/>
        <v>496150.05453139252</v>
      </c>
      <c r="U310" s="203">
        <f t="shared" si="173"/>
        <v>480356.05806577217</v>
      </c>
      <c r="V310" s="203">
        <f t="shared" si="173"/>
        <v>464338.03247320006</v>
      </c>
      <c r="W310" s="203">
        <f t="shared" si="173"/>
        <v>448092.08078783052</v>
      </c>
      <c r="X310" s="203">
        <f t="shared" si="173"/>
        <v>431614.23982808465</v>
      </c>
      <c r="Y310" s="203">
        <f t="shared" si="173"/>
        <v>414900.47906940011</v>
      </c>
      <c r="Z310" s="203">
        <f t="shared" si="173"/>
        <v>397946.69949780265</v>
      </c>
      <c r="AA310" s="203">
        <f t="shared" si="173"/>
        <v>380748.7324439697</v>
      </c>
      <c r="AB310" s="203">
        <f t="shared" si="173"/>
        <v>363302.33839746</v>
      </c>
      <c r="AC310" s="203">
        <f t="shared" si="173"/>
        <v>345603.20580076426</v>
      </c>
      <c r="AD310" s="203">
        <f t="shared" si="173"/>
        <v>327646.9498228408</v>
      </c>
      <c r="AE310" s="203">
        <f t="shared" si="173"/>
        <v>309429.11111178325</v>
      </c>
      <c r="AF310" s="203">
        <f t="shared" si="173"/>
        <v>290945.15452626609</v>
      </c>
      <c r="AG310" s="203">
        <f t="shared" si="173"/>
        <v>272190.46784540871</v>
      </c>
      <c r="AI310" s="188"/>
    </row>
    <row r="311" spans="1:36" outlineLevel="1">
      <c r="A311" s="104" t="s">
        <v>620</v>
      </c>
      <c r="B311" s="252" t="s">
        <v>127</v>
      </c>
      <c r="C311" s="203">
        <f t="shared" ref="C311:AG311" si="174">C280*C$309</f>
        <v>7565.448104625405</v>
      </c>
      <c r="D311" s="203">
        <f t="shared" si="174"/>
        <v>7433.7938628317315</v>
      </c>
      <c r="E311" s="203">
        <f t="shared" si="174"/>
        <v>7300.5105433760518</v>
      </c>
      <c r="F311" s="203">
        <f t="shared" si="174"/>
        <v>7165.5696833412039</v>
      </c>
      <c r="G311" s="203">
        <f t="shared" si="174"/>
        <v>7028.9423472549352</v>
      </c>
      <c r="H311" s="203">
        <f t="shared" si="174"/>
        <v>6890.5991191921048</v>
      </c>
      <c r="I311" s="203">
        <f t="shared" si="174"/>
        <v>6750.510094745021</v>
      </c>
      <c r="J311" s="203">
        <f t="shared" si="174"/>
        <v>6608.6448728596524</v>
      </c>
      <c r="K311" s="203">
        <f t="shared" si="174"/>
        <v>6464.9725475355835</v>
      </c>
      <c r="L311" s="203">
        <f t="shared" si="174"/>
        <v>6319.461699387306</v>
      </c>
      <c r="M311" s="203">
        <f t="shared" si="174"/>
        <v>6172.0803870646432</v>
      </c>
      <c r="N311" s="203">
        <f t="shared" si="174"/>
        <v>6022.7961385298913</v>
      </c>
      <c r="O311" s="203">
        <f t="shared" si="174"/>
        <v>5871.5759421893035</v>
      </c>
      <c r="P311" s="203">
        <f t="shared" si="174"/>
        <v>5718.386237876477</v>
      </c>
      <c r="Q311" s="203">
        <f t="shared" si="174"/>
        <v>5563.192907685202</v>
      </c>
      <c r="R311" s="203">
        <f t="shared" si="174"/>
        <v>5405.9612666491921</v>
      </c>
      <c r="S311" s="203">
        <f t="shared" si="174"/>
        <v>5246.6560532662088</v>
      </c>
      <c r="T311" s="203">
        <f t="shared" si="174"/>
        <v>5085.2414198639517</v>
      </c>
      <c r="U311" s="203">
        <f t="shared" si="174"/>
        <v>4921.680922805047</v>
      </c>
      <c r="V311" s="203">
        <f t="shared" si="174"/>
        <v>4755.9375125285123</v>
      </c>
      <c r="W311" s="203">
        <f t="shared" si="174"/>
        <v>4587.9735234248892</v>
      </c>
      <c r="X311" s="203">
        <f t="shared" si="174"/>
        <v>4417.7506635423242</v>
      </c>
      <c r="Y311" s="203">
        <f t="shared" si="174"/>
        <v>4245.2300041207418</v>
      </c>
      <c r="Z311" s="203">
        <f t="shared" si="174"/>
        <v>4070.3719689512754</v>
      </c>
      <c r="AA311" s="203">
        <f t="shared" si="174"/>
        <v>3893.1363235579756</v>
      </c>
      <c r="AB311" s="203">
        <f t="shared" si="174"/>
        <v>3713.4821641989133</v>
      </c>
      <c r="AC311" s="203">
        <f t="shared" si="174"/>
        <v>3531.3679066835625</v>
      </c>
      <c r="AD311" s="203">
        <f t="shared" si="174"/>
        <v>3346.7512750034848</v>
      </c>
      <c r="AE311" s="203">
        <f t="shared" si="174"/>
        <v>3159.5892897731474</v>
      </c>
      <c r="AF311" s="203">
        <f t="shared" si="174"/>
        <v>2969.8382564777112</v>
      </c>
      <c r="AG311" s="203">
        <f t="shared" si="174"/>
        <v>2777.4537535245786</v>
      </c>
      <c r="AI311" s="188"/>
    </row>
    <row r="312" spans="1:36" outlineLevel="1">
      <c r="A312" s="104" t="s">
        <v>622</v>
      </c>
      <c r="B312" s="252" t="s">
        <v>127</v>
      </c>
      <c r="C312" s="203">
        <f t="shared" ref="C312:AG312" si="175">C281*C$309</f>
        <v>0</v>
      </c>
      <c r="D312" s="203">
        <f t="shared" si="175"/>
        <v>0</v>
      </c>
      <c r="E312" s="203">
        <f t="shared" si="175"/>
        <v>0</v>
      </c>
      <c r="F312" s="203">
        <f t="shared" si="175"/>
        <v>0</v>
      </c>
      <c r="G312" s="203">
        <f t="shared" si="175"/>
        <v>0</v>
      </c>
      <c r="H312" s="203">
        <f t="shared" si="175"/>
        <v>0</v>
      </c>
      <c r="I312" s="203">
        <f t="shared" si="175"/>
        <v>0</v>
      </c>
      <c r="J312" s="203">
        <f t="shared" si="175"/>
        <v>0</v>
      </c>
      <c r="K312" s="203">
        <f t="shared" si="175"/>
        <v>0</v>
      </c>
      <c r="L312" s="203">
        <f t="shared" si="175"/>
        <v>0</v>
      </c>
      <c r="M312" s="203">
        <f t="shared" si="175"/>
        <v>0</v>
      </c>
      <c r="N312" s="203">
        <f t="shared" si="175"/>
        <v>0</v>
      </c>
      <c r="O312" s="203">
        <f t="shared" si="175"/>
        <v>0</v>
      </c>
      <c r="P312" s="203">
        <f t="shared" si="175"/>
        <v>0</v>
      </c>
      <c r="Q312" s="203">
        <f t="shared" si="175"/>
        <v>0</v>
      </c>
      <c r="R312" s="203">
        <f t="shared" si="175"/>
        <v>0</v>
      </c>
      <c r="S312" s="203">
        <f t="shared" si="175"/>
        <v>0</v>
      </c>
      <c r="T312" s="203">
        <f t="shared" si="175"/>
        <v>0</v>
      </c>
      <c r="U312" s="203">
        <f t="shared" si="175"/>
        <v>0</v>
      </c>
      <c r="V312" s="203">
        <f t="shared" si="175"/>
        <v>0</v>
      </c>
      <c r="W312" s="203">
        <f t="shared" si="175"/>
        <v>0</v>
      </c>
      <c r="X312" s="203">
        <f t="shared" si="175"/>
        <v>0</v>
      </c>
      <c r="Y312" s="203">
        <f t="shared" si="175"/>
        <v>0</v>
      </c>
      <c r="Z312" s="203">
        <f t="shared" si="175"/>
        <v>0</v>
      </c>
      <c r="AA312" s="203">
        <f t="shared" si="175"/>
        <v>0</v>
      </c>
      <c r="AB312" s="203">
        <f t="shared" si="175"/>
        <v>0</v>
      </c>
      <c r="AC312" s="203">
        <f t="shared" si="175"/>
        <v>0</v>
      </c>
      <c r="AD312" s="203">
        <f t="shared" si="175"/>
        <v>0</v>
      </c>
      <c r="AE312" s="203">
        <f t="shared" si="175"/>
        <v>0</v>
      </c>
      <c r="AF312" s="203">
        <f t="shared" si="175"/>
        <v>0</v>
      </c>
      <c r="AG312" s="203">
        <f t="shared" si="175"/>
        <v>0</v>
      </c>
      <c r="AI312" s="188"/>
    </row>
    <row r="313" spans="1:36" outlineLevel="1">
      <c r="A313" s="104" t="s">
        <v>623</v>
      </c>
      <c r="B313" s="252" t="s">
        <v>127</v>
      </c>
      <c r="C313" s="203">
        <f t="shared" ref="C313:AG313" si="176">C282*C$309</f>
        <v>0</v>
      </c>
      <c r="D313" s="203">
        <f t="shared" si="176"/>
        <v>0</v>
      </c>
      <c r="E313" s="203">
        <f t="shared" si="176"/>
        <v>0</v>
      </c>
      <c r="F313" s="203">
        <f t="shared" si="176"/>
        <v>0</v>
      </c>
      <c r="G313" s="203">
        <f t="shared" si="176"/>
        <v>0</v>
      </c>
      <c r="H313" s="203">
        <f t="shared" si="176"/>
        <v>0</v>
      </c>
      <c r="I313" s="203">
        <f t="shared" si="176"/>
        <v>0</v>
      </c>
      <c r="J313" s="203">
        <f t="shared" si="176"/>
        <v>0</v>
      </c>
      <c r="K313" s="203">
        <f t="shared" si="176"/>
        <v>0</v>
      </c>
      <c r="L313" s="203">
        <f t="shared" si="176"/>
        <v>0</v>
      </c>
      <c r="M313" s="203">
        <f t="shared" si="176"/>
        <v>0</v>
      </c>
      <c r="N313" s="203">
        <f t="shared" si="176"/>
        <v>0</v>
      </c>
      <c r="O313" s="203">
        <f t="shared" si="176"/>
        <v>0</v>
      </c>
      <c r="P313" s="203">
        <f t="shared" si="176"/>
        <v>0</v>
      </c>
      <c r="Q313" s="203">
        <f t="shared" si="176"/>
        <v>0</v>
      </c>
      <c r="R313" s="203">
        <f t="shared" si="176"/>
        <v>0</v>
      </c>
      <c r="S313" s="203">
        <f t="shared" si="176"/>
        <v>0</v>
      </c>
      <c r="T313" s="203">
        <f t="shared" si="176"/>
        <v>0</v>
      </c>
      <c r="U313" s="203">
        <f t="shared" si="176"/>
        <v>0</v>
      </c>
      <c r="V313" s="203">
        <f t="shared" si="176"/>
        <v>0</v>
      </c>
      <c r="W313" s="203">
        <f t="shared" si="176"/>
        <v>0</v>
      </c>
      <c r="X313" s="203">
        <f t="shared" si="176"/>
        <v>0</v>
      </c>
      <c r="Y313" s="203">
        <f t="shared" si="176"/>
        <v>0</v>
      </c>
      <c r="Z313" s="203">
        <f t="shared" si="176"/>
        <v>0</v>
      </c>
      <c r="AA313" s="203">
        <f t="shared" si="176"/>
        <v>0</v>
      </c>
      <c r="AB313" s="203">
        <f t="shared" si="176"/>
        <v>0</v>
      </c>
      <c r="AC313" s="203">
        <f t="shared" si="176"/>
        <v>0</v>
      </c>
      <c r="AD313" s="203">
        <f t="shared" si="176"/>
        <v>0</v>
      </c>
      <c r="AE313" s="203">
        <f t="shared" si="176"/>
        <v>0</v>
      </c>
      <c r="AF313" s="203">
        <f t="shared" si="176"/>
        <v>0</v>
      </c>
      <c r="AG313" s="203">
        <f t="shared" si="176"/>
        <v>0</v>
      </c>
      <c r="AI313" s="188"/>
    </row>
    <row r="314" spans="1:36" outlineLevel="1">
      <c r="A314" s="104" t="s">
        <v>624</v>
      </c>
      <c r="B314" s="252" t="s">
        <v>127</v>
      </c>
      <c r="C314" s="203">
        <f t="shared" ref="C314:AG314" si="177">C283*C$309</f>
        <v>11348.172156938106</v>
      </c>
      <c r="D314" s="203">
        <f t="shared" si="177"/>
        <v>10952.45629123875</v>
      </c>
      <c r="E314" s="203">
        <f t="shared" si="177"/>
        <v>10561.405252750686</v>
      </c>
      <c r="F314" s="203">
        <f t="shared" si="177"/>
        <v>10175.108950344509</v>
      </c>
      <c r="G314" s="203">
        <f t="shared" si="177"/>
        <v>9793.6596705085412</v>
      </c>
      <c r="H314" s="203">
        <f t="shared" si="177"/>
        <v>9417.1521295625425</v>
      </c>
      <c r="I314" s="203">
        <f t="shared" si="177"/>
        <v>9045.6835269583262</v>
      </c>
      <c r="J314" s="203">
        <f t="shared" si="177"/>
        <v>8679.3535996890096</v>
      </c>
      <c r="K314" s="203">
        <f t="shared" si="177"/>
        <v>8318.2646778291164</v>
      </c>
      <c r="L314" s="203">
        <f t="shared" si="177"/>
        <v>7962.5217412280035</v>
      </c>
      <c r="M314" s="203">
        <f t="shared" si="177"/>
        <v>7612.2324773797254</v>
      </c>
      <c r="N314" s="203">
        <f t="shared" si="177"/>
        <v>7267.5073404927343</v>
      </c>
      <c r="O314" s="203">
        <f t="shared" si="177"/>
        <v>6928.4596117833771</v>
      </c>
      <c r="P314" s="203">
        <f t="shared" si="177"/>
        <v>6595.2054610175355</v>
      </c>
      <c r="Q314" s="203">
        <f t="shared" si="177"/>
        <v>6267.8640093253262</v>
      </c>
      <c r="R314" s="203">
        <f t="shared" si="177"/>
        <v>5946.5573933141095</v>
      </c>
      <c r="S314" s="203">
        <f t="shared" si="177"/>
        <v>5631.4108305057289</v>
      </c>
      <c r="T314" s="203">
        <f t="shared" si="177"/>
        <v>5322.5526861242679</v>
      </c>
      <c r="U314" s="203">
        <f t="shared" si="177"/>
        <v>5020.1145412611459</v>
      </c>
      <c r="V314" s="203">
        <f t="shared" si="177"/>
        <v>4724.2312624449878</v>
      </c>
      <c r="W314" s="203">
        <f t="shared" si="177"/>
        <v>4435.0410726440587</v>
      </c>
      <c r="X314" s="203">
        <f t="shared" si="177"/>
        <v>4152.6856237297834</v>
      </c>
      <c r="Y314" s="203">
        <f t="shared" si="177"/>
        <v>3877.310070430276</v>
      </c>
      <c r="Z314" s="203">
        <f t="shared" si="177"/>
        <v>3609.0631458034627</v>
      </c>
      <c r="AA314" s="203">
        <f t="shared" si="177"/>
        <v>3348.0972382598579</v>
      </c>
      <c r="AB314" s="203">
        <f t="shared" si="177"/>
        <v>3094.5684701657597</v>
      </c>
      <c r="AC314" s="203">
        <f t="shared" si="177"/>
        <v>2848.6367780580722</v>
      </c>
      <c r="AD314" s="203">
        <f t="shared" si="177"/>
        <v>2610.465994502717</v>
      </c>
      <c r="AE314" s="203">
        <f t="shared" si="177"/>
        <v>2380.2239316291029</v>
      </c>
      <c r="AF314" s="203">
        <f t="shared" si="177"/>
        <v>2158.0824663738022</v>
      </c>
      <c r="AG314" s="203">
        <f t="shared" si="177"/>
        <v>1944.2176274672051</v>
      </c>
      <c r="AI314" s="188"/>
    </row>
    <row r="315" spans="1:36" outlineLevel="1">
      <c r="A315" s="104" t="s">
        <v>625</v>
      </c>
      <c r="B315" s="252" t="s">
        <v>127</v>
      </c>
      <c r="C315" s="203">
        <f t="shared" ref="C315:AG315" si="178">C284*C$309</f>
        <v>3782.7240523127025</v>
      </c>
      <c r="D315" s="203">
        <f t="shared" si="178"/>
        <v>3667.3383056636544</v>
      </c>
      <c r="E315" s="203">
        <f t="shared" si="178"/>
        <v>3552.9151311096789</v>
      </c>
      <c r="F315" s="203">
        <f t="shared" si="178"/>
        <v>3439.4734480037787</v>
      </c>
      <c r="G315" s="203">
        <f t="shared" si="178"/>
        <v>3327.0327110340036</v>
      </c>
      <c r="H315" s="203">
        <f t="shared" si="178"/>
        <v>3215.6129222896502</v>
      </c>
      <c r="I315" s="203">
        <f t="shared" si="178"/>
        <v>3105.2346435827112</v>
      </c>
      <c r="J315" s="203">
        <f t="shared" si="178"/>
        <v>2995.9190090297111</v>
      </c>
      <c r="K315" s="203">
        <f t="shared" si="178"/>
        <v>2887.6877378992294</v>
      </c>
      <c r="L315" s="203">
        <f t="shared" si="178"/>
        <v>2780.5631477304169</v>
      </c>
      <c r="M315" s="203">
        <f t="shared" si="178"/>
        <v>2674.5681677280145</v>
      </c>
      <c r="N315" s="203">
        <f t="shared" si="178"/>
        <v>2569.726352439423</v>
      </c>
      <c r="O315" s="203">
        <f t="shared" si="178"/>
        <v>2466.0618957195102</v>
      </c>
      <c r="P315" s="203">
        <f t="shared" si="178"/>
        <v>2363.5996449889467</v>
      </c>
      <c r="Q315" s="203">
        <f t="shared" si="178"/>
        <v>2262.3651157919853</v>
      </c>
      <c r="R315" s="203">
        <f t="shared" si="178"/>
        <v>2162.38450665968</v>
      </c>
      <c r="S315" s="203">
        <f t="shared" si="178"/>
        <v>2063.6847142847123</v>
      </c>
      <c r="T315" s="203">
        <f t="shared" si="178"/>
        <v>1966.2933490140645</v>
      </c>
      <c r="U315" s="203">
        <f t="shared" si="178"/>
        <v>1870.2387506659209</v>
      </c>
      <c r="V315" s="203">
        <f t="shared" si="178"/>
        <v>1775.5500046773143</v>
      </c>
      <c r="W315" s="203">
        <f t="shared" si="178"/>
        <v>1682.256958589129</v>
      </c>
      <c r="X315" s="203">
        <f t="shared" si="178"/>
        <v>1590.3902388752394</v>
      </c>
      <c r="Y315" s="203">
        <f t="shared" si="178"/>
        <v>1499.9812681226647</v>
      </c>
      <c r="Z315" s="203">
        <f t="shared" si="178"/>
        <v>1411.0622825697781</v>
      </c>
      <c r="AA315" s="203">
        <f t="shared" si="178"/>
        <v>1323.6663500097143</v>
      </c>
      <c r="AB315" s="203">
        <f t="shared" si="178"/>
        <v>1237.8273880663069</v>
      </c>
      <c r="AC315" s="203">
        <f t="shared" si="178"/>
        <v>1153.5801828499659</v>
      </c>
      <c r="AD315" s="203">
        <f t="shared" si="178"/>
        <v>1070.9604080011172</v>
      </c>
      <c r="AE315" s="203">
        <f t="shared" si="178"/>
        <v>990.00464412892143</v>
      </c>
      <c r="AF315" s="203">
        <f t="shared" si="178"/>
        <v>910.7503986531666</v>
      </c>
      <c r="AG315" s="203">
        <f t="shared" si="178"/>
        <v>833.23612605737355</v>
      </c>
      <c r="AI315" s="188"/>
    </row>
    <row r="316" spans="1:36" s="54" customFormat="1">
      <c r="A316" s="54" t="s">
        <v>627</v>
      </c>
      <c r="B316" s="253"/>
      <c r="C316" s="254">
        <f>C44</f>
        <v>1364517.8067398996</v>
      </c>
      <c r="D316" s="254">
        <f t="shared" ref="D316:AG316" si="179">D44</f>
        <v>1354501.7756490647</v>
      </c>
      <c r="E316" s="254">
        <f t="shared" si="179"/>
        <v>1342315.8608071562</v>
      </c>
      <c r="F316" s="254">
        <f t="shared" si="179"/>
        <v>1331278.4391316273</v>
      </c>
      <c r="G316" s="254">
        <f t="shared" si="179"/>
        <v>1320283.2077002062</v>
      </c>
      <c r="H316" s="254">
        <f t="shared" si="179"/>
        <v>1309330.0340262749</v>
      </c>
      <c r="I316" s="254">
        <f t="shared" si="179"/>
        <v>1287881.9571919746</v>
      </c>
      <c r="J316" s="254">
        <f t="shared" si="179"/>
        <v>1266522.1959546895</v>
      </c>
      <c r="K316" s="254">
        <f t="shared" si="179"/>
        <v>1245250.4649126141</v>
      </c>
      <c r="L316" s="254">
        <f t="shared" si="179"/>
        <v>1224066.479493638</v>
      </c>
      <c r="M316" s="254">
        <f t="shared" si="179"/>
        <v>1202969.9559530751</v>
      </c>
      <c r="N316" s="254">
        <f t="shared" si="179"/>
        <v>1176860.0312527406</v>
      </c>
      <c r="O316" s="254">
        <f t="shared" si="179"/>
        <v>1150859.5232390547</v>
      </c>
      <c r="P316" s="254">
        <f t="shared" si="179"/>
        <v>1124861.2338516857</v>
      </c>
      <c r="Q316" s="254">
        <f t="shared" si="179"/>
        <v>1098971.4470992582</v>
      </c>
      <c r="R316" s="254">
        <f t="shared" si="179"/>
        <v>1073189.8121164942</v>
      </c>
      <c r="S316" s="254">
        <f t="shared" si="179"/>
        <v>1049723.6736257621</v>
      </c>
      <c r="T316" s="254">
        <f t="shared" si="179"/>
        <v>1026355.2409206813</v>
      </c>
      <c r="U316" s="254">
        <f t="shared" si="179"/>
        <v>1003084.1984556804</v>
      </c>
      <c r="V316" s="254">
        <f t="shared" si="179"/>
        <v>979910.23159894277</v>
      </c>
      <c r="W316" s="254">
        <f t="shared" si="179"/>
        <v>956833.02662991663</v>
      </c>
      <c r="X316" s="254">
        <f t="shared" si="179"/>
        <v>937403.1922351853</v>
      </c>
      <c r="Y316" s="254">
        <f t="shared" si="179"/>
        <v>918053.81716121023</v>
      </c>
      <c r="Z316" s="254">
        <f t="shared" si="179"/>
        <v>898531.9175396373</v>
      </c>
      <c r="AA316" s="254">
        <f t="shared" si="179"/>
        <v>879086.78327372763</v>
      </c>
      <c r="AB316" s="254">
        <f t="shared" si="179"/>
        <v>859718.18150421546</v>
      </c>
      <c r="AC316" s="254">
        <f t="shared" si="179"/>
        <v>839274.73328391172</v>
      </c>
      <c r="AD316" s="254">
        <f t="shared" si="179"/>
        <v>818912.43621447438</v>
      </c>
      <c r="AE316" s="254">
        <f t="shared" si="179"/>
        <v>798631.04249150807</v>
      </c>
      <c r="AF316" s="254">
        <f t="shared" si="179"/>
        <v>778430.30498525279</v>
      </c>
      <c r="AG316" s="254">
        <f t="shared" si="179"/>
        <v>758309.9772388665</v>
      </c>
      <c r="AI316" s="255"/>
      <c r="AJ316" s="256"/>
    </row>
    <row r="317" spans="1:36" s="54" customFormat="1">
      <c r="A317" s="257" t="s">
        <v>178</v>
      </c>
      <c r="B317" s="258" t="s">
        <v>127</v>
      </c>
      <c r="C317" s="259">
        <f>C316-C306</f>
        <v>0</v>
      </c>
      <c r="D317" s="259">
        <f t="shared" ref="D317:AG317" si="180">D316-D306</f>
        <v>-7003.7559492993169</v>
      </c>
      <c r="E317" s="259">
        <f t="shared" si="180"/>
        <v>-16184.045472403523</v>
      </c>
      <c r="F317" s="259">
        <f t="shared" si="180"/>
        <v>-24222.476971878204</v>
      </c>
      <c r="G317" s="259">
        <f t="shared" si="180"/>
        <v>-32225.338722421089</v>
      </c>
      <c r="H317" s="259">
        <f t="shared" si="180"/>
        <v>-40192.748595411424</v>
      </c>
      <c r="I317" s="259">
        <f t="shared" si="180"/>
        <v>-58661.652925734641</v>
      </c>
      <c r="J317" s="259">
        <f t="shared" si="180"/>
        <v>-77048.818405224476</v>
      </c>
      <c r="K317" s="259">
        <f t="shared" si="180"/>
        <v>-95354.515917027835</v>
      </c>
      <c r="L317" s="259">
        <f t="shared" si="180"/>
        <v>-113579.01554664667</v>
      </c>
      <c r="M317" s="259">
        <f t="shared" si="180"/>
        <v>-131722.58658413938</v>
      </c>
      <c r="N317" s="259">
        <f t="shared" si="180"/>
        <v>-154886.07764497213</v>
      </c>
      <c r="O317" s="259">
        <f t="shared" si="180"/>
        <v>-177946.65649184608</v>
      </c>
      <c r="P317" s="259">
        <f t="shared" si="180"/>
        <v>-201011.50682598236</v>
      </c>
      <c r="Q317" s="259">
        <f t="shared" si="180"/>
        <v>-223974.33031134563</v>
      </c>
      <c r="R317" s="259">
        <f t="shared" si="180"/>
        <v>-246835.4635174314</v>
      </c>
      <c r="S317" s="259">
        <f t="shared" si="180"/>
        <v>-267387.54745764751</v>
      </c>
      <c r="T317" s="259">
        <f t="shared" si="180"/>
        <v>-287848.35860564094</v>
      </c>
      <c r="U317" s="259">
        <f t="shared" si="180"/>
        <v>-308218.19830566808</v>
      </c>
      <c r="V317" s="259">
        <f t="shared" si="180"/>
        <v>-328497.36701958231</v>
      </c>
      <c r="W317" s="259">
        <f t="shared" si="180"/>
        <v>-348686.1643292529</v>
      </c>
      <c r="X317" s="259">
        <f t="shared" si="180"/>
        <v>-365233.96744062612</v>
      </c>
      <c r="Y317" s="259">
        <f t="shared" si="180"/>
        <v>-381707.67353091331</v>
      </c>
      <c r="Z317" s="259">
        <f t="shared" si="180"/>
        <v>-398360.25242321636</v>
      </c>
      <c r="AA317" s="259">
        <f t="shared" si="180"/>
        <v>-414942.40020002704</v>
      </c>
      <c r="AB317" s="259">
        <f t="shared" si="180"/>
        <v>-431454.33573730278</v>
      </c>
      <c r="AC317" s="259">
        <f t="shared" si="180"/>
        <v>-449047.42402979254</v>
      </c>
      <c r="AD317" s="259">
        <f t="shared" si="180"/>
        <v>-466565.65355419938</v>
      </c>
      <c r="AE317" s="259">
        <f t="shared" si="180"/>
        <v>-484009.25822401291</v>
      </c>
      <c r="AF317" s="259">
        <f t="shared" si="180"/>
        <v>-501378.47130875255</v>
      </c>
      <c r="AG317" s="259">
        <f t="shared" si="180"/>
        <v>-518673.52543561766</v>
      </c>
      <c r="AI317" s="255"/>
      <c r="AJ317" s="256"/>
    </row>
    <row r="318" spans="1:36">
      <c r="A318" s="260" t="s">
        <v>619</v>
      </c>
      <c r="B318" s="252" t="s">
        <v>127</v>
      </c>
      <c r="C318" s="218">
        <f>C274</f>
        <v>607972.99627735908</v>
      </c>
      <c r="D318" s="218">
        <f t="shared" ref="D318:AG318" si="181">D274</f>
        <v>627076.02157340618</v>
      </c>
      <c r="E318" s="218">
        <f t="shared" si="181"/>
        <v>642107.0740080846</v>
      </c>
      <c r="F318" s="218">
        <f t="shared" si="181"/>
        <v>656381.30903086939</v>
      </c>
      <c r="G318" s="218">
        <f t="shared" si="181"/>
        <v>668916.7340491449</v>
      </c>
      <c r="H318" s="218">
        <f t="shared" si="181"/>
        <v>679804.69186257268</v>
      </c>
      <c r="I318" s="218">
        <f t="shared" si="181"/>
        <v>688283.71227467514</v>
      </c>
      <c r="J318" s="218">
        <f t="shared" si="181"/>
        <v>695106.94810910639</v>
      </c>
      <c r="K318" s="218">
        <f t="shared" si="181"/>
        <v>700343.1296716053</v>
      </c>
      <c r="L318" s="218">
        <f t="shared" si="181"/>
        <v>704058.79098738404</v>
      </c>
      <c r="M318" s="218">
        <f t="shared" si="181"/>
        <v>706318.29087099642</v>
      </c>
      <c r="N318" s="218">
        <f t="shared" si="181"/>
        <v>692646.04202462733</v>
      </c>
      <c r="O318" s="218">
        <f t="shared" si="181"/>
        <v>678341.79458307847</v>
      </c>
      <c r="P318" s="218">
        <f t="shared" si="181"/>
        <v>663448.7758699574</v>
      </c>
      <c r="Q318" s="218">
        <f t="shared" si="181"/>
        <v>648055.53328203317</v>
      </c>
      <c r="R318" s="218">
        <f t="shared" si="181"/>
        <v>632226.71686575538</v>
      </c>
      <c r="S318" s="218">
        <f t="shared" si="181"/>
        <v>616279.95602401998</v>
      </c>
      <c r="T318" s="218">
        <f t="shared" si="181"/>
        <v>600082.77414557547</v>
      </c>
      <c r="U318" s="218">
        <f t="shared" si="181"/>
        <v>583701.49313133804</v>
      </c>
      <c r="V318" s="218">
        <f t="shared" si="181"/>
        <v>567201.09678880428</v>
      </c>
      <c r="W318" s="218">
        <f t="shared" si="181"/>
        <v>550645.24239843374</v>
      </c>
      <c r="X318" s="218">
        <f t="shared" si="181"/>
        <v>544363.51969236112</v>
      </c>
      <c r="Y318" s="218">
        <f t="shared" si="181"/>
        <v>537369.15468366398</v>
      </c>
      <c r="Z318" s="218">
        <f t="shared" si="181"/>
        <v>529632.63141068793</v>
      </c>
      <c r="AA318" s="218">
        <f t="shared" si="181"/>
        <v>521306.08599842561</v>
      </c>
      <c r="AB318" s="218">
        <f t="shared" si="181"/>
        <v>512453.49342187447</v>
      </c>
      <c r="AC318" s="218">
        <f t="shared" si="181"/>
        <v>502730.22860063403</v>
      </c>
      <c r="AD318" s="218">
        <f t="shared" si="181"/>
        <v>492531.25269173499</v>
      </c>
      <c r="AE318" s="218">
        <f t="shared" si="181"/>
        <v>481909.50920086831</v>
      </c>
      <c r="AF318" s="218">
        <f t="shared" si="181"/>
        <v>470916.09603799751</v>
      </c>
      <c r="AG318" s="218">
        <f t="shared" si="181"/>
        <v>459600.28336097673</v>
      </c>
      <c r="AI318" s="246"/>
    </row>
    <row r="319" spans="1:36" s="62" customFormat="1">
      <c r="A319" s="261" t="s">
        <v>628</v>
      </c>
      <c r="B319" s="262" t="s">
        <v>127</v>
      </c>
      <c r="C319" s="263">
        <f>C316-C318</f>
        <v>756544.81046254048</v>
      </c>
      <c r="D319" s="263">
        <f t="shared" ref="D319:AG319" si="182">D316-D318</f>
        <v>727425.75407565851</v>
      </c>
      <c r="E319" s="263">
        <f t="shared" si="182"/>
        <v>700208.78679907159</v>
      </c>
      <c r="F319" s="263">
        <f t="shared" si="182"/>
        <v>674897.13010075793</v>
      </c>
      <c r="G319" s="263">
        <f t="shared" si="182"/>
        <v>651366.4736510613</v>
      </c>
      <c r="H319" s="263">
        <f t="shared" si="182"/>
        <v>629525.34216370224</v>
      </c>
      <c r="I319" s="263">
        <f t="shared" si="182"/>
        <v>599598.24491729948</v>
      </c>
      <c r="J319" s="263">
        <f t="shared" si="182"/>
        <v>571415.24784558313</v>
      </c>
      <c r="K319" s="263">
        <f t="shared" si="182"/>
        <v>544907.33524100878</v>
      </c>
      <c r="L319" s="263">
        <f t="shared" si="182"/>
        <v>520007.688506254</v>
      </c>
      <c r="M319" s="263">
        <f t="shared" si="182"/>
        <v>496651.66508207866</v>
      </c>
      <c r="N319" s="263">
        <f t="shared" si="182"/>
        <v>484213.98922811332</v>
      </c>
      <c r="O319" s="263">
        <f t="shared" si="182"/>
        <v>472517.72865597624</v>
      </c>
      <c r="P319" s="263">
        <f t="shared" si="182"/>
        <v>461412.45798172825</v>
      </c>
      <c r="Q319" s="263">
        <f t="shared" si="182"/>
        <v>450915.91381722502</v>
      </c>
      <c r="R319" s="263">
        <f t="shared" si="182"/>
        <v>440963.09525073878</v>
      </c>
      <c r="S319" s="263">
        <f t="shared" si="182"/>
        <v>433443.71760174213</v>
      </c>
      <c r="T319" s="263">
        <f t="shared" si="182"/>
        <v>426272.4667751058</v>
      </c>
      <c r="U319" s="263">
        <f t="shared" si="182"/>
        <v>419382.70532434236</v>
      </c>
      <c r="V319" s="263">
        <f t="shared" si="182"/>
        <v>412709.13481013849</v>
      </c>
      <c r="W319" s="263">
        <f t="shared" si="182"/>
        <v>406187.78423148289</v>
      </c>
      <c r="X319" s="263">
        <f t="shared" si="182"/>
        <v>393039.67254282418</v>
      </c>
      <c r="Y319" s="263">
        <f t="shared" si="182"/>
        <v>380684.66247754626</v>
      </c>
      <c r="Z319" s="263">
        <f t="shared" si="182"/>
        <v>368899.28612894937</v>
      </c>
      <c r="AA319" s="263">
        <f t="shared" si="182"/>
        <v>357780.69727530202</v>
      </c>
      <c r="AB319" s="263">
        <f t="shared" si="182"/>
        <v>347264.68808234099</v>
      </c>
      <c r="AC319" s="263">
        <f t="shared" si="182"/>
        <v>336544.50468327769</v>
      </c>
      <c r="AD319" s="263">
        <f t="shared" si="182"/>
        <v>326381.18352273939</v>
      </c>
      <c r="AE319" s="263">
        <f t="shared" si="182"/>
        <v>316721.53329063975</v>
      </c>
      <c r="AF319" s="263">
        <f t="shared" si="182"/>
        <v>307514.20894725528</v>
      </c>
      <c r="AG319" s="263">
        <f t="shared" si="182"/>
        <v>298709.69387788977</v>
      </c>
      <c r="AI319" s="264"/>
      <c r="AJ319" s="265"/>
    </row>
    <row r="320" spans="1:36" s="54" customFormat="1" outlineLevel="1">
      <c r="A320" s="257" t="s">
        <v>656</v>
      </c>
      <c r="B320" s="258" t="s">
        <v>126</v>
      </c>
      <c r="C320" s="259">
        <f>C316*C286</f>
        <v>1337227.4506051017</v>
      </c>
      <c r="D320" s="259">
        <f t="shared" ref="D320:AG320" si="183">D316*D286</f>
        <v>1327863.2407279664</v>
      </c>
      <c r="E320" s="259">
        <f t="shared" si="183"/>
        <v>1316364.4208315511</v>
      </c>
      <c r="F320" s="259">
        <f t="shared" si="183"/>
        <v>1305984.1487881262</v>
      </c>
      <c r="G320" s="259">
        <f t="shared" si="183"/>
        <v>1295637.9211564688</v>
      </c>
      <c r="H320" s="259">
        <f t="shared" si="183"/>
        <v>1285325.6500691264</v>
      </c>
      <c r="I320" s="259">
        <f t="shared" si="183"/>
        <v>1264700.0819625189</v>
      </c>
      <c r="J320" s="259">
        <f t="shared" si="183"/>
        <v>1244146.970492823</v>
      </c>
      <c r="K320" s="259">
        <f t="shared" si="183"/>
        <v>1223666.123520795</v>
      </c>
      <c r="L320" s="259">
        <f t="shared" si="183"/>
        <v>1203257.3493422458</v>
      </c>
      <c r="M320" s="259">
        <f t="shared" si="183"/>
        <v>1182920.4566871901</v>
      </c>
      <c r="N320" s="259">
        <f t="shared" si="183"/>
        <v>1157637.9840756122</v>
      </c>
      <c r="O320" s="259">
        <f t="shared" si="183"/>
        <v>1132445.7708672292</v>
      </c>
      <c r="P320" s="259">
        <f t="shared" si="183"/>
        <v>1107238.4078546753</v>
      </c>
      <c r="Q320" s="259">
        <f t="shared" si="183"/>
        <v>1082120.5515770691</v>
      </c>
      <c r="R320" s="259">
        <f t="shared" si="183"/>
        <v>1057091.964934746</v>
      </c>
      <c r="S320" s="259">
        <f t="shared" si="183"/>
        <v>1034327.7264125836</v>
      </c>
      <c r="T320" s="259">
        <f t="shared" si="183"/>
        <v>1011644.1491341508</v>
      </c>
      <c r="U320" s="259">
        <f t="shared" si="183"/>
        <v>989041.01967730024</v>
      </c>
      <c r="V320" s="259">
        <f t="shared" si="183"/>
        <v>966518.12510042323</v>
      </c>
      <c r="W320" s="259">
        <f t="shared" si="183"/>
        <v>944075.25294151704</v>
      </c>
      <c r="X320" s="259">
        <f t="shared" si="183"/>
        <v>925216.9507361271</v>
      </c>
      <c r="Y320" s="259">
        <f t="shared" si="183"/>
        <v>906425.13547716744</v>
      </c>
      <c r="Z320" s="259">
        <f t="shared" si="183"/>
        <v>887450.02388998098</v>
      </c>
      <c r="AA320" s="259">
        <f t="shared" si="183"/>
        <v>868537.74187444209</v>
      </c>
      <c r="AB320" s="259">
        <f t="shared" si="183"/>
        <v>849688.13605333213</v>
      </c>
      <c r="AC320" s="259">
        <f t="shared" si="183"/>
        <v>829762.95297335985</v>
      </c>
      <c r="AD320" s="259">
        <f t="shared" si="183"/>
        <v>809904.39941611432</v>
      </c>
      <c r="AE320" s="259">
        <f t="shared" si="183"/>
        <v>790112.31137159781</v>
      </c>
      <c r="AF320" s="259">
        <f t="shared" si="183"/>
        <v>770386.52516707103</v>
      </c>
      <c r="AG320" s="259">
        <f t="shared" si="183"/>
        <v>750726.8774664778</v>
      </c>
      <c r="AI320" s="255"/>
      <c r="AJ320" s="288" t="s">
        <v>629</v>
      </c>
    </row>
    <row r="321" spans="1:36" s="54" customFormat="1" outlineLevel="1">
      <c r="A321" s="257" t="s">
        <v>667</v>
      </c>
      <c r="B321" s="258" t="s">
        <v>126</v>
      </c>
      <c r="C321" s="259">
        <f>C320*C287</f>
        <v>1337227.4506051017</v>
      </c>
      <c r="D321" s="259">
        <f t="shared" ref="D321:AG321" si="184">D320*D287</f>
        <v>1327863.2407279664</v>
      </c>
      <c r="E321" s="259">
        <f t="shared" si="184"/>
        <v>1316364.4208315511</v>
      </c>
      <c r="F321" s="259">
        <f t="shared" si="184"/>
        <v>1305984.1487881262</v>
      </c>
      <c r="G321" s="259">
        <f t="shared" si="184"/>
        <v>1295637.9211564688</v>
      </c>
      <c r="H321" s="259">
        <f t="shared" si="184"/>
        <v>1285325.6500691264</v>
      </c>
      <c r="I321" s="259">
        <f t="shared" si="184"/>
        <v>1264700.0819625189</v>
      </c>
      <c r="J321" s="259">
        <f t="shared" si="184"/>
        <v>1244146.970492823</v>
      </c>
      <c r="K321" s="259">
        <f t="shared" si="184"/>
        <v>1223666.123520795</v>
      </c>
      <c r="L321" s="259">
        <f t="shared" si="184"/>
        <v>1203257.3493422458</v>
      </c>
      <c r="M321" s="259">
        <f t="shared" si="184"/>
        <v>1182920.4566871901</v>
      </c>
      <c r="N321" s="259">
        <f t="shared" si="184"/>
        <v>1157637.9840756122</v>
      </c>
      <c r="O321" s="259">
        <f t="shared" si="184"/>
        <v>1132445.7708672292</v>
      </c>
      <c r="P321" s="259">
        <f t="shared" si="184"/>
        <v>1107238.4078546753</v>
      </c>
      <c r="Q321" s="259">
        <f t="shared" si="184"/>
        <v>1082120.5515770691</v>
      </c>
      <c r="R321" s="259">
        <f t="shared" si="184"/>
        <v>1057091.964934746</v>
      </c>
      <c r="S321" s="259">
        <f t="shared" si="184"/>
        <v>1034327.7264125836</v>
      </c>
      <c r="T321" s="259">
        <f t="shared" si="184"/>
        <v>1011644.1491341508</v>
      </c>
      <c r="U321" s="259">
        <f t="shared" si="184"/>
        <v>989041.01967730024</v>
      </c>
      <c r="V321" s="259">
        <f t="shared" si="184"/>
        <v>966518.12510042323</v>
      </c>
      <c r="W321" s="259">
        <f t="shared" si="184"/>
        <v>944075.25294151704</v>
      </c>
      <c r="X321" s="259">
        <f t="shared" si="184"/>
        <v>925216.9507361271</v>
      </c>
      <c r="Y321" s="259">
        <f t="shared" si="184"/>
        <v>906425.13547716744</v>
      </c>
      <c r="Z321" s="259">
        <f t="shared" si="184"/>
        <v>887450.02388998098</v>
      </c>
      <c r="AA321" s="259">
        <f t="shared" si="184"/>
        <v>868537.74187444209</v>
      </c>
      <c r="AB321" s="259">
        <f t="shared" si="184"/>
        <v>849688.13605333213</v>
      </c>
      <c r="AC321" s="259">
        <f t="shared" si="184"/>
        <v>829762.95297335985</v>
      </c>
      <c r="AD321" s="259">
        <f t="shared" si="184"/>
        <v>809904.39941611432</v>
      </c>
      <c r="AE321" s="259">
        <f t="shared" si="184"/>
        <v>790112.31137159781</v>
      </c>
      <c r="AF321" s="259">
        <f t="shared" si="184"/>
        <v>770386.52516707103</v>
      </c>
      <c r="AG321" s="259">
        <f t="shared" si="184"/>
        <v>750726.8774664778</v>
      </c>
      <c r="AI321" s="255"/>
      <c r="AJ321" s="288" t="s">
        <v>629</v>
      </c>
    </row>
    <row r="322" spans="1:36" s="58" customFormat="1" outlineLevel="1">
      <c r="A322" s="261" t="s">
        <v>668</v>
      </c>
      <c r="B322" s="262" t="s">
        <v>126</v>
      </c>
      <c r="C322" s="263">
        <f>C320*C288</f>
        <v>0</v>
      </c>
      <c r="D322" s="263">
        <f t="shared" ref="D322:AG322" si="185">D320*D288</f>
        <v>0</v>
      </c>
      <c r="E322" s="263">
        <f t="shared" si="185"/>
        <v>0</v>
      </c>
      <c r="F322" s="263">
        <f t="shared" si="185"/>
        <v>0</v>
      </c>
      <c r="G322" s="263">
        <f t="shared" si="185"/>
        <v>0</v>
      </c>
      <c r="H322" s="263">
        <f t="shared" si="185"/>
        <v>0</v>
      </c>
      <c r="I322" s="263">
        <f t="shared" si="185"/>
        <v>0</v>
      </c>
      <c r="J322" s="263">
        <f t="shared" si="185"/>
        <v>0</v>
      </c>
      <c r="K322" s="263">
        <f t="shared" si="185"/>
        <v>0</v>
      </c>
      <c r="L322" s="263">
        <f t="shared" si="185"/>
        <v>0</v>
      </c>
      <c r="M322" s="263">
        <f t="shared" si="185"/>
        <v>0</v>
      </c>
      <c r="N322" s="263">
        <f t="shared" si="185"/>
        <v>0</v>
      </c>
      <c r="O322" s="263">
        <f t="shared" si="185"/>
        <v>0</v>
      </c>
      <c r="P322" s="263">
        <f t="shared" si="185"/>
        <v>0</v>
      </c>
      <c r="Q322" s="263">
        <f t="shared" si="185"/>
        <v>0</v>
      </c>
      <c r="R322" s="263">
        <f t="shared" si="185"/>
        <v>0</v>
      </c>
      <c r="S322" s="263">
        <f t="shared" si="185"/>
        <v>0</v>
      </c>
      <c r="T322" s="263">
        <f t="shared" si="185"/>
        <v>0</v>
      </c>
      <c r="U322" s="263">
        <f t="shared" si="185"/>
        <v>0</v>
      </c>
      <c r="V322" s="263">
        <f t="shared" si="185"/>
        <v>0</v>
      </c>
      <c r="W322" s="263">
        <f t="shared" si="185"/>
        <v>0</v>
      </c>
      <c r="X322" s="263">
        <f t="shared" si="185"/>
        <v>0</v>
      </c>
      <c r="Y322" s="263">
        <f t="shared" si="185"/>
        <v>0</v>
      </c>
      <c r="Z322" s="263">
        <f t="shared" si="185"/>
        <v>0</v>
      </c>
      <c r="AA322" s="263">
        <f t="shared" si="185"/>
        <v>0</v>
      </c>
      <c r="AB322" s="263">
        <f t="shared" si="185"/>
        <v>0</v>
      </c>
      <c r="AC322" s="263">
        <f t="shared" si="185"/>
        <v>0</v>
      </c>
      <c r="AD322" s="263">
        <f t="shared" si="185"/>
        <v>0</v>
      </c>
      <c r="AE322" s="263">
        <f t="shared" si="185"/>
        <v>0</v>
      </c>
      <c r="AF322" s="263">
        <f t="shared" si="185"/>
        <v>0</v>
      </c>
      <c r="AG322" s="263">
        <f t="shared" si="185"/>
        <v>0</v>
      </c>
      <c r="AI322" s="291"/>
      <c r="AJ322" s="290" t="s">
        <v>629</v>
      </c>
    </row>
    <row r="323" spans="1:36" s="1" customFormat="1" outlineLevel="1">
      <c r="A323" t="s">
        <v>649</v>
      </c>
      <c r="B323" s="252" t="s">
        <v>127</v>
      </c>
      <c r="C323" s="218">
        <f>C289*C320</f>
        <v>1337227.4506051017</v>
      </c>
      <c r="D323" s="218">
        <f t="shared" ref="D323:AG323" si="186">D289*D320</f>
        <v>1327863.2407279664</v>
      </c>
      <c r="E323" s="218">
        <f t="shared" si="186"/>
        <v>1316364.4208315511</v>
      </c>
      <c r="F323" s="218">
        <f t="shared" si="186"/>
        <v>1305984.1487881262</v>
      </c>
      <c r="G323" s="218">
        <f t="shared" si="186"/>
        <v>1295637.9211564688</v>
      </c>
      <c r="H323" s="218">
        <f t="shared" si="186"/>
        <v>1285325.6500691264</v>
      </c>
      <c r="I323" s="218">
        <f t="shared" si="186"/>
        <v>1264700.0819625189</v>
      </c>
      <c r="J323" s="218">
        <f t="shared" si="186"/>
        <v>1244146.970492823</v>
      </c>
      <c r="K323" s="218">
        <f t="shared" si="186"/>
        <v>1223666.123520795</v>
      </c>
      <c r="L323" s="218">
        <f t="shared" si="186"/>
        <v>1203257.3493422458</v>
      </c>
      <c r="M323" s="218">
        <f t="shared" si="186"/>
        <v>1182920.4566871901</v>
      </c>
      <c r="N323" s="218">
        <f t="shared" si="186"/>
        <v>1157637.9840756122</v>
      </c>
      <c r="O323" s="218">
        <f t="shared" si="186"/>
        <v>1132445.7708672292</v>
      </c>
      <c r="P323" s="218">
        <f t="shared" si="186"/>
        <v>1107238.4078546753</v>
      </c>
      <c r="Q323" s="218">
        <f t="shared" si="186"/>
        <v>1082120.5515770691</v>
      </c>
      <c r="R323" s="218">
        <f t="shared" si="186"/>
        <v>1057091.964934746</v>
      </c>
      <c r="S323" s="218">
        <f t="shared" si="186"/>
        <v>1034327.7264125836</v>
      </c>
      <c r="T323" s="218">
        <f t="shared" si="186"/>
        <v>1011644.1491341508</v>
      </c>
      <c r="U323" s="218">
        <f t="shared" si="186"/>
        <v>989041.01967730024</v>
      </c>
      <c r="V323" s="218">
        <f t="shared" si="186"/>
        <v>966518.12510042323</v>
      </c>
      <c r="W323" s="218">
        <f t="shared" si="186"/>
        <v>944075.25294151704</v>
      </c>
      <c r="X323" s="218">
        <f t="shared" si="186"/>
        <v>925216.9507361271</v>
      </c>
      <c r="Y323" s="218">
        <f t="shared" si="186"/>
        <v>906425.13547716744</v>
      </c>
      <c r="Z323" s="218">
        <f t="shared" si="186"/>
        <v>887450.02388998098</v>
      </c>
      <c r="AA323" s="218">
        <f t="shared" si="186"/>
        <v>868537.74187444209</v>
      </c>
      <c r="AB323" s="218">
        <f t="shared" si="186"/>
        <v>849688.13605333213</v>
      </c>
      <c r="AC323" s="218">
        <f t="shared" si="186"/>
        <v>829762.95297335985</v>
      </c>
      <c r="AD323" s="218">
        <f t="shared" si="186"/>
        <v>809904.39941611432</v>
      </c>
      <c r="AE323" s="218">
        <f t="shared" si="186"/>
        <v>790112.31137159781</v>
      </c>
      <c r="AF323" s="218">
        <f t="shared" si="186"/>
        <v>770386.52516707103</v>
      </c>
      <c r="AG323" s="218">
        <f t="shared" si="186"/>
        <v>750726.8774664778</v>
      </c>
      <c r="AI323" s="266"/>
      <c r="AJ323" s="185" t="s">
        <v>629</v>
      </c>
    </row>
    <row r="324" spans="1:36" s="1" customFormat="1" outlineLevel="1">
      <c r="A324" t="s">
        <v>655</v>
      </c>
      <c r="B324" s="252" t="s">
        <v>127</v>
      </c>
      <c r="C324" s="218">
        <f>C290*C320</f>
        <v>0</v>
      </c>
      <c r="D324" s="218">
        <f t="shared" ref="D324:AG324" si="187">D290*D320</f>
        <v>0</v>
      </c>
      <c r="E324" s="218">
        <f t="shared" si="187"/>
        <v>0</v>
      </c>
      <c r="F324" s="218">
        <f t="shared" si="187"/>
        <v>0</v>
      </c>
      <c r="G324" s="218">
        <f t="shared" si="187"/>
        <v>0</v>
      </c>
      <c r="H324" s="218">
        <f t="shared" si="187"/>
        <v>0</v>
      </c>
      <c r="I324" s="218">
        <f t="shared" si="187"/>
        <v>0</v>
      </c>
      <c r="J324" s="218">
        <f t="shared" si="187"/>
        <v>0</v>
      </c>
      <c r="K324" s="218">
        <f t="shared" si="187"/>
        <v>0</v>
      </c>
      <c r="L324" s="218">
        <f t="shared" si="187"/>
        <v>0</v>
      </c>
      <c r="M324" s="218">
        <f t="shared" si="187"/>
        <v>0</v>
      </c>
      <c r="N324" s="218">
        <f t="shared" si="187"/>
        <v>0</v>
      </c>
      <c r="O324" s="218">
        <f t="shared" si="187"/>
        <v>0</v>
      </c>
      <c r="P324" s="218">
        <f t="shared" si="187"/>
        <v>0</v>
      </c>
      <c r="Q324" s="218">
        <f t="shared" si="187"/>
        <v>0</v>
      </c>
      <c r="R324" s="218">
        <f t="shared" si="187"/>
        <v>0</v>
      </c>
      <c r="S324" s="218">
        <f t="shared" si="187"/>
        <v>0</v>
      </c>
      <c r="T324" s="218">
        <f t="shared" si="187"/>
        <v>0</v>
      </c>
      <c r="U324" s="218">
        <f t="shared" si="187"/>
        <v>0</v>
      </c>
      <c r="V324" s="218">
        <f t="shared" si="187"/>
        <v>0</v>
      </c>
      <c r="W324" s="218">
        <f t="shared" si="187"/>
        <v>0</v>
      </c>
      <c r="X324" s="218">
        <f t="shared" si="187"/>
        <v>0</v>
      </c>
      <c r="Y324" s="218">
        <f t="shared" si="187"/>
        <v>0</v>
      </c>
      <c r="Z324" s="218">
        <f t="shared" si="187"/>
        <v>0</v>
      </c>
      <c r="AA324" s="218">
        <f t="shared" si="187"/>
        <v>0</v>
      </c>
      <c r="AB324" s="218">
        <f t="shared" si="187"/>
        <v>0</v>
      </c>
      <c r="AC324" s="218">
        <f t="shared" si="187"/>
        <v>0</v>
      </c>
      <c r="AD324" s="218">
        <f t="shared" si="187"/>
        <v>0</v>
      </c>
      <c r="AE324" s="218">
        <f t="shared" si="187"/>
        <v>0</v>
      </c>
      <c r="AF324" s="218">
        <f t="shared" si="187"/>
        <v>0</v>
      </c>
      <c r="AG324" s="218">
        <f t="shared" si="187"/>
        <v>0</v>
      </c>
      <c r="AI324" s="266"/>
      <c r="AJ324" s="185" t="s">
        <v>629</v>
      </c>
    </row>
    <row r="325" spans="1:36" s="1" customFormat="1" outlineLevel="1">
      <c r="A325" t="s">
        <v>650</v>
      </c>
      <c r="B325" s="252" t="s">
        <v>127</v>
      </c>
      <c r="C325" s="218">
        <f>C323*C291</f>
        <v>200584.11759076524</v>
      </c>
      <c r="D325" s="218">
        <f t="shared" ref="D325:AG325" si="188">D323*D291</f>
        <v>207589.2866338054</v>
      </c>
      <c r="E325" s="218">
        <f t="shared" si="188"/>
        <v>214128.61245526563</v>
      </c>
      <c r="F325" s="218">
        <f t="shared" si="188"/>
        <v>220711.3211451933</v>
      </c>
      <c r="G325" s="218">
        <f t="shared" si="188"/>
        <v>227168.51550943416</v>
      </c>
      <c r="H325" s="218">
        <f t="shared" si="188"/>
        <v>233500.8264292246</v>
      </c>
      <c r="I325" s="218">
        <f t="shared" si="188"/>
        <v>237763.61540895351</v>
      </c>
      <c r="J325" s="218">
        <f t="shared" si="188"/>
        <v>241779.22793243857</v>
      </c>
      <c r="K325" s="218">
        <f t="shared" si="188"/>
        <v>245549.00211983948</v>
      </c>
      <c r="L325" s="218">
        <f t="shared" si="188"/>
        <v>249074.27131384483</v>
      </c>
      <c r="M325" s="218">
        <f t="shared" si="188"/>
        <v>252356.36409326718</v>
      </c>
      <c r="N325" s="218">
        <f t="shared" si="188"/>
        <v>254294.47716860942</v>
      </c>
      <c r="O325" s="218">
        <f t="shared" si="188"/>
        <v>255932.74421599373</v>
      </c>
      <c r="P325" s="218">
        <f t="shared" si="188"/>
        <v>257248.39009156951</v>
      </c>
      <c r="Q325" s="218">
        <f t="shared" si="188"/>
        <v>258266.10497639378</v>
      </c>
      <c r="R325" s="218">
        <f t="shared" si="188"/>
        <v>258987.53140901271</v>
      </c>
      <c r="S325" s="218">
        <f t="shared" si="188"/>
        <v>259961.03523836265</v>
      </c>
      <c r="T325" s="218">
        <f t="shared" si="188"/>
        <v>260666.97576023286</v>
      </c>
      <c r="U325" s="218">
        <f t="shared" si="188"/>
        <v>261106.82919480727</v>
      </c>
      <c r="V325" s="218">
        <f t="shared" si="188"/>
        <v>261282.0664854811</v>
      </c>
      <c r="W325" s="218">
        <f t="shared" si="188"/>
        <v>261194.15331381978</v>
      </c>
      <c r="X325" s="218">
        <f t="shared" si="188"/>
        <v>261836.39705832404</v>
      </c>
      <c r="Y325" s="218">
        <f t="shared" si="188"/>
        <v>262259.00586472719</v>
      </c>
      <c r="Z325" s="218">
        <f t="shared" si="188"/>
        <v>262389.39039680449</v>
      </c>
      <c r="AA325" s="218">
        <f t="shared" si="188"/>
        <v>262298.39804608165</v>
      </c>
      <c r="AB325" s="218">
        <f t="shared" si="188"/>
        <v>261987.1752831109</v>
      </c>
      <c r="AC325" s="218">
        <f t="shared" si="188"/>
        <v>261098.74253561741</v>
      </c>
      <c r="AD325" s="218">
        <f t="shared" si="188"/>
        <v>259979.31221257287</v>
      </c>
      <c r="AE325" s="218">
        <f t="shared" si="188"/>
        <v>258630.09658896987</v>
      </c>
      <c r="AF325" s="218">
        <f t="shared" si="188"/>
        <v>257052.3038974129</v>
      </c>
      <c r="AG325" s="218">
        <f t="shared" si="188"/>
        <v>255247.13833860247</v>
      </c>
      <c r="AI325" s="266"/>
      <c r="AJ325" s="185" t="s">
        <v>629</v>
      </c>
    </row>
    <row r="326" spans="1:36" s="1" customFormat="1" outlineLevel="1">
      <c r="A326" t="s">
        <v>651</v>
      </c>
      <c r="B326" s="252" t="s">
        <v>127</v>
      </c>
      <c r="C326" s="218">
        <f>C323*C292</f>
        <v>1136643.3330143364</v>
      </c>
      <c r="D326" s="218">
        <f t="shared" ref="D326:AG326" si="189">D323*D292</f>
        <v>1120273.954094161</v>
      </c>
      <c r="E326" s="218">
        <f t="shared" si="189"/>
        <v>1102235.8083762855</v>
      </c>
      <c r="F326" s="218">
        <f t="shared" si="189"/>
        <v>1085272.827642933</v>
      </c>
      <c r="G326" s="218">
        <f t="shared" si="189"/>
        <v>1068469.4056470348</v>
      </c>
      <c r="H326" s="218">
        <f t="shared" si="189"/>
        <v>1051824.8236399021</v>
      </c>
      <c r="I326" s="218">
        <f t="shared" si="189"/>
        <v>1026936.4665535656</v>
      </c>
      <c r="J326" s="218">
        <f t="shared" si="189"/>
        <v>1002367.7425603847</v>
      </c>
      <c r="K326" s="218">
        <f t="shared" si="189"/>
        <v>978117.12140095572</v>
      </c>
      <c r="L326" s="218">
        <f t="shared" si="189"/>
        <v>954183.07802840124</v>
      </c>
      <c r="M326" s="218">
        <f t="shared" si="189"/>
        <v>930564.09259392321</v>
      </c>
      <c r="N326" s="218">
        <f t="shared" si="189"/>
        <v>903343.50690700312</v>
      </c>
      <c r="O326" s="218">
        <f t="shared" si="189"/>
        <v>876513.02665123576</v>
      </c>
      <c r="P326" s="218">
        <f t="shared" si="189"/>
        <v>849990.01776310615</v>
      </c>
      <c r="Q326" s="218">
        <f t="shared" si="189"/>
        <v>823854.4466006757</v>
      </c>
      <c r="R326" s="218">
        <f t="shared" si="189"/>
        <v>798104.43352573377</v>
      </c>
      <c r="S326" s="218">
        <f t="shared" si="189"/>
        <v>774366.69117422146</v>
      </c>
      <c r="T326" s="218">
        <f t="shared" si="189"/>
        <v>750977.17337391851</v>
      </c>
      <c r="U326" s="218">
        <f t="shared" si="189"/>
        <v>727934.19048249349</v>
      </c>
      <c r="V326" s="218">
        <f t="shared" si="189"/>
        <v>705236.05861494271</v>
      </c>
      <c r="W326" s="218">
        <f t="shared" si="189"/>
        <v>682881.09962769796</v>
      </c>
      <c r="X326" s="218">
        <f t="shared" si="189"/>
        <v>663380.55367780372</v>
      </c>
      <c r="Y326" s="218">
        <f t="shared" si="189"/>
        <v>644166.12961244094</v>
      </c>
      <c r="Z326" s="218">
        <f t="shared" si="189"/>
        <v>625060.63349317724</v>
      </c>
      <c r="AA326" s="218">
        <f t="shared" si="189"/>
        <v>606239.34382836125</v>
      </c>
      <c r="AB326" s="218">
        <f t="shared" si="189"/>
        <v>587700.96077022201</v>
      </c>
      <c r="AC326" s="218">
        <f t="shared" si="189"/>
        <v>568664.21043774323</v>
      </c>
      <c r="AD326" s="218">
        <f t="shared" si="189"/>
        <v>549925.08720354224</v>
      </c>
      <c r="AE326" s="218">
        <f t="shared" si="189"/>
        <v>531482.21478262881</v>
      </c>
      <c r="AF326" s="218">
        <f t="shared" si="189"/>
        <v>513334.221269659</v>
      </c>
      <c r="AG326" s="218">
        <f t="shared" si="189"/>
        <v>495479.73912787531</v>
      </c>
      <c r="AI326" s="266"/>
      <c r="AJ326" s="185" t="s">
        <v>629</v>
      </c>
    </row>
    <row r="327" spans="1:36" s="1" customFormat="1" outlineLevel="1">
      <c r="A327" t="s">
        <v>654</v>
      </c>
      <c r="B327" s="252" t="s">
        <v>127</v>
      </c>
      <c r="C327" s="218">
        <f>C293*C326</f>
        <v>0</v>
      </c>
      <c r="D327" s="218">
        <f t="shared" ref="D327:AG327" si="190">D293*D326</f>
        <v>0</v>
      </c>
      <c r="E327" s="218">
        <f t="shared" si="190"/>
        <v>0</v>
      </c>
      <c r="F327" s="218">
        <f t="shared" si="190"/>
        <v>0</v>
      </c>
      <c r="G327" s="218">
        <f t="shared" si="190"/>
        <v>0</v>
      </c>
      <c r="H327" s="218">
        <f t="shared" si="190"/>
        <v>0</v>
      </c>
      <c r="I327" s="218">
        <f t="shared" si="190"/>
        <v>0</v>
      </c>
      <c r="J327" s="218">
        <f t="shared" si="190"/>
        <v>0</v>
      </c>
      <c r="K327" s="218">
        <f t="shared" si="190"/>
        <v>0</v>
      </c>
      <c r="L327" s="218">
        <f t="shared" si="190"/>
        <v>0</v>
      </c>
      <c r="M327" s="218">
        <f t="shared" si="190"/>
        <v>0</v>
      </c>
      <c r="N327" s="218">
        <f t="shared" si="190"/>
        <v>0</v>
      </c>
      <c r="O327" s="218">
        <f t="shared" si="190"/>
        <v>0</v>
      </c>
      <c r="P327" s="218">
        <f t="shared" si="190"/>
        <v>0</v>
      </c>
      <c r="Q327" s="218">
        <f t="shared" si="190"/>
        <v>0</v>
      </c>
      <c r="R327" s="218">
        <f t="shared" si="190"/>
        <v>0</v>
      </c>
      <c r="S327" s="218">
        <f t="shared" si="190"/>
        <v>0</v>
      </c>
      <c r="T327" s="218">
        <f t="shared" si="190"/>
        <v>0</v>
      </c>
      <c r="U327" s="218">
        <f t="shared" si="190"/>
        <v>0</v>
      </c>
      <c r="V327" s="218">
        <f t="shared" si="190"/>
        <v>0</v>
      </c>
      <c r="W327" s="218">
        <f t="shared" si="190"/>
        <v>0</v>
      </c>
      <c r="X327" s="218">
        <f t="shared" si="190"/>
        <v>0</v>
      </c>
      <c r="Y327" s="218">
        <f t="shared" si="190"/>
        <v>0</v>
      </c>
      <c r="Z327" s="218">
        <f t="shared" si="190"/>
        <v>0</v>
      </c>
      <c r="AA327" s="218">
        <f t="shared" si="190"/>
        <v>0</v>
      </c>
      <c r="AB327" s="218">
        <f t="shared" si="190"/>
        <v>0</v>
      </c>
      <c r="AC327" s="218">
        <f t="shared" si="190"/>
        <v>0</v>
      </c>
      <c r="AD327" s="218">
        <f t="shared" si="190"/>
        <v>0</v>
      </c>
      <c r="AE327" s="218">
        <f t="shared" si="190"/>
        <v>0</v>
      </c>
      <c r="AF327" s="218">
        <f t="shared" si="190"/>
        <v>0</v>
      </c>
      <c r="AG327" s="218">
        <f t="shared" si="190"/>
        <v>0</v>
      </c>
      <c r="AI327" s="266"/>
      <c r="AJ327" s="185" t="s">
        <v>629</v>
      </c>
    </row>
    <row r="328" spans="1:36" s="1" customFormat="1" outlineLevel="1">
      <c r="A328" t="s">
        <v>683</v>
      </c>
      <c r="B328" s="252" t="s">
        <v>127</v>
      </c>
      <c r="C328" s="218">
        <f>C294*C326</f>
        <v>1136643.3330143364</v>
      </c>
      <c r="D328" s="218">
        <f t="shared" ref="D328:AG328" si="191">D294*D326</f>
        <v>1120273.954094161</v>
      </c>
      <c r="E328" s="218">
        <f t="shared" si="191"/>
        <v>1102235.8083762855</v>
      </c>
      <c r="F328" s="218">
        <f t="shared" si="191"/>
        <v>1085272.827642933</v>
      </c>
      <c r="G328" s="218">
        <f t="shared" si="191"/>
        <v>1068469.4056470348</v>
      </c>
      <c r="H328" s="218">
        <f t="shared" si="191"/>
        <v>1051824.8236399021</v>
      </c>
      <c r="I328" s="218">
        <f t="shared" si="191"/>
        <v>1026936.4665535656</v>
      </c>
      <c r="J328" s="218">
        <f t="shared" si="191"/>
        <v>1002367.7425603847</v>
      </c>
      <c r="K328" s="218">
        <f t="shared" si="191"/>
        <v>978117.12140095572</v>
      </c>
      <c r="L328" s="218">
        <f t="shared" si="191"/>
        <v>954183.07802840124</v>
      </c>
      <c r="M328" s="218">
        <f t="shared" si="191"/>
        <v>930564.09259392321</v>
      </c>
      <c r="N328" s="218">
        <f t="shared" si="191"/>
        <v>903343.50690700312</v>
      </c>
      <c r="O328" s="218">
        <f t="shared" si="191"/>
        <v>876513.02665123576</v>
      </c>
      <c r="P328" s="218">
        <f t="shared" si="191"/>
        <v>849990.01776310615</v>
      </c>
      <c r="Q328" s="218">
        <f t="shared" si="191"/>
        <v>823854.4466006757</v>
      </c>
      <c r="R328" s="218">
        <f t="shared" si="191"/>
        <v>798104.43352573377</v>
      </c>
      <c r="S328" s="218">
        <f t="shared" si="191"/>
        <v>774366.69117422146</v>
      </c>
      <c r="T328" s="218">
        <f t="shared" si="191"/>
        <v>750977.17337391851</v>
      </c>
      <c r="U328" s="218">
        <f t="shared" si="191"/>
        <v>727934.19048249349</v>
      </c>
      <c r="V328" s="218">
        <f t="shared" si="191"/>
        <v>705236.05861494271</v>
      </c>
      <c r="W328" s="218">
        <f t="shared" si="191"/>
        <v>682881.09962769796</v>
      </c>
      <c r="X328" s="218">
        <f t="shared" si="191"/>
        <v>663380.55367780372</v>
      </c>
      <c r="Y328" s="218">
        <f t="shared" si="191"/>
        <v>644166.12961244094</v>
      </c>
      <c r="Z328" s="218">
        <f t="shared" si="191"/>
        <v>625060.63349317724</v>
      </c>
      <c r="AA328" s="218">
        <f t="shared" si="191"/>
        <v>606239.34382836125</v>
      </c>
      <c r="AB328" s="218">
        <f t="shared" si="191"/>
        <v>587700.96077022201</v>
      </c>
      <c r="AC328" s="218">
        <f t="shared" si="191"/>
        <v>568664.21043774323</v>
      </c>
      <c r="AD328" s="218">
        <f t="shared" si="191"/>
        <v>549925.08720354224</v>
      </c>
      <c r="AE328" s="218">
        <f t="shared" si="191"/>
        <v>531482.21478262881</v>
      </c>
      <c r="AF328" s="218">
        <f t="shared" si="191"/>
        <v>513334.221269659</v>
      </c>
      <c r="AG328" s="218">
        <f t="shared" si="191"/>
        <v>495479.73912787531</v>
      </c>
      <c r="AI328" s="266"/>
      <c r="AJ328" s="185" t="s">
        <v>629</v>
      </c>
    </row>
    <row r="329" spans="1:36" s="1" customFormat="1" outlineLevel="1">
      <c r="A329" t="s">
        <v>652</v>
      </c>
      <c r="B329" s="252" t="s">
        <v>127</v>
      </c>
      <c r="C329" s="218">
        <f>C295*(C327+C325)</f>
        <v>160467.29407261219</v>
      </c>
      <c r="D329" s="218">
        <f t="shared" ref="D329:AG329" si="192">D295*(D327+D325)</f>
        <v>166763.39359582367</v>
      </c>
      <c r="E329" s="218">
        <f t="shared" si="192"/>
        <v>172730.41404724761</v>
      </c>
      <c r="F329" s="218">
        <f t="shared" si="192"/>
        <v>178776.17012760657</v>
      </c>
      <c r="G329" s="218">
        <f t="shared" si="192"/>
        <v>184763.72594767308</v>
      </c>
      <c r="H329" s="218">
        <f t="shared" si="192"/>
        <v>190692.34158386674</v>
      </c>
      <c r="I329" s="218">
        <f t="shared" si="192"/>
        <v>194966.16463534185</v>
      </c>
      <c r="J329" s="218">
        <f t="shared" si="192"/>
        <v>199064.89766437438</v>
      </c>
      <c r="K329" s="218">
        <f t="shared" si="192"/>
        <v>202987.17508573391</v>
      </c>
      <c r="L329" s="218">
        <f t="shared" si="192"/>
        <v>206731.64519049114</v>
      </c>
      <c r="M329" s="218">
        <f t="shared" si="192"/>
        <v>210296.97007772257</v>
      </c>
      <c r="N329" s="218">
        <f t="shared" si="192"/>
        <v>212759.71256440313</v>
      </c>
      <c r="O329" s="218">
        <f t="shared" si="192"/>
        <v>214983.50514143464</v>
      </c>
      <c r="P329" s="218">
        <f t="shared" si="192"/>
        <v>216946.14231055684</v>
      </c>
      <c r="Q329" s="218">
        <f t="shared" si="192"/>
        <v>218665.30221334661</v>
      </c>
      <c r="R329" s="218">
        <f t="shared" si="192"/>
        <v>220139.40169766068</v>
      </c>
      <c r="S329" s="218">
        <f t="shared" si="192"/>
        <v>221833.41673673599</v>
      </c>
      <c r="T329" s="218">
        <f t="shared" si="192"/>
        <v>223304.70923459934</v>
      </c>
      <c r="U329" s="218">
        <f t="shared" si="192"/>
        <v>224551.87310753411</v>
      </c>
      <c r="V329" s="218">
        <f t="shared" si="192"/>
        <v>225573.51739913187</v>
      </c>
      <c r="W329" s="218">
        <f t="shared" si="192"/>
        <v>226368.26620531033</v>
      </c>
      <c r="X329" s="218">
        <f t="shared" si="192"/>
        <v>227797.66544074175</v>
      </c>
      <c r="Y329" s="218">
        <f t="shared" si="192"/>
        <v>229039.53178852823</v>
      </c>
      <c r="Z329" s="218">
        <f t="shared" si="192"/>
        <v>230028.03224786508</v>
      </c>
      <c r="AA329" s="218">
        <f t="shared" si="192"/>
        <v>230822.59028055164</v>
      </c>
      <c r="AB329" s="218">
        <f t="shared" si="192"/>
        <v>231422.00483341442</v>
      </c>
      <c r="AC329" s="218">
        <f t="shared" si="192"/>
        <v>231507.55171491389</v>
      </c>
      <c r="AD329" s="218">
        <f t="shared" si="192"/>
        <v>231381.58786918962</v>
      </c>
      <c r="AE329" s="218">
        <f t="shared" si="192"/>
        <v>231042.88628614618</v>
      </c>
      <c r="AF329" s="218">
        <f t="shared" si="192"/>
        <v>230490.23249467998</v>
      </c>
      <c r="AG329" s="218">
        <f t="shared" si="192"/>
        <v>229722.42450474223</v>
      </c>
      <c r="AH329" s="218"/>
      <c r="AI329" s="266"/>
      <c r="AJ329" s="185" t="s">
        <v>629</v>
      </c>
    </row>
    <row r="330" spans="1:36" s="1" customFormat="1" outlineLevel="1">
      <c r="A330" t="s">
        <v>653</v>
      </c>
      <c r="B330" s="252" t="s">
        <v>127</v>
      </c>
      <c r="C330" s="218">
        <f>C296*(C327+C325)</f>
        <v>40116.823518153047</v>
      </c>
      <c r="D330" s="218">
        <f t="shared" ref="D330:AG330" si="193">D296*(D327+D325)</f>
        <v>40825.893037981732</v>
      </c>
      <c r="E330" s="218">
        <f t="shared" si="193"/>
        <v>41398.198408018026</v>
      </c>
      <c r="F330" s="218">
        <f t="shared" si="193"/>
        <v>41935.151017586737</v>
      </c>
      <c r="G330" s="218">
        <f t="shared" si="193"/>
        <v>42404.789561761048</v>
      </c>
      <c r="H330" s="218">
        <f t="shared" si="193"/>
        <v>42808.484845357852</v>
      </c>
      <c r="I330" s="218">
        <f t="shared" si="193"/>
        <v>42797.450773611643</v>
      </c>
      <c r="J330" s="218">
        <f t="shared" si="193"/>
        <v>42714.330268064165</v>
      </c>
      <c r="K330" s="218">
        <f t="shared" si="193"/>
        <v>42561.827034105525</v>
      </c>
      <c r="L330" s="218">
        <f t="shared" si="193"/>
        <v>42342.626123353635</v>
      </c>
      <c r="M330" s="218">
        <f t="shared" si="193"/>
        <v>42059.394015544553</v>
      </c>
      <c r="N330" s="218">
        <f t="shared" si="193"/>
        <v>41534.764604206226</v>
      </c>
      <c r="O330" s="218">
        <f t="shared" si="193"/>
        <v>40949.239074559016</v>
      </c>
      <c r="P330" s="218">
        <f t="shared" si="193"/>
        <v>40302.247781012578</v>
      </c>
      <c r="Q330" s="218">
        <f t="shared" si="193"/>
        <v>39600.802763047068</v>
      </c>
      <c r="R330" s="218">
        <f t="shared" si="193"/>
        <v>38848.129711351932</v>
      </c>
      <c r="S330" s="218">
        <f t="shared" si="193"/>
        <v>38127.618501626552</v>
      </c>
      <c r="T330" s="218">
        <f t="shared" si="193"/>
        <v>37362.266525633408</v>
      </c>
      <c r="U330" s="218">
        <f t="shared" si="193"/>
        <v>36554.956087273051</v>
      </c>
      <c r="V330" s="218">
        <f t="shared" si="193"/>
        <v>35708.549086349121</v>
      </c>
      <c r="W330" s="218">
        <f t="shared" si="193"/>
        <v>34825.887108509341</v>
      </c>
      <c r="X330" s="218">
        <f t="shared" si="193"/>
        <v>34038.731617582162</v>
      </c>
      <c r="Y330" s="218">
        <f t="shared" si="193"/>
        <v>33219.474076198814</v>
      </c>
      <c r="Z330" s="218">
        <f t="shared" si="193"/>
        <v>32361.35814893926</v>
      </c>
      <c r="AA330" s="218">
        <f t="shared" si="193"/>
        <v>31475.80776552984</v>
      </c>
      <c r="AB330" s="218">
        <f t="shared" si="193"/>
        <v>30565.170449696318</v>
      </c>
      <c r="AC330" s="218">
        <f t="shared" si="193"/>
        <v>29591.190820703352</v>
      </c>
      <c r="AD330" s="218">
        <f t="shared" si="193"/>
        <v>28597.724343383063</v>
      </c>
      <c r="AE330" s="218">
        <f t="shared" si="193"/>
        <v>27587.2103028235</v>
      </c>
      <c r="AF330" s="218">
        <f t="shared" si="193"/>
        <v>26562.071402732716</v>
      </c>
      <c r="AG330" s="218">
        <f t="shared" si="193"/>
        <v>25524.713833860249</v>
      </c>
      <c r="AI330" s="266"/>
      <c r="AJ330" s="185" t="s">
        <v>629</v>
      </c>
    </row>
    <row r="331" spans="1:36" s="1" customFormat="1" outlineLevel="1">
      <c r="A331" t="s">
        <v>663</v>
      </c>
      <c r="B331" s="252" t="s">
        <v>127</v>
      </c>
      <c r="C331" s="218">
        <f>C324*C297</f>
        <v>0</v>
      </c>
      <c r="D331" s="218">
        <f t="shared" ref="D331:AG331" si="194">D324*D297</f>
        <v>0</v>
      </c>
      <c r="E331" s="218">
        <f t="shared" si="194"/>
        <v>0</v>
      </c>
      <c r="F331" s="218">
        <f t="shared" si="194"/>
        <v>0</v>
      </c>
      <c r="G331" s="218">
        <f t="shared" si="194"/>
        <v>0</v>
      </c>
      <c r="H331" s="218">
        <f t="shared" si="194"/>
        <v>0</v>
      </c>
      <c r="I331" s="218">
        <f t="shared" si="194"/>
        <v>0</v>
      </c>
      <c r="J331" s="218">
        <f t="shared" si="194"/>
        <v>0</v>
      </c>
      <c r="K331" s="218">
        <f t="shared" si="194"/>
        <v>0</v>
      </c>
      <c r="L331" s="218">
        <f t="shared" si="194"/>
        <v>0</v>
      </c>
      <c r="M331" s="218">
        <f t="shared" si="194"/>
        <v>0</v>
      </c>
      <c r="N331" s="218">
        <f t="shared" si="194"/>
        <v>0</v>
      </c>
      <c r="O331" s="218">
        <f t="shared" si="194"/>
        <v>0</v>
      </c>
      <c r="P331" s="218">
        <f t="shared" si="194"/>
        <v>0</v>
      </c>
      <c r="Q331" s="218">
        <f t="shared" si="194"/>
        <v>0</v>
      </c>
      <c r="R331" s="218">
        <f t="shared" si="194"/>
        <v>0</v>
      </c>
      <c r="S331" s="218">
        <f t="shared" si="194"/>
        <v>0</v>
      </c>
      <c r="T331" s="218">
        <f t="shared" si="194"/>
        <v>0</v>
      </c>
      <c r="U331" s="218">
        <f t="shared" si="194"/>
        <v>0</v>
      </c>
      <c r="V331" s="218">
        <f t="shared" si="194"/>
        <v>0</v>
      </c>
      <c r="W331" s="218">
        <f t="shared" si="194"/>
        <v>0</v>
      </c>
      <c r="X331" s="218">
        <f t="shared" si="194"/>
        <v>0</v>
      </c>
      <c r="Y331" s="218">
        <f t="shared" si="194"/>
        <v>0</v>
      </c>
      <c r="Z331" s="218">
        <f t="shared" si="194"/>
        <v>0</v>
      </c>
      <c r="AA331" s="218">
        <f t="shared" si="194"/>
        <v>0</v>
      </c>
      <c r="AB331" s="218">
        <f t="shared" si="194"/>
        <v>0</v>
      </c>
      <c r="AC331" s="218">
        <f t="shared" si="194"/>
        <v>0</v>
      </c>
      <c r="AD331" s="218">
        <f t="shared" si="194"/>
        <v>0</v>
      </c>
      <c r="AE331" s="218">
        <f t="shared" si="194"/>
        <v>0</v>
      </c>
      <c r="AF331" s="218">
        <f t="shared" si="194"/>
        <v>0</v>
      </c>
      <c r="AG331" s="218">
        <f t="shared" si="194"/>
        <v>0</v>
      </c>
      <c r="AI331" s="266"/>
      <c r="AJ331" s="185" t="s">
        <v>629</v>
      </c>
    </row>
    <row r="332" spans="1:36" s="1" customFormat="1" outlineLevel="1">
      <c r="A332" t="s">
        <v>684</v>
      </c>
      <c r="B332" s="252" t="s">
        <v>127</v>
      </c>
      <c r="C332" s="218">
        <f>C324*C298</f>
        <v>0</v>
      </c>
      <c r="D332" s="218">
        <f t="shared" ref="D332:AG332" si="195">D324*D298</f>
        <v>0</v>
      </c>
      <c r="E332" s="218">
        <f t="shared" si="195"/>
        <v>0</v>
      </c>
      <c r="F332" s="218">
        <f t="shared" si="195"/>
        <v>0</v>
      </c>
      <c r="G332" s="218">
        <f t="shared" si="195"/>
        <v>0</v>
      </c>
      <c r="H332" s="218">
        <f t="shared" si="195"/>
        <v>0</v>
      </c>
      <c r="I332" s="218">
        <f t="shared" si="195"/>
        <v>0</v>
      </c>
      <c r="J332" s="218">
        <f t="shared" si="195"/>
        <v>0</v>
      </c>
      <c r="K332" s="218">
        <f t="shared" si="195"/>
        <v>0</v>
      </c>
      <c r="L332" s="218">
        <f t="shared" si="195"/>
        <v>0</v>
      </c>
      <c r="M332" s="218">
        <f t="shared" si="195"/>
        <v>0</v>
      </c>
      <c r="N332" s="218">
        <f t="shared" si="195"/>
        <v>0</v>
      </c>
      <c r="O332" s="218">
        <f t="shared" si="195"/>
        <v>0</v>
      </c>
      <c r="P332" s="218">
        <f t="shared" si="195"/>
        <v>0</v>
      </c>
      <c r="Q332" s="218">
        <f t="shared" si="195"/>
        <v>0</v>
      </c>
      <c r="R332" s="218">
        <f t="shared" si="195"/>
        <v>0</v>
      </c>
      <c r="S332" s="218">
        <f t="shared" si="195"/>
        <v>0</v>
      </c>
      <c r="T332" s="218">
        <f t="shared" si="195"/>
        <v>0</v>
      </c>
      <c r="U332" s="218">
        <f t="shared" si="195"/>
        <v>0</v>
      </c>
      <c r="V332" s="218">
        <f t="shared" si="195"/>
        <v>0</v>
      </c>
      <c r="W332" s="218">
        <f t="shared" si="195"/>
        <v>0</v>
      </c>
      <c r="X332" s="218">
        <f t="shared" si="195"/>
        <v>0</v>
      </c>
      <c r="Y332" s="218">
        <f t="shared" si="195"/>
        <v>0</v>
      </c>
      <c r="Z332" s="218">
        <f t="shared" si="195"/>
        <v>0</v>
      </c>
      <c r="AA332" s="218">
        <f t="shared" si="195"/>
        <v>0</v>
      </c>
      <c r="AB332" s="218">
        <f t="shared" si="195"/>
        <v>0</v>
      </c>
      <c r="AC332" s="218">
        <f t="shared" si="195"/>
        <v>0</v>
      </c>
      <c r="AD332" s="218">
        <f t="shared" si="195"/>
        <v>0</v>
      </c>
      <c r="AE332" s="218">
        <f t="shared" si="195"/>
        <v>0</v>
      </c>
      <c r="AF332" s="218">
        <f t="shared" si="195"/>
        <v>0</v>
      </c>
      <c r="AG332" s="218">
        <f t="shared" si="195"/>
        <v>0</v>
      </c>
      <c r="AI332" s="266"/>
      <c r="AJ332" s="185" t="s">
        <v>629</v>
      </c>
    </row>
    <row r="333" spans="1:36" s="1" customFormat="1" outlineLevel="1">
      <c r="A333" t="s">
        <v>666</v>
      </c>
      <c r="B333" s="252" t="s">
        <v>127</v>
      </c>
      <c r="C333" s="218">
        <f t="shared" ref="C333:AG333" si="196">C329*C299</f>
        <v>43326.169399605293</v>
      </c>
      <c r="D333" s="218">
        <f t="shared" si="196"/>
        <v>44359.062696489098</v>
      </c>
      <c r="E333" s="218">
        <f t="shared" si="196"/>
        <v>45255.368480378878</v>
      </c>
      <c r="F333" s="218">
        <f t="shared" si="196"/>
        <v>46124.251892922497</v>
      </c>
      <c r="G333" s="218">
        <f t="shared" si="196"/>
        <v>46929.98639070896</v>
      </c>
      <c r="H333" s="218">
        <f t="shared" si="196"/>
        <v>47673.085395966686</v>
      </c>
      <c r="I333" s="218">
        <f t="shared" si="196"/>
        <v>47961.676500294096</v>
      </c>
      <c r="J333" s="218">
        <f t="shared" si="196"/>
        <v>48173.705234778601</v>
      </c>
      <c r="K333" s="218">
        <f t="shared" si="196"/>
        <v>48310.947670404668</v>
      </c>
      <c r="L333" s="218">
        <f t="shared" si="196"/>
        <v>48375.204974574925</v>
      </c>
      <c r="M333" s="218">
        <f t="shared" si="196"/>
        <v>48368.303117876188</v>
      </c>
      <c r="N333" s="218">
        <f t="shared" si="196"/>
        <v>48083.695039555103</v>
      </c>
      <c r="O333" s="218">
        <f t="shared" si="196"/>
        <v>47726.338141398483</v>
      </c>
      <c r="P333" s="218">
        <f t="shared" si="196"/>
        <v>47294.259023701386</v>
      </c>
      <c r="Q333" s="218">
        <f t="shared" si="196"/>
        <v>46794.374673656166</v>
      </c>
      <c r="R333" s="218">
        <f t="shared" si="196"/>
        <v>46229.274356508737</v>
      </c>
      <c r="S333" s="218">
        <f t="shared" si="196"/>
        <v>45697.683847767606</v>
      </c>
      <c r="T333" s="218">
        <f t="shared" si="196"/>
        <v>45107.551265389055</v>
      </c>
      <c r="U333" s="218">
        <f t="shared" si="196"/>
        <v>44461.270875291746</v>
      </c>
      <c r="V333" s="218">
        <f t="shared" si="196"/>
        <v>43761.262375431572</v>
      </c>
      <c r="W333" s="218">
        <f t="shared" si="196"/>
        <v>43009.97057900895</v>
      </c>
      <c r="X333" s="218">
        <f t="shared" si="196"/>
        <v>42370.365771977951</v>
      </c>
      <c r="Y333" s="218">
        <f t="shared" si="196"/>
        <v>41685.194785512125</v>
      </c>
      <c r="Z333" s="218">
        <f t="shared" si="196"/>
        <v>40944.989740119971</v>
      </c>
      <c r="AA333" s="218">
        <f t="shared" si="196"/>
        <v>40163.130708815966</v>
      </c>
      <c r="AB333" s="218">
        <f t="shared" si="196"/>
        <v>39341.740821680432</v>
      </c>
      <c r="AC333" s="218">
        <f t="shared" si="196"/>
        <v>38430.253584675687</v>
      </c>
      <c r="AD333" s="218">
        <f t="shared" si="196"/>
        <v>37483.817234808703</v>
      </c>
      <c r="AE333" s="218">
        <f t="shared" si="196"/>
        <v>36504.776033211077</v>
      </c>
      <c r="AF333" s="218">
        <f t="shared" si="196"/>
        <v>35495.495804180697</v>
      </c>
      <c r="AG333" s="218">
        <f t="shared" si="196"/>
        <v>34458.363675711335</v>
      </c>
      <c r="AI333" s="266"/>
      <c r="AJ333" s="185"/>
    </row>
    <row r="334" spans="1:36" s="61" customFormat="1">
      <c r="A334" s="294" t="s">
        <v>657</v>
      </c>
      <c r="B334" s="258" t="s">
        <v>127</v>
      </c>
      <c r="C334" s="259">
        <f>C300*C$319</f>
        <v>733848.46614866424</v>
      </c>
      <c r="D334" s="259">
        <f t="shared" ref="D334:AG339" si="197">D300*D$319</f>
        <v>705845.45670474728</v>
      </c>
      <c r="E334" s="259">
        <f t="shared" si="197"/>
        <v>679669.32905296539</v>
      </c>
      <c r="F334" s="259">
        <f t="shared" si="197"/>
        <v>655325.1133278358</v>
      </c>
      <c r="G334" s="259">
        <f t="shared" si="197"/>
        <v>632693.96807306411</v>
      </c>
      <c r="H334" s="259">
        <f t="shared" si="197"/>
        <v>611688.79080239718</v>
      </c>
      <c r="I334" s="259">
        <f t="shared" si="197"/>
        <v>582809.49405961495</v>
      </c>
      <c r="J334" s="259">
        <f t="shared" si="197"/>
        <v>555606.09265518852</v>
      </c>
      <c r="K334" s="259">
        <f t="shared" si="197"/>
        <v>530013.20141108765</v>
      </c>
      <c r="L334" s="259">
        <f t="shared" si="197"/>
        <v>505967.48091658496</v>
      </c>
      <c r="M334" s="259">
        <f t="shared" si="197"/>
        <v>483407.62067988969</v>
      </c>
      <c r="N334" s="259">
        <f t="shared" si="197"/>
        <v>471463.0208451061</v>
      </c>
      <c r="O334" s="259">
        <f t="shared" si="197"/>
        <v>460232.26771092066</v>
      </c>
      <c r="P334" s="259">
        <f t="shared" si="197"/>
        <v>449569.53822686366</v>
      </c>
      <c r="Q334" s="259">
        <f t="shared" si="197"/>
        <v>439492.7106671884</v>
      </c>
      <c r="R334" s="259">
        <f t="shared" si="197"/>
        <v>429939.01786947006</v>
      </c>
      <c r="S334" s="259">
        <f t="shared" si="197"/>
        <v>422752.10590089887</v>
      </c>
      <c r="T334" s="259">
        <f t="shared" si="197"/>
        <v>415899.83675024461</v>
      </c>
      <c r="U334" s="259">
        <f t="shared" si="197"/>
        <v>409317.52039655787</v>
      </c>
      <c r="V334" s="259">
        <f t="shared" si="197"/>
        <v>402941.68528629828</v>
      </c>
      <c r="W334" s="259">
        <f t="shared" si="197"/>
        <v>396710.06926608132</v>
      </c>
      <c r="X334" s="259">
        <f t="shared" si="197"/>
        <v>383999.76007433893</v>
      </c>
      <c r="Y334" s="259">
        <f t="shared" si="197"/>
        <v>372055.81012805487</v>
      </c>
      <c r="Z334" s="259">
        <f t="shared" si="197"/>
        <v>360660.53540540254</v>
      </c>
      <c r="AA334" s="259">
        <f t="shared" si="197"/>
        <v>349909.52193524508</v>
      </c>
      <c r="AB334" s="259">
        <f t="shared" si="197"/>
        <v>339740.61984055658</v>
      </c>
      <c r="AC334" s="259">
        <f t="shared" si="197"/>
        <v>329364.88858336746</v>
      </c>
      <c r="AD334" s="259">
        <f t="shared" si="197"/>
        <v>319527.17866876151</v>
      </c>
      <c r="AE334" s="259">
        <f t="shared" si="197"/>
        <v>310175.95493596618</v>
      </c>
      <c r="AF334" s="259">
        <f t="shared" si="197"/>
        <v>301261.42003199406</v>
      </c>
      <c r="AG334" s="259">
        <f t="shared" si="197"/>
        <v>292735.50000033196</v>
      </c>
      <c r="AI334" s="286"/>
      <c r="AJ334" s="297"/>
    </row>
    <row r="335" spans="1:36">
      <c r="A335" s="295" t="s">
        <v>658</v>
      </c>
      <c r="B335" s="252" t="s">
        <v>127</v>
      </c>
      <c r="C335" s="218">
        <f t="shared" ref="C335:R339" si="198">C301*C$319</f>
        <v>7565.448104625405</v>
      </c>
      <c r="D335" s="218">
        <f t="shared" si="198"/>
        <v>7274.2575407565855</v>
      </c>
      <c r="E335" s="218">
        <f t="shared" si="198"/>
        <v>7002.0878679907164</v>
      </c>
      <c r="F335" s="218">
        <f t="shared" si="198"/>
        <v>6748.9713010075793</v>
      </c>
      <c r="G335" s="218">
        <f t="shared" si="198"/>
        <v>6513.6647365106128</v>
      </c>
      <c r="H335" s="218">
        <f t="shared" si="198"/>
        <v>6295.2534216370223</v>
      </c>
      <c r="I335" s="218">
        <f t="shared" si="198"/>
        <v>5995.9824491729951</v>
      </c>
      <c r="J335" s="218">
        <f t="shared" si="198"/>
        <v>5714.1524784558314</v>
      </c>
      <c r="K335" s="218">
        <f t="shared" si="198"/>
        <v>5449.0733524100879</v>
      </c>
      <c r="L335" s="218">
        <f t="shared" si="198"/>
        <v>5200.07688506254</v>
      </c>
      <c r="M335" s="218">
        <f t="shared" si="198"/>
        <v>4966.5166508207867</v>
      </c>
      <c r="N335" s="218">
        <f t="shared" si="198"/>
        <v>4842.1398922811331</v>
      </c>
      <c r="O335" s="218">
        <f t="shared" si="198"/>
        <v>4725.1772865597623</v>
      </c>
      <c r="P335" s="218">
        <f t="shared" si="198"/>
        <v>4614.1245798172822</v>
      </c>
      <c r="Q335" s="218">
        <f t="shared" si="198"/>
        <v>4509.1591381722501</v>
      </c>
      <c r="R335" s="218">
        <f t="shared" si="198"/>
        <v>4409.6309525073875</v>
      </c>
      <c r="S335" s="218">
        <f t="shared" si="197"/>
        <v>4334.4371760174217</v>
      </c>
      <c r="T335" s="218">
        <f t="shared" si="197"/>
        <v>4262.7246677510584</v>
      </c>
      <c r="U335" s="218">
        <f t="shared" si="197"/>
        <v>4193.8270532434235</v>
      </c>
      <c r="V335" s="218">
        <f t="shared" si="197"/>
        <v>4127.0913481013849</v>
      </c>
      <c r="W335" s="218">
        <f t="shared" si="197"/>
        <v>4061.8778423148292</v>
      </c>
      <c r="X335" s="218">
        <f t="shared" si="197"/>
        <v>3930.396725428242</v>
      </c>
      <c r="Y335" s="218">
        <f t="shared" si="197"/>
        <v>3806.8466247754627</v>
      </c>
      <c r="Z335" s="218">
        <f t="shared" si="197"/>
        <v>3688.9928612894937</v>
      </c>
      <c r="AA335" s="218">
        <f t="shared" si="197"/>
        <v>3577.8069727530201</v>
      </c>
      <c r="AB335" s="218">
        <f t="shared" si="197"/>
        <v>3472.6468808234099</v>
      </c>
      <c r="AC335" s="218">
        <f t="shared" si="197"/>
        <v>3365.4450468327768</v>
      </c>
      <c r="AD335" s="218">
        <f t="shared" si="197"/>
        <v>3263.8118352273941</v>
      </c>
      <c r="AE335" s="218">
        <f t="shared" si="197"/>
        <v>3167.2153329063976</v>
      </c>
      <c r="AF335" s="218">
        <f t="shared" si="197"/>
        <v>3075.1420894725529</v>
      </c>
      <c r="AG335" s="218">
        <f t="shared" si="197"/>
        <v>2987.0969387788978</v>
      </c>
      <c r="AI335" s="246"/>
    </row>
    <row r="336" spans="1:36">
      <c r="A336" s="295" t="s">
        <v>659</v>
      </c>
      <c r="B336" s="252" t="s">
        <v>127</v>
      </c>
      <c r="C336" s="218">
        <f t="shared" si="198"/>
        <v>0</v>
      </c>
      <c r="D336" s="218">
        <f t="shared" si="197"/>
        <v>0</v>
      </c>
      <c r="E336" s="218">
        <f t="shared" si="197"/>
        <v>0</v>
      </c>
      <c r="F336" s="218">
        <f t="shared" si="197"/>
        <v>0</v>
      </c>
      <c r="G336" s="218">
        <f t="shared" si="197"/>
        <v>0</v>
      </c>
      <c r="H336" s="218">
        <f t="shared" si="197"/>
        <v>0</v>
      </c>
      <c r="I336" s="218">
        <f t="shared" si="197"/>
        <v>0</v>
      </c>
      <c r="J336" s="218">
        <f t="shared" si="197"/>
        <v>0</v>
      </c>
      <c r="K336" s="218">
        <f t="shared" si="197"/>
        <v>0</v>
      </c>
      <c r="L336" s="218">
        <f t="shared" si="197"/>
        <v>0</v>
      </c>
      <c r="M336" s="218">
        <f t="shared" si="197"/>
        <v>0</v>
      </c>
      <c r="N336" s="218">
        <f t="shared" si="197"/>
        <v>0</v>
      </c>
      <c r="O336" s="218">
        <f t="shared" si="197"/>
        <v>0</v>
      </c>
      <c r="P336" s="218">
        <f t="shared" si="197"/>
        <v>0</v>
      </c>
      <c r="Q336" s="218">
        <f t="shared" si="197"/>
        <v>0</v>
      </c>
      <c r="R336" s="218">
        <f t="shared" si="197"/>
        <v>0</v>
      </c>
      <c r="S336" s="218">
        <f t="shared" si="197"/>
        <v>0</v>
      </c>
      <c r="T336" s="218">
        <f t="shared" si="197"/>
        <v>0</v>
      </c>
      <c r="U336" s="218">
        <f t="shared" si="197"/>
        <v>0</v>
      </c>
      <c r="V336" s="218">
        <f t="shared" si="197"/>
        <v>0</v>
      </c>
      <c r="W336" s="218">
        <f t="shared" si="197"/>
        <v>0</v>
      </c>
      <c r="X336" s="218">
        <f t="shared" si="197"/>
        <v>0</v>
      </c>
      <c r="Y336" s="218">
        <f t="shared" si="197"/>
        <v>0</v>
      </c>
      <c r="Z336" s="218">
        <f t="shared" si="197"/>
        <v>0</v>
      </c>
      <c r="AA336" s="218">
        <f t="shared" si="197"/>
        <v>0</v>
      </c>
      <c r="AB336" s="218">
        <f t="shared" si="197"/>
        <v>0</v>
      </c>
      <c r="AC336" s="218">
        <f t="shared" si="197"/>
        <v>0</v>
      </c>
      <c r="AD336" s="218">
        <f t="shared" si="197"/>
        <v>0</v>
      </c>
      <c r="AE336" s="218">
        <f t="shared" si="197"/>
        <v>0</v>
      </c>
      <c r="AF336" s="218">
        <f t="shared" si="197"/>
        <v>0</v>
      </c>
      <c r="AG336" s="218">
        <f t="shared" si="197"/>
        <v>0</v>
      </c>
      <c r="AI336" s="246"/>
    </row>
    <row r="337" spans="1:36">
      <c r="A337" s="295" t="s">
        <v>660</v>
      </c>
      <c r="B337" s="252" t="s">
        <v>127</v>
      </c>
      <c r="C337" s="218">
        <f t="shared" si="198"/>
        <v>0</v>
      </c>
      <c r="D337" s="218">
        <f t="shared" si="197"/>
        <v>0</v>
      </c>
      <c r="E337" s="218">
        <f t="shared" si="197"/>
        <v>0</v>
      </c>
      <c r="F337" s="218">
        <f t="shared" si="197"/>
        <v>0</v>
      </c>
      <c r="G337" s="218">
        <f t="shared" si="197"/>
        <v>0</v>
      </c>
      <c r="H337" s="218">
        <f t="shared" si="197"/>
        <v>0</v>
      </c>
      <c r="I337" s="218">
        <f t="shared" si="197"/>
        <v>0</v>
      </c>
      <c r="J337" s="218">
        <f t="shared" si="197"/>
        <v>0</v>
      </c>
      <c r="K337" s="218">
        <f t="shared" si="197"/>
        <v>0</v>
      </c>
      <c r="L337" s="218">
        <f t="shared" si="197"/>
        <v>0</v>
      </c>
      <c r="M337" s="218">
        <f t="shared" si="197"/>
        <v>0</v>
      </c>
      <c r="N337" s="218">
        <f t="shared" si="197"/>
        <v>0</v>
      </c>
      <c r="O337" s="218">
        <f t="shared" si="197"/>
        <v>0</v>
      </c>
      <c r="P337" s="218">
        <f t="shared" si="197"/>
        <v>0</v>
      </c>
      <c r="Q337" s="218">
        <f t="shared" si="197"/>
        <v>0</v>
      </c>
      <c r="R337" s="218">
        <f t="shared" si="197"/>
        <v>0</v>
      </c>
      <c r="S337" s="218">
        <f t="shared" si="197"/>
        <v>0</v>
      </c>
      <c r="T337" s="218">
        <f t="shared" si="197"/>
        <v>0</v>
      </c>
      <c r="U337" s="218">
        <f t="shared" si="197"/>
        <v>0</v>
      </c>
      <c r="V337" s="218">
        <f t="shared" si="197"/>
        <v>0</v>
      </c>
      <c r="W337" s="218">
        <f t="shared" si="197"/>
        <v>0</v>
      </c>
      <c r="X337" s="218">
        <f t="shared" si="197"/>
        <v>0</v>
      </c>
      <c r="Y337" s="218">
        <f t="shared" si="197"/>
        <v>0</v>
      </c>
      <c r="Z337" s="218">
        <f t="shared" si="197"/>
        <v>0</v>
      </c>
      <c r="AA337" s="218">
        <f t="shared" si="197"/>
        <v>0</v>
      </c>
      <c r="AB337" s="218">
        <f t="shared" si="197"/>
        <v>0</v>
      </c>
      <c r="AC337" s="218">
        <f t="shared" si="197"/>
        <v>0</v>
      </c>
      <c r="AD337" s="218">
        <f t="shared" si="197"/>
        <v>0</v>
      </c>
      <c r="AE337" s="218">
        <f t="shared" si="197"/>
        <v>0</v>
      </c>
      <c r="AF337" s="218">
        <f t="shared" si="197"/>
        <v>0</v>
      </c>
      <c r="AG337" s="218">
        <f t="shared" si="197"/>
        <v>0</v>
      </c>
      <c r="AI337" s="246"/>
    </row>
    <row r="338" spans="1:36">
      <c r="A338" s="295" t="s">
        <v>661</v>
      </c>
      <c r="B338" s="252" t="s">
        <v>127</v>
      </c>
      <c r="C338" s="218">
        <f t="shared" si="198"/>
        <v>11348.172156938106</v>
      </c>
      <c r="D338" s="218">
        <f t="shared" si="197"/>
        <v>10717.406110048034</v>
      </c>
      <c r="E338" s="218">
        <f t="shared" si="197"/>
        <v>10129.687115693236</v>
      </c>
      <c r="F338" s="218">
        <f t="shared" si="197"/>
        <v>9583.5392474307628</v>
      </c>
      <c r="G338" s="218">
        <f t="shared" si="197"/>
        <v>9075.7061995381209</v>
      </c>
      <c r="H338" s="218">
        <f t="shared" si="197"/>
        <v>8603.5130095705972</v>
      </c>
      <c r="I338" s="218">
        <f t="shared" si="197"/>
        <v>8034.6164818918123</v>
      </c>
      <c r="J338" s="218">
        <f t="shared" si="197"/>
        <v>7504.5869217053241</v>
      </c>
      <c r="K338" s="218">
        <f t="shared" si="197"/>
        <v>7011.1410467676451</v>
      </c>
      <c r="L338" s="218">
        <f t="shared" si="197"/>
        <v>6552.0968751787996</v>
      </c>
      <c r="M338" s="218">
        <f t="shared" si="197"/>
        <v>6125.3705360123022</v>
      </c>
      <c r="N338" s="218">
        <f t="shared" si="197"/>
        <v>5842.8488033525664</v>
      </c>
      <c r="O338" s="218">
        <f t="shared" si="197"/>
        <v>5575.7091981405183</v>
      </c>
      <c r="P338" s="218">
        <f t="shared" si="197"/>
        <v>5321.6236820559316</v>
      </c>
      <c r="Q338" s="218">
        <f t="shared" si="197"/>
        <v>5080.3192956740677</v>
      </c>
      <c r="R338" s="218">
        <f t="shared" si="197"/>
        <v>4850.5940477581253</v>
      </c>
      <c r="S338" s="218">
        <f t="shared" si="197"/>
        <v>4652.2959022586974</v>
      </c>
      <c r="T338" s="218">
        <f t="shared" si="197"/>
        <v>4461.6518189127728</v>
      </c>
      <c r="U338" s="218">
        <f t="shared" si="197"/>
        <v>4277.703594308291</v>
      </c>
      <c r="V338" s="218">
        <f t="shared" si="197"/>
        <v>4099.5774057807075</v>
      </c>
      <c r="W338" s="218">
        <f t="shared" si="197"/>
        <v>3926.4819142376668</v>
      </c>
      <c r="X338" s="218">
        <f t="shared" si="197"/>
        <v>3694.5729219025461</v>
      </c>
      <c r="Y338" s="218">
        <f t="shared" si="197"/>
        <v>3476.9199172949211</v>
      </c>
      <c r="Z338" s="218">
        <f t="shared" si="197"/>
        <v>3270.9070036766834</v>
      </c>
      <c r="AA338" s="218">
        <f t="shared" si="197"/>
        <v>3076.9139965675963</v>
      </c>
      <c r="AB338" s="218">
        <f t="shared" si="197"/>
        <v>2893.8724006861735</v>
      </c>
      <c r="AC338" s="218">
        <f t="shared" si="197"/>
        <v>2714.7923377784387</v>
      </c>
      <c r="AD338" s="218">
        <f t="shared" si="197"/>
        <v>2545.7732314773662</v>
      </c>
      <c r="AE338" s="218">
        <f t="shared" si="197"/>
        <v>2385.9688841228181</v>
      </c>
      <c r="AF338" s="218">
        <f t="shared" si="197"/>
        <v>2234.603251683387</v>
      </c>
      <c r="AG338" s="218">
        <f t="shared" si="197"/>
        <v>2090.9678571452287</v>
      </c>
      <c r="AI338" s="246"/>
    </row>
    <row r="339" spans="1:36" s="62" customFormat="1">
      <c r="A339" s="296" t="s">
        <v>662</v>
      </c>
      <c r="B339" s="262" t="s">
        <v>127</v>
      </c>
      <c r="C339" s="263">
        <f t="shared" si="198"/>
        <v>3782.7240523127025</v>
      </c>
      <c r="D339" s="263">
        <f t="shared" si="197"/>
        <v>3588.6337201065821</v>
      </c>
      <c r="E339" s="263">
        <f t="shared" si="197"/>
        <v>3407.6827624221492</v>
      </c>
      <c r="F339" s="263">
        <f t="shared" si="197"/>
        <v>3239.506224483639</v>
      </c>
      <c r="G339" s="263">
        <f t="shared" si="197"/>
        <v>3083.134641948358</v>
      </c>
      <c r="H339" s="263">
        <f t="shared" si="197"/>
        <v>2937.7849300972784</v>
      </c>
      <c r="I339" s="263">
        <f t="shared" si="197"/>
        <v>2758.1519266195792</v>
      </c>
      <c r="J339" s="263">
        <f t="shared" si="197"/>
        <v>2590.4157902333118</v>
      </c>
      <c r="K339" s="263">
        <f t="shared" si="197"/>
        <v>2433.9194307431744</v>
      </c>
      <c r="L339" s="263">
        <f t="shared" si="197"/>
        <v>2288.0338294275193</v>
      </c>
      <c r="M339" s="263">
        <f t="shared" si="197"/>
        <v>2152.1572153556763</v>
      </c>
      <c r="N339" s="263">
        <f t="shared" si="197"/>
        <v>2065.9796873732857</v>
      </c>
      <c r="O339" s="263">
        <f t="shared" si="197"/>
        <v>1984.5744603551025</v>
      </c>
      <c r="P339" s="263">
        <f t="shared" si="197"/>
        <v>1907.1714929911459</v>
      </c>
      <c r="Q339" s="263">
        <f t="shared" si="197"/>
        <v>1833.7247161900509</v>
      </c>
      <c r="R339" s="263">
        <f t="shared" si="197"/>
        <v>1763.8523810029578</v>
      </c>
      <c r="S339" s="263">
        <f t="shared" si="197"/>
        <v>1704.8786225668553</v>
      </c>
      <c r="T339" s="263">
        <f t="shared" si="197"/>
        <v>1648.2535381970786</v>
      </c>
      <c r="U339" s="263">
        <f t="shared" si="197"/>
        <v>1593.6542802325037</v>
      </c>
      <c r="V339" s="263">
        <f t="shared" si="197"/>
        <v>1540.780769957853</v>
      </c>
      <c r="W339" s="263">
        <f t="shared" si="197"/>
        <v>1489.3552088487731</v>
      </c>
      <c r="X339" s="263">
        <f t="shared" si="197"/>
        <v>1414.9428211541695</v>
      </c>
      <c r="Y339" s="263">
        <f t="shared" si="197"/>
        <v>1345.0858074206658</v>
      </c>
      <c r="Z339" s="263">
        <f t="shared" si="197"/>
        <v>1278.8508585803602</v>
      </c>
      <c r="AA339" s="263">
        <f t="shared" si="197"/>
        <v>1216.4543707360292</v>
      </c>
      <c r="AB339" s="263">
        <f t="shared" si="197"/>
        <v>1157.5489602744722</v>
      </c>
      <c r="AC339" s="263">
        <f t="shared" si="197"/>
        <v>1099.3787152987093</v>
      </c>
      <c r="AD339" s="263">
        <f t="shared" si="197"/>
        <v>1044.4197872727682</v>
      </c>
      <c r="AE339" s="263">
        <f t="shared" si="197"/>
        <v>992.39413764400649</v>
      </c>
      <c r="AF339" s="263">
        <f t="shared" si="197"/>
        <v>943.04357410491809</v>
      </c>
      <c r="AG339" s="263">
        <f t="shared" si="197"/>
        <v>896.12908163366933</v>
      </c>
      <c r="AI339" s="264"/>
      <c r="AJ339" s="265"/>
    </row>
    <row r="340" spans="1:36" s="160" customFormat="1">
      <c r="B340" s="156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J340" s="272"/>
    </row>
    <row r="341" spans="1:36" s="160" customFormat="1" ht="14.75" customHeight="1">
      <c r="A341" s="160" t="s">
        <v>1259</v>
      </c>
      <c r="B341" s="299" t="s">
        <v>127</v>
      </c>
      <c r="C341" s="203">
        <f>C274</f>
        <v>607972.99627735908</v>
      </c>
      <c r="D341" s="203">
        <f t="shared" ref="D341:AG341" si="199">D274</f>
        <v>627076.02157340618</v>
      </c>
      <c r="E341" s="203">
        <f t="shared" si="199"/>
        <v>642107.0740080846</v>
      </c>
      <c r="F341" s="203">
        <f t="shared" si="199"/>
        <v>656381.30903086939</v>
      </c>
      <c r="G341" s="203">
        <f t="shared" si="199"/>
        <v>668916.7340491449</v>
      </c>
      <c r="H341" s="203">
        <f t="shared" si="199"/>
        <v>679804.69186257268</v>
      </c>
      <c r="I341" s="203">
        <f t="shared" si="199"/>
        <v>688283.71227467514</v>
      </c>
      <c r="J341" s="203">
        <f t="shared" si="199"/>
        <v>695106.94810910639</v>
      </c>
      <c r="K341" s="203">
        <f t="shared" si="199"/>
        <v>700343.1296716053</v>
      </c>
      <c r="L341" s="203">
        <f t="shared" si="199"/>
        <v>704058.79098738404</v>
      </c>
      <c r="M341" s="203">
        <f t="shared" si="199"/>
        <v>706318.29087099642</v>
      </c>
      <c r="N341" s="203">
        <f t="shared" si="199"/>
        <v>692646.04202462733</v>
      </c>
      <c r="O341" s="203">
        <f t="shared" si="199"/>
        <v>678341.79458307847</v>
      </c>
      <c r="P341" s="203">
        <f t="shared" si="199"/>
        <v>663448.7758699574</v>
      </c>
      <c r="Q341" s="203">
        <f t="shared" si="199"/>
        <v>648055.53328203317</v>
      </c>
      <c r="R341" s="203">
        <f t="shared" si="199"/>
        <v>632226.71686575538</v>
      </c>
      <c r="S341" s="203">
        <f t="shared" si="199"/>
        <v>616279.95602401998</v>
      </c>
      <c r="T341" s="203">
        <f t="shared" si="199"/>
        <v>600082.77414557547</v>
      </c>
      <c r="U341" s="203">
        <f t="shared" si="199"/>
        <v>583701.49313133804</v>
      </c>
      <c r="V341" s="203">
        <f t="shared" si="199"/>
        <v>567201.09678880428</v>
      </c>
      <c r="W341" s="203">
        <f t="shared" si="199"/>
        <v>550645.24239843374</v>
      </c>
      <c r="X341" s="203">
        <f t="shared" si="199"/>
        <v>544363.51969236112</v>
      </c>
      <c r="Y341" s="203">
        <f t="shared" si="199"/>
        <v>537369.15468366398</v>
      </c>
      <c r="Z341" s="203">
        <f t="shared" si="199"/>
        <v>529632.63141068793</v>
      </c>
      <c r="AA341" s="203">
        <f t="shared" si="199"/>
        <v>521306.08599842561</v>
      </c>
      <c r="AB341" s="203">
        <f t="shared" si="199"/>
        <v>512453.49342187447</v>
      </c>
      <c r="AC341" s="203">
        <f t="shared" si="199"/>
        <v>502730.22860063403</v>
      </c>
      <c r="AD341" s="203">
        <f t="shared" si="199"/>
        <v>492531.25269173499</v>
      </c>
      <c r="AE341" s="203">
        <f t="shared" si="199"/>
        <v>481909.50920086831</v>
      </c>
      <c r="AF341" s="203">
        <f t="shared" si="199"/>
        <v>470916.09603799751</v>
      </c>
      <c r="AG341" s="203">
        <f t="shared" si="199"/>
        <v>459600.28336097673</v>
      </c>
      <c r="AI341" s="616"/>
      <c r="AJ341" s="272"/>
    </row>
    <row r="342" spans="1:36" s="160" customFormat="1">
      <c r="A342" s="160" t="s">
        <v>1260</v>
      </c>
      <c r="B342" s="298" t="s">
        <v>127</v>
      </c>
      <c r="C342" s="218">
        <f>C341/(1-C299)</f>
        <v>832839.72092788923</v>
      </c>
      <c r="D342" s="218">
        <f t="shared" ref="D342:AG342" si="200">D341/(1-D299)</f>
        <v>854327.00486840075</v>
      </c>
      <c r="E342" s="218">
        <f t="shared" si="200"/>
        <v>870063.78591881378</v>
      </c>
      <c r="F342" s="218">
        <f t="shared" si="200"/>
        <v>884610.92861303152</v>
      </c>
      <c r="G342" s="218">
        <f t="shared" si="200"/>
        <v>896671.22526695032</v>
      </c>
      <c r="H342" s="218">
        <f t="shared" si="200"/>
        <v>906406.25581676362</v>
      </c>
      <c r="I342" s="218">
        <f t="shared" si="200"/>
        <v>912843.11972768581</v>
      </c>
      <c r="J342" s="218">
        <f t="shared" si="200"/>
        <v>917027.63602784486</v>
      </c>
      <c r="K342" s="218">
        <f t="shared" si="200"/>
        <v>919085.4720099807</v>
      </c>
      <c r="L342" s="218">
        <f t="shared" si="200"/>
        <v>919136.80285559269</v>
      </c>
      <c r="M342" s="218">
        <f t="shared" si="200"/>
        <v>917296.48165064468</v>
      </c>
      <c r="N342" s="218">
        <f t="shared" si="200"/>
        <v>894891.52716360113</v>
      </c>
      <c r="O342" s="218">
        <f t="shared" si="200"/>
        <v>871904.62028673326</v>
      </c>
      <c r="P342" s="218">
        <f t="shared" si="200"/>
        <v>848399.96914316795</v>
      </c>
      <c r="Q342" s="218">
        <f t="shared" si="200"/>
        <v>824498.13394660701</v>
      </c>
      <c r="R342" s="218">
        <f t="shared" si="200"/>
        <v>800286.98337437387</v>
      </c>
      <c r="S342" s="218">
        <f t="shared" si="200"/>
        <v>776171.22924939543</v>
      </c>
      <c r="T342" s="218">
        <f t="shared" si="200"/>
        <v>751983.42624758824</v>
      </c>
      <c r="U342" s="218">
        <f t="shared" si="200"/>
        <v>727807.34804406238</v>
      </c>
      <c r="V342" s="218">
        <f t="shared" si="200"/>
        <v>703723.44514739979</v>
      </c>
      <c r="W342" s="218">
        <f t="shared" si="200"/>
        <v>679808.94123263424</v>
      </c>
      <c r="X342" s="218">
        <f t="shared" si="200"/>
        <v>668751.2526933183</v>
      </c>
      <c r="Y342" s="218">
        <f t="shared" si="200"/>
        <v>656930.50694824441</v>
      </c>
      <c r="Z342" s="218">
        <f t="shared" si="200"/>
        <v>644321.93602273462</v>
      </c>
      <c r="AA342" s="218">
        <f t="shared" si="200"/>
        <v>631121.16948961932</v>
      </c>
      <c r="AB342" s="218">
        <f t="shared" si="200"/>
        <v>617413.84749623423</v>
      </c>
      <c r="AC342" s="218">
        <f t="shared" si="200"/>
        <v>602794.03908948915</v>
      </c>
      <c r="AD342" s="218">
        <f t="shared" si="200"/>
        <v>587746.1249304713</v>
      </c>
      <c r="AE342" s="218">
        <f t="shared" si="200"/>
        <v>572339.08456160128</v>
      </c>
      <c r="AF342" s="218">
        <f t="shared" si="200"/>
        <v>556638.41139243194</v>
      </c>
      <c r="AG342" s="218">
        <f t="shared" si="200"/>
        <v>540706.21571879613</v>
      </c>
      <c r="AI342" s="616"/>
      <c r="AJ342" s="272"/>
    </row>
    <row r="343" spans="1:36" s="160" customFormat="1">
      <c r="A343" s="160" t="s">
        <v>1261</v>
      </c>
      <c r="B343" s="298" t="s">
        <v>127</v>
      </c>
      <c r="C343" s="218">
        <f>C331</f>
        <v>0</v>
      </c>
      <c r="D343" s="218">
        <f t="shared" ref="D343:AG343" si="201">D331</f>
        <v>0</v>
      </c>
      <c r="E343" s="218">
        <f t="shared" si="201"/>
        <v>0</v>
      </c>
      <c r="F343" s="218">
        <f t="shared" si="201"/>
        <v>0</v>
      </c>
      <c r="G343" s="218">
        <f t="shared" si="201"/>
        <v>0</v>
      </c>
      <c r="H343" s="218">
        <f t="shared" si="201"/>
        <v>0</v>
      </c>
      <c r="I343" s="218">
        <f t="shared" si="201"/>
        <v>0</v>
      </c>
      <c r="J343" s="218">
        <f t="shared" si="201"/>
        <v>0</v>
      </c>
      <c r="K343" s="218">
        <f t="shared" si="201"/>
        <v>0</v>
      </c>
      <c r="L343" s="218">
        <f t="shared" si="201"/>
        <v>0</v>
      </c>
      <c r="M343" s="218">
        <f t="shared" si="201"/>
        <v>0</v>
      </c>
      <c r="N343" s="218">
        <f t="shared" si="201"/>
        <v>0</v>
      </c>
      <c r="O343" s="218">
        <f t="shared" si="201"/>
        <v>0</v>
      </c>
      <c r="P343" s="218">
        <f t="shared" si="201"/>
        <v>0</v>
      </c>
      <c r="Q343" s="218">
        <f t="shared" si="201"/>
        <v>0</v>
      </c>
      <c r="R343" s="218">
        <f t="shared" si="201"/>
        <v>0</v>
      </c>
      <c r="S343" s="218">
        <f t="shared" si="201"/>
        <v>0</v>
      </c>
      <c r="T343" s="218">
        <f t="shared" si="201"/>
        <v>0</v>
      </c>
      <c r="U343" s="218">
        <f t="shared" si="201"/>
        <v>0</v>
      </c>
      <c r="V343" s="218">
        <f t="shared" si="201"/>
        <v>0</v>
      </c>
      <c r="W343" s="218">
        <f t="shared" si="201"/>
        <v>0</v>
      </c>
      <c r="X343" s="218">
        <f t="shared" si="201"/>
        <v>0</v>
      </c>
      <c r="Y343" s="218">
        <f t="shared" si="201"/>
        <v>0</v>
      </c>
      <c r="Z343" s="218">
        <f t="shared" si="201"/>
        <v>0</v>
      </c>
      <c r="AA343" s="218">
        <f t="shared" si="201"/>
        <v>0</v>
      </c>
      <c r="AB343" s="218">
        <f t="shared" si="201"/>
        <v>0</v>
      </c>
      <c r="AC343" s="218">
        <f t="shared" si="201"/>
        <v>0</v>
      </c>
      <c r="AD343" s="218">
        <f t="shared" si="201"/>
        <v>0</v>
      </c>
      <c r="AE343" s="218">
        <f t="shared" si="201"/>
        <v>0</v>
      </c>
      <c r="AF343" s="218">
        <f t="shared" si="201"/>
        <v>0</v>
      </c>
      <c r="AG343" s="218">
        <f t="shared" si="201"/>
        <v>0</v>
      </c>
      <c r="AI343" s="616"/>
      <c r="AJ343" s="272"/>
    </row>
    <row r="344" spans="1:36" s="160" customFormat="1">
      <c r="A344" s="160" t="s">
        <v>1262</v>
      </c>
      <c r="B344" s="298" t="s">
        <v>127</v>
      </c>
      <c r="C344" s="218">
        <f>C342-C343</f>
        <v>832839.72092788923</v>
      </c>
      <c r="D344" s="218">
        <f t="shared" ref="D344:AG344" si="202">D342-D343</f>
        <v>854327.00486840075</v>
      </c>
      <c r="E344" s="218">
        <f t="shared" si="202"/>
        <v>870063.78591881378</v>
      </c>
      <c r="F344" s="218">
        <f t="shared" si="202"/>
        <v>884610.92861303152</v>
      </c>
      <c r="G344" s="218">
        <f t="shared" si="202"/>
        <v>896671.22526695032</v>
      </c>
      <c r="H344" s="218">
        <f t="shared" si="202"/>
        <v>906406.25581676362</v>
      </c>
      <c r="I344" s="218">
        <f t="shared" si="202"/>
        <v>912843.11972768581</v>
      </c>
      <c r="J344" s="218">
        <f t="shared" si="202"/>
        <v>917027.63602784486</v>
      </c>
      <c r="K344" s="218">
        <f t="shared" si="202"/>
        <v>919085.4720099807</v>
      </c>
      <c r="L344" s="218">
        <f t="shared" si="202"/>
        <v>919136.80285559269</v>
      </c>
      <c r="M344" s="218">
        <f t="shared" si="202"/>
        <v>917296.48165064468</v>
      </c>
      <c r="N344" s="218">
        <f t="shared" si="202"/>
        <v>894891.52716360113</v>
      </c>
      <c r="O344" s="218">
        <f t="shared" si="202"/>
        <v>871904.62028673326</v>
      </c>
      <c r="P344" s="218">
        <f t="shared" si="202"/>
        <v>848399.96914316795</v>
      </c>
      <c r="Q344" s="218">
        <f t="shared" si="202"/>
        <v>824498.13394660701</v>
      </c>
      <c r="R344" s="218">
        <f t="shared" si="202"/>
        <v>800286.98337437387</v>
      </c>
      <c r="S344" s="218">
        <f t="shared" si="202"/>
        <v>776171.22924939543</v>
      </c>
      <c r="T344" s="218">
        <f t="shared" si="202"/>
        <v>751983.42624758824</v>
      </c>
      <c r="U344" s="218">
        <f t="shared" si="202"/>
        <v>727807.34804406238</v>
      </c>
      <c r="V344" s="218">
        <f t="shared" si="202"/>
        <v>703723.44514739979</v>
      </c>
      <c r="W344" s="218">
        <f t="shared" si="202"/>
        <v>679808.94123263424</v>
      </c>
      <c r="X344" s="218">
        <f t="shared" si="202"/>
        <v>668751.2526933183</v>
      </c>
      <c r="Y344" s="218">
        <f t="shared" si="202"/>
        <v>656930.50694824441</v>
      </c>
      <c r="Z344" s="218">
        <f t="shared" si="202"/>
        <v>644321.93602273462</v>
      </c>
      <c r="AA344" s="218">
        <f t="shared" si="202"/>
        <v>631121.16948961932</v>
      </c>
      <c r="AB344" s="218">
        <f t="shared" si="202"/>
        <v>617413.84749623423</v>
      </c>
      <c r="AC344" s="218">
        <f t="shared" si="202"/>
        <v>602794.03908948915</v>
      </c>
      <c r="AD344" s="218">
        <f t="shared" si="202"/>
        <v>587746.1249304713</v>
      </c>
      <c r="AE344" s="218">
        <f t="shared" si="202"/>
        <v>572339.08456160128</v>
      </c>
      <c r="AF344" s="218">
        <f t="shared" si="202"/>
        <v>556638.41139243194</v>
      </c>
      <c r="AG344" s="218">
        <f t="shared" si="202"/>
        <v>540706.21571879613</v>
      </c>
      <c r="AI344" s="616"/>
      <c r="AJ344" s="272"/>
    </row>
    <row r="345" spans="1:36" s="160" customFormat="1">
      <c r="A345" s="160" t="s">
        <v>1263</v>
      </c>
      <c r="B345" s="298" t="s">
        <v>127</v>
      </c>
      <c r="C345" s="218">
        <f>(C344)/(1-C296)</f>
        <v>1041049.6511598615</v>
      </c>
      <c r="D345" s="218">
        <f t="shared" ref="D345:AG345" si="203">(D342-D331)/(1-D296)</f>
        <v>1063477.5994212457</v>
      </c>
      <c r="E345" s="218">
        <f t="shared" si="203"/>
        <v>1078591.4701472898</v>
      </c>
      <c r="F345" s="218">
        <f t="shared" si="203"/>
        <v>1092112.2575469525</v>
      </c>
      <c r="G345" s="218">
        <f t="shared" si="203"/>
        <v>1102464.621229857</v>
      </c>
      <c r="H345" s="218">
        <f t="shared" si="203"/>
        <v>1109885.2112042003</v>
      </c>
      <c r="I345" s="218">
        <f t="shared" si="203"/>
        <v>1113223.3167410803</v>
      </c>
      <c r="J345" s="218">
        <f t="shared" si="203"/>
        <v>1113798.7482119575</v>
      </c>
      <c r="K345" s="218">
        <f t="shared" si="203"/>
        <v>1111796.9419475573</v>
      </c>
      <c r="L345" s="218">
        <f t="shared" si="203"/>
        <v>1107393.7383802321</v>
      </c>
      <c r="M345" s="218">
        <f t="shared" si="203"/>
        <v>1100755.7779807737</v>
      </c>
      <c r="N345" s="218">
        <f t="shared" si="203"/>
        <v>1069591.4667294039</v>
      </c>
      <c r="O345" s="218">
        <f t="shared" si="203"/>
        <v>1037981.6908175398</v>
      </c>
      <c r="P345" s="218">
        <f t="shared" si="203"/>
        <v>1006007.8685492111</v>
      </c>
      <c r="Q345" s="218">
        <f t="shared" si="203"/>
        <v>973816.69363772497</v>
      </c>
      <c r="R345" s="218">
        <f t="shared" si="203"/>
        <v>941514.0980874988</v>
      </c>
      <c r="S345" s="218">
        <f t="shared" si="203"/>
        <v>909575.65927663539</v>
      </c>
      <c r="T345" s="218">
        <f t="shared" si="203"/>
        <v>877801.66488045326</v>
      </c>
      <c r="U345" s="218">
        <f t="shared" si="203"/>
        <v>846287.61400472384</v>
      </c>
      <c r="V345" s="218">
        <f t="shared" si="203"/>
        <v>815123.68163791497</v>
      </c>
      <c r="W345" s="218">
        <f t="shared" si="203"/>
        <v>784394.93219150126</v>
      </c>
      <c r="X345" s="218">
        <f t="shared" si="203"/>
        <v>768679.60079691769</v>
      </c>
      <c r="Y345" s="218">
        <f t="shared" si="203"/>
        <v>752210.50413921126</v>
      </c>
      <c r="Z345" s="218">
        <f t="shared" si="203"/>
        <v>734967.98785863281</v>
      </c>
      <c r="AA345" s="218">
        <f t="shared" si="203"/>
        <v>717183.14714729472</v>
      </c>
      <c r="AB345" s="218">
        <f t="shared" si="203"/>
        <v>698959.07263724646</v>
      </c>
      <c r="AC345" s="218">
        <f t="shared" si="203"/>
        <v>679842.90122874733</v>
      </c>
      <c r="AD345" s="218">
        <f t="shared" si="203"/>
        <v>660388.90441626008</v>
      </c>
      <c r="AE345" s="218">
        <f t="shared" si="203"/>
        <v>640678.07973313599</v>
      </c>
      <c r="AF345" s="218">
        <f t="shared" si="203"/>
        <v>620786.33240791678</v>
      </c>
      <c r="AG345" s="218">
        <f t="shared" si="203"/>
        <v>600784.68413199566</v>
      </c>
      <c r="AI345" s="616"/>
      <c r="AJ345" s="272"/>
    </row>
    <row r="346" spans="1:36" s="160" customFormat="1">
      <c r="A346" s="160" t="s">
        <v>1264</v>
      </c>
      <c r="B346" s="298" t="s">
        <v>127</v>
      </c>
      <c r="C346" s="218">
        <f>IF(C325&gt;C345,C345,C325)</f>
        <v>200584.11759076524</v>
      </c>
      <c r="D346" s="218">
        <f t="shared" ref="D346:AG346" si="204">IF(D325&gt;D345,D345,D325)</f>
        <v>207589.2866338054</v>
      </c>
      <c r="E346" s="218">
        <f t="shared" si="204"/>
        <v>214128.61245526563</v>
      </c>
      <c r="F346" s="218">
        <f t="shared" si="204"/>
        <v>220711.3211451933</v>
      </c>
      <c r="G346" s="218">
        <f t="shared" si="204"/>
        <v>227168.51550943416</v>
      </c>
      <c r="H346" s="218">
        <f t="shared" si="204"/>
        <v>233500.8264292246</v>
      </c>
      <c r="I346" s="218">
        <f t="shared" si="204"/>
        <v>237763.61540895351</v>
      </c>
      <c r="J346" s="218">
        <f t="shared" si="204"/>
        <v>241779.22793243857</v>
      </c>
      <c r="K346" s="218">
        <f t="shared" si="204"/>
        <v>245549.00211983948</v>
      </c>
      <c r="L346" s="218">
        <f t="shared" si="204"/>
        <v>249074.27131384483</v>
      </c>
      <c r="M346" s="218">
        <f t="shared" si="204"/>
        <v>252356.36409326718</v>
      </c>
      <c r="N346" s="218">
        <f t="shared" si="204"/>
        <v>254294.47716860942</v>
      </c>
      <c r="O346" s="218">
        <f t="shared" si="204"/>
        <v>255932.74421599373</v>
      </c>
      <c r="P346" s="218">
        <f t="shared" si="204"/>
        <v>257248.39009156951</v>
      </c>
      <c r="Q346" s="218">
        <f t="shared" si="204"/>
        <v>258266.10497639378</v>
      </c>
      <c r="R346" s="218">
        <f t="shared" si="204"/>
        <v>258987.53140901271</v>
      </c>
      <c r="S346" s="218">
        <f t="shared" si="204"/>
        <v>259961.03523836265</v>
      </c>
      <c r="T346" s="218">
        <f t="shared" si="204"/>
        <v>260666.97576023286</v>
      </c>
      <c r="U346" s="218">
        <f t="shared" si="204"/>
        <v>261106.82919480727</v>
      </c>
      <c r="V346" s="218">
        <f t="shared" si="204"/>
        <v>261282.0664854811</v>
      </c>
      <c r="W346" s="218">
        <f t="shared" si="204"/>
        <v>261194.15331381978</v>
      </c>
      <c r="X346" s="218">
        <f t="shared" si="204"/>
        <v>261836.39705832404</v>
      </c>
      <c r="Y346" s="218">
        <f t="shared" si="204"/>
        <v>262259.00586472719</v>
      </c>
      <c r="Z346" s="218">
        <f t="shared" si="204"/>
        <v>262389.39039680449</v>
      </c>
      <c r="AA346" s="218">
        <f t="shared" si="204"/>
        <v>262298.39804608165</v>
      </c>
      <c r="AB346" s="218">
        <f t="shared" si="204"/>
        <v>261987.1752831109</v>
      </c>
      <c r="AC346" s="218">
        <f t="shared" si="204"/>
        <v>261098.74253561741</v>
      </c>
      <c r="AD346" s="218">
        <f t="shared" si="204"/>
        <v>259979.31221257287</v>
      </c>
      <c r="AE346" s="218">
        <f t="shared" si="204"/>
        <v>258630.09658896987</v>
      </c>
      <c r="AF346" s="218">
        <f t="shared" si="204"/>
        <v>257052.3038974129</v>
      </c>
      <c r="AG346" s="218">
        <f t="shared" si="204"/>
        <v>255247.13833860247</v>
      </c>
      <c r="AI346" s="616"/>
      <c r="AJ346" s="272"/>
    </row>
    <row r="347" spans="1:36" s="160" customFormat="1">
      <c r="A347" s="160" t="s">
        <v>1265</v>
      </c>
      <c r="B347" s="298" t="s">
        <v>127</v>
      </c>
      <c r="C347" s="218">
        <f>IF(C345-C346&lt;0,0,C345-C346)</f>
        <v>840465.53356909624</v>
      </c>
      <c r="D347" s="218">
        <f t="shared" ref="D347:AG347" si="205">IF(D345-D346&lt;0,0,D345-D346)</f>
        <v>855888.31278744037</v>
      </c>
      <c r="E347" s="218">
        <f t="shared" si="205"/>
        <v>864462.8576920242</v>
      </c>
      <c r="F347" s="218">
        <f t="shared" si="205"/>
        <v>871400.93640175916</v>
      </c>
      <c r="G347" s="218">
        <f t="shared" si="205"/>
        <v>875296.10572042281</v>
      </c>
      <c r="H347" s="218">
        <f t="shared" si="205"/>
        <v>876384.38477497571</v>
      </c>
      <c r="I347" s="218">
        <f t="shared" si="205"/>
        <v>875459.70133212674</v>
      </c>
      <c r="J347" s="218">
        <f t="shared" si="205"/>
        <v>872019.52027951891</v>
      </c>
      <c r="K347" s="218">
        <f t="shared" si="205"/>
        <v>866247.93982771784</v>
      </c>
      <c r="L347" s="218">
        <f t="shared" si="205"/>
        <v>858319.4670663873</v>
      </c>
      <c r="M347" s="218">
        <f t="shared" si="205"/>
        <v>848399.41388750658</v>
      </c>
      <c r="N347" s="218">
        <f t="shared" si="205"/>
        <v>815296.98956079455</v>
      </c>
      <c r="O347" s="218">
        <f t="shared" si="205"/>
        <v>782048.94660154614</v>
      </c>
      <c r="P347" s="218">
        <f t="shared" si="205"/>
        <v>748759.47845764155</v>
      </c>
      <c r="Q347" s="218">
        <f t="shared" si="205"/>
        <v>715550.58866133122</v>
      </c>
      <c r="R347" s="218">
        <f t="shared" si="205"/>
        <v>682526.56667848607</v>
      </c>
      <c r="S347" s="218">
        <f t="shared" si="205"/>
        <v>649614.62403827277</v>
      </c>
      <c r="T347" s="218">
        <f t="shared" si="205"/>
        <v>617134.68912022037</v>
      </c>
      <c r="U347" s="218">
        <f t="shared" si="205"/>
        <v>585180.78480991651</v>
      </c>
      <c r="V347" s="218">
        <f t="shared" si="205"/>
        <v>553841.61515243386</v>
      </c>
      <c r="W347" s="218">
        <f t="shared" si="205"/>
        <v>523200.77887768147</v>
      </c>
      <c r="X347" s="218">
        <f t="shared" si="205"/>
        <v>506843.20373859361</v>
      </c>
      <c r="Y347" s="218">
        <f t="shared" si="205"/>
        <v>489951.49827448407</v>
      </c>
      <c r="Z347" s="218">
        <f t="shared" si="205"/>
        <v>472578.59746182832</v>
      </c>
      <c r="AA347" s="218">
        <f t="shared" si="205"/>
        <v>454884.74910121306</v>
      </c>
      <c r="AB347" s="218">
        <f t="shared" si="205"/>
        <v>436971.89735413552</v>
      </c>
      <c r="AC347" s="218">
        <f t="shared" si="205"/>
        <v>418744.1586931299</v>
      </c>
      <c r="AD347" s="218">
        <f t="shared" si="205"/>
        <v>400409.59220368718</v>
      </c>
      <c r="AE347" s="218">
        <f t="shared" si="205"/>
        <v>382047.98314416612</v>
      </c>
      <c r="AF347" s="218">
        <f t="shared" si="205"/>
        <v>363734.02851050388</v>
      </c>
      <c r="AG347" s="218">
        <f t="shared" si="205"/>
        <v>345537.54579339316</v>
      </c>
      <c r="AI347" s="616"/>
      <c r="AJ347" s="272"/>
    </row>
    <row r="348" spans="1:36" s="160" customFormat="1">
      <c r="A348" s="160" t="s">
        <v>1266</v>
      </c>
      <c r="B348" s="298" t="s">
        <v>127</v>
      </c>
      <c r="C348" s="218">
        <f>C342*C299+C296*C345+C332+IF(C325&gt;C345,C325-C345,0)</f>
        <v>433076.65488250239</v>
      </c>
      <c r="D348" s="218">
        <f t="shared" ref="D348:AG348" si="206">D342*D299+D296*D345+D332+IF(D325&gt;D345,D325-D345,0)</f>
        <v>436401.57784783962</v>
      </c>
      <c r="E348" s="218">
        <f t="shared" si="206"/>
        <v>436484.39613920526</v>
      </c>
      <c r="F348" s="218">
        <f t="shared" si="206"/>
        <v>435730.94851608318</v>
      </c>
      <c r="G348" s="218">
        <f t="shared" si="206"/>
        <v>433547.88718071207</v>
      </c>
      <c r="H348" s="218">
        <f t="shared" si="206"/>
        <v>430080.51934162766</v>
      </c>
      <c r="I348" s="218">
        <f t="shared" si="206"/>
        <v>424939.60446640523</v>
      </c>
      <c r="J348" s="218">
        <f t="shared" si="206"/>
        <v>418691.800102851</v>
      </c>
      <c r="K348" s="218">
        <f t="shared" si="206"/>
        <v>411453.81227595208</v>
      </c>
      <c r="L348" s="218">
        <f t="shared" si="206"/>
        <v>403334.9473928482</v>
      </c>
      <c r="M348" s="218">
        <f t="shared" si="206"/>
        <v>394437.48710977728</v>
      </c>
      <c r="N348" s="218">
        <f t="shared" si="206"/>
        <v>376945.42470477655</v>
      </c>
      <c r="O348" s="218">
        <f t="shared" si="206"/>
        <v>359639.89623446122</v>
      </c>
      <c r="P348" s="218">
        <f t="shared" si="206"/>
        <v>342559.09267925378</v>
      </c>
      <c r="Q348" s="218">
        <f t="shared" si="206"/>
        <v>325761.1603556918</v>
      </c>
      <c r="R348" s="218">
        <f t="shared" si="206"/>
        <v>309287.38122174342</v>
      </c>
      <c r="S348" s="218">
        <f t="shared" si="206"/>
        <v>293295.70325261541</v>
      </c>
      <c r="T348" s="218">
        <f t="shared" si="206"/>
        <v>277718.8907348779</v>
      </c>
      <c r="U348" s="218">
        <f t="shared" si="206"/>
        <v>262586.12087338575</v>
      </c>
      <c r="V348" s="218">
        <f t="shared" si="206"/>
        <v>247922.58484911066</v>
      </c>
      <c r="W348" s="218">
        <f t="shared" si="206"/>
        <v>233749.6897930674</v>
      </c>
      <c r="X348" s="218">
        <f t="shared" si="206"/>
        <v>224316.08110455656</v>
      </c>
      <c r="Y348" s="218">
        <f t="shared" si="206"/>
        <v>214841.34945554732</v>
      </c>
      <c r="Z348" s="218">
        <f t="shared" si="206"/>
        <v>205335.35644794488</v>
      </c>
      <c r="AA348" s="218">
        <f t="shared" si="206"/>
        <v>195877.06114886919</v>
      </c>
      <c r="AB348" s="218">
        <f t="shared" si="206"/>
        <v>186505.57921537198</v>
      </c>
      <c r="AC348" s="218">
        <f t="shared" si="206"/>
        <v>177112.6726281133</v>
      </c>
      <c r="AD348" s="218">
        <f t="shared" si="206"/>
        <v>167857.65172452503</v>
      </c>
      <c r="AE348" s="218">
        <f t="shared" si="206"/>
        <v>158768.57053226756</v>
      </c>
      <c r="AF348" s="218">
        <f t="shared" si="206"/>
        <v>149870.23636991932</v>
      </c>
      <c r="AG348" s="218">
        <f t="shared" si="206"/>
        <v>141184.40077101899</v>
      </c>
      <c r="AI348" s="616"/>
      <c r="AJ348" s="272"/>
    </row>
    <row r="349" spans="1:36" s="160" customFormat="1">
      <c r="A349" s="160" t="s">
        <v>1267</v>
      </c>
      <c r="B349" s="298" t="s">
        <v>127</v>
      </c>
      <c r="C349" s="218">
        <f>C328-C347</f>
        <v>296177.79944524018</v>
      </c>
      <c r="D349" s="218">
        <f t="shared" ref="D349:AF349" si="207">D328-D347</f>
        <v>264385.64130672067</v>
      </c>
      <c r="E349" s="218">
        <f t="shared" si="207"/>
        <v>237772.95068426128</v>
      </c>
      <c r="F349" s="218">
        <f t="shared" si="207"/>
        <v>213871.89124117384</v>
      </c>
      <c r="G349" s="218">
        <f t="shared" si="207"/>
        <v>193173.29992661194</v>
      </c>
      <c r="H349" s="218">
        <f t="shared" si="207"/>
        <v>175440.43886492634</v>
      </c>
      <c r="I349" s="218">
        <f t="shared" si="207"/>
        <v>151476.76522143884</v>
      </c>
      <c r="J349" s="218">
        <f t="shared" si="207"/>
        <v>130348.22228086577</v>
      </c>
      <c r="K349" s="218">
        <f t="shared" si="207"/>
        <v>111869.18157323787</v>
      </c>
      <c r="L349" s="218">
        <f t="shared" si="207"/>
        <v>95863.610962013947</v>
      </c>
      <c r="M349" s="218">
        <f t="shared" si="207"/>
        <v>82164.678706416627</v>
      </c>
      <c r="N349" s="218">
        <f t="shared" si="207"/>
        <v>88046.517346208566</v>
      </c>
      <c r="O349" s="218">
        <f t="shared" si="207"/>
        <v>94464.080049689626</v>
      </c>
      <c r="P349" s="218">
        <f t="shared" si="207"/>
        <v>101230.5393054646</v>
      </c>
      <c r="Q349" s="218">
        <f t="shared" si="207"/>
        <v>108303.85793934448</v>
      </c>
      <c r="R349" s="218">
        <f t="shared" si="207"/>
        <v>115577.8668472477</v>
      </c>
      <c r="S349" s="218">
        <f t="shared" si="207"/>
        <v>124752.06713594869</v>
      </c>
      <c r="T349" s="218">
        <f t="shared" si="207"/>
        <v>133842.48425369815</v>
      </c>
      <c r="U349" s="218">
        <f t="shared" si="207"/>
        <v>142753.40567257698</v>
      </c>
      <c r="V349" s="218">
        <f t="shared" si="207"/>
        <v>151394.44346250885</v>
      </c>
      <c r="W349" s="218">
        <f t="shared" si="207"/>
        <v>159680.32075001649</v>
      </c>
      <c r="X349" s="218">
        <f t="shared" si="207"/>
        <v>156537.34993921011</v>
      </c>
      <c r="Y349" s="218">
        <f t="shared" si="207"/>
        <v>154214.63133795687</v>
      </c>
      <c r="Z349" s="218">
        <f t="shared" si="207"/>
        <v>152482.03603134892</v>
      </c>
      <c r="AA349" s="218">
        <f t="shared" si="207"/>
        <v>151354.59472714819</v>
      </c>
      <c r="AB349" s="218">
        <f t="shared" si="207"/>
        <v>150729.06341608649</v>
      </c>
      <c r="AC349" s="218">
        <f t="shared" si="207"/>
        <v>149920.05174461333</v>
      </c>
      <c r="AD349" s="218">
        <f t="shared" si="207"/>
        <v>149515.49499985506</v>
      </c>
      <c r="AE349" s="218">
        <f t="shared" si="207"/>
        <v>149434.23163846269</v>
      </c>
      <c r="AF349" s="218">
        <f t="shared" si="207"/>
        <v>149600.19275915512</v>
      </c>
      <c r="AG349" s="218">
        <f>AG328-AG347</f>
        <v>149942.19333448214</v>
      </c>
      <c r="AI349" s="616"/>
      <c r="AJ349" s="272"/>
    </row>
    <row r="350" spans="1:36" s="160" customFormat="1">
      <c r="B350" s="299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  <c r="AB350" s="276"/>
      <c r="AC350" s="276"/>
      <c r="AD350" s="276"/>
      <c r="AE350" s="276"/>
      <c r="AF350" s="276"/>
      <c r="AG350" s="276"/>
      <c r="AJ350" s="272"/>
    </row>
    <row r="351" spans="1:36" s="160" customFormat="1">
      <c r="A351" s="160" t="s">
        <v>677</v>
      </c>
      <c r="B351" s="299" t="s">
        <v>126</v>
      </c>
      <c r="C351" s="246">
        <v>0.8</v>
      </c>
      <c r="D351" s="267">
        <f>C351</f>
        <v>0.8</v>
      </c>
      <c r="E351" s="267">
        <f t="shared" ref="E351:AG351" si="208">D351</f>
        <v>0.8</v>
      </c>
      <c r="F351" s="267">
        <f t="shared" si="208"/>
        <v>0.8</v>
      </c>
      <c r="G351" s="267">
        <f t="shared" si="208"/>
        <v>0.8</v>
      </c>
      <c r="H351" s="267">
        <f t="shared" si="208"/>
        <v>0.8</v>
      </c>
      <c r="I351" s="267">
        <f t="shared" si="208"/>
        <v>0.8</v>
      </c>
      <c r="J351" s="267">
        <f t="shared" si="208"/>
        <v>0.8</v>
      </c>
      <c r="K351" s="267">
        <f t="shared" si="208"/>
        <v>0.8</v>
      </c>
      <c r="L351" s="267">
        <f t="shared" si="208"/>
        <v>0.8</v>
      </c>
      <c r="M351" s="267">
        <f>L351</f>
        <v>0.8</v>
      </c>
      <c r="N351" s="267">
        <f t="shared" si="208"/>
        <v>0.8</v>
      </c>
      <c r="O351" s="267">
        <f t="shared" si="208"/>
        <v>0.8</v>
      </c>
      <c r="P351" s="267">
        <f t="shared" si="208"/>
        <v>0.8</v>
      </c>
      <c r="Q351" s="267">
        <f t="shared" si="208"/>
        <v>0.8</v>
      </c>
      <c r="R351" s="267">
        <f t="shared" si="208"/>
        <v>0.8</v>
      </c>
      <c r="S351" s="267">
        <f t="shared" si="208"/>
        <v>0.8</v>
      </c>
      <c r="T351" s="267">
        <f t="shared" si="208"/>
        <v>0.8</v>
      </c>
      <c r="U351" s="267">
        <f t="shared" si="208"/>
        <v>0.8</v>
      </c>
      <c r="V351" s="267">
        <f t="shared" si="208"/>
        <v>0.8</v>
      </c>
      <c r="W351" s="267">
        <f t="shared" si="208"/>
        <v>0.8</v>
      </c>
      <c r="X351" s="267">
        <f t="shared" si="208"/>
        <v>0.8</v>
      </c>
      <c r="Y351" s="267">
        <f t="shared" si="208"/>
        <v>0.8</v>
      </c>
      <c r="Z351" s="267">
        <f t="shared" si="208"/>
        <v>0.8</v>
      </c>
      <c r="AA351" s="267">
        <f t="shared" si="208"/>
        <v>0.8</v>
      </c>
      <c r="AB351" s="267">
        <f t="shared" si="208"/>
        <v>0.8</v>
      </c>
      <c r="AC351" s="267">
        <f t="shared" si="208"/>
        <v>0.8</v>
      </c>
      <c r="AD351" s="267">
        <f t="shared" si="208"/>
        <v>0.8</v>
      </c>
      <c r="AE351" s="267">
        <f t="shared" si="208"/>
        <v>0.8</v>
      </c>
      <c r="AF351" s="267">
        <f t="shared" si="208"/>
        <v>0.8</v>
      </c>
      <c r="AG351" s="267">
        <f t="shared" si="208"/>
        <v>0.8</v>
      </c>
      <c r="AJ351" s="272" t="s">
        <v>678</v>
      </c>
    </row>
    <row r="352" spans="1:36" s="160" customFormat="1">
      <c r="B352" s="299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  <c r="AB352" s="276"/>
      <c r="AC352" s="276"/>
      <c r="AD352" s="276"/>
      <c r="AE352" s="276"/>
      <c r="AF352" s="276"/>
      <c r="AG352" s="276"/>
      <c r="AJ352" s="272"/>
    </row>
    <row r="353" spans="1:37" s="160" customFormat="1">
      <c r="A353" s="160" t="s">
        <v>634</v>
      </c>
      <c r="B353" s="299" t="s">
        <v>127</v>
      </c>
      <c r="C353" s="276">
        <f>C287*C348*C351</f>
        <v>346461.32390600193</v>
      </c>
      <c r="D353" s="276">
        <f t="shared" ref="D353:AG353" si="209">D287*D348*D351</f>
        <v>349121.26227827172</v>
      </c>
      <c r="E353" s="276">
        <f t="shared" si="209"/>
        <v>349187.51691136422</v>
      </c>
      <c r="F353" s="276">
        <f t="shared" si="209"/>
        <v>348584.75881286658</v>
      </c>
      <c r="G353" s="276">
        <f t="shared" si="209"/>
        <v>346838.30974456971</v>
      </c>
      <c r="H353" s="276">
        <f t="shared" si="209"/>
        <v>344064.41547330213</v>
      </c>
      <c r="I353" s="276">
        <f t="shared" si="209"/>
        <v>339951.68357312423</v>
      </c>
      <c r="J353" s="276">
        <f t="shared" si="209"/>
        <v>334953.44008228084</v>
      </c>
      <c r="K353" s="276">
        <f t="shared" si="209"/>
        <v>329163.04982076166</v>
      </c>
      <c r="L353" s="276">
        <f t="shared" si="209"/>
        <v>322667.95791427861</v>
      </c>
      <c r="M353" s="276">
        <f t="shared" si="209"/>
        <v>315549.98968782183</v>
      </c>
      <c r="N353" s="276">
        <f t="shared" si="209"/>
        <v>301556.33976382128</v>
      </c>
      <c r="O353" s="276">
        <f t="shared" si="209"/>
        <v>287711.91698756901</v>
      </c>
      <c r="P353" s="276">
        <f t="shared" si="209"/>
        <v>274047.27414340305</v>
      </c>
      <c r="Q353" s="276">
        <f t="shared" si="209"/>
        <v>260608.92828455346</v>
      </c>
      <c r="R353" s="276">
        <f t="shared" si="209"/>
        <v>247429.90497739473</v>
      </c>
      <c r="S353" s="276">
        <f t="shared" si="209"/>
        <v>234636.56260209234</v>
      </c>
      <c r="T353" s="276">
        <f t="shared" si="209"/>
        <v>222175.11258790235</v>
      </c>
      <c r="U353" s="276">
        <f t="shared" si="209"/>
        <v>210068.89669870862</v>
      </c>
      <c r="V353" s="276">
        <f t="shared" si="209"/>
        <v>198338.06787928854</v>
      </c>
      <c r="W353" s="276">
        <f t="shared" si="209"/>
        <v>186999.75183445393</v>
      </c>
      <c r="X353" s="276">
        <f t="shared" si="209"/>
        <v>179452.86488364526</v>
      </c>
      <c r="Y353" s="276">
        <f t="shared" si="209"/>
        <v>171873.07956443785</v>
      </c>
      <c r="Z353" s="276">
        <f t="shared" si="209"/>
        <v>164268.28515835592</v>
      </c>
      <c r="AA353" s="276">
        <f t="shared" si="209"/>
        <v>156701.64891909537</v>
      </c>
      <c r="AB353" s="276">
        <f t="shared" si="209"/>
        <v>149204.46337229759</v>
      </c>
      <c r="AC353" s="276">
        <f t="shared" si="209"/>
        <v>141690.13810249066</v>
      </c>
      <c r="AD353" s="276">
        <f t="shared" si="209"/>
        <v>134286.12137962002</v>
      </c>
      <c r="AE353" s="276">
        <f t="shared" si="209"/>
        <v>127014.85642581405</v>
      </c>
      <c r="AF353" s="276">
        <f t="shared" si="209"/>
        <v>119896.18909593546</v>
      </c>
      <c r="AG353" s="276">
        <f t="shared" si="209"/>
        <v>112947.52061681519</v>
      </c>
      <c r="AJ353" s="272"/>
    </row>
    <row r="354" spans="1:37" s="160" customFormat="1">
      <c r="A354" s="160" t="s">
        <v>639</v>
      </c>
      <c r="B354" s="299" t="s">
        <v>127</v>
      </c>
      <c r="C354" s="276">
        <f>C348*C351-C353</f>
        <v>0</v>
      </c>
      <c r="D354" s="276">
        <f t="shared" ref="D354:AG354" si="210">D348*D351-D353</f>
        <v>0</v>
      </c>
      <c r="E354" s="276">
        <f t="shared" si="210"/>
        <v>0</v>
      </c>
      <c r="F354" s="276">
        <f t="shared" si="210"/>
        <v>0</v>
      </c>
      <c r="G354" s="276">
        <f t="shared" si="210"/>
        <v>0</v>
      </c>
      <c r="H354" s="276">
        <f t="shared" si="210"/>
        <v>0</v>
      </c>
      <c r="I354" s="276">
        <f t="shared" si="210"/>
        <v>0</v>
      </c>
      <c r="J354" s="276">
        <f t="shared" si="210"/>
        <v>0</v>
      </c>
      <c r="K354" s="276">
        <f t="shared" si="210"/>
        <v>0</v>
      </c>
      <c r="L354" s="276">
        <f t="shared" si="210"/>
        <v>0</v>
      </c>
      <c r="M354" s="276">
        <f t="shared" si="210"/>
        <v>0</v>
      </c>
      <c r="N354" s="276">
        <f t="shared" si="210"/>
        <v>0</v>
      </c>
      <c r="O354" s="276">
        <f t="shared" si="210"/>
        <v>0</v>
      </c>
      <c r="P354" s="276">
        <f t="shared" si="210"/>
        <v>0</v>
      </c>
      <c r="Q354" s="276">
        <f t="shared" si="210"/>
        <v>0</v>
      </c>
      <c r="R354" s="276">
        <f t="shared" si="210"/>
        <v>0</v>
      </c>
      <c r="S354" s="276">
        <f t="shared" si="210"/>
        <v>0</v>
      </c>
      <c r="T354" s="276">
        <f t="shared" si="210"/>
        <v>0</v>
      </c>
      <c r="U354" s="276">
        <f t="shared" si="210"/>
        <v>0</v>
      </c>
      <c r="V354" s="276">
        <f t="shared" si="210"/>
        <v>0</v>
      </c>
      <c r="W354" s="276">
        <f t="shared" si="210"/>
        <v>0</v>
      </c>
      <c r="X354" s="276">
        <f t="shared" si="210"/>
        <v>0</v>
      </c>
      <c r="Y354" s="276">
        <f t="shared" si="210"/>
        <v>0</v>
      </c>
      <c r="Z354" s="276">
        <f t="shared" si="210"/>
        <v>0</v>
      </c>
      <c r="AA354" s="276">
        <f t="shared" si="210"/>
        <v>0</v>
      </c>
      <c r="AB354" s="276">
        <f t="shared" si="210"/>
        <v>0</v>
      </c>
      <c r="AC354" s="276">
        <f t="shared" si="210"/>
        <v>0</v>
      </c>
      <c r="AD354" s="276">
        <f t="shared" si="210"/>
        <v>0</v>
      </c>
      <c r="AE354" s="276">
        <f t="shared" si="210"/>
        <v>0</v>
      </c>
      <c r="AF354" s="276">
        <f t="shared" si="210"/>
        <v>0</v>
      </c>
      <c r="AG354" s="276">
        <f t="shared" si="210"/>
        <v>0</v>
      </c>
      <c r="AJ354" s="272"/>
    </row>
    <row r="355" spans="1:37" s="160" customFormat="1">
      <c r="B355" s="15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  <c r="AB355" s="276"/>
      <c r="AC355" s="276"/>
      <c r="AD355" s="276"/>
      <c r="AE355" s="276"/>
      <c r="AF355" s="276"/>
      <c r="AG355" s="276"/>
      <c r="AJ355" s="272"/>
    </row>
    <row r="356" spans="1:37" s="160" customFormat="1">
      <c r="B356" s="184" t="s">
        <v>633</v>
      </c>
      <c r="C356" s="280">
        <v>0</v>
      </c>
      <c r="D356" s="280">
        <f>C356+1</f>
        <v>1</v>
      </c>
      <c r="E356" s="280">
        <f t="shared" ref="E356:AG356" si="211">D356+1</f>
        <v>2</v>
      </c>
      <c r="F356" s="280">
        <f t="shared" si="211"/>
        <v>3</v>
      </c>
      <c r="G356" s="280">
        <f t="shared" si="211"/>
        <v>4</v>
      </c>
      <c r="H356" s="280">
        <f t="shared" si="211"/>
        <v>5</v>
      </c>
      <c r="I356" s="280">
        <f t="shared" si="211"/>
        <v>6</v>
      </c>
      <c r="J356" s="280">
        <f t="shared" si="211"/>
        <v>7</v>
      </c>
      <c r="K356" s="280">
        <f t="shared" si="211"/>
        <v>8</v>
      </c>
      <c r="L356" s="280">
        <f t="shared" si="211"/>
        <v>9</v>
      </c>
      <c r="M356" s="280">
        <f t="shared" si="211"/>
        <v>10</v>
      </c>
      <c r="N356" s="280">
        <f t="shared" si="211"/>
        <v>11</v>
      </c>
      <c r="O356" s="280">
        <f t="shared" si="211"/>
        <v>12</v>
      </c>
      <c r="P356" s="280">
        <f t="shared" si="211"/>
        <v>13</v>
      </c>
      <c r="Q356" s="280">
        <f t="shared" si="211"/>
        <v>14</v>
      </c>
      <c r="R356" s="280">
        <f t="shared" si="211"/>
        <v>15</v>
      </c>
      <c r="S356" s="280">
        <f t="shared" si="211"/>
        <v>16</v>
      </c>
      <c r="T356" s="280">
        <f t="shared" si="211"/>
        <v>17</v>
      </c>
      <c r="U356" s="280">
        <f t="shared" si="211"/>
        <v>18</v>
      </c>
      <c r="V356" s="280">
        <f t="shared" si="211"/>
        <v>19</v>
      </c>
      <c r="W356" s="280">
        <f t="shared" si="211"/>
        <v>20</v>
      </c>
      <c r="X356" s="280">
        <f t="shared" si="211"/>
        <v>21</v>
      </c>
      <c r="Y356" s="280">
        <f t="shared" si="211"/>
        <v>22</v>
      </c>
      <c r="Z356" s="280">
        <f t="shared" si="211"/>
        <v>23</v>
      </c>
      <c r="AA356" s="280">
        <f t="shared" si="211"/>
        <v>24</v>
      </c>
      <c r="AB356" s="280">
        <f t="shared" si="211"/>
        <v>25</v>
      </c>
      <c r="AC356" s="280">
        <f t="shared" si="211"/>
        <v>26</v>
      </c>
      <c r="AD356" s="280">
        <f t="shared" si="211"/>
        <v>27</v>
      </c>
      <c r="AE356" s="280">
        <f t="shared" si="211"/>
        <v>28</v>
      </c>
      <c r="AF356" s="280">
        <f t="shared" si="211"/>
        <v>29</v>
      </c>
      <c r="AG356" s="280">
        <f t="shared" si="211"/>
        <v>30</v>
      </c>
      <c r="AJ356" s="272" t="s">
        <v>641</v>
      </c>
      <c r="AK356" s="160">
        <f>'Propylene Recycling HC'!AK196</f>
        <v>1.9</v>
      </c>
    </row>
    <row r="357" spans="1:37" s="160" customFormat="1">
      <c r="A357" s="160" t="s">
        <v>686</v>
      </c>
      <c r="B357" s="156"/>
      <c r="C357" s="282">
        <f>$AK$358/((1+EXP(-$AK$357*(C356-$AK$359)))^$AK$356)</f>
        <v>4.6088632748610021E-5</v>
      </c>
      <c r="D357" s="282">
        <f t="shared" ref="D357:AG357" si="212">$AK$358/((1+EXP(-$AK$357*(D356-$AK$359)))^$AK$356)</f>
        <v>8.924759460408035E-5</v>
      </c>
      <c r="E357" s="282">
        <f t="shared" si="212"/>
        <v>1.7252431976790472E-4</v>
      </c>
      <c r="F357" s="282">
        <f t="shared" si="212"/>
        <v>3.3269643715580369E-4</v>
      </c>
      <c r="G357" s="282">
        <f t="shared" si="212"/>
        <v>6.393827369910735E-4</v>
      </c>
      <c r="H357" s="282">
        <f t="shared" si="212"/>
        <v>1.2229053771654547E-3</v>
      </c>
      <c r="I357" s="282">
        <f t="shared" si="212"/>
        <v>2.3234018804222717E-3</v>
      </c>
      <c r="J357" s="282">
        <f t="shared" si="212"/>
        <v>4.3736281679830789E-3</v>
      </c>
      <c r="K357" s="282">
        <f t="shared" si="212"/>
        <v>8.1294184230466908E-3</v>
      </c>
      <c r="L357" s="282">
        <f t="shared" si="212"/>
        <v>1.4853985082038716E-2</v>
      </c>
      <c r="M357" s="282">
        <f t="shared" si="212"/>
        <v>2.6531412096832362E-2</v>
      </c>
      <c r="N357" s="282">
        <f t="shared" si="212"/>
        <v>4.6014759335105015E-2</v>
      </c>
      <c r="O357" s="282">
        <f t="shared" si="212"/>
        <v>7.6910635328419796E-2</v>
      </c>
      <c r="P357" s="282">
        <f t="shared" si="212"/>
        <v>0.12294065829885638</v>
      </c>
      <c r="Q357" s="282">
        <f t="shared" si="212"/>
        <v>0.18666754187878853</v>
      </c>
      <c r="R357" s="282">
        <f t="shared" si="212"/>
        <v>0.26794336563407328</v>
      </c>
      <c r="S357" s="282">
        <f t="shared" si="212"/>
        <v>0.36297326582455031</v>
      </c>
      <c r="T357" s="282">
        <f t="shared" si="212"/>
        <v>0.46484396312424381</v>
      </c>
      <c r="U357" s="282">
        <f t="shared" si="212"/>
        <v>0.56546260593861253</v>
      </c>
      <c r="V357" s="282">
        <f t="shared" si="212"/>
        <v>0.6578403022607352</v>
      </c>
      <c r="W357" s="282">
        <f t="shared" si="212"/>
        <v>0.73754668886795227</v>
      </c>
      <c r="X357" s="282">
        <f t="shared" si="212"/>
        <v>0.80293052021410605</v>
      </c>
      <c r="Y357" s="282">
        <f t="shared" si="212"/>
        <v>0.85447682949112158</v>
      </c>
      <c r="Z357" s="282">
        <f t="shared" si="212"/>
        <v>0.89389910336617451</v>
      </c>
      <c r="AA357" s="282">
        <f t="shared" si="212"/>
        <v>0.92337223319290385</v>
      </c>
      <c r="AB357" s="282">
        <f t="shared" si="212"/>
        <v>0.94504210708611314</v>
      </c>
      <c r="AC357" s="282">
        <f t="shared" si="212"/>
        <v>0.96078240575184182</v>
      </c>
      <c r="AD357" s="282">
        <f t="shared" si="212"/>
        <v>0.97211605463477313</v>
      </c>
      <c r="AE357" s="282">
        <f t="shared" si="212"/>
        <v>0.98022577885232642</v>
      </c>
      <c r="AF357" s="282">
        <f t="shared" si="212"/>
        <v>0.98600279580400285</v>
      </c>
      <c r="AG357" s="282">
        <f t="shared" si="212"/>
        <v>0.9901050637460882</v>
      </c>
      <c r="AI357" s="156" t="s">
        <v>640</v>
      </c>
      <c r="AJ357" s="272" t="s">
        <v>642</v>
      </c>
      <c r="AK357" s="160">
        <f>'Propylene Recycling HC'!AK197</f>
        <v>0.35</v>
      </c>
    </row>
    <row r="358" spans="1:37" s="160" customFormat="1">
      <c r="B358" s="156"/>
      <c r="C358" s="278">
        <v>0</v>
      </c>
      <c r="D358" s="278">
        <v>0</v>
      </c>
      <c r="E358" s="278">
        <v>0</v>
      </c>
      <c r="F358" s="278">
        <v>0</v>
      </c>
      <c r="G358" s="278">
        <v>0</v>
      </c>
      <c r="H358" s="278">
        <v>0</v>
      </c>
      <c r="I358" s="278">
        <v>0</v>
      </c>
      <c r="J358" s="278">
        <v>0</v>
      </c>
      <c r="K358" s="278">
        <v>0</v>
      </c>
      <c r="L358" s="278">
        <v>0</v>
      </c>
      <c r="M358" s="278">
        <f>C357</f>
        <v>4.6088632748610021E-5</v>
      </c>
      <c r="N358" s="278">
        <v>0</v>
      </c>
      <c r="O358" s="278">
        <v>0</v>
      </c>
      <c r="P358" s="278">
        <v>0</v>
      </c>
      <c r="Q358" s="278">
        <v>0</v>
      </c>
      <c r="R358" s="278">
        <f t="shared" ref="R358:AG358" si="213">C357</f>
        <v>4.6088632748610021E-5</v>
      </c>
      <c r="S358" s="278">
        <f t="shared" si="213"/>
        <v>8.924759460408035E-5</v>
      </c>
      <c r="T358" s="278">
        <f t="shared" si="213"/>
        <v>1.7252431976790472E-4</v>
      </c>
      <c r="U358" s="278">
        <f t="shared" si="213"/>
        <v>3.3269643715580369E-4</v>
      </c>
      <c r="V358" s="278">
        <f t="shared" si="213"/>
        <v>6.393827369910735E-4</v>
      </c>
      <c r="W358" s="278">
        <f t="shared" si="213"/>
        <v>1.2229053771654547E-3</v>
      </c>
      <c r="X358" s="278">
        <f t="shared" si="213"/>
        <v>2.3234018804222717E-3</v>
      </c>
      <c r="Y358" s="278">
        <f t="shared" si="213"/>
        <v>4.3736281679830789E-3</v>
      </c>
      <c r="Z358" s="278">
        <f t="shared" si="213"/>
        <v>8.1294184230466908E-3</v>
      </c>
      <c r="AA358" s="278">
        <f t="shared" si="213"/>
        <v>1.4853985082038716E-2</v>
      </c>
      <c r="AB358" s="278">
        <f t="shared" si="213"/>
        <v>2.6531412096832362E-2</v>
      </c>
      <c r="AC358" s="278">
        <f t="shared" si="213"/>
        <v>4.6014759335105015E-2</v>
      </c>
      <c r="AD358" s="278">
        <f t="shared" si="213"/>
        <v>7.6910635328419796E-2</v>
      </c>
      <c r="AE358" s="278">
        <f t="shared" si="213"/>
        <v>0.12294065829885638</v>
      </c>
      <c r="AF358" s="278">
        <f t="shared" si="213"/>
        <v>0.18666754187878853</v>
      </c>
      <c r="AG358" s="278">
        <f t="shared" si="213"/>
        <v>0.26794336563407328</v>
      </c>
      <c r="AI358" s="156" t="s">
        <v>687</v>
      </c>
      <c r="AJ358" s="272" t="s">
        <v>643</v>
      </c>
      <c r="AK358" s="160">
        <f>'Propylene Recycling HC'!AK198</f>
        <v>1</v>
      </c>
    </row>
    <row r="359" spans="1:37" s="160" customFormat="1">
      <c r="B359" s="15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  <c r="AB359" s="276"/>
      <c r="AC359" s="276"/>
      <c r="AD359" s="276"/>
      <c r="AE359" s="276"/>
      <c r="AF359" s="276"/>
      <c r="AG359" s="276"/>
      <c r="AJ359" s="272" t="s">
        <v>644</v>
      </c>
      <c r="AK359" s="160">
        <f>'Propylene Recycling HC'!AK199</f>
        <v>15</v>
      </c>
    </row>
    <row r="360" spans="1:37" s="160" customFormat="1">
      <c r="A360" s="160" t="s">
        <v>762</v>
      </c>
      <c r="B360" s="156" t="s">
        <v>126</v>
      </c>
      <c r="C360" s="277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5.5962026272778194E-2</v>
      </c>
      <c r="D360" s="277">
        <f>C360</f>
        <v>5.5962026272778194E-2</v>
      </c>
      <c r="E360" s="277">
        <f t="shared" ref="E360:AG360" si="214">D360</f>
        <v>5.5962026272778194E-2</v>
      </c>
      <c r="F360" s="277">
        <f t="shared" si="214"/>
        <v>5.5962026272778194E-2</v>
      </c>
      <c r="G360" s="277">
        <f t="shared" si="214"/>
        <v>5.5962026272778194E-2</v>
      </c>
      <c r="H360" s="277">
        <f t="shared" si="214"/>
        <v>5.5962026272778194E-2</v>
      </c>
      <c r="I360" s="277">
        <f t="shared" si="214"/>
        <v>5.5962026272778194E-2</v>
      </c>
      <c r="J360" s="277">
        <f t="shared" si="214"/>
        <v>5.5962026272778194E-2</v>
      </c>
      <c r="K360" s="277">
        <f t="shared" si="214"/>
        <v>5.5962026272778194E-2</v>
      </c>
      <c r="L360" s="277">
        <f t="shared" si="214"/>
        <v>5.5962026272778194E-2</v>
      </c>
      <c r="M360" s="277">
        <f t="shared" si="214"/>
        <v>5.5962026272778194E-2</v>
      </c>
      <c r="N360" s="277">
        <f t="shared" si="214"/>
        <v>5.5962026272778194E-2</v>
      </c>
      <c r="O360" s="277">
        <f t="shared" si="214"/>
        <v>5.5962026272778194E-2</v>
      </c>
      <c r="P360" s="277">
        <f t="shared" si="214"/>
        <v>5.5962026272778194E-2</v>
      </c>
      <c r="Q360" s="277">
        <f t="shared" si="214"/>
        <v>5.5962026272778194E-2</v>
      </c>
      <c r="R360" s="277">
        <f t="shared" si="214"/>
        <v>5.5962026272778194E-2</v>
      </c>
      <c r="S360" s="277">
        <f t="shared" si="214"/>
        <v>5.5962026272778194E-2</v>
      </c>
      <c r="T360" s="277">
        <f t="shared" si="214"/>
        <v>5.5962026272778194E-2</v>
      </c>
      <c r="U360" s="277">
        <f t="shared" si="214"/>
        <v>5.5962026272778194E-2</v>
      </c>
      <c r="V360" s="277">
        <f t="shared" si="214"/>
        <v>5.5962026272778194E-2</v>
      </c>
      <c r="W360" s="277">
        <f t="shared" si="214"/>
        <v>5.5962026272778194E-2</v>
      </c>
      <c r="X360" s="277">
        <f t="shared" si="214"/>
        <v>5.5962026272778194E-2</v>
      </c>
      <c r="Y360" s="277">
        <f t="shared" si="214"/>
        <v>5.5962026272778194E-2</v>
      </c>
      <c r="Z360" s="277">
        <f t="shared" si="214"/>
        <v>5.5962026272778194E-2</v>
      </c>
      <c r="AA360" s="277">
        <f t="shared" si="214"/>
        <v>5.5962026272778194E-2</v>
      </c>
      <c r="AB360" s="277">
        <f t="shared" si="214"/>
        <v>5.5962026272778194E-2</v>
      </c>
      <c r="AC360" s="277">
        <f t="shared" si="214"/>
        <v>5.5962026272778194E-2</v>
      </c>
      <c r="AD360" s="277">
        <f t="shared" si="214"/>
        <v>5.5962026272778194E-2</v>
      </c>
      <c r="AE360" s="277">
        <f t="shared" si="214"/>
        <v>5.5962026272778194E-2</v>
      </c>
      <c r="AF360" s="277">
        <f t="shared" si="214"/>
        <v>5.5962026272778194E-2</v>
      </c>
      <c r="AG360" s="277">
        <f t="shared" si="214"/>
        <v>5.5962026272778194E-2</v>
      </c>
      <c r="AI360" s="156" t="s">
        <v>766</v>
      </c>
      <c r="AJ360" s="272"/>
    </row>
    <row r="361" spans="1:37" s="250" customFormat="1" ht="15.5" thickBot="1">
      <c r="A361" s="283" t="s">
        <v>631</v>
      </c>
      <c r="B361" s="284" t="s">
        <v>127</v>
      </c>
      <c r="C361" s="285">
        <f>C360*(C353*C357+C354*C358)</f>
        <v>0.89359764650017648</v>
      </c>
      <c r="D361" s="285">
        <f t="shared" ref="D361:AG361" si="215">D360*(D353*D357+D354*D358)</f>
        <v>1.7436778472384256</v>
      </c>
      <c r="E361" s="285">
        <f t="shared" si="215"/>
        <v>3.3713393101727718</v>
      </c>
      <c r="F361" s="285">
        <f t="shared" si="215"/>
        <v>6.4900788854688507</v>
      </c>
      <c r="G361" s="285">
        <f t="shared" si="215"/>
        <v>12.410274809618597</v>
      </c>
      <c r="H361" s="285">
        <f t="shared" si="215"/>
        <v>23.546482773305144</v>
      </c>
      <c r="I361" s="285">
        <f t="shared" si="215"/>
        <v>44.201291993458078</v>
      </c>
      <c r="J361" s="285">
        <f t="shared" si="215"/>
        <v>81.982230768572165</v>
      </c>
      <c r="K361" s="285">
        <f t="shared" si="215"/>
        <v>149.74901898365493</v>
      </c>
      <c r="L361" s="285">
        <f t="shared" si="215"/>
        <v>268.22067739705813</v>
      </c>
      <c r="M361" s="285">
        <f>M360*(M353*M357+M354*M358)</f>
        <v>468.51334601573041</v>
      </c>
      <c r="N361" s="285">
        <f t="shared" si="215"/>
        <v>776.53144936259037</v>
      </c>
      <c r="O361" s="285">
        <f t="shared" si="215"/>
        <v>1238.3336676424051</v>
      </c>
      <c r="P361" s="285">
        <f t="shared" si="215"/>
        <v>1885.4475343227682</v>
      </c>
      <c r="Q361" s="285">
        <f t="shared" si="215"/>
        <v>2722.397453366932</v>
      </c>
      <c r="R361" s="285">
        <f t="shared" si="215"/>
        <v>3710.1257320518166</v>
      </c>
      <c r="S361" s="285">
        <f t="shared" si="215"/>
        <v>4766.1066661244367</v>
      </c>
      <c r="T361" s="285">
        <f t="shared" si="215"/>
        <v>5779.5767476977662</v>
      </c>
      <c r="U361" s="285">
        <f t="shared" si="215"/>
        <v>6647.5111710408155</v>
      </c>
      <c r="V361" s="285">
        <f t="shared" si="215"/>
        <v>7301.6327598201151</v>
      </c>
      <c r="W361" s="285">
        <f t="shared" si="215"/>
        <v>7718.3412996925754</v>
      </c>
      <c r="X361" s="285">
        <f t="shared" si="215"/>
        <v>8063.4666353514331</v>
      </c>
      <c r="Y361" s="285">
        <f t="shared" si="215"/>
        <v>8218.670708686841</v>
      </c>
      <c r="Z361" s="285">
        <f t="shared" si="215"/>
        <v>8217.4232431236833</v>
      </c>
      <c r="AA361" s="285">
        <f t="shared" si="215"/>
        <v>8097.366715771198</v>
      </c>
      <c r="AB361" s="285">
        <f t="shared" si="215"/>
        <v>7890.8975588752874</v>
      </c>
      <c r="AC361" s="285">
        <f t="shared" si="215"/>
        <v>7618.3004461312394</v>
      </c>
      <c r="AD361" s="285">
        <f t="shared" si="215"/>
        <v>7305.3777377363886</v>
      </c>
      <c r="AE361" s="285">
        <f t="shared" si="215"/>
        <v>6967.453395741778</v>
      </c>
      <c r="AF361" s="285">
        <f t="shared" si="215"/>
        <v>6615.7175714347368</v>
      </c>
      <c r="AG361" s="285">
        <f t="shared" si="215"/>
        <v>6258.2284790380336</v>
      </c>
      <c r="AJ361" s="275"/>
    </row>
    <row r="362" spans="1:37" s="203" customFormat="1">
      <c r="A362" s="274" t="s">
        <v>637</v>
      </c>
      <c r="B362" s="273" t="s">
        <v>126</v>
      </c>
      <c r="C362" s="279">
        <v>0.5</v>
      </c>
      <c r="D362" s="279">
        <v>0.5</v>
      </c>
      <c r="E362" s="279">
        <v>0.5</v>
      </c>
      <c r="F362" s="279">
        <v>0.5</v>
      </c>
      <c r="G362" s="279">
        <v>0.5</v>
      </c>
      <c r="H362" s="279">
        <v>0.5</v>
      </c>
      <c r="I362" s="279">
        <v>0.5</v>
      </c>
      <c r="J362" s="279">
        <v>0.5</v>
      </c>
      <c r="K362" s="279">
        <v>0.5</v>
      </c>
      <c r="L362" s="279">
        <v>0.5</v>
      </c>
      <c r="M362" s="279">
        <v>0.5</v>
      </c>
      <c r="N362" s="279">
        <v>0.5</v>
      </c>
      <c r="O362" s="279">
        <v>0.5</v>
      </c>
      <c r="P362" s="279">
        <v>0.5</v>
      </c>
      <c r="Q362" s="279">
        <v>0.5</v>
      </c>
      <c r="R362" s="279">
        <v>0.5</v>
      </c>
      <c r="S362" s="279">
        <v>0.5</v>
      </c>
      <c r="T362" s="279">
        <v>0.5</v>
      </c>
      <c r="U362" s="279">
        <v>0.5</v>
      </c>
      <c r="V362" s="279">
        <v>0.5</v>
      </c>
      <c r="W362" s="279">
        <v>0.5</v>
      </c>
      <c r="X362" s="279">
        <v>0.5</v>
      </c>
      <c r="Y362" s="279">
        <v>0.5</v>
      </c>
      <c r="Z362" s="279">
        <v>0.5</v>
      </c>
      <c r="AA362" s="279">
        <v>0.5</v>
      </c>
      <c r="AB362" s="279">
        <v>0.5</v>
      </c>
      <c r="AC362" s="279">
        <v>0.5</v>
      </c>
      <c r="AD362" s="279">
        <v>0.5</v>
      </c>
      <c r="AE362" s="279">
        <v>0.5</v>
      </c>
      <c r="AF362" s="279">
        <v>0.5</v>
      </c>
      <c r="AG362" s="279">
        <v>0.5</v>
      </c>
      <c r="AJ362" s="203" t="s">
        <v>681</v>
      </c>
    </row>
    <row r="363" spans="1:37" s="203" customFormat="1" ht="15.5" thickBot="1">
      <c r="A363" s="251" t="s">
        <v>632</v>
      </c>
      <c r="B363" s="284" t="s">
        <v>127</v>
      </c>
      <c r="C363" s="285">
        <f>C362*(C353*C357+C354*C358)</f>
        <v>7.9839643595504723</v>
      </c>
      <c r="D363" s="285">
        <f t="shared" ref="D363:AG363" si="216">D362*(D353*D357+D354*D358)</f>
        <v>15.579116441738002</v>
      </c>
      <c r="E363" s="285">
        <f t="shared" si="216"/>
        <v>30.121669413288419</v>
      </c>
      <c r="F363" s="285">
        <f t="shared" si="216"/>
        <v>57.986453651927924</v>
      </c>
      <c r="G363" s="285">
        <f t="shared" si="216"/>
        <v>110.88121388892034</v>
      </c>
      <c r="H363" s="285">
        <f t="shared" si="216"/>
        <v>210.37911188679513</v>
      </c>
      <c r="I363" s="285">
        <f t="shared" si="216"/>
        <v>394.92219043325696</v>
      </c>
      <c r="J363" s="285">
        <f t="shared" si="216"/>
        <v>732.48090025334795</v>
      </c>
      <c r="K363" s="285">
        <f t="shared" si="216"/>
        <v>1337.9520806995679</v>
      </c>
      <c r="L363" s="285">
        <f t="shared" si="216"/>
        <v>2396.4525166552953</v>
      </c>
      <c r="M363" s="285">
        <f t="shared" si="216"/>
        <v>4185.993406779402</v>
      </c>
      <c r="N363" s="285">
        <f t="shared" si="216"/>
        <v>6938.0212001036971</v>
      </c>
      <c r="O363" s="285">
        <f t="shared" si="216"/>
        <v>11064.053163535755</v>
      </c>
      <c r="P363" s="285">
        <f t="shared" si="216"/>
        <v>16845.776144098567</v>
      </c>
      <c r="Q363" s="285">
        <f t="shared" si="216"/>
        <v>24323.614017271542</v>
      </c>
      <c r="R363" s="285">
        <f t="shared" si="216"/>
        <v>33148.600749081044</v>
      </c>
      <c r="S363" s="285">
        <f t="shared" si="216"/>
        <v>42583.399704764</v>
      </c>
      <c r="T363" s="285">
        <f t="shared" si="216"/>
        <v>51638.3799214678</v>
      </c>
      <c r="U363" s="285">
        <f t="shared" si="216"/>
        <v>59393.052876950489</v>
      </c>
      <c r="V363" s="285">
        <f t="shared" si="216"/>
        <v>65237.387261760698</v>
      </c>
      <c r="W363" s="285">
        <f t="shared" si="216"/>
        <v>68960.523892315134</v>
      </c>
      <c r="X363" s="285">
        <f t="shared" si="216"/>
        <v>72044.091077468489</v>
      </c>
      <c r="Y363" s="285">
        <f t="shared" si="216"/>
        <v>73430.782050548063</v>
      </c>
      <c r="Z363" s="285">
        <f t="shared" si="216"/>
        <v>73419.636407276717</v>
      </c>
      <c r="AA363" s="285">
        <f t="shared" si="216"/>
        <v>72346.975753717736</v>
      </c>
      <c r="AB363" s="285">
        <f t="shared" si="216"/>
        <v>70502.250226004457</v>
      </c>
      <c r="AC363" s="285">
        <f t="shared" si="216"/>
        <v>68066.695878710845</v>
      </c>
      <c r="AD363" s="285">
        <f t="shared" si="216"/>
        <v>65270.847253881235</v>
      </c>
      <c r="AE363" s="285">
        <f t="shared" si="216"/>
        <v>62251.618282905001</v>
      </c>
      <c r="AF363" s="285">
        <f t="shared" si="216"/>
        <v>59108.988827418885</v>
      </c>
      <c r="AG363" s="285">
        <f t="shared" si="216"/>
        <v>55914.956050137211</v>
      </c>
      <c r="AJ363" s="274"/>
    </row>
    <row r="364" spans="1:37" s="203" customFormat="1">
      <c r="A364" s="275"/>
      <c r="B364" s="273"/>
      <c r="AJ364" s="274"/>
    </row>
    <row r="365" spans="1:37" s="203" customFormat="1">
      <c r="A365" s="275" t="s">
        <v>635</v>
      </c>
      <c r="B365" s="273" t="s">
        <v>127</v>
      </c>
      <c r="C365" s="203">
        <f>SUM(C334:C335)-SUM(C361,C363)</f>
        <v>741405.03669128369</v>
      </c>
      <c r="D365" s="203">
        <f t="shared" ref="D365:AG365" si="217">SUM(D334:D335)-SUM(D361,D363)</f>
        <v>713102.39145121491</v>
      </c>
      <c r="E365" s="203">
        <f t="shared" si="217"/>
        <v>686637.92391223263</v>
      </c>
      <c r="F365" s="203">
        <f t="shared" si="217"/>
        <v>662009.60809630598</v>
      </c>
      <c r="G365" s="203">
        <f t="shared" si="217"/>
        <v>639084.34132087615</v>
      </c>
      <c r="H365" s="203">
        <f t="shared" si="217"/>
        <v>617750.11862937408</v>
      </c>
      <c r="I365" s="203">
        <f t="shared" si="217"/>
        <v>588366.3530263612</v>
      </c>
      <c r="J365" s="203">
        <f t="shared" si="217"/>
        <v>560505.78200262238</v>
      </c>
      <c r="K365" s="203">
        <f t="shared" si="217"/>
        <v>533974.57366381458</v>
      </c>
      <c r="L365" s="203">
        <f t="shared" si="217"/>
        <v>508502.88460759516</v>
      </c>
      <c r="M365" s="203">
        <f t="shared" si="217"/>
        <v>483719.63057791535</v>
      </c>
      <c r="N365" s="203">
        <f t="shared" si="217"/>
        <v>468590.60808792099</v>
      </c>
      <c r="O365" s="203">
        <f t="shared" si="217"/>
        <v>452655.05816630227</v>
      </c>
      <c r="P365" s="203">
        <f t="shared" si="217"/>
        <v>435452.4391282596</v>
      </c>
      <c r="Q365" s="203">
        <f t="shared" si="217"/>
        <v>416955.85833472217</v>
      </c>
      <c r="R365" s="203">
        <f t="shared" si="217"/>
        <v>397489.92234084458</v>
      </c>
      <c r="S365" s="203">
        <f t="shared" si="217"/>
        <v>379737.03670602787</v>
      </c>
      <c r="T365" s="203">
        <f t="shared" si="217"/>
        <v>362744.60474883008</v>
      </c>
      <c r="U365" s="203">
        <f t="shared" si="217"/>
        <v>347470.78340180998</v>
      </c>
      <c r="V365" s="203">
        <f t="shared" si="217"/>
        <v>334529.75661281886</v>
      </c>
      <c r="W365" s="203">
        <f t="shared" si="217"/>
        <v>324093.08191638847</v>
      </c>
      <c r="X365" s="203">
        <f t="shared" si="217"/>
        <v>307822.59908694727</v>
      </c>
      <c r="Y365" s="203">
        <f t="shared" si="217"/>
        <v>294213.20399359544</v>
      </c>
      <c r="Z365" s="203">
        <f t="shared" si="217"/>
        <v>282712.46861629159</v>
      </c>
      <c r="AA365" s="203">
        <f t="shared" si="217"/>
        <v>273042.98643850919</v>
      </c>
      <c r="AB365" s="203">
        <f t="shared" si="217"/>
        <v>264820.11893650028</v>
      </c>
      <c r="AC365" s="203">
        <f t="shared" si="217"/>
        <v>257045.33730535815</v>
      </c>
      <c r="AD365" s="203">
        <f t="shared" si="217"/>
        <v>250214.76551237132</v>
      </c>
      <c r="AE365" s="203">
        <f t="shared" si="217"/>
        <v>244124.0985902258</v>
      </c>
      <c r="AF365" s="203">
        <f t="shared" si="217"/>
        <v>238611.85572261299</v>
      </c>
      <c r="AG365" s="203">
        <f t="shared" si="217"/>
        <v>233549.41240993558</v>
      </c>
      <c r="AJ365" s="274"/>
    </row>
    <row r="366" spans="1:37" s="203" customFormat="1">
      <c r="A366" s="275"/>
      <c r="B366" s="273"/>
      <c r="AJ366" s="274"/>
    </row>
    <row r="367" spans="1:37" s="203" customFormat="1">
      <c r="A367" s="274" t="s">
        <v>646</v>
      </c>
      <c r="B367" s="273" t="s">
        <v>127</v>
      </c>
      <c r="C367" s="276">
        <f>C287*C286*C197</f>
        <v>0</v>
      </c>
      <c r="D367" s="276">
        <f t="shared" ref="D367:AG367" si="218">D287*D286*D197</f>
        <v>1.0238495754269192E-2</v>
      </c>
      <c r="E367" s="276">
        <f t="shared" si="218"/>
        <v>2.0302680173288335E-2</v>
      </c>
      <c r="F367" s="276">
        <f t="shared" si="218"/>
        <v>3.0192368409406048E-2</v>
      </c>
      <c r="G367" s="276">
        <f t="shared" si="218"/>
        <v>3.9907375614970951E-2</v>
      </c>
      <c r="H367" s="276">
        <f t="shared" si="218"/>
        <v>4.9447516942331668E-2</v>
      </c>
      <c r="I367" s="276">
        <f t="shared" si="218"/>
        <v>5.8812607543836819E-2</v>
      </c>
      <c r="J367" s="276">
        <f t="shared" si="218"/>
        <v>6.8002462571835037E-2</v>
      </c>
      <c r="K367" s="276">
        <f t="shared" si="218"/>
        <v>7.7016897178674909E-2</v>
      </c>
      <c r="L367" s="276">
        <f t="shared" si="218"/>
        <v>8.5855726516705075E-2</v>
      </c>
      <c r="M367" s="276">
        <f t="shared" si="218"/>
        <v>9.4518765738274182E-2</v>
      </c>
      <c r="N367" s="276">
        <f t="shared" si="218"/>
        <v>9.9932765881634272E-2</v>
      </c>
      <c r="O367" s="276">
        <f t="shared" si="218"/>
        <v>0.10522821485444192</v>
      </c>
      <c r="P367" s="276">
        <f t="shared" si="218"/>
        <v>0.11040498847100558</v>
      </c>
      <c r="Q367" s="276">
        <f t="shared" si="218"/>
        <v>0.11546296254563372</v>
      </c>
      <c r="R367" s="276">
        <f t="shared" si="218"/>
        <v>0.12040201289263487</v>
      </c>
      <c r="S367" s="276">
        <f t="shared" si="218"/>
        <v>0.12522201532631747</v>
      </c>
      <c r="T367" s="276">
        <f t="shared" si="218"/>
        <v>0.12992284566098997</v>
      </c>
      <c r="U367" s="276">
        <f t="shared" si="218"/>
        <v>0.13450437971096094</v>
      </c>
      <c r="V367" s="276">
        <f t="shared" si="218"/>
        <v>0.13896649329053878</v>
      </c>
      <c r="W367" s="276">
        <f t="shared" si="218"/>
        <v>0.14330906221403197</v>
      </c>
      <c r="X367" s="276">
        <f t="shared" si="218"/>
        <v>0.15059690810148849</v>
      </c>
      <c r="Y367" s="276">
        <f t="shared" si="218"/>
        <v>0.15770109609806179</v>
      </c>
      <c r="Z367" s="276">
        <f t="shared" si="218"/>
        <v>0.16462143523709469</v>
      </c>
      <c r="AA367" s="276">
        <f t="shared" si="218"/>
        <v>0.17135773455193024</v>
      </c>
      <c r="AB367" s="276">
        <f t="shared" si="218"/>
        <v>0.17790980307591125</v>
      </c>
      <c r="AC367" s="276">
        <f t="shared" si="218"/>
        <v>0.18427744984238062</v>
      </c>
      <c r="AD367" s="276">
        <f t="shared" si="218"/>
        <v>0.19046048388468123</v>
      </c>
      <c r="AE367" s="276">
        <f t="shared" si="218"/>
        <v>0.19645871423615602</v>
      </c>
      <c r="AF367" s="276">
        <f t="shared" si="218"/>
        <v>0.20227194993014791</v>
      </c>
      <c r="AG367" s="276">
        <f t="shared" si="218"/>
        <v>0.2079</v>
      </c>
      <c r="AJ367" s="274"/>
    </row>
    <row r="368" spans="1:37" s="203" customFormat="1">
      <c r="A368" s="203" t="s">
        <v>645</v>
      </c>
      <c r="B368" s="273" t="s">
        <v>127</v>
      </c>
      <c r="C368" s="276">
        <f>C288*C286*C197</f>
        <v>0</v>
      </c>
      <c r="D368" s="276">
        <f t="shared" ref="D368:AG368" si="219">D288*D286*D197</f>
        <v>0</v>
      </c>
      <c r="E368" s="276">
        <f t="shared" si="219"/>
        <v>0</v>
      </c>
      <c r="F368" s="276">
        <f t="shared" si="219"/>
        <v>0</v>
      </c>
      <c r="G368" s="276">
        <f t="shared" si="219"/>
        <v>0</v>
      </c>
      <c r="H368" s="276">
        <f t="shared" si="219"/>
        <v>0</v>
      </c>
      <c r="I368" s="276">
        <f t="shared" si="219"/>
        <v>0</v>
      </c>
      <c r="J368" s="276">
        <f t="shared" si="219"/>
        <v>0</v>
      </c>
      <c r="K368" s="276">
        <f t="shared" si="219"/>
        <v>0</v>
      </c>
      <c r="L368" s="276">
        <f t="shared" si="219"/>
        <v>0</v>
      </c>
      <c r="M368" s="276">
        <f t="shared" si="219"/>
        <v>0</v>
      </c>
      <c r="N368" s="276">
        <f t="shared" si="219"/>
        <v>0</v>
      </c>
      <c r="O368" s="276">
        <f t="shared" si="219"/>
        <v>0</v>
      </c>
      <c r="P368" s="276">
        <f t="shared" si="219"/>
        <v>0</v>
      </c>
      <c r="Q368" s="276">
        <f t="shared" si="219"/>
        <v>0</v>
      </c>
      <c r="R368" s="276">
        <f t="shared" si="219"/>
        <v>0</v>
      </c>
      <c r="S368" s="276">
        <f t="shared" si="219"/>
        <v>0</v>
      </c>
      <c r="T368" s="276">
        <f t="shared" si="219"/>
        <v>0</v>
      </c>
      <c r="U368" s="276">
        <f t="shared" si="219"/>
        <v>0</v>
      </c>
      <c r="V368" s="276">
        <f t="shared" si="219"/>
        <v>0</v>
      </c>
      <c r="W368" s="276">
        <f t="shared" si="219"/>
        <v>0</v>
      </c>
      <c r="X368" s="276">
        <f t="shared" si="219"/>
        <v>0</v>
      </c>
      <c r="Y368" s="276">
        <f t="shared" si="219"/>
        <v>0</v>
      </c>
      <c r="Z368" s="276">
        <f t="shared" si="219"/>
        <v>0</v>
      </c>
      <c r="AA368" s="276">
        <f t="shared" si="219"/>
        <v>0</v>
      </c>
      <c r="AB368" s="276">
        <f t="shared" si="219"/>
        <v>0</v>
      </c>
      <c r="AC368" s="276">
        <f t="shared" si="219"/>
        <v>0</v>
      </c>
      <c r="AD368" s="276">
        <f t="shared" si="219"/>
        <v>0</v>
      </c>
      <c r="AE368" s="276">
        <f t="shared" si="219"/>
        <v>0</v>
      </c>
      <c r="AF368" s="276">
        <f t="shared" si="219"/>
        <v>0</v>
      </c>
      <c r="AG368" s="276">
        <f t="shared" si="219"/>
        <v>0</v>
      </c>
      <c r="AJ368" s="274"/>
    </row>
    <row r="369" spans="1:36" s="203" customFormat="1">
      <c r="B369" s="273"/>
      <c r="C369" s="267"/>
      <c r="D369" s="267"/>
      <c r="E369" s="267"/>
      <c r="F369" s="267"/>
      <c r="G369" s="267"/>
      <c r="H369" s="267"/>
      <c r="I369" s="267"/>
      <c r="J369" s="267"/>
      <c r="K369" s="267"/>
      <c r="L369" s="267"/>
      <c r="M369" s="267"/>
      <c r="N369" s="267"/>
      <c r="O369" s="267"/>
      <c r="P369" s="267"/>
      <c r="Q369" s="267"/>
      <c r="R369" s="267"/>
      <c r="S369" s="267"/>
      <c r="T369" s="267"/>
      <c r="U369" s="267"/>
      <c r="V369" s="267"/>
      <c r="W369" s="267"/>
      <c r="X369" s="267"/>
      <c r="Y369" s="267"/>
      <c r="Z369" s="267"/>
      <c r="AA369" s="267"/>
      <c r="AB369" s="267"/>
      <c r="AC369" s="267"/>
      <c r="AD369" s="267"/>
      <c r="AE369" s="267"/>
      <c r="AF369" s="267"/>
      <c r="AG369" s="267"/>
      <c r="AJ369" s="274"/>
    </row>
    <row r="370" spans="1:36" s="203" customFormat="1">
      <c r="A370" s="300" t="s">
        <v>647</v>
      </c>
      <c r="B370" s="301" t="s">
        <v>127</v>
      </c>
      <c r="C370" s="254">
        <f>C348-C361-C363</f>
        <v>433067.77732049633</v>
      </c>
      <c r="D370" s="302">
        <f t="shared" ref="D370:AG370" si="220">D348-D361-D363</f>
        <v>436384.25505355065</v>
      </c>
      <c r="E370" s="302">
        <f t="shared" si="220"/>
        <v>436450.90313048178</v>
      </c>
      <c r="F370" s="302">
        <f t="shared" si="220"/>
        <v>435666.47198354581</v>
      </c>
      <c r="G370" s="302">
        <f t="shared" si="220"/>
        <v>433424.59569201351</v>
      </c>
      <c r="H370" s="302">
        <f t="shared" si="220"/>
        <v>429846.59374696756</v>
      </c>
      <c r="I370" s="302">
        <f t="shared" si="220"/>
        <v>424500.48098397854</v>
      </c>
      <c r="J370" s="302">
        <f t="shared" si="220"/>
        <v>417877.33697182906</v>
      </c>
      <c r="K370" s="302">
        <f t="shared" si="220"/>
        <v>409966.11117626884</v>
      </c>
      <c r="L370" s="302">
        <f t="shared" si="220"/>
        <v>400670.27419879584</v>
      </c>
      <c r="M370" s="302">
        <f t="shared" si="220"/>
        <v>389782.98035698215</v>
      </c>
      <c r="N370" s="302">
        <f t="shared" si="220"/>
        <v>369230.87205531029</v>
      </c>
      <c r="O370" s="302">
        <f t="shared" si="220"/>
        <v>347337.50940328307</v>
      </c>
      <c r="P370" s="302">
        <f t="shared" si="220"/>
        <v>323827.86900083243</v>
      </c>
      <c r="Q370" s="302">
        <f t="shared" si="220"/>
        <v>298715.14888505329</v>
      </c>
      <c r="R370" s="302">
        <f t="shared" si="220"/>
        <v>272428.65474061057</v>
      </c>
      <c r="S370" s="302">
        <f t="shared" si="220"/>
        <v>245946.19688172697</v>
      </c>
      <c r="T370" s="302">
        <f t="shared" si="220"/>
        <v>220300.93406571232</v>
      </c>
      <c r="U370" s="302">
        <f t="shared" si="220"/>
        <v>196545.55682539445</v>
      </c>
      <c r="V370" s="302">
        <f t="shared" si="220"/>
        <v>175383.56482752983</v>
      </c>
      <c r="W370" s="302">
        <f t="shared" si="220"/>
        <v>157070.82460105969</v>
      </c>
      <c r="X370" s="302">
        <f t="shared" si="220"/>
        <v>144208.52339173667</v>
      </c>
      <c r="Y370" s="302">
        <f t="shared" si="220"/>
        <v>133191.89669631241</v>
      </c>
      <c r="Z370" s="302">
        <f t="shared" si="220"/>
        <v>123698.29679754448</v>
      </c>
      <c r="AA370" s="302">
        <f t="shared" si="220"/>
        <v>115432.71867938025</v>
      </c>
      <c r="AB370" s="302">
        <f t="shared" si="220"/>
        <v>108112.43143049223</v>
      </c>
      <c r="AC370" s="302">
        <f t="shared" si="220"/>
        <v>101427.67630327122</v>
      </c>
      <c r="AD370" s="302">
        <f t="shared" si="220"/>
        <v>95281.426732907406</v>
      </c>
      <c r="AE370" s="302">
        <f t="shared" si="220"/>
        <v>89549.498853620782</v>
      </c>
      <c r="AF370" s="302">
        <f t="shared" si="220"/>
        <v>84145.529971065698</v>
      </c>
      <c r="AG370" s="303">
        <f t="shared" si="220"/>
        <v>79011.216241843766</v>
      </c>
      <c r="AI370" s="203" t="s">
        <v>679</v>
      </c>
      <c r="AJ370" s="274"/>
    </row>
    <row r="371" spans="1:36" s="203" customFormat="1">
      <c r="A371" s="304" t="s">
        <v>648</v>
      </c>
      <c r="B371" s="305" t="s">
        <v>127</v>
      </c>
      <c r="C371" s="306">
        <f>C349+C370</f>
        <v>729245.57676573656</v>
      </c>
      <c r="D371" s="306">
        <f t="shared" ref="D371:AG371" si="221">D349+D370</f>
        <v>700769.89636027138</v>
      </c>
      <c r="E371" s="306">
        <f t="shared" si="221"/>
        <v>674223.85381474299</v>
      </c>
      <c r="F371" s="306">
        <f t="shared" si="221"/>
        <v>649538.36322471965</v>
      </c>
      <c r="G371" s="306">
        <f t="shared" si="221"/>
        <v>626597.89561862545</v>
      </c>
      <c r="H371" s="306">
        <f t="shared" si="221"/>
        <v>605287.03261189396</v>
      </c>
      <c r="I371" s="306">
        <f t="shared" si="221"/>
        <v>575977.24620541744</v>
      </c>
      <c r="J371" s="306">
        <f t="shared" si="221"/>
        <v>548225.55925269483</v>
      </c>
      <c r="K371" s="306">
        <f t="shared" si="221"/>
        <v>521835.29274950671</v>
      </c>
      <c r="L371" s="306">
        <f t="shared" si="221"/>
        <v>496533.88516080979</v>
      </c>
      <c r="M371" s="306">
        <f t="shared" si="221"/>
        <v>471947.65906339878</v>
      </c>
      <c r="N371" s="306">
        <f t="shared" si="221"/>
        <v>457277.38940151886</v>
      </c>
      <c r="O371" s="306">
        <f t="shared" si="221"/>
        <v>441801.58945297269</v>
      </c>
      <c r="P371" s="306">
        <f t="shared" si="221"/>
        <v>425058.40830629703</v>
      </c>
      <c r="Q371" s="306">
        <f t="shared" si="221"/>
        <v>407019.00682439777</v>
      </c>
      <c r="R371" s="306">
        <f t="shared" si="221"/>
        <v>388006.52158785827</v>
      </c>
      <c r="S371" s="306">
        <f t="shared" si="221"/>
        <v>370698.26401767565</v>
      </c>
      <c r="T371" s="306">
        <f t="shared" si="221"/>
        <v>354143.41831941047</v>
      </c>
      <c r="U371" s="306">
        <f t="shared" si="221"/>
        <v>339298.96249797143</v>
      </c>
      <c r="V371" s="306">
        <f t="shared" si="221"/>
        <v>326778.00829003868</v>
      </c>
      <c r="W371" s="306">
        <f t="shared" si="221"/>
        <v>316751.14535107615</v>
      </c>
      <c r="X371" s="306">
        <f t="shared" si="221"/>
        <v>300745.87333094678</v>
      </c>
      <c r="Y371" s="306">
        <f t="shared" si="221"/>
        <v>287406.52803426929</v>
      </c>
      <c r="Z371" s="306">
        <f t="shared" si="221"/>
        <v>276180.33282889338</v>
      </c>
      <c r="AA371" s="306">
        <f t="shared" si="221"/>
        <v>266787.31340652844</v>
      </c>
      <c r="AB371" s="306">
        <f t="shared" si="221"/>
        <v>258841.49484657872</v>
      </c>
      <c r="AC371" s="306">
        <f t="shared" si="221"/>
        <v>251347.72804788454</v>
      </c>
      <c r="AD371" s="306">
        <f t="shared" si="221"/>
        <v>244796.92173276248</v>
      </c>
      <c r="AE371" s="306">
        <f t="shared" si="221"/>
        <v>238983.73049208347</v>
      </c>
      <c r="AF371" s="306">
        <f t="shared" si="221"/>
        <v>233745.72273022082</v>
      </c>
      <c r="AG371" s="307">
        <f t="shared" si="221"/>
        <v>228953.40957632591</v>
      </c>
      <c r="AI371" s="203" t="s">
        <v>680</v>
      </c>
      <c r="AJ371" s="274"/>
    </row>
    <row r="372" spans="1:36" s="203" customFormat="1">
      <c r="A372" s="378"/>
      <c r="B372" s="379"/>
      <c r="C372" s="378"/>
      <c r="D372" s="378"/>
      <c r="E372" s="378"/>
      <c r="F372" s="378"/>
      <c r="G372" s="378"/>
      <c r="H372" s="378"/>
      <c r="I372" s="378"/>
      <c r="J372" s="378"/>
      <c r="K372" s="378"/>
      <c r="L372" s="378"/>
      <c r="M372" s="378"/>
      <c r="N372" s="378"/>
      <c r="O372" s="378"/>
      <c r="P372" s="378"/>
      <c r="Q372" s="378"/>
      <c r="R372" s="378"/>
      <c r="S372" s="378"/>
      <c r="T372" s="378"/>
      <c r="U372" s="378"/>
      <c r="V372" s="378"/>
      <c r="W372" s="378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J372" s="274"/>
    </row>
    <row r="373" spans="1:36">
      <c r="B373" s="121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I373" s="22"/>
    </row>
    <row r="374" spans="1:36">
      <c r="B374" s="121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I374" s="188"/>
    </row>
  </sheetData>
  <mergeCells count="5">
    <mergeCell ref="BD123:BE123"/>
    <mergeCell ref="BD128:BE128"/>
    <mergeCell ref="BD133:BE133"/>
    <mergeCell ref="BD141:BE141"/>
    <mergeCell ref="AI341:AI349"/>
  </mergeCells>
  <hyperlinks>
    <hyperlink ref="AJ127" r:id="rId1" xr:uid="{33306486-B1B0-450C-A355-C5B92B8FD693}"/>
    <hyperlink ref="AJ128" r:id="rId2" xr:uid="{43C10E79-DC11-42C0-A271-419EB0DAC714}"/>
  </hyperlinks>
  <pageMargins left="0.7" right="0.7" top="0.75" bottom="0.75" header="0.3" footer="0.3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7757-9CDD-42AC-9127-5E624AC49AB9}">
  <sheetPr>
    <tabColor theme="4"/>
  </sheetPr>
  <dimension ref="A1:BL374"/>
  <sheetViews>
    <sheetView zoomScale="40" zoomScaleNormal="40" workbookViewId="0">
      <pane xSplit="2" ySplit="3" topLeftCell="C255" activePane="bottomRight" state="frozen"/>
      <selection pane="topRight" activeCell="C1" sqref="C1"/>
      <selection pane="bottomLeft" activeCell="A4" sqref="A4"/>
      <selection pane="bottomRight" activeCell="AJ268" sqref="AJ268:AJ273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1" style="99" customWidth="1"/>
    <col min="4" max="11" width="8.81640625" style="99" hidden="1" customWidth="1" outlineLevel="1"/>
    <col min="12" max="12" width="1.179687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2.76953125" style="99" bestFit="1" customWidth="1" collapsed="1"/>
    <col min="24" max="32" width="8.81640625" style="99" hidden="1" customWidth="1" outlineLevel="1"/>
    <col min="33" max="33" width="11.54296875" style="99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 s="185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  <c r="AJ7" s="185"/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 s="185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1216</v>
      </c>
      <c r="B18" s="50" t="s">
        <v>126</v>
      </c>
      <c r="C18" s="139">
        <f>SUM('Overall recycling rates'!F76:H76)</f>
        <v>0.12988469370263708</v>
      </c>
      <c r="D18" s="139">
        <f>C18</f>
        <v>0.12988469370263708</v>
      </c>
      <c r="E18" s="139">
        <f t="shared" ref="E18:T18" si="9">D18</f>
        <v>0.12988469370263708</v>
      </c>
      <c r="F18" s="139">
        <f t="shared" si="9"/>
        <v>0.12988469370263708</v>
      </c>
      <c r="G18" s="139">
        <f t="shared" si="9"/>
        <v>0.12988469370263708</v>
      </c>
      <c r="H18" s="139">
        <f t="shared" si="9"/>
        <v>0.12988469370263708</v>
      </c>
      <c r="I18" s="139">
        <f t="shared" si="9"/>
        <v>0.12988469370263708</v>
      </c>
      <c r="J18" s="139">
        <f t="shared" si="9"/>
        <v>0.12988469370263708</v>
      </c>
      <c r="K18" s="139">
        <f t="shared" si="9"/>
        <v>0.12988469370263708</v>
      </c>
      <c r="L18" s="139">
        <f t="shared" si="9"/>
        <v>0.12988469370263708</v>
      </c>
      <c r="M18" s="139">
        <f t="shared" si="9"/>
        <v>0.12988469370263708</v>
      </c>
      <c r="N18" s="139">
        <f t="shared" si="9"/>
        <v>0.12988469370263708</v>
      </c>
      <c r="O18" s="139">
        <f t="shared" si="9"/>
        <v>0.12988469370263708</v>
      </c>
      <c r="P18" s="139">
        <f t="shared" si="9"/>
        <v>0.12988469370263708</v>
      </c>
      <c r="Q18" s="139">
        <f t="shared" si="9"/>
        <v>0.12988469370263708</v>
      </c>
      <c r="R18" s="139">
        <f t="shared" si="9"/>
        <v>0.12988469370263708</v>
      </c>
      <c r="S18" s="139">
        <f t="shared" si="9"/>
        <v>0.12988469370263708</v>
      </c>
      <c r="T18" s="139">
        <f t="shared" si="9"/>
        <v>0.12988469370263708</v>
      </c>
      <c r="U18" s="139">
        <f t="shared" ref="T18:AG22" si="10">T18</f>
        <v>0.12988469370263708</v>
      </c>
      <c r="V18" s="139">
        <f t="shared" si="10"/>
        <v>0.12988469370263708</v>
      </c>
      <c r="W18" s="139">
        <f t="shared" si="10"/>
        <v>0.12988469370263708</v>
      </c>
      <c r="X18" s="139">
        <f t="shared" si="10"/>
        <v>0.12988469370263708</v>
      </c>
      <c r="Y18" s="139">
        <f t="shared" si="10"/>
        <v>0.12988469370263708</v>
      </c>
      <c r="Z18" s="139">
        <f t="shared" si="10"/>
        <v>0.12988469370263708</v>
      </c>
      <c r="AA18" s="139">
        <f t="shared" si="10"/>
        <v>0.12988469370263708</v>
      </c>
      <c r="AB18" s="139">
        <f t="shared" si="10"/>
        <v>0.12988469370263708</v>
      </c>
      <c r="AC18" s="139">
        <f t="shared" si="10"/>
        <v>0.12988469370263708</v>
      </c>
      <c r="AD18" s="139">
        <f t="shared" si="10"/>
        <v>0.12988469370263708</v>
      </c>
      <c r="AE18" s="139">
        <f t="shared" si="10"/>
        <v>0.12988469370263708</v>
      </c>
      <c r="AF18" s="139">
        <f t="shared" si="10"/>
        <v>0.12988469370263708</v>
      </c>
      <c r="AG18" s="139">
        <f>AF18</f>
        <v>0.12988469370263708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1217</v>
      </c>
      <c r="B19" s="50" t="s">
        <v>126</v>
      </c>
      <c r="C19" s="139">
        <f>SUM('Overall recycling rates'!F77:H77)</f>
        <v>0.11421218976227566</v>
      </c>
      <c r="D19" s="139">
        <f t="shared" ref="D19:S22" si="11">C19</f>
        <v>0.11421218976227566</v>
      </c>
      <c r="E19" s="139">
        <f t="shared" si="11"/>
        <v>0.11421218976227566</v>
      </c>
      <c r="F19" s="139">
        <f t="shared" si="11"/>
        <v>0.11421218976227566</v>
      </c>
      <c r="G19" s="139">
        <f t="shared" si="11"/>
        <v>0.11421218976227566</v>
      </c>
      <c r="H19" s="139">
        <f t="shared" si="11"/>
        <v>0.11421218976227566</v>
      </c>
      <c r="I19" s="139">
        <f t="shared" si="11"/>
        <v>0.11421218976227566</v>
      </c>
      <c r="J19" s="139">
        <f t="shared" si="11"/>
        <v>0.11421218976227566</v>
      </c>
      <c r="K19" s="139">
        <f t="shared" si="11"/>
        <v>0.11421218976227566</v>
      </c>
      <c r="L19" s="139">
        <f t="shared" si="11"/>
        <v>0.11421218976227566</v>
      </c>
      <c r="M19" s="139">
        <f t="shared" si="11"/>
        <v>0.11421218976227566</v>
      </c>
      <c r="N19" s="139">
        <f t="shared" si="11"/>
        <v>0.11421218976227566</v>
      </c>
      <c r="O19" s="139">
        <f t="shared" si="11"/>
        <v>0.11421218976227566</v>
      </c>
      <c r="P19" s="139">
        <f t="shared" si="11"/>
        <v>0.11421218976227566</v>
      </c>
      <c r="Q19" s="139">
        <f t="shared" si="11"/>
        <v>0.11421218976227566</v>
      </c>
      <c r="R19" s="139">
        <f t="shared" si="11"/>
        <v>0.11421218976227566</v>
      </c>
      <c r="S19" s="139">
        <f t="shared" si="11"/>
        <v>0.11421218976227566</v>
      </c>
      <c r="T19" s="139">
        <f t="shared" si="10"/>
        <v>0.11421218976227566</v>
      </c>
      <c r="U19" s="139">
        <f t="shared" si="10"/>
        <v>0.11421218976227566</v>
      </c>
      <c r="V19" s="139">
        <f t="shared" si="10"/>
        <v>0.11421218976227566</v>
      </c>
      <c r="W19" s="139">
        <f t="shared" si="10"/>
        <v>0.11421218976227566</v>
      </c>
      <c r="X19" s="139">
        <f t="shared" si="10"/>
        <v>0.11421218976227566</v>
      </c>
      <c r="Y19" s="139">
        <f t="shared" si="10"/>
        <v>0.11421218976227566</v>
      </c>
      <c r="Z19" s="139">
        <f t="shared" si="10"/>
        <v>0.11421218976227566</v>
      </c>
      <c r="AA19" s="139">
        <f t="shared" si="10"/>
        <v>0.11421218976227566</v>
      </c>
      <c r="AB19" s="139">
        <f t="shared" si="10"/>
        <v>0.11421218976227566</v>
      </c>
      <c r="AC19" s="139">
        <f t="shared" si="10"/>
        <v>0.11421218976227566</v>
      </c>
      <c r="AD19" s="139">
        <f t="shared" si="10"/>
        <v>0.11421218976227566</v>
      </c>
      <c r="AE19" s="139">
        <f t="shared" si="10"/>
        <v>0.11421218976227566</v>
      </c>
      <c r="AF19" s="139">
        <f t="shared" si="10"/>
        <v>0.11421218976227566</v>
      </c>
      <c r="AG19" s="139">
        <f t="shared" si="10"/>
        <v>0.11421218976227566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1218</v>
      </c>
      <c r="B20" s="50" t="s">
        <v>126</v>
      </c>
      <c r="C20" s="139">
        <f>SUM('Overall recycling rates'!F78:H78)</f>
        <v>0.10868541106370912</v>
      </c>
      <c r="D20" s="139">
        <f t="shared" si="11"/>
        <v>0.10868541106370912</v>
      </c>
      <c r="E20" s="139">
        <f t="shared" si="11"/>
        <v>0.10868541106370912</v>
      </c>
      <c r="F20" s="139">
        <f t="shared" si="11"/>
        <v>0.10868541106370912</v>
      </c>
      <c r="G20" s="139">
        <f t="shared" si="11"/>
        <v>0.10868541106370912</v>
      </c>
      <c r="H20" s="139">
        <f t="shared" si="11"/>
        <v>0.10868541106370912</v>
      </c>
      <c r="I20" s="139">
        <f t="shared" si="11"/>
        <v>0.10868541106370912</v>
      </c>
      <c r="J20" s="139">
        <f t="shared" si="11"/>
        <v>0.10868541106370912</v>
      </c>
      <c r="K20" s="139">
        <f t="shared" si="11"/>
        <v>0.10868541106370912</v>
      </c>
      <c r="L20" s="139">
        <f t="shared" si="11"/>
        <v>0.10868541106370912</v>
      </c>
      <c r="M20" s="139">
        <f t="shared" si="11"/>
        <v>0.10868541106370912</v>
      </c>
      <c r="N20" s="139">
        <f t="shared" si="11"/>
        <v>0.10868541106370912</v>
      </c>
      <c r="O20" s="139">
        <f t="shared" si="11"/>
        <v>0.10868541106370912</v>
      </c>
      <c r="P20" s="139">
        <f t="shared" si="11"/>
        <v>0.10868541106370912</v>
      </c>
      <c r="Q20" s="139">
        <f t="shared" si="11"/>
        <v>0.10868541106370912</v>
      </c>
      <c r="R20" s="139">
        <f t="shared" si="11"/>
        <v>0.10868541106370912</v>
      </c>
      <c r="S20" s="139">
        <f t="shared" si="11"/>
        <v>0.10868541106370912</v>
      </c>
      <c r="T20" s="139">
        <f t="shared" si="10"/>
        <v>0.10868541106370912</v>
      </c>
      <c r="U20" s="139">
        <f t="shared" si="10"/>
        <v>0.10868541106370912</v>
      </c>
      <c r="V20" s="139">
        <f t="shared" si="10"/>
        <v>0.10868541106370912</v>
      </c>
      <c r="W20" s="139">
        <f t="shared" si="10"/>
        <v>0.10868541106370912</v>
      </c>
      <c r="X20" s="139">
        <f t="shared" si="10"/>
        <v>0.10868541106370912</v>
      </c>
      <c r="Y20" s="139">
        <f t="shared" si="10"/>
        <v>0.10868541106370912</v>
      </c>
      <c r="Z20" s="139">
        <f t="shared" si="10"/>
        <v>0.10868541106370912</v>
      </c>
      <c r="AA20" s="139">
        <f t="shared" si="10"/>
        <v>0.10868541106370912</v>
      </c>
      <c r="AB20" s="139">
        <f t="shared" si="10"/>
        <v>0.10868541106370912</v>
      </c>
      <c r="AC20" s="139">
        <f t="shared" si="10"/>
        <v>0.10868541106370912</v>
      </c>
      <c r="AD20" s="139">
        <f t="shared" si="10"/>
        <v>0.10868541106370912</v>
      </c>
      <c r="AE20" s="139">
        <f t="shared" si="10"/>
        <v>0.10868541106370912</v>
      </c>
      <c r="AF20" s="139">
        <f t="shared" si="10"/>
        <v>0.10868541106370912</v>
      </c>
      <c r="AG20" s="139">
        <f t="shared" si="10"/>
        <v>0.10868541106370912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1219</v>
      </c>
      <c r="B21" s="50" t="s">
        <v>126</v>
      </c>
      <c r="C21" s="139">
        <f>SUM('Overall recycling rates'!F79:H79)</f>
        <v>0.55207046844051222</v>
      </c>
      <c r="D21" s="139">
        <f t="shared" si="11"/>
        <v>0.55207046844051222</v>
      </c>
      <c r="E21" s="139">
        <f t="shared" si="11"/>
        <v>0.55207046844051222</v>
      </c>
      <c r="F21" s="139">
        <f t="shared" si="11"/>
        <v>0.55207046844051222</v>
      </c>
      <c r="G21" s="139">
        <f t="shared" si="11"/>
        <v>0.55207046844051222</v>
      </c>
      <c r="H21" s="139">
        <f t="shared" si="11"/>
        <v>0.55207046844051222</v>
      </c>
      <c r="I21" s="139">
        <f t="shared" si="11"/>
        <v>0.55207046844051222</v>
      </c>
      <c r="J21" s="139">
        <f t="shared" si="11"/>
        <v>0.55207046844051222</v>
      </c>
      <c r="K21" s="139">
        <f t="shared" si="11"/>
        <v>0.55207046844051222</v>
      </c>
      <c r="L21" s="139">
        <f t="shared" si="11"/>
        <v>0.55207046844051222</v>
      </c>
      <c r="M21" s="139">
        <f t="shared" si="11"/>
        <v>0.55207046844051222</v>
      </c>
      <c r="N21" s="139">
        <f t="shared" si="11"/>
        <v>0.55207046844051222</v>
      </c>
      <c r="O21" s="139">
        <f t="shared" si="11"/>
        <v>0.55207046844051222</v>
      </c>
      <c r="P21" s="139">
        <f t="shared" si="11"/>
        <v>0.55207046844051222</v>
      </c>
      <c r="Q21" s="139">
        <f t="shared" si="11"/>
        <v>0.55207046844051222</v>
      </c>
      <c r="R21" s="139">
        <f t="shared" si="11"/>
        <v>0.55207046844051222</v>
      </c>
      <c r="S21" s="139">
        <f t="shared" si="11"/>
        <v>0.55207046844051222</v>
      </c>
      <c r="T21" s="139">
        <f t="shared" si="10"/>
        <v>0.55207046844051222</v>
      </c>
      <c r="U21" s="139">
        <f t="shared" si="10"/>
        <v>0.55207046844051222</v>
      </c>
      <c r="V21" s="139">
        <f t="shared" si="10"/>
        <v>0.55207046844051222</v>
      </c>
      <c r="W21" s="139">
        <f t="shared" si="10"/>
        <v>0.55207046844051222</v>
      </c>
      <c r="X21" s="139">
        <f t="shared" si="10"/>
        <v>0.55207046844051222</v>
      </c>
      <c r="Y21" s="139">
        <f t="shared" si="10"/>
        <v>0.55207046844051222</v>
      </c>
      <c r="Z21" s="139">
        <f t="shared" si="10"/>
        <v>0.55207046844051222</v>
      </c>
      <c r="AA21" s="139">
        <f t="shared" si="10"/>
        <v>0.55207046844051222</v>
      </c>
      <c r="AB21" s="139">
        <f t="shared" si="10"/>
        <v>0.55207046844051222</v>
      </c>
      <c r="AC21" s="139">
        <f t="shared" si="10"/>
        <v>0.55207046844051222</v>
      </c>
      <c r="AD21" s="139">
        <f t="shared" si="10"/>
        <v>0.55207046844051222</v>
      </c>
      <c r="AE21" s="139">
        <f t="shared" si="10"/>
        <v>0.55207046844051222</v>
      </c>
      <c r="AF21" s="139">
        <f t="shared" si="10"/>
        <v>0.55207046844051222</v>
      </c>
      <c r="AG21" s="139">
        <f t="shared" si="10"/>
        <v>0.55207046844051222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1220</v>
      </c>
      <c r="B22" s="50" t="s">
        <v>126</v>
      </c>
      <c r="C22" s="139">
        <f>SUM('Overall recycling rates'!F80:H80)</f>
        <v>0.15677620202539996</v>
      </c>
      <c r="D22" s="139">
        <f>C22</f>
        <v>0.15677620202539996</v>
      </c>
      <c r="E22" s="139">
        <f t="shared" si="11"/>
        <v>0.15677620202539996</v>
      </c>
      <c r="F22" s="139">
        <f t="shared" si="11"/>
        <v>0.15677620202539996</v>
      </c>
      <c r="G22" s="139">
        <f t="shared" si="11"/>
        <v>0.15677620202539996</v>
      </c>
      <c r="H22" s="139">
        <f t="shared" si="11"/>
        <v>0.15677620202539996</v>
      </c>
      <c r="I22" s="139">
        <f t="shared" si="11"/>
        <v>0.15677620202539996</v>
      </c>
      <c r="J22" s="139">
        <f t="shared" si="11"/>
        <v>0.15677620202539996</v>
      </c>
      <c r="K22" s="139">
        <f t="shared" si="11"/>
        <v>0.15677620202539996</v>
      </c>
      <c r="L22" s="139">
        <f t="shared" si="11"/>
        <v>0.15677620202539996</v>
      </c>
      <c r="M22" s="139">
        <f t="shared" si="11"/>
        <v>0.15677620202539996</v>
      </c>
      <c r="N22" s="139">
        <f t="shared" si="11"/>
        <v>0.15677620202539996</v>
      </c>
      <c r="O22" s="139">
        <f t="shared" si="11"/>
        <v>0.15677620202539996</v>
      </c>
      <c r="P22" s="139">
        <f t="shared" si="11"/>
        <v>0.15677620202539996</v>
      </c>
      <c r="Q22" s="139">
        <f t="shared" si="11"/>
        <v>0.15677620202539996</v>
      </c>
      <c r="R22" s="139">
        <f t="shared" si="11"/>
        <v>0.15677620202539996</v>
      </c>
      <c r="S22" s="139">
        <f t="shared" si="11"/>
        <v>0.15677620202539996</v>
      </c>
      <c r="T22" s="139">
        <f t="shared" si="10"/>
        <v>0.15677620202539996</v>
      </c>
      <c r="U22" s="139">
        <f t="shared" si="10"/>
        <v>0.15677620202539996</v>
      </c>
      <c r="V22" s="139">
        <f t="shared" si="10"/>
        <v>0.15677620202539996</v>
      </c>
      <c r="W22" s="139">
        <f t="shared" si="10"/>
        <v>0.15677620202539996</v>
      </c>
      <c r="X22" s="139">
        <f t="shared" si="10"/>
        <v>0.15677620202539996</v>
      </c>
      <c r="Y22" s="139">
        <f t="shared" si="10"/>
        <v>0.15677620202539996</v>
      </c>
      <c r="Z22" s="139">
        <f t="shared" si="10"/>
        <v>0.15677620202539996</v>
      </c>
      <c r="AA22" s="139">
        <f t="shared" si="10"/>
        <v>0.15677620202539996</v>
      </c>
      <c r="AB22" s="139">
        <f t="shared" si="10"/>
        <v>0.15677620202539996</v>
      </c>
      <c r="AC22" s="139">
        <f t="shared" si="10"/>
        <v>0.15677620202539996</v>
      </c>
      <c r="AD22" s="139">
        <f t="shared" si="10"/>
        <v>0.15677620202539996</v>
      </c>
      <c r="AE22" s="139">
        <f t="shared" si="10"/>
        <v>0.15677620202539996</v>
      </c>
      <c r="AF22" s="139">
        <f t="shared" si="10"/>
        <v>0.15677620202539996</v>
      </c>
      <c r="AG22" s="139">
        <f t="shared" si="10"/>
        <v>0.15677620202539996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1221</v>
      </c>
      <c r="B24" s="50" t="s">
        <v>1268</v>
      </c>
      <c r="C24" s="178">
        <f>C11*C18</f>
        <v>579487.25533013325</v>
      </c>
      <c r="D24" s="178">
        <f t="shared" ref="D24:AG24" si="12">D11*D18</f>
        <v>578207.99386102997</v>
      </c>
      <c r="E24" s="178">
        <f t="shared" si="12"/>
        <v>576931.55645732477</v>
      </c>
      <c r="F24" s="178">
        <f t="shared" si="12"/>
        <v>575657.93688468193</v>
      </c>
      <c r="G24" s="178">
        <f t="shared" si="12"/>
        <v>574387.12892252835</v>
      </c>
      <c r="H24" s="178">
        <f t="shared" si="12"/>
        <v>573119.12636402377</v>
      </c>
      <c r="I24" s="178">
        <f t="shared" si="12"/>
        <v>571853.92301602988</v>
      </c>
      <c r="J24" s="178">
        <f t="shared" si="12"/>
        <v>570591.51269907958</v>
      </c>
      <c r="K24" s="178">
        <f t="shared" si="12"/>
        <v>569331.88924734842</v>
      </c>
      <c r="L24" s="178">
        <f t="shared" si="12"/>
        <v>568075.04650862247</v>
      </c>
      <c r="M24" s="178">
        <f>M11*M18</f>
        <v>566820.97834427003</v>
      </c>
      <c r="N24" s="178">
        <f t="shared" si="12"/>
        <v>565569.67862921057</v>
      </c>
      <c r="O24" s="178">
        <f t="shared" si="12"/>
        <v>564321.14125188522</v>
      </c>
      <c r="P24" s="178">
        <f t="shared" si="12"/>
        <v>563075.36011422647</v>
      </c>
      <c r="Q24" s="178">
        <f t="shared" si="12"/>
        <v>561832.32913162932</v>
      </c>
      <c r="R24" s="178">
        <f t="shared" si="12"/>
        <v>560592.04223292076</v>
      </c>
      <c r="S24" s="178">
        <f t="shared" si="12"/>
        <v>559354.49336033012</v>
      </c>
      <c r="T24" s="178">
        <f t="shared" si="12"/>
        <v>558119.67646946013</v>
      </c>
      <c r="U24" s="178">
        <f t="shared" si="12"/>
        <v>556887.58552925638</v>
      </c>
      <c r="V24" s="178">
        <f t="shared" si="12"/>
        <v>555658.21452197933</v>
      </c>
      <c r="W24" s="178">
        <f t="shared" si="12"/>
        <v>554431.55744317314</v>
      </c>
      <c r="X24" s="178">
        <f t="shared" si="12"/>
        <v>553207.60830163793</v>
      </c>
      <c r="Y24" s="178">
        <f t="shared" si="12"/>
        <v>551986.36111939955</v>
      </c>
      <c r="Z24" s="178">
        <f t="shared" si="12"/>
        <v>550767.80993168068</v>
      </c>
      <c r="AA24" s="178">
        <f t="shared" si="12"/>
        <v>549551.94878687162</v>
      </c>
      <c r="AB24" s="178">
        <f t="shared" si="12"/>
        <v>548338.77174650144</v>
      </c>
      <c r="AC24" s="178">
        <f t="shared" si="12"/>
        <v>547128.27288520895</v>
      </c>
      <c r="AD24" s="178">
        <f t="shared" si="12"/>
        <v>545920.44629071339</v>
      </c>
      <c r="AE24" s="178">
        <f t="shared" si="12"/>
        <v>544715.28606378578</v>
      </c>
      <c r="AF24" s="178">
        <f t="shared" si="12"/>
        <v>543512.78631822031</v>
      </c>
      <c r="AG24" s="178">
        <f t="shared" si="12"/>
        <v>542312.94118080533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1222</v>
      </c>
      <c r="B25" s="50" t="s">
        <v>1268</v>
      </c>
      <c r="C25" s="178">
        <f t="shared" ref="C25:AG28" si="13">C12*C19</f>
        <v>32237.695322400119</v>
      </c>
      <c r="D25" s="178">
        <f t="shared" si="13"/>
        <v>32166.528198189357</v>
      </c>
      <c r="E25" s="178">
        <f t="shared" si="13"/>
        <v>32095.518180729483</v>
      </c>
      <c r="F25" s="178">
        <f t="shared" si="13"/>
        <v>32024.664923195607</v>
      </c>
      <c r="G25" s="178">
        <f t="shared" si="13"/>
        <v>31953.968079528448</v>
      </c>
      <c r="H25" s="178">
        <f t="shared" si="13"/>
        <v>31883.427304432698</v>
      </c>
      <c r="I25" s="178">
        <f t="shared" si="13"/>
        <v>31813.042253375323</v>
      </c>
      <c r="J25" s="178">
        <f t="shared" si="13"/>
        <v>31742.812582583843</v>
      </c>
      <c r="K25" s="178">
        <f t="shared" si="13"/>
        <v>31672.737949044695</v>
      </c>
      <c r="L25" s="178">
        <f t="shared" si="13"/>
        <v>31602.818010501553</v>
      </c>
      <c r="M25" s="178">
        <f t="shared" si="13"/>
        <v>31533.052425453647</v>
      </c>
      <c r="N25" s="178">
        <f t="shared" si="13"/>
        <v>31463.440853154076</v>
      </c>
      <c r="O25" s="178">
        <f t="shared" si="13"/>
        <v>31393.982953608178</v>
      </c>
      <c r="P25" s="178">
        <f t="shared" si="13"/>
        <v>31324.678387571865</v>
      </c>
      <c r="Q25" s="178">
        <f t="shared" si="13"/>
        <v>31255.526816549926</v>
      </c>
      <c r="R25" s="178">
        <f t="shared" si="13"/>
        <v>31186.527902794423</v>
      </c>
      <c r="S25" s="178">
        <f t="shared" si="13"/>
        <v>31117.681309303036</v>
      </c>
      <c r="T25" s="178">
        <f t="shared" si="13"/>
        <v>31048.986699817371</v>
      </c>
      <c r="U25" s="178">
        <f t="shared" si="13"/>
        <v>30980.44373882137</v>
      </c>
      <c r="V25" s="178">
        <f t="shared" si="13"/>
        <v>30912.052091539648</v>
      </c>
      <c r="W25" s="178">
        <f t="shared" si="13"/>
        <v>30843.811423935855</v>
      </c>
      <c r="X25" s="178">
        <f t="shared" si="13"/>
        <v>30775.721402711064</v>
      </c>
      <c r="Y25" s="178">
        <f t="shared" si="13"/>
        <v>30707.781695302117</v>
      </c>
      <c r="Z25" s="178">
        <f t="shared" si="13"/>
        <v>30639.99196988003</v>
      </c>
      <c r="AA25" s="178">
        <f t="shared" si="13"/>
        <v>30572.351895348333</v>
      </c>
      <c r="AB25" s="178">
        <f t="shared" si="13"/>
        <v>30504.861141341495</v>
      </c>
      <c r="AC25" s="178">
        <f t="shared" si="13"/>
        <v>30437.519378223293</v>
      </c>
      <c r="AD25" s="178">
        <f t="shared" si="13"/>
        <v>30370.32627708518</v>
      </c>
      <c r="AE25" s="178">
        <f t="shared" si="13"/>
        <v>30303.281509744731</v>
      </c>
      <c r="AF25" s="178">
        <f t="shared" si="13"/>
        <v>30236.384748743974</v>
      </c>
      <c r="AG25" s="178">
        <f t="shared" si="13"/>
        <v>30169.635667347851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1223</v>
      </c>
      <c r="B26" s="50" t="s">
        <v>1268</v>
      </c>
      <c r="C26" s="178">
        <f t="shared" si="13"/>
        <v>60365.794603215123</v>
      </c>
      <c r="D26" s="178">
        <f t="shared" si="13"/>
        <v>60232.532595505058</v>
      </c>
      <c r="E26" s="178">
        <f t="shared" si="13"/>
        <v>60099.564773646693</v>
      </c>
      <c r="F26" s="178">
        <f t="shared" si="13"/>
        <v>59966.890488202756</v>
      </c>
      <c r="G26" s="178">
        <f t="shared" si="13"/>
        <v>59834.509091169639</v>
      </c>
      <c r="H26" s="178">
        <f t="shared" si="13"/>
        <v>59702.419935974271</v>
      </c>
      <c r="I26" s="178">
        <f t="shared" si="13"/>
        <v>59570.622377470936</v>
      </c>
      <c r="J26" s="178">
        <f t="shared" si="13"/>
        <v>59439.115771938123</v>
      </c>
      <c r="K26" s="178">
        <f t="shared" si="13"/>
        <v>59307.899477075371</v>
      </c>
      <c r="L26" s="178">
        <f t="shared" si="13"/>
        <v>59176.972852000174</v>
      </c>
      <c r="M26" s="178">
        <f t="shared" si="13"/>
        <v>59046.335257244784</v>
      </c>
      <c r="N26" s="178">
        <f t="shared" si="13"/>
        <v>58915.986054753164</v>
      </c>
      <c r="O26" s="178">
        <f t="shared" si="13"/>
        <v>58785.924607877816</v>
      </c>
      <c r="P26" s="178">
        <f t="shared" si="13"/>
        <v>58656.150281376678</v>
      </c>
      <c r="Q26" s="178">
        <f t="shared" si="13"/>
        <v>58526.662441410037</v>
      </c>
      <c r="R26" s="178">
        <f t="shared" si="13"/>
        <v>58397.460455537461</v>
      </c>
      <c r="S26" s="178">
        <f t="shared" si="13"/>
        <v>58268.543692714637</v>
      </c>
      <c r="T26" s="178">
        <f t="shared" si="13"/>
        <v>58139.911523290335</v>
      </c>
      <c r="U26" s="178">
        <f t="shared" si="13"/>
        <v>58011.563319003362</v>
      </c>
      <c r="V26" s="178">
        <f t="shared" si="13"/>
        <v>57883.498452979416</v>
      </c>
      <c r="W26" s="178">
        <f t="shared" si="13"/>
        <v>57755.716299728083</v>
      </c>
      <c r="X26" s="178">
        <f t="shared" si="13"/>
        <v>57628.216235139764</v>
      </c>
      <c r="Y26" s="178">
        <f t="shared" si="13"/>
        <v>57500.997636482651</v>
      </c>
      <c r="Z26" s="178">
        <f t="shared" si="13"/>
        <v>57374.059882399619</v>
      </c>
      <c r="AA26" s="178">
        <f t="shared" si="13"/>
        <v>57247.402352905272</v>
      </c>
      <c r="AB26" s="178">
        <f t="shared" si="13"/>
        <v>57121.024429382887</v>
      </c>
      <c r="AC26" s="178">
        <f t="shared" si="13"/>
        <v>56994.925494581315</v>
      </c>
      <c r="AD26" s="178">
        <f t="shared" si="13"/>
        <v>56869.104932612121</v>
      </c>
      <c r="AE26" s="178">
        <f t="shared" si="13"/>
        <v>56743.562128946447</v>
      </c>
      <c r="AF26" s="178">
        <f t="shared" si="13"/>
        <v>56618.296470412031</v>
      </c>
      <c r="AG26" s="178">
        <f t="shared" si="13"/>
        <v>56493.307345190296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1224</v>
      </c>
      <c r="B27" s="50" t="s">
        <v>1268</v>
      </c>
      <c r="C27" s="178">
        <f t="shared" si="13"/>
        <v>251335.80093508548</v>
      </c>
      <c r="D27" s="178">
        <f t="shared" si="13"/>
        <v>250780.95835143057</v>
      </c>
      <c r="E27" s="178">
        <f t="shared" si="13"/>
        <v>250227.34062428836</v>
      </c>
      <c r="F27" s="178">
        <f t="shared" si="13"/>
        <v>249674.9450496964</v>
      </c>
      <c r="G27" s="178">
        <f t="shared" si="13"/>
        <v>249123.76892966151</v>
      </c>
      <c r="H27" s="178">
        <f t="shared" si="13"/>
        <v>248573.80957214654</v>
      </c>
      <c r="I27" s="178">
        <f t="shared" si="13"/>
        <v>248025.06429105718</v>
      </c>
      <c r="J27" s="178">
        <f t="shared" si="13"/>
        <v>247477.53040622888</v>
      </c>
      <c r="K27" s="178">
        <f t="shared" si="13"/>
        <v>246931.20524341383</v>
      </c>
      <c r="L27" s="178">
        <f t="shared" si="13"/>
        <v>246386.08613426765</v>
      </c>
      <c r="M27" s="178">
        <f t="shared" si="13"/>
        <v>245842.17041633674</v>
      </c>
      <c r="N27" s="178">
        <f t="shared" si="13"/>
        <v>245299.45543304493</v>
      </c>
      <c r="O27" s="178">
        <f t="shared" si="13"/>
        <v>244757.93853368066</v>
      </c>
      <c r="P27" s="178">
        <f t="shared" si="13"/>
        <v>244217.61707338403</v>
      </c>
      <c r="Q27" s="178">
        <f t="shared" si="13"/>
        <v>243678.48841313389</v>
      </c>
      <c r="R27" s="178">
        <f t="shared" si="13"/>
        <v>243140.54991973485</v>
      </c>
      <c r="S27" s="178">
        <f t="shared" si="13"/>
        <v>242603.7989658046</v>
      </c>
      <c r="T27" s="178">
        <f t="shared" si="13"/>
        <v>242068.23292976091</v>
      </c>
      <c r="U27" s="178">
        <f t="shared" si="13"/>
        <v>241533.84919580887</v>
      </c>
      <c r="V27" s="178">
        <f t="shared" si="13"/>
        <v>241000.64515392817</v>
      </c>
      <c r="W27" s="178">
        <f t="shared" si="13"/>
        <v>240468.61819986033</v>
      </c>
      <c r="X27" s="178">
        <f t="shared" si="13"/>
        <v>239937.76573509592</v>
      </c>
      <c r="Y27" s="178">
        <f t="shared" si="13"/>
        <v>239408.08516686194</v>
      </c>
      <c r="Z27" s="178">
        <f t="shared" si="13"/>
        <v>238879.57390810916</v>
      </c>
      <c r="AA27" s="178">
        <f t="shared" si="13"/>
        <v>238352.22937749934</v>
      </c>
      <c r="AB27" s="178">
        <f t="shared" si="13"/>
        <v>237826.04899939289</v>
      </c>
      <c r="AC27" s="178">
        <f t="shared" si="13"/>
        <v>237301.03020383607</v>
      </c>
      <c r="AD27" s="178">
        <f t="shared" si="13"/>
        <v>236777.17042654846</v>
      </c>
      <c r="AE27" s="178">
        <f t="shared" si="13"/>
        <v>236254.46710891052</v>
      </c>
      <c r="AF27" s="178">
        <f t="shared" si="13"/>
        <v>235732.91769795111</v>
      </c>
      <c r="AG27" s="178">
        <f t="shared" si="13"/>
        <v>235212.51964633481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1225</v>
      </c>
      <c r="B28" s="156" t="s">
        <v>1268</v>
      </c>
      <c r="C28" s="178">
        <f t="shared" si="13"/>
        <v>441091.26054906554</v>
      </c>
      <c r="D28" s="178">
        <f t="shared" si="13"/>
        <v>440117.51859220903</v>
      </c>
      <c r="E28" s="178">
        <f t="shared" si="13"/>
        <v>439145.92624357046</v>
      </c>
      <c r="F28" s="178">
        <f t="shared" si="13"/>
        <v>438176.47875772888</v>
      </c>
      <c r="G28" s="178">
        <f t="shared" si="13"/>
        <v>437209.17139973928</v>
      </c>
      <c r="H28" s="178">
        <f t="shared" si="13"/>
        <v>436243.99944510916</v>
      </c>
      <c r="I28" s="178">
        <f t="shared" si="13"/>
        <v>435280.95817977597</v>
      </c>
      <c r="J28" s="178">
        <f t="shared" si="13"/>
        <v>434320.04290008364</v>
      </c>
      <c r="K28" s="178">
        <f t="shared" si="13"/>
        <v>433361.24891275977</v>
      </c>
      <c r="L28" s="178">
        <f t="shared" si="13"/>
        <v>432404.57153489284</v>
      </c>
      <c r="M28" s="178">
        <f t="shared" si="13"/>
        <v>431450.00609390921</v>
      </c>
      <c r="N28" s="178">
        <f t="shared" si="13"/>
        <v>430497.54792754998</v>
      </c>
      <c r="O28" s="178">
        <f t="shared" si="13"/>
        <v>429547.19238384895</v>
      </c>
      <c r="P28" s="178">
        <f t="shared" si="13"/>
        <v>428598.93482110911</v>
      </c>
      <c r="Q28" s="178">
        <f t="shared" si="13"/>
        <v>427652.77060788072</v>
      </c>
      <c r="R28" s="178">
        <f t="shared" si="13"/>
        <v>426708.69512293814</v>
      </c>
      <c r="S28" s="178">
        <f t="shared" si="13"/>
        <v>425766.70375525719</v>
      </c>
      <c r="T28" s="178">
        <f t="shared" si="13"/>
        <v>424826.79190399341</v>
      </c>
      <c r="U28" s="178">
        <f t="shared" si="13"/>
        <v>423888.95497845847</v>
      </c>
      <c r="V28" s="178">
        <f t="shared" si="13"/>
        <v>422953.18839809863</v>
      </c>
      <c r="W28" s="178">
        <f t="shared" si="13"/>
        <v>422019.48759247217</v>
      </c>
      <c r="X28" s="178">
        <f t="shared" si="13"/>
        <v>421087.84800122672</v>
      </c>
      <c r="Y28" s="178">
        <f t="shared" si="13"/>
        <v>420158.26507407735</v>
      </c>
      <c r="Z28" s="178">
        <f t="shared" si="13"/>
        <v>419230.73427078419</v>
      </c>
      <c r="AA28" s="178">
        <f t="shared" si="13"/>
        <v>418305.25106113032</v>
      </c>
      <c r="AB28" s="178">
        <f t="shared" si="13"/>
        <v>417381.81092489959</v>
      </c>
      <c r="AC28" s="178">
        <f t="shared" si="13"/>
        <v>416460.40935185459</v>
      </c>
      <c r="AD28" s="178">
        <f t="shared" si="13"/>
        <v>415541.04184171453</v>
      </c>
      <c r="AE28" s="178">
        <f t="shared" si="13"/>
        <v>414623.70390413341</v>
      </c>
      <c r="AF28" s="178">
        <f t="shared" si="13"/>
        <v>413708.39105867792</v>
      </c>
      <c r="AG28" s="178">
        <f t="shared" si="13"/>
        <v>412795.09883480583</v>
      </c>
      <c r="AL28" s="100"/>
      <c r="AM28" s="181"/>
      <c r="AN28" s="181"/>
      <c r="AO28" s="181"/>
    </row>
    <row r="29" spans="1:64" s="1" customFormat="1" ht="15.5" thickBot="1">
      <c r="A29" s="174" t="s">
        <v>1226</v>
      </c>
      <c r="B29" s="193" t="s">
        <v>1268</v>
      </c>
      <c r="C29" s="190">
        <f>SUM(C24:C28)</f>
        <v>1364517.8067398996</v>
      </c>
      <c r="D29" s="190">
        <f t="shared" ref="D29:AG29" si="14">SUM(D24:D28)</f>
        <v>1361505.531598364</v>
      </c>
      <c r="E29" s="190">
        <f t="shared" si="14"/>
        <v>1358499.9062795597</v>
      </c>
      <c r="F29" s="190">
        <f t="shared" si="14"/>
        <v>1355500.9161035055</v>
      </c>
      <c r="G29" s="190">
        <f t="shared" si="14"/>
        <v>1352508.5464226273</v>
      </c>
      <c r="H29" s="190">
        <f t="shared" si="14"/>
        <v>1349522.7826216863</v>
      </c>
      <c r="I29" s="190">
        <f t="shared" si="14"/>
        <v>1346543.6101177093</v>
      </c>
      <c r="J29" s="190">
        <f t="shared" si="14"/>
        <v>1343571.014359914</v>
      </c>
      <c r="K29" s="190">
        <f t="shared" si="14"/>
        <v>1340604.9808296419</v>
      </c>
      <c r="L29" s="190">
        <f t="shared" si="14"/>
        <v>1337645.4950402847</v>
      </c>
      <c r="M29" s="190">
        <f t="shared" si="14"/>
        <v>1334692.5425372145</v>
      </c>
      <c r="N29" s="190">
        <f t="shared" si="14"/>
        <v>1331746.1088977128</v>
      </c>
      <c r="O29" s="190">
        <f t="shared" si="14"/>
        <v>1328806.1797309008</v>
      </c>
      <c r="P29" s="190">
        <f t="shared" si="14"/>
        <v>1325872.740677668</v>
      </c>
      <c r="Q29" s="190">
        <f t="shared" si="14"/>
        <v>1322945.7774106038</v>
      </c>
      <c r="R29" s="190">
        <f t="shared" si="14"/>
        <v>1320025.2756339256</v>
      </c>
      <c r="S29" s="190">
        <f t="shared" si="14"/>
        <v>1317111.2210834096</v>
      </c>
      <c r="T29" s="190">
        <f t="shared" si="14"/>
        <v>1314203.5995263222</v>
      </c>
      <c r="U29" s="190">
        <f t="shared" si="14"/>
        <v>1311302.3967613485</v>
      </c>
      <c r="V29" s="190">
        <f t="shared" si="14"/>
        <v>1308407.5986185251</v>
      </c>
      <c r="W29" s="190">
        <f t="shared" si="14"/>
        <v>1305519.1909591695</v>
      </c>
      <c r="X29" s="190">
        <f t="shared" si="14"/>
        <v>1302637.1596758114</v>
      </c>
      <c r="Y29" s="190">
        <f t="shared" si="14"/>
        <v>1299761.4906921235</v>
      </c>
      <c r="Z29" s="190">
        <f t="shared" si="14"/>
        <v>1296892.1699628537</v>
      </c>
      <c r="AA29" s="190">
        <f t="shared" si="14"/>
        <v>1294029.1834737547</v>
      </c>
      <c r="AB29" s="190">
        <f t="shared" si="14"/>
        <v>1291172.5172415182</v>
      </c>
      <c r="AC29" s="190">
        <f t="shared" si="14"/>
        <v>1288322.1573137043</v>
      </c>
      <c r="AD29" s="190">
        <f t="shared" si="14"/>
        <v>1285478.0897686738</v>
      </c>
      <c r="AE29" s="190">
        <f t="shared" si="14"/>
        <v>1282640.300715521</v>
      </c>
      <c r="AF29" s="190">
        <f t="shared" si="14"/>
        <v>1279808.7762940053</v>
      </c>
      <c r="AG29" s="190">
        <f t="shared" si="14"/>
        <v>1276983.5026744842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1227</v>
      </c>
      <c r="B31" s="156" t="s">
        <v>1268</v>
      </c>
      <c r="C31" s="99">
        <f>C29</f>
        <v>1364517.8067398996</v>
      </c>
      <c r="D31" s="99">
        <f t="shared" ref="D31:AG31" si="15">D29</f>
        <v>1361505.531598364</v>
      </c>
      <c r="E31" s="99">
        <f t="shared" si="15"/>
        <v>1358499.9062795597</v>
      </c>
      <c r="F31" s="99">
        <f t="shared" si="15"/>
        <v>1355500.9161035055</v>
      </c>
      <c r="G31" s="99">
        <f t="shared" si="15"/>
        <v>1352508.5464226273</v>
      </c>
      <c r="H31" s="99">
        <f t="shared" si="15"/>
        <v>1349522.7826216863</v>
      </c>
      <c r="I31" s="99">
        <f t="shared" si="15"/>
        <v>1346543.6101177093</v>
      </c>
      <c r="J31" s="99">
        <f t="shared" si="15"/>
        <v>1343571.014359914</v>
      </c>
      <c r="K31" s="99">
        <f t="shared" si="15"/>
        <v>1340604.9808296419</v>
      </c>
      <c r="L31" s="99">
        <f t="shared" si="15"/>
        <v>1337645.4950402847</v>
      </c>
      <c r="M31" s="99">
        <f t="shared" si="15"/>
        <v>1334692.5425372145</v>
      </c>
      <c r="N31" s="99">
        <f t="shared" si="15"/>
        <v>1331746.1088977128</v>
      </c>
      <c r="O31" s="99">
        <f t="shared" si="15"/>
        <v>1328806.1797309008</v>
      </c>
      <c r="P31" s="99">
        <f t="shared" si="15"/>
        <v>1325872.740677668</v>
      </c>
      <c r="Q31" s="99">
        <f t="shared" si="15"/>
        <v>1322945.7774106038</v>
      </c>
      <c r="R31" s="99">
        <f t="shared" si="15"/>
        <v>1320025.2756339256</v>
      </c>
      <c r="S31" s="99">
        <f t="shared" si="15"/>
        <v>1317111.2210834096</v>
      </c>
      <c r="T31" s="99">
        <f t="shared" si="15"/>
        <v>1314203.5995263222</v>
      </c>
      <c r="U31" s="99">
        <f t="shared" si="15"/>
        <v>1311302.3967613485</v>
      </c>
      <c r="V31" s="99">
        <f t="shared" si="15"/>
        <v>1308407.5986185251</v>
      </c>
      <c r="W31" s="99">
        <f t="shared" si="15"/>
        <v>1305519.1909591695</v>
      </c>
      <c r="X31" s="99">
        <f t="shared" si="15"/>
        <v>1302637.1596758114</v>
      </c>
      <c r="Y31" s="99">
        <f t="shared" si="15"/>
        <v>1299761.4906921235</v>
      </c>
      <c r="Z31" s="99">
        <f t="shared" si="15"/>
        <v>1296892.1699628537</v>
      </c>
      <c r="AA31" s="99">
        <f t="shared" si="15"/>
        <v>1294029.1834737547</v>
      </c>
      <c r="AB31" s="99">
        <f t="shared" si="15"/>
        <v>1291172.5172415182</v>
      </c>
      <c r="AC31" s="99">
        <f t="shared" si="15"/>
        <v>1288322.1573137043</v>
      </c>
      <c r="AD31" s="99">
        <f t="shared" si="15"/>
        <v>1285478.0897686738</v>
      </c>
      <c r="AE31" s="99">
        <f t="shared" si="15"/>
        <v>1282640.300715521</v>
      </c>
      <c r="AF31" s="99">
        <f t="shared" si="15"/>
        <v>1279808.7762940053</v>
      </c>
      <c r="AG31" s="99">
        <f t="shared" si="15"/>
        <v>1276983.5026744842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1228</v>
      </c>
      <c r="B33" s="50" t="s">
        <v>126</v>
      </c>
      <c r="C33" s="179">
        <f>'Yearly BTX'!AJ34/'Yearly BTX'!AJ27</f>
        <v>1</v>
      </c>
      <c r="D33" s="179">
        <f>'Yearly BTX'!AK34/'Yearly BTX'!AK27</f>
        <v>0.99073521836234302</v>
      </c>
      <c r="E33" s="179">
        <f>'Yearly BTX'!AL34/'Yearly BTX'!AL27</f>
        <v>0.97834939509486396</v>
      </c>
      <c r="F33" s="179">
        <f>'Yearly BTX'!AM34/'Yearly BTX'!AM27</f>
        <v>0.967524092642296</v>
      </c>
      <c r="G33" s="179">
        <f>'Yearly BTX'!AN34/'Yearly BTX'!AN27</f>
        <v>0.95669879018972792</v>
      </c>
      <c r="H33" s="179">
        <f>'Yearly BTX'!AO34/'Yearly BTX'!AO27</f>
        <v>0.94587348773715996</v>
      </c>
      <c r="I33" s="179">
        <f>'Yearly BTX'!AP34/'Yearly BTX'!AP27</f>
        <v>0.93504818528459188</v>
      </c>
      <c r="J33" s="179">
        <f>'Yearly BTX'!AQ34/'Yearly BTX'!AQ27</f>
        <v>0.92422288283202392</v>
      </c>
      <c r="K33" s="179">
        <f>'Yearly BTX'!AR34/'Yearly BTX'!AR27</f>
        <v>0.91339758037945595</v>
      </c>
      <c r="L33" s="179">
        <f>'Yearly BTX'!AS34/'Yearly BTX'!AS27</f>
        <v>0.90257227792688777</v>
      </c>
      <c r="M33" s="179">
        <f>'Yearly BTX'!AT34/'Yearly BTX'!AT27</f>
        <v>0.8917469754743198</v>
      </c>
      <c r="N33" s="179">
        <f>'Yearly BTX'!AU34/'Yearly BTX'!AU27</f>
        <v>0.87421135923527804</v>
      </c>
      <c r="O33" s="179">
        <f>'Yearly BTX'!AV34/'Yearly BTX'!AV27</f>
        <v>0.85667574299623628</v>
      </c>
      <c r="P33" s="179">
        <f>'Yearly BTX'!AW34/'Yearly BTX'!AW27</f>
        <v>0.83914012675719452</v>
      </c>
      <c r="Q33" s="179">
        <f>'Yearly BTX'!AX34/'Yearly BTX'!AX27</f>
        <v>0.82160451051815275</v>
      </c>
      <c r="R33" s="179">
        <f>'Yearly BTX'!AY34/'Yearly BTX'!AY27</f>
        <v>0.80406889427911099</v>
      </c>
      <c r="S33" s="179">
        <f>'Yearly BTX'!AZ34/'Yearly BTX'!AZ27</f>
        <v>0.78653327804006923</v>
      </c>
      <c r="T33" s="179">
        <f>'Yearly BTX'!BA34/'Yearly BTX'!BA27</f>
        <v>0.76899766180102747</v>
      </c>
      <c r="U33" s="179">
        <f>'Yearly BTX'!BB34/'Yearly BTX'!BB27</f>
        <v>0.7514620455619857</v>
      </c>
      <c r="V33" s="179">
        <f>'Yearly BTX'!BC34/'Yearly BTX'!BC27</f>
        <v>0.73392642932294394</v>
      </c>
      <c r="W33" s="179">
        <f>'Yearly BTX'!BD34/'Yearly BTX'!BD27</f>
        <v>0.71639081308390218</v>
      </c>
      <c r="X33" s="179">
        <f>'Yearly BTX'!BE34/'Yearly BTX'!BE27</f>
        <v>0.70376614860437159</v>
      </c>
      <c r="Y33" s="179">
        <f>'Yearly BTX'!BF34/'Yearly BTX'!BF27</f>
        <v>0.69114148412484133</v>
      </c>
      <c r="Z33" s="179">
        <f>'Yearly BTX'!BG34/'Yearly BTX'!BG27</f>
        <v>0.67851681964531074</v>
      </c>
      <c r="AA33" s="179">
        <f>'Yearly BTX'!BH34/'Yearly BTX'!BH27</f>
        <v>0.66589215516578038</v>
      </c>
      <c r="AB33" s="179">
        <f>'Yearly BTX'!BI34/'Yearly BTX'!BI27</f>
        <v>0.6532674906862499</v>
      </c>
      <c r="AC33" s="179">
        <f>'Yearly BTX'!BJ34/'Yearly BTX'!BJ27</f>
        <v>0.64064282620671942</v>
      </c>
      <c r="AD33" s="179">
        <f>'Yearly BTX'!BK34/'Yearly BTX'!BK27</f>
        <v>0.62801816172718905</v>
      </c>
      <c r="AE33" s="179">
        <f>'Yearly BTX'!BL34/'Yearly BTX'!BL27</f>
        <v>0.61539349724765846</v>
      </c>
      <c r="AF33" s="179">
        <f>'Yearly BTX'!BM34/'Yearly BTX'!BM27</f>
        <v>0.60276883276812809</v>
      </c>
      <c r="AG33" s="179">
        <f>'Yearly BTX'!BN34/'Yearly BTX'!BN27</f>
        <v>0.59014416828859761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1229</v>
      </c>
      <c r="B34" s="50" t="s">
        <v>126</v>
      </c>
      <c r="C34" s="179">
        <f>'Yearly BTX'!AJ23/'Yearly BTX'!AJ16</f>
        <v>1</v>
      </c>
      <c r="D34" s="179">
        <f>'Yearly BTX'!AK23/'Yearly BTX'!AK16</f>
        <v>0.99929460000000003</v>
      </c>
      <c r="E34" s="179">
        <f>'Yearly BTX'!AL23/'Yearly BTX'!AL16</f>
        <v>0.99857839999999998</v>
      </c>
      <c r="F34" s="179">
        <f>'Yearly BTX'!AM23/'Yearly BTX'!AM16</f>
        <v>0.99785140000000006</v>
      </c>
      <c r="G34" s="179">
        <f>'Yearly BTX'!AN23/'Yearly BTX'!AN16</f>
        <v>0.99711360000000004</v>
      </c>
      <c r="H34" s="179">
        <f>'Yearly BTX'!AO23/'Yearly BTX'!AO16</f>
        <v>0.99636499999999995</v>
      </c>
      <c r="I34" s="179">
        <f>'Yearly BTX'!AP23/'Yearly BTX'!AP16</f>
        <v>0.99560560000000009</v>
      </c>
      <c r="J34" s="179">
        <f>'Yearly BTX'!AQ23/'Yearly BTX'!AQ16</f>
        <v>0.99483539999999993</v>
      </c>
      <c r="K34" s="179">
        <f>'Yearly BTX'!AR23/'Yearly BTX'!AR16</f>
        <v>0.9940544</v>
      </c>
      <c r="L34" s="179">
        <f>'Yearly BTX'!AS23/'Yearly BTX'!AS16</f>
        <v>0.9932626</v>
      </c>
      <c r="M34" s="179">
        <f>'Yearly BTX'!AT23/'Yearly BTX'!AT16</f>
        <v>0.99246000000000001</v>
      </c>
      <c r="N34" s="179">
        <f>'Yearly BTX'!AU23/'Yearly BTX'!AU16</f>
        <v>0.98902250000000003</v>
      </c>
      <c r="O34" s="179">
        <f>'Yearly BTX'!AV23/'Yearly BTX'!AV16</f>
        <v>0.98550400000000016</v>
      </c>
      <c r="P34" s="179">
        <f>'Yearly BTX'!AW23/'Yearly BTX'!AW16</f>
        <v>0.98190449999999996</v>
      </c>
      <c r="Q34" s="179">
        <f>'Yearly BTX'!AX23/'Yearly BTX'!AX16</f>
        <v>0.97822399999999998</v>
      </c>
      <c r="R34" s="179">
        <f>'Yearly BTX'!AY23/'Yearly BTX'!AY16</f>
        <v>0.9744624999999999</v>
      </c>
      <c r="S34" s="179">
        <f>'Yearly BTX'!AZ23/'Yearly BTX'!AZ16</f>
        <v>0.97062000000000004</v>
      </c>
      <c r="T34" s="179">
        <f>'Yearly BTX'!BA23/'Yearly BTX'!BA16</f>
        <v>0.96669649999999996</v>
      </c>
      <c r="U34" s="179">
        <f>'Yearly BTX'!BB23/'Yearly BTX'!BB16</f>
        <v>0.96269199999999988</v>
      </c>
      <c r="V34" s="179">
        <f>'Yearly BTX'!BC23/'Yearly BTX'!BC16</f>
        <v>0.95860650000000003</v>
      </c>
      <c r="W34" s="179">
        <f>'Yearly BTX'!BD23/'Yearly BTX'!BD16</f>
        <v>0.95444000000000007</v>
      </c>
      <c r="X34" s="179">
        <f>'Yearly BTX'!BE23/'Yearly BTX'!BE16</f>
        <v>0.93973339999999994</v>
      </c>
      <c r="Y34" s="179">
        <f>'Yearly BTX'!BF23/'Yearly BTX'!BF16</f>
        <v>0.92492960000000002</v>
      </c>
      <c r="Z34" s="179">
        <f>'Yearly BTX'!BG23/'Yearly BTX'!BG16</f>
        <v>0.91002859999999997</v>
      </c>
      <c r="AA34" s="179">
        <f>'Yearly BTX'!BH23/'Yearly BTX'!BH16</f>
        <v>0.8950304</v>
      </c>
      <c r="AB34" s="179">
        <f>'Yearly BTX'!BI23/'Yearly BTX'!BI16</f>
        <v>0.87993500000000002</v>
      </c>
      <c r="AC34" s="179">
        <f>'Yearly BTX'!BJ23/'Yearly BTX'!BJ16</f>
        <v>0.86474239999999991</v>
      </c>
      <c r="AD34" s="179">
        <f>'Yearly BTX'!BK23/'Yearly BTX'!BK16</f>
        <v>0.84945260000000011</v>
      </c>
      <c r="AE34" s="179">
        <f>'Yearly BTX'!BL23/'Yearly BTX'!BL16</f>
        <v>0.83406560000000007</v>
      </c>
      <c r="AF34" s="179">
        <f>'Yearly BTX'!BM23/'Yearly BTX'!BM16</f>
        <v>0.8185813999999999</v>
      </c>
      <c r="AG34" s="179">
        <f>'Yearly BTX'!BN23/'Yearly BTX'!BN16</f>
        <v>0.80300000000000005</v>
      </c>
      <c r="AL34" s="100"/>
      <c r="AM34" s="181"/>
      <c r="AN34" s="181"/>
      <c r="AO34" s="181"/>
      <c r="BL34" s="1"/>
    </row>
    <row r="35" spans="1:64" outlineLevel="1">
      <c r="A35" t="s">
        <v>1230</v>
      </c>
      <c r="B35" s="50" t="s">
        <v>126</v>
      </c>
      <c r="C35" s="179">
        <f>'Yearly BTX'!AJ41/'Yearly BTX'!AJ38</f>
        <v>1</v>
      </c>
      <c r="D35" s="179">
        <f>'Yearly BTX'!AK41/'Yearly BTX'!AK38</f>
        <v>0.98978437759336102</v>
      </c>
      <c r="E35" s="179">
        <f>'Yearly BTX'!AL41/'Yearly BTX'!AL38</f>
        <v>0.97956875518672204</v>
      </c>
      <c r="F35" s="179">
        <f>'Yearly BTX'!AM41/'Yearly BTX'!AM38</f>
        <v>0.96935313278008295</v>
      </c>
      <c r="G35" s="179">
        <f>'Yearly BTX'!AN41/'Yearly BTX'!AN38</f>
        <v>0.95913751037344397</v>
      </c>
      <c r="H35" s="179">
        <f>'Yearly BTX'!AO41/'Yearly BTX'!AO38</f>
        <v>0.94892188796680499</v>
      </c>
      <c r="I35" s="179">
        <f>'Yearly BTX'!AP41/'Yearly BTX'!AP38</f>
        <v>0.93870626556016601</v>
      </c>
      <c r="J35" s="179">
        <f>'Yearly BTX'!AQ41/'Yearly BTX'!AQ38</f>
        <v>0.92849064315352692</v>
      </c>
      <c r="K35" s="179">
        <f>'Yearly BTX'!AR41/'Yearly BTX'!AR38</f>
        <v>0.91827502074688794</v>
      </c>
      <c r="L35" s="179">
        <f>'Yearly BTX'!AS41/'Yearly BTX'!AS38</f>
        <v>0.90805939834024896</v>
      </c>
      <c r="M35" s="179">
        <f>'Yearly BTX'!AT41/'Yearly BTX'!AT38</f>
        <v>0.89784377593360987</v>
      </c>
      <c r="N35" s="179">
        <f>'Yearly BTX'!AU41/'Yearly BTX'!AU38</f>
        <v>0.887628153526971</v>
      </c>
      <c r="O35" s="179">
        <f>'Yearly BTX'!AV41/'Yearly BTX'!AV38</f>
        <v>0.87741253112033202</v>
      </c>
      <c r="P35" s="179">
        <f>'Yearly BTX'!AW41/'Yearly BTX'!AW38</f>
        <v>0.86719690871369304</v>
      </c>
      <c r="Q35" s="179">
        <f>'Yearly BTX'!AX41/'Yearly BTX'!AX38</f>
        <v>0.85698128630705384</v>
      </c>
      <c r="R35" s="179">
        <f>'Yearly BTX'!AY41/'Yearly BTX'!AY38</f>
        <v>0.84676566390041486</v>
      </c>
      <c r="S35" s="179">
        <f>'Yearly BTX'!AZ41/'Yearly BTX'!AZ38</f>
        <v>0.83655004149377588</v>
      </c>
      <c r="T35" s="179">
        <f>'Yearly BTX'!BA41/'Yearly BTX'!BA38</f>
        <v>0.8263344190871369</v>
      </c>
      <c r="U35" s="179">
        <f>'Yearly BTX'!BB41/'Yearly BTX'!BB38</f>
        <v>0.81611879668049792</v>
      </c>
      <c r="V35" s="179">
        <f>'Yearly BTX'!BC41/'Yearly BTX'!BC38</f>
        <v>0.80590317427385905</v>
      </c>
      <c r="W35" s="179">
        <f>'Yearly BTX'!BD41/'Yearly BTX'!BD38</f>
        <v>0.79568755186721984</v>
      </c>
      <c r="X35" s="179">
        <f>'Yearly BTX'!BE41/'Yearly BTX'!BE38</f>
        <v>0.78516236514522819</v>
      </c>
      <c r="Y35" s="179">
        <f>'Yearly BTX'!BF41/'Yearly BTX'!BF38</f>
        <v>0.77463717842323654</v>
      </c>
      <c r="Z35" s="179">
        <f>'Yearly BTX'!BG41/'Yearly BTX'!BG38</f>
        <v>0.76411199170124477</v>
      </c>
      <c r="AA35" s="179">
        <f>'Yearly BTX'!BH41/'Yearly BTX'!BH38</f>
        <v>0.75358680497925301</v>
      </c>
      <c r="AB35" s="179">
        <f>'Yearly BTX'!BI41/'Yearly BTX'!BI38</f>
        <v>0.74306161825726147</v>
      </c>
      <c r="AC35" s="179">
        <f>'Yearly BTX'!BJ41/'Yearly BTX'!BJ38</f>
        <v>0.73253643153526971</v>
      </c>
      <c r="AD35" s="179">
        <f>'Yearly BTX'!BK41/'Yearly BTX'!BK38</f>
        <v>0.72201124481327805</v>
      </c>
      <c r="AE35" s="179">
        <f>'Yearly BTX'!BL41/'Yearly BTX'!BL38</f>
        <v>0.71148605809128618</v>
      </c>
      <c r="AF35" s="179">
        <f>'Yearly BTX'!BM41/'Yearly BTX'!BM38</f>
        <v>0.70096087136929452</v>
      </c>
      <c r="AG35" s="179">
        <f>'Yearly BTX'!BN41/'Yearly BTX'!BN38</f>
        <v>0.69043568464730287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1231</v>
      </c>
      <c r="B36" s="50" t="s">
        <v>126</v>
      </c>
      <c r="C36" s="179">
        <f>'Yearly BTX'!AJ50/'Yearly BTX'!AJ45</f>
        <v>1</v>
      </c>
      <c r="D36" s="179">
        <f>'Yearly BTX'!AK50/'Yearly BTX'!AK45</f>
        <v>0.98454999999999993</v>
      </c>
      <c r="E36" s="179">
        <f>'Yearly BTX'!AL50/'Yearly BTX'!AL45</f>
        <v>0.96909999999999996</v>
      </c>
      <c r="F36" s="179">
        <f>'Yearly BTX'!AM50/'Yearly BTX'!AM45</f>
        <v>0.95364999999999989</v>
      </c>
      <c r="G36" s="179">
        <f>'Yearly BTX'!AN50/'Yearly BTX'!AN45</f>
        <v>0.93820000000000003</v>
      </c>
      <c r="H36" s="179">
        <f>'Yearly BTX'!AO50/'Yearly BTX'!AO45</f>
        <v>0.92274999999999996</v>
      </c>
      <c r="I36" s="179">
        <f>'Yearly BTX'!AP50/'Yearly BTX'!AP45</f>
        <v>0.9073</v>
      </c>
      <c r="J36" s="179">
        <f>'Yearly BTX'!AQ50/'Yearly BTX'!AQ45</f>
        <v>0.89185000000000003</v>
      </c>
      <c r="K36" s="179">
        <f>'Yearly BTX'!AR50/'Yearly BTX'!AR45</f>
        <v>0.87640000000000007</v>
      </c>
      <c r="L36" s="179">
        <f>'Yearly BTX'!AS50/'Yearly BTX'!AS45</f>
        <v>0.86094999999999999</v>
      </c>
      <c r="M36" s="179">
        <f>'Yearly BTX'!AT50/'Yearly BTX'!AT45</f>
        <v>0.84550000000000003</v>
      </c>
      <c r="N36" s="179">
        <f>'Yearly BTX'!AU50/'Yearly BTX'!AU45</f>
        <v>0.83460000000000001</v>
      </c>
      <c r="O36" s="179">
        <f>'Yearly BTX'!AV50/'Yearly BTX'!AV45</f>
        <v>0.82369999999999999</v>
      </c>
      <c r="P36" s="179">
        <f>'Yearly BTX'!AW50/'Yearly BTX'!AW45</f>
        <v>0.81279999999999997</v>
      </c>
      <c r="Q36" s="179">
        <f>'Yearly BTX'!AX50/'Yearly BTX'!AX45</f>
        <v>0.80189999999999995</v>
      </c>
      <c r="R36" s="179">
        <f>'Yearly BTX'!AY50/'Yearly BTX'!AY45</f>
        <v>0.79099999999999993</v>
      </c>
      <c r="S36" s="179">
        <f>'Yearly BTX'!AZ50/'Yearly BTX'!AZ45</f>
        <v>0.78010000000000002</v>
      </c>
      <c r="T36" s="179">
        <f>'Yearly BTX'!BA50/'Yearly BTX'!BA45</f>
        <v>0.76919999999999999</v>
      </c>
      <c r="U36" s="179">
        <f>'Yearly BTX'!BB50/'Yearly BTX'!BB45</f>
        <v>0.75829999999999997</v>
      </c>
      <c r="V36" s="179">
        <f>'Yearly BTX'!BC50/'Yearly BTX'!BC45</f>
        <v>0.74740000000000006</v>
      </c>
      <c r="W36" s="179">
        <f>'Yearly BTX'!BD50/'Yearly BTX'!BD45</f>
        <v>0.73649999999999993</v>
      </c>
      <c r="X36" s="179">
        <f>'Yearly BTX'!BE50/'Yearly BTX'!BE45</f>
        <v>0.72334999999999994</v>
      </c>
      <c r="Y36" s="179">
        <f>'Yearly BTX'!BF50/'Yearly BTX'!BF45</f>
        <v>0.71020000000000005</v>
      </c>
      <c r="Z36" s="179">
        <f>'Yearly BTX'!BG50/'Yearly BTX'!BG45</f>
        <v>0.69704999999999984</v>
      </c>
      <c r="AA36" s="179">
        <f>'Yearly BTX'!BH50/'Yearly BTX'!BH45</f>
        <v>0.68389999999999995</v>
      </c>
      <c r="AB36" s="179">
        <f>'Yearly BTX'!BI50/'Yearly BTX'!BI45</f>
        <v>0.67074999999999996</v>
      </c>
      <c r="AC36" s="179">
        <f>'Yearly BTX'!BJ50/'Yearly BTX'!BJ45</f>
        <v>0.65759999999999985</v>
      </c>
      <c r="AD36" s="179">
        <f>'Yearly BTX'!BK50/'Yearly BTX'!BK45</f>
        <v>0.64444999999999997</v>
      </c>
      <c r="AE36" s="179">
        <f>'Yearly BTX'!BL50/'Yearly BTX'!BL45</f>
        <v>0.63129999999999997</v>
      </c>
      <c r="AF36" s="179">
        <f>'Yearly BTX'!BM50/'Yearly BTX'!BM45</f>
        <v>0.61814999999999998</v>
      </c>
      <c r="AG36" s="179">
        <f>'Yearly BTX'!BN50/'Yearly BTX'!BN45</f>
        <v>0.60499999999999998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1232</v>
      </c>
      <c r="B37" s="156" t="s">
        <v>126</v>
      </c>
      <c r="C37" s="139">
        <f>'Yearly BTX'!AJ57/'Yearly BTX'!AJ54</f>
        <v>1</v>
      </c>
      <c r="D37" s="139">
        <f>'Yearly BTX'!AK57/'Yearly BTX'!AK54</f>
        <v>0.99670000000000003</v>
      </c>
      <c r="E37" s="139">
        <f>'Yearly BTX'!AL57/'Yearly BTX'!AL54</f>
        <v>0.99339999999999995</v>
      </c>
      <c r="F37" s="139">
        <f>'Yearly BTX'!AM57/'Yearly BTX'!AM54</f>
        <v>0.99009999999999998</v>
      </c>
      <c r="G37" s="139">
        <f>'Yearly BTX'!AN57/'Yearly BTX'!AN54</f>
        <v>0.9867999999999999</v>
      </c>
      <c r="H37" s="139">
        <f>'Yearly BTX'!AO57/'Yearly BTX'!AO54</f>
        <v>0.98350000000000004</v>
      </c>
      <c r="I37" s="139">
        <f>'Yearly BTX'!AP57/'Yearly BTX'!AP54</f>
        <v>0.98020000000000007</v>
      </c>
      <c r="J37" s="139">
        <f>'Yearly BTX'!AQ57/'Yearly BTX'!AQ54</f>
        <v>0.97689999999999999</v>
      </c>
      <c r="K37" s="139">
        <f>'Yearly BTX'!AR57/'Yearly BTX'!AR54</f>
        <v>0.97360000000000002</v>
      </c>
      <c r="L37" s="139">
        <f>'Yearly BTX'!AS57/'Yearly BTX'!AS54</f>
        <v>0.97029999999999994</v>
      </c>
      <c r="M37" s="139">
        <f>'Yearly BTX'!AT57/'Yearly BTX'!AT54</f>
        <v>0.96700000000000008</v>
      </c>
      <c r="N37" s="139">
        <f>'Yearly BTX'!AU57/'Yearly BTX'!AU54</f>
        <v>0.9637</v>
      </c>
      <c r="O37" s="139">
        <f>'Yearly BTX'!AV57/'Yearly BTX'!AV54</f>
        <v>0.96039999999999992</v>
      </c>
      <c r="P37" s="139">
        <f>'Yearly BTX'!AW57/'Yearly BTX'!AW54</f>
        <v>0.95709999999999984</v>
      </c>
      <c r="Q37" s="139">
        <f>'Yearly BTX'!AX57/'Yearly BTX'!AX54</f>
        <v>0.95379999999999987</v>
      </c>
      <c r="R37" s="139">
        <f>'Yearly BTX'!AY57/'Yearly BTX'!AY54</f>
        <v>0.95050000000000001</v>
      </c>
      <c r="S37" s="139">
        <f>'Yearly BTX'!AZ57/'Yearly BTX'!AZ54</f>
        <v>0.94720000000000004</v>
      </c>
      <c r="T37" s="139">
        <f>'Yearly BTX'!BA57/'Yearly BTX'!BA54</f>
        <v>0.94389999999999996</v>
      </c>
      <c r="U37" s="139">
        <f>'Yearly BTX'!BB57/'Yearly BTX'!BB54</f>
        <v>0.94059999999999999</v>
      </c>
      <c r="V37" s="139">
        <f>'Yearly BTX'!BC57/'Yearly BTX'!BC54</f>
        <v>0.93730000000000013</v>
      </c>
      <c r="W37" s="139">
        <f>'Yearly BTX'!BD57/'Yearly BTX'!BD54</f>
        <v>0.93399999999999983</v>
      </c>
      <c r="X37" s="139">
        <f>'Yearly BTX'!BE57/'Yearly BTX'!BE54</f>
        <v>0.93059999999999987</v>
      </c>
      <c r="Y37" s="139">
        <f>'Yearly BTX'!BF57/'Yearly BTX'!BF54</f>
        <v>0.9271999999999998</v>
      </c>
      <c r="Z37" s="139">
        <f>'Yearly BTX'!BG57/'Yearly BTX'!BG54</f>
        <v>0.92380000000000007</v>
      </c>
      <c r="AA37" s="139">
        <f>'Yearly BTX'!BH57/'Yearly BTX'!BH54</f>
        <v>0.9204</v>
      </c>
      <c r="AB37" s="139">
        <f>'Yearly BTX'!BI57/'Yearly BTX'!BI54</f>
        <v>0.91699999999999993</v>
      </c>
      <c r="AC37" s="139">
        <f>'Yearly BTX'!BJ57/'Yearly BTX'!BJ54</f>
        <v>0.91359999999999986</v>
      </c>
      <c r="AD37" s="139">
        <f>'Yearly BTX'!BK57/'Yearly BTX'!BK54</f>
        <v>0.91020000000000001</v>
      </c>
      <c r="AE37" s="139">
        <f>'Yearly BTX'!BL57/'Yearly BTX'!BL54</f>
        <v>0.90680000000000005</v>
      </c>
      <c r="AF37" s="139">
        <f>'Yearly BTX'!BM57/'Yearly BTX'!BM54</f>
        <v>0.90339999999999998</v>
      </c>
      <c r="AG37" s="139">
        <f>'Yearly BTX'!BN57/'Yearly BTX'!BN54</f>
        <v>0.9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1233</v>
      </c>
      <c r="B39" s="50" t="s">
        <v>1268</v>
      </c>
      <c r="C39" s="99">
        <f>C24*C33</f>
        <v>579487.25533013325</v>
      </c>
      <c r="D39" s="99">
        <f t="shared" ref="D39:AF39" si="16">D24*D33</f>
        <v>572851.02305675985</v>
      </c>
      <c r="E39" s="99">
        <f t="shared" si="16"/>
        <v>564440.6392711621</v>
      </c>
      <c r="F39" s="99">
        <f t="shared" si="16"/>
        <v>556962.92305668793</v>
      </c>
      <c r="G39" s="99">
        <f t="shared" si="16"/>
        <v>549515.47134073416</v>
      </c>
      <c r="H39" s="99">
        <f t="shared" si="16"/>
        <v>542098.18694281322</v>
      </c>
      <c r="I39" s="99">
        <f t="shared" si="16"/>
        <v>534710.97296401346</v>
      </c>
      <c r="J39" s="99">
        <f t="shared" si="16"/>
        <v>527353.73278622876</v>
      </c>
      <c r="K39" s="99">
        <f t="shared" si="16"/>
        <v>520026.37007139245</v>
      </c>
      <c r="L39" s="99">
        <f t="shared" si="16"/>
        <v>512728.7887607101</v>
      </c>
      <c r="M39" s="99">
        <f t="shared" si="16"/>
        <v>505460.89307389769</v>
      </c>
      <c r="N39" s="99">
        <f t="shared" si="16"/>
        <v>494427.43749670155</v>
      </c>
      <c r="O39" s="99">
        <f t="shared" si="16"/>
        <v>483440.2329704428</v>
      </c>
      <c r="P39" s="99">
        <f t="shared" si="16"/>
        <v>472499.12906010495</v>
      </c>
      <c r="Q39" s="99">
        <f t="shared" si="16"/>
        <v>461603.97576946602</v>
      </c>
      <c r="R39" s="99">
        <f t="shared" si="16"/>
        <v>450754.62353989331</v>
      </c>
      <c r="S39" s="99">
        <f t="shared" si="16"/>
        <v>439950.92324914259</v>
      </c>
      <c r="T39" s="99">
        <f t="shared" si="16"/>
        <v>429192.72621016076</v>
      </c>
      <c r="U39" s="99">
        <f t="shared" si="16"/>
        <v>418479.88416989025</v>
      </c>
      <c r="V39" s="99">
        <f t="shared" si="16"/>
        <v>407812.24930807867</v>
      </c>
      <c r="W39" s="99">
        <f t="shared" si="16"/>
        <v>397189.67423608899</v>
      </c>
      <c r="X39" s="99">
        <f t="shared" si="16"/>
        <v>389328.78787307953</v>
      </c>
      <c r="Y39" s="99">
        <f t="shared" si="16"/>
        <v>381500.67284073244</v>
      </c>
      <c r="Z39" s="99">
        <f t="shared" si="16"/>
        <v>373705.22275785694</v>
      </c>
      <c r="AA39" s="99">
        <f t="shared" si="16"/>
        <v>365942.3315532445</v>
      </c>
      <c r="AB39" s="99">
        <f t="shared" si="16"/>
        <v>358211.89346481732</v>
      </c>
      <c r="AC39" s="99">
        <f t="shared" si="16"/>
        <v>350513.80303878145</v>
      </c>
      <c r="AD39" s="99">
        <f t="shared" si="16"/>
        <v>342847.95512878045</v>
      </c>
      <c r="AE39" s="99">
        <f t="shared" si="16"/>
        <v>335214.24489505187</v>
      </c>
      <c r="AF39" s="99">
        <f t="shared" si="16"/>
        <v>327612.56780358666</v>
      </c>
      <c r="AG39" s="99">
        <f>AG24*AG33</f>
        <v>320042.81962528953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1234</v>
      </c>
      <c r="B40" s="50" t="s">
        <v>1268</v>
      </c>
      <c r="C40" s="99">
        <f t="shared" ref="C40:O40" si="17">C25*$C$34</f>
        <v>32237.695322400119</v>
      </c>
      <c r="D40" s="99">
        <f t="shared" si="17"/>
        <v>32166.528198189357</v>
      </c>
      <c r="E40" s="99">
        <f t="shared" si="17"/>
        <v>32095.518180729483</v>
      </c>
      <c r="F40" s="99">
        <f t="shared" si="17"/>
        <v>32024.664923195607</v>
      </c>
      <c r="G40" s="99">
        <f t="shared" si="17"/>
        <v>31953.968079528448</v>
      </c>
      <c r="H40" s="99">
        <f t="shared" si="17"/>
        <v>31883.427304432698</v>
      </c>
      <c r="I40" s="99">
        <f t="shared" si="17"/>
        <v>31813.042253375323</v>
      </c>
      <c r="J40" s="99">
        <f t="shared" si="17"/>
        <v>31742.812582583843</v>
      </c>
      <c r="K40" s="99">
        <f t="shared" si="17"/>
        <v>31672.737949044695</v>
      </c>
      <c r="L40" s="99">
        <f t="shared" si="17"/>
        <v>31602.818010501553</v>
      </c>
      <c r="M40" s="99">
        <f t="shared" si="17"/>
        <v>31533.052425453647</v>
      </c>
      <c r="N40" s="99">
        <f t="shared" si="17"/>
        <v>31463.440853154076</v>
      </c>
      <c r="O40" s="99">
        <f t="shared" si="17"/>
        <v>31393.982953608178</v>
      </c>
      <c r="P40" s="99">
        <f t="shared" ref="P40:AG40" si="18">D34*P25</f>
        <v>31302.581959437273</v>
      </c>
      <c r="Q40" s="99">
        <f t="shared" si="18"/>
        <v>31211.093959627517</v>
      </c>
      <c r="R40" s="99">
        <f t="shared" si="18"/>
        <v>31119.520528942481</v>
      </c>
      <c r="S40" s="99">
        <f t="shared" si="18"/>
        <v>31027.863233971864</v>
      </c>
      <c r="T40" s="99">
        <f t="shared" si="18"/>
        <v>30936.123633163534</v>
      </c>
      <c r="U40" s="99">
        <f t="shared" si="18"/>
        <v>30844.303276855495</v>
      </c>
      <c r="V40" s="99">
        <f t="shared" si="18"/>
        <v>30752.40370730768</v>
      </c>
      <c r="W40" s="99">
        <f t="shared" si="18"/>
        <v>30660.426458733702</v>
      </c>
      <c r="X40" s="99">
        <f t="shared" si="18"/>
        <v>30568.373057332439</v>
      </c>
      <c r="Y40" s="99">
        <f t="shared" si="18"/>
        <v>30476.245021319541</v>
      </c>
      <c r="Z40" s="99">
        <f t="shared" si="18"/>
        <v>30303.641458030674</v>
      </c>
      <c r="AA40" s="99">
        <f t="shared" si="18"/>
        <v>30129.175082273367</v>
      </c>
      <c r="AB40" s="99">
        <f t="shared" si="18"/>
        <v>29952.860426558349</v>
      </c>
      <c r="AC40" s="99">
        <f t="shared" si="18"/>
        <v>29774.711956243103</v>
      </c>
      <c r="AD40" s="99">
        <f t="shared" si="18"/>
        <v>29594.744069784112</v>
      </c>
      <c r="AE40" s="99">
        <f t="shared" si="18"/>
        <v>29412.971098988433</v>
      </c>
      <c r="AF40" s="99">
        <f t="shared" si="18"/>
        <v>29229.407309264177</v>
      </c>
      <c r="AG40" s="99">
        <f t="shared" si="18"/>
        <v>29044.066899870435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1235</v>
      </c>
      <c r="B41" s="50" t="s">
        <v>1268</v>
      </c>
      <c r="C41" s="99">
        <f t="shared" ref="C41:AG41" si="19">C26</f>
        <v>60365.794603215123</v>
      </c>
      <c r="D41" s="99">
        <f t="shared" si="19"/>
        <v>60232.532595505058</v>
      </c>
      <c r="E41" s="99">
        <f t="shared" si="19"/>
        <v>60099.564773646693</v>
      </c>
      <c r="F41" s="99">
        <f t="shared" si="19"/>
        <v>59966.890488202756</v>
      </c>
      <c r="G41" s="99">
        <f t="shared" si="19"/>
        <v>59834.509091169639</v>
      </c>
      <c r="H41" s="99">
        <f t="shared" si="19"/>
        <v>59702.419935974271</v>
      </c>
      <c r="I41" s="99">
        <f t="shared" si="19"/>
        <v>59570.622377470936</v>
      </c>
      <c r="J41" s="99">
        <f t="shared" si="19"/>
        <v>59439.115771938123</v>
      </c>
      <c r="K41" s="99">
        <f t="shared" si="19"/>
        <v>59307.899477075371</v>
      </c>
      <c r="L41" s="99">
        <f t="shared" si="19"/>
        <v>59176.972852000174</v>
      </c>
      <c r="M41" s="99">
        <f t="shared" si="19"/>
        <v>59046.335257244784</v>
      </c>
      <c r="N41" s="99">
        <f t="shared" si="19"/>
        <v>58915.986054753164</v>
      </c>
      <c r="O41" s="99">
        <f t="shared" si="19"/>
        <v>58785.924607877816</v>
      </c>
      <c r="P41" s="99">
        <f t="shared" si="19"/>
        <v>58656.150281376678</v>
      </c>
      <c r="Q41" s="99">
        <f t="shared" si="19"/>
        <v>58526.662441410037</v>
      </c>
      <c r="R41" s="99">
        <f t="shared" si="19"/>
        <v>58397.460455537461</v>
      </c>
      <c r="S41" s="99">
        <f t="shared" si="19"/>
        <v>58268.543692714637</v>
      </c>
      <c r="T41" s="99">
        <f t="shared" si="19"/>
        <v>58139.911523290335</v>
      </c>
      <c r="U41" s="99">
        <f t="shared" si="19"/>
        <v>58011.563319003362</v>
      </c>
      <c r="V41" s="99">
        <f t="shared" si="19"/>
        <v>57883.498452979416</v>
      </c>
      <c r="W41" s="99">
        <f t="shared" si="19"/>
        <v>57755.716299728083</v>
      </c>
      <c r="X41" s="99">
        <f t="shared" si="19"/>
        <v>57628.216235139764</v>
      </c>
      <c r="Y41" s="99">
        <f t="shared" si="19"/>
        <v>57500.997636482651</v>
      </c>
      <c r="Z41" s="99">
        <f t="shared" si="19"/>
        <v>57374.059882399619</v>
      </c>
      <c r="AA41" s="99">
        <f t="shared" si="19"/>
        <v>57247.402352905272</v>
      </c>
      <c r="AB41" s="99">
        <f t="shared" si="19"/>
        <v>57121.024429382887</v>
      </c>
      <c r="AC41" s="99">
        <f t="shared" si="19"/>
        <v>56994.925494581315</v>
      </c>
      <c r="AD41" s="99">
        <f t="shared" si="19"/>
        <v>56869.104932612121</v>
      </c>
      <c r="AE41" s="99">
        <f t="shared" si="19"/>
        <v>56743.562128946447</v>
      </c>
      <c r="AF41" s="99">
        <f t="shared" si="19"/>
        <v>56618.296470412031</v>
      </c>
      <c r="AG41" s="99">
        <f t="shared" si="19"/>
        <v>56493.307345190296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1236</v>
      </c>
      <c r="B42" s="50" t="s">
        <v>1268</v>
      </c>
      <c r="C42" s="222">
        <f t="shared" ref="C42:H42" si="20">C27*$C$36</f>
        <v>251335.80093508548</v>
      </c>
      <c r="D42" s="222">
        <f t="shared" si="20"/>
        <v>250780.95835143057</v>
      </c>
      <c r="E42" s="222">
        <f t="shared" si="20"/>
        <v>250227.34062428836</v>
      </c>
      <c r="F42" s="222">
        <f t="shared" si="20"/>
        <v>249674.9450496964</v>
      </c>
      <c r="G42" s="222">
        <f t="shared" si="20"/>
        <v>249123.76892966151</v>
      </c>
      <c r="H42" s="222">
        <f t="shared" si="20"/>
        <v>248573.80957214654</v>
      </c>
      <c r="I42" s="222">
        <f t="shared" ref="I42:AG43" si="21">I27*D36</f>
        <v>244193.07704776034</v>
      </c>
      <c r="J42" s="222">
        <f t="shared" si="21"/>
        <v>239830.4747166764</v>
      </c>
      <c r="K42" s="222">
        <f t="shared" si="21"/>
        <v>235485.94388038159</v>
      </c>
      <c r="L42" s="222">
        <f t="shared" si="21"/>
        <v>231159.42601116991</v>
      </c>
      <c r="M42" s="222">
        <f t="shared" si="21"/>
        <v>226850.86275167472</v>
      </c>
      <c r="N42" s="222">
        <f t="shared" si="21"/>
        <v>222560.19591440167</v>
      </c>
      <c r="O42" s="222">
        <f t="shared" si="21"/>
        <v>218287.36748126309</v>
      </c>
      <c r="P42" s="222">
        <f t="shared" si="21"/>
        <v>214032.31960311378</v>
      </c>
      <c r="Q42" s="222">
        <f t="shared" si="21"/>
        <v>209794.99459928763</v>
      </c>
      <c r="R42" s="222">
        <f t="shared" si="21"/>
        <v>205575.33495713581</v>
      </c>
      <c r="S42" s="222">
        <f t="shared" si="21"/>
        <v>202477.13061686052</v>
      </c>
      <c r="T42" s="222">
        <f t="shared" si="21"/>
        <v>199391.60346424405</v>
      </c>
      <c r="U42" s="222">
        <f t="shared" si="21"/>
        <v>196318.71262635343</v>
      </c>
      <c r="V42" s="222">
        <f t="shared" si="21"/>
        <v>193258.41734893498</v>
      </c>
      <c r="W42" s="222">
        <f t="shared" si="21"/>
        <v>190210.67699608949</v>
      </c>
      <c r="X42" s="222">
        <f t="shared" si="21"/>
        <v>187175.45104994834</v>
      </c>
      <c r="Y42" s="222">
        <f t="shared" si="21"/>
        <v>184152.69911035019</v>
      </c>
      <c r="Z42" s="222">
        <f t="shared" si="21"/>
        <v>181142.38089451916</v>
      </c>
      <c r="AA42" s="222">
        <f t="shared" si="21"/>
        <v>178144.45623674302</v>
      </c>
      <c r="AB42" s="222">
        <f t="shared" si="21"/>
        <v>175158.88508805286</v>
      </c>
      <c r="AC42" s="222">
        <f t="shared" si="21"/>
        <v>171651.7001979448</v>
      </c>
      <c r="AD42" s="222">
        <f t="shared" si="21"/>
        <v>168159.14643693474</v>
      </c>
      <c r="AE42" s="222">
        <f t="shared" si="21"/>
        <v>164681.17629826604</v>
      </c>
      <c r="AF42" s="222">
        <f t="shared" si="21"/>
        <v>161217.74241362876</v>
      </c>
      <c r="AG42" s="222">
        <f t="shared" si="21"/>
        <v>157768.79755277905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1237</v>
      </c>
      <c r="B43" s="156" t="s">
        <v>1268</v>
      </c>
      <c r="C43" s="99">
        <f t="shared" ref="C43:H43" si="22">C28*$C$37</f>
        <v>441091.26054906554</v>
      </c>
      <c r="D43" s="99">
        <f t="shared" si="22"/>
        <v>440117.51859220903</v>
      </c>
      <c r="E43" s="99">
        <f t="shared" si="22"/>
        <v>439145.92624357046</v>
      </c>
      <c r="F43" s="99">
        <f t="shared" si="22"/>
        <v>438176.47875772888</v>
      </c>
      <c r="G43" s="99">
        <f t="shared" si="22"/>
        <v>437209.17139973928</v>
      </c>
      <c r="H43" s="99">
        <f t="shared" si="22"/>
        <v>436243.99944510916</v>
      </c>
      <c r="I43" s="99">
        <f t="shared" si="21"/>
        <v>433844.53101778275</v>
      </c>
      <c r="J43" s="99">
        <f t="shared" si="21"/>
        <v>431453.53061694308</v>
      </c>
      <c r="K43" s="99">
        <f t="shared" si="21"/>
        <v>429070.97254852345</v>
      </c>
      <c r="L43" s="99">
        <f t="shared" si="21"/>
        <v>426696.83119063219</v>
      </c>
      <c r="M43" s="99">
        <f t="shared" si="21"/>
        <v>424331.08099335973</v>
      </c>
      <c r="N43" s="99">
        <f t="shared" si="21"/>
        <v>421973.69647858455</v>
      </c>
      <c r="O43" s="99">
        <f t="shared" si="21"/>
        <v>419624.65223978204</v>
      </c>
      <c r="P43" s="99">
        <f t="shared" si="21"/>
        <v>417283.92294183181</v>
      </c>
      <c r="Q43" s="99">
        <f t="shared" si="21"/>
        <v>414951.48332082666</v>
      </c>
      <c r="R43" s="99">
        <f t="shared" si="21"/>
        <v>412627.30818388122</v>
      </c>
      <c r="S43" s="99">
        <f t="shared" si="21"/>
        <v>410311.37240894133</v>
      </c>
      <c r="T43" s="99">
        <f t="shared" si="21"/>
        <v>408003.65094459523</v>
      </c>
      <c r="U43" s="99">
        <f t="shared" si="21"/>
        <v>405704.11880988255</v>
      </c>
      <c r="V43" s="99">
        <f t="shared" si="21"/>
        <v>403412.75109410641</v>
      </c>
      <c r="W43" s="99">
        <f t="shared" si="21"/>
        <v>401129.52295664483</v>
      </c>
      <c r="X43" s="99">
        <f t="shared" si="21"/>
        <v>398854.40962676198</v>
      </c>
      <c r="Y43" s="99">
        <f t="shared" si="21"/>
        <v>396587.38640342158</v>
      </c>
      <c r="Z43" s="99">
        <f t="shared" si="21"/>
        <v>394328.42865509959</v>
      </c>
      <c r="AA43" s="99">
        <f t="shared" si="21"/>
        <v>392077.51181959751</v>
      </c>
      <c r="AB43" s="99">
        <f t="shared" si="21"/>
        <v>389834.61140385614</v>
      </c>
      <c r="AC43" s="99">
        <f t="shared" si="21"/>
        <v>387558.0569428358</v>
      </c>
      <c r="AD43" s="99">
        <f t="shared" si="21"/>
        <v>385289.65399563761</v>
      </c>
      <c r="AE43" s="99">
        <f t="shared" si="21"/>
        <v>383029.37766663847</v>
      </c>
      <c r="AF43" s="99">
        <f t="shared" si="21"/>
        <v>380777.20313040714</v>
      </c>
      <c r="AG43" s="99">
        <f t="shared" si="21"/>
        <v>378533.1056315169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1238</v>
      </c>
      <c r="B44" s="189" t="s">
        <v>1268</v>
      </c>
      <c r="C44" s="190">
        <f>SUM(C39:C43)</f>
        <v>1364517.8067398996</v>
      </c>
      <c r="D44" s="190">
        <f t="shared" ref="D44:AF44" si="23">SUM(D39:D43)</f>
        <v>1356148.5607940939</v>
      </c>
      <c r="E44" s="190">
        <f t="shared" si="23"/>
        <v>1346008.989093397</v>
      </c>
      <c r="F44" s="190">
        <f t="shared" si="23"/>
        <v>1336805.9022755115</v>
      </c>
      <c r="G44" s="190">
        <f t="shared" si="23"/>
        <v>1327636.888840833</v>
      </c>
      <c r="H44" s="190">
        <f t="shared" si="23"/>
        <v>1318501.8432004759</v>
      </c>
      <c r="I44" s="190">
        <f t="shared" si="23"/>
        <v>1304132.2456604028</v>
      </c>
      <c r="J44" s="190">
        <f t="shared" si="23"/>
        <v>1289819.6664743703</v>
      </c>
      <c r="K44" s="190">
        <f t="shared" si="23"/>
        <v>1275563.9239264175</v>
      </c>
      <c r="L44" s="190">
        <f t="shared" si="23"/>
        <v>1261364.8368250139</v>
      </c>
      <c r="M44" s="190">
        <f t="shared" si="23"/>
        <v>1247222.2245016305</v>
      </c>
      <c r="N44" s="190">
        <f t="shared" si="23"/>
        <v>1229340.7567975949</v>
      </c>
      <c r="O44" s="190">
        <f t="shared" si="23"/>
        <v>1211532.1602529739</v>
      </c>
      <c r="P44" s="190">
        <f t="shared" si="23"/>
        <v>1193774.1038458645</v>
      </c>
      <c r="Q44" s="190">
        <f t="shared" si="23"/>
        <v>1176088.2100906179</v>
      </c>
      <c r="R44" s="190">
        <f t="shared" si="23"/>
        <v>1158474.2476653904</v>
      </c>
      <c r="S44" s="190">
        <f t="shared" si="23"/>
        <v>1142035.833201631</v>
      </c>
      <c r="T44" s="190">
        <f t="shared" si="23"/>
        <v>1125664.0157754538</v>
      </c>
      <c r="U44" s="190">
        <f t="shared" si="23"/>
        <v>1109358.5822019852</v>
      </c>
      <c r="V44" s="190">
        <f t="shared" si="23"/>
        <v>1093119.3199114071</v>
      </c>
      <c r="W44" s="190">
        <f t="shared" si="23"/>
        <v>1076946.016947285</v>
      </c>
      <c r="X44" s="190">
        <f t="shared" si="23"/>
        <v>1063555.237842262</v>
      </c>
      <c r="Y44" s="190">
        <f t="shared" si="23"/>
        <v>1050218.0010123064</v>
      </c>
      <c r="Z44" s="190">
        <f t="shared" si="23"/>
        <v>1036853.733647906</v>
      </c>
      <c r="AA44" s="190">
        <f t="shared" si="23"/>
        <v>1023540.8770447636</v>
      </c>
      <c r="AB44" s="190">
        <f t="shared" si="23"/>
        <v>1010279.2748126676</v>
      </c>
      <c r="AC44" s="190">
        <f t="shared" si="23"/>
        <v>996493.19763038645</v>
      </c>
      <c r="AD44" s="190">
        <f t="shared" si="23"/>
        <v>982760.60456374893</v>
      </c>
      <c r="AE44" s="190">
        <f t="shared" si="23"/>
        <v>969081.33208789129</v>
      </c>
      <c r="AF44" s="190">
        <f t="shared" si="23"/>
        <v>955455.21712729882</v>
      </c>
      <c r="AG44" s="190">
        <f>SUM(AG39:AG43)</f>
        <v>941882.09705464623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0.25</v>
      </c>
      <c r="D46" s="195">
        <f t="shared" ref="D46:AG46" si="24">D49</f>
        <v>0.26498239436619719</v>
      </c>
      <c r="E46" s="195">
        <f t="shared" si="24"/>
        <v>0.27996478873239439</v>
      </c>
      <c r="F46" s="195">
        <f t="shared" si="24"/>
        <v>0.29494718309859158</v>
      </c>
      <c r="G46" s="195">
        <f t="shared" si="24"/>
        <v>0.30992957746478877</v>
      </c>
      <c r="H46" s="195">
        <f t="shared" si="24"/>
        <v>0.32491197183098597</v>
      </c>
      <c r="I46" s="195">
        <f t="shared" si="24"/>
        <v>0.33989436619718311</v>
      </c>
      <c r="J46" s="195">
        <f t="shared" si="24"/>
        <v>0.3548767605633803</v>
      </c>
      <c r="K46" s="195">
        <f t="shared" si="24"/>
        <v>0.36985915492957749</v>
      </c>
      <c r="L46" s="195">
        <f t="shared" si="24"/>
        <v>0.38484154929577463</v>
      </c>
      <c r="M46" s="195">
        <f t="shared" si="24"/>
        <v>0.39982394366197183</v>
      </c>
      <c r="N46" s="195">
        <f t="shared" si="24"/>
        <v>0.40988952464788736</v>
      </c>
      <c r="O46" s="195">
        <f t="shared" si="24"/>
        <v>0.41995510563380289</v>
      </c>
      <c r="P46" s="195">
        <f t="shared" si="24"/>
        <v>0.43002068661971832</v>
      </c>
      <c r="Q46" s="195">
        <f t="shared" si="24"/>
        <v>0.4400862676056338</v>
      </c>
      <c r="R46" s="195">
        <f t="shared" si="24"/>
        <v>0.45015184859154933</v>
      </c>
      <c r="S46" s="195">
        <f t="shared" si="24"/>
        <v>0.46021742957746481</v>
      </c>
      <c r="T46" s="195">
        <f t="shared" si="24"/>
        <v>0.47028301056338029</v>
      </c>
      <c r="U46" s="195">
        <f t="shared" si="24"/>
        <v>0.48034859154929577</v>
      </c>
      <c r="V46" s="195">
        <f t="shared" si="24"/>
        <v>0.49041417253521125</v>
      </c>
      <c r="W46" s="195">
        <f t="shared" si="24"/>
        <v>0.50047975352112672</v>
      </c>
      <c r="X46" s="195">
        <f t="shared" si="24"/>
        <v>0.51595810959507049</v>
      </c>
      <c r="Y46" s="195">
        <f t="shared" si="24"/>
        <v>0.53143646566901404</v>
      </c>
      <c r="Z46" s="195">
        <f t="shared" si="24"/>
        <v>0.5469148217429578</v>
      </c>
      <c r="AA46" s="195">
        <f t="shared" si="24"/>
        <v>0.56239317781690135</v>
      </c>
      <c r="AB46" s="195">
        <f t="shared" si="24"/>
        <v>0.57787153389084511</v>
      </c>
      <c r="AC46" s="195">
        <f t="shared" si="24"/>
        <v>0.59334988996478877</v>
      </c>
      <c r="AD46" s="195">
        <f t="shared" si="24"/>
        <v>0.60882824603873242</v>
      </c>
      <c r="AE46" s="195">
        <f t="shared" si="24"/>
        <v>0.62430660211267608</v>
      </c>
      <c r="AF46" s="195">
        <f t="shared" si="24"/>
        <v>0.63978495818661973</v>
      </c>
      <c r="AG46" s="195">
        <f t="shared" si="24"/>
        <v>0.65526331426056339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18">
        <f>'Ethylene Recycling HC'!C50</f>
        <v>8.2746478873239437E-2</v>
      </c>
      <c r="D47" s="102">
        <f>'Ethylene Recycling HC'!D50</f>
        <v>8.9366197183098586E-2</v>
      </c>
      <c r="E47" s="102">
        <f>'Ethylene Recycling HC'!E50</f>
        <v>9.5985915492957749E-2</v>
      </c>
      <c r="F47" s="102">
        <f>'Ethylene Recycling HC'!F50</f>
        <v>0.1026056338028169</v>
      </c>
      <c r="G47" s="102">
        <f>'Ethylene Recycling HC'!G50</f>
        <v>0.10922535211267606</v>
      </c>
      <c r="H47" s="102">
        <f>'Ethylene Recycling HC'!H50</f>
        <v>0.11584507042253521</v>
      </c>
      <c r="I47" s="102">
        <f>'Ethylene Recycling HC'!I50</f>
        <v>0.12246478873239436</v>
      </c>
      <c r="J47" s="102">
        <f>'Ethylene Recycling HC'!J50</f>
        <v>0.12908450704225352</v>
      </c>
      <c r="K47" s="102">
        <f>'Ethylene Recycling HC'!K50</f>
        <v>0.13570422535211268</v>
      </c>
      <c r="L47" s="102">
        <f>'Ethylene Recycling HC'!L50</f>
        <v>0.14232394366197182</v>
      </c>
      <c r="M47" s="105">
        <f>'Ethylene Recycling HC'!M50</f>
        <v>0.14894366197183098</v>
      </c>
      <c r="N47" s="102">
        <f>'Ethylene Recycling HC'!N50</f>
        <v>0.15788028169014084</v>
      </c>
      <c r="O47" s="102">
        <f>'Ethylene Recycling HC'!O50</f>
        <v>0.16681690140845071</v>
      </c>
      <c r="P47" s="102">
        <f>'Ethylene Recycling HC'!P50</f>
        <v>0.17575352112676057</v>
      </c>
      <c r="Q47" s="102">
        <f>'Ethylene Recycling HC'!Q50</f>
        <v>0.18469014084507041</v>
      </c>
      <c r="R47" s="102">
        <f>'Ethylene Recycling HC'!R50</f>
        <v>0.1936267605633803</v>
      </c>
      <c r="S47" s="102">
        <f>'Ethylene Recycling HC'!S50</f>
        <v>0.20256338028169013</v>
      </c>
      <c r="T47" s="102">
        <f>'Ethylene Recycling HC'!T50</f>
        <v>0.21149999999999999</v>
      </c>
      <c r="U47" s="102">
        <f>'Ethylene Recycling HC'!U50</f>
        <v>0.22043661971830986</v>
      </c>
      <c r="V47" s="102">
        <f>'Ethylene Recycling HC'!V50</f>
        <v>0.22937323943661972</v>
      </c>
      <c r="W47" s="105">
        <f>'Ethylene Recycling HC'!W50</f>
        <v>0.23830985915492958</v>
      </c>
      <c r="X47" s="102">
        <f>'Ethylene Recycling HC'!X50</f>
        <v>0.25260845070422533</v>
      </c>
      <c r="Y47" s="102">
        <f>'Ethylene Recycling HC'!Y50</f>
        <v>0.26690704225352113</v>
      </c>
      <c r="Z47" s="102">
        <f>'Ethylene Recycling HC'!Z50</f>
        <v>0.28120563380281693</v>
      </c>
      <c r="AA47" s="102">
        <f>'Ethylene Recycling HC'!AA50</f>
        <v>0.29550422535211268</v>
      </c>
      <c r="AB47" s="102">
        <f>'Ethylene Recycling HC'!AB50</f>
        <v>0.30980281690140843</v>
      </c>
      <c r="AC47" s="102">
        <f>'Ethylene Recycling HC'!AC50</f>
        <v>0.32410140845070423</v>
      </c>
      <c r="AD47" s="102">
        <f>'Ethylene Recycling HC'!AD50</f>
        <v>0.33840000000000003</v>
      </c>
      <c r="AE47" s="102">
        <f>'Ethylene Recycling HC'!AE50</f>
        <v>0.35269859154929578</v>
      </c>
      <c r="AF47" s="102">
        <f>'Ethylene Recycling HC'!AF50</f>
        <v>0.36699718309859153</v>
      </c>
      <c r="AG47" s="102">
        <f>'Ethylene Recycling HC'!AG50</f>
        <v>0.38129577464788733</v>
      </c>
      <c r="AI47" s="124"/>
      <c r="AJ47" s="185" t="s">
        <v>1469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18">
        <f>'Ethylene Recycling HC'!C51</f>
        <v>0.16725352112676059</v>
      </c>
      <c r="D48" s="102">
        <f>'Ethylene Recycling HC'!D51</f>
        <v>0.17561619718309862</v>
      </c>
      <c r="E48" s="102">
        <f>'Ethylene Recycling HC'!E51</f>
        <v>0.18397887323943665</v>
      </c>
      <c r="F48" s="102">
        <f>'Ethylene Recycling HC'!F51</f>
        <v>0.19234154929577468</v>
      </c>
      <c r="G48" s="102">
        <f>'Ethylene Recycling HC'!G51</f>
        <v>0.20070422535211269</v>
      </c>
      <c r="H48" s="102">
        <f>'Ethylene Recycling HC'!H51</f>
        <v>0.20906690140845074</v>
      </c>
      <c r="I48" s="102">
        <f>'Ethylene Recycling HC'!I51</f>
        <v>0.21742957746478875</v>
      </c>
      <c r="J48" s="102">
        <f>'Ethylene Recycling HC'!J51</f>
        <v>0.22579225352112678</v>
      </c>
      <c r="K48" s="102">
        <f>'Ethylene Recycling HC'!K51</f>
        <v>0.23415492957746481</v>
      </c>
      <c r="L48" s="102">
        <f>'Ethylene Recycling HC'!L51</f>
        <v>0.24251760563380284</v>
      </c>
      <c r="M48" s="105">
        <f>'Ethylene Recycling HC'!M51</f>
        <v>0.25088028169014087</v>
      </c>
      <c r="N48" s="102">
        <f>'Ethylene Recycling HC'!N51</f>
        <v>0.25200924295774652</v>
      </c>
      <c r="O48" s="102">
        <f>'Ethylene Recycling HC'!O51</f>
        <v>0.25313820422535216</v>
      </c>
      <c r="P48" s="102">
        <f>'Ethylene Recycling HC'!P51</f>
        <v>0.25426716549295775</v>
      </c>
      <c r="Q48" s="102">
        <f>'Ethylene Recycling HC'!Q51</f>
        <v>0.25539612676056339</v>
      </c>
      <c r="R48" s="102">
        <f>'Ethylene Recycling HC'!R51</f>
        <v>0.25652508802816903</v>
      </c>
      <c r="S48" s="102">
        <f>'Ethylene Recycling HC'!S51</f>
        <v>0.25765404929577468</v>
      </c>
      <c r="T48" s="102">
        <f>'Ethylene Recycling HC'!T51</f>
        <v>0.25878301056338032</v>
      </c>
      <c r="U48" s="102">
        <f>'Ethylene Recycling HC'!U51</f>
        <v>0.25991197183098591</v>
      </c>
      <c r="V48" s="102">
        <f>'Ethylene Recycling HC'!V51</f>
        <v>0.26104093309859155</v>
      </c>
      <c r="W48" s="105">
        <f>'Ethylene Recycling HC'!W51</f>
        <v>0.2621698943661972</v>
      </c>
      <c r="X48" s="102">
        <f>'Ethylene Recycling HC'!X51</f>
        <v>0.26334965889084511</v>
      </c>
      <c r="Y48" s="102">
        <f>'Ethylene Recycling HC'!Y51</f>
        <v>0.26452942341549296</v>
      </c>
      <c r="Z48" s="102">
        <f>'Ethylene Recycling HC'!Z51</f>
        <v>0.26570918794014087</v>
      </c>
      <c r="AA48" s="102">
        <f>'Ethylene Recycling HC'!AA51</f>
        <v>0.26688895246478872</v>
      </c>
      <c r="AB48" s="102">
        <f>'Ethylene Recycling HC'!AB51</f>
        <v>0.26806871698943663</v>
      </c>
      <c r="AC48" s="102">
        <f>'Ethylene Recycling HC'!AC51</f>
        <v>0.26924848151408454</v>
      </c>
      <c r="AD48" s="102">
        <f>'Ethylene Recycling HC'!AD51</f>
        <v>0.27042824603873239</v>
      </c>
      <c r="AE48" s="102">
        <f>'Ethylene Recycling HC'!AE51</f>
        <v>0.2716080105633803</v>
      </c>
      <c r="AF48" s="102">
        <f>'Ethylene Recycling HC'!AF51</f>
        <v>0.27278777508802815</v>
      </c>
      <c r="AG48" s="102">
        <f>'Ethylene Recycling HC'!AG51</f>
        <v>0.27396753961267606</v>
      </c>
      <c r="AI48" s="124"/>
      <c r="AJ48" s="185" t="s">
        <v>1469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0.25</v>
      </c>
      <c r="D49" s="102">
        <f t="shared" ref="D49:AF49" si="25">D47+D48</f>
        <v>0.26498239436619719</v>
      </c>
      <c r="E49" s="102">
        <f t="shared" si="25"/>
        <v>0.27996478873239439</v>
      </c>
      <c r="F49" s="102">
        <f t="shared" si="25"/>
        <v>0.29494718309859158</v>
      </c>
      <c r="G49" s="102">
        <f t="shared" si="25"/>
        <v>0.30992957746478877</v>
      </c>
      <c r="H49" s="102">
        <f t="shared" si="25"/>
        <v>0.32491197183098597</v>
      </c>
      <c r="I49" s="102">
        <f t="shared" si="25"/>
        <v>0.33989436619718311</v>
      </c>
      <c r="J49" s="102">
        <f t="shared" si="25"/>
        <v>0.3548767605633803</v>
      </c>
      <c r="K49" s="102">
        <f t="shared" si="25"/>
        <v>0.36985915492957749</v>
      </c>
      <c r="L49" s="102">
        <f t="shared" si="25"/>
        <v>0.38484154929577463</v>
      </c>
      <c r="M49" s="102">
        <f t="shared" si="25"/>
        <v>0.39982394366197183</v>
      </c>
      <c r="N49" s="102">
        <f t="shared" si="25"/>
        <v>0.40988952464788736</v>
      </c>
      <c r="O49" s="102">
        <f t="shared" si="25"/>
        <v>0.41995510563380289</v>
      </c>
      <c r="P49" s="102">
        <f t="shared" si="25"/>
        <v>0.43002068661971832</v>
      </c>
      <c r="Q49" s="102">
        <f t="shared" si="25"/>
        <v>0.4400862676056338</v>
      </c>
      <c r="R49" s="102">
        <f t="shared" si="25"/>
        <v>0.45015184859154933</v>
      </c>
      <c r="S49" s="102">
        <f t="shared" si="25"/>
        <v>0.46021742957746481</v>
      </c>
      <c r="T49" s="102">
        <f t="shared" si="25"/>
        <v>0.47028301056338029</v>
      </c>
      <c r="U49" s="102">
        <f t="shared" si="25"/>
        <v>0.48034859154929577</v>
      </c>
      <c r="V49" s="102">
        <f t="shared" si="25"/>
        <v>0.49041417253521125</v>
      </c>
      <c r="W49" s="102">
        <f t="shared" si="25"/>
        <v>0.50047975352112672</v>
      </c>
      <c r="X49" s="102">
        <f t="shared" si="25"/>
        <v>0.51595810959507049</v>
      </c>
      <c r="Y49" s="102">
        <f t="shared" si="25"/>
        <v>0.53143646566901404</v>
      </c>
      <c r="Z49" s="102">
        <f t="shared" si="25"/>
        <v>0.5469148217429578</v>
      </c>
      <c r="AA49" s="102">
        <f t="shared" si="25"/>
        <v>0.56239317781690135</v>
      </c>
      <c r="AB49" s="102">
        <f t="shared" si="25"/>
        <v>0.57787153389084511</v>
      </c>
      <c r="AC49" s="102">
        <f t="shared" si="25"/>
        <v>0.59334988996478877</v>
      </c>
      <c r="AD49" s="102">
        <f t="shared" si="25"/>
        <v>0.60882824603873242</v>
      </c>
      <c r="AE49" s="102">
        <f t="shared" si="25"/>
        <v>0.62430660211267608</v>
      </c>
      <c r="AF49" s="102">
        <f t="shared" si="25"/>
        <v>0.63978495818661973</v>
      </c>
      <c r="AG49" s="102">
        <f>AG47+AG48</f>
        <v>0.65526331426056339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HC'!C54</f>
        <v>0.11499935012302656</v>
      </c>
      <c r="D51" s="102">
        <f>'Ethylene Recycling HC'!D54</f>
        <v>0.11283270511892568</v>
      </c>
      <c r="E51" s="102">
        <f>'Ethylene Recycling HC'!E54</f>
        <v>0.1106660601148248</v>
      </c>
      <c r="F51" s="102">
        <f>'Ethylene Recycling HC'!F54</f>
        <v>0.10849941511072392</v>
      </c>
      <c r="G51" s="102">
        <f>'Ethylene Recycling HC'!G54</f>
        <v>0.10633277010662304</v>
      </c>
      <c r="H51" s="102">
        <f>'Ethylene Recycling HC'!H54</f>
        <v>0.10416612510252216</v>
      </c>
      <c r="I51" s="102">
        <f>'Ethylene Recycling HC'!I54</f>
        <v>0.10199948009842127</v>
      </c>
      <c r="J51" s="102">
        <f>'Ethylene Recycling HC'!J54</f>
        <v>9.9832835094320393E-2</v>
      </c>
      <c r="K51" s="102">
        <f>'Ethylene Recycling HC'!K54</f>
        <v>9.7666190090219512E-2</v>
      </c>
      <c r="L51" s="102">
        <f>'Ethylene Recycling HC'!L54</f>
        <v>9.5499545086118631E-2</v>
      </c>
      <c r="M51" s="102">
        <f>'Ethylene Recycling HC'!M54</f>
        <v>9.333290008201775E-2</v>
      </c>
      <c r="N51" s="102">
        <f>'Ethylene Recycling HC'!N54</f>
        <v>9.1166255077916869E-2</v>
      </c>
      <c r="O51" s="102">
        <f>'Ethylene Recycling HC'!O54</f>
        <v>8.8999610073815988E-2</v>
      </c>
      <c r="P51" s="102">
        <f>'Ethylene Recycling HC'!P54</f>
        <v>8.6832965069715107E-2</v>
      </c>
      <c r="Q51" s="102">
        <f>'Ethylene Recycling HC'!Q54</f>
        <v>8.4666320065614226E-2</v>
      </c>
      <c r="R51" s="102">
        <f>'Ethylene Recycling HC'!R54</f>
        <v>8.2499675061513345E-2</v>
      </c>
      <c r="S51" s="102">
        <f>'Ethylene Recycling HC'!S54</f>
        <v>8.0333030057412463E-2</v>
      </c>
      <c r="T51" s="102">
        <f>'Ethylene Recycling HC'!T54</f>
        <v>7.8166385053311582E-2</v>
      </c>
      <c r="U51" s="102">
        <f>'Ethylene Recycling HC'!U54</f>
        <v>7.5999740049210701E-2</v>
      </c>
      <c r="V51" s="102">
        <f>'Ethylene Recycling HC'!V54</f>
        <v>7.383309504510982E-2</v>
      </c>
      <c r="W51" s="102">
        <f>'Ethylene Recycling HC'!W54</f>
        <v>7.1666450041008939E-2</v>
      </c>
      <c r="X51" s="102">
        <f>'Ethylene Recycling HC'!X54</f>
        <v>6.9499805036908058E-2</v>
      </c>
      <c r="Y51" s="102">
        <f>'Ethylene Recycling HC'!Y54</f>
        <v>6.7333160032807177E-2</v>
      </c>
      <c r="Z51" s="102">
        <f>'Ethylene Recycling HC'!Z54</f>
        <v>6.5166515028706296E-2</v>
      </c>
      <c r="AA51" s="102">
        <f>'Ethylene Recycling HC'!AA54</f>
        <v>6.2999870024605414E-2</v>
      </c>
      <c r="AB51" s="102">
        <f>'Ethylene Recycling HC'!AB54</f>
        <v>6.0833225020504526E-2</v>
      </c>
      <c r="AC51" s="102">
        <f>'Ethylene Recycling HC'!AC54</f>
        <v>5.8666580016403638E-2</v>
      </c>
      <c r="AD51" s="102">
        <f>'Ethylene Recycling HC'!AD54</f>
        <v>5.649993501230275E-2</v>
      </c>
      <c r="AE51" s="102">
        <f>'Ethylene Recycling HC'!AE54</f>
        <v>5.4333290008201862E-2</v>
      </c>
      <c r="AF51" s="102">
        <f>'Ethylene Recycling HC'!AF54</f>
        <v>5.2166645004100974E-2</v>
      </c>
      <c r="AG51" s="102">
        <f>'Ethylene Recycling HC'!AG54</f>
        <v>0.05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f>'Ethylene Recycling HC'!C55</f>
        <v>0.13791632052401978</v>
      </c>
      <c r="D52" s="102">
        <f>'Ethylene Recycling HC'!D55</f>
        <v>0.13791632052401978</v>
      </c>
      <c r="E52" s="102">
        <f>'Ethylene Recycling HC'!E55</f>
        <v>0.13791632052401978</v>
      </c>
      <c r="F52" s="102">
        <f>'Ethylene Recycling HC'!F55</f>
        <v>0.13791632052401978</v>
      </c>
      <c r="G52" s="102">
        <f>'Ethylene Recycling HC'!G55</f>
        <v>0.13791632052401978</v>
      </c>
      <c r="H52" s="102">
        <f>'Ethylene Recycling HC'!H55</f>
        <v>0.13791632052401978</v>
      </c>
      <c r="I52" s="102">
        <f>'Ethylene Recycling HC'!I55</f>
        <v>0.13791632052401978</v>
      </c>
      <c r="J52" s="102">
        <f>'Ethylene Recycling HC'!J55</f>
        <v>0.13791632052401978</v>
      </c>
      <c r="K52" s="102">
        <f>'Ethylene Recycling HC'!K55</f>
        <v>0.13791632052401978</v>
      </c>
      <c r="L52" s="102">
        <f>'Ethylene Recycling HC'!L55</f>
        <v>0.13791632052401978</v>
      </c>
      <c r="M52" s="102">
        <f>'Ethylene Recycling HC'!M55</f>
        <v>0.13791632052401978</v>
      </c>
      <c r="N52" s="102">
        <f>'Ethylene Recycling HC'!N55</f>
        <v>0.13791632052401978</v>
      </c>
      <c r="O52" s="102">
        <f>'Ethylene Recycling HC'!O55</f>
        <v>0.13791632052401978</v>
      </c>
      <c r="P52" s="102">
        <f>'Ethylene Recycling HC'!P55</f>
        <v>0.13791632052401978</v>
      </c>
      <c r="Q52" s="102">
        <f>'Ethylene Recycling HC'!Q55</f>
        <v>0.13791632052401978</v>
      </c>
      <c r="R52" s="102">
        <f>'Ethylene Recycling HC'!R55</f>
        <v>0.13791632052401978</v>
      </c>
      <c r="S52" s="102">
        <f>'Ethylene Recycling HC'!S55</f>
        <v>0.13791632052401978</v>
      </c>
      <c r="T52" s="102">
        <f>'Ethylene Recycling HC'!T55</f>
        <v>0.13791632052401978</v>
      </c>
      <c r="U52" s="102">
        <f>'Ethylene Recycling HC'!U55</f>
        <v>0.13791632052401978</v>
      </c>
      <c r="V52" s="102">
        <f>'Ethylene Recycling HC'!V55</f>
        <v>0.13791632052401978</v>
      </c>
      <c r="W52" s="102">
        <f>'Ethylene Recycling HC'!W55</f>
        <v>0.13791632052401978</v>
      </c>
      <c r="X52" s="102">
        <f>'Ethylene Recycling HC'!X55</f>
        <v>0.13791632052401978</v>
      </c>
      <c r="Y52" s="102">
        <f>'Ethylene Recycling HC'!Y55</f>
        <v>0.13791632052401978</v>
      </c>
      <c r="Z52" s="102">
        <f>'Ethylene Recycling HC'!Z55</f>
        <v>0.13791632052401978</v>
      </c>
      <c r="AA52" s="102">
        <f>'Ethylene Recycling HC'!AA55</f>
        <v>0.13791632052401978</v>
      </c>
      <c r="AB52" s="102">
        <f>'Ethylene Recycling HC'!AB55</f>
        <v>0.13791632052401978</v>
      </c>
      <c r="AC52" s="102">
        <f>'Ethylene Recycling HC'!AC55</f>
        <v>0.13791632052401978</v>
      </c>
      <c r="AD52" s="102">
        <f>'Ethylene Recycling HC'!AD55</f>
        <v>0.13791632052401978</v>
      </c>
      <c r="AE52" s="102">
        <f>'Ethylene Recycling HC'!AE55</f>
        <v>0.13791632052401978</v>
      </c>
      <c r="AF52" s="102">
        <f>'Ethylene Recycling HC'!AF55</f>
        <v>0.13791632052401978</v>
      </c>
      <c r="AG52" s="102">
        <f>'Ethylene Recycling HC'!AG55</f>
        <v>0.13791632052401978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f>'Ethylene Recycling HC'!C56</f>
        <v>0.10855071452136934</v>
      </c>
      <c r="D53" s="102">
        <f>'Ethylene Recycling HC'!D56</f>
        <v>0.10855071452136934</v>
      </c>
      <c r="E53" s="102">
        <f>'Ethylene Recycling HC'!E56</f>
        <v>0.10855071452136934</v>
      </c>
      <c r="F53" s="102">
        <f>'Ethylene Recycling HC'!F56</f>
        <v>0.10855071452136934</v>
      </c>
      <c r="G53" s="102">
        <f>'Ethylene Recycling HC'!G56</f>
        <v>0.10855071452136934</v>
      </c>
      <c r="H53" s="102">
        <f>'Ethylene Recycling HC'!H56</f>
        <v>0.10855071452136934</v>
      </c>
      <c r="I53" s="102">
        <f>'Ethylene Recycling HC'!I56</f>
        <v>0.10855071452136934</v>
      </c>
      <c r="J53" s="102">
        <f>'Ethylene Recycling HC'!J56</f>
        <v>0.10855071452136934</v>
      </c>
      <c r="K53" s="102">
        <f>'Ethylene Recycling HC'!K56</f>
        <v>0.10855071452136934</v>
      </c>
      <c r="L53" s="102">
        <f>'Ethylene Recycling HC'!L56</f>
        <v>0.10855071452136934</v>
      </c>
      <c r="M53" s="102">
        <f>'Ethylene Recycling HC'!M56</f>
        <v>0.10855071452136934</v>
      </c>
      <c r="N53" s="102">
        <f>'Ethylene Recycling HC'!N56</f>
        <v>0.10855071452136934</v>
      </c>
      <c r="O53" s="102">
        <f>'Ethylene Recycling HC'!O56</f>
        <v>0.10855071452136934</v>
      </c>
      <c r="P53" s="102">
        <f>'Ethylene Recycling HC'!P56</f>
        <v>0.10855071452136934</v>
      </c>
      <c r="Q53" s="102">
        <f>'Ethylene Recycling HC'!Q56</f>
        <v>0.10855071452136934</v>
      </c>
      <c r="R53" s="102">
        <f>'Ethylene Recycling HC'!R56</f>
        <v>0.10855071452136934</v>
      </c>
      <c r="S53" s="102">
        <f>'Ethylene Recycling HC'!S56</f>
        <v>0.10855071452136934</v>
      </c>
      <c r="T53" s="102">
        <f>'Ethylene Recycling HC'!T56</f>
        <v>0.10855071452136934</v>
      </c>
      <c r="U53" s="102">
        <f>'Ethylene Recycling HC'!U56</f>
        <v>0.10855071452136934</v>
      </c>
      <c r="V53" s="102">
        <f>'Ethylene Recycling HC'!V56</f>
        <v>0.10855071452136934</v>
      </c>
      <c r="W53" s="102">
        <f>'Ethylene Recycling HC'!W56</f>
        <v>0.10855071452136934</v>
      </c>
      <c r="X53" s="102">
        <f>'Ethylene Recycling HC'!X56</f>
        <v>0.10855071452136934</v>
      </c>
      <c r="Y53" s="102">
        <f>'Ethylene Recycling HC'!Y56</f>
        <v>0.10855071452136934</v>
      </c>
      <c r="Z53" s="102">
        <f>'Ethylene Recycling HC'!Z56</f>
        <v>0.10855071452136934</v>
      </c>
      <c r="AA53" s="102">
        <f>'Ethylene Recycling HC'!AA56</f>
        <v>0.10855071452136934</v>
      </c>
      <c r="AB53" s="102">
        <f>'Ethylene Recycling HC'!AB56</f>
        <v>0.10855071452136934</v>
      </c>
      <c r="AC53" s="102">
        <f>'Ethylene Recycling HC'!AC56</f>
        <v>0.10855071452136934</v>
      </c>
      <c r="AD53" s="102">
        <f>'Ethylene Recycling HC'!AD56</f>
        <v>0.10855071452136934</v>
      </c>
      <c r="AE53" s="102">
        <f>'Ethylene Recycling HC'!AE56</f>
        <v>0.10855071452136934</v>
      </c>
      <c r="AF53" s="102">
        <f>'Ethylene Recycling HC'!AF56</f>
        <v>0.10855071452136934</v>
      </c>
      <c r="AG53" s="102">
        <f>'Ethylene Recycling HC'!AG56</f>
        <v>0.10855071452136934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f>'Ethylene Recycling HC'!C57</f>
        <v>0.63853361483158433</v>
      </c>
      <c r="D54" s="102">
        <f>'Ethylene Recycling HC'!D57</f>
        <v>0.64070025983568524</v>
      </c>
      <c r="E54" s="102">
        <f>'Ethylene Recycling HC'!E57</f>
        <v>0.64286690483978604</v>
      </c>
      <c r="F54" s="102">
        <f>'Ethylene Recycling HC'!F57</f>
        <v>0.64503354984388694</v>
      </c>
      <c r="G54" s="102">
        <f>'Ethylene Recycling HC'!G57</f>
        <v>0.64720019484798785</v>
      </c>
      <c r="H54" s="102">
        <f>'Ethylene Recycling HC'!H57</f>
        <v>0.64936683985208865</v>
      </c>
      <c r="I54" s="102">
        <f>'Ethylene Recycling HC'!I57</f>
        <v>0.65153348485618956</v>
      </c>
      <c r="J54" s="102">
        <f>'Ethylene Recycling HC'!J57</f>
        <v>0.65370012986029047</v>
      </c>
      <c r="K54" s="102">
        <f>'Ethylene Recycling HC'!K57</f>
        <v>0.65586677486439138</v>
      </c>
      <c r="L54" s="102">
        <f>'Ethylene Recycling HC'!L57</f>
        <v>0.65803341986849229</v>
      </c>
      <c r="M54" s="102">
        <f>'Ethylene Recycling HC'!M57</f>
        <v>0.66020006487259308</v>
      </c>
      <c r="N54" s="102">
        <f>'Ethylene Recycling HC'!N57</f>
        <v>0.66236670987669399</v>
      </c>
      <c r="O54" s="102">
        <f>'Ethylene Recycling HC'!O57</f>
        <v>0.6645333548807949</v>
      </c>
      <c r="P54" s="102">
        <f>'Ethylene Recycling HC'!P57</f>
        <v>0.6666999998848957</v>
      </c>
      <c r="Q54" s="102">
        <f>'Ethylene Recycling HC'!Q57</f>
        <v>0.66886664488899661</v>
      </c>
      <c r="R54" s="102">
        <f>'Ethylene Recycling HC'!R57</f>
        <v>0.67103328989309752</v>
      </c>
      <c r="S54" s="102">
        <f>'Ethylene Recycling HC'!S57</f>
        <v>0.67319993489719843</v>
      </c>
      <c r="T54" s="102">
        <f>'Ethylene Recycling HC'!T57</f>
        <v>0.67536657990129934</v>
      </c>
      <c r="U54" s="102">
        <f>'Ethylene Recycling HC'!U57</f>
        <v>0.67753322490540013</v>
      </c>
      <c r="V54" s="102">
        <f>'Ethylene Recycling HC'!V57</f>
        <v>0.67969986990950104</v>
      </c>
      <c r="W54" s="102">
        <f>'Ethylene Recycling HC'!W57</f>
        <v>0.68186651491360195</v>
      </c>
      <c r="X54" s="102">
        <f>'Ethylene Recycling HC'!X57</f>
        <v>0.68403315991770275</v>
      </c>
      <c r="Y54" s="102">
        <f>'Ethylene Recycling HC'!Y57</f>
        <v>0.68619980492180366</v>
      </c>
      <c r="Z54" s="102">
        <f>'Ethylene Recycling HC'!Z57</f>
        <v>0.68836644992590457</v>
      </c>
      <c r="AA54" s="102">
        <f>'Ethylene Recycling HC'!AA57</f>
        <v>0.69053309493000548</v>
      </c>
      <c r="AB54" s="102">
        <f>'Ethylene Recycling HC'!AB57</f>
        <v>0.69269973993410638</v>
      </c>
      <c r="AC54" s="102">
        <f>'Ethylene Recycling HC'!AC57</f>
        <v>0.69486638493820718</v>
      </c>
      <c r="AD54" s="102">
        <f>'Ethylene Recycling HC'!AD57</f>
        <v>0.69703302994230809</v>
      </c>
      <c r="AE54" s="102">
        <f>'Ethylene Recycling HC'!AE57</f>
        <v>0.699199674946409</v>
      </c>
      <c r="AF54" s="102">
        <f>'Ethylene Recycling HC'!AF57</f>
        <v>0.70136631995050991</v>
      </c>
      <c r="AG54" s="102">
        <f>'Ethylene Recycling HC'!AG57</f>
        <v>0.70353296495461082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f>'Ethylene Recycling HC'!C58</f>
        <v>1.923404623536536E-2</v>
      </c>
      <c r="D55" s="102">
        <f>'Ethylene Recycling HC'!D58</f>
        <v>1.9815250590867674E-2</v>
      </c>
      <c r="E55" s="102">
        <f>'Ethylene Recycling HC'!E58</f>
        <v>2.0360217045773229E-2</v>
      </c>
      <c r="F55" s="102">
        <f>'Ethylene Recycling HC'!F58</f>
        <v>2.0868945600082026E-2</v>
      </c>
      <c r="G55" s="102">
        <f>'Ethylene Recycling HC'!G58</f>
        <v>2.1341436253794061E-2</v>
      </c>
      <c r="H55" s="102">
        <f>'Ethylene Recycling HC'!H58</f>
        <v>2.1777689006909347E-2</v>
      </c>
      <c r="I55" s="102">
        <f>'Ethylene Recycling HC'!I58</f>
        <v>2.2177703859427866E-2</v>
      </c>
      <c r="J55" s="102">
        <f>'Ethylene Recycling HC'!J58</f>
        <v>2.2541480811349632E-2</v>
      </c>
      <c r="K55" s="102">
        <f>'Ethylene Recycling HC'!K58</f>
        <v>2.2869019862674641E-2</v>
      </c>
      <c r="L55" s="102">
        <f>'Ethylene Recycling HC'!L58</f>
        <v>2.3160321013402891E-2</v>
      </c>
      <c r="M55" s="102">
        <f>'Ethylene Recycling HC'!M58</f>
        <v>2.3415384263534386E-2</v>
      </c>
      <c r="N55" s="102">
        <f>'Ethylene Recycling HC'!N58</f>
        <v>2.2974738925478643E-2</v>
      </c>
      <c r="O55" s="102">
        <f>'Ethylene Recycling HC'!O58</f>
        <v>2.252920147084234E-2</v>
      </c>
      <c r="P55" s="102">
        <f>'Ethylene Recycling HC'!P58</f>
        <v>2.2078771899625472E-2</v>
      </c>
      <c r="Q55" s="102">
        <f>'Ethylene Recycling HC'!Q58</f>
        <v>2.1623450211828044E-2</v>
      </c>
      <c r="R55" s="102">
        <f>'Ethylene Recycling HC'!R58</f>
        <v>2.1163236407450051E-2</v>
      </c>
      <c r="S55" s="102">
        <f>'Ethylene Recycling HC'!S58</f>
        <v>2.0698130486491498E-2</v>
      </c>
      <c r="T55" s="102">
        <f>'Ethylene Recycling HC'!T58</f>
        <v>2.0228132448952385E-2</v>
      </c>
      <c r="U55" s="102">
        <f>'Ethylene Recycling HC'!U58</f>
        <v>1.9753242294832704E-2</v>
      </c>
      <c r="V55" s="102">
        <f>'Ethylene Recycling HC'!V58</f>
        <v>1.9273460024132463E-2</v>
      </c>
      <c r="W55" s="102">
        <f>'Ethylene Recycling HC'!W58</f>
        <v>1.8788785636851664E-2</v>
      </c>
      <c r="X55" s="102">
        <f>'Ethylene Recycling HC'!X58</f>
        <v>1.8302749949449977E-2</v>
      </c>
      <c r="Y55" s="102">
        <f>'Ethylene Recycling HC'!Y58</f>
        <v>1.7811602000221596E-2</v>
      </c>
      <c r="Z55" s="102">
        <f>'Ethylene Recycling HC'!Z58</f>
        <v>1.7315341789166536E-2</v>
      </c>
      <c r="AA55" s="102">
        <f>'Ethylene Recycling HC'!AA58</f>
        <v>1.6813969316284781E-2</v>
      </c>
      <c r="AB55" s="102">
        <f>'Ethylene Recycling HC'!AB58</f>
        <v>1.6307484581576343E-2</v>
      </c>
      <c r="AC55" s="102">
        <f>'Ethylene Recycling HC'!AC58</f>
        <v>1.5795887585041215E-2</v>
      </c>
      <c r="AD55" s="102">
        <f>'Ethylene Recycling HC'!AD58</f>
        <v>1.5279178326679398E-2</v>
      </c>
      <c r="AE55" s="102">
        <f>'Ethylene Recycling HC'!AE58</f>
        <v>1.4757356806490896E-2</v>
      </c>
      <c r="AF55" s="102">
        <f>'Ethylene Recycling HC'!AF58</f>
        <v>1.4230423024475703E-2</v>
      </c>
      <c r="AG55" s="102">
        <f>'Ethylene Recycling HC'!AG58</f>
        <v>1.3698376980633803E-2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f>'Ethylene Recycling HC'!C59</f>
        <v>2.3066990228489227E-2</v>
      </c>
      <c r="D56" s="102">
        <f>'Ethylene Recycling HC'!D59</f>
        <v>2.422033973991369E-2</v>
      </c>
      <c r="E56" s="102">
        <f>'Ethylene Recycling HC'!E59</f>
        <v>2.537368925133815E-2</v>
      </c>
      <c r="F56" s="102">
        <f>'Ethylene Recycling HC'!F59</f>
        <v>2.6527038762762613E-2</v>
      </c>
      <c r="G56" s="102">
        <f>'Ethylene Recycling HC'!G59</f>
        <v>2.7680388274187069E-2</v>
      </c>
      <c r="H56" s="102">
        <f>'Ethylene Recycling HC'!H59</f>
        <v>2.8833737785611536E-2</v>
      </c>
      <c r="I56" s="102">
        <f>'Ethylene Recycling HC'!I59</f>
        <v>2.9987087297035992E-2</v>
      </c>
      <c r="J56" s="102">
        <f>'Ethylene Recycling HC'!J59</f>
        <v>3.1140436808460455E-2</v>
      </c>
      <c r="K56" s="102">
        <f>'Ethylene Recycling HC'!K59</f>
        <v>3.2293786319884915E-2</v>
      </c>
      <c r="L56" s="102">
        <f>'Ethylene Recycling HC'!L59</f>
        <v>3.3447135831309378E-2</v>
      </c>
      <c r="M56" s="102">
        <f>'Ethylene Recycling HC'!M59</f>
        <v>3.4600485342733842E-2</v>
      </c>
      <c r="N56" s="102">
        <f>'Ethylene Recycling HC'!N59</f>
        <v>3.4756187526776144E-2</v>
      </c>
      <c r="O56" s="102">
        <f>'Ethylene Recycling HC'!O59</f>
        <v>3.4911889710818447E-2</v>
      </c>
      <c r="P56" s="102">
        <f>'Ethylene Recycling HC'!P59</f>
        <v>3.5067591894860743E-2</v>
      </c>
      <c r="Q56" s="102">
        <f>'Ethylene Recycling HC'!Q59</f>
        <v>3.5223294078903046E-2</v>
      </c>
      <c r="R56" s="102">
        <f>'Ethylene Recycling HC'!R59</f>
        <v>3.5378996262945349E-2</v>
      </c>
      <c r="S56" s="102">
        <f>'Ethylene Recycling HC'!S59</f>
        <v>3.5534698446987652E-2</v>
      </c>
      <c r="T56" s="102">
        <f>'Ethylene Recycling HC'!T59</f>
        <v>3.5690400631029955E-2</v>
      </c>
      <c r="U56" s="102">
        <f>'Ethylene Recycling HC'!U59</f>
        <v>3.584610281507225E-2</v>
      </c>
      <c r="V56" s="102">
        <f>'Ethylene Recycling HC'!V59</f>
        <v>3.600180499911456E-2</v>
      </c>
      <c r="W56" s="102">
        <f>'Ethylene Recycling HC'!W59</f>
        <v>3.6157507183156863E-2</v>
      </c>
      <c r="X56" s="102">
        <f>'Ethylene Recycling HC'!X59</f>
        <v>3.6320215965481066E-2</v>
      </c>
      <c r="Y56" s="102">
        <f>'Ethylene Recycling HC'!Y59</f>
        <v>3.6482924747805269E-2</v>
      </c>
      <c r="Z56" s="102">
        <f>'Ethylene Recycling HC'!Z59</f>
        <v>3.6645633530129479E-2</v>
      </c>
      <c r="AA56" s="102">
        <f>'Ethylene Recycling HC'!AA59</f>
        <v>3.6808342312453682E-2</v>
      </c>
      <c r="AB56" s="102">
        <f>'Ethylene Recycling HC'!AB59</f>
        <v>3.6971051094777892E-2</v>
      </c>
      <c r="AC56" s="102">
        <f>'Ethylene Recycling HC'!AC59</f>
        <v>3.7133759877102095E-2</v>
      </c>
      <c r="AD56" s="102">
        <f>'Ethylene Recycling HC'!AD59</f>
        <v>3.7296468659426298E-2</v>
      </c>
      <c r="AE56" s="102">
        <f>'Ethylene Recycling HC'!AE59</f>
        <v>3.7459177441750507E-2</v>
      </c>
      <c r="AF56" s="102">
        <f>'Ethylene Recycling HC'!AF59</f>
        <v>3.762188622407471E-2</v>
      </c>
      <c r="AG56" s="102">
        <f>'Ethylene Recycling HC'!AG59</f>
        <v>3.778459500639892E-2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f>'Ethylene Recycling HC'!C60</f>
        <v>1.8155489224524805E-2</v>
      </c>
      <c r="D57" s="102">
        <f>'Ethylene Recycling HC'!D60</f>
        <v>1.9063263685751047E-2</v>
      </c>
      <c r="E57" s="102">
        <f>'Ethylene Recycling HC'!E60</f>
        <v>1.9971038146977284E-2</v>
      </c>
      <c r="F57" s="102">
        <f>'Ethylene Recycling HC'!F60</f>
        <v>2.0878812608203526E-2</v>
      </c>
      <c r="G57" s="102">
        <f>'Ethylene Recycling HC'!G60</f>
        <v>2.1786587069429764E-2</v>
      </c>
      <c r="H57" s="102">
        <f>'Ethylene Recycling HC'!H60</f>
        <v>2.2694361530656008E-2</v>
      </c>
      <c r="I57" s="102">
        <f>'Ethylene Recycling HC'!I60</f>
        <v>2.3602135991882243E-2</v>
      </c>
      <c r="J57" s="102">
        <f>'Ethylene Recycling HC'!J60</f>
        <v>2.4509910453108484E-2</v>
      </c>
      <c r="K57" s="102">
        <f>'Ethylene Recycling HC'!K60</f>
        <v>2.5417684914334725E-2</v>
      </c>
      <c r="L57" s="102">
        <f>'Ethylene Recycling HC'!L60</f>
        <v>2.6325459375560967E-2</v>
      </c>
      <c r="M57" s="102">
        <f>'Ethylene Recycling HC'!M60</f>
        <v>2.7233233836787205E-2</v>
      </c>
      <c r="N57" s="102">
        <f>'Ethylene Recycling HC'!N60</f>
        <v>2.735578338905275E-2</v>
      </c>
      <c r="O57" s="102">
        <f>'Ethylene Recycling HC'!O60</f>
        <v>2.7478332941318292E-2</v>
      </c>
      <c r="P57" s="102">
        <f>'Ethylene Recycling HC'!P60</f>
        <v>2.760088249358383E-2</v>
      </c>
      <c r="Q57" s="102">
        <f>'Ethylene Recycling HC'!Q60</f>
        <v>2.7723432045849376E-2</v>
      </c>
      <c r="R57" s="102">
        <f>'Ethylene Recycling HC'!R60</f>
        <v>2.7845981598114918E-2</v>
      </c>
      <c r="S57" s="102">
        <f>'Ethylene Recycling HC'!S60</f>
        <v>2.7968531150380459E-2</v>
      </c>
      <c r="T57" s="102">
        <f>'Ethylene Recycling HC'!T60</f>
        <v>2.8091080702646005E-2</v>
      </c>
      <c r="U57" s="102">
        <f>'Ethylene Recycling HC'!U60</f>
        <v>2.8213630254911543E-2</v>
      </c>
      <c r="V57" s="102">
        <f>'Ethylene Recycling HC'!V60</f>
        <v>2.8336179807177085E-2</v>
      </c>
      <c r="W57" s="102">
        <f>'Ethylene Recycling HC'!W60</f>
        <v>2.845872935944263E-2</v>
      </c>
      <c r="X57" s="102">
        <f>'Ethylene Recycling HC'!X60</f>
        <v>2.8586793641560124E-2</v>
      </c>
      <c r="Y57" s="102">
        <f>'Ethylene Recycling HC'!Y60</f>
        <v>2.871485792367761E-2</v>
      </c>
      <c r="Z57" s="102">
        <f>'Ethylene Recycling HC'!Z60</f>
        <v>2.8842922205795107E-2</v>
      </c>
      <c r="AA57" s="102">
        <f>'Ethylene Recycling HC'!AA60</f>
        <v>2.8970986487912593E-2</v>
      </c>
      <c r="AB57" s="102">
        <f>'Ethylene Recycling HC'!AB60</f>
        <v>2.9099050770030086E-2</v>
      </c>
      <c r="AC57" s="102">
        <f>'Ethylene Recycling HC'!AC60</f>
        <v>2.9227115052147583E-2</v>
      </c>
      <c r="AD57" s="102">
        <f>'Ethylene Recycling HC'!AD60</f>
        <v>2.9355179334265069E-2</v>
      </c>
      <c r="AE57" s="102">
        <f>'Ethylene Recycling HC'!AE60</f>
        <v>2.9483243616382562E-2</v>
      </c>
      <c r="AF57" s="102">
        <f>'Ethylene Recycling HC'!AF60</f>
        <v>2.9611307898500052E-2</v>
      </c>
      <c r="AG57" s="102">
        <f>'Ethylene Recycling HC'!AG60</f>
        <v>2.9739372180617545E-2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f>'Ethylene Recycling HC'!C61</f>
        <v>0.1067969954383812</v>
      </c>
      <c r="D58" s="102">
        <f>'Ethylene Recycling HC'!D61</f>
        <v>0.11251734316656622</v>
      </c>
      <c r="E58" s="102">
        <f>'Ethylene Recycling HC'!E61</f>
        <v>0.11827392879534798</v>
      </c>
      <c r="F58" s="102">
        <f>'Ethylene Recycling HC'!F61</f>
        <v>0.12406675232472651</v>
      </c>
      <c r="G58" s="102">
        <f>'Ethylene Recycling HC'!G61</f>
        <v>0.1298958137547018</v>
      </c>
      <c r="H58" s="102">
        <f>'Ethylene Recycling HC'!H61</f>
        <v>0.13576111308527383</v>
      </c>
      <c r="I58" s="102">
        <f>'Ethylene Recycling HC'!I61</f>
        <v>0.14166265031644262</v>
      </c>
      <c r="J58" s="102">
        <f>'Ethylene Recycling HC'!J61</f>
        <v>0.1476004254482082</v>
      </c>
      <c r="K58" s="102">
        <f>'Ethylene Recycling HC'!K61</f>
        <v>0.15357443848057054</v>
      </c>
      <c r="L58" s="102">
        <f>'Ethylene Recycling HC'!L61</f>
        <v>0.1595846894135296</v>
      </c>
      <c r="M58" s="102">
        <f>'Ethylene Recycling HC'!M61</f>
        <v>0.16563117824708543</v>
      </c>
      <c r="N58" s="102">
        <f>'Ethylene Recycling HC'!N61</f>
        <v>0.16692253311643898</v>
      </c>
      <c r="O58" s="102">
        <f>'Ethylene Recycling HC'!O61</f>
        <v>0.16821878010237309</v>
      </c>
      <c r="P58" s="102">
        <f>'Ethylene Recycling HC'!P61</f>
        <v>0.16951991920488768</v>
      </c>
      <c r="Q58" s="102">
        <f>'Ethylene Recycling HC'!Q61</f>
        <v>0.17082595042398291</v>
      </c>
      <c r="R58" s="102">
        <f>'Ethylene Recycling HC'!R61</f>
        <v>0.17213687375965872</v>
      </c>
      <c r="S58" s="102">
        <f>'Ethylene Recycling HC'!S61</f>
        <v>0.17345268921191506</v>
      </c>
      <c r="T58" s="102">
        <f>'Ethylene Recycling HC'!T61</f>
        <v>0.17477339678075199</v>
      </c>
      <c r="U58" s="102">
        <f>'Ethylene Recycling HC'!U61</f>
        <v>0.17609899646616939</v>
      </c>
      <c r="V58" s="102">
        <f>'Ethylene Recycling HC'!V61</f>
        <v>0.17742948826816746</v>
      </c>
      <c r="W58" s="102">
        <f>'Ethylene Recycling HC'!W61</f>
        <v>0.17876487218674605</v>
      </c>
      <c r="X58" s="102">
        <f>'Ethylene Recycling HC'!X61</f>
        <v>0.18013989933435393</v>
      </c>
      <c r="Y58" s="102">
        <f>'Ethylene Recycling HC'!Y61</f>
        <v>0.18152003874378847</v>
      </c>
      <c r="Z58" s="102">
        <f>'Ethylene Recycling HC'!Z61</f>
        <v>0.18290529041504974</v>
      </c>
      <c r="AA58" s="102">
        <f>'Ethylene Recycling HC'!AA61</f>
        <v>0.18429565434813766</v>
      </c>
      <c r="AB58" s="102">
        <f>'Ethylene Recycling HC'!AB61</f>
        <v>0.18569113054305231</v>
      </c>
      <c r="AC58" s="102">
        <f>'Ethylene Recycling HC'!AC61</f>
        <v>0.18709171899979363</v>
      </c>
      <c r="AD58" s="102">
        <f>'Ethylene Recycling HC'!AD61</f>
        <v>0.18849741971836162</v>
      </c>
      <c r="AE58" s="102">
        <f>'Ethylene Recycling HC'!AE61</f>
        <v>0.18990823269875631</v>
      </c>
      <c r="AF58" s="102">
        <f>'Ethylene Recycling HC'!AF61</f>
        <v>0.19132415794097768</v>
      </c>
      <c r="AG58" s="102">
        <f>'Ethylene Recycling HC'!AG61</f>
        <v>0.19274519544502577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1239</v>
      </c>
      <c r="C60" s="329">
        <f>('Overall recycling rates'!F84*'Yearly BTX'!D5+'Overall recycling rates'!G84*'Yearly BTX'!D6+'Overall recycling rates'!H84*'Yearly BTX'!D7)/'Yearly BTX'!D4</f>
        <v>4.046692996996252</v>
      </c>
      <c r="D60" s="329">
        <f>C60-($C60-$AG60)/($AG$1-$C$1)</f>
        <v>3.948469897096377</v>
      </c>
      <c r="E60" s="329">
        <f t="shared" ref="E60:AF60" si="26">D60-($C60-$AG60)/($AG$1-$C$1)</f>
        <v>3.850246797196502</v>
      </c>
      <c r="F60" s="329">
        <f t="shared" si="26"/>
        <v>3.752023697296627</v>
      </c>
      <c r="G60" s="329">
        <f t="shared" si="26"/>
        <v>3.653800597396752</v>
      </c>
      <c r="H60" s="329">
        <f t="shared" si="26"/>
        <v>3.555577497496877</v>
      </c>
      <c r="I60" s="329">
        <f t="shared" si="26"/>
        <v>3.457354397597002</v>
      </c>
      <c r="J60" s="329">
        <f t="shared" si="26"/>
        <v>3.359131297697127</v>
      </c>
      <c r="K60" s="329">
        <f t="shared" si="26"/>
        <v>3.2609081977972521</v>
      </c>
      <c r="L60" s="329">
        <f t="shared" si="26"/>
        <v>3.1626850978973771</v>
      </c>
      <c r="M60" s="329">
        <f t="shared" si="26"/>
        <v>3.0644619979975021</v>
      </c>
      <c r="N60" s="329">
        <f t="shared" si="26"/>
        <v>2.9662388980976271</v>
      </c>
      <c r="O60" s="329">
        <f t="shared" si="26"/>
        <v>2.8680157981977521</v>
      </c>
      <c r="P60" s="329">
        <f t="shared" si="26"/>
        <v>2.7697926982978771</v>
      </c>
      <c r="Q60" s="329">
        <f t="shared" si="26"/>
        <v>2.6715695983980021</v>
      </c>
      <c r="R60" s="329">
        <f t="shared" si="26"/>
        <v>2.5733464984981271</v>
      </c>
      <c r="S60" s="329">
        <f t="shared" si="26"/>
        <v>2.4751233985982521</v>
      </c>
      <c r="T60" s="329">
        <f t="shared" si="26"/>
        <v>2.3769002986983772</v>
      </c>
      <c r="U60" s="329">
        <f t="shared" si="26"/>
        <v>2.2786771987985022</v>
      </c>
      <c r="V60" s="329">
        <f t="shared" si="26"/>
        <v>2.1804540988986272</v>
      </c>
      <c r="W60" s="329">
        <f t="shared" si="26"/>
        <v>2.0822309989987522</v>
      </c>
      <c r="X60" s="329">
        <f t="shared" si="26"/>
        <v>1.9840078990988772</v>
      </c>
      <c r="Y60" s="329">
        <f t="shared" si="26"/>
        <v>1.8857847991990022</v>
      </c>
      <c r="Z60" s="329">
        <f t="shared" si="26"/>
        <v>1.7875616992991272</v>
      </c>
      <c r="AA60" s="329">
        <f t="shared" si="26"/>
        <v>1.6893385993992522</v>
      </c>
      <c r="AB60" s="329">
        <f t="shared" si="26"/>
        <v>1.5911154994993773</v>
      </c>
      <c r="AC60" s="329">
        <f t="shared" si="26"/>
        <v>1.4928923995995023</v>
      </c>
      <c r="AD60" s="329">
        <f t="shared" si="26"/>
        <v>1.3946692996996273</v>
      </c>
      <c r="AE60" s="329">
        <f t="shared" si="26"/>
        <v>1.2964461997997523</v>
      </c>
      <c r="AF60" s="329">
        <f t="shared" si="26"/>
        <v>1.1982230998998773</v>
      </c>
      <c r="AG60" s="329">
        <f>'Overall recycling rates'!G93</f>
        <v>1.1000000000000001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1240</v>
      </c>
      <c r="B61" s="50" t="s">
        <v>126</v>
      </c>
      <c r="C61" s="102">
        <f>C47*C$60</f>
        <v>0.33484959658243635</v>
      </c>
      <c r="D61" s="102">
        <f t="shared" ref="D61:AG62" si="27">D47*D$60</f>
        <v>0.35285973939544379</v>
      </c>
      <c r="E61" s="102">
        <f t="shared" si="27"/>
        <v>0.36956946370273469</v>
      </c>
      <c r="F61" s="102">
        <f t="shared" si="27"/>
        <v>0.38497876950430882</v>
      </c>
      <c r="G61" s="102">
        <f t="shared" si="27"/>
        <v>0.39908765680016639</v>
      </c>
      <c r="H61" s="102">
        <f t="shared" si="27"/>
        <v>0.41189612559030725</v>
      </c>
      <c r="I61" s="102">
        <f t="shared" si="27"/>
        <v>0.42340417587473139</v>
      </c>
      <c r="J61" s="102">
        <f t="shared" si="27"/>
        <v>0.43361180765343899</v>
      </c>
      <c r="K61" s="102">
        <f t="shared" si="27"/>
        <v>0.44251902092642992</v>
      </c>
      <c r="L61" s="102">
        <f t="shared" si="27"/>
        <v>0.45012581569370413</v>
      </c>
      <c r="M61" s="102">
        <f t="shared" si="27"/>
        <v>0.45643219195526175</v>
      </c>
      <c r="N61" s="102">
        <f t="shared" si="27"/>
        <v>0.46831063279190632</v>
      </c>
      <c r="O61" s="102">
        <f t="shared" si="27"/>
        <v>0.47843350864583345</v>
      </c>
      <c r="P61" s="102">
        <f t="shared" si="27"/>
        <v>0.48680081951704313</v>
      </c>
      <c r="Q61" s="102">
        <f t="shared" si="27"/>
        <v>0.49341256540553519</v>
      </c>
      <c r="R61" s="102">
        <f t="shared" si="27"/>
        <v>0.49826874631130991</v>
      </c>
      <c r="S61" s="102">
        <f t="shared" si="27"/>
        <v>0.50136936223436701</v>
      </c>
      <c r="T61" s="102">
        <f t="shared" si="27"/>
        <v>0.50271441317470678</v>
      </c>
      <c r="U61" s="102">
        <f t="shared" si="27"/>
        <v>0.50230389913232898</v>
      </c>
      <c r="V61" s="102">
        <f t="shared" si="27"/>
        <v>0.50013782010723373</v>
      </c>
      <c r="W61" s="102">
        <f t="shared" si="27"/>
        <v>0.49621617609942098</v>
      </c>
      <c r="X61" s="102">
        <f t="shared" si="27"/>
        <v>0.50117716157631242</v>
      </c>
      <c r="Y61" s="102">
        <f t="shared" si="27"/>
        <v>0.50332924308085591</v>
      </c>
      <c r="Z61" s="102">
        <f t="shared" si="27"/>
        <v>0.50267242061305151</v>
      </c>
      <c r="AA61" s="102">
        <f t="shared" si="27"/>
        <v>0.49920669417289903</v>
      </c>
      <c r="AB61" s="102">
        <f t="shared" si="27"/>
        <v>0.49293206376039861</v>
      </c>
      <c r="AC61" s="102">
        <f t="shared" si="27"/>
        <v>0.48384852937555023</v>
      </c>
      <c r="AD61" s="102">
        <f t="shared" si="27"/>
        <v>0.4719560910183539</v>
      </c>
      <c r="AE61" s="102">
        <f t="shared" si="27"/>
        <v>0.45725474868880955</v>
      </c>
      <c r="AF61" s="102">
        <f t="shared" si="27"/>
        <v>0.4397445023869172</v>
      </c>
      <c r="AG61" s="102">
        <f t="shared" si="27"/>
        <v>0.41942535211267612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1241</v>
      </c>
      <c r="B62" s="50" t="s">
        <v>126</v>
      </c>
      <c r="C62" s="102">
        <f>C48*C$60</f>
        <v>0.67682365266662681</v>
      </c>
      <c r="D62" s="102">
        <f t="shared" si="27"/>
        <v>0.69341526802000641</v>
      </c>
      <c r="E62" s="102">
        <f t="shared" si="27"/>
        <v>0.70836406744196223</v>
      </c>
      <c r="F62" s="102">
        <f t="shared" si="27"/>
        <v>0.72167005093249392</v>
      </c>
      <c r="G62" s="102">
        <f t="shared" si="27"/>
        <v>0.73333321849160171</v>
      </c>
      <c r="H62" s="102">
        <f t="shared" si="27"/>
        <v>0.7433535701192856</v>
      </c>
      <c r="I62" s="102">
        <f t="shared" si="27"/>
        <v>0.75173110581554536</v>
      </c>
      <c r="J62" s="102">
        <f t="shared" si="27"/>
        <v>0.75846582558038134</v>
      </c>
      <c r="K62" s="102">
        <f t="shared" si="27"/>
        <v>0.7635577294137933</v>
      </c>
      <c r="L62" s="102">
        <f t="shared" si="27"/>
        <v>0.76700681731578124</v>
      </c>
      <c r="M62" s="102">
        <f t="shared" si="27"/>
        <v>0.76881308928634529</v>
      </c>
      <c r="N62" s="102">
        <f t="shared" si="27"/>
        <v>0.74751961914140319</v>
      </c>
      <c r="O62" s="102">
        <f t="shared" si="27"/>
        <v>0.72600436884571895</v>
      </c>
      <c r="P62" s="102">
        <f t="shared" si="27"/>
        <v>0.70426733839929234</v>
      </c>
      <c r="Q62" s="102">
        <f t="shared" si="27"/>
        <v>0.68230852780212359</v>
      </c>
      <c r="R62" s="102">
        <f t="shared" si="27"/>
        <v>0.66012793705421258</v>
      </c>
      <c r="S62" s="102">
        <f t="shared" si="27"/>
        <v>0.63772556615555942</v>
      </c>
      <c r="T62" s="102">
        <f t="shared" si="27"/>
        <v>0.61510141510616401</v>
      </c>
      <c r="U62" s="102">
        <f t="shared" si="27"/>
        <v>0.59225548390602623</v>
      </c>
      <c r="V62" s="102">
        <f t="shared" si="27"/>
        <v>0.5691877725551463</v>
      </c>
      <c r="W62" s="102">
        <f t="shared" si="27"/>
        <v>0.54589828105352411</v>
      </c>
      <c r="X62" s="102">
        <f t="shared" si="27"/>
        <v>0.52248780346443158</v>
      </c>
      <c r="Y62" s="102">
        <f t="shared" si="27"/>
        <v>0.49884556561781324</v>
      </c>
      <c r="Z62" s="102">
        <f t="shared" si="27"/>
        <v>0.47497156751366937</v>
      </c>
      <c r="AA62" s="102">
        <f t="shared" si="27"/>
        <v>0.45086580915199981</v>
      </c>
      <c r="AB62" s="102">
        <f t="shared" si="27"/>
        <v>0.42652829053280467</v>
      </c>
      <c r="AC62" s="102">
        <f t="shared" si="27"/>
        <v>0.40195901165608389</v>
      </c>
      <c r="AD62" s="102">
        <f t="shared" si="27"/>
        <v>0.37715797252183741</v>
      </c>
      <c r="AE62" s="102">
        <f t="shared" si="27"/>
        <v>0.35212517313006536</v>
      </c>
      <c r="AF62" s="102">
        <f t="shared" si="27"/>
        <v>0.32686061348076761</v>
      </c>
      <c r="AG62" s="102">
        <f t="shared" si="27"/>
        <v>0.30136429357394368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1242</v>
      </c>
      <c r="B63" s="156" t="s">
        <v>126</v>
      </c>
      <c r="C63" s="102">
        <f>SUM(C61:C62)</f>
        <v>1.0116732492490632</v>
      </c>
      <c r="D63" s="102">
        <f t="shared" ref="D63:AG63" si="28">SUM(D61:D62)</f>
        <v>1.0462750074154501</v>
      </c>
      <c r="E63" s="102">
        <f t="shared" si="28"/>
        <v>1.0779335311446969</v>
      </c>
      <c r="F63" s="102">
        <f t="shared" si="28"/>
        <v>1.1066488204368028</v>
      </c>
      <c r="G63" s="102">
        <f t="shared" si="28"/>
        <v>1.1324208752917682</v>
      </c>
      <c r="H63" s="102">
        <f t="shared" si="28"/>
        <v>1.1552496957095928</v>
      </c>
      <c r="I63" s="102">
        <f t="shared" si="28"/>
        <v>1.1751352816902767</v>
      </c>
      <c r="J63" s="102">
        <f t="shared" si="28"/>
        <v>1.1920776332338203</v>
      </c>
      <c r="K63" s="102">
        <f t="shared" si="28"/>
        <v>1.2060767503402232</v>
      </c>
      <c r="L63" s="102">
        <f t="shared" si="28"/>
        <v>1.2171326330094854</v>
      </c>
      <c r="M63" s="102">
        <f t="shared" si="28"/>
        <v>1.225245281241607</v>
      </c>
      <c r="N63" s="102">
        <f t="shared" si="28"/>
        <v>1.2158302519333095</v>
      </c>
      <c r="O63" s="102">
        <f t="shared" si="28"/>
        <v>1.2044378774915523</v>
      </c>
      <c r="P63" s="102">
        <f t="shared" si="28"/>
        <v>1.1910681579163356</v>
      </c>
      <c r="Q63" s="102">
        <f t="shared" si="28"/>
        <v>1.1757210932076587</v>
      </c>
      <c r="R63" s="102">
        <f t="shared" si="28"/>
        <v>1.1583966833655226</v>
      </c>
      <c r="S63" s="102">
        <f t="shared" si="28"/>
        <v>1.1390949283899263</v>
      </c>
      <c r="T63" s="102">
        <f t="shared" si="28"/>
        <v>1.1178158282808708</v>
      </c>
      <c r="U63" s="102">
        <f t="shared" si="28"/>
        <v>1.0945593830383551</v>
      </c>
      <c r="V63" s="102">
        <f t="shared" si="28"/>
        <v>1.0693255926623801</v>
      </c>
      <c r="W63" s="102">
        <f t="shared" si="28"/>
        <v>1.042114457152945</v>
      </c>
      <c r="X63" s="102">
        <f t="shared" si="28"/>
        <v>1.0236649650407439</v>
      </c>
      <c r="Y63" s="102">
        <f t="shared" si="28"/>
        <v>1.002174808698669</v>
      </c>
      <c r="Z63" s="102">
        <f t="shared" si="28"/>
        <v>0.97764398812672093</v>
      </c>
      <c r="AA63" s="102">
        <f t="shared" si="28"/>
        <v>0.9500725033248989</v>
      </c>
      <c r="AB63" s="102">
        <f t="shared" si="28"/>
        <v>0.91946035429320327</v>
      </c>
      <c r="AC63" s="102">
        <f t="shared" si="28"/>
        <v>0.88580754103163417</v>
      </c>
      <c r="AD63" s="102">
        <f t="shared" si="28"/>
        <v>0.84911406354019126</v>
      </c>
      <c r="AE63" s="102">
        <f t="shared" si="28"/>
        <v>0.80937992181887486</v>
      </c>
      <c r="AF63" s="102">
        <f t="shared" si="28"/>
        <v>0.76660511586768476</v>
      </c>
      <c r="AG63" s="102">
        <f t="shared" si="28"/>
        <v>0.72078964568661985</v>
      </c>
      <c r="AI63" s="124"/>
      <c r="AJ63" s="185"/>
      <c r="AL63" s="100"/>
      <c r="AM63" s="2"/>
      <c r="AN63" s="2"/>
      <c r="AO63" s="2"/>
    </row>
    <row r="64" spans="1:63" outlineLevel="1">
      <c r="A64" t="s">
        <v>1243</v>
      </c>
      <c r="B64" s="50" t="s">
        <v>126</v>
      </c>
      <c r="C64" s="102">
        <f>C$60*C55</f>
        <v>7.7834280204555129E-2</v>
      </c>
      <c r="D64" s="102">
        <f t="shared" ref="D64:AG67" si="29">D$60*D55</f>
        <v>7.8239920461462206E-2</v>
      </c>
      <c r="E64" s="102">
        <f t="shared" si="29"/>
        <v>7.8391860470714003E-2</v>
      </c>
      <c r="F64" s="102">
        <f t="shared" si="29"/>
        <v>7.8300778429101936E-2</v>
      </c>
      <c r="G64" s="102">
        <f t="shared" si="29"/>
        <v>7.7977352533417435E-2</v>
      </c>
      <c r="H64" s="102">
        <f t="shared" si="29"/>
        <v>7.7432260980451986E-2</v>
      </c>
      <c r="I64" s="102">
        <f t="shared" si="29"/>
        <v>7.6676181966996937E-2</v>
      </c>
      <c r="J64" s="102">
        <f t="shared" si="29"/>
        <v>7.5719793689843773E-2</v>
      </c>
      <c r="K64" s="102">
        <f t="shared" si="29"/>
        <v>7.4573774345783925E-2</v>
      </c>
      <c r="L64" s="102">
        <f t="shared" si="29"/>
        <v>7.3248802131608795E-2</v>
      </c>
      <c r="M64" s="102">
        <f t="shared" si="29"/>
        <v>7.1755555244109856E-2</v>
      </c>
      <c r="N64" s="102">
        <f t="shared" si="29"/>
        <v>6.8148564274392434E-2</v>
      </c>
      <c r="O64" s="102">
        <f t="shared" si="29"/>
        <v>6.4614105739155867E-2</v>
      </c>
      <c r="P64" s="102">
        <f t="shared" si="29"/>
        <v>6.1153621194966978E-2</v>
      </c>
      <c r="Q64" s="102">
        <f t="shared" si="29"/>
        <v>5.7768552198392643E-2</v>
      </c>
      <c r="R64" s="102">
        <f t="shared" si="29"/>
        <v>5.4460340305999673E-2</v>
      </c>
      <c r="S64" s="102">
        <f t="shared" si="29"/>
        <v>5.1230427074354934E-2</v>
      </c>
      <c r="T64" s="102">
        <f t="shared" si="29"/>
        <v>4.8080254060025258E-2</v>
      </c>
      <c r="U64" s="102">
        <f t="shared" si="29"/>
        <v>4.5011262819577486E-2</v>
      </c>
      <c r="V64" s="102">
        <f t="shared" si="29"/>
        <v>4.2024894909578461E-2</v>
      </c>
      <c r="W64" s="102">
        <f t="shared" si="29"/>
        <v>3.9122591886595046E-2</v>
      </c>
      <c r="X64" s="102">
        <f t="shared" si="29"/>
        <v>3.6312800474940329E-2</v>
      </c>
      <c r="Y64" s="102">
        <f t="shared" si="29"/>
        <v>3.358884830140043E-2</v>
      </c>
      <c r="Z64" s="102">
        <f t="shared" si="29"/>
        <v>3.0952241792587723E-2</v>
      </c>
      <c r="AA64" s="102">
        <f t="shared" si="29"/>
        <v>2.8404487375114536E-2</v>
      </c>
      <c r="AB64" s="102">
        <f t="shared" si="29"/>
        <v>2.5947091475593237E-2</v>
      </c>
      <c r="AC64" s="102">
        <f t="shared" si="29"/>
        <v>2.3581560520636168E-2</v>
      </c>
      <c r="AD64" s="102">
        <f t="shared" si="29"/>
        <v>2.1309400936855679E-2</v>
      </c>
      <c r="AE64" s="102">
        <f t="shared" si="29"/>
        <v>1.913211915086413E-2</v>
      </c>
      <c r="AF64" s="102">
        <f t="shared" si="29"/>
        <v>1.7051221589273864E-2</v>
      </c>
      <c r="AG64" s="102">
        <f t="shared" si="29"/>
        <v>1.5068214678697185E-2</v>
      </c>
      <c r="AI64" s="124"/>
      <c r="AJ64" s="185"/>
      <c r="AL64" s="100"/>
      <c r="AM64" s="2"/>
      <c r="AN64" s="2"/>
      <c r="AO64" s="2"/>
    </row>
    <row r="65" spans="1:63" outlineLevel="1">
      <c r="A65" t="s">
        <v>1244</v>
      </c>
      <c r="B65" s="50" t="s">
        <v>126</v>
      </c>
      <c r="C65" s="102">
        <f t="shared" ref="C65:R67" si="30">C$60*C56</f>
        <v>9.334502781940833E-2</v>
      </c>
      <c r="D65" s="102">
        <f t="shared" si="30"/>
        <v>9.5633282360496299E-2</v>
      </c>
      <c r="E65" s="102">
        <f t="shared" si="30"/>
        <v>9.7694965773024015E-2</v>
      </c>
      <c r="F65" s="102">
        <f t="shared" si="30"/>
        <v>9.9530078056991517E-2</v>
      </c>
      <c r="G65" s="102">
        <f t="shared" si="30"/>
        <v>0.10113861921239876</v>
      </c>
      <c r="H65" s="102">
        <f t="shared" si="30"/>
        <v>0.10252058923924581</v>
      </c>
      <c r="I65" s="102">
        <f t="shared" si="30"/>
        <v>0.10367598813753258</v>
      </c>
      <c r="J65" s="102">
        <f t="shared" si="30"/>
        <v>0.10460481590725915</v>
      </c>
      <c r="K65" s="102">
        <f t="shared" si="30"/>
        <v>0.10530707254842547</v>
      </c>
      <c r="L65" s="102">
        <f t="shared" si="30"/>
        <v>0.10578275806103157</v>
      </c>
      <c r="M65" s="102">
        <f t="shared" si="30"/>
        <v>0.10603187244507743</v>
      </c>
      <c r="N65" s="102">
        <f t="shared" si="30"/>
        <v>0.10309515539149897</v>
      </c>
      <c r="O65" s="102">
        <f t="shared" si="30"/>
        <v>0.10012785123556486</v>
      </c>
      <c r="P65" s="102">
        <f t="shared" si="30"/>
        <v>9.712995997727511E-2</v>
      </c>
      <c r="Q65" s="102">
        <f t="shared" si="30"/>
        <v>9.4101481616629734E-2</v>
      </c>
      <c r="R65" s="102">
        <f t="shared" si="30"/>
        <v>9.1042416153628736E-2</v>
      </c>
      <c r="S65" s="102">
        <f t="shared" si="29"/>
        <v>8.7952763588272115E-2</v>
      </c>
      <c r="T65" s="102">
        <f t="shared" si="29"/>
        <v>8.4832523920559844E-2</v>
      </c>
      <c r="U65" s="102">
        <f t="shared" si="29"/>
        <v>8.1681697150491936E-2</v>
      </c>
      <c r="V65" s="102">
        <f t="shared" si="29"/>
        <v>7.8500283278068433E-2</v>
      </c>
      <c r="W65" s="102">
        <f t="shared" si="29"/>
        <v>7.5288282303289267E-2</v>
      </c>
      <c r="X65" s="102">
        <f t="shared" si="29"/>
        <v>7.2059595372491583E-2</v>
      </c>
      <c r="Y65" s="102">
        <f t="shared" si="29"/>
        <v>6.8798944919732263E-2</v>
      </c>
      <c r="Z65" s="102">
        <f t="shared" si="29"/>
        <v>6.5506330945011321E-2</v>
      </c>
      <c r="AA65" s="102">
        <f t="shared" si="29"/>
        <v>6.2181753448328735E-2</v>
      </c>
      <c r="AB65" s="102">
        <f t="shared" si="29"/>
        <v>5.8825212429684526E-2</v>
      </c>
      <c r="AC65" s="102">
        <f t="shared" si="29"/>
        <v>5.5436707889078667E-2</v>
      </c>
      <c r="AD65" s="102">
        <f t="shared" si="29"/>
        <v>5.2016239826511171E-2</v>
      </c>
      <c r="AE65" s="102">
        <f t="shared" si="29"/>
        <v>4.8563808241982052E-2</v>
      </c>
      <c r="AF65" s="102">
        <f t="shared" si="29"/>
        <v>4.5079413135491291E-2</v>
      </c>
      <c r="AG65" s="102">
        <f t="shared" si="29"/>
        <v>4.1563054507038816E-2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1245</v>
      </c>
      <c r="C66" s="102">
        <f t="shared" si="30"/>
        <v>7.3469691101925444E-2</v>
      </c>
      <c r="D66" s="102">
        <f t="shared" si="29"/>
        <v>7.5270722803598533E-2</v>
      </c>
      <c r="E66" s="102">
        <f t="shared" si="29"/>
        <v>7.6893425662088455E-2</v>
      </c>
      <c r="F66" s="102">
        <f t="shared" si="29"/>
        <v>7.8337799677395223E-2</v>
      </c>
      <c r="G66" s="102">
        <f t="shared" si="29"/>
        <v>7.9603844849518823E-2</v>
      </c>
      <c r="H66" s="102">
        <f t="shared" si="29"/>
        <v>8.0691561178459284E-2</v>
      </c>
      <c r="I66" s="102">
        <f t="shared" si="29"/>
        <v>8.1600948664216549E-2</v>
      </c>
      <c r="J66" s="102">
        <f t="shared" si="29"/>
        <v>8.2332007306790675E-2</v>
      </c>
      <c r="K66" s="102">
        <f t="shared" si="29"/>
        <v>8.2884737106181647E-2</v>
      </c>
      <c r="L66" s="102">
        <f t="shared" si="29"/>
        <v>8.3259138062389465E-2</v>
      </c>
      <c r="M66" s="102">
        <f t="shared" si="29"/>
        <v>8.3455210175414102E-2</v>
      </c>
      <c r="N66" s="102">
        <f t="shared" si="29"/>
        <v>8.1143788776541201E-2</v>
      </c>
      <c r="O66" s="102">
        <f t="shared" si="29"/>
        <v>7.8808292983838568E-2</v>
      </c>
      <c r="P66" s="102">
        <f t="shared" si="29"/>
        <v>7.644872279730619E-2</v>
      </c>
      <c r="Q66" s="102">
        <f t="shared" si="29"/>
        <v>7.4065078216944122E-2</v>
      </c>
      <c r="R66" s="102">
        <f t="shared" si="29"/>
        <v>7.1657359242752308E-2</v>
      </c>
      <c r="S66" s="102">
        <f t="shared" si="29"/>
        <v>6.9225565874730763E-2</v>
      </c>
      <c r="T66" s="102">
        <f t="shared" si="29"/>
        <v>6.6769698112879514E-2</v>
      </c>
      <c r="U66" s="102">
        <f t="shared" si="29"/>
        <v>6.4289755957198505E-2</v>
      </c>
      <c r="V66" s="102">
        <f t="shared" si="29"/>
        <v>6.1785739407687786E-2</v>
      </c>
      <c r="W66" s="102">
        <f t="shared" si="29"/>
        <v>5.9257648464347348E-2</v>
      </c>
      <c r="X66" s="102">
        <f t="shared" si="29"/>
        <v>5.671642439476484E-2</v>
      </c>
      <c r="Y66" s="102">
        <f t="shared" si="29"/>
        <v>5.4150042583630258E-2</v>
      </c>
      <c r="Z66" s="102">
        <f t="shared" si="29"/>
        <v>5.1558503030943635E-2</v>
      </c>
      <c r="AA66" s="102">
        <f t="shared" si="29"/>
        <v>4.8941805736704924E-2</v>
      </c>
      <c r="AB66" s="102">
        <f t="shared" si="29"/>
        <v>4.6299950700914159E-2</v>
      </c>
      <c r="AC66" s="102">
        <f t="shared" si="29"/>
        <v>4.3632937923571334E-2</v>
      </c>
      <c r="AD66" s="102">
        <f t="shared" si="29"/>
        <v>4.0940767404676434E-2</v>
      </c>
      <c r="AE66" s="102">
        <f t="shared" si="29"/>
        <v>3.822343914422948E-2</v>
      </c>
      <c r="AF66" s="102">
        <f t="shared" si="29"/>
        <v>3.5480953142230452E-2</v>
      </c>
      <c r="AG66" s="102">
        <f t="shared" si="29"/>
        <v>3.2713309398679301E-2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1246</v>
      </c>
      <c r="B67" s="50" t="s">
        <v>126</v>
      </c>
      <c r="C67" s="102">
        <f t="shared" si="30"/>
        <v>0.43217465354073786</v>
      </c>
      <c r="D67" s="102">
        <f t="shared" si="29"/>
        <v>0.44427134239444949</v>
      </c>
      <c r="E67" s="102">
        <f t="shared" si="29"/>
        <v>0.45538381553613572</v>
      </c>
      <c r="F67" s="102">
        <f t="shared" si="29"/>
        <v>0.46550139476900526</v>
      </c>
      <c r="G67" s="102">
        <f t="shared" si="29"/>
        <v>0.47461340189626666</v>
      </c>
      <c r="H67" s="102">
        <f t="shared" si="29"/>
        <v>0.48270915872112846</v>
      </c>
      <c r="I67" s="102">
        <f t="shared" si="29"/>
        <v>0.48977798704679926</v>
      </c>
      <c r="J67" s="102">
        <f t="shared" si="29"/>
        <v>0.49580920867648764</v>
      </c>
      <c r="K67" s="102">
        <f t="shared" si="29"/>
        <v>0.50079214541340222</v>
      </c>
      <c r="L67" s="102">
        <f t="shared" si="29"/>
        <v>0.50471611906075142</v>
      </c>
      <c r="M67" s="102">
        <f t="shared" si="29"/>
        <v>0.50757045142174384</v>
      </c>
      <c r="N67" s="102">
        <f t="shared" si="29"/>
        <v>0.49513211069897062</v>
      </c>
      <c r="O67" s="102">
        <f t="shared" si="29"/>
        <v>0.48245411888715972</v>
      </c>
      <c r="P67" s="102">
        <f t="shared" si="29"/>
        <v>0.46953503442974398</v>
      </c>
      <c r="Q67" s="102">
        <f t="shared" si="29"/>
        <v>0.45637341577015705</v>
      </c>
      <c r="R67" s="102">
        <f t="shared" si="29"/>
        <v>0.44296782135183194</v>
      </c>
      <c r="S67" s="102">
        <f t="shared" si="29"/>
        <v>0.42931680961820157</v>
      </c>
      <c r="T67" s="102">
        <f t="shared" si="29"/>
        <v>0.41541893901269938</v>
      </c>
      <c r="U67" s="102">
        <f t="shared" si="29"/>
        <v>0.40127276797875822</v>
      </c>
      <c r="V67" s="102">
        <f t="shared" si="29"/>
        <v>0.38687685495981161</v>
      </c>
      <c r="W67" s="102">
        <f t="shared" si="29"/>
        <v>0.37222975839929251</v>
      </c>
      <c r="X67" s="102">
        <f t="shared" si="29"/>
        <v>0.35739898322223473</v>
      </c>
      <c r="Y67" s="102">
        <f t="shared" si="29"/>
        <v>0.34230772981305024</v>
      </c>
      <c r="Z67" s="102">
        <f t="shared" si="29"/>
        <v>0.3269544917451267</v>
      </c>
      <c r="AA67" s="102">
        <f t="shared" si="29"/>
        <v>0.31133776259185159</v>
      </c>
      <c r="AB67" s="102">
        <f t="shared" si="29"/>
        <v>0.29545603592661274</v>
      </c>
      <c r="AC67" s="102">
        <f t="shared" si="29"/>
        <v>0.2793078053227977</v>
      </c>
      <c r="AD67" s="102">
        <f t="shared" si="29"/>
        <v>0.26289156435379413</v>
      </c>
      <c r="AE67" s="102">
        <f t="shared" si="29"/>
        <v>0.24620580659298968</v>
      </c>
      <c r="AF67" s="102">
        <f t="shared" si="29"/>
        <v>0.229249025613772</v>
      </c>
      <c r="AG67" s="102">
        <f t="shared" si="29"/>
        <v>0.21201971498952837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'BTX Recycling HC'!C69</f>
        <v>194041.07367195841</v>
      </c>
      <c r="D69" s="250">
        <f>'BTX Recycling HC'!D69</f>
        <v>201554.9785311064</v>
      </c>
      <c r="E69" s="250">
        <f>'BTX Recycling HC'!E69</f>
        <v>207235.15690734072</v>
      </c>
      <c r="F69" s="250">
        <f>'BTX Recycling HC'!F69</f>
        <v>212290.9448182738</v>
      </c>
      <c r="G69" s="250">
        <f>'BTX Recycling HC'!G69</f>
        <v>216370.07845754427</v>
      </c>
      <c r="H69" s="250">
        <f>'BTX Recycling HC'!H69</f>
        <v>219510.31022776788</v>
      </c>
      <c r="I69" s="250">
        <f>'BTX Recycling HC'!I69</f>
        <v>221749.08750174084</v>
      </c>
      <c r="J69" s="250">
        <f>'BTX Recycling HC'!J69</f>
        <v>223123.55425396052</v>
      </c>
      <c r="K69" s="250">
        <f>'BTX Recycling HC'!K69</f>
        <v>223670.55268505792</v>
      </c>
      <c r="L69" s="250">
        <f>'BTX Recycling HC'!L69</f>
        <v>223426.62483916708</v>
      </c>
      <c r="M69" s="250">
        <f>'BTX Recycling HC'!M69</f>
        <v>222428.01421426077</v>
      </c>
      <c r="N69" s="250">
        <f>'BTX Recycling HC'!N69</f>
        <v>221609.19161475639</v>
      </c>
      <c r="O69" s="250">
        <f>'BTX Recycling HC'!O69</f>
        <v>219677.86815551572</v>
      </c>
      <c r="P69" s="250">
        <f>'BTX Recycling HC'!P69</f>
        <v>216709.76057822577</v>
      </c>
      <c r="Q69" s="250">
        <f>'BTX Recycling HC'!Q69</f>
        <v>212779.94958292082</v>
      </c>
      <c r="R69" s="250">
        <f>'BTX Recycling HC'!R69</f>
        <v>207962.88327833274</v>
      </c>
      <c r="S69" s="250">
        <f>'BTX Recycling HC'!S69</f>
        <v>202332.3806171403</v>
      </c>
      <c r="T69" s="250">
        <f>'BTX Recycling HC'!T69</f>
        <v>195961.63481617506</v>
      </c>
      <c r="U69" s="250">
        <f>'BTX Recycling HC'!U69</f>
        <v>188923.21676164088</v>
      </c>
      <c r="V69" s="250">
        <f>'BTX Recycling HC'!V69</f>
        <v>181289.07839940672</v>
      </c>
      <c r="W69" s="250">
        <f>'BTX Recycling HC'!W69</f>
        <v>173130.5561104271</v>
      </c>
      <c r="X69" s="250">
        <f>'BTX Recycling HC'!X69</f>
        <v>169865.88318223035</v>
      </c>
      <c r="Y69" s="250">
        <f>'BTX Recycling HC'!Y69</f>
        <v>165599.57210481705</v>
      </c>
      <c r="Z69" s="250">
        <f>'BTX Recycling HC'!Z69</f>
        <v>160415.4647061635</v>
      </c>
      <c r="AA69" s="250">
        <f>'BTX Recycling HC'!AA69</f>
        <v>154396.69189041285</v>
      </c>
      <c r="AB69" s="250">
        <f>'BTX Recycling HC'!AB69</f>
        <v>147625.67750716521</v>
      </c>
      <c r="AC69" s="250">
        <f>'BTX Recycling HC'!AC69</f>
        <v>140184.14220380373</v>
      </c>
      <c r="AD69" s="250">
        <f>'BTX Recycling HC'!AD69</f>
        <v>132153.10726092267</v>
      </c>
      <c r="AE69" s="250">
        <f>'BTX Recycling HC'!AE69</f>
        <v>123612.89841092192</v>
      </c>
      <c r="AF69" s="250">
        <f>'BTX Recycling HC'!AF69</f>
        <v>114643.14963983365</v>
      </c>
      <c r="AG69" s="250">
        <f>'BTX Recycling HC'!AG69</f>
        <v>105322.8069724439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outlineLevel="1">
      <c r="A70" s="4" t="s">
        <v>35</v>
      </c>
      <c r="C70" s="203">
        <f>C$69*'BTX recycling rates'!E38</f>
        <v>163907.83519179781</v>
      </c>
      <c r="D70" s="203">
        <f>D$69*'BTX recycling rates'!F38</f>
        <v>167109.83173686068</v>
      </c>
      <c r="E70" s="203">
        <f>E$69*'BTX recycling rates'!G38</f>
        <v>168585.60058745989</v>
      </c>
      <c r="F70" s="203">
        <f>F$69*'BTX recycling rates'!H38</f>
        <v>169385.90507542784</v>
      </c>
      <c r="G70" s="203">
        <f>G$69*'BTX recycling rates'!I38</f>
        <v>169264.40118134316</v>
      </c>
      <c r="H70" s="203">
        <f>H$69*'BTX recycling rates'!J38</f>
        <v>168295.75213965552</v>
      </c>
      <c r="I70" s="203">
        <f>I$69*'BTX recycling rates'!K38</f>
        <v>166552.03573786246</v>
      </c>
      <c r="J70" s="203">
        <f>J$69*'BTX recycling rates'!L38</f>
        <v>164102.76931478659</v>
      </c>
      <c r="K70" s="203">
        <f>K$69*'BTX recycling rates'!M38</f>
        <v>161014.93460100118</v>
      </c>
      <c r="L70" s="203">
        <f>L$69*'BTX recycling rates'!N38</f>
        <v>157353.00240219652</v>
      </c>
      <c r="M70" s="203">
        <f>M$69*'BTX recycling rates'!O38</f>
        <v>153178.9571262782</v>
      </c>
      <c r="N70" s="203">
        <f>N$69*'BTX recycling rates'!P38</f>
        <v>149157.08514051023</v>
      </c>
      <c r="O70" s="203">
        <f>O$69*'BTX recycling rates'!Q38</f>
        <v>144429.34239719887</v>
      </c>
      <c r="P70" s="203">
        <f>P$69*'BTX recycling rates'!R38</f>
        <v>139096.40629589077</v>
      </c>
      <c r="Q70" s="203">
        <f>Q$69*'BTX recycling rates'!S38</f>
        <v>133253.82999742209</v>
      </c>
      <c r="R70" s="203">
        <f>R$69*'BTX recycling rates'!T38</f>
        <v>126992.09415463058</v>
      </c>
      <c r="S70" s="203">
        <f>S$69*'BTX recycling rates'!U38</f>
        <v>120396.65831104782</v>
      </c>
      <c r="T70" s="203">
        <f>T$69*'BTX recycling rates'!V38</f>
        <v>113548.01196925428</v>
      </c>
      <c r="U70" s="203">
        <f>U$69*'BTX recycling rates'!W38</f>
        <v>106521.72533057228</v>
      </c>
      <c r="V70" s="203">
        <f>V$69*'BTX recycling rates'!X38</f>
        <v>99388.499707767056</v>
      </c>
      <c r="W70" s="203">
        <f>W$69*'BTX recycling rates'!Y38</f>
        <v>92214.217612414621</v>
      </c>
      <c r="X70" s="203">
        <f>X$69*'BTX recycling rates'!Z38</f>
        <v>87824.784521504538</v>
      </c>
      <c r="Y70" s="203">
        <f>Y$69*'BTX recycling rates'!AA38</f>
        <v>83034.993181181708</v>
      </c>
      <c r="Z70" s="203">
        <f>Z$69*'BTX recycling rates'!AB38</f>
        <v>77932.46381640654</v>
      </c>
      <c r="AA70" s="203">
        <f>AA$69*'BTX recycling rates'!AC38</f>
        <v>72599.249317146183</v>
      </c>
      <c r="AB70" s="203">
        <f>AB$69*'BTX recycling rates'!AD38</f>
        <v>67111.892463433382</v>
      </c>
      <c r="AC70" s="203">
        <f>AC$69*'BTX recycling rates'!AE38</f>
        <v>61541.482780721053</v>
      </c>
      <c r="AD70" s="203">
        <f>AD$69*'BTX recycling rates'!AF38</f>
        <v>55953.713027413578</v>
      </c>
      <c r="AE70" s="203">
        <f>AE$69*'BTX recycling rates'!AG38</f>
        <v>50408.935316446776</v>
      </c>
      <c r="AF70" s="203">
        <f>AF$69*'BTX recycling rates'!AH38</f>
        <v>44962.216872781122</v>
      </c>
      <c r="AG70" s="203">
        <f>AG$69*'BTX recycling rates'!AI38</f>
        <v>39663.395428663309</v>
      </c>
      <c r="AH70" s="217"/>
      <c r="AI70" s="124"/>
      <c r="AJ70" s="185"/>
      <c r="AL70" s="100"/>
      <c r="AM70" s="2"/>
      <c r="AN70" s="2"/>
      <c r="AO70" s="2"/>
      <c r="BC70" s="1"/>
      <c r="BD70" s="2"/>
      <c r="BE70" s="2"/>
      <c r="BF70" s="2"/>
      <c r="BG70" s="2"/>
      <c r="BH70" s="2"/>
      <c r="BI70" s="2"/>
      <c r="BJ70" s="2"/>
      <c r="BK70" s="2"/>
    </row>
    <row r="71" spans="1:63" outlineLevel="1">
      <c r="A71" s="4" t="s">
        <v>74</v>
      </c>
      <c r="C71" s="203">
        <f>C$69*'BTX recycling rates'!E39</f>
        <v>30133.238480160624</v>
      </c>
      <c r="D71" s="203">
        <f>D$69*'BTX recycling rates'!F39</f>
        <v>33846.104781991497</v>
      </c>
      <c r="E71" s="203">
        <f>E$69*'BTX recycling rates'!G39</f>
        <v>37417.708153109415</v>
      </c>
      <c r="F71" s="203">
        <f>F$69*'BTX recycling rates'!H39</f>
        <v>41012.188536280475</v>
      </c>
      <c r="G71" s="203">
        <f>G$69*'BTX recycling rates'!I39</f>
        <v>44533.381257806039</v>
      </c>
      <c r="H71" s="203">
        <f>H$69*'BTX recycling rates'!J39</f>
        <v>47952.522615019254</v>
      </c>
      <c r="I71" s="203">
        <f>I$69*'BTX recycling rates'!K39</f>
        <v>51242.68594585656</v>
      </c>
      <c r="J71" s="203">
        <f>J$69*'BTX recycling rates'!L39</f>
        <v>54378.762761056903</v>
      </c>
      <c r="K71" s="203">
        <f>K$69*'BTX recycling rates'!M39</f>
        <v>57337.443998198578</v>
      </c>
      <c r="L71" s="203">
        <f>L$69*'BTX recycling rates'!N39</f>
        <v>60097.201396953533</v>
      </c>
      <c r="M71" s="203">
        <f>M$69*'BTX recycling rates'!O39</f>
        <v>62638.268994942977</v>
      </c>
      <c r="N71" s="203">
        <f>N$69*'BTX recycling rates'!P39</f>
        <v>65207.009441611946</v>
      </c>
      <c r="O71" s="203">
        <f>O$69*'BTX recycling rates'!Q39</f>
        <v>67413.664631294145</v>
      </c>
      <c r="P71" s="203">
        <f>P$69*'BTX recycling rates'!R39</f>
        <v>69240.267812459089</v>
      </c>
      <c r="Q71" s="203">
        <f>Q$69*'BTX recycling rates'!S39</f>
        <v>70672.466744362071</v>
      </c>
      <c r="R71" s="203">
        <f>R$69*'BTX recycling rates'!T39</f>
        <v>71699.484714764709</v>
      </c>
      <c r="S71" s="203">
        <f>S$69*'BTX recycling rates'!U39</f>
        <v>72314.081813763594</v>
      </c>
      <c r="T71" s="203">
        <f>T$69*'BTX recycling rates'!V39</f>
        <v>72512.51646241355</v>
      </c>
      <c r="U71" s="203">
        <f>U$69*'BTX recycling rates'!W39</f>
        <v>72294.507194836842</v>
      </c>
      <c r="V71" s="203">
        <f>V$69*'BTX recycling rates'!X39</f>
        <v>71663.194692516801</v>
      </c>
      <c r="W71" s="203">
        <f>W$69*'BTX recycling rates'!Y39</f>
        <v>70625.104069478388</v>
      </c>
      <c r="X71" s="203">
        <f>X$69*'BTX recycling rates'!Z39</f>
        <v>71439.064290031107</v>
      </c>
      <c r="Y71" s="203">
        <f>Y$69*'BTX recycling rates'!AA39</f>
        <v>71736.643857225281</v>
      </c>
      <c r="Z71" s="203">
        <f>Z$69*'BTX recycling rates'!AB39</f>
        <v>71517.263997937291</v>
      </c>
      <c r="AA71" s="203">
        <f>AA$69*'BTX recycling rates'!AC39</f>
        <v>70784.256314769897</v>
      </c>
      <c r="AB71" s="203">
        <f>AB$69*'BTX recycling rates'!AD39</f>
        <v>69544.819707477232</v>
      </c>
      <c r="AC71" s="203">
        <f>AC$69*'BTX recycling rates'!AE39</f>
        <v>67809.977579441125</v>
      </c>
      <c r="AD71" s="203">
        <f>AD$69*'BTX recycling rates'!AF39</f>
        <v>65594.535327731806</v>
      </c>
      <c r="AE71" s="203">
        <f>AE$69*'BTX recycling rates'!AG39</f>
        <v>62917.038115291507</v>
      </c>
      <c r="AF71" s="203">
        <f>AF$69*'BTX recycling rates'!AH39</f>
        <v>59799.728923786686</v>
      </c>
      <c r="AG71" s="203">
        <f>AG$69*'BTX recycling rates'!AI39</f>
        <v>56268.506885679883</v>
      </c>
      <c r="AH71" s="217"/>
      <c r="AI71" s="124"/>
      <c r="AJ71" s="185"/>
      <c r="AL71" s="100"/>
      <c r="AM71" s="2"/>
      <c r="AN71" s="2"/>
      <c r="AO71" s="2"/>
      <c r="BC71" s="1"/>
      <c r="BD71" s="2"/>
      <c r="BE71" s="2"/>
      <c r="BF71" s="2"/>
      <c r="BG71" s="2"/>
      <c r="BH71" s="2"/>
      <c r="BI71" s="2"/>
      <c r="BJ71" s="2"/>
      <c r="BK71" s="2"/>
    </row>
    <row r="72" spans="1:63" outlineLevel="1">
      <c r="A72" s="4" t="s">
        <v>160</v>
      </c>
      <c r="C72" s="203">
        <f>C$69*'BTX recycling rates'!E40</f>
        <v>0</v>
      </c>
      <c r="D72" s="203">
        <f>D$69*'BTX recycling rates'!F40</f>
        <v>194.94661881700893</v>
      </c>
      <c r="E72" s="203">
        <f>E$69*'BTX recycling rates'!G40</f>
        <v>400.88112368669073</v>
      </c>
      <c r="F72" s="203">
        <f>F$69*'BTX recycling rates'!H40</f>
        <v>615.9917586665357</v>
      </c>
      <c r="G72" s="203">
        <f>G$69*'BTX recycling rates'!I40</f>
        <v>837.1039111189084</v>
      </c>
      <c r="H72" s="203">
        <f>H$69*'BTX recycling rates'!J40</f>
        <v>1061.5662556747943</v>
      </c>
      <c r="I72" s="203">
        <f>I$69*'BTX recycling rates'!K40</f>
        <v>1286.8717552679977</v>
      </c>
      <c r="J72" s="203">
        <f>J$69*'BTX recycling rates'!L40</f>
        <v>1510.6561970371285</v>
      </c>
      <c r="K72" s="203">
        <f>K$69*'BTX recycling rates'!M40</f>
        <v>1730.69673764091</v>
      </c>
      <c r="L72" s="203">
        <f>L$69*'BTX recycling rates'!N40</f>
        <v>1944.91045793904</v>
      </c>
      <c r="M72" s="203">
        <f>M$69*'BTX recycling rates'!O40</f>
        <v>2151.3529269910659</v>
      </c>
      <c r="N72" s="203">
        <f>N$69*'BTX recycling rates'!P40</f>
        <v>2357.7764841536741</v>
      </c>
      <c r="O72" s="203">
        <f>O$69*'BTX recycling rates'!Q40</f>
        <v>2549.7037843242624</v>
      </c>
      <c r="P72" s="203">
        <f>P$69*'BTX recycling rates'!R40</f>
        <v>2724.8587961672783</v>
      </c>
      <c r="Q72" s="203">
        <f>Q$69*'BTX recycling rates'!S40</f>
        <v>2881.2498126201881</v>
      </c>
      <c r="R72" s="203">
        <f>R$69*'BTX recycling rates'!T40</f>
        <v>3017.1664250126937</v>
      </c>
      <c r="S72" s="203">
        <f>S$69*'BTX recycling rates'!U40</f>
        <v>3131.1765169756</v>
      </c>
      <c r="T72" s="203">
        <f>T$69*'BTX recycling rates'!V40</f>
        <v>3222.1232780380387</v>
      </c>
      <c r="U72" s="203">
        <f>U$69*'BTX recycling rates'!W40</f>
        <v>3289.1222368121889</v>
      </c>
      <c r="V72" s="203">
        <f>V$69*'BTX recycling rates'!X40</f>
        <v>3331.5583136651262</v>
      </c>
      <c r="W72" s="203">
        <f>W$69*'BTX recycling rates'!Y40</f>
        <v>3349.0828927777943</v>
      </c>
      <c r="X72" s="203">
        <f>X$69*'BTX recycling rates'!Z40</f>
        <v>3450.2267134335912</v>
      </c>
      <c r="Y72" s="203">
        <f>Y$69*'BTX recycling rates'!AA40</f>
        <v>3523.7417189210996</v>
      </c>
      <c r="Z72" s="203">
        <f>Z$69*'BTX recycling rates'!AB40</f>
        <v>3568.5866536349913</v>
      </c>
      <c r="AA72" s="203">
        <f>AA$69*'BTX recycling rates'!AC40</f>
        <v>3584.02813087613</v>
      </c>
      <c r="AB72" s="203">
        <f>AB$69*'BTX recycling rates'!AD40</f>
        <v>3569.6372883379913</v>
      </c>
      <c r="AC72" s="203">
        <f>AC$69*'BTX recycling rates'!AE40</f>
        <v>3525.2864656210559</v>
      </c>
      <c r="AD72" s="203">
        <f>AD$69*'BTX recycling rates'!AF40</f>
        <v>3451.1459036620313</v>
      </c>
      <c r="AE72" s="203">
        <f>AE$69*'BTX recycling rates'!AG40</f>
        <v>3347.6804659652498</v>
      </c>
      <c r="AF72" s="203">
        <f>AF$69*'BTX recycling rates'!AH40</f>
        <v>3215.6463815241059</v>
      </c>
      <c r="AG72" s="203">
        <f>AG$69*'BTX recycling rates'!AI40</f>
        <v>3056.0880093208366</v>
      </c>
      <c r="AH72" s="217"/>
      <c r="AI72" s="124"/>
      <c r="AJ72" s="185"/>
      <c r="AL72" s="100"/>
      <c r="AM72" s="2"/>
      <c r="AN72" s="2"/>
      <c r="AO72" s="2"/>
      <c r="BC72" s="1"/>
      <c r="BD72" s="2"/>
      <c r="BE72" s="2"/>
      <c r="BF72" s="2"/>
      <c r="BG72" s="2"/>
      <c r="BH72" s="2"/>
      <c r="BI72" s="2"/>
      <c r="BJ72" s="2"/>
      <c r="BK72" s="2"/>
    </row>
    <row r="73" spans="1:63" outlineLevel="1">
      <c r="A73" s="4" t="s">
        <v>1040</v>
      </c>
      <c r="C73" s="203">
        <f>C$69*'BTX recycling rates'!E41</f>
        <v>0</v>
      </c>
      <c r="D73" s="203">
        <f>D$69*'BTX recycling rates'!F41</f>
        <v>404.09539343723969</v>
      </c>
      <c r="E73" s="203">
        <f>E$69*'BTX recycling rates'!G41</f>
        <v>830.96704308473079</v>
      </c>
      <c r="F73" s="203">
        <f>F$69*'BTX recycling rates'!H41</f>
        <v>1276.8594478989394</v>
      </c>
      <c r="G73" s="203">
        <f>G$69*'BTX recycling rates'!I41</f>
        <v>1735.1921072761568</v>
      </c>
      <c r="H73" s="203">
        <f>H$69*'BTX recycling rates'!J41</f>
        <v>2200.4692174182801</v>
      </c>
      <c r="I73" s="203">
        <f>I$69*'BTX recycling rates'!K41</f>
        <v>2667.4940627537658</v>
      </c>
      <c r="J73" s="203">
        <f>J$69*'BTX recycling rates'!L41</f>
        <v>3131.3659810798508</v>
      </c>
      <c r="K73" s="203">
        <f>K$69*'BTX recycling rates'!M41</f>
        <v>3587.4773482171918</v>
      </c>
      <c r="L73" s="203">
        <f>L$69*'BTX recycling rates'!N41</f>
        <v>4031.5105820779027</v>
      </c>
      <c r="M73" s="203">
        <f>M$69*'BTX recycling rates'!O41</f>
        <v>4459.4351660484508</v>
      </c>
      <c r="N73" s="203">
        <f>N$69*'BTX recycling rates'!P41</f>
        <v>4887.3205484804375</v>
      </c>
      <c r="O73" s="203">
        <f>O$69*'BTX recycling rates'!Q41</f>
        <v>5285.157342698355</v>
      </c>
      <c r="P73" s="203">
        <f>P$69*'BTX recycling rates'!R41</f>
        <v>5648.2276737085404</v>
      </c>
      <c r="Q73" s="203">
        <f>Q$69*'BTX recycling rates'!S41</f>
        <v>5972.403028516359</v>
      </c>
      <c r="R73" s="203">
        <f>R$69*'BTX recycling rates'!T41</f>
        <v>6254.1379839246465</v>
      </c>
      <c r="S73" s="203">
        <f>S$69*'BTX recycling rates'!U41</f>
        <v>6490.4639753531628</v>
      </c>
      <c r="T73" s="203">
        <f>T$69*'BTX recycling rates'!V41</f>
        <v>6678.9831064690825</v>
      </c>
      <c r="U73" s="203">
        <f>U$69*'BTX recycling rates'!W41</f>
        <v>6817.8619994194605</v>
      </c>
      <c r="V73" s="203">
        <f>V$69*'BTX recycling rates'!X41</f>
        <v>6905.825685457623</v>
      </c>
      <c r="W73" s="203">
        <f>W$69*'BTX recycling rates'!Y41</f>
        <v>6942.1515357561757</v>
      </c>
      <c r="X73" s="203">
        <f>X$69*'BTX recycling rates'!Z41</f>
        <v>7151.8076572609816</v>
      </c>
      <c r="Y73" s="203">
        <f>Y$69*'BTX recycling rates'!AA41</f>
        <v>7304.193347488831</v>
      </c>
      <c r="Z73" s="203">
        <f>Z$69*'BTX recycling rates'!AB41</f>
        <v>7397.1502381845748</v>
      </c>
      <c r="AA73" s="203">
        <f>AA$69*'BTX recycling rates'!AC41</f>
        <v>7429.1581276205397</v>
      </c>
      <c r="AB73" s="203">
        <f>AB$69*'BTX recycling rates'!AD41</f>
        <v>7399.3280479165096</v>
      </c>
      <c r="AC73" s="203">
        <f>AC$69*'BTX recycling rates'!AE41</f>
        <v>7307.3953780204074</v>
      </c>
      <c r="AD73" s="203">
        <f>AD$69*'BTX recycling rates'!AF41</f>
        <v>7153.7130021151734</v>
      </c>
      <c r="AE73" s="203">
        <f>AE$69*'BTX recycling rates'!AG41</f>
        <v>6939.2445132183075</v>
      </c>
      <c r="AF73" s="203">
        <f>AF$69*'BTX recycling rates'!AH41</f>
        <v>6665.557461741656</v>
      </c>
      <c r="AG73" s="203">
        <f>AG$69*'BTX recycling rates'!AI41</f>
        <v>6334.8166487798835</v>
      </c>
      <c r="AH73" s="217"/>
      <c r="AI73" s="124"/>
      <c r="AJ73" s="185"/>
      <c r="AL73" s="100"/>
      <c r="AM73" s="2"/>
      <c r="AN73" s="2"/>
      <c r="AO73" s="2"/>
      <c r="BC73" s="1"/>
      <c r="BD73" s="2"/>
      <c r="BE73" s="2"/>
      <c r="BF73" s="2"/>
      <c r="BG73" s="2"/>
      <c r="BH73" s="2"/>
      <c r="BI73" s="2"/>
      <c r="BJ73" s="2"/>
      <c r="BK73" s="2"/>
    </row>
    <row r="74" spans="1:63" s="1" customFormat="1" outlineLevel="1">
      <c r="A74" s="1" t="s">
        <v>1041</v>
      </c>
      <c r="B74" s="60"/>
      <c r="C74" s="250">
        <f t="shared" ref="C74:AG74" si="31">C69-$C69</f>
        <v>0</v>
      </c>
      <c r="D74" s="250">
        <f t="shared" si="31"/>
        <v>7513.904859147995</v>
      </c>
      <c r="E74" s="250">
        <f t="shared" si="31"/>
        <v>13194.083235382306</v>
      </c>
      <c r="F74" s="250">
        <f t="shared" si="31"/>
        <v>18249.871146315389</v>
      </c>
      <c r="G74" s="250">
        <f t="shared" si="31"/>
        <v>22329.004785585857</v>
      </c>
      <c r="H74" s="250">
        <f t="shared" si="31"/>
        <v>25469.236555809475</v>
      </c>
      <c r="I74" s="250">
        <f t="shared" si="31"/>
        <v>27708.013829782431</v>
      </c>
      <c r="J74" s="250">
        <f t="shared" si="31"/>
        <v>29082.480582002114</v>
      </c>
      <c r="K74" s="250">
        <f t="shared" si="31"/>
        <v>29629.47901309951</v>
      </c>
      <c r="L74" s="250">
        <f t="shared" si="31"/>
        <v>29385.551167208672</v>
      </c>
      <c r="M74" s="250">
        <f t="shared" si="31"/>
        <v>28386.940542302356</v>
      </c>
      <c r="N74" s="250">
        <f t="shared" si="31"/>
        <v>27568.117942797981</v>
      </c>
      <c r="O74" s="250">
        <f t="shared" si="31"/>
        <v>25636.794483557314</v>
      </c>
      <c r="P74" s="250">
        <f t="shared" si="31"/>
        <v>22668.686906267365</v>
      </c>
      <c r="Q74" s="250">
        <f t="shared" si="31"/>
        <v>18738.875910962408</v>
      </c>
      <c r="R74" s="250">
        <f t="shared" si="31"/>
        <v>13921.809606374329</v>
      </c>
      <c r="S74" s="250">
        <f t="shared" si="31"/>
        <v>8291.3069451818883</v>
      </c>
      <c r="T74" s="250">
        <f t="shared" si="31"/>
        <v>1920.5611442166555</v>
      </c>
      <c r="U74" s="250">
        <f t="shared" si="31"/>
        <v>-5117.856910317525</v>
      </c>
      <c r="V74" s="250">
        <f t="shared" si="31"/>
        <v>-12751.995272551692</v>
      </c>
      <c r="W74" s="250">
        <f t="shared" si="31"/>
        <v>-20910.517561531306</v>
      </c>
      <c r="X74" s="250">
        <f t="shared" si="31"/>
        <v>-24175.190489728062</v>
      </c>
      <c r="Y74" s="250">
        <f t="shared" si="31"/>
        <v>-28441.501567141357</v>
      </c>
      <c r="Z74" s="250">
        <f t="shared" si="31"/>
        <v>-33625.608965794905</v>
      </c>
      <c r="AA74" s="250">
        <f t="shared" si="31"/>
        <v>-39644.381781545555</v>
      </c>
      <c r="AB74" s="250">
        <f t="shared" si="31"/>
        <v>-46415.396164793201</v>
      </c>
      <c r="AC74" s="250">
        <f t="shared" si="31"/>
        <v>-53856.931468154682</v>
      </c>
      <c r="AD74" s="250">
        <f t="shared" si="31"/>
        <v>-61887.966411035741</v>
      </c>
      <c r="AE74" s="250">
        <f t="shared" si="31"/>
        <v>-70428.175261036493</v>
      </c>
      <c r="AF74" s="250">
        <f t="shared" si="31"/>
        <v>-79397.924032124763</v>
      </c>
      <c r="AG74" s="250">
        <f t="shared" si="31"/>
        <v>-88718.266699514512</v>
      </c>
      <c r="AH74" s="217"/>
      <c r="AI74" s="368"/>
      <c r="AJ74" s="369"/>
      <c r="AL74" s="194"/>
      <c r="AM74" s="116"/>
      <c r="AN74" s="116"/>
      <c r="AO74" s="116"/>
      <c r="BD74" s="116"/>
      <c r="BE74" s="116"/>
      <c r="BF74" s="116"/>
      <c r="BG74" s="116"/>
      <c r="BH74" s="116"/>
      <c r="BI74" s="116"/>
      <c r="BJ74" s="116"/>
      <c r="BK74" s="116"/>
    </row>
    <row r="75" spans="1:63" outlineLevel="1">
      <c r="A75" s="4" t="s">
        <v>35</v>
      </c>
      <c r="C75" s="203">
        <f t="shared" ref="C75:AG75" si="32">C70-$C70</f>
        <v>0</v>
      </c>
      <c r="D75" s="203">
        <f t="shared" si="32"/>
        <v>3201.9965450628661</v>
      </c>
      <c r="E75" s="203">
        <f t="shared" si="32"/>
        <v>4677.7653956620779</v>
      </c>
      <c r="F75" s="203">
        <f t="shared" si="32"/>
        <v>5478.0698836300289</v>
      </c>
      <c r="G75" s="203">
        <f t="shared" si="32"/>
        <v>5356.5659895453427</v>
      </c>
      <c r="H75" s="203">
        <f t="shared" si="32"/>
        <v>4387.9169478577096</v>
      </c>
      <c r="I75" s="203">
        <f t="shared" si="32"/>
        <v>2644.2005460646469</v>
      </c>
      <c r="J75" s="203">
        <f t="shared" si="32"/>
        <v>194.93412298877956</v>
      </c>
      <c r="K75" s="203">
        <f t="shared" si="32"/>
        <v>-2892.9005907966348</v>
      </c>
      <c r="L75" s="203">
        <f t="shared" si="32"/>
        <v>-6554.8327896012925</v>
      </c>
      <c r="M75" s="203">
        <f t="shared" si="32"/>
        <v>-10728.878065519617</v>
      </c>
      <c r="N75" s="203">
        <f t="shared" si="32"/>
        <v>-14750.750051287585</v>
      </c>
      <c r="O75" s="203">
        <f t="shared" si="32"/>
        <v>-19478.492794598948</v>
      </c>
      <c r="P75" s="203">
        <f t="shared" si="32"/>
        <v>-24811.42889590704</v>
      </c>
      <c r="Q75" s="203">
        <f t="shared" si="32"/>
        <v>-30654.005194375728</v>
      </c>
      <c r="R75" s="203">
        <f t="shared" si="32"/>
        <v>-36915.74103716723</v>
      </c>
      <c r="S75" s="203">
        <f t="shared" si="32"/>
        <v>-43511.17688074999</v>
      </c>
      <c r="T75" s="203">
        <f t="shared" si="32"/>
        <v>-50359.823222543535</v>
      </c>
      <c r="U75" s="203">
        <f t="shared" si="32"/>
        <v>-57386.10986122553</v>
      </c>
      <c r="V75" s="203">
        <f t="shared" si="32"/>
        <v>-64519.335484030758</v>
      </c>
      <c r="W75" s="203">
        <f t="shared" si="32"/>
        <v>-71693.617579383194</v>
      </c>
      <c r="X75" s="203">
        <f t="shared" si="32"/>
        <v>-76083.050670293276</v>
      </c>
      <c r="Y75" s="203">
        <f t="shared" si="32"/>
        <v>-80872.842010616107</v>
      </c>
      <c r="Z75" s="203">
        <f t="shared" si="32"/>
        <v>-85975.371375391274</v>
      </c>
      <c r="AA75" s="203">
        <f t="shared" si="32"/>
        <v>-91308.585874651631</v>
      </c>
      <c r="AB75" s="203">
        <f t="shared" si="32"/>
        <v>-96795.942728364433</v>
      </c>
      <c r="AC75" s="203">
        <f t="shared" si="32"/>
        <v>-102366.35241107676</v>
      </c>
      <c r="AD75" s="203">
        <f t="shared" si="32"/>
        <v>-107954.12216438423</v>
      </c>
      <c r="AE75" s="203">
        <f t="shared" si="32"/>
        <v>-113498.89987535104</v>
      </c>
      <c r="AF75" s="203">
        <f t="shared" si="32"/>
        <v>-118945.61831901669</v>
      </c>
      <c r="AG75" s="203">
        <f t="shared" si="32"/>
        <v>-124244.43976313451</v>
      </c>
      <c r="AH75" s="217"/>
      <c r="AI75" s="124"/>
      <c r="AJ75" s="185"/>
      <c r="AL75" s="100"/>
      <c r="AM75" s="2"/>
      <c r="AN75" s="2"/>
      <c r="AO75" s="2"/>
      <c r="BC75" s="1"/>
      <c r="BD75" s="2"/>
      <c r="BE75" s="2"/>
      <c r="BF75" s="2"/>
      <c r="BG75" s="2"/>
      <c r="BH75" s="2"/>
      <c r="BI75" s="2"/>
      <c r="BJ75" s="2"/>
      <c r="BK75" s="2"/>
    </row>
    <row r="76" spans="1:63" outlineLevel="1">
      <c r="A76" s="4" t="s">
        <v>74</v>
      </c>
      <c r="C76" s="203">
        <f t="shared" ref="C76:AG76" si="33">C71-$C71</f>
        <v>0</v>
      </c>
      <c r="D76" s="203">
        <f t="shared" si="33"/>
        <v>3712.8663018308725</v>
      </c>
      <c r="E76" s="203">
        <f t="shared" si="33"/>
        <v>7284.4696729487914</v>
      </c>
      <c r="F76" s="203">
        <f t="shared" si="33"/>
        <v>10878.950056119851</v>
      </c>
      <c r="G76" s="203">
        <f t="shared" si="33"/>
        <v>14400.142777645415</v>
      </c>
      <c r="H76" s="203">
        <f t="shared" si="33"/>
        <v>17819.28413485863</v>
      </c>
      <c r="I76" s="203">
        <f t="shared" si="33"/>
        <v>21109.447465695936</v>
      </c>
      <c r="J76" s="203">
        <f t="shared" si="33"/>
        <v>24245.524280896279</v>
      </c>
      <c r="K76" s="203">
        <f t="shared" si="33"/>
        <v>27204.205518037954</v>
      </c>
      <c r="L76" s="203">
        <f t="shared" si="33"/>
        <v>29963.962916792909</v>
      </c>
      <c r="M76" s="203">
        <f t="shared" si="33"/>
        <v>32505.030514782353</v>
      </c>
      <c r="N76" s="203">
        <f t="shared" si="33"/>
        <v>35073.770961451322</v>
      </c>
      <c r="O76" s="203">
        <f t="shared" si="33"/>
        <v>37280.426151133521</v>
      </c>
      <c r="P76" s="203">
        <f t="shared" si="33"/>
        <v>39107.029332298465</v>
      </c>
      <c r="Q76" s="203">
        <f t="shared" si="33"/>
        <v>40539.228264201447</v>
      </c>
      <c r="R76" s="203">
        <f t="shared" si="33"/>
        <v>41566.246234604085</v>
      </c>
      <c r="S76" s="203">
        <f t="shared" si="33"/>
        <v>42180.84333360297</v>
      </c>
      <c r="T76" s="203">
        <f t="shared" si="33"/>
        <v>42379.277982252926</v>
      </c>
      <c r="U76" s="203">
        <f t="shared" si="33"/>
        <v>42161.268714676218</v>
      </c>
      <c r="V76" s="203">
        <f t="shared" si="33"/>
        <v>41529.956212356177</v>
      </c>
      <c r="W76" s="203">
        <f t="shared" si="33"/>
        <v>40491.865589317764</v>
      </c>
      <c r="X76" s="203">
        <f t="shared" si="33"/>
        <v>41305.825809870483</v>
      </c>
      <c r="Y76" s="203">
        <f t="shared" si="33"/>
        <v>41603.405377064657</v>
      </c>
      <c r="Z76" s="203">
        <f t="shared" si="33"/>
        <v>41384.025517776667</v>
      </c>
      <c r="AA76" s="203">
        <f t="shared" si="33"/>
        <v>40651.017834609273</v>
      </c>
      <c r="AB76" s="203">
        <f t="shared" si="33"/>
        <v>39411.581227316608</v>
      </c>
      <c r="AC76" s="203">
        <f t="shared" si="33"/>
        <v>37676.739099280501</v>
      </c>
      <c r="AD76" s="203">
        <f t="shared" si="33"/>
        <v>35461.296847571182</v>
      </c>
      <c r="AE76" s="203">
        <f t="shared" si="33"/>
        <v>32783.799635130883</v>
      </c>
      <c r="AF76" s="203">
        <f t="shared" si="33"/>
        <v>29666.490443626062</v>
      </c>
      <c r="AG76" s="203">
        <f t="shared" si="33"/>
        <v>26135.268405519259</v>
      </c>
      <c r="AH76" s="217"/>
      <c r="AI76" s="124"/>
      <c r="AJ76" s="185"/>
      <c r="AL76" s="100"/>
      <c r="AM76" s="2"/>
      <c r="AN76" s="2"/>
      <c r="AO76" s="2"/>
      <c r="BC76" s="1"/>
      <c r="BD76" s="2"/>
      <c r="BE76" s="2"/>
      <c r="BF76" s="2"/>
      <c r="BG76" s="2"/>
      <c r="BH76" s="2"/>
      <c r="BI76" s="2"/>
      <c r="BJ76" s="2"/>
      <c r="BK76" s="2"/>
    </row>
    <row r="77" spans="1:63" outlineLevel="1">
      <c r="A77" s="4" t="s">
        <v>160</v>
      </c>
      <c r="C77" s="203">
        <f t="shared" ref="C77:AG77" si="34">C72-$C72</f>
        <v>0</v>
      </c>
      <c r="D77" s="203">
        <f t="shared" si="34"/>
        <v>194.94661881700893</v>
      </c>
      <c r="E77" s="203">
        <f t="shared" si="34"/>
        <v>400.88112368669073</v>
      </c>
      <c r="F77" s="203">
        <f t="shared" si="34"/>
        <v>615.9917586665357</v>
      </c>
      <c r="G77" s="203">
        <f t="shared" si="34"/>
        <v>837.1039111189084</v>
      </c>
      <c r="H77" s="203">
        <f t="shared" si="34"/>
        <v>1061.5662556747943</v>
      </c>
      <c r="I77" s="203">
        <f t="shared" si="34"/>
        <v>1286.8717552679977</v>
      </c>
      <c r="J77" s="203">
        <f t="shared" si="34"/>
        <v>1510.6561970371285</v>
      </c>
      <c r="K77" s="203">
        <f t="shared" si="34"/>
        <v>1730.69673764091</v>
      </c>
      <c r="L77" s="203">
        <f t="shared" si="34"/>
        <v>1944.91045793904</v>
      </c>
      <c r="M77" s="203">
        <f t="shared" si="34"/>
        <v>2151.3529269910659</v>
      </c>
      <c r="N77" s="203">
        <f t="shared" si="34"/>
        <v>2357.7764841536741</v>
      </c>
      <c r="O77" s="203">
        <f t="shared" si="34"/>
        <v>2549.7037843242624</v>
      </c>
      <c r="P77" s="203">
        <f t="shared" si="34"/>
        <v>2724.8587961672783</v>
      </c>
      <c r="Q77" s="203">
        <f t="shared" si="34"/>
        <v>2881.2498126201881</v>
      </c>
      <c r="R77" s="203">
        <f t="shared" si="34"/>
        <v>3017.1664250126937</v>
      </c>
      <c r="S77" s="203">
        <f t="shared" si="34"/>
        <v>3131.1765169756</v>
      </c>
      <c r="T77" s="203">
        <f t="shared" si="34"/>
        <v>3222.1232780380387</v>
      </c>
      <c r="U77" s="203">
        <f t="shared" si="34"/>
        <v>3289.1222368121889</v>
      </c>
      <c r="V77" s="203">
        <f t="shared" si="34"/>
        <v>3331.5583136651262</v>
      </c>
      <c r="W77" s="203">
        <f t="shared" si="34"/>
        <v>3349.0828927777943</v>
      </c>
      <c r="X77" s="203">
        <f t="shared" si="34"/>
        <v>3450.2267134335912</v>
      </c>
      <c r="Y77" s="203">
        <f t="shared" si="34"/>
        <v>3523.7417189210996</v>
      </c>
      <c r="Z77" s="203">
        <f t="shared" si="34"/>
        <v>3568.5866536349913</v>
      </c>
      <c r="AA77" s="203">
        <f t="shared" si="34"/>
        <v>3584.02813087613</v>
      </c>
      <c r="AB77" s="203">
        <f t="shared" si="34"/>
        <v>3569.6372883379913</v>
      </c>
      <c r="AC77" s="203">
        <f t="shared" si="34"/>
        <v>3525.2864656210559</v>
      </c>
      <c r="AD77" s="203">
        <f t="shared" si="34"/>
        <v>3451.1459036620313</v>
      </c>
      <c r="AE77" s="203">
        <f t="shared" si="34"/>
        <v>3347.6804659652498</v>
      </c>
      <c r="AF77" s="203">
        <f t="shared" si="34"/>
        <v>3215.6463815241059</v>
      </c>
      <c r="AG77" s="203">
        <f t="shared" si="34"/>
        <v>3056.0880093208366</v>
      </c>
      <c r="AH77" s="217"/>
      <c r="AI77" s="124"/>
      <c r="AJ77" s="185"/>
      <c r="AL77" s="100"/>
      <c r="AM77" s="2"/>
      <c r="AN77" s="2"/>
      <c r="AO77" s="2"/>
      <c r="BC77" s="1"/>
      <c r="BD77" s="2"/>
      <c r="BE77" s="2"/>
      <c r="BF77" s="2"/>
      <c r="BG77" s="2"/>
      <c r="BH77" s="2"/>
      <c r="BI77" s="2"/>
      <c r="BJ77" s="2"/>
      <c r="BK77" s="2"/>
    </row>
    <row r="78" spans="1:63" outlineLevel="1">
      <c r="A78" s="4" t="s">
        <v>1040</v>
      </c>
      <c r="C78" s="203">
        <f t="shared" ref="C78:AG78" si="35">C73-$C73</f>
        <v>0</v>
      </c>
      <c r="D78" s="203">
        <f t="shared" si="35"/>
        <v>404.09539343723969</v>
      </c>
      <c r="E78" s="203">
        <f t="shared" si="35"/>
        <v>830.96704308473079</v>
      </c>
      <c r="F78" s="203">
        <f t="shared" si="35"/>
        <v>1276.8594478989394</v>
      </c>
      <c r="G78" s="203">
        <f t="shared" si="35"/>
        <v>1735.1921072761568</v>
      </c>
      <c r="H78" s="203">
        <f t="shared" si="35"/>
        <v>2200.4692174182801</v>
      </c>
      <c r="I78" s="203">
        <f t="shared" si="35"/>
        <v>2667.4940627537658</v>
      </c>
      <c r="J78" s="203">
        <f t="shared" si="35"/>
        <v>3131.3659810798508</v>
      </c>
      <c r="K78" s="203">
        <f t="shared" si="35"/>
        <v>3587.4773482171918</v>
      </c>
      <c r="L78" s="203">
        <f t="shared" si="35"/>
        <v>4031.5105820779027</v>
      </c>
      <c r="M78" s="203">
        <f t="shared" si="35"/>
        <v>4459.4351660484508</v>
      </c>
      <c r="N78" s="203">
        <f t="shared" si="35"/>
        <v>4887.3205484804375</v>
      </c>
      <c r="O78" s="203">
        <f t="shared" si="35"/>
        <v>5285.157342698355</v>
      </c>
      <c r="P78" s="203">
        <f t="shared" si="35"/>
        <v>5648.2276737085404</v>
      </c>
      <c r="Q78" s="203">
        <f t="shared" si="35"/>
        <v>5972.403028516359</v>
      </c>
      <c r="R78" s="203">
        <f t="shared" si="35"/>
        <v>6254.1379839246465</v>
      </c>
      <c r="S78" s="203">
        <f t="shared" si="35"/>
        <v>6490.4639753531628</v>
      </c>
      <c r="T78" s="203">
        <f t="shared" si="35"/>
        <v>6678.9831064690825</v>
      </c>
      <c r="U78" s="203">
        <f t="shared" si="35"/>
        <v>6817.8619994194605</v>
      </c>
      <c r="V78" s="203">
        <f t="shared" si="35"/>
        <v>6905.825685457623</v>
      </c>
      <c r="W78" s="203">
        <f t="shared" si="35"/>
        <v>6942.1515357561757</v>
      </c>
      <c r="X78" s="203">
        <f t="shared" si="35"/>
        <v>7151.8076572609816</v>
      </c>
      <c r="Y78" s="203">
        <f t="shared" si="35"/>
        <v>7304.193347488831</v>
      </c>
      <c r="Z78" s="203">
        <f t="shared" si="35"/>
        <v>7397.1502381845748</v>
      </c>
      <c r="AA78" s="203">
        <f t="shared" si="35"/>
        <v>7429.1581276205397</v>
      </c>
      <c r="AB78" s="203">
        <f t="shared" si="35"/>
        <v>7399.3280479165096</v>
      </c>
      <c r="AC78" s="203">
        <f t="shared" si="35"/>
        <v>7307.3953780204074</v>
      </c>
      <c r="AD78" s="203">
        <f t="shared" si="35"/>
        <v>7153.7130021151734</v>
      </c>
      <c r="AE78" s="203">
        <f t="shared" si="35"/>
        <v>6939.2445132183075</v>
      </c>
      <c r="AF78" s="203">
        <f t="shared" si="35"/>
        <v>6665.557461741656</v>
      </c>
      <c r="AG78" s="203">
        <f t="shared" si="35"/>
        <v>6334.8166487798835</v>
      </c>
      <c r="AH78" s="217"/>
      <c r="AI78" s="124"/>
      <c r="AJ78" s="185"/>
      <c r="AL78" s="100"/>
      <c r="AM78" s="2"/>
      <c r="AN78" s="2"/>
      <c r="AO78" s="2"/>
      <c r="BC78" s="1"/>
      <c r="BD78" s="2"/>
      <c r="BE78" s="2"/>
      <c r="BF78" s="2"/>
      <c r="BG78" s="2"/>
      <c r="BH78" s="2"/>
      <c r="BI78" s="2"/>
      <c r="BJ78" s="2"/>
      <c r="BK78" s="2"/>
    </row>
    <row r="79" spans="1:63" s="1" customFormat="1" outlineLevel="1">
      <c r="A79" s="1" t="s">
        <v>1042</v>
      </c>
      <c r="B79" s="60"/>
      <c r="C79" s="250">
        <f>'BTX Recycling HC'!C79</f>
        <v>45103.973406334175</v>
      </c>
      <c r="D79" s="250">
        <f>'BTX Recycling HC'!D79</f>
        <v>44690.97414146395</v>
      </c>
      <c r="E79" s="250">
        <f>'BTX Recycling HC'!E79</f>
        <v>43958.040640430125</v>
      </c>
      <c r="F79" s="250">
        <f>'BTX Recycling HC'!F79</f>
        <v>43177.825764582369</v>
      </c>
      <c r="G79" s="250">
        <f>'BTX Recycling HC'!G79</f>
        <v>42276.341044582477</v>
      </c>
      <c r="H79" s="250">
        <f>'BTX Recycling HC'!H79</f>
        <v>41265.694366746138</v>
      </c>
      <c r="I79" s="250">
        <f>'BTX Recycling HC'!I79</f>
        <v>40157.547688734856</v>
      </c>
      <c r="J79" s="250">
        <f>'BTX Recycling HC'!J79</f>
        <v>38963.121384733262</v>
      </c>
      <c r="K79" s="250">
        <f>'BTX Recycling HC'!K79</f>
        <v>37693.19856310849</v>
      </c>
      <c r="L79" s="250">
        <f>'BTX Recycling HC'!L79</f>
        <v>36358.129356690093</v>
      </c>
      <c r="M79" s="250">
        <f>'BTX Recycling HC'!M79</f>
        <v>34967.835185808806</v>
      </c>
      <c r="N79" s="250">
        <f>'BTX Recycling HC'!N79</f>
        <v>32248.570032500415</v>
      </c>
      <c r="O79" s="250">
        <f>'BTX Recycling HC'!O79</f>
        <v>29668.258483250051</v>
      </c>
      <c r="P79" s="250">
        <f>'BTX Recycling HC'!P79</f>
        <v>27223.837915475877</v>
      </c>
      <c r="Q79" s="250">
        <f>'BTX Recycling HC'!Q79</f>
        <v>24912.194147608592</v>
      </c>
      <c r="R79" s="250">
        <f>'BTX Recycling HC'!R79</f>
        <v>22730.162142818335</v>
      </c>
      <c r="S79" s="250">
        <f>'BTX Recycling HC'!S79</f>
        <v>20674.526707799916</v>
      </c>
      <c r="T79" s="250">
        <f>'BTX Recycling HC'!T79</f>
        <v>18742.023186642211</v>
      </c>
      <c r="U79" s="250">
        <f>'BTX Recycling HC'!U79</f>
        <v>16929.338149807954</v>
      </c>
      <c r="V79" s="250">
        <f>'BTX Recycling HC'!V79</f>
        <v>15233.110078249822</v>
      </c>
      <c r="W79" s="250">
        <f>'BTX Recycling HC'!W79</f>
        <v>13649.93004268848</v>
      </c>
      <c r="X79" s="250">
        <f>'BTX Recycling HC'!X79</f>
        <v>12307.635695320141</v>
      </c>
      <c r="Y79" s="250">
        <f>'BTX Recycling HC'!Y79</f>
        <v>11051.014783402883</v>
      </c>
      <c r="Z79" s="250">
        <f>'BTX Recycling HC'!Z79</f>
        <v>9877.6420731417729</v>
      </c>
      <c r="AA79" s="250">
        <f>'BTX Recycling HC'!AA79</f>
        <v>8785.0562437405006</v>
      </c>
      <c r="AB79" s="250">
        <f>'BTX Recycling HC'!AB79</f>
        <v>7770.7603948578353</v>
      </c>
      <c r="AC79" s="250">
        <f>'BTX Recycling HC'!AC79</f>
        <v>6832.222550472241</v>
      </c>
      <c r="AD79" s="250">
        <f>'BTX Recycling HC'!AD79</f>
        <v>5966.8761591738394</v>
      </c>
      <c r="AE79" s="250">
        <f>'BTX Recycling HC'!AE79</f>
        <v>5172.1205909026785</v>
      </c>
      <c r="AF79" s="250">
        <f>'BTX Recycling HC'!AF79</f>
        <v>4445.3216301522152</v>
      </c>
      <c r="AG79" s="250">
        <f>'BTX Recycling HC'!AG79</f>
        <v>3783.811965656821</v>
      </c>
      <c r="AH79" s="217"/>
      <c r="AI79" s="368"/>
      <c r="AJ79" s="369"/>
      <c r="AL79" s="194"/>
      <c r="AM79" s="116"/>
      <c r="AN79" s="116"/>
      <c r="AO79" s="116"/>
      <c r="BD79" s="116"/>
      <c r="BE79" s="116"/>
      <c r="BF79" s="116"/>
      <c r="BG79" s="116"/>
      <c r="BH79" s="116"/>
      <c r="BI79" s="116"/>
      <c r="BJ79" s="116"/>
      <c r="BK79" s="116"/>
    </row>
    <row r="80" spans="1:63" outlineLevel="1">
      <c r="A80" s="4" t="s">
        <v>35</v>
      </c>
      <c r="C80" s="203">
        <f>C$79*'BTX recycling rates'!E42</f>
        <v>38099.637873983935</v>
      </c>
      <c r="D80" s="203">
        <f>D$79*'BTX recycling rates'!F42</f>
        <v>37053.41948566075</v>
      </c>
      <c r="E80" s="203">
        <f>E$79*'BTX recycling rates'!G42</f>
        <v>35759.823731686425</v>
      </c>
      <c r="F80" s="203">
        <f>F$79*'BTX recycling rates'!H42</f>
        <v>34451.37569378491</v>
      </c>
      <c r="G80" s="203">
        <f>G$79*'BTX recycling rates'!I42</f>
        <v>33072.408172434087</v>
      </c>
      <c r="H80" s="203">
        <f>H$79*'BTX recycling rates'!J42</f>
        <v>31637.880989784004</v>
      </c>
      <c r="I80" s="203">
        <f>I$79*'BTX recycling rates'!K42</f>
        <v>30161.663315735528</v>
      </c>
      <c r="J80" s="203">
        <f>J$79*'BTX recycling rates'!L42</f>
        <v>28656.571654937303</v>
      </c>
      <c r="K80" s="203">
        <f>K$79*'BTX recycling rates'!M42</f>
        <v>27134.407407162049</v>
      </c>
      <c r="L80" s="203">
        <f>L$79*'BTX recycling rates'!N42</f>
        <v>25605.994004165415</v>
      </c>
      <c r="M80" s="203">
        <f>M$79*'BTX recycling rates'!O42</f>
        <v>24081.213626113255</v>
      </c>
      <c r="N80" s="203">
        <f>N$79*'BTX recycling rates'!P42</f>
        <v>21705.339345126147</v>
      </c>
      <c r="O80" s="203">
        <f>O$79*'BTX recycling rates'!Q42</f>
        <v>19505.683930674713</v>
      </c>
      <c r="P80" s="203">
        <f>P$79*'BTX recycling rates'!R42</f>
        <v>17473.776951812048</v>
      </c>
      <c r="Q80" s="203">
        <f>Q$79*'BTX recycling rates'!S42</f>
        <v>15601.306844536757</v>
      </c>
      <c r="R80" s="203">
        <f>R$79*'BTX recycling rates'!T42</f>
        <v>13880.125364137755</v>
      </c>
      <c r="S80" s="203">
        <f>S$79*'BTX recycling rates'!U42</f>
        <v>12302.251968713083</v>
      </c>
      <c r="T80" s="203">
        <f>T$79*'BTX recycling rates'!V42</f>
        <v>10859.878134417522</v>
      </c>
      <c r="U80" s="203">
        <f>U$79*'BTX recycling rates'!W42</f>
        <v>9545.37160299069</v>
      </c>
      <c r="V80" s="203">
        <f>V$79*'BTX recycling rates'!X42</f>
        <v>8351.2805621139414</v>
      </c>
      <c r="W80" s="203">
        <f>W$79*'BTX recycling rates'!Y42</f>
        <v>7270.3377591409644</v>
      </c>
      <c r="X80" s="203">
        <f>X$79*'BTX recycling rates'!Z42</f>
        <v>6363.3463804563644</v>
      </c>
      <c r="Y80" s="203">
        <f>Y$79*'BTX recycling rates'!AA42</f>
        <v>5541.2035521697126</v>
      </c>
      <c r="Z80" s="203">
        <f>Z$79*'BTX recycling rates'!AB42</f>
        <v>4798.7205277656694</v>
      </c>
      <c r="AA80" s="203">
        <f>AA$79*'BTX recycling rates'!AC42</f>
        <v>4130.8429649331838</v>
      </c>
      <c r="AB80" s="203">
        <f>AB$79*'BTX recycling rates'!AD42</f>
        <v>3532.6539717556516</v>
      </c>
      <c r="AC80" s="203">
        <f>AC$79*'BTX recycling rates'!AE42</f>
        <v>2999.3771038143336</v>
      </c>
      <c r="AD80" s="203">
        <f>AD$79*'BTX recycling rates'!AF42</f>
        <v>2526.3793126054848</v>
      </c>
      <c r="AE80" s="203">
        <f>AE$79*'BTX recycling rates'!AG42</f>
        <v>2109.1738456691619</v>
      </c>
      <c r="AF80" s="203">
        <f>AF$79*'BTX recycling rates'!AH42</f>
        <v>1743.423098825278</v>
      </c>
      <c r="AG80" s="207">
        <f>AG$79*'BTX recycling rates'!AI42</f>
        <v>1424.9414209100989</v>
      </c>
      <c r="AH80" s="217"/>
      <c r="AI80" s="124"/>
      <c r="AJ80" s="185"/>
      <c r="AL80" s="100"/>
      <c r="AM80" s="2"/>
      <c r="AN80" s="2"/>
      <c r="AO80" s="2"/>
      <c r="BC80" s="1"/>
      <c r="BD80" s="2"/>
      <c r="BE80" s="2"/>
      <c r="BF80" s="2"/>
      <c r="BG80" s="2"/>
      <c r="BH80" s="2"/>
      <c r="BI80" s="2"/>
      <c r="BJ80" s="2"/>
      <c r="BK80" s="2"/>
    </row>
    <row r="81" spans="1:63" outlineLevel="1">
      <c r="A81" s="4" t="s">
        <v>74</v>
      </c>
      <c r="C81" s="203">
        <f>C$79*'BTX recycling rates'!E43</f>
        <v>7004.3355323502474</v>
      </c>
      <c r="D81" s="203">
        <f>D$79*'BTX recycling rates'!F43</f>
        <v>7504.728509436527</v>
      </c>
      <c r="E81" s="203">
        <f>E$79*'BTX recycling rates'!G43</f>
        <v>7936.9213226767633</v>
      </c>
      <c r="F81" s="203">
        <f>F$79*'BTX recycling rates'!H43</f>
        <v>8341.4633269430469</v>
      </c>
      <c r="G81" s="203">
        <f>G$79*'BTX recycling rates'!I43</f>
        <v>8701.3344328608127</v>
      </c>
      <c r="H81" s="203">
        <f>H$79*'BTX recycling rates'!J43</f>
        <v>9014.5840543555078</v>
      </c>
      <c r="I81" s="203">
        <f>I$79*'BTX recycling rates'!K43</f>
        <v>9279.770337514663</v>
      </c>
      <c r="J81" s="203">
        <f>J$79*'BTX recycling rates'!L43</f>
        <v>9495.9330550959257</v>
      </c>
      <c r="K81" s="203">
        <f>K$79*'BTX recycling rates'!M43</f>
        <v>9662.5668233062443</v>
      </c>
      <c r="L81" s="203">
        <f>L$79*'BTX recycling rates'!N43</f>
        <v>9779.5946384562449</v>
      </c>
      <c r="M81" s="203">
        <f>M$79*'BTX recycling rates'!O43</f>
        <v>9847.3417311077774</v>
      </c>
      <c r="N81" s="203">
        <f>N$79*'BTX recycling rates'!P43</f>
        <v>9488.9241518613817</v>
      </c>
      <c r="O81" s="203">
        <f>O$79*'BTX recycling rates'!Q43</f>
        <v>9104.449366599285</v>
      </c>
      <c r="P81" s="203">
        <f>P$79*'BTX recycling rates'!R43</f>
        <v>8698.2045622726055</v>
      </c>
      <c r="Q81" s="203">
        <f>Q$79*'BTX recycling rates'!S43</f>
        <v>8274.3050549499621</v>
      </c>
      <c r="R81" s="203">
        <f>R$79*'BTX recycling rates'!T43</f>
        <v>7836.6912760192836</v>
      </c>
      <c r="S81" s="203">
        <f>S$79*'BTX recycling rates'!U43</f>
        <v>7389.1258099596125</v>
      </c>
      <c r="T81" s="203">
        <f>T$79*'BTX recycling rates'!V43</f>
        <v>6935.1904832555147</v>
      </c>
      <c r="U81" s="203">
        <f>U$79*'BTX recycling rates'!W43</f>
        <v>6478.2835040294431</v>
      </c>
      <c r="V81" s="203">
        <f>V$79*'BTX recycling rates'!X43</f>
        <v>6021.6166519699691</v>
      </c>
      <c r="W81" s="203">
        <f>W$79*'BTX recycling rates'!Y43</f>
        <v>5568.2125181362662</v>
      </c>
      <c r="X81" s="203">
        <f>X$79*'BTX recycling rates'!Z43</f>
        <v>5176.1187192192765</v>
      </c>
      <c r="Y81" s="203">
        <f>Y$79*'BTX recycling rates'!AA43</f>
        <v>4787.2268128574706</v>
      </c>
      <c r="Z81" s="203">
        <f>Z$79*'BTX recycling rates'!AB43</f>
        <v>4403.7022061182261</v>
      </c>
      <c r="AA81" s="203">
        <f>AA$79*'BTX recycling rates'!AC43</f>
        <v>4027.5712211370906</v>
      </c>
      <c r="AB81" s="203">
        <f>AB$79*'BTX recycling rates'!AD43</f>
        <v>3660.7190549500638</v>
      </c>
      <c r="AC81" s="203">
        <f>AC$79*'BTX recycling rates'!AE43</f>
        <v>3304.8877760490645</v>
      </c>
      <c r="AD81" s="203">
        <f>AD$79*'BTX recycling rates'!AF43</f>
        <v>2961.6743573524996</v>
      </c>
      <c r="AE81" s="203">
        <f>AE$79*'BTX recycling rates'!AG43</f>
        <v>2632.5287452846878</v>
      </c>
      <c r="AF81" s="203">
        <f>AF$79*'BTX recycling rates'!AH43</f>
        <v>2318.7519646597675</v>
      </c>
      <c r="AG81" s="207">
        <f>AG$79*'BTX recycling rates'!AI43</f>
        <v>2021.4942590675853</v>
      </c>
      <c r="AH81" s="217"/>
      <c r="AI81" s="124"/>
      <c r="AJ81" s="185"/>
      <c r="AL81" s="100"/>
      <c r="AM81" s="2"/>
      <c r="AN81" s="2"/>
      <c r="AO81" s="2"/>
      <c r="BC81" s="1"/>
      <c r="BD81" s="2"/>
      <c r="BE81" s="2"/>
      <c r="BF81" s="2"/>
      <c r="BG81" s="2"/>
      <c r="BH81" s="2"/>
      <c r="BI81" s="2"/>
      <c r="BJ81" s="2"/>
      <c r="BK81" s="2"/>
    </row>
    <row r="82" spans="1:63" outlineLevel="1">
      <c r="A82" s="4" t="s">
        <v>160</v>
      </c>
      <c r="C82" s="203">
        <f>C$79*'BTX recycling rates'!E44</f>
        <v>0</v>
      </c>
      <c r="D82" s="203">
        <f>D$79*'BTX recycling rates'!F44</f>
        <v>43.225696353474987</v>
      </c>
      <c r="E82" s="203">
        <f>E$79*'BTX recycling rates'!G44</f>
        <v>85.033586916335821</v>
      </c>
      <c r="F82" s="203">
        <f>F$79*'BTX recycling rates'!H44</f>
        <v>125.28647819100426</v>
      </c>
      <c r="G82" s="203">
        <f>G$79*'BTX recycling rates'!I44</f>
        <v>163.56092620801505</v>
      </c>
      <c r="H82" s="203">
        <f>H$79*'BTX recycling rates'!J44</f>
        <v>199.56360414812849</v>
      </c>
      <c r="I82" s="203">
        <f>I$79*'BTX recycling rates'!K44</f>
        <v>233.04544096964935</v>
      </c>
      <c r="J82" s="203">
        <f>J$79*'BTX recycling rates'!L44</f>
        <v>263.79949428719885</v>
      </c>
      <c r="K82" s="203">
        <f>K$79*'BTX recycling rates'!M44</f>
        <v>291.6588482538358</v>
      </c>
      <c r="L82" s="203">
        <f>L$79*'BTX recycling rates'!N44</f>
        <v>316.49453626142241</v>
      </c>
      <c r="M82" s="203">
        <f>M$79*'BTX recycling rates'!O44</f>
        <v>338.21348827520023</v>
      </c>
      <c r="N82" s="203">
        <f>N$79*'BTX recycling rates'!P44</f>
        <v>343.10363896092741</v>
      </c>
      <c r="O82" s="203">
        <f>O$79*'BTX recycling rates'!Q44</f>
        <v>344.34634478290627</v>
      </c>
      <c r="P82" s="203">
        <f>P$79*'BTX recycling rates'!R44</f>
        <v>342.30629027269646</v>
      </c>
      <c r="Q82" s="203">
        <f>Q$79*'BTX recycling rates'!S44</f>
        <v>337.33561296753129</v>
      </c>
      <c r="R82" s="203">
        <f>R$79*'BTX recycling rates'!T44</f>
        <v>329.77366427748194</v>
      </c>
      <c r="S82" s="203">
        <f>S$79*'BTX recycling rates'!U44</f>
        <v>319.94677436006987</v>
      </c>
      <c r="T82" s="203">
        <f>T$79*'BTX recycling rates'!V44</f>
        <v>308.16802096929581</v>
      </c>
      <c r="U82" s="203">
        <f>U$79*'BTX recycling rates'!W44</f>
        <v>294.73700224625918</v>
      </c>
      <c r="V82" s="203">
        <f>V$79*'BTX recycling rates'!X44</f>
        <v>279.93961341873808</v>
      </c>
      <c r="W82" s="203">
        <f>W$79*'BTX recycling rates'!Y44</f>
        <v>264.04782737729795</v>
      </c>
      <c r="X82" s="203">
        <f>X$79*'BTX recycling rates'!Z44</f>
        <v>249.98624008357984</v>
      </c>
      <c r="Y82" s="203">
        <f>Y$79*'BTX recycling rates'!AA44</f>
        <v>235.15110174344358</v>
      </c>
      <c r="Z82" s="203">
        <f>Z$79*'BTX recycling rates'!AB44</f>
        <v>219.73705425573505</v>
      </c>
      <c r="AA82" s="203">
        <f>AA$79*'BTX recycling rates'!AC44</f>
        <v>203.92851895585227</v>
      </c>
      <c r="AB82" s="203">
        <f>AB$79*'BTX recycling rates'!AD44</f>
        <v>187.89953436710385</v>
      </c>
      <c r="AC82" s="203">
        <f>AC$79*'BTX recycling rates'!AE44</f>
        <v>171.81359680665244</v>
      </c>
      <c r="AD82" s="203">
        <f>AD$79*'BTX recycling rates'!AF44</f>
        <v>155.82350382222603</v>
      </c>
      <c r="AE82" s="203">
        <f>AE$79*'BTX recycling rates'!AG44</f>
        <v>140.07120043592226</v>
      </c>
      <c r="AF82" s="203">
        <f>AF$79*'BTX recycling rates'!AH44</f>
        <v>124.687628171575</v>
      </c>
      <c r="AG82" s="207">
        <f>AG$79*'BTX recycling rates'!AI44</f>
        <v>109.79257684229752</v>
      </c>
      <c r="AH82" s="217"/>
      <c r="AI82" s="124"/>
      <c r="AJ82" s="185"/>
      <c r="AL82" s="100"/>
      <c r="AM82" s="2"/>
      <c r="AN82" s="2"/>
      <c r="AO82" s="2"/>
      <c r="BC82" s="1"/>
      <c r="BD82" s="2"/>
      <c r="BE82" s="2"/>
      <c r="BF82" s="2"/>
      <c r="BG82" s="2"/>
      <c r="BH82" s="2"/>
      <c r="BI82" s="2"/>
      <c r="BJ82" s="2"/>
      <c r="BK82" s="2"/>
    </row>
    <row r="83" spans="1:63" outlineLevel="1">
      <c r="A83" s="4" t="s">
        <v>1040</v>
      </c>
      <c r="C83" s="203">
        <f>C$79*'BTX recycling rates'!E45</f>
        <v>0</v>
      </c>
      <c r="D83" s="203">
        <f>D$79*'BTX recycling rates'!F45</f>
        <v>89.600450013201893</v>
      </c>
      <c r="E83" s="203">
        <f>E$79*'BTX recycling rates'!G45</f>
        <v>176.26199915060241</v>
      </c>
      <c r="F83" s="203">
        <f>F$79*'BTX recycling rates'!H45</f>
        <v>259.70026566340636</v>
      </c>
      <c r="G83" s="203">
        <f>G$79*'BTX recycling rates'!I45</f>
        <v>339.03751307955753</v>
      </c>
      <c r="H83" s="203">
        <f>H$79*'BTX recycling rates'!J45</f>
        <v>413.66571845849086</v>
      </c>
      <c r="I83" s="203">
        <f>I$79*'BTX recycling rates'!K45</f>
        <v>483.06859451500787</v>
      </c>
      <c r="J83" s="203">
        <f>J$79*'BTX recycling rates'!L45</f>
        <v>546.81718041282454</v>
      </c>
      <c r="K83" s="203">
        <f>K$79*'BTX recycling rates'!M45</f>
        <v>604.56548438634934</v>
      </c>
      <c r="L83" s="203">
        <f>L$79*'BTX recycling rates'!N45</f>
        <v>656.04617780699664</v>
      </c>
      <c r="M83" s="203">
        <f>M$79*'BTX recycling rates'!O45</f>
        <v>701.06634031256124</v>
      </c>
      <c r="N83" s="203">
        <f>N$79*'BTX recycling rates'!P45</f>
        <v>711.20289655194495</v>
      </c>
      <c r="O83" s="203">
        <f>O$79*'BTX recycling rates'!Q45</f>
        <v>713.77884119313251</v>
      </c>
      <c r="P83" s="203">
        <f>P$79*'BTX recycling rates'!R45</f>
        <v>709.55011111851411</v>
      </c>
      <c r="Q83" s="203">
        <f>Q$79*'BTX recycling rates'!S45</f>
        <v>699.2466351543286</v>
      </c>
      <c r="R83" s="203">
        <f>R$79*'BTX recycling rates'!T45</f>
        <v>683.5718383838032</v>
      </c>
      <c r="S83" s="203">
        <f>S$79*'BTX recycling rates'!U45</f>
        <v>663.20215476713815</v>
      </c>
      <c r="T83" s="203">
        <f>T$79*'BTX recycling rates'!V45</f>
        <v>638.78654799986771</v>
      </c>
      <c r="U83" s="203">
        <f>U$79*'BTX recycling rates'!W45</f>
        <v>610.94604054155172</v>
      </c>
      <c r="V83" s="203">
        <f>V$79*'BTX recycling rates'!X45</f>
        <v>580.27325074716293</v>
      </c>
      <c r="W83" s="203">
        <f>W$79*'BTX recycling rates'!Y45</f>
        <v>547.33193803394192</v>
      </c>
      <c r="X83" s="203">
        <f>X$79*'BTX recycling rates'!Z45</f>
        <v>518.18435556091185</v>
      </c>
      <c r="Y83" s="203">
        <f>Y$79*'BTX recycling rates'!AA45</f>
        <v>487.43331663224797</v>
      </c>
      <c r="Z83" s="203">
        <f>Z$79*'BTX recycling rates'!AB45</f>
        <v>455.48228500213469</v>
      </c>
      <c r="AA83" s="203">
        <f>AA$79*'BTX recycling rates'!AC45</f>
        <v>422.71353871436753</v>
      </c>
      <c r="AB83" s="203">
        <f>AB$79*'BTX recycling rates'!AD45</f>
        <v>389.48783378501071</v>
      </c>
      <c r="AC83" s="203">
        <f>AC$79*'BTX recycling rates'!AE45</f>
        <v>356.14407380218631</v>
      </c>
      <c r="AD83" s="203">
        <f>AD$79*'BTX recycling rates'!AF45</f>
        <v>322.99898539362516</v>
      </c>
      <c r="AE83" s="203">
        <f>AE$79*'BTX recycling rates'!AG45</f>
        <v>290.34679951290337</v>
      </c>
      <c r="AF83" s="203">
        <f>AF$79*'BTX recycling rates'!AH45</f>
        <v>258.45893849559172</v>
      </c>
      <c r="AG83" s="207">
        <f>AG$79*'BTX recycling rates'!AI45</f>
        <v>227.58370883683995</v>
      </c>
      <c r="AH83" s="217"/>
      <c r="AI83" s="124"/>
      <c r="AJ83" s="185"/>
      <c r="AL83" s="100"/>
      <c r="AM83" s="2"/>
      <c r="AN83" s="2"/>
      <c r="AO83" s="2"/>
      <c r="BC83" s="1"/>
      <c r="BD83" s="2"/>
      <c r="BE83" s="2"/>
      <c r="BF83" s="2"/>
      <c r="BG83" s="2"/>
      <c r="BH83" s="2"/>
      <c r="BI83" s="2"/>
      <c r="BJ83" s="2"/>
      <c r="BK83" s="2"/>
    </row>
    <row r="84" spans="1:63" s="1" customFormat="1" outlineLevel="1">
      <c r="A84" s="1" t="s">
        <v>1045</v>
      </c>
      <c r="B84" s="60"/>
      <c r="C84" s="250">
        <f>C79-$C79</f>
        <v>0</v>
      </c>
      <c r="D84" s="250">
        <f t="shared" ref="D84:AG84" si="36">D79-$C79</f>
        <v>-412.99926487022458</v>
      </c>
      <c r="E84" s="250">
        <f t="shared" si="36"/>
        <v>-1145.93276590405</v>
      </c>
      <c r="F84" s="250">
        <f t="shared" si="36"/>
        <v>-1926.1476417518061</v>
      </c>
      <c r="G84" s="250">
        <f t="shared" si="36"/>
        <v>-2827.6323617516973</v>
      </c>
      <c r="H84" s="250">
        <f t="shared" si="36"/>
        <v>-3838.2790395880365</v>
      </c>
      <c r="I84" s="250">
        <f t="shared" si="36"/>
        <v>-4946.4257175993189</v>
      </c>
      <c r="J84" s="250">
        <f t="shared" si="36"/>
        <v>-6140.8520216009128</v>
      </c>
      <c r="K84" s="250">
        <f t="shared" si="36"/>
        <v>-7410.7748432256849</v>
      </c>
      <c r="L84" s="250">
        <f t="shared" si="36"/>
        <v>-8745.8440496440817</v>
      </c>
      <c r="M84" s="250">
        <f t="shared" si="36"/>
        <v>-10136.138220525369</v>
      </c>
      <c r="N84" s="250">
        <f t="shared" si="36"/>
        <v>-12855.40337383376</v>
      </c>
      <c r="O84" s="250">
        <f t="shared" si="36"/>
        <v>-15435.714923084124</v>
      </c>
      <c r="P84" s="250">
        <f t="shared" si="36"/>
        <v>-17880.135490858298</v>
      </c>
      <c r="Q84" s="250">
        <f t="shared" si="36"/>
        <v>-20191.779258725583</v>
      </c>
      <c r="R84" s="250">
        <f t="shared" si="36"/>
        <v>-22373.81126351584</v>
      </c>
      <c r="S84" s="250">
        <f t="shared" si="36"/>
        <v>-24429.446698534259</v>
      </c>
      <c r="T84" s="250">
        <f t="shared" si="36"/>
        <v>-26361.950219691964</v>
      </c>
      <c r="U84" s="250">
        <f t="shared" si="36"/>
        <v>-28174.63525652622</v>
      </c>
      <c r="V84" s="250">
        <f t="shared" si="36"/>
        <v>-29870.863328084353</v>
      </c>
      <c r="W84" s="250">
        <f t="shared" si="36"/>
        <v>-31454.043363645695</v>
      </c>
      <c r="X84" s="250">
        <f t="shared" si="36"/>
        <v>-32796.337711014035</v>
      </c>
      <c r="Y84" s="250">
        <f t="shared" si="36"/>
        <v>-34052.958622931292</v>
      </c>
      <c r="Z84" s="250">
        <f t="shared" si="36"/>
        <v>-35226.3313331924</v>
      </c>
      <c r="AA84" s="250">
        <f t="shared" si="36"/>
        <v>-36318.917162593672</v>
      </c>
      <c r="AB84" s="250">
        <f t="shared" si="36"/>
        <v>-37333.213011476342</v>
      </c>
      <c r="AC84" s="250">
        <f t="shared" si="36"/>
        <v>-38271.75085586193</v>
      </c>
      <c r="AD84" s="250">
        <f t="shared" si="36"/>
        <v>-39137.097247160338</v>
      </c>
      <c r="AE84" s="250">
        <f t="shared" si="36"/>
        <v>-39931.852815431499</v>
      </c>
      <c r="AF84" s="250">
        <f t="shared" si="36"/>
        <v>-40658.651776181956</v>
      </c>
      <c r="AG84" s="250">
        <f t="shared" si="36"/>
        <v>-41320.161440677351</v>
      </c>
      <c r="AH84" s="217"/>
      <c r="AI84" s="368"/>
      <c r="AJ84" s="369"/>
      <c r="AL84" s="194"/>
      <c r="AM84" s="116"/>
      <c r="AN84" s="116"/>
      <c r="AO84" s="116"/>
      <c r="BD84" s="116"/>
      <c r="BE84" s="116"/>
      <c r="BF84" s="116"/>
      <c r="BG84" s="116"/>
      <c r="BH84" s="116"/>
      <c r="BI84" s="116"/>
      <c r="BJ84" s="116"/>
      <c r="BK84" s="116"/>
    </row>
    <row r="85" spans="1:63" outlineLevel="1">
      <c r="A85" s="4" t="s">
        <v>35</v>
      </c>
      <c r="C85" s="203">
        <f>C80-$C80</f>
        <v>0</v>
      </c>
      <c r="D85" s="203">
        <f t="shared" ref="D85:AG85" si="37">D80-$C80</f>
        <v>-1046.2183883231846</v>
      </c>
      <c r="E85" s="203">
        <f t="shared" si="37"/>
        <v>-2339.8141422975095</v>
      </c>
      <c r="F85" s="203">
        <f t="shared" si="37"/>
        <v>-3648.2621801990244</v>
      </c>
      <c r="G85" s="203">
        <f t="shared" si="37"/>
        <v>-5027.229701549848</v>
      </c>
      <c r="H85" s="203">
        <f t="shared" si="37"/>
        <v>-6461.7568841999309</v>
      </c>
      <c r="I85" s="203">
        <f t="shared" si="37"/>
        <v>-7937.9745582484065</v>
      </c>
      <c r="J85" s="203">
        <f t="shared" si="37"/>
        <v>-9443.0662190466319</v>
      </c>
      <c r="K85" s="203">
        <f t="shared" si="37"/>
        <v>-10965.230466821886</v>
      </c>
      <c r="L85" s="203">
        <f t="shared" si="37"/>
        <v>-12493.643869818519</v>
      </c>
      <c r="M85" s="203">
        <f t="shared" si="37"/>
        <v>-14018.42424787068</v>
      </c>
      <c r="N85" s="203">
        <f t="shared" si="37"/>
        <v>-16394.298528857787</v>
      </c>
      <c r="O85" s="203">
        <f t="shared" si="37"/>
        <v>-18593.953943309221</v>
      </c>
      <c r="P85" s="203">
        <f t="shared" si="37"/>
        <v>-20625.860922171887</v>
      </c>
      <c r="Q85" s="203">
        <f t="shared" si="37"/>
        <v>-22498.331029447178</v>
      </c>
      <c r="R85" s="203">
        <f t="shared" si="37"/>
        <v>-24219.512509846179</v>
      </c>
      <c r="S85" s="203">
        <f t="shared" si="37"/>
        <v>-25797.38590527085</v>
      </c>
      <c r="T85" s="203">
        <f t="shared" si="37"/>
        <v>-27239.759739566412</v>
      </c>
      <c r="U85" s="203">
        <f t="shared" si="37"/>
        <v>-28554.266270993245</v>
      </c>
      <c r="V85" s="203">
        <f t="shared" si="37"/>
        <v>-29748.357311869993</v>
      </c>
      <c r="W85" s="203">
        <f t="shared" si="37"/>
        <v>-30829.300114842968</v>
      </c>
      <c r="X85" s="203">
        <f t="shared" si="37"/>
        <v>-31736.291493527569</v>
      </c>
      <c r="Y85" s="203">
        <f t="shared" si="37"/>
        <v>-32558.434321814224</v>
      </c>
      <c r="Z85" s="203">
        <f t="shared" si="37"/>
        <v>-33300.917346218266</v>
      </c>
      <c r="AA85" s="203">
        <f t="shared" si="37"/>
        <v>-33968.794909050754</v>
      </c>
      <c r="AB85" s="203">
        <f t="shared" si="37"/>
        <v>-34566.983902228283</v>
      </c>
      <c r="AC85" s="203">
        <f t="shared" si="37"/>
        <v>-35100.260770169603</v>
      </c>
      <c r="AD85" s="203">
        <f t="shared" si="37"/>
        <v>-35573.258561378447</v>
      </c>
      <c r="AE85" s="203">
        <f t="shared" si="37"/>
        <v>-35990.464028314775</v>
      </c>
      <c r="AF85" s="203">
        <f t="shared" si="37"/>
        <v>-36356.21477515866</v>
      </c>
      <c r="AG85" s="203">
        <f t="shared" si="37"/>
        <v>-36674.696453073833</v>
      </c>
      <c r="AH85" s="217"/>
      <c r="AI85" s="124"/>
      <c r="AJ85" s="185"/>
      <c r="AL85" s="100"/>
      <c r="AM85" s="2"/>
      <c r="AN85" s="2"/>
      <c r="AO85" s="2"/>
      <c r="BC85" s="1"/>
      <c r="BD85" s="2"/>
      <c r="BE85" s="2"/>
      <c r="BF85" s="2"/>
      <c r="BG85" s="2"/>
      <c r="BH85" s="2"/>
      <c r="BI85" s="2"/>
      <c r="BJ85" s="2"/>
      <c r="BK85" s="2"/>
    </row>
    <row r="86" spans="1:63" outlineLevel="1">
      <c r="A86" s="4" t="s">
        <v>74</v>
      </c>
      <c r="C86" s="203">
        <f t="shared" ref="C86:AG88" si="38">C81-$C81</f>
        <v>0</v>
      </c>
      <c r="D86" s="203">
        <f t="shared" si="38"/>
        <v>500.39297708627964</v>
      </c>
      <c r="E86" s="203">
        <f t="shared" si="38"/>
        <v>932.58579032651596</v>
      </c>
      <c r="F86" s="203">
        <f t="shared" si="38"/>
        <v>1337.1277945927995</v>
      </c>
      <c r="G86" s="203">
        <f t="shared" si="38"/>
        <v>1696.9989005105654</v>
      </c>
      <c r="H86" s="203">
        <f t="shared" si="38"/>
        <v>2010.2485220052604</v>
      </c>
      <c r="I86" s="203">
        <f t="shared" si="38"/>
        <v>2275.4348051644156</v>
      </c>
      <c r="J86" s="203">
        <f t="shared" si="38"/>
        <v>2491.5975227456784</v>
      </c>
      <c r="K86" s="203">
        <f t="shared" si="38"/>
        <v>2658.2312909559969</v>
      </c>
      <c r="L86" s="203">
        <f t="shared" si="38"/>
        <v>2775.2591061059975</v>
      </c>
      <c r="M86" s="203">
        <f t="shared" si="38"/>
        <v>2843.00619875753</v>
      </c>
      <c r="N86" s="203">
        <f t="shared" si="38"/>
        <v>2484.5886195111343</v>
      </c>
      <c r="O86" s="203">
        <f t="shared" si="38"/>
        <v>2100.1138342490376</v>
      </c>
      <c r="P86" s="203">
        <f t="shared" si="38"/>
        <v>1693.8690299223581</v>
      </c>
      <c r="Q86" s="203">
        <f t="shared" si="38"/>
        <v>1269.9695225997148</v>
      </c>
      <c r="R86" s="203">
        <f t="shared" si="38"/>
        <v>832.3557436690362</v>
      </c>
      <c r="S86" s="203">
        <f t="shared" si="38"/>
        <v>384.79027760936515</v>
      </c>
      <c r="T86" s="203">
        <f t="shared" si="38"/>
        <v>-69.145049094732713</v>
      </c>
      <c r="U86" s="203">
        <f t="shared" si="38"/>
        <v>-526.05202832080431</v>
      </c>
      <c r="V86" s="203">
        <f t="shared" si="38"/>
        <v>-982.71888038027828</v>
      </c>
      <c r="W86" s="203">
        <f t="shared" si="38"/>
        <v>-1436.1230142139812</v>
      </c>
      <c r="X86" s="203">
        <f t="shared" si="38"/>
        <v>-1828.2168131309709</v>
      </c>
      <c r="Y86" s="203">
        <f t="shared" si="38"/>
        <v>-2217.1087194927768</v>
      </c>
      <c r="Z86" s="203">
        <f t="shared" si="38"/>
        <v>-2600.6333262320213</v>
      </c>
      <c r="AA86" s="203">
        <f t="shared" si="38"/>
        <v>-2976.7643112131568</v>
      </c>
      <c r="AB86" s="203">
        <f t="shared" si="38"/>
        <v>-3343.6164774001836</v>
      </c>
      <c r="AC86" s="203">
        <f t="shared" si="38"/>
        <v>-3699.4477563011828</v>
      </c>
      <c r="AD86" s="203">
        <f t="shared" si="38"/>
        <v>-4042.6611749977478</v>
      </c>
      <c r="AE86" s="203">
        <f t="shared" si="38"/>
        <v>-4371.8067870655595</v>
      </c>
      <c r="AF86" s="203">
        <f t="shared" si="38"/>
        <v>-4685.5835676904799</v>
      </c>
      <c r="AG86" s="203">
        <f t="shared" si="38"/>
        <v>-4982.8412732826619</v>
      </c>
      <c r="AH86" s="217"/>
      <c r="AI86" s="124"/>
      <c r="AJ86" s="185"/>
      <c r="AL86" s="100"/>
      <c r="AM86" s="2"/>
      <c r="AN86" s="2"/>
      <c r="AO86" s="2"/>
      <c r="BC86" s="1"/>
      <c r="BD86" s="2"/>
      <c r="BE86" s="2"/>
      <c r="BF86" s="2"/>
      <c r="BG86" s="2"/>
      <c r="BH86" s="2"/>
      <c r="BI86" s="2"/>
      <c r="BJ86" s="2"/>
      <c r="BK86" s="2"/>
    </row>
    <row r="87" spans="1:63" outlineLevel="1">
      <c r="A87" s="4" t="s">
        <v>160</v>
      </c>
      <c r="C87" s="203">
        <f t="shared" si="38"/>
        <v>0</v>
      </c>
      <c r="D87" s="203">
        <f t="shared" si="38"/>
        <v>43.225696353474987</v>
      </c>
      <c r="E87" s="203">
        <f t="shared" si="38"/>
        <v>85.033586916335821</v>
      </c>
      <c r="F87" s="203">
        <f t="shared" si="38"/>
        <v>125.28647819100426</v>
      </c>
      <c r="G87" s="203">
        <f t="shared" si="38"/>
        <v>163.56092620801505</v>
      </c>
      <c r="H87" s="203">
        <f t="shared" si="38"/>
        <v>199.56360414812849</v>
      </c>
      <c r="I87" s="203">
        <f t="shared" si="38"/>
        <v>233.04544096964935</v>
      </c>
      <c r="J87" s="203">
        <f t="shared" si="38"/>
        <v>263.79949428719885</v>
      </c>
      <c r="K87" s="203">
        <f t="shared" si="38"/>
        <v>291.6588482538358</v>
      </c>
      <c r="L87" s="203">
        <f t="shared" si="38"/>
        <v>316.49453626142241</v>
      </c>
      <c r="M87" s="203">
        <f t="shared" si="38"/>
        <v>338.21348827520023</v>
      </c>
      <c r="N87" s="203">
        <f t="shared" si="38"/>
        <v>343.10363896092741</v>
      </c>
      <c r="O87" s="203">
        <f t="shared" si="38"/>
        <v>344.34634478290627</v>
      </c>
      <c r="P87" s="203">
        <f t="shared" si="38"/>
        <v>342.30629027269646</v>
      </c>
      <c r="Q87" s="203">
        <f t="shared" si="38"/>
        <v>337.33561296753129</v>
      </c>
      <c r="R87" s="203">
        <f t="shared" si="38"/>
        <v>329.77366427748194</v>
      </c>
      <c r="S87" s="203">
        <f t="shared" si="38"/>
        <v>319.94677436006987</v>
      </c>
      <c r="T87" s="203">
        <f t="shared" si="38"/>
        <v>308.16802096929581</v>
      </c>
      <c r="U87" s="203">
        <f t="shared" si="38"/>
        <v>294.73700224625918</v>
      </c>
      <c r="V87" s="203">
        <f t="shared" si="38"/>
        <v>279.93961341873808</v>
      </c>
      <c r="W87" s="203">
        <f t="shared" si="38"/>
        <v>264.04782737729795</v>
      </c>
      <c r="X87" s="203">
        <f t="shared" si="38"/>
        <v>249.98624008357984</v>
      </c>
      <c r="Y87" s="203">
        <f t="shared" si="38"/>
        <v>235.15110174344358</v>
      </c>
      <c r="Z87" s="203">
        <f t="shared" si="38"/>
        <v>219.73705425573505</v>
      </c>
      <c r="AA87" s="203">
        <f t="shared" si="38"/>
        <v>203.92851895585227</v>
      </c>
      <c r="AB87" s="203">
        <f t="shared" si="38"/>
        <v>187.89953436710385</v>
      </c>
      <c r="AC87" s="203">
        <f t="shared" si="38"/>
        <v>171.81359680665244</v>
      </c>
      <c r="AD87" s="203">
        <f t="shared" si="38"/>
        <v>155.82350382222603</v>
      </c>
      <c r="AE87" s="203">
        <f t="shared" si="38"/>
        <v>140.07120043592226</v>
      </c>
      <c r="AF87" s="203">
        <f t="shared" si="38"/>
        <v>124.687628171575</v>
      </c>
      <c r="AG87" s="203">
        <f t="shared" si="38"/>
        <v>109.79257684229752</v>
      </c>
      <c r="AH87" s="217"/>
      <c r="AI87" s="124"/>
      <c r="AJ87" s="185"/>
      <c r="AL87" s="100"/>
      <c r="AM87" s="2"/>
      <c r="AN87" s="2"/>
      <c r="AO87" s="2"/>
      <c r="BC87" s="1"/>
      <c r="BD87" s="2"/>
      <c r="BE87" s="2"/>
      <c r="BF87" s="2"/>
      <c r="BG87" s="2"/>
      <c r="BH87" s="2"/>
      <c r="BI87" s="2"/>
      <c r="BJ87" s="2"/>
      <c r="BK87" s="2"/>
    </row>
    <row r="88" spans="1:63" outlineLevel="1">
      <c r="A88" s="4" t="s">
        <v>1040</v>
      </c>
      <c r="C88" s="203">
        <f t="shared" si="38"/>
        <v>0</v>
      </c>
      <c r="D88" s="203">
        <f t="shared" si="38"/>
        <v>89.600450013201893</v>
      </c>
      <c r="E88" s="203">
        <f t="shared" si="38"/>
        <v>176.26199915060241</v>
      </c>
      <c r="F88" s="203">
        <f t="shared" si="38"/>
        <v>259.70026566340636</v>
      </c>
      <c r="G88" s="203">
        <f t="shared" si="38"/>
        <v>339.03751307955753</v>
      </c>
      <c r="H88" s="203">
        <f t="shared" si="38"/>
        <v>413.66571845849086</v>
      </c>
      <c r="I88" s="203">
        <f t="shared" si="38"/>
        <v>483.06859451500787</v>
      </c>
      <c r="J88" s="203">
        <f t="shared" si="38"/>
        <v>546.81718041282454</v>
      </c>
      <c r="K88" s="203">
        <f t="shared" si="38"/>
        <v>604.56548438634934</v>
      </c>
      <c r="L88" s="203">
        <f t="shared" si="38"/>
        <v>656.04617780699664</v>
      </c>
      <c r="M88" s="203">
        <f t="shared" si="38"/>
        <v>701.06634031256124</v>
      </c>
      <c r="N88" s="203">
        <f t="shared" si="38"/>
        <v>711.20289655194495</v>
      </c>
      <c r="O88" s="203">
        <f t="shared" si="38"/>
        <v>713.77884119313251</v>
      </c>
      <c r="P88" s="203">
        <f t="shared" si="38"/>
        <v>709.55011111851411</v>
      </c>
      <c r="Q88" s="203">
        <f t="shared" si="38"/>
        <v>699.2466351543286</v>
      </c>
      <c r="R88" s="203">
        <f t="shared" si="38"/>
        <v>683.5718383838032</v>
      </c>
      <c r="S88" s="203">
        <f t="shared" si="38"/>
        <v>663.20215476713815</v>
      </c>
      <c r="T88" s="203">
        <f t="shared" si="38"/>
        <v>638.78654799986771</v>
      </c>
      <c r="U88" s="203">
        <f t="shared" si="38"/>
        <v>610.94604054155172</v>
      </c>
      <c r="V88" s="203">
        <f t="shared" si="38"/>
        <v>580.27325074716293</v>
      </c>
      <c r="W88" s="203">
        <f t="shared" si="38"/>
        <v>547.33193803394192</v>
      </c>
      <c r="X88" s="203">
        <f t="shared" si="38"/>
        <v>518.18435556091185</v>
      </c>
      <c r="Y88" s="203">
        <f t="shared" si="38"/>
        <v>487.43331663224797</v>
      </c>
      <c r="Z88" s="203">
        <f t="shared" si="38"/>
        <v>455.48228500213469</v>
      </c>
      <c r="AA88" s="203">
        <f t="shared" si="38"/>
        <v>422.71353871436753</v>
      </c>
      <c r="AB88" s="203">
        <f t="shared" si="38"/>
        <v>389.48783378501071</v>
      </c>
      <c r="AC88" s="203">
        <f t="shared" si="38"/>
        <v>356.14407380218631</v>
      </c>
      <c r="AD88" s="203">
        <f t="shared" si="38"/>
        <v>322.99898539362516</v>
      </c>
      <c r="AE88" s="203">
        <f t="shared" si="38"/>
        <v>290.34679951290337</v>
      </c>
      <c r="AF88" s="203">
        <f t="shared" si="38"/>
        <v>258.45893849559172</v>
      </c>
      <c r="AG88" s="203">
        <f t="shared" si="38"/>
        <v>227.58370883683995</v>
      </c>
      <c r="AH88" s="217"/>
      <c r="AI88" s="124"/>
      <c r="AJ88" s="185"/>
      <c r="AL88" s="100"/>
      <c r="AM88" s="2"/>
      <c r="AN88" s="2"/>
      <c r="AO88" s="2"/>
      <c r="BC88" s="1"/>
      <c r="BD88" s="2"/>
      <c r="BE88" s="2"/>
      <c r="BF88" s="2"/>
      <c r="BG88" s="2"/>
      <c r="BH88" s="2"/>
      <c r="BI88" s="2"/>
      <c r="BJ88" s="2"/>
      <c r="BK88" s="2"/>
    </row>
    <row r="89" spans="1:63" s="1" customFormat="1" outlineLevel="1">
      <c r="A89" s="1" t="s">
        <v>1050</v>
      </c>
      <c r="B89" s="60"/>
      <c r="C89" s="250">
        <f>'BTX Recycling HC'!C89</f>
        <v>6.0793582425889012E-3</v>
      </c>
      <c r="D89" s="250">
        <f>'BTX Recycling HC'!D89</f>
        <v>6.7266582561807415E-3</v>
      </c>
      <c r="E89" s="250">
        <f>'BTX Recycling HC'!E89</f>
        <v>7.3806858575652511E-3</v>
      </c>
      <c r="F89" s="250">
        <f>'BTX Recycling HC'!F89</f>
        <v>8.037899586617242E-3</v>
      </c>
      <c r="G89" s="250">
        <f>'BTX Recycling HC'!G89</f>
        <v>8.6947579832115287E-3</v>
      </c>
      <c r="H89" s="250">
        <f>'BTX Recycling HC'!H89</f>
        <v>9.3477195872229239E-3</v>
      </c>
      <c r="I89" s="250">
        <f>'BTX Recycling HC'!I89</f>
        <v>9.993242938526237E-3</v>
      </c>
      <c r="J89" s="250">
        <f>'BTX Recycling HC'!J89</f>
        <v>1.0627786576996289E-2</v>
      </c>
      <c r="K89" s="250">
        <f>'BTX Recycling HC'!K89</f>
        <v>1.1247809042507891E-2</v>
      </c>
      <c r="L89" s="250">
        <f>'BTX Recycling HC'!L89</f>
        <v>1.1849768874935851E-2</v>
      </c>
      <c r="M89" s="250">
        <f>'BTX Recycling HC'!M89</f>
        <v>1.2430124614154988E-2</v>
      </c>
      <c r="N89" s="250">
        <f>'BTX Recycling HC'!N89</f>
        <v>1.2811004229445614E-2</v>
      </c>
      <c r="O89" s="250">
        <f>'BTX Recycling HC'!O89</f>
        <v>1.3146555240853296E-2</v>
      </c>
      <c r="P89" s="250">
        <f>'BTX Recycling HC'!P89</f>
        <v>1.3436132217270216E-2</v>
      </c>
      <c r="Q89" s="250">
        <f>'BTX Recycling HC'!Q89</f>
        <v>1.3679089727588566E-2</v>
      </c>
      <c r="R89" s="250">
        <f>'BTX Recycling HC'!R89</f>
        <v>1.3874782340700527E-2</v>
      </c>
      <c r="S89" s="250">
        <f>'BTX Recycling HC'!S89</f>
        <v>1.4022564625498279E-2</v>
      </c>
      <c r="T89" s="250">
        <f>'BTX Recycling HC'!T89</f>
        <v>1.4121791150874016E-2</v>
      </c>
      <c r="U89" s="250">
        <f>'BTX Recycling HC'!U89</f>
        <v>1.4171816485719912E-2</v>
      </c>
      <c r="V89" s="250">
        <f>'BTX Recycling HC'!V89</f>
        <v>1.4171995198928162E-2</v>
      </c>
      <c r="W89" s="250">
        <f>'BTX Recycling HC'!W89</f>
        <v>1.4121681859390946E-2</v>
      </c>
      <c r="X89" s="250">
        <f>'BTX Recycling HC'!X89</f>
        <v>1.4327048095844877E-2</v>
      </c>
      <c r="Y89" s="250">
        <f>'BTX Recycling HC'!Y89</f>
        <v>1.4453027703898971E-2</v>
      </c>
      <c r="Z89" s="250">
        <f>'BTX Recycling HC'!Z89</f>
        <v>1.4498541522740964E-2</v>
      </c>
      <c r="AA89" s="250">
        <f>'BTX Recycling HC'!AA89</f>
        <v>1.4462510391558573E-2</v>
      </c>
      <c r="AB89" s="250">
        <f>'BTX Recycling HC'!AB89</f>
        <v>1.4343855149539547E-2</v>
      </c>
      <c r="AC89" s="250">
        <f>'BTX Recycling HC'!AC89</f>
        <v>1.4141496635871616E-2</v>
      </c>
      <c r="AD89" s="250">
        <f>'BTX Recycling HC'!AD89</f>
        <v>1.3854355689742507E-2</v>
      </c>
      <c r="AE89" s="250">
        <f>'BTX Recycling HC'!AE89</f>
        <v>1.3481353150339957E-2</v>
      </c>
      <c r="AF89" s="250">
        <f>'BTX Recycling HC'!AF89</f>
        <v>1.3021409856851695E-2</v>
      </c>
      <c r="AG89" s="250">
        <f>'BTX Recycling HC'!AG89</f>
        <v>1.2473446648465437E-2</v>
      </c>
      <c r="AH89" s="217"/>
      <c r="AI89" s="368"/>
      <c r="AJ89" s="369"/>
      <c r="AL89" s="194"/>
      <c r="AM89" s="116"/>
      <c r="AN89" s="116"/>
      <c r="AO89" s="116"/>
      <c r="BD89" s="116"/>
      <c r="BE89" s="116"/>
      <c r="BF89" s="116"/>
      <c r="BG89" s="116"/>
      <c r="BH89" s="116"/>
      <c r="BI89" s="116"/>
      <c r="BJ89" s="116"/>
      <c r="BK89" s="116"/>
    </row>
    <row r="90" spans="1:63" outlineLevel="1">
      <c r="A90" s="4" t="s">
        <v>35</v>
      </c>
      <c r="C90" s="203">
        <f>C$89*'BTX recycling rates'!E46</f>
        <v>5.1352758982499925E-3</v>
      </c>
      <c r="D90" s="203">
        <f>D$89*'BTX recycling rates'!F46</f>
        <v>5.4926528676736948E-3</v>
      </c>
      <c r="E90" s="203">
        <f>E$89*'BTX recycling rates'!G46</f>
        <v>5.8188819014857512E-3</v>
      </c>
      <c r="F90" s="203">
        <f>F$89*'BTX recycling rates'!H46</f>
        <v>6.1107023694524339E-3</v>
      </c>
      <c r="G90" s="203">
        <f>G$89*'BTX recycling rates'!I46</f>
        <v>6.3652525074505461E-3</v>
      </c>
      <c r="H90" s="203">
        <f>H$89*'BTX recycling rates'!J46</f>
        <v>6.5800694174674174E-3</v>
      </c>
      <c r="I90" s="203">
        <f>I$89*'BTX recycling rates'!K46</f>
        <v>6.7530890676009044E-3</v>
      </c>
      <c r="J90" s="203">
        <f>J$89*'BTX recycling rates'!L46</f>
        <v>6.8826462920594002E-3</v>
      </c>
      <c r="K90" s="203">
        <f>K$89*'BTX recycling rates'!M46</f>
        <v>6.967474791161817E-3</v>
      </c>
      <c r="L90" s="203">
        <f>L$89*'BTX recycling rates'!N46</f>
        <v>7.0067071313376006E-3</v>
      </c>
      <c r="M90" s="203">
        <f>M$89*'BTX recycling rates'!O46</f>
        <v>6.999874745126723E-3</v>
      </c>
      <c r="N90" s="203">
        <f>N$89*'BTX recycling rates'!P46</f>
        <v>6.8536443810164483E-3</v>
      </c>
      <c r="O90" s="203">
        <f>O$89*'BTX recycling rates'!Q46</f>
        <v>6.6629916099120627E-3</v>
      </c>
      <c r="P90" s="203">
        <f>P$89*'BTX recycling rates'!R46</f>
        <v>6.4314364235607407E-3</v>
      </c>
      <c r="Q90" s="203">
        <f>Q$89*'BTX recycling rates'!S46</f>
        <v>6.1625715070583054E-3</v>
      </c>
      <c r="R90" s="203">
        <f>R$89*'BTX recycling rates'!T46</f>
        <v>5.8600622388492191E-3</v>
      </c>
      <c r="S90" s="203">
        <f>S$89*'BTX recycling rates'!U46</f>
        <v>5.5276466907265859E-3</v>
      </c>
      <c r="T90" s="203">
        <f>T$89*'BTX recycling rates'!V46</f>
        <v>5.1691356278321622E-3</v>
      </c>
      <c r="U90" s="203">
        <f>U$89*'BTX recycling rates'!W46</f>
        <v>4.7884125086563381E-3</v>
      </c>
      <c r="V90" s="203">
        <f>V$89*'BTX recycling rates'!X46</f>
        <v>4.3894334850381553E-3</v>
      </c>
      <c r="W90" s="203">
        <f>W$89*'BTX recycling rates'!Y46</f>
        <v>3.9762274021652956E-3</v>
      </c>
      <c r="X90" s="203">
        <f>X$89*'BTX recycling rates'!Z46</f>
        <v>3.6306469454740939E-3</v>
      </c>
      <c r="Y90" s="203">
        <f>Y$89*'BTX recycling rates'!AA46</f>
        <v>3.2556192879975156E-3</v>
      </c>
      <c r="Z90" s="203">
        <f>Z$89*'BTX recycling rates'!AB46</f>
        <v>2.8576375723315017E-3</v>
      </c>
      <c r="AA90" s="203">
        <f>AA$89*'BTX recycling rates'!AC46</f>
        <v>2.4433164843509227E-3</v>
      </c>
      <c r="AB90" s="203">
        <f>AB$89*'BTX recycling rates'!AD46</f>
        <v>2.0193922532095862E-3</v>
      </c>
      <c r="AC90" s="203">
        <f>AC$89*'BTX recycling rates'!AE46</f>
        <v>1.5927226513402298E-3</v>
      </c>
      <c r="AD90" s="203">
        <f>AD$89*'BTX recycling rates'!AF46</f>
        <v>1.1702869944545228E-3</v>
      </c>
      <c r="AE90" s="203">
        <f>AE$89*'BTX recycling rates'!AG46</f>
        <v>7.5918614154306906E-4</v>
      </c>
      <c r="AF90" s="203">
        <f>AF$89*'BTX recycling rates'!AH46</f>
        <v>3.6664249487540344E-4</v>
      </c>
      <c r="AG90" s="203">
        <f>AG$89*'BTX recycling rates'!AI46</f>
        <v>0</v>
      </c>
      <c r="AH90" s="217"/>
      <c r="AI90" s="124"/>
      <c r="AJ90" s="185"/>
      <c r="AL90" s="100"/>
      <c r="AM90" s="2"/>
      <c r="AN90" s="2"/>
      <c r="AO90" s="2"/>
      <c r="BC90" s="1"/>
      <c r="BD90" s="2"/>
      <c r="BE90" s="2"/>
      <c r="BF90" s="2"/>
      <c r="BG90" s="2"/>
      <c r="BH90" s="2"/>
      <c r="BI90" s="2"/>
      <c r="BJ90" s="2"/>
      <c r="BK90" s="2"/>
    </row>
    <row r="91" spans="1:63" outlineLevel="1">
      <c r="A91" s="4" t="s">
        <v>74</v>
      </c>
      <c r="C91" s="203">
        <f>C$89*'BTX recycling rates'!E47</f>
        <v>9.4408234433890944E-4</v>
      </c>
      <c r="D91" s="203">
        <f>D$89*'BTX recycling rates'!F47</f>
        <v>1.009783446634356E-3</v>
      </c>
      <c r="E91" s="203">
        <f>E$89*'BTX recycling rates'!G47</f>
        <v>1.0697582322418168E-3</v>
      </c>
      <c r="F91" s="203">
        <f>F$89*'BTX recycling rates'!H47</f>
        <v>1.1234072585030836E-3</v>
      </c>
      <c r="G91" s="203">
        <f>G$89*'BTX recycling rates'!I47</f>
        <v>1.1702044113327782E-3</v>
      </c>
      <c r="H91" s="203">
        <f>H$89*'BTX recycling rates'!J47</f>
        <v>1.2096969052183514E-3</v>
      </c>
      <c r="I91" s="203">
        <f>I$89*'BTX recycling rates'!K47</f>
        <v>1.2415052832200836E-3</v>
      </c>
      <c r="J91" s="203">
        <f>J$89*'BTX recycling rates'!L47</f>
        <v>1.2653234169710864E-3</v>
      </c>
      <c r="K91" s="203">
        <f>K$89*'BTX recycling rates'!M47</f>
        <v>1.2809185066772995E-3</v>
      </c>
      <c r="L91" s="203">
        <f>L$89*'BTX recycling rates'!N47</f>
        <v>1.2881310811174924E-3</v>
      </c>
      <c r="M91" s="203">
        <f>M$89*'BTX recycling rates'!O47</f>
        <v>1.2868749976432644E-3</v>
      </c>
      <c r="N91" s="203">
        <f>N$89*'BTX recycling rates'!P47</f>
        <v>1.259991630965769E-3</v>
      </c>
      <c r="O91" s="203">
        <f>O$89*'BTX recycling rates'!Q47</f>
        <v>1.2249415345999097E-3</v>
      </c>
      <c r="P91" s="203">
        <f>P$89*'BTX recycling rates'!R47</f>
        <v>1.1823718328923761E-3</v>
      </c>
      <c r="Q91" s="203">
        <f>Q$89*'BTX recycling rates'!S47</f>
        <v>1.1329430143222571E-3</v>
      </c>
      <c r="R91" s="203">
        <f>R$89*'BTX recycling rates'!T47</f>
        <v>1.0773289315010386E-3</v>
      </c>
      <c r="S91" s="203">
        <f>S$89*'BTX recycling rates'!U47</f>
        <v>1.0162168011726049E-3</v>
      </c>
      <c r="T91" s="203">
        <f>T$89*'BTX recycling rates'!V47</f>
        <v>9.5030720421323926E-4</v>
      </c>
      <c r="U91" s="203">
        <f>U$89*'BTX recycling rates'!W47</f>
        <v>8.8031408563162157E-4</v>
      </c>
      <c r="V91" s="203">
        <f>V$89*'BTX recycling rates'!X47</f>
        <v>8.0696475456883197E-4</v>
      </c>
      <c r="W91" s="203">
        <f>W$89*'BTX recycling rates'!Y47</f>
        <v>7.309998842983473E-4</v>
      </c>
      <c r="X91" s="203">
        <f>X$89*'BTX recycling rates'!Z47</f>
        <v>6.6746748327936351E-4</v>
      </c>
      <c r="Y91" s="203">
        <f>Y$89*'BTX recycling rates'!AA47</f>
        <v>5.9852143304220417E-4</v>
      </c>
      <c r="Z91" s="203">
        <f>Z$89*'BTX recycling rates'!AB47</f>
        <v>5.2535544964138383E-4</v>
      </c>
      <c r="AA91" s="203">
        <f>AA$89*'BTX recycling rates'!AC47</f>
        <v>4.4918559396078627E-4</v>
      </c>
      <c r="AB91" s="203">
        <f>AB$89*'BTX recycling rates'!AD47</f>
        <v>3.7125027171366605E-4</v>
      </c>
      <c r="AC91" s="203">
        <f>AC$89*'BTX recycling rates'!AE47</f>
        <v>2.9281023344264695E-4</v>
      </c>
      <c r="AD91" s="203">
        <f>AD$89*'BTX recycling rates'!AF47</f>
        <v>2.1514857451972248E-4</v>
      </c>
      <c r="AE91" s="203">
        <f>AE$89*'BTX recycling rates'!AG47</f>
        <v>1.395707351462562E-4</v>
      </c>
      <c r="AF91" s="203">
        <f>AF$89*'BTX recycling rates'!AH47</f>
        <v>6.740450035298129E-5</v>
      </c>
      <c r="AG91" s="203">
        <f>AG$89*'BTX recycling rates'!AI47</f>
        <v>0</v>
      </c>
      <c r="AH91" s="217"/>
      <c r="AI91" s="124"/>
      <c r="AJ91" s="185"/>
      <c r="AL91" s="100"/>
      <c r="AM91" s="2"/>
      <c r="AN91" s="2"/>
      <c r="AO91" s="2"/>
      <c r="BC91" s="1"/>
      <c r="BD91" s="2"/>
      <c r="BE91" s="2"/>
      <c r="BF91" s="2"/>
      <c r="BG91" s="2"/>
      <c r="BH91" s="2"/>
      <c r="BI91" s="2"/>
      <c r="BJ91" s="2"/>
      <c r="BK91" s="2"/>
    </row>
    <row r="92" spans="1:63" outlineLevel="1">
      <c r="A92" s="4" t="s">
        <v>160</v>
      </c>
      <c r="C92" s="203">
        <f>C$89*'BTX recycling rates'!E48</f>
        <v>0</v>
      </c>
      <c r="D92" s="203">
        <f>D$89*'BTX recycling rates'!F48</f>
        <v>1.121109709363457E-4</v>
      </c>
      <c r="E92" s="203">
        <f>E$89*'BTX recycling rates'!G48</f>
        <v>2.4602286191884168E-4</v>
      </c>
      <c r="F92" s="203">
        <f>F$89*'BTX recycling rates'!H48</f>
        <v>4.0189497933086214E-4</v>
      </c>
      <c r="G92" s="203">
        <f>G$89*'BTX recycling rates'!I48</f>
        <v>5.7965053221410191E-4</v>
      </c>
      <c r="H92" s="203">
        <f>H$89*'BTX recycling rates'!J48</f>
        <v>7.7897663226857692E-4</v>
      </c>
      <c r="I92" s="203">
        <f>I$89*'BTX recycling rates'!K48</f>
        <v>9.9932429385262366E-4</v>
      </c>
      <c r="J92" s="203">
        <f>J$89*'BTX recycling rates'!L48</f>
        <v>1.2399084339829002E-3</v>
      </c>
      <c r="K92" s="203">
        <f>K$89*'BTX recycling rates'!M48</f>
        <v>1.4997078723343854E-3</v>
      </c>
      <c r="L92" s="203">
        <f>L$89*'BTX recycling rates'!N48</f>
        <v>1.7774653312403776E-3</v>
      </c>
      <c r="M92" s="203">
        <f>M$89*'BTX recycling rates'!O48</f>
        <v>2.0716874356924977E-3</v>
      </c>
      <c r="N92" s="203">
        <f>N$89*'BTX recycling rates'!P48</f>
        <v>2.3486841087316957E-3</v>
      </c>
      <c r="O92" s="203">
        <f>O$89*'BTX recycling rates'!Q48</f>
        <v>2.6293110481706589E-3</v>
      </c>
      <c r="P92" s="203">
        <f>P$89*'BTX recycling rates'!R48</f>
        <v>2.9111619804085467E-3</v>
      </c>
      <c r="Q92" s="203">
        <f>Q$89*'BTX recycling rates'!S48</f>
        <v>3.1917876031039983E-3</v>
      </c>
      <c r="R92" s="203">
        <f>R$89*'BTX recycling rates'!T48</f>
        <v>3.4686955851751314E-3</v>
      </c>
      <c r="S92" s="203">
        <f>S$89*'BTX recycling rates'!U48</f>
        <v>3.7393505667995411E-3</v>
      </c>
      <c r="T92" s="203">
        <f>T$89*'BTX recycling rates'!V48</f>
        <v>4.0011741594143044E-3</v>
      </c>
      <c r="U92" s="203">
        <f>U$89*'BTX recycling rates'!W48</f>
        <v>4.2515449457159737E-3</v>
      </c>
      <c r="V92" s="203">
        <f>V$89*'BTX recycling rates'!X48</f>
        <v>4.4877984796605841E-3</v>
      </c>
      <c r="W92" s="203">
        <f>W$89*'BTX recycling rates'!Y48</f>
        <v>4.7072272864636484E-3</v>
      </c>
      <c r="X92" s="203">
        <f>X$89*'BTX recycling rates'!Z48</f>
        <v>5.0144668335457068E-3</v>
      </c>
      <c r="Y92" s="203">
        <f>Y$89*'BTX recycling rates'!AA48</f>
        <v>5.2994434914296219E-3</v>
      </c>
      <c r="Z92" s="203">
        <f>Z$89*'BTX recycling rates'!AB48</f>
        <v>5.5577742503840353E-3</v>
      </c>
      <c r="AA92" s="203">
        <f>AA$89*'BTX recycling rates'!AC48</f>
        <v>5.7850041566234285E-3</v>
      </c>
      <c r="AB92" s="203">
        <f>AB$89*'BTX recycling rates'!AD48</f>
        <v>5.9766063123081435E-3</v>
      </c>
      <c r="AC92" s="203">
        <f>AC$89*'BTX recycling rates'!AE48</f>
        <v>6.1279818755443664E-3</v>
      </c>
      <c r="AD92" s="203">
        <f>AD$89*'BTX recycling rates'!AF48</f>
        <v>6.2344600603841272E-3</v>
      </c>
      <c r="AE92" s="203">
        <f>AE$89*'BTX recycling rates'!AG48</f>
        <v>6.2912981368253131E-3</v>
      </c>
      <c r="AF92" s="203">
        <f>AF$89*'BTX recycling rates'!AH48</f>
        <v>6.2936814308116517E-3</v>
      </c>
      <c r="AG92" s="203">
        <f>AG$89*'BTX recycling rates'!AI48</f>
        <v>6.2367233242327184E-3</v>
      </c>
      <c r="AH92" s="217"/>
      <c r="AI92" s="124"/>
      <c r="AJ92" s="185"/>
      <c r="AL92" s="100"/>
      <c r="AM92" s="2"/>
      <c r="AN92" s="2"/>
      <c r="AO92" s="2"/>
      <c r="BC92" s="1"/>
      <c r="BD92" s="2"/>
      <c r="BE92" s="2"/>
      <c r="BF92" s="2"/>
      <c r="BG92" s="2"/>
      <c r="BH92" s="2"/>
      <c r="BI92" s="2"/>
      <c r="BJ92" s="2"/>
      <c r="BK92" s="2"/>
    </row>
    <row r="93" spans="1:63" outlineLevel="1">
      <c r="A93" s="4" t="s">
        <v>1040</v>
      </c>
      <c r="C93" s="203">
        <f>C$89*'BTX recycling rates'!E49</f>
        <v>0</v>
      </c>
      <c r="D93" s="203">
        <f>D$89*'BTX recycling rates'!F49</f>
        <v>1.121109709363457E-4</v>
      </c>
      <c r="E93" s="203">
        <f>E$89*'BTX recycling rates'!G49</f>
        <v>2.4602286191884168E-4</v>
      </c>
      <c r="F93" s="203">
        <f>F$89*'BTX recycling rates'!H49</f>
        <v>4.0189497933086214E-4</v>
      </c>
      <c r="G93" s="203">
        <f>G$89*'BTX recycling rates'!I49</f>
        <v>5.7965053221410191E-4</v>
      </c>
      <c r="H93" s="203">
        <f>H$89*'BTX recycling rates'!J49</f>
        <v>7.7897663226857692E-4</v>
      </c>
      <c r="I93" s="203">
        <f>I$89*'BTX recycling rates'!K49</f>
        <v>9.9932429385262366E-4</v>
      </c>
      <c r="J93" s="203">
        <f>J$89*'BTX recycling rates'!L49</f>
        <v>1.2399084339829002E-3</v>
      </c>
      <c r="K93" s="203">
        <f>K$89*'BTX recycling rates'!M49</f>
        <v>1.4997078723343854E-3</v>
      </c>
      <c r="L93" s="203">
        <f>L$89*'BTX recycling rates'!N49</f>
        <v>1.7774653312403776E-3</v>
      </c>
      <c r="M93" s="203">
        <f>M$89*'BTX recycling rates'!O49</f>
        <v>2.0716874356924977E-3</v>
      </c>
      <c r="N93" s="203">
        <f>N$89*'BTX recycling rates'!P49</f>
        <v>2.3486841087316957E-3</v>
      </c>
      <c r="O93" s="203">
        <f>O$89*'BTX recycling rates'!Q49</f>
        <v>2.6293110481706589E-3</v>
      </c>
      <c r="P93" s="203">
        <f>P$89*'BTX recycling rates'!R49</f>
        <v>2.9111619804085467E-3</v>
      </c>
      <c r="Q93" s="203">
        <f>Q$89*'BTX recycling rates'!S49</f>
        <v>3.1917876031039983E-3</v>
      </c>
      <c r="R93" s="203">
        <f>R$89*'BTX recycling rates'!T49</f>
        <v>3.4686955851751314E-3</v>
      </c>
      <c r="S93" s="203">
        <f>S$89*'BTX recycling rates'!U49</f>
        <v>3.7393505667995411E-3</v>
      </c>
      <c r="T93" s="203">
        <f>T$89*'BTX recycling rates'!V49</f>
        <v>4.0011741594143044E-3</v>
      </c>
      <c r="U93" s="203">
        <f>U$89*'BTX recycling rates'!W49</f>
        <v>4.2515449457159737E-3</v>
      </c>
      <c r="V93" s="203">
        <f>V$89*'BTX recycling rates'!X49</f>
        <v>4.4877984796605841E-3</v>
      </c>
      <c r="W93" s="203">
        <f>W$89*'BTX recycling rates'!Y49</f>
        <v>4.7072272864636484E-3</v>
      </c>
      <c r="X93" s="203">
        <f>X$89*'BTX recycling rates'!Z49</f>
        <v>5.0144668335457068E-3</v>
      </c>
      <c r="Y93" s="203">
        <f>Y$89*'BTX recycling rates'!AA49</f>
        <v>5.2994434914296219E-3</v>
      </c>
      <c r="Z93" s="203">
        <f>Z$89*'BTX recycling rates'!AB49</f>
        <v>5.5577742503840353E-3</v>
      </c>
      <c r="AA93" s="203">
        <f>AA$89*'BTX recycling rates'!AC49</f>
        <v>5.7850041566234285E-3</v>
      </c>
      <c r="AB93" s="203">
        <f>AB$89*'BTX recycling rates'!AD49</f>
        <v>5.9766063123081435E-3</v>
      </c>
      <c r="AC93" s="203">
        <f>AC$89*'BTX recycling rates'!AE49</f>
        <v>6.1279818755443664E-3</v>
      </c>
      <c r="AD93" s="203">
        <f>AD$89*'BTX recycling rates'!AF49</f>
        <v>6.2344600603841272E-3</v>
      </c>
      <c r="AE93" s="203">
        <f>AE$89*'BTX recycling rates'!AG49</f>
        <v>6.2912981368253131E-3</v>
      </c>
      <c r="AF93" s="203">
        <f>AF$89*'BTX recycling rates'!AH49</f>
        <v>6.2936814308116517E-3</v>
      </c>
      <c r="AG93" s="203">
        <f>AG$89*'BTX recycling rates'!AI49</f>
        <v>6.2367233242327184E-3</v>
      </c>
      <c r="AH93" s="217"/>
      <c r="AI93" s="124"/>
      <c r="AJ93" s="185"/>
      <c r="AL93" s="100"/>
      <c r="AM93" s="2"/>
      <c r="AN93" s="2"/>
      <c r="AO93" s="2"/>
      <c r="BC93" s="1"/>
      <c r="BD93" s="2"/>
      <c r="BE93" s="2"/>
      <c r="BF93" s="2"/>
      <c r="BG93" s="2"/>
      <c r="BH93" s="2"/>
      <c r="BI93" s="2"/>
      <c r="BJ93" s="2"/>
      <c r="BK93" s="2"/>
    </row>
    <row r="94" spans="1:63" s="1" customFormat="1" outlineLevel="1">
      <c r="A94" s="1" t="s">
        <v>1051</v>
      </c>
      <c r="B94" s="60"/>
      <c r="C94" s="250">
        <f>C89-$C89</f>
        <v>0</v>
      </c>
      <c r="D94" s="250">
        <f t="shared" ref="D94:AG94" si="39">D89-$C89</f>
        <v>6.4730001359184029E-4</v>
      </c>
      <c r="E94" s="250">
        <f t="shared" si="39"/>
        <v>1.3013276149763499E-3</v>
      </c>
      <c r="F94" s="250">
        <f t="shared" si="39"/>
        <v>1.9585413440283408E-3</v>
      </c>
      <c r="G94" s="250">
        <f t="shared" si="39"/>
        <v>2.6153997406226275E-3</v>
      </c>
      <c r="H94" s="250">
        <f t="shared" si="39"/>
        <v>3.2683613446340227E-3</v>
      </c>
      <c r="I94" s="250">
        <f t="shared" si="39"/>
        <v>3.9138846959373358E-3</v>
      </c>
      <c r="J94" s="250">
        <f t="shared" si="39"/>
        <v>4.5484283344073883E-3</v>
      </c>
      <c r="K94" s="250">
        <f t="shared" si="39"/>
        <v>5.1684507999189893E-3</v>
      </c>
      <c r="L94" s="250">
        <f t="shared" si="39"/>
        <v>5.7704106323469501E-3</v>
      </c>
      <c r="M94" s="250">
        <f t="shared" si="39"/>
        <v>6.3507663715660868E-3</v>
      </c>
      <c r="N94" s="250">
        <f t="shared" si="39"/>
        <v>6.7316459868567132E-3</v>
      </c>
      <c r="O94" s="250">
        <f t="shared" si="39"/>
        <v>7.0671969982643952E-3</v>
      </c>
      <c r="P94" s="250">
        <f t="shared" si="39"/>
        <v>7.3567739746813144E-3</v>
      </c>
      <c r="Q94" s="250">
        <f t="shared" si="39"/>
        <v>7.5997314849996648E-3</v>
      </c>
      <c r="R94" s="250">
        <f t="shared" si="39"/>
        <v>7.795424098111626E-3</v>
      </c>
      <c r="S94" s="250">
        <f t="shared" si="39"/>
        <v>7.9432063829093791E-3</v>
      </c>
      <c r="T94" s="250">
        <f t="shared" si="39"/>
        <v>8.0424329082851159E-3</v>
      </c>
      <c r="U94" s="250">
        <f t="shared" si="39"/>
        <v>8.0924582431310121E-3</v>
      </c>
      <c r="V94" s="250">
        <f t="shared" si="39"/>
        <v>8.0926369563392615E-3</v>
      </c>
      <c r="W94" s="250">
        <f t="shared" si="39"/>
        <v>8.042323616802044E-3</v>
      </c>
      <c r="X94" s="250">
        <f t="shared" si="39"/>
        <v>8.2476898532559753E-3</v>
      </c>
      <c r="Y94" s="250">
        <f t="shared" si="39"/>
        <v>8.3736694613100703E-3</v>
      </c>
      <c r="Z94" s="250">
        <f t="shared" si="39"/>
        <v>8.4191832801520615E-3</v>
      </c>
      <c r="AA94" s="250">
        <f t="shared" si="39"/>
        <v>8.3831521489696713E-3</v>
      </c>
      <c r="AB94" s="250">
        <f t="shared" si="39"/>
        <v>8.2644969069506462E-3</v>
      </c>
      <c r="AC94" s="250">
        <f t="shared" si="39"/>
        <v>8.0621383932827154E-3</v>
      </c>
      <c r="AD94" s="250">
        <f t="shared" si="39"/>
        <v>7.7749974471536054E-3</v>
      </c>
      <c r="AE94" s="250">
        <f t="shared" si="39"/>
        <v>7.401994907751056E-3</v>
      </c>
      <c r="AF94" s="250">
        <f t="shared" si="39"/>
        <v>6.9420516142627937E-3</v>
      </c>
      <c r="AG94" s="250">
        <f t="shared" si="39"/>
        <v>6.3940884058765355E-3</v>
      </c>
      <c r="AH94" s="217"/>
      <c r="AI94" s="368"/>
      <c r="AJ94" s="369"/>
      <c r="AL94" s="194"/>
      <c r="AM94" s="116"/>
      <c r="AN94" s="116"/>
      <c r="AO94" s="116"/>
      <c r="BD94" s="116"/>
      <c r="BE94" s="116"/>
      <c r="BF94" s="116"/>
      <c r="BG94" s="116"/>
      <c r="BH94" s="116"/>
      <c r="BI94" s="116"/>
      <c r="BJ94" s="116"/>
      <c r="BK94" s="116"/>
    </row>
    <row r="95" spans="1:63" outlineLevel="1">
      <c r="A95" s="4" t="s">
        <v>35</v>
      </c>
      <c r="C95" s="203">
        <f>C90-$C90</f>
        <v>0</v>
      </c>
      <c r="D95" s="203">
        <f t="shared" ref="D95:AG95" si="40">D90-$C90</f>
        <v>3.573769694237023E-4</v>
      </c>
      <c r="E95" s="203">
        <f t="shared" si="40"/>
        <v>6.8360600323575868E-4</v>
      </c>
      <c r="F95" s="203">
        <f t="shared" si="40"/>
        <v>9.7542647120244137E-4</v>
      </c>
      <c r="G95" s="203">
        <f t="shared" si="40"/>
        <v>1.2299766092005535E-3</v>
      </c>
      <c r="H95" s="203">
        <f t="shared" si="40"/>
        <v>1.4447935192174249E-3</v>
      </c>
      <c r="I95" s="203">
        <f t="shared" si="40"/>
        <v>1.6178131693509118E-3</v>
      </c>
      <c r="J95" s="203">
        <f t="shared" si="40"/>
        <v>1.7473703938094077E-3</v>
      </c>
      <c r="K95" s="203">
        <f t="shared" si="40"/>
        <v>1.8321988929118245E-3</v>
      </c>
      <c r="L95" s="203">
        <f t="shared" si="40"/>
        <v>1.871431233087608E-3</v>
      </c>
      <c r="M95" s="203">
        <f t="shared" si="40"/>
        <v>1.8645988468767305E-3</v>
      </c>
      <c r="N95" s="203">
        <f t="shared" si="40"/>
        <v>1.7183684827664558E-3</v>
      </c>
      <c r="O95" s="203">
        <f t="shared" si="40"/>
        <v>1.5277157116620702E-3</v>
      </c>
      <c r="P95" s="203">
        <f t="shared" si="40"/>
        <v>1.2961605253107482E-3</v>
      </c>
      <c r="Q95" s="203">
        <f t="shared" si="40"/>
        <v>1.0272956088083129E-3</v>
      </c>
      <c r="R95" s="203">
        <f t="shared" si="40"/>
        <v>7.2478634059922661E-4</v>
      </c>
      <c r="S95" s="203">
        <f t="shared" si="40"/>
        <v>3.9237079247659342E-4</v>
      </c>
      <c r="T95" s="203">
        <f t="shared" si="40"/>
        <v>3.3859729582169651E-5</v>
      </c>
      <c r="U95" s="203">
        <f t="shared" si="40"/>
        <v>-3.4686338959365442E-4</v>
      </c>
      <c r="V95" s="203">
        <f t="shared" si="40"/>
        <v>-7.4584241321183718E-4</v>
      </c>
      <c r="W95" s="203">
        <f t="shared" si="40"/>
        <v>-1.159048496084697E-3</v>
      </c>
      <c r="X95" s="203">
        <f t="shared" si="40"/>
        <v>-1.5046289527758986E-3</v>
      </c>
      <c r="Y95" s="203">
        <f t="shared" si="40"/>
        <v>-1.879656610252477E-3</v>
      </c>
      <c r="Z95" s="203">
        <f t="shared" si="40"/>
        <v>-2.2776383259184908E-3</v>
      </c>
      <c r="AA95" s="203">
        <f t="shared" si="40"/>
        <v>-2.6919594138990698E-3</v>
      </c>
      <c r="AB95" s="203">
        <f t="shared" si="40"/>
        <v>-3.1158836450404064E-3</v>
      </c>
      <c r="AC95" s="203">
        <f t="shared" si="40"/>
        <v>-3.542553246909763E-3</v>
      </c>
      <c r="AD95" s="203">
        <f t="shared" si="40"/>
        <v>-3.9649889037954699E-3</v>
      </c>
      <c r="AE95" s="203">
        <f t="shared" si="40"/>
        <v>-4.3760897567069234E-3</v>
      </c>
      <c r="AF95" s="203">
        <f t="shared" si="40"/>
        <v>-4.7686334033745894E-3</v>
      </c>
      <c r="AG95" s="203">
        <f t="shared" si="40"/>
        <v>-5.1352758982499925E-3</v>
      </c>
      <c r="AH95" s="217"/>
      <c r="AI95" s="124"/>
      <c r="AJ95" s="185"/>
      <c r="AL95" s="100"/>
      <c r="AM95" s="2"/>
      <c r="AN95" s="2"/>
      <c r="AO95" s="2"/>
      <c r="BC95" s="1"/>
      <c r="BD95" s="2"/>
      <c r="BE95" s="2"/>
      <c r="BF95" s="2"/>
      <c r="BG95" s="2"/>
      <c r="BH95" s="2"/>
      <c r="BI95" s="2"/>
      <c r="BJ95" s="2"/>
      <c r="BK95" s="2"/>
    </row>
    <row r="96" spans="1:63" outlineLevel="1">
      <c r="A96" s="4" t="s">
        <v>74</v>
      </c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17"/>
      <c r="AI96" s="124"/>
      <c r="AJ96" s="185"/>
      <c r="AL96" s="100"/>
      <c r="AM96" s="2"/>
      <c r="AN96" s="2"/>
      <c r="AO96" s="2"/>
      <c r="BC96" s="1"/>
      <c r="BD96" s="2"/>
      <c r="BE96" s="2"/>
      <c r="BF96" s="2"/>
      <c r="BG96" s="2"/>
      <c r="BH96" s="2"/>
      <c r="BI96" s="2"/>
      <c r="BJ96" s="2"/>
      <c r="BK96" s="2"/>
    </row>
    <row r="97" spans="1:63" outlineLevel="1">
      <c r="A97" s="4" t="s">
        <v>160</v>
      </c>
      <c r="C97" s="203">
        <f t="shared" ref="C97:AG97" si="41">C92-$C92</f>
        <v>0</v>
      </c>
      <c r="D97" s="203">
        <f t="shared" si="41"/>
        <v>1.121109709363457E-4</v>
      </c>
      <c r="E97" s="203">
        <f t="shared" si="41"/>
        <v>2.4602286191884168E-4</v>
      </c>
      <c r="F97" s="203">
        <f t="shared" si="41"/>
        <v>4.0189497933086214E-4</v>
      </c>
      <c r="G97" s="203">
        <f t="shared" si="41"/>
        <v>5.7965053221410191E-4</v>
      </c>
      <c r="H97" s="203">
        <f t="shared" si="41"/>
        <v>7.7897663226857692E-4</v>
      </c>
      <c r="I97" s="203">
        <f t="shared" si="41"/>
        <v>9.9932429385262366E-4</v>
      </c>
      <c r="J97" s="203">
        <f t="shared" si="41"/>
        <v>1.2399084339829002E-3</v>
      </c>
      <c r="K97" s="203">
        <f t="shared" si="41"/>
        <v>1.4997078723343854E-3</v>
      </c>
      <c r="L97" s="203">
        <f t="shared" si="41"/>
        <v>1.7774653312403776E-3</v>
      </c>
      <c r="M97" s="203">
        <f t="shared" si="41"/>
        <v>2.0716874356924977E-3</v>
      </c>
      <c r="N97" s="203">
        <f t="shared" si="41"/>
        <v>2.3486841087316957E-3</v>
      </c>
      <c r="O97" s="203">
        <f t="shared" si="41"/>
        <v>2.6293110481706589E-3</v>
      </c>
      <c r="P97" s="203">
        <f t="shared" si="41"/>
        <v>2.9111619804085467E-3</v>
      </c>
      <c r="Q97" s="203">
        <f t="shared" si="41"/>
        <v>3.1917876031039983E-3</v>
      </c>
      <c r="R97" s="203">
        <f t="shared" si="41"/>
        <v>3.4686955851751314E-3</v>
      </c>
      <c r="S97" s="203">
        <f t="shared" si="41"/>
        <v>3.7393505667995411E-3</v>
      </c>
      <c r="T97" s="203">
        <f t="shared" si="41"/>
        <v>4.0011741594143044E-3</v>
      </c>
      <c r="U97" s="203">
        <f t="shared" si="41"/>
        <v>4.2515449457159737E-3</v>
      </c>
      <c r="V97" s="203">
        <f t="shared" si="41"/>
        <v>4.4877984796605841E-3</v>
      </c>
      <c r="W97" s="203">
        <f t="shared" si="41"/>
        <v>4.7072272864636484E-3</v>
      </c>
      <c r="X97" s="203">
        <f t="shared" si="41"/>
        <v>5.0144668335457068E-3</v>
      </c>
      <c r="Y97" s="203">
        <f t="shared" si="41"/>
        <v>5.2994434914296219E-3</v>
      </c>
      <c r="Z97" s="203">
        <f t="shared" si="41"/>
        <v>5.5577742503840353E-3</v>
      </c>
      <c r="AA97" s="203">
        <f t="shared" si="41"/>
        <v>5.7850041566234285E-3</v>
      </c>
      <c r="AB97" s="203">
        <f t="shared" si="41"/>
        <v>5.9766063123081435E-3</v>
      </c>
      <c r="AC97" s="203">
        <f t="shared" si="41"/>
        <v>6.1279818755443664E-3</v>
      </c>
      <c r="AD97" s="203">
        <f t="shared" si="41"/>
        <v>6.2344600603841272E-3</v>
      </c>
      <c r="AE97" s="203">
        <f t="shared" si="41"/>
        <v>6.2912981368253131E-3</v>
      </c>
      <c r="AF97" s="203">
        <f t="shared" si="41"/>
        <v>6.2936814308116517E-3</v>
      </c>
      <c r="AG97" s="203">
        <f t="shared" si="41"/>
        <v>6.2367233242327184E-3</v>
      </c>
      <c r="AH97" s="217"/>
      <c r="AI97" s="124"/>
      <c r="AJ97" s="185"/>
      <c r="AL97" s="100"/>
      <c r="AM97" s="2"/>
      <c r="AN97" s="2"/>
      <c r="AO97" s="2"/>
      <c r="BC97" s="1"/>
      <c r="BD97" s="2"/>
      <c r="BE97" s="2"/>
      <c r="BF97" s="2"/>
      <c r="BG97" s="2"/>
      <c r="BH97" s="2"/>
      <c r="BI97" s="2"/>
      <c r="BJ97" s="2"/>
      <c r="BK97" s="2"/>
    </row>
    <row r="98" spans="1:63" outlineLevel="1">
      <c r="A98" s="4" t="s">
        <v>1040</v>
      </c>
      <c r="C98" s="203">
        <f t="shared" ref="C98:AG98" si="42">C93-$C93</f>
        <v>0</v>
      </c>
      <c r="D98" s="203">
        <f t="shared" si="42"/>
        <v>1.121109709363457E-4</v>
      </c>
      <c r="E98" s="203">
        <f t="shared" si="42"/>
        <v>2.4602286191884168E-4</v>
      </c>
      <c r="F98" s="203">
        <f t="shared" si="42"/>
        <v>4.0189497933086214E-4</v>
      </c>
      <c r="G98" s="203">
        <f t="shared" si="42"/>
        <v>5.7965053221410191E-4</v>
      </c>
      <c r="H98" s="203">
        <f t="shared" si="42"/>
        <v>7.7897663226857692E-4</v>
      </c>
      <c r="I98" s="203">
        <f t="shared" si="42"/>
        <v>9.9932429385262366E-4</v>
      </c>
      <c r="J98" s="203">
        <f t="shared" si="42"/>
        <v>1.2399084339829002E-3</v>
      </c>
      <c r="K98" s="203">
        <f t="shared" si="42"/>
        <v>1.4997078723343854E-3</v>
      </c>
      <c r="L98" s="203">
        <f t="shared" si="42"/>
        <v>1.7774653312403776E-3</v>
      </c>
      <c r="M98" s="203">
        <f t="shared" si="42"/>
        <v>2.0716874356924977E-3</v>
      </c>
      <c r="N98" s="203">
        <f t="shared" si="42"/>
        <v>2.3486841087316957E-3</v>
      </c>
      <c r="O98" s="203">
        <f t="shared" si="42"/>
        <v>2.6293110481706589E-3</v>
      </c>
      <c r="P98" s="203">
        <f t="shared" si="42"/>
        <v>2.9111619804085467E-3</v>
      </c>
      <c r="Q98" s="203">
        <f t="shared" si="42"/>
        <v>3.1917876031039983E-3</v>
      </c>
      <c r="R98" s="203">
        <f t="shared" si="42"/>
        <v>3.4686955851751314E-3</v>
      </c>
      <c r="S98" s="203">
        <f t="shared" si="42"/>
        <v>3.7393505667995411E-3</v>
      </c>
      <c r="T98" s="203">
        <f t="shared" si="42"/>
        <v>4.0011741594143044E-3</v>
      </c>
      <c r="U98" s="203">
        <f t="shared" si="42"/>
        <v>4.2515449457159737E-3</v>
      </c>
      <c r="V98" s="203">
        <f t="shared" si="42"/>
        <v>4.4877984796605841E-3</v>
      </c>
      <c r="W98" s="203">
        <f t="shared" si="42"/>
        <v>4.7072272864636484E-3</v>
      </c>
      <c r="X98" s="203">
        <f t="shared" si="42"/>
        <v>5.0144668335457068E-3</v>
      </c>
      <c r="Y98" s="203">
        <f t="shared" si="42"/>
        <v>5.2994434914296219E-3</v>
      </c>
      <c r="Z98" s="203">
        <f t="shared" si="42"/>
        <v>5.5577742503840353E-3</v>
      </c>
      <c r="AA98" s="203">
        <f t="shared" si="42"/>
        <v>5.7850041566234285E-3</v>
      </c>
      <c r="AB98" s="203">
        <f t="shared" si="42"/>
        <v>5.9766063123081435E-3</v>
      </c>
      <c r="AC98" s="203">
        <f t="shared" si="42"/>
        <v>6.1279818755443664E-3</v>
      </c>
      <c r="AD98" s="203">
        <f t="shared" si="42"/>
        <v>6.2344600603841272E-3</v>
      </c>
      <c r="AE98" s="203">
        <f t="shared" si="42"/>
        <v>6.2912981368253131E-3</v>
      </c>
      <c r="AF98" s="203">
        <f t="shared" si="42"/>
        <v>6.2936814308116517E-3</v>
      </c>
      <c r="AG98" s="203">
        <f t="shared" si="42"/>
        <v>6.2367233242327184E-3</v>
      </c>
      <c r="AH98" s="217"/>
      <c r="AI98" s="124"/>
      <c r="AJ98" s="185"/>
      <c r="AL98" s="100"/>
      <c r="AM98" s="2"/>
      <c r="AN98" s="2"/>
      <c r="AO98" s="2"/>
      <c r="BC98" s="1"/>
      <c r="BD98" s="2"/>
      <c r="BE98" s="2"/>
      <c r="BF98" s="2"/>
      <c r="BG98" s="2"/>
      <c r="BH98" s="2"/>
      <c r="BI98" s="2"/>
      <c r="BJ98" s="2"/>
      <c r="BK98" s="2"/>
    </row>
    <row r="99" spans="1:63" s="1" customFormat="1" outlineLevel="1">
      <c r="A99" s="1" t="s">
        <v>1043</v>
      </c>
      <c r="B99" s="60"/>
      <c r="C99" s="250">
        <f>'BTX Recycling HC'!C99</f>
        <v>54092.253969783866</v>
      </c>
      <c r="D99" s="250">
        <f>'BTX Recycling HC'!D99</f>
        <v>54626.136169724654</v>
      </c>
      <c r="E99" s="250">
        <f>'BTX Recycling HC'!E99</f>
        <v>54782.208892980299</v>
      </c>
      <c r="F99" s="250">
        <f>'BTX Recycling HC'!F99</f>
        <v>54884.414368514372</v>
      </c>
      <c r="G99" s="250">
        <f>'BTX Recycling HC'!G99</f>
        <v>54833.494850561088</v>
      </c>
      <c r="H99" s="250">
        <f>'BTX Recycling HC'!H99</f>
        <v>54635.926269975047</v>
      </c>
      <c r="I99" s="250">
        <f>'BTX Recycling HC'!I99</f>
        <v>54298.131844927782</v>
      </c>
      <c r="J99" s="250">
        <f>'BTX Recycling HC'!J99</f>
        <v>53826.482363605399</v>
      </c>
      <c r="K99" s="250">
        <f>'BTX Recycling HC'!K99</f>
        <v>53227.296465676118</v>
      </c>
      <c r="L99" s="250">
        <f>'BTX Recycling HC'!L99</f>
        <v>52506.840922532436</v>
      </c>
      <c r="M99" s="250">
        <f>'BTX Recycling HC'!M99</f>
        <v>51671.330916312872</v>
      </c>
      <c r="N99" s="250">
        <f>'BTX Recycling HC'!N99</f>
        <v>48785.640226665033</v>
      </c>
      <c r="O99" s="250">
        <f>'BTX Recycling HC'!O99</f>
        <v>45974.774979033165</v>
      </c>
      <c r="P99" s="250">
        <f>'BTX Recycling HC'!P99</f>
        <v>43239.471931314212</v>
      </c>
      <c r="Q99" s="250">
        <f>'BTX Recycling HC'!Q99</f>
        <v>40580.459270646708</v>
      </c>
      <c r="R99" s="250">
        <f>'BTX Recycling HC'!R99</f>
        <v>37998.456664398516</v>
      </c>
      <c r="S99" s="250">
        <f>'BTX Recycling HC'!S99</f>
        <v>35494.17531092171</v>
      </c>
      <c r="T99" s="250">
        <f>'BTX Recycling HC'!T99</f>
        <v>33068.317990075062</v>
      </c>
      <c r="U99" s="250">
        <f>'BTX Recycling HC'!U99</f>
        <v>30721.579113515378</v>
      </c>
      <c r="V99" s="250">
        <f>'BTX Recycling HC'!V99</f>
        <v>28454.644774758461</v>
      </c>
      <c r="W99" s="250">
        <f>'BTX Recycling HC'!W99</f>
        <v>26268.192799010427</v>
      </c>
      <c r="X99" s="250">
        <f>'BTX Recycling HC'!X99</f>
        <v>24423.432965707139</v>
      </c>
      <c r="Y99" s="250">
        <f>'BTX Recycling HC'!Y99</f>
        <v>22635.433956179517</v>
      </c>
      <c r="Z99" s="250">
        <f>'BTX Recycling HC'!Z99</f>
        <v>20904.724605587187</v>
      </c>
      <c r="AA99" s="250">
        <f>'BTX Recycling HC'!AA99</f>
        <v>19231.82749837498</v>
      </c>
      <c r="AB99" s="250">
        <f>'BTX Recycling HC'!AB99</f>
        <v>17617.259005606531</v>
      </c>
      <c r="AC99" s="250">
        <f>'BTX Recycling HC'!AC99</f>
        <v>16061.529322126804</v>
      </c>
      <c r="AD99" s="250">
        <f>'BTX Recycling HC'!AD99</f>
        <v>14565.142503554385</v>
      </c>
      <c r="AE99" s="250">
        <f>'BTX Recycling HC'!AE99</f>
        <v>13128.596503104036</v>
      </c>
      <c r="AF99" s="250">
        <f>'BTX Recycling HC'!AF99</f>
        <v>11752.383208240341</v>
      </c>
      <c r="AG99" s="250">
        <f>'BTX Recycling HC'!AG99</f>
        <v>10436.988477162949</v>
      </c>
      <c r="AH99" s="217"/>
      <c r="AI99" s="368"/>
      <c r="AJ99" s="369"/>
      <c r="AL99" s="194"/>
      <c r="AM99" s="116"/>
      <c r="AN99" s="116"/>
      <c r="AO99" s="116"/>
      <c r="BD99" s="116"/>
      <c r="BE99" s="116"/>
      <c r="BF99" s="116"/>
      <c r="BG99" s="116"/>
      <c r="BH99" s="116"/>
      <c r="BI99" s="116"/>
      <c r="BJ99" s="116"/>
      <c r="BK99" s="116"/>
    </row>
    <row r="100" spans="1:63" outlineLevel="1">
      <c r="A100" s="4" t="s">
        <v>35</v>
      </c>
      <c r="C100" s="203">
        <f>C$99*'BTX recycling rates'!E54</f>
        <v>45692.100548882314</v>
      </c>
      <c r="D100" s="203">
        <f>D$99*'BTX recycling rates'!F54</f>
        <v>45290.691851348616</v>
      </c>
      <c r="E100" s="203">
        <f>E$99*'BTX recycling rates'!G54</f>
        <v>44565.274182025765</v>
      </c>
      <c r="F100" s="203">
        <f>F$99*'BTX recycling rates'!H54</f>
        <v>43792.005402320756</v>
      </c>
      <c r="G100" s="203">
        <f>G$99*'BTX recycling rates'!I54</f>
        <v>42895.758677564358</v>
      </c>
      <c r="H100" s="203">
        <f>H$99*'BTX recycling rates'!J54</f>
        <v>41888.66707860474</v>
      </c>
      <c r="I100" s="203">
        <f>I$99*'BTX recycling rates'!K54</f>
        <v>40782.419884657182</v>
      </c>
      <c r="J100" s="203">
        <f>J$99*'BTX recycling rates'!L54</f>
        <v>39588.266903848744</v>
      </c>
      <c r="K100" s="203">
        <f>K$99*'BTX recycling rates'!M54</f>
        <v>38317.022766410308</v>
      </c>
      <c r="L100" s="203">
        <f>L$99*'BTX recycling rates'!N54</f>
        <v>36979.071190653529</v>
      </c>
      <c r="M100" s="203">
        <f>M$99*'BTX recycling rates'!O54</f>
        <v>35584.369221870082</v>
      </c>
      <c r="N100" s="203">
        <f>N$99*'BTX recycling rates'!P54</f>
        <v>32835.839704576763</v>
      </c>
      <c r="O100" s="203">
        <f>O$99*'BTX recycling rates'!Q54</f>
        <v>30226.561158997803</v>
      </c>
      <c r="P100" s="203">
        <f>P$99*'BTX recycling rates'!R54</f>
        <v>27753.503763420969</v>
      </c>
      <c r="Q100" s="203">
        <f>Q$99*'BTX recycling rates'!S54</f>
        <v>25413.586343391591</v>
      </c>
      <c r="R100" s="203">
        <f>R$99*'BTX recycling rates'!T54</f>
        <v>23203.677071535902</v>
      </c>
      <c r="S100" s="203">
        <f>S$99*'BTX recycling rates'!U54</f>
        <v>21120.594162472171</v>
      </c>
      <c r="T100" s="203">
        <f>T$99*'BTX recycling rates'!V54</f>
        <v>19161.106562835317</v>
      </c>
      <c r="U100" s="203">
        <f>U$99*'BTX recycling rates'!W54</f>
        <v>17321.93463644107</v>
      </c>
      <c r="V100" s="203">
        <f>V$99*'BTX recycling rates'!X54</f>
        <v>15599.750844615422</v>
      </c>
      <c r="W100" s="203">
        <f>W$99*'BTX recycling rates'!Y54</f>
        <v>13991.18042171484</v>
      </c>
      <c r="X100" s="203">
        <f>X$99*'BTX recycling rates'!Z54</f>
        <v>12627.50763899732</v>
      </c>
      <c r="Y100" s="203">
        <f>Y$99*'BTX recycling rates'!AA54</f>
        <v>11349.866912788855</v>
      </c>
      <c r="Z100" s="203">
        <f>Z$99*'BTX recycling rates'!AB54</f>
        <v>10155.858083265406</v>
      </c>
      <c r="AA100" s="203">
        <f>AA$99*'BTX recycling rates'!AC54</f>
        <v>9043.0450438010321</v>
      </c>
      <c r="AB100" s="203">
        <f>AB$99*'BTX recycling rates'!AD54</f>
        <v>8008.9562456188078</v>
      </c>
      <c r="AC100" s="203">
        <f>AC$99*'BTX recycling rates'!AE54</f>
        <v>7051.0851988713212</v>
      </c>
      <c r="AD100" s="203">
        <f>AD$99*'BTX recycling rates'!AF54</f>
        <v>6166.8909701698085</v>
      </c>
      <c r="AE100" s="203">
        <f>AE$99*'BTX recycling rates'!AG54</f>
        <v>5353.79867658072</v>
      </c>
      <c r="AF100" s="203">
        <f>AF$99*'BTX recycling rates'!AH54</f>
        <v>4609.1999761085781</v>
      </c>
      <c r="AG100" s="203">
        <f>AG$99*'BTX recycling rates'!AI54</f>
        <v>3930.4535546837878</v>
      </c>
      <c r="AH100" s="217"/>
      <c r="AI100" s="124"/>
      <c r="AJ100" s="185"/>
      <c r="AL100" s="100"/>
      <c r="AM100" s="2"/>
      <c r="AN100" s="2"/>
      <c r="AO100" s="2"/>
      <c r="BC100" s="1"/>
      <c r="BD100" s="2"/>
      <c r="BE100" s="2"/>
      <c r="BF100" s="2"/>
      <c r="BG100" s="2"/>
      <c r="BH100" s="2"/>
      <c r="BI100" s="2"/>
      <c r="BJ100" s="2"/>
      <c r="BK100" s="2"/>
    </row>
    <row r="101" spans="1:63" outlineLevel="1">
      <c r="A101" s="4" t="s">
        <v>74</v>
      </c>
      <c r="C101" s="203">
        <f>C$99*'BTX recycling rates'!E55</f>
        <v>8400.1534209015572</v>
      </c>
      <c r="D101" s="203">
        <f>D$99*'BTX recycling rates'!F55</f>
        <v>9173.0898542428931</v>
      </c>
      <c r="E101" s="203">
        <f>E$99*'BTX recycling rates'!G55</f>
        <v>9891.2980544933926</v>
      </c>
      <c r="F101" s="203">
        <f>F$99*'BTX recycling rates'!H55</f>
        <v>10603.042686119765</v>
      </c>
      <c r="G101" s="203">
        <f>G$99*'BTX recycling rates'!I55</f>
        <v>11285.853151627573</v>
      </c>
      <c r="H101" s="203">
        <f>H$99*'BTX recycling rates'!J55</f>
        <v>11935.34138480792</v>
      </c>
      <c r="I101" s="203">
        <f>I$99*'BTX recycling rates'!K55</f>
        <v>12547.434349891088</v>
      </c>
      <c r="J101" s="203">
        <f>J$99*'BTX recycling rates'!L55</f>
        <v>13118.370781155463</v>
      </c>
      <c r="K101" s="203">
        <f>K$99*'BTX recycling rates'!M55</f>
        <v>13644.697943647088</v>
      </c>
      <c r="L101" s="203">
        <f>L$99*'BTX recycling rates'!N55</f>
        <v>14123.268414902297</v>
      </c>
      <c r="M101" s="203">
        <f>M$99*'BTX recycling rates'!O55</f>
        <v>14551.236887566509</v>
      </c>
      <c r="N101" s="203">
        <f>N$99*'BTX recycling rates'!P55</f>
        <v>14354.845481343313</v>
      </c>
      <c r="O101" s="203">
        <f>O$99*'BTX recycling rates'!Q55</f>
        <v>14108.513014800652</v>
      </c>
      <c r="P101" s="203">
        <f>P$99*'BTX recycling rates'!R55</f>
        <v>13815.31043458834</v>
      </c>
      <c r="Q101" s="203">
        <f>Q$99*'BTX recycling rates'!S55</f>
        <v>13478.343067085294</v>
      </c>
      <c r="R101" s="203">
        <f>R$99*'BTX recycling rates'!T55</f>
        <v>13100.750094656665</v>
      </c>
      <c r="S101" s="203">
        <f>S$99*'BTX recycling rates'!U55</f>
        <v>12685.704035692166</v>
      </c>
      <c r="T101" s="203">
        <f>T$99*'BTX recycling rates'!V55</f>
        <v>12236.410228405175</v>
      </c>
      <c r="U101" s="203">
        <f>U$99*'BTX recycling rates'!W55</f>
        <v>11756.106318372515</v>
      </c>
      <c r="V101" s="203">
        <f>V$99*'BTX recycling rates'!X55</f>
        <v>11248.061749794822</v>
      </c>
      <c r="W101" s="203">
        <f>W$99*'BTX recycling rates'!Y55</f>
        <v>10715.577260457385</v>
      </c>
      <c r="X101" s="203">
        <f>X$99*'BTX recycling rates'!Z55</f>
        <v>10271.557567263981</v>
      </c>
      <c r="Y101" s="203">
        <f>Y$99*'BTX recycling rates'!AA55</f>
        <v>9805.5208937400403</v>
      </c>
      <c r="Z101" s="203">
        <f>Z$99*'BTX recycling rates'!AB55</f>
        <v>9319.8539876468112</v>
      </c>
      <c r="AA101" s="203">
        <f>AA$99*'BTX recycling rates'!AC55</f>
        <v>8816.9674516902269</v>
      </c>
      <c r="AB101" s="203">
        <f>AB$99*'BTX recycling rates'!AD55</f>
        <v>8299.2953663184344</v>
      </c>
      <c r="AC101" s="203">
        <f>AC$99*'BTX recycling rates'!AE55</f>
        <v>7769.2949152661176</v>
      </c>
      <c r="AD101" s="203">
        <f>AD$99*'BTX recycling rates'!AF55</f>
        <v>7229.4460138309114</v>
      </c>
      <c r="AE101" s="203">
        <f>AE$99*'BTX recycling rates'!AG55</f>
        <v>6682.2509398671009</v>
      </c>
      <c r="AF101" s="203">
        <f>AF$99*'BTX recycling rates'!AH55</f>
        <v>6130.2339674820423</v>
      </c>
      <c r="AG101" s="203">
        <f>AG$99*'BTX recycling rates'!AI55</f>
        <v>5575.9410034206194</v>
      </c>
      <c r="AH101" s="217"/>
      <c r="AI101" s="124"/>
      <c r="AJ101" s="185"/>
      <c r="AL101" s="100"/>
      <c r="AM101" s="2"/>
      <c r="AN101" s="2"/>
      <c r="AO101" s="2"/>
      <c r="BC101" s="1"/>
      <c r="BD101" s="2"/>
      <c r="BE101" s="2"/>
      <c r="BF101" s="2"/>
      <c r="BG101" s="2"/>
      <c r="BH101" s="2"/>
      <c r="BI101" s="2"/>
      <c r="BJ101" s="2"/>
      <c r="BK101" s="2"/>
    </row>
    <row r="102" spans="1:63" outlineLevel="1">
      <c r="A102" s="4" t="s">
        <v>160</v>
      </c>
      <c r="C102" s="203">
        <f>C$99*'BTX recycling rates'!E56</f>
        <v>0</v>
      </c>
      <c r="D102" s="203">
        <f>D$99*'BTX recycling rates'!F56</f>
        <v>52.835115376134581</v>
      </c>
      <c r="E102" s="203">
        <f>E$99*'BTX recycling rates'!G56</f>
        <v>105.97214192221385</v>
      </c>
      <c r="F102" s="203">
        <f>F$99*'BTX recycling rates'!H56</f>
        <v>159.25477631269112</v>
      </c>
      <c r="G102" s="203">
        <f>G$99*'BTX recycling rates'!I56</f>
        <v>212.14270164776912</v>
      </c>
      <c r="H102" s="203">
        <f>H$99*'BTX recycling rates'!J56</f>
        <v>264.22292244751532</v>
      </c>
      <c r="I102" s="203">
        <f>I$99*'BTX recycling rates'!K56</f>
        <v>315.10719174664848</v>
      </c>
      <c r="J102" s="203">
        <f>J$99*'BTX recycling rates'!L56</f>
        <v>364.43175808654843</v>
      </c>
      <c r="K102" s="203">
        <f>K$99*'BTX recycling rates'!M56</f>
        <v>411.85711413832075</v>
      </c>
      <c r="L102" s="203">
        <f>L$99*'BTX recycling rates'!N56</f>
        <v>457.06774694862992</v>
      </c>
      <c r="M102" s="203">
        <f>M$99*'BTX recycling rates'!O56</f>
        <v>499.77188980005076</v>
      </c>
      <c r="N102" s="203">
        <f>N$99*'BTX recycling rates'!P56</f>
        <v>519.04722206095107</v>
      </c>
      <c r="O102" s="203">
        <f>O$99*'BTX recycling rates'!Q56</f>
        <v>533.60886434182203</v>
      </c>
      <c r="P102" s="203">
        <f>P$99*'BTX recycling rates'!R56</f>
        <v>543.68319691414922</v>
      </c>
      <c r="Q102" s="203">
        <f>Q$99*'BTX recycling rates'!S56</f>
        <v>549.49933440052382</v>
      </c>
      <c r="R102" s="203">
        <f>R$99*'BTX recycling rates'!T56</f>
        <v>551.28908506563278</v>
      </c>
      <c r="S102" s="203">
        <f>S$99*'BTX recycling rates'!U56</f>
        <v>549.28691039954197</v>
      </c>
      <c r="T102" s="203">
        <f>T$99*'BTX recycling rates'!V56</f>
        <v>543.72988499170265</v>
      </c>
      <c r="U102" s="203">
        <f>U$99*'BTX recycling rates'!W56</f>
        <v>534.85765669412945</v>
      </c>
      <c r="V102" s="203">
        <f>V$99*'BTX recycling rates'!X56</f>
        <v>522.9124070721997</v>
      </c>
      <c r="W102" s="203">
        <f>W$99*'BTX recycling rates'!Y56</f>
        <v>508.13881214152843</v>
      </c>
      <c r="X102" s="203">
        <f>X$99*'BTX recycling rates'!Z56</f>
        <v>496.07595871171657</v>
      </c>
      <c r="Y102" s="203">
        <f>Y$99*'BTX recycling rates'!AA56</f>
        <v>481.65234935986217</v>
      </c>
      <c r="Z102" s="203">
        <f>Z$99*'BTX recycling rates'!AB56</f>
        <v>465.04444794060521</v>
      </c>
      <c r="AA102" s="203">
        <f>AA$99*'BTX recycling rates'!AC56</f>
        <v>446.43061919523569</v>
      </c>
      <c r="AB102" s="203">
        <f>AB$99*'BTX recycling rates'!AD56</f>
        <v>425.99109942556595</v>
      </c>
      <c r="AC102" s="203">
        <f>AC$99*'BTX recycling rates'!AE56</f>
        <v>403.90796738015774</v>
      </c>
      <c r="AD102" s="203">
        <f>AD$99*'BTX recycling rates'!AF56</f>
        <v>380.36511535176834</v>
      </c>
      <c r="AE102" s="203">
        <f>AE$99*'BTX recycling rates'!AG56</f>
        <v>355.5482204848762</v>
      </c>
      <c r="AF102" s="203">
        <f>AF$99*'BTX recycling rates'!AH56</f>
        <v>329.64471629216092</v>
      </c>
      <c r="AG102" s="203">
        <f>AG$99*'BTX recycling rates'!AI56</f>
        <v>302.84376437880752</v>
      </c>
      <c r="AH102" s="217"/>
      <c r="AI102" s="124"/>
      <c r="AJ102" s="185"/>
      <c r="AL102" s="100"/>
      <c r="AM102" s="2"/>
      <c r="AN102" s="2"/>
      <c r="AO102" s="2"/>
      <c r="BC102" s="1"/>
      <c r="BD102" s="2"/>
      <c r="BE102" s="2"/>
      <c r="BF102" s="2"/>
      <c r="BG102" s="2"/>
      <c r="BH102" s="2"/>
      <c r="BI102" s="2"/>
      <c r="BJ102" s="2"/>
      <c r="BK102" s="2"/>
    </row>
    <row r="103" spans="1:63" outlineLevel="1">
      <c r="A103" s="4" t="s">
        <v>1040</v>
      </c>
      <c r="C103" s="203">
        <f>C$99*'BTX recycling rates'!E57</f>
        <v>0</v>
      </c>
      <c r="D103" s="203">
        <f>D$99*'BTX recycling rates'!F57</f>
        <v>109.51934875701599</v>
      </c>
      <c r="E103" s="203">
        <f>E$99*'BTX recycling rates'!G57</f>
        <v>219.66451453892952</v>
      </c>
      <c r="F103" s="203">
        <f>F$99*'BTX recycling rates'!H57</f>
        <v>330.11150376116035</v>
      </c>
      <c r="G103" s="203">
        <f>G$99*'BTX recycling rates'!I57</f>
        <v>439.74031972138368</v>
      </c>
      <c r="H103" s="203">
        <f>H$99*'BTX recycling rates'!J57</f>
        <v>547.69488411486248</v>
      </c>
      <c r="I103" s="203">
        <f>I$99*'BTX recycling rates'!K57</f>
        <v>653.17041863285669</v>
      </c>
      <c r="J103" s="203">
        <f>J$99*'BTX recycling rates'!L57</f>
        <v>755.41292051462858</v>
      </c>
      <c r="K103" s="203">
        <f>K$99*'BTX recycling rates'!M57</f>
        <v>853.71864148038287</v>
      </c>
      <c r="L103" s="203">
        <f>L$99*'BTX recycling rates'!N57</f>
        <v>947.4335700279637</v>
      </c>
      <c r="M103" s="203">
        <f>M$99*'BTX recycling rates'!O57</f>
        <v>1035.95291707621</v>
      </c>
      <c r="N103" s="203">
        <f>N$99*'BTX recycling rates'!P57</f>
        <v>1075.9078186839852</v>
      </c>
      <c r="O103" s="203">
        <f>O$99*'BTX recycling rates'!Q57</f>
        <v>1106.0919408928671</v>
      </c>
      <c r="P103" s="203">
        <f>P$99*'BTX recycling rates'!R57</f>
        <v>1126.9745363907325</v>
      </c>
      <c r="Q103" s="203">
        <f>Q$99*'BTX recycling rates'!S57</f>
        <v>1139.0305257692798</v>
      </c>
      <c r="R103" s="203">
        <f>R$99*'BTX recycling rates'!T57</f>
        <v>1142.7404131402973</v>
      </c>
      <c r="S103" s="203">
        <f>S$99*'BTX recycling rates'!U57</f>
        <v>1138.5902023578089</v>
      </c>
      <c r="T103" s="203">
        <f>T$99*'BTX recycling rates'!V57</f>
        <v>1127.0713138428489</v>
      </c>
      <c r="U103" s="203">
        <f>U$99*'BTX recycling rates'!W57</f>
        <v>1108.6805020076447</v>
      </c>
      <c r="V103" s="203">
        <f>V$99*'BTX recycling rates'!X57</f>
        <v>1083.9197732759978</v>
      </c>
      <c r="W103" s="203">
        <f>W$99*'BTX recycling rates'!Y57</f>
        <v>1053.2963046966538</v>
      </c>
      <c r="X103" s="203">
        <f>X$99*'BTX recycling rates'!Z57</f>
        <v>1028.2918007341041</v>
      </c>
      <c r="Y103" s="203">
        <f>Y$99*'BTX recycling rates'!AA57</f>
        <v>998.393800290743</v>
      </c>
      <c r="Z103" s="203">
        <f>Z$99*'BTX recycling rates'!AB57</f>
        <v>963.96808673435078</v>
      </c>
      <c r="AA103" s="203">
        <f>AA$99*'BTX recycling rates'!AC57</f>
        <v>925.38438368847244</v>
      </c>
      <c r="AB103" s="203">
        <f>AB$99*'BTX recycling rates'!AD57</f>
        <v>883.0162942437106</v>
      </c>
      <c r="AC103" s="203">
        <f>AC$99*'BTX recycling rates'!AE57</f>
        <v>837.24124060919655</v>
      </c>
      <c r="AD103" s="203">
        <f>AD$99*'BTX recycling rates'!AF57</f>
        <v>788.44040420188821</v>
      </c>
      <c r="AE103" s="203">
        <f>AE$99*'BTX recycling rates'!AG57</f>
        <v>736.99866617133137</v>
      </c>
      <c r="AF103" s="203">
        <f>AF$99*'BTX recycling rates'!AH57</f>
        <v>683.30454835755165</v>
      </c>
      <c r="AG103" s="203">
        <f>AG$99*'BTX recycling rates'!AI57</f>
        <v>627.75015467973628</v>
      </c>
      <c r="AH103" s="217"/>
      <c r="AI103" s="124"/>
      <c r="AJ103" s="185"/>
      <c r="AL103" s="100"/>
      <c r="AM103" s="2"/>
      <c r="AN103" s="2"/>
      <c r="AO103" s="2"/>
      <c r="BC103" s="1"/>
      <c r="BD103" s="2"/>
      <c r="BE103" s="2"/>
      <c r="BF103" s="2"/>
      <c r="BG103" s="2"/>
      <c r="BH103" s="2"/>
      <c r="BI103" s="2"/>
      <c r="BJ103" s="2"/>
      <c r="BK103" s="2"/>
    </row>
    <row r="104" spans="1:63" s="1" customFormat="1" outlineLevel="1">
      <c r="A104" s="1" t="s">
        <v>1046</v>
      </c>
      <c r="B104" s="60"/>
      <c r="C104" s="250">
        <f>C99-$C99</f>
        <v>0</v>
      </c>
      <c r="D104" s="250">
        <f t="shared" ref="D104:AG104" si="43">D99-$C99</f>
        <v>533.88219994078827</v>
      </c>
      <c r="E104" s="250">
        <f t="shared" si="43"/>
        <v>689.95492319643381</v>
      </c>
      <c r="F104" s="250">
        <f t="shared" si="43"/>
        <v>792.16039873050613</v>
      </c>
      <c r="G104" s="250">
        <f t="shared" si="43"/>
        <v>741.24088077722263</v>
      </c>
      <c r="H104" s="250">
        <f t="shared" si="43"/>
        <v>543.67230019118142</v>
      </c>
      <c r="I104" s="250">
        <f t="shared" si="43"/>
        <v>205.87787514391675</v>
      </c>
      <c r="J104" s="250">
        <f t="shared" si="43"/>
        <v>-265.77160617846675</v>
      </c>
      <c r="K104" s="250">
        <f t="shared" si="43"/>
        <v>-864.95750410774781</v>
      </c>
      <c r="L104" s="250">
        <f t="shared" si="43"/>
        <v>-1585.4130472514298</v>
      </c>
      <c r="M104" s="250">
        <f t="shared" si="43"/>
        <v>-2420.9230534709932</v>
      </c>
      <c r="N104" s="250">
        <f t="shared" si="43"/>
        <v>-5306.6137431188326</v>
      </c>
      <c r="O104" s="250">
        <f t="shared" si="43"/>
        <v>-8117.4789907507002</v>
      </c>
      <c r="P104" s="250">
        <f t="shared" si="43"/>
        <v>-10852.782038469653</v>
      </c>
      <c r="Q104" s="250">
        <f t="shared" si="43"/>
        <v>-13511.794699137157</v>
      </c>
      <c r="R104" s="250">
        <f t="shared" si="43"/>
        <v>-16093.797305385349</v>
      </c>
      <c r="S104" s="250">
        <f t="shared" si="43"/>
        <v>-18598.078658862156</v>
      </c>
      <c r="T104" s="250">
        <f t="shared" si="43"/>
        <v>-21023.935979708804</v>
      </c>
      <c r="U104" s="250">
        <f t="shared" si="43"/>
        <v>-23370.674856268488</v>
      </c>
      <c r="V104" s="250">
        <f t="shared" si="43"/>
        <v>-25637.609195025405</v>
      </c>
      <c r="W104" s="250">
        <f t="shared" si="43"/>
        <v>-27824.061170773439</v>
      </c>
      <c r="X104" s="250">
        <f t="shared" si="43"/>
        <v>-29668.821004076726</v>
      </c>
      <c r="Y104" s="250">
        <f t="shared" si="43"/>
        <v>-31456.820013604349</v>
      </c>
      <c r="Z104" s="250">
        <f t="shared" si="43"/>
        <v>-33187.529364196678</v>
      </c>
      <c r="AA104" s="250">
        <f t="shared" si="43"/>
        <v>-34860.426471408886</v>
      </c>
      <c r="AB104" s="250">
        <f t="shared" si="43"/>
        <v>-36474.994964177335</v>
      </c>
      <c r="AC104" s="250">
        <f t="shared" si="43"/>
        <v>-38030.724647657058</v>
      </c>
      <c r="AD104" s="250">
        <f t="shared" si="43"/>
        <v>-39527.111466229479</v>
      </c>
      <c r="AE104" s="250">
        <f t="shared" si="43"/>
        <v>-40963.657466679826</v>
      </c>
      <c r="AF104" s="250">
        <f t="shared" si="43"/>
        <v>-42339.870761543527</v>
      </c>
      <c r="AG104" s="250">
        <f t="shared" si="43"/>
        <v>-43655.265492620914</v>
      </c>
      <c r="AH104" s="217"/>
      <c r="AI104" s="368"/>
      <c r="AJ104" s="369"/>
      <c r="AL104" s="194"/>
      <c r="AM104" s="116"/>
      <c r="AN104" s="116"/>
      <c r="AO104" s="116"/>
      <c r="BD104" s="116"/>
      <c r="BE104" s="116"/>
      <c r="BF104" s="116"/>
      <c r="BG104" s="116"/>
      <c r="BH104" s="116"/>
      <c r="BI104" s="116"/>
      <c r="BJ104" s="116"/>
      <c r="BK104" s="116"/>
    </row>
    <row r="105" spans="1:63" outlineLevel="1">
      <c r="A105" s="4" t="s">
        <v>35</v>
      </c>
      <c r="C105" s="203">
        <f>C100-$C100</f>
        <v>0</v>
      </c>
      <c r="D105" s="203">
        <f t="shared" ref="D105:AG105" si="44">D100-$C100</f>
        <v>-401.4086975336977</v>
      </c>
      <c r="E105" s="203">
        <f t="shared" si="44"/>
        <v>-1126.8263668565487</v>
      </c>
      <c r="F105" s="203">
        <f t="shared" si="44"/>
        <v>-1900.0951465615581</v>
      </c>
      <c r="G105" s="203">
        <f t="shared" si="44"/>
        <v>-2796.3418713179562</v>
      </c>
      <c r="H105" s="203">
        <f t="shared" si="44"/>
        <v>-3803.4334702775741</v>
      </c>
      <c r="I105" s="203">
        <f t="shared" si="44"/>
        <v>-4909.6806642251322</v>
      </c>
      <c r="J105" s="203">
        <f t="shared" si="44"/>
        <v>-6103.8336450335701</v>
      </c>
      <c r="K105" s="203">
        <f t="shared" si="44"/>
        <v>-7375.0777824720062</v>
      </c>
      <c r="L105" s="203">
        <f t="shared" si="44"/>
        <v>-8713.029358228785</v>
      </c>
      <c r="M105" s="203">
        <f t="shared" si="44"/>
        <v>-10107.731327012232</v>
      </c>
      <c r="N105" s="203">
        <f t="shared" si="44"/>
        <v>-12856.260844305551</v>
      </c>
      <c r="O105" s="203">
        <f t="shared" si="44"/>
        <v>-15465.53938988451</v>
      </c>
      <c r="P105" s="203">
        <f t="shared" si="44"/>
        <v>-17938.596785461345</v>
      </c>
      <c r="Q105" s="203">
        <f t="shared" si="44"/>
        <v>-20278.514205490723</v>
      </c>
      <c r="R105" s="203">
        <f t="shared" si="44"/>
        <v>-22488.423477346412</v>
      </c>
      <c r="S105" s="203">
        <f t="shared" si="44"/>
        <v>-24571.506386410143</v>
      </c>
      <c r="T105" s="203">
        <f t="shared" si="44"/>
        <v>-26530.993986046997</v>
      </c>
      <c r="U105" s="203">
        <f t="shared" si="44"/>
        <v>-28370.165912441244</v>
      </c>
      <c r="V105" s="203">
        <f t="shared" si="44"/>
        <v>-30092.34970426689</v>
      </c>
      <c r="W105" s="203">
        <f t="shared" si="44"/>
        <v>-31700.920127167476</v>
      </c>
      <c r="X105" s="203">
        <f t="shared" si="44"/>
        <v>-33064.592909884996</v>
      </c>
      <c r="Y105" s="203">
        <f t="shared" si="44"/>
        <v>-34342.233636093457</v>
      </c>
      <c r="Z105" s="203">
        <f t="shared" si="44"/>
        <v>-35536.24246561691</v>
      </c>
      <c r="AA105" s="203">
        <f t="shared" si="44"/>
        <v>-36649.055505081284</v>
      </c>
      <c r="AB105" s="203">
        <f t="shared" si="44"/>
        <v>-37683.144303263507</v>
      </c>
      <c r="AC105" s="203">
        <f t="shared" si="44"/>
        <v>-38641.015350010995</v>
      </c>
      <c r="AD105" s="203">
        <f t="shared" si="44"/>
        <v>-39525.209578712507</v>
      </c>
      <c r="AE105" s="203">
        <f t="shared" si="44"/>
        <v>-40338.301872301592</v>
      </c>
      <c r="AF105" s="203">
        <f t="shared" si="44"/>
        <v>-41082.900572773739</v>
      </c>
      <c r="AG105" s="203">
        <f t="shared" si="44"/>
        <v>-41761.646994198527</v>
      </c>
      <c r="AH105" s="217"/>
      <c r="AI105" s="124"/>
      <c r="AJ105" s="185"/>
      <c r="AL105" s="100"/>
      <c r="AM105" s="2"/>
      <c r="AN105" s="2"/>
      <c r="AO105" s="2"/>
      <c r="BC105" s="1"/>
      <c r="BD105" s="2"/>
      <c r="BE105" s="2"/>
      <c r="BF105" s="2"/>
      <c r="BG105" s="2"/>
      <c r="BH105" s="2"/>
      <c r="BI105" s="2"/>
      <c r="BJ105" s="2"/>
      <c r="BK105" s="2"/>
    </row>
    <row r="106" spans="1:63" outlineLevel="1">
      <c r="A106" s="4" t="s">
        <v>74</v>
      </c>
      <c r="C106" s="203">
        <f t="shared" ref="C106:AG108" si="45">C101-$C101</f>
        <v>0</v>
      </c>
      <c r="D106" s="203">
        <f t="shared" si="45"/>
        <v>772.93643334133594</v>
      </c>
      <c r="E106" s="203">
        <f t="shared" si="45"/>
        <v>1491.1446335918354</v>
      </c>
      <c r="F106" s="203">
        <f t="shared" si="45"/>
        <v>2202.8892652182076</v>
      </c>
      <c r="G106" s="203">
        <f t="shared" si="45"/>
        <v>2885.6997307260153</v>
      </c>
      <c r="H106" s="203">
        <f t="shared" si="45"/>
        <v>3535.1879639063627</v>
      </c>
      <c r="I106" s="203">
        <f t="shared" si="45"/>
        <v>4147.2809289895304</v>
      </c>
      <c r="J106" s="203">
        <f t="shared" si="45"/>
        <v>4718.217360253906</v>
      </c>
      <c r="K106" s="203">
        <f t="shared" si="45"/>
        <v>5244.5445227455311</v>
      </c>
      <c r="L106" s="203">
        <f t="shared" si="45"/>
        <v>5723.1149940007399</v>
      </c>
      <c r="M106" s="203">
        <f t="shared" si="45"/>
        <v>6151.0834666649516</v>
      </c>
      <c r="N106" s="203">
        <f t="shared" si="45"/>
        <v>5954.6920604417555</v>
      </c>
      <c r="O106" s="203">
        <f t="shared" si="45"/>
        <v>5708.3595938990948</v>
      </c>
      <c r="P106" s="203">
        <f t="shared" si="45"/>
        <v>5415.1570136867831</v>
      </c>
      <c r="Q106" s="203">
        <f t="shared" si="45"/>
        <v>5078.1896461837368</v>
      </c>
      <c r="R106" s="203">
        <f t="shared" si="45"/>
        <v>4700.596673755108</v>
      </c>
      <c r="S106" s="203">
        <f t="shared" si="45"/>
        <v>4285.550614790609</v>
      </c>
      <c r="T106" s="203">
        <f t="shared" si="45"/>
        <v>3836.2568075036179</v>
      </c>
      <c r="U106" s="203">
        <f t="shared" si="45"/>
        <v>3355.9528974709574</v>
      </c>
      <c r="V106" s="203">
        <f t="shared" si="45"/>
        <v>2847.9083288932652</v>
      </c>
      <c r="W106" s="203">
        <f t="shared" si="45"/>
        <v>2315.4238395558277</v>
      </c>
      <c r="X106" s="203">
        <f t="shared" si="45"/>
        <v>1871.4041463624235</v>
      </c>
      <c r="Y106" s="203">
        <f t="shared" si="45"/>
        <v>1405.3674728384831</v>
      </c>
      <c r="Z106" s="203">
        <f t="shared" si="45"/>
        <v>919.70056674525404</v>
      </c>
      <c r="AA106" s="203">
        <f t="shared" si="45"/>
        <v>416.8140307886697</v>
      </c>
      <c r="AB106" s="203">
        <f t="shared" si="45"/>
        <v>-100.85805458312279</v>
      </c>
      <c r="AC106" s="203">
        <f t="shared" si="45"/>
        <v>-630.85850563543954</v>
      </c>
      <c r="AD106" s="203">
        <f t="shared" si="45"/>
        <v>-1170.7074070706458</v>
      </c>
      <c r="AE106" s="203">
        <f t="shared" si="45"/>
        <v>-1717.9024810344563</v>
      </c>
      <c r="AF106" s="203">
        <f t="shared" si="45"/>
        <v>-2269.9194534195149</v>
      </c>
      <c r="AG106" s="203">
        <f t="shared" si="45"/>
        <v>-2824.2124174809378</v>
      </c>
      <c r="AH106" s="217"/>
      <c r="AI106" s="124"/>
      <c r="AJ106" s="185"/>
      <c r="AL106" s="100"/>
      <c r="AM106" s="2"/>
      <c r="AN106" s="2"/>
      <c r="AO106" s="2"/>
      <c r="BC106" s="1"/>
      <c r="BD106" s="2"/>
      <c r="BE106" s="2"/>
      <c r="BF106" s="2"/>
      <c r="BG106" s="2"/>
      <c r="BH106" s="2"/>
      <c r="BI106" s="2"/>
      <c r="BJ106" s="2"/>
      <c r="BK106" s="2"/>
    </row>
    <row r="107" spans="1:63" outlineLevel="1">
      <c r="A107" s="4" t="s">
        <v>160</v>
      </c>
      <c r="C107" s="203">
        <f t="shared" si="45"/>
        <v>0</v>
      </c>
      <c r="D107" s="203">
        <f t="shared" si="45"/>
        <v>52.835115376134581</v>
      </c>
      <c r="E107" s="203">
        <f t="shared" si="45"/>
        <v>105.97214192221385</v>
      </c>
      <c r="F107" s="203">
        <f t="shared" si="45"/>
        <v>159.25477631269112</v>
      </c>
      <c r="G107" s="203">
        <f t="shared" si="45"/>
        <v>212.14270164776912</v>
      </c>
      <c r="H107" s="203">
        <f t="shared" si="45"/>
        <v>264.22292244751532</v>
      </c>
      <c r="I107" s="203">
        <f t="shared" si="45"/>
        <v>315.10719174664848</v>
      </c>
      <c r="J107" s="203">
        <f t="shared" si="45"/>
        <v>364.43175808654843</v>
      </c>
      <c r="K107" s="203">
        <f t="shared" si="45"/>
        <v>411.85711413832075</v>
      </c>
      <c r="L107" s="203">
        <f t="shared" si="45"/>
        <v>457.06774694862992</v>
      </c>
      <c r="M107" s="203">
        <f t="shared" si="45"/>
        <v>499.77188980005076</v>
      </c>
      <c r="N107" s="203">
        <f t="shared" si="45"/>
        <v>519.04722206095107</v>
      </c>
      <c r="O107" s="203">
        <f t="shared" si="45"/>
        <v>533.60886434182203</v>
      </c>
      <c r="P107" s="203">
        <f t="shared" si="45"/>
        <v>543.68319691414922</v>
      </c>
      <c r="Q107" s="203">
        <f t="shared" si="45"/>
        <v>549.49933440052382</v>
      </c>
      <c r="R107" s="203">
        <f t="shared" si="45"/>
        <v>551.28908506563278</v>
      </c>
      <c r="S107" s="203">
        <f t="shared" si="45"/>
        <v>549.28691039954197</v>
      </c>
      <c r="T107" s="203">
        <f t="shared" si="45"/>
        <v>543.72988499170265</v>
      </c>
      <c r="U107" s="203">
        <f t="shared" si="45"/>
        <v>534.85765669412945</v>
      </c>
      <c r="V107" s="203">
        <f t="shared" si="45"/>
        <v>522.9124070721997</v>
      </c>
      <c r="W107" s="203">
        <f t="shared" si="45"/>
        <v>508.13881214152843</v>
      </c>
      <c r="X107" s="203">
        <f t="shared" si="45"/>
        <v>496.07595871171657</v>
      </c>
      <c r="Y107" s="203">
        <f t="shared" si="45"/>
        <v>481.65234935986217</v>
      </c>
      <c r="Z107" s="203">
        <f t="shared" si="45"/>
        <v>465.04444794060521</v>
      </c>
      <c r="AA107" s="203">
        <f t="shared" si="45"/>
        <v>446.43061919523569</v>
      </c>
      <c r="AB107" s="203">
        <f t="shared" si="45"/>
        <v>425.99109942556595</v>
      </c>
      <c r="AC107" s="203">
        <f t="shared" si="45"/>
        <v>403.90796738015774</v>
      </c>
      <c r="AD107" s="203">
        <f t="shared" si="45"/>
        <v>380.36511535176834</v>
      </c>
      <c r="AE107" s="203">
        <f t="shared" si="45"/>
        <v>355.5482204848762</v>
      </c>
      <c r="AF107" s="203">
        <f t="shared" si="45"/>
        <v>329.64471629216092</v>
      </c>
      <c r="AG107" s="203">
        <f t="shared" si="45"/>
        <v>302.84376437880752</v>
      </c>
      <c r="AH107" s="217"/>
      <c r="AI107" s="124"/>
      <c r="AJ107" s="185"/>
      <c r="AL107" s="100"/>
      <c r="AM107" s="2"/>
      <c r="AN107" s="2"/>
      <c r="AO107" s="2"/>
      <c r="BC107" s="1"/>
      <c r="BD107" s="2"/>
      <c r="BE107" s="2"/>
      <c r="BF107" s="2"/>
      <c r="BG107" s="2"/>
      <c r="BH107" s="2"/>
      <c r="BI107" s="2"/>
      <c r="BJ107" s="2"/>
      <c r="BK107" s="2"/>
    </row>
    <row r="108" spans="1:63" outlineLevel="1">
      <c r="A108" s="4" t="s">
        <v>1040</v>
      </c>
      <c r="C108" s="203">
        <f t="shared" si="45"/>
        <v>0</v>
      </c>
      <c r="D108" s="203">
        <f t="shared" si="45"/>
        <v>109.51934875701599</v>
      </c>
      <c r="E108" s="203">
        <f t="shared" si="45"/>
        <v>219.66451453892952</v>
      </c>
      <c r="F108" s="203">
        <f t="shared" si="45"/>
        <v>330.11150376116035</v>
      </c>
      <c r="G108" s="203">
        <f t="shared" si="45"/>
        <v>439.74031972138368</v>
      </c>
      <c r="H108" s="203">
        <f t="shared" si="45"/>
        <v>547.69488411486248</v>
      </c>
      <c r="I108" s="203">
        <f t="shared" si="45"/>
        <v>653.17041863285669</v>
      </c>
      <c r="J108" s="203">
        <f t="shared" si="45"/>
        <v>755.41292051462858</v>
      </c>
      <c r="K108" s="203">
        <f t="shared" si="45"/>
        <v>853.71864148038287</v>
      </c>
      <c r="L108" s="203">
        <f t="shared" si="45"/>
        <v>947.4335700279637</v>
      </c>
      <c r="M108" s="203">
        <f t="shared" si="45"/>
        <v>1035.95291707621</v>
      </c>
      <c r="N108" s="203">
        <f t="shared" si="45"/>
        <v>1075.9078186839852</v>
      </c>
      <c r="O108" s="203">
        <f t="shared" si="45"/>
        <v>1106.0919408928671</v>
      </c>
      <c r="P108" s="203">
        <f t="shared" si="45"/>
        <v>1126.9745363907325</v>
      </c>
      <c r="Q108" s="203">
        <f t="shared" si="45"/>
        <v>1139.0305257692798</v>
      </c>
      <c r="R108" s="203">
        <f t="shared" si="45"/>
        <v>1142.7404131402973</v>
      </c>
      <c r="S108" s="203">
        <f t="shared" si="45"/>
        <v>1138.5902023578089</v>
      </c>
      <c r="T108" s="203">
        <f t="shared" si="45"/>
        <v>1127.0713138428489</v>
      </c>
      <c r="U108" s="203">
        <f t="shared" si="45"/>
        <v>1108.6805020076447</v>
      </c>
      <c r="V108" s="203">
        <f t="shared" si="45"/>
        <v>1083.9197732759978</v>
      </c>
      <c r="W108" s="203">
        <f t="shared" si="45"/>
        <v>1053.2963046966538</v>
      </c>
      <c r="X108" s="203">
        <f t="shared" si="45"/>
        <v>1028.2918007341041</v>
      </c>
      <c r="Y108" s="203">
        <f t="shared" si="45"/>
        <v>998.393800290743</v>
      </c>
      <c r="Z108" s="203">
        <f t="shared" si="45"/>
        <v>963.96808673435078</v>
      </c>
      <c r="AA108" s="203">
        <f t="shared" si="45"/>
        <v>925.38438368847244</v>
      </c>
      <c r="AB108" s="203">
        <f t="shared" si="45"/>
        <v>883.0162942437106</v>
      </c>
      <c r="AC108" s="203">
        <f t="shared" si="45"/>
        <v>837.24124060919655</v>
      </c>
      <c r="AD108" s="203">
        <f t="shared" si="45"/>
        <v>788.44040420188821</v>
      </c>
      <c r="AE108" s="203">
        <f t="shared" si="45"/>
        <v>736.99866617133137</v>
      </c>
      <c r="AF108" s="203">
        <f t="shared" si="45"/>
        <v>683.30454835755165</v>
      </c>
      <c r="AG108" s="203">
        <f t="shared" si="45"/>
        <v>627.75015467973628</v>
      </c>
      <c r="AH108" s="217"/>
      <c r="AI108" s="124"/>
      <c r="AJ108" s="185"/>
      <c r="AL108" s="100"/>
      <c r="AM108" s="2"/>
      <c r="AN108" s="2"/>
      <c r="AO108" s="2"/>
      <c r="BC108" s="1"/>
      <c r="BD108" s="2"/>
      <c r="BE108" s="2"/>
      <c r="BF108" s="2"/>
      <c r="BG108" s="2"/>
      <c r="BH108" s="2"/>
      <c r="BI108" s="2"/>
      <c r="BJ108" s="2"/>
      <c r="BK108" s="2"/>
    </row>
    <row r="109" spans="1:63" s="1" customFormat="1" outlineLevel="1">
      <c r="A109" s="1" t="s">
        <v>1044</v>
      </c>
      <c r="B109" s="60"/>
      <c r="C109" s="250">
        <f>'BTX Recycling HC'!C109</f>
        <v>250439.70380357344</v>
      </c>
      <c r="D109" s="250">
        <f>'BTX Recycling HC'!D109</f>
        <v>253769.67355844312</v>
      </c>
      <c r="E109" s="250">
        <f>'BTX Recycling HC'!E109</f>
        <v>255355.34110470465</v>
      </c>
      <c r="F109" s="250">
        <f>'BTX Recycling HC'!F109</f>
        <v>256693.97571449802</v>
      </c>
      <c r="G109" s="250">
        <f>'BTX Recycling HC'!G109</f>
        <v>257317.25162504296</v>
      </c>
      <c r="H109" s="250">
        <f>'BTX Recycling HC'!H109</f>
        <v>257248.44347298518</v>
      </c>
      <c r="I109" s="250">
        <f>'BTX Recycling HC'!I109</f>
        <v>256510.98381750478</v>
      </c>
      <c r="J109" s="250">
        <f>'BTX Recycling HC'!J109</f>
        <v>255128.46033971268</v>
      </c>
      <c r="K109" s="250">
        <f>'BTX Recycling HC'!K109</f>
        <v>253124.61306284499</v>
      </c>
      <c r="L109" s="250">
        <f>'BTX Recycling HC'!L109</f>
        <v>250523.33159314096</v>
      </c>
      <c r="M109" s="250">
        <f>'BTX Recycling HC'!M109</f>
        <v>247348.65238129467</v>
      </c>
      <c r="N109" s="250">
        <f>'BTX Recycling HC'!N109</f>
        <v>234301.3784255964</v>
      </c>
      <c r="O109" s="250">
        <f>'BTX Recycling HC'!O109</f>
        <v>221523.97439710973</v>
      </c>
      <c r="P109" s="250">
        <f>'BTX Recycling HC'!P109</f>
        <v>209023.52834021143</v>
      </c>
      <c r="Q109" s="250">
        <f>'BTX Recycling HC'!Q109</f>
        <v>196807.13303024045</v>
      </c>
      <c r="R109" s="250">
        <f>'BTX Recycling HC'!R109</f>
        <v>184881.88554835186</v>
      </c>
      <c r="S109" s="250">
        <f>'BTX Recycling HC'!S109</f>
        <v>173254.8868600413</v>
      </c>
      <c r="T109" s="250">
        <f>'BTX Recycling HC'!T109</f>
        <v>161933.24139731529</v>
      </c>
      <c r="U109" s="250">
        <f>'BTX Recycling HC'!U109</f>
        <v>150924.05664448751</v>
      </c>
      <c r="V109" s="250">
        <f>'BTX Recycling HC'!V109</f>
        <v>140234.44272758122</v>
      </c>
      <c r="W109" s="250">
        <f>'BTX Recycling HC'!W109</f>
        <v>129871.5120073141</v>
      </c>
      <c r="X109" s="250">
        <f>'BTX Recycling HC'!X109</f>
        <v>121134.59787858262</v>
      </c>
      <c r="Y109" s="250">
        <f>'BTX Recycling HC'!Y109</f>
        <v>112622.13424803193</v>
      </c>
      <c r="Z109" s="250">
        <f>'BTX Recycling HC'!Z109</f>
        <v>104339.43574444875</v>
      </c>
      <c r="AA109" s="250">
        <f>'BTX Recycling HC'!AA109</f>
        <v>96291.818931610425</v>
      </c>
      <c r="AB109" s="250">
        <f>'BTX Recycling HC'!AB109</f>
        <v>88484.602004808083</v>
      </c>
      <c r="AC109" s="250">
        <f>'BTX Recycling HC'!AC109</f>
        <v>80923.104490026701</v>
      </c>
      <c r="AD109" s="250">
        <f>'BTX Recycling HC'!AD109</f>
        <v>73612.64694576773</v>
      </c>
      <c r="AE109" s="250">
        <f>'BTX Recycling HC'!AE109</f>
        <v>66558.55066749829</v>
      </c>
      <c r="AF109" s="250">
        <f>'BTX Recycling HC'!AF109</f>
        <v>59766.137394711921</v>
      </c>
      <c r="AG109" s="250">
        <f>'BTX Recycling HC'!AG109</f>
        <v>53240.729020585546</v>
      </c>
      <c r="AH109" s="217"/>
      <c r="AI109" s="368"/>
      <c r="AJ109" s="369"/>
      <c r="AL109" s="194"/>
      <c r="AM109" s="116"/>
      <c r="AN109" s="116"/>
      <c r="AO109" s="116"/>
      <c r="BD109" s="116"/>
      <c r="BE109" s="116"/>
      <c r="BF109" s="116"/>
      <c r="BG109" s="116"/>
      <c r="BH109" s="116"/>
      <c r="BI109" s="116"/>
      <c r="BJ109" s="116"/>
      <c r="BK109" s="116"/>
    </row>
    <row r="110" spans="1:63" outlineLevel="1">
      <c r="A110" s="4" t="s">
        <v>35</v>
      </c>
      <c r="C110" s="203">
        <f>C$109*'BTX recycling rates'!E50</f>
        <v>211548.14761494964</v>
      </c>
      <c r="D110" s="203">
        <f>D$109*'BTX recycling rates'!F50</f>
        <v>207215.62953174463</v>
      </c>
      <c r="E110" s="203">
        <f>E$109*'BTX recycling rates'!G50</f>
        <v>201320.39236961253</v>
      </c>
      <c r="F110" s="203">
        <f>F$109*'BTX recycling rates'!H50</f>
        <v>195148.05686729006</v>
      </c>
      <c r="G110" s="203">
        <f>G$109*'BTX recycling rates'!I50</f>
        <v>188376.63846183455</v>
      </c>
      <c r="H110" s="203">
        <f>H$109*'BTX recycling rates'!J50</f>
        <v>181082.94753528936</v>
      </c>
      <c r="I110" s="203">
        <f>I$109*'BTX recycling rates'!K50</f>
        <v>173341.27982212428</v>
      </c>
      <c r="J110" s="203">
        <f>J$109*'BTX recycling rates'!L50</f>
        <v>165223.39236249798</v>
      </c>
      <c r="K110" s="203">
        <f>K$109*'BTX recycling rates'!M50</f>
        <v>156798.47994154142</v>
      </c>
      <c r="L110" s="203">
        <f>L$109*'BTX recycling rates'!N50</f>
        <v>148133.15201049586</v>
      </c>
      <c r="M110" s="203">
        <f>M$109*'BTX recycling rates'!O50</f>
        <v>139291.41008556625</v>
      </c>
      <c r="N110" s="203">
        <f>N$109*'BTX recycling rates'!P50</f>
        <v>125346.79537612546</v>
      </c>
      <c r="O110" s="203">
        <f>O$109*'BTX recycling rates'!Q50</f>
        <v>112273.69875688545</v>
      </c>
      <c r="P110" s="203">
        <f>P$109*'BTX recycling rates'!R50</f>
        <v>100052.71694338378</v>
      </c>
      <c r="Q110" s="203">
        <f>Q$109*'BTX recycling rates'!S50</f>
        <v>88663.650473166374</v>
      </c>
      <c r="R110" s="203">
        <f>R$109*'BTX recycling rates'!T50</f>
        <v>78085.502860179564</v>
      </c>
      <c r="S110" s="203">
        <f>S$109*'BTX recycling rates'!U50</f>
        <v>68296.479822433743</v>
      </c>
      <c r="T110" s="203">
        <f>T$109*'BTX recycling rates'!V50</f>
        <v>59273.988582206301</v>
      </c>
      <c r="U110" s="203">
        <f>U$109*'BTX recycling rates'!W50</f>
        <v>50994.637238058334</v>
      </c>
      <c r="V110" s="203">
        <f>V$109*'BTX recycling rates'!X50</f>
        <v>43434.234207944472</v>
      </c>
      <c r="W110" s="203">
        <f>W$109*'BTX recycling rates'!Y50</f>
        <v>36567.787742698325</v>
      </c>
      <c r="X110" s="203">
        <f>X$109*'BTX recycling rates'!Z50</f>
        <v>30696.969455044848</v>
      </c>
      <c r="Y110" s="203">
        <f>Y$109*'BTX recycling rates'!AA50</f>
        <v>25368.718584440714</v>
      </c>
      <c r="Z110" s="203">
        <f>Z$109*'BTX recycling rates'!AB50</f>
        <v>20565.123146458183</v>
      </c>
      <c r="AA110" s="203">
        <f>AA$109*'BTX recycling rates'!AC50</f>
        <v>16267.672909750188</v>
      </c>
      <c r="AB110" s="203">
        <f>AB$109*'BTX recycling rates'!AD50</f>
        <v>12457.259080908862</v>
      </c>
      <c r="AC110" s="203">
        <f>AC$109*'BTX recycling rates'!AE50</f>
        <v>9114.1740408930709</v>
      </c>
      <c r="AD110" s="203">
        <f>AD$109*'BTX recycling rates'!AF50</f>
        <v>6218.111132500132</v>
      </c>
      <c r="AE110" s="203">
        <f>AE$109*'BTX recycling rates'!AG50</f>
        <v>3748.1644983599199</v>
      </c>
      <c r="AF110" s="203">
        <f>AF$109*'BTX recycling rates'!AH50</f>
        <v>1682.8289689332753</v>
      </c>
      <c r="AG110" s="203">
        <f>AG$109*'BTX recycling rates'!AI50</f>
        <v>0</v>
      </c>
      <c r="AH110" s="217"/>
      <c r="AI110" s="124"/>
      <c r="AJ110" s="185"/>
      <c r="AL110" s="100"/>
      <c r="AM110" s="2"/>
      <c r="AN110" s="2"/>
      <c r="AO110" s="2"/>
      <c r="BC110" s="1"/>
      <c r="BD110" s="2"/>
      <c r="BE110" s="2"/>
      <c r="BF110" s="2"/>
      <c r="BG110" s="2"/>
      <c r="BH110" s="2"/>
      <c r="BI110" s="2"/>
      <c r="BJ110" s="2"/>
      <c r="BK110" s="2"/>
    </row>
    <row r="111" spans="1:63" outlineLevel="1">
      <c r="A111" s="4" t="s">
        <v>74</v>
      </c>
      <c r="C111" s="203">
        <f>C$109*'BTX recycling rates'!E51</f>
        <v>38891.556188623836</v>
      </c>
      <c r="D111" s="203">
        <f>D$109*'BTX recycling rates'!F51</f>
        <v>38095.05490808373</v>
      </c>
      <c r="E111" s="203">
        <f>E$109*'BTX recycling rates'!G51</f>
        <v>37011.259328111839</v>
      </c>
      <c r="F111" s="203">
        <f>F$109*'BTX recycling rates'!H51</f>
        <v>35876.521275758183</v>
      </c>
      <c r="G111" s="203">
        <f>G$109*'BTX recycling rates'!I51</f>
        <v>34631.646279869332</v>
      </c>
      <c r="H111" s="203">
        <f>H$109*'BTX recycling rates'!J51</f>
        <v>33290.755358864924</v>
      </c>
      <c r="I111" s="203">
        <f>I$109*'BTX recycling rates'!K51</f>
        <v>31867.507231879496</v>
      </c>
      <c r="J111" s="203">
        <f>J$109*'BTX recycling rates'!L51</f>
        <v>30375.093897948369</v>
      </c>
      <c r="K111" s="203">
        <f>K$109*'BTX recycling rates'!M51</f>
        <v>28826.23630454484</v>
      </c>
      <c r="L111" s="203">
        <f>L$109*'BTX recycling rates'!N51</f>
        <v>27233.180104702729</v>
      </c>
      <c r="M111" s="203">
        <f>M$109*'BTX recycling rates'!O51</f>
        <v>25607.691501963436</v>
      </c>
      <c r="N111" s="203">
        <f>N$109*'BTX recycling rates'!P51</f>
        <v>23044.077626752165</v>
      </c>
      <c r="O111" s="203">
        <f>O$109*'BTX recycling rates'!Q51</f>
        <v>20640.68588138029</v>
      </c>
      <c r="P111" s="203">
        <f>P$109*'BTX recycling rates'!R51</f>
        <v>18393.949116069267</v>
      </c>
      <c r="Q111" s="203">
        <f>Q$109*'BTX recycling rates'!S51</f>
        <v>16300.153809628444</v>
      </c>
      <c r="R111" s="203">
        <f>R$109*'BTX recycling rates'!T51</f>
        <v>14355.439913996292</v>
      </c>
      <c r="S111" s="203">
        <f>S$109*'BTX recycling rates'!U51</f>
        <v>12555.800712252125</v>
      </c>
      <c r="T111" s="203">
        <f>T$109*'BTX recycling rates'!V51</f>
        <v>10897.08268996359</v>
      </c>
      <c r="U111" s="203">
        <f>U$109*'BTX recycling rates'!W51</f>
        <v>9374.9854197366094</v>
      </c>
      <c r="V111" s="203">
        <f>V$109*'BTX recycling rates'!X51</f>
        <v>7985.0614588352528</v>
      </c>
      <c r="W111" s="203">
        <f>W$109*'BTX recycling rates'!Y51</f>
        <v>6722.7162597396546</v>
      </c>
      <c r="X111" s="203">
        <f>X$109*'BTX recycling rates'!Z51</f>
        <v>5643.4099085298894</v>
      </c>
      <c r="Y111" s="203">
        <f>Y$109*'BTX recycling rates'!AA51</f>
        <v>4663.8505483677545</v>
      </c>
      <c r="Z111" s="203">
        <f>Z$109*'BTX recycling rates'!AB51</f>
        <v>3780.7451939131506</v>
      </c>
      <c r="AA111" s="203">
        <f>AA$109*'BTX recycling rates'!AC51</f>
        <v>2990.6908765718576</v>
      </c>
      <c r="AB111" s="203">
        <f>AB$109*'BTX recycling rates'!AD51</f>
        <v>2290.1745865591174</v>
      </c>
      <c r="AC111" s="203">
        <f>AC$109*'BTX recycling rates'!AE51</f>
        <v>1675.5732244437913</v>
      </c>
      <c r="AD111" s="203">
        <f>AD$109*'BTX recycling rates'!AF51</f>
        <v>1143.1535620766124</v>
      </c>
      <c r="AE111" s="203">
        <f>AE$109*'BTX recycling rates'!AG51</f>
        <v>689.07221280660713</v>
      </c>
      <c r="AF111" s="203">
        <f>AF$109*'BTX recycling rates'!AH51</f>
        <v>309.3756108904322</v>
      </c>
      <c r="AG111" s="203">
        <f>AG$109*'BTX recycling rates'!AI51</f>
        <v>0</v>
      </c>
      <c r="AH111" s="217"/>
      <c r="AI111" s="124"/>
      <c r="AJ111" s="185"/>
      <c r="AL111" s="100"/>
      <c r="AM111" s="2"/>
      <c r="AN111" s="2"/>
      <c r="AO111" s="2"/>
      <c r="BC111" s="1"/>
      <c r="BD111" s="2"/>
      <c r="BE111" s="2"/>
      <c r="BF111" s="2"/>
      <c r="BG111" s="2"/>
      <c r="BH111" s="2"/>
      <c r="BI111" s="2"/>
      <c r="BJ111" s="2"/>
      <c r="BK111" s="2"/>
    </row>
    <row r="112" spans="1:63" outlineLevel="1">
      <c r="A112" s="4" t="s">
        <v>160</v>
      </c>
      <c r="C112" s="203">
        <f>C$109*'BTX recycling rates'!E52</f>
        <v>0</v>
      </c>
      <c r="D112" s="203">
        <f>D$109*'BTX recycling rates'!F52</f>
        <v>4229.4945593073853</v>
      </c>
      <c r="E112" s="203">
        <f>E$109*'BTX recycling rates'!G52</f>
        <v>8511.8447034901546</v>
      </c>
      <c r="F112" s="203">
        <f>F$109*'BTX recycling rates'!H52</f>
        <v>12834.698785724902</v>
      </c>
      <c r="G112" s="203">
        <f>G$109*'BTX recycling rates'!I52</f>
        <v>17154.48344166953</v>
      </c>
      <c r="H112" s="203">
        <f>H$109*'BTX recycling rates'!J52</f>
        <v>21437.37028941543</v>
      </c>
      <c r="I112" s="203">
        <f>I$109*'BTX recycling rates'!K52</f>
        <v>25651.098381750475</v>
      </c>
      <c r="J112" s="203">
        <f>J$109*'BTX recycling rates'!L52</f>
        <v>29764.987039633143</v>
      </c>
      <c r="K112" s="203">
        <f>K$109*'BTX recycling rates'!M52</f>
        <v>33749.948408379329</v>
      </c>
      <c r="L112" s="203">
        <f>L$109*'BTX recycling rates'!N52</f>
        <v>37578.499738971143</v>
      </c>
      <c r="M112" s="203">
        <f>M$109*'BTX recycling rates'!O52</f>
        <v>41224.77539688244</v>
      </c>
      <c r="N112" s="203">
        <f>N$109*'BTX recycling rates'!P52</f>
        <v>42955.252711359339</v>
      </c>
      <c r="O112" s="203">
        <f>O$109*'BTX recycling rates'!Q52</f>
        <v>44304.794879421941</v>
      </c>
      <c r="P112" s="203">
        <f>P$109*'BTX recycling rates'!R52</f>
        <v>45288.431140379136</v>
      </c>
      <c r="Q112" s="203">
        <f>Q$109*'BTX recycling rates'!S52</f>
        <v>45921.664373722764</v>
      </c>
      <c r="R112" s="203">
        <f>R$109*'BTX recycling rates'!T52</f>
        <v>46220.471387087957</v>
      </c>
      <c r="S112" s="203">
        <f>S$109*'BTX recycling rates'!U52</f>
        <v>46201.303162677679</v>
      </c>
      <c r="T112" s="203">
        <f>T$109*'BTX recycling rates'!V52</f>
        <v>45881.085062572667</v>
      </c>
      <c r="U112" s="203">
        <f>U$109*'BTX recycling rates'!W52</f>
        <v>45277.21699334625</v>
      </c>
      <c r="V112" s="203">
        <f>V$109*'BTX recycling rates'!X52</f>
        <v>44407.573530400718</v>
      </c>
      <c r="W112" s="203">
        <f>W$109*'BTX recycling rates'!Y52</f>
        <v>43290.504002438029</v>
      </c>
      <c r="X112" s="203">
        <f>X$109*'BTX recycling rates'!Z52</f>
        <v>42397.109257503915</v>
      </c>
      <c r="Y112" s="203">
        <f>Y$109*'BTX recycling rates'!AA52</f>
        <v>41294.782557611703</v>
      </c>
      <c r="Z112" s="203">
        <f>Z$109*'BTX recycling rates'!AB52</f>
        <v>39996.783702038687</v>
      </c>
      <c r="AA112" s="203">
        <f>AA$109*'BTX recycling rates'!AC52</f>
        <v>38516.727572644166</v>
      </c>
      <c r="AB112" s="203">
        <f>AB$109*'BTX recycling rates'!AD52</f>
        <v>36868.58416867003</v>
      </c>
      <c r="AC112" s="203">
        <f>AC$109*'BTX recycling rates'!AE52</f>
        <v>35066.678612344898</v>
      </c>
      <c r="AD112" s="203">
        <f>AD$109*'BTX recycling rates'!AF52</f>
        <v>33125.691125595476</v>
      </c>
      <c r="AE112" s="203">
        <f>AE$109*'BTX recycling rates'!AG52</f>
        <v>31060.656978165865</v>
      </c>
      <c r="AF112" s="203">
        <f>AF$109*'BTX recycling rates'!AH52</f>
        <v>28886.966407444092</v>
      </c>
      <c r="AG112" s="203">
        <f>AG$109*'BTX recycling rates'!AI52</f>
        <v>26620.364510292773</v>
      </c>
      <c r="AH112" s="217"/>
      <c r="AI112" s="124"/>
      <c r="AJ112" s="185"/>
      <c r="AL112" s="100"/>
      <c r="AM112" s="2"/>
      <c r="AN112" s="2"/>
      <c r="AO112" s="2"/>
      <c r="BC112" s="1"/>
      <c r="BD112" s="2"/>
      <c r="BE112" s="2"/>
      <c r="BF112" s="2"/>
      <c r="BG112" s="2"/>
      <c r="BH112" s="2"/>
      <c r="BI112" s="2"/>
      <c r="BJ112" s="2"/>
      <c r="BK112" s="2"/>
    </row>
    <row r="113" spans="1:63" outlineLevel="1">
      <c r="A113" s="4" t="s">
        <v>1040</v>
      </c>
      <c r="C113" s="203">
        <f>C$109*'BTX recycling rates'!E53</f>
        <v>0</v>
      </c>
      <c r="D113" s="203">
        <f>D$109*'BTX recycling rates'!F53</f>
        <v>4229.4945593073853</v>
      </c>
      <c r="E113" s="203">
        <f>E$109*'BTX recycling rates'!G53</f>
        <v>8511.8447034901546</v>
      </c>
      <c r="F113" s="203">
        <f>F$109*'BTX recycling rates'!H53</f>
        <v>12834.698785724902</v>
      </c>
      <c r="G113" s="203">
        <f>G$109*'BTX recycling rates'!I53</f>
        <v>17154.48344166953</v>
      </c>
      <c r="H113" s="203">
        <f>H$109*'BTX recycling rates'!J53</f>
        <v>21437.37028941543</v>
      </c>
      <c r="I113" s="203">
        <f>I$109*'BTX recycling rates'!K53</f>
        <v>25651.098381750475</v>
      </c>
      <c r="J113" s="203">
        <f>J$109*'BTX recycling rates'!L53</f>
        <v>29764.987039633143</v>
      </c>
      <c r="K113" s="203">
        <f>K$109*'BTX recycling rates'!M53</f>
        <v>33749.948408379329</v>
      </c>
      <c r="L113" s="203">
        <f>L$109*'BTX recycling rates'!N53</f>
        <v>37578.499738971143</v>
      </c>
      <c r="M113" s="203">
        <f>M$109*'BTX recycling rates'!O53</f>
        <v>41224.77539688244</v>
      </c>
      <c r="N113" s="203">
        <f>N$109*'BTX recycling rates'!P53</f>
        <v>42955.252711359339</v>
      </c>
      <c r="O113" s="203">
        <f>O$109*'BTX recycling rates'!Q53</f>
        <v>44304.794879421941</v>
      </c>
      <c r="P113" s="203">
        <f>P$109*'BTX recycling rates'!R53</f>
        <v>45288.431140379136</v>
      </c>
      <c r="Q113" s="203">
        <f>Q$109*'BTX recycling rates'!S53</f>
        <v>45921.664373722764</v>
      </c>
      <c r="R113" s="203">
        <f>R$109*'BTX recycling rates'!T53</f>
        <v>46220.471387087957</v>
      </c>
      <c r="S113" s="203">
        <f>S$109*'BTX recycling rates'!U53</f>
        <v>46201.303162677679</v>
      </c>
      <c r="T113" s="203">
        <f>T$109*'BTX recycling rates'!V53</f>
        <v>45881.085062572667</v>
      </c>
      <c r="U113" s="203">
        <f>U$109*'BTX recycling rates'!W53</f>
        <v>45277.21699334625</v>
      </c>
      <c r="V113" s="203">
        <f>V$109*'BTX recycling rates'!X53</f>
        <v>44407.573530400718</v>
      </c>
      <c r="W113" s="203">
        <f>W$109*'BTX recycling rates'!Y53</f>
        <v>43290.504002438029</v>
      </c>
      <c r="X113" s="203">
        <f>X$109*'BTX recycling rates'!Z53</f>
        <v>42397.109257503915</v>
      </c>
      <c r="Y113" s="203">
        <f>Y$109*'BTX recycling rates'!AA53</f>
        <v>41294.782557611703</v>
      </c>
      <c r="Z113" s="203">
        <f>Z$109*'BTX recycling rates'!AB53</f>
        <v>39996.783702038687</v>
      </c>
      <c r="AA113" s="203">
        <f>AA$109*'BTX recycling rates'!AC53</f>
        <v>38516.727572644166</v>
      </c>
      <c r="AB113" s="203">
        <f>AB$109*'BTX recycling rates'!AD53</f>
        <v>36868.58416867003</v>
      </c>
      <c r="AC113" s="203">
        <f>AC$109*'BTX recycling rates'!AE53</f>
        <v>35066.678612344898</v>
      </c>
      <c r="AD113" s="203">
        <f>AD$109*'BTX recycling rates'!AF53</f>
        <v>33125.691125595476</v>
      </c>
      <c r="AE113" s="203">
        <f>AE$109*'BTX recycling rates'!AG53</f>
        <v>31060.656978165865</v>
      </c>
      <c r="AF113" s="203">
        <f>AF$109*'BTX recycling rates'!AH53</f>
        <v>28886.966407444092</v>
      </c>
      <c r="AG113" s="203">
        <f>AG$109*'BTX recycling rates'!AI53</f>
        <v>26620.364510292773</v>
      </c>
      <c r="AH113" s="217"/>
      <c r="AI113" s="124"/>
      <c r="AJ113" s="185"/>
      <c r="AL113" s="100"/>
      <c r="AM113" s="2"/>
      <c r="AN113" s="2"/>
      <c r="AO113" s="2"/>
      <c r="BC113" s="1"/>
      <c r="BD113" s="2"/>
      <c r="BE113" s="2"/>
      <c r="BF113" s="2"/>
      <c r="BG113" s="2"/>
      <c r="BH113" s="2"/>
      <c r="BI113" s="2"/>
      <c r="BJ113" s="2"/>
      <c r="BK113" s="2"/>
    </row>
    <row r="114" spans="1:63" s="1" customFormat="1" outlineLevel="1">
      <c r="A114" s="1" t="s">
        <v>1047</v>
      </c>
      <c r="B114" s="60"/>
      <c r="C114" s="250">
        <f>C109-$C109</f>
        <v>0</v>
      </c>
      <c r="D114" s="250">
        <f t="shared" ref="D114:AG114" si="46">D109-$C109</f>
        <v>3329.9697548696713</v>
      </c>
      <c r="E114" s="250">
        <f t="shared" si="46"/>
        <v>4915.6373011312098</v>
      </c>
      <c r="F114" s="250">
        <f t="shared" si="46"/>
        <v>6254.2719109245809</v>
      </c>
      <c r="G114" s="250">
        <f t="shared" si="46"/>
        <v>6877.5478214695177</v>
      </c>
      <c r="H114" s="250">
        <f t="shared" si="46"/>
        <v>6808.7396694117342</v>
      </c>
      <c r="I114" s="250">
        <f t="shared" si="46"/>
        <v>6071.2800139313331</v>
      </c>
      <c r="J114" s="250">
        <f t="shared" si="46"/>
        <v>4688.7565361392335</v>
      </c>
      <c r="K114" s="250">
        <f t="shared" si="46"/>
        <v>2684.909259271546</v>
      </c>
      <c r="L114" s="250">
        <f t="shared" si="46"/>
        <v>83.62778956751572</v>
      </c>
      <c r="M114" s="250">
        <f t="shared" si="46"/>
        <v>-3091.0514222787751</v>
      </c>
      <c r="N114" s="250">
        <f t="shared" si="46"/>
        <v>-16138.325377977046</v>
      </c>
      <c r="O114" s="250">
        <f t="shared" si="46"/>
        <v>-28915.72940646371</v>
      </c>
      <c r="P114" s="250">
        <f t="shared" si="46"/>
        <v>-41416.175463362015</v>
      </c>
      <c r="Q114" s="250">
        <f t="shared" si="46"/>
        <v>-53632.570773332991</v>
      </c>
      <c r="R114" s="250">
        <f t="shared" si="46"/>
        <v>-65557.818255221588</v>
      </c>
      <c r="S114" s="250">
        <f t="shared" si="46"/>
        <v>-77184.816943532147</v>
      </c>
      <c r="T114" s="250">
        <f t="shared" si="46"/>
        <v>-88506.462406258157</v>
      </c>
      <c r="U114" s="250">
        <f t="shared" si="46"/>
        <v>-99515.647159085929</v>
      </c>
      <c r="V114" s="250">
        <f t="shared" si="46"/>
        <v>-110205.26107599222</v>
      </c>
      <c r="W114" s="250">
        <f t="shared" si="46"/>
        <v>-120568.19179625934</v>
      </c>
      <c r="X114" s="250">
        <f t="shared" si="46"/>
        <v>-129305.10592499083</v>
      </c>
      <c r="Y114" s="250">
        <f t="shared" si="46"/>
        <v>-137817.5695555415</v>
      </c>
      <c r="Z114" s="250">
        <f t="shared" si="46"/>
        <v>-146100.2680591247</v>
      </c>
      <c r="AA114" s="250">
        <f t="shared" si="46"/>
        <v>-154147.884871963</v>
      </c>
      <c r="AB114" s="250">
        <f t="shared" si="46"/>
        <v>-161955.10179876536</v>
      </c>
      <c r="AC114" s="250">
        <f t="shared" si="46"/>
        <v>-169516.59931354673</v>
      </c>
      <c r="AD114" s="250">
        <f t="shared" si="46"/>
        <v>-176827.0568578057</v>
      </c>
      <c r="AE114" s="250">
        <f t="shared" si="46"/>
        <v>-183881.15313607515</v>
      </c>
      <c r="AF114" s="250">
        <f t="shared" si="46"/>
        <v>-190673.56640886152</v>
      </c>
      <c r="AG114" s="250">
        <f t="shared" si="46"/>
        <v>-197198.97478298791</v>
      </c>
      <c r="AH114" s="217"/>
      <c r="AI114" s="368"/>
      <c r="AJ114" s="369"/>
      <c r="AL114" s="194"/>
      <c r="AM114" s="116"/>
      <c r="AN114" s="116"/>
      <c r="AO114" s="116"/>
      <c r="BD114" s="116"/>
      <c r="BE114" s="116"/>
      <c r="BF114" s="116"/>
      <c r="BG114" s="116"/>
      <c r="BH114" s="116"/>
      <c r="BI114" s="116"/>
      <c r="BJ114" s="116"/>
      <c r="BK114" s="116"/>
    </row>
    <row r="115" spans="1:63" outlineLevel="1">
      <c r="A115" s="4" t="s">
        <v>35</v>
      </c>
      <c r="C115" s="203">
        <f>C110-$C110</f>
        <v>0</v>
      </c>
      <c r="D115" s="203">
        <f t="shared" ref="D115:AG115" si="47">D110-$C110</f>
        <v>-4332.51808320501</v>
      </c>
      <c r="E115" s="203">
        <f t="shared" si="47"/>
        <v>-10227.755245337117</v>
      </c>
      <c r="F115" s="203">
        <f t="shared" si="47"/>
        <v>-16400.090747659589</v>
      </c>
      <c r="G115" s="203">
        <f t="shared" si="47"/>
        <v>-23171.509153115097</v>
      </c>
      <c r="H115" s="203">
        <f t="shared" si="47"/>
        <v>-30465.200079660281</v>
      </c>
      <c r="I115" s="203">
        <f t="shared" si="47"/>
        <v>-38206.86779282536</v>
      </c>
      <c r="J115" s="203">
        <f t="shared" si="47"/>
        <v>-46324.755252451665</v>
      </c>
      <c r="K115" s="203">
        <f t="shared" si="47"/>
        <v>-54749.667673408228</v>
      </c>
      <c r="L115" s="203">
        <f t="shared" si="47"/>
        <v>-63414.995604453783</v>
      </c>
      <c r="M115" s="203">
        <f t="shared" si="47"/>
        <v>-72256.73752938339</v>
      </c>
      <c r="N115" s="203">
        <f t="shared" si="47"/>
        <v>-86201.352238824184</v>
      </c>
      <c r="O115" s="203">
        <f t="shared" si="47"/>
        <v>-99274.448858064192</v>
      </c>
      <c r="P115" s="203">
        <f t="shared" si="47"/>
        <v>-111495.43067156586</v>
      </c>
      <c r="Q115" s="203">
        <f t="shared" si="47"/>
        <v>-122884.49714178327</v>
      </c>
      <c r="R115" s="203">
        <f t="shared" si="47"/>
        <v>-133462.6447547701</v>
      </c>
      <c r="S115" s="203">
        <f t="shared" si="47"/>
        <v>-143251.66779251589</v>
      </c>
      <c r="T115" s="203">
        <f t="shared" si="47"/>
        <v>-152274.15903274334</v>
      </c>
      <c r="U115" s="203">
        <f t="shared" si="47"/>
        <v>-160553.5103768913</v>
      </c>
      <c r="V115" s="203">
        <f t="shared" si="47"/>
        <v>-168113.91340700517</v>
      </c>
      <c r="W115" s="203">
        <f t="shared" si="47"/>
        <v>-174980.35987225131</v>
      </c>
      <c r="X115" s="203">
        <f t="shared" si="47"/>
        <v>-180851.17815990478</v>
      </c>
      <c r="Y115" s="203">
        <f t="shared" si="47"/>
        <v>-186179.42903050894</v>
      </c>
      <c r="Z115" s="203">
        <f t="shared" si="47"/>
        <v>-190983.02446849147</v>
      </c>
      <c r="AA115" s="203">
        <f t="shared" si="47"/>
        <v>-195280.47470519945</v>
      </c>
      <c r="AB115" s="203">
        <f t="shared" si="47"/>
        <v>-199090.88853404077</v>
      </c>
      <c r="AC115" s="203">
        <f t="shared" si="47"/>
        <v>-202433.97357405658</v>
      </c>
      <c r="AD115" s="203">
        <f t="shared" si="47"/>
        <v>-205330.0364824495</v>
      </c>
      <c r="AE115" s="203">
        <f t="shared" si="47"/>
        <v>-207799.98311658972</v>
      </c>
      <c r="AF115" s="203">
        <f t="shared" si="47"/>
        <v>-209865.31864601636</v>
      </c>
      <c r="AG115" s="203">
        <f t="shared" si="47"/>
        <v>-211548.14761494964</v>
      </c>
      <c r="AH115" s="217"/>
      <c r="AI115" s="124"/>
      <c r="AJ115" s="185"/>
      <c r="AL115" s="100"/>
      <c r="AM115" s="2"/>
      <c r="AN115" s="2"/>
      <c r="AO115" s="2"/>
      <c r="BC115" s="1"/>
      <c r="BD115" s="2"/>
      <c r="BE115" s="2"/>
      <c r="BF115" s="2"/>
      <c r="BG115" s="2"/>
      <c r="BH115" s="2"/>
      <c r="BI115" s="2"/>
      <c r="BJ115" s="2"/>
      <c r="BK115" s="2"/>
    </row>
    <row r="116" spans="1:63" outlineLevel="1">
      <c r="A116" s="4" t="s">
        <v>74</v>
      </c>
      <c r="C116" s="203">
        <f t="shared" ref="C116:AG118" si="48">C111-$C111</f>
        <v>0</v>
      </c>
      <c r="D116" s="203">
        <f t="shared" si="48"/>
        <v>-796.50128054010565</v>
      </c>
      <c r="E116" s="203">
        <f t="shared" si="48"/>
        <v>-1880.2968605119968</v>
      </c>
      <c r="F116" s="203">
        <f t="shared" si="48"/>
        <v>-3015.0349128656526</v>
      </c>
      <c r="G116" s="203">
        <f t="shared" si="48"/>
        <v>-4259.9099087545037</v>
      </c>
      <c r="H116" s="203">
        <f t="shared" si="48"/>
        <v>-5600.8008297589113</v>
      </c>
      <c r="I116" s="203">
        <f t="shared" si="48"/>
        <v>-7024.0489567443401</v>
      </c>
      <c r="J116" s="203">
        <f t="shared" si="48"/>
        <v>-8516.4622906754666</v>
      </c>
      <c r="K116" s="203">
        <f t="shared" si="48"/>
        <v>-10065.319884078996</v>
      </c>
      <c r="L116" s="203">
        <f t="shared" si="48"/>
        <v>-11658.376083921106</v>
      </c>
      <c r="M116" s="203">
        <f t="shared" si="48"/>
        <v>-13283.864686660399</v>
      </c>
      <c r="N116" s="203">
        <f t="shared" si="48"/>
        <v>-15847.478561871671</v>
      </c>
      <c r="O116" s="203">
        <f t="shared" si="48"/>
        <v>-18250.870307243546</v>
      </c>
      <c r="P116" s="203">
        <f t="shared" si="48"/>
        <v>-20497.607072554569</v>
      </c>
      <c r="Q116" s="203">
        <f t="shared" si="48"/>
        <v>-22591.402378995394</v>
      </c>
      <c r="R116" s="203">
        <f t="shared" si="48"/>
        <v>-24536.116274627544</v>
      </c>
      <c r="S116" s="203">
        <f t="shared" si="48"/>
        <v>-26335.755476371713</v>
      </c>
      <c r="T116" s="203">
        <f t="shared" si="48"/>
        <v>-27994.473498660245</v>
      </c>
      <c r="U116" s="203">
        <f t="shared" si="48"/>
        <v>-29516.570768887228</v>
      </c>
      <c r="V116" s="203">
        <f t="shared" si="48"/>
        <v>-30906.494729788581</v>
      </c>
      <c r="W116" s="203">
        <f t="shared" si="48"/>
        <v>-32168.839928884183</v>
      </c>
      <c r="X116" s="203">
        <f t="shared" si="48"/>
        <v>-33248.146280093948</v>
      </c>
      <c r="Y116" s="203">
        <f t="shared" si="48"/>
        <v>-34227.705640256085</v>
      </c>
      <c r="Z116" s="203">
        <f t="shared" si="48"/>
        <v>-35110.810994710686</v>
      </c>
      <c r="AA116" s="203">
        <f t="shared" si="48"/>
        <v>-35900.865312051981</v>
      </c>
      <c r="AB116" s="203">
        <f t="shared" si="48"/>
        <v>-36601.381602064721</v>
      </c>
      <c r="AC116" s="203">
        <f t="shared" si="48"/>
        <v>-37215.982964180046</v>
      </c>
      <c r="AD116" s="203">
        <f t="shared" si="48"/>
        <v>-37748.40262654722</v>
      </c>
      <c r="AE116" s="203">
        <f t="shared" si="48"/>
        <v>-38202.483975817231</v>
      </c>
      <c r="AF116" s="203">
        <f t="shared" si="48"/>
        <v>-38582.180577733401</v>
      </c>
      <c r="AG116" s="203">
        <f t="shared" si="48"/>
        <v>-38891.556188623836</v>
      </c>
      <c r="AH116" s="217"/>
      <c r="AI116" s="124"/>
      <c r="AJ116" s="185"/>
      <c r="AL116" s="100"/>
      <c r="AM116" s="2"/>
      <c r="AN116" s="2"/>
      <c r="AO116" s="2"/>
      <c r="BC116" s="1"/>
      <c r="BD116" s="2"/>
      <c r="BE116" s="2"/>
      <c r="BF116" s="2"/>
      <c r="BG116" s="2"/>
      <c r="BH116" s="2"/>
      <c r="BI116" s="2"/>
      <c r="BJ116" s="2"/>
      <c r="BK116" s="2"/>
    </row>
    <row r="117" spans="1:63" outlineLevel="1">
      <c r="A117" s="4" t="s">
        <v>160</v>
      </c>
      <c r="C117" s="203">
        <f t="shared" si="48"/>
        <v>0</v>
      </c>
      <c r="D117" s="203">
        <f t="shared" si="48"/>
        <v>4229.4945593073853</v>
      </c>
      <c r="E117" s="203">
        <f t="shared" si="48"/>
        <v>8511.8447034901546</v>
      </c>
      <c r="F117" s="203">
        <f t="shared" si="48"/>
        <v>12834.698785724902</v>
      </c>
      <c r="G117" s="203">
        <f t="shared" si="48"/>
        <v>17154.48344166953</v>
      </c>
      <c r="H117" s="203">
        <f t="shared" si="48"/>
        <v>21437.37028941543</v>
      </c>
      <c r="I117" s="203">
        <f t="shared" si="48"/>
        <v>25651.098381750475</v>
      </c>
      <c r="J117" s="203">
        <f t="shared" si="48"/>
        <v>29764.987039633143</v>
      </c>
      <c r="K117" s="203">
        <f t="shared" si="48"/>
        <v>33749.948408379329</v>
      </c>
      <c r="L117" s="203">
        <f t="shared" si="48"/>
        <v>37578.499738971143</v>
      </c>
      <c r="M117" s="203">
        <f t="shared" si="48"/>
        <v>41224.77539688244</v>
      </c>
      <c r="N117" s="203">
        <f t="shared" si="48"/>
        <v>42955.252711359339</v>
      </c>
      <c r="O117" s="203">
        <f t="shared" si="48"/>
        <v>44304.794879421941</v>
      </c>
      <c r="P117" s="203">
        <f t="shared" si="48"/>
        <v>45288.431140379136</v>
      </c>
      <c r="Q117" s="203">
        <f t="shared" si="48"/>
        <v>45921.664373722764</v>
      </c>
      <c r="R117" s="203">
        <f t="shared" si="48"/>
        <v>46220.471387087957</v>
      </c>
      <c r="S117" s="203">
        <f t="shared" si="48"/>
        <v>46201.303162677679</v>
      </c>
      <c r="T117" s="203">
        <f t="shared" si="48"/>
        <v>45881.085062572667</v>
      </c>
      <c r="U117" s="203">
        <f t="shared" si="48"/>
        <v>45277.21699334625</v>
      </c>
      <c r="V117" s="203">
        <f t="shared" si="48"/>
        <v>44407.573530400718</v>
      </c>
      <c r="W117" s="203">
        <f t="shared" si="48"/>
        <v>43290.504002438029</v>
      </c>
      <c r="X117" s="203">
        <f t="shared" si="48"/>
        <v>42397.109257503915</v>
      </c>
      <c r="Y117" s="203">
        <f t="shared" si="48"/>
        <v>41294.782557611703</v>
      </c>
      <c r="Z117" s="203">
        <f t="shared" si="48"/>
        <v>39996.783702038687</v>
      </c>
      <c r="AA117" s="203">
        <f t="shared" si="48"/>
        <v>38516.727572644166</v>
      </c>
      <c r="AB117" s="203">
        <f t="shared" si="48"/>
        <v>36868.58416867003</v>
      </c>
      <c r="AC117" s="203">
        <f t="shared" si="48"/>
        <v>35066.678612344898</v>
      </c>
      <c r="AD117" s="203">
        <f t="shared" si="48"/>
        <v>33125.691125595476</v>
      </c>
      <c r="AE117" s="203">
        <f t="shared" si="48"/>
        <v>31060.656978165865</v>
      </c>
      <c r="AF117" s="203">
        <f t="shared" si="48"/>
        <v>28886.966407444092</v>
      </c>
      <c r="AG117" s="203">
        <f t="shared" si="48"/>
        <v>26620.364510292773</v>
      </c>
      <c r="AH117" s="217"/>
      <c r="AI117" s="124"/>
      <c r="AJ117" s="185"/>
      <c r="AL117" s="100"/>
      <c r="AM117" s="2"/>
      <c r="AN117" s="2"/>
      <c r="AO117" s="2"/>
      <c r="BC117" s="1"/>
      <c r="BD117" s="2"/>
      <c r="BE117" s="2"/>
      <c r="BF117" s="2"/>
      <c r="BG117" s="2"/>
      <c r="BH117" s="2"/>
      <c r="BI117" s="2"/>
      <c r="BJ117" s="2"/>
      <c r="BK117" s="2"/>
    </row>
    <row r="118" spans="1:63" outlineLevel="1">
      <c r="A118" s="4" t="s">
        <v>1040</v>
      </c>
      <c r="C118" s="203">
        <f t="shared" si="48"/>
        <v>0</v>
      </c>
      <c r="D118" s="203">
        <f t="shared" si="48"/>
        <v>4229.4945593073853</v>
      </c>
      <c r="E118" s="203">
        <f t="shared" si="48"/>
        <v>8511.8447034901546</v>
      </c>
      <c r="F118" s="203">
        <f t="shared" si="48"/>
        <v>12834.698785724902</v>
      </c>
      <c r="G118" s="203">
        <f t="shared" si="48"/>
        <v>17154.48344166953</v>
      </c>
      <c r="H118" s="203">
        <f t="shared" si="48"/>
        <v>21437.37028941543</v>
      </c>
      <c r="I118" s="203">
        <f t="shared" si="48"/>
        <v>25651.098381750475</v>
      </c>
      <c r="J118" s="203">
        <f t="shared" si="48"/>
        <v>29764.987039633143</v>
      </c>
      <c r="K118" s="203">
        <f t="shared" si="48"/>
        <v>33749.948408379329</v>
      </c>
      <c r="L118" s="203">
        <f t="shared" si="48"/>
        <v>37578.499738971143</v>
      </c>
      <c r="M118" s="203">
        <f t="shared" si="48"/>
        <v>41224.77539688244</v>
      </c>
      <c r="N118" s="203">
        <f t="shared" si="48"/>
        <v>42955.252711359339</v>
      </c>
      <c r="O118" s="203">
        <f t="shared" si="48"/>
        <v>44304.794879421941</v>
      </c>
      <c r="P118" s="203">
        <f t="shared" si="48"/>
        <v>45288.431140379136</v>
      </c>
      <c r="Q118" s="203">
        <f t="shared" si="48"/>
        <v>45921.664373722764</v>
      </c>
      <c r="R118" s="203">
        <f t="shared" si="48"/>
        <v>46220.471387087957</v>
      </c>
      <c r="S118" s="203">
        <f t="shared" si="48"/>
        <v>46201.303162677679</v>
      </c>
      <c r="T118" s="203">
        <f t="shared" si="48"/>
        <v>45881.085062572667</v>
      </c>
      <c r="U118" s="203">
        <f t="shared" si="48"/>
        <v>45277.21699334625</v>
      </c>
      <c r="V118" s="203">
        <f t="shared" si="48"/>
        <v>44407.573530400718</v>
      </c>
      <c r="W118" s="203">
        <f t="shared" si="48"/>
        <v>43290.504002438029</v>
      </c>
      <c r="X118" s="203">
        <f t="shared" si="48"/>
        <v>42397.109257503915</v>
      </c>
      <c r="Y118" s="203">
        <f t="shared" si="48"/>
        <v>41294.782557611703</v>
      </c>
      <c r="Z118" s="203">
        <f t="shared" si="48"/>
        <v>39996.783702038687</v>
      </c>
      <c r="AA118" s="203">
        <f t="shared" si="48"/>
        <v>38516.727572644166</v>
      </c>
      <c r="AB118" s="203">
        <f t="shared" si="48"/>
        <v>36868.58416867003</v>
      </c>
      <c r="AC118" s="203">
        <f t="shared" si="48"/>
        <v>35066.678612344898</v>
      </c>
      <c r="AD118" s="203">
        <f t="shared" si="48"/>
        <v>33125.691125595476</v>
      </c>
      <c r="AE118" s="203">
        <f t="shared" si="48"/>
        <v>31060.656978165865</v>
      </c>
      <c r="AF118" s="203">
        <f t="shared" si="48"/>
        <v>28886.966407444092</v>
      </c>
      <c r="AG118" s="203">
        <f t="shared" si="48"/>
        <v>26620.364510292773</v>
      </c>
      <c r="AH118" s="217"/>
      <c r="AI118" s="124"/>
      <c r="AJ118" s="185"/>
      <c r="AL118" s="100"/>
      <c r="AM118" s="2"/>
      <c r="AN118" s="2"/>
      <c r="AO118" s="2"/>
      <c r="BC118" s="1"/>
      <c r="BD118" s="2"/>
      <c r="BE118" s="2"/>
      <c r="BF118" s="2"/>
      <c r="BG118" s="2"/>
      <c r="BH118" s="2"/>
      <c r="BI118" s="2"/>
      <c r="BJ118" s="2"/>
      <c r="BK118" s="2"/>
    </row>
    <row r="119" spans="1:63" outlineLevel="1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I119" s="125"/>
      <c r="AJ119" s="185"/>
      <c r="AL119" s="100"/>
      <c r="AM119" s="123"/>
      <c r="AN119" s="2"/>
      <c r="AO119" s="2"/>
    </row>
    <row r="120" spans="1:63" s="174" customFormat="1" ht="15.5" thickBot="1">
      <c r="A120" s="174" t="s">
        <v>421</v>
      </c>
      <c r="B120" s="189"/>
      <c r="C120" s="195">
        <f>C121</f>
        <v>0.19</v>
      </c>
      <c r="D120" s="195">
        <f t="shared" ref="D120:AG120" si="49">D121</f>
        <v>0.20515750741304789</v>
      </c>
      <c r="E120" s="195">
        <f t="shared" si="49"/>
        <v>0.22031501482609578</v>
      </c>
      <c r="F120" s="195">
        <f t="shared" si="49"/>
        <v>0.23547252223914367</v>
      </c>
      <c r="G120" s="195">
        <f t="shared" si="49"/>
        <v>0.25063002965219155</v>
      </c>
      <c r="H120" s="195">
        <f t="shared" si="49"/>
        <v>0.26578753706523939</v>
      </c>
      <c r="I120" s="195">
        <f t="shared" si="49"/>
        <v>0.28094504447828728</v>
      </c>
      <c r="J120" s="195">
        <f t="shared" si="49"/>
        <v>0.29610255189133516</v>
      </c>
      <c r="K120" s="195">
        <f t="shared" si="49"/>
        <v>0.31126005930438305</v>
      </c>
      <c r="L120" s="195">
        <f t="shared" si="49"/>
        <v>0.32641756671743094</v>
      </c>
      <c r="M120" s="195">
        <f t="shared" si="49"/>
        <v>0.34157507413047883</v>
      </c>
      <c r="N120" s="195">
        <f t="shared" si="49"/>
        <v>0.35175830083520832</v>
      </c>
      <c r="O120" s="195">
        <f t="shared" si="49"/>
        <v>0.3619415275399378</v>
      </c>
      <c r="P120" s="195">
        <f t="shared" si="49"/>
        <v>0.37212475424466734</v>
      </c>
      <c r="Q120" s="195">
        <f t="shared" si="49"/>
        <v>0.38230798094939683</v>
      </c>
      <c r="R120" s="195">
        <f t="shared" si="49"/>
        <v>0.39249120765412632</v>
      </c>
      <c r="S120" s="195">
        <f t="shared" si="49"/>
        <v>0.4026744343588558</v>
      </c>
      <c r="T120" s="195">
        <f t="shared" si="49"/>
        <v>0.41285766106358529</v>
      </c>
      <c r="U120" s="195">
        <f t="shared" si="49"/>
        <v>0.42304088776831483</v>
      </c>
      <c r="V120" s="195">
        <f t="shared" si="49"/>
        <v>0.43322411447304432</v>
      </c>
      <c r="W120" s="195">
        <f t="shared" si="49"/>
        <v>0.44340734117777381</v>
      </c>
      <c r="X120" s="195">
        <f t="shared" si="49"/>
        <v>0.45906660705999641</v>
      </c>
      <c r="Y120" s="195">
        <f t="shared" si="49"/>
        <v>0.47472587294221902</v>
      </c>
      <c r="Z120" s="195">
        <f t="shared" si="49"/>
        <v>0.49038513882444168</v>
      </c>
      <c r="AA120" s="195">
        <f t="shared" si="49"/>
        <v>0.50604440470666423</v>
      </c>
      <c r="AB120" s="195">
        <f t="shared" si="49"/>
        <v>0.52170367058888689</v>
      </c>
      <c r="AC120" s="195">
        <f t="shared" si="49"/>
        <v>0.53736293647110944</v>
      </c>
      <c r="AD120" s="195">
        <f t="shared" si="49"/>
        <v>0.5530222023533321</v>
      </c>
      <c r="AE120" s="195">
        <f t="shared" si="49"/>
        <v>0.56868146823555477</v>
      </c>
      <c r="AF120" s="195">
        <f t="shared" si="49"/>
        <v>0.58434073411777732</v>
      </c>
      <c r="AG120" s="195">
        <f t="shared" si="49"/>
        <v>0.6</v>
      </c>
      <c r="AJ120" s="204" t="s">
        <v>457</v>
      </c>
      <c r="AL120" s="191"/>
      <c r="AM120" s="192"/>
      <c r="AN120" s="192"/>
      <c r="AO120" s="192"/>
    </row>
    <row r="121" spans="1:63" ht="15.5" outlineLevel="1" thickTop="1">
      <c r="A121" t="s">
        <v>413</v>
      </c>
      <c r="B121" s="50" t="s">
        <v>126</v>
      </c>
      <c r="C121" s="118">
        <f>'Ethylene Recycling HC'!C104</f>
        <v>0.19</v>
      </c>
      <c r="D121" s="102">
        <f>'Ethylene Recycling HC'!D104</f>
        <v>0.20515750741304789</v>
      </c>
      <c r="E121" s="102">
        <f>'Ethylene Recycling HC'!E104</f>
        <v>0.22031501482609578</v>
      </c>
      <c r="F121" s="102">
        <f>'Ethylene Recycling HC'!F104</f>
        <v>0.23547252223914367</v>
      </c>
      <c r="G121" s="102">
        <f>'Ethylene Recycling HC'!G104</f>
        <v>0.25063002965219155</v>
      </c>
      <c r="H121" s="102">
        <f>'Ethylene Recycling HC'!H104</f>
        <v>0.26578753706523939</v>
      </c>
      <c r="I121" s="102">
        <f>'Ethylene Recycling HC'!I104</f>
        <v>0.28094504447828728</v>
      </c>
      <c r="J121" s="102">
        <f>'Ethylene Recycling HC'!J104</f>
        <v>0.29610255189133516</v>
      </c>
      <c r="K121" s="102">
        <f>'Ethylene Recycling HC'!K104</f>
        <v>0.31126005930438305</v>
      </c>
      <c r="L121" s="102">
        <f>'Ethylene Recycling HC'!L104</f>
        <v>0.32641756671743094</v>
      </c>
      <c r="M121" s="113">
        <f>'Ethylene Recycling HC'!M104</f>
        <v>0.34157507413047883</v>
      </c>
      <c r="N121" s="113">
        <f>'Ethylene Recycling HC'!N104</f>
        <v>0.35175830083520832</v>
      </c>
      <c r="O121" s="113">
        <f>'Ethylene Recycling HC'!O104</f>
        <v>0.3619415275399378</v>
      </c>
      <c r="P121" s="113">
        <f>'Ethylene Recycling HC'!P104</f>
        <v>0.37212475424466734</v>
      </c>
      <c r="Q121" s="113">
        <f>'Ethylene Recycling HC'!Q104</f>
        <v>0.38230798094939683</v>
      </c>
      <c r="R121" s="113">
        <f>'Ethylene Recycling HC'!R104</f>
        <v>0.39249120765412632</v>
      </c>
      <c r="S121" s="113">
        <f>'Ethylene Recycling HC'!S104</f>
        <v>0.4026744343588558</v>
      </c>
      <c r="T121" s="113">
        <f>'Ethylene Recycling HC'!T104</f>
        <v>0.41285766106358529</v>
      </c>
      <c r="U121" s="113">
        <f>'Ethylene Recycling HC'!U104</f>
        <v>0.42304088776831483</v>
      </c>
      <c r="V121" s="113">
        <f>'Ethylene Recycling HC'!V104</f>
        <v>0.43322411447304432</v>
      </c>
      <c r="W121" s="113">
        <f>'Ethylene Recycling HC'!W104</f>
        <v>0.44340734117777381</v>
      </c>
      <c r="X121" s="102">
        <f>'Ethylene Recycling HC'!X104</f>
        <v>0.45906660705999641</v>
      </c>
      <c r="Y121" s="102">
        <f>'Ethylene Recycling HC'!Y104</f>
        <v>0.47472587294221902</v>
      </c>
      <c r="Z121" s="102">
        <f>'Ethylene Recycling HC'!Z104</f>
        <v>0.49038513882444168</v>
      </c>
      <c r="AA121" s="102">
        <f>'Ethylene Recycling HC'!AA104</f>
        <v>0.50604440470666423</v>
      </c>
      <c r="AB121" s="102">
        <f>'Ethylene Recycling HC'!AB104</f>
        <v>0.52170367058888689</v>
      </c>
      <c r="AC121" s="102">
        <f>'Ethylene Recycling HC'!AC104</f>
        <v>0.53736293647110944</v>
      </c>
      <c r="AD121" s="102">
        <f>'Ethylene Recycling HC'!AD104</f>
        <v>0.5530222023533321</v>
      </c>
      <c r="AE121" s="102">
        <f>'Ethylene Recycling HC'!AE104</f>
        <v>0.56868146823555477</v>
      </c>
      <c r="AF121" s="102">
        <f>'Ethylene Recycling HC'!AF104</f>
        <v>0.58434073411777732</v>
      </c>
      <c r="AG121" s="118">
        <f>'Ethylene Recycling HC'!AG104</f>
        <v>0.6</v>
      </c>
      <c r="AJ121" s="185" t="s">
        <v>1469</v>
      </c>
    </row>
    <row r="122" spans="1:63" outlineLevel="1">
      <c r="A122" t="s">
        <v>414</v>
      </c>
      <c r="B122" s="50" t="s">
        <v>126</v>
      </c>
      <c r="C122" s="188">
        <v>0.08</v>
      </c>
      <c r="D122" s="102">
        <f t="shared" ref="D122:AF122" si="50">C122-($C$122-$AG$122)/($AG$1-$C$1)</f>
        <v>0.10400000000000001</v>
      </c>
      <c r="E122" s="102">
        <f t="shared" si="50"/>
        <v>0.128</v>
      </c>
      <c r="F122" s="102">
        <f t="shared" si="50"/>
        <v>0.152</v>
      </c>
      <c r="G122" s="102">
        <f t="shared" si="50"/>
        <v>0.17599999999999999</v>
      </c>
      <c r="H122" s="102">
        <f t="shared" si="50"/>
        <v>0.19999999999999998</v>
      </c>
      <c r="I122" s="102">
        <f t="shared" si="50"/>
        <v>0.22399999999999998</v>
      </c>
      <c r="J122" s="102">
        <f t="shared" si="50"/>
        <v>0.24799999999999997</v>
      </c>
      <c r="K122" s="102">
        <f t="shared" si="50"/>
        <v>0.27199999999999996</v>
      </c>
      <c r="L122" s="102">
        <f t="shared" si="50"/>
        <v>0.29599999999999999</v>
      </c>
      <c r="M122" s="102">
        <f t="shared" si="50"/>
        <v>0.32</v>
      </c>
      <c r="N122" s="102">
        <f t="shared" si="50"/>
        <v>0.34400000000000003</v>
      </c>
      <c r="O122" s="102">
        <f t="shared" si="50"/>
        <v>0.36800000000000005</v>
      </c>
      <c r="P122" s="102">
        <f t="shared" si="50"/>
        <v>0.39200000000000007</v>
      </c>
      <c r="Q122" s="102">
        <f t="shared" si="50"/>
        <v>0.41600000000000009</v>
      </c>
      <c r="R122" s="102">
        <f t="shared" si="50"/>
        <v>0.44000000000000011</v>
      </c>
      <c r="S122" s="102">
        <f t="shared" si="50"/>
        <v>0.46400000000000013</v>
      </c>
      <c r="T122" s="102">
        <f t="shared" si="50"/>
        <v>0.48800000000000016</v>
      </c>
      <c r="U122" s="102">
        <f t="shared" si="50"/>
        <v>0.51200000000000012</v>
      </c>
      <c r="V122" s="102">
        <f t="shared" si="50"/>
        <v>0.53600000000000014</v>
      </c>
      <c r="W122" s="102">
        <f t="shared" si="50"/>
        <v>0.56000000000000016</v>
      </c>
      <c r="X122" s="102">
        <f t="shared" si="50"/>
        <v>0.58400000000000019</v>
      </c>
      <c r="Y122" s="102">
        <f t="shared" si="50"/>
        <v>0.60800000000000021</v>
      </c>
      <c r="Z122" s="102">
        <f t="shared" si="50"/>
        <v>0.63200000000000023</v>
      </c>
      <c r="AA122" s="102">
        <f t="shared" si="50"/>
        <v>0.65600000000000025</v>
      </c>
      <c r="AB122" s="102">
        <f t="shared" si="50"/>
        <v>0.68000000000000027</v>
      </c>
      <c r="AC122" s="102">
        <f t="shared" si="50"/>
        <v>0.70400000000000029</v>
      </c>
      <c r="AD122" s="102">
        <f t="shared" si="50"/>
        <v>0.72800000000000031</v>
      </c>
      <c r="AE122" s="102">
        <f t="shared" si="50"/>
        <v>0.75200000000000033</v>
      </c>
      <c r="AF122" s="102">
        <f t="shared" si="50"/>
        <v>0.77600000000000036</v>
      </c>
      <c r="AG122" s="188">
        <v>0.8</v>
      </c>
      <c r="AI122" s="125"/>
      <c r="AJ122" s="185" t="s">
        <v>1472</v>
      </c>
      <c r="AL122" s="50" t="s">
        <v>298</v>
      </c>
    </row>
    <row r="123" spans="1:63" outlineLevel="1">
      <c r="A123" t="s">
        <v>415</v>
      </c>
      <c r="B123" s="156" t="s">
        <v>126</v>
      </c>
      <c r="C123" s="102">
        <f>1-C122</f>
        <v>0.92</v>
      </c>
      <c r="D123" s="102">
        <f t="shared" ref="D123:AG123" si="51">1-D122</f>
        <v>0.89600000000000002</v>
      </c>
      <c r="E123" s="102">
        <f t="shared" si="51"/>
        <v>0.872</v>
      </c>
      <c r="F123" s="102">
        <f t="shared" si="51"/>
        <v>0.84799999999999998</v>
      </c>
      <c r="G123" s="102">
        <f t="shared" si="51"/>
        <v>0.82400000000000007</v>
      </c>
      <c r="H123" s="102">
        <f t="shared" si="51"/>
        <v>0.8</v>
      </c>
      <c r="I123" s="102">
        <f t="shared" si="51"/>
        <v>0.77600000000000002</v>
      </c>
      <c r="J123" s="102">
        <f t="shared" si="51"/>
        <v>0.752</v>
      </c>
      <c r="K123" s="102">
        <f t="shared" si="51"/>
        <v>0.72799999999999998</v>
      </c>
      <c r="L123" s="102">
        <f t="shared" si="51"/>
        <v>0.70399999999999996</v>
      </c>
      <c r="M123" s="102">
        <f t="shared" si="51"/>
        <v>0.67999999999999994</v>
      </c>
      <c r="N123" s="102">
        <f t="shared" si="51"/>
        <v>0.65599999999999992</v>
      </c>
      <c r="O123" s="102">
        <f t="shared" si="51"/>
        <v>0.6319999999999999</v>
      </c>
      <c r="P123" s="102">
        <f t="shared" si="51"/>
        <v>0.60799999999999987</v>
      </c>
      <c r="Q123" s="102">
        <f t="shared" si="51"/>
        <v>0.58399999999999985</v>
      </c>
      <c r="R123" s="102">
        <f t="shared" si="51"/>
        <v>0.55999999999999983</v>
      </c>
      <c r="S123" s="102">
        <f t="shared" si="51"/>
        <v>0.53599999999999981</v>
      </c>
      <c r="T123" s="102">
        <f t="shared" si="51"/>
        <v>0.51199999999999979</v>
      </c>
      <c r="U123" s="102">
        <f t="shared" si="51"/>
        <v>0.48799999999999988</v>
      </c>
      <c r="V123" s="102">
        <f t="shared" si="51"/>
        <v>0.46399999999999986</v>
      </c>
      <c r="W123" s="102">
        <f t="shared" si="51"/>
        <v>0.43999999999999984</v>
      </c>
      <c r="X123" s="102">
        <f t="shared" si="51"/>
        <v>0.41599999999999981</v>
      </c>
      <c r="Y123" s="102">
        <f t="shared" si="51"/>
        <v>0.39199999999999979</v>
      </c>
      <c r="Z123" s="102">
        <f t="shared" si="51"/>
        <v>0.36799999999999977</v>
      </c>
      <c r="AA123" s="102">
        <f t="shared" si="51"/>
        <v>0.34399999999999975</v>
      </c>
      <c r="AB123" s="102">
        <f t="shared" si="51"/>
        <v>0.31999999999999973</v>
      </c>
      <c r="AC123" s="102">
        <f t="shared" si="51"/>
        <v>0.29599999999999971</v>
      </c>
      <c r="AD123" s="102">
        <f t="shared" si="51"/>
        <v>0.27199999999999969</v>
      </c>
      <c r="AE123" s="102">
        <f t="shared" si="51"/>
        <v>0.24799999999999967</v>
      </c>
      <c r="AF123" s="102">
        <f t="shared" si="51"/>
        <v>0.22399999999999964</v>
      </c>
      <c r="AG123" s="102">
        <f t="shared" si="51"/>
        <v>0.19999999999999996</v>
      </c>
      <c r="AI123" s="125"/>
      <c r="AJ123" s="185"/>
      <c r="BD123" s="605"/>
      <c r="BE123" s="605"/>
    </row>
    <row r="124" spans="1:63" outlineLevel="1">
      <c r="A124" t="s">
        <v>480</v>
      </c>
      <c r="B124" s="50" t="s">
        <v>126</v>
      </c>
      <c r="C124" s="102">
        <f>C121*C122</f>
        <v>1.52E-2</v>
      </c>
      <c r="D124" s="102">
        <f t="shared" ref="D124:AG124" si="52">D121*D122</f>
        <v>2.1336380770956981E-2</v>
      </c>
      <c r="E124" s="102">
        <f t="shared" si="52"/>
        <v>2.8200321897740261E-2</v>
      </c>
      <c r="F124" s="102">
        <f t="shared" si="52"/>
        <v>3.5791823380349835E-2</v>
      </c>
      <c r="G124" s="102">
        <f t="shared" si="52"/>
        <v>4.4110885218785714E-2</v>
      </c>
      <c r="H124" s="102">
        <f t="shared" si="52"/>
        <v>5.3157507413047873E-2</v>
      </c>
      <c r="I124" s="102">
        <f t="shared" si="52"/>
        <v>6.2931689963136347E-2</v>
      </c>
      <c r="J124" s="102">
        <f t="shared" si="52"/>
        <v>7.3433432869051116E-2</v>
      </c>
      <c r="K124" s="102">
        <f t="shared" si="52"/>
        <v>8.4662736130792185E-2</v>
      </c>
      <c r="L124" s="102">
        <f t="shared" si="52"/>
        <v>9.6619599748359555E-2</v>
      </c>
      <c r="M124" s="102">
        <f t="shared" si="52"/>
        <v>0.10930402372175323</v>
      </c>
      <c r="N124" s="102">
        <f t="shared" si="52"/>
        <v>0.12100485548731167</v>
      </c>
      <c r="O124" s="102">
        <f t="shared" si="52"/>
        <v>0.13319448213469712</v>
      </c>
      <c r="P124" s="102">
        <f t="shared" si="52"/>
        <v>0.14587290366390962</v>
      </c>
      <c r="Q124" s="102">
        <f t="shared" si="52"/>
        <v>0.15904012007494911</v>
      </c>
      <c r="R124" s="102">
        <f t="shared" si="52"/>
        <v>0.17269613136781561</v>
      </c>
      <c r="S124" s="102">
        <f t="shared" si="52"/>
        <v>0.18684093754250913</v>
      </c>
      <c r="T124" s="102">
        <f t="shared" si="52"/>
        <v>0.2014745385990297</v>
      </c>
      <c r="U124" s="102">
        <f t="shared" si="52"/>
        <v>0.21659693453737724</v>
      </c>
      <c r="V124" s="102">
        <f t="shared" si="52"/>
        <v>0.23220812535755181</v>
      </c>
      <c r="W124" s="102">
        <f t="shared" si="52"/>
        <v>0.24830811105955342</v>
      </c>
      <c r="X124" s="102">
        <f t="shared" si="52"/>
        <v>0.26809489852303797</v>
      </c>
      <c r="Y124" s="102">
        <f t="shared" si="52"/>
        <v>0.28863333074886927</v>
      </c>
      <c r="Z124" s="102">
        <f t="shared" si="52"/>
        <v>0.30992340773704724</v>
      </c>
      <c r="AA124" s="102">
        <f t="shared" si="52"/>
        <v>0.33196512948757184</v>
      </c>
      <c r="AB124" s="102">
        <f t="shared" si="52"/>
        <v>0.35475849600044324</v>
      </c>
      <c r="AC124" s="102">
        <f t="shared" si="52"/>
        <v>0.3783035072756612</v>
      </c>
      <c r="AD124" s="102">
        <f t="shared" si="52"/>
        <v>0.40260016331322596</v>
      </c>
      <c r="AE124" s="102">
        <f t="shared" si="52"/>
        <v>0.42764846411313739</v>
      </c>
      <c r="AF124" s="102">
        <f t="shared" si="52"/>
        <v>0.4534484096753954</v>
      </c>
      <c r="AG124" s="102">
        <f t="shared" si="52"/>
        <v>0.48</v>
      </c>
      <c r="AI124" s="125"/>
      <c r="AJ124" s="185"/>
      <c r="BD124" s="177"/>
      <c r="BE124" s="177"/>
    </row>
    <row r="125" spans="1:63" outlineLevel="1">
      <c r="A125" t="s">
        <v>481</v>
      </c>
      <c r="B125" s="50" t="s">
        <v>126</v>
      </c>
      <c r="C125" s="102">
        <f>C121*C123</f>
        <v>0.17480000000000001</v>
      </c>
      <c r="D125" s="102">
        <f t="shared" ref="D125:AG125" si="53">D121*D123</f>
        <v>0.18382112664209091</v>
      </c>
      <c r="E125" s="102">
        <f t="shared" si="53"/>
        <v>0.19211469292835551</v>
      </c>
      <c r="F125" s="102">
        <f t="shared" si="53"/>
        <v>0.19968069885879383</v>
      </c>
      <c r="G125" s="102">
        <f t="shared" si="53"/>
        <v>0.20651914443340585</v>
      </c>
      <c r="H125" s="102">
        <f t="shared" si="53"/>
        <v>0.21263002965219152</v>
      </c>
      <c r="I125" s="102">
        <f t="shared" si="53"/>
        <v>0.21801335451515094</v>
      </c>
      <c r="J125" s="102">
        <f t="shared" si="53"/>
        <v>0.22266911902228403</v>
      </c>
      <c r="K125" s="102">
        <f t="shared" si="53"/>
        <v>0.22659732317359085</v>
      </c>
      <c r="L125" s="102">
        <f t="shared" si="53"/>
        <v>0.22979796696907137</v>
      </c>
      <c r="M125" s="102">
        <f t="shared" si="53"/>
        <v>0.23227105040872559</v>
      </c>
      <c r="N125" s="102">
        <f t="shared" si="53"/>
        <v>0.23075344534789663</v>
      </c>
      <c r="O125" s="102">
        <f t="shared" si="53"/>
        <v>0.22874704540524066</v>
      </c>
      <c r="P125" s="102">
        <f t="shared" si="53"/>
        <v>0.2262518505807577</v>
      </c>
      <c r="Q125" s="102">
        <f t="shared" si="53"/>
        <v>0.22326786087444769</v>
      </c>
      <c r="R125" s="102">
        <f t="shared" si="53"/>
        <v>0.21979507628631068</v>
      </c>
      <c r="S125" s="102">
        <f t="shared" si="53"/>
        <v>0.21583349681634664</v>
      </c>
      <c r="T125" s="102">
        <f t="shared" si="53"/>
        <v>0.2113831224645556</v>
      </c>
      <c r="U125" s="102">
        <f t="shared" si="53"/>
        <v>0.20644395323093759</v>
      </c>
      <c r="V125" s="102">
        <f t="shared" si="53"/>
        <v>0.20101598911549251</v>
      </c>
      <c r="W125" s="102">
        <f t="shared" si="53"/>
        <v>0.19509923011822039</v>
      </c>
      <c r="X125" s="102">
        <f t="shared" si="53"/>
        <v>0.19097170853695841</v>
      </c>
      <c r="Y125" s="102">
        <f t="shared" si="53"/>
        <v>0.18609254219334975</v>
      </c>
      <c r="Z125" s="102">
        <f t="shared" si="53"/>
        <v>0.18046173108739444</v>
      </c>
      <c r="AA125" s="102">
        <f t="shared" si="53"/>
        <v>0.17407927521909236</v>
      </c>
      <c r="AB125" s="102">
        <f t="shared" si="53"/>
        <v>0.16694517458844366</v>
      </c>
      <c r="AC125" s="102">
        <f t="shared" si="53"/>
        <v>0.15905942919544824</v>
      </c>
      <c r="AD125" s="102">
        <f t="shared" si="53"/>
        <v>0.15042203904010615</v>
      </c>
      <c r="AE125" s="102">
        <f t="shared" si="53"/>
        <v>0.1410330041224174</v>
      </c>
      <c r="AF125" s="102">
        <f t="shared" si="53"/>
        <v>0.13089232444238191</v>
      </c>
      <c r="AG125" s="102">
        <f t="shared" si="53"/>
        <v>0.11999999999999997</v>
      </c>
      <c r="AI125" s="125"/>
      <c r="AJ125" s="185"/>
      <c r="BD125" s="177"/>
      <c r="BE125" s="177"/>
    </row>
    <row r="126" spans="1:63" outlineLevel="1">
      <c r="B126" s="156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I126" s="125"/>
      <c r="AJ126" s="185"/>
      <c r="BD126" s="177"/>
      <c r="BE126" s="177"/>
    </row>
    <row r="127" spans="1:63" outlineLevel="1">
      <c r="A127" t="s">
        <v>422</v>
      </c>
      <c r="B127" s="50" t="s">
        <v>126</v>
      </c>
      <c r="C127" s="188">
        <v>0.52</v>
      </c>
      <c r="D127" s="102">
        <f>C127</f>
        <v>0.52</v>
      </c>
      <c r="E127" s="102">
        <f t="shared" ref="E127:AG129" si="54">D127</f>
        <v>0.52</v>
      </c>
      <c r="F127" s="102">
        <f t="shared" si="54"/>
        <v>0.52</v>
      </c>
      <c r="G127" s="102">
        <f t="shared" si="54"/>
        <v>0.52</v>
      </c>
      <c r="H127" s="102">
        <f t="shared" si="54"/>
        <v>0.52</v>
      </c>
      <c r="I127" s="102">
        <f t="shared" si="54"/>
        <v>0.52</v>
      </c>
      <c r="J127" s="102">
        <f t="shared" si="54"/>
        <v>0.52</v>
      </c>
      <c r="K127" s="102">
        <f t="shared" si="54"/>
        <v>0.52</v>
      </c>
      <c r="L127" s="102">
        <f t="shared" si="54"/>
        <v>0.52</v>
      </c>
      <c r="M127" s="102">
        <f t="shared" si="54"/>
        <v>0.52</v>
      </c>
      <c r="N127" s="102">
        <f t="shared" si="54"/>
        <v>0.52</v>
      </c>
      <c r="O127" s="102">
        <f t="shared" si="54"/>
        <v>0.52</v>
      </c>
      <c r="P127" s="102">
        <f t="shared" si="54"/>
        <v>0.52</v>
      </c>
      <c r="Q127" s="102">
        <f t="shared" si="54"/>
        <v>0.52</v>
      </c>
      <c r="R127" s="102">
        <f t="shared" si="54"/>
        <v>0.52</v>
      </c>
      <c r="S127" s="102">
        <f t="shared" si="54"/>
        <v>0.52</v>
      </c>
      <c r="T127" s="102">
        <f t="shared" si="54"/>
        <v>0.52</v>
      </c>
      <c r="U127" s="102">
        <f t="shared" si="54"/>
        <v>0.52</v>
      </c>
      <c r="V127" s="102">
        <f t="shared" si="54"/>
        <v>0.52</v>
      </c>
      <c r="W127" s="102">
        <f t="shared" si="54"/>
        <v>0.52</v>
      </c>
      <c r="X127" s="102">
        <f t="shared" si="54"/>
        <v>0.52</v>
      </c>
      <c r="Y127" s="102">
        <f t="shared" si="54"/>
        <v>0.52</v>
      </c>
      <c r="Z127" s="102">
        <f t="shared" si="54"/>
        <v>0.52</v>
      </c>
      <c r="AA127" s="102">
        <f t="shared" si="54"/>
        <v>0.52</v>
      </c>
      <c r="AB127" s="102">
        <f t="shared" si="54"/>
        <v>0.52</v>
      </c>
      <c r="AC127" s="102">
        <f t="shared" si="54"/>
        <v>0.52</v>
      </c>
      <c r="AD127" s="102">
        <f t="shared" si="54"/>
        <v>0.52</v>
      </c>
      <c r="AE127" s="102">
        <f t="shared" si="54"/>
        <v>0.52</v>
      </c>
      <c r="AF127" s="102">
        <f t="shared" si="54"/>
        <v>0.52</v>
      </c>
      <c r="AG127" s="102">
        <f t="shared" si="54"/>
        <v>0.52</v>
      </c>
      <c r="AI127" s="124" t="s">
        <v>431</v>
      </c>
      <c r="AJ127" s="205" t="s">
        <v>443</v>
      </c>
      <c r="BD127" s="177"/>
      <c r="BE127" s="177"/>
    </row>
    <row r="128" spans="1:63" outlineLevel="1">
      <c r="A128" t="s">
        <v>429</v>
      </c>
      <c r="B128" s="50" t="s">
        <v>126</v>
      </c>
      <c r="C128" s="188">
        <v>0.12</v>
      </c>
      <c r="D128" s="102">
        <f t="shared" ref="D128:S129" si="55">C128</f>
        <v>0.12</v>
      </c>
      <c r="E128" s="102">
        <f t="shared" si="55"/>
        <v>0.12</v>
      </c>
      <c r="F128" s="102">
        <f t="shared" si="55"/>
        <v>0.12</v>
      </c>
      <c r="G128" s="102">
        <f t="shared" si="55"/>
        <v>0.12</v>
      </c>
      <c r="H128" s="102">
        <f t="shared" si="55"/>
        <v>0.12</v>
      </c>
      <c r="I128" s="102">
        <f t="shared" si="55"/>
        <v>0.12</v>
      </c>
      <c r="J128" s="102">
        <f t="shared" si="55"/>
        <v>0.12</v>
      </c>
      <c r="K128" s="102">
        <f t="shared" si="55"/>
        <v>0.12</v>
      </c>
      <c r="L128" s="102">
        <f t="shared" si="55"/>
        <v>0.12</v>
      </c>
      <c r="M128" s="102">
        <f t="shared" si="55"/>
        <v>0.12</v>
      </c>
      <c r="N128" s="102">
        <f t="shared" si="55"/>
        <v>0.12</v>
      </c>
      <c r="O128" s="102">
        <f t="shared" si="55"/>
        <v>0.12</v>
      </c>
      <c r="P128" s="102">
        <f t="shared" si="55"/>
        <v>0.12</v>
      </c>
      <c r="Q128" s="102">
        <f t="shared" si="55"/>
        <v>0.12</v>
      </c>
      <c r="R128" s="102">
        <f t="shared" si="55"/>
        <v>0.12</v>
      </c>
      <c r="S128" s="102">
        <f t="shared" si="55"/>
        <v>0.12</v>
      </c>
      <c r="T128" s="102">
        <f t="shared" si="54"/>
        <v>0.12</v>
      </c>
      <c r="U128" s="102">
        <f t="shared" si="54"/>
        <v>0.12</v>
      </c>
      <c r="V128" s="102">
        <f t="shared" si="54"/>
        <v>0.12</v>
      </c>
      <c r="W128" s="102">
        <f t="shared" si="54"/>
        <v>0.12</v>
      </c>
      <c r="X128" s="102">
        <f t="shared" si="54"/>
        <v>0.12</v>
      </c>
      <c r="Y128" s="102">
        <f t="shared" si="54"/>
        <v>0.12</v>
      </c>
      <c r="Z128" s="102">
        <f t="shared" si="54"/>
        <v>0.12</v>
      </c>
      <c r="AA128" s="102">
        <f t="shared" si="54"/>
        <v>0.12</v>
      </c>
      <c r="AB128" s="102">
        <f t="shared" si="54"/>
        <v>0.12</v>
      </c>
      <c r="AC128" s="102">
        <f t="shared" si="54"/>
        <v>0.12</v>
      </c>
      <c r="AD128" s="102">
        <f t="shared" si="54"/>
        <v>0.12</v>
      </c>
      <c r="AE128" s="102">
        <f t="shared" si="54"/>
        <v>0.12</v>
      </c>
      <c r="AF128" s="102">
        <f t="shared" si="54"/>
        <v>0.12</v>
      </c>
      <c r="AG128" s="102">
        <f t="shared" si="54"/>
        <v>0.12</v>
      </c>
      <c r="AI128" s="124" t="s">
        <v>431</v>
      </c>
      <c r="AJ128" s="205" t="s">
        <v>443</v>
      </c>
      <c r="AL128" s="1"/>
      <c r="BC128" s="1"/>
      <c r="BD128" s="615"/>
      <c r="BE128" s="605"/>
      <c r="BF128" s="6"/>
      <c r="BG128" s="6"/>
      <c r="BH128" s="6"/>
      <c r="BI128" s="6"/>
      <c r="BJ128" s="6"/>
    </row>
    <row r="129" spans="1:63" outlineLevel="1">
      <c r="A129" t="s">
        <v>430</v>
      </c>
      <c r="B129" s="50" t="s">
        <v>126</v>
      </c>
      <c r="C129" s="113">
        <f>1-C127-C128</f>
        <v>0.36</v>
      </c>
      <c r="D129" s="102">
        <f t="shared" si="55"/>
        <v>0.36</v>
      </c>
      <c r="E129" s="102">
        <f t="shared" si="55"/>
        <v>0.36</v>
      </c>
      <c r="F129" s="102">
        <f t="shared" si="55"/>
        <v>0.36</v>
      </c>
      <c r="G129" s="102">
        <f t="shared" si="55"/>
        <v>0.36</v>
      </c>
      <c r="H129" s="102">
        <f t="shared" si="55"/>
        <v>0.36</v>
      </c>
      <c r="I129" s="102">
        <f t="shared" si="55"/>
        <v>0.36</v>
      </c>
      <c r="J129" s="102">
        <f t="shared" si="55"/>
        <v>0.36</v>
      </c>
      <c r="K129" s="102">
        <f t="shared" si="55"/>
        <v>0.36</v>
      </c>
      <c r="L129" s="102">
        <f t="shared" si="55"/>
        <v>0.36</v>
      </c>
      <c r="M129" s="102">
        <f t="shared" si="55"/>
        <v>0.36</v>
      </c>
      <c r="N129" s="102">
        <f t="shared" si="55"/>
        <v>0.36</v>
      </c>
      <c r="O129" s="102">
        <f t="shared" si="55"/>
        <v>0.36</v>
      </c>
      <c r="P129" s="102">
        <f t="shared" si="55"/>
        <v>0.36</v>
      </c>
      <c r="Q129" s="102">
        <f t="shared" si="55"/>
        <v>0.36</v>
      </c>
      <c r="R129" s="102">
        <f t="shared" si="55"/>
        <v>0.36</v>
      </c>
      <c r="S129" s="102">
        <f t="shared" si="55"/>
        <v>0.36</v>
      </c>
      <c r="T129" s="102">
        <f t="shared" si="54"/>
        <v>0.36</v>
      </c>
      <c r="U129" s="102">
        <f t="shared" si="54"/>
        <v>0.36</v>
      </c>
      <c r="V129" s="102">
        <f t="shared" si="54"/>
        <v>0.36</v>
      </c>
      <c r="W129" s="102">
        <f t="shared" si="54"/>
        <v>0.36</v>
      </c>
      <c r="X129" s="102">
        <f t="shared" si="54"/>
        <v>0.36</v>
      </c>
      <c r="Y129" s="102">
        <f t="shared" si="54"/>
        <v>0.36</v>
      </c>
      <c r="Z129" s="102">
        <f t="shared" si="54"/>
        <v>0.36</v>
      </c>
      <c r="AA129" s="102">
        <f t="shared" si="54"/>
        <v>0.36</v>
      </c>
      <c r="AB129" s="102">
        <f t="shared" si="54"/>
        <v>0.36</v>
      </c>
      <c r="AC129" s="102">
        <f t="shared" si="54"/>
        <v>0.36</v>
      </c>
      <c r="AD129" s="102">
        <f t="shared" si="54"/>
        <v>0.36</v>
      </c>
      <c r="AE129" s="102">
        <f t="shared" si="54"/>
        <v>0.36</v>
      </c>
      <c r="AF129" s="102">
        <f t="shared" si="54"/>
        <v>0.36</v>
      </c>
      <c r="AG129" s="102">
        <f t="shared" si="54"/>
        <v>0.36</v>
      </c>
      <c r="AI129" s="124"/>
      <c r="AJ129" s="196"/>
      <c r="BC129" s="1"/>
      <c r="BD129" s="37"/>
      <c r="BF129" s="6"/>
      <c r="BG129" s="6"/>
      <c r="BH129" s="6"/>
      <c r="BI129" s="6"/>
      <c r="BJ129" s="6"/>
    </row>
    <row r="130" spans="1:63" outlineLevel="1">
      <c r="A130" t="s">
        <v>418</v>
      </c>
      <c r="B130" s="50" t="s">
        <v>126</v>
      </c>
      <c r="C130" s="102">
        <f>SUM(C127:C129)</f>
        <v>1</v>
      </c>
      <c r="D130" s="102">
        <f t="shared" ref="D130:AG130" si="56">SUM(D127:D129)</f>
        <v>1</v>
      </c>
      <c r="E130" s="102">
        <f t="shared" si="56"/>
        <v>1</v>
      </c>
      <c r="F130" s="102">
        <f t="shared" si="56"/>
        <v>1</v>
      </c>
      <c r="G130" s="102">
        <f t="shared" si="56"/>
        <v>1</v>
      </c>
      <c r="H130" s="102">
        <f t="shared" si="56"/>
        <v>1</v>
      </c>
      <c r="I130" s="102">
        <f t="shared" si="56"/>
        <v>1</v>
      </c>
      <c r="J130" s="102">
        <f t="shared" si="56"/>
        <v>1</v>
      </c>
      <c r="K130" s="102">
        <f t="shared" si="56"/>
        <v>1</v>
      </c>
      <c r="L130" s="102">
        <f t="shared" si="56"/>
        <v>1</v>
      </c>
      <c r="M130" s="102">
        <f t="shared" si="56"/>
        <v>1</v>
      </c>
      <c r="N130" s="102">
        <f t="shared" si="56"/>
        <v>1</v>
      </c>
      <c r="O130" s="102">
        <f t="shared" si="56"/>
        <v>1</v>
      </c>
      <c r="P130" s="102">
        <f t="shared" si="56"/>
        <v>1</v>
      </c>
      <c r="Q130" s="102">
        <f t="shared" si="56"/>
        <v>1</v>
      </c>
      <c r="R130" s="102">
        <f t="shared" si="56"/>
        <v>1</v>
      </c>
      <c r="S130" s="102">
        <f t="shared" si="56"/>
        <v>1</v>
      </c>
      <c r="T130" s="102">
        <f t="shared" si="56"/>
        <v>1</v>
      </c>
      <c r="U130" s="102">
        <f t="shared" si="56"/>
        <v>1</v>
      </c>
      <c r="V130" s="102">
        <f t="shared" si="56"/>
        <v>1</v>
      </c>
      <c r="W130" s="102">
        <f t="shared" si="56"/>
        <v>1</v>
      </c>
      <c r="X130" s="102">
        <f t="shared" si="56"/>
        <v>1</v>
      </c>
      <c r="Y130" s="102">
        <f t="shared" si="56"/>
        <v>1</v>
      </c>
      <c r="Z130" s="102">
        <f t="shared" si="56"/>
        <v>1</v>
      </c>
      <c r="AA130" s="102">
        <f t="shared" si="56"/>
        <v>1</v>
      </c>
      <c r="AB130" s="102">
        <f t="shared" si="56"/>
        <v>1</v>
      </c>
      <c r="AC130" s="102">
        <f t="shared" si="56"/>
        <v>1</v>
      </c>
      <c r="AD130" s="102">
        <f t="shared" si="56"/>
        <v>1</v>
      </c>
      <c r="AE130" s="102">
        <f t="shared" si="56"/>
        <v>1</v>
      </c>
      <c r="AF130" s="102">
        <f t="shared" si="56"/>
        <v>1</v>
      </c>
      <c r="AG130" s="102">
        <f t="shared" si="56"/>
        <v>1</v>
      </c>
      <c r="AI130" s="124"/>
      <c r="AJ130" s="185"/>
      <c r="BC130" s="1"/>
      <c r="BD130" s="37"/>
      <c r="BF130" s="6"/>
      <c r="BG130" s="6"/>
      <c r="BH130" s="6"/>
      <c r="BI130" s="6"/>
      <c r="BJ130" s="6"/>
    </row>
    <row r="131" spans="1:63" outlineLevel="1">
      <c r="C131" s="188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I131" s="124"/>
      <c r="AJ131" s="185"/>
      <c r="BC131" s="1"/>
      <c r="BD131" s="37"/>
      <c r="BF131" s="6"/>
      <c r="BG131" s="6"/>
      <c r="BH131" s="6"/>
      <c r="BI131" s="6"/>
      <c r="BJ131" s="6"/>
    </row>
    <row r="132" spans="1:63" outlineLevel="1">
      <c r="A132" t="s">
        <v>426</v>
      </c>
      <c r="B132" s="50" t="s">
        <v>126</v>
      </c>
      <c r="C132" s="102">
        <f>C127*C125</f>
        <v>9.0896000000000005E-2</v>
      </c>
      <c r="D132" s="102">
        <f t="shared" ref="D132:AG132" si="57">D127*D125</f>
        <v>9.558698585388728E-2</v>
      </c>
      <c r="E132" s="102">
        <f t="shared" si="57"/>
        <v>9.989964032274487E-2</v>
      </c>
      <c r="F132" s="102">
        <f t="shared" si="57"/>
        <v>0.10383396340657279</v>
      </c>
      <c r="G132" s="102">
        <f t="shared" si="57"/>
        <v>0.10738995510537105</v>
      </c>
      <c r="H132" s="102">
        <f t="shared" si="57"/>
        <v>0.11056761541913959</v>
      </c>
      <c r="I132" s="102">
        <f t="shared" si="57"/>
        <v>0.11336694434787849</v>
      </c>
      <c r="J132" s="102">
        <f t="shared" si="57"/>
        <v>0.1157879418915877</v>
      </c>
      <c r="K132" s="102">
        <f t="shared" si="57"/>
        <v>0.11783060805026725</v>
      </c>
      <c r="L132" s="102">
        <f t="shared" si="57"/>
        <v>0.11949494282391712</v>
      </c>
      <c r="M132" s="102">
        <f t="shared" si="57"/>
        <v>0.12078094621253731</v>
      </c>
      <c r="N132" s="102">
        <f t="shared" si="57"/>
        <v>0.11999179158090625</v>
      </c>
      <c r="O132" s="102">
        <f t="shared" si="57"/>
        <v>0.11894846361072514</v>
      </c>
      <c r="P132" s="102">
        <f t="shared" si="57"/>
        <v>0.11765096230199401</v>
      </c>
      <c r="Q132" s="102">
        <f t="shared" si="57"/>
        <v>0.11609928765471281</v>
      </c>
      <c r="R132" s="102">
        <f t="shared" si="57"/>
        <v>0.11429343966888156</v>
      </c>
      <c r="S132" s="102">
        <f t="shared" si="57"/>
        <v>0.11223341834450026</v>
      </c>
      <c r="T132" s="102">
        <f t="shared" si="57"/>
        <v>0.10991922368156891</v>
      </c>
      <c r="U132" s="102">
        <f t="shared" si="57"/>
        <v>0.10735085568008755</v>
      </c>
      <c r="V132" s="102">
        <f t="shared" si="57"/>
        <v>0.10452831434005611</v>
      </c>
      <c r="W132" s="102">
        <f t="shared" si="57"/>
        <v>0.1014515996614746</v>
      </c>
      <c r="X132" s="102">
        <f t="shared" si="57"/>
        <v>9.9305288439218375E-2</v>
      </c>
      <c r="Y132" s="102">
        <f t="shared" si="57"/>
        <v>9.6768121940541879E-2</v>
      </c>
      <c r="Z132" s="102">
        <f t="shared" si="57"/>
        <v>9.3840100165445112E-2</v>
      </c>
      <c r="AA132" s="102">
        <f t="shared" si="57"/>
        <v>9.0521223113928032E-2</v>
      </c>
      <c r="AB132" s="102">
        <f t="shared" si="57"/>
        <v>8.6811490785990708E-2</v>
      </c>
      <c r="AC132" s="102">
        <f t="shared" si="57"/>
        <v>8.2710903181633086E-2</v>
      </c>
      <c r="AD132" s="102">
        <f t="shared" si="57"/>
        <v>7.8219460300855206E-2</v>
      </c>
      <c r="AE132" s="102">
        <f t="shared" si="57"/>
        <v>7.3337162143657056E-2</v>
      </c>
      <c r="AF132" s="102">
        <f t="shared" si="57"/>
        <v>6.8064008710038593E-2</v>
      </c>
      <c r="AG132" s="102">
        <f t="shared" si="57"/>
        <v>6.2399999999999983E-2</v>
      </c>
      <c r="AI132" s="124"/>
      <c r="AJ132" s="185"/>
      <c r="BD132" s="177"/>
      <c r="BE132" s="177"/>
    </row>
    <row r="133" spans="1:63" outlineLevel="1">
      <c r="A133" t="s">
        <v>427</v>
      </c>
      <c r="B133" s="50" t="s">
        <v>126</v>
      </c>
      <c r="C133" s="102">
        <f>C125*C128</f>
        <v>2.0976000000000002E-2</v>
      </c>
      <c r="D133" s="102">
        <f t="shared" ref="D133:AG133" si="58">D125*D128</f>
        <v>2.2058535197050907E-2</v>
      </c>
      <c r="E133" s="102">
        <f t="shared" si="58"/>
        <v>2.3053763151402659E-2</v>
      </c>
      <c r="F133" s="102">
        <f t="shared" si="58"/>
        <v>2.396168386305526E-2</v>
      </c>
      <c r="G133" s="102">
        <f t="shared" si="58"/>
        <v>2.47822973320087E-2</v>
      </c>
      <c r="H133" s="102">
        <f t="shared" si="58"/>
        <v>2.5515603558262982E-2</v>
      </c>
      <c r="I133" s="102">
        <f t="shared" si="58"/>
        <v>2.6161602541818114E-2</v>
      </c>
      <c r="J133" s="102">
        <f t="shared" si="58"/>
        <v>2.6720294282674084E-2</v>
      </c>
      <c r="K133" s="102">
        <f t="shared" si="58"/>
        <v>2.71916787808309E-2</v>
      </c>
      <c r="L133" s="102">
        <f t="shared" si="58"/>
        <v>2.7575756036288562E-2</v>
      </c>
      <c r="M133" s="102">
        <f t="shared" si="58"/>
        <v>2.787252604904707E-2</v>
      </c>
      <c r="N133" s="102">
        <f t="shared" si="58"/>
        <v>2.7690413441747594E-2</v>
      </c>
      <c r="O133" s="102">
        <f t="shared" si="58"/>
        <v>2.7449645448628879E-2</v>
      </c>
      <c r="P133" s="102">
        <f t="shared" si="58"/>
        <v>2.7150222069690921E-2</v>
      </c>
      <c r="Q133" s="102">
        <f t="shared" si="58"/>
        <v>2.6792143304933722E-2</v>
      </c>
      <c r="R133" s="102">
        <f t="shared" si="58"/>
        <v>2.6375409154357279E-2</v>
      </c>
      <c r="S133" s="102">
        <f t="shared" si="58"/>
        <v>2.5900019617961595E-2</v>
      </c>
      <c r="T133" s="102">
        <f t="shared" si="58"/>
        <v>2.5365974695746672E-2</v>
      </c>
      <c r="U133" s="102">
        <f t="shared" si="58"/>
        <v>2.4773274387712509E-2</v>
      </c>
      <c r="V133" s="102">
        <f t="shared" si="58"/>
        <v>2.4121918693859101E-2</v>
      </c>
      <c r="W133" s="102">
        <f t="shared" si="58"/>
        <v>2.3411907614186447E-2</v>
      </c>
      <c r="X133" s="102">
        <f t="shared" si="58"/>
        <v>2.2916605024435009E-2</v>
      </c>
      <c r="Y133" s="102">
        <f t="shared" si="58"/>
        <v>2.2331105063201968E-2</v>
      </c>
      <c r="Z133" s="102">
        <f t="shared" si="58"/>
        <v>2.1655407730487332E-2</v>
      </c>
      <c r="AA133" s="102">
        <f t="shared" si="58"/>
        <v>2.0889513026291082E-2</v>
      </c>
      <c r="AB133" s="102">
        <f t="shared" si="58"/>
        <v>2.0033420950613237E-2</v>
      </c>
      <c r="AC133" s="102">
        <f t="shared" si="58"/>
        <v>1.9087131503453789E-2</v>
      </c>
      <c r="AD133" s="102">
        <f t="shared" si="58"/>
        <v>1.8050644684812735E-2</v>
      </c>
      <c r="AE133" s="102">
        <f t="shared" si="58"/>
        <v>1.6923960494690086E-2</v>
      </c>
      <c r="AF133" s="102">
        <f t="shared" si="58"/>
        <v>1.570707893308583E-2</v>
      </c>
      <c r="AG133" s="102">
        <f t="shared" si="58"/>
        <v>1.4399999999999996E-2</v>
      </c>
      <c r="AI133" s="124"/>
      <c r="AJ133" s="185"/>
      <c r="AL133" s="1"/>
      <c r="BC133" s="1"/>
      <c r="BD133" s="615"/>
      <c r="BE133" s="605"/>
      <c r="BF133" s="6"/>
      <c r="BG133" s="6"/>
      <c r="BH133" s="6"/>
      <c r="BI133" s="6"/>
      <c r="BJ133" s="6"/>
    </row>
    <row r="134" spans="1:63" outlineLevel="1">
      <c r="A134" t="s">
        <v>428</v>
      </c>
      <c r="B134" s="50" t="s">
        <v>126</v>
      </c>
      <c r="C134" s="102">
        <f>C125*C129</f>
        <v>6.2927999999999998E-2</v>
      </c>
      <c r="D134" s="102">
        <f t="shared" ref="D134:AG134" si="59">D125*D129</f>
        <v>6.6175605591152722E-2</v>
      </c>
      <c r="E134" s="102">
        <f t="shared" si="59"/>
        <v>6.9161289454207978E-2</v>
      </c>
      <c r="F134" s="102">
        <f t="shared" si="59"/>
        <v>7.1885051589165777E-2</v>
      </c>
      <c r="G134" s="102">
        <f t="shared" si="59"/>
        <v>7.4346891996026107E-2</v>
      </c>
      <c r="H134" s="102">
        <f t="shared" si="59"/>
        <v>7.654681067478894E-2</v>
      </c>
      <c r="I134" s="102">
        <f t="shared" si="59"/>
        <v>7.8484807625454331E-2</v>
      </c>
      <c r="J134" s="102">
        <f t="shared" si="59"/>
        <v>8.0160882848022252E-2</v>
      </c>
      <c r="K134" s="102">
        <f t="shared" si="59"/>
        <v>8.1575036342492704E-2</v>
      </c>
      <c r="L134" s="102">
        <f t="shared" si="59"/>
        <v>8.2727268108865687E-2</v>
      </c>
      <c r="M134" s="102">
        <f t="shared" si="59"/>
        <v>8.3617578147141214E-2</v>
      </c>
      <c r="N134" s="102">
        <f t="shared" si="59"/>
        <v>8.3071240325242782E-2</v>
      </c>
      <c r="O134" s="102">
        <f t="shared" si="59"/>
        <v>8.2348936345886636E-2</v>
      </c>
      <c r="P134" s="102">
        <f t="shared" si="59"/>
        <v>8.1450666209072764E-2</v>
      </c>
      <c r="Q134" s="102">
        <f t="shared" si="59"/>
        <v>8.0376429914801165E-2</v>
      </c>
      <c r="R134" s="102">
        <f t="shared" si="59"/>
        <v>7.9126227463071838E-2</v>
      </c>
      <c r="S134" s="102">
        <f t="shared" si="59"/>
        <v>7.7700058853884785E-2</v>
      </c>
      <c r="T134" s="102">
        <f t="shared" si="59"/>
        <v>7.6097924087240018E-2</v>
      </c>
      <c r="U134" s="102">
        <f t="shared" si="59"/>
        <v>7.4319823163137524E-2</v>
      </c>
      <c r="V134" s="102">
        <f t="shared" si="59"/>
        <v>7.2365756081577304E-2</v>
      </c>
      <c r="W134" s="102">
        <f t="shared" si="59"/>
        <v>7.0235722842559342E-2</v>
      </c>
      <c r="X134" s="102">
        <f t="shared" si="59"/>
        <v>6.8749815073305021E-2</v>
      </c>
      <c r="Y134" s="102">
        <f t="shared" si="59"/>
        <v>6.6993315189605912E-2</v>
      </c>
      <c r="Z134" s="102">
        <f t="shared" si="59"/>
        <v>6.4966223191462003E-2</v>
      </c>
      <c r="AA134" s="102">
        <f t="shared" si="59"/>
        <v>6.266853907887325E-2</v>
      </c>
      <c r="AB134" s="102">
        <f t="shared" si="59"/>
        <v>6.0100262851839711E-2</v>
      </c>
      <c r="AC134" s="102">
        <f t="shared" si="59"/>
        <v>5.7261394510361364E-2</v>
      </c>
      <c r="AD134" s="102">
        <f t="shared" si="59"/>
        <v>5.415193405443821E-2</v>
      </c>
      <c r="AE134" s="102">
        <f t="shared" si="59"/>
        <v>5.0771881484070261E-2</v>
      </c>
      <c r="AF134" s="102">
        <f t="shared" si="59"/>
        <v>4.712123679925749E-2</v>
      </c>
      <c r="AG134" s="102">
        <f t="shared" si="59"/>
        <v>4.3199999999999988E-2</v>
      </c>
      <c r="AI134" s="125"/>
      <c r="AJ134" s="185"/>
      <c r="BC134" s="1"/>
      <c r="BD134" s="37"/>
      <c r="BF134" s="6"/>
      <c r="BG134" s="6"/>
      <c r="BH134" s="6"/>
      <c r="BI134" s="6"/>
      <c r="BJ134" s="6"/>
    </row>
    <row r="135" spans="1:63" outlineLevel="1"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I135" s="125"/>
      <c r="AJ135" s="185"/>
      <c r="BC135" s="1"/>
      <c r="BD135" s="37"/>
      <c r="BF135" s="6"/>
      <c r="BG135" s="6"/>
      <c r="BH135" s="6"/>
      <c r="BI135" s="6"/>
      <c r="BJ135" s="6"/>
    </row>
    <row r="136" spans="1:63" outlineLevel="1">
      <c r="A136" t="s">
        <v>1239</v>
      </c>
      <c r="C136" s="203">
        <f>('Overall recycling rates'!F86*'Yearly BTX'!D5+'Overall recycling rates'!G86*'Yearly BTX'!D6+'Overall recycling rates'!H86*'Yearly BTX'!D7)/'Yearly BTX'!D4</f>
        <v>0.41520678527155386</v>
      </c>
      <c r="D136" s="203">
        <f>C136-($C136-$AG136)/($AG$1-$C$1)</f>
        <v>0.43136655909583538</v>
      </c>
      <c r="E136" s="203">
        <f t="shared" ref="E136:AF136" si="60">D136-($C136-$AG136)/($AG$1-$C$1)</f>
        <v>0.4475263329201169</v>
      </c>
      <c r="F136" s="203">
        <f t="shared" si="60"/>
        <v>0.46368610674439842</v>
      </c>
      <c r="G136" s="203">
        <f t="shared" si="60"/>
        <v>0.47984588056867994</v>
      </c>
      <c r="H136" s="203">
        <f t="shared" si="60"/>
        <v>0.49600565439296146</v>
      </c>
      <c r="I136" s="203">
        <f t="shared" si="60"/>
        <v>0.51216542821724298</v>
      </c>
      <c r="J136" s="203">
        <f t="shared" si="60"/>
        <v>0.52832520204152456</v>
      </c>
      <c r="K136" s="203">
        <f t="shared" si="60"/>
        <v>0.54448497586580613</v>
      </c>
      <c r="L136" s="203">
        <f t="shared" si="60"/>
        <v>0.56064474969008771</v>
      </c>
      <c r="M136" s="203">
        <f t="shared" si="60"/>
        <v>0.57680452351436928</v>
      </c>
      <c r="N136" s="203">
        <f t="shared" si="60"/>
        <v>0.59296429733865086</v>
      </c>
      <c r="O136" s="203">
        <f t="shared" si="60"/>
        <v>0.60912407116293243</v>
      </c>
      <c r="P136" s="203">
        <f t="shared" si="60"/>
        <v>0.62528384498721401</v>
      </c>
      <c r="Q136" s="203">
        <f t="shared" si="60"/>
        <v>0.64144361881149559</v>
      </c>
      <c r="R136" s="203">
        <f t="shared" si="60"/>
        <v>0.65760339263577716</v>
      </c>
      <c r="S136" s="203">
        <f t="shared" si="60"/>
        <v>0.67376316646005874</v>
      </c>
      <c r="T136" s="203">
        <f t="shared" si="60"/>
        <v>0.68992294028434031</v>
      </c>
      <c r="U136" s="203">
        <f t="shared" si="60"/>
        <v>0.70608271410862189</v>
      </c>
      <c r="V136" s="203">
        <f t="shared" si="60"/>
        <v>0.72224248793290347</v>
      </c>
      <c r="W136" s="203">
        <f t="shared" si="60"/>
        <v>0.73840226175718504</v>
      </c>
      <c r="X136" s="203">
        <f t="shared" si="60"/>
        <v>0.75456203558146662</v>
      </c>
      <c r="Y136" s="203">
        <f t="shared" si="60"/>
        <v>0.77072180940574819</v>
      </c>
      <c r="Z136" s="203">
        <f t="shared" si="60"/>
        <v>0.78688158323002977</v>
      </c>
      <c r="AA136" s="203">
        <f t="shared" si="60"/>
        <v>0.80304135705431134</v>
      </c>
      <c r="AB136" s="203">
        <f t="shared" si="60"/>
        <v>0.81920113087859292</v>
      </c>
      <c r="AC136" s="203">
        <f t="shared" si="60"/>
        <v>0.8353609047028745</v>
      </c>
      <c r="AD136" s="203">
        <f t="shared" si="60"/>
        <v>0.85152067852715607</v>
      </c>
      <c r="AE136" s="203">
        <f t="shared" si="60"/>
        <v>0.86768045235143765</v>
      </c>
      <c r="AF136" s="203">
        <f t="shared" si="60"/>
        <v>0.88384022617571922</v>
      </c>
      <c r="AG136" s="203">
        <f>'Overall recycling rates'!F95</f>
        <v>0.9</v>
      </c>
      <c r="AI136" s="124"/>
      <c r="AJ136" s="185" t="s">
        <v>993</v>
      </c>
      <c r="AL136" s="100"/>
      <c r="AM136" s="181"/>
      <c r="AN136" s="181"/>
      <c r="AO136" s="181"/>
      <c r="BC136" s="1"/>
      <c r="BD136" s="181"/>
      <c r="BE136" s="181"/>
      <c r="BF136" s="181"/>
      <c r="BG136" s="181"/>
      <c r="BH136" s="181"/>
      <c r="BI136" s="181"/>
      <c r="BJ136" s="181"/>
      <c r="BK136" s="181"/>
    </row>
    <row r="137" spans="1:63" outlineLevel="1">
      <c r="A137" t="s">
        <v>1247</v>
      </c>
      <c r="B137" s="50" t="s">
        <v>126</v>
      </c>
      <c r="C137" s="102">
        <f>C124*C$136</f>
        <v>6.3111431361276187E-3</v>
      </c>
      <c r="D137" s="102">
        <f t="shared" ref="D137:AG138" si="61">D124*D$136</f>
        <v>9.2038011567262597E-3</v>
      </c>
      <c r="E137" s="102">
        <f t="shared" si="61"/>
        <v>1.2620386646062571E-2</v>
      </c>
      <c r="F137" s="102">
        <f t="shared" si="61"/>
        <v>1.6596171236517548E-2</v>
      </c>
      <c r="G137" s="102">
        <f t="shared" si="61"/>
        <v>2.1166426560472199E-2</v>
      </c>
      <c r="H137" s="102">
        <f t="shared" si="61"/>
        <v>2.636642425030751E-2</v>
      </c>
      <c r="I137" s="102">
        <f t="shared" si="61"/>
        <v>3.2231435938404503E-2</v>
      </c>
      <c r="J137" s="102">
        <f t="shared" si="61"/>
        <v>3.879673325714416E-2</v>
      </c>
      <c r="K137" s="102">
        <f t="shared" si="61"/>
        <v>4.6097587838907494E-2</v>
      </c>
      <c r="L137" s="102">
        <f t="shared" si="61"/>
        <v>5.4169271316075504E-2</v>
      </c>
      <c r="M137" s="102">
        <f t="shared" si="61"/>
        <v>6.304705532102918E-2</v>
      </c>
      <c r="N137" s="102">
        <f t="shared" si="61"/>
        <v>7.1751559108598761E-2</v>
      </c>
      <c r="O137" s="102">
        <f t="shared" si="61"/>
        <v>8.1131965214325183E-2</v>
      </c>
      <c r="P137" s="102">
        <f t="shared" si="61"/>
        <v>9.1211970082418867E-2</v>
      </c>
      <c r="Q137" s="102">
        <f t="shared" si="61"/>
        <v>0.10201527015709014</v>
      </c>
      <c r="R137" s="102">
        <f t="shared" si="61"/>
        <v>0.1135655618825494</v>
      </c>
      <c r="S137" s="102">
        <f t="shared" si="61"/>
        <v>0.12588654170300703</v>
      </c>
      <c r="T137" s="102">
        <f t="shared" si="61"/>
        <v>0.13900190606267337</v>
      </c>
      <c r="U137" s="102">
        <f t="shared" si="61"/>
        <v>0.15293535140575884</v>
      </c>
      <c r="V137" s="102">
        <f t="shared" si="61"/>
        <v>0.16771057417647375</v>
      </c>
      <c r="W137" s="102">
        <f t="shared" si="61"/>
        <v>0.18335127081902852</v>
      </c>
      <c r="X137" s="102">
        <f t="shared" si="61"/>
        <v>0.20229423235855026</v>
      </c>
      <c r="Y137" s="102">
        <f t="shared" si="61"/>
        <v>0.22245600292957629</v>
      </c>
      <c r="Z137" s="102">
        <f t="shared" si="61"/>
        <v>0.24387302176017378</v>
      </c>
      <c r="AA137" s="102">
        <f t="shared" si="61"/>
        <v>0.26658172807840985</v>
      </c>
      <c r="AB137" s="102">
        <f t="shared" si="61"/>
        <v>0.2906185611123519</v>
      </c>
      <c r="AC137" s="102">
        <f t="shared" si="61"/>
        <v>0.31601996009006678</v>
      </c>
      <c r="AD137" s="102">
        <f t="shared" si="61"/>
        <v>0.34282236423962203</v>
      </c>
      <c r="AE137" s="102">
        <f t="shared" si="61"/>
        <v>0.37106221278908458</v>
      </c>
      <c r="AF137" s="102">
        <f t="shared" si="61"/>
        <v>0.40077594496652164</v>
      </c>
      <c r="AG137" s="102">
        <f t="shared" si="61"/>
        <v>0.432</v>
      </c>
      <c r="AI137" s="124"/>
      <c r="AJ137"/>
      <c r="AL137" s="100"/>
      <c r="AM137" s="2"/>
      <c r="AN137" s="2"/>
      <c r="AO137" s="2"/>
      <c r="AV137" s="37"/>
    </row>
    <row r="138" spans="1:63" outlineLevel="1">
      <c r="A138" t="s">
        <v>1248</v>
      </c>
      <c r="B138" s="50" t="s">
        <v>126</v>
      </c>
      <c r="C138" s="102">
        <f>C125*C$136</f>
        <v>7.2578146065467614E-2</v>
      </c>
      <c r="D138" s="102">
        <f t="shared" si="61"/>
        <v>7.9294286888718549E-2</v>
      </c>
      <c r="E138" s="102">
        <f t="shared" si="61"/>
        <v>8.5976384026301256E-2</v>
      </c>
      <c r="F138" s="102">
        <f t="shared" si="61"/>
        <v>9.2589165845834751E-2</v>
      </c>
      <c r="G138" s="102">
        <f t="shared" si="61"/>
        <v>9.9097360714938035E-2</v>
      </c>
      <c r="H138" s="102">
        <f t="shared" si="61"/>
        <v>0.10546569700123005</v>
      </c>
      <c r="I138" s="102">
        <f t="shared" si="61"/>
        <v>0.11165890307232988</v>
      </c>
      <c r="J138" s="102">
        <f t="shared" si="61"/>
        <v>0.11764170729585649</v>
      </c>
      <c r="K138" s="102">
        <f t="shared" si="61"/>
        <v>0.12337883803942888</v>
      </c>
      <c r="L138" s="102">
        <f t="shared" si="61"/>
        <v>0.12883502367066607</v>
      </c>
      <c r="M138" s="102">
        <f t="shared" si="61"/>
        <v>0.13397499255718701</v>
      </c>
      <c r="N138" s="102">
        <f t="shared" si="61"/>
        <v>0.1368285545791883</v>
      </c>
      <c r="O138" s="102">
        <f t="shared" si="61"/>
        <v>0.13933533156373235</v>
      </c>
      <c r="P138" s="102">
        <f t="shared" si="61"/>
        <v>0.14147162706660879</v>
      </c>
      <c r="Q138" s="102">
        <f t="shared" si="61"/>
        <v>0.14321374464360725</v>
      </c>
      <c r="R138" s="102">
        <f t="shared" si="61"/>
        <v>0.14453798785051736</v>
      </c>
      <c r="S138" s="102">
        <f t="shared" si="61"/>
        <v>0.14542066024312872</v>
      </c>
      <c r="T138" s="102">
        <f t="shared" si="61"/>
        <v>0.14583806537723099</v>
      </c>
      <c r="U138" s="102">
        <f t="shared" si="61"/>
        <v>0.1457665068086138</v>
      </c>
      <c r="V138" s="102">
        <f t="shared" si="61"/>
        <v>0.14518228809306674</v>
      </c>
      <c r="W138" s="102">
        <f t="shared" si="61"/>
        <v>0.14406171278637944</v>
      </c>
      <c r="X138" s="102">
        <f t="shared" si="61"/>
        <v>0.14410000113211788</v>
      </c>
      <c r="Y138" s="102">
        <f t="shared" si="61"/>
        <v>0.14342558083617407</v>
      </c>
      <c r="Z138" s="102">
        <f t="shared" si="61"/>
        <v>0.14200201267048082</v>
      </c>
      <c r="AA138" s="102">
        <f t="shared" si="61"/>
        <v>0.13979285740697089</v>
      </c>
      <c r="AB138" s="102">
        <f t="shared" si="61"/>
        <v>0.13676167581757717</v>
      </c>
      <c r="AC138" s="102">
        <f t="shared" si="61"/>
        <v>0.13287202867423245</v>
      </c>
      <c r="AD138" s="102">
        <f t="shared" si="61"/>
        <v>0.12808747674886956</v>
      </c>
      <c r="AE138" s="102">
        <f t="shared" si="61"/>
        <v>0.1223715808134213</v>
      </c>
      <c r="AF138" s="102">
        <f t="shared" si="61"/>
        <v>0.11568790163982046</v>
      </c>
      <c r="AG138" s="102">
        <f t="shared" si="61"/>
        <v>0.10799999999999997</v>
      </c>
      <c r="AH138" s="217"/>
      <c r="AI138" s="124"/>
      <c r="AJ138" s="185"/>
      <c r="AL138" s="100"/>
      <c r="AM138" s="2"/>
      <c r="AN138" s="2"/>
      <c r="AO138" s="2"/>
      <c r="AV138" s="37"/>
    </row>
    <row r="139" spans="1:63" outlineLevel="1">
      <c r="A139" t="s">
        <v>1249</v>
      </c>
      <c r="B139" s="156" t="s">
        <v>126</v>
      </c>
      <c r="C139" s="102">
        <f>SUM(C137:C138)</f>
        <v>7.8889289201595228E-2</v>
      </c>
      <c r="D139" s="102">
        <f t="shared" ref="D139:AG139" si="62">SUM(D137:D138)</f>
        <v>8.8498088045444803E-2</v>
      </c>
      <c r="E139" s="102">
        <f t="shared" si="62"/>
        <v>9.8596770672363832E-2</v>
      </c>
      <c r="F139" s="102">
        <f t="shared" si="62"/>
        <v>0.1091853370823523</v>
      </c>
      <c r="G139" s="102">
        <f t="shared" si="62"/>
        <v>0.12026378727541023</v>
      </c>
      <c r="H139" s="102">
        <f t="shared" si="62"/>
        <v>0.13183212125153757</v>
      </c>
      <c r="I139" s="102">
        <f t="shared" si="62"/>
        <v>0.14389033901073439</v>
      </c>
      <c r="J139" s="102">
        <f t="shared" si="62"/>
        <v>0.15643844055300066</v>
      </c>
      <c r="K139" s="102">
        <f t="shared" si="62"/>
        <v>0.16947642587833639</v>
      </c>
      <c r="L139" s="102">
        <f t="shared" si="62"/>
        <v>0.18300429498674159</v>
      </c>
      <c r="M139" s="102">
        <f t="shared" si="62"/>
        <v>0.1970220478782162</v>
      </c>
      <c r="N139" s="102">
        <f t="shared" si="62"/>
        <v>0.20858011368778706</v>
      </c>
      <c r="O139" s="102">
        <f t="shared" si="62"/>
        <v>0.22046729677805754</v>
      </c>
      <c r="P139" s="102">
        <f t="shared" si="62"/>
        <v>0.23268359714902764</v>
      </c>
      <c r="Q139" s="102">
        <f t="shared" si="62"/>
        <v>0.24522901480069739</v>
      </c>
      <c r="R139" s="102">
        <f t="shared" si="62"/>
        <v>0.25810354973306676</v>
      </c>
      <c r="S139" s="102">
        <f t="shared" si="62"/>
        <v>0.27130720194613578</v>
      </c>
      <c r="T139" s="102">
        <f t="shared" si="62"/>
        <v>0.28483997143990436</v>
      </c>
      <c r="U139" s="102">
        <f t="shared" si="62"/>
        <v>0.29870185821437267</v>
      </c>
      <c r="V139" s="102">
        <f t="shared" si="62"/>
        <v>0.31289286226954049</v>
      </c>
      <c r="W139" s="102">
        <f t="shared" si="62"/>
        <v>0.32741298360540794</v>
      </c>
      <c r="X139" s="102">
        <f t="shared" si="62"/>
        <v>0.34639423349066811</v>
      </c>
      <c r="Y139" s="102">
        <f t="shared" si="62"/>
        <v>0.36588158376575036</v>
      </c>
      <c r="Z139" s="102">
        <f t="shared" si="62"/>
        <v>0.38587503443065463</v>
      </c>
      <c r="AA139" s="102">
        <f t="shared" si="62"/>
        <v>0.40637458548538075</v>
      </c>
      <c r="AB139" s="102">
        <f t="shared" si="62"/>
        <v>0.4273802369299291</v>
      </c>
      <c r="AC139" s="102">
        <f t="shared" si="62"/>
        <v>0.44889198876429925</v>
      </c>
      <c r="AD139" s="102">
        <f t="shared" si="62"/>
        <v>0.47090984098849159</v>
      </c>
      <c r="AE139" s="102">
        <f t="shared" si="62"/>
        <v>0.49343379360250589</v>
      </c>
      <c r="AF139" s="102">
        <f t="shared" si="62"/>
        <v>0.51646384660634204</v>
      </c>
      <c r="AG139" s="102">
        <f t="shared" si="62"/>
        <v>0.53999999999999992</v>
      </c>
      <c r="AI139" s="124"/>
      <c r="AJ139" s="185"/>
      <c r="AL139" s="100"/>
      <c r="AM139" s="2"/>
      <c r="AN139" s="2"/>
      <c r="AO139" s="2"/>
    </row>
    <row r="140" spans="1:63" outlineLevel="1">
      <c r="A140" t="s">
        <v>1250</v>
      </c>
      <c r="B140" s="50" t="s">
        <v>126</v>
      </c>
      <c r="C140" s="102">
        <f>C127*C138</f>
        <v>3.7740635954043159E-2</v>
      </c>
      <c r="D140" s="102">
        <f t="shared" ref="D140:AG140" si="63">D127*D138</f>
        <v>4.1233029182133646E-2</v>
      </c>
      <c r="E140" s="102">
        <f t="shared" si="63"/>
        <v>4.4707719693676658E-2</v>
      </c>
      <c r="F140" s="102">
        <f t="shared" si="63"/>
        <v>4.8146366239834072E-2</v>
      </c>
      <c r="G140" s="102">
        <f t="shared" si="63"/>
        <v>5.1530627571767781E-2</v>
      </c>
      <c r="H140" s="102">
        <f t="shared" si="63"/>
        <v>5.4842162440639629E-2</v>
      </c>
      <c r="I140" s="102">
        <f t="shared" si="63"/>
        <v>5.8062629597611541E-2</v>
      </c>
      <c r="J140" s="102">
        <f t="shared" si="63"/>
        <v>6.1173687793845376E-2</v>
      </c>
      <c r="K140" s="102">
        <f t="shared" si="63"/>
        <v>6.4156995780503018E-2</v>
      </c>
      <c r="L140" s="102">
        <f t="shared" si="63"/>
        <v>6.6994212308746359E-2</v>
      </c>
      <c r="M140" s="102">
        <f t="shared" si="63"/>
        <v>6.9666996129737244E-2</v>
      </c>
      <c r="N140" s="102">
        <f t="shared" si="63"/>
        <v>7.1150848381177911E-2</v>
      </c>
      <c r="O140" s="102">
        <f t="shared" si="63"/>
        <v>7.2454372413140816E-2</v>
      </c>
      <c r="P140" s="102">
        <f t="shared" si="63"/>
        <v>7.3565246074636576E-2</v>
      </c>
      <c r="Q140" s="102">
        <f t="shared" si="63"/>
        <v>7.4471147214675779E-2</v>
      </c>
      <c r="R140" s="102">
        <f t="shared" si="63"/>
        <v>7.5159753682269029E-2</v>
      </c>
      <c r="S140" s="102">
        <f t="shared" si="63"/>
        <v>7.5618743326426943E-2</v>
      </c>
      <c r="T140" s="102">
        <f t="shared" si="63"/>
        <v>7.5835793996160111E-2</v>
      </c>
      <c r="U140" s="102">
        <f t="shared" si="63"/>
        <v>7.5798583540479178E-2</v>
      </c>
      <c r="V140" s="102">
        <f t="shared" si="63"/>
        <v>7.5494789808394705E-2</v>
      </c>
      <c r="W140" s="102">
        <f t="shared" si="63"/>
        <v>7.4912090648917309E-2</v>
      </c>
      <c r="X140" s="102">
        <f t="shared" si="63"/>
        <v>7.4932000588701295E-2</v>
      </c>
      <c r="Y140" s="102">
        <f t="shared" si="63"/>
        <v>7.4581302034810518E-2</v>
      </c>
      <c r="Z140" s="102">
        <f t="shared" si="63"/>
        <v>7.3841046588650025E-2</v>
      </c>
      <c r="AA140" s="102">
        <f t="shared" si="63"/>
        <v>7.2692285851624863E-2</v>
      </c>
      <c r="AB140" s="102">
        <f t="shared" si="63"/>
        <v>7.1116071425140134E-2</v>
      </c>
      <c r="AC140" s="102">
        <f t="shared" si="63"/>
        <v>6.9093454910600871E-2</v>
      </c>
      <c r="AD140" s="102">
        <f t="shared" si="63"/>
        <v>6.6605487909412175E-2</v>
      </c>
      <c r="AE140" s="102">
        <f t="shared" si="63"/>
        <v>6.363322202297908E-2</v>
      </c>
      <c r="AF140" s="102">
        <f t="shared" si="63"/>
        <v>6.0157708852706639E-2</v>
      </c>
      <c r="AG140" s="102">
        <f t="shared" si="63"/>
        <v>5.6159999999999988E-2</v>
      </c>
      <c r="AI140" s="124"/>
      <c r="AJ140" s="185"/>
      <c r="BD140" s="177"/>
      <c r="BE140" s="177"/>
    </row>
    <row r="141" spans="1:63" outlineLevel="1">
      <c r="A141" t="s">
        <v>1251</v>
      </c>
      <c r="B141" s="50" t="s">
        <v>126</v>
      </c>
      <c r="C141" s="102">
        <f>C128*C138</f>
        <v>8.7093775278561138E-3</v>
      </c>
      <c r="D141" s="102">
        <f t="shared" ref="D141:AG141" si="64">D128*D138</f>
        <v>9.5153144266462257E-3</v>
      </c>
      <c r="E141" s="102">
        <f t="shared" si="64"/>
        <v>1.031716608315615E-2</v>
      </c>
      <c r="F141" s="102">
        <f t="shared" si="64"/>
        <v>1.111069990150017E-2</v>
      </c>
      <c r="G141" s="102">
        <f t="shared" si="64"/>
        <v>1.1891683285792563E-2</v>
      </c>
      <c r="H141" s="102">
        <f t="shared" si="64"/>
        <v>1.2655883640147607E-2</v>
      </c>
      <c r="I141" s="102">
        <f t="shared" si="64"/>
        <v>1.3399068368679585E-2</v>
      </c>
      <c r="J141" s="102">
        <f t="shared" si="64"/>
        <v>1.4117004875502779E-2</v>
      </c>
      <c r="K141" s="102">
        <f t="shared" si="64"/>
        <v>1.4805460564731466E-2</v>
      </c>
      <c r="L141" s="102">
        <f t="shared" si="64"/>
        <v>1.5460202840479928E-2</v>
      </c>
      <c r="M141" s="102">
        <f t="shared" si="64"/>
        <v>1.6076999106862441E-2</v>
      </c>
      <c r="N141" s="102">
        <f t="shared" si="64"/>
        <v>1.6419426549502597E-2</v>
      </c>
      <c r="O141" s="102">
        <f t="shared" si="64"/>
        <v>1.6720239787647882E-2</v>
      </c>
      <c r="P141" s="102">
        <f t="shared" si="64"/>
        <v>1.6976595247993054E-2</v>
      </c>
      <c r="Q141" s="102">
        <f t="shared" si="64"/>
        <v>1.7185649357232869E-2</v>
      </c>
      <c r="R141" s="102">
        <f t="shared" si="64"/>
        <v>1.7344558542062082E-2</v>
      </c>
      <c r="S141" s="102">
        <f t="shared" si="64"/>
        <v>1.7450479229175444E-2</v>
      </c>
      <c r="T141" s="102">
        <f t="shared" si="64"/>
        <v>1.7500567845267719E-2</v>
      </c>
      <c r="U141" s="102">
        <f t="shared" si="64"/>
        <v>1.7491980817033657E-2</v>
      </c>
      <c r="V141" s="102">
        <f t="shared" si="64"/>
        <v>1.7421874571168009E-2</v>
      </c>
      <c r="W141" s="102">
        <f t="shared" si="64"/>
        <v>1.7287405534365533E-2</v>
      </c>
      <c r="X141" s="102">
        <f t="shared" si="64"/>
        <v>1.7292000135854146E-2</v>
      </c>
      <c r="Y141" s="102">
        <f t="shared" si="64"/>
        <v>1.7211069700340888E-2</v>
      </c>
      <c r="Z141" s="102">
        <f t="shared" si="64"/>
        <v>1.7040241520457699E-2</v>
      </c>
      <c r="AA141" s="102">
        <f t="shared" si="64"/>
        <v>1.6775142888836508E-2</v>
      </c>
      <c r="AB141" s="102">
        <f t="shared" si="64"/>
        <v>1.6411401098109259E-2</v>
      </c>
      <c r="AC141" s="102">
        <f t="shared" si="64"/>
        <v>1.5944643440907895E-2</v>
      </c>
      <c r="AD141" s="102">
        <f t="shared" si="64"/>
        <v>1.5370497209864347E-2</v>
      </c>
      <c r="AE141" s="102">
        <f t="shared" si="64"/>
        <v>1.4684589697610556E-2</v>
      </c>
      <c r="AF141" s="102">
        <f t="shared" si="64"/>
        <v>1.3882548196778454E-2</v>
      </c>
      <c r="AG141" s="102">
        <f t="shared" si="64"/>
        <v>1.2959999999999996E-2</v>
      </c>
      <c r="AI141" s="124"/>
      <c r="AJ141" s="185"/>
      <c r="AL141" s="1"/>
      <c r="BC141" s="1"/>
      <c r="BD141" s="615"/>
      <c r="BE141" s="605"/>
      <c r="BF141" s="6"/>
      <c r="BG141" s="6"/>
      <c r="BH141" s="6"/>
      <c r="BI141" s="6"/>
      <c r="BJ141" s="6"/>
    </row>
    <row r="142" spans="1:63" outlineLevel="1">
      <c r="A142" t="s">
        <v>1252</v>
      </c>
      <c r="B142" s="50" t="s">
        <v>126</v>
      </c>
      <c r="C142" s="102">
        <f>C129*C138</f>
        <v>2.6128132583568341E-2</v>
      </c>
      <c r="D142" s="102">
        <f t="shared" ref="D142:AG142" si="65">D129*D138</f>
        <v>2.8545943279938677E-2</v>
      </c>
      <c r="E142" s="102">
        <f t="shared" si="65"/>
        <v>3.095149824946845E-2</v>
      </c>
      <c r="F142" s="102">
        <f t="shared" si="65"/>
        <v>3.333209970450051E-2</v>
      </c>
      <c r="G142" s="102">
        <f t="shared" si="65"/>
        <v>3.567504985737769E-2</v>
      </c>
      <c r="H142" s="102">
        <f t="shared" si="65"/>
        <v>3.7967650920442818E-2</v>
      </c>
      <c r="I142" s="102">
        <f t="shared" si="65"/>
        <v>4.0197205106038754E-2</v>
      </c>
      <c r="J142" s="102">
        <f t="shared" si="65"/>
        <v>4.2351014626508338E-2</v>
      </c>
      <c r="K142" s="102">
        <f t="shared" si="65"/>
        <v>4.4416381694194394E-2</v>
      </c>
      <c r="L142" s="102">
        <f t="shared" si="65"/>
        <v>4.6380608521439784E-2</v>
      </c>
      <c r="M142" s="102">
        <f t="shared" si="65"/>
        <v>4.8230997320587318E-2</v>
      </c>
      <c r="N142" s="102">
        <f t="shared" si="65"/>
        <v>4.9258279648507784E-2</v>
      </c>
      <c r="O142" s="102">
        <f t="shared" si="65"/>
        <v>5.016071936294364E-2</v>
      </c>
      <c r="P142" s="102">
        <f t="shared" si="65"/>
        <v>5.0929785743979161E-2</v>
      </c>
      <c r="Q142" s="102">
        <f t="shared" si="65"/>
        <v>5.1556948071698611E-2</v>
      </c>
      <c r="R142" s="102">
        <f t="shared" si="65"/>
        <v>5.203367562618625E-2</v>
      </c>
      <c r="S142" s="102">
        <f t="shared" si="65"/>
        <v>5.2351437687526335E-2</v>
      </c>
      <c r="T142" s="102">
        <f t="shared" si="65"/>
        <v>5.2501703535803156E-2</v>
      </c>
      <c r="U142" s="102">
        <f t="shared" si="65"/>
        <v>5.2475942451100967E-2</v>
      </c>
      <c r="V142" s="102">
        <f t="shared" si="65"/>
        <v>5.2265623713504024E-2</v>
      </c>
      <c r="W142" s="102">
        <f t="shared" si="65"/>
        <v>5.1862216603096596E-2</v>
      </c>
      <c r="X142" s="102">
        <f t="shared" si="65"/>
        <v>5.1876000407562434E-2</v>
      </c>
      <c r="Y142" s="102">
        <f t="shared" si="65"/>
        <v>5.1633209101022662E-2</v>
      </c>
      <c r="Z142" s="102">
        <f t="shared" si="65"/>
        <v>5.1120724561373093E-2</v>
      </c>
      <c r="AA142" s="102">
        <f t="shared" si="65"/>
        <v>5.032542866650952E-2</v>
      </c>
      <c r="AB142" s="102">
        <f t="shared" si="65"/>
        <v>4.9234203294327782E-2</v>
      </c>
      <c r="AC142" s="102">
        <f t="shared" si="65"/>
        <v>4.7833930322723678E-2</v>
      </c>
      <c r="AD142" s="102">
        <f t="shared" si="65"/>
        <v>4.6111491629593035E-2</v>
      </c>
      <c r="AE142" s="102">
        <f t="shared" si="65"/>
        <v>4.4053769092831666E-2</v>
      </c>
      <c r="AF142" s="102">
        <f t="shared" si="65"/>
        <v>4.1647644590335361E-2</v>
      </c>
      <c r="AG142" s="102">
        <f t="shared" si="65"/>
        <v>3.8879999999999991E-2</v>
      </c>
      <c r="AI142" s="125"/>
      <c r="AJ142" s="185"/>
      <c r="BC142" s="1"/>
      <c r="BD142" s="37"/>
      <c r="BF142" s="6"/>
      <c r="BG142" s="6"/>
      <c r="BH142" s="6"/>
      <c r="BI142" s="6"/>
      <c r="BJ142" s="6"/>
    </row>
    <row r="143" spans="1:63" outlineLevel="1"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I143" s="125"/>
      <c r="AJ143" s="185"/>
      <c r="BC143" s="1"/>
      <c r="BD143" s="37"/>
      <c r="BF143" s="6"/>
      <c r="BG143" s="6"/>
      <c r="BH143" s="6"/>
      <c r="BI143" s="6"/>
      <c r="BJ143" s="6"/>
    </row>
    <row r="144" spans="1:63" s="1" customFormat="1" outlineLevel="1">
      <c r="A144" s="1" t="s">
        <v>265</v>
      </c>
      <c r="B144" s="60"/>
      <c r="C144" s="250">
        <f>'BTX Recycling HC'!C144</f>
        <v>203.45670955853896</v>
      </c>
      <c r="D144" s="250">
        <f>'BTX Recycling HC'!D144</f>
        <v>296.05432943836303</v>
      </c>
      <c r="E144" s="250">
        <f>'BTX Recycling HC'!E144</f>
        <v>405.05784904653683</v>
      </c>
      <c r="F144" s="250">
        <f>'BTX Recycling HC'!F144</f>
        <v>531.48682285745144</v>
      </c>
      <c r="G144" s="250">
        <f>'BTX Recycling HC'!G144</f>
        <v>676.35131867101177</v>
      </c>
      <c r="H144" s="250">
        <f>'BTX Recycling HC'!H144</f>
        <v>840.65197086251089</v>
      </c>
      <c r="I144" s="250">
        <f>'BTX Recycling HC'!I144</f>
        <v>1025.3800333954223</v>
      </c>
      <c r="J144" s="250">
        <f>'BTX Recycling HC'!J144</f>
        <v>1231.5174325980247</v>
      </c>
      <c r="K144" s="250">
        <f>'BTX Recycling HC'!K144</f>
        <v>1460.0368197047867</v>
      </c>
      <c r="L144" s="250">
        <f>'BTX Recycling HC'!L144</f>
        <v>1711.9016231634162</v>
      </c>
      <c r="M144" s="250">
        <f>'BTX Recycling HC'!M144</f>
        <v>1988.0661007084893</v>
      </c>
      <c r="N144" s="250">
        <f>'BTX Recycling HC'!N144</f>
        <v>2257.5509361349859</v>
      </c>
      <c r="O144" s="250">
        <f>'BTX Recycling HC'!O144</f>
        <v>2547.0555329312565</v>
      </c>
      <c r="P144" s="250">
        <f>'BTX Recycling HC'!P144</f>
        <v>2847.4403391888586</v>
      </c>
      <c r="Q144" s="250">
        <f>'BTX Recycling HC'!Q144</f>
        <v>3166.7211882385645</v>
      </c>
      <c r="R144" s="250">
        <f>'BTX Recycling HC'!R144</f>
        <v>3505.2458109364334</v>
      </c>
      <c r="S144" s="250">
        <f>'BTX Recycling HC'!S144</f>
        <v>3863.3451337859806</v>
      </c>
      <c r="T144" s="250">
        <f>'BTX Recycling HC'!T144</f>
        <v>4241.3332864853928</v>
      </c>
      <c r="U144" s="250">
        <f>'BTX Recycling HC'!U144</f>
        <v>4639.5076105215649</v>
      </c>
      <c r="V144" s="250">
        <f>'BTX Recycling HC'!V144</f>
        <v>5058.1486687999695</v>
      </c>
      <c r="W144" s="250">
        <f>'BTX Recycling HC'!W144</f>
        <v>5497.5202562995737</v>
      </c>
      <c r="X144" s="250">
        <f>'BTX Recycling HC'!X144</f>
        <v>6029.796670867715</v>
      </c>
      <c r="Y144" s="250">
        <f>'BTX Recycling HC'!Y144</f>
        <v>6591.4943212239532</v>
      </c>
      <c r="Z144" s="250">
        <f>'BTX Recycling HC'!Z144</f>
        <v>7121.4071113014816</v>
      </c>
      <c r="AA144" s="250">
        <f>'BTX Recycling HC'!AA144</f>
        <v>7669.2438063450945</v>
      </c>
      <c r="AB144" s="250">
        <f>'BTX Recycling HC'!AB144</f>
        <v>8234.1507850882208</v>
      </c>
      <c r="AC144" s="250">
        <f>'BTX Recycling HC'!AC144</f>
        <v>8815.1883626977287</v>
      </c>
      <c r="AD144" s="250">
        <f>'BTX Recycling HC'!AD144</f>
        <v>9411.3299875340308</v>
      </c>
      <c r="AE144" s="250">
        <f>'BTX Recycling HC'!AE144</f>
        <v>10021.461455018827</v>
      </c>
      <c r="AF144" s="250">
        <f>'BTX Recycling HC'!AF144</f>
        <v>10644.380138461516</v>
      </c>
      <c r="AG144" s="250">
        <f>'BTX Recycling HC'!AG144</f>
        <v>11278.794236696127</v>
      </c>
      <c r="AH144" s="217"/>
      <c r="AI144" s="368"/>
      <c r="AJ144" s="369"/>
      <c r="AL144" s="194"/>
      <c r="AM144" s="116"/>
      <c r="AN144" s="116"/>
      <c r="AO144" s="116"/>
      <c r="BD144" s="116"/>
      <c r="BE144" s="116"/>
      <c r="BF144" s="116"/>
      <c r="BG144" s="116"/>
      <c r="BH144" s="116"/>
      <c r="BI144" s="116"/>
      <c r="BJ144" s="116"/>
      <c r="BK144" s="116"/>
    </row>
    <row r="145" spans="1:63" outlineLevel="1">
      <c r="A145" s="4" t="s">
        <v>35</v>
      </c>
      <c r="C145" s="203">
        <f>C$144*'BTX recycling rates'!E58</f>
        <v>0</v>
      </c>
      <c r="D145" s="203">
        <f>D$144*'BTX recycling rates'!F58</f>
        <v>0</v>
      </c>
      <c r="E145" s="203">
        <f>E$144*'BTX recycling rates'!G58</f>
        <v>0</v>
      </c>
      <c r="F145" s="203">
        <f>F$144*'BTX recycling rates'!H58</f>
        <v>0</v>
      </c>
      <c r="G145" s="203">
        <f>G$144*'BTX recycling rates'!I58</f>
        <v>0</v>
      </c>
      <c r="H145" s="203">
        <f>H$144*'BTX recycling rates'!J58</f>
        <v>0</v>
      </c>
      <c r="I145" s="203">
        <f>I$144*'BTX recycling rates'!K58</f>
        <v>0</v>
      </c>
      <c r="J145" s="203">
        <f>J$144*'BTX recycling rates'!L58</f>
        <v>0</v>
      </c>
      <c r="K145" s="203">
        <f>K$144*'BTX recycling rates'!M58</f>
        <v>0</v>
      </c>
      <c r="L145" s="203">
        <f>L$144*'BTX recycling rates'!N58</f>
        <v>0</v>
      </c>
      <c r="M145" s="203">
        <f>M$144*'BTX recycling rates'!O58</f>
        <v>0</v>
      </c>
      <c r="N145" s="203">
        <f>N$144*'BTX recycling rates'!P58</f>
        <v>0</v>
      </c>
      <c r="O145" s="203">
        <f>O$144*'BTX recycling rates'!Q58</f>
        <v>0</v>
      </c>
      <c r="P145" s="203">
        <f>P$144*'BTX recycling rates'!R58</f>
        <v>0</v>
      </c>
      <c r="Q145" s="203">
        <f>Q$144*'BTX recycling rates'!S58</f>
        <v>0</v>
      </c>
      <c r="R145" s="203">
        <f>R$144*'BTX recycling rates'!T58</f>
        <v>0</v>
      </c>
      <c r="S145" s="203">
        <f>S$144*'BTX recycling rates'!U58</f>
        <v>0</v>
      </c>
      <c r="T145" s="203">
        <f>T$144*'BTX recycling rates'!V58</f>
        <v>0</v>
      </c>
      <c r="U145" s="203">
        <f>U$144*'BTX recycling rates'!W58</f>
        <v>0</v>
      </c>
      <c r="V145" s="203">
        <f>V$144*'BTX recycling rates'!X58</f>
        <v>0</v>
      </c>
      <c r="W145" s="203">
        <f>W$144*'BTX recycling rates'!Y58</f>
        <v>0</v>
      </c>
      <c r="X145" s="203">
        <f>X$144*'BTX recycling rates'!Z58</f>
        <v>0</v>
      </c>
      <c r="Y145" s="203">
        <f>Y$144*'BTX recycling rates'!AA58</f>
        <v>0</v>
      </c>
      <c r="Z145" s="203">
        <f>Z$144*'BTX recycling rates'!AB58</f>
        <v>0</v>
      </c>
      <c r="AA145" s="203">
        <f>AA$144*'BTX recycling rates'!AC58</f>
        <v>0</v>
      </c>
      <c r="AB145" s="203">
        <f>AB$144*'BTX recycling rates'!AD58</f>
        <v>0</v>
      </c>
      <c r="AC145" s="203">
        <f>AC$144*'BTX recycling rates'!AE58</f>
        <v>0</v>
      </c>
      <c r="AD145" s="203">
        <f>AD$144*'BTX recycling rates'!AF58</f>
        <v>0</v>
      </c>
      <c r="AE145" s="203">
        <f>AE$144*'BTX recycling rates'!AG58</f>
        <v>0</v>
      </c>
      <c r="AF145" s="203">
        <f>AF$144*'BTX recycling rates'!AH58</f>
        <v>0</v>
      </c>
      <c r="AG145" s="203">
        <f>AG$144*'BTX recycling rates'!AI58</f>
        <v>0</v>
      </c>
      <c r="AH145" s="217"/>
      <c r="AI145" s="124"/>
      <c r="AJ145" s="185"/>
      <c r="AL145" s="100"/>
      <c r="AM145" s="2"/>
      <c r="AN145" s="2"/>
      <c r="AO145" s="2"/>
      <c r="BC145" s="1"/>
      <c r="BD145" s="2"/>
      <c r="BE145" s="2"/>
      <c r="BF145" s="2"/>
      <c r="BG145" s="2"/>
      <c r="BH145" s="2"/>
      <c r="BI145" s="2"/>
      <c r="BJ145" s="2"/>
      <c r="BK145" s="2"/>
    </row>
    <row r="146" spans="1:63" outlineLevel="1">
      <c r="A146" s="4" t="s">
        <v>74</v>
      </c>
      <c r="C146" s="203">
        <f>C$144*'BTX recycling rates'!E59</f>
        <v>121.1421629432522</v>
      </c>
      <c r="D146" s="203">
        <f>D$144*'BTX recycling rates'!F59</f>
        <v>170.40073618055399</v>
      </c>
      <c r="E146" s="203">
        <f>E$144*'BTX recycling rates'!G59</f>
        <v>225.1008504625029</v>
      </c>
      <c r="F146" s="203">
        <f>F$144*'BTX recycling rates'!H59</f>
        <v>284.81202263048158</v>
      </c>
      <c r="G146" s="203">
        <f>G$144*'BTX recycling rates'!I59</f>
        <v>349.01793238290372</v>
      </c>
      <c r="H146" s="203">
        <f>H$144*'BTX recycling rates'!J59</f>
        <v>417.11739012261984</v>
      </c>
      <c r="I146" s="203">
        <f>I$144*'BTX recycling rates'!K59</f>
        <v>488.42529835018581</v>
      </c>
      <c r="J146" s="203">
        <f>J$144*'BTX recycling rates'!L59</f>
        <v>562.17360663635009</v>
      </c>
      <c r="K146" s="203">
        <f>K$144*'BTX recycling rates'!M59</f>
        <v>637.51226020697538</v>
      </c>
      <c r="L146" s="203">
        <f>L$144*'BTX recycling rates'!N59</f>
        <v>713.51014217345414</v>
      </c>
      <c r="M146" s="203">
        <f>M$144*'BTX recycling rates'!O59</f>
        <v>789.15600944153755</v>
      </c>
      <c r="N146" s="203">
        <f>N$144*'BTX recycling rates'!P59</f>
        <v>851.32073469517763</v>
      </c>
      <c r="O146" s="203">
        <f>O$144*'BTX recycling rates'!Q59</f>
        <v>909.94044993269279</v>
      </c>
      <c r="P146" s="203">
        <f>P$144*'BTX recycling rates'!R59</f>
        <v>960.73941215379773</v>
      </c>
      <c r="Q146" s="203">
        <f>Q$144*'BTX recycling rates'!S59</f>
        <v>1005.6152780971314</v>
      </c>
      <c r="R146" s="203">
        <f>R$144*'BTX recycling rates'!T59</f>
        <v>1043.5464627978688</v>
      </c>
      <c r="S146" s="203">
        <f>S$144*'BTX recycling rates'!U59</f>
        <v>1073.4791058764092</v>
      </c>
      <c r="T146" s="203">
        <f>T$144*'BTX recycling rates'!V59</f>
        <v>1094.3287410931769</v>
      </c>
      <c r="U146" s="203">
        <f>U$144*'BTX recycling rates'!W59</f>
        <v>1104.98196525399</v>
      </c>
      <c r="V146" s="203">
        <f>V$144*'BTX recycling rates'!X59</f>
        <v>1104.2981063181603</v>
      </c>
      <c r="W146" s="203">
        <f>W$144*'BTX recycling rates'!Y59</f>
        <v>1091.110890563273</v>
      </c>
      <c r="X146" s="203">
        <f>X$144*'BTX recycling rates'!Z59</f>
        <v>1077.0781839565218</v>
      </c>
      <c r="Y146" s="203">
        <f>Y$144*'BTX recycling rates'!AA59</f>
        <v>1046.5884113088398</v>
      </c>
      <c r="Z146" s="203">
        <f>Z$144*'BTX recycling rates'!AB59</f>
        <v>989.38633149379177</v>
      </c>
      <c r="AA146" s="203">
        <f>AA$144*'BTX recycling rates'!AC59</f>
        <v>913.28399525941393</v>
      </c>
      <c r="AB146" s="203">
        <f>AB$144*'BTX recycling rates'!AD59</f>
        <v>817.12946722249308</v>
      </c>
      <c r="AC146" s="203">
        <f>AC$144*'BTX recycling rates'!AE59</f>
        <v>699.8317478782908</v>
      </c>
      <c r="AD146" s="203">
        <f>AD$144*'BTX recycling rates'!AF59</f>
        <v>560.36926643332163</v>
      </c>
      <c r="AE146" s="203">
        <f>AE$144*'BTX recycling rates'!AG59</f>
        <v>397.79846997021053</v>
      </c>
      <c r="AF146" s="203">
        <f>AF$144*'BTX recycling rates'!AH59</f>
        <v>211.26250656488247</v>
      </c>
      <c r="AG146" s="203">
        <f>AG$144*'BTX recycling rates'!AI59</f>
        <v>0</v>
      </c>
      <c r="AH146" s="217"/>
      <c r="AI146" s="124"/>
      <c r="AJ146" s="185"/>
      <c r="AL146" s="100"/>
      <c r="AM146" s="2"/>
      <c r="AN146" s="2"/>
      <c r="AO146" s="2"/>
      <c r="BC146" s="1"/>
      <c r="BD146" s="2"/>
      <c r="BE146" s="2"/>
      <c r="BF146" s="2"/>
      <c r="BG146" s="2"/>
      <c r="BH146" s="2"/>
      <c r="BI146" s="2"/>
      <c r="BJ146" s="2"/>
      <c r="BK146" s="2"/>
    </row>
    <row r="147" spans="1:63" outlineLevel="1">
      <c r="A147" s="4" t="s">
        <v>160</v>
      </c>
      <c r="C147" s="203">
        <f>C$144*'BTX recycling rates'!E60</f>
        <v>0</v>
      </c>
      <c r="D147" s="203">
        <f>D$144*'BTX recycling rates'!F60</f>
        <v>1.1954574453008724</v>
      </c>
      <c r="E147" s="203">
        <f>E$144*'BTX recycling rates'!G60</f>
        <v>3.2712199976190748</v>
      </c>
      <c r="F147" s="203">
        <f>F$144*'BTX recycling rates'!H60</f>
        <v>6.4383778545268013</v>
      </c>
      <c r="G147" s="203">
        <f>G$144*'BTX recycling rates'!I60</f>
        <v>10.924335693089869</v>
      </c>
      <c r="H147" s="203">
        <f>H$144*'BTX recycling rates'!J60</f>
        <v>16.972622210607948</v>
      </c>
      <c r="I147" s="203">
        <f>I$144*'BTX recycling rates'!K60</f>
        <v>24.842700949738067</v>
      </c>
      <c r="J147" s="203">
        <f>J$144*'BTX recycling rates'!L60</f>
        <v>34.809782401325883</v>
      </c>
      <c r="K147" s="203">
        <f>K$144*'BTX recycling rates'!M60</f>
        <v>47.164637378299311</v>
      </c>
      <c r="L147" s="203">
        <f>L$144*'BTX recycling rates'!N60</f>
        <v>62.21341165400802</v>
      </c>
      <c r="M147" s="203">
        <f>M$144*'BTX recycling rates'!O60</f>
        <v>80.277441858422236</v>
      </c>
      <c r="N147" s="203">
        <f>N$144*'BTX recycling rates'!P60</f>
        <v>100.27506396731954</v>
      </c>
      <c r="O147" s="203">
        <f>O$144*'BTX recycling rates'!Q60</f>
        <v>123.41909701022153</v>
      </c>
      <c r="P147" s="203">
        <f>P$144*'BTX recycling rates'!R60</f>
        <v>149.47229071056944</v>
      </c>
      <c r="Q147" s="203">
        <f>Q$144*'BTX recycling rates'!S60</f>
        <v>179.01959415337532</v>
      </c>
      <c r="R147" s="203">
        <f>R$144*'BTX recycling rates'!T60</f>
        <v>212.31097398118268</v>
      </c>
      <c r="S147" s="203">
        <f>S$144*'BTX recycling rates'!U60</f>
        <v>249.60092765205164</v>
      </c>
      <c r="T147" s="203">
        <f>T$144*'BTX recycling rates'!V60</f>
        <v>291.14814468058285</v>
      </c>
      <c r="U147" s="203">
        <f>U$144*'BTX recycling rates'!W60</f>
        <v>337.21516813788088</v>
      </c>
      <c r="V147" s="203">
        <f>V$144*'BTX recycling rates'!X60</f>
        <v>388.06805643920205</v>
      </c>
      <c r="W147" s="203">
        <f>W$144*'BTX recycling rates'!Y60</f>
        <v>443.97604544769564</v>
      </c>
      <c r="X147" s="203">
        <f>X$144*'BTX recycling rates'!Z60</f>
        <v>511.31044794310077</v>
      </c>
      <c r="Y147" s="203">
        <f>Y$144*'BTX recycling rates'!AA60</f>
        <v>585.55712220832459</v>
      </c>
      <c r="Z147" s="203">
        <f>Z$144*'BTX recycling rates'!AB60</f>
        <v>661.38806641541282</v>
      </c>
      <c r="AA147" s="203">
        <f>AA$144*'BTX recycling rates'!AC60</f>
        <v>743.23557778187853</v>
      </c>
      <c r="AB147" s="203">
        <f>AB$144*'BTX recycling rates'!AD60</f>
        <v>831.2306123370779</v>
      </c>
      <c r="AC147" s="203">
        <f>AC$144*'BTX recycling rates'!AE60</f>
        <v>925.48130296765589</v>
      </c>
      <c r="AD147" s="203">
        <f>AD$144*'BTX recycling rates'!AF60</f>
        <v>1026.0711342352754</v>
      </c>
      <c r="AE147" s="203">
        <f>AE$144*'BTX recycling rates'!AG60</f>
        <v>1133.057099667855</v>
      </c>
      <c r="AF147" s="203">
        <f>AF$144*'BTX recycling rates'!AH60</f>
        <v>1246.4678419904299</v>
      </c>
      <c r="AG147" s="203">
        <f>AG$144*'BTX recycling rates'!AI60</f>
        <v>1366.3017767570373</v>
      </c>
      <c r="AH147" s="217"/>
      <c r="AI147" s="124"/>
      <c r="AJ147" s="185"/>
      <c r="AL147" s="100"/>
      <c r="AM147" s="2"/>
      <c r="AN147" s="2"/>
      <c r="AO147" s="2"/>
      <c r="BC147" s="1"/>
      <c r="BD147" s="2"/>
      <c r="BE147" s="2"/>
      <c r="BF147" s="2"/>
      <c r="BG147" s="2"/>
      <c r="BH147" s="2"/>
      <c r="BI147" s="2"/>
      <c r="BJ147" s="2"/>
      <c r="BK147" s="2"/>
    </row>
    <row r="148" spans="1:63" outlineLevel="1">
      <c r="A148" s="4" t="s">
        <v>1040</v>
      </c>
      <c r="C148" s="203">
        <f>C$144*'BTX recycling rates'!E61</f>
        <v>82.314546615286758</v>
      </c>
      <c r="D148" s="203">
        <f>D$144*'BTX recycling rates'!F61</f>
        <v>124.45813581250816</v>
      </c>
      <c r="E148" s="203">
        <f>E$144*'BTX recycling rates'!G61</f>
        <v>176.68577858641484</v>
      </c>
      <c r="F148" s="203">
        <f>F$144*'BTX recycling rates'!H61</f>
        <v>240.236422372443</v>
      </c>
      <c r="G148" s="203">
        <f>G$144*'BTX recycling rates'!I61</f>
        <v>316.40905059501807</v>
      </c>
      <c r="H148" s="203">
        <f>H$144*'BTX recycling rates'!J61</f>
        <v>406.56195852928295</v>
      </c>
      <c r="I148" s="203">
        <f>I$144*'BTX recycling rates'!K61</f>
        <v>512.11203409549819</v>
      </c>
      <c r="J148" s="203">
        <f>J$144*'BTX recycling rates'!L61</f>
        <v>634.53404356034844</v>
      </c>
      <c r="K148" s="203">
        <f>K$144*'BTX recycling rates'!M61</f>
        <v>775.35992211951168</v>
      </c>
      <c r="L148" s="203">
        <f>L$144*'BTX recycling rates'!N61</f>
        <v>936.17806933595375</v>
      </c>
      <c r="M148" s="203">
        <f>M$144*'BTX recycling rates'!O61</f>
        <v>1118.6326494085295</v>
      </c>
      <c r="N148" s="203">
        <f>N$144*'BTX recycling rates'!P61</f>
        <v>1305.9551374724886</v>
      </c>
      <c r="O148" s="203">
        <f>O$144*'BTX recycling rates'!Q61</f>
        <v>1513.695985988342</v>
      </c>
      <c r="P148" s="203">
        <f>P$144*'BTX recycling rates'!R61</f>
        <v>1737.2286363244914</v>
      </c>
      <c r="Q148" s="203">
        <f>Q$144*'BTX recycling rates'!S61</f>
        <v>1982.0863159880578</v>
      </c>
      <c r="R148" s="203">
        <f>R$144*'BTX recycling rates'!T61</f>
        <v>2249.3883741573818</v>
      </c>
      <c r="S148" s="203">
        <f>S$144*'BTX recycling rates'!U61</f>
        <v>2540.2651002575199</v>
      </c>
      <c r="T148" s="203">
        <f>T$144*'BTX recycling rates'!V61</f>
        <v>2855.8564007116333</v>
      </c>
      <c r="U148" s="203">
        <f>U$144*'BTX recycling rates'!W61</f>
        <v>3197.3104771296944</v>
      </c>
      <c r="V148" s="203">
        <f>V$144*'BTX recycling rates'!X61</f>
        <v>3565.7825060426076</v>
      </c>
      <c r="W148" s="203">
        <f>W$144*'BTX recycling rates'!Y61</f>
        <v>3962.433320288606</v>
      </c>
      <c r="X148" s="203">
        <f>X$144*'BTX recycling rates'!Z61</f>
        <v>4441.408038968093</v>
      </c>
      <c r="Y148" s="203">
        <f>Y$144*'BTX recycling rates'!AA61</f>
        <v>4959.3487877067901</v>
      </c>
      <c r="Z148" s="203">
        <f>Z$144*'BTX recycling rates'!AB61</f>
        <v>5470.6327133922787</v>
      </c>
      <c r="AA148" s="203">
        <f>AA$144*'BTX recycling rates'!AC61</f>
        <v>6012.7242333038039</v>
      </c>
      <c r="AB148" s="203">
        <f>AB$144*'BTX recycling rates'!AD61</f>
        <v>6585.7907055286523</v>
      </c>
      <c r="AC148" s="203">
        <f>AC$144*'BTX recycling rates'!AE61</f>
        <v>7189.8753118517852</v>
      </c>
      <c r="AD148" s="203">
        <f>AD$144*'BTX recycling rates'!AF61</f>
        <v>7824.8895868654372</v>
      </c>
      <c r="AE148" s="203">
        <f>AE$144*'BTX recycling rates'!AG61</f>
        <v>8490.6058853807663</v>
      </c>
      <c r="AF148" s="203">
        <f>AF$144*'BTX recycling rates'!AH61</f>
        <v>9186.6497899062088</v>
      </c>
      <c r="AG148" s="203">
        <f>AG$144*'BTX recycling rates'!AI61</f>
        <v>9912.4924599390906</v>
      </c>
      <c r="AH148" s="217"/>
      <c r="AI148" s="124"/>
      <c r="AJ148" s="185"/>
      <c r="AL148" s="100"/>
      <c r="AM148" s="2"/>
      <c r="AN148" s="2"/>
      <c r="AO148" s="2"/>
      <c r="BC148" s="1"/>
      <c r="BD148" s="2"/>
      <c r="BE148" s="2"/>
      <c r="BF148" s="2"/>
      <c r="BG148" s="2"/>
      <c r="BH148" s="2"/>
      <c r="BI148" s="2"/>
      <c r="BJ148" s="2"/>
      <c r="BK148" s="2"/>
    </row>
    <row r="149" spans="1:63" s="1" customFormat="1" outlineLevel="1">
      <c r="A149" s="1" t="s">
        <v>1041</v>
      </c>
      <c r="B149" s="60"/>
      <c r="C149" s="250">
        <f t="shared" ref="C149:AG149" si="66">C144-$C144</f>
        <v>0</v>
      </c>
      <c r="D149" s="250">
        <f t="shared" si="66"/>
        <v>92.597619879824066</v>
      </c>
      <c r="E149" s="250">
        <f t="shared" si="66"/>
        <v>201.60113948799787</v>
      </c>
      <c r="F149" s="250">
        <f t="shared" si="66"/>
        <v>328.03011329891251</v>
      </c>
      <c r="G149" s="250">
        <f t="shared" si="66"/>
        <v>472.89460911247284</v>
      </c>
      <c r="H149" s="250">
        <f t="shared" si="66"/>
        <v>637.19526130397196</v>
      </c>
      <c r="I149" s="250">
        <f t="shared" si="66"/>
        <v>821.92332383688336</v>
      </c>
      <c r="J149" s="250">
        <f t="shared" si="66"/>
        <v>1028.0607230394858</v>
      </c>
      <c r="K149" s="250">
        <f t="shared" si="66"/>
        <v>1256.5801101462478</v>
      </c>
      <c r="L149" s="250">
        <f t="shared" si="66"/>
        <v>1508.4449136048772</v>
      </c>
      <c r="M149" s="250">
        <f t="shared" si="66"/>
        <v>1784.6093911499504</v>
      </c>
      <c r="N149" s="250">
        <f t="shared" si="66"/>
        <v>2054.094226576447</v>
      </c>
      <c r="O149" s="250">
        <f t="shared" si="66"/>
        <v>2343.5988233727176</v>
      </c>
      <c r="P149" s="250">
        <f t="shared" si="66"/>
        <v>2643.9836296303197</v>
      </c>
      <c r="Q149" s="250">
        <f t="shared" si="66"/>
        <v>2963.2644786800256</v>
      </c>
      <c r="R149" s="250">
        <f t="shared" si="66"/>
        <v>3301.7891013778944</v>
      </c>
      <c r="S149" s="250">
        <f t="shared" si="66"/>
        <v>3659.8884242274416</v>
      </c>
      <c r="T149" s="250">
        <f t="shared" si="66"/>
        <v>4037.8765769268539</v>
      </c>
      <c r="U149" s="250">
        <f t="shared" si="66"/>
        <v>4436.0509009630259</v>
      </c>
      <c r="V149" s="250">
        <f t="shared" si="66"/>
        <v>4854.6919592414306</v>
      </c>
      <c r="W149" s="250">
        <f t="shared" si="66"/>
        <v>5294.0635467410348</v>
      </c>
      <c r="X149" s="250">
        <f t="shared" si="66"/>
        <v>5826.339961309176</v>
      </c>
      <c r="Y149" s="250">
        <f t="shared" si="66"/>
        <v>6388.0376116654143</v>
      </c>
      <c r="Z149" s="250">
        <f t="shared" si="66"/>
        <v>6917.9504017429426</v>
      </c>
      <c r="AA149" s="250">
        <f t="shared" si="66"/>
        <v>7465.7870967865556</v>
      </c>
      <c r="AB149" s="250">
        <f t="shared" si="66"/>
        <v>8030.6940755296819</v>
      </c>
      <c r="AC149" s="250">
        <f t="shared" si="66"/>
        <v>8611.7316531391898</v>
      </c>
      <c r="AD149" s="250">
        <f t="shared" si="66"/>
        <v>9207.8732779754919</v>
      </c>
      <c r="AE149" s="250">
        <f t="shared" si="66"/>
        <v>9818.0047454602882</v>
      </c>
      <c r="AF149" s="250">
        <f t="shared" si="66"/>
        <v>10440.923428902977</v>
      </c>
      <c r="AG149" s="250">
        <f t="shared" si="66"/>
        <v>11075.337527137588</v>
      </c>
      <c r="AH149" s="217"/>
      <c r="AI149" s="368"/>
      <c r="AJ149" s="369"/>
      <c r="AL149" s="194"/>
      <c r="AM149" s="116"/>
      <c r="AN149" s="116"/>
      <c r="AO149" s="116"/>
      <c r="BD149" s="116"/>
      <c r="BE149" s="116"/>
      <c r="BF149" s="116"/>
      <c r="BG149" s="116"/>
      <c r="BH149" s="116"/>
      <c r="BI149" s="116"/>
      <c r="BJ149" s="116"/>
      <c r="BK149" s="116"/>
    </row>
    <row r="150" spans="1:63" outlineLevel="1">
      <c r="A150" s="4" t="s">
        <v>35</v>
      </c>
      <c r="C150" s="203">
        <f t="shared" ref="C150:AG150" si="67">C145-$C145</f>
        <v>0</v>
      </c>
      <c r="D150" s="203">
        <f t="shared" si="67"/>
        <v>0</v>
      </c>
      <c r="E150" s="203">
        <f t="shared" si="67"/>
        <v>0</v>
      </c>
      <c r="F150" s="203">
        <f t="shared" si="67"/>
        <v>0</v>
      </c>
      <c r="G150" s="203">
        <f t="shared" si="67"/>
        <v>0</v>
      </c>
      <c r="H150" s="203">
        <f t="shared" si="67"/>
        <v>0</v>
      </c>
      <c r="I150" s="203">
        <f t="shared" si="67"/>
        <v>0</v>
      </c>
      <c r="J150" s="203">
        <f t="shared" si="67"/>
        <v>0</v>
      </c>
      <c r="K150" s="203">
        <f t="shared" si="67"/>
        <v>0</v>
      </c>
      <c r="L150" s="203">
        <f t="shared" si="67"/>
        <v>0</v>
      </c>
      <c r="M150" s="203">
        <f t="shared" si="67"/>
        <v>0</v>
      </c>
      <c r="N150" s="203">
        <f t="shared" si="67"/>
        <v>0</v>
      </c>
      <c r="O150" s="203">
        <f t="shared" si="67"/>
        <v>0</v>
      </c>
      <c r="P150" s="203">
        <f t="shared" si="67"/>
        <v>0</v>
      </c>
      <c r="Q150" s="203">
        <f t="shared" si="67"/>
        <v>0</v>
      </c>
      <c r="R150" s="203">
        <f t="shared" si="67"/>
        <v>0</v>
      </c>
      <c r="S150" s="203">
        <f t="shared" si="67"/>
        <v>0</v>
      </c>
      <c r="T150" s="203">
        <f t="shared" si="67"/>
        <v>0</v>
      </c>
      <c r="U150" s="203">
        <f t="shared" si="67"/>
        <v>0</v>
      </c>
      <c r="V150" s="203">
        <f t="shared" si="67"/>
        <v>0</v>
      </c>
      <c r="W150" s="203">
        <f t="shared" si="67"/>
        <v>0</v>
      </c>
      <c r="X150" s="203">
        <f t="shared" si="67"/>
        <v>0</v>
      </c>
      <c r="Y150" s="203">
        <f t="shared" si="67"/>
        <v>0</v>
      </c>
      <c r="Z150" s="203">
        <f t="shared" si="67"/>
        <v>0</v>
      </c>
      <c r="AA150" s="203">
        <f t="shared" si="67"/>
        <v>0</v>
      </c>
      <c r="AB150" s="203">
        <f t="shared" si="67"/>
        <v>0</v>
      </c>
      <c r="AC150" s="203">
        <f t="shared" si="67"/>
        <v>0</v>
      </c>
      <c r="AD150" s="203">
        <f t="shared" si="67"/>
        <v>0</v>
      </c>
      <c r="AE150" s="203">
        <f t="shared" si="67"/>
        <v>0</v>
      </c>
      <c r="AF150" s="203">
        <f t="shared" si="67"/>
        <v>0</v>
      </c>
      <c r="AG150" s="203">
        <f t="shared" si="67"/>
        <v>0</v>
      </c>
      <c r="AH150" s="217"/>
      <c r="AI150" s="124"/>
      <c r="AJ150" s="185"/>
      <c r="AL150" s="100"/>
      <c r="AM150" s="2"/>
      <c r="AN150" s="2"/>
      <c r="AO150" s="2"/>
      <c r="BC150" s="1"/>
      <c r="BD150" s="2"/>
      <c r="BE150" s="2"/>
      <c r="BF150" s="2"/>
      <c r="BG150" s="2"/>
      <c r="BH150" s="2"/>
      <c r="BI150" s="2"/>
      <c r="BJ150" s="2"/>
      <c r="BK150" s="2"/>
    </row>
    <row r="151" spans="1:63" outlineLevel="1">
      <c r="A151" s="4" t="s">
        <v>74</v>
      </c>
      <c r="C151" s="203">
        <f t="shared" ref="C151:AG153" si="68">C146-$C146</f>
        <v>0</v>
      </c>
      <c r="D151" s="203">
        <f t="shared" si="68"/>
        <v>49.258573237301789</v>
      </c>
      <c r="E151" s="203">
        <f t="shared" si="68"/>
        <v>103.9586875192507</v>
      </c>
      <c r="F151" s="203">
        <f t="shared" si="68"/>
        <v>163.66985968722938</v>
      </c>
      <c r="G151" s="203">
        <f t="shared" si="68"/>
        <v>227.87576943965152</v>
      </c>
      <c r="H151" s="203">
        <f t="shared" si="68"/>
        <v>295.97522717936761</v>
      </c>
      <c r="I151" s="203">
        <f t="shared" si="68"/>
        <v>367.28313540693364</v>
      </c>
      <c r="J151" s="203">
        <f t="shared" si="68"/>
        <v>441.03144369309791</v>
      </c>
      <c r="K151" s="203">
        <f t="shared" si="68"/>
        <v>516.37009726372321</v>
      </c>
      <c r="L151" s="203">
        <f t="shared" si="68"/>
        <v>592.36797923020197</v>
      </c>
      <c r="M151" s="203">
        <f t="shared" si="68"/>
        <v>668.01384649828537</v>
      </c>
      <c r="N151" s="203">
        <f t="shared" si="68"/>
        <v>730.17857175192546</v>
      </c>
      <c r="O151" s="203">
        <f t="shared" si="68"/>
        <v>788.79828698944061</v>
      </c>
      <c r="P151" s="203">
        <f t="shared" si="68"/>
        <v>839.59724921054556</v>
      </c>
      <c r="Q151" s="203">
        <f t="shared" si="68"/>
        <v>884.47311515387923</v>
      </c>
      <c r="R151" s="203">
        <f t="shared" si="68"/>
        <v>922.40429985461662</v>
      </c>
      <c r="S151" s="203">
        <f t="shared" si="68"/>
        <v>952.33694293315705</v>
      </c>
      <c r="T151" s="203">
        <f t="shared" si="68"/>
        <v>973.18657814992469</v>
      </c>
      <c r="U151" s="203">
        <f t="shared" si="68"/>
        <v>983.83980231073781</v>
      </c>
      <c r="V151" s="203">
        <f t="shared" si="68"/>
        <v>983.15594337490813</v>
      </c>
      <c r="W151" s="203">
        <f t="shared" si="68"/>
        <v>969.96872762002079</v>
      </c>
      <c r="X151" s="203">
        <f t="shared" si="68"/>
        <v>955.93602101326962</v>
      </c>
      <c r="Y151" s="203">
        <f t="shared" si="68"/>
        <v>925.44624836558762</v>
      </c>
      <c r="Z151" s="203">
        <f t="shared" si="68"/>
        <v>868.2441685505396</v>
      </c>
      <c r="AA151" s="203">
        <f t="shared" si="68"/>
        <v>792.14183231616175</v>
      </c>
      <c r="AB151" s="203">
        <f t="shared" si="68"/>
        <v>695.9873042792409</v>
      </c>
      <c r="AC151" s="203">
        <f t="shared" si="68"/>
        <v>578.68958493503862</v>
      </c>
      <c r="AD151" s="203">
        <f t="shared" si="68"/>
        <v>439.22710349006945</v>
      </c>
      <c r="AE151" s="203">
        <f t="shared" si="68"/>
        <v>276.6563070269583</v>
      </c>
      <c r="AF151" s="203">
        <f t="shared" si="68"/>
        <v>90.120343621630269</v>
      </c>
      <c r="AG151" s="203">
        <f t="shared" si="68"/>
        <v>-121.1421629432522</v>
      </c>
      <c r="AH151" s="217"/>
      <c r="AI151" s="124"/>
      <c r="AJ151" s="185"/>
      <c r="AL151" s="100"/>
      <c r="AM151" s="2"/>
      <c r="AN151" s="2"/>
      <c r="AO151" s="2"/>
      <c r="BC151" s="1"/>
      <c r="BD151" s="2"/>
      <c r="BE151" s="2"/>
      <c r="BF151" s="2"/>
      <c r="BG151" s="2"/>
      <c r="BH151" s="2"/>
      <c r="BI151" s="2"/>
      <c r="BJ151" s="2"/>
      <c r="BK151" s="2"/>
    </row>
    <row r="152" spans="1:63" outlineLevel="1">
      <c r="A152" s="4" t="s">
        <v>160</v>
      </c>
      <c r="C152" s="203">
        <f t="shared" si="68"/>
        <v>0</v>
      </c>
      <c r="D152" s="203">
        <f t="shared" si="68"/>
        <v>1.1954574453008724</v>
      </c>
      <c r="E152" s="203">
        <f t="shared" si="68"/>
        <v>3.2712199976190748</v>
      </c>
      <c r="F152" s="203">
        <f t="shared" si="68"/>
        <v>6.4383778545268013</v>
      </c>
      <c r="G152" s="203">
        <f t="shared" si="68"/>
        <v>10.924335693089869</v>
      </c>
      <c r="H152" s="203">
        <f t="shared" si="68"/>
        <v>16.972622210607948</v>
      </c>
      <c r="I152" s="203">
        <f t="shared" si="68"/>
        <v>24.842700949738067</v>
      </c>
      <c r="J152" s="203">
        <f t="shared" si="68"/>
        <v>34.809782401325883</v>
      </c>
      <c r="K152" s="203">
        <f t="shared" si="68"/>
        <v>47.164637378299311</v>
      </c>
      <c r="L152" s="203">
        <f t="shared" si="68"/>
        <v>62.21341165400802</v>
      </c>
      <c r="M152" s="203">
        <f t="shared" si="68"/>
        <v>80.277441858422236</v>
      </c>
      <c r="N152" s="203">
        <f t="shared" si="68"/>
        <v>100.27506396731954</v>
      </c>
      <c r="O152" s="203">
        <f t="shared" si="68"/>
        <v>123.41909701022153</v>
      </c>
      <c r="P152" s="203">
        <f t="shared" si="68"/>
        <v>149.47229071056944</v>
      </c>
      <c r="Q152" s="203">
        <f t="shared" si="68"/>
        <v>179.01959415337532</v>
      </c>
      <c r="R152" s="203">
        <f t="shared" si="68"/>
        <v>212.31097398118268</v>
      </c>
      <c r="S152" s="203">
        <f t="shared" si="68"/>
        <v>249.60092765205164</v>
      </c>
      <c r="T152" s="203">
        <f t="shared" si="68"/>
        <v>291.14814468058285</v>
      </c>
      <c r="U152" s="203">
        <f t="shared" si="68"/>
        <v>337.21516813788088</v>
      </c>
      <c r="V152" s="203">
        <f t="shared" si="68"/>
        <v>388.06805643920205</v>
      </c>
      <c r="W152" s="203">
        <f t="shared" si="68"/>
        <v>443.97604544769564</v>
      </c>
      <c r="X152" s="203">
        <f t="shared" si="68"/>
        <v>511.31044794310077</v>
      </c>
      <c r="Y152" s="203">
        <f t="shared" si="68"/>
        <v>585.55712220832459</v>
      </c>
      <c r="Z152" s="203">
        <f t="shared" si="68"/>
        <v>661.38806641541282</v>
      </c>
      <c r="AA152" s="203">
        <f t="shared" si="68"/>
        <v>743.23557778187853</v>
      </c>
      <c r="AB152" s="203">
        <f t="shared" si="68"/>
        <v>831.2306123370779</v>
      </c>
      <c r="AC152" s="203">
        <f t="shared" si="68"/>
        <v>925.48130296765589</v>
      </c>
      <c r="AD152" s="203">
        <f t="shared" si="68"/>
        <v>1026.0711342352754</v>
      </c>
      <c r="AE152" s="203">
        <f t="shared" si="68"/>
        <v>1133.057099667855</v>
      </c>
      <c r="AF152" s="203">
        <f t="shared" si="68"/>
        <v>1246.4678419904299</v>
      </c>
      <c r="AG152" s="203">
        <f t="shared" si="68"/>
        <v>1366.3017767570373</v>
      </c>
      <c r="AH152" s="217"/>
      <c r="AI152" s="124"/>
      <c r="AJ152" s="185"/>
      <c r="AL152" s="100"/>
      <c r="AM152" s="2"/>
      <c r="AN152" s="2"/>
      <c r="AO152" s="2"/>
      <c r="BC152" s="1"/>
      <c r="BD152" s="2"/>
      <c r="BE152" s="2"/>
      <c r="BF152" s="2"/>
      <c r="BG152" s="2"/>
      <c r="BH152" s="2"/>
      <c r="BI152" s="2"/>
      <c r="BJ152" s="2"/>
      <c r="BK152" s="2"/>
    </row>
    <row r="153" spans="1:63" outlineLevel="1">
      <c r="A153" s="4" t="s">
        <v>1040</v>
      </c>
      <c r="C153" s="203">
        <f t="shared" si="68"/>
        <v>0</v>
      </c>
      <c r="D153" s="203">
        <f t="shared" si="68"/>
        <v>42.143589197221402</v>
      </c>
      <c r="E153" s="203">
        <f t="shared" si="68"/>
        <v>94.371231971128083</v>
      </c>
      <c r="F153" s="203">
        <f t="shared" si="68"/>
        <v>157.92187575715624</v>
      </c>
      <c r="G153" s="203">
        <f t="shared" si="68"/>
        <v>234.09450397973131</v>
      </c>
      <c r="H153" s="203">
        <f t="shared" si="68"/>
        <v>324.24741191399619</v>
      </c>
      <c r="I153" s="203">
        <f t="shared" si="68"/>
        <v>429.79748748021143</v>
      </c>
      <c r="J153" s="203">
        <f t="shared" si="68"/>
        <v>552.21949694506168</v>
      </c>
      <c r="K153" s="203">
        <f t="shared" si="68"/>
        <v>693.04537550422492</v>
      </c>
      <c r="L153" s="203">
        <f t="shared" si="68"/>
        <v>853.86352272066699</v>
      </c>
      <c r="M153" s="203">
        <f t="shared" si="68"/>
        <v>1036.3181027932428</v>
      </c>
      <c r="N153" s="203">
        <f t="shared" si="68"/>
        <v>1223.6405908572019</v>
      </c>
      <c r="O153" s="203">
        <f t="shared" si="68"/>
        <v>1431.3814393730554</v>
      </c>
      <c r="P153" s="203">
        <f t="shared" si="68"/>
        <v>1654.9140897092047</v>
      </c>
      <c r="Q153" s="203">
        <f t="shared" si="68"/>
        <v>1899.7717693727709</v>
      </c>
      <c r="R153" s="203">
        <f t="shared" si="68"/>
        <v>2167.0738275420949</v>
      </c>
      <c r="S153" s="203">
        <f t="shared" si="68"/>
        <v>2457.950553642233</v>
      </c>
      <c r="T153" s="203">
        <f t="shared" si="68"/>
        <v>2773.5418540963465</v>
      </c>
      <c r="U153" s="203">
        <f t="shared" si="68"/>
        <v>3114.9959305144075</v>
      </c>
      <c r="V153" s="203">
        <f t="shared" si="68"/>
        <v>3483.4679594273207</v>
      </c>
      <c r="W153" s="203">
        <f t="shared" si="68"/>
        <v>3880.1187736733191</v>
      </c>
      <c r="X153" s="203">
        <f t="shared" si="68"/>
        <v>4359.0934923528066</v>
      </c>
      <c r="Y153" s="203">
        <f t="shared" si="68"/>
        <v>4877.0342410915036</v>
      </c>
      <c r="Z153" s="203">
        <f t="shared" si="68"/>
        <v>5388.3181667769923</v>
      </c>
      <c r="AA153" s="203">
        <f t="shared" si="68"/>
        <v>5930.4096866885175</v>
      </c>
      <c r="AB153" s="203">
        <f t="shared" si="68"/>
        <v>6503.4761589133659</v>
      </c>
      <c r="AC153" s="203">
        <f t="shared" si="68"/>
        <v>7107.5607652364988</v>
      </c>
      <c r="AD153" s="203">
        <f t="shared" si="68"/>
        <v>7742.5750402501508</v>
      </c>
      <c r="AE153" s="203">
        <f t="shared" si="68"/>
        <v>8408.2913387654789</v>
      </c>
      <c r="AF153" s="203">
        <f t="shared" si="68"/>
        <v>9104.3352432909214</v>
      </c>
      <c r="AG153" s="203">
        <f t="shared" si="68"/>
        <v>9830.1779133238033</v>
      </c>
      <c r="AH153" s="217"/>
      <c r="AI153" s="124"/>
      <c r="AJ153" s="185"/>
      <c r="AL153" s="100"/>
      <c r="AM153" s="2"/>
      <c r="AN153" s="2"/>
      <c r="AO153" s="2"/>
      <c r="BC153" s="1"/>
      <c r="BD153" s="2"/>
      <c r="BE153" s="2"/>
      <c r="BF153" s="2"/>
      <c r="BG153" s="2"/>
      <c r="BH153" s="2"/>
      <c r="BI153" s="2"/>
      <c r="BJ153" s="2"/>
      <c r="BK153" s="2"/>
    </row>
    <row r="154" spans="1:63" s="1" customFormat="1" outlineLevel="1">
      <c r="A154" s="1" t="s">
        <v>1044</v>
      </c>
      <c r="B154" s="60"/>
      <c r="C154" s="250">
        <f>'BTX Recycling HC'!C154</f>
        <v>1216.671123160063</v>
      </c>
      <c r="D154" s="250">
        <f>'BTX Recycling HC'!D154</f>
        <v>1326.3233958838666</v>
      </c>
      <c r="E154" s="250">
        <f>'BTX Recycling HC'!E154</f>
        <v>1434.9174302473568</v>
      </c>
      <c r="F154" s="250">
        <f>'BTX Recycling HC'!F154</f>
        <v>1541.8712461001435</v>
      </c>
      <c r="G154" s="250">
        <f>'BTX Recycling HC'!G154</f>
        <v>1646.6080285463363</v>
      </c>
      <c r="H154" s="250">
        <f>'BTX Recycling HC'!H154</f>
        <v>1748.556099394023</v>
      </c>
      <c r="I154" s="250">
        <f>'BTX Recycling HC'!I154</f>
        <v>1847.1488887308965</v>
      </c>
      <c r="J154" s="250">
        <f>'BTX Recycling HC'!J154</f>
        <v>1941.8249066255307</v>
      </c>
      <c r="K154" s="250">
        <f>'BTX Recycling HC'!K154</f>
        <v>2032.0277149538383</v>
      </c>
      <c r="L154" s="250">
        <f>'BTX Recycling HC'!L154</f>
        <v>2117.2058993502142</v>
      </c>
      <c r="M154" s="250">
        <f>'BTX Recycling HC'!M154</f>
        <v>2196.8130412828809</v>
      </c>
      <c r="N154" s="250">
        <f>'BTX Recycling HC'!N154</f>
        <v>2238.6505096929245</v>
      </c>
      <c r="O154" s="250">
        <f>'BTX Recycling HC'!O154</f>
        <v>2274.6313324525213</v>
      </c>
      <c r="P154" s="250">
        <f>'BTX Recycling HC'!P154</f>
        <v>2296.5478000968092</v>
      </c>
      <c r="Q154" s="250">
        <f>'BTX Recycling HC'!Q154</f>
        <v>2311.7064674141511</v>
      </c>
      <c r="R154" s="250">
        <f>'BTX Recycling HC'!R154</f>
        <v>2319.835409419748</v>
      </c>
      <c r="S154" s="250">
        <f>'BTX Recycling HC'!S154</f>
        <v>2320.6714562259226</v>
      </c>
      <c r="T154" s="250">
        <f>'BTX Recycling HC'!T154</f>
        <v>2313.9601930202261</v>
      </c>
      <c r="U154" s="250">
        <f>'BTX Recycling HC'!U154</f>
        <v>2299.455959464749</v>
      </c>
      <c r="V154" s="250">
        <f>'BTX Recycling HC'!V154</f>
        <v>2276.9218485224924</v>
      </c>
      <c r="W154" s="250">
        <f>'BTX Recycling HC'!W154</f>
        <v>2246.1297047166813</v>
      </c>
      <c r="X154" s="250">
        <f>'BTX Recycling HC'!X154</f>
        <v>2233.502766852916</v>
      </c>
      <c r="Y154" s="250">
        <f>'BTX Recycling HC'!Y154</f>
        <v>2209.8852013787659</v>
      </c>
      <c r="Z154" s="250">
        <f>'BTX Recycling HC'!Z154</f>
        <v>2156.2539000295101</v>
      </c>
      <c r="AA154" s="250">
        <f>'BTX Recycling HC'!AA154</f>
        <v>2091.2718476814166</v>
      </c>
      <c r="AB154" s="250">
        <f>'BTX Recycling HC'!AB154</f>
        <v>2014.9451332921738</v>
      </c>
      <c r="AC154" s="250">
        <f>'BTX Recycling HC'!AC154</f>
        <v>1927.3207283898191</v>
      </c>
      <c r="AD154" s="250">
        <f>'BTX Recycling HC'!AD154</f>
        <v>1828.4869690066089</v>
      </c>
      <c r="AE154" s="250">
        <f>'BTX Recycling HC'!AE154</f>
        <v>1718.5740282436514</v>
      </c>
      <c r="AF154" s="250">
        <f>'BTX Recycling HC'!AF154</f>
        <v>1597.7543795463855</v>
      </c>
      <c r="AG154" s="250">
        <f>'BTX Recycling HC'!AG154</f>
        <v>1466.2432507704962</v>
      </c>
      <c r="AH154" s="217"/>
      <c r="AI154" s="368"/>
      <c r="AJ154" s="369"/>
      <c r="AL154" s="194"/>
      <c r="AM154" s="116"/>
      <c r="AN154" s="116"/>
      <c r="AO154" s="116"/>
      <c r="BD154" s="116"/>
      <c r="BE154" s="116"/>
      <c r="BF154" s="116"/>
      <c r="BG154" s="116"/>
      <c r="BH154" s="116"/>
      <c r="BI154" s="116"/>
      <c r="BJ154" s="116"/>
      <c r="BK154" s="116"/>
    </row>
    <row r="155" spans="1:63" outlineLevel="1">
      <c r="A155" s="4" t="s">
        <v>35</v>
      </c>
      <c r="C155" s="203">
        <f>C$154*'BTX recycling rates'!E62</f>
        <v>0</v>
      </c>
      <c r="D155" s="203">
        <f>D$154*'BTX recycling rates'!F62</f>
        <v>0</v>
      </c>
      <c r="E155" s="203">
        <f>E$154*'BTX recycling rates'!G62</f>
        <v>0</v>
      </c>
      <c r="F155" s="203">
        <f>F$154*'BTX recycling rates'!H62</f>
        <v>0</v>
      </c>
      <c r="G155" s="203">
        <f>G$154*'BTX recycling rates'!I62</f>
        <v>0</v>
      </c>
      <c r="H155" s="203">
        <f>H$154*'BTX recycling rates'!J62</f>
        <v>0</v>
      </c>
      <c r="I155" s="203">
        <f>I$154*'BTX recycling rates'!K62</f>
        <v>0</v>
      </c>
      <c r="J155" s="203">
        <f>J$154*'BTX recycling rates'!L62</f>
        <v>0</v>
      </c>
      <c r="K155" s="203">
        <f>K$154*'BTX recycling rates'!M62</f>
        <v>0</v>
      </c>
      <c r="L155" s="203">
        <f>L$154*'BTX recycling rates'!N62</f>
        <v>0</v>
      </c>
      <c r="M155" s="203">
        <f>M$154*'BTX recycling rates'!O62</f>
        <v>0</v>
      </c>
      <c r="N155" s="203">
        <f>N$154*'BTX recycling rates'!P62</f>
        <v>0</v>
      </c>
      <c r="O155" s="203">
        <f>O$154*'BTX recycling rates'!Q62</f>
        <v>0</v>
      </c>
      <c r="P155" s="203">
        <f>P$154*'BTX recycling rates'!R62</f>
        <v>0</v>
      </c>
      <c r="Q155" s="203">
        <f>Q$154*'BTX recycling rates'!S62</f>
        <v>0</v>
      </c>
      <c r="R155" s="203">
        <f>R$154*'BTX recycling rates'!T62</f>
        <v>0</v>
      </c>
      <c r="S155" s="203">
        <f>S$154*'BTX recycling rates'!U62</f>
        <v>0</v>
      </c>
      <c r="T155" s="203">
        <f>T$154*'BTX recycling rates'!V62</f>
        <v>0</v>
      </c>
      <c r="U155" s="203">
        <f>U$154*'BTX recycling rates'!W62</f>
        <v>0</v>
      </c>
      <c r="V155" s="203">
        <f>V$154*'BTX recycling rates'!X62</f>
        <v>0</v>
      </c>
      <c r="W155" s="203">
        <f>W$154*'BTX recycling rates'!Y62</f>
        <v>0</v>
      </c>
      <c r="X155" s="203">
        <f>X$154*'BTX recycling rates'!Z62</f>
        <v>0</v>
      </c>
      <c r="Y155" s="203">
        <f>Y$154*'BTX recycling rates'!AA62</f>
        <v>0</v>
      </c>
      <c r="Z155" s="203">
        <f>Z$154*'BTX recycling rates'!AB62</f>
        <v>0</v>
      </c>
      <c r="AA155" s="203">
        <f>AA$154*'BTX recycling rates'!AC62</f>
        <v>0</v>
      </c>
      <c r="AB155" s="203">
        <f>AB$154*'BTX recycling rates'!AD62</f>
        <v>0</v>
      </c>
      <c r="AC155" s="203">
        <f>AC$154*'BTX recycling rates'!AE62</f>
        <v>0</v>
      </c>
      <c r="AD155" s="203">
        <f>AD$154*'BTX recycling rates'!AF62</f>
        <v>0</v>
      </c>
      <c r="AE155" s="203">
        <f>AE$154*'BTX recycling rates'!AG62</f>
        <v>0</v>
      </c>
      <c r="AF155" s="203">
        <f>AF$154*'BTX recycling rates'!AH62</f>
        <v>0</v>
      </c>
      <c r="AG155" s="203">
        <f>AG$154*'BTX recycling rates'!AI62</f>
        <v>0</v>
      </c>
      <c r="AH155" s="217"/>
      <c r="AI155" s="124"/>
      <c r="AJ155" s="185"/>
      <c r="AL155" s="100"/>
      <c r="AM155" s="2"/>
      <c r="AN155" s="2"/>
      <c r="AO155" s="2"/>
      <c r="BC155" s="1"/>
      <c r="BD155" s="2"/>
      <c r="BE155" s="2"/>
      <c r="BF155" s="2"/>
      <c r="BG155" s="2"/>
      <c r="BH155" s="2"/>
      <c r="BI155" s="2"/>
      <c r="BJ155" s="2"/>
      <c r="BK155" s="2"/>
    </row>
    <row r="156" spans="1:63" outlineLevel="1">
      <c r="A156" s="4" t="s">
        <v>74</v>
      </c>
      <c r="C156" s="203">
        <f>C$154*'BTX recycling rates'!E63</f>
        <v>724.43013440064817</v>
      </c>
      <c r="D156" s="203">
        <f>D$154*'BTX recycling rates'!F63</f>
        <v>763.39529808888199</v>
      </c>
      <c r="E156" s="203">
        <f>E$154*'BTX recycling rates'!G63</f>
        <v>797.41976276341654</v>
      </c>
      <c r="F156" s="203">
        <f>F$154*'BTX recycling rates'!H63</f>
        <v>826.25466775748146</v>
      </c>
      <c r="G156" s="203">
        <f>G$154*'BTX recycling rates'!I63</f>
        <v>849.70002083765132</v>
      </c>
      <c r="H156" s="203">
        <f>H$154*'BTX recycling rates'!J63</f>
        <v>867.60417145504948</v>
      </c>
      <c r="I156" s="203">
        <f>I$154*'BTX recycling rates'!K63</f>
        <v>879.86328745654907</v>
      </c>
      <c r="J156" s="203">
        <f>J$154*'BTX recycling rates'!L63</f>
        <v>886.42083523821918</v>
      </c>
      <c r="K156" s="203">
        <f>K$154*'BTX recycling rates'!M63</f>
        <v>887.26706332335516</v>
      </c>
      <c r="L156" s="203">
        <f>L$154*'BTX recycling rates'!N63</f>
        <v>882.4384893474936</v>
      </c>
      <c r="M156" s="203">
        <f>M$154*'BTX recycling rates'!O63</f>
        <v>872.01739043289899</v>
      </c>
      <c r="N156" s="203">
        <f>N$154*'BTX recycling rates'!P63</f>
        <v>844.1933983116827</v>
      </c>
      <c r="O156" s="203">
        <f>O$154*'BTX recycling rates'!Q63</f>
        <v>812.61638441815228</v>
      </c>
      <c r="P156" s="203">
        <f>P$154*'BTX recycling rates'!R63</f>
        <v>774.86574629220547</v>
      </c>
      <c r="Q156" s="203">
        <f>Q$154*'BTX recycling rates'!S63</f>
        <v>734.09915301090564</v>
      </c>
      <c r="R156" s="203">
        <f>R$154*'BTX recycling rates'!T63</f>
        <v>690.63802265168033</v>
      </c>
      <c r="S156" s="203">
        <f>S$154*'BTX recycling rates'!U63</f>
        <v>644.82779394369106</v>
      </c>
      <c r="T156" s="203">
        <f>T$154*'BTX recycling rates'!V63</f>
        <v>597.03705743575256</v>
      </c>
      <c r="U156" s="203">
        <f>U$154*'BTX recycling rates'!W63</f>
        <v>547.65668652900843</v>
      </c>
      <c r="V156" s="203">
        <f>V$154*'BTX recycling rates'!X63</f>
        <v>497.0989684560551</v>
      </c>
      <c r="W156" s="203">
        <f>W$154*'BTX recycling rates'!Y63</f>
        <v>445.79673528727977</v>
      </c>
      <c r="X156" s="203">
        <f>X$154*'BTX recycling rates'!Z63</f>
        <v>398.9615629340318</v>
      </c>
      <c r="Y156" s="203">
        <f>Y$154*'BTX recycling rates'!AA63</f>
        <v>350.88253579143708</v>
      </c>
      <c r="Z156" s="203">
        <f>Z$154*'BTX recycling rates'!AB63</f>
        <v>299.57115252318329</v>
      </c>
      <c r="AA156" s="203">
        <f>AA$154*'BTX recycling rates'!AC63</f>
        <v>249.03695285366436</v>
      </c>
      <c r="AB156" s="203">
        <f>AB$154*'BTX recycling rates'!AD63</f>
        <v>199.95638727326863</v>
      </c>
      <c r="AC156" s="203">
        <f>AC$154*'BTX recycling rates'!AE63</f>
        <v>153.00866851338975</v>
      </c>
      <c r="AD156" s="203">
        <f>AD$154*'BTX recycling rates'!AF63</f>
        <v>108.87174319275947</v>
      </c>
      <c r="AE156" s="203">
        <f>AE$154*'BTX recycling rates'!AG63</f>
        <v>68.2182057012743</v>
      </c>
      <c r="AF156" s="203">
        <f>AF$154*'BTX recycling rates'!AH63</f>
        <v>31.711155624584364</v>
      </c>
      <c r="AG156" s="203">
        <f>AG$154*'BTX recycling rates'!AI63</f>
        <v>0</v>
      </c>
      <c r="AH156" s="217"/>
      <c r="AI156" s="124"/>
      <c r="AJ156" s="185"/>
      <c r="AL156" s="100"/>
      <c r="AM156" s="2"/>
      <c r="AN156" s="2"/>
      <c r="AO156" s="2"/>
      <c r="BC156" s="1"/>
      <c r="BD156" s="2"/>
      <c r="BE156" s="2"/>
      <c r="BF156" s="2"/>
      <c r="BG156" s="2"/>
      <c r="BH156" s="2"/>
      <c r="BI156" s="2"/>
      <c r="BJ156" s="2"/>
      <c r="BK156" s="2"/>
    </row>
    <row r="157" spans="1:63" outlineLevel="1">
      <c r="A157" s="4" t="s">
        <v>160</v>
      </c>
      <c r="C157" s="203">
        <f>C$154*'BTX recycling rates'!E64</f>
        <v>0</v>
      </c>
      <c r="D157" s="203">
        <f>D$154*'BTX recycling rates'!F64</f>
        <v>5.3556493549479089</v>
      </c>
      <c r="E157" s="203">
        <f>E$154*'BTX recycling rates'!G64</f>
        <v>11.588296841565572</v>
      </c>
      <c r="F157" s="203">
        <f>F$154*'BTX recycling rates'!H64</f>
        <v>18.678073017974597</v>
      </c>
      <c r="G157" s="203">
        <f>G$154*'BTX recycling rates'!I64</f>
        <v>26.595791805540614</v>
      </c>
      <c r="H157" s="203">
        <f>H$154*'BTX recycling rates'!J64</f>
        <v>35.303054198064537</v>
      </c>
      <c r="I157" s="203">
        <f>I$154*'BTX recycling rates'!K64</f>
        <v>44.75235128231386</v>
      </c>
      <c r="J157" s="203">
        <f>J$154*'BTX recycling rates'!L64</f>
        <v>54.887166573445462</v>
      </c>
      <c r="K157" s="203">
        <f>K$154*'BTX recycling rates'!M64</f>
        <v>65.642077668856558</v>
      </c>
      <c r="L157" s="203">
        <f>L$154*'BTX recycling rates'!N64</f>
        <v>76.942857223983964</v>
      </c>
      <c r="M157" s="203">
        <f>M$154*'BTX recycling rates'!O64</f>
        <v>88.70657325355657</v>
      </c>
      <c r="N157" s="203">
        <f>N$154*'BTX recycling rates'!P64</f>
        <v>99.435551803872173</v>
      </c>
      <c r="O157" s="203">
        <f>O$154*'BTX recycling rates'!Q64</f>
        <v>110.2186196778239</v>
      </c>
      <c r="P157" s="203">
        <f>P$154*'BTX recycling rates'!R64</f>
        <v>120.55397814044291</v>
      </c>
      <c r="Q157" s="203">
        <f>Q$154*'BTX recycling rates'!S64</f>
        <v>130.68430373196392</v>
      </c>
      <c r="R157" s="203">
        <f>R$154*'BTX recycling rates'!T64</f>
        <v>140.5112627802736</v>
      </c>
      <c r="S157" s="203">
        <f>S$154*'BTX recycling rates'!U64</f>
        <v>149.93269516202542</v>
      </c>
      <c r="T157" s="203">
        <f>T$154*'BTX recycling rates'!V64</f>
        <v>158.84279106507856</v>
      </c>
      <c r="U157" s="203">
        <f>U$154*'BTX recycling rates'!W64</f>
        <v>167.13226770833708</v>
      </c>
      <c r="V157" s="203">
        <f>V$154*'BTX recycling rates'!X64</f>
        <v>174.68854600307949</v>
      </c>
      <c r="W157" s="203">
        <f>W$154*'BTX recycling rates'!Y64</f>
        <v>181.39592714005838</v>
      </c>
      <c r="X157" s="203">
        <f>X$154*'BTX recycling rates'!Z64</f>
        <v>189.39499332029359</v>
      </c>
      <c r="Y157" s="203">
        <f>Y$154*'BTX recycling rates'!AA64</f>
        <v>196.31572991931711</v>
      </c>
      <c r="Z157" s="203">
        <f>Z$154*'BTX recycling rates'!AB64</f>
        <v>200.25826010957798</v>
      </c>
      <c r="AA157" s="203">
        <f>AA$154*'BTX recycling rates'!AC64</f>
        <v>202.66765267320474</v>
      </c>
      <c r="AB157" s="203">
        <f>AB$154*'BTX recycling rates'!AD64</f>
        <v>203.40702043072</v>
      </c>
      <c r="AC157" s="203">
        <f>AC$154*'BTX recycling rates'!AE64</f>
        <v>202.34386669429179</v>
      </c>
      <c r="AD157" s="203">
        <f>AD$154*'BTX recycling rates'!AF64</f>
        <v>199.35096322285321</v>
      </c>
      <c r="AE157" s="203">
        <f>AE$154*'BTX recycling rates'!AG64</f>
        <v>194.30723879410419</v>
      </c>
      <c r="AF157" s="203">
        <f>AF$154*'BTX recycling rates'!AH64</f>
        <v>187.09867813794457</v>
      </c>
      <c r="AG157" s="203">
        <f>AG$154*'BTX recycling rates'!AI64</f>
        <v>177.61923097841481</v>
      </c>
      <c r="AH157" s="217"/>
      <c r="AI157" s="124"/>
      <c r="AJ157" s="185"/>
      <c r="AL157" s="100"/>
      <c r="AM157" s="2"/>
      <c r="AN157" s="2"/>
      <c r="AO157" s="2"/>
      <c r="BC157" s="1"/>
      <c r="BD157" s="2"/>
      <c r="BE157" s="2"/>
      <c r="BF157" s="2"/>
      <c r="BG157" s="2"/>
      <c r="BH157" s="2"/>
      <c r="BI157" s="2"/>
      <c r="BJ157" s="2"/>
      <c r="BK157" s="2"/>
    </row>
    <row r="158" spans="1:63" outlineLevel="1">
      <c r="A158" s="4" t="s">
        <v>1040</v>
      </c>
      <c r="C158" s="203">
        <f>C$154*'BTX recycling rates'!E65</f>
        <v>492.24098875941479</v>
      </c>
      <c r="D158" s="203">
        <f>D$154*'BTX recycling rates'!F65</f>
        <v>557.57244844003674</v>
      </c>
      <c r="E158" s="203">
        <f>E$154*'BTX recycling rates'!G65</f>
        <v>625.9093706423746</v>
      </c>
      <c r="F158" s="203">
        <f>F$154*'BTX recycling rates'!H65</f>
        <v>696.9385053246873</v>
      </c>
      <c r="G158" s="203">
        <f>G$154*'BTX recycling rates'!I65</f>
        <v>770.31221590314419</v>
      </c>
      <c r="H158" s="203">
        <f>H$154*'BTX recycling rates'!J65</f>
        <v>845.6488737409087</v>
      </c>
      <c r="I158" s="203">
        <f>I$154*'BTX recycling rates'!K65</f>
        <v>922.53324999203323</v>
      </c>
      <c r="J158" s="203">
        <f>J$154*'BTX recycling rates'!L65</f>
        <v>1000.5169048138657</v>
      </c>
      <c r="K158" s="203">
        <f>K$154*'BTX recycling rates'!M65</f>
        <v>1079.1185739616262</v>
      </c>
      <c r="L158" s="203">
        <f>L$154*'BTX recycling rates'!N65</f>
        <v>1157.8245527787362</v>
      </c>
      <c r="M158" s="203">
        <f>M$154*'BTX recycling rates'!O65</f>
        <v>1236.0890775964251</v>
      </c>
      <c r="N158" s="203">
        <f>N$154*'BTX recycling rates'!P65</f>
        <v>1295.0215595773693</v>
      </c>
      <c r="O158" s="203">
        <f>O$154*'BTX recycling rates'!Q65</f>
        <v>1351.7963283565448</v>
      </c>
      <c r="P158" s="203">
        <f>P$154*'BTX recycling rates'!R65</f>
        <v>1401.1280756641606</v>
      </c>
      <c r="Q158" s="203">
        <f>Q$154*'BTX recycling rates'!S65</f>
        <v>1446.9230106712814</v>
      </c>
      <c r="R158" s="203">
        <f>R$154*'BTX recycling rates'!T65</f>
        <v>1488.686123987794</v>
      </c>
      <c r="S158" s="203">
        <f>S$154*'BTX recycling rates'!U65</f>
        <v>1525.9109671202061</v>
      </c>
      <c r="T158" s="203">
        <f>T$154*'BTX recycling rates'!V65</f>
        <v>1558.0803445193951</v>
      </c>
      <c r="U158" s="203">
        <f>U$154*'BTX recycling rates'!W65</f>
        <v>1584.6670052274035</v>
      </c>
      <c r="V158" s="203">
        <f>V$154*'BTX recycling rates'!X65</f>
        <v>1605.134334063358</v>
      </c>
      <c r="W158" s="203">
        <f>W$154*'BTX recycling rates'!Y65</f>
        <v>1618.9370422893435</v>
      </c>
      <c r="X158" s="203">
        <f>X$154*'BTX recycling rates'!Z65</f>
        <v>1645.1462105985909</v>
      </c>
      <c r="Y158" s="203">
        <f>Y$154*'BTX recycling rates'!AA65</f>
        <v>1662.6869356680122</v>
      </c>
      <c r="Z158" s="203">
        <f>Z$154*'BTX recycling rates'!AB65</f>
        <v>1656.4244873967493</v>
      </c>
      <c r="AA158" s="203">
        <f>AA$154*'BTX recycling rates'!AC65</f>
        <v>1639.567242154548</v>
      </c>
      <c r="AB158" s="203">
        <f>AB$154*'BTX recycling rates'!AD65</f>
        <v>1611.5817255881857</v>
      </c>
      <c r="AC158" s="203">
        <f>AC$154*'BTX recycling rates'!AE65</f>
        <v>1571.9681931821383</v>
      </c>
      <c r="AD158" s="203">
        <f>AD$154*'BTX recycling rates'!AF65</f>
        <v>1520.2642625909969</v>
      </c>
      <c r="AE158" s="203">
        <f>AE$154*'BTX recycling rates'!AG65</f>
        <v>1456.0485837482736</v>
      </c>
      <c r="AF158" s="203">
        <f>AF$154*'BTX recycling rates'!AH65</f>
        <v>1378.9445457838574</v>
      </c>
      <c r="AG158" s="203">
        <f>AG$154*'BTX recycling rates'!AI65</f>
        <v>1288.6240197920813</v>
      </c>
      <c r="AH158" s="217"/>
      <c r="AI158" s="124"/>
      <c r="AJ158" s="185"/>
      <c r="AL158" s="100"/>
      <c r="AM158" s="2"/>
      <c r="AN158" s="2"/>
      <c r="AO158" s="2"/>
      <c r="BC158" s="1"/>
      <c r="BD158" s="2"/>
      <c r="BE158" s="2"/>
      <c r="BF158" s="2"/>
      <c r="BG158" s="2"/>
      <c r="BH158" s="2"/>
      <c r="BI158" s="2"/>
      <c r="BJ158" s="2"/>
      <c r="BK158" s="2"/>
    </row>
    <row r="159" spans="1:63" s="1" customFormat="1" outlineLevel="1">
      <c r="A159" s="1" t="s">
        <v>1047</v>
      </c>
      <c r="B159" s="60"/>
      <c r="C159" s="250">
        <f t="shared" ref="C159:AG159" si="69">C154-$C154</f>
        <v>0</v>
      </c>
      <c r="D159" s="250">
        <f t="shared" si="69"/>
        <v>109.65227272380366</v>
      </c>
      <c r="E159" s="250">
        <f t="shared" si="69"/>
        <v>218.24630708729387</v>
      </c>
      <c r="F159" s="250">
        <f t="shared" si="69"/>
        <v>325.20012294008052</v>
      </c>
      <c r="G159" s="250">
        <f t="shared" si="69"/>
        <v>429.93690538627334</v>
      </c>
      <c r="H159" s="250">
        <f t="shared" si="69"/>
        <v>531.88497623396006</v>
      </c>
      <c r="I159" s="250">
        <f t="shared" si="69"/>
        <v>630.47776557083353</v>
      </c>
      <c r="J159" s="250">
        <f t="shared" si="69"/>
        <v>725.15378346546777</v>
      </c>
      <c r="K159" s="250">
        <f t="shared" si="69"/>
        <v>815.35659179377535</v>
      </c>
      <c r="L159" s="250">
        <f t="shared" si="69"/>
        <v>900.53477619015121</v>
      </c>
      <c r="M159" s="250">
        <f t="shared" si="69"/>
        <v>980.14191812281797</v>
      </c>
      <c r="N159" s="250">
        <f t="shared" si="69"/>
        <v>1021.9793865328616</v>
      </c>
      <c r="O159" s="250">
        <f t="shared" si="69"/>
        <v>1057.9602092924583</v>
      </c>
      <c r="P159" s="250">
        <f t="shared" si="69"/>
        <v>1079.8766769367462</v>
      </c>
      <c r="Q159" s="250">
        <f t="shared" si="69"/>
        <v>1095.0353442540882</v>
      </c>
      <c r="R159" s="250">
        <f t="shared" si="69"/>
        <v>1103.164286259685</v>
      </c>
      <c r="S159" s="250">
        <f t="shared" si="69"/>
        <v>1104.0003330658596</v>
      </c>
      <c r="T159" s="250">
        <f t="shared" si="69"/>
        <v>1097.2890698601632</v>
      </c>
      <c r="U159" s="250">
        <f t="shared" si="69"/>
        <v>1082.784836304686</v>
      </c>
      <c r="V159" s="250">
        <f t="shared" si="69"/>
        <v>1060.2507253624294</v>
      </c>
      <c r="W159" s="250">
        <f t="shared" si="69"/>
        <v>1029.4585815566184</v>
      </c>
      <c r="X159" s="250">
        <f t="shared" si="69"/>
        <v>1016.831643692853</v>
      </c>
      <c r="Y159" s="250">
        <f t="shared" si="69"/>
        <v>993.21407821870298</v>
      </c>
      <c r="Z159" s="250">
        <f t="shared" si="69"/>
        <v>939.58277686944712</v>
      </c>
      <c r="AA159" s="250">
        <f t="shared" si="69"/>
        <v>874.60072452135364</v>
      </c>
      <c r="AB159" s="250">
        <f t="shared" si="69"/>
        <v>798.27401013211079</v>
      </c>
      <c r="AC159" s="250">
        <f t="shared" si="69"/>
        <v>710.64960522975616</v>
      </c>
      <c r="AD159" s="250">
        <f t="shared" si="69"/>
        <v>611.81584584654593</v>
      </c>
      <c r="AE159" s="250">
        <f t="shared" si="69"/>
        <v>501.90290508358839</v>
      </c>
      <c r="AF159" s="250">
        <f t="shared" si="69"/>
        <v>381.08325638632255</v>
      </c>
      <c r="AG159" s="250">
        <f t="shared" si="69"/>
        <v>249.5721276104332</v>
      </c>
      <c r="AH159" s="217"/>
      <c r="AI159" s="368"/>
      <c r="AJ159" s="369"/>
      <c r="AL159" s="194"/>
      <c r="AM159" s="116"/>
      <c r="AN159" s="116"/>
      <c r="AO159" s="116"/>
      <c r="BD159" s="116"/>
      <c r="BE159" s="116"/>
      <c r="BF159" s="116"/>
      <c r="BG159" s="116"/>
      <c r="BH159" s="116"/>
      <c r="BI159" s="116"/>
      <c r="BJ159" s="116"/>
      <c r="BK159" s="116"/>
    </row>
    <row r="160" spans="1:63" outlineLevel="1">
      <c r="A160" s="4" t="s">
        <v>35</v>
      </c>
      <c r="C160" s="203">
        <f t="shared" ref="C160:AG160" si="70">C155-$C155</f>
        <v>0</v>
      </c>
      <c r="D160" s="203">
        <f t="shared" si="70"/>
        <v>0</v>
      </c>
      <c r="E160" s="203">
        <f t="shared" si="70"/>
        <v>0</v>
      </c>
      <c r="F160" s="203">
        <f t="shared" si="70"/>
        <v>0</v>
      </c>
      <c r="G160" s="203">
        <f t="shared" si="70"/>
        <v>0</v>
      </c>
      <c r="H160" s="203">
        <f t="shared" si="70"/>
        <v>0</v>
      </c>
      <c r="I160" s="203">
        <f t="shared" si="70"/>
        <v>0</v>
      </c>
      <c r="J160" s="203">
        <f t="shared" si="70"/>
        <v>0</v>
      </c>
      <c r="K160" s="203">
        <f t="shared" si="70"/>
        <v>0</v>
      </c>
      <c r="L160" s="203">
        <f t="shared" si="70"/>
        <v>0</v>
      </c>
      <c r="M160" s="203">
        <f t="shared" si="70"/>
        <v>0</v>
      </c>
      <c r="N160" s="203">
        <f t="shared" si="70"/>
        <v>0</v>
      </c>
      <c r="O160" s="203">
        <f t="shared" si="70"/>
        <v>0</v>
      </c>
      <c r="P160" s="203">
        <f t="shared" si="70"/>
        <v>0</v>
      </c>
      <c r="Q160" s="203">
        <f t="shared" si="70"/>
        <v>0</v>
      </c>
      <c r="R160" s="203">
        <f t="shared" si="70"/>
        <v>0</v>
      </c>
      <c r="S160" s="203">
        <f t="shared" si="70"/>
        <v>0</v>
      </c>
      <c r="T160" s="203">
        <f t="shared" si="70"/>
        <v>0</v>
      </c>
      <c r="U160" s="203">
        <f t="shared" si="70"/>
        <v>0</v>
      </c>
      <c r="V160" s="203">
        <f t="shared" si="70"/>
        <v>0</v>
      </c>
      <c r="W160" s="203">
        <f t="shared" si="70"/>
        <v>0</v>
      </c>
      <c r="X160" s="203">
        <f t="shared" si="70"/>
        <v>0</v>
      </c>
      <c r="Y160" s="203">
        <f t="shared" si="70"/>
        <v>0</v>
      </c>
      <c r="Z160" s="203">
        <f t="shared" si="70"/>
        <v>0</v>
      </c>
      <c r="AA160" s="203">
        <f t="shared" si="70"/>
        <v>0</v>
      </c>
      <c r="AB160" s="203">
        <f t="shared" si="70"/>
        <v>0</v>
      </c>
      <c r="AC160" s="203">
        <f t="shared" si="70"/>
        <v>0</v>
      </c>
      <c r="AD160" s="203">
        <f t="shared" si="70"/>
        <v>0</v>
      </c>
      <c r="AE160" s="203">
        <f t="shared" si="70"/>
        <v>0</v>
      </c>
      <c r="AF160" s="203">
        <f t="shared" si="70"/>
        <v>0</v>
      </c>
      <c r="AG160" s="203">
        <f t="shared" si="70"/>
        <v>0</v>
      </c>
      <c r="AH160" s="217"/>
      <c r="AI160" s="124"/>
      <c r="AJ160" s="185"/>
      <c r="AL160" s="100"/>
      <c r="AM160" s="2"/>
      <c r="AN160" s="2"/>
      <c r="AO160" s="2"/>
      <c r="BC160" s="1"/>
      <c r="BD160" s="2"/>
      <c r="BE160" s="2"/>
      <c r="BF160" s="2"/>
      <c r="BG160" s="2"/>
      <c r="BH160" s="2"/>
      <c r="BI160" s="2"/>
      <c r="BJ160" s="2"/>
      <c r="BK160" s="2"/>
    </row>
    <row r="161" spans="1:63" outlineLevel="1">
      <c r="A161" s="4" t="s">
        <v>74</v>
      </c>
      <c r="C161" s="203">
        <f t="shared" ref="C161:AG163" si="71">C156-$C156</f>
        <v>0</v>
      </c>
      <c r="D161" s="203">
        <f t="shared" si="71"/>
        <v>38.965163688233815</v>
      </c>
      <c r="E161" s="203">
        <f t="shared" si="71"/>
        <v>72.989628362768372</v>
      </c>
      <c r="F161" s="203">
        <f t="shared" si="71"/>
        <v>101.82453335683329</v>
      </c>
      <c r="G161" s="203">
        <f t="shared" si="71"/>
        <v>125.26988643700315</v>
      </c>
      <c r="H161" s="203">
        <f t="shared" si="71"/>
        <v>143.17403705440131</v>
      </c>
      <c r="I161" s="203">
        <f t="shared" si="71"/>
        <v>155.4331530559009</v>
      </c>
      <c r="J161" s="203">
        <f t="shared" si="71"/>
        <v>161.99070083757101</v>
      </c>
      <c r="K161" s="203">
        <f t="shared" si="71"/>
        <v>162.83692892270699</v>
      </c>
      <c r="L161" s="203">
        <f t="shared" si="71"/>
        <v>158.00835494684543</v>
      </c>
      <c r="M161" s="203">
        <f t="shared" si="71"/>
        <v>147.58725603225082</v>
      </c>
      <c r="N161" s="203">
        <f t="shared" si="71"/>
        <v>119.76326391103453</v>
      </c>
      <c r="O161" s="203">
        <f t="shared" si="71"/>
        <v>88.186250017504108</v>
      </c>
      <c r="P161" s="203">
        <f t="shared" si="71"/>
        <v>50.435611891557301</v>
      </c>
      <c r="Q161" s="203">
        <f t="shared" si="71"/>
        <v>9.6690186102574671</v>
      </c>
      <c r="R161" s="203">
        <f t="shared" si="71"/>
        <v>-33.792111748967841</v>
      </c>
      <c r="S161" s="203">
        <f t="shared" si="71"/>
        <v>-79.602340456957108</v>
      </c>
      <c r="T161" s="203">
        <f t="shared" si="71"/>
        <v>-127.39307696489561</v>
      </c>
      <c r="U161" s="203">
        <f t="shared" si="71"/>
        <v>-176.77344787163975</v>
      </c>
      <c r="V161" s="203">
        <f t="shared" si="71"/>
        <v>-227.33116594459307</v>
      </c>
      <c r="W161" s="203">
        <f t="shared" si="71"/>
        <v>-278.6333991133684</v>
      </c>
      <c r="X161" s="203">
        <f t="shared" si="71"/>
        <v>-325.46857146661637</v>
      </c>
      <c r="Y161" s="203">
        <f t="shared" si="71"/>
        <v>-373.54759860921109</v>
      </c>
      <c r="Z161" s="203">
        <f t="shared" si="71"/>
        <v>-424.85898187746488</v>
      </c>
      <c r="AA161" s="203">
        <f t="shared" si="71"/>
        <v>-475.39318154698378</v>
      </c>
      <c r="AB161" s="203">
        <f t="shared" si="71"/>
        <v>-524.47374712737951</v>
      </c>
      <c r="AC161" s="203">
        <f t="shared" si="71"/>
        <v>-571.42146588725836</v>
      </c>
      <c r="AD161" s="203">
        <f t="shared" si="71"/>
        <v>-615.55839120788869</v>
      </c>
      <c r="AE161" s="203">
        <f t="shared" si="71"/>
        <v>-656.21192869937386</v>
      </c>
      <c r="AF161" s="203">
        <f t="shared" si="71"/>
        <v>-692.71897877606375</v>
      </c>
      <c r="AG161" s="203">
        <f t="shared" si="71"/>
        <v>-724.43013440064817</v>
      </c>
      <c r="AH161" s="217"/>
      <c r="AI161" s="124"/>
      <c r="AJ161" s="185"/>
      <c r="AL161" s="100"/>
      <c r="AM161" s="2"/>
      <c r="AN161" s="2"/>
      <c r="AO161" s="2"/>
      <c r="BC161" s="1"/>
      <c r="BD161" s="2"/>
      <c r="BE161" s="2"/>
      <c r="BF161" s="2"/>
      <c r="BG161" s="2"/>
      <c r="BH161" s="2"/>
      <c r="BI161" s="2"/>
      <c r="BJ161" s="2"/>
      <c r="BK161" s="2"/>
    </row>
    <row r="162" spans="1:63" outlineLevel="1">
      <c r="A162" s="4" t="s">
        <v>160</v>
      </c>
      <c r="C162" s="203">
        <f t="shared" si="71"/>
        <v>0</v>
      </c>
      <c r="D162" s="203">
        <f t="shared" si="71"/>
        <v>5.3556493549479089</v>
      </c>
      <c r="E162" s="203">
        <f t="shared" si="71"/>
        <v>11.588296841565572</v>
      </c>
      <c r="F162" s="203">
        <f t="shared" si="71"/>
        <v>18.678073017974597</v>
      </c>
      <c r="G162" s="203">
        <f t="shared" si="71"/>
        <v>26.595791805540614</v>
      </c>
      <c r="H162" s="203">
        <f t="shared" si="71"/>
        <v>35.303054198064537</v>
      </c>
      <c r="I162" s="203">
        <f t="shared" si="71"/>
        <v>44.75235128231386</v>
      </c>
      <c r="J162" s="203">
        <f t="shared" si="71"/>
        <v>54.887166573445462</v>
      </c>
      <c r="K162" s="203">
        <f t="shared" si="71"/>
        <v>65.642077668856558</v>
      </c>
      <c r="L162" s="203">
        <f t="shared" si="71"/>
        <v>76.942857223983964</v>
      </c>
      <c r="M162" s="203">
        <f t="shared" si="71"/>
        <v>88.70657325355657</v>
      </c>
      <c r="N162" s="203">
        <f t="shared" si="71"/>
        <v>99.435551803872173</v>
      </c>
      <c r="O162" s="203">
        <f t="shared" si="71"/>
        <v>110.2186196778239</v>
      </c>
      <c r="P162" s="203">
        <f t="shared" si="71"/>
        <v>120.55397814044291</v>
      </c>
      <c r="Q162" s="203">
        <f t="shared" si="71"/>
        <v>130.68430373196392</v>
      </c>
      <c r="R162" s="203">
        <f t="shared" si="71"/>
        <v>140.5112627802736</v>
      </c>
      <c r="S162" s="203">
        <f t="shared" si="71"/>
        <v>149.93269516202542</v>
      </c>
      <c r="T162" s="203">
        <f t="shared" si="71"/>
        <v>158.84279106507856</v>
      </c>
      <c r="U162" s="203">
        <f t="shared" si="71"/>
        <v>167.13226770833708</v>
      </c>
      <c r="V162" s="203">
        <f t="shared" si="71"/>
        <v>174.68854600307949</v>
      </c>
      <c r="W162" s="203">
        <f t="shared" si="71"/>
        <v>181.39592714005838</v>
      </c>
      <c r="X162" s="203">
        <f t="shared" si="71"/>
        <v>189.39499332029359</v>
      </c>
      <c r="Y162" s="203">
        <f t="shared" si="71"/>
        <v>196.31572991931711</v>
      </c>
      <c r="Z162" s="203">
        <f t="shared" si="71"/>
        <v>200.25826010957798</v>
      </c>
      <c r="AA162" s="203">
        <f t="shared" si="71"/>
        <v>202.66765267320474</v>
      </c>
      <c r="AB162" s="203">
        <f t="shared" si="71"/>
        <v>203.40702043072</v>
      </c>
      <c r="AC162" s="203">
        <f t="shared" si="71"/>
        <v>202.34386669429179</v>
      </c>
      <c r="AD162" s="203">
        <f t="shared" si="71"/>
        <v>199.35096322285321</v>
      </c>
      <c r="AE162" s="203">
        <f t="shared" si="71"/>
        <v>194.30723879410419</v>
      </c>
      <c r="AF162" s="203">
        <f t="shared" si="71"/>
        <v>187.09867813794457</v>
      </c>
      <c r="AG162" s="203">
        <f t="shared" si="71"/>
        <v>177.61923097841481</v>
      </c>
      <c r="AH162" s="217"/>
      <c r="AI162" s="124"/>
      <c r="AJ162" s="185"/>
      <c r="AL162" s="100"/>
      <c r="AM162" s="2"/>
      <c r="AN162" s="2"/>
      <c r="AO162" s="2"/>
      <c r="BC162" s="1"/>
      <c r="BD162" s="2"/>
      <c r="BE162" s="2"/>
      <c r="BF162" s="2"/>
      <c r="BG162" s="2"/>
      <c r="BH162" s="2"/>
      <c r="BI162" s="2"/>
      <c r="BJ162" s="2"/>
      <c r="BK162" s="2"/>
    </row>
    <row r="163" spans="1:63" outlineLevel="1">
      <c r="A163" s="4" t="s">
        <v>1040</v>
      </c>
      <c r="C163" s="203">
        <f t="shared" si="71"/>
        <v>0</v>
      </c>
      <c r="D163" s="203">
        <f t="shared" si="71"/>
        <v>65.331459680621947</v>
      </c>
      <c r="E163" s="203">
        <f t="shared" si="71"/>
        <v>133.66838188295981</v>
      </c>
      <c r="F163" s="203">
        <f t="shared" si="71"/>
        <v>204.69751656527251</v>
      </c>
      <c r="G163" s="203">
        <f t="shared" si="71"/>
        <v>278.0712271437294</v>
      </c>
      <c r="H163" s="203">
        <f t="shared" si="71"/>
        <v>353.40788498149391</v>
      </c>
      <c r="I163" s="203">
        <f t="shared" si="71"/>
        <v>430.29226123261844</v>
      </c>
      <c r="J163" s="203">
        <f t="shared" si="71"/>
        <v>508.27591605445093</v>
      </c>
      <c r="K163" s="203">
        <f t="shared" si="71"/>
        <v>586.87758520221143</v>
      </c>
      <c r="L163" s="203">
        <f t="shared" si="71"/>
        <v>665.58356401932144</v>
      </c>
      <c r="M163" s="203">
        <f t="shared" si="71"/>
        <v>743.84808883701032</v>
      </c>
      <c r="N163" s="203">
        <f t="shared" si="71"/>
        <v>802.78057081795453</v>
      </c>
      <c r="O163" s="203">
        <f t="shared" si="71"/>
        <v>859.55533959713</v>
      </c>
      <c r="P163" s="203">
        <f t="shared" si="71"/>
        <v>908.88708690474584</v>
      </c>
      <c r="Q163" s="203">
        <f t="shared" si="71"/>
        <v>954.68202191186663</v>
      </c>
      <c r="R163" s="203">
        <f t="shared" si="71"/>
        <v>996.44513522837917</v>
      </c>
      <c r="S163" s="203">
        <f t="shared" si="71"/>
        <v>1033.6699783607914</v>
      </c>
      <c r="T163" s="203">
        <f t="shared" si="71"/>
        <v>1065.8393557599802</v>
      </c>
      <c r="U163" s="203">
        <f t="shared" si="71"/>
        <v>1092.4260164679886</v>
      </c>
      <c r="V163" s="203">
        <f t="shared" si="71"/>
        <v>1112.8933453039431</v>
      </c>
      <c r="W163" s="203">
        <f t="shared" si="71"/>
        <v>1126.6960535299286</v>
      </c>
      <c r="X163" s="203">
        <f t="shared" si="71"/>
        <v>1152.9052218391762</v>
      </c>
      <c r="Y163" s="203">
        <f t="shared" si="71"/>
        <v>1170.4459469085973</v>
      </c>
      <c r="Z163" s="203">
        <f t="shared" si="71"/>
        <v>1164.1834986373347</v>
      </c>
      <c r="AA163" s="203">
        <f t="shared" si="71"/>
        <v>1147.3262533951333</v>
      </c>
      <c r="AB163" s="203">
        <f t="shared" si="71"/>
        <v>1119.3407368287708</v>
      </c>
      <c r="AC163" s="203">
        <f t="shared" si="71"/>
        <v>1079.7272044227234</v>
      </c>
      <c r="AD163" s="203">
        <f t="shared" si="71"/>
        <v>1028.0232738315822</v>
      </c>
      <c r="AE163" s="203">
        <f t="shared" si="71"/>
        <v>963.8075949888588</v>
      </c>
      <c r="AF163" s="203">
        <f t="shared" si="71"/>
        <v>886.7035570244426</v>
      </c>
      <c r="AG163" s="203">
        <f t="shared" si="71"/>
        <v>796.38303103266651</v>
      </c>
      <c r="AH163" s="217"/>
      <c r="AI163" s="124"/>
      <c r="AJ163" s="185"/>
      <c r="AL163" s="100"/>
      <c r="AM163" s="2"/>
      <c r="AN163" s="2"/>
      <c r="AO163" s="2"/>
      <c r="BC163" s="1"/>
      <c r="BD163" s="2"/>
      <c r="BE163" s="2"/>
      <c r="BF163" s="2"/>
      <c r="BG163" s="2"/>
      <c r="BH163" s="2"/>
      <c r="BI163" s="2"/>
      <c r="BJ163" s="2"/>
      <c r="BK163" s="2"/>
    </row>
    <row r="164" spans="1:63" s="1" customFormat="1" outlineLevel="1">
      <c r="A164" s="1" t="s">
        <v>1048</v>
      </c>
      <c r="B164" s="60"/>
      <c r="C164" s="250">
        <f>'BTX Recycling HC'!C164</f>
        <v>280.77025919078375</v>
      </c>
      <c r="D164" s="250">
        <f>'BTX Recycling HC'!D164</f>
        <v>306.07462981935379</v>
      </c>
      <c r="E164" s="250">
        <f>'BTX Recycling HC'!E164</f>
        <v>331.13479159554379</v>
      </c>
      <c r="F164" s="250">
        <f>'BTX Recycling HC'!F164</f>
        <v>355.81644140772539</v>
      </c>
      <c r="G164" s="250">
        <f>'BTX Recycling HC'!G164</f>
        <v>379.98646812607751</v>
      </c>
      <c r="H164" s="250">
        <f>'BTX Recycling HC'!H164</f>
        <v>403.51294601400531</v>
      </c>
      <c r="I164" s="250">
        <f>'BTX Recycling HC'!I164</f>
        <v>426.26512816866841</v>
      </c>
      <c r="J164" s="250">
        <f>'BTX Recycling HC'!J164</f>
        <v>448.11343999050706</v>
      </c>
      <c r="K164" s="250">
        <f>'BTX Recycling HC'!K164</f>
        <v>468.929472681655</v>
      </c>
      <c r="L164" s="250">
        <f>'BTX Recycling HC'!L164</f>
        <v>488.58597677312633</v>
      </c>
      <c r="M164" s="250">
        <f>'BTX Recycling HC'!M164</f>
        <v>506.95685568066477</v>
      </c>
      <c r="N164" s="250">
        <f>'BTX Recycling HC'!N164</f>
        <v>516.61165608298268</v>
      </c>
      <c r="O164" s="250">
        <f>'BTX Recycling HC'!O164</f>
        <v>524.91492287365884</v>
      </c>
      <c r="P164" s="250">
        <f>'BTX Recycling HC'!P164</f>
        <v>529.97256925310978</v>
      </c>
      <c r="Q164" s="250">
        <f>'BTX Recycling HC'!Q164</f>
        <v>533.47072324941939</v>
      </c>
      <c r="R164" s="250">
        <f>'BTX Recycling HC'!R164</f>
        <v>535.34663294301868</v>
      </c>
      <c r="S164" s="250">
        <f>'BTX Recycling HC'!S164</f>
        <v>535.53956682136652</v>
      </c>
      <c r="T164" s="250">
        <f>'BTX Recycling HC'!T164</f>
        <v>533.99081377389837</v>
      </c>
      <c r="U164" s="250">
        <f>'BTX Recycling HC'!U164</f>
        <v>530.64368295340364</v>
      </c>
      <c r="V164" s="250">
        <f>'BTX Recycling HC'!V164</f>
        <v>525.44350350519051</v>
      </c>
      <c r="W164" s="250">
        <f>'BTX Recycling HC'!W164</f>
        <v>518.33762416538798</v>
      </c>
      <c r="X164" s="250">
        <f>'BTX Recycling HC'!X164</f>
        <v>515.42371542759599</v>
      </c>
      <c r="Y164" s="250">
        <f>'BTX Recycling HC'!Y164</f>
        <v>509.97350801048441</v>
      </c>
      <c r="Z164" s="250">
        <f>'BTX Recycling HC'!Z164</f>
        <v>497.59705385296388</v>
      </c>
      <c r="AA164" s="250">
        <f>'BTX Recycling HC'!AA164</f>
        <v>482.60119561878849</v>
      </c>
      <c r="AB164" s="250">
        <f>'BTX Recycling HC'!AB164</f>
        <v>464.98733845204004</v>
      </c>
      <c r="AC164" s="250">
        <f>'BTX Recycling HC'!AC164</f>
        <v>444.76632193611215</v>
      </c>
      <c r="AD164" s="250">
        <f>'BTX Recycling HC'!AD164</f>
        <v>421.95853130921739</v>
      </c>
      <c r="AE164" s="250">
        <f>'BTX Recycling HC'!AE164</f>
        <v>396.59400651776565</v>
      </c>
      <c r="AF164" s="250">
        <f>'BTX Recycling HC'!AF164</f>
        <v>368.7125491260889</v>
      </c>
      <c r="AG164" s="250">
        <f>'BTX Recycling HC'!AG164</f>
        <v>338.36382710088373</v>
      </c>
      <c r="AH164" s="217"/>
      <c r="AI164" s="368"/>
      <c r="AJ164" s="369"/>
      <c r="AL164" s="194"/>
      <c r="AM164" s="116"/>
      <c r="AN164" s="116"/>
      <c r="AO164" s="116"/>
      <c r="BD164" s="116"/>
      <c r="BE164" s="116"/>
      <c r="BF164" s="116"/>
      <c r="BG164" s="116"/>
      <c r="BH164" s="116"/>
      <c r="BI164" s="116"/>
      <c r="BJ164" s="116"/>
      <c r="BK164" s="116"/>
    </row>
    <row r="165" spans="1:63" outlineLevel="1">
      <c r="A165" s="4" t="s">
        <v>35</v>
      </c>
      <c r="C165" s="203">
        <f>C$164*'BTX recycling rates'!E66</f>
        <v>0</v>
      </c>
      <c r="D165" s="203">
        <f>D$164*'BTX recycling rates'!F66</f>
        <v>0</v>
      </c>
      <c r="E165" s="203">
        <f>E$164*'BTX recycling rates'!G66</f>
        <v>0</v>
      </c>
      <c r="F165" s="203">
        <f>F$164*'BTX recycling rates'!H66</f>
        <v>0</v>
      </c>
      <c r="G165" s="203">
        <f>G$164*'BTX recycling rates'!I66</f>
        <v>0</v>
      </c>
      <c r="H165" s="203">
        <f>H$164*'BTX recycling rates'!J66</f>
        <v>0</v>
      </c>
      <c r="I165" s="203">
        <f>I$164*'BTX recycling rates'!K66</f>
        <v>0</v>
      </c>
      <c r="J165" s="203">
        <f>J$164*'BTX recycling rates'!L66</f>
        <v>0</v>
      </c>
      <c r="K165" s="203">
        <f>K$164*'BTX recycling rates'!M66</f>
        <v>0</v>
      </c>
      <c r="L165" s="203">
        <f>L$164*'BTX recycling rates'!N66</f>
        <v>0</v>
      </c>
      <c r="M165" s="203">
        <f>M$164*'BTX recycling rates'!O66</f>
        <v>0</v>
      </c>
      <c r="N165" s="203">
        <f>N$164*'BTX recycling rates'!P66</f>
        <v>0</v>
      </c>
      <c r="O165" s="203">
        <f>O$164*'BTX recycling rates'!Q66</f>
        <v>0</v>
      </c>
      <c r="P165" s="203">
        <f>P$164*'BTX recycling rates'!R66</f>
        <v>0</v>
      </c>
      <c r="Q165" s="203">
        <f>Q$164*'BTX recycling rates'!S66</f>
        <v>0</v>
      </c>
      <c r="R165" s="203">
        <f>R$164*'BTX recycling rates'!T66</f>
        <v>0</v>
      </c>
      <c r="S165" s="203">
        <f>S$164*'BTX recycling rates'!U66</f>
        <v>0</v>
      </c>
      <c r="T165" s="203">
        <f>T$164*'BTX recycling rates'!V66</f>
        <v>0</v>
      </c>
      <c r="U165" s="203">
        <f>U$164*'BTX recycling rates'!W66</f>
        <v>0</v>
      </c>
      <c r="V165" s="203">
        <f>V$164*'BTX recycling rates'!X66</f>
        <v>0</v>
      </c>
      <c r="W165" s="203">
        <f>W$164*'BTX recycling rates'!Y66</f>
        <v>0</v>
      </c>
      <c r="X165" s="203">
        <f>X$164*'BTX recycling rates'!Z66</f>
        <v>0</v>
      </c>
      <c r="Y165" s="203">
        <f>Y$164*'BTX recycling rates'!AA66</f>
        <v>0</v>
      </c>
      <c r="Z165" s="203">
        <f>Z$164*'BTX recycling rates'!AB66</f>
        <v>0</v>
      </c>
      <c r="AA165" s="203">
        <f>AA$164*'BTX recycling rates'!AC66</f>
        <v>0</v>
      </c>
      <c r="AB165" s="203">
        <f>AB$164*'BTX recycling rates'!AD66</f>
        <v>0</v>
      </c>
      <c r="AC165" s="203">
        <f>AC$164*'BTX recycling rates'!AE66</f>
        <v>0</v>
      </c>
      <c r="AD165" s="203">
        <f>AD$164*'BTX recycling rates'!AF66</f>
        <v>0</v>
      </c>
      <c r="AE165" s="203">
        <f>AE$164*'BTX recycling rates'!AG66</f>
        <v>0</v>
      </c>
      <c r="AF165" s="203">
        <f>AF$164*'BTX recycling rates'!AH66</f>
        <v>0</v>
      </c>
      <c r="AG165" s="203">
        <f>AG$164*'BTX recycling rates'!AI66</f>
        <v>0</v>
      </c>
      <c r="AH165" s="217"/>
      <c r="AI165" s="124"/>
      <c r="AJ165" s="185"/>
      <c r="AL165" s="100"/>
      <c r="AM165" s="2"/>
      <c r="AN165" s="2"/>
      <c r="AO165" s="2"/>
      <c r="BC165" s="1"/>
      <c r="BD165" s="2"/>
      <c r="BE165" s="2"/>
      <c r="BF165" s="2"/>
      <c r="BG165" s="2"/>
      <c r="BH165" s="2"/>
      <c r="BI165" s="2"/>
      <c r="BJ165" s="2"/>
      <c r="BK165" s="2"/>
    </row>
    <row r="166" spans="1:63" outlineLevel="1">
      <c r="A166" s="4" t="s">
        <v>74</v>
      </c>
      <c r="C166" s="203">
        <f>C$164*'BTX recycling rates'!E67</f>
        <v>167.17618486168803</v>
      </c>
      <c r="D166" s="203">
        <f>D$164*'BTX recycling rates'!F67</f>
        <v>176.1681457128189</v>
      </c>
      <c r="E166" s="203">
        <f>E$164*'BTX recycling rates'!G67</f>
        <v>184.01994525309607</v>
      </c>
      <c r="F166" s="203">
        <f>F$164*'BTX recycling rates'!H67</f>
        <v>190.67415409788032</v>
      </c>
      <c r="G166" s="203">
        <f>G$164*'BTX recycling rates'!I67</f>
        <v>196.08462019330409</v>
      </c>
      <c r="H166" s="203">
        <f>H$164*'BTX recycling rates'!J67</f>
        <v>200.21634725885758</v>
      </c>
      <c r="I166" s="203">
        <f>I$164*'BTX recycling rates'!K67</f>
        <v>203.0453740284344</v>
      </c>
      <c r="J166" s="203">
        <f>J$164*'BTX recycling rates'!L67</f>
        <v>204.55865428574288</v>
      </c>
      <c r="K166" s="203">
        <f>K$164*'BTX recycling rates'!M67</f>
        <v>204.75393769000505</v>
      </c>
      <c r="L166" s="203">
        <f>L$164*'BTX recycling rates'!N67</f>
        <v>203.63965138788313</v>
      </c>
      <c r="M166" s="203">
        <f>M$164*'BTX recycling rates'!O67</f>
        <v>201.23478240759206</v>
      </c>
      <c r="N166" s="203">
        <f>N$164*'BTX recycling rates'!P67</f>
        <v>194.8138611488499</v>
      </c>
      <c r="O166" s="203">
        <f>O$164*'BTX recycling rates'!Q67</f>
        <v>187.52685794265057</v>
      </c>
      <c r="P166" s="203">
        <f>P$164*'BTX recycling rates'!R67</f>
        <v>178.81517222127817</v>
      </c>
      <c r="Q166" s="203">
        <f>Q$164*'BTX recycling rates'!S67</f>
        <v>169.40749684867049</v>
      </c>
      <c r="R166" s="203">
        <f>R$164*'BTX recycling rates'!T67</f>
        <v>159.37800522731081</v>
      </c>
      <c r="S166" s="203">
        <f>S$164*'BTX recycling rates'!U67</f>
        <v>148.80641398700556</v>
      </c>
      <c r="T166" s="203">
        <f>T$164*'BTX recycling rates'!V67</f>
        <v>137.77778248517367</v>
      </c>
      <c r="U166" s="203">
        <f>U$164*'BTX recycling rates'!W67</f>
        <v>126.38231227592503</v>
      </c>
      <c r="V166" s="203">
        <f>V$164*'BTX recycling rates'!X67</f>
        <v>114.71514656678194</v>
      </c>
      <c r="W166" s="203">
        <f>W$164*'BTX recycling rates'!Y67</f>
        <v>102.87616968167994</v>
      </c>
      <c r="X166" s="203">
        <f>X$164*'BTX recycling rates'!Z67</f>
        <v>92.068052984776571</v>
      </c>
      <c r="Y166" s="203">
        <f>Y$164*'BTX recycling rates'!AA67</f>
        <v>80.972892874947021</v>
      </c>
      <c r="Z166" s="203">
        <f>Z$164*'BTX recycling rates'!AB67</f>
        <v>69.131804428426918</v>
      </c>
      <c r="AA166" s="203">
        <f>AA$164*'BTX recycling rates'!AC67</f>
        <v>57.470066043153317</v>
      </c>
      <c r="AB166" s="203">
        <f>AB$164*'BTX recycling rates'!AD67</f>
        <v>46.143781678446601</v>
      </c>
      <c r="AC166" s="203">
        <f>AC$164*'BTX recycling rates'!AE67</f>
        <v>35.309692733859173</v>
      </c>
      <c r="AD166" s="203">
        <f>AD$164*'BTX recycling rates'!AF67</f>
        <v>25.124248429098337</v>
      </c>
      <c r="AE166" s="203">
        <f>AE$164*'BTX recycling rates'!AG67</f>
        <v>15.742662854140219</v>
      </c>
      <c r="AF166" s="203">
        <f>AF$164*'BTX recycling rates'!AH67</f>
        <v>7.3179589902886981</v>
      </c>
      <c r="AG166" s="203">
        <f>AG$164*'BTX recycling rates'!AI67</f>
        <v>0</v>
      </c>
      <c r="AH166" s="217"/>
      <c r="AI166" s="124"/>
      <c r="AJ166" s="185"/>
      <c r="AL166" s="100"/>
      <c r="AM166" s="2"/>
      <c r="AN166" s="2"/>
      <c r="AO166" s="2"/>
      <c r="BC166" s="1"/>
      <c r="BD166" s="2"/>
      <c r="BE166" s="2"/>
      <c r="BF166" s="2"/>
      <c r="BG166" s="2"/>
      <c r="BH166" s="2"/>
      <c r="BI166" s="2"/>
      <c r="BJ166" s="2"/>
      <c r="BK166" s="2"/>
    </row>
    <row r="167" spans="1:63" outlineLevel="1">
      <c r="A167" s="4" t="s">
        <v>160</v>
      </c>
      <c r="C167" s="203">
        <f>C$164*'BTX recycling rates'!E68</f>
        <v>0</v>
      </c>
      <c r="D167" s="203">
        <f>D$164*'BTX recycling rates'!F68</f>
        <v>1.2359190819110557</v>
      </c>
      <c r="E167" s="203">
        <f>E$164*'BTX recycling rates'!G68</f>
        <v>2.6742223480535929</v>
      </c>
      <c r="F167" s="203">
        <f>F$164*'BTX recycling rates'!H68</f>
        <v>4.3103245426095214</v>
      </c>
      <c r="G167" s="203">
        <f>G$164*'BTX recycling rates'!I68</f>
        <v>6.1374904166632165</v>
      </c>
      <c r="H167" s="203">
        <f>H$164*'BTX recycling rates'!J68</f>
        <v>8.1468586610918177</v>
      </c>
      <c r="I167" s="203">
        <f>I$164*'BTX recycling rates'!K68</f>
        <v>10.327465680533967</v>
      </c>
      <c r="J167" s="203">
        <f>J$164*'BTX recycling rates'!L68</f>
        <v>12.666269209256646</v>
      </c>
      <c r="K167" s="203">
        <f>K$164*'BTX recycling rates'!M68</f>
        <v>15.14817176973613</v>
      </c>
      <c r="L167" s="203">
        <f>L$164*'BTX recycling rates'!N68</f>
        <v>17.756043974765532</v>
      </c>
      <c r="M167" s="203">
        <f>M$164*'BTX recycling rates'!O68</f>
        <v>20.470747673897669</v>
      </c>
      <c r="N167" s="203">
        <f>N$164*'BTX recycling rates'!P68</f>
        <v>22.946665800893584</v>
      </c>
      <c r="O167" s="203">
        <f>O$164*'BTX recycling rates'!Q68</f>
        <v>25.435066079497822</v>
      </c>
      <c r="P167" s="203">
        <f>P$164*'BTX recycling rates'!R68</f>
        <v>27.82014880164067</v>
      </c>
      <c r="Q167" s="203">
        <f>Q$164*'BTX recycling rates'!S68</f>
        <v>30.157916245837825</v>
      </c>
      <c r="R167" s="203">
        <f>R$164*'BTX recycling rates'!T68</f>
        <v>32.425676026216976</v>
      </c>
      <c r="S167" s="203">
        <f>S$164*'BTX recycling rates'!U68</f>
        <v>34.599852729698164</v>
      </c>
      <c r="T167" s="203">
        <f>T$164*'BTX recycling rates'!V68</f>
        <v>36.656028707325824</v>
      </c>
      <c r="U167" s="203">
        <f>U$164*'BTX recycling rates'!W68</f>
        <v>38.568984855770097</v>
      </c>
      <c r="V167" s="203">
        <f>V$164*'BTX recycling rates'!X68</f>
        <v>40.312741385326035</v>
      </c>
      <c r="W167" s="203">
        <f>W$164*'BTX recycling rates'!Y68</f>
        <v>41.860598570782699</v>
      </c>
      <c r="X167" s="203">
        <f>X$164*'BTX recycling rates'!Z68</f>
        <v>43.706536920067748</v>
      </c>
      <c r="Y167" s="203">
        <f>Y$164*'BTX recycling rates'!AA68</f>
        <v>45.303629981380865</v>
      </c>
      <c r="Z167" s="203">
        <f>Z$164*'BTX recycling rates'!AB68</f>
        <v>46.213444640671845</v>
      </c>
      <c r="AA167" s="203">
        <f>AA$164*'BTX recycling rates'!AC68</f>
        <v>46.769458309201099</v>
      </c>
      <c r="AB167" s="203">
        <f>AB$164*'BTX recycling rates'!AD68</f>
        <v>46.940081637858455</v>
      </c>
      <c r="AC167" s="203">
        <f>AC$164*'BTX recycling rates'!AE68</f>
        <v>46.694738467913496</v>
      </c>
      <c r="AD167" s="203">
        <f>AD$164*'BTX recycling rates'!AF68</f>
        <v>46.004068436043042</v>
      </c>
      <c r="AE167" s="203">
        <f>AE$164*'BTX recycling rates'!AG68</f>
        <v>44.840132029408657</v>
      </c>
      <c r="AF167" s="203">
        <f>AF$164*'BTX recycling rates'!AH68</f>
        <v>43.176618031833357</v>
      </c>
      <c r="AG167" s="203">
        <f>AG$164*'BTX recycling rates'!AI68</f>
        <v>40.989053302711106</v>
      </c>
      <c r="AH167" s="217"/>
      <c r="AI167" s="124"/>
      <c r="AJ167" s="185"/>
      <c r="AL167" s="100"/>
      <c r="AM167" s="2"/>
      <c r="AN167" s="2"/>
      <c r="AO167" s="2"/>
      <c r="BC167" s="1"/>
      <c r="BD167" s="2"/>
      <c r="BE167" s="2"/>
      <c r="BF167" s="2"/>
      <c r="BG167" s="2"/>
      <c r="BH167" s="2"/>
      <c r="BI167" s="2"/>
      <c r="BJ167" s="2"/>
      <c r="BK167" s="2"/>
    </row>
    <row r="168" spans="1:63" outlineLevel="1">
      <c r="A168" s="4" t="s">
        <v>1040</v>
      </c>
      <c r="C168" s="203">
        <f>C$164*'BTX recycling rates'!E69</f>
        <v>113.59407432909572</v>
      </c>
      <c r="D168" s="203">
        <f>D$164*'BTX recycling rates'!F69</f>
        <v>128.67056502462384</v>
      </c>
      <c r="E168" s="203">
        <f>E$164*'BTX recycling rates'!G69</f>
        <v>144.44062399439409</v>
      </c>
      <c r="F168" s="203">
        <f>F$164*'BTX recycling rates'!H69</f>
        <v>160.83196276723552</v>
      </c>
      <c r="G168" s="203">
        <f>G$164*'BTX recycling rates'!I69</f>
        <v>177.76435751611015</v>
      </c>
      <c r="H168" s="203">
        <f>H$164*'BTX recycling rates'!J69</f>
        <v>195.14974009405586</v>
      </c>
      <c r="I168" s="203">
        <f>I$164*'BTX recycling rates'!K69</f>
        <v>212.89228845969998</v>
      </c>
      <c r="J168" s="203">
        <f>J$164*'BTX recycling rates'!L69</f>
        <v>230.88851649550745</v>
      </c>
      <c r="K168" s="203">
        <f>K$164*'BTX recycling rates'!M69</f>
        <v>249.02736322191376</v>
      </c>
      <c r="L168" s="203">
        <f>L$164*'BTX recycling rates'!N69</f>
        <v>267.19028141047761</v>
      </c>
      <c r="M168" s="203">
        <f>M$164*'BTX recycling rates'!O69</f>
        <v>285.251325599175</v>
      </c>
      <c r="N168" s="203">
        <f>N$164*'BTX recycling rates'!P69</f>
        <v>298.85112913323917</v>
      </c>
      <c r="O168" s="203">
        <f>O$164*'BTX recycling rates'!Q69</f>
        <v>311.95299885151042</v>
      </c>
      <c r="P168" s="203">
        <f>P$164*'BTX recycling rates'!R69</f>
        <v>323.33724823019088</v>
      </c>
      <c r="Q168" s="203">
        <f>Q$164*'BTX recycling rates'!S69</f>
        <v>333.90531015491104</v>
      </c>
      <c r="R168" s="203">
        <f>R$164*'BTX recycling rates'!T69</f>
        <v>343.54295168949091</v>
      </c>
      <c r="S168" s="203">
        <f>S$164*'BTX recycling rates'!U69</f>
        <v>352.13330010466279</v>
      </c>
      <c r="T168" s="203">
        <f>T$164*'BTX recycling rates'!V69</f>
        <v>359.55700258139888</v>
      </c>
      <c r="U168" s="203">
        <f>U$164*'BTX recycling rates'!W69</f>
        <v>365.69238582170857</v>
      </c>
      <c r="V168" s="203">
        <f>V$164*'BTX recycling rates'!X69</f>
        <v>370.4156155530826</v>
      </c>
      <c r="W168" s="203">
        <f>W$164*'BTX recycling rates'!Y69</f>
        <v>373.6008559129254</v>
      </c>
      <c r="X168" s="203">
        <f>X$164*'BTX recycling rates'!Z69</f>
        <v>379.64912552275177</v>
      </c>
      <c r="Y168" s="203">
        <f>Y$164*'BTX recycling rates'!AA69</f>
        <v>383.69698515415661</v>
      </c>
      <c r="Z168" s="203">
        <f>Z$164*'BTX recycling rates'!AB69</f>
        <v>382.25180478386523</v>
      </c>
      <c r="AA168" s="203">
        <f>AA$164*'BTX recycling rates'!AC69</f>
        <v>378.3616712664342</v>
      </c>
      <c r="AB168" s="203">
        <f>AB$164*'BTX recycling rates'!AD69</f>
        <v>371.90347513573511</v>
      </c>
      <c r="AC168" s="203">
        <f>AC$164*'BTX recycling rates'!AE69</f>
        <v>362.7618907343396</v>
      </c>
      <c r="AD168" s="203">
        <f>AD$164*'BTX recycling rates'!AF69</f>
        <v>350.83021444407615</v>
      </c>
      <c r="AE168" s="203">
        <f>AE$164*'BTX recycling rates'!AG69</f>
        <v>336.01121163421692</v>
      </c>
      <c r="AF168" s="203">
        <f>AF$164*'BTX recycling rates'!AH69</f>
        <v>318.21797210396699</v>
      </c>
      <c r="AG168" s="203">
        <f>AG$164*'BTX recycling rates'!AI69</f>
        <v>297.37477379817261</v>
      </c>
      <c r="AH168" s="217"/>
      <c r="AI168" s="124"/>
      <c r="AJ168" s="185"/>
      <c r="AL168" s="100"/>
      <c r="AM168" s="2"/>
      <c r="AN168" s="2"/>
      <c r="AO168" s="2"/>
      <c r="BC168" s="1"/>
      <c r="BD168" s="2"/>
      <c r="BE168" s="2"/>
      <c r="BF168" s="2"/>
      <c r="BG168" s="2"/>
      <c r="BH168" s="2"/>
      <c r="BI168" s="2"/>
      <c r="BJ168" s="2"/>
      <c r="BK168" s="2"/>
    </row>
    <row r="169" spans="1:63" s="1" customFormat="1" outlineLevel="1">
      <c r="A169" s="1" t="s">
        <v>1049</v>
      </c>
      <c r="B169" s="60"/>
      <c r="C169" s="250">
        <f t="shared" ref="C169:AG169" si="72">C164-$C164</f>
        <v>0</v>
      </c>
      <c r="D169" s="250">
        <f t="shared" si="72"/>
        <v>25.304370628570041</v>
      </c>
      <c r="E169" s="250">
        <f t="shared" si="72"/>
        <v>50.364532404760041</v>
      </c>
      <c r="F169" s="250">
        <f t="shared" si="72"/>
        <v>75.046182216941645</v>
      </c>
      <c r="G169" s="250">
        <f t="shared" si="72"/>
        <v>99.216208935293764</v>
      </c>
      <c r="H169" s="250">
        <f t="shared" si="72"/>
        <v>122.74268682322156</v>
      </c>
      <c r="I169" s="250">
        <f t="shared" si="72"/>
        <v>145.49486897788466</v>
      </c>
      <c r="J169" s="250">
        <f t="shared" si="72"/>
        <v>167.34318079972331</v>
      </c>
      <c r="K169" s="250">
        <f t="shared" si="72"/>
        <v>188.15921349087125</v>
      </c>
      <c r="L169" s="250">
        <f t="shared" si="72"/>
        <v>207.81571758234259</v>
      </c>
      <c r="M169" s="250">
        <f t="shared" si="72"/>
        <v>226.18659648988103</v>
      </c>
      <c r="N169" s="250">
        <f t="shared" si="72"/>
        <v>235.84139689219893</v>
      </c>
      <c r="O169" s="250">
        <f t="shared" si="72"/>
        <v>244.14466368287509</v>
      </c>
      <c r="P169" s="250">
        <f t="shared" si="72"/>
        <v>249.20231006232603</v>
      </c>
      <c r="Q169" s="250">
        <f t="shared" si="72"/>
        <v>252.70046405863565</v>
      </c>
      <c r="R169" s="250">
        <f t="shared" si="72"/>
        <v>254.57637375223493</v>
      </c>
      <c r="S169" s="250">
        <f t="shared" si="72"/>
        <v>254.76930763058277</v>
      </c>
      <c r="T169" s="250">
        <f t="shared" si="72"/>
        <v>253.22055458311462</v>
      </c>
      <c r="U169" s="250">
        <f t="shared" si="72"/>
        <v>249.87342376261989</v>
      </c>
      <c r="V169" s="250">
        <f t="shared" si="72"/>
        <v>244.67324431440676</v>
      </c>
      <c r="W169" s="250">
        <f t="shared" si="72"/>
        <v>237.56736497460423</v>
      </c>
      <c r="X169" s="250">
        <f t="shared" si="72"/>
        <v>234.65345623681225</v>
      </c>
      <c r="Y169" s="250">
        <f t="shared" si="72"/>
        <v>229.20324881970066</v>
      </c>
      <c r="Z169" s="250">
        <f t="shared" si="72"/>
        <v>216.82679466218013</v>
      </c>
      <c r="AA169" s="250">
        <f t="shared" si="72"/>
        <v>201.83093642800475</v>
      </c>
      <c r="AB169" s="250">
        <f t="shared" si="72"/>
        <v>184.21707926125629</v>
      </c>
      <c r="AC169" s="250">
        <f t="shared" si="72"/>
        <v>163.9960627453284</v>
      </c>
      <c r="AD169" s="250">
        <f t="shared" si="72"/>
        <v>141.18827211843364</v>
      </c>
      <c r="AE169" s="250">
        <f t="shared" si="72"/>
        <v>115.8237473269819</v>
      </c>
      <c r="AF169" s="250">
        <f t="shared" si="72"/>
        <v>87.942289935305155</v>
      </c>
      <c r="AG169" s="250">
        <f t="shared" si="72"/>
        <v>57.593567910099978</v>
      </c>
      <c r="AH169" s="217"/>
      <c r="AI169" s="368"/>
      <c r="AJ169" s="369"/>
      <c r="AL169" s="194"/>
      <c r="AM169" s="116"/>
      <c r="AN169" s="116"/>
      <c r="AO169" s="116"/>
      <c r="BD169" s="116"/>
      <c r="BE169" s="116"/>
      <c r="BF169" s="116"/>
      <c r="BG169" s="116"/>
      <c r="BH169" s="116"/>
      <c r="BI169" s="116"/>
      <c r="BJ169" s="116"/>
      <c r="BK169" s="116"/>
    </row>
    <row r="170" spans="1:63" outlineLevel="1">
      <c r="A170" s="4" t="s">
        <v>35</v>
      </c>
      <c r="C170" s="203">
        <f t="shared" ref="C170:R173" si="73">C165-$C165</f>
        <v>0</v>
      </c>
      <c r="D170" s="203">
        <f t="shared" ref="D170:AG170" si="74">D165-$C165</f>
        <v>0</v>
      </c>
      <c r="E170" s="203">
        <f t="shared" si="74"/>
        <v>0</v>
      </c>
      <c r="F170" s="203">
        <f t="shared" si="74"/>
        <v>0</v>
      </c>
      <c r="G170" s="203">
        <f t="shared" si="74"/>
        <v>0</v>
      </c>
      <c r="H170" s="203">
        <f t="shared" si="74"/>
        <v>0</v>
      </c>
      <c r="I170" s="203">
        <f t="shared" si="74"/>
        <v>0</v>
      </c>
      <c r="J170" s="203">
        <f t="shared" si="74"/>
        <v>0</v>
      </c>
      <c r="K170" s="203">
        <f t="shared" si="74"/>
        <v>0</v>
      </c>
      <c r="L170" s="203">
        <f t="shared" si="74"/>
        <v>0</v>
      </c>
      <c r="M170" s="203">
        <f t="shared" si="74"/>
        <v>0</v>
      </c>
      <c r="N170" s="203">
        <f t="shared" si="74"/>
        <v>0</v>
      </c>
      <c r="O170" s="203">
        <f t="shared" si="74"/>
        <v>0</v>
      </c>
      <c r="P170" s="203">
        <f t="shared" si="74"/>
        <v>0</v>
      </c>
      <c r="Q170" s="203">
        <f t="shared" si="74"/>
        <v>0</v>
      </c>
      <c r="R170" s="203">
        <f t="shared" si="74"/>
        <v>0</v>
      </c>
      <c r="S170" s="203">
        <f t="shared" si="74"/>
        <v>0</v>
      </c>
      <c r="T170" s="203">
        <f t="shared" si="74"/>
        <v>0</v>
      </c>
      <c r="U170" s="203">
        <f t="shared" si="74"/>
        <v>0</v>
      </c>
      <c r="V170" s="203">
        <f t="shared" si="74"/>
        <v>0</v>
      </c>
      <c r="W170" s="203">
        <f t="shared" si="74"/>
        <v>0</v>
      </c>
      <c r="X170" s="203">
        <f t="shared" si="74"/>
        <v>0</v>
      </c>
      <c r="Y170" s="203">
        <f t="shared" si="74"/>
        <v>0</v>
      </c>
      <c r="Z170" s="203">
        <f t="shared" si="74"/>
        <v>0</v>
      </c>
      <c r="AA170" s="203">
        <f t="shared" si="74"/>
        <v>0</v>
      </c>
      <c r="AB170" s="203">
        <f t="shared" si="74"/>
        <v>0</v>
      </c>
      <c r="AC170" s="203">
        <f t="shared" si="74"/>
        <v>0</v>
      </c>
      <c r="AD170" s="203">
        <f t="shared" si="74"/>
        <v>0</v>
      </c>
      <c r="AE170" s="203">
        <f t="shared" si="74"/>
        <v>0</v>
      </c>
      <c r="AF170" s="203">
        <f t="shared" si="74"/>
        <v>0</v>
      </c>
      <c r="AG170" s="203">
        <f t="shared" si="74"/>
        <v>0</v>
      </c>
      <c r="AH170" s="217"/>
      <c r="AI170" s="124"/>
      <c r="AJ170" s="185"/>
      <c r="AL170" s="100"/>
      <c r="AM170" s="2"/>
      <c r="AN170" s="2"/>
      <c r="AO170" s="2"/>
      <c r="BC170" s="1"/>
      <c r="BD170" s="2"/>
      <c r="BE170" s="2"/>
      <c r="BF170" s="2"/>
      <c r="BG170" s="2"/>
      <c r="BH170" s="2"/>
      <c r="BI170" s="2"/>
      <c r="BJ170" s="2"/>
      <c r="BK170" s="2"/>
    </row>
    <row r="171" spans="1:63" outlineLevel="1">
      <c r="A171" s="4" t="s">
        <v>74</v>
      </c>
      <c r="C171" s="203">
        <f t="shared" si="73"/>
        <v>0</v>
      </c>
      <c r="D171" s="203">
        <f t="shared" si="73"/>
        <v>8.9919608511308695</v>
      </c>
      <c r="E171" s="203">
        <f t="shared" si="73"/>
        <v>16.84376039140804</v>
      </c>
      <c r="F171" s="203">
        <f t="shared" si="73"/>
        <v>23.49796923619229</v>
      </c>
      <c r="G171" s="203">
        <f t="shared" si="73"/>
        <v>28.908435331616062</v>
      </c>
      <c r="H171" s="203">
        <f t="shared" si="73"/>
        <v>33.040162397169553</v>
      </c>
      <c r="I171" s="203">
        <f t="shared" si="73"/>
        <v>35.869189166746366</v>
      </c>
      <c r="J171" s="203">
        <f t="shared" si="73"/>
        <v>37.382469424054847</v>
      </c>
      <c r="K171" s="203">
        <f t="shared" si="73"/>
        <v>37.577752828317017</v>
      </c>
      <c r="L171" s="203">
        <f t="shared" si="73"/>
        <v>36.463466526195106</v>
      </c>
      <c r="M171" s="203">
        <f t="shared" si="73"/>
        <v>34.058597545904036</v>
      </c>
      <c r="N171" s="203">
        <f t="shared" si="73"/>
        <v>27.637676287161867</v>
      </c>
      <c r="O171" s="203">
        <f t="shared" si="73"/>
        <v>20.350673080962537</v>
      </c>
      <c r="P171" s="203">
        <f t="shared" si="73"/>
        <v>11.638987359590146</v>
      </c>
      <c r="Q171" s="203">
        <f t="shared" si="73"/>
        <v>2.2313119869824618</v>
      </c>
      <c r="R171" s="203">
        <f t="shared" si="73"/>
        <v>-7.7981796343772203</v>
      </c>
      <c r="S171" s="203">
        <f t="shared" ref="S171:AG173" si="75">S166-$C166</f>
        <v>-18.369770874682473</v>
      </c>
      <c r="T171" s="203">
        <f t="shared" si="75"/>
        <v>-29.398402376514355</v>
      </c>
      <c r="U171" s="203">
        <f t="shared" si="75"/>
        <v>-40.793872585762998</v>
      </c>
      <c r="V171" s="203">
        <f t="shared" si="75"/>
        <v>-52.461038294906089</v>
      </c>
      <c r="W171" s="203">
        <f t="shared" si="75"/>
        <v>-64.300015180008089</v>
      </c>
      <c r="X171" s="203">
        <f t="shared" si="75"/>
        <v>-75.108131876911457</v>
      </c>
      <c r="Y171" s="203">
        <f t="shared" si="75"/>
        <v>-86.203291986741007</v>
      </c>
      <c r="Z171" s="203">
        <f t="shared" si="75"/>
        <v>-98.044380433261111</v>
      </c>
      <c r="AA171" s="203">
        <f t="shared" si="75"/>
        <v>-109.70611881853472</v>
      </c>
      <c r="AB171" s="203">
        <f t="shared" si="75"/>
        <v>-121.03240318324143</v>
      </c>
      <c r="AC171" s="203">
        <f t="shared" si="75"/>
        <v>-131.86649212782885</v>
      </c>
      <c r="AD171" s="203">
        <f t="shared" si="75"/>
        <v>-142.05193643258968</v>
      </c>
      <c r="AE171" s="203">
        <f t="shared" si="75"/>
        <v>-151.43352200754782</v>
      </c>
      <c r="AF171" s="203">
        <f t="shared" si="75"/>
        <v>-159.85822587139933</v>
      </c>
      <c r="AG171" s="203">
        <f t="shared" si="75"/>
        <v>-167.17618486168803</v>
      </c>
      <c r="AH171" s="217"/>
      <c r="AI171" s="124"/>
      <c r="AJ171" s="185"/>
      <c r="AL171" s="100"/>
      <c r="AM171" s="2"/>
      <c r="AN171" s="2"/>
      <c r="AO171" s="2"/>
      <c r="BC171" s="1"/>
      <c r="BD171" s="2"/>
      <c r="BE171" s="2"/>
      <c r="BF171" s="2"/>
      <c r="BG171" s="2"/>
      <c r="BH171" s="2"/>
      <c r="BI171" s="2"/>
      <c r="BJ171" s="2"/>
      <c r="BK171" s="2"/>
    </row>
    <row r="172" spans="1:63" outlineLevel="1">
      <c r="A172" s="4" t="s">
        <v>160</v>
      </c>
      <c r="C172" s="203">
        <f t="shared" si="73"/>
        <v>0</v>
      </c>
      <c r="D172" s="203">
        <f t="shared" si="73"/>
        <v>1.2359190819110557</v>
      </c>
      <c r="E172" s="203">
        <f t="shared" si="73"/>
        <v>2.6742223480535929</v>
      </c>
      <c r="F172" s="203">
        <f t="shared" si="73"/>
        <v>4.3103245426095214</v>
      </c>
      <c r="G172" s="203">
        <f t="shared" si="73"/>
        <v>6.1374904166632165</v>
      </c>
      <c r="H172" s="203">
        <f t="shared" si="73"/>
        <v>8.1468586610918177</v>
      </c>
      <c r="I172" s="203">
        <f t="shared" si="73"/>
        <v>10.327465680533967</v>
      </c>
      <c r="J172" s="203">
        <f t="shared" si="73"/>
        <v>12.666269209256646</v>
      </c>
      <c r="K172" s="203">
        <f t="shared" si="73"/>
        <v>15.14817176973613</v>
      </c>
      <c r="L172" s="203">
        <f t="shared" si="73"/>
        <v>17.756043974765532</v>
      </c>
      <c r="M172" s="203">
        <f t="shared" si="73"/>
        <v>20.470747673897669</v>
      </c>
      <c r="N172" s="203">
        <f t="shared" si="73"/>
        <v>22.946665800893584</v>
      </c>
      <c r="O172" s="203">
        <f t="shared" si="73"/>
        <v>25.435066079497822</v>
      </c>
      <c r="P172" s="203">
        <f t="shared" si="73"/>
        <v>27.82014880164067</v>
      </c>
      <c r="Q172" s="203">
        <f t="shared" si="73"/>
        <v>30.157916245837825</v>
      </c>
      <c r="R172" s="203">
        <f t="shared" si="73"/>
        <v>32.425676026216976</v>
      </c>
      <c r="S172" s="203">
        <f t="shared" si="75"/>
        <v>34.599852729698164</v>
      </c>
      <c r="T172" s="203">
        <f t="shared" si="75"/>
        <v>36.656028707325824</v>
      </c>
      <c r="U172" s="203">
        <f t="shared" si="75"/>
        <v>38.568984855770097</v>
      </c>
      <c r="V172" s="203">
        <f t="shared" si="75"/>
        <v>40.312741385326035</v>
      </c>
      <c r="W172" s="203">
        <f t="shared" si="75"/>
        <v>41.860598570782699</v>
      </c>
      <c r="X172" s="203">
        <f t="shared" si="75"/>
        <v>43.706536920067748</v>
      </c>
      <c r="Y172" s="203">
        <f t="shared" si="75"/>
        <v>45.303629981380865</v>
      </c>
      <c r="Z172" s="203">
        <f t="shared" si="75"/>
        <v>46.213444640671845</v>
      </c>
      <c r="AA172" s="203">
        <f t="shared" si="75"/>
        <v>46.769458309201099</v>
      </c>
      <c r="AB172" s="203">
        <f t="shared" si="75"/>
        <v>46.940081637858455</v>
      </c>
      <c r="AC172" s="203">
        <f t="shared" si="75"/>
        <v>46.694738467913496</v>
      </c>
      <c r="AD172" s="203">
        <f t="shared" si="75"/>
        <v>46.004068436043042</v>
      </c>
      <c r="AE172" s="203">
        <f t="shared" si="75"/>
        <v>44.840132029408657</v>
      </c>
      <c r="AF172" s="203">
        <f t="shared" si="75"/>
        <v>43.176618031833357</v>
      </c>
      <c r="AG172" s="203">
        <f t="shared" si="75"/>
        <v>40.989053302711106</v>
      </c>
      <c r="AH172" s="217"/>
      <c r="AI172" s="124"/>
      <c r="AJ172" s="185"/>
      <c r="AL172" s="100"/>
      <c r="AM172" s="2"/>
      <c r="AN172" s="2"/>
      <c r="AO172" s="2"/>
      <c r="BC172" s="1"/>
      <c r="BD172" s="2"/>
      <c r="BE172" s="2"/>
      <c r="BF172" s="2"/>
      <c r="BG172" s="2"/>
      <c r="BH172" s="2"/>
      <c r="BI172" s="2"/>
      <c r="BJ172" s="2"/>
      <c r="BK172" s="2"/>
    </row>
    <row r="173" spans="1:63" outlineLevel="1">
      <c r="A173" s="4" t="s">
        <v>1040</v>
      </c>
      <c r="C173" s="203">
        <f t="shared" si="73"/>
        <v>0</v>
      </c>
      <c r="D173" s="203">
        <f t="shared" si="73"/>
        <v>15.076490695528122</v>
      </c>
      <c r="E173" s="203">
        <f t="shared" si="73"/>
        <v>30.846549665298369</v>
      </c>
      <c r="F173" s="203">
        <f t="shared" si="73"/>
        <v>47.237888438139805</v>
      </c>
      <c r="G173" s="203">
        <f t="shared" si="73"/>
        <v>64.170283187014434</v>
      </c>
      <c r="H173" s="203">
        <f t="shared" si="73"/>
        <v>81.555665764960139</v>
      </c>
      <c r="I173" s="203">
        <f t="shared" si="73"/>
        <v>99.298214130604265</v>
      </c>
      <c r="J173" s="203">
        <f t="shared" si="73"/>
        <v>117.29444216641173</v>
      </c>
      <c r="K173" s="203">
        <f t="shared" si="73"/>
        <v>135.43328889281804</v>
      </c>
      <c r="L173" s="203">
        <f t="shared" si="73"/>
        <v>153.59620708138189</v>
      </c>
      <c r="M173" s="203">
        <f t="shared" si="73"/>
        <v>171.65725127007929</v>
      </c>
      <c r="N173" s="203">
        <f t="shared" si="73"/>
        <v>185.25705480414345</v>
      </c>
      <c r="O173" s="203">
        <f t="shared" si="73"/>
        <v>198.3589245224147</v>
      </c>
      <c r="P173" s="203">
        <f t="shared" si="73"/>
        <v>209.74317390109516</v>
      </c>
      <c r="Q173" s="203">
        <f t="shared" si="73"/>
        <v>220.31123582581532</v>
      </c>
      <c r="R173" s="203">
        <f t="shared" si="73"/>
        <v>229.94887736039519</v>
      </c>
      <c r="S173" s="203">
        <f t="shared" si="75"/>
        <v>238.53922577556708</v>
      </c>
      <c r="T173" s="203">
        <f t="shared" si="75"/>
        <v>245.96292825230316</v>
      </c>
      <c r="U173" s="203">
        <f t="shared" si="75"/>
        <v>252.09831149261285</v>
      </c>
      <c r="V173" s="203">
        <f t="shared" si="75"/>
        <v>256.82154122398686</v>
      </c>
      <c r="W173" s="203">
        <f t="shared" si="75"/>
        <v>260.00678158382971</v>
      </c>
      <c r="X173" s="203">
        <f t="shared" si="75"/>
        <v>266.05505119365603</v>
      </c>
      <c r="Y173" s="203">
        <f t="shared" si="75"/>
        <v>270.10291082506092</v>
      </c>
      <c r="Z173" s="203">
        <f t="shared" si="75"/>
        <v>268.65773045476953</v>
      </c>
      <c r="AA173" s="203">
        <f t="shared" si="75"/>
        <v>264.76759693733845</v>
      </c>
      <c r="AB173" s="203">
        <f t="shared" si="75"/>
        <v>258.30940080663936</v>
      </c>
      <c r="AC173" s="203">
        <f t="shared" si="75"/>
        <v>249.16781640524388</v>
      </c>
      <c r="AD173" s="203">
        <f t="shared" si="75"/>
        <v>237.23614011498043</v>
      </c>
      <c r="AE173" s="203">
        <f t="shared" si="75"/>
        <v>222.4171373051212</v>
      </c>
      <c r="AF173" s="203">
        <f t="shared" si="75"/>
        <v>204.62389777487127</v>
      </c>
      <c r="AG173" s="203">
        <f t="shared" si="75"/>
        <v>183.78069946907689</v>
      </c>
      <c r="AH173" s="217"/>
      <c r="AI173" s="124"/>
      <c r="AJ173" s="185"/>
      <c r="AL173" s="100"/>
      <c r="AM173" s="2"/>
      <c r="AN173" s="2"/>
      <c r="AO173" s="2"/>
      <c r="BC173" s="1"/>
      <c r="BD173" s="2"/>
      <c r="BE173" s="2"/>
      <c r="BF173" s="2"/>
      <c r="BG173" s="2"/>
      <c r="BH173" s="2"/>
      <c r="BI173" s="2"/>
      <c r="BJ173" s="2"/>
      <c r="BK173" s="2"/>
    </row>
    <row r="174" spans="1:63" s="1" customFormat="1" outlineLevel="1">
      <c r="A174" s="1" t="s">
        <v>1043</v>
      </c>
      <c r="B174" s="60"/>
      <c r="C174" s="250">
        <f>'BTX Recycling HC'!C174</f>
        <v>842.3107775723513</v>
      </c>
      <c r="D174" s="250">
        <f>'BTX Recycling HC'!D174</f>
        <v>918.22388945806142</v>
      </c>
      <c r="E174" s="250">
        <f>'BTX Recycling HC'!E174</f>
        <v>993.40437478663137</v>
      </c>
      <c r="F174" s="250">
        <f>'BTX Recycling HC'!F174</f>
        <v>1067.4493242231761</v>
      </c>
      <c r="G174" s="250">
        <f>'BTX Recycling HC'!G174</f>
        <v>1139.9594043782326</v>
      </c>
      <c r="H174" s="250">
        <f>'BTX Recycling HC'!H174</f>
        <v>1210.5388380420159</v>
      </c>
      <c r="I174" s="250">
        <f>'BTX Recycling HC'!I174</f>
        <v>1278.7953845060051</v>
      </c>
      <c r="J174" s="250">
        <f>'BTX Recycling HC'!J174</f>
        <v>1344.3403199715212</v>
      </c>
      <c r="K174" s="250">
        <f>'BTX Recycling HC'!K174</f>
        <v>1406.7884180449648</v>
      </c>
      <c r="L174" s="250">
        <f>'BTX Recycling HC'!L174</f>
        <v>1465.7579303193791</v>
      </c>
      <c r="M174" s="250">
        <f>'BTX Recycling HC'!M174</f>
        <v>1520.8705670419943</v>
      </c>
      <c r="N174" s="250">
        <f>'BTX Recycling HC'!N174</f>
        <v>1549.8349682489479</v>
      </c>
      <c r="O174" s="250">
        <f>'BTX Recycling HC'!O174</f>
        <v>1574.7447686209764</v>
      </c>
      <c r="P174" s="250">
        <f>'BTX Recycling HC'!P174</f>
        <v>1589.9177077593292</v>
      </c>
      <c r="Q174" s="250">
        <f>'BTX Recycling HC'!Q174</f>
        <v>1600.4121697482585</v>
      </c>
      <c r="R174" s="250">
        <f>'BTX Recycling HC'!R174</f>
        <v>1606.0398988290563</v>
      </c>
      <c r="S174" s="250">
        <f>'BTX Recycling HC'!S174</f>
        <v>1606.6187004640999</v>
      </c>
      <c r="T174" s="250">
        <f>'BTX Recycling HC'!T174</f>
        <v>1601.972441321695</v>
      </c>
      <c r="U174" s="250">
        <f>'BTX Recycling HC'!U174</f>
        <v>1591.9310488602107</v>
      </c>
      <c r="V174" s="250">
        <f>'BTX Recycling HC'!V174</f>
        <v>1576.3305105155716</v>
      </c>
      <c r="W174" s="250">
        <f>'BTX Recycling HC'!W174</f>
        <v>1555.0128724961639</v>
      </c>
      <c r="X174" s="250">
        <f>'BTX Recycling HC'!X174</f>
        <v>1546.2711462827879</v>
      </c>
      <c r="Y174" s="250">
        <f>'BTX Recycling HC'!Y174</f>
        <v>1529.9205240314532</v>
      </c>
      <c r="Z174" s="250">
        <f>'BTX Recycling HC'!Z174</f>
        <v>1492.7911615588916</v>
      </c>
      <c r="AA174" s="250">
        <f>'BTX Recycling HC'!AA174</f>
        <v>1447.8035868563652</v>
      </c>
      <c r="AB174" s="250">
        <f>'BTX Recycling HC'!AB174</f>
        <v>1394.9620153561202</v>
      </c>
      <c r="AC174" s="250">
        <f>'BTX Recycling HC'!AC174</f>
        <v>1334.2989658083363</v>
      </c>
      <c r="AD174" s="250">
        <f>'BTX Recycling HC'!AD174</f>
        <v>1265.8755939276521</v>
      </c>
      <c r="AE174" s="250">
        <f>'BTX Recycling HC'!AE174</f>
        <v>1189.7820195532968</v>
      </c>
      <c r="AF174" s="250">
        <f>'BTX Recycling HC'!AF174</f>
        <v>1106.1376473782668</v>
      </c>
      <c r="AG174" s="250">
        <f>'BTX Recycling HC'!AG174</f>
        <v>1015.0914813026512</v>
      </c>
      <c r="AH174" s="217"/>
      <c r="AI174" s="368"/>
      <c r="AJ174" s="369"/>
      <c r="AL174" s="194"/>
      <c r="AM174" s="116"/>
      <c r="AN174" s="116"/>
      <c r="AO174" s="116"/>
      <c r="BD174" s="116"/>
      <c r="BE174" s="116"/>
      <c r="BF174" s="116"/>
      <c r="BG174" s="116"/>
      <c r="BH174" s="116"/>
      <c r="BI174" s="116"/>
      <c r="BJ174" s="116"/>
      <c r="BK174" s="116"/>
    </row>
    <row r="175" spans="1:63" outlineLevel="1">
      <c r="A175" s="4" t="s">
        <v>35</v>
      </c>
      <c r="C175" s="203">
        <f>C$174*'BTX recycling rates'!E70</f>
        <v>0</v>
      </c>
      <c r="D175" s="203">
        <f>D$174*'BTX recycling rates'!F70</f>
        <v>0</v>
      </c>
      <c r="E175" s="203">
        <f>E$174*'BTX recycling rates'!G70</f>
        <v>0</v>
      </c>
      <c r="F175" s="203">
        <f>F$174*'BTX recycling rates'!H70</f>
        <v>0</v>
      </c>
      <c r="G175" s="203">
        <f>G$174*'BTX recycling rates'!I70</f>
        <v>0</v>
      </c>
      <c r="H175" s="203">
        <f>H$174*'BTX recycling rates'!J70</f>
        <v>0</v>
      </c>
      <c r="I175" s="203">
        <f>I$174*'BTX recycling rates'!K70</f>
        <v>0</v>
      </c>
      <c r="J175" s="203">
        <f>J$174*'BTX recycling rates'!L70</f>
        <v>0</v>
      </c>
      <c r="K175" s="203">
        <f>K$174*'BTX recycling rates'!M70</f>
        <v>0</v>
      </c>
      <c r="L175" s="203">
        <f>L$174*'BTX recycling rates'!N70</f>
        <v>0</v>
      </c>
      <c r="M175" s="203">
        <f>M$174*'BTX recycling rates'!O70</f>
        <v>0</v>
      </c>
      <c r="N175" s="203">
        <f>N$174*'BTX recycling rates'!P70</f>
        <v>0</v>
      </c>
      <c r="O175" s="203">
        <f>O$174*'BTX recycling rates'!Q70</f>
        <v>0</v>
      </c>
      <c r="P175" s="203">
        <f>P$174*'BTX recycling rates'!R70</f>
        <v>0</v>
      </c>
      <c r="Q175" s="203">
        <f>Q$174*'BTX recycling rates'!S70</f>
        <v>0</v>
      </c>
      <c r="R175" s="203">
        <f>R$174*'BTX recycling rates'!T70</f>
        <v>0</v>
      </c>
      <c r="S175" s="203">
        <f>S$174*'BTX recycling rates'!U70</f>
        <v>0</v>
      </c>
      <c r="T175" s="203">
        <f>T$174*'BTX recycling rates'!V70</f>
        <v>0</v>
      </c>
      <c r="U175" s="203">
        <f>U$174*'BTX recycling rates'!W70</f>
        <v>0</v>
      </c>
      <c r="V175" s="203">
        <f>V$174*'BTX recycling rates'!X70</f>
        <v>0</v>
      </c>
      <c r="W175" s="203">
        <f>W$174*'BTX recycling rates'!Y70</f>
        <v>0</v>
      </c>
      <c r="X175" s="203">
        <f>X$174*'BTX recycling rates'!Z70</f>
        <v>0</v>
      </c>
      <c r="Y175" s="203">
        <f>Y$174*'BTX recycling rates'!AA70</f>
        <v>0</v>
      </c>
      <c r="Z175" s="203">
        <f>Z$174*'BTX recycling rates'!AB70</f>
        <v>0</v>
      </c>
      <c r="AA175" s="203">
        <f>AA$174*'BTX recycling rates'!AC70</f>
        <v>0</v>
      </c>
      <c r="AB175" s="203">
        <f>AB$174*'BTX recycling rates'!AD70</f>
        <v>0</v>
      </c>
      <c r="AC175" s="203">
        <f>AC$174*'BTX recycling rates'!AE70</f>
        <v>0</v>
      </c>
      <c r="AD175" s="203">
        <f>AD$174*'BTX recycling rates'!AF70</f>
        <v>0</v>
      </c>
      <c r="AE175" s="203">
        <f>AE$174*'BTX recycling rates'!AG70</f>
        <v>0</v>
      </c>
      <c r="AF175" s="203">
        <f>AF$174*'BTX recycling rates'!AH70</f>
        <v>0</v>
      </c>
      <c r="AG175" s="203">
        <f>AG$174*'BTX recycling rates'!AI70</f>
        <v>0</v>
      </c>
      <c r="AH175" s="217"/>
      <c r="AI175" s="124"/>
      <c r="AJ175" s="185"/>
      <c r="AL175" s="100"/>
      <c r="AM175" s="2"/>
      <c r="AN175" s="2"/>
      <c r="AO175" s="2"/>
      <c r="BC175" s="1"/>
      <c r="BD175" s="2"/>
      <c r="BE175" s="2"/>
      <c r="BF175" s="2"/>
      <c r="BG175" s="2"/>
      <c r="BH175" s="2"/>
      <c r="BI175" s="2"/>
      <c r="BJ175" s="2"/>
      <c r="BK175" s="2"/>
    </row>
    <row r="176" spans="1:63" outlineLevel="1">
      <c r="A176" s="4" t="s">
        <v>74</v>
      </c>
      <c r="C176" s="203">
        <f>C$174*'BTX recycling rates'!E71</f>
        <v>501.52855458506411</v>
      </c>
      <c r="D176" s="203">
        <f>D$174*'BTX recycling rates'!F71</f>
        <v>528.50443713845675</v>
      </c>
      <c r="E176" s="203">
        <f>E$174*'BTX recycling rates'!G71</f>
        <v>552.05983575928826</v>
      </c>
      <c r="F176" s="203">
        <f>F$174*'BTX recycling rates'!H71</f>
        <v>572.02246229364084</v>
      </c>
      <c r="G176" s="203">
        <f>G$174*'BTX recycling rates'!I71</f>
        <v>588.25386057991238</v>
      </c>
      <c r="H176" s="203">
        <f>H$174*'BTX recycling rates'!J71</f>
        <v>600.64904177657263</v>
      </c>
      <c r="I176" s="203">
        <f>I$174*'BTX recycling rates'!K71</f>
        <v>609.1361220853031</v>
      </c>
      <c r="J176" s="203">
        <f>J$174*'BTX recycling rates'!L71</f>
        <v>613.67596285722868</v>
      </c>
      <c r="K176" s="203">
        <f>K$174*'BTX recycling rates'!M71</f>
        <v>614.26181307001502</v>
      </c>
      <c r="L176" s="203">
        <f>L$174*'BTX recycling rates'!N71</f>
        <v>610.91895416364946</v>
      </c>
      <c r="M176" s="203">
        <f>M$174*'BTX recycling rates'!O71</f>
        <v>603.70434722277616</v>
      </c>
      <c r="N176" s="203">
        <f>N$174*'BTX recycling rates'!P71</f>
        <v>584.44158344654966</v>
      </c>
      <c r="O176" s="203">
        <f>O$174*'BTX recycling rates'!Q71</f>
        <v>562.58057382795164</v>
      </c>
      <c r="P176" s="203">
        <f>P$174*'BTX recycling rates'!R71</f>
        <v>536.4455166638345</v>
      </c>
      <c r="Q176" s="203">
        <f>Q$174*'BTX recycling rates'!S71</f>
        <v>508.22249054601161</v>
      </c>
      <c r="R176" s="203">
        <f>R$174*'BTX recycling rates'!T71</f>
        <v>478.13401568193251</v>
      </c>
      <c r="S176" s="203">
        <f>S$174*'BTX recycling rates'!U71</f>
        <v>446.41924196101678</v>
      </c>
      <c r="T176" s="203">
        <f>T$174*'BTX recycling rates'!V71</f>
        <v>413.33334745552099</v>
      </c>
      <c r="U176" s="203">
        <f>U$174*'BTX recycling rates'!W71</f>
        <v>379.14693682777505</v>
      </c>
      <c r="V176" s="203">
        <f>V$174*'BTX recycling rates'!X71</f>
        <v>344.14543970034583</v>
      </c>
      <c r="W176" s="203">
        <f>W$174*'BTX recycling rates'!Y71</f>
        <v>308.62850904503983</v>
      </c>
      <c r="X176" s="203">
        <f>X$174*'BTX recycling rates'!Z71</f>
        <v>276.20415895432967</v>
      </c>
      <c r="Y176" s="203">
        <f>Y$174*'BTX recycling rates'!AA71</f>
        <v>242.91867862484105</v>
      </c>
      <c r="Z176" s="203">
        <f>Z$174*'BTX recycling rates'!AB71</f>
        <v>207.39541328528074</v>
      </c>
      <c r="AA176" s="203">
        <f>AA$174*'BTX recycling rates'!AC71</f>
        <v>172.41019812945993</v>
      </c>
      <c r="AB176" s="203">
        <f>AB$174*'BTX recycling rates'!AD71</f>
        <v>138.43134503533983</v>
      </c>
      <c r="AC176" s="203">
        <f>AC$174*'BTX recycling rates'!AE71</f>
        <v>105.92907820157751</v>
      </c>
      <c r="AD176" s="203">
        <f>AD$174*'BTX recycling rates'!AF71</f>
        <v>75.372745287295004</v>
      </c>
      <c r="AE176" s="203">
        <f>AE$174*'BTX recycling rates'!AG71</f>
        <v>47.227988562420656</v>
      </c>
      <c r="AF176" s="203">
        <f>AF$174*'BTX recycling rates'!AH71</f>
        <v>21.953876970866098</v>
      </c>
      <c r="AG176" s="203">
        <f>AG$174*'BTX recycling rates'!AI71</f>
        <v>0</v>
      </c>
      <c r="AH176" s="217"/>
      <c r="AI176" s="124"/>
      <c r="AJ176" s="185"/>
      <c r="AL176" s="100"/>
      <c r="AM176" s="2"/>
      <c r="AN176" s="2"/>
      <c r="AO176" s="2"/>
      <c r="BC176" s="1"/>
      <c r="BD176" s="2"/>
      <c r="BE176" s="2"/>
      <c r="BF176" s="2"/>
      <c r="BG176" s="2"/>
      <c r="BH176" s="2"/>
      <c r="BI176" s="2"/>
      <c r="BJ176" s="2"/>
      <c r="BK176" s="2"/>
    </row>
    <row r="177" spans="1:63" outlineLevel="1">
      <c r="A177" s="4" t="s">
        <v>160</v>
      </c>
      <c r="C177" s="203">
        <f>C$174*'BTX recycling rates'!E72</f>
        <v>0</v>
      </c>
      <c r="D177" s="203">
        <f>D$174*'BTX recycling rates'!F72</f>
        <v>3.7077572457331676</v>
      </c>
      <c r="E177" s="203">
        <f>E$174*'BTX recycling rates'!G72</f>
        <v>8.0226670441607784</v>
      </c>
      <c r="F177" s="203">
        <f>F$174*'BTX recycling rates'!H72</f>
        <v>12.930973627828564</v>
      </c>
      <c r="G177" s="203">
        <f>G$174*'BTX recycling rates'!I72</f>
        <v>18.412471249989654</v>
      </c>
      <c r="H177" s="203">
        <f>H$174*'BTX recycling rates'!J72</f>
        <v>24.440575983275448</v>
      </c>
      <c r="I177" s="203">
        <f>I$174*'BTX recycling rates'!K72</f>
        <v>30.982397041601899</v>
      </c>
      <c r="J177" s="203">
        <f>J$174*'BTX recycling rates'!L72</f>
        <v>37.998807627769935</v>
      </c>
      <c r="K177" s="203">
        <f>K$174*'BTX recycling rates'!M72</f>
        <v>45.444515309208384</v>
      </c>
      <c r="L177" s="203">
        <f>L$174*'BTX recycling rates'!N72</f>
        <v>53.268131924296597</v>
      </c>
      <c r="M177" s="203">
        <f>M$174*'BTX recycling rates'!O72</f>
        <v>61.412243021693001</v>
      </c>
      <c r="N177" s="203">
        <f>N$174*'BTX recycling rates'!P72</f>
        <v>68.839997402680737</v>
      </c>
      <c r="O177" s="203">
        <f>O$174*'BTX recycling rates'!Q72</f>
        <v>76.30519823849346</v>
      </c>
      <c r="P177" s="203">
        <f>P$174*'BTX recycling rates'!R72</f>
        <v>83.460446404921996</v>
      </c>
      <c r="Q177" s="203">
        <f>Q$174*'BTX recycling rates'!S72</f>
        <v>90.473748737513489</v>
      </c>
      <c r="R177" s="203">
        <f>R$174*'BTX recycling rates'!T72</f>
        <v>97.277028078650943</v>
      </c>
      <c r="S177" s="203">
        <f>S$174*'BTX recycling rates'!U72</f>
        <v>103.79955818909451</v>
      </c>
      <c r="T177" s="203">
        <f>T$174*'BTX recycling rates'!V72</f>
        <v>109.96808612197746</v>
      </c>
      <c r="U177" s="203">
        <f>U$174*'BTX recycling rates'!W72</f>
        <v>115.70695456731028</v>
      </c>
      <c r="V177" s="203">
        <f>V$174*'BTX recycling rates'!X72</f>
        <v>120.93822415597812</v>
      </c>
      <c r="W177" s="203">
        <f>W$174*'BTX recycling rates'!Y72</f>
        <v>125.5817957123481</v>
      </c>
      <c r="X177" s="203">
        <f>X$174*'BTX recycling rates'!Z72</f>
        <v>131.11961076020324</v>
      </c>
      <c r="Y177" s="203">
        <f>Y$174*'BTX recycling rates'!AA72</f>
        <v>135.91088994414258</v>
      </c>
      <c r="Z177" s="203">
        <f>Z$174*'BTX recycling rates'!AB72</f>
        <v>138.64033392201551</v>
      </c>
      <c r="AA177" s="203">
        <f>AA$174*'BTX recycling rates'!AC72</f>
        <v>140.30837492760327</v>
      </c>
      <c r="AB177" s="203">
        <f>AB$174*'BTX recycling rates'!AD72</f>
        <v>140.82024491357538</v>
      </c>
      <c r="AC177" s="203">
        <f>AC$174*'BTX recycling rates'!AE72</f>
        <v>140.08421540374047</v>
      </c>
      <c r="AD177" s="203">
        <f>AD$174*'BTX recycling rates'!AF72</f>
        <v>138.01220530812913</v>
      </c>
      <c r="AE177" s="203">
        <f>AE$174*'BTX recycling rates'!AG72</f>
        <v>134.52039608822594</v>
      </c>
      <c r="AF177" s="203">
        <f>AF$174*'BTX recycling rates'!AH72</f>
        <v>129.5298540955001</v>
      </c>
      <c r="AG177" s="203">
        <f>AG$174*'BTX recycling rates'!AI72</f>
        <v>122.96715990813333</v>
      </c>
      <c r="AH177" s="217"/>
      <c r="AI177" s="124"/>
      <c r="AJ177" s="185"/>
      <c r="AL177" s="100"/>
      <c r="AM177" s="2"/>
      <c r="AN177" s="2"/>
      <c r="AO177" s="2"/>
      <c r="BC177" s="1"/>
      <c r="BD177" s="2"/>
      <c r="BE177" s="2"/>
      <c r="BF177" s="2"/>
      <c r="BG177" s="2"/>
      <c r="BH177" s="2"/>
      <c r="BI177" s="2"/>
      <c r="BJ177" s="2"/>
      <c r="BK177" s="2"/>
    </row>
    <row r="178" spans="1:63" outlineLevel="1">
      <c r="A178" s="4" t="s">
        <v>1040</v>
      </c>
      <c r="C178" s="203">
        <f>C$174*'BTX recycling rates'!E73</f>
        <v>340.78222298728718</v>
      </c>
      <c r="D178" s="203">
        <f>D$174*'BTX recycling rates'!F73</f>
        <v>386.01169507387152</v>
      </c>
      <c r="E178" s="203">
        <f>E$174*'BTX recycling rates'!G73</f>
        <v>433.32187198318229</v>
      </c>
      <c r="F178" s="203">
        <f>F$174*'BTX recycling rates'!H73</f>
        <v>482.49588830170654</v>
      </c>
      <c r="G178" s="203">
        <f>G$174*'BTX recycling rates'!I73</f>
        <v>533.29307254833043</v>
      </c>
      <c r="H178" s="203">
        <f>H$174*'BTX recycling rates'!J73</f>
        <v>585.44922028216752</v>
      </c>
      <c r="I178" s="203">
        <f>I$174*'BTX recycling rates'!K73</f>
        <v>638.67686537909981</v>
      </c>
      <c r="J178" s="203">
        <f>J$174*'BTX recycling rates'!L73</f>
        <v>692.66554948652242</v>
      </c>
      <c r="K178" s="203">
        <f>K$174*'BTX recycling rates'!M73</f>
        <v>747.08208966574114</v>
      </c>
      <c r="L178" s="203">
        <f>L$174*'BTX recycling rates'!N73</f>
        <v>801.57084423143283</v>
      </c>
      <c r="M178" s="203">
        <f>M$174*'BTX recycling rates'!O73</f>
        <v>855.75397679752496</v>
      </c>
      <c r="N178" s="203">
        <f>N$174*'BTX recycling rates'!P73</f>
        <v>896.55338739971739</v>
      </c>
      <c r="O178" s="203">
        <f>O$174*'BTX recycling rates'!Q73</f>
        <v>935.85899655453113</v>
      </c>
      <c r="P178" s="203">
        <f>P$174*'BTX recycling rates'!R73</f>
        <v>970.01174469057264</v>
      </c>
      <c r="Q178" s="203">
        <f>Q$174*'BTX recycling rates'!S73</f>
        <v>1001.7159304647333</v>
      </c>
      <c r="R178" s="203">
        <f>R$174*'BTX recycling rates'!T73</f>
        <v>1030.6288550684728</v>
      </c>
      <c r="S178" s="203">
        <f>S$174*'BTX recycling rates'!U73</f>
        <v>1056.3999003139886</v>
      </c>
      <c r="T178" s="203">
        <f>T$174*'BTX recycling rates'!V73</f>
        <v>1078.6710077441967</v>
      </c>
      <c r="U178" s="203">
        <f>U$174*'BTX recycling rates'!W73</f>
        <v>1097.0771574651255</v>
      </c>
      <c r="V178" s="203">
        <f>V$174*'BTX recycling rates'!X73</f>
        <v>1111.2468466592479</v>
      </c>
      <c r="W178" s="203">
        <f>W$174*'BTX recycling rates'!Y73</f>
        <v>1120.8025677387761</v>
      </c>
      <c r="X178" s="203">
        <f>X$174*'BTX recycling rates'!Z73</f>
        <v>1138.9473765682551</v>
      </c>
      <c r="Y178" s="203">
        <f>Y$174*'BTX recycling rates'!AA73</f>
        <v>1151.0909554624698</v>
      </c>
      <c r="Z178" s="203">
        <f>Z$174*'BTX recycling rates'!AB73</f>
        <v>1146.7554143515956</v>
      </c>
      <c r="AA178" s="203">
        <f>AA$174*'BTX recycling rates'!AC73</f>
        <v>1135.0850137993025</v>
      </c>
      <c r="AB178" s="203">
        <f>AB$174*'BTX recycling rates'!AD73</f>
        <v>1115.7104254072053</v>
      </c>
      <c r="AC178" s="203">
        <f>AC$174*'BTX recycling rates'!AE73</f>
        <v>1088.2856722030187</v>
      </c>
      <c r="AD178" s="203">
        <f>AD$174*'BTX recycling rates'!AF73</f>
        <v>1052.4906433322285</v>
      </c>
      <c r="AE178" s="203">
        <f>AE$174*'BTX recycling rates'!AG73</f>
        <v>1008.0336349026506</v>
      </c>
      <c r="AF178" s="203">
        <f>AF$174*'BTX recycling rates'!AH73</f>
        <v>954.65391631190118</v>
      </c>
      <c r="AG178" s="203">
        <f>AG$174*'BTX recycling rates'!AI73</f>
        <v>892.12432139451789</v>
      </c>
      <c r="AH178" s="217"/>
      <c r="AI178" s="124"/>
      <c r="AJ178" s="185"/>
      <c r="AL178" s="100"/>
      <c r="AM178" s="2"/>
      <c r="AN178" s="2"/>
      <c r="AO178" s="2"/>
      <c r="BC178" s="1"/>
      <c r="BD178" s="2"/>
      <c r="BE178" s="2"/>
      <c r="BF178" s="2"/>
      <c r="BG178" s="2"/>
      <c r="BH178" s="2"/>
      <c r="BI178" s="2"/>
      <c r="BJ178" s="2"/>
      <c r="BK178" s="2"/>
    </row>
    <row r="179" spans="1:63" s="1" customFormat="1" outlineLevel="1">
      <c r="A179" s="1" t="s">
        <v>1046</v>
      </c>
      <c r="B179" s="60"/>
      <c r="C179" s="250">
        <f t="shared" ref="C179:AG179" si="76">C174-$C174</f>
        <v>0</v>
      </c>
      <c r="D179" s="250">
        <f t="shared" si="76"/>
        <v>75.913111885710123</v>
      </c>
      <c r="E179" s="250">
        <f t="shared" si="76"/>
        <v>151.09359721428007</v>
      </c>
      <c r="F179" s="250">
        <f t="shared" si="76"/>
        <v>225.13854665082476</v>
      </c>
      <c r="G179" s="250">
        <f t="shared" si="76"/>
        <v>297.64862680588135</v>
      </c>
      <c r="H179" s="250">
        <f t="shared" si="76"/>
        <v>368.22806046966457</v>
      </c>
      <c r="I179" s="250">
        <f t="shared" si="76"/>
        <v>436.48460693365382</v>
      </c>
      <c r="J179" s="250">
        <f t="shared" si="76"/>
        <v>502.02954239916994</v>
      </c>
      <c r="K179" s="250">
        <f t="shared" si="76"/>
        <v>564.47764047261353</v>
      </c>
      <c r="L179" s="250">
        <f t="shared" si="76"/>
        <v>623.44715274702776</v>
      </c>
      <c r="M179" s="250">
        <f t="shared" si="76"/>
        <v>678.55978946964296</v>
      </c>
      <c r="N179" s="250">
        <f t="shared" si="76"/>
        <v>707.52419067659662</v>
      </c>
      <c r="O179" s="250">
        <f t="shared" si="76"/>
        <v>732.4339910486251</v>
      </c>
      <c r="P179" s="250">
        <f t="shared" si="76"/>
        <v>747.60693018697793</v>
      </c>
      <c r="Q179" s="250">
        <f t="shared" si="76"/>
        <v>758.10139217590722</v>
      </c>
      <c r="R179" s="250">
        <f t="shared" si="76"/>
        <v>763.72912125670496</v>
      </c>
      <c r="S179" s="250">
        <f t="shared" si="76"/>
        <v>764.3079228917486</v>
      </c>
      <c r="T179" s="250">
        <f t="shared" si="76"/>
        <v>759.66166374934369</v>
      </c>
      <c r="U179" s="250">
        <f t="shared" si="76"/>
        <v>749.6202712878594</v>
      </c>
      <c r="V179" s="250">
        <f t="shared" si="76"/>
        <v>734.01973294322033</v>
      </c>
      <c r="W179" s="250">
        <f t="shared" si="76"/>
        <v>712.70209492381264</v>
      </c>
      <c r="X179" s="250">
        <f t="shared" si="76"/>
        <v>703.96036871043657</v>
      </c>
      <c r="Y179" s="250">
        <f t="shared" si="76"/>
        <v>687.60974645910187</v>
      </c>
      <c r="Z179" s="250">
        <f t="shared" si="76"/>
        <v>650.48038398654035</v>
      </c>
      <c r="AA179" s="250">
        <f t="shared" si="76"/>
        <v>605.4928092840139</v>
      </c>
      <c r="AB179" s="250">
        <f t="shared" si="76"/>
        <v>552.65123778376892</v>
      </c>
      <c r="AC179" s="250">
        <f t="shared" si="76"/>
        <v>491.98818823598504</v>
      </c>
      <c r="AD179" s="250">
        <f t="shared" si="76"/>
        <v>423.56481635530076</v>
      </c>
      <c r="AE179" s="250">
        <f t="shared" si="76"/>
        <v>347.47124198094548</v>
      </c>
      <c r="AF179" s="250">
        <f t="shared" si="76"/>
        <v>263.82686980591552</v>
      </c>
      <c r="AG179" s="250">
        <f t="shared" si="76"/>
        <v>172.78070373029993</v>
      </c>
      <c r="AH179" s="217"/>
      <c r="AI179" s="368"/>
      <c r="AJ179" s="369"/>
      <c r="AL179" s="194"/>
      <c r="AM179" s="116"/>
      <c r="AN179" s="116"/>
      <c r="AO179" s="116"/>
      <c r="BD179" s="116"/>
      <c r="BE179" s="116"/>
      <c r="BF179" s="116"/>
      <c r="BG179" s="116"/>
      <c r="BH179" s="116"/>
      <c r="BI179" s="116"/>
      <c r="BJ179" s="116"/>
      <c r="BK179" s="116"/>
    </row>
    <row r="180" spans="1:63" outlineLevel="1">
      <c r="A180" s="4" t="s">
        <v>35</v>
      </c>
      <c r="C180" s="203">
        <f t="shared" ref="C180:R183" si="77">C175-$C175</f>
        <v>0</v>
      </c>
      <c r="D180" s="203">
        <f t="shared" ref="D180:AG180" si="78">D175-$C175</f>
        <v>0</v>
      </c>
      <c r="E180" s="203">
        <f t="shared" si="78"/>
        <v>0</v>
      </c>
      <c r="F180" s="203">
        <f t="shared" si="78"/>
        <v>0</v>
      </c>
      <c r="G180" s="203">
        <f t="shared" si="78"/>
        <v>0</v>
      </c>
      <c r="H180" s="203">
        <f t="shared" si="78"/>
        <v>0</v>
      </c>
      <c r="I180" s="203">
        <f t="shared" si="78"/>
        <v>0</v>
      </c>
      <c r="J180" s="203">
        <f t="shared" si="78"/>
        <v>0</v>
      </c>
      <c r="K180" s="203">
        <f t="shared" si="78"/>
        <v>0</v>
      </c>
      <c r="L180" s="203">
        <f t="shared" si="78"/>
        <v>0</v>
      </c>
      <c r="M180" s="203">
        <f t="shared" si="78"/>
        <v>0</v>
      </c>
      <c r="N180" s="203">
        <f t="shared" si="78"/>
        <v>0</v>
      </c>
      <c r="O180" s="203">
        <f t="shared" si="78"/>
        <v>0</v>
      </c>
      <c r="P180" s="203">
        <f t="shared" si="78"/>
        <v>0</v>
      </c>
      <c r="Q180" s="203">
        <f t="shared" si="78"/>
        <v>0</v>
      </c>
      <c r="R180" s="203">
        <f t="shared" si="78"/>
        <v>0</v>
      </c>
      <c r="S180" s="203">
        <f t="shared" si="78"/>
        <v>0</v>
      </c>
      <c r="T180" s="203">
        <f t="shared" si="78"/>
        <v>0</v>
      </c>
      <c r="U180" s="203">
        <f t="shared" si="78"/>
        <v>0</v>
      </c>
      <c r="V180" s="203">
        <f t="shared" si="78"/>
        <v>0</v>
      </c>
      <c r="W180" s="203">
        <f t="shared" si="78"/>
        <v>0</v>
      </c>
      <c r="X180" s="203">
        <f t="shared" si="78"/>
        <v>0</v>
      </c>
      <c r="Y180" s="203">
        <f t="shared" si="78"/>
        <v>0</v>
      </c>
      <c r="Z180" s="203">
        <f t="shared" si="78"/>
        <v>0</v>
      </c>
      <c r="AA180" s="203">
        <f t="shared" si="78"/>
        <v>0</v>
      </c>
      <c r="AB180" s="203">
        <f t="shared" si="78"/>
        <v>0</v>
      </c>
      <c r="AC180" s="203">
        <f t="shared" si="78"/>
        <v>0</v>
      </c>
      <c r="AD180" s="203">
        <f t="shared" si="78"/>
        <v>0</v>
      </c>
      <c r="AE180" s="203">
        <f t="shared" si="78"/>
        <v>0</v>
      </c>
      <c r="AF180" s="203">
        <f t="shared" si="78"/>
        <v>0</v>
      </c>
      <c r="AG180" s="203">
        <f t="shared" si="78"/>
        <v>0</v>
      </c>
      <c r="AH180" s="217"/>
      <c r="AI180" s="124"/>
      <c r="AJ180" s="185"/>
      <c r="AL180" s="100"/>
      <c r="AM180" s="2"/>
      <c r="AN180" s="2"/>
      <c r="AO180" s="2"/>
      <c r="BC180" s="1"/>
      <c r="BD180" s="2"/>
      <c r="BE180" s="2"/>
      <c r="BF180" s="2"/>
      <c r="BG180" s="2"/>
      <c r="BH180" s="2"/>
      <c r="BI180" s="2"/>
      <c r="BJ180" s="2"/>
      <c r="BK180" s="2"/>
    </row>
    <row r="181" spans="1:63" outlineLevel="1">
      <c r="A181" s="4" t="s">
        <v>74</v>
      </c>
      <c r="C181" s="203">
        <f t="shared" si="77"/>
        <v>0</v>
      </c>
      <c r="D181" s="203">
        <f t="shared" si="77"/>
        <v>26.975882553392637</v>
      </c>
      <c r="E181" s="203">
        <f t="shared" si="77"/>
        <v>50.531281174224148</v>
      </c>
      <c r="F181" s="203">
        <f t="shared" si="77"/>
        <v>70.493907708576728</v>
      </c>
      <c r="G181" s="203">
        <f t="shared" si="77"/>
        <v>86.72530599484827</v>
      </c>
      <c r="H181" s="203">
        <f t="shared" si="77"/>
        <v>99.120487191508516</v>
      </c>
      <c r="I181" s="203">
        <f t="shared" si="77"/>
        <v>107.60756750023899</v>
      </c>
      <c r="J181" s="203">
        <f t="shared" si="77"/>
        <v>112.14740827216457</v>
      </c>
      <c r="K181" s="203">
        <f t="shared" si="77"/>
        <v>112.73325848495091</v>
      </c>
      <c r="L181" s="203">
        <f t="shared" si="77"/>
        <v>109.39039957858535</v>
      </c>
      <c r="M181" s="203">
        <f t="shared" si="77"/>
        <v>102.17579263771205</v>
      </c>
      <c r="N181" s="203">
        <f t="shared" si="77"/>
        <v>82.913028861485543</v>
      </c>
      <c r="O181" s="203">
        <f t="shared" si="77"/>
        <v>61.052019242887525</v>
      </c>
      <c r="P181" s="203">
        <f t="shared" si="77"/>
        <v>34.916962078770382</v>
      </c>
      <c r="Q181" s="203">
        <f t="shared" si="77"/>
        <v>6.6939359609474991</v>
      </c>
      <c r="R181" s="203">
        <f t="shared" si="77"/>
        <v>-23.394538903131604</v>
      </c>
      <c r="S181" s="203">
        <f t="shared" ref="S181:AG183" si="79">S176-$C176</f>
        <v>-55.109312624047334</v>
      </c>
      <c r="T181" s="203">
        <f t="shared" si="79"/>
        <v>-88.195207129543121</v>
      </c>
      <c r="U181" s="203">
        <f t="shared" si="79"/>
        <v>-122.38161775728906</v>
      </c>
      <c r="V181" s="203">
        <f t="shared" si="79"/>
        <v>-157.38311488471828</v>
      </c>
      <c r="W181" s="203">
        <f t="shared" si="79"/>
        <v>-192.90004554002428</v>
      </c>
      <c r="X181" s="203">
        <f t="shared" si="79"/>
        <v>-225.32439563073444</v>
      </c>
      <c r="Y181" s="203">
        <f t="shared" si="79"/>
        <v>-258.60987596022306</v>
      </c>
      <c r="Z181" s="203">
        <f t="shared" si="79"/>
        <v>-294.13314129978335</v>
      </c>
      <c r="AA181" s="203">
        <f t="shared" si="79"/>
        <v>-329.11835645560416</v>
      </c>
      <c r="AB181" s="203">
        <f t="shared" si="79"/>
        <v>-363.09720954972431</v>
      </c>
      <c r="AC181" s="203">
        <f t="shared" si="79"/>
        <v>-395.5994763834866</v>
      </c>
      <c r="AD181" s="203">
        <f t="shared" si="79"/>
        <v>-426.15580929776911</v>
      </c>
      <c r="AE181" s="203">
        <f t="shared" si="79"/>
        <v>-454.30056602264347</v>
      </c>
      <c r="AF181" s="203">
        <f t="shared" si="79"/>
        <v>-479.57467761419804</v>
      </c>
      <c r="AG181" s="203">
        <f t="shared" si="79"/>
        <v>-501.52855458506411</v>
      </c>
      <c r="AH181" s="217"/>
      <c r="AI181" s="124"/>
      <c r="AJ181" s="185"/>
      <c r="AL181" s="100"/>
      <c r="AM181" s="2"/>
      <c r="AN181" s="2"/>
      <c r="AO181" s="2"/>
      <c r="BC181" s="1"/>
      <c r="BD181" s="2"/>
      <c r="BE181" s="2"/>
      <c r="BF181" s="2"/>
      <c r="BG181" s="2"/>
      <c r="BH181" s="2"/>
      <c r="BI181" s="2"/>
      <c r="BJ181" s="2"/>
      <c r="BK181" s="2"/>
    </row>
    <row r="182" spans="1:63" outlineLevel="1">
      <c r="A182" s="4" t="s">
        <v>160</v>
      </c>
      <c r="C182" s="203">
        <f t="shared" si="77"/>
        <v>0</v>
      </c>
      <c r="D182" s="203">
        <f t="shared" si="77"/>
        <v>3.7077572457331676</v>
      </c>
      <c r="E182" s="203">
        <f t="shared" si="77"/>
        <v>8.0226670441607784</v>
      </c>
      <c r="F182" s="203">
        <f t="shared" si="77"/>
        <v>12.930973627828564</v>
      </c>
      <c r="G182" s="203">
        <f t="shared" si="77"/>
        <v>18.412471249989654</v>
      </c>
      <c r="H182" s="203">
        <f t="shared" si="77"/>
        <v>24.440575983275448</v>
      </c>
      <c r="I182" s="203">
        <f t="shared" si="77"/>
        <v>30.982397041601899</v>
      </c>
      <c r="J182" s="203">
        <f t="shared" si="77"/>
        <v>37.998807627769935</v>
      </c>
      <c r="K182" s="203">
        <f t="shared" si="77"/>
        <v>45.444515309208384</v>
      </c>
      <c r="L182" s="203">
        <f t="shared" si="77"/>
        <v>53.268131924296597</v>
      </c>
      <c r="M182" s="203">
        <f t="shared" si="77"/>
        <v>61.412243021693001</v>
      </c>
      <c r="N182" s="203">
        <f t="shared" si="77"/>
        <v>68.839997402680737</v>
      </c>
      <c r="O182" s="203">
        <f t="shared" si="77"/>
        <v>76.30519823849346</v>
      </c>
      <c r="P182" s="203">
        <f t="shared" si="77"/>
        <v>83.460446404921996</v>
      </c>
      <c r="Q182" s="203">
        <f t="shared" si="77"/>
        <v>90.473748737513489</v>
      </c>
      <c r="R182" s="203">
        <f t="shared" si="77"/>
        <v>97.277028078650943</v>
      </c>
      <c r="S182" s="203">
        <f t="shared" si="79"/>
        <v>103.79955818909451</v>
      </c>
      <c r="T182" s="203">
        <f t="shared" si="79"/>
        <v>109.96808612197746</v>
      </c>
      <c r="U182" s="203">
        <f t="shared" si="79"/>
        <v>115.70695456731028</v>
      </c>
      <c r="V182" s="203">
        <f t="shared" si="79"/>
        <v>120.93822415597812</v>
      </c>
      <c r="W182" s="203">
        <f t="shared" si="79"/>
        <v>125.5817957123481</v>
      </c>
      <c r="X182" s="203">
        <f t="shared" si="79"/>
        <v>131.11961076020324</v>
      </c>
      <c r="Y182" s="203">
        <f t="shared" si="79"/>
        <v>135.91088994414258</v>
      </c>
      <c r="Z182" s="203">
        <f t="shared" si="79"/>
        <v>138.64033392201551</v>
      </c>
      <c r="AA182" s="203">
        <f t="shared" si="79"/>
        <v>140.30837492760327</v>
      </c>
      <c r="AB182" s="203">
        <f t="shared" si="79"/>
        <v>140.82024491357538</v>
      </c>
      <c r="AC182" s="203">
        <f t="shared" si="79"/>
        <v>140.08421540374047</v>
      </c>
      <c r="AD182" s="203">
        <f t="shared" si="79"/>
        <v>138.01220530812913</v>
      </c>
      <c r="AE182" s="203">
        <f t="shared" si="79"/>
        <v>134.52039608822594</v>
      </c>
      <c r="AF182" s="203">
        <f t="shared" si="79"/>
        <v>129.5298540955001</v>
      </c>
      <c r="AG182" s="203">
        <f t="shared" si="79"/>
        <v>122.96715990813333</v>
      </c>
      <c r="AH182" s="217"/>
      <c r="AI182" s="124"/>
      <c r="AJ182" s="185"/>
      <c r="AL182" s="100"/>
      <c r="AM182" s="2"/>
      <c r="AN182" s="2"/>
      <c r="AO182" s="2"/>
      <c r="BC182" s="1"/>
      <c r="BD182" s="2"/>
      <c r="BE182" s="2"/>
      <c r="BF182" s="2"/>
      <c r="BG182" s="2"/>
      <c r="BH182" s="2"/>
      <c r="BI182" s="2"/>
      <c r="BJ182" s="2"/>
      <c r="BK182" s="2"/>
    </row>
    <row r="183" spans="1:63" outlineLevel="1">
      <c r="A183" s="4" t="s">
        <v>1040</v>
      </c>
      <c r="C183" s="203">
        <f t="shared" si="77"/>
        <v>0</v>
      </c>
      <c r="D183" s="203">
        <f t="shared" si="77"/>
        <v>45.229472086584337</v>
      </c>
      <c r="E183" s="203">
        <f t="shared" si="77"/>
        <v>92.539648995895107</v>
      </c>
      <c r="F183" s="203">
        <f t="shared" si="77"/>
        <v>141.71366531441936</v>
      </c>
      <c r="G183" s="203">
        <f t="shared" si="77"/>
        <v>192.51084956104324</v>
      </c>
      <c r="H183" s="203">
        <f t="shared" si="77"/>
        <v>244.66699729488033</v>
      </c>
      <c r="I183" s="203">
        <f t="shared" si="77"/>
        <v>297.89464239181262</v>
      </c>
      <c r="J183" s="203">
        <f t="shared" si="77"/>
        <v>351.88332649923524</v>
      </c>
      <c r="K183" s="203">
        <f t="shared" si="77"/>
        <v>406.29986667845395</v>
      </c>
      <c r="L183" s="203">
        <f t="shared" si="77"/>
        <v>460.78862124414565</v>
      </c>
      <c r="M183" s="203">
        <f t="shared" si="77"/>
        <v>514.97175381023771</v>
      </c>
      <c r="N183" s="203">
        <f t="shared" si="77"/>
        <v>555.77116441243015</v>
      </c>
      <c r="O183" s="203">
        <f t="shared" si="77"/>
        <v>595.07677356724389</v>
      </c>
      <c r="P183" s="203">
        <f t="shared" si="77"/>
        <v>629.2295217032854</v>
      </c>
      <c r="Q183" s="203">
        <f t="shared" si="77"/>
        <v>660.93370747744621</v>
      </c>
      <c r="R183" s="203">
        <f t="shared" si="77"/>
        <v>689.84663208118559</v>
      </c>
      <c r="S183" s="203">
        <f t="shared" si="79"/>
        <v>715.61767732670137</v>
      </c>
      <c r="T183" s="203">
        <f t="shared" si="79"/>
        <v>737.88878475690944</v>
      </c>
      <c r="U183" s="203">
        <f t="shared" si="79"/>
        <v>756.2949344778383</v>
      </c>
      <c r="V183" s="203">
        <f t="shared" si="79"/>
        <v>770.46462367196068</v>
      </c>
      <c r="W183" s="203">
        <f t="shared" si="79"/>
        <v>780.02034475148889</v>
      </c>
      <c r="X183" s="203">
        <f t="shared" si="79"/>
        <v>798.16515358096785</v>
      </c>
      <c r="Y183" s="203">
        <f t="shared" si="79"/>
        <v>810.30873247518252</v>
      </c>
      <c r="Z183" s="203">
        <f t="shared" si="79"/>
        <v>805.97319136430838</v>
      </c>
      <c r="AA183" s="203">
        <f t="shared" si="79"/>
        <v>794.30279081201525</v>
      </c>
      <c r="AB183" s="203">
        <f t="shared" si="79"/>
        <v>774.92820241991808</v>
      </c>
      <c r="AC183" s="203">
        <f t="shared" si="79"/>
        <v>747.50344921573151</v>
      </c>
      <c r="AD183" s="203">
        <f t="shared" si="79"/>
        <v>711.70842034494126</v>
      </c>
      <c r="AE183" s="203">
        <f t="shared" si="79"/>
        <v>667.25141191536341</v>
      </c>
      <c r="AF183" s="203">
        <f t="shared" si="79"/>
        <v>613.87169332461394</v>
      </c>
      <c r="AG183" s="203">
        <f t="shared" si="79"/>
        <v>551.34209840723065</v>
      </c>
      <c r="AH183" s="217"/>
      <c r="AI183" s="124"/>
      <c r="AJ183" s="185"/>
      <c r="AL183" s="100"/>
      <c r="AM183" s="2"/>
      <c r="AN183" s="2"/>
      <c r="AO183" s="2"/>
      <c r="BC183" s="1"/>
      <c r="BD183" s="2"/>
      <c r="BE183" s="2"/>
      <c r="BF183" s="2"/>
      <c r="BG183" s="2"/>
      <c r="BH183" s="2"/>
      <c r="BI183" s="2"/>
      <c r="BJ183" s="2"/>
      <c r="BK183" s="2"/>
    </row>
    <row r="184" spans="1:63" outlineLevel="1">
      <c r="C184" s="10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J184" s="185"/>
      <c r="AM184" s="115"/>
      <c r="AN184" s="115"/>
    </row>
    <row r="185" spans="1:63" s="174" customFormat="1" ht="15.5" thickBot="1">
      <c r="A185" s="174" t="s">
        <v>432</v>
      </c>
      <c r="B185" s="189"/>
      <c r="C185" s="197">
        <f>C186</f>
        <v>0</v>
      </c>
      <c r="D185" s="197">
        <f t="shared" ref="D185:AG185" si="80">D186</f>
        <v>2.2181718165435932E-2</v>
      </c>
      <c r="E185" s="197">
        <f t="shared" si="80"/>
        <v>4.4363436330871864E-2</v>
      </c>
      <c r="F185" s="197">
        <f t="shared" si="80"/>
        <v>6.6545154496307796E-2</v>
      </c>
      <c r="G185" s="197">
        <f t="shared" si="80"/>
        <v>8.8726872661743728E-2</v>
      </c>
      <c r="H185" s="197">
        <f t="shared" si="80"/>
        <v>0.11090859082717966</v>
      </c>
      <c r="I185" s="197">
        <f t="shared" si="80"/>
        <v>0.13309030899261559</v>
      </c>
      <c r="J185" s="197">
        <f t="shared" si="80"/>
        <v>0.15527202715805152</v>
      </c>
      <c r="K185" s="197">
        <f t="shared" si="80"/>
        <v>0.17745374532348746</v>
      </c>
      <c r="L185" s="197">
        <f t="shared" si="80"/>
        <v>0.19963546348892339</v>
      </c>
      <c r="M185" s="197">
        <f t="shared" si="80"/>
        <v>0.22181718165435932</v>
      </c>
      <c r="N185" s="197">
        <f t="shared" si="80"/>
        <v>0.23671946463689028</v>
      </c>
      <c r="O185" s="197">
        <f t="shared" si="80"/>
        <v>0.25162174761942124</v>
      </c>
      <c r="P185" s="197">
        <f t="shared" si="80"/>
        <v>0.26652403060195223</v>
      </c>
      <c r="Q185" s="197">
        <f t="shared" si="80"/>
        <v>0.28142631358448317</v>
      </c>
      <c r="R185" s="197">
        <f t="shared" si="80"/>
        <v>0.29632859656701416</v>
      </c>
      <c r="S185" s="197">
        <f t="shared" si="80"/>
        <v>0.31123087954954509</v>
      </c>
      <c r="T185" s="197">
        <f t="shared" si="80"/>
        <v>0.32613316253207608</v>
      </c>
      <c r="U185" s="197">
        <f t="shared" si="80"/>
        <v>0.34103544551460707</v>
      </c>
      <c r="V185" s="197">
        <f t="shared" si="80"/>
        <v>0.35593772849713801</v>
      </c>
      <c r="W185" s="197">
        <f t="shared" si="80"/>
        <v>0.370840011479669</v>
      </c>
      <c r="X185" s="197">
        <f t="shared" si="80"/>
        <v>0.3937560103317021</v>
      </c>
      <c r="Y185" s="197">
        <f t="shared" si="80"/>
        <v>0.4166720091837352</v>
      </c>
      <c r="Z185" s="197">
        <f t="shared" si="80"/>
        <v>0.43958800803576825</v>
      </c>
      <c r="AA185" s="197">
        <f t="shared" si="80"/>
        <v>0.46250400688780136</v>
      </c>
      <c r="AB185" s="197">
        <f t="shared" si="80"/>
        <v>0.48542000573983446</v>
      </c>
      <c r="AC185" s="197">
        <f t="shared" si="80"/>
        <v>0.50833600459186756</v>
      </c>
      <c r="AD185" s="197">
        <f t="shared" si="80"/>
        <v>0.53125200344390067</v>
      </c>
      <c r="AE185" s="197">
        <f t="shared" si="80"/>
        <v>0.55416800229593377</v>
      </c>
      <c r="AF185" s="197">
        <f t="shared" si="80"/>
        <v>0.57708400114796687</v>
      </c>
      <c r="AG185" s="197">
        <f t="shared" si="80"/>
        <v>0.6</v>
      </c>
      <c r="AJ185" s="204" t="s">
        <v>456</v>
      </c>
      <c r="AL185" s="191"/>
      <c r="AM185" s="198"/>
      <c r="AN185" s="198"/>
      <c r="AO185" s="198"/>
    </row>
    <row r="186" spans="1:63" ht="15.5" outlineLevel="1" thickTop="1">
      <c r="A186" t="s">
        <v>433</v>
      </c>
      <c r="B186" s="50" t="s">
        <v>126</v>
      </c>
      <c r="C186" s="558">
        <f>'Ethylene Recycling HC'!C153</f>
        <v>0</v>
      </c>
      <c r="D186" s="558">
        <f>'Ethylene Recycling HC'!D153</f>
        <v>2.2181718165435932E-2</v>
      </c>
      <c r="E186" s="558">
        <f>'Ethylene Recycling HC'!E153</f>
        <v>4.4363436330871864E-2</v>
      </c>
      <c r="F186" s="558">
        <f>'Ethylene Recycling HC'!F153</f>
        <v>6.6545154496307796E-2</v>
      </c>
      <c r="G186" s="558">
        <f>'Ethylene Recycling HC'!G153</f>
        <v>8.8726872661743728E-2</v>
      </c>
      <c r="H186" s="558">
        <f>'Ethylene Recycling HC'!H153</f>
        <v>0.11090859082717966</v>
      </c>
      <c r="I186" s="558">
        <f>'Ethylene Recycling HC'!I153</f>
        <v>0.13309030899261559</v>
      </c>
      <c r="J186" s="558">
        <f>'Ethylene Recycling HC'!J153</f>
        <v>0.15527202715805152</v>
      </c>
      <c r="K186" s="558">
        <f>'Ethylene Recycling HC'!K153</f>
        <v>0.17745374532348746</v>
      </c>
      <c r="L186" s="558">
        <f>'Ethylene Recycling HC'!L153</f>
        <v>0.19963546348892339</v>
      </c>
      <c r="M186" s="558">
        <f>'Ethylene Recycling HC'!M153</f>
        <v>0.22181718165435932</v>
      </c>
      <c r="N186" s="558">
        <f>'Ethylene Recycling HC'!N153</f>
        <v>0.23671946463689028</v>
      </c>
      <c r="O186" s="558">
        <f>'Ethylene Recycling HC'!O153</f>
        <v>0.25162174761942124</v>
      </c>
      <c r="P186" s="558">
        <f>'Ethylene Recycling HC'!P153</f>
        <v>0.26652403060195223</v>
      </c>
      <c r="Q186" s="558">
        <f>'Ethylene Recycling HC'!Q153</f>
        <v>0.28142631358448317</v>
      </c>
      <c r="R186" s="558">
        <f>'Ethylene Recycling HC'!R153</f>
        <v>0.29632859656701416</v>
      </c>
      <c r="S186" s="558">
        <f>'Ethylene Recycling HC'!S153</f>
        <v>0.31123087954954509</v>
      </c>
      <c r="T186" s="558">
        <f>'Ethylene Recycling HC'!T153</f>
        <v>0.32613316253207608</v>
      </c>
      <c r="U186" s="558">
        <f>'Ethylene Recycling HC'!U153</f>
        <v>0.34103544551460707</v>
      </c>
      <c r="V186" s="558">
        <f>'Ethylene Recycling HC'!V153</f>
        <v>0.35593772849713801</v>
      </c>
      <c r="W186" s="558">
        <f>'Ethylene Recycling HC'!W153</f>
        <v>0.370840011479669</v>
      </c>
      <c r="X186" s="558">
        <f>'Ethylene Recycling HC'!X153</f>
        <v>0.3937560103317021</v>
      </c>
      <c r="Y186" s="558">
        <f>'Ethylene Recycling HC'!Y153</f>
        <v>0.4166720091837352</v>
      </c>
      <c r="Z186" s="558">
        <f>'Ethylene Recycling HC'!Z153</f>
        <v>0.43958800803576825</v>
      </c>
      <c r="AA186" s="558">
        <f>'Ethylene Recycling HC'!AA153</f>
        <v>0.46250400688780136</v>
      </c>
      <c r="AB186" s="558">
        <f>'Ethylene Recycling HC'!AB153</f>
        <v>0.48542000573983446</v>
      </c>
      <c r="AC186" s="558">
        <f>'Ethylene Recycling HC'!AC153</f>
        <v>0.50833600459186756</v>
      </c>
      <c r="AD186" s="558">
        <f>'Ethylene Recycling HC'!AD153</f>
        <v>0.53125200344390067</v>
      </c>
      <c r="AE186" s="558">
        <f>'Ethylene Recycling HC'!AE153</f>
        <v>0.55416800229593377</v>
      </c>
      <c r="AF186" s="558">
        <f>'Ethylene Recycling HC'!AF153</f>
        <v>0.57708400114796687</v>
      </c>
      <c r="AG186" s="558">
        <f>'Ethylene Recycling HC'!AG153</f>
        <v>0.6</v>
      </c>
      <c r="AJ186" s="185" t="s">
        <v>1469</v>
      </c>
    </row>
    <row r="187" spans="1:63" outlineLevel="1">
      <c r="A187" t="s">
        <v>434</v>
      </c>
      <c r="B187" s="50" t="s">
        <v>126</v>
      </c>
      <c r="C187" s="188">
        <v>0.05</v>
      </c>
      <c r="D187" s="102">
        <f t="shared" ref="D187:AF187" si="81">C187-($C$187-$AG$187)/($AG$1-$C$1)</f>
        <v>5.8333333333333334E-2</v>
      </c>
      <c r="E187" s="102">
        <f t="shared" si="81"/>
        <v>6.6666666666666666E-2</v>
      </c>
      <c r="F187" s="102">
        <f t="shared" si="81"/>
        <v>7.4999999999999997E-2</v>
      </c>
      <c r="G187" s="102">
        <f t="shared" si="81"/>
        <v>8.3333333333333329E-2</v>
      </c>
      <c r="H187" s="102">
        <f t="shared" si="81"/>
        <v>9.166666666666666E-2</v>
      </c>
      <c r="I187" s="102">
        <f t="shared" si="81"/>
        <v>9.9999999999999992E-2</v>
      </c>
      <c r="J187" s="102">
        <f t="shared" si="81"/>
        <v>0.10833333333333332</v>
      </c>
      <c r="K187" s="102">
        <f t="shared" si="81"/>
        <v>0.11666666666666665</v>
      </c>
      <c r="L187" s="102">
        <f t="shared" si="81"/>
        <v>0.12499999999999999</v>
      </c>
      <c r="M187" s="102">
        <f t="shared" si="81"/>
        <v>0.13333333333333333</v>
      </c>
      <c r="N187" s="102">
        <f t="shared" si="81"/>
        <v>0.14166666666666666</v>
      </c>
      <c r="O187" s="102">
        <f t="shared" si="81"/>
        <v>0.15</v>
      </c>
      <c r="P187" s="102">
        <f t="shared" si="81"/>
        <v>0.15833333333333333</v>
      </c>
      <c r="Q187" s="102">
        <f t="shared" si="81"/>
        <v>0.16666666666666666</v>
      </c>
      <c r="R187" s="102">
        <f t="shared" si="81"/>
        <v>0.17499999999999999</v>
      </c>
      <c r="S187" s="102">
        <f t="shared" si="81"/>
        <v>0.18333333333333332</v>
      </c>
      <c r="T187" s="102">
        <f t="shared" si="81"/>
        <v>0.19166666666666665</v>
      </c>
      <c r="U187" s="102">
        <f t="shared" si="81"/>
        <v>0.19999999999999998</v>
      </c>
      <c r="V187" s="102">
        <f t="shared" si="81"/>
        <v>0.20833333333333331</v>
      </c>
      <c r="W187" s="102">
        <f t="shared" si="81"/>
        <v>0.21666666666666665</v>
      </c>
      <c r="X187" s="102">
        <f t="shared" si="81"/>
        <v>0.22499999999999998</v>
      </c>
      <c r="Y187" s="102">
        <f t="shared" si="81"/>
        <v>0.23333333333333331</v>
      </c>
      <c r="Z187" s="102">
        <f t="shared" si="81"/>
        <v>0.24166666666666664</v>
      </c>
      <c r="AA187" s="102">
        <f t="shared" si="81"/>
        <v>0.24999999999999997</v>
      </c>
      <c r="AB187" s="102">
        <f t="shared" si="81"/>
        <v>0.2583333333333333</v>
      </c>
      <c r="AC187" s="102">
        <f t="shared" si="81"/>
        <v>0.26666666666666666</v>
      </c>
      <c r="AD187" s="102">
        <f t="shared" si="81"/>
        <v>0.27500000000000002</v>
      </c>
      <c r="AE187" s="102">
        <f t="shared" si="81"/>
        <v>0.28333333333333338</v>
      </c>
      <c r="AF187" s="102">
        <f t="shared" si="81"/>
        <v>0.29166666666666674</v>
      </c>
      <c r="AG187" s="188">
        <v>0.3</v>
      </c>
      <c r="AI187" s="126"/>
      <c r="AJ187" s="185" t="s">
        <v>568</v>
      </c>
      <c r="AM187" s="115"/>
      <c r="AN187" s="115"/>
    </row>
    <row r="188" spans="1:63" ht="14.5" customHeight="1" outlineLevel="1">
      <c r="A188" t="s">
        <v>435</v>
      </c>
      <c r="B188" s="156" t="s">
        <v>126</v>
      </c>
      <c r="C188" s="102">
        <f>1-C187</f>
        <v>0.95</v>
      </c>
      <c r="D188" s="102">
        <f t="shared" ref="D188:AG188" si="82">1-D187</f>
        <v>0.94166666666666665</v>
      </c>
      <c r="E188" s="102">
        <f t="shared" si="82"/>
        <v>0.93333333333333335</v>
      </c>
      <c r="F188" s="102">
        <f t="shared" si="82"/>
        <v>0.92500000000000004</v>
      </c>
      <c r="G188" s="102">
        <f t="shared" si="82"/>
        <v>0.91666666666666663</v>
      </c>
      <c r="H188" s="102">
        <f t="shared" si="82"/>
        <v>0.90833333333333333</v>
      </c>
      <c r="I188" s="102">
        <f t="shared" si="82"/>
        <v>0.9</v>
      </c>
      <c r="J188" s="102">
        <f t="shared" si="82"/>
        <v>0.89166666666666672</v>
      </c>
      <c r="K188" s="102">
        <f t="shared" si="82"/>
        <v>0.8833333333333333</v>
      </c>
      <c r="L188" s="102">
        <f t="shared" si="82"/>
        <v>0.875</v>
      </c>
      <c r="M188" s="102">
        <f t="shared" si="82"/>
        <v>0.8666666666666667</v>
      </c>
      <c r="N188" s="102">
        <f t="shared" si="82"/>
        <v>0.85833333333333339</v>
      </c>
      <c r="O188" s="102">
        <f t="shared" si="82"/>
        <v>0.85</v>
      </c>
      <c r="P188" s="102">
        <f t="shared" si="82"/>
        <v>0.84166666666666667</v>
      </c>
      <c r="Q188" s="102">
        <f t="shared" si="82"/>
        <v>0.83333333333333337</v>
      </c>
      <c r="R188" s="102">
        <f t="shared" si="82"/>
        <v>0.82499999999999996</v>
      </c>
      <c r="S188" s="102">
        <f t="shared" si="82"/>
        <v>0.81666666666666665</v>
      </c>
      <c r="T188" s="102">
        <f t="shared" si="82"/>
        <v>0.80833333333333335</v>
      </c>
      <c r="U188" s="102">
        <f t="shared" si="82"/>
        <v>0.8</v>
      </c>
      <c r="V188" s="102">
        <f t="shared" si="82"/>
        <v>0.79166666666666674</v>
      </c>
      <c r="W188" s="102">
        <f t="shared" si="82"/>
        <v>0.78333333333333333</v>
      </c>
      <c r="X188" s="102">
        <f t="shared" si="82"/>
        <v>0.77500000000000002</v>
      </c>
      <c r="Y188" s="102">
        <f t="shared" si="82"/>
        <v>0.76666666666666672</v>
      </c>
      <c r="Z188" s="102">
        <f t="shared" si="82"/>
        <v>0.7583333333333333</v>
      </c>
      <c r="AA188" s="102">
        <f t="shared" si="82"/>
        <v>0.75</v>
      </c>
      <c r="AB188" s="102">
        <f t="shared" si="82"/>
        <v>0.7416666666666667</v>
      </c>
      <c r="AC188" s="102">
        <f t="shared" si="82"/>
        <v>0.73333333333333339</v>
      </c>
      <c r="AD188" s="102">
        <f t="shared" si="82"/>
        <v>0.72499999999999998</v>
      </c>
      <c r="AE188" s="102">
        <f t="shared" si="82"/>
        <v>0.71666666666666656</v>
      </c>
      <c r="AF188" s="102">
        <f t="shared" si="82"/>
        <v>0.70833333333333326</v>
      </c>
      <c r="AG188" s="102">
        <f t="shared" si="82"/>
        <v>0.7</v>
      </c>
      <c r="AI188" s="126" t="s">
        <v>289</v>
      </c>
      <c r="AJ188" s="185"/>
    </row>
    <row r="189" spans="1:63" outlineLevel="1">
      <c r="A189" t="s">
        <v>436</v>
      </c>
      <c r="B189" s="50" t="s">
        <v>126</v>
      </c>
      <c r="C189" s="102">
        <f>C186*C187</f>
        <v>0</v>
      </c>
      <c r="D189" s="102">
        <f t="shared" ref="D189:AG189" si="83">D186*D187</f>
        <v>1.2939335596504294E-3</v>
      </c>
      <c r="E189" s="102">
        <f t="shared" si="83"/>
        <v>2.9575624220581241E-3</v>
      </c>
      <c r="F189" s="102">
        <f t="shared" si="83"/>
        <v>4.9908865872230843E-3</v>
      </c>
      <c r="G189" s="102">
        <f t="shared" si="83"/>
        <v>7.3939060551453106E-3</v>
      </c>
      <c r="H189" s="102">
        <f t="shared" si="83"/>
        <v>1.0166620825824802E-2</v>
      </c>
      <c r="I189" s="102">
        <f t="shared" si="83"/>
        <v>1.3309030899261559E-2</v>
      </c>
      <c r="J189" s="102">
        <f t="shared" si="83"/>
        <v>1.6821136275455579E-2</v>
      </c>
      <c r="K189" s="102">
        <f t="shared" si="83"/>
        <v>2.0702936954406868E-2</v>
      </c>
      <c r="L189" s="102">
        <f t="shared" si="83"/>
        <v>2.495443293611542E-2</v>
      </c>
      <c r="M189" s="102">
        <f t="shared" si="83"/>
        <v>2.9575624220581243E-2</v>
      </c>
      <c r="N189" s="102">
        <f t="shared" si="83"/>
        <v>3.3535257490226122E-2</v>
      </c>
      <c r="O189" s="102">
        <f t="shared" si="83"/>
        <v>3.7743262142913188E-2</v>
      </c>
      <c r="P189" s="102">
        <f t="shared" si="83"/>
        <v>4.2199638178642432E-2</v>
      </c>
      <c r="Q189" s="102">
        <f t="shared" si="83"/>
        <v>4.6904385597413861E-2</v>
      </c>
      <c r="R189" s="102">
        <f t="shared" si="83"/>
        <v>5.1857504399227476E-2</v>
      </c>
      <c r="S189" s="102">
        <f t="shared" si="83"/>
        <v>5.7058994584083263E-2</v>
      </c>
      <c r="T189" s="102">
        <f t="shared" si="83"/>
        <v>6.2508856151981249E-2</v>
      </c>
      <c r="U189" s="102">
        <f t="shared" si="83"/>
        <v>6.8207089102921406E-2</v>
      </c>
      <c r="V189" s="102">
        <f t="shared" si="83"/>
        <v>7.4153693436903742E-2</v>
      </c>
      <c r="W189" s="102">
        <f t="shared" si="83"/>
        <v>8.034866915392827E-2</v>
      </c>
      <c r="X189" s="102">
        <f t="shared" si="83"/>
        <v>8.8595102324632968E-2</v>
      </c>
      <c r="Y189" s="102">
        <f t="shared" si="83"/>
        <v>9.7223468809538208E-2</v>
      </c>
      <c r="Z189" s="102">
        <f t="shared" si="83"/>
        <v>0.10623376860864399</v>
      </c>
      <c r="AA189" s="102">
        <f t="shared" si="83"/>
        <v>0.11562600172195032</v>
      </c>
      <c r="AB189" s="102">
        <f t="shared" si="83"/>
        <v>0.12540016814945723</v>
      </c>
      <c r="AC189" s="102">
        <f t="shared" si="83"/>
        <v>0.13555626789116468</v>
      </c>
      <c r="AD189" s="102">
        <f t="shared" si="83"/>
        <v>0.14609430094707271</v>
      </c>
      <c r="AE189" s="102">
        <f t="shared" si="83"/>
        <v>0.15701426731718127</v>
      </c>
      <c r="AF189" s="102">
        <f t="shared" si="83"/>
        <v>0.16831616700149038</v>
      </c>
      <c r="AG189" s="102">
        <f t="shared" si="83"/>
        <v>0.18</v>
      </c>
      <c r="AI189" s="125"/>
      <c r="AJ189" s="185"/>
      <c r="BD189" s="177"/>
      <c r="BE189" s="177"/>
    </row>
    <row r="190" spans="1:63" outlineLevel="1">
      <c r="A190" t="s">
        <v>437</v>
      </c>
      <c r="B190" s="50" t="s">
        <v>126</v>
      </c>
      <c r="C190" s="102">
        <f>C186*C188</f>
        <v>0</v>
      </c>
      <c r="D190" s="102">
        <f t="shared" ref="D190:AG190" si="84">D186*D188</f>
        <v>2.0887784605785501E-2</v>
      </c>
      <c r="E190" s="102">
        <f t="shared" si="84"/>
        <v>4.1405873908813742E-2</v>
      </c>
      <c r="F190" s="102">
        <f t="shared" si="84"/>
        <v>6.1554267909084713E-2</v>
      </c>
      <c r="G190" s="102">
        <f t="shared" si="84"/>
        <v>8.1332966606598417E-2</v>
      </c>
      <c r="H190" s="102">
        <f t="shared" si="84"/>
        <v>0.10074197000135486</v>
      </c>
      <c r="I190" s="102">
        <f t="shared" si="84"/>
        <v>0.11978127809335404</v>
      </c>
      <c r="J190" s="102">
        <f t="shared" si="84"/>
        <v>0.13845089088259596</v>
      </c>
      <c r="K190" s="102">
        <f t="shared" si="84"/>
        <v>0.15675080836908059</v>
      </c>
      <c r="L190" s="102">
        <f t="shared" si="84"/>
        <v>0.17468103055280795</v>
      </c>
      <c r="M190" s="102">
        <f t="shared" si="84"/>
        <v>0.19224155743377808</v>
      </c>
      <c r="N190" s="102">
        <f t="shared" si="84"/>
        <v>0.20318420714666416</v>
      </c>
      <c r="O190" s="102">
        <f t="shared" si="84"/>
        <v>0.21387848547650806</v>
      </c>
      <c r="P190" s="102">
        <f t="shared" si="84"/>
        <v>0.22432439242330979</v>
      </c>
      <c r="Q190" s="102">
        <f t="shared" si="84"/>
        <v>0.23452192798706931</v>
      </c>
      <c r="R190" s="102">
        <f t="shared" si="84"/>
        <v>0.24447109216778667</v>
      </c>
      <c r="S190" s="102">
        <f t="shared" si="84"/>
        <v>0.25417188496546184</v>
      </c>
      <c r="T190" s="102">
        <f t="shared" si="84"/>
        <v>0.26362430638009482</v>
      </c>
      <c r="U190" s="102">
        <f t="shared" si="84"/>
        <v>0.27282835641168568</v>
      </c>
      <c r="V190" s="102">
        <f t="shared" si="84"/>
        <v>0.28178403506023431</v>
      </c>
      <c r="W190" s="102">
        <f t="shared" si="84"/>
        <v>0.2904913423257407</v>
      </c>
      <c r="X190" s="102">
        <f t="shared" si="84"/>
        <v>0.30516090800706913</v>
      </c>
      <c r="Y190" s="102">
        <f t="shared" si="84"/>
        <v>0.31944854037419701</v>
      </c>
      <c r="Z190" s="102">
        <f t="shared" si="84"/>
        <v>0.33335423942712422</v>
      </c>
      <c r="AA190" s="102">
        <f t="shared" si="84"/>
        <v>0.34687800516585099</v>
      </c>
      <c r="AB190" s="102">
        <f t="shared" si="84"/>
        <v>0.36001983759037726</v>
      </c>
      <c r="AC190" s="102">
        <f t="shared" si="84"/>
        <v>0.37277973670070291</v>
      </c>
      <c r="AD190" s="102">
        <f t="shared" si="84"/>
        <v>0.38515770249682796</v>
      </c>
      <c r="AE190" s="102">
        <f t="shared" si="84"/>
        <v>0.3971537349787525</v>
      </c>
      <c r="AF190" s="102">
        <f t="shared" si="84"/>
        <v>0.40876783414647649</v>
      </c>
      <c r="AG190" s="102">
        <f t="shared" si="84"/>
        <v>0.42</v>
      </c>
      <c r="AI190" s="125"/>
      <c r="AJ190" s="185"/>
      <c r="BD190" s="177"/>
      <c r="BE190" s="177"/>
    </row>
    <row r="191" spans="1:63" outlineLevel="1">
      <c r="C191" s="10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J191" s="185"/>
    </row>
    <row r="192" spans="1:63" outlineLevel="1">
      <c r="A192" t="s">
        <v>422</v>
      </c>
      <c r="B192" s="50" t="s">
        <v>126</v>
      </c>
      <c r="C192" s="188">
        <v>0.5</v>
      </c>
      <c r="D192" s="102">
        <f>C192</f>
        <v>0.5</v>
      </c>
      <c r="E192" s="102">
        <f t="shared" ref="E192:AG192" si="85">D192</f>
        <v>0.5</v>
      </c>
      <c r="F192" s="102">
        <f t="shared" si="85"/>
        <v>0.5</v>
      </c>
      <c r="G192" s="102">
        <f t="shared" si="85"/>
        <v>0.5</v>
      </c>
      <c r="H192" s="102">
        <f t="shared" si="85"/>
        <v>0.5</v>
      </c>
      <c r="I192" s="102">
        <f t="shared" si="85"/>
        <v>0.5</v>
      </c>
      <c r="J192" s="102">
        <f t="shared" si="85"/>
        <v>0.5</v>
      </c>
      <c r="K192" s="102">
        <f t="shared" si="85"/>
        <v>0.5</v>
      </c>
      <c r="L192" s="102">
        <f t="shared" si="85"/>
        <v>0.5</v>
      </c>
      <c r="M192" s="102">
        <f t="shared" si="85"/>
        <v>0.5</v>
      </c>
      <c r="N192" s="102">
        <f t="shared" si="85"/>
        <v>0.5</v>
      </c>
      <c r="O192" s="102">
        <f t="shared" si="85"/>
        <v>0.5</v>
      </c>
      <c r="P192" s="102">
        <f t="shared" si="85"/>
        <v>0.5</v>
      </c>
      <c r="Q192" s="102">
        <f t="shared" si="85"/>
        <v>0.5</v>
      </c>
      <c r="R192" s="102">
        <f t="shared" si="85"/>
        <v>0.5</v>
      </c>
      <c r="S192" s="102">
        <f t="shared" si="85"/>
        <v>0.5</v>
      </c>
      <c r="T192" s="102">
        <f t="shared" si="85"/>
        <v>0.5</v>
      </c>
      <c r="U192" s="102">
        <f t="shared" si="85"/>
        <v>0.5</v>
      </c>
      <c r="V192" s="102">
        <f t="shared" si="85"/>
        <v>0.5</v>
      </c>
      <c r="W192" s="102">
        <f t="shared" si="85"/>
        <v>0.5</v>
      </c>
      <c r="X192" s="102">
        <f t="shared" si="85"/>
        <v>0.5</v>
      </c>
      <c r="Y192" s="102">
        <f t="shared" si="85"/>
        <v>0.5</v>
      </c>
      <c r="Z192" s="102">
        <f t="shared" si="85"/>
        <v>0.5</v>
      </c>
      <c r="AA192" s="102">
        <f t="shared" si="85"/>
        <v>0.5</v>
      </c>
      <c r="AB192" s="102">
        <f t="shared" si="85"/>
        <v>0.5</v>
      </c>
      <c r="AC192" s="102">
        <f t="shared" si="85"/>
        <v>0.5</v>
      </c>
      <c r="AD192" s="102">
        <f t="shared" si="85"/>
        <v>0.5</v>
      </c>
      <c r="AE192" s="102">
        <f t="shared" si="85"/>
        <v>0.5</v>
      </c>
      <c r="AF192" s="102">
        <f t="shared" si="85"/>
        <v>0.5</v>
      </c>
      <c r="AG192" s="102">
        <f t="shared" si="85"/>
        <v>0.5</v>
      </c>
      <c r="AI192" s="50"/>
      <c r="AJ192" s="185" t="s">
        <v>445</v>
      </c>
    </row>
    <row r="193" spans="1:63" outlineLevel="1">
      <c r="A193" t="s">
        <v>430</v>
      </c>
      <c r="B193" s="50" t="s">
        <v>126</v>
      </c>
      <c r="C193" s="113">
        <f>1-C192</f>
        <v>0.5</v>
      </c>
      <c r="D193" s="102">
        <f t="shared" ref="D193:AG193" si="86">C193</f>
        <v>0.5</v>
      </c>
      <c r="E193" s="102">
        <f t="shared" si="86"/>
        <v>0.5</v>
      </c>
      <c r="F193" s="102">
        <f t="shared" si="86"/>
        <v>0.5</v>
      </c>
      <c r="G193" s="102">
        <f t="shared" si="86"/>
        <v>0.5</v>
      </c>
      <c r="H193" s="102">
        <f t="shared" si="86"/>
        <v>0.5</v>
      </c>
      <c r="I193" s="102">
        <f t="shared" si="86"/>
        <v>0.5</v>
      </c>
      <c r="J193" s="102">
        <f t="shared" si="86"/>
        <v>0.5</v>
      </c>
      <c r="K193" s="102">
        <f t="shared" si="86"/>
        <v>0.5</v>
      </c>
      <c r="L193" s="102">
        <f t="shared" si="86"/>
        <v>0.5</v>
      </c>
      <c r="M193" s="102">
        <f t="shared" si="86"/>
        <v>0.5</v>
      </c>
      <c r="N193" s="102">
        <f t="shared" si="86"/>
        <v>0.5</v>
      </c>
      <c r="O193" s="102">
        <f t="shared" si="86"/>
        <v>0.5</v>
      </c>
      <c r="P193" s="102">
        <f t="shared" si="86"/>
        <v>0.5</v>
      </c>
      <c r="Q193" s="102">
        <f t="shared" si="86"/>
        <v>0.5</v>
      </c>
      <c r="R193" s="102">
        <f t="shared" si="86"/>
        <v>0.5</v>
      </c>
      <c r="S193" s="102">
        <f t="shared" si="86"/>
        <v>0.5</v>
      </c>
      <c r="T193" s="102">
        <f t="shared" si="86"/>
        <v>0.5</v>
      </c>
      <c r="U193" s="102">
        <f t="shared" si="86"/>
        <v>0.5</v>
      </c>
      <c r="V193" s="102">
        <f t="shared" si="86"/>
        <v>0.5</v>
      </c>
      <c r="W193" s="102">
        <f t="shared" si="86"/>
        <v>0.5</v>
      </c>
      <c r="X193" s="102">
        <f t="shared" si="86"/>
        <v>0.5</v>
      </c>
      <c r="Y193" s="102">
        <f t="shared" si="86"/>
        <v>0.5</v>
      </c>
      <c r="Z193" s="102">
        <f t="shared" si="86"/>
        <v>0.5</v>
      </c>
      <c r="AA193" s="102">
        <f t="shared" si="86"/>
        <v>0.5</v>
      </c>
      <c r="AB193" s="102">
        <f t="shared" si="86"/>
        <v>0.5</v>
      </c>
      <c r="AC193" s="102">
        <f t="shared" si="86"/>
        <v>0.5</v>
      </c>
      <c r="AD193" s="102">
        <f t="shared" si="86"/>
        <v>0.5</v>
      </c>
      <c r="AE193" s="102">
        <f t="shared" si="86"/>
        <v>0.5</v>
      </c>
      <c r="AF193" s="102">
        <f t="shared" si="86"/>
        <v>0.5</v>
      </c>
      <c r="AG193" s="102">
        <f t="shared" si="86"/>
        <v>0.5</v>
      </c>
      <c r="AJ193" s="196"/>
    </row>
    <row r="194" spans="1:63" outlineLevel="1">
      <c r="A194" t="s">
        <v>418</v>
      </c>
      <c r="B194" s="50" t="s">
        <v>126</v>
      </c>
      <c r="C194" s="102">
        <f t="shared" ref="C194:AG194" si="87">SUM(C192:C193)</f>
        <v>1</v>
      </c>
      <c r="D194" s="102">
        <f t="shared" si="87"/>
        <v>1</v>
      </c>
      <c r="E194" s="102">
        <f t="shared" si="87"/>
        <v>1</v>
      </c>
      <c r="F194" s="102">
        <f t="shared" si="87"/>
        <v>1</v>
      </c>
      <c r="G194" s="102">
        <f t="shared" si="87"/>
        <v>1</v>
      </c>
      <c r="H194" s="102">
        <f t="shared" si="87"/>
        <v>1</v>
      </c>
      <c r="I194" s="102">
        <f t="shared" si="87"/>
        <v>1</v>
      </c>
      <c r="J194" s="102">
        <f t="shared" si="87"/>
        <v>1</v>
      </c>
      <c r="K194" s="102">
        <f t="shared" si="87"/>
        <v>1</v>
      </c>
      <c r="L194" s="102">
        <f t="shared" si="87"/>
        <v>1</v>
      </c>
      <c r="M194" s="102">
        <f t="shared" si="87"/>
        <v>1</v>
      </c>
      <c r="N194" s="102">
        <f t="shared" si="87"/>
        <v>1</v>
      </c>
      <c r="O194" s="102">
        <f t="shared" si="87"/>
        <v>1</v>
      </c>
      <c r="P194" s="102">
        <f t="shared" si="87"/>
        <v>1</v>
      </c>
      <c r="Q194" s="102">
        <f t="shared" si="87"/>
        <v>1</v>
      </c>
      <c r="R194" s="102">
        <f t="shared" si="87"/>
        <v>1</v>
      </c>
      <c r="S194" s="102">
        <f t="shared" si="87"/>
        <v>1</v>
      </c>
      <c r="T194" s="102">
        <f t="shared" si="87"/>
        <v>1</v>
      </c>
      <c r="U194" s="102">
        <f t="shared" si="87"/>
        <v>1</v>
      </c>
      <c r="V194" s="102">
        <f t="shared" si="87"/>
        <v>1</v>
      </c>
      <c r="W194" s="102">
        <f t="shared" si="87"/>
        <v>1</v>
      </c>
      <c r="X194" s="102">
        <f t="shared" si="87"/>
        <v>1</v>
      </c>
      <c r="Y194" s="102">
        <f t="shared" si="87"/>
        <v>1</v>
      </c>
      <c r="Z194" s="102">
        <f t="shared" si="87"/>
        <v>1</v>
      </c>
      <c r="AA194" s="102">
        <f t="shared" si="87"/>
        <v>1</v>
      </c>
      <c r="AB194" s="102">
        <f t="shared" si="87"/>
        <v>1</v>
      </c>
      <c r="AC194" s="102">
        <f t="shared" si="87"/>
        <v>1</v>
      </c>
      <c r="AD194" s="102">
        <f t="shared" si="87"/>
        <v>1</v>
      </c>
      <c r="AE194" s="102">
        <f t="shared" si="87"/>
        <v>1</v>
      </c>
      <c r="AF194" s="102">
        <f t="shared" si="87"/>
        <v>1</v>
      </c>
      <c r="AG194" s="102">
        <f t="shared" si="87"/>
        <v>1</v>
      </c>
      <c r="AH194" s="122"/>
      <c r="AI194" s="50"/>
      <c r="AJ194" s="196"/>
    </row>
    <row r="195" spans="1:63" outlineLevel="1">
      <c r="C195" s="188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22"/>
      <c r="AI195" s="122"/>
      <c r="AJ195" s="196"/>
    </row>
    <row r="196" spans="1:63" outlineLevel="1">
      <c r="A196" t="s">
        <v>440</v>
      </c>
      <c r="B196" s="50" t="s">
        <v>126</v>
      </c>
      <c r="C196" s="102">
        <f>C192*C190</f>
        <v>0</v>
      </c>
      <c r="D196" s="102">
        <f t="shared" ref="D196:AG196" si="88">D192*D190</f>
        <v>1.0443892302892751E-2</v>
      </c>
      <c r="E196" s="102">
        <f t="shared" si="88"/>
        <v>2.0702936954406871E-2</v>
      </c>
      <c r="F196" s="102">
        <f t="shared" si="88"/>
        <v>3.0777133954542357E-2</v>
      </c>
      <c r="G196" s="102">
        <f t="shared" si="88"/>
        <v>4.0666483303299208E-2</v>
      </c>
      <c r="H196" s="102">
        <f t="shared" si="88"/>
        <v>5.037098500067743E-2</v>
      </c>
      <c r="I196" s="102">
        <f t="shared" si="88"/>
        <v>5.9890639046677019E-2</v>
      </c>
      <c r="J196" s="102">
        <f t="shared" si="88"/>
        <v>6.9225445441297981E-2</v>
      </c>
      <c r="K196" s="102">
        <f t="shared" si="88"/>
        <v>7.8375404184540295E-2</v>
      </c>
      <c r="L196" s="102">
        <f t="shared" si="88"/>
        <v>8.7340515276403977E-2</v>
      </c>
      <c r="M196" s="102">
        <f t="shared" si="88"/>
        <v>9.6120778716889038E-2</v>
      </c>
      <c r="N196" s="102">
        <f t="shared" si="88"/>
        <v>0.10159210357333208</v>
      </c>
      <c r="O196" s="102">
        <f t="shared" si="88"/>
        <v>0.10693924273825403</v>
      </c>
      <c r="P196" s="102">
        <f t="shared" si="88"/>
        <v>0.11216219621165489</v>
      </c>
      <c r="Q196" s="102">
        <f t="shared" si="88"/>
        <v>0.11726096399353465</v>
      </c>
      <c r="R196" s="102">
        <f t="shared" si="88"/>
        <v>0.12223554608389334</v>
      </c>
      <c r="S196" s="102">
        <f t="shared" si="88"/>
        <v>0.12708594248273092</v>
      </c>
      <c r="T196" s="102">
        <f t="shared" si="88"/>
        <v>0.13181215319004741</v>
      </c>
      <c r="U196" s="102">
        <f t="shared" si="88"/>
        <v>0.13641417820584284</v>
      </c>
      <c r="V196" s="102">
        <f t="shared" si="88"/>
        <v>0.14089201753011715</v>
      </c>
      <c r="W196" s="102">
        <f t="shared" si="88"/>
        <v>0.14524567116287035</v>
      </c>
      <c r="X196" s="102">
        <f t="shared" si="88"/>
        <v>0.15258045400353457</v>
      </c>
      <c r="Y196" s="102">
        <f t="shared" si="88"/>
        <v>0.1597242701870985</v>
      </c>
      <c r="Z196" s="102">
        <f t="shared" si="88"/>
        <v>0.16667711971356211</v>
      </c>
      <c r="AA196" s="102">
        <f t="shared" si="88"/>
        <v>0.17343900258292549</v>
      </c>
      <c r="AB196" s="102">
        <f t="shared" si="88"/>
        <v>0.18000991879518863</v>
      </c>
      <c r="AC196" s="102">
        <f t="shared" si="88"/>
        <v>0.18638986835035146</v>
      </c>
      <c r="AD196" s="102">
        <f t="shared" si="88"/>
        <v>0.19257885124841398</v>
      </c>
      <c r="AE196" s="102">
        <f t="shared" si="88"/>
        <v>0.19857686748937625</v>
      </c>
      <c r="AF196" s="102">
        <f t="shared" si="88"/>
        <v>0.20438391707323825</v>
      </c>
      <c r="AG196" s="102">
        <f t="shared" si="88"/>
        <v>0.21</v>
      </c>
      <c r="AH196" s="122"/>
      <c r="AI196" s="122"/>
      <c r="AJ196" s="185"/>
    </row>
    <row r="197" spans="1:63" outlineLevel="1">
      <c r="A197" t="s">
        <v>518</v>
      </c>
      <c r="B197" s="50" t="s">
        <v>126</v>
      </c>
      <c r="C197" s="102">
        <f>C190*C193</f>
        <v>0</v>
      </c>
      <c r="D197" s="102">
        <f t="shared" ref="D197:AG197" si="89">D190*D193</f>
        <v>1.0443892302892751E-2</v>
      </c>
      <c r="E197" s="102">
        <f t="shared" si="89"/>
        <v>2.0702936954406871E-2</v>
      </c>
      <c r="F197" s="102">
        <f t="shared" si="89"/>
        <v>3.0777133954542357E-2</v>
      </c>
      <c r="G197" s="102">
        <f t="shared" si="89"/>
        <v>4.0666483303299208E-2</v>
      </c>
      <c r="H197" s="102">
        <f t="shared" si="89"/>
        <v>5.037098500067743E-2</v>
      </c>
      <c r="I197" s="102">
        <f t="shared" si="89"/>
        <v>5.9890639046677019E-2</v>
      </c>
      <c r="J197" s="102">
        <f t="shared" si="89"/>
        <v>6.9225445441297981E-2</v>
      </c>
      <c r="K197" s="102">
        <f t="shared" si="89"/>
        <v>7.8375404184540295E-2</v>
      </c>
      <c r="L197" s="102">
        <f t="shared" si="89"/>
        <v>8.7340515276403977E-2</v>
      </c>
      <c r="M197" s="102">
        <f t="shared" si="89"/>
        <v>9.6120778716889038E-2</v>
      </c>
      <c r="N197" s="102">
        <f t="shared" si="89"/>
        <v>0.10159210357333208</v>
      </c>
      <c r="O197" s="102">
        <f t="shared" si="89"/>
        <v>0.10693924273825403</v>
      </c>
      <c r="P197" s="102">
        <f t="shared" si="89"/>
        <v>0.11216219621165489</v>
      </c>
      <c r="Q197" s="102">
        <f t="shared" si="89"/>
        <v>0.11726096399353465</v>
      </c>
      <c r="R197" s="102">
        <f t="shared" si="89"/>
        <v>0.12223554608389334</v>
      </c>
      <c r="S197" s="102">
        <f t="shared" si="89"/>
        <v>0.12708594248273092</v>
      </c>
      <c r="T197" s="102">
        <f t="shared" si="89"/>
        <v>0.13181215319004741</v>
      </c>
      <c r="U197" s="102">
        <f t="shared" si="89"/>
        <v>0.13641417820584284</v>
      </c>
      <c r="V197" s="102">
        <f t="shared" si="89"/>
        <v>0.14089201753011715</v>
      </c>
      <c r="W197" s="102">
        <f t="shared" si="89"/>
        <v>0.14524567116287035</v>
      </c>
      <c r="X197" s="102">
        <f t="shared" si="89"/>
        <v>0.15258045400353457</v>
      </c>
      <c r="Y197" s="102">
        <f t="shared" si="89"/>
        <v>0.1597242701870985</v>
      </c>
      <c r="Z197" s="102">
        <f t="shared" si="89"/>
        <v>0.16667711971356211</v>
      </c>
      <c r="AA197" s="102">
        <f t="shared" si="89"/>
        <v>0.17343900258292549</v>
      </c>
      <c r="AB197" s="102">
        <f t="shared" si="89"/>
        <v>0.18000991879518863</v>
      </c>
      <c r="AC197" s="102">
        <f t="shared" si="89"/>
        <v>0.18638986835035146</v>
      </c>
      <c r="AD197" s="102">
        <f t="shared" si="89"/>
        <v>0.19257885124841398</v>
      </c>
      <c r="AE197" s="102">
        <f t="shared" si="89"/>
        <v>0.19857686748937625</v>
      </c>
      <c r="AF197" s="102">
        <f t="shared" si="89"/>
        <v>0.20438391707323825</v>
      </c>
      <c r="AG197" s="102">
        <f t="shared" si="89"/>
        <v>0.21</v>
      </c>
      <c r="AJ197" s="185"/>
    </row>
    <row r="198" spans="1:63" outlineLevel="1"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J198" s="185"/>
    </row>
    <row r="199" spans="1:63" outlineLevel="1">
      <c r="A199" t="s">
        <v>1239</v>
      </c>
      <c r="C199" s="203">
        <f>('Overall recycling rates'!F87*'Yearly BTX'!D5+'Overall recycling rates'!G87*'Yearly BTX'!D6+'Overall recycling rates'!H87*'Yearly BTX'!D7)/'Yearly BTX'!D4</f>
        <v>1</v>
      </c>
      <c r="D199" s="203">
        <f>C199-($C199-$AG199)/($AG$1-$C$1)</f>
        <v>1</v>
      </c>
      <c r="E199" s="203">
        <f t="shared" ref="E199:AF199" si="90">D199-($C199-$AG199)/($AG$1-$C$1)</f>
        <v>1</v>
      </c>
      <c r="F199" s="203">
        <f t="shared" si="90"/>
        <v>1</v>
      </c>
      <c r="G199" s="203">
        <f t="shared" si="90"/>
        <v>1</v>
      </c>
      <c r="H199" s="203">
        <f t="shared" si="90"/>
        <v>1</v>
      </c>
      <c r="I199" s="203">
        <f t="shared" si="90"/>
        <v>1</v>
      </c>
      <c r="J199" s="203">
        <f t="shared" si="90"/>
        <v>1</v>
      </c>
      <c r="K199" s="203">
        <f t="shared" si="90"/>
        <v>1</v>
      </c>
      <c r="L199" s="203">
        <f t="shared" si="90"/>
        <v>1</v>
      </c>
      <c r="M199" s="203">
        <f t="shared" si="90"/>
        <v>1</v>
      </c>
      <c r="N199" s="203">
        <f t="shared" si="90"/>
        <v>1</v>
      </c>
      <c r="O199" s="203">
        <f t="shared" si="90"/>
        <v>1</v>
      </c>
      <c r="P199" s="203">
        <f t="shared" si="90"/>
        <v>1</v>
      </c>
      <c r="Q199" s="203">
        <f t="shared" si="90"/>
        <v>1</v>
      </c>
      <c r="R199" s="203">
        <f t="shared" si="90"/>
        <v>1</v>
      </c>
      <c r="S199" s="203">
        <f t="shared" si="90"/>
        <v>1</v>
      </c>
      <c r="T199" s="203">
        <f t="shared" si="90"/>
        <v>1</v>
      </c>
      <c r="U199" s="203">
        <f t="shared" si="90"/>
        <v>1</v>
      </c>
      <c r="V199" s="203">
        <f t="shared" si="90"/>
        <v>1</v>
      </c>
      <c r="W199" s="203">
        <f t="shared" si="90"/>
        <v>1</v>
      </c>
      <c r="X199" s="203">
        <f t="shared" si="90"/>
        <v>1</v>
      </c>
      <c r="Y199" s="203">
        <f t="shared" si="90"/>
        <v>1</v>
      </c>
      <c r="Z199" s="203">
        <f t="shared" si="90"/>
        <v>1</v>
      </c>
      <c r="AA199" s="203">
        <f t="shared" si="90"/>
        <v>1</v>
      </c>
      <c r="AB199" s="203">
        <f t="shared" si="90"/>
        <v>1</v>
      </c>
      <c r="AC199" s="203">
        <f t="shared" si="90"/>
        <v>1</v>
      </c>
      <c r="AD199" s="203">
        <f t="shared" si="90"/>
        <v>1</v>
      </c>
      <c r="AE199" s="203">
        <f t="shared" si="90"/>
        <v>1</v>
      </c>
      <c r="AF199" s="203">
        <f t="shared" si="90"/>
        <v>1</v>
      </c>
      <c r="AG199" s="203">
        <f>'Overall recycling rates'!F96</f>
        <v>1</v>
      </c>
      <c r="AI199" s="124"/>
      <c r="AJ199" s="185" t="s">
        <v>993</v>
      </c>
      <c r="AL199" s="100"/>
      <c r="AM199" s="181"/>
      <c r="AN199" s="181"/>
      <c r="AO199" s="181"/>
      <c r="BC199" s="1"/>
      <c r="BD199" s="181"/>
      <c r="BE199" s="181"/>
      <c r="BF199" s="181"/>
      <c r="BG199" s="181"/>
      <c r="BH199" s="181"/>
      <c r="BI199" s="181"/>
      <c r="BJ199" s="181"/>
      <c r="BK199" s="181"/>
    </row>
    <row r="200" spans="1:63" outlineLevel="1">
      <c r="A200" t="s">
        <v>1247</v>
      </c>
      <c r="B200" s="50" t="s">
        <v>126</v>
      </c>
      <c r="C200" s="102">
        <f>C189*C$199</f>
        <v>0</v>
      </c>
      <c r="D200" s="102">
        <f>D189*D$136</f>
        <v>5.5815966732503163E-4</v>
      </c>
      <c r="E200" s="102">
        <f t="shared" ref="E200:AG200" si="91">E189*E$136</f>
        <v>1.3235870651260113E-3</v>
      </c>
      <c r="F200" s="102">
        <f t="shared" si="91"/>
        <v>2.3142047708323093E-3</v>
      </c>
      <c r="G200" s="102">
        <f t="shared" si="91"/>
        <v>3.547935361873296E-3</v>
      </c>
      <c r="H200" s="102">
        <f t="shared" si="91"/>
        <v>5.0427014156783408E-3</v>
      </c>
      <c r="I200" s="102">
        <f t="shared" si="91"/>
        <v>6.8164255096768147E-3</v>
      </c>
      <c r="J200" s="102">
        <f t="shared" si="91"/>
        <v>8.8870302212980864E-3</v>
      </c>
      <c r="K200" s="102">
        <f t="shared" si="91"/>
        <v>1.1272438127971528E-2</v>
      </c>
      <c r="L200" s="102">
        <f t="shared" si="91"/>
        <v>1.399057180712651E-2</v>
      </c>
      <c r="M200" s="102">
        <f t="shared" si="91"/>
        <v>1.7059353836192403E-2</v>
      </c>
      <c r="N200" s="102">
        <f t="shared" si="91"/>
        <v>1.9885210393762662E-2</v>
      </c>
      <c r="O200" s="102">
        <f t="shared" si="91"/>
        <v>2.2990329495461065E-2</v>
      </c>
      <c r="P200" s="102">
        <f t="shared" si="91"/>
        <v>2.6386752017410774E-2</v>
      </c>
      <c r="Q200" s="102">
        <f t="shared" si="91"/>
        <v>3.0086518835734939E-2</v>
      </c>
      <c r="R200" s="102">
        <f t="shared" si="91"/>
        <v>3.4101670826556726E-2</v>
      </c>
      <c r="S200" s="102">
        <f t="shared" si="91"/>
        <v>3.844424886599928E-2</v>
      </c>
      <c r="T200" s="102">
        <f t="shared" si="91"/>
        <v>4.3126293830185777E-2</v>
      </c>
      <c r="U200" s="102">
        <f t="shared" si="91"/>
        <v>4.8159846595239357E-2</v>
      </c>
      <c r="V200" s="102">
        <f t="shared" si="91"/>
        <v>5.3556948037283177E-2</v>
      </c>
      <c r="W200" s="102">
        <f t="shared" si="91"/>
        <v>5.9329639032440401E-2</v>
      </c>
      <c r="X200" s="102">
        <f t="shared" si="91"/>
        <v>6.6850500752623374E-2</v>
      </c>
      <c r="Y200" s="102">
        <f t="shared" si="91"/>
        <v>7.4932247797590612E-2</v>
      </c>
      <c r="Z200" s="102">
        <f t="shared" si="91"/>
        <v>8.3593396035262418E-2</v>
      </c>
      <c r="AA200" s="102">
        <f t="shared" si="91"/>
        <v>9.2852461333559136E-2</v>
      </c>
      <c r="AB200" s="102">
        <f t="shared" si="91"/>
        <v>0.10272795956040107</v>
      </c>
      <c r="AC200" s="102">
        <f t="shared" si="91"/>
        <v>0.11323840658370854</v>
      </c>
      <c r="AD200" s="102">
        <f t="shared" si="91"/>
        <v>0.1244023182714019</v>
      </c>
      <c r="AE200" s="102">
        <f t="shared" si="91"/>
        <v>0.13623821049140139</v>
      </c>
      <c r="AF200" s="102">
        <f t="shared" si="91"/>
        <v>0.1487645991116274</v>
      </c>
      <c r="AG200" s="102">
        <f t="shared" si="91"/>
        <v>0.16200000000000001</v>
      </c>
      <c r="AI200" s="124"/>
      <c r="AJ200"/>
      <c r="AL200" s="100"/>
      <c r="AM200" s="2"/>
      <c r="AN200" s="2"/>
      <c r="AO200" s="2"/>
      <c r="AV200" s="37"/>
    </row>
    <row r="201" spans="1:63" outlineLevel="1">
      <c r="A201" t="s">
        <v>1248</v>
      </c>
      <c r="B201" s="50" t="s">
        <v>126</v>
      </c>
      <c r="C201" s="102">
        <f>C190*C$199</f>
        <v>0</v>
      </c>
      <c r="D201" s="102">
        <f t="shared" ref="D201:AG201" si="92">D187*D$136</f>
        <v>2.5163049280590398E-2</v>
      </c>
      <c r="E201" s="102">
        <f t="shared" si="92"/>
        <v>2.9835088861341126E-2</v>
      </c>
      <c r="F201" s="102">
        <f t="shared" si="92"/>
        <v>3.4776458005829881E-2</v>
      </c>
      <c r="G201" s="102">
        <f t="shared" si="92"/>
        <v>3.9987156714056657E-2</v>
      </c>
      <c r="H201" s="102">
        <f t="shared" si="92"/>
        <v>4.5467184986021467E-2</v>
      </c>
      <c r="I201" s="102">
        <f t="shared" si="92"/>
        <v>5.1216542821724297E-2</v>
      </c>
      <c r="J201" s="102">
        <f t="shared" si="92"/>
        <v>5.7235230221165154E-2</v>
      </c>
      <c r="K201" s="102">
        <f t="shared" si="92"/>
        <v>6.3523247184344045E-2</v>
      </c>
      <c r="L201" s="102">
        <f t="shared" si="92"/>
        <v>7.0080593711260949E-2</v>
      </c>
      <c r="M201" s="102">
        <f t="shared" si="92"/>
        <v>7.6907269801915909E-2</v>
      </c>
      <c r="N201" s="102">
        <f t="shared" si="92"/>
        <v>8.4003275456308868E-2</v>
      </c>
      <c r="O201" s="102">
        <f t="shared" si="92"/>
        <v>9.1368610674439868E-2</v>
      </c>
      <c r="P201" s="102">
        <f t="shared" si="92"/>
        <v>9.9003275456308881E-2</v>
      </c>
      <c r="Q201" s="102">
        <f t="shared" si="92"/>
        <v>0.10690726980191592</v>
      </c>
      <c r="R201" s="102">
        <f t="shared" si="92"/>
        <v>0.11508059371126099</v>
      </c>
      <c r="S201" s="102">
        <f t="shared" si="92"/>
        <v>0.1235232471843441</v>
      </c>
      <c r="T201" s="102">
        <f t="shared" si="92"/>
        <v>0.13223523022116521</v>
      </c>
      <c r="U201" s="102">
        <f t="shared" si="92"/>
        <v>0.14121654282172436</v>
      </c>
      <c r="V201" s="102">
        <f t="shared" si="92"/>
        <v>0.15046718498602155</v>
      </c>
      <c r="W201" s="102">
        <f t="shared" si="92"/>
        <v>0.15998715671405675</v>
      </c>
      <c r="X201" s="102">
        <f t="shared" si="92"/>
        <v>0.16977645800582997</v>
      </c>
      <c r="Y201" s="102">
        <f t="shared" si="92"/>
        <v>0.17983508886134122</v>
      </c>
      <c r="Z201" s="102">
        <f t="shared" si="92"/>
        <v>0.1901630492805905</v>
      </c>
      <c r="AA201" s="102">
        <f t="shared" si="92"/>
        <v>0.20076033926357781</v>
      </c>
      <c r="AB201" s="102">
        <f t="shared" si="92"/>
        <v>0.21162695881030313</v>
      </c>
      <c r="AC201" s="102">
        <f t="shared" si="92"/>
        <v>0.22276290792076653</v>
      </c>
      <c r="AD201" s="102">
        <f t="shared" si="92"/>
        <v>0.23416818659496794</v>
      </c>
      <c r="AE201" s="102">
        <f t="shared" si="92"/>
        <v>0.24584279483290739</v>
      </c>
      <c r="AF201" s="102">
        <f t="shared" si="92"/>
        <v>0.25778673263458485</v>
      </c>
      <c r="AG201" s="102">
        <f t="shared" si="92"/>
        <v>0.27</v>
      </c>
      <c r="AH201" s="217"/>
      <c r="AI201" s="124"/>
      <c r="AJ201" s="185"/>
      <c r="AL201" s="100"/>
      <c r="AM201" s="2"/>
      <c r="AN201" s="2"/>
      <c r="AO201" s="2"/>
      <c r="AV201" s="37"/>
    </row>
    <row r="202" spans="1:63" outlineLevel="1">
      <c r="A202" t="s">
        <v>1249</v>
      </c>
      <c r="B202" s="156" t="s">
        <v>126</v>
      </c>
      <c r="C202" s="102">
        <f>SUM(C200:C201)</f>
        <v>0</v>
      </c>
      <c r="D202" s="102">
        <f t="shared" ref="D202:AG202" si="93">SUM(D200:D201)</f>
        <v>2.5721208947915429E-2</v>
      </c>
      <c r="E202" s="102">
        <f t="shared" si="93"/>
        <v>3.1158675926467136E-2</v>
      </c>
      <c r="F202" s="102">
        <f t="shared" si="93"/>
        <v>3.7090662776662189E-2</v>
      </c>
      <c r="G202" s="102">
        <f t="shared" si="93"/>
        <v>4.3535092075929954E-2</v>
      </c>
      <c r="H202" s="102">
        <f t="shared" si="93"/>
        <v>5.0509886401699809E-2</v>
      </c>
      <c r="I202" s="102">
        <f t="shared" si="93"/>
        <v>5.8032968331401112E-2</v>
      </c>
      <c r="J202" s="102">
        <f t="shared" si="93"/>
        <v>6.6122260442463235E-2</v>
      </c>
      <c r="K202" s="102">
        <f t="shared" si="93"/>
        <v>7.4795685312315577E-2</v>
      </c>
      <c r="L202" s="102">
        <f t="shared" si="93"/>
        <v>8.4071165518387461E-2</v>
      </c>
      <c r="M202" s="102">
        <f t="shared" si="93"/>
        <v>9.3966623638108315E-2</v>
      </c>
      <c r="N202" s="102">
        <f t="shared" si="93"/>
        <v>0.10388848585007153</v>
      </c>
      <c r="O202" s="102">
        <f t="shared" si="93"/>
        <v>0.11435894016990093</v>
      </c>
      <c r="P202" s="102">
        <f t="shared" si="93"/>
        <v>0.12539002747371966</v>
      </c>
      <c r="Q202" s="102">
        <f t="shared" si="93"/>
        <v>0.13699378863765085</v>
      </c>
      <c r="R202" s="102">
        <f t="shared" si="93"/>
        <v>0.14918226453781772</v>
      </c>
      <c r="S202" s="102">
        <f t="shared" si="93"/>
        <v>0.16196749605034338</v>
      </c>
      <c r="T202" s="102">
        <f t="shared" si="93"/>
        <v>0.17536152405135097</v>
      </c>
      <c r="U202" s="102">
        <f t="shared" si="93"/>
        <v>0.18937638941696372</v>
      </c>
      <c r="V202" s="102">
        <f t="shared" si="93"/>
        <v>0.20402413302330472</v>
      </c>
      <c r="W202" s="102">
        <f t="shared" si="93"/>
        <v>0.21931679574649715</v>
      </c>
      <c r="X202" s="102">
        <f t="shared" si="93"/>
        <v>0.23662695875845335</v>
      </c>
      <c r="Y202" s="102">
        <f t="shared" si="93"/>
        <v>0.25476733665893181</v>
      </c>
      <c r="Z202" s="102">
        <f t="shared" si="93"/>
        <v>0.27375644531585291</v>
      </c>
      <c r="AA202" s="102">
        <f t="shared" si="93"/>
        <v>0.29361280059713696</v>
      </c>
      <c r="AB202" s="102">
        <f t="shared" si="93"/>
        <v>0.31435491837070417</v>
      </c>
      <c r="AC202" s="102">
        <f t="shared" si="93"/>
        <v>0.33600131450447507</v>
      </c>
      <c r="AD202" s="102">
        <f t="shared" si="93"/>
        <v>0.35857050486636982</v>
      </c>
      <c r="AE202" s="102">
        <f t="shared" si="93"/>
        <v>0.38208100532430878</v>
      </c>
      <c r="AF202" s="102">
        <f t="shared" si="93"/>
        <v>0.40655133174621227</v>
      </c>
      <c r="AG202" s="102">
        <f t="shared" si="93"/>
        <v>0.43200000000000005</v>
      </c>
      <c r="AI202" s="124"/>
      <c r="AJ202" s="185"/>
      <c r="AL202" s="100"/>
      <c r="AM202" s="2"/>
      <c r="AN202" s="2"/>
      <c r="AO202" s="2"/>
    </row>
    <row r="203" spans="1:63" outlineLevel="1">
      <c r="A203" t="s">
        <v>1253</v>
      </c>
      <c r="B203" s="50" t="s">
        <v>126</v>
      </c>
      <c r="C203" s="102">
        <f>C192*C201</f>
        <v>0</v>
      </c>
      <c r="D203" s="102">
        <f t="shared" ref="D203:AG203" si="94">D189*D201</f>
        <v>3.2559313927293514E-5</v>
      </c>
      <c r="E203" s="102">
        <f t="shared" si="94"/>
        <v>8.8239137675067425E-5</v>
      </c>
      <c r="F203" s="102">
        <f t="shared" si="94"/>
        <v>1.735653578124232E-4</v>
      </c>
      <c r="G203" s="102">
        <f t="shared" si="94"/>
        <v>2.9566128015610796E-4</v>
      </c>
      <c r="H203" s="102">
        <f t="shared" si="94"/>
        <v>4.6224762977051459E-4</v>
      </c>
      <c r="I203" s="102">
        <f t="shared" si="94"/>
        <v>6.8164255096768141E-4</v>
      </c>
      <c r="J203" s="102">
        <f t="shared" si="94"/>
        <v>9.6276160730729258E-4</v>
      </c>
      <c r="K203" s="102">
        <f t="shared" si="94"/>
        <v>1.3151177815966784E-3</v>
      </c>
      <c r="L203" s="102">
        <f t="shared" si="94"/>
        <v>1.7488214758908133E-3</v>
      </c>
      <c r="M203" s="102">
        <f t="shared" si="94"/>
        <v>2.2745805114923207E-3</v>
      </c>
      <c r="N203" s="102">
        <f t="shared" si="94"/>
        <v>2.81707147244971E-3</v>
      </c>
      <c r="O203" s="102">
        <f t="shared" si="94"/>
        <v>3.4485494243191601E-3</v>
      </c>
      <c r="P203" s="102">
        <f t="shared" si="94"/>
        <v>4.1779024027567054E-3</v>
      </c>
      <c r="Q203" s="102">
        <f t="shared" si="94"/>
        <v>5.0144198059558229E-3</v>
      </c>
      <c r="R203" s="102">
        <f t="shared" si="94"/>
        <v>5.9677923946474263E-3</v>
      </c>
      <c r="S203" s="102">
        <f t="shared" si="94"/>
        <v>7.0481122920998682E-3</v>
      </c>
      <c r="T203" s="102">
        <f t="shared" si="94"/>
        <v>8.2658729841189396E-3</v>
      </c>
      <c r="U203" s="102">
        <f t="shared" si="94"/>
        <v>9.6319693190478686E-3</v>
      </c>
      <c r="V203" s="102">
        <f t="shared" si="94"/>
        <v>1.1157697507767328E-2</v>
      </c>
      <c r="W203" s="102">
        <f t="shared" si="94"/>
        <v>1.2854755123695419E-2</v>
      </c>
      <c r="X203" s="102">
        <f t="shared" si="94"/>
        <v>1.5041362669340258E-2</v>
      </c>
      <c r="Y203" s="102">
        <f t="shared" si="94"/>
        <v>1.7484191152771139E-2</v>
      </c>
      <c r="Z203" s="102">
        <f t="shared" si="94"/>
        <v>2.0201737375188416E-2</v>
      </c>
      <c r="AA203" s="102">
        <f t="shared" si="94"/>
        <v>2.3213115333389781E-2</v>
      </c>
      <c r="AB203" s="102">
        <f t="shared" si="94"/>
        <v>2.6538056219770272E-2</v>
      </c>
      <c r="AC203" s="102">
        <f t="shared" si="94"/>
        <v>3.0196908422322276E-2</v>
      </c>
      <c r="AD203" s="102">
        <f t="shared" si="94"/>
        <v>3.4210637524635525E-2</v>
      </c>
      <c r="AE203" s="102">
        <f t="shared" si="94"/>
        <v>3.8600826305897069E-2</v>
      </c>
      <c r="AF203" s="102">
        <f t="shared" si="94"/>
        <v>4.3389674740891331E-2</v>
      </c>
      <c r="AG203" s="102">
        <f t="shared" si="94"/>
        <v>4.8600000000000004E-2</v>
      </c>
      <c r="AI203" s="124"/>
      <c r="AJ203" s="185"/>
      <c r="BD203" s="177"/>
      <c r="BE203" s="177"/>
    </row>
    <row r="204" spans="1:63" outlineLevel="1">
      <c r="A204" t="s">
        <v>1254</v>
      </c>
      <c r="B204" s="50" t="s">
        <v>126</v>
      </c>
      <c r="C204" s="102">
        <f>C193*C201</f>
        <v>0</v>
      </c>
      <c r="D204" s="102">
        <f t="shared" ref="D204:AG204" si="95">D191*D201</f>
        <v>0</v>
      </c>
      <c r="E204" s="102">
        <f t="shared" si="95"/>
        <v>0</v>
      </c>
      <c r="F204" s="102">
        <f t="shared" si="95"/>
        <v>0</v>
      </c>
      <c r="G204" s="102">
        <f t="shared" si="95"/>
        <v>0</v>
      </c>
      <c r="H204" s="102">
        <f t="shared" si="95"/>
        <v>0</v>
      </c>
      <c r="I204" s="102">
        <f t="shared" si="95"/>
        <v>0</v>
      </c>
      <c r="J204" s="102">
        <f t="shared" si="95"/>
        <v>0</v>
      </c>
      <c r="K204" s="102">
        <f t="shared" si="95"/>
        <v>0</v>
      </c>
      <c r="L204" s="102">
        <f t="shared" si="95"/>
        <v>0</v>
      </c>
      <c r="M204" s="102">
        <f t="shared" si="95"/>
        <v>0</v>
      </c>
      <c r="N204" s="102">
        <f t="shared" si="95"/>
        <v>0</v>
      </c>
      <c r="O204" s="102">
        <f t="shared" si="95"/>
        <v>0</v>
      </c>
      <c r="P204" s="102">
        <f t="shared" si="95"/>
        <v>0</v>
      </c>
      <c r="Q204" s="102">
        <f t="shared" si="95"/>
        <v>0</v>
      </c>
      <c r="R204" s="102">
        <f t="shared" si="95"/>
        <v>0</v>
      </c>
      <c r="S204" s="102">
        <f t="shared" si="95"/>
        <v>0</v>
      </c>
      <c r="T204" s="102">
        <f t="shared" si="95"/>
        <v>0</v>
      </c>
      <c r="U204" s="102">
        <f t="shared" si="95"/>
        <v>0</v>
      </c>
      <c r="V204" s="102">
        <f t="shared" si="95"/>
        <v>0</v>
      </c>
      <c r="W204" s="102">
        <f t="shared" si="95"/>
        <v>0</v>
      </c>
      <c r="X204" s="102">
        <f t="shared" si="95"/>
        <v>0</v>
      </c>
      <c r="Y204" s="102">
        <f t="shared" si="95"/>
        <v>0</v>
      </c>
      <c r="Z204" s="102">
        <f t="shared" si="95"/>
        <v>0</v>
      </c>
      <c r="AA204" s="102">
        <f t="shared" si="95"/>
        <v>0</v>
      </c>
      <c r="AB204" s="102">
        <f t="shared" si="95"/>
        <v>0</v>
      </c>
      <c r="AC204" s="102">
        <f t="shared" si="95"/>
        <v>0</v>
      </c>
      <c r="AD204" s="102">
        <f t="shared" si="95"/>
        <v>0</v>
      </c>
      <c r="AE204" s="102">
        <f t="shared" si="95"/>
        <v>0</v>
      </c>
      <c r="AF204" s="102">
        <f t="shared" si="95"/>
        <v>0</v>
      </c>
      <c r="AG204" s="102">
        <f t="shared" si="95"/>
        <v>0</v>
      </c>
      <c r="AI204" s="125"/>
      <c r="AJ204" s="185"/>
      <c r="BC204" s="1"/>
      <c r="BD204" s="37"/>
      <c r="BF204" s="6"/>
      <c r="BG204" s="6"/>
      <c r="BH204" s="6"/>
      <c r="BI204" s="6"/>
      <c r="BJ204" s="6"/>
    </row>
    <row r="205" spans="1:63" outlineLevel="1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I205" s="125"/>
      <c r="AJ205" s="185"/>
      <c r="BC205" s="1"/>
      <c r="BD205" s="37"/>
      <c r="BF205" s="6"/>
      <c r="BG205" s="6"/>
      <c r="BH205" s="6"/>
      <c r="BI205" s="6"/>
      <c r="BJ205" s="6"/>
    </row>
    <row r="206" spans="1:63" s="1" customFormat="1" outlineLevel="1">
      <c r="A206" s="1" t="s">
        <v>265</v>
      </c>
      <c r="B206" s="60"/>
      <c r="C206" s="250">
        <f>'BTX Recycling HC'!C206</f>
        <v>0</v>
      </c>
      <c r="D206" s="250">
        <f>'BTX Recycling HC'!D206</f>
        <v>139.97581628488709</v>
      </c>
      <c r="E206" s="250">
        <f>'BTX Recycling HC'!E206</f>
        <v>331.19767139118858</v>
      </c>
      <c r="F206" s="250">
        <f>'BTX Recycling HC'!F206</f>
        <v>577.79894899130204</v>
      </c>
      <c r="G206" s="250">
        <f>'BTX Recycling HC'!G206</f>
        <v>883.87502926869797</v>
      </c>
      <c r="H206" s="250">
        <f>'BTX Recycling HC'!H206</f>
        <v>1253.4835014300218</v>
      </c>
      <c r="I206" s="250">
        <f>'BTX Recycling HC'!I206</f>
        <v>1638.403464076865</v>
      </c>
      <c r="J206" s="250">
        <f>'BTX Recycling HC'!J206</f>
        <v>2063.4210617783674</v>
      </c>
      <c r="K206" s="250">
        <f>'BTX Recycling HC'!K206</f>
        <v>2525.4847318253337</v>
      </c>
      <c r="L206" s="250">
        <f>'BTX Recycling HC'!L206</f>
        <v>3021.0228666685116</v>
      </c>
      <c r="M206" s="250">
        <f>'BTX Recycling HC'!M206</f>
        <v>3545.9496984628768</v>
      </c>
      <c r="N206" s="250">
        <f>'BTX Recycling HC'!N206</f>
        <v>3973.4813613083229</v>
      </c>
      <c r="O206" s="250">
        <f>'BTX Recycling HC'!O206</f>
        <v>4409.9313526629385</v>
      </c>
      <c r="P206" s="250">
        <f>'BTX Recycling HC'!P206</f>
        <v>4851.1257821587715</v>
      </c>
      <c r="Q206" s="250">
        <f>'BTX Recycling HC'!Q206</f>
        <v>5292.5646818035821</v>
      </c>
      <c r="R206" s="250">
        <f>'BTX Recycling HC'!R206</f>
        <v>5729.4258075839907</v>
      </c>
      <c r="S206" s="250">
        <f>'BTX Recycling HC'!S206</f>
        <v>6241.4415749378059</v>
      </c>
      <c r="T206" s="250">
        <f>'BTX Recycling HC'!T206</f>
        <v>6758.5360162590341</v>
      </c>
      <c r="U206" s="250">
        <f>'BTX Recycling HC'!U206</f>
        <v>7277.1250428922913</v>
      </c>
      <c r="V206" s="250">
        <f>'BTX Recycling HC'!V206</f>
        <v>7793.4030019883412</v>
      </c>
      <c r="W206" s="250">
        <f>'BTX Recycling HC'!W206</f>
        <v>8303.3452961607709</v>
      </c>
      <c r="X206" s="250">
        <f>'BTX Recycling HC'!X206</f>
        <v>8985.5854737175778</v>
      </c>
      <c r="Y206" s="250">
        <f>'BTX Recycling HC'!Y206</f>
        <v>9658.5654021938335</v>
      </c>
      <c r="Z206" s="250">
        <f>'BTX Recycling HC'!Z206</f>
        <v>10315.858743336479</v>
      </c>
      <c r="AA206" s="250">
        <f>'BTX Recycling HC'!AA206</f>
        <v>10950.711306978319</v>
      </c>
      <c r="AB206" s="250">
        <f>'BTX Recycling HC'!AB206</f>
        <v>11556.044983921269</v>
      </c>
      <c r="AC206" s="250">
        <f>'BTX Recycling HC'!AC206</f>
        <v>12003.539494644547</v>
      </c>
      <c r="AD206" s="250">
        <f>'BTX Recycling HC'!AD206</f>
        <v>12383.146395784213</v>
      </c>
      <c r="AE206" s="250">
        <f>'BTX Recycling HC'!AE206</f>
        <v>12684.851701471891</v>
      </c>
      <c r="AF206" s="250">
        <f>'BTX Recycling HC'!AF206</f>
        <v>12898.272640940231</v>
      </c>
      <c r="AG206" s="250">
        <f>'BTX Recycling HC'!AG206</f>
        <v>13012.662224394182</v>
      </c>
      <c r="AH206" s="217"/>
      <c r="AI206" s="368"/>
      <c r="AJ206" s="369"/>
      <c r="AL206" s="194"/>
      <c r="AM206" s="116"/>
      <c r="AN206" s="116"/>
      <c r="AO206" s="116"/>
      <c r="BD206" s="116"/>
      <c r="BE206" s="116"/>
      <c r="BF206" s="116"/>
      <c r="BG206" s="116"/>
      <c r="BH206" s="116"/>
      <c r="BI206" s="116"/>
      <c r="BJ206" s="116"/>
      <c r="BK206" s="116"/>
    </row>
    <row r="207" spans="1:63" outlineLevel="1">
      <c r="A207" s="4" t="s">
        <v>35</v>
      </c>
      <c r="C207" s="203">
        <f>C$206*'BTX recycling rates'!E74</f>
        <v>0</v>
      </c>
      <c r="D207" s="203">
        <f>D$206*'BTX recycling rates'!F74</f>
        <v>4.6658124419884501</v>
      </c>
      <c r="E207" s="203">
        <f>E$206*'BTX recycling rates'!G74</f>
        <v>22.079617135998848</v>
      </c>
      <c r="F207" s="203">
        <f>F$206*'BTX recycling rates'!H74</f>
        <v>57.779299240190348</v>
      </c>
      <c r="G207" s="203">
        <f>G$206*'BTX recycling rates'!I74</f>
        <v>117.8487889745582</v>
      </c>
      <c r="H207" s="203">
        <f>H$206*'BTX recycling rates'!J74</f>
        <v>208.91176318972808</v>
      </c>
      <c r="I207" s="203">
        <f>I$206*'BTX recycling rates'!K74</f>
        <v>327.6773147210647</v>
      </c>
      <c r="J207" s="203">
        <f>J$206*'BTX recycling rates'!L74</f>
        <v>481.45995094312548</v>
      </c>
      <c r="K207" s="203">
        <f>K$206*'BTX recycling rates'!M74</f>
        <v>673.455652357556</v>
      </c>
      <c r="L207" s="203">
        <f>L$206*'BTX recycling rates'!N74</f>
        <v>906.29751678896821</v>
      </c>
      <c r="M207" s="203">
        <f>M$206*'BTX recycling rates'!O74</f>
        <v>1181.9710476330033</v>
      </c>
      <c r="N207" s="203">
        <f>N$206*'BTX recycling rates'!P74</f>
        <v>1456.9281460345785</v>
      </c>
      <c r="O207" s="203">
        <f>O$206*'BTX recycling rates'!Q74</f>
        <v>1763.9543560889722</v>
      </c>
      <c r="P207" s="203">
        <f>P$206*'BTX recycling rates'!R74</f>
        <v>2102.1328342729216</v>
      </c>
      <c r="Q207" s="203">
        <f>Q$206*'BTX recycling rates'!S74</f>
        <v>2469.8380560953765</v>
      </c>
      <c r="R207" s="203">
        <f>R$206*'BTX recycling rates'!T74</f>
        <v>2864.6833711690251</v>
      </c>
      <c r="S207" s="203">
        <f>S$206*'BTX recycling rates'!U74</f>
        <v>3328.7345233429983</v>
      </c>
      <c r="T207" s="203">
        <f>T$206*'BTX recycling rates'!V74</f>
        <v>3829.7975936917824</v>
      </c>
      <c r="U207" s="203">
        <f>U$206*'BTX recycling rates'!W74</f>
        <v>4366.2300133524768</v>
      </c>
      <c r="V207" s="203">
        <f>V$206*'BTX recycling rates'!X74</f>
        <v>4935.7710173584692</v>
      </c>
      <c r="W207" s="203">
        <f>W$206*'BTX recycling rates'!Y74</f>
        <v>5535.5064640742612</v>
      </c>
      <c r="X207" s="203">
        <f>X$206*'BTX recycling rates'!Z74</f>
        <v>6289.8449882683262</v>
      </c>
      <c r="Y207" s="203">
        <f>Y$206*'BTX recycling rates'!AA74</f>
        <v>7082.8749427623534</v>
      </c>
      <c r="Z207" s="203">
        <f>Z$206*'BTX recycling rates'!AB74</f>
        <v>7908.743503658935</v>
      </c>
      <c r="AA207" s="203">
        <f>AA$206*'BTX recycling rates'!AC74</f>
        <v>8760.4787319661373</v>
      </c>
      <c r="AB207" s="203">
        <f>AB$206*'BTX recycling rates'!AD74</f>
        <v>9629.9382095440415</v>
      </c>
      <c r="AC207" s="203">
        <f>AC$206*'BTX recycling rates'!AE74</f>
        <v>10402.960315720893</v>
      </c>
      <c r="AD207" s="203">
        <f>AD$206*'BTX recycling rates'!AF74</f>
        <v>11144.716862977264</v>
      </c>
      <c r="AE207" s="203">
        <f>AE$206*'BTX recycling rates'!AG74</f>
        <v>11839.072869883223</v>
      </c>
      <c r="AF207" s="203">
        <f>AF$206*'BTX recycling rates'!AH74</f>
        <v>12468.201682263858</v>
      </c>
      <c r="AG207" s="203">
        <f>AG$206*'BTX recycling rates'!AI74</f>
        <v>13012.528075507294</v>
      </c>
      <c r="AH207" s="217"/>
      <c r="AI207" s="124"/>
      <c r="AJ207" s="185"/>
      <c r="AL207" s="100"/>
      <c r="AM207" s="2"/>
      <c r="AN207" s="2"/>
      <c r="AO207" s="2"/>
      <c r="BC207" s="1"/>
      <c r="BD207" s="2"/>
      <c r="BE207" s="2"/>
      <c r="BF207" s="2"/>
      <c r="BG207" s="2"/>
      <c r="BH207" s="2"/>
      <c r="BI207" s="2"/>
      <c r="BJ207" s="2"/>
      <c r="BK207" s="2"/>
    </row>
    <row r="208" spans="1:63" outlineLevel="1">
      <c r="A208" s="4" t="s">
        <v>74</v>
      </c>
      <c r="C208" s="203">
        <f>C$206*'BTX recycling rates'!E75</f>
        <v>0</v>
      </c>
      <c r="D208" s="203">
        <f>D$206*'BTX recycling rates'!F75</f>
        <v>0</v>
      </c>
      <c r="E208" s="203">
        <f>E$206*'BTX recycling rates'!G75</f>
        <v>0</v>
      </c>
      <c r="F208" s="203">
        <f>F$206*'BTX recycling rates'!H75</f>
        <v>0</v>
      </c>
      <c r="G208" s="203">
        <f>G$206*'BTX recycling rates'!I75</f>
        <v>0</v>
      </c>
      <c r="H208" s="203">
        <f>H$206*'BTX recycling rates'!J75</f>
        <v>0</v>
      </c>
      <c r="I208" s="203">
        <f>I$206*'BTX recycling rates'!K75</f>
        <v>0</v>
      </c>
      <c r="J208" s="203">
        <f>J$206*'BTX recycling rates'!L75</f>
        <v>0</v>
      </c>
      <c r="K208" s="203">
        <f>K$206*'BTX recycling rates'!M75</f>
        <v>0</v>
      </c>
      <c r="L208" s="203">
        <f>L$206*'BTX recycling rates'!N75</f>
        <v>0</v>
      </c>
      <c r="M208" s="203">
        <f>M$206*'BTX recycling rates'!O75</f>
        <v>0</v>
      </c>
      <c r="N208" s="203">
        <f>N$206*'BTX recycling rates'!P75</f>
        <v>0</v>
      </c>
      <c r="O208" s="203">
        <f>O$206*'BTX recycling rates'!Q75</f>
        <v>0</v>
      </c>
      <c r="P208" s="203">
        <f>P$206*'BTX recycling rates'!R75</f>
        <v>0</v>
      </c>
      <c r="Q208" s="203">
        <f>Q$206*'BTX recycling rates'!S75</f>
        <v>0</v>
      </c>
      <c r="R208" s="203">
        <f>R$206*'BTX recycling rates'!T75</f>
        <v>0</v>
      </c>
      <c r="S208" s="203">
        <f>S$206*'BTX recycling rates'!U75</f>
        <v>0</v>
      </c>
      <c r="T208" s="203">
        <f>T$206*'BTX recycling rates'!V75</f>
        <v>0</v>
      </c>
      <c r="U208" s="203">
        <f>U$206*'BTX recycling rates'!W75</f>
        <v>0</v>
      </c>
      <c r="V208" s="203">
        <f>V$206*'BTX recycling rates'!X75</f>
        <v>0</v>
      </c>
      <c r="W208" s="203">
        <f>W$206*'BTX recycling rates'!Y75</f>
        <v>0</v>
      </c>
      <c r="X208" s="203">
        <f>X$206*'BTX recycling rates'!Z75</f>
        <v>0</v>
      </c>
      <c r="Y208" s="203">
        <f>Y$206*'BTX recycling rates'!AA75</f>
        <v>0</v>
      </c>
      <c r="Z208" s="203">
        <f>Z$206*'BTX recycling rates'!AB75</f>
        <v>0</v>
      </c>
      <c r="AA208" s="203">
        <f>AA$206*'BTX recycling rates'!AC75</f>
        <v>0</v>
      </c>
      <c r="AB208" s="203">
        <f>AB$206*'BTX recycling rates'!AD75</f>
        <v>0</v>
      </c>
      <c r="AC208" s="203">
        <f>AC$206*'BTX recycling rates'!AE75</f>
        <v>0</v>
      </c>
      <c r="AD208" s="203">
        <f>AD$206*'BTX recycling rates'!AF75</f>
        <v>0</v>
      </c>
      <c r="AE208" s="203">
        <f>AE$206*'BTX recycling rates'!AG75</f>
        <v>0</v>
      </c>
      <c r="AF208" s="203">
        <f>AF$206*'BTX recycling rates'!AH75</f>
        <v>0</v>
      </c>
      <c r="AG208" s="203">
        <f>AG$206*'BTX recycling rates'!AI75</f>
        <v>0</v>
      </c>
      <c r="AH208" s="217"/>
      <c r="AI208" s="124"/>
      <c r="AJ208" s="185"/>
      <c r="AL208" s="100"/>
      <c r="AM208" s="2"/>
      <c r="AN208" s="2"/>
      <c r="AO208" s="2"/>
      <c r="BC208" s="1"/>
      <c r="BD208" s="2"/>
      <c r="BE208" s="2"/>
      <c r="BF208" s="2"/>
      <c r="BG208" s="2"/>
      <c r="BH208" s="2"/>
      <c r="BI208" s="2"/>
      <c r="BJ208" s="2"/>
      <c r="BK208" s="2"/>
    </row>
    <row r="209" spans="1:63" outlineLevel="1">
      <c r="A209" s="4" t="s">
        <v>160</v>
      </c>
      <c r="C209" s="203">
        <f>C$206*'BTX recycling rates'!E76</f>
        <v>0</v>
      </c>
      <c r="D209" s="203">
        <f>D$206*'BTX recycling rates'!F76</f>
        <v>0</v>
      </c>
      <c r="E209" s="203">
        <f>E$206*'BTX recycling rates'!G76</f>
        <v>0</v>
      </c>
      <c r="F209" s="203">
        <f>F$206*'BTX recycling rates'!H76</f>
        <v>0</v>
      </c>
      <c r="G209" s="203">
        <f>G$206*'BTX recycling rates'!I76</f>
        <v>0</v>
      </c>
      <c r="H209" s="203">
        <f>H$206*'BTX recycling rates'!J76</f>
        <v>0</v>
      </c>
      <c r="I209" s="203">
        <f>I$206*'BTX recycling rates'!K76</f>
        <v>0</v>
      </c>
      <c r="J209" s="203">
        <f>J$206*'BTX recycling rates'!L76</f>
        <v>0</v>
      </c>
      <c r="K209" s="203">
        <f>K$206*'BTX recycling rates'!M76</f>
        <v>0</v>
      </c>
      <c r="L209" s="203">
        <f>L$206*'BTX recycling rates'!N76</f>
        <v>0</v>
      </c>
      <c r="M209" s="203">
        <f>M$206*'BTX recycling rates'!O76</f>
        <v>0</v>
      </c>
      <c r="N209" s="203">
        <f>N$206*'BTX recycling rates'!P76</f>
        <v>0</v>
      </c>
      <c r="O209" s="203">
        <f>O$206*'BTX recycling rates'!Q76</f>
        <v>0</v>
      </c>
      <c r="P209" s="203">
        <f>P$206*'BTX recycling rates'!R76</f>
        <v>0</v>
      </c>
      <c r="Q209" s="203">
        <f>Q$206*'BTX recycling rates'!S76</f>
        <v>0</v>
      </c>
      <c r="R209" s="203">
        <f>R$206*'BTX recycling rates'!T76</f>
        <v>0</v>
      </c>
      <c r="S209" s="203">
        <f>S$206*'BTX recycling rates'!U76</f>
        <v>0</v>
      </c>
      <c r="T209" s="203">
        <f>T$206*'BTX recycling rates'!V76</f>
        <v>0</v>
      </c>
      <c r="U209" s="203">
        <f>U$206*'BTX recycling rates'!W76</f>
        <v>0</v>
      </c>
      <c r="V209" s="203">
        <f>V$206*'BTX recycling rates'!X76</f>
        <v>0</v>
      </c>
      <c r="W209" s="203">
        <f>W$206*'BTX recycling rates'!Y76</f>
        <v>0</v>
      </c>
      <c r="X209" s="203">
        <f>X$206*'BTX recycling rates'!Z76</f>
        <v>0</v>
      </c>
      <c r="Y209" s="203">
        <f>Y$206*'BTX recycling rates'!AA76</f>
        <v>0</v>
      </c>
      <c r="Z209" s="203">
        <f>Z$206*'BTX recycling rates'!AB76</f>
        <v>0</v>
      </c>
      <c r="AA209" s="203">
        <f>AA$206*'BTX recycling rates'!AC76</f>
        <v>0</v>
      </c>
      <c r="AB209" s="203">
        <f>AB$206*'BTX recycling rates'!AD76</f>
        <v>0</v>
      </c>
      <c r="AC209" s="203">
        <f>AC$206*'BTX recycling rates'!AE76</f>
        <v>0</v>
      </c>
      <c r="AD209" s="203">
        <f>AD$206*'BTX recycling rates'!AF76</f>
        <v>0</v>
      </c>
      <c r="AE209" s="203">
        <f>AE$206*'BTX recycling rates'!AG76</f>
        <v>0</v>
      </c>
      <c r="AF209" s="203">
        <f>AF$206*'BTX recycling rates'!AH76</f>
        <v>0</v>
      </c>
      <c r="AG209" s="203">
        <f>AG$206*'BTX recycling rates'!AI76</f>
        <v>0</v>
      </c>
      <c r="AH209" s="217"/>
      <c r="AI209" s="124"/>
      <c r="AJ209" s="185"/>
      <c r="AL209" s="100"/>
      <c r="AM209" s="2"/>
      <c r="AN209" s="2"/>
      <c r="AO209" s="2"/>
      <c r="BC209" s="1"/>
      <c r="BD209" s="2"/>
      <c r="BE209" s="2"/>
      <c r="BF209" s="2"/>
      <c r="BG209" s="2"/>
      <c r="BH209" s="2"/>
      <c r="BI209" s="2"/>
      <c r="BJ209" s="2"/>
      <c r="BK209" s="2"/>
    </row>
    <row r="210" spans="1:63" outlineLevel="1">
      <c r="A210" s="4" t="s">
        <v>1040</v>
      </c>
      <c r="C210" s="203">
        <f>C$206*'BTX recycling rates'!E77</f>
        <v>0</v>
      </c>
      <c r="D210" s="203">
        <f>D$206*'BTX recycling rates'!F77</f>
        <v>4.8100841119490732E-5</v>
      </c>
      <c r="E210" s="203">
        <f>E$206*'BTX recycling rates'!G77</f>
        <v>2.2762341372325884E-4</v>
      </c>
      <c r="F210" s="203">
        <f>F$206*'BTX recycling rates'!H77</f>
        <v>5.9565893985302786E-4</v>
      </c>
      <c r="G210" s="203">
        <f>G$206*'BTX recycling rates'!I77</f>
        <v>1.2149279348601058E-3</v>
      </c>
      <c r="H210" s="203">
        <f>H$206*'BTX recycling rates'!J77</f>
        <v>2.1537152755542886E-3</v>
      </c>
      <c r="I210" s="203">
        <f>I$206*'BTX recycling rates'!K77</f>
        <v>3.3780943082963111E-3</v>
      </c>
      <c r="J210" s="203">
        <f>J$206*'BTX recycling rates'!L77</f>
        <v>4.9634718269651375E-3</v>
      </c>
      <c r="K210" s="203">
        <f>K$206*'BTX recycling rates'!M77</f>
        <v>6.9427958662796972E-3</v>
      </c>
      <c r="L210" s="203">
        <f>L$206*'BTX recycling rates'!N77</f>
        <v>9.3432115851353522E-3</v>
      </c>
      <c r="M210" s="203">
        <f>M$206*'BTX recycling rates'!O77</f>
        <v>1.2185187955348563E-2</v>
      </c>
      <c r="N210" s="203">
        <f>N$206*'BTX recycling rates'!P77</f>
        <v>1.5019778472933515E-2</v>
      </c>
      <c r="O210" s="203">
        <f>O$206*'BTX recycling rates'!Q77</f>
        <v>1.8184976202795956E-2</v>
      </c>
      <c r="P210" s="203">
        <f>P$206*'BTX recycling rates'!R77</f>
        <v>2.1671329212353468E-2</v>
      </c>
      <c r="Q210" s="203">
        <f>Q$206*'BTX recycling rates'!S77</f>
        <v>2.5462079627976968E-2</v>
      </c>
      <c r="R210" s="203">
        <f>R$206*'BTX recycling rates'!T77</f>
        <v>2.9532622969200256E-2</v>
      </c>
      <c r="S210" s="203">
        <f>S$206*'BTX recycling rates'!U77</f>
        <v>3.4316623830693123E-2</v>
      </c>
      <c r="T210" s="203">
        <f>T$206*'BTX recycling rates'!V77</f>
        <v>3.9482188335772037E-2</v>
      </c>
      <c r="U210" s="203">
        <f>U$206*'BTX recycling rates'!W77</f>
        <v>4.5012382896796127E-2</v>
      </c>
      <c r="V210" s="203">
        <f>V$206*'BTX recycling rates'!X77</f>
        <v>5.0883900812559633E-2</v>
      </c>
      <c r="W210" s="203">
        <f>W$206*'BTX recycling rates'!Y77</f>
        <v>5.7066699584451319E-2</v>
      </c>
      <c r="X210" s="203">
        <f>X$206*'BTX recycling rates'!Z77</f>
        <v>6.4843333976361509E-2</v>
      </c>
      <c r="Y210" s="203">
        <f>Y$206*'BTX recycling rates'!AA77</f>
        <v>7.3018846455353836E-2</v>
      </c>
      <c r="Z210" s="203">
        <f>Z$206*'BTX recycling rates'!AB77</f>
        <v>8.1532899029730183E-2</v>
      </c>
      <c r="AA210" s="203">
        <f>AA$206*'BTX recycling rates'!AC77</f>
        <v>9.0313616515068668E-2</v>
      </c>
      <c r="AB210" s="203">
        <f>AB$206*'BTX recycling rates'!AD77</f>
        <v>9.9277057011400938E-2</v>
      </c>
      <c r="AC210" s="203">
        <f>AC$206*'BTX recycling rates'!AE77</f>
        <v>0.10724630437686519</v>
      </c>
      <c r="AD210" s="203">
        <f>AD$206*'BTX recycling rates'!AF77</f>
        <v>0.11489322852405939</v>
      </c>
      <c r="AE210" s="203">
        <f>AE$206*'BTX recycling rates'!AG77</f>
        <v>0.12205149053819078</v>
      </c>
      <c r="AF210" s="203">
        <f>AF$206*'BTX recycling rates'!AH77</f>
        <v>0.12853731169458471</v>
      </c>
      <c r="AG210" s="203">
        <f>AG$206*'BTX recycling rates'!AI77</f>
        <v>0.13414888688841947</v>
      </c>
      <c r="AH210" s="217"/>
      <c r="AI210" s="124"/>
      <c r="AJ210" s="185"/>
      <c r="AL210" s="100"/>
      <c r="AM210" s="2"/>
      <c r="AN210" s="2"/>
      <c r="AO210" s="2"/>
      <c r="BC210" s="1"/>
      <c r="BD210" s="2"/>
      <c r="BE210" s="2"/>
      <c r="BF210" s="2"/>
      <c r="BG210" s="2"/>
      <c r="BH210" s="2"/>
      <c r="BI210" s="2"/>
      <c r="BJ210" s="2"/>
      <c r="BK210" s="2"/>
    </row>
    <row r="211" spans="1:63" s="1" customFormat="1" outlineLevel="1">
      <c r="A211" s="1" t="s">
        <v>1041</v>
      </c>
      <c r="B211" s="60"/>
      <c r="C211" s="250">
        <f t="shared" ref="C211:AG211" si="96">C206-$C206</f>
        <v>0</v>
      </c>
      <c r="D211" s="250">
        <f t="shared" si="96"/>
        <v>139.97581628488709</v>
      </c>
      <c r="E211" s="250">
        <f t="shared" si="96"/>
        <v>331.19767139118858</v>
      </c>
      <c r="F211" s="250">
        <f t="shared" si="96"/>
        <v>577.79894899130204</v>
      </c>
      <c r="G211" s="250">
        <f t="shared" si="96"/>
        <v>883.87502926869797</v>
      </c>
      <c r="H211" s="250">
        <f t="shared" si="96"/>
        <v>1253.4835014300218</v>
      </c>
      <c r="I211" s="250">
        <f t="shared" si="96"/>
        <v>1638.403464076865</v>
      </c>
      <c r="J211" s="250">
        <f t="shared" si="96"/>
        <v>2063.4210617783674</v>
      </c>
      <c r="K211" s="250">
        <f t="shared" si="96"/>
        <v>2525.4847318253337</v>
      </c>
      <c r="L211" s="250">
        <f t="shared" si="96"/>
        <v>3021.0228666685116</v>
      </c>
      <c r="M211" s="250">
        <f t="shared" si="96"/>
        <v>3545.9496984628768</v>
      </c>
      <c r="N211" s="250">
        <f t="shared" si="96"/>
        <v>3973.4813613083229</v>
      </c>
      <c r="O211" s="250">
        <f t="shared" si="96"/>
        <v>4409.9313526629385</v>
      </c>
      <c r="P211" s="250">
        <f t="shared" si="96"/>
        <v>4851.1257821587715</v>
      </c>
      <c r="Q211" s="250">
        <f t="shared" si="96"/>
        <v>5292.5646818035821</v>
      </c>
      <c r="R211" s="250">
        <f t="shared" si="96"/>
        <v>5729.4258075839907</v>
      </c>
      <c r="S211" s="250">
        <f t="shared" si="96"/>
        <v>6241.4415749378059</v>
      </c>
      <c r="T211" s="250">
        <f t="shared" si="96"/>
        <v>6758.5360162590341</v>
      </c>
      <c r="U211" s="250">
        <f t="shared" si="96"/>
        <v>7277.1250428922913</v>
      </c>
      <c r="V211" s="250">
        <f t="shared" si="96"/>
        <v>7793.4030019883412</v>
      </c>
      <c r="W211" s="250">
        <f t="shared" si="96"/>
        <v>8303.3452961607709</v>
      </c>
      <c r="X211" s="250">
        <f t="shared" si="96"/>
        <v>8985.5854737175778</v>
      </c>
      <c r="Y211" s="250">
        <f t="shared" si="96"/>
        <v>9658.5654021938335</v>
      </c>
      <c r="Z211" s="250">
        <f t="shared" si="96"/>
        <v>10315.858743336479</v>
      </c>
      <c r="AA211" s="250">
        <f t="shared" si="96"/>
        <v>10950.711306978319</v>
      </c>
      <c r="AB211" s="250">
        <f t="shared" si="96"/>
        <v>11556.044983921269</v>
      </c>
      <c r="AC211" s="250">
        <f t="shared" si="96"/>
        <v>12003.539494644547</v>
      </c>
      <c r="AD211" s="250">
        <f t="shared" si="96"/>
        <v>12383.146395784213</v>
      </c>
      <c r="AE211" s="250">
        <f t="shared" si="96"/>
        <v>12684.851701471891</v>
      </c>
      <c r="AF211" s="250">
        <f t="shared" si="96"/>
        <v>12898.272640940231</v>
      </c>
      <c r="AG211" s="250">
        <f t="shared" si="96"/>
        <v>13012.662224394182</v>
      </c>
      <c r="AH211" s="217"/>
      <c r="AI211" s="368"/>
      <c r="AJ211" s="369"/>
      <c r="AL211" s="194"/>
      <c r="AM211" s="116"/>
      <c r="AN211" s="116"/>
      <c r="AO211" s="116"/>
      <c r="BD211" s="116"/>
      <c r="BE211" s="116"/>
      <c r="BF211" s="116"/>
      <c r="BG211" s="116"/>
      <c r="BH211" s="116"/>
      <c r="BI211" s="116"/>
      <c r="BJ211" s="116"/>
      <c r="BK211" s="116"/>
    </row>
    <row r="212" spans="1:63" outlineLevel="1">
      <c r="A212" s="4" t="s">
        <v>35</v>
      </c>
      <c r="C212" s="203">
        <f t="shared" ref="C212:AG212" si="97">C207-$C207</f>
        <v>0</v>
      </c>
      <c r="D212" s="203">
        <f t="shared" si="97"/>
        <v>4.6658124419884501</v>
      </c>
      <c r="E212" s="203">
        <f t="shared" si="97"/>
        <v>22.079617135998848</v>
      </c>
      <c r="F212" s="203">
        <f t="shared" si="97"/>
        <v>57.779299240190348</v>
      </c>
      <c r="G212" s="203">
        <f t="shared" si="97"/>
        <v>117.8487889745582</v>
      </c>
      <c r="H212" s="203">
        <f t="shared" si="97"/>
        <v>208.91176318972808</v>
      </c>
      <c r="I212" s="203">
        <f t="shared" si="97"/>
        <v>327.6773147210647</v>
      </c>
      <c r="J212" s="203">
        <f t="shared" si="97"/>
        <v>481.45995094312548</v>
      </c>
      <c r="K212" s="203">
        <f t="shared" si="97"/>
        <v>673.455652357556</v>
      </c>
      <c r="L212" s="203">
        <f t="shared" si="97"/>
        <v>906.29751678896821</v>
      </c>
      <c r="M212" s="203">
        <f t="shared" si="97"/>
        <v>1181.9710476330033</v>
      </c>
      <c r="N212" s="203">
        <f t="shared" si="97"/>
        <v>1456.9281460345785</v>
      </c>
      <c r="O212" s="203">
        <f t="shared" si="97"/>
        <v>1763.9543560889722</v>
      </c>
      <c r="P212" s="203">
        <f t="shared" si="97"/>
        <v>2102.1328342729216</v>
      </c>
      <c r="Q212" s="203">
        <f t="shared" si="97"/>
        <v>2469.8380560953765</v>
      </c>
      <c r="R212" s="203">
        <f t="shared" si="97"/>
        <v>2864.6833711690251</v>
      </c>
      <c r="S212" s="203">
        <f t="shared" si="97"/>
        <v>3328.7345233429983</v>
      </c>
      <c r="T212" s="203">
        <f t="shared" si="97"/>
        <v>3829.7975936917824</v>
      </c>
      <c r="U212" s="203">
        <f t="shared" si="97"/>
        <v>4366.2300133524768</v>
      </c>
      <c r="V212" s="203">
        <f t="shared" si="97"/>
        <v>4935.7710173584692</v>
      </c>
      <c r="W212" s="203">
        <f t="shared" si="97"/>
        <v>5535.5064640742612</v>
      </c>
      <c r="X212" s="203">
        <f t="shared" si="97"/>
        <v>6289.8449882683262</v>
      </c>
      <c r="Y212" s="203">
        <f t="shared" si="97"/>
        <v>7082.8749427623534</v>
      </c>
      <c r="Z212" s="203">
        <f t="shared" si="97"/>
        <v>7908.743503658935</v>
      </c>
      <c r="AA212" s="203">
        <f t="shared" si="97"/>
        <v>8760.4787319661373</v>
      </c>
      <c r="AB212" s="203">
        <f t="shared" si="97"/>
        <v>9629.9382095440415</v>
      </c>
      <c r="AC212" s="203">
        <f t="shared" si="97"/>
        <v>10402.960315720893</v>
      </c>
      <c r="AD212" s="203">
        <f t="shared" si="97"/>
        <v>11144.716862977264</v>
      </c>
      <c r="AE212" s="203">
        <f t="shared" si="97"/>
        <v>11839.072869883223</v>
      </c>
      <c r="AF212" s="203">
        <f t="shared" si="97"/>
        <v>12468.201682263858</v>
      </c>
      <c r="AG212" s="203">
        <f t="shared" si="97"/>
        <v>13012.528075507294</v>
      </c>
      <c r="AH212" s="217"/>
      <c r="AI212" s="124"/>
      <c r="AJ212" s="185"/>
      <c r="AL212" s="100"/>
      <c r="AM212" s="2"/>
      <c r="AN212" s="2"/>
      <c r="AO212" s="2"/>
      <c r="BC212" s="1"/>
      <c r="BD212" s="2"/>
      <c r="BE212" s="2"/>
      <c r="BF212" s="2"/>
      <c r="BG212" s="2"/>
      <c r="BH212" s="2"/>
      <c r="BI212" s="2"/>
      <c r="BJ212" s="2"/>
      <c r="BK212" s="2"/>
    </row>
    <row r="213" spans="1:63" outlineLevel="1">
      <c r="A213" s="4" t="s">
        <v>74</v>
      </c>
      <c r="C213" s="203">
        <f t="shared" ref="C213:AG215" si="98">C208-$C208</f>
        <v>0</v>
      </c>
      <c r="D213" s="203">
        <f t="shared" si="98"/>
        <v>0</v>
      </c>
      <c r="E213" s="203">
        <f t="shared" si="98"/>
        <v>0</v>
      </c>
      <c r="F213" s="203">
        <f t="shared" si="98"/>
        <v>0</v>
      </c>
      <c r="G213" s="203">
        <f t="shared" si="98"/>
        <v>0</v>
      </c>
      <c r="H213" s="203">
        <f t="shared" si="98"/>
        <v>0</v>
      </c>
      <c r="I213" s="203">
        <f t="shared" si="98"/>
        <v>0</v>
      </c>
      <c r="J213" s="203">
        <f t="shared" si="98"/>
        <v>0</v>
      </c>
      <c r="K213" s="203">
        <f t="shared" si="98"/>
        <v>0</v>
      </c>
      <c r="L213" s="203">
        <f t="shared" si="98"/>
        <v>0</v>
      </c>
      <c r="M213" s="203">
        <f t="shared" si="98"/>
        <v>0</v>
      </c>
      <c r="N213" s="203">
        <f t="shared" si="98"/>
        <v>0</v>
      </c>
      <c r="O213" s="203">
        <f t="shared" si="98"/>
        <v>0</v>
      </c>
      <c r="P213" s="203">
        <f t="shared" si="98"/>
        <v>0</v>
      </c>
      <c r="Q213" s="203">
        <f t="shared" si="98"/>
        <v>0</v>
      </c>
      <c r="R213" s="203">
        <f t="shared" si="98"/>
        <v>0</v>
      </c>
      <c r="S213" s="203">
        <f t="shared" si="98"/>
        <v>0</v>
      </c>
      <c r="T213" s="203">
        <f t="shared" si="98"/>
        <v>0</v>
      </c>
      <c r="U213" s="203">
        <f t="shared" si="98"/>
        <v>0</v>
      </c>
      <c r="V213" s="203">
        <f t="shared" si="98"/>
        <v>0</v>
      </c>
      <c r="W213" s="203">
        <f t="shared" si="98"/>
        <v>0</v>
      </c>
      <c r="X213" s="203">
        <f t="shared" si="98"/>
        <v>0</v>
      </c>
      <c r="Y213" s="203">
        <f t="shared" si="98"/>
        <v>0</v>
      </c>
      <c r="Z213" s="203">
        <f t="shared" si="98"/>
        <v>0</v>
      </c>
      <c r="AA213" s="203">
        <f t="shared" si="98"/>
        <v>0</v>
      </c>
      <c r="AB213" s="203">
        <f t="shared" si="98"/>
        <v>0</v>
      </c>
      <c r="AC213" s="203">
        <f t="shared" si="98"/>
        <v>0</v>
      </c>
      <c r="AD213" s="203">
        <f t="shared" si="98"/>
        <v>0</v>
      </c>
      <c r="AE213" s="203">
        <f t="shared" si="98"/>
        <v>0</v>
      </c>
      <c r="AF213" s="203">
        <f t="shared" si="98"/>
        <v>0</v>
      </c>
      <c r="AG213" s="203">
        <f t="shared" si="98"/>
        <v>0</v>
      </c>
      <c r="AH213" s="217"/>
      <c r="AI213" s="124"/>
      <c r="AJ213" s="185"/>
      <c r="AL213" s="100"/>
      <c r="AM213" s="2"/>
      <c r="AN213" s="2"/>
      <c r="AO213" s="2"/>
      <c r="BC213" s="1"/>
      <c r="BD213" s="2"/>
      <c r="BE213" s="2"/>
      <c r="BF213" s="2"/>
      <c r="BG213" s="2"/>
      <c r="BH213" s="2"/>
      <c r="BI213" s="2"/>
      <c r="BJ213" s="2"/>
      <c r="BK213" s="2"/>
    </row>
    <row r="214" spans="1:63" outlineLevel="1">
      <c r="A214" s="4" t="s">
        <v>160</v>
      </c>
      <c r="C214" s="203">
        <f t="shared" si="98"/>
        <v>0</v>
      </c>
      <c r="D214" s="203">
        <f t="shared" si="98"/>
        <v>0</v>
      </c>
      <c r="E214" s="203">
        <f t="shared" si="98"/>
        <v>0</v>
      </c>
      <c r="F214" s="203">
        <f t="shared" si="98"/>
        <v>0</v>
      </c>
      <c r="G214" s="203">
        <f t="shared" si="98"/>
        <v>0</v>
      </c>
      <c r="H214" s="203">
        <f t="shared" si="98"/>
        <v>0</v>
      </c>
      <c r="I214" s="203">
        <f t="shared" si="98"/>
        <v>0</v>
      </c>
      <c r="J214" s="203">
        <f t="shared" si="98"/>
        <v>0</v>
      </c>
      <c r="K214" s="203">
        <f t="shared" si="98"/>
        <v>0</v>
      </c>
      <c r="L214" s="203">
        <f t="shared" si="98"/>
        <v>0</v>
      </c>
      <c r="M214" s="203">
        <f t="shared" si="98"/>
        <v>0</v>
      </c>
      <c r="N214" s="203">
        <f t="shared" si="98"/>
        <v>0</v>
      </c>
      <c r="O214" s="203">
        <f t="shared" si="98"/>
        <v>0</v>
      </c>
      <c r="P214" s="203">
        <f t="shared" si="98"/>
        <v>0</v>
      </c>
      <c r="Q214" s="203">
        <f t="shared" si="98"/>
        <v>0</v>
      </c>
      <c r="R214" s="203">
        <f t="shared" si="98"/>
        <v>0</v>
      </c>
      <c r="S214" s="203">
        <f t="shared" si="98"/>
        <v>0</v>
      </c>
      <c r="T214" s="203">
        <f t="shared" si="98"/>
        <v>0</v>
      </c>
      <c r="U214" s="203">
        <f t="shared" si="98"/>
        <v>0</v>
      </c>
      <c r="V214" s="203">
        <f t="shared" si="98"/>
        <v>0</v>
      </c>
      <c r="W214" s="203">
        <f t="shared" si="98"/>
        <v>0</v>
      </c>
      <c r="X214" s="203">
        <f t="shared" si="98"/>
        <v>0</v>
      </c>
      <c r="Y214" s="203">
        <f t="shared" si="98"/>
        <v>0</v>
      </c>
      <c r="Z214" s="203">
        <f t="shared" si="98"/>
        <v>0</v>
      </c>
      <c r="AA214" s="203">
        <f t="shared" si="98"/>
        <v>0</v>
      </c>
      <c r="AB214" s="203">
        <f t="shared" si="98"/>
        <v>0</v>
      </c>
      <c r="AC214" s="203">
        <f t="shared" si="98"/>
        <v>0</v>
      </c>
      <c r="AD214" s="203">
        <f t="shared" si="98"/>
        <v>0</v>
      </c>
      <c r="AE214" s="203">
        <f t="shared" si="98"/>
        <v>0</v>
      </c>
      <c r="AF214" s="203">
        <f t="shared" si="98"/>
        <v>0</v>
      </c>
      <c r="AG214" s="203">
        <f t="shared" si="98"/>
        <v>0</v>
      </c>
      <c r="AH214" s="217"/>
      <c r="AI214" s="124"/>
      <c r="AJ214" s="185"/>
      <c r="AL214" s="100"/>
      <c r="AM214" s="2"/>
      <c r="AN214" s="2"/>
      <c r="AO214" s="2"/>
      <c r="BC214" s="1"/>
      <c r="BD214" s="2"/>
      <c r="BE214" s="2"/>
      <c r="BF214" s="2"/>
      <c r="BG214" s="2"/>
      <c r="BH214" s="2"/>
      <c r="BI214" s="2"/>
      <c r="BJ214" s="2"/>
      <c r="BK214" s="2"/>
    </row>
    <row r="215" spans="1:63" outlineLevel="1">
      <c r="A215" s="4" t="s">
        <v>1040</v>
      </c>
      <c r="C215" s="203">
        <f t="shared" si="98"/>
        <v>0</v>
      </c>
      <c r="D215" s="203">
        <f t="shared" si="98"/>
        <v>4.8100841119490732E-5</v>
      </c>
      <c r="E215" s="203">
        <f t="shared" si="98"/>
        <v>2.2762341372325884E-4</v>
      </c>
      <c r="F215" s="203">
        <f t="shared" si="98"/>
        <v>5.9565893985302786E-4</v>
      </c>
      <c r="G215" s="203">
        <f t="shared" si="98"/>
        <v>1.2149279348601058E-3</v>
      </c>
      <c r="H215" s="203">
        <f t="shared" si="98"/>
        <v>2.1537152755542886E-3</v>
      </c>
      <c r="I215" s="203">
        <f t="shared" si="98"/>
        <v>3.3780943082963111E-3</v>
      </c>
      <c r="J215" s="203">
        <f t="shared" si="98"/>
        <v>4.9634718269651375E-3</v>
      </c>
      <c r="K215" s="203">
        <f t="shared" si="98"/>
        <v>6.9427958662796972E-3</v>
      </c>
      <c r="L215" s="203">
        <f t="shared" si="98"/>
        <v>9.3432115851353522E-3</v>
      </c>
      <c r="M215" s="203">
        <f t="shared" si="98"/>
        <v>1.2185187955348563E-2</v>
      </c>
      <c r="N215" s="203">
        <f t="shared" si="98"/>
        <v>1.5019778472933515E-2</v>
      </c>
      <c r="O215" s="203">
        <f t="shared" si="98"/>
        <v>1.8184976202795956E-2</v>
      </c>
      <c r="P215" s="203">
        <f t="shared" si="98"/>
        <v>2.1671329212353468E-2</v>
      </c>
      <c r="Q215" s="203">
        <f t="shared" si="98"/>
        <v>2.5462079627976968E-2</v>
      </c>
      <c r="R215" s="203">
        <f t="shared" si="98"/>
        <v>2.9532622969200256E-2</v>
      </c>
      <c r="S215" s="203">
        <f t="shared" si="98"/>
        <v>3.4316623830693123E-2</v>
      </c>
      <c r="T215" s="203">
        <f t="shared" si="98"/>
        <v>3.9482188335772037E-2</v>
      </c>
      <c r="U215" s="203">
        <f t="shared" si="98"/>
        <v>4.5012382896796127E-2</v>
      </c>
      <c r="V215" s="203">
        <f t="shared" si="98"/>
        <v>5.0883900812559633E-2</v>
      </c>
      <c r="W215" s="203">
        <f t="shared" si="98"/>
        <v>5.7066699584451319E-2</v>
      </c>
      <c r="X215" s="203">
        <f t="shared" si="98"/>
        <v>6.4843333976361509E-2</v>
      </c>
      <c r="Y215" s="203">
        <f t="shared" si="98"/>
        <v>7.3018846455353836E-2</v>
      </c>
      <c r="Z215" s="203">
        <f t="shared" si="98"/>
        <v>8.1532899029730183E-2</v>
      </c>
      <c r="AA215" s="203">
        <f t="shared" si="98"/>
        <v>9.0313616515068668E-2</v>
      </c>
      <c r="AB215" s="203">
        <f t="shared" si="98"/>
        <v>9.9277057011400938E-2</v>
      </c>
      <c r="AC215" s="203">
        <f t="shared" si="98"/>
        <v>0.10724630437686519</v>
      </c>
      <c r="AD215" s="203">
        <f t="shared" si="98"/>
        <v>0.11489322852405939</v>
      </c>
      <c r="AE215" s="203">
        <f t="shared" si="98"/>
        <v>0.12205149053819078</v>
      </c>
      <c r="AF215" s="203">
        <f t="shared" si="98"/>
        <v>0.12853731169458471</v>
      </c>
      <c r="AG215" s="203">
        <f t="shared" si="98"/>
        <v>0.13414888688841947</v>
      </c>
      <c r="AH215" s="217"/>
      <c r="AI215" s="124"/>
      <c r="AJ215" s="185"/>
      <c r="AL215" s="100"/>
      <c r="AM215" s="2"/>
      <c r="AN215" s="2"/>
      <c r="AO215" s="2"/>
      <c r="BC215" s="1"/>
      <c r="BD215" s="2"/>
      <c r="BE215" s="2"/>
      <c r="BF215" s="2"/>
      <c r="BG215" s="2"/>
      <c r="BH215" s="2"/>
      <c r="BI215" s="2"/>
      <c r="BJ215" s="2"/>
      <c r="BK215" s="2"/>
    </row>
    <row r="216" spans="1:63" s="1" customFormat="1" outlineLevel="1">
      <c r="A216" s="1" t="s">
        <v>1044</v>
      </c>
      <c r="B216" s="60"/>
      <c r="C216" s="250">
        <f>'BTX Recycling HC'!C216</f>
        <v>0</v>
      </c>
      <c r="D216" s="250">
        <f>'BTX Recycling HC'!D216</f>
        <v>139.97581628488709</v>
      </c>
      <c r="E216" s="250">
        <f>'BTX Recycling HC'!E216</f>
        <v>331.19767139118858</v>
      </c>
      <c r="F216" s="250">
        <f>'BTX Recycling HC'!F216</f>
        <v>577.79894899130204</v>
      </c>
      <c r="G216" s="250">
        <f>'BTX Recycling HC'!G216</f>
        <v>883.87502926869797</v>
      </c>
      <c r="H216" s="250">
        <f>'BTX Recycling HC'!H216</f>
        <v>1253.4835014300218</v>
      </c>
      <c r="I216" s="250">
        <f>'BTX Recycling HC'!I216</f>
        <v>1638.403464076865</v>
      </c>
      <c r="J216" s="250">
        <f>'BTX Recycling HC'!J216</f>
        <v>2063.4210617783674</v>
      </c>
      <c r="K216" s="250">
        <f>'BTX Recycling HC'!K216</f>
        <v>2525.4847318253337</v>
      </c>
      <c r="L216" s="250">
        <f>'BTX Recycling HC'!L216</f>
        <v>3021.0228666685116</v>
      </c>
      <c r="M216" s="250">
        <f>'BTX Recycling HC'!M216</f>
        <v>3545.9496984628768</v>
      </c>
      <c r="N216" s="250">
        <f>'BTX Recycling HC'!N216</f>
        <v>3973.4813613083229</v>
      </c>
      <c r="O216" s="250">
        <f>'BTX Recycling HC'!O216</f>
        <v>4409.9313526629385</v>
      </c>
      <c r="P216" s="250">
        <f>'BTX Recycling HC'!P216</f>
        <v>4851.1257821587715</v>
      </c>
      <c r="Q216" s="250">
        <f>'BTX Recycling HC'!Q216</f>
        <v>5292.5646818035821</v>
      </c>
      <c r="R216" s="250">
        <f>'BTX Recycling HC'!R216</f>
        <v>5729.4258075839907</v>
      </c>
      <c r="S216" s="250">
        <f>'BTX Recycling HC'!S216</f>
        <v>6241.4415749378059</v>
      </c>
      <c r="T216" s="250">
        <f>'BTX Recycling HC'!T216</f>
        <v>6758.5360162590341</v>
      </c>
      <c r="U216" s="250">
        <f>'BTX Recycling HC'!U216</f>
        <v>7277.1250428922913</v>
      </c>
      <c r="V216" s="250">
        <f>'BTX Recycling HC'!V216</f>
        <v>7793.4030019883412</v>
      </c>
      <c r="W216" s="250">
        <f>'BTX Recycling HC'!W216</f>
        <v>8303.3452961607709</v>
      </c>
      <c r="X216" s="250">
        <f>'BTX Recycling HC'!X216</f>
        <v>8985.5854737175778</v>
      </c>
      <c r="Y216" s="250">
        <f>'BTX Recycling HC'!Y216</f>
        <v>9658.5654021938335</v>
      </c>
      <c r="Z216" s="250">
        <f>'BTX Recycling HC'!Z216</f>
        <v>10315.858743336479</v>
      </c>
      <c r="AA216" s="250">
        <f>'BTX Recycling HC'!AA216</f>
        <v>10950.711306978319</v>
      </c>
      <c r="AB216" s="250">
        <f>'BTX Recycling HC'!AB216</f>
        <v>11556.044983921269</v>
      </c>
      <c r="AC216" s="250">
        <f>'BTX Recycling HC'!AC216</f>
        <v>12003.539494644547</v>
      </c>
      <c r="AD216" s="250">
        <f>'BTX Recycling HC'!AD216</f>
        <v>12383.146395784213</v>
      </c>
      <c r="AE216" s="250">
        <f>'BTX Recycling HC'!AE216</f>
        <v>12684.851701471891</v>
      </c>
      <c r="AF216" s="250">
        <f>'BTX Recycling HC'!AF216</f>
        <v>12898.272640940231</v>
      </c>
      <c r="AG216" s="250">
        <f>'BTX Recycling HC'!AG216</f>
        <v>13012.662224394182</v>
      </c>
      <c r="AH216" s="217"/>
      <c r="AI216" s="368"/>
      <c r="AJ216" s="369"/>
      <c r="AL216" s="194"/>
      <c r="AM216" s="116"/>
      <c r="AN216" s="116"/>
      <c r="AO216" s="116"/>
      <c r="BD216" s="116"/>
      <c r="BE216" s="116"/>
      <c r="BF216" s="116"/>
      <c r="BG216" s="116"/>
      <c r="BH216" s="116"/>
      <c r="BI216" s="116"/>
      <c r="BJ216" s="116"/>
      <c r="BK216" s="116"/>
    </row>
    <row r="217" spans="1:63" outlineLevel="1">
      <c r="A217" s="4" t="s">
        <v>35</v>
      </c>
      <c r="C217" s="203">
        <f>C$216*'BTX recycling rates'!E78</f>
        <v>0</v>
      </c>
      <c r="D217" s="203">
        <f>D$216*'BTX recycling rates'!F78</f>
        <v>4.6658124419884501</v>
      </c>
      <c r="E217" s="203">
        <f>E$216*'BTX recycling rates'!G78</f>
        <v>22.079617135998848</v>
      </c>
      <c r="F217" s="203">
        <f>F$216*'BTX recycling rates'!H78</f>
        <v>57.779299240190348</v>
      </c>
      <c r="G217" s="203">
        <f>G$216*'BTX recycling rates'!I78</f>
        <v>117.8487889745582</v>
      </c>
      <c r="H217" s="203">
        <f>H$216*'BTX recycling rates'!J78</f>
        <v>208.91176318972808</v>
      </c>
      <c r="I217" s="203">
        <f>I$216*'BTX recycling rates'!K78</f>
        <v>327.6773147210647</v>
      </c>
      <c r="J217" s="203">
        <f>J$216*'BTX recycling rates'!L78</f>
        <v>481.45995094312548</v>
      </c>
      <c r="K217" s="203">
        <f>K$216*'BTX recycling rates'!M78</f>
        <v>673.455652357556</v>
      </c>
      <c r="L217" s="203">
        <f>L$216*'BTX recycling rates'!N78</f>
        <v>906.29751678896821</v>
      </c>
      <c r="M217" s="203">
        <f>M$216*'BTX recycling rates'!O78</f>
        <v>1181.9710476330033</v>
      </c>
      <c r="N217" s="203">
        <f>N$216*'BTX recycling rates'!P78</f>
        <v>1456.9281460345785</v>
      </c>
      <c r="O217" s="203">
        <f>O$216*'BTX recycling rates'!Q78</f>
        <v>1763.9543560889722</v>
      </c>
      <c r="P217" s="203">
        <f>P$216*'BTX recycling rates'!R78</f>
        <v>2102.1328342729216</v>
      </c>
      <c r="Q217" s="203">
        <f>Q$216*'BTX recycling rates'!S78</f>
        <v>2469.8380560953765</v>
      </c>
      <c r="R217" s="203">
        <f>R$216*'BTX recycling rates'!T78</f>
        <v>2864.6833711690251</v>
      </c>
      <c r="S217" s="203">
        <f>S$216*'BTX recycling rates'!U78</f>
        <v>3328.7345233429983</v>
      </c>
      <c r="T217" s="203">
        <f>T$216*'BTX recycling rates'!V78</f>
        <v>3829.7975936917824</v>
      </c>
      <c r="U217" s="203">
        <f>U$216*'BTX recycling rates'!W78</f>
        <v>4366.2300133524768</v>
      </c>
      <c r="V217" s="203">
        <f>V$216*'BTX recycling rates'!X78</f>
        <v>4935.7710173584692</v>
      </c>
      <c r="W217" s="203">
        <f>W$216*'BTX recycling rates'!Y78</f>
        <v>5535.5064640742612</v>
      </c>
      <c r="X217" s="203">
        <f>X$216*'BTX recycling rates'!Z78</f>
        <v>6289.8449882683262</v>
      </c>
      <c r="Y217" s="203">
        <f>Y$216*'BTX recycling rates'!AA78</f>
        <v>7082.8749427623534</v>
      </c>
      <c r="Z217" s="203">
        <f>Z$216*'BTX recycling rates'!AB78</f>
        <v>7908.743503658935</v>
      </c>
      <c r="AA217" s="203">
        <f>AA$216*'BTX recycling rates'!AC78</f>
        <v>8760.4787319661373</v>
      </c>
      <c r="AB217" s="203">
        <f>AB$216*'BTX recycling rates'!AD78</f>
        <v>9629.9382095440415</v>
      </c>
      <c r="AC217" s="203">
        <f>AC$216*'BTX recycling rates'!AE78</f>
        <v>10402.960315720893</v>
      </c>
      <c r="AD217" s="203">
        <f>AD$216*'BTX recycling rates'!AF78</f>
        <v>11144.716862977264</v>
      </c>
      <c r="AE217" s="203">
        <f>AE$216*'BTX recycling rates'!AG78</f>
        <v>11839.072869883223</v>
      </c>
      <c r="AF217" s="203">
        <f>AF$216*'BTX recycling rates'!AH78</f>
        <v>12468.201682263858</v>
      </c>
      <c r="AG217" s="203">
        <f>AG$216*'BTX recycling rates'!AI78</f>
        <v>13012.528075507294</v>
      </c>
      <c r="AH217" s="217"/>
      <c r="AI217" s="124"/>
      <c r="AJ217" s="185"/>
      <c r="AL217" s="100"/>
      <c r="AM217" s="2"/>
      <c r="AN217" s="2"/>
      <c r="AO217" s="2"/>
      <c r="BC217" s="1"/>
      <c r="BD217" s="2"/>
      <c r="BE217" s="2"/>
      <c r="BF217" s="2"/>
      <c r="BG217" s="2"/>
      <c r="BH217" s="2"/>
      <c r="BI217" s="2"/>
      <c r="BJ217" s="2"/>
      <c r="BK217" s="2"/>
    </row>
    <row r="218" spans="1:63" outlineLevel="1">
      <c r="A218" s="4" t="s">
        <v>74</v>
      </c>
      <c r="C218" s="203">
        <f>C$216*'BTX recycling rates'!E79</f>
        <v>0</v>
      </c>
      <c r="D218" s="203">
        <f>D$216*'BTX recycling rates'!F79</f>
        <v>0</v>
      </c>
      <c r="E218" s="203">
        <f>E$216*'BTX recycling rates'!G79</f>
        <v>0</v>
      </c>
      <c r="F218" s="203">
        <f>F$216*'BTX recycling rates'!H79</f>
        <v>0</v>
      </c>
      <c r="G218" s="203">
        <f>G$216*'BTX recycling rates'!I79</f>
        <v>0</v>
      </c>
      <c r="H218" s="203">
        <f>H$216*'BTX recycling rates'!J79</f>
        <v>0</v>
      </c>
      <c r="I218" s="203">
        <f>I$216*'BTX recycling rates'!K79</f>
        <v>0</v>
      </c>
      <c r="J218" s="203">
        <f>J$216*'BTX recycling rates'!L79</f>
        <v>0</v>
      </c>
      <c r="K218" s="203">
        <f>K$216*'BTX recycling rates'!M79</f>
        <v>0</v>
      </c>
      <c r="L218" s="203">
        <f>L$216*'BTX recycling rates'!N79</f>
        <v>0</v>
      </c>
      <c r="M218" s="203">
        <f>M$216*'BTX recycling rates'!O79</f>
        <v>0</v>
      </c>
      <c r="N218" s="203">
        <f>N$216*'BTX recycling rates'!P79</f>
        <v>0</v>
      </c>
      <c r="O218" s="203">
        <f>O$216*'BTX recycling rates'!Q79</f>
        <v>0</v>
      </c>
      <c r="P218" s="203">
        <f>P$216*'BTX recycling rates'!R79</f>
        <v>0</v>
      </c>
      <c r="Q218" s="203">
        <f>Q$216*'BTX recycling rates'!S79</f>
        <v>0</v>
      </c>
      <c r="R218" s="203">
        <f>R$216*'BTX recycling rates'!T79</f>
        <v>0</v>
      </c>
      <c r="S218" s="203">
        <f>S$216*'BTX recycling rates'!U79</f>
        <v>0</v>
      </c>
      <c r="T218" s="203">
        <f>T$216*'BTX recycling rates'!V79</f>
        <v>0</v>
      </c>
      <c r="U218" s="203">
        <f>U$216*'BTX recycling rates'!W79</f>
        <v>0</v>
      </c>
      <c r="V218" s="203">
        <f>V$216*'BTX recycling rates'!X79</f>
        <v>0</v>
      </c>
      <c r="W218" s="203">
        <f>W$216*'BTX recycling rates'!Y79</f>
        <v>0</v>
      </c>
      <c r="X218" s="203">
        <f>X$216*'BTX recycling rates'!Z79</f>
        <v>0</v>
      </c>
      <c r="Y218" s="203">
        <f>Y$216*'BTX recycling rates'!AA79</f>
        <v>0</v>
      </c>
      <c r="Z218" s="203">
        <f>Z$216*'BTX recycling rates'!AB79</f>
        <v>0</v>
      </c>
      <c r="AA218" s="203">
        <f>AA$216*'BTX recycling rates'!AC79</f>
        <v>0</v>
      </c>
      <c r="AB218" s="203">
        <f>AB$216*'BTX recycling rates'!AD79</f>
        <v>0</v>
      </c>
      <c r="AC218" s="203">
        <f>AC$216*'BTX recycling rates'!AE79</f>
        <v>0</v>
      </c>
      <c r="AD218" s="203">
        <f>AD$216*'BTX recycling rates'!AF79</f>
        <v>0</v>
      </c>
      <c r="AE218" s="203">
        <f>AE$216*'BTX recycling rates'!AG79</f>
        <v>0</v>
      </c>
      <c r="AF218" s="203">
        <f>AF$216*'BTX recycling rates'!AH79</f>
        <v>0</v>
      </c>
      <c r="AG218" s="203">
        <f>AG$216*'BTX recycling rates'!AI79</f>
        <v>0</v>
      </c>
      <c r="AH218" s="217"/>
      <c r="AI218" s="124"/>
      <c r="AJ218" s="185"/>
      <c r="AL218" s="100"/>
      <c r="AM218" s="2"/>
      <c r="AN218" s="2"/>
      <c r="AO218" s="2"/>
      <c r="BC218" s="1"/>
      <c r="BD218" s="2"/>
      <c r="BE218" s="2"/>
      <c r="BF218" s="2"/>
      <c r="BG218" s="2"/>
      <c r="BH218" s="2"/>
      <c r="BI218" s="2"/>
      <c r="BJ218" s="2"/>
      <c r="BK218" s="2"/>
    </row>
    <row r="219" spans="1:63" outlineLevel="1">
      <c r="A219" s="4" t="s">
        <v>160</v>
      </c>
      <c r="C219" s="203">
        <f>C$216*'BTX recycling rates'!E80</f>
        <v>0</v>
      </c>
      <c r="D219" s="203">
        <f>D$216*'BTX recycling rates'!F80</f>
        <v>0</v>
      </c>
      <c r="E219" s="203">
        <f>E$216*'BTX recycling rates'!G80</f>
        <v>0</v>
      </c>
      <c r="F219" s="203">
        <f>F$216*'BTX recycling rates'!H80</f>
        <v>0</v>
      </c>
      <c r="G219" s="203">
        <f>G$216*'BTX recycling rates'!I80</f>
        <v>0</v>
      </c>
      <c r="H219" s="203">
        <f>H$216*'BTX recycling rates'!J80</f>
        <v>0</v>
      </c>
      <c r="I219" s="203">
        <f>I$216*'BTX recycling rates'!K80</f>
        <v>0</v>
      </c>
      <c r="J219" s="203">
        <f>J$216*'BTX recycling rates'!L80</f>
        <v>0</v>
      </c>
      <c r="K219" s="203">
        <f>K$216*'BTX recycling rates'!M80</f>
        <v>0</v>
      </c>
      <c r="L219" s="203">
        <f>L$216*'BTX recycling rates'!N80</f>
        <v>0</v>
      </c>
      <c r="M219" s="203">
        <f>M$216*'BTX recycling rates'!O80</f>
        <v>0</v>
      </c>
      <c r="N219" s="203">
        <f>N$216*'BTX recycling rates'!P80</f>
        <v>0</v>
      </c>
      <c r="O219" s="203">
        <f>O$216*'BTX recycling rates'!Q80</f>
        <v>0</v>
      </c>
      <c r="P219" s="203">
        <f>P$216*'BTX recycling rates'!R80</f>
        <v>0</v>
      </c>
      <c r="Q219" s="203">
        <f>Q$216*'BTX recycling rates'!S80</f>
        <v>0</v>
      </c>
      <c r="R219" s="203">
        <f>R$216*'BTX recycling rates'!T80</f>
        <v>0</v>
      </c>
      <c r="S219" s="203">
        <f>S$216*'BTX recycling rates'!U80</f>
        <v>0</v>
      </c>
      <c r="T219" s="203">
        <f>T$216*'BTX recycling rates'!V80</f>
        <v>0</v>
      </c>
      <c r="U219" s="203">
        <f>U$216*'BTX recycling rates'!W80</f>
        <v>0</v>
      </c>
      <c r="V219" s="203">
        <f>V$216*'BTX recycling rates'!X80</f>
        <v>0</v>
      </c>
      <c r="W219" s="203">
        <f>W$216*'BTX recycling rates'!Y80</f>
        <v>0</v>
      </c>
      <c r="X219" s="203">
        <f>X$216*'BTX recycling rates'!Z80</f>
        <v>0</v>
      </c>
      <c r="Y219" s="203">
        <f>Y$216*'BTX recycling rates'!AA80</f>
        <v>0</v>
      </c>
      <c r="Z219" s="203">
        <f>Z$216*'BTX recycling rates'!AB80</f>
        <v>0</v>
      </c>
      <c r="AA219" s="203">
        <f>AA$216*'BTX recycling rates'!AC80</f>
        <v>0</v>
      </c>
      <c r="AB219" s="203">
        <f>AB$216*'BTX recycling rates'!AD80</f>
        <v>0</v>
      </c>
      <c r="AC219" s="203">
        <f>AC$216*'BTX recycling rates'!AE80</f>
        <v>0</v>
      </c>
      <c r="AD219" s="203">
        <f>AD$216*'BTX recycling rates'!AF80</f>
        <v>0</v>
      </c>
      <c r="AE219" s="203">
        <f>AE$216*'BTX recycling rates'!AG80</f>
        <v>0</v>
      </c>
      <c r="AF219" s="203">
        <f>AF$216*'BTX recycling rates'!AH80</f>
        <v>0</v>
      </c>
      <c r="AG219" s="203">
        <f>AG$216*'BTX recycling rates'!AI80</f>
        <v>0</v>
      </c>
      <c r="AH219" s="217"/>
      <c r="AI219" s="124"/>
      <c r="AJ219" s="185"/>
      <c r="AL219" s="100"/>
      <c r="AM219" s="2"/>
      <c r="AN219" s="2"/>
      <c r="AO219" s="2"/>
      <c r="BC219" s="1"/>
      <c r="BD219" s="2"/>
      <c r="BE219" s="2"/>
      <c r="BF219" s="2"/>
      <c r="BG219" s="2"/>
      <c r="BH219" s="2"/>
      <c r="BI219" s="2"/>
      <c r="BJ219" s="2"/>
      <c r="BK219" s="2"/>
    </row>
    <row r="220" spans="1:63" outlineLevel="1">
      <c r="A220" s="4" t="s">
        <v>1040</v>
      </c>
      <c r="C220" s="203">
        <f>C$216*'BTX recycling rates'!E81</f>
        <v>0</v>
      </c>
      <c r="D220" s="203">
        <f>D$216*'BTX recycling rates'!F81</f>
        <v>4.8100841119490732E-5</v>
      </c>
      <c r="E220" s="203">
        <f>E$216*'BTX recycling rates'!G81</f>
        <v>2.2762341372325884E-4</v>
      </c>
      <c r="F220" s="203">
        <f>F$216*'BTX recycling rates'!H81</f>
        <v>5.9565893985302786E-4</v>
      </c>
      <c r="G220" s="203">
        <f>G$216*'BTX recycling rates'!I81</f>
        <v>1.2149279348601058E-3</v>
      </c>
      <c r="H220" s="203">
        <f>H$216*'BTX recycling rates'!J81</f>
        <v>2.1537152755542886E-3</v>
      </c>
      <c r="I220" s="203">
        <f>I$216*'BTX recycling rates'!K81</f>
        <v>3.3780943082963111E-3</v>
      </c>
      <c r="J220" s="203">
        <f>J$216*'BTX recycling rates'!L81</f>
        <v>4.9634718269651375E-3</v>
      </c>
      <c r="K220" s="203">
        <f>K$216*'BTX recycling rates'!M81</f>
        <v>6.9427958662796972E-3</v>
      </c>
      <c r="L220" s="203">
        <f>L$216*'BTX recycling rates'!N81</f>
        <v>9.3432115851353522E-3</v>
      </c>
      <c r="M220" s="203">
        <f>M$216*'BTX recycling rates'!O81</f>
        <v>1.2185187955348563E-2</v>
      </c>
      <c r="N220" s="203">
        <f>N$216*'BTX recycling rates'!P81</f>
        <v>1.5019778472933515E-2</v>
      </c>
      <c r="O220" s="203">
        <f>O$216*'BTX recycling rates'!Q81</f>
        <v>1.8184976202795956E-2</v>
      </c>
      <c r="P220" s="203">
        <f>P$216*'BTX recycling rates'!R81</f>
        <v>2.1671329212353468E-2</v>
      </c>
      <c r="Q220" s="203">
        <f>Q$216*'BTX recycling rates'!S81</f>
        <v>2.5462079627976968E-2</v>
      </c>
      <c r="R220" s="203">
        <f>R$216*'BTX recycling rates'!T81</f>
        <v>2.9532622969200256E-2</v>
      </c>
      <c r="S220" s="203">
        <f>S$216*'BTX recycling rates'!U81</f>
        <v>3.4316623830693123E-2</v>
      </c>
      <c r="T220" s="203">
        <f>T$216*'BTX recycling rates'!V81</f>
        <v>3.9482188335772037E-2</v>
      </c>
      <c r="U220" s="203">
        <f>U$216*'BTX recycling rates'!W81</f>
        <v>4.5012382896796127E-2</v>
      </c>
      <c r="V220" s="203">
        <f>V$216*'BTX recycling rates'!X81</f>
        <v>5.0883900812559633E-2</v>
      </c>
      <c r="W220" s="203">
        <f>W$216*'BTX recycling rates'!Y81</f>
        <v>5.7066699584451319E-2</v>
      </c>
      <c r="X220" s="203">
        <f>X$216*'BTX recycling rates'!Z81</f>
        <v>6.4843333976361509E-2</v>
      </c>
      <c r="Y220" s="203">
        <f>Y$216*'BTX recycling rates'!AA81</f>
        <v>7.3018846455353836E-2</v>
      </c>
      <c r="Z220" s="203">
        <f>Z$216*'BTX recycling rates'!AB81</f>
        <v>8.1532899029730183E-2</v>
      </c>
      <c r="AA220" s="203">
        <f>AA$216*'BTX recycling rates'!AC81</f>
        <v>9.0313616515068668E-2</v>
      </c>
      <c r="AB220" s="203">
        <f>AB$216*'BTX recycling rates'!AD81</f>
        <v>9.9277057011400938E-2</v>
      </c>
      <c r="AC220" s="203">
        <f>AC$216*'BTX recycling rates'!AE81</f>
        <v>0.10724630437686519</v>
      </c>
      <c r="AD220" s="203">
        <f>AD$216*'BTX recycling rates'!AF81</f>
        <v>0.11489322852405939</v>
      </c>
      <c r="AE220" s="203">
        <f>AE$216*'BTX recycling rates'!AG81</f>
        <v>0.12205149053819078</v>
      </c>
      <c r="AF220" s="203">
        <f>AF$216*'BTX recycling rates'!AH81</f>
        <v>0.12853731169458471</v>
      </c>
      <c r="AG220" s="203">
        <f>AG$216*'BTX recycling rates'!AI81</f>
        <v>0.13414888688841947</v>
      </c>
      <c r="AH220" s="217"/>
      <c r="AI220" s="124"/>
      <c r="AJ220" s="185"/>
      <c r="AL220" s="100"/>
      <c r="AM220" s="2"/>
      <c r="AN220" s="2"/>
      <c r="AO220" s="2"/>
      <c r="BC220" s="1"/>
      <c r="BD220" s="2"/>
      <c r="BE220" s="2"/>
      <c r="BF220" s="2"/>
      <c r="BG220" s="2"/>
      <c r="BH220" s="2"/>
      <c r="BI220" s="2"/>
      <c r="BJ220" s="2"/>
      <c r="BK220" s="2"/>
    </row>
    <row r="221" spans="1:63" s="1" customFormat="1" outlineLevel="1">
      <c r="A221" s="1" t="s">
        <v>1047</v>
      </c>
      <c r="B221" s="60"/>
      <c r="C221" s="250">
        <f t="shared" ref="C221:AG221" si="99">C216-$C216</f>
        <v>0</v>
      </c>
      <c r="D221" s="250">
        <f t="shared" si="99"/>
        <v>139.97581628488709</v>
      </c>
      <c r="E221" s="250">
        <f t="shared" si="99"/>
        <v>331.19767139118858</v>
      </c>
      <c r="F221" s="250">
        <f t="shared" si="99"/>
        <v>577.79894899130204</v>
      </c>
      <c r="G221" s="250">
        <f t="shared" si="99"/>
        <v>883.87502926869797</v>
      </c>
      <c r="H221" s="250">
        <f t="shared" si="99"/>
        <v>1253.4835014300218</v>
      </c>
      <c r="I221" s="250">
        <f t="shared" si="99"/>
        <v>1638.403464076865</v>
      </c>
      <c r="J221" s="250">
        <f t="shared" si="99"/>
        <v>2063.4210617783674</v>
      </c>
      <c r="K221" s="250">
        <f t="shared" si="99"/>
        <v>2525.4847318253337</v>
      </c>
      <c r="L221" s="250">
        <f t="shared" si="99"/>
        <v>3021.0228666685116</v>
      </c>
      <c r="M221" s="250">
        <f t="shared" si="99"/>
        <v>3545.9496984628768</v>
      </c>
      <c r="N221" s="250">
        <f t="shared" si="99"/>
        <v>3973.4813613083229</v>
      </c>
      <c r="O221" s="250">
        <f t="shared" si="99"/>
        <v>4409.9313526629385</v>
      </c>
      <c r="P221" s="250">
        <f t="shared" si="99"/>
        <v>4851.1257821587715</v>
      </c>
      <c r="Q221" s="250">
        <f t="shared" si="99"/>
        <v>5292.5646818035821</v>
      </c>
      <c r="R221" s="250">
        <f t="shared" si="99"/>
        <v>5729.4258075839907</v>
      </c>
      <c r="S221" s="250">
        <f t="shared" si="99"/>
        <v>6241.4415749378059</v>
      </c>
      <c r="T221" s="250">
        <f t="shared" si="99"/>
        <v>6758.5360162590341</v>
      </c>
      <c r="U221" s="250">
        <f t="shared" si="99"/>
        <v>7277.1250428922913</v>
      </c>
      <c r="V221" s="250">
        <f t="shared" si="99"/>
        <v>7793.4030019883412</v>
      </c>
      <c r="W221" s="250">
        <f t="shared" si="99"/>
        <v>8303.3452961607709</v>
      </c>
      <c r="X221" s="250">
        <f t="shared" si="99"/>
        <v>8985.5854737175778</v>
      </c>
      <c r="Y221" s="250">
        <f t="shared" si="99"/>
        <v>9658.5654021938335</v>
      </c>
      <c r="Z221" s="250">
        <f t="shared" si="99"/>
        <v>10315.858743336479</v>
      </c>
      <c r="AA221" s="250">
        <f t="shared" si="99"/>
        <v>10950.711306978319</v>
      </c>
      <c r="AB221" s="250">
        <f t="shared" si="99"/>
        <v>11556.044983921269</v>
      </c>
      <c r="AC221" s="250">
        <f t="shared" si="99"/>
        <v>12003.539494644547</v>
      </c>
      <c r="AD221" s="250">
        <f t="shared" si="99"/>
        <v>12383.146395784213</v>
      </c>
      <c r="AE221" s="250">
        <f t="shared" si="99"/>
        <v>12684.851701471891</v>
      </c>
      <c r="AF221" s="250">
        <f t="shared" si="99"/>
        <v>12898.272640940231</v>
      </c>
      <c r="AG221" s="250">
        <f t="shared" si="99"/>
        <v>13012.662224394182</v>
      </c>
      <c r="AH221" s="217"/>
      <c r="AI221" s="368"/>
      <c r="AJ221" s="369"/>
      <c r="AL221" s="194"/>
      <c r="AM221" s="116"/>
      <c r="AN221" s="116"/>
      <c r="AO221" s="116"/>
      <c r="BD221" s="116"/>
      <c r="BE221" s="116"/>
      <c r="BF221" s="116"/>
      <c r="BG221" s="116"/>
      <c r="BH221" s="116"/>
      <c r="BI221" s="116"/>
      <c r="BJ221" s="116"/>
      <c r="BK221" s="116"/>
    </row>
    <row r="222" spans="1:63" outlineLevel="1">
      <c r="A222" s="4" t="s">
        <v>35</v>
      </c>
      <c r="C222" s="203">
        <f t="shared" ref="C222:AG222" si="100">C217-$C217</f>
        <v>0</v>
      </c>
      <c r="D222" s="203">
        <f t="shared" si="100"/>
        <v>4.6658124419884501</v>
      </c>
      <c r="E222" s="203">
        <f t="shared" si="100"/>
        <v>22.079617135998848</v>
      </c>
      <c r="F222" s="203">
        <f t="shared" si="100"/>
        <v>57.779299240190348</v>
      </c>
      <c r="G222" s="203">
        <f t="shared" si="100"/>
        <v>117.8487889745582</v>
      </c>
      <c r="H222" s="203">
        <f t="shared" si="100"/>
        <v>208.91176318972808</v>
      </c>
      <c r="I222" s="203">
        <f t="shared" si="100"/>
        <v>327.6773147210647</v>
      </c>
      <c r="J222" s="203">
        <f t="shared" si="100"/>
        <v>481.45995094312548</v>
      </c>
      <c r="K222" s="203">
        <f t="shared" si="100"/>
        <v>673.455652357556</v>
      </c>
      <c r="L222" s="203">
        <f t="shared" si="100"/>
        <v>906.29751678896821</v>
      </c>
      <c r="M222" s="203">
        <f t="shared" si="100"/>
        <v>1181.9710476330033</v>
      </c>
      <c r="N222" s="203">
        <f t="shared" si="100"/>
        <v>1456.9281460345785</v>
      </c>
      <c r="O222" s="203">
        <f t="shared" si="100"/>
        <v>1763.9543560889722</v>
      </c>
      <c r="P222" s="203">
        <f t="shared" si="100"/>
        <v>2102.1328342729216</v>
      </c>
      <c r="Q222" s="203">
        <f t="shared" si="100"/>
        <v>2469.8380560953765</v>
      </c>
      <c r="R222" s="203">
        <f t="shared" si="100"/>
        <v>2864.6833711690251</v>
      </c>
      <c r="S222" s="203">
        <f t="shared" si="100"/>
        <v>3328.7345233429983</v>
      </c>
      <c r="T222" s="203">
        <f t="shared" si="100"/>
        <v>3829.7975936917824</v>
      </c>
      <c r="U222" s="203">
        <f t="shared" si="100"/>
        <v>4366.2300133524768</v>
      </c>
      <c r="V222" s="203">
        <f t="shared" si="100"/>
        <v>4935.7710173584692</v>
      </c>
      <c r="W222" s="203">
        <f t="shared" si="100"/>
        <v>5535.5064640742612</v>
      </c>
      <c r="X222" s="203">
        <f t="shared" si="100"/>
        <v>6289.8449882683262</v>
      </c>
      <c r="Y222" s="203">
        <f t="shared" si="100"/>
        <v>7082.8749427623534</v>
      </c>
      <c r="Z222" s="203">
        <f t="shared" si="100"/>
        <v>7908.743503658935</v>
      </c>
      <c r="AA222" s="203">
        <f t="shared" si="100"/>
        <v>8760.4787319661373</v>
      </c>
      <c r="AB222" s="203">
        <f t="shared" si="100"/>
        <v>9629.9382095440415</v>
      </c>
      <c r="AC222" s="203">
        <f t="shared" si="100"/>
        <v>10402.960315720893</v>
      </c>
      <c r="AD222" s="203">
        <f t="shared" si="100"/>
        <v>11144.716862977264</v>
      </c>
      <c r="AE222" s="203">
        <f t="shared" si="100"/>
        <v>11839.072869883223</v>
      </c>
      <c r="AF222" s="203">
        <f t="shared" si="100"/>
        <v>12468.201682263858</v>
      </c>
      <c r="AG222" s="203">
        <f t="shared" si="100"/>
        <v>13012.528075507294</v>
      </c>
      <c r="AH222" s="217"/>
      <c r="AI222" s="124"/>
      <c r="AJ222" s="185"/>
      <c r="AL222" s="100"/>
      <c r="AM222" s="2"/>
      <c r="AN222" s="2"/>
      <c r="AO222" s="2"/>
      <c r="BC222" s="1"/>
      <c r="BD222" s="2"/>
      <c r="BE222" s="2"/>
      <c r="BF222" s="2"/>
      <c r="BG222" s="2"/>
      <c r="BH222" s="2"/>
      <c r="BI222" s="2"/>
      <c r="BJ222" s="2"/>
      <c r="BK222" s="2"/>
    </row>
    <row r="223" spans="1:63" outlineLevel="1">
      <c r="A223" s="4" t="s">
        <v>74</v>
      </c>
      <c r="C223" s="203">
        <f t="shared" ref="C223:AG225" si="101">C218-$C218</f>
        <v>0</v>
      </c>
      <c r="D223" s="203">
        <f t="shared" si="101"/>
        <v>0</v>
      </c>
      <c r="E223" s="203">
        <f t="shared" si="101"/>
        <v>0</v>
      </c>
      <c r="F223" s="203">
        <f t="shared" si="101"/>
        <v>0</v>
      </c>
      <c r="G223" s="203">
        <f t="shared" si="101"/>
        <v>0</v>
      </c>
      <c r="H223" s="203">
        <f t="shared" si="101"/>
        <v>0</v>
      </c>
      <c r="I223" s="203">
        <f t="shared" si="101"/>
        <v>0</v>
      </c>
      <c r="J223" s="203">
        <f t="shared" si="101"/>
        <v>0</v>
      </c>
      <c r="K223" s="203">
        <f t="shared" si="101"/>
        <v>0</v>
      </c>
      <c r="L223" s="203">
        <f t="shared" si="101"/>
        <v>0</v>
      </c>
      <c r="M223" s="203">
        <f t="shared" si="101"/>
        <v>0</v>
      </c>
      <c r="N223" s="203">
        <f t="shared" si="101"/>
        <v>0</v>
      </c>
      <c r="O223" s="203">
        <f t="shared" si="101"/>
        <v>0</v>
      </c>
      <c r="P223" s="203">
        <f t="shared" si="101"/>
        <v>0</v>
      </c>
      <c r="Q223" s="203">
        <f t="shared" si="101"/>
        <v>0</v>
      </c>
      <c r="R223" s="203">
        <f t="shared" si="101"/>
        <v>0</v>
      </c>
      <c r="S223" s="203">
        <f t="shared" si="101"/>
        <v>0</v>
      </c>
      <c r="T223" s="203">
        <f t="shared" si="101"/>
        <v>0</v>
      </c>
      <c r="U223" s="203">
        <f t="shared" si="101"/>
        <v>0</v>
      </c>
      <c r="V223" s="203">
        <f t="shared" si="101"/>
        <v>0</v>
      </c>
      <c r="W223" s="203">
        <f t="shared" si="101"/>
        <v>0</v>
      </c>
      <c r="X223" s="203">
        <f t="shared" si="101"/>
        <v>0</v>
      </c>
      <c r="Y223" s="203">
        <f t="shared" si="101"/>
        <v>0</v>
      </c>
      <c r="Z223" s="203">
        <f t="shared" si="101"/>
        <v>0</v>
      </c>
      <c r="AA223" s="203">
        <f t="shared" si="101"/>
        <v>0</v>
      </c>
      <c r="AB223" s="203">
        <f t="shared" si="101"/>
        <v>0</v>
      </c>
      <c r="AC223" s="203">
        <f t="shared" si="101"/>
        <v>0</v>
      </c>
      <c r="AD223" s="203">
        <f t="shared" si="101"/>
        <v>0</v>
      </c>
      <c r="AE223" s="203">
        <f t="shared" si="101"/>
        <v>0</v>
      </c>
      <c r="AF223" s="203">
        <f t="shared" si="101"/>
        <v>0</v>
      </c>
      <c r="AG223" s="203">
        <f t="shared" si="101"/>
        <v>0</v>
      </c>
      <c r="AH223" s="217"/>
      <c r="AI223" s="124"/>
      <c r="AJ223" s="185"/>
      <c r="AL223" s="100"/>
      <c r="AM223" s="2"/>
      <c r="AN223" s="2"/>
      <c r="AO223" s="2"/>
      <c r="BC223" s="1"/>
      <c r="BD223" s="2"/>
      <c r="BE223" s="2"/>
      <c r="BF223" s="2"/>
      <c r="BG223" s="2"/>
      <c r="BH223" s="2"/>
      <c r="BI223" s="2"/>
      <c r="BJ223" s="2"/>
      <c r="BK223" s="2"/>
    </row>
    <row r="224" spans="1:63" outlineLevel="1">
      <c r="A224" s="4" t="s">
        <v>160</v>
      </c>
      <c r="C224" s="203">
        <f t="shared" si="101"/>
        <v>0</v>
      </c>
      <c r="D224" s="203">
        <f t="shared" si="101"/>
        <v>0</v>
      </c>
      <c r="E224" s="203">
        <f t="shared" si="101"/>
        <v>0</v>
      </c>
      <c r="F224" s="203">
        <f t="shared" si="101"/>
        <v>0</v>
      </c>
      <c r="G224" s="203">
        <f t="shared" si="101"/>
        <v>0</v>
      </c>
      <c r="H224" s="203">
        <f t="shared" si="101"/>
        <v>0</v>
      </c>
      <c r="I224" s="203">
        <f t="shared" si="101"/>
        <v>0</v>
      </c>
      <c r="J224" s="203">
        <f t="shared" si="101"/>
        <v>0</v>
      </c>
      <c r="K224" s="203">
        <f t="shared" si="101"/>
        <v>0</v>
      </c>
      <c r="L224" s="203">
        <f t="shared" si="101"/>
        <v>0</v>
      </c>
      <c r="M224" s="203">
        <f t="shared" si="101"/>
        <v>0</v>
      </c>
      <c r="N224" s="203">
        <f t="shared" si="101"/>
        <v>0</v>
      </c>
      <c r="O224" s="203">
        <f t="shared" si="101"/>
        <v>0</v>
      </c>
      <c r="P224" s="203">
        <f t="shared" si="101"/>
        <v>0</v>
      </c>
      <c r="Q224" s="203">
        <f t="shared" si="101"/>
        <v>0</v>
      </c>
      <c r="R224" s="203">
        <f t="shared" si="101"/>
        <v>0</v>
      </c>
      <c r="S224" s="203">
        <f t="shared" si="101"/>
        <v>0</v>
      </c>
      <c r="T224" s="203">
        <f t="shared" si="101"/>
        <v>0</v>
      </c>
      <c r="U224" s="203">
        <f t="shared" si="101"/>
        <v>0</v>
      </c>
      <c r="V224" s="203">
        <f t="shared" si="101"/>
        <v>0</v>
      </c>
      <c r="W224" s="203">
        <f t="shared" si="101"/>
        <v>0</v>
      </c>
      <c r="X224" s="203">
        <f t="shared" si="101"/>
        <v>0</v>
      </c>
      <c r="Y224" s="203">
        <f t="shared" si="101"/>
        <v>0</v>
      </c>
      <c r="Z224" s="203">
        <f t="shared" si="101"/>
        <v>0</v>
      </c>
      <c r="AA224" s="203">
        <f t="shared" si="101"/>
        <v>0</v>
      </c>
      <c r="AB224" s="203">
        <f t="shared" si="101"/>
        <v>0</v>
      </c>
      <c r="AC224" s="203">
        <f t="shared" si="101"/>
        <v>0</v>
      </c>
      <c r="AD224" s="203">
        <f t="shared" si="101"/>
        <v>0</v>
      </c>
      <c r="AE224" s="203">
        <f t="shared" si="101"/>
        <v>0</v>
      </c>
      <c r="AF224" s="203">
        <f t="shared" si="101"/>
        <v>0</v>
      </c>
      <c r="AG224" s="203">
        <f t="shared" si="101"/>
        <v>0</v>
      </c>
      <c r="AH224" s="217"/>
      <c r="AI224" s="124"/>
      <c r="AJ224" s="185"/>
      <c r="AL224" s="100"/>
      <c r="AM224" s="2"/>
      <c r="AN224" s="2"/>
      <c r="AO224" s="2"/>
      <c r="BC224" s="1"/>
      <c r="BD224" s="2"/>
      <c r="BE224" s="2"/>
      <c r="BF224" s="2"/>
      <c r="BG224" s="2"/>
      <c r="BH224" s="2"/>
      <c r="BI224" s="2"/>
      <c r="BJ224" s="2"/>
      <c r="BK224" s="2"/>
    </row>
    <row r="225" spans="1:63" outlineLevel="1">
      <c r="A225" s="4" t="s">
        <v>1040</v>
      </c>
      <c r="C225" s="203">
        <f t="shared" si="101"/>
        <v>0</v>
      </c>
      <c r="D225" s="203">
        <f t="shared" si="101"/>
        <v>4.8100841119490732E-5</v>
      </c>
      <c r="E225" s="203">
        <f t="shared" si="101"/>
        <v>2.2762341372325884E-4</v>
      </c>
      <c r="F225" s="203">
        <f t="shared" si="101"/>
        <v>5.9565893985302786E-4</v>
      </c>
      <c r="G225" s="203">
        <f t="shared" si="101"/>
        <v>1.2149279348601058E-3</v>
      </c>
      <c r="H225" s="203">
        <f t="shared" si="101"/>
        <v>2.1537152755542886E-3</v>
      </c>
      <c r="I225" s="203">
        <f t="shared" si="101"/>
        <v>3.3780943082963111E-3</v>
      </c>
      <c r="J225" s="203">
        <f t="shared" si="101"/>
        <v>4.9634718269651375E-3</v>
      </c>
      <c r="K225" s="203">
        <f t="shared" si="101"/>
        <v>6.9427958662796972E-3</v>
      </c>
      <c r="L225" s="203">
        <f t="shared" si="101"/>
        <v>9.3432115851353522E-3</v>
      </c>
      <c r="M225" s="203">
        <f t="shared" si="101"/>
        <v>1.2185187955348563E-2</v>
      </c>
      <c r="N225" s="203">
        <f t="shared" si="101"/>
        <v>1.5019778472933515E-2</v>
      </c>
      <c r="O225" s="203">
        <f t="shared" si="101"/>
        <v>1.8184976202795956E-2</v>
      </c>
      <c r="P225" s="203">
        <f t="shared" si="101"/>
        <v>2.1671329212353468E-2</v>
      </c>
      <c r="Q225" s="203">
        <f t="shared" si="101"/>
        <v>2.5462079627976968E-2</v>
      </c>
      <c r="R225" s="203">
        <f t="shared" si="101"/>
        <v>2.9532622969200256E-2</v>
      </c>
      <c r="S225" s="203">
        <f t="shared" si="101"/>
        <v>3.4316623830693123E-2</v>
      </c>
      <c r="T225" s="203">
        <f t="shared" si="101"/>
        <v>3.9482188335772037E-2</v>
      </c>
      <c r="U225" s="203">
        <f t="shared" si="101"/>
        <v>4.5012382896796127E-2</v>
      </c>
      <c r="V225" s="203">
        <f t="shared" si="101"/>
        <v>5.0883900812559633E-2</v>
      </c>
      <c r="W225" s="203">
        <f t="shared" si="101"/>
        <v>5.7066699584451319E-2</v>
      </c>
      <c r="X225" s="203">
        <f t="shared" si="101"/>
        <v>6.4843333976361509E-2</v>
      </c>
      <c r="Y225" s="203">
        <f t="shared" si="101"/>
        <v>7.3018846455353836E-2</v>
      </c>
      <c r="Z225" s="203">
        <f t="shared" si="101"/>
        <v>8.1532899029730183E-2</v>
      </c>
      <c r="AA225" s="203">
        <f t="shared" si="101"/>
        <v>9.0313616515068668E-2</v>
      </c>
      <c r="AB225" s="203">
        <f t="shared" si="101"/>
        <v>9.9277057011400938E-2</v>
      </c>
      <c r="AC225" s="203">
        <f t="shared" si="101"/>
        <v>0.10724630437686519</v>
      </c>
      <c r="AD225" s="203">
        <f t="shared" si="101"/>
        <v>0.11489322852405939</v>
      </c>
      <c r="AE225" s="203">
        <f t="shared" si="101"/>
        <v>0.12205149053819078</v>
      </c>
      <c r="AF225" s="203">
        <f t="shared" si="101"/>
        <v>0.12853731169458471</v>
      </c>
      <c r="AG225" s="203">
        <f t="shared" si="101"/>
        <v>0.13414888688841947</v>
      </c>
      <c r="AH225" s="217"/>
      <c r="AI225" s="124"/>
      <c r="AJ225" s="185"/>
      <c r="AL225" s="100"/>
      <c r="AM225" s="2"/>
      <c r="AN225" s="2"/>
      <c r="AO225" s="2"/>
      <c r="BC225" s="1"/>
      <c r="BD225" s="2"/>
      <c r="BE225" s="2"/>
      <c r="BF225" s="2"/>
      <c r="BG225" s="2"/>
      <c r="BH225" s="2"/>
      <c r="BI225" s="2"/>
      <c r="BJ225" s="2"/>
      <c r="BK225" s="2"/>
    </row>
    <row r="226" spans="1:63" s="1" customFormat="1" outlineLevel="1">
      <c r="A226" s="1" t="s">
        <v>1269</v>
      </c>
      <c r="B226" s="60"/>
      <c r="C226" s="250">
        <f>'BTX Recycling HC'!C226</f>
        <v>0</v>
      </c>
      <c r="D226" s="250">
        <f>'BTX Recycling HC'!D226</f>
        <v>139.97581628488709</v>
      </c>
      <c r="E226" s="250">
        <f>'BTX Recycling HC'!E226</f>
        <v>331.19767139118858</v>
      </c>
      <c r="F226" s="250">
        <f>'BTX Recycling HC'!F226</f>
        <v>577.79894899130204</v>
      </c>
      <c r="G226" s="250">
        <f>'BTX Recycling HC'!G226</f>
        <v>883.87502926869797</v>
      </c>
      <c r="H226" s="250">
        <f>'BTX Recycling HC'!H226</f>
        <v>1253.4835014300218</v>
      </c>
      <c r="I226" s="250">
        <f>'BTX Recycling HC'!I226</f>
        <v>1638.403464076865</v>
      </c>
      <c r="J226" s="250">
        <f>'BTX Recycling HC'!J226</f>
        <v>2063.4210617783674</v>
      </c>
      <c r="K226" s="250">
        <f>'BTX Recycling HC'!K226</f>
        <v>2525.4847318253337</v>
      </c>
      <c r="L226" s="250">
        <f>'BTX Recycling HC'!L226</f>
        <v>3021.0228666685116</v>
      </c>
      <c r="M226" s="250">
        <f>'BTX Recycling HC'!M226</f>
        <v>3545.9496984628768</v>
      </c>
      <c r="N226" s="250">
        <f>'BTX Recycling HC'!N226</f>
        <v>3973.4813613083229</v>
      </c>
      <c r="O226" s="250">
        <f>'BTX Recycling HC'!O226</f>
        <v>4409.9313526629385</v>
      </c>
      <c r="P226" s="250">
        <f>'BTX Recycling HC'!P226</f>
        <v>4851.1257821587715</v>
      </c>
      <c r="Q226" s="250">
        <f>'BTX Recycling HC'!Q226</f>
        <v>5292.5646818035821</v>
      </c>
      <c r="R226" s="250">
        <f>'BTX Recycling HC'!R226</f>
        <v>5729.4258075839907</v>
      </c>
      <c r="S226" s="250">
        <f>'BTX Recycling HC'!S226</f>
        <v>6241.4415749378059</v>
      </c>
      <c r="T226" s="250">
        <f>'BTX Recycling HC'!T226</f>
        <v>6758.5360162590341</v>
      </c>
      <c r="U226" s="250">
        <f>'BTX Recycling HC'!U226</f>
        <v>7277.1250428922913</v>
      </c>
      <c r="V226" s="250">
        <f>'BTX Recycling HC'!V226</f>
        <v>7793.4030019883412</v>
      </c>
      <c r="W226" s="250">
        <f>'BTX Recycling HC'!W226</f>
        <v>8303.3452961607709</v>
      </c>
      <c r="X226" s="250">
        <f>'BTX Recycling HC'!X226</f>
        <v>8985.5854737175778</v>
      </c>
      <c r="Y226" s="250">
        <f>'BTX Recycling HC'!Y226</f>
        <v>9658.5654021938335</v>
      </c>
      <c r="Z226" s="250">
        <f>'BTX Recycling HC'!Z226</f>
        <v>10315.858743336479</v>
      </c>
      <c r="AA226" s="250">
        <f>'BTX Recycling HC'!AA226</f>
        <v>10950.711306978319</v>
      </c>
      <c r="AB226" s="250">
        <f>'BTX Recycling HC'!AB226</f>
        <v>11556.044983921269</v>
      </c>
      <c r="AC226" s="250">
        <f>'BTX Recycling HC'!AC226</f>
        <v>12003.539494644547</v>
      </c>
      <c r="AD226" s="250">
        <f>'BTX Recycling HC'!AD226</f>
        <v>12383.146395784213</v>
      </c>
      <c r="AE226" s="250">
        <f>'BTX Recycling HC'!AE226</f>
        <v>12684.851701471891</v>
      </c>
      <c r="AF226" s="250">
        <f>'BTX Recycling HC'!AF226</f>
        <v>12898.272640940231</v>
      </c>
      <c r="AG226" s="250">
        <f>'BTX Recycling HC'!AG226</f>
        <v>13012.662224394182</v>
      </c>
      <c r="AH226" s="217"/>
      <c r="AI226" s="368"/>
      <c r="AJ226" s="369"/>
      <c r="AL226" s="194"/>
      <c r="AM226" s="116"/>
      <c r="AN226" s="116"/>
      <c r="AO226" s="116"/>
      <c r="BD226" s="116"/>
      <c r="BE226" s="116"/>
      <c r="BF226" s="116"/>
      <c r="BG226" s="116"/>
      <c r="BH226" s="116"/>
      <c r="BI226" s="116"/>
      <c r="BJ226" s="116"/>
      <c r="BK226" s="116"/>
    </row>
    <row r="227" spans="1:63" outlineLevel="1">
      <c r="A227" s="4" t="s">
        <v>35</v>
      </c>
      <c r="C227" s="203">
        <f>C$226*'BTX recycling rates'!E82</f>
        <v>0</v>
      </c>
      <c r="D227" s="203">
        <f>D$226*'BTX recycling rates'!F82</f>
        <v>4.6658124419884501</v>
      </c>
      <c r="E227" s="203">
        <f>E$226*'BTX recycling rates'!G82</f>
        <v>22.079617135998848</v>
      </c>
      <c r="F227" s="203">
        <f>F$226*'BTX recycling rates'!H82</f>
        <v>57.779299240190348</v>
      </c>
      <c r="G227" s="203">
        <f>G$226*'BTX recycling rates'!I82</f>
        <v>117.8487889745582</v>
      </c>
      <c r="H227" s="203">
        <f>H$226*'BTX recycling rates'!J82</f>
        <v>208.91176318972808</v>
      </c>
      <c r="I227" s="203">
        <f>I$226*'BTX recycling rates'!K82</f>
        <v>327.6773147210647</v>
      </c>
      <c r="J227" s="203">
        <f>J$226*'BTX recycling rates'!L82</f>
        <v>481.45995094312548</v>
      </c>
      <c r="K227" s="203">
        <f>K$226*'BTX recycling rates'!M82</f>
        <v>673.455652357556</v>
      </c>
      <c r="L227" s="203">
        <f>L$226*'BTX recycling rates'!N82</f>
        <v>906.29751678896821</v>
      </c>
      <c r="M227" s="203">
        <f>M$226*'BTX recycling rates'!O82</f>
        <v>1181.9710476330033</v>
      </c>
      <c r="N227" s="203">
        <f>N$226*'BTX recycling rates'!P82</f>
        <v>1456.9281460345785</v>
      </c>
      <c r="O227" s="203">
        <f>O$226*'BTX recycling rates'!Q82</f>
        <v>1763.9543560889722</v>
      </c>
      <c r="P227" s="203">
        <f>P$226*'BTX recycling rates'!R82</f>
        <v>2102.1328342729216</v>
      </c>
      <c r="Q227" s="203">
        <f>Q$226*'BTX recycling rates'!S82</f>
        <v>2469.8380560953765</v>
      </c>
      <c r="R227" s="203">
        <f>R$226*'BTX recycling rates'!T82</f>
        <v>2864.6833711690251</v>
      </c>
      <c r="S227" s="203">
        <f>S$226*'BTX recycling rates'!U82</f>
        <v>3328.7345233429983</v>
      </c>
      <c r="T227" s="203">
        <f>T$226*'BTX recycling rates'!V82</f>
        <v>3829.7975936917824</v>
      </c>
      <c r="U227" s="203">
        <f>U$226*'BTX recycling rates'!W82</f>
        <v>4366.2300133524768</v>
      </c>
      <c r="V227" s="203">
        <f>V$226*'BTX recycling rates'!X82</f>
        <v>4935.7710173584692</v>
      </c>
      <c r="W227" s="203">
        <f>W$226*'BTX recycling rates'!Y82</f>
        <v>5535.5064640742612</v>
      </c>
      <c r="X227" s="203">
        <f>X$226*'BTX recycling rates'!Z82</f>
        <v>6289.8449882683262</v>
      </c>
      <c r="Y227" s="203">
        <f>Y$226*'BTX recycling rates'!AA82</f>
        <v>7082.8749427623534</v>
      </c>
      <c r="Z227" s="203">
        <f>Z$226*'BTX recycling rates'!AB82</f>
        <v>7908.743503658935</v>
      </c>
      <c r="AA227" s="203">
        <f>AA$226*'BTX recycling rates'!AC82</f>
        <v>8760.4787319661373</v>
      </c>
      <c r="AB227" s="203">
        <f>AB$226*'BTX recycling rates'!AD82</f>
        <v>9629.9382095440415</v>
      </c>
      <c r="AC227" s="203">
        <f>AC$226*'BTX recycling rates'!AE82</f>
        <v>10402.960315720893</v>
      </c>
      <c r="AD227" s="203">
        <f>AD$226*'BTX recycling rates'!AF82</f>
        <v>11144.716862977264</v>
      </c>
      <c r="AE227" s="203">
        <f>AE$226*'BTX recycling rates'!AG82</f>
        <v>11839.072869883223</v>
      </c>
      <c r="AF227" s="203">
        <f>AF$226*'BTX recycling rates'!AH82</f>
        <v>12468.201682263858</v>
      </c>
      <c r="AG227" s="203">
        <f>AG$226*'BTX recycling rates'!AI82</f>
        <v>13012.528075507294</v>
      </c>
      <c r="AH227" s="217"/>
      <c r="AI227" s="124"/>
      <c r="AJ227" s="185"/>
      <c r="AL227" s="100"/>
      <c r="AM227" s="2"/>
      <c r="AN227" s="2"/>
      <c r="AO227" s="2"/>
      <c r="BC227" s="1"/>
      <c r="BD227" s="2"/>
      <c r="BE227" s="2"/>
      <c r="BF227" s="2"/>
      <c r="BG227" s="2"/>
      <c r="BH227" s="2"/>
      <c r="BI227" s="2"/>
      <c r="BJ227" s="2"/>
      <c r="BK227" s="2"/>
    </row>
    <row r="228" spans="1:63" outlineLevel="1">
      <c r="A228" s="4" t="s">
        <v>74</v>
      </c>
      <c r="C228" s="203">
        <f>C$226*'BTX recycling rates'!E83</f>
        <v>0</v>
      </c>
      <c r="D228" s="203">
        <f>D$226*'BTX recycling rates'!F83</f>
        <v>0</v>
      </c>
      <c r="E228" s="203">
        <f>E$226*'BTX recycling rates'!G83</f>
        <v>0</v>
      </c>
      <c r="F228" s="203">
        <f>F$226*'BTX recycling rates'!H83</f>
        <v>0</v>
      </c>
      <c r="G228" s="203">
        <f>G$226*'BTX recycling rates'!I83</f>
        <v>0</v>
      </c>
      <c r="H228" s="203">
        <f>H$226*'BTX recycling rates'!J83</f>
        <v>0</v>
      </c>
      <c r="I228" s="203">
        <f>I$226*'BTX recycling rates'!K83</f>
        <v>0</v>
      </c>
      <c r="J228" s="203">
        <f>J$226*'BTX recycling rates'!L83</f>
        <v>0</v>
      </c>
      <c r="K228" s="203">
        <f>K$226*'BTX recycling rates'!M83</f>
        <v>0</v>
      </c>
      <c r="L228" s="203">
        <f>L$226*'BTX recycling rates'!N83</f>
        <v>0</v>
      </c>
      <c r="M228" s="203">
        <f>M$226*'BTX recycling rates'!O83</f>
        <v>0</v>
      </c>
      <c r="N228" s="203">
        <f>N$226*'BTX recycling rates'!P83</f>
        <v>0</v>
      </c>
      <c r="O228" s="203">
        <f>O$226*'BTX recycling rates'!Q83</f>
        <v>0</v>
      </c>
      <c r="P228" s="203">
        <f>P$226*'BTX recycling rates'!R83</f>
        <v>0</v>
      </c>
      <c r="Q228" s="203">
        <f>Q$226*'BTX recycling rates'!S83</f>
        <v>0</v>
      </c>
      <c r="R228" s="203">
        <f>R$226*'BTX recycling rates'!T83</f>
        <v>0</v>
      </c>
      <c r="S228" s="203">
        <f>S$226*'BTX recycling rates'!U83</f>
        <v>0</v>
      </c>
      <c r="T228" s="203">
        <f>T$226*'BTX recycling rates'!V83</f>
        <v>0</v>
      </c>
      <c r="U228" s="203">
        <f>U$226*'BTX recycling rates'!W83</f>
        <v>0</v>
      </c>
      <c r="V228" s="203">
        <f>V$226*'BTX recycling rates'!X83</f>
        <v>0</v>
      </c>
      <c r="W228" s="203">
        <f>W$226*'BTX recycling rates'!Y83</f>
        <v>0</v>
      </c>
      <c r="X228" s="203">
        <f>X$226*'BTX recycling rates'!Z83</f>
        <v>0</v>
      </c>
      <c r="Y228" s="203">
        <f>Y$226*'BTX recycling rates'!AA83</f>
        <v>0</v>
      </c>
      <c r="Z228" s="203">
        <f>Z$226*'BTX recycling rates'!AB83</f>
        <v>0</v>
      </c>
      <c r="AA228" s="203">
        <f>AA$226*'BTX recycling rates'!AC83</f>
        <v>0</v>
      </c>
      <c r="AB228" s="203">
        <f>AB$226*'BTX recycling rates'!AD83</f>
        <v>0</v>
      </c>
      <c r="AC228" s="203">
        <f>AC$226*'BTX recycling rates'!AE83</f>
        <v>0</v>
      </c>
      <c r="AD228" s="203">
        <f>AD$226*'BTX recycling rates'!AF83</f>
        <v>0</v>
      </c>
      <c r="AE228" s="203">
        <f>AE$226*'BTX recycling rates'!AG83</f>
        <v>0</v>
      </c>
      <c r="AF228" s="203">
        <f>AF$226*'BTX recycling rates'!AH83</f>
        <v>0</v>
      </c>
      <c r="AG228" s="203">
        <f>AG$226*'BTX recycling rates'!AI83</f>
        <v>0</v>
      </c>
      <c r="AH228" s="217"/>
      <c r="AI228" s="124"/>
      <c r="AJ228" s="185"/>
      <c r="AL228" s="100"/>
      <c r="AM228" s="2"/>
      <c r="AN228" s="2"/>
      <c r="AO228" s="2"/>
      <c r="BC228" s="1"/>
      <c r="BD228" s="2"/>
      <c r="BE228" s="2"/>
      <c r="BF228" s="2"/>
      <c r="BG228" s="2"/>
      <c r="BH228" s="2"/>
      <c r="BI228" s="2"/>
      <c r="BJ228" s="2"/>
      <c r="BK228" s="2"/>
    </row>
    <row r="229" spans="1:63" outlineLevel="1">
      <c r="A229" s="4" t="s">
        <v>160</v>
      </c>
      <c r="C229" s="203">
        <f>C$226*'BTX recycling rates'!E84</f>
        <v>0</v>
      </c>
      <c r="D229" s="203">
        <f>D$226*'BTX recycling rates'!F84</f>
        <v>0</v>
      </c>
      <c r="E229" s="203">
        <f>E$226*'BTX recycling rates'!G84</f>
        <v>0</v>
      </c>
      <c r="F229" s="203">
        <f>F$226*'BTX recycling rates'!H84</f>
        <v>0</v>
      </c>
      <c r="G229" s="203">
        <f>G$226*'BTX recycling rates'!I84</f>
        <v>0</v>
      </c>
      <c r="H229" s="203">
        <f>H$226*'BTX recycling rates'!J84</f>
        <v>0</v>
      </c>
      <c r="I229" s="203">
        <f>I$226*'BTX recycling rates'!K84</f>
        <v>0</v>
      </c>
      <c r="J229" s="203">
        <f>J$226*'BTX recycling rates'!L84</f>
        <v>0</v>
      </c>
      <c r="K229" s="203">
        <f>K$226*'BTX recycling rates'!M84</f>
        <v>0</v>
      </c>
      <c r="L229" s="203">
        <f>L$226*'BTX recycling rates'!N84</f>
        <v>0</v>
      </c>
      <c r="M229" s="203">
        <f>M$226*'BTX recycling rates'!O84</f>
        <v>0</v>
      </c>
      <c r="N229" s="203">
        <f>N$226*'BTX recycling rates'!P84</f>
        <v>0</v>
      </c>
      <c r="O229" s="203">
        <f>O$226*'BTX recycling rates'!Q84</f>
        <v>0</v>
      </c>
      <c r="P229" s="203">
        <f>P$226*'BTX recycling rates'!R84</f>
        <v>0</v>
      </c>
      <c r="Q229" s="203">
        <f>Q$226*'BTX recycling rates'!S84</f>
        <v>0</v>
      </c>
      <c r="R229" s="203">
        <f>R$226*'BTX recycling rates'!T84</f>
        <v>0</v>
      </c>
      <c r="S229" s="203">
        <f>S$226*'BTX recycling rates'!U84</f>
        <v>0</v>
      </c>
      <c r="T229" s="203">
        <f>T$226*'BTX recycling rates'!V84</f>
        <v>0</v>
      </c>
      <c r="U229" s="203">
        <f>U$226*'BTX recycling rates'!W84</f>
        <v>0</v>
      </c>
      <c r="V229" s="203">
        <f>V$226*'BTX recycling rates'!X84</f>
        <v>0</v>
      </c>
      <c r="W229" s="203">
        <f>W$226*'BTX recycling rates'!Y84</f>
        <v>0</v>
      </c>
      <c r="X229" s="203">
        <f>X$226*'BTX recycling rates'!Z84</f>
        <v>0</v>
      </c>
      <c r="Y229" s="203">
        <f>Y$226*'BTX recycling rates'!AA84</f>
        <v>0</v>
      </c>
      <c r="Z229" s="203">
        <f>Z$226*'BTX recycling rates'!AB84</f>
        <v>0</v>
      </c>
      <c r="AA229" s="203">
        <f>AA$226*'BTX recycling rates'!AC84</f>
        <v>0</v>
      </c>
      <c r="AB229" s="203">
        <f>AB$226*'BTX recycling rates'!AD84</f>
        <v>0</v>
      </c>
      <c r="AC229" s="203">
        <f>AC$226*'BTX recycling rates'!AE84</f>
        <v>0</v>
      </c>
      <c r="AD229" s="203">
        <f>AD$226*'BTX recycling rates'!AF84</f>
        <v>0</v>
      </c>
      <c r="AE229" s="203">
        <f>AE$226*'BTX recycling rates'!AG84</f>
        <v>0</v>
      </c>
      <c r="AF229" s="203">
        <f>AF$226*'BTX recycling rates'!AH84</f>
        <v>0</v>
      </c>
      <c r="AG229" s="203">
        <f>AG$226*'BTX recycling rates'!AI84</f>
        <v>0</v>
      </c>
      <c r="AH229" s="217"/>
      <c r="AI229" s="124"/>
      <c r="AJ229" s="185"/>
      <c r="AL229" s="100"/>
      <c r="AM229" s="2"/>
      <c r="AN229" s="2"/>
      <c r="AO229" s="2"/>
      <c r="BC229" s="1"/>
      <c r="BD229" s="2"/>
      <c r="BE229" s="2"/>
      <c r="BF229" s="2"/>
      <c r="BG229" s="2"/>
      <c r="BH229" s="2"/>
      <c r="BI229" s="2"/>
      <c r="BJ229" s="2"/>
      <c r="BK229" s="2"/>
    </row>
    <row r="230" spans="1:63" outlineLevel="1">
      <c r="A230" s="4" t="s">
        <v>1040</v>
      </c>
      <c r="C230" s="203">
        <f>C$226*'BTX recycling rates'!E85</f>
        <v>0</v>
      </c>
      <c r="D230" s="203">
        <f>D$226*'BTX recycling rates'!F85</f>
        <v>4.8100841119490732E-5</v>
      </c>
      <c r="E230" s="203">
        <f>E$226*'BTX recycling rates'!G85</f>
        <v>2.2762341372325884E-4</v>
      </c>
      <c r="F230" s="203">
        <f>F$226*'BTX recycling rates'!H85</f>
        <v>5.9565893985302786E-4</v>
      </c>
      <c r="G230" s="203">
        <f>G$226*'BTX recycling rates'!I85</f>
        <v>1.2149279348601058E-3</v>
      </c>
      <c r="H230" s="203">
        <f>H$226*'BTX recycling rates'!J85</f>
        <v>2.1537152755542886E-3</v>
      </c>
      <c r="I230" s="203">
        <f>I$226*'BTX recycling rates'!K85</f>
        <v>3.3780943082963111E-3</v>
      </c>
      <c r="J230" s="203">
        <f>J$226*'BTX recycling rates'!L85</f>
        <v>4.9634718269651375E-3</v>
      </c>
      <c r="K230" s="203">
        <f>K$226*'BTX recycling rates'!M85</f>
        <v>6.9427958662796972E-3</v>
      </c>
      <c r="L230" s="203">
        <f>L$226*'BTX recycling rates'!N85</f>
        <v>9.3432115851353522E-3</v>
      </c>
      <c r="M230" s="203">
        <f>M$226*'BTX recycling rates'!O85</f>
        <v>1.2185187955348563E-2</v>
      </c>
      <c r="N230" s="203">
        <f>N$226*'BTX recycling rates'!P85</f>
        <v>1.5019778472933515E-2</v>
      </c>
      <c r="O230" s="203">
        <f>O$226*'BTX recycling rates'!Q85</f>
        <v>1.8184976202795956E-2</v>
      </c>
      <c r="P230" s="203">
        <f>P$226*'BTX recycling rates'!R85</f>
        <v>2.1671329212353468E-2</v>
      </c>
      <c r="Q230" s="203">
        <f>Q$226*'BTX recycling rates'!S85</f>
        <v>2.5462079627976968E-2</v>
      </c>
      <c r="R230" s="203">
        <f>R$226*'BTX recycling rates'!T85</f>
        <v>2.9532622969200256E-2</v>
      </c>
      <c r="S230" s="203">
        <f>S$226*'BTX recycling rates'!U85</f>
        <v>3.4316623830693123E-2</v>
      </c>
      <c r="T230" s="203">
        <f>T$226*'BTX recycling rates'!V85</f>
        <v>3.9482188335772037E-2</v>
      </c>
      <c r="U230" s="203">
        <f>U$226*'BTX recycling rates'!W85</f>
        <v>4.5012382896796127E-2</v>
      </c>
      <c r="V230" s="203">
        <f>V$226*'BTX recycling rates'!X85</f>
        <v>5.0883900812559633E-2</v>
      </c>
      <c r="W230" s="203">
        <f>W$226*'BTX recycling rates'!Y85</f>
        <v>5.7066699584451319E-2</v>
      </c>
      <c r="X230" s="203">
        <f>X$226*'BTX recycling rates'!Z85</f>
        <v>6.4843333976361509E-2</v>
      </c>
      <c r="Y230" s="203">
        <f>Y$226*'BTX recycling rates'!AA85</f>
        <v>7.3018846455353836E-2</v>
      </c>
      <c r="Z230" s="203">
        <f>Z$226*'BTX recycling rates'!AB85</f>
        <v>8.1532899029730183E-2</v>
      </c>
      <c r="AA230" s="203">
        <f>AA$226*'BTX recycling rates'!AC85</f>
        <v>9.0313616515068668E-2</v>
      </c>
      <c r="AB230" s="203">
        <f>AB$226*'BTX recycling rates'!AD85</f>
        <v>9.9277057011400938E-2</v>
      </c>
      <c r="AC230" s="203">
        <f>AC$226*'BTX recycling rates'!AE85</f>
        <v>0.10724630437686519</v>
      </c>
      <c r="AD230" s="203">
        <f>AD$226*'BTX recycling rates'!AF85</f>
        <v>0.11489322852405939</v>
      </c>
      <c r="AE230" s="203">
        <f>AE$226*'BTX recycling rates'!AG85</f>
        <v>0.12205149053819078</v>
      </c>
      <c r="AF230" s="203">
        <f>AF$226*'BTX recycling rates'!AH85</f>
        <v>0.12853731169458471</v>
      </c>
      <c r="AG230" s="203">
        <f>AG$226*'BTX recycling rates'!AI85</f>
        <v>0.13414888688841947</v>
      </c>
      <c r="AH230" s="217"/>
      <c r="AI230" s="124"/>
      <c r="AJ230" s="185"/>
      <c r="AL230" s="100"/>
      <c r="AM230" s="2"/>
      <c r="AN230" s="2"/>
      <c r="AO230" s="2"/>
      <c r="BC230" s="1"/>
      <c r="BD230" s="2"/>
      <c r="BE230" s="2"/>
      <c r="BF230" s="2"/>
      <c r="BG230" s="2"/>
      <c r="BH230" s="2"/>
      <c r="BI230" s="2"/>
      <c r="BJ230" s="2"/>
      <c r="BK230" s="2"/>
    </row>
    <row r="231" spans="1:63" s="1" customFormat="1" outlineLevel="1">
      <c r="A231" s="1" t="s">
        <v>1270</v>
      </c>
      <c r="B231" s="60"/>
      <c r="C231" s="250">
        <f t="shared" ref="C231:AG231" si="102">C226-$C226</f>
        <v>0</v>
      </c>
      <c r="D231" s="250">
        <f t="shared" si="102"/>
        <v>139.97581628488709</v>
      </c>
      <c r="E231" s="250">
        <f t="shared" si="102"/>
        <v>331.19767139118858</v>
      </c>
      <c r="F231" s="250">
        <f t="shared" si="102"/>
        <v>577.79894899130204</v>
      </c>
      <c r="G231" s="250">
        <f t="shared" si="102"/>
        <v>883.87502926869797</v>
      </c>
      <c r="H231" s="250">
        <f t="shared" si="102"/>
        <v>1253.4835014300218</v>
      </c>
      <c r="I231" s="250">
        <f t="shared" si="102"/>
        <v>1638.403464076865</v>
      </c>
      <c r="J231" s="250">
        <f t="shared" si="102"/>
        <v>2063.4210617783674</v>
      </c>
      <c r="K231" s="250">
        <f t="shared" si="102"/>
        <v>2525.4847318253337</v>
      </c>
      <c r="L231" s="250">
        <f t="shared" si="102"/>
        <v>3021.0228666685116</v>
      </c>
      <c r="M231" s="250">
        <f t="shared" si="102"/>
        <v>3545.9496984628768</v>
      </c>
      <c r="N231" s="250">
        <f t="shared" si="102"/>
        <v>3973.4813613083229</v>
      </c>
      <c r="O231" s="250">
        <f t="shared" si="102"/>
        <v>4409.9313526629385</v>
      </c>
      <c r="P231" s="250">
        <f t="shared" si="102"/>
        <v>4851.1257821587715</v>
      </c>
      <c r="Q231" s="250">
        <f t="shared" si="102"/>
        <v>5292.5646818035821</v>
      </c>
      <c r="R231" s="250">
        <f t="shared" si="102"/>
        <v>5729.4258075839907</v>
      </c>
      <c r="S231" s="250">
        <f t="shared" si="102"/>
        <v>6241.4415749378059</v>
      </c>
      <c r="T231" s="250">
        <f t="shared" si="102"/>
        <v>6758.5360162590341</v>
      </c>
      <c r="U231" s="250">
        <f t="shared" si="102"/>
        <v>7277.1250428922913</v>
      </c>
      <c r="V231" s="250">
        <f t="shared" si="102"/>
        <v>7793.4030019883412</v>
      </c>
      <c r="W231" s="250">
        <f t="shared" si="102"/>
        <v>8303.3452961607709</v>
      </c>
      <c r="X231" s="250">
        <f t="shared" si="102"/>
        <v>8985.5854737175778</v>
      </c>
      <c r="Y231" s="250">
        <f t="shared" si="102"/>
        <v>9658.5654021938335</v>
      </c>
      <c r="Z231" s="250">
        <f t="shared" si="102"/>
        <v>10315.858743336479</v>
      </c>
      <c r="AA231" s="250">
        <f t="shared" si="102"/>
        <v>10950.711306978319</v>
      </c>
      <c r="AB231" s="250">
        <f t="shared" si="102"/>
        <v>11556.044983921269</v>
      </c>
      <c r="AC231" s="250">
        <f t="shared" si="102"/>
        <v>12003.539494644547</v>
      </c>
      <c r="AD231" s="250">
        <f t="shared" si="102"/>
        <v>12383.146395784213</v>
      </c>
      <c r="AE231" s="250">
        <f t="shared" si="102"/>
        <v>12684.851701471891</v>
      </c>
      <c r="AF231" s="250">
        <f t="shared" si="102"/>
        <v>12898.272640940231</v>
      </c>
      <c r="AG231" s="250">
        <f t="shared" si="102"/>
        <v>13012.662224394182</v>
      </c>
      <c r="AH231" s="217"/>
      <c r="AI231" s="368"/>
      <c r="AJ231" s="369"/>
      <c r="AL231" s="194"/>
      <c r="AM231" s="116"/>
      <c r="AN231" s="116"/>
      <c r="AO231" s="116"/>
      <c r="BD231" s="116"/>
      <c r="BE231" s="116"/>
      <c r="BF231" s="116"/>
      <c r="BG231" s="116"/>
      <c r="BH231" s="116"/>
      <c r="BI231" s="116"/>
      <c r="BJ231" s="116"/>
      <c r="BK231" s="116"/>
    </row>
    <row r="232" spans="1:63" outlineLevel="1">
      <c r="A232" s="4" t="s">
        <v>35</v>
      </c>
      <c r="C232" s="203">
        <f t="shared" ref="C232:AG232" si="103">C227-$C227</f>
        <v>0</v>
      </c>
      <c r="D232" s="203">
        <f t="shared" si="103"/>
        <v>4.6658124419884501</v>
      </c>
      <c r="E232" s="203">
        <f t="shared" si="103"/>
        <v>22.079617135998848</v>
      </c>
      <c r="F232" s="203">
        <f t="shared" si="103"/>
        <v>57.779299240190348</v>
      </c>
      <c r="G232" s="203">
        <f t="shared" si="103"/>
        <v>117.8487889745582</v>
      </c>
      <c r="H232" s="203">
        <f t="shared" si="103"/>
        <v>208.91176318972808</v>
      </c>
      <c r="I232" s="203">
        <f t="shared" si="103"/>
        <v>327.6773147210647</v>
      </c>
      <c r="J232" s="203">
        <f t="shared" si="103"/>
        <v>481.45995094312548</v>
      </c>
      <c r="K232" s="203">
        <f t="shared" si="103"/>
        <v>673.455652357556</v>
      </c>
      <c r="L232" s="203">
        <f t="shared" si="103"/>
        <v>906.29751678896821</v>
      </c>
      <c r="M232" s="203">
        <f t="shared" si="103"/>
        <v>1181.9710476330033</v>
      </c>
      <c r="N232" s="203">
        <f t="shared" si="103"/>
        <v>1456.9281460345785</v>
      </c>
      <c r="O232" s="203">
        <f t="shared" si="103"/>
        <v>1763.9543560889722</v>
      </c>
      <c r="P232" s="203">
        <f t="shared" si="103"/>
        <v>2102.1328342729216</v>
      </c>
      <c r="Q232" s="203">
        <f t="shared" si="103"/>
        <v>2469.8380560953765</v>
      </c>
      <c r="R232" s="203">
        <f t="shared" si="103"/>
        <v>2864.6833711690251</v>
      </c>
      <c r="S232" s="203">
        <f t="shared" si="103"/>
        <v>3328.7345233429983</v>
      </c>
      <c r="T232" s="203">
        <f t="shared" si="103"/>
        <v>3829.7975936917824</v>
      </c>
      <c r="U232" s="203">
        <f t="shared" si="103"/>
        <v>4366.2300133524768</v>
      </c>
      <c r="V232" s="203">
        <f t="shared" si="103"/>
        <v>4935.7710173584692</v>
      </c>
      <c r="W232" s="203">
        <f t="shared" si="103"/>
        <v>5535.5064640742612</v>
      </c>
      <c r="X232" s="203">
        <f t="shared" si="103"/>
        <v>6289.8449882683262</v>
      </c>
      <c r="Y232" s="203">
        <f t="shared" si="103"/>
        <v>7082.8749427623534</v>
      </c>
      <c r="Z232" s="203">
        <f t="shared" si="103"/>
        <v>7908.743503658935</v>
      </c>
      <c r="AA232" s="203">
        <f t="shared" si="103"/>
        <v>8760.4787319661373</v>
      </c>
      <c r="AB232" s="203">
        <f t="shared" si="103"/>
        <v>9629.9382095440415</v>
      </c>
      <c r="AC232" s="203">
        <f t="shared" si="103"/>
        <v>10402.960315720893</v>
      </c>
      <c r="AD232" s="203">
        <f t="shared" si="103"/>
        <v>11144.716862977264</v>
      </c>
      <c r="AE232" s="203">
        <f t="shared" si="103"/>
        <v>11839.072869883223</v>
      </c>
      <c r="AF232" s="203">
        <f t="shared" si="103"/>
        <v>12468.201682263858</v>
      </c>
      <c r="AG232" s="203">
        <f t="shared" si="103"/>
        <v>13012.528075507294</v>
      </c>
      <c r="AH232" s="217"/>
      <c r="AI232" s="124"/>
      <c r="AJ232" s="185"/>
      <c r="AL232" s="100"/>
      <c r="AM232" s="2"/>
      <c r="AN232" s="2"/>
      <c r="AO232" s="2"/>
      <c r="BC232" s="1"/>
      <c r="BD232" s="2"/>
      <c r="BE232" s="2"/>
      <c r="BF232" s="2"/>
      <c r="BG232" s="2"/>
      <c r="BH232" s="2"/>
      <c r="BI232" s="2"/>
      <c r="BJ232" s="2"/>
      <c r="BK232" s="2"/>
    </row>
    <row r="233" spans="1:63" outlineLevel="1">
      <c r="A233" s="4" t="s">
        <v>74</v>
      </c>
      <c r="C233" s="203">
        <f t="shared" ref="C233:AG235" si="104">C228-$C228</f>
        <v>0</v>
      </c>
      <c r="D233" s="203">
        <f t="shared" si="104"/>
        <v>0</v>
      </c>
      <c r="E233" s="203">
        <f t="shared" si="104"/>
        <v>0</v>
      </c>
      <c r="F233" s="203">
        <f t="shared" si="104"/>
        <v>0</v>
      </c>
      <c r="G233" s="203">
        <f t="shared" si="104"/>
        <v>0</v>
      </c>
      <c r="H233" s="203">
        <f t="shared" si="104"/>
        <v>0</v>
      </c>
      <c r="I233" s="203">
        <f t="shared" si="104"/>
        <v>0</v>
      </c>
      <c r="J233" s="203">
        <f t="shared" si="104"/>
        <v>0</v>
      </c>
      <c r="K233" s="203">
        <f t="shared" si="104"/>
        <v>0</v>
      </c>
      <c r="L233" s="203">
        <f t="shared" si="104"/>
        <v>0</v>
      </c>
      <c r="M233" s="203">
        <f t="shared" si="104"/>
        <v>0</v>
      </c>
      <c r="N233" s="203">
        <f t="shared" si="104"/>
        <v>0</v>
      </c>
      <c r="O233" s="203">
        <f t="shared" si="104"/>
        <v>0</v>
      </c>
      <c r="P233" s="203">
        <f t="shared" si="104"/>
        <v>0</v>
      </c>
      <c r="Q233" s="203">
        <f t="shared" si="104"/>
        <v>0</v>
      </c>
      <c r="R233" s="203">
        <f t="shared" si="104"/>
        <v>0</v>
      </c>
      <c r="S233" s="203">
        <f t="shared" si="104"/>
        <v>0</v>
      </c>
      <c r="T233" s="203">
        <f t="shared" si="104"/>
        <v>0</v>
      </c>
      <c r="U233" s="203">
        <f t="shared" si="104"/>
        <v>0</v>
      </c>
      <c r="V233" s="203">
        <f t="shared" si="104"/>
        <v>0</v>
      </c>
      <c r="W233" s="203">
        <f t="shared" si="104"/>
        <v>0</v>
      </c>
      <c r="X233" s="203">
        <f t="shared" si="104"/>
        <v>0</v>
      </c>
      <c r="Y233" s="203">
        <f t="shared" si="104"/>
        <v>0</v>
      </c>
      <c r="Z233" s="203">
        <f t="shared" si="104"/>
        <v>0</v>
      </c>
      <c r="AA233" s="203">
        <f t="shared" si="104"/>
        <v>0</v>
      </c>
      <c r="AB233" s="203">
        <f t="shared" si="104"/>
        <v>0</v>
      </c>
      <c r="AC233" s="203">
        <f t="shared" si="104"/>
        <v>0</v>
      </c>
      <c r="AD233" s="203">
        <f t="shared" si="104"/>
        <v>0</v>
      </c>
      <c r="AE233" s="203">
        <f t="shared" si="104"/>
        <v>0</v>
      </c>
      <c r="AF233" s="203">
        <f t="shared" si="104"/>
        <v>0</v>
      </c>
      <c r="AG233" s="203">
        <f t="shared" si="104"/>
        <v>0</v>
      </c>
      <c r="AH233" s="217"/>
      <c r="AI233" s="124"/>
      <c r="AJ233" s="185"/>
      <c r="AL233" s="100"/>
      <c r="AM233" s="2"/>
      <c r="AN233" s="2"/>
      <c r="AO233" s="2"/>
      <c r="BC233" s="1"/>
      <c r="BD233" s="2"/>
      <c r="BE233" s="2"/>
      <c r="BF233" s="2"/>
      <c r="BG233" s="2"/>
      <c r="BH233" s="2"/>
      <c r="BI233" s="2"/>
      <c r="BJ233" s="2"/>
      <c r="BK233" s="2"/>
    </row>
    <row r="234" spans="1:63" outlineLevel="1">
      <c r="A234" s="4" t="s">
        <v>160</v>
      </c>
      <c r="C234" s="203">
        <f t="shared" si="104"/>
        <v>0</v>
      </c>
      <c r="D234" s="203">
        <f t="shared" si="104"/>
        <v>0</v>
      </c>
      <c r="E234" s="203">
        <f t="shared" si="104"/>
        <v>0</v>
      </c>
      <c r="F234" s="203">
        <f t="shared" si="104"/>
        <v>0</v>
      </c>
      <c r="G234" s="203">
        <f t="shared" si="104"/>
        <v>0</v>
      </c>
      <c r="H234" s="203">
        <f t="shared" si="104"/>
        <v>0</v>
      </c>
      <c r="I234" s="203">
        <f t="shared" si="104"/>
        <v>0</v>
      </c>
      <c r="J234" s="203">
        <f t="shared" si="104"/>
        <v>0</v>
      </c>
      <c r="K234" s="203">
        <f t="shared" si="104"/>
        <v>0</v>
      </c>
      <c r="L234" s="203">
        <f t="shared" si="104"/>
        <v>0</v>
      </c>
      <c r="M234" s="203">
        <f t="shared" si="104"/>
        <v>0</v>
      </c>
      <c r="N234" s="203">
        <f t="shared" si="104"/>
        <v>0</v>
      </c>
      <c r="O234" s="203">
        <f t="shared" si="104"/>
        <v>0</v>
      </c>
      <c r="P234" s="203">
        <f t="shared" si="104"/>
        <v>0</v>
      </c>
      <c r="Q234" s="203">
        <f t="shared" si="104"/>
        <v>0</v>
      </c>
      <c r="R234" s="203">
        <f t="shared" si="104"/>
        <v>0</v>
      </c>
      <c r="S234" s="203">
        <f t="shared" si="104"/>
        <v>0</v>
      </c>
      <c r="T234" s="203">
        <f t="shared" si="104"/>
        <v>0</v>
      </c>
      <c r="U234" s="203">
        <f t="shared" si="104"/>
        <v>0</v>
      </c>
      <c r="V234" s="203">
        <f t="shared" si="104"/>
        <v>0</v>
      </c>
      <c r="W234" s="203">
        <f t="shared" si="104"/>
        <v>0</v>
      </c>
      <c r="X234" s="203">
        <f t="shared" si="104"/>
        <v>0</v>
      </c>
      <c r="Y234" s="203">
        <f t="shared" si="104"/>
        <v>0</v>
      </c>
      <c r="Z234" s="203">
        <f t="shared" si="104"/>
        <v>0</v>
      </c>
      <c r="AA234" s="203">
        <f t="shared" si="104"/>
        <v>0</v>
      </c>
      <c r="AB234" s="203">
        <f t="shared" si="104"/>
        <v>0</v>
      </c>
      <c r="AC234" s="203">
        <f t="shared" si="104"/>
        <v>0</v>
      </c>
      <c r="AD234" s="203">
        <f t="shared" si="104"/>
        <v>0</v>
      </c>
      <c r="AE234" s="203">
        <f t="shared" si="104"/>
        <v>0</v>
      </c>
      <c r="AF234" s="203">
        <f t="shared" si="104"/>
        <v>0</v>
      </c>
      <c r="AG234" s="203">
        <f t="shared" si="104"/>
        <v>0</v>
      </c>
      <c r="AH234" s="217"/>
      <c r="AI234" s="124"/>
      <c r="AJ234" s="185"/>
      <c r="AL234" s="100"/>
      <c r="AM234" s="2"/>
      <c r="AN234" s="2"/>
      <c r="AO234" s="2"/>
      <c r="BC234" s="1"/>
      <c r="BD234" s="2"/>
      <c r="BE234" s="2"/>
      <c r="BF234" s="2"/>
      <c r="BG234" s="2"/>
      <c r="BH234" s="2"/>
      <c r="BI234" s="2"/>
      <c r="BJ234" s="2"/>
      <c r="BK234" s="2"/>
    </row>
    <row r="235" spans="1:63" outlineLevel="1">
      <c r="A235" s="4" t="s">
        <v>1040</v>
      </c>
      <c r="C235" s="203">
        <f t="shared" si="104"/>
        <v>0</v>
      </c>
      <c r="D235" s="203">
        <f t="shared" si="104"/>
        <v>4.8100841119490732E-5</v>
      </c>
      <c r="E235" s="203">
        <f t="shared" si="104"/>
        <v>2.2762341372325884E-4</v>
      </c>
      <c r="F235" s="203">
        <f t="shared" si="104"/>
        <v>5.9565893985302786E-4</v>
      </c>
      <c r="G235" s="203">
        <f t="shared" si="104"/>
        <v>1.2149279348601058E-3</v>
      </c>
      <c r="H235" s="203">
        <f t="shared" si="104"/>
        <v>2.1537152755542886E-3</v>
      </c>
      <c r="I235" s="203">
        <f t="shared" si="104"/>
        <v>3.3780943082963111E-3</v>
      </c>
      <c r="J235" s="203">
        <f t="shared" si="104"/>
        <v>4.9634718269651375E-3</v>
      </c>
      <c r="K235" s="203">
        <f t="shared" si="104"/>
        <v>6.9427958662796972E-3</v>
      </c>
      <c r="L235" s="203">
        <f t="shared" si="104"/>
        <v>9.3432115851353522E-3</v>
      </c>
      <c r="M235" s="203">
        <f t="shared" si="104"/>
        <v>1.2185187955348563E-2</v>
      </c>
      <c r="N235" s="203">
        <f t="shared" si="104"/>
        <v>1.5019778472933515E-2</v>
      </c>
      <c r="O235" s="203">
        <f t="shared" si="104"/>
        <v>1.8184976202795956E-2</v>
      </c>
      <c r="P235" s="203">
        <f t="shared" si="104"/>
        <v>2.1671329212353468E-2</v>
      </c>
      <c r="Q235" s="203">
        <f t="shared" si="104"/>
        <v>2.5462079627976968E-2</v>
      </c>
      <c r="R235" s="203">
        <f t="shared" si="104"/>
        <v>2.9532622969200256E-2</v>
      </c>
      <c r="S235" s="203">
        <f t="shared" si="104"/>
        <v>3.4316623830693123E-2</v>
      </c>
      <c r="T235" s="203">
        <f t="shared" si="104"/>
        <v>3.9482188335772037E-2</v>
      </c>
      <c r="U235" s="203">
        <f t="shared" si="104"/>
        <v>4.5012382896796127E-2</v>
      </c>
      <c r="V235" s="203">
        <f t="shared" si="104"/>
        <v>5.0883900812559633E-2</v>
      </c>
      <c r="W235" s="203">
        <f t="shared" si="104"/>
        <v>5.7066699584451319E-2</v>
      </c>
      <c r="X235" s="203">
        <f t="shared" si="104"/>
        <v>6.4843333976361509E-2</v>
      </c>
      <c r="Y235" s="203">
        <f t="shared" si="104"/>
        <v>7.3018846455353836E-2</v>
      </c>
      <c r="Z235" s="203">
        <f t="shared" si="104"/>
        <v>8.1532899029730183E-2</v>
      </c>
      <c r="AA235" s="203">
        <f t="shared" si="104"/>
        <v>9.0313616515068668E-2</v>
      </c>
      <c r="AB235" s="203">
        <f t="shared" si="104"/>
        <v>9.9277057011400938E-2</v>
      </c>
      <c r="AC235" s="203">
        <f t="shared" si="104"/>
        <v>0.10724630437686519</v>
      </c>
      <c r="AD235" s="203">
        <f t="shared" si="104"/>
        <v>0.11489322852405939</v>
      </c>
      <c r="AE235" s="203">
        <f t="shared" si="104"/>
        <v>0.12205149053819078</v>
      </c>
      <c r="AF235" s="203">
        <f t="shared" si="104"/>
        <v>0.12853731169458471</v>
      </c>
      <c r="AG235" s="203">
        <f t="shared" si="104"/>
        <v>0.13414888688841947</v>
      </c>
      <c r="AH235" s="217"/>
      <c r="AI235" s="124"/>
      <c r="AJ235" s="185"/>
      <c r="AL235" s="100"/>
      <c r="AM235" s="2"/>
      <c r="AN235" s="2"/>
      <c r="AO235" s="2"/>
      <c r="BC235" s="1"/>
      <c r="BD235" s="2"/>
      <c r="BE235" s="2"/>
      <c r="BF235" s="2"/>
      <c r="BG235" s="2"/>
      <c r="BH235" s="2"/>
      <c r="BI235" s="2"/>
      <c r="BJ235" s="2"/>
      <c r="BK235" s="2"/>
    </row>
    <row r="236" spans="1:63" outlineLevel="1"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J236" s="185"/>
    </row>
    <row r="237" spans="1:63" s="174" customFormat="1" ht="15.5" thickBot="1">
      <c r="A237" s="174" t="s">
        <v>446</v>
      </c>
      <c r="B237" s="189"/>
      <c r="C237" s="197">
        <f>C238</f>
        <v>0.02</v>
      </c>
      <c r="D237" s="197">
        <f t="shared" ref="D237:AG237" si="105">D238</f>
        <v>4.1442327559921402E-2</v>
      </c>
      <c r="E237" s="197">
        <f t="shared" si="105"/>
        <v>6.28846551198428E-2</v>
      </c>
      <c r="F237" s="197">
        <f t="shared" si="105"/>
        <v>8.4326982679764198E-2</v>
      </c>
      <c r="G237" s="197">
        <f t="shared" si="105"/>
        <v>0.1057693102396856</v>
      </c>
      <c r="H237" s="197">
        <f t="shared" si="105"/>
        <v>0.12721163779960698</v>
      </c>
      <c r="I237" s="197">
        <f t="shared" si="105"/>
        <v>0.14865396535952838</v>
      </c>
      <c r="J237" s="197">
        <f t="shared" si="105"/>
        <v>0.17009629291944978</v>
      </c>
      <c r="K237" s="197">
        <f t="shared" si="105"/>
        <v>0.19153862047937117</v>
      </c>
      <c r="L237" s="197">
        <f t="shared" si="105"/>
        <v>0.21298094803929257</v>
      </c>
      <c r="M237" s="197">
        <f t="shared" si="105"/>
        <v>0.23442327559921397</v>
      </c>
      <c r="N237" s="197">
        <f t="shared" si="105"/>
        <v>0.24882881581566058</v>
      </c>
      <c r="O237" s="197">
        <f t="shared" si="105"/>
        <v>0.26323435603210721</v>
      </c>
      <c r="P237" s="197">
        <f t="shared" si="105"/>
        <v>0.27763989624855379</v>
      </c>
      <c r="Q237" s="197">
        <f t="shared" si="105"/>
        <v>0.29204543646500042</v>
      </c>
      <c r="R237" s="197">
        <f t="shared" si="105"/>
        <v>0.306450976681447</v>
      </c>
      <c r="S237" s="197">
        <f t="shared" si="105"/>
        <v>0.32085651689789363</v>
      </c>
      <c r="T237" s="197">
        <f t="shared" si="105"/>
        <v>0.33526205711434021</v>
      </c>
      <c r="U237" s="197">
        <f t="shared" si="105"/>
        <v>0.34966759733078684</v>
      </c>
      <c r="V237" s="197">
        <f t="shared" si="105"/>
        <v>0.36407313754723347</v>
      </c>
      <c r="W237" s="197">
        <f t="shared" si="105"/>
        <v>0.37847867776368005</v>
      </c>
      <c r="X237" s="197">
        <f t="shared" si="105"/>
        <v>0.40063080998731204</v>
      </c>
      <c r="Y237" s="197">
        <f t="shared" si="105"/>
        <v>0.42278294221094403</v>
      </c>
      <c r="Z237" s="197">
        <f t="shared" si="105"/>
        <v>0.44493507443457603</v>
      </c>
      <c r="AA237" s="197">
        <f t="shared" si="105"/>
        <v>0.46708720665820802</v>
      </c>
      <c r="AB237" s="197">
        <f t="shared" si="105"/>
        <v>0.48923933888184001</v>
      </c>
      <c r="AC237" s="197">
        <f t="shared" si="105"/>
        <v>0.51139147110547201</v>
      </c>
      <c r="AD237" s="197">
        <f t="shared" si="105"/>
        <v>0.533543603329104</v>
      </c>
      <c r="AE237" s="197">
        <f t="shared" si="105"/>
        <v>0.55569573555273599</v>
      </c>
      <c r="AF237" s="197">
        <f t="shared" si="105"/>
        <v>0.57784786777636798</v>
      </c>
      <c r="AG237" s="197">
        <f t="shared" si="105"/>
        <v>0.6</v>
      </c>
      <c r="AJ237" s="204" t="s">
        <v>458</v>
      </c>
      <c r="AL237" s="191"/>
      <c r="AM237" s="198"/>
      <c r="AN237" s="198"/>
      <c r="AO237" s="198"/>
    </row>
    <row r="238" spans="1:63" ht="15.5" outlineLevel="1" thickTop="1">
      <c r="A238" t="s">
        <v>454</v>
      </c>
      <c r="B238" s="50" t="s">
        <v>126</v>
      </c>
      <c r="C238" s="558">
        <f>'Ethylene Recycling HC'!C193</f>
        <v>0.02</v>
      </c>
      <c r="D238" s="102">
        <f>'Ethylene Recycling HC'!D193</f>
        <v>4.1442327559921402E-2</v>
      </c>
      <c r="E238" s="102">
        <f>'Ethylene Recycling HC'!E193</f>
        <v>6.28846551198428E-2</v>
      </c>
      <c r="F238" s="102">
        <f>'Ethylene Recycling HC'!F193</f>
        <v>8.4326982679764198E-2</v>
      </c>
      <c r="G238" s="102">
        <f>'Ethylene Recycling HC'!G193</f>
        <v>0.1057693102396856</v>
      </c>
      <c r="H238" s="102">
        <f>'Ethylene Recycling HC'!H193</f>
        <v>0.12721163779960698</v>
      </c>
      <c r="I238" s="102">
        <f>'Ethylene Recycling HC'!I193</f>
        <v>0.14865396535952838</v>
      </c>
      <c r="J238" s="102">
        <f>'Ethylene Recycling HC'!J193</f>
        <v>0.17009629291944978</v>
      </c>
      <c r="K238" s="102">
        <f>'Ethylene Recycling HC'!K193</f>
        <v>0.19153862047937117</v>
      </c>
      <c r="L238" s="102">
        <f>'Ethylene Recycling HC'!L193</f>
        <v>0.21298094803929257</v>
      </c>
      <c r="M238" s="113">
        <f>'Ethylene Recycling HC'!M193</f>
        <v>0.23442327559921397</v>
      </c>
      <c r="N238" s="113">
        <f>'Ethylene Recycling HC'!N193</f>
        <v>0.24882881581566058</v>
      </c>
      <c r="O238" s="113">
        <f>'Ethylene Recycling HC'!O193</f>
        <v>0.26323435603210721</v>
      </c>
      <c r="P238" s="113">
        <f>'Ethylene Recycling HC'!P193</f>
        <v>0.27763989624855379</v>
      </c>
      <c r="Q238" s="113">
        <f>'Ethylene Recycling HC'!Q193</f>
        <v>0.29204543646500042</v>
      </c>
      <c r="R238" s="113">
        <f>'Ethylene Recycling HC'!R193</f>
        <v>0.306450976681447</v>
      </c>
      <c r="S238" s="113">
        <f>'Ethylene Recycling HC'!S193</f>
        <v>0.32085651689789363</v>
      </c>
      <c r="T238" s="113">
        <f>'Ethylene Recycling HC'!T193</f>
        <v>0.33526205711434021</v>
      </c>
      <c r="U238" s="113">
        <f>'Ethylene Recycling HC'!U193</f>
        <v>0.34966759733078684</v>
      </c>
      <c r="V238" s="113">
        <f>'Ethylene Recycling HC'!V193</f>
        <v>0.36407313754723347</v>
      </c>
      <c r="W238" s="113">
        <f>'Ethylene Recycling HC'!W193</f>
        <v>0.37847867776368005</v>
      </c>
      <c r="X238" s="22">
        <f>'Ethylene Recycling HC'!X193</f>
        <v>0.40063080998731204</v>
      </c>
      <c r="Y238" s="22">
        <f>'Ethylene Recycling HC'!Y193</f>
        <v>0.42278294221094403</v>
      </c>
      <c r="Z238" s="22">
        <f>'Ethylene Recycling HC'!Z193</f>
        <v>0.44493507443457603</v>
      </c>
      <c r="AA238" s="22">
        <f>'Ethylene Recycling HC'!AA193</f>
        <v>0.46708720665820802</v>
      </c>
      <c r="AB238" s="22">
        <f>'Ethylene Recycling HC'!AB193</f>
        <v>0.48923933888184001</v>
      </c>
      <c r="AC238" s="22">
        <f>'Ethylene Recycling HC'!AC193</f>
        <v>0.51139147110547201</v>
      </c>
      <c r="AD238" s="22">
        <f>'Ethylene Recycling HC'!AD193</f>
        <v>0.533543603329104</v>
      </c>
      <c r="AE238" s="22">
        <f>'Ethylene Recycling HC'!AE193</f>
        <v>0.55569573555273599</v>
      </c>
      <c r="AF238" s="22">
        <f>'Ethylene Recycling HC'!AF193</f>
        <v>0.57784786777636798</v>
      </c>
      <c r="AG238" s="558">
        <f>'Ethylene Recycling HC'!AG193</f>
        <v>0.6</v>
      </c>
      <c r="AJ238" s="185" t="s">
        <v>1469</v>
      </c>
    </row>
    <row r="239" spans="1:63" outlineLevel="1">
      <c r="C239" s="105"/>
      <c r="D239" s="102"/>
      <c r="E239" s="102"/>
      <c r="F239" s="102"/>
      <c r="G239" s="102"/>
      <c r="H239" s="102"/>
      <c r="I239" s="102"/>
      <c r="J239" s="102"/>
      <c r="K239" s="102"/>
      <c r="L239" s="102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22"/>
      <c r="Y239" s="22"/>
      <c r="Z239" s="22"/>
      <c r="AA239" s="22"/>
      <c r="AB239" s="22"/>
      <c r="AC239" s="22"/>
      <c r="AD239" s="22"/>
      <c r="AE239" s="22"/>
      <c r="AF239" s="22"/>
      <c r="AG239" s="98"/>
      <c r="AJ239" s="185"/>
    </row>
    <row r="240" spans="1:63" outlineLevel="1">
      <c r="A240" t="s">
        <v>1239</v>
      </c>
      <c r="C240" s="437">
        <f>('Overall recycling rates'!F85*'Yearly BTX'!D5+'Overall recycling rates'!G85*'Yearly BTX'!D6+'Overall recycling rates'!H85*'Yearly BTX'!D7)/'Yearly BTX'!D4</f>
        <v>0</v>
      </c>
      <c r="D240" s="437">
        <f>C240-($C240-$AG240)/($AG$1-$C$1)</f>
        <v>2.6666666666666668E-2</v>
      </c>
      <c r="E240" s="437">
        <f t="shared" ref="E240:AF240" si="106">D240-($C240-$AG240)/($AG$1-$C$1)</f>
        <v>5.3333333333333337E-2</v>
      </c>
      <c r="F240" s="437">
        <f t="shared" si="106"/>
        <v>0.08</v>
      </c>
      <c r="G240" s="437">
        <f t="shared" si="106"/>
        <v>0.10666666666666667</v>
      </c>
      <c r="H240" s="437">
        <f t="shared" si="106"/>
        <v>0.13333333333333333</v>
      </c>
      <c r="I240" s="437">
        <f t="shared" si="106"/>
        <v>0.16</v>
      </c>
      <c r="J240" s="437">
        <f t="shared" si="106"/>
        <v>0.18666666666666668</v>
      </c>
      <c r="K240" s="437">
        <f t="shared" si="106"/>
        <v>0.21333333333333335</v>
      </c>
      <c r="L240" s="437">
        <f t="shared" si="106"/>
        <v>0.24000000000000002</v>
      </c>
      <c r="M240" s="437">
        <f t="shared" si="106"/>
        <v>0.26666666666666666</v>
      </c>
      <c r="N240" s="437">
        <f t="shared" si="106"/>
        <v>0.29333333333333333</v>
      </c>
      <c r="O240" s="437">
        <f t="shared" si="106"/>
        <v>0.32</v>
      </c>
      <c r="P240" s="437">
        <f t="shared" si="106"/>
        <v>0.34666666666666668</v>
      </c>
      <c r="Q240" s="437">
        <f t="shared" si="106"/>
        <v>0.37333333333333335</v>
      </c>
      <c r="R240" s="437">
        <f t="shared" si="106"/>
        <v>0.4</v>
      </c>
      <c r="S240" s="437">
        <f t="shared" si="106"/>
        <v>0.42666666666666669</v>
      </c>
      <c r="T240" s="437">
        <f t="shared" si="106"/>
        <v>0.45333333333333337</v>
      </c>
      <c r="U240" s="437">
        <f t="shared" si="106"/>
        <v>0.48000000000000004</v>
      </c>
      <c r="V240" s="437">
        <f t="shared" si="106"/>
        <v>0.50666666666666671</v>
      </c>
      <c r="W240" s="437">
        <f t="shared" si="106"/>
        <v>0.53333333333333333</v>
      </c>
      <c r="X240" s="437">
        <f t="shared" si="106"/>
        <v>0.55999999999999994</v>
      </c>
      <c r="Y240" s="437">
        <f t="shared" si="106"/>
        <v>0.58666666666666656</v>
      </c>
      <c r="Z240" s="437">
        <f t="shared" si="106"/>
        <v>0.61333333333333317</v>
      </c>
      <c r="AA240" s="437">
        <f t="shared" si="106"/>
        <v>0.63999999999999979</v>
      </c>
      <c r="AB240" s="437">
        <f t="shared" si="106"/>
        <v>0.66666666666666641</v>
      </c>
      <c r="AC240" s="437">
        <f t="shared" si="106"/>
        <v>0.69333333333333302</v>
      </c>
      <c r="AD240" s="437">
        <f t="shared" si="106"/>
        <v>0.71999999999999964</v>
      </c>
      <c r="AE240" s="437">
        <f t="shared" si="106"/>
        <v>0.74666666666666626</v>
      </c>
      <c r="AF240" s="437">
        <f t="shared" si="106"/>
        <v>0.77333333333333287</v>
      </c>
      <c r="AG240" s="437">
        <f>'Overall recycling rates'!F94</f>
        <v>0.8</v>
      </c>
      <c r="AI240" s="124"/>
      <c r="AJ240" s="185" t="s">
        <v>1000</v>
      </c>
      <c r="AL240" s="100"/>
      <c r="AM240" s="181"/>
      <c r="AN240" s="181"/>
      <c r="AO240" s="181"/>
      <c r="BC240" s="1"/>
      <c r="BD240" s="181"/>
      <c r="BE240" s="181"/>
      <c r="BF240" s="181"/>
      <c r="BG240" s="181"/>
      <c r="BH240" s="181"/>
      <c r="BI240" s="181"/>
      <c r="BJ240" s="181"/>
      <c r="BK240" s="181"/>
    </row>
    <row r="241" spans="1:63" outlineLevel="1">
      <c r="A241" t="s">
        <v>1255</v>
      </c>
      <c r="B241" s="50" t="s">
        <v>126</v>
      </c>
      <c r="C241" s="102">
        <f>C238*C240</f>
        <v>0</v>
      </c>
      <c r="D241" s="102">
        <f t="shared" ref="D241:AG241" si="107">D238*D240</f>
        <v>1.1051287349312375E-3</v>
      </c>
      <c r="E241" s="102">
        <f t="shared" si="107"/>
        <v>3.353848273058283E-3</v>
      </c>
      <c r="F241" s="102">
        <f t="shared" si="107"/>
        <v>6.7461586143811357E-3</v>
      </c>
      <c r="G241" s="102">
        <f t="shared" si="107"/>
        <v>1.1282059758899798E-2</v>
      </c>
      <c r="H241" s="102">
        <f t="shared" si="107"/>
        <v>1.6961551706614265E-2</v>
      </c>
      <c r="I241" s="102">
        <f t="shared" si="107"/>
        <v>2.3784634457524542E-2</v>
      </c>
      <c r="J241" s="102">
        <f t="shared" si="107"/>
        <v>3.1751308011630626E-2</v>
      </c>
      <c r="K241" s="102">
        <f t="shared" si="107"/>
        <v>4.0861572368932522E-2</v>
      </c>
      <c r="L241" s="102">
        <f t="shared" si="107"/>
        <v>5.111542752943022E-2</v>
      </c>
      <c r="M241" s="102">
        <f t="shared" si="107"/>
        <v>6.2512873493123719E-2</v>
      </c>
      <c r="N241" s="102">
        <f t="shared" si="107"/>
        <v>7.2989785972593771E-2</v>
      </c>
      <c r="O241" s="102">
        <f t="shared" si="107"/>
        <v>8.423499393027431E-2</v>
      </c>
      <c r="P241" s="102">
        <f t="shared" si="107"/>
        <v>9.6248497366165323E-2</v>
      </c>
      <c r="Q241" s="102">
        <f t="shared" si="107"/>
        <v>0.10903029628026682</v>
      </c>
      <c r="R241" s="102">
        <f t="shared" si="107"/>
        <v>0.12258039067257881</v>
      </c>
      <c r="S241" s="102">
        <f t="shared" si="107"/>
        <v>0.13689878054310128</v>
      </c>
      <c r="T241" s="102">
        <f t="shared" si="107"/>
        <v>0.15198546589183423</v>
      </c>
      <c r="U241" s="102">
        <f t="shared" si="107"/>
        <v>0.16784044671877771</v>
      </c>
      <c r="V241" s="102">
        <f t="shared" si="107"/>
        <v>0.18446372302393163</v>
      </c>
      <c r="W241" s="102">
        <f t="shared" si="107"/>
        <v>0.20185529480729603</v>
      </c>
      <c r="X241" s="102">
        <f t="shared" si="107"/>
        <v>0.22435325359289471</v>
      </c>
      <c r="Y241" s="102">
        <f t="shared" si="107"/>
        <v>0.24803265943042047</v>
      </c>
      <c r="Z241" s="102">
        <f t="shared" si="107"/>
        <v>0.27289351231987324</v>
      </c>
      <c r="AA241" s="102">
        <f t="shared" si="107"/>
        <v>0.29893581226125304</v>
      </c>
      <c r="AB241" s="102">
        <f t="shared" si="107"/>
        <v>0.32615955925455986</v>
      </c>
      <c r="AC241" s="102">
        <f t="shared" si="107"/>
        <v>0.35456475329979376</v>
      </c>
      <c r="AD241" s="102">
        <f t="shared" si="107"/>
        <v>0.38415139439695467</v>
      </c>
      <c r="AE241" s="102">
        <f t="shared" si="107"/>
        <v>0.41491948254604266</v>
      </c>
      <c r="AF241" s="102">
        <f t="shared" si="107"/>
        <v>0.44686901774705762</v>
      </c>
      <c r="AG241" s="102">
        <f t="shared" si="107"/>
        <v>0.48</v>
      </c>
      <c r="AJ241" s="185" t="s">
        <v>447</v>
      </c>
    </row>
    <row r="242" spans="1:63" outlineLevel="1"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I242" s="125"/>
      <c r="AJ242" s="185"/>
      <c r="BC242" s="1"/>
      <c r="BD242" s="37"/>
      <c r="BF242" s="6"/>
      <c r="BG242" s="6"/>
      <c r="BH242" s="6"/>
      <c r="BI242" s="6"/>
      <c r="BJ242" s="6"/>
    </row>
    <row r="243" spans="1:63" s="1" customFormat="1" outlineLevel="1">
      <c r="A243" s="1" t="s">
        <v>265</v>
      </c>
      <c r="B243" s="60"/>
      <c r="C243" s="250">
        <f>'BTX Recycling HC'!C243</f>
        <v>0</v>
      </c>
      <c r="D243" s="250">
        <f>'BTX Recycling HC'!D243</f>
        <v>66.564702548975035</v>
      </c>
      <c r="E243" s="250">
        <f>'BTX Recycling HC'!E243</f>
        <v>201.56482152764937</v>
      </c>
      <c r="F243" s="250">
        <f>'BTX Recycling HC'!F243</f>
        <v>404.5461548446392</v>
      </c>
      <c r="G243" s="250">
        <f>'BTX Recycling HC'!G243</f>
        <v>675.05650721100903</v>
      </c>
      <c r="H243" s="250">
        <f>'BTX Recycling HC'!H243</f>
        <v>1012.645682754026</v>
      </c>
      <c r="I243" s="250">
        <f>'BTX Recycling HC'!I243</f>
        <v>1416.8654776553778</v>
      </c>
      <c r="J243" s="250">
        <f>'BTX Recycling HC'!J243</f>
        <v>1887.2696728137792</v>
      </c>
      <c r="K243" s="250">
        <f>'BTX Recycling HC'!K243</f>
        <v>2423.4140265318906</v>
      </c>
      <c r="L243" s="250">
        <f>'BTX Recycling HC'!L243</f>
        <v>3024.8562672274743</v>
      </c>
      <c r="M243" s="250">
        <f>'BTX Recycling HC'!M243</f>
        <v>3691.156086168714</v>
      </c>
      <c r="N243" s="250">
        <f>'BTX Recycling HC'!N243</f>
        <v>4300.2652125007526</v>
      </c>
      <c r="O243" s="250">
        <f>'BTX Recycling HC'!O243</f>
        <v>4951.8320025301509</v>
      </c>
      <c r="P243" s="250">
        <f>'BTX Recycling HC'!P243</f>
        <v>5645.5663258664808</v>
      </c>
      <c r="Q243" s="250">
        <f>'BTX Recycling HC'!Q243</f>
        <v>6381.1793462821006</v>
      </c>
      <c r="R243" s="250">
        <f>'BTX Recycling HC'!R243</f>
        <v>7158.3835169262538</v>
      </c>
      <c r="S243" s="250">
        <f>'BTX Recycling HC'!S243</f>
        <v>7976.8925755550499</v>
      </c>
      <c r="T243" s="250">
        <f>'BTX Recycling HC'!T243</f>
        <v>8836.4215397773023</v>
      </c>
      <c r="U243" s="250">
        <f>'BTX Recycling HC'!U243</f>
        <v>9736.6867023161831</v>
      </c>
      <c r="V243" s="250">
        <f>'BTX Recycling HC'!V243</f>
        <v>10677.405626286571</v>
      </c>
      <c r="W243" s="250">
        <f>'BTX Recycling HC'!W243</f>
        <v>11658.297140488165</v>
      </c>
      <c r="X243" s="250">
        <f>'BTX Recycling HC'!X243</f>
        <v>12929.077811108484</v>
      </c>
      <c r="Y243" s="250">
        <f>'BTX Recycling HC'!Y243</f>
        <v>14262.125363679113</v>
      </c>
      <c r="Z243" s="250">
        <f>'BTX Recycling HC'!Z243</f>
        <v>15657.008717358765</v>
      </c>
      <c r="AA243" s="250">
        <f>'BTX Recycling HC'!AA243</f>
        <v>17113.298722212505</v>
      </c>
      <c r="AB243" s="250">
        <f>'BTX Recycling HC'!AB243</f>
        <v>18630.568152056469</v>
      </c>
      <c r="AC243" s="250">
        <f>'BTX Recycling HC'!AC243</f>
        <v>20208.391697326351</v>
      </c>
      <c r="AD243" s="250">
        <f>'BTX Recycling HC'!AD243</f>
        <v>21846.345957969679</v>
      </c>
      <c r="AE243" s="250">
        <f>'BTX Recycling HC'!AE243</f>
        <v>23544.009436361684</v>
      </c>
      <c r="AF243" s="250">
        <f>'BTX Recycling HC'!AF243</f>
        <v>25300.962530244724</v>
      </c>
      <c r="AG243" s="250">
        <f>'BTX Recycling HC'!AG243</f>
        <v>27116.787525691343</v>
      </c>
      <c r="AH243" s="217"/>
      <c r="AI243" s="368"/>
      <c r="AJ243" s="369"/>
      <c r="AL243" s="194"/>
      <c r="AM243" s="116"/>
      <c r="AN243" s="116"/>
      <c r="AO243" s="116"/>
      <c r="BD243" s="116"/>
      <c r="BE243" s="116"/>
      <c r="BF243" s="116"/>
      <c r="BG243" s="116"/>
      <c r="BH243" s="116"/>
      <c r="BI243" s="116"/>
      <c r="BJ243" s="116"/>
      <c r="BK243" s="116"/>
    </row>
    <row r="244" spans="1:63" outlineLevel="1">
      <c r="A244" s="4" t="s">
        <v>35</v>
      </c>
      <c r="C244" s="203">
        <f>C$243*'BTX recycling rates'!E86</f>
        <v>0</v>
      </c>
      <c r="D244" s="203">
        <f>D$243*'BTX recycling rates'!F86</f>
        <v>0.83558417361022053</v>
      </c>
      <c r="E244" s="203">
        <f>E$243*'BTX recycling rates'!G86</f>
        <v>5.0604710417252781</v>
      </c>
      <c r="F244" s="203">
        <f>F$243*'BTX recycling rates'!H86</f>
        <v>15.234757380655727</v>
      </c>
      <c r="G244" s="203">
        <f>G$243*'BTX recycling rates'!I86</f>
        <v>33.895834405815933</v>
      </c>
      <c r="H244" s="203">
        <f>H$243*'BTX recycling rates'!J86</f>
        <v>63.558513264700927</v>
      </c>
      <c r="I244" s="203">
        <f>I$243*'BTX recycling rates'!K86</f>
        <v>106.71514997539029</v>
      </c>
      <c r="J244" s="203">
        <f>J$243*'BTX recycling rates'!L86</f>
        <v>165.83576981272194</v>
      </c>
      <c r="K244" s="203">
        <f>K$243*'BTX recycling rates'!M86</f>
        <v>243.36819114427149</v>
      </c>
      <c r="L244" s="203">
        <f>L$243*'BTX recycling rates'!N86</f>
        <v>341.73814871826471</v>
      </c>
      <c r="M244" s="203">
        <f>M$243*'BTX recycling rates'!O86</f>
        <v>463.34941640554393</v>
      </c>
      <c r="N244" s="203">
        <f>N$243*'BTX recycling rates'!P86</f>
        <v>593.79171812167942</v>
      </c>
      <c r="O244" s="203">
        <f>O$243*'BTX recycling rates'!Q86</f>
        <v>745.92190033085535</v>
      </c>
      <c r="P244" s="203">
        <f>P$243*'BTX recycling rates'!R86</f>
        <v>921.29152539021004</v>
      </c>
      <c r="Q244" s="203">
        <f>Q$243*'BTX recycling rates'!S86</f>
        <v>1121.4378151120234</v>
      </c>
      <c r="R244" s="203">
        <f>R$243*'BTX recycling rates'!T86</f>
        <v>1347.8837310904387</v>
      </c>
      <c r="S244" s="203">
        <f>S$243*'BTX recycling rates'!U86</f>
        <v>1602.1380546709111</v>
      </c>
      <c r="T244" s="203">
        <f>T$243*'BTX recycling rates'!V86</f>
        <v>1885.6954665637732</v>
      </c>
      <c r="U244" s="203">
        <f>U$243*'BTX recycling rates'!W86</f>
        <v>2200.0366261033005</v>
      </c>
      <c r="V244" s="203">
        <f>V$243*'BTX recycling rates'!X86</f>
        <v>2546.6282501536402</v>
      </c>
      <c r="W244" s="203">
        <f>W$243*'BTX recycling rates'!Y86</f>
        <v>2926.923191662996</v>
      </c>
      <c r="X244" s="203">
        <f>X$243*'BTX recycling rates'!Z86</f>
        <v>3408.26263886876</v>
      </c>
      <c r="Y244" s="203">
        <f>Y$243*'BTX recycling rates'!AA86</f>
        <v>3938.7021522056048</v>
      </c>
      <c r="Z244" s="203">
        <f>Z$243*'BTX recycling rates'!AB86</f>
        <v>4520.4621722084876</v>
      </c>
      <c r="AA244" s="203">
        <f>AA$243*'BTX recycling rates'!AC86</f>
        <v>5155.742075773147</v>
      </c>
      <c r="AB244" s="203">
        <f>AB$243*'BTX recycling rates'!AD86</f>
        <v>5846.7202951035733</v>
      </c>
      <c r="AC244" s="203">
        <f>AC$243*'BTX recycling rates'!AE86</f>
        <v>6595.5544361283146</v>
      </c>
      <c r="AD244" s="203">
        <f>AD$243*'BTX recycling rates'!AF86</f>
        <v>7404.3813963877201</v>
      </c>
      <c r="AE244" s="203">
        <f>AE$243*'BTX recycling rates'!AG86</f>
        <v>8275.3174823941299</v>
      </c>
      <c r="AF244" s="203">
        <f>AF$243*'BTX recycling rates'!AH86</f>
        <v>9210.4585264670932</v>
      </c>
      <c r="AG244" s="203">
        <f>AG$243*'BTX recycling rates'!AI86</f>
        <v>10211.880003045682</v>
      </c>
      <c r="AH244" s="217"/>
      <c r="AI244" s="124"/>
      <c r="AJ244" s="185"/>
      <c r="AL244" s="100"/>
      <c r="AM244" s="2"/>
      <c r="AN244" s="2"/>
      <c r="AO244" s="2"/>
      <c r="BC244" s="1"/>
      <c r="BD244" s="2"/>
      <c r="BE244" s="2"/>
      <c r="BF244" s="2"/>
      <c r="BG244" s="2"/>
      <c r="BH244" s="2"/>
      <c r="BI244" s="2"/>
      <c r="BJ244" s="2"/>
      <c r="BK244" s="2"/>
    </row>
    <row r="245" spans="1:63" outlineLevel="1">
      <c r="A245" s="4" t="s">
        <v>74</v>
      </c>
      <c r="C245" s="203">
        <f>C$243*'BTX recycling rates'!E87</f>
        <v>0</v>
      </c>
      <c r="D245" s="203">
        <f>D$243*'BTX recycling rates'!F87</f>
        <v>1.1854021401398804</v>
      </c>
      <c r="E245" s="203">
        <f>E$243*'BTX recycling rates'!G87</f>
        <v>7.1790411934911509</v>
      </c>
      <c r="F245" s="203">
        <f>F$243*'BTX recycling rates'!H87</f>
        <v>21.612800450149937</v>
      </c>
      <c r="G245" s="203">
        <f>G$243*'BTX recycling rates'!I87</f>
        <v>48.086351938523272</v>
      </c>
      <c r="H245" s="203">
        <f>H$243*'BTX recycling rates'!J87</f>
        <v>90.167334456038702</v>
      </c>
      <c r="I245" s="203">
        <f>I$243*'BTX recycling rates'!K87</f>
        <v>151.39153081325026</v>
      </c>
      <c r="J245" s="203">
        <f>J$243*'BTX recycling rates'!L87</f>
        <v>235.26304429438116</v>
      </c>
      <c r="K245" s="203">
        <f>K$243*'BTX recycling rates'!M87</f>
        <v>345.2544743373324</v>
      </c>
      <c r="L245" s="203">
        <f>L$243*'BTX recycling rates'!N87</f>
        <v>484.80709143617611</v>
      </c>
      <c r="M245" s="203">
        <f>M$243*'BTX recycling rates'!O87</f>
        <v>657.33101126914198</v>
      </c>
      <c r="N245" s="203">
        <f>N$243*'BTX recycling rates'!P87</f>
        <v>842.38308442055211</v>
      </c>
      <c r="O245" s="203">
        <f>O$243*'BTX recycling rates'!Q87</f>
        <v>1058.202686162733</v>
      </c>
      <c r="P245" s="203">
        <f>P$243*'BTX recycling rates'!R87</f>
        <v>1306.9909416447715</v>
      </c>
      <c r="Q245" s="203">
        <f>Q$243*'BTX recycling rates'!S87</f>
        <v>1590.9286317905969</v>
      </c>
      <c r="R245" s="203">
        <f>R$243*'BTX recycling rates'!T87</f>
        <v>1912.1763072545471</v>
      </c>
      <c r="S245" s="203">
        <f>S$243*'BTX recycling rates'!U87</f>
        <v>2272.8744018700904</v>
      </c>
      <c r="T245" s="203">
        <f>T$243*'BTX recycling rates'!V87</f>
        <v>2675.1433455936713</v>
      </c>
      <c r="U245" s="203">
        <f>U$243*'BTX recycling rates'!W87</f>
        <v>3121.0836769456459</v>
      </c>
      <c r="V245" s="203">
        <f>V$243*'BTX recycling rates'!X87</f>
        <v>3612.7761549502393</v>
      </c>
      <c r="W245" s="203">
        <f>W$243*'BTX recycling rates'!Y87</f>
        <v>4152.2818705765021</v>
      </c>
      <c r="X245" s="203">
        <f>X$243*'BTX recycling rates'!Z87</f>
        <v>4835.1344530831948</v>
      </c>
      <c r="Y245" s="203">
        <f>Y$243*'BTX recycling rates'!AA87</f>
        <v>5587.6428827337131</v>
      </c>
      <c r="Z245" s="203">
        <f>Z$243*'BTX recycling rates'!AB87</f>
        <v>6412.9571892262247</v>
      </c>
      <c r="AA245" s="203">
        <f>AA$243*'BTX recycling rates'!AC87</f>
        <v>7314.1975203106776</v>
      </c>
      <c r="AB245" s="203">
        <f>AB$243*'BTX recycling rates'!AD87</f>
        <v>8294.4543105337234</v>
      </c>
      <c r="AC245" s="203">
        <f>AC$243*'BTX recycling rates'!AE87</f>
        <v>9356.7884492301018</v>
      </c>
      <c r="AD245" s="203">
        <f>AD$243*'BTX recycling rates'!AF87</f>
        <v>10504.231447763465</v>
      </c>
      <c r="AE245" s="203">
        <f>AE$243*'BTX recycling rates'!AG87</f>
        <v>11739.785606019512</v>
      </c>
      <c r="AF245" s="203">
        <f>AF$243*'BTX recycling rates'!AH87</f>
        <v>13066.424178154351</v>
      </c>
      <c r="AG245" s="203">
        <f>AG$243*'BTX recycling rates'!AI87</f>
        <v>14487.091537601058</v>
      </c>
      <c r="AH245" s="217"/>
      <c r="AI245" s="124"/>
      <c r="AJ245" s="185"/>
      <c r="AL245" s="100"/>
      <c r="AM245" s="2"/>
      <c r="AN245" s="2"/>
      <c r="AO245" s="2"/>
      <c r="BC245" s="1"/>
      <c r="BD245" s="2"/>
      <c r="BE245" s="2"/>
      <c r="BF245" s="2"/>
      <c r="BG245" s="2"/>
      <c r="BH245" s="2"/>
      <c r="BI245" s="2"/>
      <c r="BJ245" s="2"/>
      <c r="BK245" s="2"/>
    </row>
    <row r="246" spans="1:63" outlineLevel="1">
      <c r="A246" s="4" t="s">
        <v>160</v>
      </c>
      <c r="C246" s="203">
        <f>C$243*'BTX recycling rates'!E88</f>
        <v>0</v>
      </c>
      <c r="D246" s="203">
        <f>D$243*'BTX recycling rates'!F88</f>
        <v>6.4382253363589909E-2</v>
      </c>
      <c r="E246" s="203">
        <f>E$243*'BTX recycling rates'!G88</f>
        <v>0.38991227818473073</v>
      </c>
      <c r="F246" s="203">
        <f>F$243*'BTX recycling rates'!H88</f>
        <v>1.1738470408987662</v>
      </c>
      <c r="G246" s="203">
        <f>G$243*'BTX recycling rates'!I88</f>
        <v>2.6116940310833532</v>
      </c>
      <c r="H246" s="203">
        <f>H$243*'BTX recycling rates'!J88</f>
        <v>4.8972209307663377</v>
      </c>
      <c r="I246" s="203">
        <f>I$243*'BTX recycling rates'!K88</f>
        <v>8.2224652410111592</v>
      </c>
      <c r="J246" s="203">
        <f>J$243*'BTX recycling rates'!L88</f>
        <v>12.777743865944906</v>
      </c>
      <c r="K246" s="203">
        <f>K$243*'BTX recycling rates'!M88</f>
        <v>18.751662654393545</v>
      </c>
      <c r="L246" s="203">
        <f>L$243*'BTX recycling rates'!N88</f>
        <v>26.331125899288299</v>
      </c>
      <c r="M246" s="203">
        <f>M$243*'BTX recycling rates'!O88</f>
        <v>35.701345795006524</v>
      </c>
      <c r="N246" s="203">
        <f>N$243*'BTX recycling rates'!P88</f>
        <v>45.752002070762671</v>
      </c>
      <c r="O246" s="203">
        <f>O$243*'BTX recycling rates'!Q88</f>
        <v>57.473722328965103</v>
      </c>
      <c r="P246" s="203">
        <f>P$243*'BTX recycling rates'!R88</f>
        <v>70.986055364267386</v>
      </c>
      <c r="Q246" s="203">
        <f>Q$243*'BTX recycling rates'!S88</f>
        <v>86.407445023884364</v>
      </c>
      <c r="R246" s="203">
        <f>R$243*'BTX recycling rates'!T88</f>
        <v>103.8552363968135</v>
      </c>
      <c r="S246" s="203">
        <f>S$243*'BTX recycling rates'!U88</f>
        <v>123.44568197552799</v>
      </c>
      <c r="T246" s="203">
        <f>T$243*'BTX recycling rates'!V88</f>
        <v>145.29394779024898</v>
      </c>
      <c r="U246" s="203">
        <f>U$243*'BTX recycling rates'!W88</f>
        <v>169.5141195159033</v>
      </c>
      <c r="V246" s="203">
        <f>V$243*'BTX recycling rates'!X88</f>
        <v>196.21920855187179</v>
      </c>
      <c r="W246" s="203">
        <f>W$243*'BTX recycling rates'!Y88</f>
        <v>225.52115807463554</v>
      </c>
      <c r="X246" s="203">
        <f>X$243*'BTX recycling rates'!Z88</f>
        <v>262.60864635244457</v>
      </c>
      <c r="Y246" s="203">
        <f>Y$243*'BTX recycling rates'!AA88</f>
        <v>303.47932368248536</v>
      </c>
      <c r="Z246" s="203">
        <f>Z$243*'BTX recycling rates'!AB88</f>
        <v>348.30427631748421</v>
      </c>
      <c r="AA246" s="203">
        <f>AA$243*'BTX recycling rates'!AC88</f>
        <v>397.25296754434328</v>
      </c>
      <c r="AB246" s="203">
        <f>AB$243*'BTX recycling rates'!AD88</f>
        <v>450.49324684911346</v>
      </c>
      <c r="AC246" s="203">
        <f>AC$243*'BTX recycling rates'!AE88</f>
        <v>508.19135904104053</v>
      </c>
      <c r="AD246" s="203">
        <f>AD$243*'BTX recycling rates'!AF88</f>
        <v>570.51195333584656</v>
      </c>
      <c r="AE246" s="203">
        <f>AE$243*'BTX recycling rates'!AG88</f>
        <v>637.61809239840227</v>
      </c>
      <c r="AF246" s="203">
        <f>AF$243*'BTX recycling rates'!AH88</f>
        <v>709.67126134494856</v>
      </c>
      <c r="AG246" s="203">
        <f>AG$243*'BTX recycling rates'!AI88</f>
        <v>786.83137670502981</v>
      </c>
      <c r="AH246" s="217"/>
      <c r="AI246" s="124"/>
      <c r="AJ246" s="185"/>
      <c r="AL246" s="100"/>
      <c r="AM246" s="2"/>
      <c r="AN246" s="2"/>
      <c r="AO246" s="2"/>
      <c r="BC246" s="1"/>
      <c r="BD246" s="2"/>
      <c r="BE246" s="2"/>
      <c r="BF246" s="2"/>
      <c r="BG246" s="2"/>
      <c r="BH246" s="2"/>
      <c r="BI246" s="2"/>
      <c r="BJ246" s="2"/>
      <c r="BK246" s="2"/>
    </row>
    <row r="247" spans="1:63" outlineLevel="1">
      <c r="A247" s="4" t="s">
        <v>1040</v>
      </c>
      <c r="C247" s="203">
        <f>C$243*'BTX recycling rates'!E89</f>
        <v>0</v>
      </c>
      <c r="D247" s="203">
        <f>D$243*'BTX recycling rates'!F89</f>
        <v>0.1334548511854774</v>
      </c>
      <c r="E247" s="203">
        <f>E$243*'BTX recycling rates'!G89</f>
        <v>0.80823025510880053</v>
      </c>
      <c r="F247" s="203">
        <f>F$243*'BTX recycling rates'!H89</f>
        <v>2.4332106127594981</v>
      </c>
      <c r="G247" s="203">
        <f>G$243*'BTX recycling rates'!I89</f>
        <v>5.4136539193786613</v>
      </c>
      <c r="H247" s="203">
        <f>H$243*'BTX recycling rates'!J89</f>
        <v>10.151211807498388</v>
      </c>
      <c r="I247" s="203">
        <f>I$243*'BTX recycling rates'!K89</f>
        <v>17.043949501423892</v>
      </c>
      <c r="J247" s="203">
        <f>J$243*'BTX recycling rates'!L89</f>
        <v>26.48636568350053</v>
      </c>
      <c r="K247" s="203">
        <f>K$243*'BTX recycling rates'!M89</f>
        <v>38.869412272506821</v>
      </c>
      <c r="L247" s="203">
        <f>L$243*'BTX recycling rates'!N89</f>
        <v>54.580514114513299</v>
      </c>
      <c r="M247" s="203">
        <f>M$243*'BTX recycling rates'!O89</f>
        <v>74.00358858654586</v>
      </c>
      <c r="N247" s="203">
        <f>N$243*'BTX recycling rates'!P89</f>
        <v>94.837106637282048</v>
      </c>
      <c r="O247" s="203">
        <f>O$243*'BTX recycling rates'!Q89</f>
        <v>119.1344921895074</v>
      </c>
      <c r="P247" s="203">
        <f>P$243*'BTX recycling rates'!R89</f>
        <v>147.14355214289338</v>
      </c>
      <c r="Q247" s="203">
        <f>Q$243*'BTX recycling rates'!S89</f>
        <v>179.10980300514325</v>
      </c>
      <c r="R247" s="203">
        <f>R$243*'BTX recycling rates'!T89</f>
        <v>215.2764837213287</v>
      </c>
      <c r="S247" s="203">
        <f>S$243*'BTX recycling rates'!U89</f>
        <v>255.88456844616505</v>
      </c>
      <c r="T247" s="203">
        <f>T$243*'BTX recycling rates'!V89</f>
        <v>301.17277925944632</v>
      </c>
      <c r="U247" s="203">
        <f>U$243*'BTX recycling rates'!W89</f>
        <v>351.37759882486199</v>
      </c>
      <c r="V247" s="203">
        <f>V$243*'BTX recycling rates'!X89</f>
        <v>406.73328299241246</v>
      </c>
      <c r="W247" s="203">
        <f>W$243*'BTX recycling rates'!Y89</f>
        <v>467.47187334464616</v>
      </c>
      <c r="X247" s="203">
        <f>X$243*'BTX recycling rates'!Z89</f>
        <v>544.34872947154338</v>
      </c>
      <c r="Y247" s="203">
        <f>Y$243*'BTX recycling rates'!AA89</f>
        <v>629.06757474288463</v>
      </c>
      <c r="Z247" s="203">
        <f>Z$243*'BTX recycling rates'!AB89</f>
        <v>721.98304555619575</v>
      </c>
      <c r="AA247" s="203">
        <f>AA$243*'BTX recycling rates'!AC89</f>
        <v>823.44641414184161</v>
      </c>
      <c r="AB247" s="203">
        <f>AB$243*'BTX recycling rates'!AD89</f>
        <v>933.80560756065336</v>
      </c>
      <c r="AC247" s="203">
        <f>AC$243*'BTX recycling rates'!AE89</f>
        <v>1053.4052266167214</v>
      </c>
      <c r="AD247" s="203">
        <f>AD$243*'BTX recycling rates'!AF89</f>
        <v>1182.5865646856892</v>
      </c>
      <c r="AE247" s="203">
        <f>AE$243*'BTX recycling rates'!AG89</f>
        <v>1321.6876264588705</v>
      </c>
      <c r="AF247" s="203">
        <f>AF$243*'BTX recycling rates'!AH89</f>
        <v>1471.0431466035172</v>
      </c>
      <c r="AG247" s="203">
        <f>AG$243*'BTX recycling rates'!AI89</f>
        <v>1630.9846083395762</v>
      </c>
      <c r="AH247" s="217"/>
      <c r="AI247" s="124"/>
      <c r="AJ247" s="185"/>
      <c r="AL247" s="100"/>
      <c r="AM247" s="2"/>
      <c r="AN247" s="2"/>
      <c r="AO247" s="2"/>
      <c r="BC247" s="1"/>
      <c r="BD247" s="2"/>
      <c r="BE247" s="2"/>
      <c r="BF247" s="2"/>
      <c r="BG247" s="2"/>
      <c r="BH247" s="2"/>
      <c r="BI247" s="2"/>
      <c r="BJ247" s="2"/>
      <c r="BK247" s="2"/>
    </row>
    <row r="248" spans="1:63" s="1" customFormat="1" outlineLevel="1">
      <c r="A248" s="1" t="s">
        <v>1041</v>
      </c>
      <c r="B248" s="60"/>
      <c r="C248" s="250">
        <f t="shared" ref="C248:AG248" si="108">C243-$C243</f>
        <v>0</v>
      </c>
      <c r="D248" s="250">
        <f t="shared" si="108"/>
        <v>66.564702548975035</v>
      </c>
      <c r="E248" s="250">
        <f t="shared" si="108"/>
        <v>201.56482152764937</v>
      </c>
      <c r="F248" s="250">
        <f t="shared" si="108"/>
        <v>404.5461548446392</v>
      </c>
      <c r="G248" s="250">
        <f t="shared" si="108"/>
        <v>675.05650721100903</v>
      </c>
      <c r="H248" s="250">
        <f t="shared" si="108"/>
        <v>1012.645682754026</v>
      </c>
      <c r="I248" s="250">
        <f t="shared" si="108"/>
        <v>1416.8654776553778</v>
      </c>
      <c r="J248" s="250">
        <f t="shared" si="108"/>
        <v>1887.2696728137792</v>
      </c>
      <c r="K248" s="250">
        <f t="shared" si="108"/>
        <v>2423.4140265318906</v>
      </c>
      <c r="L248" s="250">
        <f t="shared" si="108"/>
        <v>3024.8562672274743</v>
      </c>
      <c r="M248" s="250">
        <f t="shared" si="108"/>
        <v>3691.156086168714</v>
      </c>
      <c r="N248" s="250">
        <f t="shared" si="108"/>
        <v>4300.2652125007526</v>
      </c>
      <c r="O248" s="250">
        <f t="shared" si="108"/>
        <v>4951.8320025301509</v>
      </c>
      <c r="P248" s="250">
        <f t="shared" si="108"/>
        <v>5645.5663258664808</v>
      </c>
      <c r="Q248" s="250">
        <f t="shared" si="108"/>
        <v>6381.1793462821006</v>
      </c>
      <c r="R248" s="250">
        <f t="shared" si="108"/>
        <v>7158.3835169262538</v>
      </c>
      <c r="S248" s="250">
        <f t="shared" si="108"/>
        <v>7976.8925755550499</v>
      </c>
      <c r="T248" s="250">
        <f t="shared" si="108"/>
        <v>8836.4215397773023</v>
      </c>
      <c r="U248" s="250">
        <f t="shared" si="108"/>
        <v>9736.6867023161831</v>
      </c>
      <c r="V248" s="250">
        <f t="shared" si="108"/>
        <v>10677.405626286571</v>
      </c>
      <c r="W248" s="250">
        <f t="shared" si="108"/>
        <v>11658.297140488165</v>
      </c>
      <c r="X248" s="250">
        <f t="shared" si="108"/>
        <v>12929.077811108484</v>
      </c>
      <c r="Y248" s="250">
        <f t="shared" si="108"/>
        <v>14262.125363679113</v>
      </c>
      <c r="Z248" s="250">
        <f t="shared" si="108"/>
        <v>15657.008717358765</v>
      </c>
      <c r="AA248" s="250">
        <f t="shared" si="108"/>
        <v>17113.298722212505</v>
      </c>
      <c r="AB248" s="250">
        <f t="shared" si="108"/>
        <v>18630.568152056469</v>
      </c>
      <c r="AC248" s="250">
        <f t="shared" si="108"/>
        <v>20208.391697326351</v>
      </c>
      <c r="AD248" s="250">
        <f t="shared" si="108"/>
        <v>21846.345957969679</v>
      </c>
      <c r="AE248" s="250">
        <f t="shared" si="108"/>
        <v>23544.009436361684</v>
      </c>
      <c r="AF248" s="250">
        <f t="shared" si="108"/>
        <v>25300.962530244724</v>
      </c>
      <c r="AG248" s="250">
        <f t="shared" si="108"/>
        <v>27116.787525691343</v>
      </c>
      <c r="AH248" s="217"/>
      <c r="AI248" s="368"/>
      <c r="AJ248" s="369"/>
      <c r="AL248" s="194"/>
      <c r="AM248" s="116"/>
      <c r="AN248" s="116"/>
      <c r="AO248" s="116"/>
      <c r="BD248" s="116"/>
      <c r="BE248" s="116"/>
      <c r="BF248" s="116"/>
      <c r="BG248" s="116"/>
      <c r="BH248" s="116"/>
      <c r="BI248" s="116"/>
      <c r="BJ248" s="116"/>
      <c r="BK248" s="116"/>
    </row>
    <row r="249" spans="1:63" outlineLevel="1">
      <c r="A249" s="4" t="s">
        <v>35</v>
      </c>
      <c r="C249" s="203">
        <f t="shared" ref="C249:AG249" si="109">C244-$C244</f>
        <v>0</v>
      </c>
      <c r="D249" s="203">
        <f t="shared" si="109"/>
        <v>0.83558417361022053</v>
      </c>
      <c r="E249" s="203">
        <f t="shared" si="109"/>
        <v>5.0604710417252781</v>
      </c>
      <c r="F249" s="203">
        <f t="shared" si="109"/>
        <v>15.234757380655727</v>
      </c>
      <c r="G249" s="203">
        <f t="shared" si="109"/>
        <v>33.895834405815933</v>
      </c>
      <c r="H249" s="203">
        <f t="shared" si="109"/>
        <v>63.558513264700927</v>
      </c>
      <c r="I249" s="203">
        <f t="shared" si="109"/>
        <v>106.71514997539029</v>
      </c>
      <c r="J249" s="203">
        <f t="shared" si="109"/>
        <v>165.83576981272194</v>
      </c>
      <c r="K249" s="203">
        <f t="shared" si="109"/>
        <v>243.36819114427149</v>
      </c>
      <c r="L249" s="203">
        <f t="shared" si="109"/>
        <v>341.73814871826471</v>
      </c>
      <c r="M249" s="203">
        <f t="shared" si="109"/>
        <v>463.34941640554393</v>
      </c>
      <c r="N249" s="203">
        <f t="shared" si="109"/>
        <v>593.79171812167942</v>
      </c>
      <c r="O249" s="203">
        <f t="shared" si="109"/>
        <v>745.92190033085535</v>
      </c>
      <c r="P249" s="203">
        <f t="shared" si="109"/>
        <v>921.29152539021004</v>
      </c>
      <c r="Q249" s="203">
        <f t="shared" si="109"/>
        <v>1121.4378151120234</v>
      </c>
      <c r="R249" s="203">
        <f t="shared" si="109"/>
        <v>1347.8837310904387</v>
      </c>
      <c r="S249" s="203">
        <f t="shared" si="109"/>
        <v>1602.1380546709111</v>
      </c>
      <c r="T249" s="203">
        <f t="shared" si="109"/>
        <v>1885.6954665637732</v>
      </c>
      <c r="U249" s="203">
        <f t="shared" si="109"/>
        <v>2200.0366261033005</v>
      </c>
      <c r="V249" s="203">
        <f t="shared" si="109"/>
        <v>2546.6282501536402</v>
      </c>
      <c r="W249" s="203">
        <f t="shared" si="109"/>
        <v>2926.923191662996</v>
      </c>
      <c r="X249" s="203">
        <f t="shared" si="109"/>
        <v>3408.26263886876</v>
      </c>
      <c r="Y249" s="203">
        <f t="shared" si="109"/>
        <v>3938.7021522056048</v>
      </c>
      <c r="Z249" s="203">
        <f t="shared" si="109"/>
        <v>4520.4621722084876</v>
      </c>
      <c r="AA249" s="203">
        <f t="shared" si="109"/>
        <v>5155.742075773147</v>
      </c>
      <c r="AB249" s="203">
        <f t="shared" si="109"/>
        <v>5846.7202951035733</v>
      </c>
      <c r="AC249" s="203">
        <f t="shared" si="109"/>
        <v>6595.5544361283146</v>
      </c>
      <c r="AD249" s="203">
        <f t="shared" si="109"/>
        <v>7404.3813963877201</v>
      </c>
      <c r="AE249" s="203">
        <f t="shared" si="109"/>
        <v>8275.3174823941299</v>
      </c>
      <c r="AF249" s="203">
        <f t="shared" si="109"/>
        <v>9210.4585264670932</v>
      </c>
      <c r="AG249" s="203">
        <f t="shared" si="109"/>
        <v>10211.880003045682</v>
      </c>
      <c r="AH249" s="217"/>
      <c r="AI249" s="124"/>
      <c r="AJ249" s="185"/>
      <c r="AL249" s="100"/>
      <c r="AM249" s="2"/>
      <c r="AN249" s="2"/>
      <c r="AO249" s="2"/>
      <c r="BC249" s="1"/>
      <c r="BD249" s="2"/>
      <c r="BE249" s="2"/>
      <c r="BF249" s="2"/>
      <c r="BG249" s="2"/>
      <c r="BH249" s="2"/>
      <c r="BI249" s="2"/>
      <c r="BJ249" s="2"/>
      <c r="BK249" s="2"/>
    </row>
    <row r="250" spans="1:63" outlineLevel="1">
      <c r="A250" s="4" t="s">
        <v>74</v>
      </c>
      <c r="C250" s="203">
        <f t="shared" ref="C250:AG252" si="110">C245-$C245</f>
        <v>0</v>
      </c>
      <c r="D250" s="203">
        <f t="shared" si="110"/>
        <v>1.1854021401398804</v>
      </c>
      <c r="E250" s="203">
        <f t="shared" si="110"/>
        <v>7.1790411934911509</v>
      </c>
      <c r="F250" s="203">
        <f t="shared" si="110"/>
        <v>21.612800450149937</v>
      </c>
      <c r="G250" s="203">
        <f t="shared" si="110"/>
        <v>48.086351938523272</v>
      </c>
      <c r="H250" s="203">
        <f t="shared" si="110"/>
        <v>90.167334456038702</v>
      </c>
      <c r="I250" s="203">
        <f t="shared" si="110"/>
        <v>151.39153081325026</v>
      </c>
      <c r="J250" s="203">
        <f t="shared" si="110"/>
        <v>235.26304429438116</v>
      </c>
      <c r="K250" s="203">
        <f t="shared" si="110"/>
        <v>345.2544743373324</v>
      </c>
      <c r="L250" s="203">
        <f t="shared" si="110"/>
        <v>484.80709143617611</v>
      </c>
      <c r="M250" s="203">
        <f t="shared" si="110"/>
        <v>657.33101126914198</v>
      </c>
      <c r="N250" s="203">
        <f t="shared" si="110"/>
        <v>842.38308442055211</v>
      </c>
      <c r="O250" s="203">
        <f t="shared" si="110"/>
        <v>1058.202686162733</v>
      </c>
      <c r="P250" s="203">
        <f t="shared" si="110"/>
        <v>1306.9909416447715</v>
      </c>
      <c r="Q250" s="203">
        <f t="shared" si="110"/>
        <v>1590.9286317905969</v>
      </c>
      <c r="R250" s="203">
        <f t="shared" si="110"/>
        <v>1912.1763072545471</v>
      </c>
      <c r="S250" s="203">
        <f t="shared" si="110"/>
        <v>2272.8744018700904</v>
      </c>
      <c r="T250" s="203">
        <f t="shared" si="110"/>
        <v>2675.1433455936713</v>
      </c>
      <c r="U250" s="203">
        <f t="shared" si="110"/>
        <v>3121.0836769456459</v>
      </c>
      <c r="V250" s="203">
        <f t="shared" si="110"/>
        <v>3612.7761549502393</v>
      </c>
      <c r="W250" s="203">
        <f t="shared" si="110"/>
        <v>4152.2818705765021</v>
      </c>
      <c r="X250" s="203">
        <f t="shared" si="110"/>
        <v>4835.1344530831948</v>
      </c>
      <c r="Y250" s="203">
        <f t="shared" si="110"/>
        <v>5587.6428827337131</v>
      </c>
      <c r="Z250" s="203">
        <f t="shared" si="110"/>
        <v>6412.9571892262247</v>
      </c>
      <c r="AA250" s="203">
        <f t="shared" si="110"/>
        <v>7314.1975203106776</v>
      </c>
      <c r="AB250" s="203">
        <f t="shared" si="110"/>
        <v>8294.4543105337234</v>
      </c>
      <c r="AC250" s="203">
        <f t="shared" si="110"/>
        <v>9356.7884492301018</v>
      </c>
      <c r="AD250" s="203">
        <f t="shared" si="110"/>
        <v>10504.231447763465</v>
      </c>
      <c r="AE250" s="203">
        <f t="shared" si="110"/>
        <v>11739.785606019512</v>
      </c>
      <c r="AF250" s="203">
        <f t="shared" si="110"/>
        <v>13066.424178154351</v>
      </c>
      <c r="AG250" s="203">
        <f t="shared" si="110"/>
        <v>14487.091537601058</v>
      </c>
      <c r="AH250" s="217"/>
      <c r="AI250" s="124"/>
      <c r="AJ250" s="185"/>
      <c r="AL250" s="100"/>
      <c r="AM250" s="2"/>
      <c r="AN250" s="2"/>
      <c r="AO250" s="2"/>
      <c r="BC250" s="1"/>
      <c r="BD250" s="2"/>
      <c r="BE250" s="2"/>
      <c r="BF250" s="2"/>
      <c r="BG250" s="2"/>
      <c r="BH250" s="2"/>
      <c r="BI250" s="2"/>
      <c r="BJ250" s="2"/>
      <c r="BK250" s="2"/>
    </row>
    <row r="251" spans="1:63" outlineLevel="1">
      <c r="A251" s="4" t="s">
        <v>160</v>
      </c>
      <c r="C251" s="203">
        <f t="shared" si="110"/>
        <v>0</v>
      </c>
      <c r="D251" s="203">
        <f t="shared" si="110"/>
        <v>6.4382253363589909E-2</v>
      </c>
      <c r="E251" s="203">
        <f t="shared" si="110"/>
        <v>0.38991227818473073</v>
      </c>
      <c r="F251" s="203">
        <f t="shared" si="110"/>
        <v>1.1738470408987662</v>
      </c>
      <c r="G251" s="203">
        <f t="shared" si="110"/>
        <v>2.6116940310833532</v>
      </c>
      <c r="H251" s="203">
        <f t="shared" si="110"/>
        <v>4.8972209307663377</v>
      </c>
      <c r="I251" s="203">
        <f t="shared" si="110"/>
        <v>8.2224652410111592</v>
      </c>
      <c r="J251" s="203">
        <f t="shared" si="110"/>
        <v>12.777743865944906</v>
      </c>
      <c r="K251" s="203">
        <f t="shared" si="110"/>
        <v>18.751662654393545</v>
      </c>
      <c r="L251" s="203">
        <f t="shared" si="110"/>
        <v>26.331125899288299</v>
      </c>
      <c r="M251" s="203">
        <f t="shared" si="110"/>
        <v>35.701345795006524</v>
      </c>
      <c r="N251" s="203">
        <f t="shared" si="110"/>
        <v>45.752002070762671</v>
      </c>
      <c r="O251" s="203">
        <f t="shared" si="110"/>
        <v>57.473722328965103</v>
      </c>
      <c r="P251" s="203">
        <f t="shared" si="110"/>
        <v>70.986055364267386</v>
      </c>
      <c r="Q251" s="203">
        <f t="shared" si="110"/>
        <v>86.407445023884364</v>
      </c>
      <c r="R251" s="203">
        <f t="shared" si="110"/>
        <v>103.8552363968135</v>
      </c>
      <c r="S251" s="203">
        <f t="shared" si="110"/>
        <v>123.44568197552799</v>
      </c>
      <c r="T251" s="203">
        <f t="shared" si="110"/>
        <v>145.29394779024898</v>
      </c>
      <c r="U251" s="203">
        <f t="shared" si="110"/>
        <v>169.5141195159033</v>
      </c>
      <c r="V251" s="203">
        <f t="shared" si="110"/>
        <v>196.21920855187179</v>
      </c>
      <c r="W251" s="203">
        <f t="shared" si="110"/>
        <v>225.52115807463554</v>
      </c>
      <c r="X251" s="203">
        <f t="shared" si="110"/>
        <v>262.60864635244457</v>
      </c>
      <c r="Y251" s="203">
        <f t="shared" si="110"/>
        <v>303.47932368248536</v>
      </c>
      <c r="Z251" s="203">
        <f t="shared" si="110"/>
        <v>348.30427631748421</v>
      </c>
      <c r="AA251" s="203">
        <f t="shared" si="110"/>
        <v>397.25296754434328</v>
      </c>
      <c r="AB251" s="203">
        <f t="shared" si="110"/>
        <v>450.49324684911346</v>
      </c>
      <c r="AC251" s="203">
        <f t="shared" si="110"/>
        <v>508.19135904104053</v>
      </c>
      <c r="AD251" s="203">
        <f t="shared" si="110"/>
        <v>570.51195333584656</v>
      </c>
      <c r="AE251" s="203">
        <f t="shared" si="110"/>
        <v>637.61809239840227</v>
      </c>
      <c r="AF251" s="203">
        <f t="shared" si="110"/>
        <v>709.67126134494856</v>
      </c>
      <c r="AG251" s="203">
        <f t="shared" si="110"/>
        <v>786.83137670502981</v>
      </c>
      <c r="AH251" s="217"/>
      <c r="AI251" s="124"/>
      <c r="AJ251" s="185"/>
      <c r="AL251" s="100"/>
      <c r="AM251" s="2"/>
      <c r="AN251" s="2"/>
      <c r="AO251" s="2"/>
      <c r="BC251" s="1"/>
      <c r="BD251" s="2"/>
      <c r="BE251" s="2"/>
      <c r="BF251" s="2"/>
      <c r="BG251" s="2"/>
      <c r="BH251" s="2"/>
      <c r="BI251" s="2"/>
      <c r="BJ251" s="2"/>
      <c r="BK251" s="2"/>
    </row>
    <row r="252" spans="1:63" outlineLevel="1">
      <c r="A252" s="4" t="s">
        <v>1040</v>
      </c>
      <c r="C252" s="203">
        <f t="shared" si="110"/>
        <v>0</v>
      </c>
      <c r="D252" s="203">
        <f t="shared" si="110"/>
        <v>0.1334548511854774</v>
      </c>
      <c r="E252" s="203">
        <f t="shared" si="110"/>
        <v>0.80823025510880053</v>
      </c>
      <c r="F252" s="203">
        <f t="shared" si="110"/>
        <v>2.4332106127594981</v>
      </c>
      <c r="G252" s="203">
        <f t="shared" si="110"/>
        <v>5.4136539193786613</v>
      </c>
      <c r="H252" s="203">
        <f t="shared" si="110"/>
        <v>10.151211807498388</v>
      </c>
      <c r="I252" s="203">
        <f t="shared" si="110"/>
        <v>17.043949501423892</v>
      </c>
      <c r="J252" s="203">
        <f t="shared" si="110"/>
        <v>26.48636568350053</v>
      </c>
      <c r="K252" s="203">
        <f t="shared" si="110"/>
        <v>38.869412272506821</v>
      </c>
      <c r="L252" s="203">
        <f t="shared" si="110"/>
        <v>54.580514114513299</v>
      </c>
      <c r="M252" s="203">
        <f t="shared" si="110"/>
        <v>74.00358858654586</v>
      </c>
      <c r="N252" s="203">
        <f t="shared" si="110"/>
        <v>94.837106637282048</v>
      </c>
      <c r="O252" s="203">
        <f t="shared" si="110"/>
        <v>119.1344921895074</v>
      </c>
      <c r="P252" s="203">
        <f t="shared" si="110"/>
        <v>147.14355214289338</v>
      </c>
      <c r="Q252" s="203">
        <f t="shared" si="110"/>
        <v>179.10980300514325</v>
      </c>
      <c r="R252" s="203">
        <f t="shared" si="110"/>
        <v>215.2764837213287</v>
      </c>
      <c r="S252" s="203">
        <f t="shared" si="110"/>
        <v>255.88456844616505</v>
      </c>
      <c r="T252" s="203">
        <f t="shared" si="110"/>
        <v>301.17277925944632</v>
      </c>
      <c r="U252" s="203">
        <f t="shared" si="110"/>
        <v>351.37759882486199</v>
      </c>
      <c r="V252" s="203">
        <f t="shared" si="110"/>
        <v>406.73328299241246</v>
      </c>
      <c r="W252" s="203">
        <f t="shared" si="110"/>
        <v>467.47187334464616</v>
      </c>
      <c r="X252" s="203">
        <f t="shared" si="110"/>
        <v>544.34872947154338</v>
      </c>
      <c r="Y252" s="203">
        <f t="shared" si="110"/>
        <v>629.06757474288463</v>
      </c>
      <c r="Z252" s="203">
        <f t="shared" si="110"/>
        <v>721.98304555619575</v>
      </c>
      <c r="AA252" s="203">
        <f t="shared" si="110"/>
        <v>823.44641414184161</v>
      </c>
      <c r="AB252" s="203">
        <f t="shared" si="110"/>
        <v>933.80560756065336</v>
      </c>
      <c r="AC252" s="203">
        <f t="shared" si="110"/>
        <v>1053.4052266167214</v>
      </c>
      <c r="AD252" s="203">
        <f t="shared" si="110"/>
        <v>1182.5865646856892</v>
      </c>
      <c r="AE252" s="203">
        <f t="shared" si="110"/>
        <v>1321.6876264588705</v>
      </c>
      <c r="AF252" s="203">
        <f t="shared" si="110"/>
        <v>1471.0431466035172</v>
      </c>
      <c r="AG252" s="203">
        <f t="shared" si="110"/>
        <v>1630.9846083395762</v>
      </c>
      <c r="AH252" s="217"/>
      <c r="AI252" s="124"/>
      <c r="AJ252" s="185"/>
      <c r="AL252" s="100"/>
      <c r="AM252" s="2"/>
      <c r="AN252" s="2"/>
      <c r="AO252" s="2"/>
      <c r="BC252" s="1"/>
      <c r="BD252" s="2"/>
      <c r="BE252" s="2"/>
      <c r="BF252" s="2"/>
      <c r="BG252" s="2"/>
      <c r="BH252" s="2"/>
      <c r="BI252" s="2"/>
      <c r="BJ252" s="2"/>
      <c r="BK252" s="2"/>
    </row>
    <row r="253" spans="1:63" outlineLevel="1">
      <c r="AJ253" s="185"/>
    </row>
    <row r="254" spans="1:63" s="174" customFormat="1" ht="15.5" thickBot="1">
      <c r="A254" s="174" t="s">
        <v>448</v>
      </c>
      <c r="B254" s="189"/>
      <c r="C254" s="197">
        <f>C255</f>
        <v>0.14000000000000001</v>
      </c>
      <c r="D254" s="197">
        <f t="shared" ref="D254:AG254" si="111">D255</f>
        <v>0.15700598392683424</v>
      </c>
      <c r="E254" s="197">
        <f t="shared" si="111"/>
        <v>0.17401196785366843</v>
      </c>
      <c r="F254" s="197">
        <f t="shared" si="111"/>
        <v>0.19101795178050265</v>
      </c>
      <c r="G254" s="197">
        <f t="shared" si="111"/>
        <v>0.20802393570733685</v>
      </c>
      <c r="H254" s="197">
        <f t="shared" si="111"/>
        <v>0.22502991963417107</v>
      </c>
      <c r="I254" s="197">
        <f t="shared" si="111"/>
        <v>0.24203590356100529</v>
      </c>
      <c r="J254" s="197">
        <f t="shared" si="111"/>
        <v>0.25904188748783952</v>
      </c>
      <c r="K254" s="197">
        <f t="shared" si="111"/>
        <v>0.27604787141467368</v>
      </c>
      <c r="L254" s="197">
        <f t="shared" si="111"/>
        <v>0.29305385534150796</v>
      </c>
      <c r="M254" s="197">
        <f t="shared" si="111"/>
        <v>0.31005983926834213</v>
      </c>
      <c r="N254" s="197">
        <f t="shared" si="111"/>
        <v>0.32148492288828256</v>
      </c>
      <c r="O254" s="197">
        <f t="shared" si="111"/>
        <v>0.33291000650822294</v>
      </c>
      <c r="P254" s="197">
        <f t="shared" si="111"/>
        <v>0.34433509012816338</v>
      </c>
      <c r="Q254" s="197">
        <f t="shared" si="111"/>
        <v>0.35576017374810376</v>
      </c>
      <c r="R254" s="197">
        <f t="shared" si="111"/>
        <v>0.36718525736804419</v>
      </c>
      <c r="S254" s="197">
        <f t="shared" si="111"/>
        <v>0.37861034098798463</v>
      </c>
      <c r="T254" s="197">
        <f t="shared" si="111"/>
        <v>0.39003542460792501</v>
      </c>
      <c r="U254" s="197">
        <f t="shared" si="111"/>
        <v>0.40146050822786544</v>
      </c>
      <c r="V254" s="197">
        <f t="shared" si="111"/>
        <v>0.41288559184780582</v>
      </c>
      <c r="W254" s="197">
        <f t="shared" si="111"/>
        <v>0.42431067546774626</v>
      </c>
      <c r="X254" s="197">
        <f t="shared" si="111"/>
        <v>0.44187960792097164</v>
      </c>
      <c r="Y254" s="197">
        <f t="shared" si="111"/>
        <v>0.45944854037419702</v>
      </c>
      <c r="Z254" s="197">
        <f t="shared" si="111"/>
        <v>0.47701747282742235</v>
      </c>
      <c r="AA254" s="197">
        <f t="shared" si="111"/>
        <v>0.49458640528064773</v>
      </c>
      <c r="AB254" s="197">
        <f t="shared" si="111"/>
        <v>0.51215533773387312</v>
      </c>
      <c r="AC254" s="197">
        <f t="shared" si="111"/>
        <v>0.52972427018709856</v>
      </c>
      <c r="AD254" s="197">
        <f t="shared" si="111"/>
        <v>0.54729320264032388</v>
      </c>
      <c r="AE254" s="197">
        <f t="shared" si="111"/>
        <v>0.56486213509354921</v>
      </c>
      <c r="AF254" s="197">
        <f t="shared" si="111"/>
        <v>0.58243106754677465</v>
      </c>
      <c r="AG254" s="197">
        <f t="shared" si="111"/>
        <v>0.6</v>
      </c>
      <c r="AJ254" s="204" t="s">
        <v>457</v>
      </c>
      <c r="AL254" s="191"/>
      <c r="AM254" s="198"/>
      <c r="AN254" s="198"/>
      <c r="AO254" s="198"/>
    </row>
    <row r="255" spans="1:63" ht="15.5" outlineLevel="2" thickTop="1">
      <c r="A255" t="s">
        <v>449</v>
      </c>
      <c r="B255" s="50" t="s">
        <v>126</v>
      </c>
      <c r="C255" s="118">
        <f>'Ethylene Recycling HC'!C206</f>
        <v>0.14000000000000001</v>
      </c>
      <c r="D255" s="102">
        <f>'Ethylene Recycling HC'!D206</f>
        <v>0.15700598392683424</v>
      </c>
      <c r="E255" s="102">
        <f>'Ethylene Recycling HC'!E206</f>
        <v>0.17401196785366843</v>
      </c>
      <c r="F255" s="102">
        <f>'Ethylene Recycling HC'!F206</f>
        <v>0.19101795178050265</v>
      </c>
      <c r="G255" s="102">
        <f>'Ethylene Recycling HC'!G206</f>
        <v>0.20802393570733685</v>
      </c>
      <c r="H255" s="102">
        <f>'Ethylene Recycling HC'!H206</f>
        <v>0.22502991963417107</v>
      </c>
      <c r="I255" s="102">
        <f>'Ethylene Recycling HC'!I206</f>
        <v>0.24203590356100529</v>
      </c>
      <c r="J255" s="102">
        <f>'Ethylene Recycling HC'!J206</f>
        <v>0.25904188748783952</v>
      </c>
      <c r="K255" s="102">
        <f>'Ethylene Recycling HC'!K206</f>
        <v>0.27604787141467368</v>
      </c>
      <c r="L255" s="102">
        <f>'Ethylene Recycling HC'!L206</f>
        <v>0.29305385534150796</v>
      </c>
      <c r="M255" s="113">
        <f>'Ethylene Recycling HC'!M206</f>
        <v>0.31005983926834213</v>
      </c>
      <c r="N255" s="113">
        <f>'Ethylene Recycling HC'!N206</f>
        <v>0.32148492288828256</v>
      </c>
      <c r="O255" s="113">
        <f>'Ethylene Recycling HC'!O206</f>
        <v>0.33291000650822294</v>
      </c>
      <c r="P255" s="113">
        <f>'Ethylene Recycling HC'!P206</f>
        <v>0.34433509012816338</v>
      </c>
      <c r="Q255" s="113">
        <f>'Ethylene Recycling HC'!Q206</f>
        <v>0.35576017374810376</v>
      </c>
      <c r="R255" s="113">
        <f>'Ethylene Recycling HC'!R206</f>
        <v>0.36718525736804419</v>
      </c>
      <c r="S255" s="113">
        <f>'Ethylene Recycling HC'!S206</f>
        <v>0.37861034098798463</v>
      </c>
      <c r="T255" s="113">
        <f>'Ethylene Recycling HC'!T206</f>
        <v>0.39003542460792501</v>
      </c>
      <c r="U255" s="113">
        <f>'Ethylene Recycling HC'!U206</f>
        <v>0.40146050822786544</v>
      </c>
      <c r="V255" s="113">
        <f>'Ethylene Recycling HC'!V206</f>
        <v>0.41288559184780582</v>
      </c>
      <c r="W255" s="113">
        <f>'Ethylene Recycling HC'!W206</f>
        <v>0.42431067546774626</v>
      </c>
      <c r="X255" s="22">
        <f>'Ethylene Recycling HC'!X206</f>
        <v>0.44187960792097164</v>
      </c>
      <c r="Y255" s="22">
        <f>'Ethylene Recycling HC'!Y206</f>
        <v>0.45944854037419702</v>
      </c>
      <c r="Z255" s="22">
        <f>'Ethylene Recycling HC'!Z206</f>
        <v>0.47701747282742235</v>
      </c>
      <c r="AA255" s="22">
        <f>'Ethylene Recycling HC'!AA206</f>
        <v>0.49458640528064773</v>
      </c>
      <c r="AB255" s="22">
        <f>'Ethylene Recycling HC'!AB206</f>
        <v>0.51215533773387312</v>
      </c>
      <c r="AC255" s="22">
        <f>'Ethylene Recycling HC'!AC206</f>
        <v>0.52972427018709856</v>
      </c>
      <c r="AD255" s="22">
        <f>'Ethylene Recycling HC'!AD206</f>
        <v>0.54729320264032388</v>
      </c>
      <c r="AE255" s="22">
        <f>'Ethylene Recycling HC'!AE206</f>
        <v>0.56486213509354921</v>
      </c>
      <c r="AF255" s="22">
        <f>'Ethylene Recycling HC'!AF206</f>
        <v>0.58243106754677465</v>
      </c>
      <c r="AG255" s="118">
        <f>'Ethylene Recycling HC'!AG206</f>
        <v>0.6</v>
      </c>
      <c r="AJ255" s="185" t="s">
        <v>1469</v>
      </c>
    </row>
    <row r="256" spans="1:63" outlineLevel="2">
      <c r="C256" s="105"/>
      <c r="D256" s="102"/>
      <c r="E256" s="102"/>
      <c r="F256" s="102"/>
      <c r="G256" s="102"/>
      <c r="H256" s="102"/>
      <c r="I256" s="102"/>
      <c r="J256" s="102"/>
      <c r="K256" s="102"/>
      <c r="L256" s="102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22"/>
      <c r="Y256" s="22"/>
      <c r="Z256" s="22"/>
      <c r="AA256" s="22"/>
      <c r="AB256" s="22"/>
      <c r="AC256" s="22"/>
      <c r="AD256" s="22"/>
      <c r="AE256" s="22"/>
      <c r="AF256" s="22"/>
      <c r="AG256" s="98"/>
      <c r="AJ256" s="185"/>
    </row>
    <row r="257" spans="1:63" outlineLevel="1">
      <c r="A257" t="s">
        <v>1239</v>
      </c>
      <c r="C257" s="437">
        <f>('Overall recycling rates'!F88*'Yearly BTX'!D5+'Overall recycling rates'!G88*'Yearly BTX'!D6+'Overall recycling rates'!H88*'Yearly BTX'!D7)/'Yearly BTX'!D4</f>
        <v>0.99999999999999989</v>
      </c>
      <c r="D257" s="437">
        <f>C257-($C257-$AG257)/($AG$1-$C$1)</f>
        <v>0.99999999999999989</v>
      </c>
      <c r="E257" s="437">
        <f t="shared" ref="E257:AF257" si="112">D257-($C257-$AG257)/($AG$1-$C$1)</f>
        <v>0.99999999999999989</v>
      </c>
      <c r="F257" s="437">
        <f t="shared" si="112"/>
        <v>0.99999999999999989</v>
      </c>
      <c r="G257" s="437">
        <f t="shared" si="112"/>
        <v>0.99999999999999989</v>
      </c>
      <c r="H257" s="437">
        <f t="shared" si="112"/>
        <v>0.99999999999999989</v>
      </c>
      <c r="I257" s="437">
        <f t="shared" si="112"/>
        <v>0.99999999999999989</v>
      </c>
      <c r="J257" s="437">
        <f t="shared" si="112"/>
        <v>0.99999999999999989</v>
      </c>
      <c r="K257" s="437">
        <f t="shared" si="112"/>
        <v>0.99999999999999989</v>
      </c>
      <c r="L257" s="437">
        <f t="shared" si="112"/>
        <v>0.99999999999999989</v>
      </c>
      <c r="M257" s="437">
        <f t="shared" si="112"/>
        <v>0.99999999999999989</v>
      </c>
      <c r="N257" s="437">
        <f t="shared" si="112"/>
        <v>0.99999999999999989</v>
      </c>
      <c r="O257" s="437">
        <f t="shared" si="112"/>
        <v>0.99999999999999989</v>
      </c>
      <c r="P257" s="437">
        <f t="shared" si="112"/>
        <v>0.99999999999999989</v>
      </c>
      <c r="Q257" s="437">
        <f t="shared" si="112"/>
        <v>0.99999999999999989</v>
      </c>
      <c r="R257" s="437">
        <f t="shared" si="112"/>
        <v>0.99999999999999989</v>
      </c>
      <c r="S257" s="437">
        <f t="shared" si="112"/>
        <v>0.99999999999999989</v>
      </c>
      <c r="T257" s="437">
        <f t="shared" si="112"/>
        <v>0.99999999999999989</v>
      </c>
      <c r="U257" s="437">
        <f t="shared" si="112"/>
        <v>0.99999999999999989</v>
      </c>
      <c r="V257" s="437">
        <f t="shared" si="112"/>
        <v>0.99999999999999989</v>
      </c>
      <c r="W257" s="437">
        <f t="shared" si="112"/>
        <v>0.99999999999999989</v>
      </c>
      <c r="X257" s="437">
        <f t="shared" si="112"/>
        <v>0.99999999999999989</v>
      </c>
      <c r="Y257" s="437">
        <f t="shared" si="112"/>
        <v>0.99999999999999989</v>
      </c>
      <c r="Z257" s="437">
        <f t="shared" si="112"/>
        <v>0.99999999999999989</v>
      </c>
      <c r="AA257" s="437">
        <f t="shared" si="112"/>
        <v>0.99999999999999989</v>
      </c>
      <c r="AB257" s="437">
        <f t="shared" si="112"/>
        <v>0.99999999999999989</v>
      </c>
      <c r="AC257" s="437">
        <f t="shared" si="112"/>
        <v>0.99999999999999989</v>
      </c>
      <c r="AD257" s="437">
        <f t="shared" si="112"/>
        <v>0.99999999999999989</v>
      </c>
      <c r="AE257" s="437">
        <f t="shared" si="112"/>
        <v>0.99999999999999989</v>
      </c>
      <c r="AF257" s="437">
        <f t="shared" si="112"/>
        <v>0.99999999999999989</v>
      </c>
      <c r="AG257" s="437">
        <f>'Overall recycling rates'!F97</f>
        <v>1</v>
      </c>
      <c r="AI257" s="124"/>
      <c r="AJ257" s="185" t="s">
        <v>1000</v>
      </c>
      <c r="AL257" s="100"/>
      <c r="AM257" s="181"/>
      <c r="AN257" s="181"/>
      <c r="AO257" s="181"/>
      <c r="BC257" s="1"/>
      <c r="BD257" s="181"/>
      <c r="BE257" s="181"/>
      <c r="BF257" s="181"/>
      <c r="BG257" s="181"/>
      <c r="BH257" s="181"/>
      <c r="BI257" s="181"/>
      <c r="BJ257" s="181"/>
      <c r="BK257" s="181"/>
    </row>
    <row r="258" spans="1:63" outlineLevel="1">
      <c r="A258" t="s">
        <v>1255</v>
      </c>
      <c r="B258" s="50" t="s">
        <v>126</v>
      </c>
      <c r="C258" s="102">
        <f>C255*C257</f>
        <v>0.13999999999999999</v>
      </c>
      <c r="D258" s="102">
        <f t="shared" ref="D258:AG258" si="113">D255*D257</f>
        <v>0.15700598392683421</v>
      </c>
      <c r="E258" s="102">
        <f t="shared" si="113"/>
        <v>0.1740119678536684</v>
      </c>
      <c r="F258" s="102">
        <f t="shared" si="113"/>
        <v>0.19101795178050263</v>
      </c>
      <c r="G258" s="102">
        <f t="shared" si="113"/>
        <v>0.20802393570733682</v>
      </c>
      <c r="H258" s="102">
        <f t="shared" si="113"/>
        <v>0.22502991963417104</v>
      </c>
      <c r="I258" s="102">
        <f t="shared" si="113"/>
        <v>0.24203590356100527</v>
      </c>
      <c r="J258" s="102">
        <f t="shared" si="113"/>
        <v>0.25904188748783946</v>
      </c>
      <c r="K258" s="102">
        <f t="shared" si="113"/>
        <v>0.27604787141467363</v>
      </c>
      <c r="L258" s="102">
        <f t="shared" si="113"/>
        <v>0.29305385534150791</v>
      </c>
      <c r="M258" s="102">
        <f t="shared" si="113"/>
        <v>0.31005983926834207</v>
      </c>
      <c r="N258" s="102">
        <f t="shared" si="113"/>
        <v>0.32148492288828251</v>
      </c>
      <c r="O258" s="102">
        <f t="shared" si="113"/>
        <v>0.33291000650822289</v>
      </c>
      <c r="P258" s="102">
        <f t="shared" si="113"/>
        <v>0.34433509012816332</v>
      </c>
      <c r="Q258" s="102">
        <f t="shared" si="113"/>
        <v>0.3557601737481037</v>
      </c>
      <c r="R258" s="102">
        <f t="shared" si="113"/>
        <v>0.36718525736804414</v>
      </c>
      <c r="S258" s="102">
        <f t="shared" si="113"/>
        <v>0.37861034098798457</v>
      </c>
      <c r="T258" s="102">
        <f t="shared" si="113"/>
        <v>0.39003542460792495</v>
      </c>
      <c r="U258" s="102">
        <f t="shared" si="113"/>
        <v>0.40146050822786539</v>
      </c>
      <c r="V258" s="102">
        <f t="shared" si="113"/>
        <v>0.41288559184780577</v>
      </c>
      <c r="W258" s="102">
        <f t="shared" si="113"/>
        <v>0.4243106754677462</v>
      </c>
      <c r="X258" s="102">
        <f t="shared" si="113"/>
        <v>0.44187960792097158</v>
      </c>
      <c r="Y258" s="102">
        <f t="shared" si="113"/>
        <v>0.45944854037419697</v>
      </c>
      <c r="Z258" s="102">
        <f t="shared" si="113"/>
        <v>0.4770174728274223</v>
      </c>
      <c r="AA258" s="102">
        <f t="shared" si="113"/>
        <v>0.49458640528064768</v>
      </c>
      <c r="AB258" s="102">
        <f t="shared" si="113"/>
        <v>0.51215533773387301</v>
      </c>
      <c r="AC258" s="102">
        <f t="shared" si="113"/>
        <v>0.52972427018709844</v>
      </c>
      <c r="AD258" s="102">
        <f t="shared" si="113"/>
        <v>0.54729320264032377</v>
      </c>
      <c r="AE258" s="102">
        <f t="shared" si="113"/>
        <v>0.5648621350935491</v>
      </c>
      <c r="AF258" s="102">
        <f t="shared" si="113"/>
        <v>0.58243106754677454</v>
      </c>
      <c r="AG258" s="102">
        <f t="shared" si="113"/>
        <v>0.6</v>
      </c>
      <c r="AJ258" s="185" t="s">
        <v>447</v>
      </c>
    </row>
    <row r="259" spans="1:63" outlineLevel="1"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J259" s="185"/>
    </row>
    <row r="260" spans="1:63" s="1" customFormat="1" outlineLevel="1">
      <c r="A260" s="1" t="s">
        <v>265</v>
      </c>
      <c r="B260" s="60"/>
      <c r="C260" s="250">
        <f>'BTX Recycling HC'!C260</f>
        <v>61752.77647686917</v>
      </c>
      <c r="D260" s="250">
        <f>'BTX Recycling HC'!D260</f>
        <v>69101.084050006524</v>
      </c>
      <c r="E260" s="250">
        <f>'BTX Recycling HC'!E260</f>
        <v>76416.646800565621</v>
      </c>
      <c r="F260" s="250">
        <f>'BTX Recycling HC'!F260</f>
        <v>83699.573490694282</v>
      </c>
      <c r="G260" s="250">
        <f>'BTX Recycling HC'!G260</f>
        <v>90949.97256191737</v>
      </c>
      <c r="H260" s="250">
        <f>'BTX Recycling HC'!H260</f>
        <v>98167.952136022272</v>
      </c>
      <c r="I260" s="250">
        <f>'BTX Recycling HC'!I260</f>
        <v>104658.28612383701</v>
      </c>
      <c r="J260" s="250">
        <f>'BTX Recycling HC'!J260</f>
        <v>111021.99018197347</v>
      </c>
      <c r="K260" s="250">
        <f>'BTX Recycling HC'!K260</f>
        <v>117259.80699971563</v>
      </c>
      <c r="L260" s="250">
        <f>'BTX Recycling HC'!L260</f>
        <v>123372.47612924551</v>
      </c>
      <c r="M260" s="250">
        <f>'BTX Recycling HC'!M260</f>
        <v>129360.73399692323</v>
      </c>
      <c r="N260" s="250">
        <f>'BTX Recycling HC'!N260</f>
        <v>132917.89154751939</v>
      </c>
      <c r="O260" s="250">
        <f>'BTX Recycling HC'!O260</f>
        <v>136393.93280421715</v>
      </c>
      <c r="P260" s="250">
        <f>'BTX Recycling HC'!P260</f>
        <v>139789.34157995702</v>
      </c>
      <c r="Q260" s="250">
        <f>'BTX Recycling HC'!Q260</f>
        <v>143104.59963118372</v>
      </c>
      <c r="R260" s="250">
        <f>'BTX Recycling HC'!R260</f>
        <v>146340.18666526504</v>
      </c>
      <c r="S260" s="250">
        <f>'BTX Recycling HC'!S260</f>
        <v>149496.58034788628</v>
      </c>
      <c r="T260" s="250">
        <f>'BTX Recycling HC'!T260</f>
        <v>152574.25631042101</v>
      </c>
      <c r="U260" s="250">
        <f>'BTX Recycling HC'!U260</f>
        <v>155573.68815727683</v>
      </c>
      <c r="V260" s="250">
        <f>'BTX Recycling HC'!V260</f>
        <v>158495.34747321799</v>
      </c>
      <c r="W260" s="250">
        <f>'BTX Recycling HC'!W260</f>
        <v>161339.70383066349</v>
      </c>
      <c r="X260" s="250">
        <f>'BTX Recycling HC'!X260</f>
        <v>166421.12711178057</v>
      </c>
      <c r="Y260" s="250">
        <f>'BTX Recycling HC'!Y260</f>
        <v>171381.89001329962</v>
      </c>
      <c r="Z260" s="250">
        <f>'BTX Recycling HC'!Z260</f>
        <v>176222.7156086941</v>
      </c>
      <c r="AA260" s="250">
        <f>'BTX Recycling HC'!AA260</f>
        <v>180944.3238921274</v>
      </c>
      <c r="AB260" s="250">
        <f>'BTX Recycling HC'!AB260</f>
        <v>185547.43178957282</v>
      </c>
      <c r="AC260" s="250">
        <f>'BTX Recycling HC'!AC260</f>
        <v>189988.63133261591</v>
      </c>
      <c r="AD260" s="250">
        <f>'BTX Recycling HC'!AD260</f>
        <v>194310.02974086086</v>
      </c>
      <c r="AE260" s="250">
        <f>'BTX Recycling HC'!AE260</f>
        <v>198512.35349697724</v>
      </c>
      <c r="AF260" s="250">
        <f>'BTX Recycling HC'!AF260</f>
        <v>202596.32597607185</v>
      </c>
      <c r="AG260" s="250">
        <f>'BTX Recycling HC'!AG260</f>
        <v>206562.66745693682</v>
      </c>
      <c r="AH260" s="217"/>
      <c r="AI260" s="368"/>
      <c r="AJ260" s="369"/>
      <c r="AL260" s="194"/>
      <c r="AM260" s="116"/>
      <c r="AN260" s="116"/>
      <c r="AO260" s="116"/>
      <c r="BD260" s="116"/>
      <c r="BE260" s="116"/>
      <c r="BF260" s="116"/>
      <c r="BG260" s="116"/>
      <c r="BH260" s="116"/>
      <c r="BI260" s="116"/>
      <c r="BJ260" s="116"/>
      <c r="BK260" s="116"/>
    </row>
    <row r="261" spans="1:63" outlineLevel="1">
      <c r="A261" s="4" t="s">
        <v>35</v>
      </c>
      <c r="C261" s="203">
        <f>C$260*'BTX recycling rates'!E90</f>
        <v>0</v>
      </c>
      <c r="D261" s="203">
        <f>D$260*'BTX recycling rates'!F90</f>
        <v>0</v>
      </c>
      <c r="E261" s="203">
        <f>E$260*'BTX recycling rates'!G90</f>
        <v>0</v>
      </c>
      <c r="F261" s="203">
        <f>F$260*'BTX recycling rates'!H90</f>
        <v>0</v>
      </c>
      <c r="G261" s="203">
        <f>G$260*'BTX recycling rates'!I90</f>
        <v>0</v>
      </c>
      <c r="H261" s="203">
        <f>H$260*'BTX recycling rates'!J90</f>
        <v>0</v>
      </c>
      <c r="I261" s="203">
        <f>I$260*'BTX recycling rates'!K90</f>
        <v>0</v>
      </c>
      <c r="J261" s="203">
        <f>J$260*'BTX recycling rates'!L90</f>
        <v>0</v>
      </c>
      <c r="K261" s="203">
        <f>K$260*'BTX recycling rates'!M90</f>
        <v>0</v>
      </c>
      <c r="L261" s="203">
        <f>L$260*'BTX recycling rates'!N90</f>
        <v>0</v>
      </c>
      <c r="M261" s="203">
        <f>M$260*'BTX recycling rates'!O90</f>
        <v>0</v>
      </c>
      <c r="N261" s="203">
        <f>N$260*'BTX recycling rates'!P90</f>
        <v>0</v>
      </c>
      <c r="O261" s="203">
        <f>O$260*'BTX recycling rates'!Q90</f>
        <v>0</v>
      </c>
      <c r="P261" s="203">
        <f>P$260*'BTX recycling rates'!R90</f>
        <v>0</v>
      </c>
      <c r="Q261" s="203">
        <f>Q$260*'BTX recycling rates'!S90</f>
        <v>0</v>
      </c>
      <c r="R261" s="203">
        <f>R$260*'BTX recycling rates'!T90</f>
        <v>0</v>
      </c>
      <c r="S261" s="203">
        <f>S$260*'BTX recycling rates'!U90</f>
        <v>0</v>
      </c>
      <c r="T261" s="203">
        <f>T$260*'BTX recycling rates'!V90</f>
        <v>0</v>
      </c>
      <c r="U261" s="203">
        <f>U$260*'BTX recycling rates'!W90</f>
        <v>0</v>
      </c>
      <c r="V261" s="203">
        <f>V$260*'BTX recycling rates'!X90</f>
        <v>0</v>
      </c>
      <c r="W261" s="203">
        <f>W$260*'BTX recycling rates'!Y90</f>
        <v>0</v>
      </c>
      <c r="X261" s="203">
        <f>X$260*'BTX recycling rates'!Z90</f>
        <v>0</v>
      </c>
      <c r="Y261" s="203">
        <f>Y$260*'BTX recycling rates'!AA90</f>
        <v>0</v>
      </c>
      <c r="Z261" s="203">
        <f>Z$260*'BTX recycling rates'!AB90</f>
        <v>0</v>
      </c>
      <c r="AA261" s="203">
        <f>AA$260*'BTX recycling rates'!AC90</f>
        <v>0</v>
      </c>
      <c r="AB261" s="203">
        <f>AB$260*'BTX recycling rates'!AD90</f>
        <v>0</v>
      </c>
      <c r="AC261" s="203">
        <f>AC$260*'BTX recycling rates'!AE90</f>
        <v>0</v>
      </c>
      <c r="AD261" s="203">
        <f>AD$260*'BTX recycling rates'!AF90</f>
        <v>0</v>
      </c>
      <c r="AE261" s="203">
        <f>AE$260*'BTX recycling rates'!AG90</f>
        <v>0</v>
      </c>
      <c r="AF261" s="203">
        <f>AF$260*'BTX recycling rates'!AH90</f>
        <v>0</v>
      </c>
      <c r="AG261" s="203">
        <f>AG$260*'BTX recycling rates'!AI90</f>
        <v>0</v>
      </c>
      <c r="AH261" s="217"/>
      <c r="AI261" s="124"/>
      <c r="AJ261" s="185"/>
      <c r="AL261" s="100"/>
      <c r="AM261" s="2"/>
      <c r="AN261" s="2"/>
      <c r="AO261" s="2"/>
      <c r="BC261" s="1"/>
      <c r="BD261" s="2"/>
      <c r="BE261" s="2"/>
      <c r="BF261" s="2"/>
      <c r="BG261" s="2"/>
      <c r="BH261" s="2"/>
      <c r="BI261" s="2"/>
      <c r="BJ261" s="2"/>
      <c r="BK261" s="2"/>
    </row>
    <row r="262" spans="1:63" outlineLevel="1">
      <c r="A262" s="4" t="s">
        <v>74</v>
      </c>
      <c r="C262" s="203">
        <f>C$260*'BTX recycling rates'!E91</f>
        <v>13619.867097846265</v>
      </c>
      <c r="D262" s="203">
        <f>D$260*'BTX recycling rates'!F91</f>
        <v>15240.571109069408</v>
      </c>
      <c r="E262" s="203">
        <f>E$260*'BTX recycling rates'!G91</f>
        <v>16854.053094707589</v>
      </c>
      <c r="F262" s="203">
        <f>F$260*'BTX recycling rates'!H91</f>
        <v>18460.337042767227</v>
      </c>
      <c r="G262" s="203">
        <f>G$260*'BTX recycling rates'!I91</f>
        <v>20059.446870539832</v>
      </c>
      <c r="H262" s="203">
        <f>H$260*'BTX recycling rates'!J91</f>
        <v>21651.4064247973</v>
      </c>
      <c r="I262" s="203">
        <f>I$260*'BTX recycling rates'!K91</f>
        <v>23082.880301405625</v>
      </c>
      <c r="J262" s="203">
        <f>J$260*'BTX recycling rates'!L91</f>
        <v>24486.425347745502</v>
      </c>
      <c r="K262" s="203">
        <f>K$260*'BTX recycling rates'!M91</f>
        <v>25862.205367453305</v>
      </c>
      <c r="L262" s="203">
        <f>L$260*'BTX recycling rates'!N91</f>
        <v>27210.383472262714</v>
      </c>
      <c r="M262" s="203">
        <f>M$260*'BTX recycling rates'!O91</f>
        <v>28531.122084492607</v>
      </c>
      <c r="N262" s="203">
        <f>N$260*'BTX recycling rates'!P91</f>
        <v>29315.670016574128</v>
      </c>
      <c r="O262" s="203">
        <f>O$260*'BTX recycling rates'!Q91</f>
        <v>30082.327366152367</v>
      </c>
      <c r="P262" s="203">
        <f>P$260*'BTX recycling rates'!R91</f>
        <v>30831.20084046101</v>
      </c>
      <c r="Q262" s="203">
        <f>Q$260*'BTX recycling rates'!S91</f>
        <v>31562.396693163853</v>
      </c>
      <c r="R262" s="203">
        <f>R$260*'BTX recycling rates'!T91</f>
        <v>32276.020725991086</v>
      </c>
      <c r="S262" s="203">
        <f>S$260*'BTX recycling rates'!U91</f>
        <v>32972.178290370161</v>
      </c>
      <c r="T262" s="203">
        <f>T$260*'BTX recycling rates'!V91</f>
        <v>33650.974289051461</v>
      </c>
      <c r="U262" s="203">
        <f>U$260*'BTX recycling rates'!W91</f>
        <v>34312.513177728404</v>
      </c>
      <c r="V262" s="203">
        <f>V$260*'BTX recycling rates'!X91</f>
        <v>34956.898966652538</v>
      </c>
      <c r="W262" s="203">
        <f>W$260*'BTX recycling rates'!Y91</f>
        <v>35584.235222243129</v>
      </c>
      <c r="X262" s="203">
        <f>X$260*'BTX recycling rates'!Z91</f>
        <v>36704.967174799785</v>
      </c>
      <c r="Y262" s="203">
        <f>Y$260*'BTX recycling rates'!AA91</f>
        <v>37799.086909609177</v>
      </c>
      <c r="Z262" s="203">
        <f>Z$260*'BTX recycling rates'!AB91</f>
        <v>38866.753903947829</v>
      </c>
      <c r="AA262" s="203">
        <f>AA$260*'BTX recycling rates'!AC91</f>
        <v>39908.126955935855</v>
      </c>
      <c r="AB262" s="203">
        <f>AB$260*'BTX recycling rates'!AD91</f>
        <v>40923.364186989529</v>
      </c>
      <c r="AC262" s="203">
        <f>AC$260*'BTX recycling rates'!AE91</f>
        <v>41902.891764246233</v>
      </c>
      <c r="AD262" s="203">
        <f>AD$260*'BTX recycling rates'!AF91</f>
        <v>42855.996634262672</v>
      </c>
      <c r="AE262" s="203">
        <f>AE$260*'BTX recycling rates'!AG91</f>
        <v>43782.839026229711</v>
      </c>
      <c r="AF262" s="203">
        <f>AF$260*'BTX recycling rates'!AH91</f>
        <v>44683.578483950529</v>
      </c>
      <c r="AG262" s="203">
        <f>AG$260*'BTX recycling rates'!AI91</f>
        <v>45558.373868321476</v>
      </c>
      <c r="AH262" s="217"/>
      <c r="AI262" s="124"/>
      <c r="AJ262" s="185"/>
      <c r="AL262" s="100"/>
      <c r="AM262" s="2"/>
      <c r="AN262" s="2"/>
      <c r="AO262" s="2"/>
      <c r="BC262" s="1"/>
      <c r="BD262" s="2"/>
      <c r="BE262" s="2"/>
      <c r="BF262" s="2"/>
      <c r="BG262" s="2"/>
      <c r="BH262" s="2"/>
      <c r="BI262" s="2"/>
      <c r="BJ262" s="2"/>
      <c r="BK262" s="2"/>
    </row>
    <row r="263" spans="1:63" outlineLevel="1">
      <c r="A263" s="4" t="s">
        <v>160</v>
      </c>
      <c r="C263" s="203">
        <f>C$260*'BTX recycling rates'!E92</f>
        <v>6221.3204582215722</v>
      </c>
      <c r="D263" s="203">
        <f>D$260*'BTX recycling rates'!F92</f>
        <v>6961.6301065689295</v>
      </c>
      <c r="E263" s="203">
        <f>E$260*'BTX recycling rates'!G92</f>
        <v>7698.6408581503529</v>
      </c>
      <c r="F263" s="203">
        <f>F$260*'BTX recycling rates'!H92</f>
        <v>8432.3636702735766</v>
      </c>
      <c r="G263" s="203">
        <f>G$260*'BTX recycling rates'!I92</f>
        <v>9162.809467944986</v>
      </c>
      <c r="H263" s="203">
        <f>H$260*'BTX recycling rates'!J92</f>
        <v>9889.9891439588173</v>
      </c>
      <c r="I263" s="203">
        <f>I$260*'BTX recycling rates'!K92</f>
        <v>10543.86172949685</v>
      </c>
      <c r="J263" s="203">
        <f>J$260*'BTX recycling rates'!L92</f>
        <v>11184.976906913715</v>
      </c>
      <c r="K263" s="203">
        <f>K$260*'BTX recycling rates'!M92</f>
        <v>11813.409498886223</v>
      </c>
      <c r="L263" s="203">
        <f>L$260*'BTX recycling rates'!N92</f>
        <v>12429.234012041972</v>
      </c>
      <c r="M263" s="203">
        <f>M$260*'BTX recycling rates'!O92</f>
        <v>13032.524638095754</v>
      </c>
      <c r="N263" s="203">
        <f>N$260*'BTX recycling rates'!P92</f>
        <v>13390.89260639157</v>
      </c>
      <c r="O263" s="203">
        <f>O$260*'BTX recycling rates'!Q92</f>
        <v>13741.088465067112</v>
      </c>
      <c r="P263" s="203">
        <f>P$260*'BTX recycling rates'!R92</f>
        <v>14083.160956146892</v>
      </c>
      <c r="Q263" s="203">
        <f>Q$260*'BTX recycling rates'!S92</f>
        <v>14417.158614472524</v>
      </c>
      <c r="R263" s="203">
        <f>R$260*'BTX recycling rates'!T92</f>
        <v>14743.129768450135</v>
      </c>
      <c r="S263" s="203">
        <f>S$260*'BTX recycling rates'!U92</f>
        <v>15061.122540795332</v>
      </c>
      <c r="T263" s="203">
        <f>T$260*'BTX recycling rates'!V92</f>
        <v>15371.184849275764</v>
      </c>
      <c r="U263" s="203">
        <f>U$260*'BTX recycling rates'!W92</f>
        <v>15673.364407451178</v>
      </c>
      <c r="V263" s="203">
        <f>V$260*'BTX recycling rates'!X92</f>
        <v>15967.708725411145</v>
      </c>
      <c r="W263" s="203">
        <f>W$260*'BTX recycling rates'!Y92</f>
        <v>16254.265110510309</v>
      </c>
      <c r="X263" s="203">
        <f>X$260*'BTX recycling rates'!Z92</f>
        <v>16766.196142915604</v>
      </c>
      <c r="Y263" s="203">
        <f>Y$260*'BTX recycling rates'!AA92</f>
        <v>17265.971173098533</v>
      </c>
      <c r="Z263" s="203">
        <f>Z$260*'BTX recycling rates'!AB92</f>
        <v>17753.663047529331</v>
      </c>
      <c r="AA263" s="203">
        <f>AA$260*'BTX recycling rates'!AC92</f>
        <v>18229.344302451285</v>
      </c>
      <c r="AB263" s="203">
        <f>AB$260*'BTX recycling rates'!AD92</f>
        <v>18693.087165001038</v>
      </c>
      <c r="AC263" s="203">
        <f>AC$260*'BTX recycling rates'!AE92</f>
        <v>19140.518473397799</v>
      </c>
      <c r="AD263" s="203">
        <f>AD$260*'BTX recycling rates'!AF92</f>
        <v>19575.880344704277</v>
      </c>
      <c r="AE263" s="203">
        <f>AE$260*'BTX recycling rates'!AG92</f>
        <v>19999.24596885221</v>
      </c>
      <c r="AF263" s="203">
        <f>AF$260*'BTX recycling rates'!AH92</f>
        <v>20410.688222700053</v>
      </c>
      <c r="AG263" s="203">
        <f>AG$260*'BTX recycling rates'!AI92</f>
        <v>20810.279671166194</v>
      </c>
      <c r="AH263" s="217"/>
      <c r="AI263" s="124"/>
      <c r="AJ263" s="185"/>
      <c r="AL263" s="100"/>
      <c r="AM263" s="2"/>
      <c r="AN263" s="2"/>
      <c r="AO263" s="2"/>
      <c r="BC263" s="1"/>
      <c r="BD263" s="2"/>
      <c r="BE263" s="2"/>
      <c r="BF263" s="2"/>
      <c r="BG263" s="2"/>
      <c r="BH263" s="2"/>
      <c r="BI263" s="2"/>
      <c r="BJ263" s="2"/>
      <c r="BK263" s="2"/>
    </row>
    <row r="264" spans="1:63" outlineLevel="1">
      <c r="A264" s="4" t="s">
        <v>1040</v>
      </c>
      <c r="C264" s="203">
        <f>C$260*'BTX recycling rates'!E93</f>
        <v>41911.588920801332</v>
      </c>
      <c r="D264" s="203">
        <f>D$260*'BTX recycling rates'!F93</f>
        <v>46898.882834368189</v>
      </c>
      <c r="E264" s="203">
        <f>E$260*'BTX recycling rates'!G93</f>
        <v>51863.952847707682</v>
      </c>
      <c r="F264" s="203">
        <f>F$260*'BTX recycling rates'!H93</f>
        <v>56806.87277765348</v>
      </c>
      <c r="G264" s="203">
        <f>G$260*'BTX recycling rates'!I93</f>
        <v>61727.716223432559</v>
      </c>
      <c r="H264" s="203">
        <f>H$260*'BTX recycling rates'!J93</f>
        <v>66626.556567266161</v>
      </c>
      <c r="I264" s="203">
        <f>I$260*'BTX recycling rates'!K93</f>
        <v>71031.544092934535</v>
      </c>
      <c r="J264" s="203">
        <f>J$260*'BTX recycling rates'!L93</f>
        <v>75350.587927314249</v>
      </c>
      <c r="K264" s="203">
        <f>K$260*'BTX recycling rates'!M93</f>
        <v>79584.192133376098</v>
      </c>
      <c r="L264" s="203">
        <f>L$260*'BTX recycling rates'!N93</f>
        <v>83732.858644940832</v>
      </c>
      <c r="M264" s="203">
        <f>M$260*'BTX recycling rates'!O93</f>
        <v>87797.087274334874</v>
      </c>
      <c r="N264" s="203">
        <f>N$260*'BTX recycling rates'!P93</f>
        <v>90211.328924553702</v>
      </c>
      <c r="O264" s="203">
        <f>O$260*'BTX recycling rates'!Q93</f>
        <v>92570.516972997677</v>
      </c>
      <c r="P264" s="203">
        <f>P$260*'BTX recycling rates'!R93</f>
        <v>94874.979783349132</v>
      </c>
      <c r="Q264" s="203">
        <f>Q$260*'BTX recycling rates'!S93</f>
        <v>97125.04432354735</v>
      </c>
      <c r="R264" s="203">
        <f>R$260*'BTX recycling rates'!T93</f>
        <v>99321.03617082382</v>
      </c>
      <c r="S264" s="203">
        <f>S$260*'BTX recycling rates'!U93</f>
        <v>101463.2795167208</v>
      </c>
      <c r="T264" s="203">
        <f>T$260*'BTX recycling rates'!V93</f>
        <v>103552.0971720938</v>
      </c>
      <c r="U264" s="203">
        <f>U$260*'BTX recycling rates'!W93</f>
        <v>105587.81057209725</v>
      </c>
      <c r="V264" s="203">
        <f>V$260*'BTX recycling rates'!X93</f>
        <v>107570.73978115432</v>
      </c>
      <c r="W264" s="203">
        <f>W$260*'BTX recycling rates'!Y93</f>
        <v>109501.20349791006</v>
      </c>
      <c r="X264" s="203">
        <f>X$260*'BTX recycling rates'!Z93</f>
        <v>112949.96379406519</v>
      </c>
      <c r="Y264" s="203">
        <f>Y$260*'BTX recycling rates'!AA93</f>
        <v>116316.83193059191</v>
      </c>
      <c r="Z264" s="203">
        <f>Z$260*'BTX recycling rates'!AB93</f>
        <v>119602.29865721695</v>
      </c>
      <c r="AA264" s="203">
        <f>AA$260*'BTX recycling rates'!AC93</f>
        <v>122806.85263374027</v>
      </c>
      <c r="AB264" s="203">
        <f>AB$260*'BTX recycling rates'!AD93</f>
        <v>125930.98043758226</v>
      </c>
      <c r="AC264" s="203">
        <f>AC$260*'BTX recycling rates'!AE93</f>
        <v>128945.22109497189</v>
      </c>
      <c r="AD264" s="203">
        <f>AD$260*'BTX recycling rates'!AF93</f>
        <v>131878.15276189393</v>
      </c>
      <c r="AE264" s="203">
        <f>AE$260*'BTX recycling rates'!AG93</f>
        <v>134730.26850189533</v>
      </c>
      <c r="AF264" s="203">
        <f>AF$260*'BTX recycling rates'!AH93</f>
        <v>137502.05926942127</v>
      </c>
      <c r="AG264" s="203">
        <f>AG$260*'BTX recycling rates'!AI93</f>
        <v>140194.01391744916</v>
      </c>
      <c r="AH264" s="217"/>
      <c r="AI264" s="124"/>
      <c r="AJ264" s="185"/>
      <c r="AL264" s="100"/>
      <c r="AM264" s="2"/>
      <c r="AN264" s="2"/>
      <c r="AO264" s="2"/>
      <c r="BC264" s="1"/>
      <c r="BD264" s="2"/>
      <c r="BE264" s="2"/>
      <c r="BF264" s="2"/>
      <c r="BG264" s="2"/>
      <c r="BH264" s="2"/>
      <c r="BI264" s="2"/>
      <c r="BJ264" s="2"/>
      <c r="BK264" s="2"/>
    </row>
    <row r="265" spans="1:63" s="1" customFormat="1" outlineLevel="1">
      <c r="A265" s="1" t="s">
        <v>1041</v>
      </c>
      <c r="B265" s="60"/>
      <c r="C265" s="250">
        <f t="shared" ref="C265:AG265" si="114">C260-$C260</f>
        <v>0</v>
      </c>
      <c r="D265" s="250">
        <f t="shared" si="114"/>
        <v>7348.3075731373538</v>
      </c>
      <c r="E265" s="250">
        <f t="shared" si="114"/>
        <v>14663.87032369645</v>
      </c>
      <c r="F265" s="250">
        <f t="shared" si="114"/>
        <v>21946.797013825111</v>
      </c>
      <c r="G265" s="250">
        <f t="shared" si="114"/>
        <v>29197.196085048199</v>
      </c>
      <c r="H265" s="250">
        <f t="shared" si="114"/>
        <v>36415.175659153101</v>
      </c>
      <c r="I265" s="250">
        <f t="shared" si="114"/>
        <v>42905.509646967839</v>
      </c>
      <c r="J265" s="250">
        <f t="shared" si="114"/>
        <v>49269.213705104296</v>
      </c>
      <c r="K265" s="250">
        <f t="shared" si="114"/>
        <v>55507.030522846457</v>
      </c>
      <c r="L265" s="250">
        <f t="shared" si="114"/>
        <v>61619.699652376337</v>
      </c>
      <c r="M265" s="250">
        <f t="shared" si="114"/>
        <v>67607.957520054057</v>
      </c>
      <c r="N265" s="250">
        <f t="shared" si="114"/>
        <v>71165.115070650223</v>
      </c>
      <c r="O265" s="250">
        <f t="shared" si="114"/>
        <v>74641.156327347984</v>
      </c>
      <c r="P265" s="250">
        <f t="shared" si="114"/>
        <v>78036.565103087851</v>
      </c>
      <c r="Q265" s="250">
        <f t="shared" si="114"/>
        <v>81351.823154314552</v>
      </c>
      <c r="R265" s="250">
        <f t="shared" si="114"/>
        <v>84587.410188395865</v>
      </c>
      <c r="S265" s="250">
        <f t="shared" si="114"/>
        <v>87743.803871017109</v>
      </c>
      <c r="T265" s="250">
        <f t="shared" si="114"/>
        <v>90821.479833551843</v>
      </c>
      <c r="U265" s="250">
        <f t="shared" si="114"/>
        <v>93820.911680407662</v>
      </c>
      <c r="V265" s="250">
        <f t="shared" si="114"/>
        <v>96742.570996348819</v>
      </c>
      <c r="W265" s="250">
        <f t="shared" si="114"/>
        <v>99586.927353794323</v>
      </c>
      <c r="X265" s="250">
        <f t="shared" si="114"/>
        <v>104668.3506349114</v>
      </c>
      <c r="Y265" s="250">
        <f t="shared" si="114"/>
        <v>109629.11353643045</v>
      </c>
      <c r="Z265" s="250">
        <f t="shared" si="114"/>
        <v>114469.93913182493</v>
      </c>
      <c r="AA265" s="250">
        <f t="shared" si="114"/>
        <v>119191.54741525823</v>
      </c>
      <c r="AB265" s="250">
        <f t="shared" si="114"/>
        <v>123794.65531270365</v>
      </c>
      <c r="AC265" s="250">
        <f t="shared" si="114"/>
        <v>128235.85485574674</v>
      </c>
      <c r="AD265" s="250">
        <f t="shared" si="114"/>
        <v>132557.25326399168</v>
      </c>
      <c r="AE265" s="250">
        <f t="shared" si="114"/>
        <v>136759.57702010806</v>
      </c>
      <c r="AF265" s="250">
        <f t="shared" si="114"/>
        <v>140843.54949920269</v>
      </c>
      <c r="AG265" s="250">
        <f t="shared" si="114"/>
        <v>144809.89098006766</v>
      </c>
      <c r="AH265" s="217"/>
      <c r="AI265" s="368"/>
      <c r="AJ265" s="369"/>
      <c r="AL265" s="194"/>
      <c r="AM265" s="116"/>
      <c r="AN265" s="116"/>
      <c r="AO265" s="116"/>
      <c r="BD265" s="116"/>
      <c r="BE265" s="116"/>
      <c r="BF265" s="116"/>
      <c r="BG265" s="116"/>
      <c r="BH265" s="116"/>
      <c r="BI265" s="116"/>
      <c r="BJ265" s="116"/>
      <c r="BK265" s="116"/>
    </row>
    <row r="266" spans="1:63" outlineLevel="1">
      <c r="A266" s="4" t="s">
        <v>35</v>
      </c>
      <c r="C266" s="203">
        <f t="shared" ref="C266:AG266" si="115">C261-$C261</f>
        <v>0</v>
      </c>
      <c r="D266" s="203">
        <f t="shared" si="115"/>
        <v>0</v>
      </c>
      <c r="E266" s="203">
        <f t="shared" si="115"/>
        <v>0</v>
      </c>
      <c r="F266" s="203">
        <f t="shared" si="115"/>
        <v>0</v>
      </c>
      <c r="G266" s="203">
        <f t="shared" si="115"/>
        <v>0</v>
      </c>
      <c r="H266" s="203">
        <f t="shared" si="115"/>
        <v>0</v>
      </c>
      <c r="I266" s="203">
        <f t="shared" si="115"/>
        <v>0</v>
      </c>
      <c r="J266" s="203">
        <f t="shared" si="115"/>
        <v>0</v>
      </c>
      <c r="K266" s="203">
        <f t="shared" si="115"/>
        <v>0</v>
      </c>
      <c r="L266" s="203">
        <f t="shared" si="115"/>
        <v>0</v>
      </c>
      <c r="M266" s="203">
        <f t="shared" si="115"/>
        <v>0</v>
      </c>
      <c r="N266" s="203">
        <f t="shared" si="115"/>
        <v>0</v>
      </c>
      <c r="O266" s="203">
        <f t="shared" si="115"/>
        <v>0</v>
      </c>
      <c r="P266" s="203">
        <f t="shared" si="115"/>
        <v>0</v>
      </c>
      <c r="Q266" s="203">
        <f t="shared" si="115"/>
        <v>0</v>
      </c>
      <c r="R266" s="203">
        <f t="shared" si="115"/>
        <v>0</v>
      </c>
      <c r="S266" s="203">
        <f t="shared" si="115"/>
        <v>0</v>
      </c>
      <c r="T266" s="203">
        <f t="shared" si="115"/>
        <v>0</v>
      </c>
      <c r="U266" s="203">
        <f t="shared" si="115"/>
        <v>0</v>
      </c>
      <c r="V266" s="203">
        <f t="shared" si="115"/>
        <v>0</v>
      </c>
      <c r="W266" s="203">
        <f t="shared" si="115"/>
        <v>0</v>
      </c>
      <c r="X266" s="203">
        <f t="shared" si="115"/>
        <v>0</v>
      </c>
      <c r="Y266" s="203">
        <f t="shared" si="115"/>
        <v>0</v>
      </c>
      <c r="Z266" s="203">
        <f t="shared" si="115"/>
        <v>0</v>
      </c>
      <c r="AA266" s="203">
        <f t="shared" si="115"/>
        <v>0</v>
      </c>
      <c r="AB266" s="203">
        <f t="shared" si="115"/>
        <v>0</v>
      </c>
      <c r="AC266" s="203">
        <f t="shared" si="115"/>
        <v>0</v>
      </c>
      <c r="AD266" s="203">
        <f t="shared" si="115"/>
        <v>0</v>
      </c>
      <c r="AE266" s="203">
        <f t="shared" si="115"/>
        <v>0</v>
      </c>
      <c r="AF266" s="203">
        <f t="shared" si="115"/>
        <v>0</v>
      </c>
      <c r="AG266" s="203">
        <f t="shared" si="115"/>
        <v>0</v>
      </c>
      <c r="AH266" s="217"/>
      <c r="AI266" s="124"/>
      <c r="AJ266" s="185"/>
      <c r="AL266" s="100"/>
      <c r="AM266" s="2"/>
      <c r="AN266" s="2"/>
      <c r="AO266" s="2"/>
      <c r="BC266" s="1"/>
      <c r="BD266" s="2"/>
      <c r="BE266" s="2"/>
      <c r="BF266" s="2"/>
      <c r="BG266" s="2"/>
      <c r="BH266" s="2"/>
      <c r="BI266" s="2"/>
      <c r="BJ266" s="2"/>
      <c r="BK266" s="2"/>
    </row>
    <row r="267" spans="1:63" outlineLevel="1">
      <c r="A267" s="4" t="s">
        <v>74</v>
      </c>
      <c r="C267" s="203">
        <f t="shared" ref="C267:AG269" si="116">C262-$C262</f>
        <v>0</v>
      </c>
      <c r="D267" s="203">
        <f t="shared" si="116"/>
        <v>1620.7040112231425</v>
      </c>
      <c r="E267" s="203">
        <f t="shared" si="116"/>
        <v>3234.1859968613244</v>
      </c>
      <c r="F267" s="203">
        <f t="shared" si="116"/>
        <v>4840.469944920962</v>
      </c>
      <c r="G267" s="203">
        <f t="shared" si="116"/>
        <v>6439.5797726935671</v>
      </c>
      <c r="H267" s="203">
        <f t="shared" si="116"/>
        <v>8031.539326951035</v>
      </c>
      <c r="I267" s="203">
        <f t="shared" si="116"/>
        <v>9463.0132035593597</v>
      </c>
      <c r="J267" s="203">
        <f t="shared" si="116"/>
        <v>10866.558249899237</v>
      </c>
      <c r="K267" s="203">
        <f t="shared" si="116"/>
        <v>12242.33826960704</v>
      </c>
      <c r="L267" s="203">
        <f t="shared" si="116"/>
        <v>13590.516374416449</v>
      </c>
      <c r="M267" s="203">
        <f t="shared" si="116"/>
        <v>14911.254986646341</v>
      </c>
      <c r="N267" s="203">
        <f t="shared" si="116"/>
        <v>15695.802918727863</v>
      </c>
      <c r="O267" s="203">
        <f t="shared" si="116"/>
        <v>16462.460268306102</v>
      </c>
      <c r="P267" s="203">
        <f t="shared" si="116"/>
        <v>17211.333742614745</v>
      </c>
      <c r="Q267" s="203">
        <f t="shared" si="116"/>
        <v>17942.529595317588</v>
      </c>
      <c r="R267" s="203">
        <f t="shared" si="116"/>
        <v>18656.153628144821</v>
      </c>
      <c r="S267" s="203">
        <f t="shared" si="116"/>
        <v>19352.311192523895</v>
      </c>
      <c r="T267" s="203">
        <f t="shared" si="116"/>
        <v>20031.107191205196</v>
      </c>
      <c r="U267" s="203">
        <f t="shared" si="116"/>
        <v>20692.646079882139</v>
      </c>
      <c r="V267" s="203">
        <f t="shared" si="116"/>
        <v>21337.031868806273</v>
      </c>
      <c r="W267" s="203">
        <f t="shared" si="116"/>
        <v>21964.368124396864</v>
      </c>
      <c r="X267" s="203">
        <f t="shared" si="116"/>
        <v>23085.10007695352</v>
      </c>
      <c r="Y267" s="203">
        <f t="shared" si="116"/>
        <v>24179.219811762912</v>
      </c>
      <c r="Z267" s="203">
        <f t="shared" si="116"/>
        <v>25246.886806101564</v>
      </c>
      <c r="AA267" s="203">
        <f t="shared" si="116"/>
        <v>26288.25985808959</v>
      </c>
      <c r="AB267" s="203">
        <f t="shared" si="116"/>
        <v>27303.497089143264</v>
      </c>
      <c r="AC267" s="203">
        <f t="shared" si="116"/>
        <v>28283.024666399968</v>
      </c>
      <c r="AD267" s="203">
        <f t="shared" si="116"/>
        <v>29236.129536416407</v>
      </c>
      <c r="AE267" s="203">
        <f t="shared" si="116"/>
        <v>30162.971928383446</v>
      </c>
      <c r="AF267" s="203">
        <f t="shared" si="116"/>
        <v>31063.711386104264</v>
      </c>
      <c r="AG267" s="203">
        <f t="shared" si="116"/>
        <v>31938.506770475211</v>
      </c>
      <c r="AH267" s="217"/>
      <c r="AI267" s="124"/>
      <c r="AJ267" s="185"/>
      <c r="AL267" s="100"/>
      <c r="AM267" s="2"/>
      <c r="AN267" s="2"/>
      <c r="AO267" s="2"/>
      <c r="BC267" s="1"/>
      <c r="BD267" s="2"/>
      <c r="BE267" s="2"/>
      <c r="BF267" s="2"/>
      <c r="BG267" s="2"/>
      <c r="BH267" s="2"/>
      <c r="BI267" s="2"/>
      <c r="BJ267" s="2"/>
      <c r="BK267" s="2"/>
    </row>
    <row r="268" spans="1:63" outlineLevel="1">
      <c r="A268" s="4" t="s">
        <v>160</v>
      </c>
      <c r="C268" s="203">
        <f t="shared" si="116"/>
        <v>0</v>
      </c>
      <c r="D268" s="203">
        <f t="shared" si="116"/>
        <v>740.30964834735732</v>
      </c>
      <c r="E268" s="203">
        <f t="shared" si="116"/>
        <v>1477.3203999287807</v>
      </c>
      <c r="F268" s="203">
        <f t="shared" si="116"/>
        <v>2211.0432120520045</v>
      </c>
      <c r="G268" s="203">
        <f t="shared" si="116"/>
        <v>2941.4890097234138</v>
      </c>
      <c r="H268" s="203">
        <f t="shared" si="116"/>
        <v>3668.6686857372451</v>
      </c>
      <c r="I268" s="203">
        <f t="shared" si="116"/>
        <v>4322.5412712752777</v>
      </c>
      <c r="J268" s="203">
        <f t="shared" si="116"/>
        <v>4963.6564486921425</v>
      </c>
      <c r="K268" s="203">
        <f t="shared" si="116"/>
        <v>5592.0890406646513</v>
      </c>
      <c r="L268" s="203">
        <f t="shared" si="116"/>
        <v>6207.9135538204</v>
      </c>
      <c r="M268" s="203">
        <f t="shared" si="116"/>
        <v>6811.204179874182</v>
      </c>
      <c r="N268" s="203">
        <f t="shared" si="116"/>
        <v>7169.5721481699975</v>
      </c>
      <c r="O268" s="203">
        <f t="shared" si="116"/>
        <v>7519.7680068455402</v>
      </c>
      <c r="P268" s="203">
        <f t="shared" si="116"/>
        <v>7861.8404979253201</v>
      </c>
      <c r="Q268" s="203">
        <f t="shared" si="116"/>
        <v>8195.838156250953</v>
      </c>
      <c r="R268" s="203">
        <f t="shared" si="116"/>
        <v>8521.8093102285638</v>
      </c>
      <c r="S268" s="203">
        <f t="shared" si="116"/>
        <v>8839.8020825737585</v>
      </c>
      <c r="T268" s="203">
        <f t="shared" si="116"/>
        <v>9149.8643910541905</v>
      </c>
      <c r="U268" s="203">
        <f t="shared" si="116"/>
        <v>9452.0439492296064</v>
      </c>
      <c r="V268" s="203">
        <f t="shared" si="116"/>
        <v>9746.3882671895735</v>
      </c>
      <c r="W268" s="203">
        <f t="shared" si="116"/>
        <v>10032.944652288737</v>
      </c>
      <c r="X268" s="203">
        <f t="shared" si="116"/>
        <v>10544.87568469403</v>
      </c>
      <c r="Y268" s="203">
        <f t="shared" si="116"/>
        <v>11044.65071487696</v>
      </c>
      <c r="Z268" s="203">
        <f t="shared" si="116"/>
        <v>11532.342589307758</v>
      </c>
      <c r="AA268" s="203">
        <f t="shared" si="116"/>
        <v>12008.023844229712</v>
      </c>
      <c r="AB268" s="203">
        <f t="shared" si="116"/>
        <v>12471.766706779465</v>
      </c>
      <c r="AC268" s="203">
        <f t="shared" si="116"/>
        <v>12919.198015176225</v>
      </c>
      <c r="AD268" s="203">
        <f t="shared" si="116"/>
        <v>13354.559886482704</v>
      </c>
      <c r="AE268" s="203">
        <f t="shared" si="116"/>
        <v>13777.925510630637</v>
      </c>
      <c r="AF268" s="203">
        <f t="shared" si="116"/>
        <v>14189.36776447848</v>
      </c>
      <c r="AG268" s="203">
        <f t="shared" si="116"/>
        <v>14588.959212944621</v>
      </c>
      <c r="AH268" s="217"/>
      <c r="AI268" s="124"/>
      <c r="AJ268" s="185"/>
      <c r="AL268" s="100"/>
      <c r="AM268" s="2"/>
      <c r="AN268" s="2"/>
      <c r="AO268" s="2"/>
      <c r="BC268" s="1"/>
      <c r="BD268" s="2"/>
      <c r="BE268" s="2"/>
      <c r="BF268" s="2"/>
      <c r="BG268" s="2"/>
      <c r="BH268" s="2"/>
      <c r="BI268" s="2"/>
      <c r="BJ268" s="2"/>
      <c r="BK268" s="2"/>
    </row>
    <row r="269" spans="1:63" outlineLevel="1">
      <c r="A269" s="4" t="s">
        <v>1040</v>
      </c>
      <c r="C269" s="203">
        <f t="shared" si="116"/>
        <v>0</v>
      </c>
      <c r="D269" s="203">
        <f t="shared" si="116"/>
        <v>4987.2939135668566</v>
      </c>
      <c r="E269" s="203">
        <f t="shared" si="116"/>
        <v>9952.3639269063497</v>
      </c>
      <c r="F269" s="203">
        <f t="shared" si="116"/>
        <v>14895.283856852147</v>
      </c>
      <c r="G269" s="203">
        <f t="shared" si="116"/>
        <v>19816.127302631226</v>
      </c>
      <c r="H269" s="203">
        <f t="shared" si="116"/>
        <v>24714.967646464829</v>
      </c>
      <c r="I269" s="203">
        <f t="shared" si="116"/>
        <v>29119.955172133203</v>
      </c>
      <c r="J269" s="203">
        <f t="shared" si="116"/>
        <v>33438.999006512917</v>
      </c>
      <c r="K269" s="203">
        <f t="shared" si="116"/>
        <v>37672.603212574766</v>
      </c>
      <c r="L269" s="203">
        <f t="shared" si="116"/>
        <v>41821.2697241395</v>
      </c>
      <c r="M269" s="203">
        <f t="shared" si="116"/>
        <v>45885.498353533541</v>
      </c>
      <c r="N269" s="203">
        <f t="shared" si="116"/>
        <v>48299.740003752369</v>
      </c>
      <c r="O269" s="203">
        <f t="shared" si="116"/>
        <v>50658.928052196345</v>
      </c>
      <c r="P269" s="203">
        <f t="shared" si="116"/>
        <v>52963.3908625478</v>
      </c>
      <c r="Q269" s="203">
        <f t="shared" si="116"/>
        <v>55213.455402746018</v>
      </c>
      <c r="R269" s="203">
        <f t="shared" si="116"/>
        <v>57409.447250022487</v>
      </c>
      <c r="S269" s="203">
        <f t="shared" si="116"/>
        <v>59551.690595919463</v>
      </c>
      <c r="T269" s="203">
        <f t="shared" si="116"/>
        <v>61640.508251292464</v>
      </c>
      <c r="U269" s="203">
        <f t="shared" si="116"/>
        <v>63676.22165129592</v>
      </c>
      <c r="V269" s="203">
        <f t="shared" si="116"/>
        <v>65659.150860352995</v>
      </c>
      <c r="W269" s="203">
        <f t="shared" si="116"/>
        <v>67589.614577108732</v>
      </c>
      <c r="X269" s="203">
        <f t="shared" si="116"/>
        <v>71038.374873263849</v>
      </c>
      <c r="Y269" s="203">
        <f t="shared" si="116"/>
        <v>74405.243009790574</v>
      </c>
      <c r="Z269" s="203">
        <f t="shared" si="116"/>
        <v>77690.709736415622</v>
      </c>
      <c r="AA269" s="203">
        <f t="shared" si="116"/>
        <v>80895.263712938933</v>
      </c>
      <c r="AB269" s="203">
        <f t="shared" si="116"/>
        <v>84019.391516780917</v>
      </c>
      <c r="AC269" s="203">
        <f t="shared" si="116"/>
        <v>87033.632174170547</v>
      </c>
      <c r="AD269" s="203">
        <f t="shared" si="116"/>
        <v>89966.563841092604</v>
      </c>
      <c r="AE269" s="203">
        <f t="shared" si="116"/>
        <v>92818.679581094009</v>
      </c>
      <c r="AF269" s="203">
        <f t="shared" si="116"/>
        <v>95590.470348619943</v>
      </c>
      <c r="AG269" s="203">
        <f t="shared" si="116"/>
        <v>98282.424996647838</v>
      </c>
      <c r="AH269" s="217"/>
      <c r="AI269" s="124"/>
      <c r="AJ269" s="185"/>
      <c r="AL269" s="100"/>
      <c r="AM269" s="2"/>
      <c r="AN269" s="2"/>
      <c r="AO269" s="2"/>
      <c r="BC269" s="1"/>
      <c r="BD269" s="2"/>
      <c r="BE269" s="2"/>
      <c r="BF269" s="2"/>
      <c r="BG269" s="2"/>
      <c r="BH269" s="2"/>
      <c r="BI269" s="2"/>
      <c r="BJ269" s="2"/>
      <c r="BK269" s="2"/>
    </row>
    <row r="270" spans="1:63" outlineLevel="2">
      <c r="C270" s="105"/>
      <c r="D270" s="102"/>
      <c r="E270" s="102"/>
      <c r="F270" s="102"/>
      <c r="G270" s="102"/>
      <c r="H270" s="102"/>
      <c r="I270" s="102"/>
      <c r="J270" s="102"/>
      <c r="K270" s="102"/>
      <c r="L270" s="102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22"/>
      <c r="Y270" s="22"/>
      <c r="Z270" s="22"/>
      <c r="AA270" s="22"/>
      <c r="AB270" s="22"/>
      <c r="AC270" s="22"/>
      <c r="AD270" s="22"/>
      <c r="AE270" s="22"/>
      <c r="AF270" s="22"/>
      <c r="AG270" s="98"/>
      <c r="AJ270" s="185"/>
    </row>
    <row r="271" spans="1:63" s="174" customFormat="1" ht="15.5" thickBot="1">
      <c r="A271" s="200" t="s">
        <v>1256</v>
      </c>
      <c r="B271" s="201"/>
      <c r="C271" s="202">
        <f>(C39*C63+C40*C139+C42*C202+C41*C241+C43*C258)/C44</f>
        <v>0.47676016877998412</v>
      </c>
      <c r="D271" s="202">
        <f t="shared" ref="D271:AG271" si="117">(D39*D63+D40*D139+D42*D202+D41*D241+D43*D258)/D44</f>
        <v>0.4998157594377638</v>
      </c>
      <c r="E271" s="202">
        <f t="shared" si="117"/>
        <v>0.51709087809447196</v>
      </c>
      <c r="F271" s="202">
        <f t="shared" si="117"/>
        <v>0.53352825064911447</v>
      </c>
      <c r="G271" s="202">
        <f t="shared" si="117"/>
        <v>0.5487918855476287</v>
      </c>
      <c r="H271" s="202">
        <f t="shared" si="117"/>
        <v>0.56291014069866008</v>
      </c>
      <c r="I271" s="202">
        <f t="shared" si="117"/>
        <v>0.57780136135256155</v>
      </c>
      <c r="J271" s="202">
        <f t="shared" si="117"/>
        <v>0.59165040300581606</v>
      </c>
      <c r="K271" s="202">
        <f t="shared" si="117"/>
        <v>0.60447019369851451</v>
      </c>
      <c r="L271" s="202">
        <f t="shared" si="117"/>
        <v>0.61627391179329372</v>
      </c>
      <c r="M271" s="202">
        <f t="shared" si="117"/>
        <v>0.62707499737337447</v>
      </c>
      <c r="N271" s="202">
        <f t="shared" si="117"/>
        <v>0.62698838214900676</v>
      </c>
      <c r="O271" s="202">
        <f t="shared" si="117"/>
        <v>0.62632036461970531</v>
      </c>
      <c r="P271" s="202">
        <f t="shared" si="117"/>
        <v>0.6251022234519763</v>
      </c>
      <c r="Q271" s="202">
        <f t="shared" si="117"/>
        <v>0.62335154187428488</v>
      </c>
      <c r="R271" s="202">
        <f t="shared" si="117"/>
        <v>0.62109448091431052</v>
      </c>
      <c r="S271" s="202">
        <f t="shared" si="117"/>
        <v>0.61791728657026523</v>
      </c>
      <c r="T271" s="202">
        <f t="shared" si="117"/>
        <v>0.61431135033713058</v>
      </c>
      <c r="U271" s="202">
        <f t="shared" si="117"/>
        <v>0.61031062705912631</v>
      </c>
      <c r="V271" s="202">
        <f t="shared" si="117"/>
        <v>0.60595066788085961</v>
      </c>
      <c r="W271" s="202">
        <f t="shared" si="117"/>
        <v>0.60126872233215412</v>
      </c>
      <c r="X271" s="202">
        <f t="shared" si="117"/>
        <v>0.60419655792972649</v>
      </c>
      <c r="Y271" s="202">
        <f t="shared" si="117"/>
        <v>0.60641769030122694</v>
      </c>
      <c r="Z271" s="202">
        <f t="shared" si="117"/>
        <v>0.60798501862172238</v>
      </c>
      <c r="AA271" s="202">
        <f t="shared" si="117"/>
        <v>0.60891605857196385</v>
      </c>
      <c r="AB271" s="202">
        <f t="shared" si="117"/>
        <v>0.60924876185040389</v>
      </c>
      <c r="AC271" s="202">
        <f t="shared" si="117"/>
        <v>0.60917214341833115</v>
      </c>
      <c r="AD271" s="202">
        <f t="shared" si="117"/>
        <v>0.60855424858888951</v>
      </c>
      <c r="AE271" s="202">
        <f t="shared" si="117"/>
        <v>0.60743444812283343</v>
      </c>
      <c r="AF271" s="202">
        <f t="shared" si="117"/>
        <v>0.60585374969276173</v>
      </c>
      <c r="AG271" s="202">
        <f t="shared" si="117"/>
        <v>0.60385489852090568</v>
      </c>
      <c r="AJ271" s="421"/>
      <c r="AL271" s="191"/>
      <c r="AM271" s="198"/>
      <c r="AN271" s="198"/>
      <c r="AO271" s="198"/>
    </row>
    <row r="272" spans="1:63" s="174" customFormat="1" ht="16.25" thickTop="1" thickBot="1">
      <c r="A272" s="200" t="s">
        <v>452</v>
      </c>
      <c r="B272" s="201"/>
      <c r="C272" s="202">
        <f t="shared" ref="C272:AG272" si="118">(C11*C46+C120*C12+C14*C185+C237*C13+C254*C15)/C16</f>
        <v>0.18370882040382572</v>
      </c>
      <c r="D272" s="202">
        <f t="shared" si="118"/>
        <v>0.20016277671844832</v>
      </c>
      <c r="E272" s="202">
        <f t="shared" si="118"/>
        <v>0.21661673303307094</v>
      </c>
      <c r="F272" s="202">
        <f t="shared" si="118"/>
        <v>0.23307068934769359</v>
      </c>
      <c r="G272" s="202">
        <f t="shared" si="118"/>
        <v>0.24952464566231622</v>
      </c>
      <c r="H272" s="202">
        <f t="shared" si="118"/>
        <v>0.26597860197693879</v>
      </c>
      <c r="I272" s="202">
        <f t="shared" si="118"/>
        <v>0.28243255829156144</v>
      </c>
      <c r="J272" s="202">
        <f t="shared" si="118"/>
        <v>0.29888651460618398</v>
      </c>
      <c r="K272" s="202">
        <f t="shared" si="118"/>
        <v>0.31534047092080664</v>
      </c>
      <c r="L272" s="202">
        <f t="shared" si="118"/>
        <v>0.33179442723542923</v>
      </c>
      <c r="M272" s="202">
        <f t="shared" si="118"/>
        <v>0.34824838355005183</v>
      </c>
      <c r="N272" s="202">
        <f t="shared" si="118"/>
        <v>0.35930259997070713</v>
      </c>
      <c r="O272" s="202">
        <f t="shared" si="118"/>
        <v>0.37035681639136236</v>
      </c>
      <c r="P272" s="202">
        <f t="shared" si="118"/>
        <v>0.38141103281201755</v>
      </c>
      <c r="Q272" s="202">
        <f t="shared" si="118"/>
        <v>0.39246524923267279</v>
      </c>
      <c r="R272" s="202">
        <f t="shared" si="118"/>
        <v>0.40351946565332808</v>
      </c>
      <c r="S272" s="202">
        <f t="shared" si="118"/>
        <v>0.41457368207398337</v>
      </c>
      <c r="T272" s="202">
        <f t="shared" si="118"/>
        <v>0.42562789849463861</v>
      </c>
      <c r="U272" s="202">
        <f t="shared" si="118"/>
        <v>0.4366821149152938</v>
      </c>
      <c r="V272" s="202">
        <f t="shared" si="118"/>
        <v>0.44773633133594903</v>
      </c>
      <c r="W272" s="202">
        <f t="shared" si="118"/>
        <v>0.45879054775660427</v>
      </c>
      <c r="X272" s="202">
        <f t="shared" si="118"/>
        <v>0.47578917884573413</v>
      </c>
      <c r="Y272" s="202">
        <f t="shared" si="118"/>
        <v>0.49278780993486387</v>
      </c>
      <c r="Z272" s="202">
        <f t="shared" si="118"/>
        <v>0.50978644102399373</v>
      </c>
      <c r="AA272" s="202">
        <f t="shared" si="118"/>
        <v>0.52678507211312331</v>
      </c>
      <c r="AB272" s="202">
        <f t="shared" si="118"/>
        <v>0.54378370320225333</v>
      </c>
      <c r="AC272" s="202">
        <f t="shared" si="118"/>
        <v>0.56078233429138302</v>
      </c>
      <c r="AD272" s="202">
        <f t="shared" si="118"/>
        <v>0.57778096538051282</v>
      </c>
      <c r="AE272" s="202">
        <f t="shared" si="118"/>
        <v>0.59477959646964262</v>
      </c>
      <c r="AF272" s="202">
        <f t="shared" si="118"/>
        <v>0.61177822755877254</v>
      </c>
      <c r="AG272" s="202">
        <f t="shared" si="118"/>
        <v>0.62877685864790223</v>
      </c>
      <c r="AJ272" s="199"/>
      <c r="AL272" s="191"/>
      <c r="AM272" s="198"/>
      <c r="AN272" s="198"/>
      <c r="AO272" s="198"/>
    </row>
    <row r="273" spans="1:36" ht="15.5" thickTop="1">
      <c r="B273" s="121"/>
      <c r="C273" s="105"/>
      <c r="D273" s="22"/>
      <c r="E273" s="22"/>
      <c r="F273" s="22"/>
      <c r="G273" s="22"/>
      <c r="H273" s="22"/>
      <c r="I273" s="22"/>
      <c r="J273" s="22"/>
      <c r="K273" s="22"/>
      <c r="L273" s="22"/>
      <c r="M273" s="118"/>
      <c r="N273" s="102"/>
      <c r="O273" s="102"/>
      <c r="P273" s="102"/>
      <c r="Q273" s="102"/>
      <c r="R273" s="102"/>
      <c r="S273" s="102"/>
      <c r="T273" s="102"/>
      <c r="U273" s="102"/>
      <c r="V273" s="102"/>
      <c r="W273" s="118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5"/>
    </row>
    <row r="274" spans="1:36">
      <c r="A274" t="s">
        <v>1257</v>
      </c>
      <c r="B274" s="121"/>
      <c r="C274" s="203">
        <f>C260+C243+C226+C216+C206+C174+C164+C154+C144+C109+C99+C89+C79+C69</f>
        <v>607972.99627735908</v>
      </c>
      <c r="D274" s="203">
        <f t="shared" ref="D274:AG274" si="119">D260+D243+D226+D216+D206+D174+D164+D154+D144+D109+D99+D89+D79+D69</f>
        <v>627076.02157340618</v>
      </c>
      <c r="E274" s="203">
        <f t="shared" si="119"/>
        <v>642107.0740080846</v>
      </c>
      <c r="F274" s="203">
        <f t="shared" si="119"/>
        <v>656381.30903086939</v>
      </c>
      <c r="G274" s="203">
        <f t="shared" si="119"/>
        <v>668916.7340491449</v>
      </c>
      <c r="H274" s="203">
        <f t="shared" si="119"/>
        <v>679804.69186257268</v>
      </c>
      <c r="I274" s="203">
        <f t="shared" si="119"/>
        <v>688283.71227467514</v>
      </c>
      <c r="J274" s="203">
        <f t="shared" si="119"/>
        <v>695106.94810910639</v>
      </c>
      <c r="K274" s="203">
        <f t="shared" si="119"/>
        <v>700343.1296716053</v>
      </c>
      <c r="L274" s="203">
        <f t="shared" si="119"/>
        <v>704058.79098738404</v>
      </c>
      <c r="M274" s="203">
        <f t="shared" si="119"/>
        <v>706318.29087099642</v>
      </c>
      <c r="N274" s="203">
        <f t="shared" si="119"/>
        <v>692646.04202462733</v>
      </c>
      <c r="O274" s="203">
        <f t="shared" si="119"/>
        <v>678341.79458307847</v>
      </c>
      <c r="P274" s="203">
        <f t="shared" si="119"/>
        <v>663448.7758699574</v>
      </c>
      <c r="Q274" s="203">
        <f t="shared" si="119"/>
        <v>648055.53328203317</v>
      </c>
      <c r="R274" s="203">
        <f t="shared" si="119"/>
        <v>632226.71686575538</v>
      </c>
      <c r="S274" s="203">
        <f t="shared" si="119"/>
        <v>616279.95602401998</v>
      </c>
      <c r="T274" s="203">
        <f t="shared" si="119"/>
        <v>600082.77414557547</v>
      </c>
      <c r="U274" s="203">
        <f t="shared" si="119"/>
        <v>583701.49313133804</v>
      </c>
      <c r="V274" s="203">
        <f t="shared" si="119"/>
        <v>567201.09678880428</v>
      </c>
      <c r="W274" s="203">
        <f t="shared" si="119"/>
        <v>550645.24239843374</v>
      </c>
      <c r="X274" s="203">
        <f t="shared" si="119"/>
        <v>544363.51969236112</v>
      </c>
      <c r="Y274" s="203">
        <f t="shared" si="119"/>
        <v>537369.15468366398</v>
      </c>
      <c r="Z274" s="203">
        <f t="shared" si="119"/>
        <v>529632.63141068793</v>
      </c>
      <c r="AA274" s="203">
        <f t="shared" si="119"/>
        <v>521306.08599842561</v>
      </c>
      <c r="AB274" s="203">
        <f t="shared" si="119"/>
        <v>512453.49342187447</v>
      </c>
      <c r="AC274" s="203">
        <f t="shared" si="119"/>
        <v>502730.22860063403</v>
      </c>
      <c r="AD274" s="203">
        <f t="shared" si="119"/>
        <v>492531.25269173499</v>
      </c>
      <c r="AE274" s="203">
        <f t="shared" si="119"/>
        <v>481909.50920086831</v>
      </c>
      <c r="AF274" s="203">
        <f t="shared" si="119"/>
        <v>470916.09603799751</v>
      </c>
      <c r="AG274" s="203">
        <f t="shared" si="119"/>
        <v>459600.28336097673</v>
      </c>
      <c r="AI274" s="22">
        <f>(AG274/C274)^(1/30)-1</f>
        <v>-9.2824266211272155E-3</v>
      </c>
      <c r="AJ274" s="448">
        <f>AG274-C274</f>
        <v>-148372.71291638236</v>
      </c>
    </row>
    <row r="275" spans="1:36">
      <c r="A275" t="s">
        <v>1258</v>
      </c>
      <c r="B275" s="121"/>
      <c r="C275" s="203">
        <f>C274</f>
        <v>607972.99627735908</v>
      </c>
      <c r="D275" s="203">
        <f>C275*(1+$AI$275)</f>
        <v>618126.14531519089</v>
      </c>
      <c r="E275" s="203">
        <f t="shared" ref="E275:AG275" si="120">D275*(1+$AI$275)</f>
        <v>628448.85194195458</v>
      </c>
      <c r="F275" s="203">
        <f t="shared" si="120"/>
        <v>638943.94776938518</v>
      </c>
      <c r="G275" s="203">
        <f t="shared" si="120"/>
        <v>649614.31169713382</v>
      </c>
      <c r="H275" s="203">
        <f t="shared" si="120"/>
        <v>660462.87070247589</v>
      </c>
      <c r="I275" s="203">
        <f t="shared" si="120"/>
        <v>671492.6006432072</v>
      </c>
      <c r="J275" s="203">
        <f t="shared" si="120"/>
        <v>682706.52707394876</v>
      </c>
      <c r="K275" s="203">
        <f t="shared" si="120"/>
        <v>694107.72607608361</v>
      </c>
      <c r="L275" s="203">
        <f t="shared" si="120"/>
        <v>705699.32510155416</v>
      </c>
      <c r="M275" s="203">
        <f>L275*(1+$AI$275)</f>
        <v>717484.50383075012</v>
      </c>
      <c r="N275" s="203">
        <f t="shared" si="120"/>
        <v>729466.49504472362</v>
      </c>
      <c r="O275" s="203">
        <f t="shared" si="120"/>
        <v>741648.58551197045</v>
      </c>
      <c r="P275" s="203">
        <f t="shared" si="120"/>
        <v>754034.11689002032</v>
      </c>
      <c r="Q275" s="203">
        <f t="shared" si="120"/>
        <v>766626.48664208362</v>
      </c>
      <c r="R275" s="203">
        <f t="shared" si="120"/>
        <v>779429.14896900638</v>
      </c>
      <c r="S275" s="203">
        <f t="shared" si="120"/>
        <v>792445.61575678876</v>
      </c>
      <c r="T275" s="203">
        <f t="shared" si="120"/>
        <v>805679.4575399271</v>
      </c>
      <c r="U275" s="203">
        <f t="shared" si="120"/>
        <v>819134.30448084383</v>
      </c>
      <c r="V275" s="203">
        <f t="shared" si="120"/>
        <v>832813.84736567386</v>
      </c>
      <c r="W275" s="203">
        <f t="shared" si="120"/>
        <v>846721.83861668059</v>
      </c>
      <c r="X275" s="203">
        <f t="shared" si="120"/>
        <v>860862.09332157904</v>
      </c>
      <c r="Y275" s="203">
        <f t="shared" si="120"/>
        <v>875238.49028004939</v>
      </c>
      <c r="Z275" s="203">
        <f t="shared" si="120"/>
        <v>889854.97306772613</v>
      </c>
      <c r="AA275" s="203">
        <f t="shared" si="120"/>
        <v>904715.5511179571</v>
      </c>
      <c r="AB275" s="203">
        <f t="shared" si="120"/>
        <v>919824.30082162691</v>
      </c>
      <c r="AC275" s="203">
        <f t="shared" si="120"/>
        <v>935185.36664534803</v>
      </c>
      <c r="AD275" s="203">
        <f t="shared" si="120"/>
        <v>950802.96226832527</v>
      </c>
      <c r="AE275" s="203">
        <f t="shared" si="120"/>
        <v>966681.37173820625</v>
      </c>
      <c r="AF275" s="203">
        <f t="shared" si="120"/>
        <v>982824.95064623421</v>
      </c>
      <c r="AG275" s="203">
        <f t="shared" si="120"/>
        <v>999238.1273220263</v>
      </c>
      <c r="AI275" s="188">
        <v>1.67E-2</v>
      </c>
      <c r="AJ275" s="3" t="s">
        <v>599</v>
      </c>
    </row>
    <row r="276" spans="1:36">
      <c r="B276" s="47"/>
    </row>
    <row r="277" spans="1:36" s="54" customFormat="1">
      <c r="A277" s="54" t="s">
        <v>626</v>
      </c>
      <c r="B277" s="253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254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I277" s="255"/>
      <c r="AJ277" s="256"/>
    </row>
    <row r="278" spans="1:36" s="166" customFormat="1" outlineLevel="1">
      <c r="A278" s="293" t="s">
        <v>630</v>
      </c>
      <c r="B278" s="268" t="s">
        <v>126</v>
      </c>
      <c r="C278" s="561">
        <v>0.98</v>
      </c>
      <c r="D278" s="269">
        <f>-($C278-$AG278)/30+C278</f>
        <v>0.98033333333333328</v>
      </c>
      <c r="E278" s="269">
        <f t="shared" ref="E278:AF280" si="121">-($C278-$AG278)/30+D278</f>
        <v>0.98066666666666658</v>
      </c>
      <c r="F278" s="269">
        <f t="shared" si="121"/>
        <v>0.98099999999999987</v>
      </c>
      <c r="G278" s="269">
        <f t="shared" si="121"/>
        <v>0.98133333333333317</v>
      </c>
      <c r="H278" s="269">
        <f t="shared" si="121"/>
        <v>0.98166666666666647</v>
      </c>
      <c r="I278" s="269">
        <f t="shared" si="121"/>
        <v>0.98199999999999976</v>
      </c>
      <c r="J278" s="269">
        <f t="shared" si="121"/>
        <v>0.98233333333333306</v>
      </c>
      <c r="K278" s="269">
        <f t="shared" si="121"/>
        <v>0.98266666666666636</v>
      </c>
      <c r="L278" s="269">
        <f t="shared" si="121"/>
        <v>0.98299999999999965</v>
      </c>
      <c r="M278" s="269">
        <f t="shared" si="121"/>
        <v>0.98333333333333295</v>
      </c>
      <c r="N278" s="269">
        <f t="shared" si="121"/>
        <v>0.98366666666666625</v>
      </c>
      <c r="O278" s="269">
        <f t="shared" si="121"/>
        <v>0.98399999999999954</v>
      </c>
      <c r="P278" s="269">
        <f t="shared" si="121"/>
        <v>0.98433333333333284</v>
      </c>
      <c r="Q278" s="269">
        <f t="shared" si="121"/>
        <v>0.98466666666666613</v>
      </c>
      <c r="R278" s="269">
        <f t="shared" si="121"/>
        <v>0.98499999999999943</v>
      </c>
      <c r="S278" s="269">
        <f t="shared" si="121"/>
        <v>0.98533333333333273</v>
      </c>
      <c r="T278" s="269">
        <f t="shared" si="121"/>
        <v>0.98566666666666602</v>
      </c>
      <c r="U278" s="269">
        <f t="shared" si="121"/>
        <v>0.98599999999999932</v>
      </c>
      <c r="V278" s="269">
        <f t="shared" si="121"/>
        <v>0.98633333333333262</v>
      </c>
      <c r="W278" s="269">
        <f t="shared" si="121"/>
        <v>0.98666666666666591</v>
      </c>
      <c r="X278" s="269">
        <f t="shared" si="121"/>
        <v>0.98699999999999921</v>
      </c>
      <c r="Y278" s="269">
        <f t="shared" si="121"/>
        <v>0.98733333333333251</v>
      </c>
      <c r="Z278" s="269">
        <f t="shared" si="121"/>
        <v>0.9876666666666658</v>
      </c>
      <c r="AA278" s="269">
        <f t="shared" si="121"/>
        <v>0.9879999999999991</v>
      </c>
      <c r="AB278" s="269">
        <f t="shared" si="121"/>
        <v>0.9883333333333324</v>
      </c>
      <c r="AC278" s="269">
        <f t="shared" si="121"/>
        <v>0.98866666666666569</v>
      </c>
      <c r="AD278" s="269">
        <f t="shared" si="121"/>
        <v>0.98899999999999899</v>
      </c>
      <c r="AE278" s="269">
        <f t="shared" si="121"/>
        <v>0.98933333333333229</v>
      </c>
      <c r="AF278" s="269">
        <f t="shared" si="121"/>
        <v>0.98966666666666558</v>
      </c>
      <c r="AG278" s="561">
        <v>0.99</v>
      </c>
      <c r="AI278" s="270"/>
      <c r="AJ278" s="271" t="s">
        <v>1469</v>
      </c>
    </row>
    <row r="279" spans="1:36" outlineLevel="1">
      <c r="A279" s="3" t="s">
        <v>621</v>
      </c>
      <c r="B279" s="252" t="s">
        <v>126</v>
      </c>
      <c r="C279" s="563">
        <f>1-SUM(C280:C284)</f>
        <v>0.97</v>
      </c>
      <c r="D279" s="287">
        <f t="shared" ref="D279:S280" si="122">-($C279-$AG279)/30+C279</f>
        <v>0.97033333333333327</v>
      </c>
      <c r="E279" s="287">
        <f t="shared" si="122"/>
        <v>0.97066666666666657</v>
      </c>
      <c r="F279" s="287">
        <f t="shared" si="122"/>
        <v>0.97099999999999986</v>
      </c>
      <c r="G279" s="287">
        <f t="shared" si="122"/>
        <v>0.97133333333333316</v>
      </c>
      <c r="H279" s="287">
        <f t="shared" si="122"/>
        <v>0.97166666666666646</v>
      </c>
      <c r="I279" s="287">
        <f t="shared" si="122"/>
        <v>0.97199999999999975</v>
      </c>
      <c r="J279" s="287">
        <f t="shared" si="122"/>
        <v>0.97233333333333305</v>
      </c>
      <c r="K279" s="287">
        <f t="shared" si="122"/>
        <v>0.97266666666666635</v>
      </c>
      <c r="L279" s="287">
        <f t="shared" si="122"/>
        <v>0.97299999999999964</v>
      </c>
      <c r="M279" s="287">
        <f t="shared" si="122"/>
        <v>0.97333333333333294</v>
      </c>
      <c r="N279" s="287">
        <f t="shared" si="122"/>
        <v>0.97366666666666624</v>
      </c>
      <c r="O279" s="287">
        <f t="shared" si="122"/>
        <v>0.97399999999999953</v>
      </c>
      <c r="P279" s="287">
        <f t="shared" si="122"/>
        <v>0.97433333333333283</v>
      </c>
      <c r="Q279" s="287">
        <f t="shared" si="122"/>
        <v>0.97466666666666613</v>
      </c>
      <c r="R279" s="287">
        <f t="shared" si="122"/>
        <v>0.97499999999999942</v>
      </c>
      <c r="S279" s="287">
        <f t="shared" si="122"/>
        <v>0.97533333333333272</v>
      </c>
      <c r="T279" s="287">
        <f t="shared" si="121"/>
        <v>0.97566666666666602</v>
      </c>
      <c r="U279" s="287">
        <f t="shared" si="121"/>
        <v>0.97599999999999931</v>
      </c>
      <c r="V279" s="287">
        <f t="shared" si="121"/>
        <v>0.97633333333333261</v>
      </c>
      <c r="W279" s="287">
        <f t="shared" si="121"/>
        <v>0.97666666666666591</v>
      </c>
      <c r="X279" s="287">
        <f t="shared" si="121"/>
        <v>0.9769999999999992</v>
      </c>
      <c r="Y279" s="287">
        <f t="shared" si="121"/>
        <v>0.9773333333333325</v>
      </c>
      <c r="Z279" s="287">
        <f t="shared" si="121"/>
        <v>0.9776666666666658</v>
      </c>
      <c r="AA279" s="287">
        <f t="shared" si="121"/>
        <v>0.97799999999999909</v>
      </c>
      <c r="AB279" s="287">
        <f t="shared" si="121"/>
        <v>0.97833333333333239</v>
      </c>
      <c r="AC279" s="287">
        <f t="shared" si="121"/>
        <v>0.97866666666666569</v>
      </c>
      <c r="AD279" s="287">
        <f t="shared" si="121"/>
        <v>0.97899999999999898</v>
      </c>
      <c r="AE279" s="287">
        <f t="shared" si="121"/>
        <v>0.97933333333333228</v>
      </c>
      <c r="AF279" s="287">
        <f t="shared" si="121"/>
        <v>0.97966666666666558</v>
      </c>
      <c r="AG279" s="563">
        <f>1-SUM(AG280:AG284)</f>
        <v>0.98</v>
      </c>
      <c r="AI279" s="188"/>
      <c r="AJ279" s="271"/>
    </row>
    <row r="280" spans="1:36" outlineLevel="1">
      <c r="A280" s="3" t="s">
        <v>620</v>
      </c>
      <c r="B280" s="252" t="s">
        <v>126</v>
      </c>
      <c r="C280" s="562">
        <v>0.01</v>
      </c>
      <c r="D280" s="267">
        <f t="shared" si="122"/>
        <v>0.01</v>
      </c>
      <c r="E280" s="267">
        <f t="shared" si="122"/>
        <v>0.01</v>
      </c>
      <c r="F280" s="267">
        <f t="shared" si="122"/>
        <v>0.01</v>
      </c>
      <c r="G280" s="267">
        <f t="shared" si="122"/>
        <v>0.01</v>
      </c>
      <c r="H280" s="267">
        <f t="shared" si="122"/>
        <v>0.01</v>
      </c>
      <c r="I280" s="267">
        <f t="shared" si="122"/>
        <v>0.01</v>
      </c>
      <c r="J280" s="267">
        <f t="shared" si="122"/>
        <v>0.01</v>
      </c>
      <c r="K280" s="267">
        <f t="shared" si="122"/>
        <v>0.01</v>
      </c>
      <c r="L280" s="267">
        <f t="shared" si="122"/>
        <v>0.01</v>
      </c>
      <c r="M280" s="267">
        <f t="shared" si="122"/>
        <v>0.01</v>
      </c>
      <c r="N280" s="267">
        <f t="shared" si="122"/>
        <v>0.01</v>
      </c>
      <c r="O280" s="267">
        <f t="shared" si="122"/>
        <v>0.01</v>
      </c>
      <c r="P280" s="267">
        <f t="shared" si="122"/>
        <v>0.01</v>
      </c>
      <c r="Q280" s="267">
        <f t="shared" si="122"/>
        <v>0.01</v>
      </c>
      <c r="R280" s="267">
        <f t="shared" si="122"/>
        <v>0.01</v>
      </c>
      <c r="S280" s="267">
        <f t="shared" si="122"/>
        <v>0.01</v>
      </c>
      <c r="T280" s="267">
        <f t="shared" si="121"/>
        <v>0.01</v>
      </c>
      <c r="U280" s="267">
        <f t="shared" si="121"/>
        <v>0.01</v>
      </c>
      <c r="V280" s="267">
        <f t="shared" si="121"/>
        <v>0.01</v>
      </c>
      <c r="W280" s="267">
        <f t="shared" si="121"/>
        <v>0.01</v>
      </c>
      <c r="X280" s="267">
        <f t="shared" si="121"/>
        <v>0.01</v>
      </c>
      <c r="Y280" s="267">
        <f t="shared" si="121"/>
        <v>0.01</v>
      </c>
      <c r="Z280" s="267">
        <f t="shared" si="121"/>
        <v>0.01</v>
      </c>
      <c r="AA280" s="267">
        <f t="shared" si="121"/>
        <v>0.01</v>
      </c>
      <c r="AB280" s="267">
        <f t="shared" si="121"/>
        <v>0.01</v>
      </c>
      <c r="AC280" s="267">
        <f t="shared" si="121"/>
        <v>0.01</v>
      </c>
      <c r="AD280" s="267">
        <f t="shared" si="121"/>
        <v>0.01</v>
      </c>
      <c r="AE280" s="267">
        <f t="shared" si="121"/>
        <v>0.01</v>
      </c>
      <c r="AF280" s="267">
        <f t="shared" si="121"/>
        <v>0.01</v>
      </c>
      <c r="AG280" s="562">
        <v>0.01</v>
      </c>
      <c r="AI280" s="188"/>
      <c r="AJ280" s="271" t="s">
        <v>1469</v>
      </c>
    </row>
    <row r="281" spans="1:36" outlineLevel="1">
      <c r="A281" s="3" t="s">
        <v>622</v>
      </c>
      <c r="B281" s="252" t="s">
        <v>126</v>
      </c>
      <c r="C281" s="562">
        <v>0</v>
      </c>
      <c r="D281" s="267">
        <f t="shared" ref="D281:AF284" si="123">-($C281-$AG281)/30+C281</f>
        <v>0</v>
      </c>
      <c r="E281" s="267">
        <f t="shared" si="123"/>
        <v>0</v>
      </c>
      <c r="F281" s="267">
        <f t="shared" si="123"/>
        <v>0</v>
      </c>
      <c r="G281" s="267">
        <f t="shared" si="123"/>
        <v>0</v>
      </c>
      <c r="H281" s="267">
        <f t="shared" si="123"/>
        <v>0</v>
      </c>
      <c r="I281" s="267">
        <f t="shared" si="123"/>
        <v>0</v>
      </c>
      <c r="J281" s="267">
        <f t="shared" si="123"/>
        <v>0</v>
      </c>
      <c r="K281" s="267">
        <f t="shared" si="123"/>
        <v>0</v>
      </c>
      <c r="L281" s="267">
        <f t="shared" si="123"/>
        <v>0</v>
      </c>
      <c r="M281" s="267">
        <f t="shared" si="123"/>
        <v>0</v>
      </c>
      <c r="N281" s="267">
        <f t="shared" si="123"/>
        <v>0</v>
      </c>
      <c r="O281" s="267">
        <f t="shared" si="123"/>
        <v>0</v>
      </c>
      <c r="P281" s="267">
        <f t="shared" si="123"/>
        <v>0</v>
      </c>
      <c r="Q281" s="267">
        <f t="shared" si="123"/>
        <v>0</v>
      </c>
      <c r="R281" s="267">
        <f t="shared" si="123"/>
        <v>0</v>
      </c>
      <c r="S281" s="267">
        <f t="shared" si="123"/>
        <v>0</v>
      </c>
      <c r="T281" s="267">
        <f t="shared" si="123"/>
        <v>0</v>
      </c>
      <c r="U281" s="267">
        <f t="shared" si="123"/>
        <v>0</v>
      </c>
      <c r="V281" s="267">
        <f t="shared" si="123"/>
        <v>0</v>
      </c>
      <c r="W281" s="267">
        <f t="shared" si="123"/>
        <v>0</v>
      </c>
      <c r="X281" s="267">
        <f t="shared" si="123"/>
        <v>0</v>
      </c>
      <c r="Y281" s="267">
        <f t="shared" si="123"/>
        <v>0</v>
      </c>
      <c r="Z281" s="267">
        <f t="shared" si="123"/>
        <v>0</v>
      </c>
      <c r="AA281" s="267">
        <f t="shared" si="123"/>
        <v>0</v>
      </c>
      <c r="AB281" s="267">
        <f t="shared" si="123"/>
        <v>0</v>
      </c>
      <c r="AC281" s="267">
        <f t="shared" si="123"/>
        <v>0</v>
      </c>
      <c r="AD281" s="267">
        <f t="shared" si="123"/>
        <v>0</v>
      </c>
      <c r="AE281" s="267">
        <f t="shared" si="123"/>
        <v>0</v>
      </c>
      <c r="AF281" s="267">
        <f t="shared" si="123"/>
        <v>0</v>
      </c>
      <c r="AG281" s="562">
        <v>0</v>
      </c>
      <c r="AI281" s="188"/>
      <c r="AJ281" t="s">
        <v>1470</v>
      </c>
    </row>
    <row r="282" spans="1:36" outlineLevel="1">
      <c r="A282" s="3" t="s">
        <v>623</v>
      </c>
      <c r="B282" s="252" t="s">
        <v>126</v>
      </c>
      <c r="C282" s="562">
        <v>0</v>
      </c>
      <c r="D282" s="267">
        <f t="shared" si="123"/>
        <v>0</v>
      </c>
      <c r="E282" s="267">
        <f t="shared" si="123"/>
        <v>0</v>
      </c>
      <c r="F282" s="267">
        <f t="shared" si="123"/>
        <v>0</v>
      </c>
      <c r="G282" s="267">
        <f t="shared" si="123"/>
        <v>0</v>
      </c>
      <c r="H282" s="267">
        <f t="shared" si="123"/>
        <v>0</v>
      </c>
      <c r="I282" s="267">
        <f t="shared" si="123"/>
        <v>0</v>
      </c>
      <c r="J282" s="267">
        <f t="shared" si="123"/>
        <v>0</v>
      </c>
      <c r="K282" s="267">
        <f t="shared" si="123"/>
        <v>0</v>
      </c>
      <c r="L282" s="267">
        <f t="shared" si="123"/>
        <v>0</v>
      </c>
      <c r="M282" s="267">
        <f t="shared" si="123"/>
        <v>0</v>
      </c>
      <c r="N282" s="267">
        <f t="shared" si="123"/>
        <v>0</v>
      </c>
      <c r="O282" s="267">
        <f t="shared" si="123"/>
        <v>0</v>
      </c>
      <c r="P282" s="267">
        <f t="shared" si="123"/>
        <v>0</v>
      </c>
      <c r="Q282" s="267">
        <f t="shared" si="123"/>
        <v>0</v>
      </c>
      <c r="R282" s="267">
        <f t="shared" si="123"/>
        <v>0</v>
      </c>
      <c r="S282" s="267">
        <f t="shared" si="123"/>
        <v>0</v>
      </c>
      <c r="T282" s="267">
        <f t="shared" si="123"/>
        <v>0</v>
      </c>
      <c r="U282" s="267">
        <f t="shared" si="123"/>
        <v>0</v>
      </c>
      <c r="V282" s="267">
        <f t="shared" si="123"/>
        <v>0</v>
      </c>
      <c r="W282" s="267">
        <f t="shared" si="123"/>
        <v>0</v>
      </c>
      <c r="X282" s="267">
        <f t="shared" si="123"/>
        <v>0</v>
      </c>
      <c r="Y282" s="267">
        <f t="shared" si="123"/>
        <v>0</v>
      </c>
      <c r="Z282" s="267">
        <f t="shared" si="123"/>
        <v>0</v>
      </c>
      <c r="AA282" s="267">
        <f t="shared" si="123"/>
        <v>0</v>
      </c>
      <c r="AB282" s="267">
        <f t="shared" si="123"/>
        <v>0</v>
      </c>
      <c r="AC282" s="267">
        <f t="shared" si="123"/>
        <v>0</v>
      </c>
      <c r="AD282" s="267">
        <f t="shared" si="123"/>
        <v>0</v>
      </c>
      <c r="AE282" s="267">
        <f t="shared" si="123"/>
        <v>0</v>
      </c>
      <c r="AF282" s="267">
        <f t="shared" si="123"/>
        <v>0</v>
      </c>
      <c r="AG282" s="562">
        <v>0</v>
      </c>
      <c r="AI282" s="188"/>
      <c r="AJ282" t="s">
        <v>1470</v>
      </c>
    </row>
    <row r="283" spans="1:36" outlineLevel="1">
      <c r="A283" s="3" t="s">
        <v>624</v>
      </c>
      <c r="B283" s="252" t="s">
        <v>126</v>
      </c>
      <c r="C283" s="562">
        <v>1.4999999999999999E-2</v>
      </c>
      <c r="D283" s="267">
        <f t="shared" si="123"/>
        <v>1.4733333333333333E-2</v>
      </c>
      <c r="E283" s="267">
        <f t="shared" si="123"/>
        <v>1.4466666666666666E-2</v>
      </c>
      <c r="F283" s="267">
        <f t="shared" si="123"/>
        <v>1.4199999999999999E-2</v>
      </c>
      <c r="G283" s="267">
        <f t="shared" si="123"/>
        <v>1.3933333333333332E-2</v>
      </c>
      <c r="H283" s="267">
        <f t="shared" si="123"/>
        <v>1.3666666666666666E-2</v>
      </c>
      <c r="I283" s="267">
        <f t="shared" si="123"/>
        <v>1.3399999999999999E-2</v>
      </c>
      <c r="J283" s="267">
        <f t="shared" si="123"/>
        <v>1.3133333333333332E-2</v>
      </c>
      <c r="K283" s="267">
        <f t="shared" si="123"/>
        <v>1.2866666666666665E-2</v>
      </c>
      <c r="L283" s="267">
        <f t="shared" si="123"/>
        <v>1.2599999999999998E-2</v>
      </c>
      <c r="M283" s="267">
        <f t="shared" si="123"/>
        <v>1.2333333333333332E-2</v>
      </c>
      <c r="N283" s="267">
        <f t="shared" si="123"/>
        <v>1.2066666666666665E-2</v>
      </c>
      <c r="O283" s="267">
        <f t="shared" si="123"/>
        <v>1.1799999999999998E-2</v>
      </c>
      <c r="P283" s="267">
        <f t="shared" si="123"/>
        <v>1.1533333333333331E-2</v>
      </c>
      <c r="Q283" s="267">
        <f t="shared" si="123"/>
        <v>1.1266666666666664E-2</v>
      </c>
      <c r="R283" s="267">
        <f t="shared" si="123"/>
        <v>1.0999999999999998E-2</v>
      </c>
      <c r="S283" s="267">
        <f t="shared" si="123"/>
        <v>1.0733333333333331E-2</v>
      </c>
      <c r="T283" s="267">
        <f t="shared" si="123"/>
        <v>1.0466666666666664E-2</v>
      </c>
      <c r="U283" s="267">
        <f t="shared" si="123"/>
        <v>1.0199999999999997E-2</v>
      </c>
      <c r="V283" s="267">
        <f t="shared" si="123"/>
        <v>9.9333333333333305E-3</v>
      </c>
      <c r="W283" s="267">
        <f t="shared" si="123"/>
        <v>9.6666666666666637E-3</v>
      </c>
      <c r="X283" s="267">
        <f t="shared" si="123"/>
        <v>9.3999999999999969E-3</v>
      </c>
      <c r="Y283" s="267">
        <f t="shared" si="123"/>
        <v>9.1333333333333301E-3</v>
      </c>
      <c r="Z283" s="267">
        <f t="shared" si="123"/>
        <v>8.8666666666666633E-3</v>
      </c>
      <c r="AA283" s="267">
        <f t="shared" si="123"/>
        <v>8.5999999999999965E-3</v>
      </c>
      <c r="AB283" s="267">
        <f t="shared" si="123"/>
        <v>8.3333333333333297E-3</v>
      </c>
      <c r="AC283" s="267">
        <f t="shared" si="123"/>
        <v>8.066666666666663E-3</v>
      </c>
      <c r="AD283" s="267">
        <f t="shared" si="123"/>
        <v>7.7999999999999962E-3</v>
      </c>
      <c r="AE283" s="267">
        <f t="shared" si="123"/>
        <v>7.5333333333333294E-3</v>
      </c>
      <c r="AF283" s="267">
        <f t="shared" si="123"/>
        <v>7.2666666666666626E-3</v>
      </c>
      <c r="AG283" s="562">
        <v>7.0000000000000001E-3</v>
      </c>
      <c r="AI283" s="188"/>
      <c r="AJ283" t="s">
        <v>1470</v>
      </c>
    </row>
    <row r="284" spans="1:36" outlineLevel="1">
      <c r="A284" s="3" t="s">
        <v>625</v>
      </c>
      <c r="B284" s="252" t="s">
        <v>126</v>
      </c>
      <c r="C284" s="562">
        <v>5.0000000000000001E-3</v>
      </c>
      <c r="D284" s="267">
        <f t="shared" si="123"/>
        <v>4.9333333333333338E-3</v>
      </c>
      <c r="E284" s="267">
        <f t="shared" si="123"/>
        <v>4.8666666666666676E-3</v>
      </c>
      <c r="F284" s="267">
        <f t="shared" si="123"/>
        <v>4.8000000000000013E-3</v>
      </c>
      <c r="G284" s="267">
        <f t="shared" si="123"/>
        <v>4.7333333333333351E-3</v>
      </c>
      <c r="H284" s="267">
        <f t="shared" si="123"/>
        <v>4.6666666666666688E-3</v>
      </c>
      <c r="I284" s="267">
        <f t="shared" si="123"/>
        <v>4.6000000000000025E-3</v>
      </c>
      <c r="J284" s="267">
        <f t="shared" si="123"/>
        <v>4.5333333333333363E-3</v>
      </c>
      <c r="K284" s="267">
        <f t="shared" si="123"/>
        <v>4.46666666666667E-3</v>
      </c>
      <c r="L284" s="267">
        <f t="shared" si="123"/>
        <v>4.4000000000000037E-3</v>
      </c>
      <c r="M284" s="267">
        <f t="shared" si="123"/>
        <v>4.3333333333333375E-3</v>
      </c>
      <c r="N284" s="267">
        <f t="shared" si="123"/>
        <v>4.2666666666666712E-3</v>
      </c>
      <c r="O284" s="267">
        <f t="shared" si="123"/>
        <v>4.2000000000000049E-3</v>
      </c>
      <c r="P284" s="267">
        <f t="shared" si="123"/>
        <v>4.1333333333333387E-3</v>
      </c>
      <c r="Q284" s="267">
        <f t="shared" si="123"/>
        <v>4.0666666666666724E-3</v>
      </c>
      <c r="R284" s="267">
        <f t="shared" si="123"/>
        <v>4.0000000000000062E-3</v>
      </c>
      <c r="S284" s="267">
        <f t="shared" si="123"/>
        <v>3.9333333333333399E-3</v>
      </c>
      <c r="T284" s="267">
        <f t="shared" si="123"/>
        <v>3.8666666666666732E-3</v>
      </c>
      <c r="U284" s="267">
        <f t="shared" si="123"/>
        <v>3.8000000000000065E-3</v>
      </c>
      <c r="V284" s="267">
        <f t="shared" si="123"/>
        <v>3.7333333333333398E-3</v>
      </c>
      <c r="W284" s="267">
        <f t="shared" si="123"/>
        <v>3.6666666666666731E-3</v>
      </c>
      <c r="X284" s="267">
        <f t="shared" si="123"/>
        <v>3.6000000000000064E-3</v>
      </c>
      <c r="Y284" s="267">
        <f t="shared" si="123"/>
        <v>3.5333333333333397E-3</v>
      </c>
      <c r="Z284" s="267">
        <f t="shared" si="123"/>
        <v>3.466666666666673E-3</v>
      </c>
      <c r="AA284" s="267">
        <f t="shared" si="123"/>
        <v>3.4000000000000063E-3</v>
      </c>
      <c r="AB284" s="267">
        <f t="shared" si="123"/>
        <v>3.3333333333333396E-3</v>
      </c>
      <c r="AC284" s="267">
        <f t="shared" si="123"/>
        <v>3.2666666666666729E-3</v>
      </c>
      <c r="AD284" s="267">
        <f t="shared" si="123"/>
        <v>3.2000000000000062E-3</v>
      </c>
      <c r="AE284" s="267">
        <f t="shared" si="123"/>
        <v>3.1333333333333395E-3</v>
      </c>
      <c r="AF284" s="267">
        <f t="shared" si="123"/>
        <v>3.0666666666666728E-3</v>
      </c>
      <c r="AG284" s="562">
        <v>3.0000000000000001E-3</v>
      </c>
      <c r="AI284" s="188"/>
      <c r="AJ284" t="s">
        <v>1470</v>
      </c>
    </row>
    <row r="285" spans="1:36" s="54" customFormat="1" outlineLevel="1">
      <c r="A285" s="256" t="s">
        <v>627</v>
      </c>
      <c r="B285" s="253"/>
      <c r="C285" s="254"/>
      <c r="D285" s="254"/>
      <c r="E285" s="254"/>
      <c r="F285" s="254"/>
      <c r="G285" s="254"/>
      <c r="H285" s="254"/>
      <c r="I285" s="254"/>
      <c r="J285" s="254"/>
      <c r="K285" s="254"/>
      <c r="L285" s="254"/>
      <c r="M285" s="254"/>
      <c r="N285" s="254"/>
      <c r="O285" s="254"/>
      <c r="P285" s="254"/>
      <c r="Q285" s="254"/>
      <c r="R285" s="254"/>
      <c r="S285" s="254"/>
      <c r="T285" s="254"/>
      <c r="U285" s="254"/>
      <c r="V285" s="254"/>
      <c r="W285" s="254"/>
      <c r="X285" s="254"/>
      <c r="Y285" s="254"/>
      <c r="Z285" s="254"/>
      <c r="AA285" s="254"/>
      <c r="AB285" s="254"/>
      <c r="AC285" s="254"/>
      <c r="AD285" s="254"/>
      <c r="AE285" s="254"/>
      <c r="AF285" s="254"/>
      <c r="AG285" s="254"/>
      <c r="AI285" s="255"/>
      <c r="AJ285" s="256"/>
    </row>
    <row r="286" spans="1:36" s="54" customFormat="1" outlineLevel="1">
      <c r="A286" s="257" t="s">
        <v>656</v>
      </c>
      <c r="B286" s="258" t="s">
        <v>126</v>
      </c>
      <c r="C286" s="563">
        <f>C278</f>
        <v>0.98</v>
      </c>
      <c r="D286" s="287">
        <f>-($C286-$AG286)/30+C286</f>
        <v>0.98033333333333328</v>
      </c>
      <c r="E286" s="287">
        <f t="shared" ref="E286:AF287" si="124">-($C286-$AG286)/30+D286</f>
        <v>0.98066666666666658</v>
      </c>
      <c r="F286" s="287">
        <f t="shared" si="124"/>
        <v>0.98099999999999987</v>
      </c>
      <c r="G286" s="287">
        <f t="shared" si="124"/>
        <v>0.98133333333333317</v>
      </c>
      <c r="H286" s="287">
        <f t="shared" si="124"/>
        <v>0.98166666666666647</v>
      </c>
      <c r="I286" s="287">
        <f t="shared" si="124"/>
        <v>0.98199999999999976</v>
      </c>
      <c r="J286" s="287">
        <f t="shared" si="124"/>
        <v>0.98233333333333306</v>
      </c>
      <c r="K286" s="287">
        <f t="shared" si="124"/>
        <v>0.98266666666666636</v>
      </c>
      <c r="L286" s="287">
        <f t="shared" si="124"/>
        <v>0.98299999999999965</v>
      </c>
      <c r="M286" s="287">
        <f t="shared" si="124"/>
        <v>0.98333333333333295</v>
      </c>
      <c r="N286" s="287">
        <f t="shared" si="124"/>
        <v>0.98366666666666625</v>
      </c>
      <c r="O286" s="287">
        <f t="shared" si="124"/>
        <v>0.98399999999999954</v>
      </c>
      <c r="P286" s="287">
        <f t="shared" si="124"/>
        <v>0.98433333333333284</v>
      </c>
      <c r="Q286" s="287">
        <f t="shared" si="124"/>
        <v>0.98466666666666613</v>
      </c>
      <c r="R286" s="287">
        <f t="shared" si="124"/>
        <v>0.98499999999999943</v>
      </c>
      <c r="S286" s="287">
        <f t="shared" si="124"/>
        <v>0.98533333333333273</v>
      </c>
      <c r="T286" s="287">
        <f t="shared" si="124"/>
        <v>0.98566666666666602</v>
      </c>
      <c r="U286" s="287">
        <f t="shared" si="124"/>
        <v>0.98599999999999932</v>
      </c>
      <c r="V286" s="287">
        <f t="shared" si="124"/>
        <v>0.98633333333333262</v>
      </c>
      <c r="W286" s="287">
        <f t="shared" si="124"/>
        <v>0.98666666666666591</v>
      </c>
      <c r="X286" s="287">
        <f t="shared" si="124"/>
        <v>0.98699999999999921</v>
      </c>
      <c r="Y286" s="287">
        <f t="shared" si="124"/>
        <v>0.98733333333333251</v>
      </c>
      <c r="Z286" s="287">
        <f t="shared" si="124"/>
        <v>0.9876666666666658</v>
      </c>
      <c r="AA286" s="287">
        <f t="shared" si="124"/>
        <v>0.9879999999999991</v>
      </c>
      <c r="AB286" s="287">
        <f t="shared" si="124"/>
        <v>0.9883333333333324</v>
      </c>
      <c r="AC286" s="287">
        <f t="shared" si="124"/>
        <v>0.98866666666666569</v>
      </c>
      <c r="AD286" s="287">
        <f t="shared" si="124"/>
        <v>0.98899999999999899</v>
      </c>
      <c r="AE286" s="287">
        <f t="shared" si="124"/>
        <v>0.98933333333333229</v>
      </c>
      <c r="AF286" s="287">
        <f t="shared" si="124"/>
        <v>0.98966666666666558</v>
      </c>
      <c r="AG286" s="563">
        <f>AG278</f>
        <v>0.99</v>
      </c>
      <c r="AI286" s="255"/>
      <c r="AJ286" s="271" t="s">
        <v>1469</v>
      </c>
    </row>
    <row r="287" spans="1:36" s="54" customFormat="1" outlineLevel="1">
      <c r="A287" s="257" t="s">
        <v>667</v>
      </c>
      <c r="B287" s="258" t="s">
        <v>126</v>
      </c>
      <c r="C287" s="563">
        <v>1</v>
      </c>
      <c r="D287" s="287">
        <f>-($C287-$AG287)/30+C287</f>
        <v>1</v>
      </c>
      <c r="E287" s="287">
        <f t="shared" si="124"/>
        <v>1</v>
      </c>
      <c r="F287" s="287">
        <f t="shared" si="124"/>
        <v>1</v>
      </c>
      <c r="G287" s="287">
        <f t="shared" si="124"/>
        <v>1</v>
      </c>
      <c r="H287" s="287">
        <f t="shared" si="124"/>
        <v>1</v>
      </c>
      <c r="I287" s="287">
        <f t="shared" si="124"/>
        <v>1</v>
      </c>
      <c r="J287" s="287">
        <f t="shared" si="124"/>
        <v>1</v>
      </c>
      <c r="K287" s="287">
        <f t="shared" si="124"/>
        <v>1</v>
      </c>
      <c r="L287" s="287">
        <f t="shared" si="124"/>
        <v>1</v>
      </c>
      <c r="M287" s="287">
        <f t="shared" si="124"/>
        <v>1</v>
      </c>
      <c r="N287" s="287">
        <f t="shared" si="124"/>
        <v>1</v>
      </c>
      <c r="O287" s="287">
        <f t="shared" si="124"/>
        <v>1</v>
      </c>
      <c r="P287" s="287">
        <f t="shared" si="124"/>
        <v>1</v>
      </c>
      <c r="Q287" s="287">
        <f t="shared" si="124"/>
        <v>1</v>
      </c>
      <c r="R287" s="287">
        <f t="shared" si="124"/>
        <v>1</v>
      </c>
      <c r="S287" s="287">
        <f t="shared" si="124"/>
        <v>1</v>
      </c>
      <c r="T287" s="287">
        <f t="shared" si="124"/>
        <v>1</v>
      </c>
      <c r="U287" s="287">
        <f t="shared" si="124"/>
        <v>1</v>
      </c>
      <c r="V287" s="287">
        <f t="shared" si="124"/>
        <v>1</v>
      </c>
      <c r="W287" s="287">
        <f t="shared" si="124"/>
        <v>1</v>
      </c>
      <c r="X287" s="287">
        <f t="shared" si="124"/>
        <v>1</v>
      </c>
      <c r="Y287" s="287">
        <f t="shared" si="124"/>
        <v>1</v>
      </c>
      <c r="Z287" s="287">
        <f t="shared" si="124"/>
        <v>1</v>
      </c>
      <c r="AA287" s="287">
        <f t="shared" si="124"/>
        <v>1</v>
      </c>
      <c r="AB287" s="287">
        <f t="shared" si="124"/>
        <v>1</v>
      </c>
      <c r="AC287" s="287">
        <f t="shared" si="124"/>
        <v>1</v>
      </c>
      <c r="AD287" s="287">
        <f t="shared" si="124"/>
        <v>1</v>
      </c>
      <c r="AE287" s="287">
        <f t="shared" si="124"/>
        <v>1</v>
      </c>
      <c r="AF287" s="287">
        <f t="shared" si="124"/>
        <v>1</v>
      </c>
      <c r="AG287" s="563">
        <v>1</v>
      </c>
      <c r="AI287" s="255"/>
      <c r="AJ287" t="s">
        <v>1470</v>
      </c>
    </row>
    <row r="288" spans="1:36" s="58" customFormat="1" outlineLevel="1">
      <c r="A288" s="261" t="s">
        <v>668</v>
      </c>
      <c r="B288" s="262" t="s">
        <v>126</v>
      </c>
      <c r="C288" s="289">
        <f>1-C287</f>
        <v>0</v>
      </c>
      <c r="D288" s="289">
        <f t="shared" ref="D288:AG288" si="125">1-D287</f>
        <v>0</v>
      </c>
      <c r="E288" s="289">
        <f t="shared" si="125"/>
        <v>0</v>
      </c>
      <c r="F288" s="289">
        <f t="shared" si="125"/>
        <v>0</v>
      </c>
      <c r="G288" s="289">
        <f t="shared" si="125"/>
        <v>0</v>
      </c>
      <c r="H288" s="289">
        <f t="shared" si="125"/>
        <v>0</v>
      </c>
      <c r="I288" s="289">
        <f t="shared" si="125"/>
        <v>0</v>
      </c>
      <c r="J288" s="289">
        <f t="shared" si="125"/>
        <v>0</v>
      </c>
      <c r="K288" s="289">
        <f t="shared" si="125"/>
        <v>0</v>
      </c>
      <c r="L288" s="289">
        <f t="shared" si="125"/>
        <v>0</v>
      </c>
      <c r="M288" s="289">
        <f t="shared" si="125"/>
        <v>0</v>
      </c>
      <c r="N288" s="289">
        <f t="shared" si="125"/>
        <v>0</v>
      </c>
      <c r="O288" s="289">
        <f t="shared" si="125"/>
        <v>0</v>
      </c>
      <c r="P288" s="289">
        <f t="shared" si="125"/>
        <v>0</v>
      </c>
      <c r="Q288" s="289">
        <f t="shared" si="125"/>
        <v>0</v>
      </c>
      <c r="R288" s="289">
        <f t="shared" si="125"/>
        <v>0</v>
      </c>
      <c r="S288" s="289">
        <f t="shared" si="125"/>
        <v>0</v>
      </c>
      <c r="T288" s="289">
        <f t="shared" si="125"/>
        <v>0</v>
      </c>
      <c r="U288" s="289">
        <f t="shared" si="125"/>
        <v>0</v>
      </c>
      <c r="V288" s="289">
        <f t="shared" si="125"/>
        <v>0</v>
      </c>
      <c r="W288" s="289">
        <f t="shared" si="125"/>
        <v>0</v>
      </c>
      <c r="X288" s="289">
        <f t="shared" si="125"/>
        <v>0</v>
      </c>
      <c r="Y288" s="289">
        <f t="shared" si="125"/>
        <v>0</v>
      </c>
      <c r="Z288" s="289">
        <f t="shared" si="125"/>
        <v>0</v>
      </c>
      <c r="AA288" s="289">
        <f t="shared" si="125"/>
        <v>0</v>
      </c>
      <c r="AB288" s="289">
        <f t="shared" si="125"/>
        <v>0</v>
      </c>
      <c r="AC288" s="289">
        <f t="shared" si="125"/>
        <v>0</v>
      </c>
      <c r="AD288" s="289">
        <f t="shared" si="125"/>
        <v>0</v>
      </c>
      <c r="AE288" s="289">
        <f t="shared" si="125"/>
        <v>0</v>
      </c>
      <c r="AF288" s="289">
        <f t="shared" si="125"/>
        <v>0</v>
      </c>
      <c r="AG288" s="289">
        <f t="shared" si="125"/>
        <v>0</v>
      </c>
      <c r="AI288" s="291"/>
      <c r="AJ288" s="290"/>
    </row>
    <row r="289" spans="1:36" s="1" customFormat="1" outlineLevel="1">
      <c r="A289" t="s">
        <v>649</v>
      </c>
      <c r="B289" s="252" t="s">
        <v>126</v>
      </c>
      <c r="C289" s="562">
        <v>1</v>
      </c>
      <c r="D289" s="267">
        <f t="shared" ref="D289:S304" si="126">-($C289-$AG289)/30+C289</f>
        <v>1</v>
      </c>
      <c r="E289" s="267">
        <f t="shared" si="126"/>
        <v>1</v>
      </c>
      <c r="F289" s="267">
        <f t="shared" si="126"/>
        <v>1</v>
      </c>
      <c r="G289" s="267">
        <f t="shared" si="126"/>
        <v>1</v>
      </c>
      <c r="H289" s="267">
        <f t="shared" si="126"/>
        <v>1</v>
      </c>
      <c r="I289" s="267">
        <f t="shared" si="126"/>
        <v>1</v>
      </c>
      <c r="J289" s="267">
        <f t="shared" si="126"/>
        <v>1</v>
      </c>
      <c r="K289" s="267">
        <f t="shared" si="126"/>
        <v>1</v>
      </c>
      <c r="L289" s="267">
        <f t="shared" si="126"/>
        <v>1</v>
      </c>
      <c r="M289" s="267">
        <f t="shared" si="126"/>
        <v>1</v>
      </c>
      <c r="N289" s="267">
        <f t="shared" si="126"/>
        <v>1</v>
      </c>
      <c r="O289" s="267">
        <f t="shared" si="126"/>
        <v>1</v>
      </c>
      <c r="P289" s="267">
        <f t="shared" si="126"/>
        <v>1</v>
      </c>
      <c r="Q289" s="267">
        <f t="shared" si="126"/>
        <v>1</v>
      </c>
      <c r="R289" s="267">
        <f t="shared" si="126"/>
        <v>1</v>
      </c>
      <c r="S289" s="267">
        <f t="shared" si="126"/>
        <v>1</v>
      </c>
      <c r="T289" s="267">
        <f t="shared" ref="T289:AF303" si="127">-($C289-$AG289)/30+S289</f>
        <v>1</v>
      </c>
      <c r="U289" s="267">
        <f t="shared" si="127"/>
        <v>1</v>
      </c>
      <c r="V289" s="267">
        <f t="shared" si="127"/>
        <v>1</v>
      </c>
      <c r="W289" s="267">
        <f t="shared" si="127"/>
        <v>1</v>
      </c>
      <c r="X289" s="267">
        <f t="shared" si="127"/>
        <v>1</v>
      </c>
      <c r="Y289" s="267">
        <f t="shared" si="127"/>
        <v>1</v>
      </c>
      <c r="Z289" s="267">
        <f t="shared" si="127"/>
        <v>1</v>
      </c>
      <c r="AA289" s="267">
        <f t="shared" si="127"/>
        <v>1</v>
      </c>
      <c r="AB289" s="267">
        <f t="shared" si="127"/>
        <v>1</v>
      </c>
      <c r="AC289" s="267">
        <f t="shared" si="127"/>
        <v>1</v>
      </c>
      <c r="AD289" s="267">
        <f t="shared" si="127"/>
        <v>1</v>
      </c>
      <c r="AE289" s="267">
        <f t="shared" si="127"/>
        <v>1</v>
      </c>
      <c r="AF289" s="267">
        <f t="shared" si="127"/>
        <v>1</v>
      </c>
      <c r="AG289" s="562">
        <v>1</v>
      </c>
      <c r="AI289" s="266"/>
      <c r="AJ289" s="185"/>
    </row>
    <row r="290" spans="1:36" s="1" customFormat="1" outlineLevel="1">
      <c r="A290" t="s">
        <v>655</v>
      </c>
      <c r="B290" s="252" t="s">
        <v>126</v>
      </c>
      <c r="C290" s="562">
        <v>0</v>
      </c>
      <c r="D290" s="267">
        <f t="shared" si="126"/>
        <v>0</v>
      </c>
      <c r="E290" s="267">
        <f t="shared" si="126"/>
        <v>0</v>
      </c>
      <c r="F290" s="267">
        <f t="shared" si="126"/>
        <v>0</v>
      </c>
      <c r="G290" s="267">
        <f t="shared" si="126"/>
        <v>0</v>
      </c>
      <c r="H290" s="267">
        <f t="shared" si="126"/>
        <v>0</v>
      </c>
      <c r="I290" s="267">
        <f t="shared" si="126"/>
        <v>0</v>
      </c>
      <c r="J290" s="267">
        <f t="shared" si="126"/>
        <v>0</v>
      </c>
      <c r="K290" s="267">
        <f t="shared" si="126"/>
        <v>0</v>
      </c>
      <c r="L290" s="267">
        <f t="shared" si="126"/>
        <v>0</v>
      </c>
      <c r="M290" s="267">
        <f t="shared" si="126"/>
        <v>0</v>
      </c>
      <c r="N290" s="267">
        <f t="shared" si="126"/>
        <v>0</v>
      </c>
      <c r="O290" s="267">
        <f t="shared" si="126"/>
        <v>0</v>
      </c>
      <c r="P290" s="267">
        <f t="shared" si="126"/>
        <v>0</v>
      </c>
      <c r="Q290" s="267">
        <f t="shared" si="126"/>
        <v>0</v>
      </c>
      <c r="R290" s="267">
        <f t="shared" si="126"/>
        <v>0</v>
      </c>
      <c r="S290" s="267">
        <f t="shared" si="126"/>
        <v>0</v>
      </c>
      <c r="T290" s="267">
        <f t="shared" si="127"/>
        <v>0</v>
      </c>
      <c r="U290" s="267">
        <f t="shared" si="127"/>
        <v>0</v>
      </c>
      <c r="V290" s="267">
        <f t="shared" si="127"/>
        <v>0</v>
      </c>
      <c r="W290" s="267">
        <f t="shared" si="127"/>
        <v>0</v>
      </c>
      <c r="X290" s="267">
        <f t="shared" si="127"/>
        <v>0</v>
      </c>
      <c r="Y290" s="267">
        <f t="shared" si="127"/>
        <v>0</v>
      </c>
      <c r="Z290" s="267">
        <f t="shared" si="127"/>
        <v>0</v>
      </c>
      <c r="AA290" s="267">
        <f t="shared" si="127"/>
        <v>0</v>
      </c>
      <c r="AB290" s="267">
        <f t="shared" si="127"/>
        <v>0</v>
      </c>
      <c r="AC290" s="267">
        <f t="shared" si="127"/>
        <v>0</v>
      </c>
      <c r="AD290" s="267">
        <f t="shared" si="127"/>
        <v>0</v>
      </c>
      <c r="AE290" s="267">
        <f t="shared" si="127"/>
        <v>0</v>
      </c>
      <c r="AF290" s="267">
        <f t="shared" si="127"/>
        <v>0</v>
      </c>
      <c r="AG290" s="562">
        <v>0</v>
      </c>
      <c r="AI290" s="380" t="s">
        <v>777</v>
      </c>
      <c r="AJ290" s="185" t="s">
        <v>1471</v>
      </c>
    </row>
    <row r="291" spans="1:36" s="1" customFormat="1" outlineLevel="1">
      <c r="A291" t="s">
        <v>650</v>
      </c>
      <c r="B291" s="252" t="s">
        <v>126</v>
      </c>
      <c r="C291" s="246">
        <v>0.15</v>
      </c>
      <c r="D291" s="267">
        <f t="shared" si="126"/>
        <v>0.15633333333333332</v>
      </c>
      <c r="E291" s="267">
        <f t="shared" si="126"/>
        <v>0.16266666666666665</v>
      </c>
      <c r="F291" s="267">
        <f t="shared" si="126"/>
        <v>0.16899999999999998</v>
      </c>
      <c r="G291" s="267">
        <f t="shared" si="126"/>
        <v>0.17533333333333331</v>
      </c>
      <c r="H291" s="267">
        <f t="shared" si="126"/>
        <v>0.18166666666666664</v>
      </c>
      <c r="I291" s="267">
        <f t="shared" si="126"/>
        <v>0.18799999999999997</v>
      </c>
      <c r="J291" s="267">
        <f t="shared" si="126"/>
        <v>0.1943333333333333</v>
      </c>
      <c r="K291" s="267">
        <f t="shared" si="126"/>
        <v>0.20066666666666663</v>
      </c>
      <c r="L291" s="267">
        <f t="shared" si="126"/>
        <v>0.20699999999999996</v>
      </c>
      <c r="M291" s="267">
        <f t="shared" si="126"/>
        <v>0.21333333333333329</v>
      </c>
      <c r="N291" s="267">
        <f t="shared" si="126"/>
        <v>0.21966666666666662</v>
      </c>
      <c r="O291" s="267">
        <f t="shared" si="126"/>
        <v>0.22599999999999995</v>
      </c>
      <c r="P291" s="267">
        <f t="shared" si="126"/>
        <v>0.23233333333333328</v>
      </c>
      <c r="Q291" s="267">
        <f t="shared" si="126"/>
        <v>0.23866666666666661</v>
      </c>
      <c r="R291" s="267">
        <f t="shared" si="126"/>
        <v>0.24499999999999994</v>
      </c>
      <c r="S291" s="267">
        <f t="shared" si="126"/>
        <v>0.2513333333333333</v>
      </c>
      <c r="T291" s="267">
        <f t="shared" si="127"/>
        <v>0.25766666666666665</v>
      </c>
      <c r="U291" s="267">
        <f t="shared" si="127"/>
        <v>0.26400000000000001</v>
      </c>
      <c r="V291" s="267">
        <f t="shared" si="127"/>
        <v>0.27033333333333337</v>
      </c>
      <c r="W291" s="267">
        <f t="shared" si="127"/>
        <v>0.27666666666666673</v>
      </c>
      <c r="X291" s="267">
        <f t="shared" si="127"/>
        <v>0.28300000000000008</v>
      </c>
      <c r="Y291" s="267">
        <f t="shared" si="127"/>
        <v>0.28933333333333344</v>
      </c>
      <c r="Z291" s="267">
        <f t="shared" si="127"/>
        <v>0.2956666666666668</v>
      </c>
      <c r="AA291" s="267">
        <f t="shared" si="127"/>
        <v>0.30200000000000016</v>
      </c>
      <c r="AB291" s="267">
        <f t="shared" si="127"/>
        <v>0.30833333333333351</v>
      </c>
      <c r="AC291" s="267">
        <f t="shared" si="127"/>
        <v>0.31466666666666687</v>
      </c>
      <c r="AD291" s="267">
        <f t="shared" si="127"/>
        <v>0.32100000000000023</v>
      </c>
      <c r="AE291" s="267">
        <f t="shared" si="127"/>
        <v>0.32733333333333359</v>
      </c>
      <c r="AF291" s="267">
        <f t="shared" si="127"/>
        <v>0.33366666666666694</v>
      </c>
      <c r="AG291" s="246">
        <v>0.34</v>
      </c>
      <c r="AI291" s="266"/>
      <c r="AJ291" t="s">
        <v>1470</v>
      </c>
    </row>
    <row r="292" spans="1:36" s="1" customFormat="1" outlineLevel="1">
      <c r="A292" t="s">
        <v>651</v>
      </c>
      <c r="B292" s="252" t="s">
        <v>126</v>
      </c>
      <c r="C292" s="267">
        <f>1-C291</f>
        <v>0.85</v>
      </c>
      <c r="D292" s="267">
        <f t="shared" si="126"/>
        <v>0.84366666666666668</v>
      </c>
      <c r="E292" s="267">
        <f t="shared" si="126"/>
        <v>0.83733333333333337</v>
      </c>
      <c r="F292" s="267">
        <f t="shared" si="126"/>
        <v>0.83100000000000007</v>
      </c>
      <c r="G292" s="267">
        <f t="shared" si="126"/>
        <v>0.82466666666666677</v>
      </c>
      <c r="H292" s="267">
        <f t="shared" si="126"/>
        <v>0.81833333333333347</v>
      </c>
      <c r="I292" s="267">
        <f t="shared" si="126"/>
        <v>0.81200000000000017</v>
      </c>
      <c r="J292" s="267">
        <f t="shared" si="126"/>
        <v>0.80566666666666686</v>
      </c>
      <c r="K292" s="267">
        <f t="shared" si="126"/>
        <v>0.79933333333333356</v>
      </c>
      <c r="L292" s="267">
        <f t="shared" si="126"/>
        <v>0.79300000000000026</v>
      </c>
      <c r="M292" s="267">
        <f t="shared" si="126"/>
        <v>0.78666666666666696</v>
      </c>
      <c r="N292" s="267">
        <f t="shared" si="126"/>
        <v>0.78033333333333366</v>
      </c>
      <c r="O292" s="267">
        <f t="shared" si="126"/>
        <v>0.77400000000000035</v>
      </c>
      <c r="P292" s="267">
        <f t="shared" si="126"/>
        <v>0.76766666666666705</v>
      </c>
      <c r="Q292" s="267">
        <f t="shared" si="126"/>
        <v>0.76133333333333375</v>
      </c>
      <c r="R292" s="267">
        <f t="shared" si="126"/>
        <v>0.75500000000000045</v>
      </c>
      <c r="S292" s="267">
        <f t="shared" si="126"/>
        <v>0.74866666666666715</v>
      </c>
      <c r="T292" s="267">
        <f t="shared" si="127"/>
        <v>0.74233333333333384</v>
      </c>
      <c r="U292" s="267">
        <f t="shared" si="127"/>
        <v>0.73600000000000054</v>
      </c>
      <c r="V292" s="267">
        <f t="shared" si="127"/>
        <v>0.72966666666666724</v>
      </c>
      <c r="W292" s="267">
        <f t="shared" si="127"/>
        <v>0.72333333333333394</v>
      </c>
      <c r="X292" s="267">
        <f t="shared" si="127"/>
        <v>0.71700000000000064</v>
      </c>
      <c r="Y292" s="267">
        <f t="shared" si="127"/>
        <v>0.71066666666666733</v>
      </c>
      <c r="Z292" s="267">
        <f t="shared" si="127"/>
        <v>0.70433333333333403</v>
      </c>
      <c r="AA292" s="267">
        <f t="shared" si="127"/>
        <v>0.69800000000000073</v>
      </c>
      <c r="AB292" s="267">
        <f t="shared" si="127"/>
        <v>0.69166666666666743</v>
      </c>
      <c r="AC292" s="267">
        <f t="shared" si="127"/>
        <v>0.68533333333333413</v>
      </c>
      <c r="AD292" s="267">
        <f t="shared" si="127"/>
        <v>0.67900000000000083</v>
      </c>
      <c r="AE292" s="267">
        <f t="shared" si="127"/>
        <v>0.67266666666666752</v>
      </c>
      <c r="AF292" s="267">
        <f t="shared" si="127"/>
        <v>0.66633333333333422</v>
      </c>
      <c r="AG292" s="267">
        <f>1-AG291</f>
        <v>0.65999999999999992</v>
      </c>
      <c r="AI292" s="266"/>
      <c r="AJ292" t="s">
        <v>1470</v>
      </c>
    </row>
    <row r="293" spans="1:36" s="1" customFormat="1" outlineLevel="1">
      <c r="A293" t="s">
        <v>654</v>
      </c>
      <c r="B293" s="252" t="s">
        <v>126</v>
      </c>
      <c r="C293" s="246">
        <v>0</v>
      </c>
      <c r="D293" s="267">
        <f t="shared" si="126"/>
        <v>0</v>
      </c>
      <c r="E293" s="267">
        <f t="shared" si="126"/>
        <v>0</v>
      </c>
      <c r="F293" s="267">
        <f t="shared" si="126"/>
        <v>0</v>
      </c>
      <c r="G293" s="267">
        <f t="shared" si="126"/>
        <v>0</v>
      </c>
      <c r="H293" s="267">
        <f t="shared" si="126"/>
        <v>0</v>
      </c>
      <c r="I293" s="267">
        <f t="shared" si="126"/>
        <v>0</v>
      </c>
      <c r="J293" s="267">
        <f t="shared" si="126"/>
        <v>0</v>
      </c>
      <c r="K293" s="267">
        <f t="shared" si="126"/>
        <v>0</v>
      </c>
      <c r="L293" s="267">
        <f t="shared" si="126"/>
        <v>0</v>
      </c>
      <c r="M293" s="267">
        <f t="shared" si="126"/>
        <v>0</v>
      </c>
      <c r="N293" s="267">
        <f t="shared" si="126"/>
        <v>0</v>
      </c>
      <c r="O293" s="267">
        <f t="shared" si="126"/>
        <v>0</v>
      </c>
      <c r="P293" s="267">
        <f t="shared" si="126"/>
        <v>0</v>
      </c>
      <c r="Q293" s="267">
        <f t="shared" si="126"/>
        <v>0</v>
      </c>
      <c r="R293" s="267">
        <f t="shared" si="126"/>
        <v>0</v>
      </c>
      <c r="S293" s="267">
        <f t="shared" si="126"/>
        <v>0</v>
      </c>
      <c r="T293" s="267">
        <f t="shared" si="127"/>
        <v>0</v>
      </c>
      <c r="U293" s="267">
        <f t="shared" si="127"/>
        <v>0</v>
      </c>
      <c r="V293" s="267">
        <f t="shared" si="127"/>
        <v>0</v>
      </c>
      <c r="W293" s="267">
        <f t="shared" si="127"/>
        <v>0</v>
      </c>
      <c r="X293" s="267">
        <f t="shared" si="127"/>
        <v>0</v>
      </c>
      <c r="Y293" s="267">
        <f t="shared" si="127"/>
        <v>0</v>
      </c>
      <c r="Z293" s="267">
        <f t="shared" si="127"/>
        <v>0</v>
      </c>
      <c r="AA293" s="267">
        <f t="shared" si="127"/>
        <v>0</v>
      </c>
      <c r="AB293" s="267">
        <f t="shared" si="127"/>
        <v>0</v>
      </c>
      <c r="AC293" s="267">
        <f t="shared" si="127"/>
        <v>0</v>
      </c>
      <c r="AD293" s="267">
        <f t="shared" si="127"/>
        <v>0</v>
      </c>
      <c r="AE293" s="267">
        <f t="shared" si="127"/>
        <v>0</v>
      </c>
      <c r="AF293" s="267">
        <f t="shared" si="127"/>
        <v>0</v>
      </c>
      <c r="AG293" s="246">
        <v>0</v>
      </c>
      <c r="AI293" s="266"/>
      <c r="AJ293" t="s">
        <v>1470</v>
      </c>
    </row>
    <row r="294" spans="1:36" s="1" customFormat="1" outlineLevel="1">
      <c r="A294" t="s">
        <v>665</v>
      </c>
      <c r="B294" s="252" t="s">
        <v>126</v>
      </c>
      <c r="C294" s="246">
        <v>1</v>
      </c>
      <c r="D294" s="267">
        <f t="shared" si="126"/>
        <v>1</v>
      </c>
      <c r="E294" s="267">
        <f t="shared" si="126"/>
        <v>1</v>
      </c>
      <c r="F294" s="267">
        <f t="shared" si="126"/>
        <v>1</v>
      </c>
      <c r="G294" s="267">
        <f t="shared" si="126"/>
        <v>1</v>
      </c>
      <c r="H294" s="267">
        <f t="shared" si="126"/>
        <v>1</v>
      </c>
      <c r="I294" s="267">
        <f t="shared" si="126"/>
        <v>1</v>
      </c>
      <c r="J294" s="267">
        <f t="shared" si="126"/>
        <v>1</v>
      </c>
      <c r="K294" s="267">
        <f t="shared" si="126"/>
        <v>1</v>
      </c>
      <c r="L294" s="267">
        <f t="shared" si="126"/>
        <v>1</v>
      </c>
      <c r="M294" s="267">
        <f t="shared" si="126"/>
        <v>1</v>
      </c>
      <c r="N294" s="267">
        <f t="shared" si="126"/>
        <v>1</v>
      </c>
      <c r="O294" s="267">
        <f t="shared" si="126"/>
        <v>1</v>
      </c>
      <c r="P294" s="267">
        <f t="shared" si="126"/>
        <v>1</v>
      </c>
      <c r="Q294" s="267">
        <f t="shared" si="126"/>
        <v>1</v>
      </c>
      <c r="R294" s="267">
        <f t="shared" si="126"/>
        <v>1</v>
      </c>
      <c r="S294" s="267">
        <f t="shared" si="126"/>
        <v>1</v>
      </c>
      <c r="T294" s="267">
        <f t="shared" si="127"/>
        <v>1</v>
      </c>
      <c r="U294" s="267">
        <f t="shared" si="127"/>
        <v>1</v>
      </c>
      <c r="V294" s="267">
        <f t="shared" si="127"/>
        <v>1</v>
      </c>
      <c r="W294" s="267">
        <f t="shared" si="127"/>
        <v>1</v>
      </c>
      <c r="X294" s="267">
        <f t="shared" si="127"/>
        <v>1</v>
      </c>
      <c r="Y294" s="267">
        <f t="shared" si="127"/>
        <v>1</v>
      </c>
      <c r="Z294" s="267">
        <f t="shared" si="127"/>
        <v>1</v>
      </c>
      <c r="AA294" s="267">
        <f t="shared" si="127"/>
        <v>1</v>
      </c>
      <c r="AB294" s="267">
        <f t="shared" si="127"/>
        <v>1</v>
      </c>
      <c r="AC294" s="267">
        <f t="shared" si="127"/>
        <v>1</v>
      </c>
      <c r="AD294" s="267">
        <f t="shared" si="127"/>
        <v>1</v>
      </c>
      <c r="AE294" s="267">
        <f t="shared" si="127"/>
        <v>1</v>
      </c>
      <c r="AF294" s="267">
        <f t="shared" si="127"/>
        <v>1</v>
      </c>
      <c r="AG294" s="246">
        <v>1</v>
      </c>
      <c r="AI294" s="266"/>
      <c r="AJ294" t="s">
        <v>1470</v>
      </c>
    </row>
    <row r="295" spans="1:36" s="1" customFormat="1" outlineLevel="1">
      <c r="A295" t="s">
        <v>652</v>
      </c>
      <c r="B295" s="252" t="s">
        <v>126</v>
      </c>
      <c r="C295" s="246">
        <v>0.8</v>
      </c>
      <c r="D295" s="267">
        <f t="shared" si="126"/>
        <v>0.80333333333333334</v>
      </c>
      <c r="E295" s="267">
        <f t="shared" si="126"/>
        <v>0.80666666666666664</v>
      </c>
      <c r="F295" s="267">
        <f t="shared" si="126"/>
        <v>0.80999999999999994</v>
      </c>
      <c r="G295" s="267">
        <f t="shared" si="126"/>
        <v>0.81333333333333324</v>
      </c>
      <c r="H295" s="267">
        <f t="shared" si="126"/>
        <v>0.81666666666666654</v>
      </c>
      <c r="I295" s="267">
        <f t="shared" si="126"/>
        <v>0.81999999999999984</v>
      </c>
      <c r="J295" s="267">
        <f t="shared" si="126"/>
        <v>0.82333333333333314</v>
      </c>
      <c r="K295" s="267">
        <f t="shared" si="126"/>
        <v>0.82666666666666644</v>
      </c>
      <c r="L295" s="267">
        <f t="shared" si="126"/>
        <v>0.82999999999999974</v>
      </c>
      <c r="M295" s="267">
        <f t="shared" si="126"/>
        <v>0.83333333333333304</v>
      </c>
      <c r="N295" s="267">
        <f t="shared" si="126"/>
        <v>0.83666666666666634</v>
      </c>
      <c r="O295" s="267">
        <f t="shared" si="126"/>
        <v>0.83999999999999964</v>
      </c>
      <c r="P295" s="267">
        <f t="shared" si="126"/>
        <v>0.84333333333333294</v>
      </c>
      <c r="Q295" s="267">
        <f t="shared" si="126"/>
        <v>0.84666666666666623</v>
      </c>
      <c r="R295" s="267">
        <f t="shared" si="126"/>
        <v>0.84999999999999953</v>
      </c>
      <c r="S295" s="267">
        <f t="shared" si="126"/>
        <v>0.85333333333333283</v>
      </c>
      <c r="T295" s="267">
        <f t="shared" si="127"/>
        <v>0.85666666666666613</v>
      </c>
      <c r="U295" s="267">
        <f t="shared" si="127"/>
        <v>0.85999999999999943</v>
      </c>
      <c r="V295" s="267">
        <f t="shared" si="127"/>
        <v>0.86333333333333273</v>
      </c>
      <c r="W295" s="267">
        <f t="shared" si="127"/>
        <v>0.86666666666666603</v>
      </c>
      <c r="X295" s="267">
        <f t="shared" si="127"/>
        <v>0.86999999999999933</v>
      </c>
      <c r="Y295" s="267">
        <f t="shared" si="127"/>
        <v>0.87333333333333263</v>
      </c>
      <c r="Z295" s="267">
        <f t="shared" si="127"/>
        <v>0.87666666666666593</v>
      </c>
      <c r="AA295" s="267">
        <f t="shared" si="127"/>
        <v>0.87999999999999923</v>
      </c>
      <c r="AB295" s="267">
        <f t="shared" si="127"/>
        <v>0.88333333333333253</v>
      </c>
      <c r="AC295" s="267">
        <f t="shared" si="127"/>
        <v>0.88666666666666583</v>
      </c>
      <c r="AD295" s="267">
        <f t="shared" si="127"/>
        <v>0.88999999999999913</v>
      </c>
      <c r="AE295" s="267">
        <f t="shared" si="127"/>
        <v>0.89333333333333242</v>
      </c>
      <c r="AF295" s="267">
        <f t="shared" si="127"/>
        <v>0.89666666666666572</v>
      </c>
      <c r="AG295" s="246">
        <v>0.9</v>
      </c>
      <c r="AI295" s="266"/>
      <c r="AJ295" t="s">
        <v>1470</v>
      </c>
    </row>
    <row r="296" spans="1:36" s="1" customFormat="1" outlineLevel="1">
      <c r="A296" t="s">
        <v>653</v>
      </c>
      <c r="B296" s="252" t="s">
        <v>126</v>
      </c>
      <c r="C296" s="246">
        <v>0.2</v>
      </c>
      <c r="D296" s="267">
        <f t="shared" si="126"/>
        <v>0.19666666666666668</v>
      </c>
      <c r="E296" s="267">
        <f t="shared" si="126"/>
        <v>0.19333333333333336</v>
      </c>
      <c r="F296" s="267">
        <f t="shared" si="126"/>
        <v>0.19000000000000003</v>
      </c>
      <c r="G296" s="267">
        <f t="shared" si="126"/>
        <v>0.1866666666666667</v>
      </c>
      <c r="H296" s="267">
        <f t="shared" si="126"/>
        <v>0.18333333333333338</v>
      </c>
      <c r="I296" s="267">
        <f t="shared" si="126"/>
        <v>0.18000000000000005</v>
      </c>
      <c r="J296" s="267">
        <f t="shared" si="126"/>
        <v>0.17666666666666672</v>
      </c>
      <c r="K296" s="267">
        <f t="shared" si="126"/>
        <v>0.17333333333333339</v>
      </c>
      <c r="L296" s="267">
        <f t="shared" si="126"/>
        <v>0.17000000000000007</v>
      </c>
      <c r="M296" s="267">
        <f t="shared" si="126"/>
        <v>0.16666666666666674</v>
      </c>
      <c r="N296" s="267">
        <f t="shared" si="126"/>
        <v>0.16333333333333341</v>
      </c>
      <c r="O296" s="267">
        <f t="shared" si="126"/>
        <v>0.16000000000000009</v>
      </c>
      <c r="P296" s="267">
        <f t="shared" si="126"/>
        <v>0.15666666666666676</v>
      </c>
      <c r="Q296" s="267">
        <f t="shared" si="126"/>
        <v>0.15333333333333343</v>
      </c>
      <c r="R296" s="267">
        <f t="shared" si="126"/>
        <v>0.15000000000000011</v>
      </c>
      <c r="S296" s="267">
        <f t="shared" si="126"/>
        <v>0.14666666666666678</v>
      </c>
      <c r="T296" s="267">
        <f t="shared" si="127"/>
        <v>0.14333333333333345</v>
      </c>
      <c r="U296" s="267">
        <f t="shared" si="127"/>
        <v>0.14000000000000012</v>
      </c>
      <c r="V296" s="267">
        <f t="shared" si="127"/>
        <v>0.1366666666666668</v>
      </c>
      <c r="W296" s="267">
        <f t="shared" si="127"/>
        <v>0.13333333333333347</v>
      </c>
      <c r="X296" s="267">
        <f t="shared" si="127"/>
        <v>0.13000000000000014</v>
      </c>
      <c r="Y296" s="267">
        <f t="shared" si="127"/>
        <v>0.12666666666666682</v>
      </c>
      <c r="Z296" s="267">
        <f t="shared" si="127"/>
        <v>0.12333333333333349</v>
      </c>
      <c r="AA296" s="267">
        <f t="shared" si="127"/>
        <v>0.12000000000000016</v>
      </c>
      <c r="AB296" s="267">
        <f t="shared" si="127"/>
        <v>0.11666666666666684</v>
      </c>
      <c r="AC296" s="267">
        <f t="shared" si="127"/>
        <v>0.11333333333333351</v>
      </c>
      <c r="AD296" s="267">
        <f t="shared" si="127"/>
        <v>0.11000000000000018</v>
      </c>
      <c r="AE296" s="267">
        <f t="shared" si="127"/>
        <v>0.10666666666666685</v>
      </c>
      <c r="AF296" s="267">
        <f t="shared" si="127"/>
        <v>0.10333333333333353</v>
      </c>
      <c r="AG296" s="246">
        <v>0.1</v>
      </c>
      <c r="AI296" s="266"/>
      <c r="AJ296" t="s">
        <v>1470</v>
      </c>
    </row>
    <row r="297" spans="1:36" s="1" customFormat="1" outlineLevel="1">
      <c r="A297" t="s">
        <v>663</v>
      </c>
      <c r="B297" s="252" t="s">
        <v>126</v>
      </c>
      <c r="C297" s="246">
        <v>0.95</v>
      </c>
      <c r="D297" s="267">
        <f t="shared" si="126"/>
        <v>0.94866666666666666</v>
      </c>
      <c r="E297" s="267">
        <f t="shared" si="126"/>
        <v>0.94733333333333336</v>
      </c>
      <c r="F297" s="267">
        <f t="shared" si="126"/>
        <v>0.94600000000000006</v>
      </c>
      <c r="G297" s="267">
        <f t="shared" si="126"/>
        <v>0.94466666666666677</v>
      </c>
      <c r="H297" s="267">
        <f t="shared" si="126"/>
        <v>0.94333333333333347</v>
      </c>
      <c r="I297" s="267">
        <f t="shared" si="126"/>
        <v>0.94200000000000017</v>
      </c>
      <c r="J297" s="267">
        <f t="shared" si="126"/>
        <v>0.94066666666666687</v>
      </c>
      <c r="K297" s="267">
        <f t="shared" si="126"/>
        <v>0.93933333333333358</v>
      </c>
      <c r="L297" s="267">
        <f t="shared" si="126"/>
        <v>0.93800000000000028</v>
      </c>
      <c r="M297" s="267">
        <f t="shared" si="126"/>
        <v>0.93666666666666698</v>
      </c>
      <c r="N297" s="267">
        <f t="shared" si="126"/>
        <v>0.93533333333333368</v>
      </c>
      <c r="O297" s="267">
        <f t="shared" si="126"/>
        <v>0.93400000000000039</v>
      </c>
      <c r="P297" s="267">
        <f t="shared" si="126"/>
        <v>0.93266666666666709</v>
      </c>
      <c r="Q297" s="267">
        <f t="shared" si="126"/>
        <v>0.93133333333333379</v>
      </c>
      <c r="R297" s="267">
        <f t="shared" si="126"/>
        <v>0.93000000000000049</v>
      </c>
      <c r="S297" s="267">
        <f t="shared" si="126"/>
        <v>0.9286666666666672</v>
      </c>
      <c r="T297" s="267">
        <f t="shared" si="127"/>
        <v>0.9273333333333339</v>
      </c>
      <c r="U297" s="267">
        <f t="shared" si="127"/>
        <v>0.9260000000000006</v>
      </c>
      <c r="V297" s="267">
        <f t="shared" si="127"/>
        <v>0.9246666666666673</v>
      </c>
      <c r="W297" s="267">
        <f t="shared" si="127"/>
        <v>0.92333333333333401</v>
      </c>
      <c r="X297" s="267">
        <f t="shared" si="127"/>
        <v>0.92200000000000071</v>
      </c>
      <c r="Y297" s="267">
        <f t="shared" si="127"/>
        <v>0.92066666666666741</v>
      </c>
      <c r="Z297" s="267">
        <f t="shared" si="127"/>
        <v>0.91933333333333411</v>
      </c>
      <c r="AA297" s="267">
        <f t="shared" si="127"/>
        <v>0.91800000000000082</v>
      </c>
      <c r="AB297" s="267">
        <f t="shared" si="127"/>
        <v>0.91666666666666752</v>
      </c>
      <c r="AC297" s="267">
        <f t="shared" si="127"/>
        <v>0.91533333333333422</v>
      </c>
      <c r="AD297" s="267">
        <f t="shared" si="127"/>
        <v>0.91400000000000092</v>
      </c>
      <c r="AE297" s="267">
        <f t="shared" si="127"/>
        <v>0.91266666666666763</v>
      </c>
      <c r="AF297" s="267">
        <f t="shared" si="127"/>
        <v>0.91133333333333433</v>
      </c>
      <c r="AG297" s="246">
        <v>0.91</v>
      </c>
      <c r="AI297" s="266"/>
      <c r="AJ297" t="s">
        <v>1470</v>
      </c>
    </row>
    <row r="298" spans="1:36" s="1" customFormat="1" outlineLevel="1">
      <c r="A298" t="s">
        <v>664</v>
      </c>
      <c r="B298" s="252" t="s">
        <v>126</v>
      </c>
      <c r="C298" s="246">
        <v>0.05</v>
      </c>
      <c r="D298" s="267">
        <f t="shared" si="126"/>
        <v>5.1333333333333335E-2</v>
      </c>
      <c r="E298" s="267">
        <f t="shared" si="126"/>
        <v>5.2666666666666667E-2</v>
      </c>
      <c r="F298" s="267">
        <f t="shared" si="126"/>
        <v>5.3999999999999999E-2</v>
      </c>
      <c r="G298" s="267">
        <f t="shared" si="126"/>
        <v>5.5333333333333332E-2</v>
      </c>
      <c r="H298" s="267">
        <f t="shared" si="126"/>
        <v>5.6666666666666664E-2</v>
      </c>
      <c r="I298" s="267">
        <f t="shared" si="126"/>
        <v>5.7999999999999996E-2</v>
      </c>
      <c r="J298" s="267">
        <f t="shared" si="126"/>
        <v>5.9333333333333328E-2</v>
      </c>
      <c r="K298" s="267">
        <f t="shared" si="126"/>
        <v>6.066666666666666E-2</v>
      </c>
      <c r="L298" s="267">
        <f t="shared" si="126"/>
        <v>6.1999999999999993E-2</v>
      </c>
      <c r="M298" s="267">
        <f t="shared" si="126"/>
        <v>6.3333333333333325E-2</v>
      </c>
      <c r="N298" s="267">
        <f t="shared" si="126"/>
        <v>6.4666666666666664E-2</v>
      </c>
      <c r="O298" s="267">
        <f t="shared" si="126"/>
        <v>6.6000000000000003E-2</v>
      </c>
      <c r="P298" s="267">
        <f t="shared" si="126"/>
        <v>6.7333333333333342E-2</v>
      </c>
      <c r="Q298" s="267">
        <f t="shared" si="126"/>
        <v>6.8666666666666681E-2</v>
      </c>
      <c r="R298" s="267">
        <f t="shared" si="126"/>
        <v>7.0000000000000021E-2</v>
      </c>
      <c r="S298" s="267">
        <f t="shared" si="126"/>
        <v>7.133333333333336E-2</v>
      </c>
      <c r="T298" s="267">
        <f t="shared" si="127"/>
        <v>7.2666666666666699E-2</v>
      </c>
      <c r="U298" s="267">
        <f t="shared" si="127"/>
        <v>7.4000000000000038E-2</v>
      </c>
      <c r="V298" s="267">
        <f t="shared" si="127"/>
        <v>7.5333333333333377E-2</v>
      </c>
      <c r="W298" s="267">
        <f t="shared" si="127"/>
        <v>7.6666666666666716E-2</v>
      </c>
      <c r="X298" s="267">
        <f t="shared" si="127"/>
        <v>7.8000000000000055E-2</v>
      </c>
      <c r="Y298" s="267">
        <f t="shared" si="127"/>
        <v>7.9333333333333395E-2</v>
      </c>
      <c r="Z298" s="267">
        <f t="shared" si="127"/>
        <v>8.0666666666666734E-2</v>
      </c>
      <c r="AA298" s="267">
        <f t="shared" si="127"/>
        <v>8.2000000000000073E-2</v>
      </c>
      <c r="AB298" s="267">
        <f t="shared" si="127"/>
        <v>8.3333333333333412E-2</v>
      </c>
      <c r="AC298" s="267">
        <f t="shared" si="127"/>
        <v>8.4666666666666751E-2</v>
      </c>
      <c r="AD298" s="267">
        <f t="shared" si="127"/>
        <v>8.600000000000009E-2</v>
      </c>
      <c r="AE298" s="267">
        <f t="shared" si="127"/>
        <v>8.7333333333333429E-2</v>
      </c>
      <c r="AF298" s="267">
        <f t="shared" si="127"/>
        <v>8.8666666666666769E-2</v>
      </c>
      <c r="AG298" s="246">
        <v>0.09</v>
      </c>
      <c r="AI298" s="266"/>
      <c r="AJ298" t="s">
        <v>1470</v>
      </c>
    </row>
    <row r="299" spans="1:36" s="1" customFormat="1" outlineLevel="1">
      <c r="A299" t="s">
        <v>666</v>
      </c>
      <c r="B299" s="252"/>
      <c r="C299" s="246">
        <v>0.27</v>
      </c>
      <c r="D299" s="267">
        <f t="shared" si="126"/>
        <v>0.26600000000000001</v>
      </c>
      <c r="E299" s="267">
        <f t="shared" si="126"/>
        <v>0.26200000000000001</v>
      </c>
      <c r="F299" s="267">
        <f t="shared" si="126"/>
        <v>0.25800000000000001</v>
      </c>
      <c r="G299" s="267">
        <f t="shared" si="126"/>
        <v>0.254</v>
      </c>
      <c r="H299" s="267">
        <f t="shared" si="126"/>
        <v>0.25</v>
      </c>
      <c r="I299" s="267">
        <f t="shared" si="126"/>
        <v>0.246</v>
      </c>
      <c r="J299" s="267">
        <f t="shared" si="126"/>
        <v>0.24199999999999999</v>
      </c>
      <c r="K299" s="267">
        <f t="shared" si="126"/>
        <v>0.23799999999999999</v>
      </c>
      <c r="L299" s="267">
        <f t="shared" si="126"/>
        <v>0.23399999999999999</v>
      </c>
      <c r="M299" s="267">
        <f t="shared" si="126"/>
        <v>0.22999999999999998</v>
      </c>
      <c r="N299" s="267">
        <f t="shared" si="126"/>
        <v>0.22599999999999998</v>
      </c>
      <c r="O299" s="267">
        <f t="shared" si="126"/>
        <v>0.22199999999999998</v>
      </c>
      <c r="P299" s="267">
        <f t="shared" si="126"/>
        <v>0.21799999999999997</v>
      </c>
      <c r="Q299" s="267">
        <f t="shared" si="126"/>
        <v>0.21399999999999997</v>
      </c>
      <c r="R299" s="267">
        <f t="shared" si="126"/>
        <v>0.20999999999999996</v>
      </c>
      <c r="S299" s="267">
        <f t="shared" si="126"/>
        <v>0.20599999999999996</v>
      </c>
      <c r="T299" s="267">
        <f t="shared" si="127"/>
        <v>0.20199999999999996</v>
      </c>
      <c r="U299" s="267">
        <f t="shared" si="127"/>
        <v>0.19799999999999995</v>
      </c>
      <c r="V299" s="267">
        <f t="shared" si="127"/>
        <v>0.19399999999999995</v>
      </c>
      <c r="W299" s="267">
        <f t="shared" si="127"/>
        <v>0.18999999999999995</v>
      </c>
      <c r="X299" s="267">
        <f t="shared" si="127"/>
        <v>0.18599999999999994</v>
      </c>
      <c r="Y299" s="267">
        <f t="shared" si="127"/>
        <v>0.18199999999999994</v>
      </c>
      <c r="Z299" s="267">
        <f t="shared" si="127"/>
        <v>0.17799999999999994</v>
      </c>
      <c r="AA299" s="267">
        <f t="shared" si="127"/>
        <v>0.17399999999999993</v>
      </c>
      <c r="AB299" s="267">
        <f t="shared" si="127"/>
        <v>0.16999999999999993</v>
      </c>
      <c r="AC299" s="267">
        <f t="shared" si="127"/>
        <v>0.16599999999999993</v>
      </c>
      <c r="AD299" s="267">
        <f t="shared" si="127"/>
        <v>0.16199999999999992</v>
      </c>
      <c r="AE299" s="267">
        <f t="shared" si="127"/>
        <v>0.15799999999999992</v>
      </c>
      <c r="AF299" s="267">
        <f t="shared" si="127"/>
        <v>0.15399999999999991</v>
      </c>
      <c r="AG299" s="246">
        <v>0.15</v>
      </c>
      <c r="AI299" s="266"/>
      <c r="AJ299" t="s">
        <v>1470</v>
      </c>
    </row>
    <row r="300" spans="1:36" s="61" customFormat="1" outlineLevel="1">
      <c r="A300" s="294" t="s">
        <v>657</v>
      </c>
      <c r="B300" s="258" t="s">
        <v>126</v>
      </c>
      <c r="C300" s="563">
        <f>1-SUM(C301:C305)</f>
        <v>0.97</v>
      </c>
      <c r="D300" s="287">
        <f t="shared" ref="D300:S301" si="128">-($C300-$AG300)/30+C300</f>
        <v>0.97033333333333327</v>
      </c>
      <c r="E300" s="287">
        <f t="shared" si="128"/>
        <v>0.97066666666666657</v>
      </c>
      <c r="F300" s="287">
        <f t="shared" si="128"/>
        <v>0.97099999999999986</v>
      </c>
      <c r="G300" s="287">
        <f t="shared" si="128"/>
        <v>0.97133333333333316</v>
      </c>
      <c r="H300" s="287">
        <f t="shared" si="128"/>
        <v>0.97166666666666646</v>
      </c>
      <c r="I300" s="287">
        <f t="shared" si="128"/>
        <v>0.97199999999999975</v>
      </c>
      <c r="J300" s="287">
        <f t="shared" si="128"/>
        <v>0.97233333333333305</v>
      </c>
      <c r="K300" s="287">
        <f t="shared" si="128"/>
        <v>0.97266666666666635</v>
      </c>
      <c r="L300" s="287">
        <f t="shared" si="128"/>
        <v>0.97299999999999964</v>
      </c>
      <c r="M300" s="287">
        <f t="shared" si="128"/>
        <v>0.97333333333333294</v>
      </c>
      <c r="N300" s="287">
        <f t="shared" si="128"/>
        <v>0.97366666666666624</v>
      </c>
      <c r="O300" s="287">
        <f t="shared" si="128"/>
        <v>0.97399999999999953</v>
      </c>
      <c r="P300" s="287">
        <f t="shared" si="128"/>
        <v>0.97433333333333283</v>
      </c>
      <c r="Q300" s="287">
        <f t="shared" si="128"/>
        <v>0.97466666666666613</v>
      </c>
      <c r="R300" s="287">
        <f t="shared" si="128"/>
        <v>0.97499999999999942</v>
      </c>
      <c r="S300" s="287">
        <f t="shared" si="128"/>
        <v>0.97533333333333272</v>
      </c>
      <c r="T300" s="287">
        <f t="shared" si="127"/>
        <v>0.97566666666666602</v>
      </c>
      <c r="U300" s="287">
        <f t="shared" si="127"/>
        <v>0.97599999999999931</v>
      </c>
      <c r="V300" s="287">
        <f t="shared" si="127"/>
        <v>0.97633333333333261</v>
      </c>
      <c r="W300" s="287">
        <f t="shared" si="127"/>
        <v>0.97666666666666591</v>
      </c>
      <c r="X300" s="287">
        <f t="shared" si="127"/>
        <v>0.9769999999999992</v>
      </c>
      <c r="Y300" s="287">
        <f t="shared" si="127"/>
        <v>0.9773333333333325</v>
      </c>
      <c r="Z300" s="287">
        <f t="shared" si="127"/>
        <v>0.9776666666666658</v>
      </c>
      <c r="AA300" s="287">
        <f t="shared" si="127"/>
        <v>0.97799999999999909</v>
      </c>
      <c r="AB300" s="287">
        <f t="shared" si="127"/>
        <v>0.97833333333333239</v>
      </c>
      <c r="AC300" s="287">
        <f t="shared" si="127"/>
        <v>0.97866666666666569</v>
      </c>
      <c r="AD300" s="287">
        <f t="shared" si="127"/>
        <v>0.97899999999999898</v>
      </c>
      <c r="AE300" s="287">
        <f t="shared" si="127"/>
        <v>0.97933333333333228</v>
      </c>
      <c r="AF300" s="287">
        <f t="shared" si="127"/>
        <v>0.97966666666666558</v>
      </c>
      <c r="AG300" s="563">
        <f>1-SUM(AG301:AG305)</f>
        <v>0.98</v>
      </c>
      <c r="AH300"/>
      <c r="AI300" s="188"/>
      <c r="AJ300" t="s">
        <v>1470</v>
      </c>
    </row>
    <row r="301" spans="1:36" outlineLevel="1">
      <c r="A301" s="295" t="s">
        <v>658</v>
      </c>
      <c r="B301" s="252" t="s">
        <v>126</v>
      </c>
      <c r="C301" s="562">
        <v>0.01</v>
      </c>
      <c r="D301" s="267">
        <f t="shared" si="128"/>
        <v>0.01</v>
      </c>
      <c r="E301" s="267">
        <f t="shared" si="128"/>
        <v>0.01</v>
      </c>
      <c r="F301" s="267">
        <f t="shared" si="128"/>
        <v>0.01</v>
      </c>
      <c r="G301" s="267">
        <f t="shared" si="128"/>
        <v>0.01</v>
      </c>
      <c r="H301" s="267">
        <f t="shared" si="128"/>
        <v>0.01</v>
      </c>
      <c r="I301" s="267">
        <f t="shared" si="128"/>
        <v>0.01</v>
      </c>
      <c r="J301" s="267">
        <f t="shared" si="128"/>
        <v>0.01</v>
      </c>
      <c r="K301" s="267">
        <f t="shared" si="128"/>
        <v>0.01</v>
      </c>
      <c r="L301" s="267">
        <f t="shared" si="128"/>
        <v>0.01</v>
      </c>
      <c r="M301" s="267">
        <f t="shared" si="128"/>
        <v>0.01</v>
      </c>
      <c r="N301" s="267">
        <f t="shared" si="128"/>
        <v>0.01</v>
      </c>
      <c r="O301" s="267">
        <f t="shared" si="128"/>
        <v>0.01</v>
      </c>
      <c r="P301" s="267">
        <f t="shared" si="128"/>
        <v>0.01</v>
      </c>
      <c r="Q301" s="267">
        <f t="shared" si="128"/>
        <v>0.01</v>
      </c>
      <c r="R301" s="267">
        <f t="shared" si="128"/>
        <v>0.01</v>
      </c>
      <c r="S301" s="267">
        <f t="shared" si="128"/>
        <v>0.01</v>
      </c>
      <c r="T301" s="267">
        <f t="shared" si="127"/>
        <v>0.01</v>
      </c>
      <c r="U301" s="267">
        <f t="shared" si="127"/>
        <v>0.01</v>
      </c>
      <c r="V301" s="267">
        <f t="shared" si="127"/>
        <v>0.01</v>
      </c>
      <c r="W301" s="267">
        <f t="shared" si="127"/>
        <v>0.01</v>
      </c>
      <c r="X301" s="267">
        <f t="shared" si="127"/>
        <v>0.01</v>
      </c>
      <c r="Y301" s="267">
        <f t="shared" si="127"/>
        <v>0.01</v>
      </c>
      <c r="Z301" s="267">
        <f t="shared" si="127"/>
        <v>0.01</v>
      </c>
      <c r="AA301" s="267">
        <f t="shared" si="127"/>
        <v>0.01</v>
      </c>
      <c r="AB301" s="267">
        <f t="shared" si="127"/>
        <v>0.01</v>
      </c>
      <c r="AC301" s="267">
        <f t="shared" si="127"/>
        <v>0.01</v>
      </c>
      <c r="AD301" s="267">
        <f t="shared" si="127"/>
        <v>0.01</v>
      </c>
      <c r="AE301" s="267">
        <f t="shared" si="127"/>
        <v>0.01</v>
      </c>
      <c r="AF301" s="267">
        <f t="shared" si="127"/>
        <v>0.01</v>
      </c>
      <c r="AG301" s="562">
        <v>0.01</v>
      </c>
      <c r="AI301" s="188"/>
      <c r="AJ301" s="271" t="s">
        <v>1469</v>
      </c>
    </row>
    <row r="302" spans="1:36" outlineLevel="1">
      <c r="A302" s="295" t="s">
        <v>659</v>
      </c>
      <c r="B302" s="252" t="s">
        <v>126</v>
      </c>
      <c r="C302" s="562">
        <v>0</v>
      </c>
      <c r="D302" s="267">
        <f t="shared" si="126"/>
        <v>0</v>
      </c>
      <c r="E302" s="267">
        <f t="shared" si="126"/>
        <v>0</v>
      </c>
      <c r="F302" s="267">
        <f t="shared" si="126"/>
        <v>0</v>
      </c>
      <c r="G302" s="267">
        <f t="shared" si="126"/>
        <v>0</v>
      </c>
      <c r="H302" s="267">
        <f t="shared" si="126"/>
        <v>0</v>
      </c>
      <c r="I302" s="267">
        <f t="shared" si="126"/>
        <v>0</v>
      </c>
      <c r="J302" s="267">
        <f t="shared" si="126"/>
        <v>0</v>
      </c>
      <c r="K302" s="267">
        <f t="shared" si="126"/>
        <v>0</v>
      </c>
      <c r="L302" s="267">
        <f t="shared" si="126"/>
        <v>0</v>
      </c>
      <c r="M302" s="267">
        <f t="shared" si="126"/>
        <v>0</v>
      </c>
      <c r="N302" s="267">
        <f t="shared" si="126"/>
        <v>0</v>
      </c>
      <c r="O302" s="267">
        <f t="shared" si="126"/>
        <v>0</v>
      </c>
      <c r="P302" s="267">
        <f t="shared" si="126"/>
        <v>0</v>
      </c>
      <c r="Q302" s="267">
        <f t="shared" si="126"/>
        <v>0</v>
      </c>
      <c r="R302" s="267">
        <f t="shared" si="126"/>
        <v>0</v>
      </c>
      <c r="S302" s="267">
        <f t="shared" si="126"/>
        <v>0</v>
      </c>
      <c r="T302" s="267">
        <f t="shared" si="127"/>
        <v>0</v>
      </c>
      <c r="U302" s="267">
        <f t="shared" si="127"/>
        <v>0</v>
      </c>
      <c r="V302" s="267">
        <f t="shared" si="127"/>
        <v>0</v>
      </c>
      <c r="W302" s="267">
        <f t="shared" si="127"/>
        <v>0</v>
      </c>
      <c r="X302" s="267">
        <f t="shared" si="127"/>
        <v>0</v>
      </c>
      <c r="Y302" s="267">
        <f t="shared" si="127"/>
        <v>0</v>
      </c>
      <c r="Z302" s="267">
        <f t="shared" si="127"/>
        <v>0</v>
      </c>
      <c r="AA302" s="267">
        <f t="shared" si="127"/>
        <v>0</v>
      </c>
      <c r="AB302" s="267">
        <f t="shared" si="127"/>
        <v>0</v>
      </c>
      <c r="AC302" s="267">
        <f t="shared" si="127"/>
        <v>0</v>
      </c>
      <c r="AD302" s="267">
        <f t="shared" si="127"/>
        <v>0</v>
      </c>
      <c r="AE302" s="267">
        <f t="shared" si="127"/>
        <v>0</v>
      </c>
      <c r="AF302" s="267">
        <f t="shared" si="127"/>
        <v>0</v>
      </c>
      <c r="AG302" s="562">
        <v>0</v>
      </c>
      <c r="AI302" s="246"/>
      <c r="AJ302" t="s">
        <v>1470</v>
      </c>
    </row>
    <row r="303" spans="1:36" outlineLevel="1">
      <c r="A303" s="295" t="s">
        <v>660</v>
      </c>
      <c r="B303" s="252" t="s">
        <v>126</v>
      </c>
      <c r="C303" s="562">
        <v>0</v>
      </c>
      <c r="D303" s="267">
        <f t="shared" si="126"/>
        <v>0</v>
      </c>
      <c r="E303" s="267">
        <f t="shared" si="126"/>
        <v>0</v>
      </c>
      <c r="F303" s="267">
        <f t="shared" si="126"/>
        <v>0</v>
      </c>
      <c r="G303" s="267">
        <f t="shared" si="126"/>
        <v>0</v>
      </c>
      <c r="H303" s="267">
        <f t="shared" si="126"/>
        <v>0</v>
      </c>
      <c r="I303" s="267">
        <f t="shared" si="126"/>
        <v>0</v>
      </c>
      <c r="J303" s="267">
        <f t="shared" si="126"/>
        <v>0</v>
      </c>
      <c r="K303" s="267">
        <f t="shared" si="126"/>
        <v>0</v>
      </c>
      <c r="L303" s="267">
        <f t="shared" si="126"/>
        <v>0</v>
      </c>
      <c r="M303" s="267">
        <f t="shared" si="126"/>
        <v>0</v>
      </c>
      <c r="N303" s="267">
        <f t="shared" si="126"/>
        <v>0</v>
      </c>
      <c r="O303" s="267">
        <f t="shared" si="126"/>
        <v>0</v>
      </c>
      <c r="P303" s="267">
        <f t="shared" si="126"/>
        <v>0</v>
      </c>
      <c r="Q303" s="267">
        <f t="shared" si="126"/>
        <v>0</v>
      </c>
      <c r="R303" s="267">
        <f t="shared" si="126"/>
        <v>0</v>
      </c>
      <c r="S303" s="267">
        <f t="shared" si="126"/>
        <v>0</v>
      </c>
      <c r="T303" s="267">
        <f t="shared" si="127"/>
        <v>0</v>
      </c>
      <c r="U303" s="267">
        <f t="shared" si="127"/>
        <v>0</v>
      </c>
      <c r="V303" s="267">
        <f t="shared" si="127"/>
        <v>0</v>
      </c>
      <c r="W303" s="267">
        <f t="shared" si="127"/>
        <v>0</v>
      </c>
      <c r="X303" s="267">
        <f t="shared" si="127"/>
        <v>0</v>
      </c>
      <c r="Y303" s="267">
        <f t="shared" si="127"/>
        <v>0</v>
      </c>
      <c r="Z303" s="267">
        <f t="shared" si="127"/>
        <v>0</v>
      </c>
      <c r="AA303" s="267">
        <f t="shared" si="127"/>
        <v>0</v>
      </c>
      <c r="AB303" s="267">
        <f t="shared" si="127"/>
        <v>0</v>
      </c>
      <c r="AC303" s="267">
        <f t="shared" si="127"/>
        <v>0</v>
      </c>
      <c r="AD303" s="267">
        <f t="shared" si="127"/>
        <v>0</v>
      </c>
      <c r="AE303" s="267">
        <f t="shared" si="127"/>
        <v>0</v>
      </c>
      <c r="AF303" s="267">
        <f t="shared" si="127"/>
        <v>0</v>
      </c>
      <c r="AG303" s="562">
        <v>0</v>
      </c>
      <c r="AI303" s="246"/>
      <c r="AJ303" t="s">
        <v>1470</v>
      </c>
    </row>
    <row r="304" spans="1:36" outlineLevel="1">
      <c r="A304" s="295" t="s">
        <v>661</v>
      </c>
      <c r="B304" s="252" t="s">
        <v>126</v>
      </c>
      <c r="C304" s="562">
        <v>1.4999999999999999E-2</v>
      </c>
      <c r="D304" s="267">
        <f t="shared" si="126"/>
        <v>1.4733333333333333E-2</v>
      </c>
      <c r="E304" s="267">
        <f t="shared" si="126"/>
        <v>1.4466666666666666E-2</v>
      </c>
      <c r="F304" s="267">
        <f t="shared" si="126"/>
        <v>1.4199999999999999E-2</v>
      </c>
      <c r="G304" s="267">
        <f t="shared" si="126"/>
        <v>1.3933333333333332E-2</v>
      </c>
      <c r="H304" s="267">
        <f t="shared" si="126"/>
        <v>1.3666666666666666E-2</v>
      </c>
      <c r="I304" s="267">
        <f t="shared" si="126"/>
        <v>1.3399999999999999E-2</v>
      </c>
      <c r="J304" s="267">
        <f t="shared" si="126"/>
        <v>1.3133333333333332E-2</v>
      </c>
      <c r="K304" s="267">
        <f t="shared" si="126"/>
        <v>1.2866666666666665E-2</v>
      </c>
      <c r="L304" s="267">
        <f t="shared" si="126"/>
        <v>1.2599999999999998E-2</v>
      </c>
      <c r="M304" s="267">
        <f t="shared" si="126"/>
        <v>1.2333333333333332E-2</v>
      </c>
      <c r="N304" s="267">
        <f t="shared" si="126"/>
        <v>1.2066666666666665E-2</v>
      </c>
      <c r="O304" s="267">
        <f t="shared" si="126"/>
        <v>1.1799999999999998E-2</v>
      </c>
      <c r="P304" s="267">
        <f t="shared" si="126"/>
        <v>1.1533333333333331E-2</v>
      </c>
      <c r="Q304" s="267">
        <f t="shared" si="126"/>
        <v>1.1266666666666664E-2</v>
      </c>
      <c r="R304" s="267">
        <f t="shared" si="126"/>
        <v>1.0999999999999998E-2</v>
      </c>
      <c r="S304" s="267">
        <f t="shared" ref="S304:AF304" si="129">-($C304-$AG304)/30+R304</f>
        <v>1.0733333333333331E-2</v>
      </c>
      <c r="T304" s="267">
        <f t="shared" si="129"/>
        <v>1.0466666666666664E-2</v>
      </c>
      <c r="U304" s="267">
        <f t="shared" si="129"/>
        <v>1.0199999999999997E-2</v>
      </c>
      <c r="V304" s="267">
        <f t="shared" si="129"/>
        <v>9.9333333333333305E-3</v>
      </c>
      <c r="W304" s="267">
        <f t="shared" si="129"/>
        <v>9.6666666666666637E-3</v>
      </c>
      <c r="X304" s="267">
        <f t="shared" si="129"/>
        <v>9.3999999999999969E-3</v>
      </c>
      <c r="Y304" s="267">
        <f t="shared" si="129"/>
        <v>9.1333333333333301E-3</v>
      </c>
      <c r="Z304" s="267">
        <f t="shared" si="129"/>
        <v>8.8666666666666633E-3</v>
      </c>
      <c r="AA304" s="267">
        <f t="shared" si="129"/>
        <v>8.5999999999999965E-3</v>
      </c>
      <c r="AB304" s="267">
        <f t="shared" si="129"/>
        <v>8.3333333333333297E-3</v>
      </c>
      <c r="AC304" s="267">
        <f t="shared" si="129"/>
        <v>8.066666666666663E-3</v>
      </c>
      <c r="AD304" s="267">
        <f t="shared" si="129"/>
        <v>7.7999999999999962E-3</v>
      </c>
      <c r="AE304" s="267">
        <f t="shared" si="129"/>
        <v>7.5333333333333294E-3</v>
      </c>
      <c r="AF304" s="267">
        <f t="shared" si="129"/>
        <v>7.2666666666666626E-3</v>
      </c>
      <c r="AG304" s="562">
        <v>7.0000000000000001E-3</v>
      </c>
      <c r="AI304" s="246"/>
      <c r="AJ304" t="s">
        <v>1470</v>
      </c>
    </row>
    <row r="305" spans="1:36" s="62" customFormat="1" outlineLevel="1">
      <c r="A305" s="296" t="s">
        <v>662</v>
      </c>
      <c r="B305" s="262" t="s">
        <v>126</v>
      </c>
      <c r="C305" s="564">
        <v>5.0000000000000001E-3</v>
      </c>
      <c r="D305" s="289">
        <f t="shared" ref="D305:AF305" si="130">-($C305-$AG305)/30+C305</f>
        <v>4.9333333333333338E-3</v>
      </c>
      <c r="E305" s="289">
        <f t="shared" si="130"/>
        <v>4.8666666666666676E-3</v>
      </c>
      <c r="F305" s="289">
        <f t="shared" si="130"/>
        <v>4.8000000000000013E-3</v>
      </c>
      <c r="G305" s="289">
        <f t="shared" si="130"/>
        <v>4.7333333333333351E-3</v>
      </c>
      <c r="H305" s="289">
        <f t="shared" si="130"/>
        <v>4.6666666666666688E-3</v>
      </c>
      <c r="I305" s="289">
        <f t="shared" si="130"/>
        <v>4.6000000000000025E-3</v>
      </c>
      <c r="J305" s="289">
        <f t="shared" si="130"/>
        <v>4.5333333333333363E-3</v>
      </c>
      <c r="K305" s="289">
        <f t="shared" si="130"/>
        <v>4.46666666666667E-3</v>
      </c>
      <c r="L305" s="289">
        <f t="shared" si="130"/>
        <v>4.4000000000000037E-3</v>
      </c>
      <c r="M305" s="289">
        <f t="shared" si="130"/>
        <v>4.3333333333333375E-3</v>
      </c>
      <c r="N305" s="289">
        <f t="shared" si="130"/>
        <v>4.2666666666666712E-3</v>
      </c>
      <c r="O305" s="289">
        <f t="shared" si="130"/>
        <v>4.2000000000000049E-3</v>
      </c>
      <c r="P305" s="289">
        <f t="shared" si="130"/>
        <v>4.1333333333333387E-3</v>
      </c>
      <c r="Q305" s="289">
        <f t="shared" si="130"/>
        <v>4.0666666666666724E-3</v>
      </c>
      <c r="R305" s="289">
        <f t="shared" si="130"/>
        <v>4.0000000000000062E-3</v>
      </c>
      <c r="S305" s="289">
        <f t="shared" si="130"/>
        <v>3.9333333333333399E-3</v>
      </c>
      <c r="T305" s="289">
        <f t="shared" si="130"/>
        <v>3.8666666666666732E-3</v>
      </c>
      <c r="U305" s="289">
        <f t="shared" si="130"/>
        <v>3.8000000000000065E-3</v>
      </c>
      <c r="V305" s="289">
        <f t="shared" si="130"/>
        <v>3.7333333333333398E-3</v>
      </c>
      <c r="W305" s="289">
        <f t="shared" si="130"/>
        <v>3.6666666666666731E-3</v>
      </c>
      <c r="X305" s="289">
        <f t="shared" si="130"/>
        <v>3.6000000000000064E-3</v>
      </c>
      <c r="Y305" s="289">
        <f t="shared" si="130"/>
        <v>3.5333333333333397E-3</v>
      </c>
      <c r="Z305" s="289">
        <f t="shared" si="130"/>
        <v>3.466666666666673E-3</v>
      </c>
      <c r="AA305" s="289">
        <f t="shared" si="130"/>
        <v>3.4000000000000063E-3</v>
      </c>
      <c r="AB305" s="289">
        <f t="shared" si="130"/>
        <v>3.3333333333333396E-3</v>
      </c>
      <c r="AC305" s="289">
        <f t="shared" si="130"/>
        <v>3.2666666666666729E-3</v>
      </c>
      <c r="AD305" s="289">
        <f t="shared" si="130"/>
        <v>3.2000000000000062E-3</v>
      </c>
      <c r="AE305" s="289">
        <f t="shared" si="130"/>
        <v>3.1333333333333395E-3</v>
      </c>
      <c r="AF305" s="289">
        <f t="shared" si="130"/>
        <v>3.0666666666666728E-3</v>
      </c>
      <c r="AG305" s="564">
        <v>3.0000000000000001E-3</v>
      </c>
      <c r="AI305" s="264"/>
      <c r="AJ305" t="s">
        <v>1470</v>
      </c>
    </row>
    <row r="306" spans="1:36" s="54" customFormat="1" outlineLevel="1">
      <c r="A306" s="54" t="s">
        <v>626</v>
      </c>
      <c r="B306" s="253"/>
      <c r="C306" s="545">
        <f>C29</f>
        <v>1364517.8067398996</v>
      </c>
      <c r="D306" s="545">
        <f t="shared" ref="D306:AG306" si="131">D29</f>
        <v>1361505.531598364</v>
      </c>
      <c r="E306" s="545">
        <f t="shared" si="131"/>
        <v>1358499.9062795597</v>
      </c>
      <c r="F306" s="545">
        <f t="shared" si="131"/>
        <v>1355500.9161035055</v>
      </c>
      <c r="G306" s="545">
        <f t="shared" si="131"/>
        <v>1352508.5464226273</v>
      </c>
      <c r="H306" s="545">
        <f t="shared" si="131"/>
        <v>1349522.7826216863</v>
      </c>
      <c r="I306" s="545">
        <f t="shared" si="131"/>
        <v>1346543.6101177093</v>
      </c>
      <c r="J306" s="545">
        <f t="shared" si="131"/>
        <v>1343571.014359914</v>
      </c>
      <c r="K306" s="545">
        <f t="shared" si="131"/>
        <v>1340604.9808296419</v>
      </c>
      <c r="L306" s="545">
        <f t="shared" si="131"/>
        <v>1337645.4950402847</v>
      </c>
      <c r="M306" s="545">
        <f t="shared" si="131"/>
        <v>1334692.5425372145</v>
      </c>
      <c r="N306" s="545">
        <f t="shared" si="131"/>
        <v>1331746.1088977128</v>
      </c>
      <c r="O306" s="545">
        <f t="shared" si="131"/>
        <v>1328806.1797309008</v>
      </c>
      <c r="P306" s="545">
        <f t="shared" si="131"/>
        <v>1325872.740677668</v>
      </c>
      <c r="Q306" s="545">
        <f t="shared" si="131"/>
        <v>1322945.7774106038</v>
      </c>
      <c r="R306" s="545">
        <f t="shared" si="131"/>
        <v>1320025.2756339256</v>
      </c>
      <c r="S306" s="545">
        <f t="shared" si="131"/>
        <v>1317111.2210834096</v>
      </c>
      <c r="T306" s="545">
        <f t="shared" si="131"/>
        <v>1314203.5995263222</v>
      </c>
      <c r="U306" s="545">
        <f t="shared" si="131"/>
        <v>1311302.3967613485</v>
      </c>
      <c r="V306" s="545">
        <f t="shared" si="131"/>
        <v>1308407.5986185251</v>
      </c>
      <c r="W306" s="545">
        <f t="shared" si="131"/>
        <v>1305519.1909591695</v>
      </c>
      <c r="X306" s="545">
        <f t="shared" si="131"/>
        <v>1302637.1596758114</v>
      </c>
      <c r="Y306" s="545">
        <f t="shared" si="131"/>
        <v>1299761.4906921235</v>
      </c>
      <c r="Z306" s="545">
        <f t="shared" si="131"/>
        <v>1296892.1699628537</v>
      </c>
      <c r="AA306" s="545">
        <f t="shared" si="131"/>
        <v>1294029.1834737547</v>
      </c>
      <c r="AB306" s="545">
        <f t="shared" si="131"/>
        <v>1291172.5172415182</v>
      </c>
      <c r="AC306" s="545">
        <f t="shared" si="131"/>
        <v>1288322.1573137043</v>
      </c>
      <c r="AD306" s="545">
        <f t="shared" si="131"/>
        <v>1285478.0897686738</v>
      </c>
      <c r="AE306" s="545">
        <f t="shared" si="131"/>
        <v>1282640.300715521</v>
      </c>
      <c r="AF306" s="545">
        <f t="shared" si="131"/>
        <v>1279808.7762940053</v>
      </c>
      <c r="AG306" s="545">
        <f t="shared" si="131"/>
        <v>1276983.5026744842</v>
      </c>
      <c r="AI306" s="255"/>
      <c r="AJ306" s="256"/>
    </row>
    <row r="307" spans="1:36" s="54" customFormat="1" outlineLevel="1">
      <c r="A307" s="257" t="s">
        <v>178</v>
      </c>
      <c r="B307" s="258" t="s">
        <v>127</v>
      </c>
      <c r="C307" s="259">
        <v>0</v>
      </c>
      <c r="D307" s="259">
        <v>0</v>
      </c>
      <c r="E307" s="259">
        <v>0</v>
      </c>
      <c r="F307" s="259">
        <v>0</v>
      </c>
      <c r="G307" s="259">
        <v>0</v>
      </c>
      <c r="H307" s="259">
        <v>0</v>
      </c>
      <c r="I307" s="259">
        <v>0</v>
      </c>
      <c r="J307" s="259">
        <v>0</v>
      </c>
      <c r="K307" s="259">
        <v>0</v>
      </c>
      <c r="L307" s="259">
        <v>0</v>
      </c>
      <c r="M307" s="259">
        <v>0</v>
      </c>
      <c r="N307" s="259">
        <v>0</v>
      </c>
      <c r="O307" s="259">
        <v>0</v>
      </c>
      <c r="P307" s="259">
        <v>0</v>
      </c>
      <c r="Q307" s="259">
        <v>0</v>
      </c>
      <c r="R307" s="259">
        <v>0</v>
      </c>
      <c r="S307" s="259">
        <v>0</v>
      </c>
      <c r="T307" s="259">
        <v>0</v>
      </c>
      <c r="U307" s="259">
        <v>0</v>
      </c>
      <c r="V307" s="259">
        <v>0</v>
      </c>
      <c r="W307" s="259">
        <v>0</v>
      </c>
      <c r="X307" s="259">
        <v>0</v>
      </c>
      <c r="Y307" s="259">
        <v>0</v>
      </c>
      <c r="Z307" s="259">
        <v>0</v>
      </c>
      <c r="AA307" s="259">
        <v>0</v>
      </c>
      <c r="AB307" s="259">
        <v>0</v>
      </c>
      <c r="AC307" s="259">
        <v>0</v>
      </c>
      <c r="AD307" s="259">
        <v>0</v>
      </c>
      <c r="AE307" s="259">
        <v>0</v>
      </c>
      <c r="AF307" s="259">
        <v>0</v>
      </c>
      <c r="AG307" s="259">
        <v>0</v>
      </c>
      <c r="AI307" s="255"/>
      <c r="AJ307" s="256"/>
    </row>
    <row r="308" spans="1:36" outlineLevel="1">
      <c r="A308" s="260" t="s">
        <v>619</v>
      </c>
      <c r="B308" s="252" t="s">
        <v>127</v>
      </c>
      <c r="C308" s="218">
        <f t="shared" ref="C308:AG308" si="132">C275</f>
        <v>607972.99627735908</v>
      </c>
      <c r="D308" s="218">
        <f t="shared" si="132"/>
        <v>618126.14531519089</v>
      </c>
      <c r="E308" s="218">
        <f t="shared" si="132"/>
        <v>628448.85194195458</v>
      </c>
      <c r="F308" s="218">
        <f t="shared" si="132"/>
        <v>638943.94776938518</v>
      </c>
      <c r="G308" s="218">
        <f t="shared" si="132"/>
        <v>649614.31169713382</v>
      </c>
      <c r="H308" s="218">
        <f t="shared" si="132"/>
        <v>660462.87070247589</v>
      </c>
      <c r="I308" s="218">
        <f t="shared" si="132"/>
        <v>671492.6006432072</v>
      </c>
      <c r="J308" s="218">
        <f t="shared" si="132"/>
        <v>682706.52707394876</v>
      </c>
      <c r="K308" s="218">
        <f t="shared" si="132"/>
        <v>694107.72607608361</v>
      </c>
      <c r="L308" s="218">
        <f t="shared" si="132"/>
        <v>705699.32510155416</v>
      </c>
      <c r="M308" s="218">
        <f t="shared" si="132"/>
        <v>717484.50383075012</v>
      </c>
      <c r="N308" s="218">
        <f t="shared" si="132"/>
        <v>729466.49504472362</v>
      </c>
      <c r="O308" s="218">
        <f t="shared" si="132"/>
        <v>741648.58551197045</v>
      </c>
      <c r="P308" s="218">
        <f t="shared" si="132"/>
        <v>754034.11689002032</v>
      </c>
      <c r="Q308" s="218">
        <f t="shared" si="132"/>
        <v>766626.48664208362</v>
      </c>
      <c r="R308" s="218">
        <f t="shared" si="132"/>
        <v>779429.14896900638</v>
      </c>
      <c r="S308" s="218">
        <f t="shared" si="132"/>
        <v>792445.61575678876</v>
      </c>
      <c r="T308" s="218">
        <f t="shared" si="132"/>
        <v>805679.4575399271</v>
      </c>
      <c r="U308" s="218">
        <f t="shared" si="132"/>
        <v>819134.30448084383</v>
      </c>
      <c r="V308" s="218">
        <f t="shared" si="132"/>
        <v>832813.84736567386</v>
      </c>
      <c r="W308" s="218">
        <f t="shared" si="132"/>
        <v>846721.83861668059</v>
      </c>
      <c r="X308" s="218">
        <f t="shared" si="132"/>
        <v>860862.09332157904</v>
      </c>
      <c r="Y308" s="218">
        <f t="shared" si="132"/>
        <v>875238.49028004939</v>
      </c>
      <c r="Z308" s="218">
        <f t="shared" si="132"/>
        <v>889854.97306772613</v>
      </c>
      <c r="AA308" s="218">
        <f t="shared" si="132"/>
        <v>904715.5511179571</v>
      </c>
      <c r="AB308" s="218">
        <f t="shared" si="132"/>
        <v>919824.30082162691</v>
      </c>
      <c r="AC308" s="218">
        <f t="shared" si="132"/>
        <v>935185.36664534803</v>
      </c>
      <c r="AD308" s="218">
        <f t="shared" si="132"/>
        <v>950802.96226832527</v>
      </c>
      <c r="AE308" s="218">
        <f t="shared" si="132"/>
        <v>966681.37173820625</v>
      </c>
      <c r="AF308" s="218">
        <f t="shared" si="132"/>
        <v>982824.95064623421</v>
      </c>
      <c r="AG308" s="218">
        <f t="shared" si="132"/>
        <v>999238.1273220263</v>
      </c>
      <c r="AI308" s="246"/>
    </row>
    <row r="309" spans="1:36" s="62" customFormat="1" outlineLevel="1">
      <c r="A309" s="261" t="s">
        <v>628</v>
      </c>
      <c r="B309" s="262" t="s">
        <v>127</v>
      </c>
      <c r="C309" s="263">
        <f>C306-C307-C308</f>
        <v>756544.81046254048</v>
      </c>
      <c r="D309" s="263">
        <f t="shared" ref="D309:AG309" si="133">D306-D307-D308</f>
        <v>743379.38628317311</v>
      </c>
      <c r="E309" s="263">
        <f t="shared" si="133"/>
        <v>730051.05433760514</v>
      </c>
      <c r="F309" s="263">
        <f t="shared" si="133"/>
        <v>716556.96833412035</v>
      </c>
      <c r="G309" s="263">
        <f t="shared" si="133"/>
        <v>702894.23472549347</v>
      </c>
      <c r="H309" s="263">
        <f t="shared" si="133"/>
        <v>689059.91191921046</v>
      </c>
      <c r="I309" s="263">
        <f t="shared" si="133"/>
        <v>675051.00947450206</v>
      </c>
      <c r="J309" s="263">
        <f t="shared" si="133"/>
        <v>660864.48728596524</v>
      </c>
      <c r="K309" s="263">
        <f t="shared" si="133"/>
        <v>646497.25475355831</v>
      </c>
      <c r="L309" s="263">
        <f t="shared" si="133"/>
        <v>631946.16993873054</v>
      </c>
      <c r="M309" s="263">
        <f t="shared" si="133"/>
        <v>617208.03870646434</v>
      </c>
      <c r="N309" s="263">
        <f t="shared" si="133"/>
        <v>602279.61385298916</v>
      </c>
      <c r="O309" s="263">
        <f t="shared" si="133"/>
        <v>587157.59421893035</v>
      </c>
      <c r="P309" s="263">
        <f t="shared" si="133"/>
        <v>571838.6237876477</v>
      </c>
      <c r="Q309" s="263">
        <f t="shared" si="133"/>
        <v>556319.29076852021</v>
      </c>
      <c r="R309" s="263">
        <f t="shared" si="133"/>
        <v>540596.1266649192</v>
      </c>
      <c r="S309" s="263">
        <f t="shared" si="133"/>
        <v>524665.60532662086</v>
      </c>
      <c r="T309" s="263">
        <f t="shared" si="133"/>
        <v>508524.14198639512</v>
      </c>
      <c r="U309" s="263">
        <f t="shared" si="133"/>
        <v>492168.09228050464</v>
      </c>
      <c r="V309" s="263">
        <f t="shared" si="133"/>
        <v>475593.75125285122</v>
      </c>
      <c r="W309" s="263">
        <f t="shared" si="133"/>
        <v>458797.35234248894</v>
      </c>
      <c r="X309" s="263">
        <f t="shared" si="133"/>
        <v>441775.06635423237</v>
      </c>
      <c r="Y309" s="263">
        <f t="shared" si="133"/>
        <v>424523.00041207415</v>
      </c>
      <c r="Z309" s="263">
        <f t="shared" si="133"/>
        <v>407037.19689512753</v>
      </c>
      <c r="AA309" s="263">
        <f t="shared" si="133"/>
        <v>389313.63235579757</v>
      </c>
      <c r="AB309" s="263">
        <f t="shared" si="133"/>
        <v>371348.21641989134</v>
      </c>
      <c r="AC309" s="263">
        <f t="shared" si="133"/>
        <v>353136.79066835623</v>
      </c>
      <c r="AD309" s="263">
        <f t="shared" si="133"/>
        <v>334675.12750034849</v>
      </c>
      <c r="AE309" s="263">
        <f t="shared" si="133"/>
        <v>315958.92897731473</v>
      </c>
      <c r="AF309" s="263">
        <f t="shared" si="133"/>
        <v>296983.82564777113</v>
      </c>
      <c r="AG309" s="263">
        <f t="shared" si="133"/>
        <v>277745.37535245786</v>
      </c>
      <c r="AI309" s="264"/>
      <c r="AJ309" s="265"/>
    </row>
    <row r="310" spans="1:36" outlineLevel="1">
      <c r="A310" s="104" t="s">
        <v>621</v>
      </c>
      <c r="B310" s="252" t="s">
        <v>127</v>
      </c>
      <c r="C310" s="203">
        <f>C279*C$309</f>
        <v>733848.46614866424</v>
      </c>
      <c r="D310" s="203">
        <f t="shared" ref="D310:AG310" si="134">D279*D$309</f>
        <v>721325.79782343889</v>
      </c>
      <c r="E310" s="203">
        <f t="shared" si="134"/>
        <v>708636.22341036866</v>
      </c>
      <c r="F310" s="203">
        <f t="shared" si="134"/>
        <v>695776.81625243078</v>
      </c>
      <c r="G310" s="203">
        <f t="shared" si="134"/>
        <v>682744.59999669588</v>
      </c>
      <c r="H310" s="203">
        <f t="shared" si="134"/>
        <v>669536.54774816602</v>
      </c>
      <c r="I310" s="203">
        <f t="shared" si="134"/>
        <v>656149.5812092158</v>
      </c>
      <c r="J310" s="203">
        <f t="shared" si="134"/>
        <v>642580.5698043867</v>
      </c>
      <c r="K310" s="203">
        <f t="shared" si="134"/>
        <v>628826.32979029417</v>
      </c>
      <c r="L310" s="203">
        <f t="shared" si="134"/>
        <v>614883.62335038465</v>
      </c>
      <c r="M310" s="203">
        <f t="shared" si="134"/>
        <v>600749.15767429175</v>
      </c>
      <c r="N310" s="203">
        <f t="shared" si="134"/>
        <v>586419.58402152685</v>
      </c>
      <c r="O310" s="203">
        <f t="shared" si="134"/>
        <v>571891.49676923791</v>
      </c>
      <c r="P310" s="203">
        <f t="shared" si="134"/>
        <v>557161.43244376441</v>
      </c>
      <c r="Q310" s="203">
        <f t="shared" si="134"/>
        <v>542225.86873571738</v>
      </c>
      <c r="R310" s="203">
        <f t="shared" si="134"/>
        <v>527081.22349829588</v>
      </c>
      <c r="S310" s="203">
        <f t="shared" si="134"/>
        <v>511723.85372856387</v>
      </c>
      <c r="T310" s="203">
        <f t="shared" si="134"/>
        <v>496150.05453139252</v>
      </c>
      <c r="U310" s="203">
        <f t="shared" si="134"/>
        <v>480356.05806577217</v>
      </c>
      <c r="V310" s="203">
        <f t="shared" si="134"/>
        <v>464338.03247320006</v>
      </c>
      <c r="W310" s="203">
        <f t="shared" si="134"/>
        <v>448092.08078783052</v>
      </c>
      <c r="X310" s="203">
        <f t="shared" si="134"/>
        <v>431614.23982808465</v>
      </c>
      <c r="Y310" s="203">
        <f t="shared" si="134"/>
        <v>414900.47906940011</v>
      </c>
      <c r="Z310" s="203">
        <f t="shared" si="134"/>
        <v>397946.69949780265</v>
      </c>
      <c r="AA310" s="203">
        <f t="shared" si="134"/>
        <v>380748.7324439697</v>
      </c>
      <c r="AB310" s="203">
        <f t="shared" si="134"/>
        <v>363302.33839746</v>
      </c>
      <c r="AC310" s="203">
        <f t="shared" si="134"/>
        <v>345603.20580076426</v>
      </c>
      <c r="AD310" s="203">
        <f t="shared" si="134"/>
        <v>327646.9498228408</v>
      </c>
      <c r="AE310" s="203">
        <f t="shared" si="134"/>
        <v>309429.11111178325</v>
      </c>
      <c r="AF310" s="203">
        <f t="shared" si="134"/>
        <v>290945.15452626609</v>
      </c>
      <c r="AG310" s="203">
        <f t="shared" si="134"/>
        <v>272190.46784540871</v>
      </c>
      <c r="AI310" s="188"/>
    </row>
    <row r="311" spans="1:36" outlineLevel="1">
      <c r="A311" s="104" t="s">
        <v>620</v>
      </c>
      <c r="B311" s="252" t="s">
        <v>127</v>
      </c>
      <c r="C311" s="203">
        <f t="shared" ref="C311:AG315" si="135">C280*C$309</f>
        <v>7565.448104625405</v>
      </c>
      <c r="D311" s="203">
        <f t="shared" si="135"/>
        <v>7433.7938628317315</v>
      </c>
      <c r="E311" s="203">
        <f t="shared" si="135"/>
        <v>7300.5105433760518</v>
      </c>
      <c r="F311" s="203">
        <f t="shared" si="135"/>
        <v>7165.5696833412039</v>
      </c>
      <c r="G311" s="203">
        <f t="shared" si="135"/>
        <v>7028.9423472549352</v>
      </c>
      <c r="H311" s="203">
        <f t="shared" si="135"/>
        <v>6890.5991191921048</v>
      </c>
      <c r="I311" s="203">
        <f t="shared" si="135"/>
        <v>6750.510094745021</v>
      </c>
      <c r="J311" s="203">
        <f t="shared" si="135"/>
        <v>6608.6448728596524</v>
      </c>
      <c r="K311" s="203">
        <f t="shared" si="135"/>
        <v>6464.9725475355835</v>
      </c>
      <c r="L311" s="203">
        <f t="shared" si="135"/>
        <v>6319.461699387306</v>
      </c>
      <c r="M311" s="203">
        <f t="shared" si="135"/>
        <v>6172.0803870646432</v>
      </c>
      <c r="N311" s="203">
        <f t="shared" si="135"/>
        <v>6022.7961385298913</v>
      </c>
      <c r="O311" s="203">
        <f t="shared" si="135"/>
        <v>5871.5759421893035</v>
      </c>
      <c r="P311" s="203">
        <f t="shared" si="135"/>
        <v>5718.386237876477</v>
      </c>
      <c r="Q311" s="203">
        <f t="shared" si="135"/>
        <v>5563.192907685202</v>
      </c>
      <c r="R311" s="203">
        <f t="shared" si="135"/>
        <v>5405.9612666491921</v>
      </c>
      <c r="S311" s="203">
        <f t="shared" si="135"/>
        <v>5246.6560532662088</v>
      </c>
      <c r="T311" s="203">
        <f t="shared" si="135"/>
        <v>5085.2414198639517</v>
      </c>
      <c r="U311" s="203">
        <f t="shared" si="135"/>
        <v>4921.680922805047</v>
      </c>
      <c r="V311" s="203">
        <f t="shared" si="135"/>
        <v>4755.9375125285123</v>
      </c>
      <c r="W311" s="203">
        <f t="shared" si="135"/>
        <v>4587.9735234248892</v>
      </c>
      <c r="X311" s="203">
        <f t="shared" si="135"/>
        <v>4417.7506635423242</v>
      </c>
      <c r="Y311" s="203">
        <f t="shared" si="135"/>
        <v>4245.2300041207418</v>
      </c>
      <c r="Z311" s="203">
        <f t="shared" si="135"/>
        <v>4070.3719689512754</v>
      </c>
      <c r="AA311" s="203">
        <f t="shared" si="135"/>
        <v>3893.1363235579756</v>
      </c>
      <c r="AB311" s="203">
        <f t="shared" si="135"/>
        <v>3713.4821641989133</v>
      </c>
      <c r="AC311" s="203">
        <f t="shared" si="135"/>
        <v>3531.3679066835625</v>
      </c>
      <c r="AD311" s="203">
        <f t="shared" si="135"/>
        <v>3346.7512750034848</v>
      </c>
      <c r="AE311" s="203">
        <f t="shared" si="135"/>
        <v>3159.5892897731474</v>
      </c>
      <c r="AF311" s="203">
        <f t="shared" si="135"/>
        <v>2969.8382564777112</v>
      </c>
      <c r="AG311" s="203">
        <f t="shared" si="135"/>
        <v>2777.4537535245786</v>
      </c>
      <c r="AI311" s="188"/>
    </row>
    <row r="312" spans="1:36" outlineLevel="1">
      <c r="A312" s="104" t="s">
        <v>622</v>
      </c>
      <c r="B312" s="252" t="s">
        <v>127</v>
      </c>
      <c r="C312" s="203">
        <f t="shared" si="135"/>
        <v>0</v>
      </c>
      <c r="D312" s="203">
        <f t="shared" si="135"/>
        <v>0</v>
      </c>
      <c r="E312" s="203">
        <f t="shared" si="135"/>
        <v>0</v>
      </c>
      <c r="F312" s="203">
        <f t="shared" si="135"/>
        <v>0</v>
      </c>
      <c r="G312" s="203">
        <f t="shared" si="135"/>
        <v>0</v>
      </c>
      <c r="H312" s="203">
        <f t="shared" si="135"/>
        <v>0</v>
      </c>
      <c r="I312" s="203">
        <f t="shared" si="135"/>
        <v>0</v>
      </c>
      <c r="J312" s="203">
        <f t="shared" si="135"/>
        <v>0</v>
      </c>
      <c r="K312" s="203">
        <f t="shared" si="135"/>
        <v>0</v>
      </c>
      <c r="L312" s="203">
        <f t="shared" si="135"/>
        <v>0</v>
      </c>
      <c r="M312" s="203">
        <f t="shared" si="135"/>
        <v>0</v>
      </c>
      <c r="N312" s="203">
        <f t="shared" si="135"/>
        <v>0</v>
      </c>
      <c r="O312" s="203">
        <f t="shared" si="135"/>
        <v>0</v>
      </c>
      <c r="P312" s="203">
        <f t="shared" si="135"/>
        <v>0</v>
      </c>
      <c r="Q312" s="203">
        <f t="shared" si="135"/>
        <v>0</v>
      </c>
      <c r="R312" s="203">
        <f t="shared" si="135"/>
        <v>0</v>
      </c>
      <c r="S312" s="203">
        <f t="shared" si="135"/>
        <v>0</v>
      </c>
      <c r="T312" s="203">
        <f t="shared" si="135"/>
        <v>0</v>
      </c>
      <c r="U312" s="203">
        <f t="shared" si="135"/>
        <v>0</v>
      </c>
      <c r="V312" s="203">
        <f t="shared" si="135"/>
        <v>0</v>
      </c>
      <c r="W312" s="203">
        <f t="shared" si="135"/>
        <v>0</v>
      </c>
      <c r="X312" s="203">
        <f t="shared" si="135"/>
        <v>0</v>
      </c>
      <c r="Y312" s="203">
        <f t="shared" si="135"/>
        <v>0</v>
      </c>
      <c r="Z312" s="203">
        <f t="shared" si="135"/>
        <v>0</v>
      </c>
      <c r="AA312" s="203">
        <f t="shared" si="135"/>
        <v>0</v>
      </c>
      <c r="AB312" s="203">
        <f t="shared" si="135"/>
        <v>0</v>
      </c>
      <c r="AC312" s="203">
        <f t="shared" si="135"/>
        <v>0</v>
      </c>
      <c r="AD312" s="203">
        <f t="shared" si="135"/>
        <v>0</v>
      </c>
      <c r="AE312" s="203">
        <f t="shared" si="135"/>
        <v>0</v>
      </c>
      <c r="AF312" s="203">
        <f t="shared" si="135"/>
        <v>0</v>
      </c>
      <c r="AG312" s="203">
        <f t="shared" si="135"/>
        <v>0</v>
      </c>
      <c r="AI312" s="188"/>
    </row>
    <row r="313" spans="1:36" outlineLevel="1">
      <c r="A313" s="104" t="s">
        <v>623</v>
      </c>
      <c r="B313" s="252" t="s">
        <v>127</v>
      </c>
      <c r="C313" s="203">
        <f t="shared" si="135"/>
        <v>0</v>
      </c>
      <c r="D313" s="203">
        <f t="shared" si="135"/>
        <v>0</v>
      </c>
      <c r="E313" s="203">
        <f t="shared" si="135"/>
        <v>0</v>
      </c>
      <c r="F313" s="203">
        <f t="shared" si="135"/>
        <v>0</v>
      </c>
      <c r="G313" s="203">
        <f t="shared" si="135"/>
        <v>0</v>
      </c>
      <c r="H313" s="203">
        <f t="shared" si="135"/>
        <v>0</v>
      </c>
      <c r="I313" s="203">
        <f t="shared" si="135"/>
        <v>0</v>
      </c>
      <c r="J313" s="203">
        <f t="shared" si="135"/>
        <v>0</v>
      </c>
      <c r="K313" s="203">
        <f t="shared" si="135"/>
        <v>0</v>
      </c>
      <c r="L313" s="203">
        <f t="shared" si="135"/>
        <v>0</v>
      </c>
      <c r="M313" s="203">
        <f t="shared" si="135"/>
        <v>0</v>
      </c>
      <c r="N313" s="203">
        <f t="shared" si="135"/>
        <v>0</v>
      </c>
      <c r="O313" s="203">
        <f t="shared" si="135"/>
        <v>0</v>
      </c>
      <c r="P313" s="203">
        <f t="shared" si="135"/>
        <v>0</v>
      </c>
      <c r="Q313" s="203">
        <f t="shared" si="135"/>
        <v>0</v>
      </c>
      <c r="R313" s="203">
        <f t="shared" si="135"/>
        <v>0</v>
      </c>
      <c r="S313" s="203">
        <f t="shared" si="135"/>
        <v>0</v>
      </c>
      <c r="T313" s="203">
        <f t="shared" si="135"/>
        <v>0</v>
      </c>
      <c r="U313" s="203">
        <f t="shared" si="135"/>
        <v>0</v>
      </c>
      <c r="V313" s="203">
        <f t="shared" si="135"/>
        <v>0</v>
      </c>
      <c r="W313" s="203">
        <f t="shared" si="135"/>
        <v>0</v>
      </c>
      <c r="X313" s="203">
        <f t="shared" si="135"/>
        <v>0</v>
      </c>
      <c r="Y313" s="203">
        <f t="shared" si="135"/>
        <v>0</v>
      </c>
      <c r="Z313" s="203">
        <f t="shared" si="135"/>
        <v>0</v>
      </c>
      <c r="AA313" s="203">
        <f t="shared" si="135"/>
        <v>0</v>
      </c>
      <c r="AB313" s="203">
        <f t="shared" si="135"/>
        <v>0</v>
      </c>
      <c r="AC313" s="203">
        <f t="shared" si="135"/>
        <v>0</v>
      </c>
      <c r="AD313" s="203">
        <f t="shared" si="135"/>
        <v>0</v>
      </c>
      <c r="AE313" s="203">
        <f t="shared" si="135"/>
        <v>0</v>
      </c>
      <c r="AF313" s="203">
        <f t="shared" si="135"/>
        <v>0</v>
      </c>
      <c r="AG313" s="203">
        <f t="shared" si="135"/>
        <v>0</v>
      </c>
      <c r="AI313" s="188"/>
    </row>
    <row r="314" spans="1:36" outlineLevel="1">
      <c r="A314" s="104" t="s">
        <v>624</v>
      </c>
      <c r="B314" s="252" t="s">
        <v>127</v>
      </c>
      <c r="C314" s="203">
        <f t="shared" si="135"/>
        <v>11348.172156938106</v>
      </c>
      <c r="D314" s="203">
        <f t="shared" si="135"/>
        <v>10952.45629123875</v>
      </c>
      <c r="E314" s="203">
        <f t="shared" si="135"/>
        <v>10561.405252750686</v>
      </c>
      <c r="F314" s="203">
        <f t="shared" si="135"/>
        <v>10175.108950344509</v>
      </c>
      <c r="G314" s="203">
        <f t="shared" si="135"/>
        <v>9793.6596705085412</v>
      </c>
      <c r="H314" s="203">
        <f t="shared" si="135"/>
        <v>9417.1521295625425</v>
      </c>
      <c r="I314" s="203">
        <f t="shared" si="135"/>
        <v>9045.6835269583262</v>
      </c>
      <c r="J314" s="203">
        <f t="shared" si="135"/>
        <v>8679.3535996890096</v>
      </c>
      <c r="K314" s="203">
        <f t="shared" si="135"/>
        <v>8318.2646778291164</v>
      </c>
      <c r="L314" s="203">
        <f t="shared" si="135"/>
        <v>7962.5217412280035</v>
      </c>
      <c r="M314" s="203">
        <f t="shared" si="135"/>
        <v>7612.2324773797254</v>
      </c>
      <c r="N314" s="203">
        <f t="shared" si="135"/>
        <v>7267.5073404927343</v>
      </c>
      <c r="O314" s="203">
        <f t="shared" si="135"/>
        <v>6928.4596117833771</v>
      </c>
      <c r="P314" s="203">
        <f t="shared" si="135"/>
        <v>6595.2054610175355</v>
      </c>
      <c r="Q314" s="203">
        <f t="shared" si="135"/>
        <v>6267.8640093253262</v>
      </c>
      <c r="R314" s="203">
        <f t="shared" si="135"/>
        <v>5946.5573933141095</v>
      </c>
      <c r="S314" s="203">
        <f t="shared" si="135"/>
        <v>5631.4108305057289</v>
      </c>
      <c r="T314" s="203">
        <f t="shared" si="135"/>
        <v>5322.5526861242679</v>
      </c>
      <c r="U314" s="203">
        <f t="shared" si="135"/>
        <v>5020.1145412611459</v>
      </c>
      <c r="V314" s="203">
        <f t="shared" si="135"/>
        <v>4724.2312624449878</v>
      </c>
      <c r="W314" s="203">
        <f t="shared" si="135"/>
        <v>4435.0410726440587</v>
      </c>
      <c r="X314" s="203">
        <f t="shared" si="135"/>
        <v>4152.6856237297834</v>
      </c>
      <c r="Y314" s="203">
        <f t="shared" si="135"/>
        <v>3877.310070430276</v>
      </c>
      <c r="Z314" s="203">
        <f t="shared" si="135"/>
        <v>3609.0631458034627</v>
      </c>
      <c r="AA314" s="203">
        <f t="shared" si="135"/>
        <v>3348.0972382598579</v>
      </c>
      <c r="AB314" s="203">
        <f t="shared" si="135"/>
        <v>3094.5684701657597</v>
      </c>
      <c r="AC314" s="203">
        <f t="shared" si="135"/>
        <v>2848.6367780580722</v>
      </c>
      <c r="AD314" s="203">
        <f t="shared" si="135"/>
        <v>2610.465994502717</v>
      </c>
      <c r="AE314" s="203">
        <f t="shared" si="135"/>
        <v>2380.2239316291029</v>
      </c>
      <c r="AF314" s="203">
        <f t="shared" si="135"/>
        <v>2158.0824663738022</v>
      </c>
      <c r="AG314" s="203">
        <f t="shared" si="135"/>
        <v>1944.2176274672051</v>
      </c>
      <c r="AI314" s="188"/>
    </row>
    <row r="315" spans="1:36" outlineLevel="1">
      <c r="A315" s="104" t="s">
        <v>625</v>
      </c>
      <c r="B315" s="252" t="s">
        <v>127</v>
      </c>
      <c r="C315" s="203">
        <f t="shared" si="135"/>
        <v>3782.7240523127025</v>
      </c>
      <c r="D315" s="203">
        <f t="shared" si="135"/>
        <v>3667.3383056636544</v>
      </c>
      <c r="E315" s="203">
        <f t="shared" si="135"/>
        <v>3552.9151311096789</v>
      </c>
      <c r="F315" s="203">
        <f t="shared" si="135"/>
        <v>3439.4734480037787</v>
      </c>
      <c r="G315" s="203">
        <f t="shared" si="135"/>
        <v>3327.0327110340036</v>
      </c>
      <c r="H315" s="203">
        <f t="shared" si="135"/>
        <v>3215.6129222896502</v>
      </c>
      <c r="I315" s="203">
        <f t="shared" si="135"/>
        <v>3105.2346435827112</v>
      </c>
      <c r="J315" s="203">
        <f t="shared" si="135"/>
        <v>2995.9190090297111</v>
      </c>
      <c r="K315" s="203">
        <f t="shared" si="135"/>
        <v>2887.6877378992294</v>
      </c>
      <c r="L315" s="203">
        <f t="shared" si="135"/>
        <v>2780.5631477304169</v>
      </c>
      <c r="M315" s="203">
        <f t="shared" si="135"/>
        <v>2674.5681677280145</v>
      </c>
      <c r="N315" s="203">
        <f t="shared" si="135"/>
        <v>2569.726352439423</v>
      </c>
      <c r="O315" s="203">
        <f t="shared" si="135"/>
        <v>2466.0618957195102</v>
      </c>
      <c r="P315" s="203">
        <f t="shared" si="135"/>
        <v>2363.5996449889467</v>
      </c>
      <c r="Q315" s="203">
        <f t="shared" si="135"/>
        <v>2262.3651157919853</v>
      </c>
      <c r="R315" s="203">
        <f t="shared" si="135"/>
        <v>2162.38450665968</v>
      </c>
      <c r="S315" s="203">
        <f t="shared" si="135"/>
        <v>2063.6847142847123</v>
      </c>
      <c r="T315" s="203">
        <f t="shared" si="135"/>
        <v>1966.2933490140645</v>
      </c>
      <c r="U315" s="203">
        <f t="shared" si="135"/>
        <v>1870.2387506659209</v>
      </c>
      <c r="V315" s="203">
        <f t="shared" si="135"/>
        <v>1775.5500046773143</v>
      </c>
      <c r="W315" s="203">
        <f t="shared" si="135"/>
        <v>1682.256958589129</v>
      </c>
      <c r="X315" s="203">
        <f t="shared" si="135"/>
        <v>1590.3902388752394</v>
      </c>
      <c r="Y315" s="203">
        <f t="shared" si="135"/>
        <v>1499.9812681226647</v>
      </c>
      <c r="Z315" s="203">
        <f t="shared" si="135"/>
        <v>1411.0622825697781</v>
      </c>
      <c r="AA315" s="203">
        <f t="shared" si="135"/>
        <v>1323.6663500097143</v>
      </c>
      <c r="AB315" s="203">
        <f t="shared" si="135"/>
        <v>1237.8273880663069</v>
      </c>
      <c r="AC315" s="203">
        <f t="shared" si="135"/>
        <v>1153.5801828499659</v>
      </c>
      <c r="AD315" s="203">
        <f t="shared" si="135"/>
        <v>1070.9604080011172</v>
      </c>
      <c r="AE315" s="203">
        <f t="shared" si="135"/>
        <v>990.00464412892143</v>
      </c>
      <c r="AF315" s="203">
        <f t="shared" si="135"/>
        <v>910.7503986531666</v>
      </c>
      <c r="AG315" s="203">
        <f t="shared" si="135"/>
        <v>833.23612605737355</v>
      </c>
      <c r="AI315" s="188"/>
    </row>
    <row r="316" spans="1:36" s="54" customFormat="1">
      <c r="A316" s="54" t="s">
        <v>627</v>
      </c>
      <c r="B316" s="253"/>
      <c r="C316" s="545">
        <f>C44</f>
        <v>1364517.8067398996</v>
      </c>
      <c r="D316" s="545">
        <f t="shared" ref="D316:AG316" si="136">D44</f>
        <v>1356148.5607940939</v>
      </c>
      <c r="E316" s="545">
        <f t="shared" si="136"/>
        <v>1346008.989093397</v>
      </c>
      <c r="F316" s="545">
        <f t="shared" si="136"/>
        <v>1336805.9022755115</v>
      </c>
      <c r="G316" s="545">
        <f t="shared" si="136"/>
        <v>1327636.888840833</v>
      </c>
      <c r="H316" s="545">
        <f t="shared" si="136"/>
        <v>1318501.8432004759</v>
      </c>
      <c r="I316" s="545">
        <f t="shared" si="136"/>
        <v>1304132.2456604028</v>
      </c>
      <c r="J316" s="545">
        <f t="shared" si="136"/>
        <v>1289819.6664743703</v>
      </c>
      <c r="K316" s="545">
        <f t="shared" si="136"/>
        <v>1275563.9239264175</v>
      </c>
      <c r="L316" s="545">
        <f t="shared" si="136"/>
        <v>1261364.8368250139</v>
      </c>
      <c r="M316" s="545">
        <f t="shared" si="136"/>
        <v>1247222.2245016305</v>
      </c>
      <c r="N316" s="545">
        <f t="shared" si="136"/>
        <v>1229340.7567975949</v>
      </c>
      <c r="O316" s="545">
        <f t="shared" si="136"/>
        <v>1211532.1602529739</v>
      </c>
      <c r="P316" s="545">
        <f t="shared" si="136"/>
        <v>1193774.1038458645</v>
      </c>
      <c r="Q316" s="545">
        <f t="shared" si="136"/>
        <v>1176088.2100906179</v>
      </c>
      <c r="R316" s="545">
        <f t="shared" si="136"/>
        <v>1158474.2476653904</v>
      </c>
      <c r="S316" s="545">
        <f t="shared" si="136"/>
        <v>1142035.833201631</v>
      </c>
      <c r="T316" s="545">
        <f t="shared" si="136"/>
        <v>1125664.0157754538</v>
      </c>
      <c r="U316" s="545">
        <f t="shared" si="136"/>
        <v>1109358.5822019852</v>
      </c>
      <c r="V316" s="545">
        <f t="shared" si="136"/>
        <v>1093119.3199114071</v>
      </c>
      <c r="W316" s="545">
        <f t="shared" si="136"/>
        <v>1076946.016947285</v>
      </c>
      <c r="X316" s="545">
        <f t="shared" si="136"/>
        <v>1063555.237842262</v>
      </c>
      <c r="Y316" s="545">
        <f t="shared" si="136"/>
        <v>1050218.0010123064</v>
      </c>
      <c r="Z316" s="545">
        <f t="shared" si="136"/>
        <v>1036853.733647906</v>
      </c>
      <c r="AA316" s="545">
        <f t="shared" si="136"/>
        <v>1023540.8770447636</v>
      </c>
      <c r="AB316" s="545">
        <f t="shared" si="136"/>
        <v>1010279.2748126676</v>
      </c>
      <c r="AC316" s="545">
        <f t="shared" si="136"/>
        <v>996493.19763038645</v>
      </c>
      <c r="AD316" s="545">
        <f t="shared" si="136"/>
        <v>982760.60456374893</v>
      </c>
      <c r="AE316" s="545">
        <f t="shared" si="136"/>
        <v>969081.33208789129</v>
      </c>
      <c r="AF316" s="545">
        <f t="shared" si="136"/>
        <v>955455.21712729882</v>
      </c>
      <c r="AG316" s="545">
        <f t="shared" si="136"/>
        <v>941882.09705464623</v>
      </c>
      <c r="AI316" s="255"/>
      <c r="AJ316" s="256"/>
    </row>
    <row r="317" spans="1:36" s="54" customFormat="1">
      <c r="A317" s="257" t="s">
        <v>178</v>
      </c>
      <c r="B317" s="258" t="s">
        <v>127</v>
      </c>
      <c r="C317" s="259">
        <f>C316-C306</f>
        <v>0</v>
      </c>
      <c r="D317" s="259">
        <f t="shared" ref="D317:AG317" si="137">D316-D306</f>
        <v>-5356.9708042701241</v>
      </c>
      <c r="E317" s="259">
        <f t="shared" si="137"/>
        <v>-12490.917186162667</v>
      </c>
      <c r="F317" s="259">
        <f t="shared" si="137"/>
        <v>-18695.013827994</v>
      </c>
      <c r="G317" s="259">
        <f t="shared" si="137"/>
        <v>-24871.657581794308</v>
      </c>
      <c r="H317" s="259">
        <f t="shared" si="137"/>
        <v>-31020.939421210438</v>
      </c>
      <c r="I317" s="259">
        <f t="shared" si="137"/>
        <v>-42411.364457306452</v>
      </c>
      <c r="J317" s="259">
        <f t="shared" si="137"/>
        <v>-53751.347885543713</v>
      </c>
      <c r="K317" s="259">
        <f t="shared" si="137"/>
        <v>-65041.056903224438</v>
      </c>
      <c r="L317" s="259">
        <f t="shared" si="137"/>
        <v>-76280.658215270843</v>
      </c>
      <c r="M317" s="259">
        <f t="shared" si="137"/>
        <v>-87470.318035583943</v>
      </c>
      <c r="N317" s="259">
        <f t="shared" si="137"/>
        <v>-102405.35210011783</v>
      </c>
      <c r="O317" s="259">
        <f t="shared" si="137"/>
        <v>-117274.01947792689</v>
      </c>
      <c r="P317" s="259">
        <f t="shared" si="137"/>
        <v>-132098.63683180348</v>
      </c>
      <c r="Q317" s="259">
        <f t="shared" si="137"/>
        <v>-146857.56731998594</v>
      </c>
      <c r="R317" s="259">
        <f t="shared" si="137"/>
        <v>-161551.0279685352</v>
      </c>
      <c r="S317" s="259">
        <f t="shared" si="137"/>
        <v>-175075.38788177865</v>
      </c>
      <c r="T317" s="259">
        <f t="shared" si="137"/>
        <v>-188539.58375086845</v>
      </c>
      <c r="U317" s="259">
        <f t="shared" si="137"/>
        <v>-201943.81455936329</v>
      </c>
      <c r="V317" s="259">
        <f t="shared" si="137"/>
        <v>-215288.27870711801</v>
      </c>
      <c r="W317" s="259">
        <f t="shared" si="137"/>
        <v>-228573.17401188449</v>
      </c>
      <c r="X317" s="259">
        <f t="shared" si="137"/>
        <v>-239081.92183354939</v>
      </c>
      <c r="Y317" s="259">
        <f t="shared" si="137"/>
        <v>-249543.48967981711</v>
      </c>
      <c r="Z317" s="259">
        <f t="shared" si="137"/>
        <v>-260038.43631494767</v>
      </c>
      <c r="AA317" s="259">
        <f t="shared" si="137"/>
        <v>-270488.30642899103</v>
      </c>
      <c r="AB317" s="259">
        <f t="shared" si="137"/>
        <v>-280893.24242885062</v>
      </c>
      <c r="AC317" s="259">
        <f t="shared" si="137"/>
        <v>-291828.95968331781</v>
      </c>
      <c r="AD317" s="259">
        <f t="shared" si="137"/>
        <v>-302717.48520492483</v>
      </c>
      <c r="AE317" s="259">
        <f t="shared" si="137"/>
        <v>-313558.96862762969</v>
      </c>
      <c r="AF317" s="259">
        <f t="shared" si="137"/>
        <v>-324353.55916670652</v>
      </c>
      <c r="AG317" s="259">
        <f t="shared" si="137"/>
        <v>-335101.40561983793</v>
      </c>
      <c r="AI317" s="255"/>
      <c r="AJ317" s="256"/>
    </row>
    <row r="318" spans="1:36">
      <c r="A318" s="260" t="s">
        <v>619</v>
      </c>
      <c r="B318" s="252" t="s">
        <v>127</v>
      </c>
      <c r="C318" s="218">
        <f>C274</f>
        <v>607972.99627735908</v>
      </c>
      <c r="D318" s="218">
        <f t="shared" ref="D318:AG318" si="138">D274</f>
        <v>627076.02157340618</v>
      </c>
      <c r="E318" s="218">
        <f t="shared" si="138"/>
        <v>642107.0740080846</v>
      </c>
      <c r="F318" s="218">
        <f t="shared" si="138"/>
        <v>656381.30903086939</v>
      </c>
      <c r="G318" s="218">
        <f t="shared" si="138"/>
        <v>668916.7340491449</v>
      </c>
      <c r="H318" s="218">
        <f t="shared" si="138"/>
        <v>679804.69186257268</v>
      </c>
      <c r="I318" s="218">
        <f t="shared" si="138"/>
        <v>688283.71227467514</v>
      </c>
      <c r="J318" s="218">
        <f t="shared" si="138"/>
        <v>695106.94810910639</v>
      </c>
      <c r="K318" s="218">
        <f t="shared" si="138"/>
        <v>700343.1296716053</v>
      </c>
      <c r="L318" s="218">
        <f t="shared" si="138"/>
        <v>704058.79098738404</v>
      </c>
      <c r="M318" s="218">
        <f t="shared" si="138"/>
        <v>706318.29087099642</v>
      </c>
      <c r="N318" s="218">
        <f t="shared" si="138"/>
        <v>692646.04202462733</v>
      </c>
      <c r="O318" s="218">
        <f t="shared" si="138"/>
        <v>678341.79458307847</v>
      </c>
      <c r="P318" s="218">
        <f t="shared" si="138"/>
        <v>663448.7758699574</v>
      </c>
      <c r="Q318" s="218">
        <f t="shared" si="138"/>
        <v>648055.53328203317</v>
      </c>
      <c r="R318" s="218">
        <f t="shared" si="138"/>
        <v>632226.71686575538</v>
      </c>
      <c r="S318" s="218">
        <f t="shared" si="138"/>
        <v>616279.95602401998</v>
      </c>
      <c r="T318" s="218">
        <f t="shared" si="138"/>
        <v>600082.77414557547</v>
      </c>
      <c r="U318" s="218">
        <f t="shared" si="138"/>
        <v>583701.49313133804</v>
      </c>
      <c r="V318" s="218">
        <f t="shared" si="138"/>
        <v>567201.09678880428</v>
      </c>
      <c r="W318" s="218">
        <f t="shared" si="138"/>
        <v>550645.24239843374</v>
      </c>
      <c r="X318" s="218">
        <f t="shared" si="138"/>
        <v>544363.51969236112</v>
      </c>
      <c r="Y318" s="218">
        <f t="shared" si="138"/>
        <v>537369.15468366398</v>
      </c>
      <c r="Z318" s="218">
        <f t="shared" si="138"/>
        <v>529632.63141068793</v>
      </c>
      <c r="AA318" s="218">
        <f t="shared" si="138"/>
        <v>521306.08599842561</v>
      </c>
      <c r="AB318" s="218">
        <f t="shared" si="138"/>
        <v>512453.49342187447</v>
      </c>
      <c r="AC318" s="218">
        <f t="shared" si="138"/>
        <v>502730.22860063403</v>
      </c>
      <c r="AD318" s="218">
        <f t="shared" si="138"/>
        <v>492531.25269173499</v>
      </c>
      <c r="AE318" s="218">
        <f t="shared" si="138"/>
        <v>481909.50920086831</v>
      </c>
      <c r="AF318" s="218">
        <f t="shared" si="138"/>
        <v>470916.09603799751</v>
      </c>
      <c r="AG318" s="218">
        <f t="shared" si="138"/>
        <v>459600.28336097673</v>
      </c>
      <c r="AI318" s="246"/>
    </row>
    <row r="319" spans="1:36" s="62" customFormat="1">
      <c r="A319" s="261" t="s">
        <v>628</v>
      </c>
      <c r="B319" s="262" t="s">
        <v>127</v>
      </c>
      <c r="C319" s="263">
        <f>C316-C318</f>
        <v>756544.81046254048</v>
      </c>
      <c r="D319" s="263">
        <f t="shared" ref="D319:AG319" si="139">D316-D318</f>
        <v>729072.5392206877</v>
      </c>
      <c r="E319" s="263">
        <f t="shared" si="139"/>
        <v>703901.91508531244</v>
      </c>
      <c r="F319" s="263">
        <f t="shared" si="139"/>
        <v>680424.59324464214</v>
      </c>
      <c r="G319" s="263">
        <f t="shared" si="139"/>
        <v>658720.15479168808</v>
      </c>
      <c r="H319" s="263">
        <f t="shared" si="139"/>
        <v>638697.15133790323</v>
      </c>
      <c r="I319" s="263">
        <f t="shared" si="139"/>
        <v>615848.53338572767</v>
      </c>
      <c r="J319" s="263">
        <f t="shared" si="139"/>
        <v>594712.71836526389</v>
      </c>
      <c r="K319" s="263">
        <f t="shared" si="139"/>
        <v>575220.79425481218</v>
      </c>
      <c r="L319" s="263">
        <f t="shared" si="139"/>
        <v>557306.04583762982</v>
      </c>
      <c r="M319" s="263">
        <f t="shared" si="139"/>
        <v>540903.9336306341</v>
      </c>
      <c r="N319" s="263">
        <f t="shared" si="139"/>
        <v>536694.71477296762</v>
      </c>
      <c r="O319" s="263">
        <f t="shared" si="139"/>
        <v>533190.36566989543</v>
      </c>
      <c r="P319" s="263">
        <f t="shared" si="139"/>
        <v>530325.32797590713</v>
      </c>
      <c r="Q319" s="263">
        <f t="shared" si="139"/>
        <v>528032.67680858471</v>
      </c>
      <c r="R319" s="263">
        <f t="shared" si="139"/>
        <v>526247.53079963499</v>
      </c>
      <c r="S319" s="263">
        <f t="shared" si="139"/>
        <v>525755.87717761099</v>
      </c>
      <c r="T319" s="263">
        <f t="shared" si="139"/>
        <v>525581.24162987829</v>
      </c>
      <c r="U319" s="263">
        <f t="shared" si="139"/>
        <v>525657.08907064714</v>
      </c>
      <c r="V319" s="263">
        <f t="shared" si="139"/>
        <v>525918.22312260279</v>
      </c>
      <c r="W319" s="263">
        <f t="shared" si="139"/>
        <v>526300.7745488513</v>
      </c>
      <c r="X319" s="263">
        <f t="shared" si="139"/>
        <v>519191.7181499009</v>
      </c>
      <c r="Y319" s="263">
        <f t="shared" si="139"/>
        <v>512848.84632864245</v>
      </c>
      <c r="Z319" s="263">
        <f t="shared" si="139"/>
        <v>507221.10223721806</v>
      </c>
      <c r="AA319" s="263">
        <f t="shared" si="139"/>
        <v>502234.79104633804</v>
      </c>
      <c r="AB319" s="263">
        <f t="shared" si="139"/>
        <v>497825.78139079316</v>
      </c>
      <c r="AC319" s="263">
        <f t="shared" si="139"/>
        <v>493762.96902975242</v>
      </c>
      <c r="AD319" s="263">
        <f t="shared" si="139"/>
        <v>490229.35187201394</v>
      </c>
      <c r="AE319" s="263">
        <f t="shared" si="139"/>
        <v>487171.82288702298</v>
      </c>
      <c r="AF319" s="263">
        <f t="shared" si="139"/>
        <v>484539.1210893013</v>
      </c>
      <c r="AG319" s="263">
        <f t="shared" si="139"/>
        <v>482281.81369366951</v>
      </c>
      <c r="AI319" s="264"/>
      <c r="AJ319" s="265"/>
    </row>
    <row r="320" spans="1:36" s="54" customFormat="1" outlineLevel="1">
      <c r="A320" s="257" t="s">
        <v>656</v>
      </c>
      <c r="B320" s="258" t="s">
        <v>126</v>
      </c>
      <c r="C320" s="548">
        <f>C316*C286</f>
        <v>1337227.4506051017</v>
      </c>
      <c r="D320" s="548">
        <f t="shared" ref="D320:AG320" si="140">D316*D286</f>
        <v>1329477.6390984766</v>
      </c>
      <c r="E320" s="548">
        <f t="shared" si="140"/>
        <v>1319986.1486375912</v>
      </c>
      <c r="F320" s="548">
        <f t="shared" si="140"/>
        <v>1311406.5901322765</v>
      </c>
      <c r="G320" s="548">
        <f t="shared" si="140"/>
        <v>1302854.3335824707</v>
      </c>
      <c r="H320" s="548">
        <f t="shared" si="140"/>
        <v>1294329.309408467</v>
      </c>
      <c r="I320" s="548">
        <f t="shared" si="140"/>
        <v>1280657.8652385152</v>
      </c>
      <c r="J320" s="548">
        <f t="shared" si="140"/>
        <v>1267032.8523666561</v>
      </c>
      <c r="K320" s="548">
        <f t="shared" si="140"/>
        <v>1253454.1492450258</v>
      </c>
      <c r="L320" s="548">
        <f t="shared" si="140"/>
        <v>1239921.6345989881</v>
      </c>
      <c r="M320" s="548">
        <f t="shared" si="140"/>
        <v>1226435.1874266029</v>
      </c>
      <c r="N320" s="548">
        <f t="shared" si="140"/>
        <v>1209261.524436567</v>
      </c>
      <c r="O320" s="548">
        <f t="shared" si="140"/>
        <v>1192147.6456889259</v>
      </c>
      <c r="P320" s="548">
        <f t="shared" si="140"/>
        <v>1175071.6428856121</v>
      </c>
      <c r="Q320" s="548">
        <f t="shared" si="140"/>
        <v>1158054.8575358945</v>
      </c>
      <c r="R320" s="548">
        <f t="shared" si="140"/>
        <v>1141097.1339504088</v>
      </c>
      <c r="S320" s="548">
        <f t="shared" si="140"/>
        <v>1125285.9743146731</v>
      </c>
      <c r="T320" s="548">
        <f t="shared" si="140"/>
        <v>1109529.4982160048</v>
      </c>
      <c r="U320" s="548">
        <f t="shared" si="140"/>
        <v>1093827.5620511565</v>
      </c>
      <c r="V320" s="548">
        <f t="shared" si="140"/>
        <v>1078180.0225392836</v>
      </c>
      <c r="W320" s="548">
        <f t="shared" si="140"/>
        <v>1062586.7367213205</v>
      </c>
      <c r="X320" s="548">
        <f t="shared" si="140"/>
        <v>1049729.0197503117</v>
      </c>
      <c r="Y320" s="548">
        <f t="shared" si="140"/>
        <v>1036915.2396661497</v>
      </c>
      <c r="Z320" s="548">
        <f t="shared" si="140"/>
        <v>1024065.8709329142</v>
      </c>
      <c r="AA320" s="548">
        <f t="shared" si="140"/>
        <v>1011258.3865202256</v>
      </c>
      <c r="AB320" s="548">
        <f t="shared" si="140"/>
        <v>998492.68327318551</v>
      </c>
      <c r="AC320" s="548">
        <f t="shared" si="140"/>
        <v>985199.60805724107</v>
      </c>
      <c r="AD320" s="548">
        <f t="shared" si="140"/>
        <v>971950.23791354673</v>
      </c>
      <c r="AE320" s="548">
        <f t="shared" si="140"/>
        <v>958744.46454561944</v>
      </c>
      <c r="AF320" s="548">
        <f t="shared" si="140"/>
        <v>945582.17988364899</v>
      </c>
      <c r="AG320" s="548">
        <f t="shared" si="140"/>
        <v>932463.27608409978</v>
      </c>
      <c r="AI320" s="255"/>
      <c r="AJ320" s="288" t="s">
        <v>629</v>
      </c>
    </row>
    <row r="321" spans="1:36" s="54" customFormat="1" outlineLevel="1">
      <c r="A321" s="257" t="s">
        <v>667</v>
      </c>
      <c r="B321" s="258" t="s">
        <v>126</v>
      </c>
      <c r="C321" s="548">
        <f>C320*C287</f>
        <v>1337227.4506051017</v>
      </c>
      <c r="D321" s="548">
        <f t="shared" ref="D321:AG321" si="141">D320*D287</f>
        <v>1329477.6390984766</v>
      </c>
      <c r="E321" s="548">
        <f t="shared" si="141"/>
        <v>1319986.1486375912</v>
      </c>
      <c r="F321" s="548">
        <f t="shared" si="141"/>
        <v>1311406.5901322765</v>
      </c>
      <c r="G321" s="548">
        <f t="shared" si="141"/>
        <v>1302854.3335824707</v>
      </c>
      <c r="H321" s="548">
        <f t="shared" si="141"/>
        <v>1294329.309408467</v>
      </c>
      <c r="I321" s="548">
        <f t="shared" si="141"/>
        <v>1280657.8652385152</v>
      </c>
      <c r="J321" s="548">
        <f t="shared" si="141"/>
        <v>1267032.8523666561</v>
      </c>
      <c r="K321" s="548">
        <f t="shared" si="141"/>
        <v>1253454.1492450258</v>
      </c>
      <c r="L321" s="548">
        <f t="shared" si="141"/>
        <v>1239921.6345989881</v>
      </c>
      <c r="M321" s="548">
        <f t="shared" si="141"/>
        <v>1226435.1874266029</v>
      </c>
      <c r="N321" s="548">
        <f t="shared" si="141"/>
        <v>1209261.524436567</v>
      </c>
      <c r="O321" s="548">
        <f t="shared" si="141"/>
        <v>1192147.6456889259</v>
      </c>
      <c r="P321" s="548">
        <f t="shared" si="141"/>
        <v>1175071.6428856121</v>
      </c>
      <c r="Q321" s="548">
        <f t="shared" si="141"/>
        <v>1158054.8575358945</v>
      </c>
      <c r="R321" s="548">
        <f t="shared" si="141"/>
        <v>1141097.1339504088</v>
      </c>
      <c r="S321" s="548">
        <f t="shared" si="141"/>
        <v>1125285.9743146731</v>
      </c>
      <c r="T321" s="548">
        <f t="shared" si="141"/>
        <v>1109529.4982160048</v>
      </c>
      <c r="U321" s="548">
        <f t="shared" si="141"/>
        <v>1093827.5620511565</v>
      </c>
      <c r="V321" s="548">
        <f t="shared" si="141"/>
        <v>1078180.0225392836</v>
      </c>
      <c r="W321" s="548">
        <f t="shared" si="141"/>
        <v>1062586.7367213205</v>
      </c>
      <c r="X321" s="548">
        <f t="shared" si="141"/>
        <v>1049729.0197503117</v>
      </c>
      <c r="Y321" s="548">
        <f t="shared" si="141"/>
        <v>1036915.2396661497</v>
      </c>
      <c r="Z321" s="548">
        <f t="shared" si="141"/>
        <v>1024065.8709329142</v>
      </c>
      <c r="AA321" s="548">
        <f t="shared" si="141"/>
        <v>1011258.3865202256</v>
      </c>
      <c r="AB321" s="548">
        <f t="shared" si="141"/>
        <v>998492.68327318551</v>
      </c>
      <c r="AC321" s="548">
        <f t="shared" si="141"/>
        <v>985199.60805724107</v>
      </c>
      <c r="AD321" s="548">
        <f t="shared" si="141"/>
        <v>971950.23791354673</v>
      </c>
      <c r="AE321" s="548">
        <f t="shared" si="141"/>
        <v>958744.46454561944</v>
      </c>
      <c r="AF321" s="548">
        <f t="shared" si="141"/>
        <v>945582.17988364899</v>
      </c>
      <c r="AG321" s="548">
        <f t="shared" si="141"/>
        <v>932463.27608409978</v>
      </c>
      <c r="AI321" s="255"/>
      <c r="AJ321" s="288" t="s">
        <v>629</v>
      </c>
    </row>
    <row r="322" spans="1:36" s="58" customFormat="1" outlineLevel="1">
      <c r="A322" s="261" t="s">
        <v>668</v>
      </c>
      <c r="B322" s="262" t="s">
        <v>126</v>
      </c>
      <c r="C322" s="549">
        <f>C320*C288</f>
        <v>0</v>
      </c>
      <c r="D322" s="549">
        <f t="shared" ref="D322:AG322" si="142">D320*D288</f>
        <v>0</v>
      </c>
      <c r="E322" s="549">
        <f t="shared" si="142"/>
        <v>0</v>
      </c>
      <c r="F322" s="549">
        <f t="shared" si="142"/>
        <v>0</v>
      </c>
      <c r="G322" s="549">
        <f t="shared" si="142"/>
        <v>0</v>
      </c>
      <c r="H322" s="549">
        <f t="shared" si="142"/>
        <v>0</v>
      </c>
      <c r="I322" s="549">
        <f t="shared" si="142"/>
        <v>0</v>
      </c>
      <c r="J322" s="549">
        <f t="shared" si="142"/>
        <v>0</v>
      </c>
      <c r="K322" s="549">
        <f t="shared" si="142"/>
        <v>0</v>
      </c>
      <c r="L322" s="549">
        <f t="shared" si="142"/>
        <v>0</v>
      </c>
      <c r="M322" s="549">
        <f t="shared" si="142"/>
        <v>0</v>
      </c>
      <c r="N322" s="549">
        <f t="shared" si="142"/>
        <v>0</v>
      </c>
      <c r="O322" s="549">
        <f t="shared" si="142"/>
        <v>0</v>
      </c>
      <c r="P322" s="549">
        <f t="shared" si="142"/>
        <v>0</v>
      </c>
      <c r="Q322" s="549">
        <f t="shared" si="142"/>
        <v>0</v>
      </c>
      <c r="R322" s="549">
        <f t="shared" si="142"/>
        <v>0</v>
      </c>
      <c r="S322" s="549">
        <f t="shared" si="142"/>
        <v>0</v>
      </c>
      <c r="T322" s="549">
        <f t="shared" si="142"/>
        <v>0</v>
      </c>
      <c r="U322" s="549">
        <f t="shared" si="142"/>
        <v>0</v>
      </c>
      <c r="V322" s="549">
        <f t="shared" si="142"/>
        <v>0</v>
      </c>
      <c r="W322" s="549">
        <f t="shared" si="142"/>
        <v>0</v>
      </c>
      <c r="X322" s="549">
        <f t="shared" si="142"/>
        <v>0</v>
      </c>
      <c r="Y322" s="549">
        <f t="shared" si="142"/>
        <v>0</v>
      </c>
      <c r="Z322" s="549">
        <f t="shared" si="142"/>
        <v>0</v>
      </c>
      <c r="AA322" s="549">
        <f t="shared" si="142"/>
        <v>0</v>
      </c>
      <c r="AB322" s="549">
        <f t="shared" si="142"/>
        <v>0</v>
      </c>
      <c r="AC322" s="549">
        <f t="shared" si="142"/>
        <v>0</v>
      </c>
      <c r="AD322" s="549">
        <f t="shared" si="142"/>
        <v>0</v>
      </c>
      <c r="AE322" s="549">
        <f t="shared" si="142"/>
        <v>0</v>
      </c>
      <c r="AF322" s="549">
        <f t="shared" si="142"/>
        <v>0</v>
      </c>
      <c r="AG322" s="549">
        <f t="shared" si="142"/>
        <v>0</v>
      </c>
      <c r="AI322" s="291"/>
      <c r="AJ322" s="290" t="s">
        <v>629</v>
      </c>
    </row>
    <row r="323" spans="1:36" s="1" customFormat="1" outlineLevel="1">
      <c r="A323" t="s">
        <v>649</v>
      </c>
      <c r="B323" s="252" t="s">
        <v>127</v>
      </c>
      <c r="C323" s="547">
        <f>C289*C320</f>
        <v>1337227.4506051017</v>
      </c>
      <c r="D323" s="547">
        <f t="shared" ref="D323:AG323" si="143">D289*D320</f>
        <v>1329477.6390984766</v>
      </c>
      <c r="E323" s="547">
        <f t="shared" si="143"/>
        <v>1319986.1486375912</v>
      </c>
      <c r="F323" s="547">
        <f t="shared" si="143"/>
        <v>1311406.5901322765</v>
      </c>
      <c r="G323" s="547">
        <f t="shared" si="143"/>
        <v>1302854.3335824707</v>
      </c>
      <c r="H323" s="547">
        <f t="shared" si="143"/>
        <v>1294329.309408467</v>
      </c>
      <c r="I323" s="547">
        <f t="shared" si="143"/>
        <v>1280657.8652385152</v>
      </c>
      <c r="J323" s="547">
        <f t="shared" si="143"/>
        <v>1267032.8523666561</v>
      </c>
      <c r="K323" s="547">
        <f t="shared" si="143"/>
        <v>1253454.1492450258</v>
      </c>
      <c r="L323" s="547">
        <f t="shared" si="143"/>
        <v>1239921.6345989881</v>
      </c>
      <c r="M323" s="547">
        <f t="shared" si="143"/>
        <v>1226435.1874266029</v>
      </c>
      <c r="N323" s="547">
        <f t="shared" si="143"/>
        <v>1209261.524436567</v>
      </c>
      <c r="O323" s="547">
        <f t="shared" si="143"/>
        <v>1192147.6456889259</v>
      </c>
      <c r="P323" s="547">
        <f t="shared" si="143"/>
        <v>1175071.6428856121</v>
      </c>
      <c r="Q323" s="547">
        <f t="shared" si="143"/>
        <v>1158054.8575358945</v>
      </c>
      <c r="R323" s="547">
        <f t="shared" si="143"/>
        <v>1141097.1339504088</v>
      </c>
      <c r="S323" s="547">
        <f t="shared" si="143"/>
        <v>1125285.9743146731</v>
      </c>
      <c r="T323" s="547">
        <f t="shared" si="143"/>
        <v>1109529.4982160048</v>
      </c>
      <c r="U323" s="547">
        <f t="shared" si="143"/>
        <v>1093827.5620511565</v>
      </c>
      <c r="V323" s="547">
        <f t="shared" si="143"/>
        <v>1078180.0225392836</v>
      </c>
      <c r="W323" s="547">
        <f t="shared" si="143"/>
        <v>1062586.7367213205</v>
      </c>
      <c r="X323" s="547">
        <f t="shared" si="143"/>
        <v>1049729.0197503117</v>
      </c>
      <c r="Y323" s="547">
        <f t="shared" si="143"/>
        <v>1036915.2396661497</v>
      </c>
      <c r="Z323" s="547">
        <f t="shared" si="143"/>
        <v>1024065.8709329142</v>
      </c>
      <c r="AA323" s="547">
        <f t="shared" si="143"/>
        <v>1011258.3865202256</v>
      </c>
      <c r="AB323" s="547">
        <f t="shared" si="143"/>
        <v>998492.68327318551</v>
      </c>
      <c r="AC323" s="547">
        <f t="shared" si="143"/>
        <v>985199.60805724107</v>
      </c>
      <c r="AD323" s="547">
        <f t="shared" si="143"/>
        <v>971950.23791354673</v>
      </c>
      <c r="AE323" s="547">
        <f t="shared" si="143"/>
        <v>958744.46454561944</v>
      </c>
      <c r="AF323" s="547">
        <f t="shared" si="143"/>
        <v>945582.17988364899</v>
      </c>
      <c r="AG323" s="547">
        <f t="shared" si="143"/>
        <v>932463.27608409978</v>
      </c>
      <c r="AI323" s="266"/>
      <c r="AJ323" s="185" t="s">
        <v>629</v>
      </c>
    </row>
    <row r="324" spans="1:36" s="1" customFormat="1" outlineLevel="1">
      <c r="A324" t="s">
        <v>655</v>
      </c>
      <c r="B324" s="252" t="s">
        <v>127</v>
      </c>
      <c r="C324" s="547">
        <f>C290*C320</f>
        <v>0</v>
      </c>
      <c r="D324" s="547">
        <f t="shared" ref="D324:AG324" si="144">D290*D320</f>
        <v>0</v>
      </c>
      <c r="E324" s="547">
        <f t="shared" si="144"/>
        <v>0</v>
      </c>
      <c r="F324" s="547">
        <f t="shared" si="144"/>
        <v>0</v>
      </c>
      <c r="G324" s="547">
        <f t="shared" si="144"/>
        <v>0</v>
      </c>
      <c r="H324" s="547">
        <f t="shared" si="144"/>
        <v>0</v>
      </c>
      <c r="I324" s="547">
        <f t="shared" si="144"/>
        <v>0</v>
      </c>
      <c r="J324" s="547">
        <f t="shared" si="144"/>
        <v>0</v>
      </c>
      <c r="K324" s="547">
        <f t="shared" si="144"/>
        <v>0</v>
      </c>
      <c r="L324" s="547">
        <f t="shared" si="144"/>
        <v>0</v>
      </c>
      <c r="M324" s="547">
        <f t="shared" si="144"/>
        <v>0</v>
      </c>
      <c r="N324" s="547">
        <f t="shared" si="144"/>
        <v>0</v>
      </c>
      <c r="O324" s="547">
        <f t="shared" si="144"/>
        <v>0</v>
      </c>
      <c r="P324" s="547">
        <f t="shared" si="144"/>
        <v>0</v>
      </c>
      <c r="Q324" s="547">
        <f t="shared" si="144"/>
        <v>0</v>
      </c>
      <c r="R324" s="547">
        <f t="shared" si="144"/>
        <v>0</v>
      </c>
      <c r="S324" s="547">
        <f t="shared" si="144"/>
        <v>0</v>
      </c>
      <c r="T324" s="547">
        <f t="shared" si="144"/>
        <v>0</v>
      </c>
      <c r="U324" s="547">
        <f t="shared" si="144"/>
        <v>0</v>
      </c>
      <c r="V324" s="547">
        <f t="shared" si="144"/>
        <v>0</v>
      </c>
      <c r="W324" s="547">
        <f t="shared" si="144"/>
        <v>0</v>
      </c>
      <c r="X324" s="547">
        <f t="shared" si="144"/>
        <v>0</v>
      </c>
      <c r="Y324" s="547">
        <f t="shared" si="144"/>
        <v>0</v>
      </c>
      <c r="Z324" s="547">
        <f t="shared" si="144"/>
        <v>0</v>
      </c>
      <c r="AA324" s="547">
        <f t="shared" si="144"/>
        <v>0</v>
      </c>
      <c r="AB324" s="547">
        <f t="shared" si="144"/>
        <v>0</v>
      </c>
      <c r="AC324" s="547">
        <f t="shared" si="144"/>
        <v>0</v>
      </c>
      <c r="AD324" s="547">
        <f t="shared" si="144"/>
        <v>0</v>
      </c>
      <c r="AE324" s="547">
        <f t="shared" si="144"/>
        <v>0</v>
      </c>
      <c r="AF324" s="547">
        <f t="shared" si="144"/>
        <v>0</v>
      </c>
      <c r="AG324" s="547">
        <f t="shared" si="144"/>
        <v>0</v>
      </c>
      <c r="AI324" s="266"/>
      <c r="AJ324" s="185" t="s">
        <v>629</v>
      </c>
    </row>
    <row r="325" spans="1:36" s="1" customFormat="1" outlineLevel="1">
      <c r="A325" t="s">
        <v>650</v>
      </c>
      <c r="B325" s="252" t="s">
        <v>127</v>
      </c>
      <c r="C325" s="547">
        <f>C323*C291</f>
        <v>200584.11759076524</v>
      </c>
      <c r="D325" s="547">
        <f t="shared" ref="D325:AG325" si="145">D323*D291</f>
        <v>207841.67091239517</v>
      </c>
      <c r="E325" s="547">
        <f t="shared" si="145"/>
        <v>214717.74684504815</v>
      </c>
      <c r="F325" s="547">
        <f t="shared" si="145"/>
        <v>221627.71373235472</v>
      </c>
      <c r="G325" s="547">
        <f t="shared" si="145"/>
        <v>228433.79315479315</v>
      </c>
      <c r="H325" s="547">
        <f t="shared" si="145"/>
        <v>235136.4912092048</v>
      </c>
      <c r="I325" s="547">
        <f t="shared" si="145"/>
        <v>240763.67866484082</v>
      </c>
      <c r="J325" s="547">
        <f t="shared" si="145"/>
        <v>246226.71764325345</v>
      </c>
      <c r="K325" s="547">
        <f t="shared" si="145"/>
        <v>251526.46594850181</v>
      </c>
      <c r="L325" s="547">
        <f t="shared" si="145"/>
        <v>256663.77836199049</v>
      </c>
      <c r="M325" s="547">
        <f t="shared" si="145"/>
        <v>261639.50665100859</v>
      </c>
      <c r="N325" s="547">
        <f t="shared" si="145"/>
        <v>265634.44820123247</v>
      </c>
      <c r="O325" s="547">
        <f t="shared" si="145"/>
        <v>269425.36792569718</v>
      </c>
      <c r="P325" s="547">
        <f t="shared" si="145"/>
        <v>273008.31169709045</v>
      </c>
      <c r="Q325" s="547">
        <f t="shared" si="145"/>
        <v>276389.09266523342</v>
      </c>
      <c r="R325" s="547">
        <f t="shared" si="145"/>
        <v>279568.79781785008</v>
      </c>
      <c r="S325" s="547">
        <f t="shared" si="145"/>
        <v>282821.87487775448</v>
      </c>
      <c r="T325" s="547">
        <f t="shared" si="145"/>
        <v>285888.7673736572</v>
      </c>
      <c r="U325" s="547">
        <f t="shared" si="145"/>
        <v>288770.47638150532</v>
      </c>
      <c r="V325" s="547">
        <f t="shared" si="145"/>
        <v>291467.99942645303</v>
      </c>
      <c r="W325" s="547">
        <f t="shared" si="145"/>
        <v>293982.33049289876</v>
      </c>
      <c r="X325" s="547">
        <f t="shared" si="145"/>
        <v>297073.31258933828</v>
      </c>
      <c r="Y325" s="547">
        <f t="shared" si="145"/>
        <v>300014.14267673943</v>
      </c>
      <c r="Z325" s="547">
        <f t="shared" si="145"/>
        <v>302782.14250583178</v>
      </c>
      <c r="AA325" s="547">
        <f t="shared" si="145"/>
        <v>305400.03272910829</v>
      </c>
      <c r="AB325" s="547">
        <f t="shared" si="145"/>
        <v>307868.5773425657</v>
      </c>
      <c r="AC325" s="547">
        <f t="shared" si="145"/>
        <v>310009.47666867875</v>
      </c>
      <c r="AD325" s="547">
        <f t="shared" si="145"/>
        <v>311996.0263702487</v>
      </c>
      <c r="AE325" s="547">
        <f t="shared" si="145"/>
        <v>313829.02139459969</v>
      </c>
      <c r="AF325" s="547">
        <f t="shared" si="145"/>
        <v>315509.25402117783</v>
      </c>
      <c r="AG325" s="547">
        <f t="shared" si="145"/>
        <v>317037.51386859396</v>
      </c>
      <c r="AI325" s="266"/>
      <c r="AJ325" s="185" t="s">
        <v>629</v>
      </c>
    </row>
    <row r="326" spans="1:36" s="1" customFormat="1" outlineLevel="1">
      <c r="A326" t="s">
        <v>651</v>
      </c>
      <c r="B326" s="252" t="s">
        <v>127</v>
      </c>
      <c r="C326" s="547">
        <f>C323*C292</f>
        <v>1136643.3330143364</v>
      </c>
      <c r="D326" s="547">
        <f t="shared" ref="D326:AG326" si="146">D323*D292</f>
        <v>1121635.9681860814</v>
      </c>
      <c r="E326" s="547">
        <f t="shared" si="146"/>
        <v>1105268.401792543</v>
      </c>
      <c r="F326" s="547">
        <f t="shared" si="146"/>
        <v>1089778.876399922</v>
      </c>
      <c r="G326" s="547">
        <f t="shared" si="146"/>
        <v>1074420.5404276776</v>
      </c>
      <c r="H326" s="547">
        <f t="shared" si="146"/>
        <v>1059192.8181992623</v>
      </c>
      <c r="I326" s="547">
        <f t="shared" si="146"/>
        <v>1039894.1865736746</v>
      </c>
      <c r="J326" s="547">
        <f t="shared" si="146"/>
        <v>1020806.1347234028</v>
      </c>
      <c r="K326" s="547">
        <f t="shared" si="146"/>
        <v>1001927.6832965242</v>
      </c>
      <c r="L326" s="547">
        <f t="shared" si="146"/>
        <v>983257.85623699788</v>
      </c>
      <c r="M326" s="547">
        <f t="shared" si="146"/>
        <v>964795.68077559466</v>
      </c>
      <c r="N326" s="547">
        <f t="shared" si="146"/>
        <v>943627.07623533485</v>
      </c>
      <c r="O326" s="547">
        <f t="shared" si="146"/>
        <v>922722.2777632291</v>
      </c>
      <c r="P326" s="547">
        <f t="shared" si="146"/>
        <v>902063.33118852205</v>
      </c>
      <c r="Q326" s="547">
        <f t="shared" si="146"/>
        <v>881665.76487066154</v>
      </c>
      <c r="R326" s="547">
        <f t="shared" si="146"/>
        <v>861528.33613255911</v>
      </c>
      <c r="S326" s="547">
        <f t="shared" si="146"/>
        <v>842464.09943691909</v>
      </c>
      <c r="T326" s="547">
        <f t="shared" si="146"/>
        <v>823640.73084234819</v>
      </c>
      <c r="U326" s="547">
        <f t="shared" si="146"/>
        <v>805057.08566965186</v>
      </c>
      <c r="V326" s="547">
        <f t="shared" si="146"/>
        <v>786712.02311283117</v>
      </c>
      <c r="W326" s="547">
        <f t="shared" si="146"/>
        <v>768604.40622842254</v>
      </c>
      <c r="X326" s="547">
        <f t="shared" si="146"/>
        <v>752655.70716097415</v>
      </c>
      <c r="Y326" s="547">
        <f t="shared" si="146"/>
        <v>736901.09698941105</v>
      </c>
      <c r="Z326" s="547">
        <f t="shared" si="146"/>
        <v>721283.72842708323</v>
      </c>
      <c r="AA326" s="547">
        <f t="shared" si="146"/>
        <v>705858.35379111813</v>
      </c>
      <c r="AB326" s="547">
        <f t="shared" si="146"/>
        <v>690624.10593062069</v>
      </c>
      <c r="AC326" s="547">
        <f t="shared" si="146"/>
        <v>675190.13138856331</v>
      </c>
      <c r="AD326" s="547">
        <f t="shared" si="146"/>
        <v>659954.21154329902</v>
      </c>
      <c r="AE326" s="547">
        <f t="shared" si="146"/>
        <v>644915.44315102079</v>
      </c>
      <c r="AF326" s="547">
        <f t="shared" si="146"/>
        <v>630072.92586247227</v>
      </c>
      <c r="AG326" s="547">
        <f t="shared" si="146"/>
        <v>615425.76221550582</v>
      </c>
      <c r="AI326" s="266"/>
      <c r="AJ326" s="185" t="s">
        <v>629</v>
      </c>
    </row>
    <row r="327" spans="1:36" s="1" customFormat="1" outlineLevel="1">
      <c r="A327" t="s">
        <v>654</v>
      </c>
      <c r="B327" s="252" t="s">
        <v>127</v>
      </c>
      <c r="C327" s="547">
        <f>C293*C326</f>
        <v>0</v>
      </c>
      <c r="D327" s="547">
        <f t="shared" ref="D327:AG327" si="147">D293*D326</f>
        <v>0</v>
      </c>
      <c r="E327" s="547">
        <f t="shared" si="147"/>
        <v>0</v>
      </c>
      <c r="F327" s="547">
        <f t="shared" si="147"/>
        <v>0</v>
      </c>
      <c r="G327" s="547">
        <f t="shared" si="147"/>
        <v>0</v>
      </c>
      <c r="H327" s="547">
        <f t="shared" si="147"/>
        <v>0</v>
      </c>
      <c r="I327" s="547">
        <f t="shared" si="147"/>
        <v>0</v>
      </c>
      <c r="J327" s="547">
        <f t="shared" si="147"/>
        <v>0</v>
      </c>
      <c r="K327" s="547">
        <f t="shared" si="147"/>
        <v>0</v>
      </c>
      <c r="L327" s="547">
        <f t="shared" si="147"/>
        <v>0</v>
      </c>
      <c r="M327" s="547">
        <f t="shared" si="147"/>
        <v>0</v>
      </c>
      <c r="N327" s="547">
        <f t="shared" si="147"/>
        <v>0</v>
      </c>
      <c r="O327" s="547">
        <f t="shared" si="147"/>
        <v>0</v>
      </c>
      <c r="P327" s="547">
        <f t="shared" si="147"/>
        <v>0</v>
      </c>
      <c r="Q327" s="547">
        <f t="shared" si="147"/>
        <v>0</v>
      </c>
      <c r="R327" s="547">
        <f t="shared" si="147"/>
        <v>0</v>
      </c>
      <c r="S327" s="547">
        <f t="shared" si="147"/>
        <v>0</v>
      </c>
      <c r="T327" s="547">
        <f t="shared" si="147"/>
        <v>0</v>
      </c>
      <c r="U327" s="547">
        <f t="shared" si="147"/>
        <v>0</v>
      </c>
      <c r="V327" s="547">
        <f t="shared" si="147"/>
        <v>0</v>
      </c>
      <c r="W327" s="547">
        <f t="shared" si="147"/>
        <v>0</v>
      </c>
      <c r="X327" s="547">
        <f t="shared" si="147"/>
        <v>0</v>
      </c>
      <c r="Y327" s="547">
        <f t="shared" si="147"/>
        <v>0</v>
      </c>
      <c r="Z327" s="547">
        <f t="shared" si="147"/>
        <v>0</v>
      </c>
      <c r="AA327" s="547">
        <f t="shared" si="147"/>
        <v>0</v>
      </c>
      <c r="AB327" s="547">
        <f t="shared" si="147"/>
        <v>0</v>
      </c>
      <c r="AC327" s="547">
        <f t="shared" si="147"/>
        <v>0</v>
      </c>
      <c r="AD327" s="547">
        <f t="shared" si="147"/>
        <v>0</v>
      </c>
      <c r="AE327" s="547">
        <f t="shared" si="147"/>
        <v>0</v>
      </c>
      <c r="AF327" s="547">
        <f t="shared" si="147"/>
        <v>0</v>
      </c>
      <c r="AG327" s="547">
        <f t="shared" si="147"/>
        <v>0</v>
      </c>
      <c r="AI327" s="266"/>
      <c r="AJ327" s="185" t="s">
        <v>629</v>
      </c>
    </row>
    <row r="328" spans="1:36" s="1" customFormat="1" outlineLevel="1">
      <c r="A328" t="s">
        <v>683</v>
      </c>
      <c r="B328" s="252" t="s">
        <v>127</v>
      </c>
      <c r="C328" s="547">
        <f>C294*C326</f>
        <v>1136643.3330143364</v>
      </c>
      <c r="D328" s="547">
        <f t="shared" ref="D328:AG328" si="148">D294*D326</f>
        <v>1121635.9681860814</v>
      </c>
      <c r="E328" s="547">
        <f t="shared" si="148"/>
        <v>1105268.401792543</v>
      </c>
      <c r="F328" s="547">
        <f t="shared" si="148"/>
        <v>1089778.876399922</v>
      </c>
      <c r="G328" s="547">
        <f t="shared" si="148"/>
        <v>1074420.5404276776</v>
      </c>
      <c r="H328" s="547">
        <f t="shared" si="148"/>
        <v>1059192.8181992623</v>
      </c>
      <c r="I328" s="547">
        <f t="shared" si="148"/>
        <v>1039894.1865736746</v>
      </c>
      <c r="J328" s="547">
        <f t="shared" si="148"/>
        <v>1020806.1347234028</v>
      </c>
      <c r="K328" s="547">
        <f t="shared" si="148"/>
        <v>1001927.6832965242</v>
      </c>
      <c r="L328" s="547">
        <f t="shared" si="148"/>
        <v>983257.85623699788</v>
      </c>
      <c r="M328" s="547">
        <f t="shared" si="148"/>
        <v>964795.68077559466</v>
      </c>
      <c r="N328" s="547">
        <f t="shared" si="148"/>
        <v>943627.07623533485</v>
      </c>
      <c r="O328" s="547">
        <f t="shared" si="148"/>
        <v>922722.2777632291</v>
      </c>
      <c r="P328" s="547">
        <f t="shared" si="148"/>
        <v>902063.33118852205</v>
      </c>
      <c r="Q328" s="547">
        <f t="shared" si="148"/>
        <v>881665.76487066154</v>
      </c>
      <c r="R328" s="547">
        <f t="shared" si="148"/>
        <v>861528.33613255911</v>
      </c>
      <c r="S328" s="547">
        <f t="shared" si="148"/>
        <v>842464.09943691909</v>
      </c>
      <c r="T328" s="547">
        <f t="shared" si="148"/>
        <v>823640.73084234819</v>
      </c>
      <c r="U328" s="547">
        <f t="shared" si="148"/>
        <v>805057.08566965186</v>
      </c>
      <c r="V328" s="547">
        <f t="shared" si="148"/>
        <v>786712.02311283117</v>
      </c>
      <c r="W328" s="547">
        <f t="shared" si="148"/>
        <v>768604.40622842254</v>
      </c>
      <c r="X328" s="547">
        <f t="shared" si="148"/>
        <v>752655.70716097415</v>
      </c>
      <c r="Y328" s="547">
        <f t="shared" si="148"/>
        <v>736901.09698941105</v>
      </c>
      <c r="Z328" s="547">
        <f t="shared" si="148"/>
        <v>721283.72842708323</v>
      </c>
      <c r="AA328" s="547">
        <f t="shared" si="148"/>
        <v>705858.35379111813</v>
      </c>
      <c r="AB328" s="547">
        <f t="shared" si="148"/>
        <v>690624.10593062069</v>
      </c>
      <c r="AC328" s="547">
        <f t="shared" si="148"/>
        <v>675190.13138856331</v>
      </c>
      <c r="AD328" s="547">
        <f t="shared" si="148"/>
        <v>659954.21154329902</v>
      </c>
      <c r="AE328" s="547">
        <f t="shared" si="148"/>
        <v>644915.44315102079</v>
      </c>
      <c r="AF328" s="547">
        <f t="shared" si="148"/>
        <v>630072.92586247227</v>
      </c>
      <c r="AG328" s="547">
        <f t="shared" si="148"/>
        <v>615425.76221550582</v>
      </c>
      <c r="AI328" s="266"/>
      <c r="AJ328" s="185" t="s">
        <v>629</v>
      </c>
    </row>
    <row r="329" spans="1:36" s="1" customFormat="1" outlineLevel="1">
      <c r="A329" t="s">
        <v>652</v>
      </c>
      <c r="B329" s="252" t="s">
        <v>127</v>
      </c>
      <c r="C329" s="547">
        <f>C295*(C327+C325)</f>
        <v>160467.29407261219</v>
      </c>
      <c r="D329" s="547">
        <f t="shared" ref="D329:AG329" si="149">D295*(D327+D325)</f>
        <v>166966.14229962413</v>
      </c>
      <c r="E329" s="547">
        <f t="shared" si="149"/>
        <v>173205.64912167218</v>
      </c>
      <c r="F329" s="547">
        <f t="shared" si="149"/>
        <v>179518.44812320732</v>
      </c>
      <c r="G329" s="547">
        <f t="shared" si="149"/>
        <v>185792.81843256508</v>
      </c>
      <c r="H329" s="547">
        <f t="shared" si="149"/>
        <v>192028.13448751724</v>
      </c>
      <c r="I329" s="547">
        <f t="shared" si="149"/>
        <v>197426.21650516943</v>
      </c>
      <c r="J329" s="547">
        <f t="shared" si="149"/>
        <v>202726.66419294529</v>
      </c>
      <c r="K329" s="547">
        <f t="shared" si="149"/>
        <v>207928.54518409478</v>
      </c>
      <c r="L329" s="547">
        <f t="shared" si="149"/>
        <v>213030.93604045204</v>
      </c>
      <c r="M329" s="547">
        <f t="shared" si="149"/>
        <v>218032.92220917376</v>
      </c>
      <c r="N329" s="547">
        <f t="shared" si="149"/>
        <v>222247.48832836442</v>
      </c>
      <c r="O329" s="547">
        <f t="shared" si="149"/>
        <v>226317.30905758555</v>
      </c>
      <c r="P329" s="547">
        <f t="shared" si="149"/>
        <v>230237.00953121283</v>
      </c>
      <c r="Q329" s="547">
        <f t="shared" si="149"/>
        <v>234009.4317898975</v>
      </c>
      <c r="R329" s="547">
        <f t="shared" si="149"/>
        <v>237633.47814517244</v>
      </c>
      <c r="S329" s="547">
        <f t="shared" si="149"/>
        <v>241341.33322901701</v>
      </c>
      <c r="T329" s="547">
        <f t="shared" si="149"/>
        <v>244911.37738343285</v>
      </c>
      <c r="U329" s="547">
        <f t="shared" si="149"/>
        <v>248342.60968809441</v>
      </c>
      <c r="V329" s="547">
        <f t="shared" si="149"/>
        <v>251634.03950483759</v>
      </c>
      <c r="W329" s="547">
        <f t="shared" si="149"/>
        <v>254784.68642717873</v>
      </c>
      <c r="X329" s="547">
        <f t="shared" si="149"/>
        <v>258453.78195272409</v>
      </c>
      <c r="Y329" s="547">
        <f t="shared" si="149"/>
        <v>262012.35127101888</v>
      </c>
      <c r="Z329" s="547">
        <f t="shared" si="149"/>
        <v>265439.01159677899</v>
      </c>
      <c r="AA329" s="547">
        <f t="shared" si="149"/>
        <v>268752.02880161506</v>
      </c>
      <c r="AB329" s="547">
        <f t="shared" si="149"/>
        <v>271950.57665259944</v>
      </c>
      <c r="AC329" s="547">
        <f t="shared" si="149"/>
        <v>274875.06931289489</v>
      </c>
      <c r="AD329" s="547">
        <f t="shared" si="149"/>
        <v>277676.46346952108</v>
      </c>
      <c r="AE329" s="547">
        <f t="shared" si="149"/>
        <v>280353.92577917542</v>
      </c>
      <c r="AF329" s="547">
        <f t="shared" si="149"/>
        <v>282906.6311056558</v>
      </c>
      <c r="AG329" s="547">
        <f t="shared" si="149"/>
        <v>285333.76248173456</v>
      </c>
      <c r="AH329" s="218"/>
      <c r="AI329" s="266"/>
      <c r="AJ329" s="185" t="s">
        <v>629</v>
      </c>
    </row>
    <row r="330" spans="1:36" s="1" customFormat="1" outlineLevel="1">
      <c r="A330" t="s">
        <v>653</v>
      </c>
      <c r="B330" s="252" t="s">
        <v>127</v>
      </c>
      <c r="C330" s="547">
        <f>C296*(C327+C325)</f>
        <v>40116.823518153047</v>
      </c>
      <c r="D330" s="547">
        <f t="shared" ref="D330:AG330" si="150">D296*(D327+D325)</f>
        <v>40875.528612771057</v>
      </c>
      <c r="E330" s="547">
        <f t="shared" si="150"/>
        <v>41512.097723375984</v>
      </c>
      <c r="F330" s="547">
        <f t="shared" si="150"/>
        <v>42109.265609147405</v>
      </c>
      <c r="G330" s="547">
        <f t="shared" si="150"/>
        <v>42640.974722228064</v>
      </c>
      <c r="H330" s="547">
        <f t="shared" si="150"/>
        <v>43108.35672168756</v>
      </c>
      <c r="I330" s="547">
        <f t="shared" si="150"/>
        <v>43337.462159671355</v>
      </c>
      <c r="J330" s="547">
        <f t="shared" si="150"/>
        <v>43500.053450308122</v>
      </c>
      <c r="K330" s="547">
        <f t="shared" si="150"/>
        <v>43597.920764406997</v>
      </c>
      <c r="L330" s="547">
        <f t="shared" si="150"/>
        <v>43632.842321538403</v>
      </c>
      <c r="M330" s="547">
        <f t="shared" si="150"/>
        <v>43606.584441834784</v>
      </c>
      <c r="N330" s="547">
        <f t="shared" si="150"/>
        <v>43386.959872867992</v>
      </c>
      <c r="O330" s="547">
        <f t="shared" si="150"/>
        <v>43108.05886811157</v>
      </c>
      <c r="P330" s="547">
        <f t="shared" si="150"/>
        <v>42771.302165877532</v>
      </c>
      <c r="Q330" s="547">
        <f t="shared" si="150"/>
        <v>42379.660875335816</v>
      </c>
      <c r="R330" s="547">
        <f t="shared" si="150"/>
        <v>41935.319672677542</v>
      </c>
      <c r="S330" s="547">
        <f t="shared" si="150"/>
        <v>41480.541648737359</v>
      </c>
      <c r="T330" s="547">
        <f t="shared" si="150"/>
        <v>40977.389990224234</v>
      </c>
      <c r="U330" s="547">
        <f t="shared" si="150"/>
        <v>40427.866693410782</v>
      </c>
      <c r="V330" s="547">
        <f t="shared" si="150"/>
        <v>39833.959921615286</v>
      </c>
      <c r="W330" s="547">
        <f t="shared" si="150"/>
        <v>39197.644065719876</v>
      </c>
      <c r="X330" s="547">
        <f t="shared" si="150"/>
        <v>38619.530636614021</v>
      </c>
      <c r="Y330" s="547">
        <f t="shared" si="150"/>
        <v>38001.791405720374</v>
      </c>
      <c r="Z330" s="547">
        <f t="shared" si="150"/>
        <v>37343.130909052634</v>
      </c>
      <c r="AA330" s="547">
        <f t="shared" si="150"/>
        <v>36648.003927493046</v>
      </c>
      <c r="AB330" s="547">
        <f t="shared" si="150"/>
        <v>35918.000689966051</v>
      </c>
      <c r="AC330" s="547">
        <f t="shared" si="150"/>
        <v>35134.407355783645</v>
      </c>
      <c r="AD330" s="547">
        <f t="shared" si="150"/>
        <v>34319.562900727411</v>
      </c>
      <c r="AE330" s="547">
        <f t="shared" si="150"/>
        <v>33475.095615424027</v>
      </c>
      <c r="AF330" s="547">
        <f t="shared" si="150"/>
        <v>32602.62291552177</v>
      </c>
      <c r="AG330" s="547">
        <f t="shared" si="150"/>
        <v>31703.751386859396</v>
      </c>
      <c r="AI330" s="266"/>
      <c r="AJ330" s="185" t="s">
        <v>629</v>
      </c>
    </row>
    <row r="331" spans="1:36" s="1" customFormat="1" outlineLevel="1">
      <c r="A331" t="s">
        <v>663</v>
      </c>
      <c r="B331" s="252" t="s">
        <v>127</v>
      </c>
      <c r="C331" s="547">
        <f>C324*C297</f>
        <v>0</v>
      </c>
      <c r="D331" s="547">
        <f t="shared" ref="D331:AG331" si="151">D324*D297</f>
        <v>0</v>
      </c>
      <c r="E331" s="547">
        <f t="shared" si="151"/>
        <v>0</v>
      </c>
      <c r="F331" s="547">
        <f t="shared" si="151"/>
        <v>0</v>
      </c>
      <c r="G331" s="547">
        <f t="shared" si="151"/>
        <v>0</v>
      </c>
      <c r="H331" s="547">
        <f t="shared" si="151"/>
        <v>0</v>
      </c>
      <c r="I331" s="547">
        <f t="shared" si="151"/>
        <v>0</v>
      </c>
      <c r="J331" s="547">
        <f t="shared" si="151"/>
        <v>0</v>
      </c>
      <c r="K331" s="547">
        <f t="shared" si="151"/>
        <v>0</v>
      </c>
      <c r="L331" s="547">
        <f t="shared" si="151"/>
        <v>0</v>
      </c>
      <c r="M331" s="547">
        <f t="shared" si="151"/>
        <v>0</v>
      </c>
      <c r="N331" s="547">
        <f t="shared" si="151"/>
        <v>0</v>
      </c>
      <c r="O331" s="547">
        <f t="shared" si="151"/>
        <v>0</v>
      </c>
      <c r="P331" s="547">
        <f t="shared" si="151"/>
        <v>0</v>
      </c>
      <c r="Q331" s="547">
        <f t="shared" si="151"/>
        <v>0</v>
      </c>
      <c r="R331" s="547">
        <f t="shared" si="151"/>
        <v>0</v>
      </c>
      <c r="S331" s="547">
        <f t="shared" si="151"/>
        <v>0</v>
      </c>
      <c r="T331" s="547">
        <f t="shared" si="151"/>
        <v>0</v>
      </c>
      <c r="U331" s="547">
        <f t="shared" si="151"/>
        <v>0</v>
      </c>
      <c r="V331" s="547">
        <f t="shared" si="151"/>
        <v>0</v>
      </c>
      <c r="W331" s="547">
        <f t="shared" si="151"/>
        <v>0</v>
      </c>
      <c r="X331" s="547">
        <f t="shared" si="151"/>
        <v>0</v>
      </c>
      <c r="Y331" s="547">
        <f t="shared" si="151"/>
        <v>0</v>
      </c>
      <c r="Z331" s="547">
        <f t="shared" si="151"/>
        <v>0</v>
      </c>
      <c r="AA331" s="547">
        <f t="shared" si="151"/>
        <v>0</v>
      </c>
      <c r="AB331" s="547">
        <f t="shared" si="151"/>
        <v>0</v>
      </c>
      <c r="AC331" s="547">
        <f t="shared" si="151"/>
        <v>0</v>
      </c>
      <c r="AD331" s="547">
        <f t="shared" si="151"/>
        <v>0</v>
      </c>
      <c r="AE331" s="547">
        <f t="shared" si="151"/>
        <v>0</v>
      </c>
      <c r="AF331" s="547">
        <f t="shared" si="151"/>
        <v>0</v>
      </c>
      <c r="AG331" s="547">
        <f t="shared" si="151"/>
        <v>0</v>
      </c>
      <c r="AI331" s="266"/>
      <c r="AJ331" s="185" t="s">
        <v>629</v>
      </c>
    </row>
    <row r="332" spans="1:36" s="1" customFormat="1" outlineLevel="1">
      <c r="A332" t="s">
        <v>684</v>
      </c>
      <c r="B332" s="252" t="s">
        <v>127</v>
      </c>
      <c r="C332" s="547">
        <f>C324*C298</f>
        <v>0</v>
      </c>
      <c r="D332" s="547">
        <f t="shared" ref="D332:AG332" si="152">D324*D298</f>
        <v>0</v>
      </c>
      <c r="E332" s="547">
        <f t="shared" si="152"/>
        <v>0</v>
      </c>
      <c r="F332" s="547">
        <f t="shared" si="152"/>
        <v>0</v>
      </c>
      <c r="G332" s="547">
        <f t="shared" si="152"/>
        <v>0</v>
      </c>
      <c r="H332" s="547">
        <f t="shared" si="152"/>
        <v>0</v>
      </c>
      <c r="I332" s="547">
        <f t="shared" si="152"/>
        <v>0</v>
      </c>
      <c r="J332" s="547">
        <f t="shared" si="152"/>
        <v>0</v>
      </c>
      <c r="K332" s="547">
        <f t="shared" si="152"/>
        <v>0</v>
      </c>
      <c r="L332" s="547">
        <f t="shared" si="152"/>
        <v>0</v>
      </c>
      <c r="M332" s="547">
        <f t="shared" si="152"/>
        <v>0</v>
      </c>
      <c r="N332" s="547">
        <f t="shared" si="152"/>
        <v>0</v>
      </c>
      <c r="O332" s="547">
        <f t="shared" si="152"/>
        <v>0</v>
      </c>
      <c r="P332" s="547">
        <f t="shared" si="152"/>
        <v>0</v>
      </c>
      <c r="Q332" s="547">
        <f t="shared" si="152"/>
        <v>0</v>
      </c>
      <c r="R332" s="547">
        <f t="shared" si="152"/>
        <v>0</v>
      </c>
      <c r="S332" s="547">
        <f t="shared" si="152"/>
        <v>0</v>
      </c>
      <c r="T332" s="547">
        <f t="shared" si="152"/>
        <v>0</v>
      </c>
      <c r="U332" s="547">
        <f t="shared" si="152"/>
        <v>0</v>
      </c>
      <c r="V332" s="547">
        <f t="shared" si="152"/>
        <v>0</v>
      </c>
      <c r="W332" s="547">
        <f t="shared" si="152"/>
        <v>0</v>
      </c>
      <c r="X332" s="547">
        <f t="shared" si="152"/>
        <v>0</v>
      </c>
      <c r="Y332" s="547">
        <f t="shared" si="152"/>
        <v>0</v>
      </c>
      <c r="Z332" s="547">
        <f t="shared" si="152"/>
        <v>0</v>
      </c>
      <c r="AA332" s="547">
        <f t="shared" si="152"/>
        <v>0</v>
      </c>
      <c r="AB332" s="547">
        <f t="shared" si="152"/>
        <v>0</v>
      </c>
      <c r="AC332" s="547">
        <f t="shared" si="152"/>
        <v>0</v>
      </c>
      <c r="AD332" s="547">
        <f t="shared" si="152"/>
        <v>0</v>
      </c>
      <c r="AE332" s="547">
        <f t="shared" si="152"/>
        <v>0</v>
      </c>
      <c r="AF332" s="547">
        <f t="shared" si="152"/>
        <v>0</v>
      </c>
      <c r="AG332" s="547">
        <f t="shared" si="152"/>
        <v>0</v>
      </c>
      <c r="AI332" s="266"/>
      <c r="AJ332" s="185" t="s">
        <v>629</v>
      </c>
    </row>
    <row r="333" spans="1:36" s="1" customFormat="1" outlineLevel="1">
      <c r="A333" t="s">
        <v>666</v>
      </c>
      <c r="B333" s="252" t="s">
        <v>127</v>
      </c>
      <c r="C333" s="547">
        <f t="shared" ref="C333:AG333" si="153">C329*C299</f>
        <v>43326.169399605293</v>
      </c>
      <c r="D333" s="547">
        <f t="shared" si="153"/>
        <v>44412.993851700019</v>
      </c>
      <c r="E333" s="547">
        <f t="shared" si="153"/>
        <v>45379.880069878112</v>
      </c>
      <c r="F333" s="547">
        <f t="shared" si="153"/>
        <v>46315.759615787487</v>
      </c>
      <c r="G333" s="547">
        <f t="shared" si="153"/>
        <v>47191.375881871529</v>
      </c>
      <c r="H333" s="547">
        <f t="shared" si="153"/>
        <v>48007.033621879309</v>
      </c>
      <c r="I333" s="547">
        <f t="shared" si="153"/>
        <v>48566.84926027168</v>
      </c>
      <c r="J333" s="547">
        <f t="shared" si="153"/>
        <v>49059.852734692759</v>
      </c>
      <c r="K333" s="547">
        <f t="shared" si="153"/>
        <v>49486.993753814553</v>
      </c>
      <c r="L333" s="547">
        <f t="shared" si="153"/>
        <v>49849.239033465776</v>
      </c>
      <c r="M333" s="547">
        <f t="shared" si="153"/>
        <v>50147.572108109962</v>
      </c>
      <c r="N333" s="547">
        <f t="shared" si="153"/>
        <v>50227.932362210355</v>
      </c>
      <c r="O333" s="547">
        <f t="shared" si="153"/>
        <v>50242.442610783983</v>
      </c>
      <c r="P333" s="547">
        <f t="shared" si="153"/>
        <v>50191.668077804388</v>
      </c>
      <c r="Q333" s="547">
        <f t="shared" si="153"/>
        <v>50078.018403038055</v>
      </c>
      <c r="R333" s="547">
        <f t="shared" si="153"/>
        <v>49903.030410486201</v>
      </c>
      <c r="S333" s="547">
        <f t="shared" si="153"/>
        <v>49716.314645177496</v>
      </c>
      <c r="T333" s="547">
        <f t="shared" si="153"/>
        <v>49472.098231453427</v>
      </c>
      <c r="U333" s="547">
        <f t="shared" si="153"/>
        <v>49171.836718242681</v>
      </c>
      <c r="V333" s="547">
        <f t="shared" si="153"/>
        <v>48817.003663938478</v>
      </c>
      <c r="W333" s="547">
        <f t="shared" si="153"/>
        <v>48409.090421163943</v>
      </c>
      <c r="X333" s="547">
        <f t="shared" si="153"/>
        <v>48072.403443206669</v>
      </c>
      <c r="Y333" s="547">
        <f t="shared" si="153"/>
        <v>47686.247931325423</v>
      </c>
      <c r="Z333" s="547">
        <f t="shared" si="153"/>
        <v>47248.144064226646</v>
      </c>
      <c r="AA333" s="547">
        <f t="shared" si="153"/>
        <v>46762.853011481006</v>
      </c>
      <c r="AB333" s="547">
        <f t="shared" si="153"/>
        <v>46231.598030941888</v>
      </c>
      <c r="AC333" s="547">
        <f t="shared" si="153"/>
        <v>45629.261505940529</v>
      </c>
      <c r="AD333" s="547">
        <f t="shared" si="153"/>
        <v>44983.587082062397</v>
      </c>
      <c r="AE333" s="547">
        <f t="shared" si="153"/>
        <v>44295.920273109696</v>
      </c>
      <c r="AF333" s="547">
        <f t="shared" si="153"/>
        <v>43567.621190270969</v>
      </c>
      <c r="AG333" s="547">
        <f t="shared" si="153"/>
        <v>42800.064372260182</v>
      </c>
      <c r="AI333" s="266"/>
      <c r="AJ333" s="185"/>
    </row>
    <row r="334" spans="1:36" s="61" customFormat="1">
      <c r="A334" s="294" t="s">
        <v>657</v>
      </c>
      <c r="B334" s="258" t="s">
        <v>127</v>
      </c>
      <c r="C334" s="548">
        <f>C300*C$319</f>
        <v>733848.46614866424</v>
      </c>
      <c r="D334" s="548">
        <f t="shared" ref="D334:AG339" si="154">D300*D$319</f>
        <v>707443.38722380728</v>
      </c>
      <c r="E334" s="548">
        <f t="shared" si="154"/>
        <v>683254.12557614315</v>
      </c>
      <c r="F334" s="548">
        <f t="shared" si="154"/>
        <v>660692.28004054737</v>
      </c>
      <c r="G334" s="548">
        <f t="shared" si="154"/>
        <v>639836.8436876596</v>
      </c>
      <c r="H334" s="548">
        <f t="shared" si="154"/>
        <v>620600.7320499958</v>
      </c>
      <c r="I334" s="548">
        <f t="shared" si="154"/>
        <v>598604.77445092716</v>
      </c>
      <c r="J334" s="548">
        <f t="shared" si="154"/>
        <v>578258.99982382474</v>
      </c>
      <c r="K334" s="548">
        <f t="shared" si="154"/>
        <v>559498.09254518047</v>
      </c>
      <c r="L334" s="548">
        <f t="shared" si="154"/>
        <v>542258.78260001366</v>
      </c>
      <c r="M334" s="548">
        <f t="shared" si="154"/>
        <v>526479.82873381698</v>
      </c>
      <c r="N334" s="548">
        <f t="shared" si="154"/>
        <v>522561.75395061256</v>
      </c>
      <c r="O334" s="548">
        <f t="shared" si="154"/>
        <v>519327.41616247792</v>
      </c>
      <c r="P334" s="548">
        <f t="shared" si="154"/>
        <v>516713.64455785858</v>
      </c>
      <c r="Q334" s="548">
        <f t="shared" si="154"/>
        <v>514655.84899610031</v>
      </c>
      <c r="R334" s="548">
        <f t="shared" si="154"/>
        <v>513091.34252964379</v>
      </c>
      <c r="S334" s="548">
        <f t="shared" si="154"/>
        <v>512787.23220722959</v>
      </c>
      <c r="T334" s="548">
        <f t="shared" si="154"/>
        <v>512792.09808355093</v>
      </c>
      <c r="U334" s="548">
        <f t="shared" si="154"/>
        <v>513041.31893295125</v>
      </c>
      <c r="V334" s="548">
        <f t="shared" si="154"/>
        <v>513471.49184203416</v>
      </c>
      <c r="W334" s="548">
        <f t="shared" si="154"/>
        <v>514020.42314271105</v>
      </c>
      <c r="X334" s="548">
        <f t="shared" si="154"/>
        <v>507250.30863245274</v>
      </c>
      <c r="Y334" s="548">
        <f t="shared" si="154"/>
        <v>501224.27247852611</v>
      </c>
      <c r="Z334" s="548">
        <f t="shared" si="154"/>
        <v>495893.16428725311</v>
      </c>
      <c r="AA334" s="548">
        <f t="shared" si="154"/>
        <v>491185.62564331817</v>
      </c>
      <c r="AB334" s="548">
        <f t="shared" si="154"/>
        <v>487039.55612732552</v>
      </c>
      <c r="AC334" s="548">
        <f t="shared" si="154"/>
        <v>483229.35902378388</v>
      </c>
      <c r="AD334" s="548">
        <f t="shared" si="154"/>
        <v>479934.53548270115</v>
      </c>
      <c r="AE334" s="548">
        <f t="shared" si="154"/>
        <v>477103.60521402396</v>
      </c>
      <c r="AF334" s="548">
        <f t="shared" si="154"/>
        <v>474686.82562715164</v>
      </c>
      <c r="AG334" s="548">
        <f t="shared" si="154"/>
        <v>472636.17741979612</v>
      </c>
      <c r="AI334" s="286"/>
      <c r="AJ334" s="297"/>
    </row>
    <row r="335" spans="1:36">
      <c r="A335" s="295" t="s">
        <v>658</v>
      </c>
      <c r="B335" s="252" t="s">
        <v>127</v>
      </c>
      <c r="C335" s="547">
        <f t="shared" ref="C335:R339" si="155">C301*C$319</f>
        <v>7565.448104625405</v>
      </c>
      <c r="D335" s="547">
        <f t="shared" si="155"/>
        <v>7290.7253922068776</v>
      </c>
      <c r="E335" s="547">
        <f t="shared" si="155"/>
        <v>7039.0191508531243</v>
      </c>
      <c r="F335" s="547">
        <f t="shared" si="155"/>
        <v>6804.2459324464216</v>
      </c>
      <c r="G335" s="547">
        <f t="shared" si="155"/>
        <v>6587.2015479168813</v>
      </c>
      <c r="H335" s="547">
        <f t="shared" si="155"/>
        <v>6386.9715133790323</v>
      </c>
      <c r="I335" s="547">
        <f t="shared" si="155"/>
        <v>6158.4853338572766</v>
      </c>
      <c r="J335" s="547">
        <f t="shared" si="155"/>
        <v>5947.1271836526394</v>
      </c>
      <c r="K335" s="547">
        <f t="shared" si="155"/>
        <v>5752.2079425481215</v>
      </c>
      <c r="L335" s="547">
        <f t="shared" si="155"/>
        <v>5573.0604583762979</v>
      </c>
      <c r="M335" s="547">
        <f t="shared" si="155"/>
        <v>5409.0393363063413</v>
      </c>
      <c r="N335" s="547">
        <f t="shared" si="155"/>
        <v>5366.9471477296765</v>
      </c>
      <c r="O335" s="547">
        <f t="shared" si="155"/>
        <v>5331.9036566989544</v>
      </c>
      <c r="P335" s="547">
        <f t="shared" si="155"/>
        <v>5303.2532797590711</v>
      </c>
      <c r="Q335" s="547">
        <f t="shared" si="155"/>
        <v>5280.3267680858471</v>
      </c>
      <c r="R335" s="547">
        <f t="shared" si="155"/>
        <v>5262.4753079963502</v>
      </c>
      <c r="S335" s="547">
        <f t="shared" si="154"/>
        <v>5257.55877177611</v>
      </c>
      <c r="T335" s="547">
        <f t="shared" si="154"/>
        <v>5255.8124162987833</v>
      </c>
      <c r="U335" s="547">
        <f t="shared" si="154"/>
        <v>5256.5708907064718</v>
      </c>
      <c r="V335" s="547">
        <f t="shared" si="154"/>
        <v>5259.1822312260283</v>
      </c>
      <c r="W335" s="547">
        <f t="shared" si="154"/>
        <v>5263.0077454885131</v>
      </c>
      <c r="X335" s="547">
        <f t="shared" si="154"/>
        <v>5191.9171814990095</v>
      </c>
      <c r="Y335" s="547">
        <f t="shared" si="154"/>
        <v>5128.488463286425</v>
      </c>
      <c r="Z335" s="547">
        <f t="shared" si="154"/>
        <v>5072.2110223721811</v>
      </c>
      <c r="AA335" s="547">
        <f t="shared" si="154"/>
        <v>5022.3479104633807</v>
      </c>
      <c r="AB335" s="547">
        <f t="shared" si="154"/>
        <v>4978.2578139079314</v>
      </c>
      <c r="AC335" s="547">
        <f t="shared" si="154"/>
        <v>4937.6296902975246</v>
      </c>
      <c r="AD335" s="547">
        <f t="shared" si="154"/>
        <v>4902.2935187201392</v>
      </c>
      <c r="AE335" s="547">
        <f t="shared" si="154"/>
        <v>4871.7182288702297</v>
      </c>
      <c r="AF335" s="547">
        <f t="shared" si="154"/>
        <v>4845.3912108930135</v>
      </c>
      <c r="AG335" s="547">
        <f t="shared" si="154"/>
        <v>4822.8181369366948</v>
      </c>
      <c r="AI335" s="246"/>
    </row>
    <row r="336" spans="1:36">
      <c r="A336" s="295" t="s">
        <v>659</v>
      </c>
      <c r="B336" s="252" t="s">
        <v>127</v>
      </c>
      <c r="C336" s="547">
        <f t="shared" si="155"/>
        <v>0</v>
      </c>
      <c r="D336" s="547">
        <f t="shared" si="154"/>
        <v>0</v>
      </c>
      <c r="E336" s="547">
        <f t="shared" si="154"/>
        <v>0</v>
      </c>
      <c r="F336" s="547">
        <f t="shared" si="154"/>
        <v>0</v>
      </c>
      <c r="G336" s="547">
        <f t="shared" si="154"/>
        <v>0</v>
      </c>
      <c r="H336" s="547">
        <f t="shared" si="154"/>
        <v>0</v>
      </c>
      <c r="I336" s="547">
        <f t="shared" si="154"/>
        <v>0</v>
      </c>
      <c r="J336" s="547">
        <f t="shared" si="154"/>
        <v>0</v>
      </c>
      <c r="K336" s="547">
        <f t="shared" si="154"/>
        <v>0</v>
      </c>
      <c r="L336" s="547">
        <f t="shared" si="154"/>
        <v>0</v>
      </c>
      <c r="M336" s="547">
        <f t="shared" si="154"/>
        <v>0</v>
      </c>
      <c r="N336" s="547">
        <f t="shared" si="154"/>
        <v>0</v>
      </c>
      <c r="O336" s="547">
        <f t="shared" si="154"/>
        <v>0</v>
      </c>
      <c r="P336" s="547">
        <f t="shared" si="154"/>
        <v>0</v>
      </c>
      <c r="Q336" s="547">
        <f t="shared" si="154"/>
        <v>0</v>
      </c>
      <c r="R336" s="547">
        <f t="shared" si="154"/>
        <v>0</v>
      </c>
      <c r="S336" s="547">
        <f t="shared" si="154"/>
        <v>0</v>
      </c>
      <c r="T336" s="547">
        <f t="shared" si="154"/>
        <v>0</v>
      </c>
      <c r="U336" s="547">
        <f t="shared" si="154"/>
        <v>0</v>
      </c>
      <c r="V336" s="547">
        <f t="shared" si="154"/>
        <v>0</v>
      </c>
      <c r="W336" s="547">
        <f t="shared" si="154"/>
        <v>0</v>
      </c>
      <c r="X336" s="547">
        <f t="shared" si="154"/>
        <v>0</v>
      </c>
      <c r="Y336" s="547">
        <f t="shared" si="154"/>
        <v>0</v>
      </c>
      <c r="Z336" s="547">
        <f t="shared" si="154"/>
        <v>0</v>
      </c>
      <c r="AA336" s="547">
        <f t="shared" si="154"/>
        <v>0</v>
      </c>
      <c r="AB336" s="547">
        <f t="shared" si="154"/>
        <v>0</v>
      </c>
      <c r="AC336" s="547">
        <f t="shared" si="154"/>
        <v>0</v>
      </c>
      <c r="AD336" s="547">
        <f t="shared" si="154"/>
        <v>0</v>
      </c>
      <c r="AE336" s="547">
        <f t="shared" si="154"/>
        <v>0</v>
      </c>
      <c r="AF336" s="547">
        <f t="shared" si="154"/>
        <v>0</v>
      </c>
      <c r="AG336" s="547">
        <f t="shared" si="154"/>
        <v>0</v>
      </c>
      <c r="AI336" s="246"/>
    </row>
    <row r="337" spans="1:36">
      <c r="A337" s="295" t="s">
        <v>660</v>
      </c>
      <c r="B337" s="252" t="s">
        <v>127</v>
      </c>
      <c r="C337" s="218">
        <f t="shared" si="155"/>
        <v>0</v>
      </c>
      <c r="D337" s="218">
        <f t="shared" si="154"/>
        <v>0</v>
      </c>
      <c r="E337" s="218">
        <f t="shared" si="154"/>
        <v>0</v>
      </c>
      <c r="F337" s="218">
        <f t="shared" si="154"/>
        <v>0</v>
      </c>
      <c r="G337" s="218">
        <f t="shared" si="154"/>
        <v>0</v>
      </c>
      <c r="H337" s="218">
        <f t="shared" si="154"/>
        <v>0</v>
      </c>
      <c r="I337" s="218">
        <f t="shared" si="154"/>
        <v>0</v>
      </c>
      <c r="J337" s="218">
        <f t="shared" si="154"/>
        <v>0</v>
      </c>
      <c r="K337" s="218">
        <f t="shared" si="154"/>
        <v>0</v>
      </c>
      <c r="L337" s="218">
        <f t="shared" si="154"/>
        <v>0</v>
      </c>
      <c r="M337" s="218">
        <f t="shared" si="154"/>
        <v>0</v>
      </c>
      <c r="N337" s="218">
        <f t="shared" si="154"/>
        <v>0</v>
      </c>
      <c r="O337" s="218">
        <f t="shared" si="154"/>
        <v>0</v>
      </c>
      <c r="P337" s="218">
        <f t="shared" si="154"/>
        <v>0</v>
      </c>
      <c r="Q337" s="218">
        <f t="shared" si="154"/>
        <v>0</v>
      </c>
      <c r="R337" s="218">
        <f t="shared" si="154"/>
        <v>0</v>
      </c>
      <c r="S337" s="218">
        <f t="shared" si="154"/>
        <v>0</v>
      </c>
      <c r="T337" s="218">
        <f t="shared" si="154"/>
        <v>0</v>
      </c>
      <c r="U337" s="218">
        <f t="shared" si="154"/>
        <v>0</v>
      </c>
      <c r="V337" s="218">
        <f t="shared" si="154"/>
        <v>0</v>
      </c>
      <c r="W337" s="218">
        <f t="shared" si="154"/>
        <v>0</v>
      </c>
      <c r="X337" s="218">
        <f t="shared" si="154"/>
        <v>0</v>
      </c>
      <c r="Y337" s="218">
        <f t="shared" si="154"/>
        <v>0</v>
      </c>
      <c r="Z337" s="218">
        <f t="shared" si="154"/>
        <v>0</v>
      </c>
      <c r="AA337" s="218">
        <f t="shared" si="154"/>
        <v>0</v>
      </c>
      <c r="AB337" s="218">
        <f t="shared" si="154"/>
        <v>0</v>
      </c>
      <c r="AC337" s="218">
        <f t="shared" si="154"/>
        <v>0</v>
      </c>
      <c r="AD337" s="218">
        <f t="shared" si="154"/>
        <v>0</v>
      </c>
      <c r="AE337" s="218">
        <f t="shared" si="154"/>
        <v>0</v>
      </c>
      <c r="AF337" s="218">
        <f t="shared" si="154"/>
        <v>0</v>
      </c>
      <c r="AG337" s="218">
        <f t="shared" si="154"/>
        <v>0</v>
      </c>
      <c r="AI337" s="246"/>
    </row>
    <row r="338" spans="1:36">
      <c r="A338" s="295" t="s">
        <v>661</v>
      </c>
      <c r="B338" s="252" t="s">
        <v>127</v>
      </c>
      <c r="C338" s="218">
        <f t="shared" si="155"/>
        <v>11348.172156938106</v>
      </c>
      <c r="D338" s="218">
        <f t="shared" si="154"/>
        <v>10741.668744518132</v>
      </c>
      <c r="E338" s="218">
        <f t="shared" si="154"/>
        <v>10183.114371567519</v>
      </c>
      <c r="F338" s="218">
        <f t="shared" si="154"/>
        <v>9662.0292240739182</v>
      </c>
      <c r="G338" s="218">
        <f t="shared" si="154"/>
        <v>9178.1674900975195</v>
      </c>
      <c r="H338" s="218">
        <f t="shared" si="154"/>
        <v>8728.8610682846775</v>
      </c>
      <c r="I338" s="218">
        <f t="shared" si="154"/>
        <v>8252.3703473687492</v>
      </c>
      <c r="J338" s="218">
        <f t="shared" si="154"/>
        <v>7810.5603678637981</v>
      </c>
      <c r="K338" s="218">
        <f t="shared" si="154"/>
        <v>7401.1742194119161</v>
      </c>
      <c r="L338" s="218">
        <f t="shared" si="154"/>
        <v>7022.0561775541346</v>
      </c>
      <c r="M338" s="218">
        <f t="shared" si="154"/>
        <v>6671.1485147778194</v>
      </c>
      <c r="N338" s="218">
        <f t="shared" si="154"/>
        <v>6476.116224927142</v>
      </c>
      <c r="O338" s="218">
        <f t="shared" si="154"/>
        <v>6291.6463149047649</v>
      </c>
      <c r="P338" s="218">
        <f t="shared" si="154"/>
        <v>6116.4187826554607</v>
      </c>
      <c r="Q338" s="218">
        <f t="shared" si="154"/>
        <v>5949.1681587100529</v>
      </c>
      <c r="R338" s="218">
        <f t="shared" si="154"/>
        <v>5788.722838795984</v>
      </c>
      <c r="S338" s="218">
        <f t="shared" si="154"/>
        <v>5643.1130817063568</v>
      </c>
      <c r="T338" s="218">
        <f t="shared" si="154"/>
        <v>5501.0836623927244</v>
      </c>
      <c r="U338" s="218">
        <f t="shared" si="154"/>
        <v>5361.7023085205992</v>
      </c>
      <c r="V338" s="218">
        <f t="shared" si="154"/>
        <v>5224.121016351186</v>
      </c>
      <c r="W338" s="218">
        <f t="shared" si="154"/>
        <v>5087.5741539722276</v>
      </c>
      <c r="X338" s="218">
        <f t="shared" si="154"/>
        <v>4880.4021506090667</v>
      </c>
      <c r="Y338" s="218">
        <f t="shared" si="154"/>
        <v>4684.0194631349332</v>
      </c>
      <c r="Z338" s="218">
        <f t="shared" si="154"/>
        <v>4497.3604398366651</v>
      </c>
      <c r="AA338" s="218">
        <f t="shared" si="154"/>
        <v>4319.2192029985054</v>
      </c>
      <c r="AB338" s="218">
        <f t="shared" si="154"/>
        <v>4148.5481782566076</v>
      </c>
      <c r="AC338" s="218">
        <f t="shared" si="154"/>
        <v>3983.0212835066677</v>
      </c>
      <c r="AD338" s="218">
        <f t="shared" si="154"/>
        <v>3823.788944601707</v>
      </c>
      <c r="AE338" s="218">
        <f t="shared" si="154"/>
        <v>3670.0277324155713</v>
      </c>
      <c r="AF338" s="218">
        <f t="shared" si="154"/>
        <v>3520.9842799155876</v>
      </c>
      <c r="AG338" s="218">
        <f t="shared" si="154"/>
        <v>3375.9726958556867</v>
      </c>
      <c r="AI338" s="246"/>
    </row>
    <row r="339" spans="1:36" s="62" customFormat="1">
      <c r="A339" s="296" t="s">
        <v>662</v>
      </c>
      <c r="B339" s="262" t="s">
        <v>127</v>
      </c>
      <c r="C339" s="263">
        <f t="shared" si="155"/>
        <v>3782.7240523127025</v>
      </c>
      <c r="D339" s="263">
        <f t="shared" si="154"/>
        <v>3596.7578601553932</v>
      </c>
      <c r="E339" s="263">
        <f t="shared" si="154"/>
        <v>3425.6559867485212</v>
      </c>
      <c r="F339" s="263">
        <f t="shared" si="154"/>
        <v>3266.0380475742832</v>
      </c>
      <c r="G339" s="263">
        <f t="shared" si="154"/>
        <v>3117.9420660139913</v>
      </c>
      <c r="H339" s="263">
        <f t="shared" si="154"/>
        <v>2980.5867062435495</v>
      </c>
      <c r="I339" s="263">
        <f t="shared" si="154"/>
        <v>2832.903253574349</v>
      </c>
      <c r="J339" s="263">
        <f t="shared" si="154"/>
        <v>2696.0309899225313</v>
      </c>
      <c r="K339" s="263">
        <f t="shared" si="154"/>
        <v>2569.3195476714964</v>
      </c>
      <c r="L339" s="263">
        <f t="shared" si="154"/>
        <v>2452.1466016855734</v>
      </c>
      <c r="M339" s="263">
        <f t="shared" si="154"/>
        <v>2343.91704573275</v>
      </c>
      <c r="N339" s="263">
        <f t="shared" si="154"/>
        <v>2289.8974496979977</v>
      </c>
      <c r="O339" s="263">
        <f t="shared" si="154"/>
        <v>2239.3995358135635</v>
      </c>
      <c r="P339" s="263">
        <f t="shared" si="154"/>
        <v>2192.0113556337524</v>
      </c>
      <c r="Q339" s="263">
        <f t="shared" si="154"/>
        <v>2147.3328856882476</v>
      </c>
      <c r="R339" s="263">
        <f t="shared" si="154"/>
        <v>2104.9901231985432</v>
      </c>
      <c r="S339" s="263">
        <f t="shared" si="154"/>
        <v>2067.9731168986068</v>
      </c>
      <c r="T339" s="263">
        <f t="shared" si="154"/>
        <v>2032.2474676355328</v>
      </c>
      <c r="U339" s="263">
        <f t="shared" si="154"/>
        <v>1997.4969384684625</v>
      </c>
      <c r="V339" s="263">
        <f t="shared" si="154"/>
        <v>1963.4280329910539</v>
      </c>
      <c r="W339" s="263">
        <f t="shared" si="154"/>
        <v>1929.7695066791248</v>
      </c>
      <c r="X339" s="263">
        <f t="shared" si="154"/>
        <v>1869.0901853396465</v>
      </c>
      <c r="Y339" s="263">
        <f t="shared" si="154"/>
        <v>1812.0659236945398</v>
      </c>
      <c r="Z339" s="263">
        <f t="shared" si="154"/>
        <v>1758.3664877556926</v>
      </c>
      <c r="AA339" s="263">
        <f t="shared" si="154"/>
        <v>1707.5982895575526</v>
      </c>
      <c r="AB339" s="263">
        <f t="shared" si="154"/>
        <v>1659.4192713026471</v>
      </c>
      <c r="AC339" s="263">
        <f t="shared" si="154"/>
        <v>1612.9590321638609</v>
      </c>
      <c r="AD339" s="263">
        <f t="shared" si="154"/>
        <v>1568.7339259904477</v>
      </c>
      <c r="AE339" s="263">
        <f t="shared" si="154"/>
        <v>1526.471711712675</v>
      </c>
      <c r="AF339" s="263">
        <f t="shared" si="154"/>
        <v>1485.9199713405269</v>
      </c>
      <c r="AG339" s="263">
        <f t="shared" si="154"/>
        <v>1446.8454410810086</v>
      </c>
      <c r="AI339" s="264"/>
      <c r="AJ339" s="265"/>
    </row>
    <row r="340" spans="1:36" s="160" customFormat="1">
      <c r="B340" s="156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J340" s="272"/>
    </row>
    <row r="341" spans="1:36" s="160" customFormat="1">
      <c r="A341" s="160" t="s">
        <v>1259</v>
      </c>
      <c r="B341" s="299" t="s">
        <v>127</v>
      </c>
      <c r="C341" s="203">
        <f>C274</f>
        <v>607972.99627735908</v>
      </c>
      <c r="D341" s="203">
        <f t="shared" ref="D341:AG341" si="156">D274</f>
        <v>627076.02157340618</v>
      </c>
      <c r="E341" s="203">
        <f t="shared" si="156"/>
        <v>642107.0740080846</v>
      </c>
      <c r="F341" s="203">
        <f t="shared" si="156"/>
        <v>656381.30903086939</v>
      </c>
      <c r="G341" s="203">
        <f t="shared" si="156"/>
        <v>668916.7340491449</v>
      </c>
      <c r="H341" s="203">
        <f t="shared" si="156"/>
        <v>679804.69186257268</v>
      </c>
      <c r="I341" s="203">
        <f t="shared" si="156"/>
        <v>688283.71227467514</v>
      </c>
      <c r="J341" s="203">
        <f t="shared" si="156"/>
        <v>695106.94810910639</v>
      </c>
      <c r="K341" s="203">
        <f t="shared" si="156"/>
        <v>700343.1296716053</v>
      </c>
      <c r="L341" s="203">
        <f t="shared" si="156"/>
        <v>704058.79098738404</v>
      </c>
      <c r="M341" s="203">
        <f t="shared" si="156"/>
        <v>706318.29087099642</v>
      </c>
      <c r="N341" s="203">
        <f t="shared" si="156"/>
        <v>692646.04202462733</v>
      </c>
      <c r="O341" s="203">
        <f t="shared" si="156"/>
        <v>678341.79458307847</v>
      </c>
      <c r="P341" s="203">
        <f t="shared" si="156"/>
        <v>663448.7758699574</v>
      </c>
      <c r="Q341" s="203">
        <f t="shared" si="156"/>
        <v>648055.53328203317</v>
      </c>
      <c r="R341" s="203">
        <f t="shared" si="156"/>
        <v>632226.71686575538</v>
      </c>
      <c r="S341" s="203">
        <f t="shared" si="156"/>
        <v>616279.95602401998</v>
      </c>
      <c r="T341" s="203">
        <f t="shared" si="156"/>
        <v>600082.77414557547</v>
      </c>
      <c r="U341" s="203">
        <f t="shared" si="156"/>
        <v>583701.49313133804</v>
      </c>
      <c r="V341" s="203">
        <f t="shared" si="156"/>
        <v>567201.09678880428</v>
      </c>
      <c r="W341" s="203">
        <f t="shared" si="156"/>
        <v>550645.24239843374</v>
      </c>
      <c r="X341" s="203">
        <f t="shared" si="156"/>
        <v>544363.51969236112</v>
      </c>
      <c r="Y341" s="203">
        <f t="shared" si="156"/>
        <v>537369.15468366398</v>
      </c>
      <c r="Z341" s="203">
        <f t="shared" si="156"/>
        <v>529632.63141068793</v>
      </c>
      <c r="AA341" s="203">
        <f t="shared" si="156"/>
        <v>521306.08599842561</v>
      </c>
      <c r="AB341" s="203">
        <f t="shared" si="156"/>
        <v>512453.49342187447</v>
      </c>
      <c r="AC341" s="203">
        <f t="shared" si="156"/>
        <v>502730.22860063403</v>
      </c>
      <c r="AD341" s="203">
        <f t="shared" si="156"/>
        <v>492531.25269173499</v>
      </c>
      <c r="AE341" s="203">
        <f t="shared" si="156"/>
        <v>481909.50920086831</v>
      </c>
      <c r="AF341" s="203">
        <f t="shared" si="156"/>
        <v>470916.09603799751</v>
      </c>
      <c r="AG341" s="203">
        <f t="shared" si="156"/>
        <v>459600.28336097673</v>
      </c>
      <c r="AI341" s="616"/>
      <c r="AJ341" s="272"/>
    </row>
    <row r="342" spans="1:36" s="160" customFormat="1">
      <c r="A342" s="160" t="s">
        <v>1260</v>
      </c>
      <c r="B342" s="298" t="s">
        <v>127</v>
      </c>
      <c r="C342" s="218">
        <f>C341/(1-C299)</f>
        <v>832839.72092788923</v>
      </c>
      <c r="D342" s="218">
        <f t="shared" ref="D342:AG342" si="157">D341/(1-D299)</f>
        <v>854327.00486840075</v>
      </c>
      <c r="E342" s="218">
        <f t="shared" si="157"/>
        <v>870063.78591881378</v>
      </c>
      <c r="F342" s="218">
        <f t="shared" si="157"/>
        <v>884610.92861303152</v>
      </c>
      <c r="G342" s="218">
        <f t="shared" si="157"/>
        <v>896671.22526695032</v>
      </c>
      <c r="H342" s="218">
        <f t="shared" si="157"/>
        <v>906406.25581676362</v>
      </c>
      <c r="I342" s="218">
        <f t="shared" si="157"/>
        <v>912843.11972768581</v>
      </c>
      <c r="J342" s="218">
        <f t="shared" si="157"/>
        <v>917027.63602784486</v>
      </c>
      <c r="K342" s="218">
        <f t="shared" si="157"/>
        <v>919085.4720099807</v>
      </c>
      <c r="L342" s="218">
        <f t="shared" si="157"/>
        <v>919136.80285559269</v>
      </c>
      <c r="M342" s="218">
        <f t="shared" si="157"/>
        <v>917296.48165064468</v>
      </c>
      <c r="N342" s="218">
        <f t="shared" si="157"/>
        <v>894891.52716360113</v>
      </c>
      <c r="O342" s="218">
        <f t="shared" si="157"/>
        <v>871904.62028673326</v>
      </c>
      <c r="P342" s="218">
        <f t="shared" si="157"/>
        <v>848399.96914316795</v>
      </c>
      <c r="Q342" s="218">
        <f t="shared" si="157"/>
        <v>824498.13394660701</v>
      </c>
      <c r="R342" s="218">
        <f t="shared" si="157"/>
        <v>800286.98337437387</v>
      </c>
      <c r="S342" s="218">
        <f t="shared" si="157"/>
        <v>776171.22924939543</v>
      </c>
      <c r="T342" s="218">
        <f t="shared" si="157"/>
        <v>751983.42624758824</v>
      </c>
      <c r="U342" s="218">
        <f t="shared" si="157"/>
        <v>727807.34804406238</v>
      </c>
      <c r="V342" s="218">
        <f t="shared" si="157"/>
        <v>703723.44514739979</v>
      </c>
      <c r="W342" s="218">
        <f t="shared" si="157"/>
        <v>679808.94123263424</v>
      </c>
      <c r="X342" s="218">
        <f t="shared" si="157"/>
        <v>668751.2526933183</v>
      </c>
      <c r="Y342" s="218">
        <f t="shared" si="157"/>
        <v>656930.50694824441</v>
      </c>
      <c r="Z342" s="218">
        <f t="shared" si="157"/>
        <v>644321.93602273462</v>
      </c>
      <c r="AA342" s="218">
        <f t="shared" si="157"/>
        <v>631121.16948961932</v>
      </c>
      <c r="AB342" s="218">
        <f t="shared" si="157"/>
        <v>617413.84749623423</v>
      </c>
      <c r="AC342" s="218">
        <f t="shared" si="157"/>
        <v>602794.03908948915</v>
      </c>
      <c r="AD342" s="218">
        <f t="shared" si="157"/>
        <v>587746.1249304713</v>
      </c>
      <c r="AE342" s="218">
        <f t="shared" si="157"/>
        <v>572339.08456160128</v>
      </c>
      <c r="AF342" s="218">
        <f t="shared" si="157"/>
        <v>556638.41139243194</v>
      </c>
      <c r="AG342" s="218">
        <f t="shared" si="157"/>
        <v>540706.21571879613</v>
      </c>
      <c r="AI342" s="616"/>
      <c r="AJ342" s="272"/>
    </row>
    <row r="343" spans="1:36" s="160" customFormat="1">
      <c r="A343" s="160" t="s">
        <v>1261</v>
      </c>
      <c r="B343" s="298" t="s">
        <v>127</v>
      </c>
      <c r="C343" s="218">
        <f>C331</f>
        <v>0</v>
      </c>
      <c r="D343" s="218">
        <f t="shared" ref="D343:AG343" si="158">D331</f>
        <v>0</v>
      </c>
      <c r="E343" s="218">
        <f t="shared" si="158"/>
        <v>0</v>
      </c>
      <c r="F343" s="218">
        <f t="shared" si="158"/>
        <v>0</v>
      </c>
      <c r="G343" s="218">
        <f t="shared" si="158"/>
        <v>0</v>
      </c>
      <c r="H343" s="218">
        <f t="shared" si="158"/>
        <v>0</v>
      </c>
      <c r="I343" s="218">
        <f t="shared" si="158"/>
        <v>0</v>
      </c>
      <c r="J343" s="218">
        <f t="shared" si="158"/>
        <v>0</v>
      </c>
      <c r="K343" s="218">
        <f t="shared" si="158"/>
        <v>0</v>
      </c>
      <c r="L343" s="218">
        <f t="shared" si="158"/>
        <v>0</v>
      </c>
      <c r="M343" s="218">
        <f t="shared" si="158"/>
        <v>0</v>
      </c>
      <c r="N343" s="218">
        <f t="shared" si="158"/>
        <v>0</v>
      </c>
      <c r="O343" s="218">
        <f t="shared" si="158"/>
        <v>0</v>
      </c>
      <c r="P343" s="218">
        <f t="shared" si="158"/>
        <v>0</v>
      </c>
      <c r="Q343" s="218">
        <f t="shared" si="158"/>
        <v>0</v>
      </c>
      <c r="R343" s="218">
        <f t="shared" si="158"/>
        <v>0</v>
      </c>
      <c r="S343" s="218">
        <f t="shared" si="158"/>
        <v>0</v>
      </c>
      <c r="T343" s="218">
        <f t="shared" si="158"/>
        <v>0</v>
      </c>
      <c r="U343" s="218">
        <f t="shared" si="158"/>
        <v>0</v>
      </c>
      <c r="V343" s="218">
        <f t="shared" si="158"/>
        <v>0</v>
      </c>
      <c r="W343" s="218">
        <f t="shared" si="158"/>
        <v>0</v>
      </c>
      <c r="X343" s="218">
        <f t="shared" si="158"/>
        <v>0</v>
      </c>
      <c r="Y343" s="218">
        <f t="shared" si="158"/>
        <v>0</v>
      </c>
      <c r="Z343" s="218">
        <f t="shared" si="158"/>
        <v>0</v>
      </c>
      <c r="AA343" s="218">
        <f t="shared" si="158"/>
        <v>0</v>
      </c>
      <c r="AB343" s="218">
        <f t="shared" si="158"/>
        <v>0</v>
      </c>
      <c r="AC343" s="218">
        <f t="shared" si="158"/>
        <v>0</v>
      </c>
      <c r="AD343" s="218">
        <f t="shared" si="158"/>
        <v>0</v>
      </c>
      <c r="AE343" s="218">
        <f t="shared" si="158"/>
        <v>0</v>
      </c>
      <c r="AF343" s="218">
        <f t="shared" si="158"/>
        <v>0</v>
      </c>
      <c r="AG343" s="218">
        <f t="shared" si="158"/>
        <v>0</v>
      </c>
      <c r="AI343" s="616"/>
      <c r="AJ343" s="272"/>
    </row>
    <row r="344" spans="1:36" s="160" customFormat="1">
      <c r="A344" s="160" t="s">
        <v>1262</v>
      </c>
      <c r="B344" s="298" t="s">
        <v>127</v>
      </c>
      <c r="C344" s="218">
        <f>C342-C343</f>
        <v>832839.72092788923</v>
      </c>
      <c r="D344" s="218">
        <f t="shared" ref="D344:AG344" si="159">D342-D343</f>
        <v>854327.00486840075</v>
      </c>
      <c r="E344" s="218">
        <f t="shared" si="159"/>
        <v>870063.78591881378</v>
      </c>
      <c r="F344" s="218">
        <f t="shared" si="159"/>
        <v>884610.92861303152</v>
      </c>
      <c r="G344" s="218">
        <f t="shared" si="159"/>
        <v>896671.22526695032</v>
      </c>
      <c r="H344" s="218">
        <f t="shared" si="159"/>
        <v>906406.25581676362</v>
      </c>
      <c r="I344" s="218">
        <f t="shared" si="159"/>
        <v>912843.11972768581</v>
      </c>
      <c r="J344" s="218">
        <f t="shared" si="159"/>
        <v>917027.63602784486</v>
      </c>
      <c r="K344" s="218">
        <f t="shared" si="159"/>
        <v>919085.4720099807</v>
      </c>
      <c r="L344" s="218">
        <f t="shared" si="159"/>
        <v>919136.80285559269</v>
      </c>
      <c r="M344" s="218">
        <f t="shared" si="159"/>
        <v>917296.48165064468</v>
      </c>
      <c r="N344" s="218">
        <f t="shared" si="159"/>
        <v>894891.52716360113</v>
      </c>
      <c r="O344" s="218">
        <f t="shared" si="159"/>
        <v>871904.62028673326</v>
      </c>
      <c r="P344" s="218">
        <f t="shared" si="159"/>
        <v>848399.96914316795</v>
      </c>
      <c r="Q344" s="218">
        <f t="shared" si="159"/>
        <v>824498.13394660701</v>
      </c>
      <c r="R344" s="218">
        <f t="shared" si="159"/>
        <v>800286.98337437387</v>
      </c>
      <c r="S344" s="218">
        <f t="shared" si="159"/>
        <v>776171.22924939543</v>
      </c>
      <c r="T344" s="218">
        <f t="shared" si="159"/>
        <v>751983.42624758824</v>
      </c>
      <c r="U344" s="218">
        <f t="shared" si="159"/>
        <v>727807.34804406238</v>
      </c>
      <c r="V344" s="218">
        <f t="shared" si="159"/>
        <v>703723.44514739979</v>
      </c>
      <c r="W344" s="218">
        <f t="shared" si="159"/>
        <v>679808.94123263424</v>
      </c>
      <c r="X344" s="218">
        <f t="shared" si="159"/>
        <v>668751.2526933183</v>
      </c>
      <c r="Y344" s="218">
        <f t="shared" si="159"/>
        <v>656930.50694824441</v>
      </c>
      <c r="Z344" s="218">
        <f t="shared" si="159"/>
        <v>644321.93602273462</v>
      </c>
      <c r="AA344" s="218">
        <f t="shared" si="159"/>
        <v>631121.16948961932</v>
      </c>
      <c r="AB344" s="218">
        <f t="shared" si="159"/>
        <v>617413.84749623423</v>
      </c>
      <c r="AC344" s="218">
        <f t="shared" si="159"/>
        <v>602794.03908948915</v>
      </c>
      <c r="AD344" s="218">
        <f t="shared" si="159"/>
        <v>587746.1249304713</v>
      </c>
      <c r="AE344" s="218">
        <f t="shared" si="159"/>
        <v>572339.08456160128</v>
      </c>
      <c r="AF344" s="218">
        <f t="shared" si="159"/>
        <v>556638.41139243194</v>
      </c>
      <c r="AG344" s="218">
        <f t="shared" si="159"/>
        <v>540706.21571879613</v>
      </c>
      <c r="AI344" s="616"/>
      <c r="AJ344" s="272"/>
    </row>
    <row r="345" spans="1:36" s="160" customFormat="1">
      <c r="A345" s="160" t="s">
        <v>1263</v>
      </c>
      <c r="B345" s="298" t="s">
        <v>127</v>
      </c>
      <c r="C345" s="218">
        <f>(C344)/(1-C296)</f>
        <v>1041049.6511598615</v>
      </c>
      <c r="D345" s="218">
        <f t="shared" ref="D345:AG345" si="160">(D342-D331)/(1-D296)</f>
        <v>1063477.5994212457</v>
      </c>
      <c r="E345" s="218">
        <f t="shared" si="160"/>
        <v>1078591.4701472898</v>
      </c>
      <c r="F345" s="218">
        <f t="shared" si="160"/>
        <v>1092112.2575469525</v>
      </c>
      <c r="G345" s="218">
        <f t="shared" si="160"/>
        <v>1102464.621229857</v>
      </c>
      <c r="H345" s="218">
        <f t="shared" si="160"/>
        <v>1109885.2112042003</v>
      </c>
      <c r="I345" s="218">
        <f t="shared" si="160"/>
        <v>1113223.3167410803</v>
      </c>
      <c r="J345" s="218">
        <f t="shared" si="160"/>
        <v>1113798.7482119575</v>
      </c>
      <c r="K345" s="218">
        <f t="shared" si="160"/>
        <v>1111796.9419475573</v>
      </c>
      <c r="L345" s="218">
        <f t="shared" si="160"/>
        <v>1107393.7383802321</v>
      </c>
      <c r="M345" s="218">
        <f t="shared" si="160"/>
        <v>1100755.7779807737</v>
      </c>
      <c r="N345" s="218">
        <f t="shared" si="160"/>
        <v>1069591.4667294039</v>
      </c>
      <c r="O345" s="218">
        <f t="shared" si="160"/>
        <v>1037981.6908175398</v>
      </c>
      <c r="P345" s="218">
        <f t="shared" si="160"/>
        <v>1006007.8685492111</v>
      </c>
      <c r="Q345" s="218">
        <f t="shared" si="160"/>
        <v>973816.69363772497</v>
      </c>
      <c r="R345" s="218">
        <f t="shared" si="160"/>
        <v>941514.0980874988</v>
      </c>
      <c r="S345" s="218">
        <f t="shared" si="160"/>
        <v>909575.65927663539</v>
      </c>
      <c r="T345" s="218">
        <f t="shared" si="160"/>
        <v>877801.66488045326</v>
      </c>
      <c r="U345" s="218">
        <f t="shared" si="160"/>
        <v>846287.61400472384</v>
      </c>
      <c r="V345" s="218">
        <f t="shared" si="160"/>
        <v>815123.68163791497</v>
      </c>
      <c r="W345" s="218">
        <f t="shared" si="160"/>
        <v>784394.93219150126</v>
      </c>
      <c r="X345" s="218">
        <f t="shared" si="160"/>
        <v>768679.60079691769</v>
      </c>
      <c r="Y345" s="218">
        <f t="shared" si="160"/>
        <v>752210.50413921126</v>
      </c>
      <c r="Z345" s="218">
        <f t="shared" si="160"/>
        <v>734967.98785863281</v>
      </c>
      <c r="AA345" s="218">
        <f t="shared" si="160"/>
        <v>717183.14714729472</v>
      </c>
      <c r="AB345" s="218">
        <f t="shared" si="160"/>
        <v>698959.07263724646</v>
      </c>
      <c r="AC345" s="218">
        <f t="shared" si="160"/>
        <v>679842.90122874733</v>
      </c>
      <c r="AD345" s="218">
        <f t="shared" si="160"/>
        <v>660388.90441626008</v>
      </c>
      <c r="AE345" s="218">
        <f t="shared" si="160"/>
        <v>640678.07973313599</v>
      </c>
      <c r="AF345" s="218">
        <f t="shared" si="160"/>
        <v>620786.33240791678</v>
      </c>
      <c r="AG345" s="218">
        <f t="shared" si="160"/>
        <v>600784.68413199566</v>
      </c>
      <c r="AI345" s="616"/>
      <c r="AJ345" s="272"/>
    </row>
    <row r="346" spans="1:36" s="160" customFormat="1">
      <c r="A346" s="160" t="s">
        <v>1264</v>
      </c>
      <c r="B346" s="298" t="s">
        <v>127</v>
      </c>
      <c r="C346" s="218">
        <f>IF(C325&gt;C345,C345,C325)</f>
        <v>200584.11759076524</v>
      </c>
      <c r="D346" s="218">
        <f t="shared" ref="D346:AG346" si="161">IF(D325&gt;D345,D345,D325)</f>
        <v>207841.67091239517</v>
      </c>
      <c r="E346" s="218">
        <f t="shared" si="161"/>
        <v>214717.74684504815</v>
      </c>
      <c r="F346" s="218">
        <f t="shared" si="161"/>
        <v>221627.71373235472</v>
      </c>
      <c r="G346" s="218">
        <f t="shared" si="161"/>
        <v>228433.79315479315</v>
      </c>
      <c r="H346" s="218">
        <f t="shared" si="161"/>
        <v>235136.4912092048</v>
      </c>
      <c r="I346" s="218">
        <f t="shared" si="161"/>
        <v>240763.67866484082</v>
      </c>
      <c r="J346" s="218">
        <f t="shared" si="161"/>
        <v>246226.71764325345</v>
      </c>
      <c r="K346" s="218">
        <f t="shared" si="161"/>
        <v>251526.46594850181</v>
      </c>
      <c r="L346" s="218">
        <f t="shared" si="161"/>
        <v>256663.77836199049</v>
      </c>
      <c r="M346" s="218">
        <f t="shared" si="161"/>
        <v>261639.50665100859</v>
      </c>
      <c r="N346" s="218">
        <f t="shared" si="161"/>
        <v>265634.44820123247</v>
      </c>
      <c r="O346" s="218">
        <f t="shared" si="161"/>
        <v>269425.36792569718</v>
      </c>
      <c r="P346" s="218">
        <f t="shared" si="161"/>
        <v>273008.31169709045</v>
      </c>
      <c r="Q346" s="218">
        <f t="shared" si="161"/>
        <v>276389.09266523342</v>
      </c>
      <c r="R346" s="218">
        <f t="shared" si="161"/>
        <v>279568.79781785008</v>
      </c>
      <c r="S346" s="218">
        <f t="shared" si="161"/>
        <v>282821.87487775448</v>
      </c>
      <c r="T346" s="218">
        <f t="shared" si="161"/>
        <v>285888.7673736572</v>
      </c>
      <c r="U346" s="218">
        <f t="shared" si="161"/>
        <v>288770.47638150532</v>
      </c>
      <c r="V346" s="218">
        <f t="shared" si="161"/>
        <v>291467.99942645303</v>
      </c>
      <c r="W346" s="218">
        <f t="shared" si="161"/>
        <v>293982.33049289876</v>
      </c>
      <c r="X346" s="218">
        <f t="shared" si="161"/>
        <v>297073.31258933828</v>
      </c>
      <c r="Y346" s="218">
        <f t="shared" si="161"/>
        <v>300014.14267673943</v>
      </c>
      <c r="Z346" s="218">
        <f t="shared" si="161"/>
        <v>302782.14250583178</v>
      </c>
      <c r="AA346" s="218">
        <f t="shared" si="161"/>
        <v>305400.03272910829</v>
      </c>
      <c r="AB346" s="218">
        <f t="shared" si="161"/>
        <v>307868.5773425657</v>
      </c>
      <c r="AC346" s="218">
        <f t="shared" si="161"/>
        <v>310009.47666867875</v>
      </c>
      <c r="AD346" s="218">
        <f t="shared" si="161"/>
        <v>311996.0263702487</v>
      </c>
      <c r="AE346" s="218">
        <f t="shared" si="161"/>
        <v>313829.02139459969</v>
      </c>
      <c r="AF346" s="218">
        <f t="shared" si="161"/>
        <v>315509.25402117783</v>
      </c>
      <c r="AG346" s="218">
        <f t="shared" si="161"/>
        <v>317037.51386859396</v>
      </c>
      <c r="AI346" s="616"/>
      <c r="AJ346" s="272"/>
    </row>
    <row r="347" spans="1:36" s="160" customFormat="1">
      <c r="A347" s="160" t="s">
        <v>1265</v>
      </c>
      <c r="B347" s="298" t="s">
        <v>127</v>
      </c>
      <c r="C347" s="218">
        <f>IF(C345-C346&lt;0,0,C345-C346)</f>
        <v>840465.53356909624</v>
      </c>
      <c r="D347" s="218">
        <f t="shared" ref="D347:AG347" si="162">IF(D345-D346&lt;0,0,D345-D346)</f>
        <v>855635.92850885051</v>
      </c>
      <c r="E347" s="218">
        <f t="shared" si="162"/>
        <v>863873.72330224165</v>
      </c>
      <c r="F347" s="218">
        <f t="shared" si="162"/>
        <v>870484.54381459777</v>
      </c>
      <c r="G347" s="218">
        <f t="shared" si="162"/>
        <v>874030.82807506388</v>
      </c>
      <c r="H347" s="218">
        <f t="shared" si="162"/>
        <v>874748.71999499551</v>
      </c>
      <c r="I347" s="218">
        <f t="shared" si="162"/>
        <v>872459.6380762395</v>
      </c>
      <c r="J347" s="218">
        <f t="shared" si="162"/>
        <v>867572.03056870401</v>
      </c>
      <c r="K347" s="218">
        <f t="shared" si="162"/>
        <v>860270.47599905543</v>
      </c>
      <c r="L347" s="218">
        <f t="shared" si="162"/>
        <v>850729.96001824166</v>
      </c>
      <c r="M347" s="218">
        <f t="shared" si="162"/>
        <v>839116.27132976509</v>
      </c>
      <c r="N347" s="218">
        <f t="shared" si="162"/>
        <v>803957.01852817147</v>
      </c>
      <c r="O347" s="218">
        <f t="shared" si="162"/>
        <v>768556.32289184257</v>
      </c>
      <c r="P347" s="218">
        <f t="shared" si="162"/>
        <v>732999.55685212067</v>
      </c>
      <c r="Q347" s="218">
        <f t="shared" si="162"/>
        <v>697427.60097249155</v>
      </c>
      <c r="R347" s="218">
        <f t="shared" si="162"/>
        <v>661945.30026964867</v>
      </c>
      <c r="S347" s="218">
        <f t="shared" si="162"/>
        <v>626753.7843988809</v>
      </c>
      <c r="T347" s="218">
        <f t="shared" si="162"/>
        <v>591912.89750679606</v>
      </c>
      <c r="U347" s="218">
        <f t="shared" si="162"/>
        <v>557517.13762321859</v>
      </c>
      <c r="V347" s="218">
        <f t="shared" si="162"/>
        <v>523655.68221146194</v>
      </c>
      <c r="W347" s="218">
        <f t="shared" si="162"/>
        <v>490412.60169860249</v>
      </c>
      <c r="X347" s="218">
        <f t="shared" si="162"/>
        <v>471606.2882075794</v>
      </c>
      <c r="Y347" s="218">
        <f t="shared" si="162"/>
        <v>452196.36146247183</v>
      </c>
      <c r="Z347" s="218">
        <f t="shared" si="162"/>
        <v>432185.84535280103</v>
      </c>
      <c r="AA347" s="218">
        <f t="shared" si="162"/>
        <v>411783.11441818642</v>
      </c>
      <c r="AB347" s="218">
        <f t="shared" si="162"/>
        <v>391090.49529468076</v>
      </c>
      <c r="AC347" s="218">
        <f t="shared" si="162"/>
        <v>369833.42456006858</v>
      </c>
      <c r="AD347" s="218">
        <f t="shared" si="162"/>
        <v>348392.87804601138</v>
      </c>
      <c r="AE347" s="218">
        <f t="shared" si="162"/>
        <v>326849.0583385363</v>
      </c>
      <c r="AF347" s="218">
        <f t="shared" si="162"/>
        <v>305277.07838673895</v>
      </c>
      <c r="AG347" s="218">
        <f t="shared" si="162"/>
        <v>283747.1702634017</v>
      </c>
      <c r="AI347" s="616"/>
      <c r="AJ347" s="272"/>
    </row>
    <row r="348" spans="1:36" s="160" customFormat="1">
      <c r="A348" s="160" t="s">
        <v>1266</v>
      </c>
      <c r="B348" s="298" t="s">
        <v>127</v>
      </c>
      <c r="C348" s="218">
        <f>C342*C299+C296*C345+C332+IF(C325&gt;C345,C325-C345,0)</f>
        <v>433076.65488250239</v>
      </c>
      <c r="D348" s="218">
        <f t="shared" ref="D348:AG348" si="163">D342*D299+D296*D345+D332+IF(D325&gt;D345,D325-D345,0)</f>
        <v>436401.57784783962</v>
      </c>
      <c r="E348" s="218">
        <f t="shared" si="163"/>
        <v>436484.39613920526</v>
      </c>
      <c r="F348" s="218">
        <f t="shared" si="163"/>
        <v>435730.94851608318</v>
      </c>
      <c r="G348" s="218">
        <f t="shared" si="163"/>
        <v>433547.88718071207</v>
      </c>
      <c r="H348" s="218">
        <f t="shared" si="163"/>
        <v>430080.51934162766</v>
      </c>
      <c r="I348" s="218">
        <f t="shared" si="163"/>
        <v>424939.60446640523</v>
      </c>
      <c r="J348" s="218">
        <f t="shared" si="163"/>
        <v>418691.800102851</v>
      </c>
      <c r="K348" s="218">
        <f t="shared" si="163"/>
        <v>411453.81227595208</v>
      </c>
      <c r="L348" s="218">
        <f t="shared" si="163"/>
        <v>403334.9473928482</v>
      </c>
      <c r="M348" s="218">
        <f t="shared" si="163"/>
        <v>394437.48710977728</v>
      </c>
      <c r="N348" s="218">
        <f t="shared" si="163"/>
        <v>376945.42470477655</v>
      </c>
      <c r="O348" s="218">
        <f t="shared" si="163"/>
        <v>359639.89623446122</v>
      </c>
      <c r="P348" s="218">
        <f t="shared" si="163"/>
        <v>342559.09267925378</v>
      </c>
      <c r="Q348" s="218">
        <f t="shared" si="163"/>
        <v>325761.1603556918</v>
      </c>
      <c r="R348" s="218">
        <f t="shared" si="163"/>
        <v>309287.38122174342</v>
      </c>
      <c r="S348" s="218">
        <f t="shared" si="163"/>
        <v>293295.70325261541</v>
      </c>
      <c r="T348" s="218">
        <f t="shared" si="163"/>
        <v>277718.8907348779</v>
      </c>
      <c r="U348" s="218">
        <f t="shared" si="163"/>
        <v>262586.12087338575</v>
      </c>
      <c r="V348" s="218">
        <f t="shared" si="163"/>
        <v>247922.58484911066</v>
      </c>
      <c r="W348" s="218">
        <f t="shared" si="163"/>
        <v>233749.6897930674</v>
      </c>
      <c r="X348" s="218">
        <f t="shared" si="163"/>
        <v>224316.08110455656</v>
      </c>
      <c r="Y348" s="218">
        <f t="shared" si="163"/>
        <v>214841.34945554732</v>
      </c>
      <c r="Z348" s="218">
        <f t="shared" si="163"/>
        <v>205335.35644794488</v>
      </c>
      <c r="AA348" s="218">
        <f t="shared" si="163"/>
        <v>195877.06114886919</v>
      </c>
      <c r="AB348" s="218">
        <f t="shared" si="163"/>
        <v>186505.57921537198</v>
      </c>
      <c r="AC348" s="218">
        <f t="shared" si="163"/>
        <v>177112.6726281133</v>
      </c>
      <c r="AD348" s="218">
        <f t="shared" si="163"/>
        <v>167857.65172452503</v>
      </c>
      <c r="AE348" s="218">
        <f t="shared" si="163"/>
        <v>158768.57053226756</v>
      </c>
      <c r="AF348" s="218">
        <f t="shared" si="163"/>
        <v>149870.23636991932</v>
      </c>
      <c r="AG348" s="218">
        <f t="shared" si="163"/>
        <v>141184.40077101899</v>
      </c>
      <c r="AI348" s="616"/>
      <c r="AJ348" s="272"/>
    </row>
    <row r="349" spans="1:36" s="160" customFormat="1">
      <c r="A349" s="160" t="s">
        <v>1267</v>
      </c>
      <c r="B349" s="298" t="s">
        <v>127</v>
      </c>
      <c r="C349" s="218">
        <f>C328-C347</f>
        <v>296177.79944524018</v>
      </c>
      <c r="D349" s="218">
        <f t="shared" ref="D349:AF349" si="164">D328-D347</f>
        <v>266000.03967723087</v>
      </c>
      <c r="E349" s="218">
        <f t="shared" si="164"/>
        <v>241394.67849030136</v>
      </c>
      <c r="F349" s="218">
        <f t="shared" si="164"/>
        <v>219294.33258532418</v>
      </c>
      <c r="G349" s="218">
        <f t="shared" si="164"/>
        <v>200389.71235261369</v>
      </c>
      <c r="H349" s="218">
        <f t="shared" si="164"/>
        <v>184444.09820426675</v>
      </c>
      <c r="I349" s="218">
        <f t="shared" si="164"/>
        <v>167434.54849743505</v>
      </c>
      <c r="J349" s="218">
        <f t="shared" si="164"/>
        <v>153234.10415469878</v>
      </c>
      <c r="K349" s="218">
        <f t="shared" si="164"/>
        <v>141657.20729746879</v>
      </c>
      <c r="L349" s="218">
        <f t="shared" si="164"/>
        <v>132527.89621875621</v>
      </c>
      <c r="M349" s="218">
        <f t="shared" si="164"/>
        <v>125679.40944582957</v>
      </c>
      <c r="N349" s="218">
        <f t="shared" si="164"/>
        <v>139670.05770716339</v>
      </c>
      <c r="O349" s="218">
        <f t="shared" si="164"/>
        <v>154165.95487138652</v>
      </c>
      <c r="P349" s="218">
        <f t="shared" si="164"/>
        <v>169063.77433640137</v>
      </c>
      <c r="Q349" s="218">
        <f t="shared" si="164"/>
        <v>184238.16389816999</v>
      </c>
      <c r="R349" s="218">
        <f t="shared" si="164"/>
        <v>199583.03586291044</v>
      </c>
      <c r="S349" s="218">
        <f t="shared" si="164"/>
        <v>215710.31503803818</v>
      </c>
      <c r="T349" s="218">
        <f t="shared" si="164"/>
        <v>231727.83333555213</v>
      </c>
      <c r="U349" s="218">
        <f t="shared" si="164"/>
        <v>247539.94804643327</v>
      </c>
      <c r="V349" s="218">
        <f t="shared" si="164"/>
        <v>263056.34090136923</v>
      </c>
      <c r="W349" s="218">
        <f t="shared" si="164"/>
        <v>278191.80452982004</v>
      </c>
      <c r="X349" s="218">
        <f t="shared" si="164"/>
        <v>281049.41895339475</v>
      </c>
      <c r="Y349" s="218">
        <f t="shared" si="164"/>
        <v>284704.73552693921</v>
      </c>
      <c r="Z349" s="218">
        <f t="shared" si="164"/>
        <v>289097.8830742822</v>
      </c>
      <c r="AA349" s="218">
        <f t="shared" si="164"/>
        <v>294075.23937293171</v>
      </c>
      <c r="AB349" s="218">
        <f t="shared" si="164"/>
        <v>299533.61063593993</v>
      </c>
      <c r="AC349" s="218">
        <f t="shared" si="164"/>
        <v>305356.70682849473</v>
      </c>
      <c r="AD349" s="218">
        <f t="shared" si="164"/>
        <v>311561.33349728765</v>
      </c>
      <c r="AE349" s="218">
        <f t="shared" si="164"/>
        <v>318066.3848124845</v>
      </c>
      <c r="AF349" s="218">
        <f t="shared" si="164"/>
        <v>324795.84747573332</v>
      </c>
      <c r="AG349" s="218">
        <f>AG328-AG347</f>
        <v>331678.59195210412</v>
      </c>
      <c r="AI349" s="616"/>
      <c r="AJ349" s="272"/>
    </row>
    <row r="350" spans="1:36" s="160" customFormat="1">
      <c r="B350" s="299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  <c r="AB350" s="276"/>
      <c r="AC350" s="276"/>
      <c r="AD350" s="276"/>
      <c r="AE350" s="276"/>
      <c r="AF350" s="276"/>
      <c r="AG350" s="276"/>
      <c r="AJ350" s="272"/>
    </row>
    <row r="351" spans="1:36" s="160" customFormat="1">
      <c r="A351" s="160" t="s">
        <v>677</v>
      </c>
      <c r="B351" s="299" t="s">
        <v>126</v>
      </c>
      <c r="C351" s="246">
        <v>0.8</v>
      </c>
      <c r="D351" s="267">
        <f>C351</f>
        <v>0.8</v>
      </c>
      <c r="E351" s="267">
        <f t="shared" ref="E351:AG351" si="165">D351</f>
        <v>0.8</v>
      </c>
      <c r="F351" s="267">
        <f t="shared" si="165"/>
        <v>0.8</v>
      </c>
      <c r="G351" s="267">
        <f t="shared" si="165"/>
        <v>0.8</v>
      </c>
      <c r="H351" s="267">
        <f t="shared" si="165"/>
        <v>0.8</v>
      </c>
      <c r="I351" s="267">
        <f t="shared" si="165"/>
        <v>0.8</v>
      </c>
      <c r="J351" s="267">
        <f t="shared" si="165"/>
        <v>0.8</v>
      </c>
      <c r="K351" s="267">
        <f t="shared" si="165"/>
        <v>0.8</v>
      </c>
      <c r="L351" s="267">
        <f t="shared" si="165"/>
        <v>0.8</v>
      </c>
      <c r="M351" s="267">
        <f>L351</f>
        <v>0.8</v>
      </c>
      <c r="N351" s="267">
        <f t="shared" si="165"/>
        <v>0.8</v>
      </c>
      <c r="O351" s="267">
        <f t="shared" si="165"/>
        <v>0.8</v>
      </c>
      <c r="P351" s="267">
        <f t="shared" si="165"/>
        <v>0.8</v>
      </c>
      <c r="Q351" s="267">
        <f t="shared" si="165"/>
        <v>0.8</v>
      </c>
      <c r="R351" s="267">
        <f t="shared" si="165"/>
        <v>0.8</v>
      </c>
      <c r="S351" s="267">
        <f t="shared" si="165"/>
        <v>0.8</v>
      </c>
      <c r="T351" s="267">
        <f t="shared" si="165"/>
        <v>0.8</v>
      </c>
      <c r="U351" s="267">
        <f t="shared" si="165"/>
        <v>0.8</v>
      </c>
      <c r="V351" s="267">
        <f t="shared" si="165"/>
        <v>0.8</v>
      </c>
      <c r="W351" s="267">
        <f t="shared" si="165"/>
        <v>0.8</v>
      </c>
      <c r="X351" s="267">
        <f t="shared" si="165"/>
        <v>0.8</v>
      </c>
      <c r="Y351" s="267">
        <f t="shared" si="165"/>
        <v>0.8</v>
      </c>
      <c r="Z351" s="267">
        <f t="shared" si="165"/>
        <v>0.8</v>
      </c>
      <c r="AA351" s="267">
        <f t="shared" si="165"/>
        <v>0.8</v>
      </c>
      <c r="AB351" s="267">
        <f t="shared" si="165"/>
        <v>0.8</v>
      </c>
      <c r="AC351" s="267">
        <f t="shared" si="165"/>
        <v>0.8</v>
      </c>
      <c r="AD351" s="267">
        <f t="shared" si="165"/>
        <v>0.8</v>
      </c>
      <c r="AE351" s="267">
        <f t="shared" si="165"/>
        <v>0.8</v>
      </c>
      <c r="AF351" s="267">
        <f t="shared" si="165"/>
        <v>0.8</v>
      </c>
      <c r="AG351" s="267">
        <f t="shared" si="165"/>
        <v>0.8</v>
      </c>
      <c r="AJ351" s="272" t="s">
        <v>678</v>
      </c>
    </row>
    <row r="352" spans="1:36" s="160" customFormat="1">
      <c r="B352" s="299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  <c r="AB352" s="276"/>
      <c r="AC352" s="276"/>
      <c r="AD352" s="276"/>
      <c r="AE352" s="276"/>
      <c r="AF352" s="276"/>
      <c r="AG352" s="276"/>
      <c r="AJ352" s="272"/>
    </row>
    <row r="353" spans="1:37" s="160" customFormat="1">
      <c r="A353" s="160" t="s">
        <v>634</v>
      </c>
      <c r="B353" s="299" t="s">
        <v>127</v>
      </c>
      <c r="C353" s="276">
        <f>C287*C348*C351</f>
        <v>346461.32390600193</v>
      </c>
      <c r="D353" s="276">
        <f t="shared" ref="D353:AG353" si="166">D287*D348*D351</f>
        <v>349121.26227827172</v>
      </c>
      <c r="E353" s="276">
        <f t="shared" si="166"/>
        <v>349187.51691136422</v>
      </c>
      <c r="F353" s="276">
        <f t="shared" si="166"/>
        <v>348584.75881286658</v>
      </c>
      <c r="G353" s="276">
        <f t="shared" si="166"/>
        <v>346838.30974456971</v>
      </c>
      <c r="H353" s="276">
        <f t="shared" si="166"/>
        <v>344064.41547330213</v>
      </c>
      <c r="I353" s="276">
        <f t="shared" si="166"/>
        <v>339951.68357312423</v>
      </c>
      <c r="J353" s="276">
        <f t="shared" si="166"/>
        <v>334953.44008228084</v>
      </c>
      <c r="K353" s="276">
        <f t="shared" si="166"/>
        <v>329163.04982076166</v>
      </c>
      <c r="L353" s="276">
        <f t="shared" si="166"/>
        <v>322667.95791427861</v>
      </c>
      <c r="M353" s="276">
        <f t="shared" si="166"/>
        <v>315549.98968782183</v>
      </c>
      <c r="N353" s="276">
        <f t="shared" si="166"/>
        <v>301556.33976382128</v>
      </c>
      <c r="O353" s="276">
        <f t="shared" si="166"/>
        <v>287711.91698756901</v>
      </c>
      <c r="P353" s="276">
        <f t="shared" si="166"/>
        <v>274047.27414340305</v>
      </c>
      <c r="Q353" s="276">
        <f t="shared" si="166"/>
        <v>260608.92828455346</v>
      </c>
      <c r="R353" s="276">
        <f t="shared" si="166"/>
        <v>247429.90497739473</v>
      </c>
      <c r="S353" s="276">
        <f t="shared" si="166"/>
        <v>234636.56260209234</v>
      </c>
      <c r="T353" s="276">
        <f t="shared" si="166"/>
        <v>222175.11258790235</v>
      </c>
      <c r="U353" s="276">
        <f t="shared" si="166"/>
        <v>210068.89669870862</v>
      </c>
      <c r="V353" s="276">
        <f t="shared" si="166"/>
        <v>198338.06787928854</v>
      </c>
      <c r="W353" s="276">
        <f t="shared" si="166"/>
        <v>186999.75183445393</v>
      </c>
      <c r="X353" s="276">
        <f t="shared" si="166"/>
        <v>179452.86488364526</v>
      </c>
      <c r="Y353" s="276">
        <f t="shared" si="166"/>
        <v>171873.07956443785</v>
      </c>
      <c r="Z353" s="276">
        <f t="shared" si="166"/>
        <v>164268.28515835592</v>
      </c>
      <c r="AA353" s="276">
        <f t="shared" si="166"/>
        <v>156701.64891909537</v>
      </c>
      <c r="AB353" s="276">
        <f t="shared" si="166"/>
        <v>149204.46337229759</v>
      </c>
      <c r="AC353" s="276">
        <f t="shared" si="166"/>
        <v>141690.13810249066</v>
      </c>
      <c r="AD353" s="276">
        <f t="shared" si="166"/>
        <v>134286.12137962002</v>
      </c>
      <c r="AE353" s="276">
        <f t="shared" si="166"/>
        <v>127014.85642581405</v>
      </c>
      <c r="AF353" s="276">
        <f t="shared" si="166"/>
        <v>119896.18909593546</v>
      </c>
      <c r="AG353" s="276">
        <f t="shared" si="166"/>
        <v>112947.52061681519</v>
      </c>
      <c r="AJ353" s="272"/>
    </row>
    <row r="354" spans="1:37" s="160" customFormat="1">
      <c r="A354" s="160" t="s">
        <v>639</v>
      </c>
      <c r="B354" s="299" t="s">
        <v>127</v>
      </c>
      <c r="C354" s="276">
        <f>C348*C351-C353</f>
        <v>0</v>
      </c>
      <c r="D354" s="276">
        <f t="shared" ref="D354:AG354" si="167">D348*D351-D353</f>
        <v>0</v>
      </c>
      <c r="E354" s="276">
        <f t="shared" si="167"/>
        <v>0</v>
      </c>
      <c r="F354" s="276">
        <f t="shared" si="167"/>
        <v>0</v>
      </c>
      <c r="G354" s="276">
        <f t="shared" si="167"/>
        <v>0</v>
      </c>
      <c r="H354" s="276">
        <f t="shared" si="167"/>
        <v>0</v>
      </c>
      <c r="I354" s="276">
        <f t="shared" si="167"/>
        <v>0</v>
      </c>
      <c r="J354" s="276">
        <f t="shared" si="167"/>
        <v>0</v>
      </c>
      <c r="K354" s="276">
        <f t="shared" si="167"/>
        <v>0</v>
      </c>
      <c r="L354" s="276">
        <f t="shared" si="167"/>
        <v>0</v>
      </c>
      <c r="M354" s="276">
        <f t="shared" si="167"/>
        <v>0</v>
      </c>
      <c r="N354" s="276">
        <f t="shared" si="167"/>
        <v>0</v>
      </c>
      <c r="O354" s="276">
        <f t="shared" si="167"/>
        <v>0</v>
      </c>
      <c r="P354" s="276">
        <f t="shared" si="167"/>
        <v>0</v>
      </c>
      <c r="Q354" s="276">
        <f t="shared" si="167"/>
        <v>0</v>
      </c>
      <c r="R354" s="276">
        <f t="shared" si="167"/>
        <v>0</v>
      </c>
      <c r="S354" s="276">
        <f t="shared" si="167"/>
        <v>0</v>
      </c>
      <c r="T354" s="276">
        <f t="shared" si="167"/>
        <v>0</v>
      </c>
      <c r="U354" s="276">
        <f t="shared" si="167"/>
        <v>0</v>
      </c>
      <c r="V354" s="276">
        <f t="shared" si="167"/>
        <v>0</v>
      </c>
      <c r="W354" s="276">
        <f t="shared" si="167"/>
        <v>0</v>
      </c>
      <c r="X354" s="276">
        <f t="shared" si="167"/>
        <v>0</v>
      </c>
      <c r="Y354" s="276">
        <f t="shared" si="167"/>
        <v>0</v>
      </c>
      <c r="Z354" s="276">
        <f t="shared" si="167"/>
        <v>0</v>
      </c>
      <c r="AA354" s="276">
        <f t="shared" si="167"/>
        <v>0</v>
      </c>
      <c r="AB354" s="276">
        <f t="shared" si="167"/>
        <v>0</v>
      </c>
      <c r="AC354" s="276">
        <f t="shared" si="167"/>
        <v>0</v>
      </c>
      <c r="AD354" s="276">
        <f t="shared" si="167"/>
        <v>0</v>
      </c>
      <c r="AE354" s="276">
        <f t="shared" si="167"/>
        <v>0</v>
      </c>
      <c r="AF354" s="276">
        <f t="shared" si="167"/>
        <v>0</v>
      </c>
      <c r="AG354" s="276">
        <f t="shared" si="167"/>
        <v>0</v>
      </c>
      <c r="AJ354" s="272"/>
    </row>
    <row r="355" spans="1:37" s="160" customFormat="1">
      <c r="B355" s="15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  <c r="AB355" s="276"/>
      <c r="AC355" s="276"/>
      <c r="AD355" s="276"/>
      <c r="AE355" s="276"/>
      <c r="AF355" s="276"/>
      <c r="AG355" s="276"/>
      <c r="AJ355" s="272"/>
    </row>
    <row r="356" spans="1:37" s="160" customFormat="1">
      <c r="B356" s="184" t="s">
        <v>633</v>
      </c>
      <c r="C356" s="280">
        <v>0</v>
      </c>
      <c r="D356" s="280">
        <f>C356+1</f>
        <v>1</v>
      </c>
      <c r="E356" s="280">
        <f t="shared" ref="E356:AG356" si="168">D356+1</f>
        <v>2</v>
      </c>
      <c r="F356" s="280">
        <f t="shared" si="168"/>
        <v>3</v>
      </c>
      <c r="G356" s="280">
        <f t="shared" si="168"/>
        <v>4</v>
      </c>
      <c r="H356" s="280">
        <f t="shared" si="168"/>
        <v>5</v>
      </c>
      <c r="I356" s="280">
        <f t="shared" si="168"/>
        <v>6</v>
      </c>
      <c r="J356" s="280">
        <f t="shared" si="168"/>
        <v>7</v>
      </c>
      <c r="K356" s="280">
        <f t="shared" si="168"/>
        <v>8</v>
      </c>
      <c r="L356" s="280">
        <f t="shared" si="168"/>
        <v>9</v>
      </c>
      <c r="M356" s="280">
        <f t="shared" si="168"/>
        <v>10</v>
      </c>
      <c r="N356" s="280">
        <f t="shared" si="168"/>
        <v>11</v>
      </c>
      <c r="O356" s="280">
        <f t="shared" si="168"/>
        <v>12</v>
      </c>
      <c r="P356" s="280">
        <f t="shared" si="168"/>
        <v>13</v>
      </c>
      <c r="Q356" s="280">
        <f t="shared" si="168"/>
        <v>14</v>
      </c>
      <c r="R356" s="280">
        <f t="shared" si="168"/>
        <v>15</v>
      </c>
      <c r="S356" s="280">
        <f t="shared" si="168"/>
        <v>16</v>
      </c>
      <c r="T356" s="280">
        <f t="shared" si="168"/>
        <v>17</v>
      </c>
      <c r="U356" s="280">
        <f t="shared" si="168"/>
        <v>18</v>
      </c>
      <c r="V356" s="280">
        <f t="shared" si="168"/>
        <v>19</v>
      </c>
      <c r="W356" s="280">
        <f t="shared" si="168"/>
        <v>20</v>
      </c>
      <c r="X356" s="280">
        <f t="shared" si="168"/>
        <v>21</v>
      </c>
      <c r="Y356" s="280">
        <f t="shared" si="168"/>
        <v>22</v>
      </c>
      <c r="Z356" s="280">
        <f t="shared" si="168"/>
        <v>23</v>
      </c>
      <c r="AA356" s="280">
        <f t="shared" si="168"/>
        <v>24</v>
      </c>
      <c r="AB356" s="280">
        <f t="shared" si="168"/>
        <v>25</v>
      </c>
      <c r="AC356" s="280">
        <f t="shared" si="168"/>
        <v>26</v>
      </c>
      <c r="AD356" s="280">
        <f t="shared" si="168"/>
        <v>27</v>
      </c>
      <c r="AE356" s="280">
        <f t="shared" si="168"/>
        <v>28</v>
      </c>
      <c r="AF356" s="280">
        <f t="shared" si="168"/>
        <v>29</v>
      </c>
      <c r="AG356" s="280">
        <f t="shared" si="168"/>
        <v>30</v>
      </c>
      <c r="AJ356" s="272" t="s">
        <v>641</v>
      </c>
      <c r="AK356" s="160">
        <f>'Propylene Recycling HC'!AK196</f>
        <v>1.9</v>
      </c>
    </row>
    <row r="357" spans="1:37" s="160" customFormat="1">
      <c r="A357" s="160" t="s">
        <v>686</v>
      </c>
      <c r="B357" s="156"/>
      <c r="C357" s="282">
        <f>$AK$358/((1+EXP(-$AK$357*(C356-$AK$359)))^$AK$356)</f>
        <v>4.6088632748610021E-5</v>
      </c>
      <c r="D357" s="282">
        <f t="shared" ref="D357:AG357" si="169">$AK$358/((1+EXP(-$AK$357*(D356-$AK$359)))^$AK$356)</f>
        <v>8.924759460408035E-5</v>
      </c>
      <c r="E357" s="282">
        <f t="shared" si="169"/>
        <v>1.7252431976790472E-4</v>
      </c>
      <c r="F357" s="282">
        <f t="shared" si="169"/>
        <v>3.3269643715580369E-4</v>
      </c>
      <c r="G357" s="282">
        <f t="shared" si="169"/>
        <v>6.393827369910735E-4</v>
      </c>
      <c r="H357" s="282">
        <f t="shared" si="169"/>
        <v>1.2229053771654547E-3</v>
      </c>
      <c r="I357" s="282">
        <f t="shared" si="169"/>
        <v>2.3234018804222717E-3</v>
      </c>
      <c r="J357" s="282">
        <f t="shared" si="169"/>
        <v>4.3736281679830789E-3</v>
      </c>
      <c r="K357" s="282">
        <f t="shared" si="169"/>
        <v>8.1294184230466908E-3</v>
      </c>
      <c r="L357" s="282">
        <f t="shared" si="169"/>
        <v>1.4853985082038716E-2</v>
      </c>
      <c r="M357" s="282">
        <f t="shared" si="169"/>
        <v>2.6531412096832362E-2</v>
      </c>
      <c r="N357" s="282">
        <f t="shared" si="169"/>
        <v>4.6014759335105015E-2</v>
      </c>
      <c r="O357" s="282">
        <f t="shared" si="169"/>
        <v>7.6910635328419796E-2</v>
      </c>
      <c r="P357" s="282">
        <f t="shared" si="169"/>
        <v>0.12294065829885638</v>
      </c>
      <c r="Q357" s="282">
        <f t="shared" si="169"/>
        <v>0.18666754187878853</v>
      </c>
      <c r="R357" s="282">
        <f t="shared" si="169"/>
        <v>0.26794336563407328</v>
      </c>
      <c r="S357" s="282">
        <f t="shared" si="169"/>
        <v>0.36297326582455031</v>
      </c>
      <c r="T357" s="282">
        <f t="shared" si="169"/>
        <v>0.46484396312424381</v>
      </c>
      <c r="U357" s="282">
        <f t="shared" si="169"/>
        <v>0.56546260593861253</v>
      </c>
      <c r="V357" s="282">
        <f t="shared" si="169"/>
        <v>0.6578403022607352</v>
      </c>
      <c r="W357" s="282">
        <f t="shared" si="169"/>
        <v>0.73754668886795227</v>
      </c>
      <c r="X357" s="282">
        <f t="shared" si="169"/>
        <v>0.80293052021410605</v>
      </c>
      <c r="Y357" s="282">
        <f t="shared" si="169"/>
        <v>0.85447682949112158</v>
      </c>
      <c r="Z357" s="282">
        <f t="shared" si="169"/>
        <v>0.89389910336617451</v>
      </c>
      <c r="AA357" s="282">
        <f t="shared" si="169"/>
        <v>0.92337223319290385</v>
      </c>
      <c r="AB357" s="282">
        <f t="shared" si="169"/>
        <v>0.94504210708611314</v>
      </c>
      <c r="AC357" s="282">
        <f t="shared" si="169"/>
        <v>0.96078240575184182</v>
      </c>
      <c r="AD357" s="282">
        <f t="shared" si="169"/>
        <v>0.97211605463477313</v>
      </c>
      <c r="AE357" s="282">
        <f t="shared" si="169"/>
        <v>0.98022577885232642</v>
      </c>
      <c r="AF357" s="282">
        <f t="shared" si="169"/>
        <v>0.98600279580400285</v>
      </c>
      <c r="AG357" s="282">
        <f t="shared" si="169"/>
        <v>0.9901050637460882</v>
      </c>
      <c r="AI357" s="156" t="s">
        <v>640</v>
      </c>
      <c r="AJ357" s="272" t="s">
        <v>642</v>
      </c>
      <c r="AK357" s="160">
        <f>'Propylene Recycling HC'!AK197</f>
        <v>0.35</v>
      </c>
    </row>
    <row r="358" spans="1:37" s="160" customFormat="1">
      <c r="B358" s="156"/>
      <c r="C358" s="278">
        <v>0</v>
      </c>
      <c r="D358" s="278">
        <v>0</v>
      </c>
      <c r="E358" s="278">
        <v>0</v>
      </c>
      <c r="F358" s="278">
        <v>0</v>
      </c>
      <c r="G358" s="278">
        <v>0</v>
      </c>
      <c r="H358" s="278">
        <v>0</v>
      </c>
      <c r="I358" s="278">
        <v>0</v>
      </c>
      <c r="J358" s="278">
        <v>0</v>
      </c>
      <c r="K358" s="278">
        <v>0</v>
      </c>
      <c r="L358" s="278">
        <v>0</v>
      </c>
      <c r="M358" s="278">
        <f>C357</f>
        <v>4.6088632748610021E-5</v>
      </c>
      <c r="N358" s="278">
        <v>0</v>
      </c>
      <c r="O358" s="278">
        <v>0</v>
      </c>
      <c r="P358" s="278">
        <v>0</v>
      </c>
      <c r="Q358" s="278">
        <v>0</v>
      </c>
      <c r="R358" s="278">
        <f t="shared" ref="R358:AG358" si="170">C357</f>
        <v>4.6088632748610021E-5</v>
      </c>
      <c r="S358" s="278">
        <f t="shared" si="170"/>
        <v>8.924759460408035E-5</v>
      </c>
      <c r="T358" s="278">
        <f t="shared" si="170"/>
        <v>1.7252431976790472E-4</v>
      </c>
      <c r="U358" s="278">
        <f t="shared" si="170"/>
        <v>3.3269643715580369E-4</v>
      </c>
      <c r="V358" s="278">
        <f t="shared" si="170"/>
        <v>6.393827369910735E-4</v>
      </c>
      <c r="W358" s="278">
        <f t="shared" si="170"/>
        <v>1.2229053771654547E-3</v>
      </c>
      <c r="X358" s="278">
        <f t="shared" si="170"/>
        <v>2.3234018804222717E-3</v>
      </c>
      <c r="Y358" s="278">
        <f t="shared" si="170"/>
        <v>4.3736281679830789E-3</v>
      </c>
      <c r="Z358" s="278">
        <f t="shared" si="170"/>
        <v>8.1294184230466908E-3</v>
      </c>
      <c r="AA358" s="278">
        <f t="shared" si="170"/>
        <v>1.4853985082038716E-2</v>
      </c>
      <c r="AB358" s="278">
        <f t="shared" si="170"/>
        <v>2.6531412096832362E-2</v>
      </c>
      <c r="AC358" s="278">
        <f t="shared" si="170"/>
        <v>4.6014759335105015E-2</v>
      </c>
      <c r="AD358" s="278">
        <f t="shared" si="170"/>
        <v>7.6910635328419796E-2</v>
      </c>
      <c r="AE358" s="278">
        <f t="shared" si="170"/>
        <v>0.12294065829885638</v>
      </c>
      <c r="AF358" s="278">
        <f t="shared" si="170"/>
        <v>0.18666754187878853</v>
      </c>
      <c r="AG358" s="278">
        <f t="shared" si="170"/>
        <v>0.26794336563407328</v>
      </c>
      <c r="AI358" s="156" t="s">
        <v>687</v>
      </c>
      <c r="AJ358" s="272" t="s">
        <v>643</v>
      </c>
      <c r="AK358" s="160">
        <f>'Propylene Recycling HC'!AK198</f>
        <v>1</v>
      </c>
    </row>
    <row r="359" spans="1:37" s="160" customFormat="1">
      <c r="B359" s="15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  <c r="AB359" s="276"/>
      <c r="AC359" s="276"/>
      <c r="AD359" s="276"/>
      <c r="AE359" s="276"/>
      <c r="AF359" s="276"/>
      <c r="AG359" s="276"/>
      <c r="AJ359" s="272" t="s">
        <v>644</v>
      </c>
      <c r="AK359" s="160">
        <f>'Propylene Recycling HC'!AK199</f>
        <v>15</v>
      </c>
    </row>
    <row r="360" spans="1:37" s="160" customFormat="1">
      <c r="A360" s="160" t="s">
        <v>762</v>
      </c>
      <c r="B360" s="156" t="s">
        <v>126</v>
      </c>
      <c r="C360" s="277">
        <f>('Overall recycling rates'!G12+'Overall recycling rates'!G15)*'Overall recycling rates'!G57/(SUMPRODUCT('Overall recycling rates'!C57:I57,'Overall recycling rates'!C12:I12)+SUMPRODUCT('Overall recycling rates'!C15:I15,'Overall recycling rates'!C57:I57))</f>
        <v>5.5962026272778194E-2</v>
      </c>
      <c r="D360" s="277">
        <f>C360</f>
        <v>5.5962026272778194E-2</v>
      </c>
      <c r="E360" s="277">
        <f t="shared" ref="E360:AG360" si="171">D360</f>
        <v>5.5962026272778194E-2</v>
      </c>
      <c r="F360" s="277">
        <f t="shared" si="171"/>
        <v>5.5962026272778194E-2</v>
      </c>
      <c r="G360" s="277">
        <f t="shared" si="171"/>
        <v>5.5962026272778194E-2</v>
      </c>
      <c r="H360" s="277">
        <f t="shared" si="171"/>
        <v>5.5962026272778194E-2</v>
      </c>
      <c r="I360" s="277">
        <f t="shared" si="171"/>
        <v>5.5962026272778194E-2</v>
      </c>
      <c r="J360" s="277">
        <f t="shared" si="171"/>
        <v>5.5962026272778194E-2</v>
      </c>
      <c r="K360" s="277">
        <f t="shared" si="171"/>
        <v>5.5962026272778194E-2</v>
      </c>
      <c r="L360" s="277">
        <f t="shared" si="171"/>
        <v>5.5962026272778194E-2</v>
      </c>
      <c r="M360" s="277">
        <f t="shared" si="171"/>
        <v>5.5962026272778194E-2</v>
      </c>
      <c r="N360" s="277">
        <f t="shared" si="171"/>
        <v>5.5962026272778194E-2</v>
      </c>
      <c r="O360" s="277">
        <f t="shared" si="171"/>
        <v>5.5962026272778194E-2</v>
      </c>
      <c r="P360" s="277">
        <f t="shared" si="171"/>
        <v>5.5962026272778194E-2</v>
      </c>
      <c r="Q360" s="277">
        <f t="shared" si="171"/>
        <v>5.5962026272778194E-2</v>
      </c>
      <c r="R360" s="277">
        <f t="shared" si="171"/>
        <v>5.5962026272778194E-2</v>
      </c>
      <c r="S360" s="277">
        <f t="shared" si="171"/>
        <v>5.5962026272778194E-2</v>
      </c>
      <c r="T360" s="277">
        <f t="shared" si="171"/>
        <v>5.5962026272778194E-2</v>
      </c>
      <c r="U360" s="277">
        <f t="shared" si="171"/>
        <v>5.5962026272778194E-2</v>
      </c>
      <c r="V360" s="277">
        <f t="shared" si="171"/>
        <v>5.5962026272778194E-2</v>
      </c>
      <c r="W360" s="277">
        <f t="shared" si="171"/>
        <v>5.5962026272778194E-2</v>
      </c>
      <c r="X360" s="277">
        <f t="shared" si="171"/>
        <v>5.5962026272778194E-2</v>
      </c>
      <c r="Y360" s="277">
        <f t="shared" si="171"/>
        <v>5.5962026272778194E-2</v>
      </c>
      <c r="Z360" s="277">
        <f t="shared" si="171"/>
        <v>5.5962026272778194E-2</v>
      </c>
      <c r="AA360" s="277">
        <f t="shared" si="171"/>
        <v>5.5962026272778194E-2</v>
      </c>
      <c r="AB360" s="277">
        <f t="shared" si="171"/>
        <v>5.5962026272778194E-2</v>
      </c>
      <c r="AC360" s="277">
        <f t="shared" si="171"/>
        <v>5.5962026272778194E-2</v>
      </c>
      <c r="AD360" s="277">
        <f t="shared" si="171"/>
        <v>5.5962026272778194E-2</v>
      </c>
      <c r="AE360" s="277">
        <f t="shared" si="171"/>
        <v>5.5962026272778194E-2</v>
      </c>
      <c r="AF360" s="277">
        <f t="shared" si="171"/>
        <v>5.5962026272778194E-2</v>
      </c>
      <c r="AG360" s="277">
        <f t="shared" si="171"/>
        <v>5.5962026272778194E-2</v>
      </c>
      <c r="AI360" s="156" t="s">
        <v>766</v>
      </c>
      <c r="AJ360" s="272"/>
    </row>
    <row r="361" spans="1:37" s="250" customFormat="1" ht="15.5" thickBot="1">
      <c r="A361" s="283" t="s">
        <v>631</v>
      </c>
      <c r="B361" s="284" t="s">
        <v>127</v>
      </c>
      <c r="C361" s="285">
        <f>C360*(C353*C357+C354*C358)</f>
        <v>0.89359764650017648</v>
      </c>
      <c r="D361" s="285">
        <f t="shared" ref="D361:AG361" si="172">D360*(D353*D357+D354*D358)</f>
        <v>1.7436778472384256</v>
      </c>
      <c r="E361" s="285">
        <f t="shared" si="172"/>
        <v>3.3713393101727718</v>
      </c>
      <c r="F361" s="285">
        <f t="shared" si="172"/>
        <v>6.4900788854688507</v>
      </c>
      <c r="G361" s="285">
        <f t="shared" si="172"/>
        <v>12.410274809618597</v>
      </c>
      <c r="H361" s="285">
        <f t="shared" si="172"/>
        <v>23.546482773305144</v>
      </c>
      <c r="I361" s="285">
        <f t="shared" si="172"/>
        <v>44.201291993458078</v>
      </c>
      <c r="J361" s="285">
        <f t="shared" si="172"/>
        <v>81.982230768572165</v>
      </c>
      <c r="K361" s="285">
        <f t="shared" si="172"/>
        <v>149.74901898365493</v>
      </c>
      <c r="L361" s="285">
        <f t="shared" si="172"/>
        <v>268.22067739705813</v>
      </c>
      <c r="M361" s="285">
        <f>M360*(M353*M357+M354*M358)</f>
        <v>468.51334601573041</v>
      </c>
      <c r="N361" s="285">
        <f t="shared" si="172"/>
        <v>776.53144936259037</v>
      </c>
      <c r="O361" s="285">
        <f t="shared" si="172"/>
        <v>1238.3336676424051</v>
      </c>
      <c r="P361" s="285">
        <f t="shared" si="172"/>
        <v>1885.4475343227682</v>
      </c>
      <c r="Q361" s="285">
        <f t="shared" si="172"/>
        <v>2722.397453366932</v>
      </c>
      <c r="R361" s="285">
        <f t="shared" si="172"/>
        <v>3710.1257320518166</v>
      </c>
      <c r="S361" s="285">
        <f t="shared" si="172"/>
        <v>4766.1066661244367</v>
      </c>
      <c r="T361" s="285">
        <f t="shared" si="172"/>
        <v>5779.5767476977662</v>
      </c>
      <c r="U361" s="285">
        <f t="shared" si="172"/>
        <v>6647.5111710408155</v>
      </c>
      <c r="V361" s="285">
        <f t="shared" si="172"/>
        <v>7301.6327598201151</v>
      </c>
      <c r="W361" s="285">
        <f t="shared" si="172"/>
        <v>7718.3412996925754</v>
      </c>
      <c r="X361" s="285">
        <f t="shared" si="172"/>
        <v>8063.4666353514331</v>
      </c>
      <c r="Y361" s="285">
        <f t="shared" si="172"/>
        <v>8218.670708686841</v>
      </c>
      <c r="Z361" s="285">
        <f t="shared" si="172"/>
        <v>8217.4232431236833</v>
      </c>
      <c r="AA361" s="285">
        <f t="shared" si="172"/>
        <v>8097.366715771198</v>
      </c>
      <c r="AB361" s="285">
        <f t="shared" si="172"/>
        <v>7890.8975588752874</v>
      </c>
      <c r="AC361" s="285">
        <f t="shared" si="172"/>
        <v>7618.3004461312394</v>
      </c>
      <c r="AD361" s="285">
        <f t="shared" si="172"/>
        <v>7305.3777377363886</v>
      </c>
      <c r="AE361" s="285">
        <f t="shared" si="172"/>
        <v>6967.453395741778</v>
      </c>
      <c r="AF361" s="285">
        <f t="shared" si="172"/>
        <v>6615.7175714347368</v>
      </c>
      <c r="AG361" s="285">
        <f t="shared" si="172"/>
        <v>6258.2284790380336</v>
      </c>
      <c r="AJ361" s="275"/>
    </row>
    <row r="362" spans="1:37" s="203" customFormat="1">
      <c r="A362" s="274" t="s">
        <v>637</v>
      </c>
      <c r="B362" s="273" t="s">
        <v>126</v>
      </c>
      <c r="C362" s="279">
        <v>0.25</v>
      </c>
      <c r="D362" s="279">
        <v>0.25</v>
      </c>
      <c r="E362" s="279">
        <v>0.25</v>
      </c>
      <c r="F362" s="279">
        <v>0.25</v>
      </c>
      <c r="G362" s="279">
        <v>0.25</v>
      </c>
      <c r="H362" s="279">
        <v>0.25</v>
      </c>
      <c r="I362" s="279">
        <v>0.25</v>
      </c>
      <c r="J362" s="279">
        <v>0.25</v>
      </c>
      <c r="K362" s="279">
        <v>0.25</v>
      </c>
      <c r="L362" s="279">
        <v>0.25</v>
      </c>
      <c r="M362" s="279">
        <v>0.25</v>
      </c>
      <c r="N362" s="279">
        <v>0.25</v>
      </c>
      <c r="O362" s="279">
        <v>0.25</v>
      </c>
      <c r="P362" s="279">
        <v>0.25</v>
      </c>
      <c r="Q362" s="279">
        <v>0.25</v>
      </c>
      <c r="R362" s="279">
        <v>0.25</v>
      </c>
      <c r="S362" s="279">
        <v>0.25</v>
      </c>
      <c r="T362" s="279">
        <v>0.25</v>
      </c>
      <c r="U362" s="279">
        <v>0.25</v>
      </c>
      <c r="V362" s="279">
        <v>0.25</v>
      </c>
      <c r="W362" s="279">
        <v>0.25</v>
      </c>
      <c r="X362" s="279">
        <v>0.25</v>
      </c>
      <c r="Y362" s="279">
        <v>0.25</v>
      </c>
      <c r="Z362" s="279">
        <v>0.25</v>
      </c>
      <c r="AA362" s="279">
        <v>0.25</v>
      </c>
      <c r="AB362" s="279">
        <v>0.25</v>
      </c>
      <c r="AC362" s="279">
        <v>0.25</v>
      </c>
      <c r="AD362" s="279">
        <v>0.25</v>
      </c>
      <c r="AE362" s="279">
        <v>0.25</v>
      </c>
      <c r="AF362" s="279">
        <v>0.25</v>
      </c>
      <c r="AG362" s="279">
        <v>0.25</v>
      </c>
      <c r="AJ362" s="203" t="s">
        <v>681</v>
      </c>
    </row>
    <row r="363" spans="1:37" s="203" customFormat="1" ht="15.5" thickBot="1">
      <c r="A363" s="251" t="s">
        <v>632</v>
      </c>
      <c r="B363" s="284" t="s">
        <v>127</v>
      </c>
      <c r="C363" s="285">
        <f>C362*(C353*C357+C354*C358)</f>
        <v>3.9919821797752362</v>
      </c>
      <c r="D363" s="285">
        <f t="shared" ref="D363:AG363" si="173">D362*(D353*D357+D354*D358)</f>
        <v>7.7895582208690008</v>
      </c>
      <c r="E363" s="285">
        <f t="shared" si="173"/>
        <v>15.06083470664421</v>
      </c>
      <c r="F363" s="285">
        <f t="shared" si="173"/>
        <v>28.993226825963962</v>
      </c>
      <c r="G363" s="285">
        <f t="shared" si="173"/>
        <v>55.440606944460171</v>
      </c>
      <c r="H363" s="285">
        <f t="shared" si="173"/>
        <v>105.18955594339756</v>
      </c>
      <c r="I363" s="285">
        <f t="shared" si="173"/>
        <v>197.46109521662848</v>
      </c>
      <c r="J363" s="285">
        <f t="shared" si="173"/>
        <v>366.24045012667398</v>
      </c>
      <c r="K363" s="285">
        <f t="shared" si="173"/>
        <v>668.97604034978394</v>
      </c>
      <c r="L363" s="285">
        <f t="shared" si="173"/>
        <v>1198.2262583276477</v>
      </c>
      <c r="M363" s="285">
        <f t="shared" si="173"/>
        <v>2092.996703389701</v>
      </c>
      <c r="N363" s="285">
        <f t="shared" si="173"/>
        <v>3469.0106000518485</v>
      </c>
      <c r="O363" s="285">
        <f t="shared" si="173"/>
        <v>5532.0265817678774</v>
      </c>
      <c r="P363" s="285">
        <f t="shared" si="173"/>
        <v>8422.8880720492834</v>
      </c>
      <c r="Q363" s="285">
        <f t="shared" si="173"/>
        <v>12161.807008635771</v>
      </c>
      <c r="R363" s="285">
        <f t="shared" si="173"/>
        <v>16574.300374540522</v>
      </c>
      <c r="S363" s="285">
        <f t="shared" si="173"/>
        <v>21291.699852382</v>
      </c>
      <c r="T363" s="285">
        <f t="shared" si="173"/>
        <v>25819.1899607339</v>
      </c>
      <c r="U363" s="285">
        <f t="shared" si="173"/>
        <v>29696.526438475245</v>
      </c>
      <c r="V363" s="285">
        <f t="shared" si="173"/>
        <v>32618.693630880349</v>
      </c>
      <c r="W363" s="285">
        <f t="shared" si="173"/>
        <v>34480.261946157567</v>
      </c>
      <c r="X363" s="285">
        <f t="shared" si="173"/>
        <v>36022.045538734244</v>
      </c>
      <c r="Y363" s="285">
        <f t="shared" si="173"/>
        <v>36715.391025274032</v>
      </c>
      <c r="Z363" s="285">
        <f t="shared" si="173"/>
        <v>36709.818203638359</v>
      </c>
      <c r="AA363" s="285">
        <f t="shared" si="173"/>
        <v>36173.487876858868</v>
      </c>
      <c r="AB363" s="285">
        <f t="shared" si="173"/>
        <v>35251.125113002228</v>
      </c>
      <c r="AC363" s="285">
        <f t="shared" si="173"/>
        <v>34033.347939355423</v>
      </c>
      <c r="AD363" s="285">
        <f t="shared" si="173"/>
        <v>32635.423626940617</v>
      </c>
      <c r="AE363" s="285">
        <f t="shared" si="173"/>
        <v>31125.809141452501</v>
      </c>
      <c r="AF363" s="285">
        <f t="shared" si="173"/>
        <v>29554.494413709443</v>
      </c>
      <c r="AG363" s="285">
        <f t="shared" si="173"/>
        <v>27957.478025068605</v>
      </c>
      <c r="AJ363" s="274"/>
    </row>
    <row r="364" spans="1:37" s="203" customFormat="1">
      <c r="A364" s="275"/>
      <c r="B364" s="273"/>
      <c r="AJ364" s="274"/>
    </row>
    <row r="365" spans="1:37" s="203" customFormat="1">
      <c r="A365" s="275" t="s">
        <v>635</v>
      </c>
      <c r="B365" s="273" t="s">
        <v>127</v>
      </c>
      <c r="C365" s="203">
        <f>SUM(C334:C335)-SUM(C361,C363)</f>
        <v>741409.02867346338</v>
      </c>
      <c r="D365" s="203">
        <f t="shared" ref="D365:AG365" si="174">SUM(D334:D335)-SUM(D361,D363)</f>
        <v>714724.57937994611</v>
      </c>
      <c r="E365" s="203">
        <f t="shared" si="174"/>
        <v>690274.71255297947</v>
      </c>
      <c r="F365" s="203">
        <f t="shared" si="174"/>
        <v>667461.0426672824</v>
      </c>
      <c r="G365" s="203">
        <f t="shared" si="174"/>
        <v>646356.19435382239</v>
      </c>
      <c r="H365" s="203">
        <f t="shared" si="174"/>
        <v>626858.96752465807</v>
      </c>
      <c r="I365" s="203">
        <f t="shared" si="174"/>
        <v>604521.59739757434</v>
      </c>
      <c r="J365" s="203">
        <f t="shared" si="174"/>
        <v>583757.90432658209</v>
      </c>
      <c r="K365" s="203">
        <f t="shared" si="174"/>
        <v>564431.57542839507</v>
      </c>
      <c r="L365" s="203">
        <f t="shared" si="174"/>
        <v>546365.39612266526</v>
      </c>
      <c r="M365" s="203">
        <f t="shared" si="174"/>
        <v>529327.35802071798</v>
      </c>
      <c r="N365" s="203">
        <f t="shared" si="174"/>
        <v>523683.15904892777</v>
      </c>
      <c r="O365" s="203">
        <f t="shared" si="174"/>
        <v>517888.95956976665</v>
      </c>
      <c r="P365" s="203">
        <f t="shared" si="174"/>
        <v>511708.56223124563</v>
      </c>
      <c r="Q365" s="203">
        <f t="shared" si="174"/>
        <v>505051.9713021834</v>
      </c>
      <c r="R365" s="203">
        <f t="shared" si="174"/>
        <v>498069.39173104777</v>
      </c>
      <c r="S365" s="203">
        <f t="shared" si="174"/>
        <v>491986.98446049925</v>
      </c>
      <c r="T365" s="203">
        <f t="shared" si="174"/>
        <v>486449.14379141806</v>
      </c>
      <c r="U365" s="203">
        <f t="shared" si="174"/>
        <v>481953.85221414169</v>
      </c>
      <c r="V365" s="203">
        <f t="shared" si="174"/>
        <v>478810.34768255969</v>
      </c>
      <c r="W365" s="203">
        <f t="shared" si="174"/>
        <v>477084.82764234941</v>
      </c>
      <c r="X365" s="203">
        <f t="shared" si="174"/>
        <v>468356.7136398661</v>
      </c>
      <c r="Y365" s="203">
        <f t="shared" si="174"/>
        <v>461418.69920785166</v>
      </c>
      <c r="Z365" s="203">
        <f t="shared" si="174"/>
        <v>456038.13386286324</v>
      </c>
      <c r="AA365" s="203">
        <f t="shared" si="174"/>
        <v>451937.11896115151</v>
      </c>
      <c r="AB365" s="203">
        <f t="shared" si="174"/>
        <v>448875.79126935592</v>
      </c>
      <c r="AC365" s="203">
        <f t="shared" si="174"/>
        <v>446515.34032859473</v>
      </c>
      <c r="AD365" s="203">
        <f t="shared" si="174"/>
        <v>444896.02763674426</v>
      </c>
      <c r="AE365" s="203">
        <f t="shared" si="174"/>
        <v>443882.06090569991</v>
      </c>
      <c r="AF365" s="203">
        <f t="shared" si="174"/>
        <v>443362.00485290046</v>
      </c>
      <c r="AG365" s="203">
        <f t="shared" si="174"/>
        <v>443243.28905262618</v>
      </c>
      <c r="AJ365" s="274"/>
    </row>
    <row r="366" spans="1:37" s="203" customFormat="1">
      <c r="A366" s="275"/>
      <c r="B366" s="273"/>
      <c r="AJ366" s="274"/>
    </row>
    <row r="367" spans="1:37" s="203" customFormat="1">
      <c r="A367" s="274" t="s">
        <v>646</v>
      </c>
      <c r="B367" s="273" t="s">
        <v>127</v>
      </c>
      <c r="C367" s="276">
        <f>C287*C286*C197</f>
        <v>0</v>
      </c>
      <c r="D367" s="276">
        <f t="shared" ref="D367:AG367" si="175">D287*D286*D197</f>
        <v>1.0238495754269192E-2</v>
      </c>
      <c r="E367" s="276">
        <f t="shared" si="175"/>
        <v>2.0302680173288335E-2</v>
      </c>
      <c r="F367" s="276">
        <f t="shared" si="175"/>
        <v>3.0192368409406048E-2</v>
      </c>
      <c r="G367" s="276">
        <f t="shared" si="175"/>
        <v>3.9907375614970951E-2</v>
      </c>
      <c r="H367" s="276">
        <f t="shared" si="175"/>
        <v>4.9447516942331668E-2</v>
      </c>
      <c r="I367" s="276">
        <f t="shared" si="175"/>
        <v>5.8812607543836819E-2</v>
      </c>
      <c r="J367" s="276">
        <f t="shared" si="175"/>
        <v>6.8002462571835037E-2</v>
      </c>
      <c r="K367" s="276">
        <f t="shared" si="175"/>
        <v>7.7016897178674909E-2</v>
      </c>
      <c r="L367" s="276">
        <f t="shared" si="175"/>
        <v>8.5855726516705075E-2</v>
      </c>
      <c r="M367" s="276">
        <f t="shared" si="175"/>
        <v>9.4518765738274182E-2</v>
      </c>
      <c r="N367" s="276">
        <f t="shared" si="175"/>
        <v>9.9932765881634272E-2</v>
      </c>
      <c r="O367" s="276">
        <f t="shared" si="175"/>
        <v>0.10522821485444192</v>
      </c>
      <c r="P367" s="276">
        <f t="shared" si="175"/>
        <v>0.11040498847100558</v>
      </c>
      <c r="Q367" s="276">
        <f t="shared" si="175"/>
        <v>0.11546296254563372</v>
      </c>
      <c r="R367" s="276">
        <f t="shared" si="175"/>
        <v>0.12040201289263487</v>
      </c>
      <c r="S367" s="276">
        <f t="shared" si="175"/>
        <v>0.12522201532631747</v>
      </c>
      <c r="T367" s="276">
        <f t="shared" si="175"/>
        <v>0.12992284566098997</v>
      </c>
      <c r="U367" s="276">
        <f t="shared" si="175"/>
        <v>0.13450437971096094</v>
      </c>
      <c r="V367" s="276">
        <f t="shared" si="175"/>
        <v>0.13896649329053878</v>
      </c>
      <c r="W367" s="276">
        <f t="shared" si="175"/>
        <v>0.14330906221403197</v>
      </c>
      <c r="X367" s="276">
        <f t="shared" si="175"/>
        <v>0.15059690810148849</v>
      </c>
      <c r="Y367" s="276">
        <f t="shared" si="175"/>
        <v>0.15770109609806179</v>
      </c>
      <c r="Z367" s="276">
        <f t="shared" si="175"/>
        <v>0.16462143523709469</v>
      </c>
      <c r="AA367" s="276">
        <f t="shared" si="175"/>
        <v>0.17135773455193024</v>
      </c>
      <c r="AB367" s="276">
        <f t="shared" si="175"/>
        <v>0.17790980307591125</v>
      </c>
      <c r="AC367" s="276">
        <f t="shared" si="175"/>
        <v>0.18427744984238062</v>
      </c>
      <c r="AD367" s="276">
        <f t="shared" si="175"/>
        <v>0.19046048388468123</v>
      </c>
      <c r="AE367" s="276">
        <f t="shared" si="175"/>
        <v>0.19645871423615602</v>
      </c>
      <c r="AF367" s="276">
        <f t="shared" si="175"/>
        <v>0.20227194993014791</v>
      </c>
      <c r="AG367" s="276">
        <f t="shared" si="175"/>
        <v>0.2079</v>
      </c>
      <c r="AJ367" s="274"/>
    </row>
    <row r="368" spans="1:37" s="203" customFormat="1">
      <c r="A368" s="203" t="s">
        <v>645</v>
      </c>
      <c r="B368" s="273" t="s">
        <v>127</v>
      </c>
      <c r="C368" s="276">
        <f>C288*C286*C197</f>
        <v>0</v>
      </c>
      <c r="D368" s="276">
        <f t="shared" ref="D368:AG368" si="176">D288*D286*D197</f>
        <v>0</v>
      </c>
      <c r="E368" s="276">
        <f t="shared" si="176"/>
        <v>0</v>
      </c>
      <c r="F368" s="276">
        <f t="shared" si="176"/>
        <v>0</v>
      </c>
      <c r="G368" s="276">
        <f t="shared" si="176"/>
        <v>0</v>
      </c>
      <c r="H368" s="276">
        <f t="shared" si="176"/>
        <v>0</v>
      </c>
      <c r="I368" s="276">
        <f t="shared" si="176"/>
        <v>0</v>
      </c>
      <c r="J368" s="276">
        <f t="shared" si="176"/>
        <v>0</v>
      </c>
      <c r="K368" s="276">
        <f t="shared" si="176"/>
        <v>0</v>
      </c>
      <c r="L368" s="276">
        <f t="shared" si="176"/>
        <v>0</v>
      </c>
      <c r="M368" s="276">
        <f t="shared" si="176"/>
        <v>0</v>
      </c>
      <c r="N368" s="276">
        <f t="shared" si="176"/>
        <v>0</v>
      </c>
      <c r="O368" s="276">
        <f t="shared" si="176"/>
        <v>0</v>
      </c>
      <c r="P368" s="276">
        <f t="shared" si="176"/>
        <v>0</v>
      </c>
      <c r="Q368" s="276">
        <f t="shared" si="176"/>
        <v>0</v>
      </c>
      <c r="R368" s="276">
        <f t="shared" si="176"/>
        <v>0</v>
      </c>
      <c r="S368" s="276">
        <f t="shared" si="176"/>
        <v>0</v>
      </c>
      <c r="T368" s="276">
        <f t="shared" si="176"/>
        <v>0</v>
      </c>
      <c r="U368" s="276">
        <f t="shared" si="176"/>
        <v>0</v>
      </c>
      <c r="V368" s="276">
        <f t="shared" si="176"/>
        <v>0</v>
      </c>
      <c r="W368" s="276">
        <f t="shared" si="176"/>
        <v>0</v>
      </c>
      <c r="X368" s="276">
        <f t="shared" si="176"/>
        <v>0</v>
      </c>
      <c r="Y368" s="276">
        <f t="shared" si="176"/>
        <v>0</v>
      </c>
      <c r="Z368" s="276">
        <f t="shared" si="176"/>
        <v>0</v>
      </c>
      <c r="AA368" s="276">
        <f t="shared" si="176"/>
        <v>0</v>
      </c>
      <c r="AB368" s="276">
        <f t="shared" si="176"/>
        <v>0</v>
      </c>
      <c r="AC368" s="276">
        <f t="shared" si="176"/>
        <v>0</v>
      </c>
      <c r="AD368" s="276">
        <f t="shared" si="176"/>
        <v>0</v>
      </c>
      <c r="AE368" s="276">
        <f t="shared" si="176"/>
        <v>0</v>
      </c>
      <c r="AF368" s="276">
        <f t="shared" si="176"/>
        <v>0</v>
      </c>
      <c r="AG368" s="276">
        <f t="shared" si="176"/>
        <v>0</v>
      </c>
      <c r="AJ368" s="274"/>
    </row>
    <row r="369" spans="1:36" s="203" customFormat="1">
      <c r="B369" s="273"/>
      <c r="C369" s="267"/>
      <c r="D369" s="267"/>
      <c r="E369" s="267"/>
      <c r="F369" s="267"/>
      <c r="G369" s="267"/>
      <c r="H369" s="267"/>
      <c r="I369" s="267"/>
      <c r="J369" s="267"/>
      <c r="K369" s="267"/>
      <c r="L369" s="267"/>
      <c r="M369" s="267"/>
      <c r="N369" s="267"/>
      <c r="O369" s="267"/>
      <c r="P369" s="267"/>
      <c r="Q369" s="267"/>
      <c r="R369" s="267"/>
      <c r="S369" s="267"/>
      <c r="T369" s="267"/>
      <c r="U369" s="267"/>
      <c r="V369" s="267"/>
      <c r="W369" s="267"/>
      <c r="X369" s="267"/>
      <c r="Y369" s="267"/>
      <c r="Z369" s="267"/>
      <c r="AA369" s="267"/>
      <c r="AB369" s="267"/>
      <c r="AC369" s="267"/>
      <c r="AD369" s="267"/>
      <c r="AE369" s="267"/>
      <c r="AF369" s="267"/>
      <c r="AG369" s="267"/>
      <c r="AJ369" s="274"/>
    </row>
    <row r="370" spans="1:36" s="203" customFormat="1">
      <c r="A370" s="300" t="s">
        <v>647</v>
      </c>
      <c r="B370" s="301" t="s">
        <v>127</v>
      </c>
      <c r="C370" s="254">
        <f>C348-C361-C363</f>
        <v>433071.76930267614</v>
      </c>
      <c r="D370" s="302">
        <f t="shared" ref="D370:AG370" si="177">D348-D361-D363</f>
        <v>436392.04461177147</v>
      </c>
      <c r="E370" s="302">
        <f t="shared" si="177"/>
        <v>436465.96396518842</v>
      </c>
      <c r="F370" s="302">
        <f t="shared" si="177"/>
        <v>435695.46521037177</v>
      </c>
      <c r="G370" s="302">
        <f t="shared" si="177"/>
        <v>433480.036298958</v>
      </c>
      <c r="H370" s="302">
        <f t="shared" si="177"/>
        <v>429951.78330291092</v>
      </c>
      <c r="I370" s="302">
        <f t="shared" si="177"/>
        <v>424697.94207919517</v>
      </c>
      <c r="J370" s="302">
        <f t="shared" si="177"/>
        <v>418243.57742195571</v>
      </c>
      <c r="K370" s="302">
        <f t="shared" si="177"/>
        <v>410635.08721661859</v>
      </c>
      <c r="L370" s="302">
        <f t="shared" si="177"/>
        <v>401868.5004571235</v>
      </c>
      <c r="M370" s="302">
        <f t="shared" si="177"/>
        <v>391875.97706037189</v>
      </c>
      <c r="N370" s="302">
        <f t="shared" si="177"/>
        <v>372699.88265536213</v>
      </c>
      <c r="O370" s="302">
        <f t="shared" si="177"/>
        <v>352869.53598505096</v>
      </c>
      <c r="P370" s="302">
        <f t="shared" si="177"/>
        <v>332250.75707288168</v>
      </c>
      <c r="Q370" s="302">
        <f t="shared" si="177"/>
        <v>310876.95589368907</v>
      </c>
      <c r="R370" s="302">
        <f t="shared" si="177"/>
        <v>289002.95511515113</v>
      </c>
      <c r="S370" s="302">
        <f t="shared" si="177"/>
        <v>267237.89673410897</v>
      </c>
      <c r="T370" s="302">
        <f t="shared" si="177"/>
        <v>246120.12402644622</v>
      </c>
      <c r="U370" s="302">
        <f t="shared" si="177"/>
        <v>226242.08326386969</v>
      </c>
      <c r="V370" s="302">
        <f t="shared" si="177"/>
        <v>208002.25845841019</v>
      </c>
      <c r="W370" s="302">
        <f t="shared" si="177"/>
        <v>191551.08654721727</v>
      </c>
      <c r="X370" s="302">
        <f t="shared" si="177"/>
        <v>180230.56893047091</v>
      </c>
      <c r="Y370" s="302">
        <f t="shared" si="177"/>
        <v>169907.28772158644</v>
      </c>
      <c r="Z370" s="302">
        <f t="shared" si="177"/>
        <v>160408.11500118283</v>
      </c>
      <c r="AA370" s="302">
        <f t="shared" si="177"/>
        <v>151606.20655623911</v>
      </c>
      <c r="AB370" s="302">
        <f t="shared" si="177"/>
        <v>143363.55654349446</v>
      </c>
      <c r="AC370" s="302">
        <f t="shared" si="177"/>
        <v>135461.02424262665</v>
      </c>
      <c r="AD370" s="302">
        <f t="shared" si="177"/>
        <v>127916.85035984803</v>
      </c>
      <c r="AE370" s="302">
        <f t="shared" si="177"/>
        <v>120675.30799507328</v>
      </c>
      <c r="AF370" s="302">
        <f t="shared" si="177"/>
        <v>113700.02438477514</v>
      </c>
      <c r="AG370" s="303">
        <f t="shared" si="177"/>
        <v>106968.69426691237</v>
      </c>
      <c r="AI370" s="203" t="s">
        <v>679</v>
      </c>
      <c r="AJ370" s="274"/>
    </row>
    <row r="371" spans="1:36" s="203" customFormat="1">
      <c r="A371" s="304" t="s">
        <v>648</v>
      </c>
      <c r="B371" s="305" t="s">
        <v>127</v>
      </c>
      <c r="C371" s="306">
        <f>C349+C370</f>
        <v>729249.56874791626</v>
      </c>
      <c r="D371" s="306">
        <f t="shared" ref="D371:AG371" si="178">D349+D370</f>
        <v>702392.08428900235</v>
      </c>
      <c r="E371" s="306">
        <f t="shared" si="178"/>
        <v>677860.64245548984</v>
      </c>
      <c r="F371" s="306">
        <f t="shared" si="178"/>
        <v>654989.79779569595</v>
      </c>
      <c r="G371" s="306">
        <f t="shared" si="178"/>
        <v>633869.74865157169</v>
      </c>
      <c r="H371" s="306">
        <f t="shared" si="178"/>
        <v>614395.8815071776</v>
      </c>
      <c r="I371" s="306">
        <f t="shared" si="178"/>
        <v>592132.49057663023</v>
      </c>
      <c r="J371" s="306">
        <f t="shared" si="178"/>
        <v>571477.68157665455</v>
      </c>
      <c r="K371" s="306">
        <f t="shared" si="178"/>
        <v>552292.29451408738</v>
      </c>
      <c r="L371" s="306">
        <f t="shared" si="178"/>
        <v>534396.39667587972</v>
      </c>
      <c r="M371" s="306">
        <f t="shared" si="178"/>
        <v>517555.38650620147</v>
      </c>
      <c r="N371" s="306">
        <f t="shared" si="178"/>
        <v>512369.94036252552</v>
      </c>
      <c r="O371" s="306">
        <f t="shared" si="178"/>
        <v>507035.49085643748</v>
      </c>
      <c r="P371" s="306">
        <f t="shared" si="178"/>
        <v>501314.53140928305</v>
      </c>
      <c r="Q371" s="306">
        <f t="shared" si="178"/>
        <v>495115.11979185906</v>
      </c>
      <c r="R371" s="306">
        <f t="shared" si="178"/>
        <v>488585.99097806157</v>
      </c>
      <c r="S371" s="306">
        <f t="shared" si="178"/>
        <v>482948.21177214716</v>
      </c>
      <c r="T371" s="306">
        <f t="shared" si="178"/>
        <v>477847.95736199839</v>
      </c>
      <c r="U371" s="306">
        <f t="shared" si="178"/>
        <v>473782.03131030296</v>
      </c>
      <c r="V371" s="306">
        <f t="shared" si="178"/>
        <v>471058.59935977939</v>
      </c>
      <c r="W371" s="306">
        <f t="shared" si="178"/>
        <v>469742.89107703732</v>
      </c>
      <c r="X371" s="306">
        <f t="shared" si="178"/>
        <v>461279.98788386566</v>
      </c>
      <c r="Y371" s="306">
        <f t="shared" si="178"/>
        <v>454612.02324852569</v>
      </c>
      <c r="Z371" s="306">
        <f t="shared" si="178"/>
        <v>449505.99807546503</v>
      </c>
      <c r="AA371" s="306">
        <f t="shared" si="178"/>
        <v>445681.44592917082</v>
      </c>
      <c r="AB371" s="306">
        <f t="shared" si="178"/>
        <v>442897.16717943439</v>
      </c>
      <c r="AC371" s="306">
        <f t="shared" si="178"/>
        <v>440817.73107112141</v>
      </c>
      <c r="AD371" s="306">
        <f t="shared" si="178"/>
        <v>439478.18385713571</v>
      </c>
      <c r="AE371" s="306">
        <f t="shared" si="178"/>
        <v>438741.69280755776</v>
      </c>
      <c r="AF371" s="306">
        <f t="shared" si="178"/>
        <v>438495.87186050846</v>
      </c>
      <c r="AG371" s="307">
        <f t="shared" si="178"/>
        <v>438647.28621901647</v>
      </c>
      <c r="AI371" s="203" t="s">
        <v>680</v>
      </c>
      <c r="AJ371" s="274"/>
    </row>
    <row r="372" spans="1:36" s="203" customFormat="1">
      <c r="A372" s="378"/>
      <c r="B372" s="379"/>
      <c r="C372" s="378"/>
      <c r="D372" s="378"/>
      <c r="E372" s="378"/>
      <c r="F372" s="378"/>
      <c r="G372" s="378"/>
      <c r="H372" s="378"/>
      <c r="I372" s="378"/>
      <c r="J372" s="378"/>
      <c r="K372" s="378"/>
      <c r="L372" s="378"/>
      <c r="M372" s="378"/>
      <c r="N372" s="378"/>
      <c r="O372" s="378"/>
      <c r="P372" s="378"/>
      <c r="Q372" s="378"/>
      <c r="R372" s="378"/>
      <c r="S372" s="378"/>
      <c r="T372" s="378"/>
      <c r="U372" s="378"/>
      <c r="V372" s="378"/>
      <c r="W372" s="378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J372" s="274"/>
    </row>
    <row r="373" spans="1:36">
      <c r="B373" s="121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I373" s="22"/>
    </row>
    <row r="374" spans="1:36">
      <c r="B374" s="121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I374" s="188"/>
    </row>
  </sheetData>
  <mergeCells count="5">
    <mergeCell ref="BD123:BE123"/>
    <mergeCell ref="BD128:BE128"/>
    <mergeCell ref="BD133:BE133"/>
    <mergeCell ref="BD141:BE141"/>
    <mergeCell ref="AI341:AI349"/>
  </mergeCells>
  <hyperlinks>
    <hyperlink ref="AJ127" r:id="rId1" xr:uid="{7FBDCFDD-D05A-482A-A7FB-F4F26CD108B1}"/>
    <hyperlink ref="AJ128" r:id="rId2" xr:uid="{4E1EC22E-FD22-43FB-A79D-E924FF4C75FF}"/>
  </hyperlinks>
  <pageMargins left="0.7" right="0.7" top="0.75" bottom="0.75" header="0.3" footer="0.3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35C1-BD42-4AAF-A80B-283340664C69}">
  <sheetPr>
    <tabColor theme="4"/>
  </sheetPr>
  <dimension ref="A1:BL262"/>
  <sheetViews>
    <sheetView zoomScale="40" zoomScaleNormal="40" workbookViewId="0">
      <pane xSplit="2" ySplit="3" topLeftCell="C141" activePane="bottomRight" state="frozen"/>
      <selection pane="topRight" activeCell="C1" sqref="C1"/>
      <selection pane="bottomLeft" activeCell="A4" sqref="A4"/>
      <selection pane="bottomRight" activeCell="AJ157" sqref="AJ157:AJ160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0.7265625" style="99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0.453125" style="99" bestFit="1" customWidth="1" collapsed="1"/>
    <col min="24" max="32" width="8.81640625" style="99" hidden="1" customWidth="1" outlineLevel="1"/>
    <col min="33" max="33" width="10.4531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J11" s="624"/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1314</v>
      </c>
      <c r="B18" s="50" t="s">
        <v>126</v>
      </c>
      <c r="C18" s="139">
        <f>'Overall recycling rates'!I76</f>
        <v>7.8121324691281064E-3</v>
      </c>
      <c r="D18" s="139">
        <f>C18</f>
        <v>7.8121324691281064E-3</v>
      </c>
      <c r="E18" s="139">
        <f t="shared" ref="E18:T18" si="9">D18</f>
        <v>7.8121324691281064E-3</v>
      </c>
      <c r="F18" s="139">
        <f t="shared" si="9"/>
        <v>7.8121324691281064E-3</v>
      </c>
      <c r="G18" s="139">
        <f t="shared" si="9"/>
        <v>7.8121324691281064E-3</v>
      </c>
      <c r="H18" s="139">
        <f t="shared" si="9"/>
        <v>7.8121324691281064E-3</v>
      </c>
      <c r="I18" s="139">
        <f t="shared" si="9"/>
        <v>7.8121324691281064E-3</v>
      </c>
      <c r="J18" s="139">
        <f t="shared" si="9"/>
        <v>7.8121324691281064E-3</v>
      </c>
      <c r="K18" s="139">
        <f t="shared" si="9"/>
        <v>7.8121324691281064E-3</v>
      </c>
      <c r="L18" s="139">
        <f t="shared" si="9"/>
        <v>7.8121324691281064E-3</v>
      </c>
      <c r="M18" s="139">
        <f t="shared" si="9"/>
        <v>7.8121324691281064E-3</v>
      </c>
      <c r="N18" s="139">
        <f t="shared" si="9"/>
        <v>7.8121324691281064E-3</v>
      </c>
      <c r="O18" s="139">
        <f t="shared" si="9"/>
        <v>7.8121324691281064E-3</v>
      </c>
      <c r="P18" s="139">
        <f t="shared" si="9"/>
        <v>7.8121324691281064E-3</v>
      </c>
      <c r="Q18" s="139">
        <f t="shared" si="9"/>
        <v>7.8121324691281064E-3</v>
      </c>
      <c r="R18" s="139">
        <f t="shared" si="9"/>
        <v>7.8121324691281064E-3</v>
      </c>
      <c r="S18" s="139">
        <f t="shared" si="9"/>
        <v>7.8121324691281064E-3</v>
      </c>
      <c r="T18" s="139">
        <f t="shared" si="9"/>
        <v>7.8121324691281064E-3</v>
      </c>
      <c r="U18" s="139">
        <f t="shared" ref="T18:AG22" si="10">T18</f>
        <v>7.8121324691281064E-3</v>
      </c>
      <c r="V18" s="139">
        <f t="shared" si="10"/>
        <v>7.8121324691281064E-3</v>
      </c>
      <c r="W18" s="139">
        <f t="shared" si="10"/>
        <v>7.8121324691281064E-3</v>
      </c>
      <c r="X18" s="139">
        <f t="shared" si="10"/>
        <v>7.8121324691281064E-3</v>
      </c>
      <c r="Y18" s="139">
        <f t="shared" si="10"/>
        <v>7.8121324691281064E-3</v>
      </c>
      <c r="Z18" s="139">
        <f t="shared" si="10"/>
        <v>7.8121324691281064E-3</v>
      </c>
      <c r="AA18" s="139">
        <f t="shared" si="10"/>
        <v>7.8121324691281064E-3</v>
      </c>
      <c r="AB18" s="139">
        <f t="shared" si="10"/>
        <v>7.8121324691281064E-3</v>
      </c>
      <c r="AC18" s="139">
        <f t="shared" si="10"/>
        <v>7.8121324691281064E-3</v>
      </c>
      <c r="AD18" s="139">
        <f t="shared" si="10"/>
        <v>7.8121324691281064E-3</v>
      </c>
      <c r="AE18" s="139">
        <f t="shared" si="10"/>
        <v>7.8121324691281064E-3</v>
      </c>
      <c r="AF18" s="139">
        <f t="shared" si="10"/>
        <v>7.8121324691281064E-3</v>
      </c>
      <c r="AG18" s="139">
        <f>AF18</f>
        <v>7.8121324691281064E-3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1315</v>
      </c>
      <c r="B19" s="50" t="s">
        <v>126</v>
      </c>
      <c r="C19" s="139">
        <f>'Overall recycling rates'!I78</f>
        <v>0.42845614382271668</v>
      </c>
      <c r="D19" s="139">
        <f t="shared" ref="D19:S22" si="11">C19</f>
        <v>0.42845614382271668</v>
      </c>
      <c r="E19" s="139">
        <f t="shared" si="11"/>
        <v>0.42845614382271668</v>
      </c>
      <c r="F19" s="139">
        <f t="shared" si="11"/>
        <v>0.42845614382271668</v>
      </c>
      <c r="G19" s="139">
        <f t="shared" si="11"/>
        <v>0.42845614382271668</v>
      </c>
      <c r="H19" s="139">
        <f t="shared" si="11"/>
        <v>0.42845614382271668</v>
      </c>
      <c r="I19" s="139">
        <f t="shared" si="11"/>
        <v>0.42845614382271668</v>
      </c>
      <c r="J19" s="139">
        <f t="shared" si="11"/>
        <v>0.42845614382271668</v>
      </c>
      <c r="K19" s="139">
        <f t="shared" si="11"/>
        <v>0.42845614382271668</v>
      </c>
      <c r="L19" s="139">
        <f t="shared" si="11"/>
        <v>0.42845614382271668</v>
      </c>
      <c r="M19" s="139">
        <f t="shared" si="11"/>
        <v>0.42845614382271668</v>
      </c>
      <c r="N19" s="139">
        <f t="shared" si="11"/>
        <v>0.42845614382271668</v>
      </c>
      <c r="O19" s="139">
        <f t="shared" si="11"/>
        <v>0.42845614382271668</v>
      </c>
      <c r="P19" s="139">
        <f t="shared" si="11"/>
        <v>0.42845614382271668</v>
      </c>
      <c r="Q19" s="139">
        <f t="shared" si="11"/>
        <v>0.42845614382271668</v>
      </c>
      <c r="R19" s="139">
        <f t="shared" si="11"/>
        <v>0.42845614382271668</v>
      </c>
      <c r="S19" s="139">
        <f t="shared" si="11"/>
        <v>0.42845614382271668</v>
      </c>
      <c r="T19" s="139">
        <f t="shared" si="10"/>
        <v>0.42845614382271668</v>
      </c>
      <c r="U19" s="139">
        <f t="shared" si="10"/>
        <v>0.42845614382271668</v>
      </c>
      <c r="V19" s="139">
        <f t="shared" si="10"/>
        <v>0.42845614382271668</v>
      </c>
      <c r="W19" s="139">
        <f t="shared" si="10"/>
        <v>0.42845614382271668</v>
      </c>
      <c r="X19" s="139">
        <f t="shared" si="10"/>
        <v>0.42845614382271668</v>
      </c>
      <c r="Y19" s="139">
        <f t="shared" si="10"/>
        <v>0.42845614382271668</v>
      </c>
      <c r="Z19" s="139">
        <f t="shared" si="10"/>
        <v>0.42845614382271668</v>
      </c>
      <c r="AA19" s="139">
        <f t="shared" si="10"/>
        <v>0.42845614382271668</v>
      </c>
      <c r="AB19" s="139">
        <f t="shared" si="10"/>
        <v>0.42845614382271668</v>
      </c>
      <c r="AC19" s="139">
        <f t="shared" si="10"/>
        <v>0.42845614382271668</v>
      </c>
      <c r="AD19" s="139">
        <f t="shared" si="10"/>
        <v>0.42845614382271668</v>
      </c>
      <c r="AE19" s="139">
        <f t="shared" si="10"/>
        <v>0.42845614382271668</v>
      </c>
      <c r="AF19" s="139">
        <f t="shared" si="10"/>
        <v>0.42845614382271668</v>
      </c>
      <c r="AG19" s="139">
        <f t="shared" si="10"/>
        <v>0.42845614382271668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1316</v>
      </c>
      <c r="B20" s="50" t="s">
        <v>126</v>
      </c>
      <c r="C20" s="139">
        <f>'Overall recycling rates'!I77</f>
        <v>2.5731470370254327E-2</v>
      </c>
      <c r="D20" s="139">
        <f t="shared" si="11"/>
        <v>2.5731470370254327E-2</v>
      </c>
      <c r="E20" s="139">
        <f t="shared" si="11"/>
        <v>2.5731470370254327E-2</v>
      </c>
      <c r="F20" s="139">
        <f t="shared" si="11"/>
        <v>2.5731470370254327E-2</v>
      </c>
      <c r="G20" s="139">
        <f t="shared" si="11"/>
        <v>2.5731470370254327E-2</v>
      </c>
      <c r="H20" s="139">
        <f t="shared" si="11"/>
        <v>2.5731470370254327E-2</v>
      </c>
      <c r="I20" s="139">
        <f t="shared" si="11"/>
        <v>2.5731470370254327E-2</v>
      </c>
      <c r="J20" s="139">
        <f t="shared" si="11"/>
        <v>2.5731470370254327E-2</v>
      </c>
      <c r="K20" s="139">
        <f t="shared" si="11"/>
        <v>2.5731470370254327E-2</v>
      </c>
      <c r="L20" s="139">
        <f t="shared" si="11"/>
        <v>2.5731470370254327E-2</v>
      </c>
      <c r="M20" s="139">
        <f t="shared" si="11"/>
        <v>2.5731470370254327E-2</v>
      </c>
      <c r="N20" s="139">
        <f t="shared" si="11"/>
        <v>2.5731470370254327E-2</v>
      </c>
      <c r="O20" s="139">
        <f t="shared" si="11"/>
        <v>2.5731470370254327E-2</v>
      </c>
      <c r="P20" s="139">
        <f t="shared" si="11"/>
        <v>2.5731470370254327E-2</v>
      </c>
      <c r="Q20" s="139">
        <f t="shared" si="11"/>
        <v>2.5731470370254327E-2</v>
      </c>
      <c r="R20" s="139">
        <f t="shared" si="11"/>
        <v>2.5731470370254327E-2</v>
      </c>
      <c r="S20" s="139">
        <f t="shared" si="11"/>
        <v>2.5731470370254327E-2</v>
      </c>
      <c r="T20" s="139">
        <f t="shared" si="10"/>
        <v>2.5731470370254327E-2</v>
      </c>
      <c r="U20" s="139">
        <f t="shared" si="10"/>
        <v>2.5731470370254327E-2</v>
      </c>
      <c r="V20" s="139">
        <f t="shared" si="10"/>
        <v>2.5731470370254327E-2</v>
      </c>
      <c r="W20" s="139">
        <f t="shared" si="10"/>
        <v>2.5731470370254327E-2</v>
      </c>
      <c r="X20" s="139">
        <f t="shared" si="10"/>
        <v>2.5731470370254327E-2</v>
      </c>
      <c r="Y20" s="139">
        <f t="shared" si="10"/>
        <v>2.5731470370254327E-2</v>
      </c>
      <c r="Z20" s="139">
        <f t="shared" si="10"/>
        <v>2.5731470370254327E-2</v>
      </c>
      <c r="AA20" s="139">
        <f t="shared" si="10"/>
        <v>2.5731470370254327E-2</v>
      </c>
      <c r="AB20" s="139">
        <f t="shared" si="10"/>
        <v>2.5731470370254327E-2</v>
      </c>
      <c r="AC20" s="139">
        <f t="shared" si="10"/>
        <v>2.5731470370254327E-2</v>
      </c>
      <c r="AD20" s="139">
        <f t="shared" si="10"/>
        <v>2.5731470370254327E-2</v>
      </c>
      <c r="AE20" s="139">
        <f t="shared" si="10"/>
        <v>2.5731470370254327E-2</v>
      </c>
      <c r="AF20" s="139">
        <f t="shared" si="10"/>
        <v>2.5731470370254327E-2</v>
      </c>
      <c r="AG20" s="139">
        <f t="shared" si="10"/>
        <v>2.5731470370254327E-2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1317</v>
      </c>
      <c r="B21" s="50" t="s">
        <v>126</v>
      </c>
      <c r="C21" s="139">
        <f>'Overall recycling rates'!I79</f>
        <v>5.6913811558598572E-7</v>
      </c>
      <c r="D21" s="139">
        <f t="shared" si="11"/>
        <v>5.6913811558598572E-7</v>
      </c>
      <c r="E21" s="139">
        <f t="shared" si="11"/>
        <v>5.6913811558598572E-7</v>
      </c>
      <c r="F21" s="139">
        <f t="shared" si="11"/>
        <v>5.6913811558598572E-7</v>
      </c>
      <c r="G21" s="139">
        <f t="shared" si="11"/>
        <v>5.6913811558598572E-7</v>
      </c>
      <c r="H21" s="139">
        <f t="shared" si="11"/>
        <v>5.6913811558598572E-7</v>
      </c>
      <c r="I21" s="139">
        <f t="shared" si="11"/>
        <v>5.6913811558598572E-7</v>
      </c>
      <c r="J21" s="139">
        <f t="shared" si="11"/>
        <v>5.6913811558598572E-7</v>
      </c>
      <c r="K21" s="139">
        <f t="shared" si="11"/>
        <v>5.6913811558598572E-7</v>
      </c>
      <c r="L21" s="139">
        <f t="shared" si="11"/>
        <v>5.6913811558598572E-7</v>
      </c>
      <c r="M21" s="139">
        <f t="shared" si="11"/>
        <v>5.6913811558598572E-7</v>
      </c>
      <c r="N21" s="139">
        <f t="shared" si="11"/>
        <v>5.6913811558598572E-7</v>
      </c>
      <c r="O21" s="139">
        <f t="shared" si="11"/>
        <v>5.6913811558598572E-7</v>
      </c>
      <c r="P21" s="139">
        <f t="shared" si="11"/>
        <v>5.6913811558598572E-7</v>
      </c>
      <c r="Q21" s="139">
        <f t="shared" si="11"/>
        <v>5.6913811558598572E-7</v>
      </c>
      <c r="R21" s="139">
        <f t="shared" si="11"/>
        <v>5.6913811558598572E-7</v>
      </c>
      <c r="S21" s="139">
        <f t="shared" si="11"/>
        <v>5.6913811558598572E-7</v>
      </c>
      <c r="T21" s="139">
        <f t="shared" si="10"/>
        <v>5.6913811558598572E-7</v>
      </c>
      <c r="U21" s="139">
        <f t="shared" si="10"/>
        <v>5.6913811558598572E-7</v>
      </c>
      <c r="V21" s="139">
        <f t="shared" si="10"/>
        <v>5.6913811558598572E-7</v>
      </c>
      <c r="W21" s="139">
        <f t="shared" si="10"/>
        <v>5.6913811558598572E-7</v>
      </c>
      <c r="X21" s="139">
        <f t="shared" si="10"/>
        <v>5.6913811558598572E-7</v>
      </c>
      <c r="Y21" s="139">
        <f t="shared" si="10"/>
        <v>5.6913811558598572E-7</v>
      </c>
      <c r="Z21" s="139">
        <f t="shared" si="10"/>
        <v>5.6913811558598572E-7</v>
      </c>
      <c r="AA21" s="139">
        <f t="shared" si="10"/>
        <v>5.6913811558598572E-7</v>
      </c>
      <c r="AB21" s="139">
        <f t="shared" si="10"/>
        <v>5.6913811558598572E-7</v>
      </c>
      <c r="AC21" s="139">
        <f t="shared" si="10"/>
        <v>5.6913811558598572E-7</v>
      </c>
      <c r="AD21" s="139">
        <f t="shared" si="10"/>
        <v>5.6913811558598572E-7</v>
      </c>
      <c r="AE21" s="139">
        <f t="shared" si="10"/>
        <v>5.6913811558598572E-7</v>
      </c>
      <c r="AF21" s="139">
        <f t="shared" si="10"/>
        <v>5.6913811558598572E-7</v>
      </c>
      <c r="AG21" s="139">
        <f t="shared" si="10"/>
        <v>5.6913811558598572E-7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1318</v>
      </c>
      <c r="B22" s="50" t="s">
        <v>126</v>
      </c>
      <c r="C22" s="139">
        <f>'Overall recycling rates'!I80</f>
        <v>0.10640395633570057</v>
      </c>
      <c r="D22" s="139">
        <f>C22</f>
        <v>0.10640395633570057</v>
      </c>
      <c r="E22" s="139">
        <f t="shared" si="11"/>
        <v>0.10640395633570057</v>
      </c>
      <c r="F22" s="139">
        <f t="shared" si="11"/>
        <v>0.10640395633570057</v>
      </c>
      <c r="G22" s="139">
        <f t="shared" si="11"/>
        <v>0.10640395633570057</v>
      </c>
      <c r="H22" s="139">
        <f t="shared" si="11"/>
        <v>0.10640395633570057</v>
      </c>
      <c r="I22" s="139">
        <f t="shared" si="11"/>
        <v>0.10640395633570057</v>
      </c>
      <c r="J22" s="139">
        <f t="shared" si="11"/>
        <v>0.10640395633570057</v>
      </c>
      <c r="K22" s="139">
        <f t="shared" si="11"/>
        <v>0.10640395633570057</v>
      </c>
      <c r="L22" s="139">
        <f t="shared" si="11"/>
        <v>0.10640395633570057</v>
      </c>
      <c r="M22" s="139">
        <f t="shared" si="11"/>
        <v>0.10640395633570057</v>
      </c>
      <c r="N22" s="139">
        <f t="shared" si="11"/>
        <v>0.10640395633570057</v>
      </c>
      <c r="O22" s="139">
        <f t="shared" si="11"/>
        <v>0.10640395633570057</v>
      </c>
      <c r="P22" s="139">
        <f t="shared" si="11"/>
        <v>0.10640395633570057</v>
      </c>
      <c r="Q22" s="139">
        <f t="shared" si="11"/>
        <v>0.10640395633570057</v>
      </c>
      <c r="R22" s="139">
        <f t="shared" si="11"/>
        <v>0.10640395633570057</v>
      </c>
      <c r="S22" s="139">
        <f t="shared" si="11"/>
        <v>0.10640395633570057</v>
      </c>
      <c r="T22" s="139">
        <f t="shared" si="10"/>
        <v>0.10640395633570057</v>
      </c>
      <c r="U22" s="139">
        <f t="shared" si="10"/>
        <v>0.10640395633570057</v>
      </c>
      <c r="V22" s="139">
        <f t="shared" si="10"/>
        <v>0.10640395633570057</v>
      </c>
      <c r="W22" s="139">
        <f t="shared" si="10"/>
        <v>0.10640395633570057</v>
      </c>
      <c r="X22" s="139">
        <f t="shared" si="10"/>
        <v>0.10640395633570057</v>
      </c>
      <c r="Y22" s="139">
        <f t="shared" si="10"/>
        <v>0.10640395633570057</v>
      </c>
      <c r="Z22" s="139">
        <f t="shared" si="10"/>
        <v>0.10640395633570057</v>
      </c>
      <c r="AA22" s="139">
        <f t="shared" si="10"/>
        <v>0.10640395633570057</v>
      </c>
      <c r="AB22" s="139">
        <f t="shared" si="10"/>
        <v>0.10640395633570057</v>
      </c>
      <c r="AC22" s="139">
        <f t="shared" si="10"/>
        <v>0.10640395633570057</v>
      </c>
      <c r="AD22" s="139">
        <f t="shared" si="10"/>
        <v>0.10640395633570057</v>
      </c>
      <c r="AE22" s="139">
        <f t="shared" si="10"/>
        <v>0.10640395633570057</v>
      </c>
      <c r="AF22" s="139">
        <f t="shared" si="10"/>
        <v>0.10640395633570057</v>
      </c>
      <c r="AG22" s="139">
        <f t="shared" si="10"/>
        <v>0.10640395633570057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1319</v>
      </c>
      <c r="B24" s="50" t="s">
        <v>1366</v>
      </c>
      <c r="C24" s="489">
        <f>C11*C18</f>
        <v>34854.231655462187</v>
      </c>
      <c r="D24" s="489">
        <f t="shared" ref="D24:AG24" si="12">D11*D18</f>
        <v>34777.288331546231</v>
      </c>
      <c r="E24" s="489">
        <f t="shared" si="12"/>
        <v>34700.514865774159</v>
      </c>
      <c r="F24" s="489">
        <f t="shared" si="12"/>
        <v>34623.910883171411</v>
      </c>
      <c r="G24" s="489">
        <f t="shared" si="12"/>
        <v>34547.476009591199</v>
      </c>
      <c r="H24" s="489">
        <f t="shared" si="12"/>
        <v>34471.209871712708</v>
      </c>
      <c r="I24" s="489">
        <f t="shared" si="12"/>
        <v>34395.112097039259</v>
      </c>
      <c r="J24" s="489">
        <f t="shared" si="12"/>
        <v>34319.182313896461</v>
      </c>
      <c r="K24" s="489">
        <f t="shared" si="12"/>
        <v>34243.420151430473</v>
      </c>
      <c r="L24" s="489">
        <f t="shared" si="12"/>
        <v>34167.825239606085</v>
      </c>
      <c r="M24" s="489">
        <f>M11*M18</f>
        <v>34092.397209205003</v>
      </c>
      <c r="N24" s="489">
        <f t="shared" si="12"/>
        <v>34017.135691824005</v>
      </c>
      <c r="O24" s="489">
        <f t="shared" si="12"/>
        <v>33942.040319873136</v>
      </c>
      <c r="P24" s="489">
        <f t="shared" si="12"/>
        <v>33867.110726573934</v>
      </c>
      <c r="Q24" s="489">
        <f t="shared" si="12"/>
        <v>33792.346545957611</v>
      </c>
      <c r="R24" s="489">
        <f t="shared" si="12"/>
        <v>33717.747412863311</v>
      </c>
      <c r="S24" s="489">
        <f t="shared" si="12"/>
        <v>33643.312962936267</v>
      </c>
      <c r="T24" s="489">
        <f t="shared" si="12"/>
        <v>33569.042832626081</v>
      </c>
      <c r="U24" s="489">
        <f t="shared" si="12"/>
        <v>33494.936659184888</v>
      </c>
      <c r="V24" s="489">
        <f t="shared" si="12"/>
        <v>33420.994080665652</v>
      </c>
      <c r="W24" s="489">
        <f t="shared" si="12"/>
        <v>33347.21473592033</v>
      </c>
      <c r="X24" s="489">
        <f t="shared" si="12"/>
        <v>33273.598264598164</v>
      </c>
      <c r="Y24" s="489">
        <f t="shared" si="12"/>
        <v>33200.144307143884</v>
      </c>
      <c r="Z24" s="489">
        <f t="shared" si="12"/>
        <v>33126.852504795963</v>
      </c>
      <c r="AA24" s="489">
        <f t="shared" si="12"/>
        <v>33053.722499584881</v>
      </c>
      <c r="AB24" s="489">
        <f t="shared" si="12"/>
        <v>32980.753934331347</v>
      </c>
      <c r="AC24" s="489">
        <f t="shared" si="12"/>
        <v>32907.946452644581</v>
      </c>
      <c r="AD24" s="489">
        <f t="shared" si="12"/>
        <v>32835.299698920564</v>
      </c>
      <c r="AE24" s="489">
        <f t="shared" si="12"/>
        <v>32762.813318340279</v>
      </c>
      <c r="AF24" s="489">
        <f t="shared" si="12"/>
        <v>32690.486956868019</v>
      </c>
      <c r="AG24" s="489">
        <f t="shared" si="12"/>
        <v>32618.320261249639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1320</v>
      </c>
      <c r="B25" s="50" t="s">
        <v>1366</v>
      </c>
      <c r="C25" s="489">
        <f t="shared" ref="C25:AG28" si="13">C12*C19</f>
        <v>120936.64128423392</v>
      </c>
      <c r="D25" s="489">
        <f t="shared" si="13"/>
        <v>120669.66460101155</v>
      </c>
      <c r="E25" s="489">
        <f t="shared" si="13"/>
        <v>120403.27728879062</v>
      </c>
      <c r="F25" s="489">
        <f t="shared" si="13"/>
        <v>120137.47804649056</v>
      </c>
      <c r="G25" s="489">
        <f t="shared" si="13"/>
        <v>119872.265575903</v>
      </c>
      <c r="H25" s="489">
        <f t="shared" si="13"/>
        <v>119607.6385816855</v>
      </c>
      <c r="I25" s="489">
        <f t="shared" si="13"/>
        <v>119343.59577135519</v>
      </c>
      <c r="J25" s="489">
        <f t="shared" si="13"/>
        <v>119080.13585528242</v>
      </c>
      <c r="K25" s="489">
        <f t="shared" si="13"/>
        <v>118817.2575466845</v>
      </c>
      <c r="L25" s="489">
        <f t="shared" si="13"/>
        <v>118554.95956161941</v>
      </c>
      <c r="M25" s="489">
        <f t="shared" si="13"/>
        <v>118293.24061897959</v>
      </c>
      <c r="N25" s="489">
        <f t="shared" si="13"/>
        <v>118032.09944048552</v>
      </c>
      <c r="O25" s="489">
        <f t="shared" si="13"/>
        <v>117771.53475067961</v>
      </c>
      <c r="P25" s="489">
        <f t="shared" si="13"/>
        <v>117511.54527692001</v>
      </c>
      <c r="Q25" s="489">
        <f t="shared" si="13"/>
        <v>117252.12974937419</v>
      </c>
      <c r="R25" s="489">
        <f t="shared" si="13"/>
        <v>116993.28690101298</v>
      </c>
      <c r="S25" s="489">
        <f t="shared" si="13"/>
        <v>116735.01546760427</v>
      </c>
      <c r="T25" s="489">
        <f t="shared" si="13"/>
        <v>116477.31418770677</v>
      </c>
      <c r="U25" s="489">
        <f t="shared" si="13"/>
        <v>116220.18180266394</v>
      </c>
      <c r="V25" s="489">
        <f t="shared" si="13"/>
        <v>115963.61705659785</v>
      </c>
      <c r="W25" s="489">
        <f t="shared" si="13"/>
        <v>115707.61869640298</v>
      </c>
      <c r="X25" s="489">
        <f t="shared" si="13"/>
        <v>115452.18547174016</v>
      </c>
      <c r="Y25" s="489">
        <f t="shared" si="13"/>
        <v>115197.31613503039</v>
      </c>
      <c r="Z25" s="489">
        <f t="shared" si="13"/>
        <v>114943.00944144887</v>
      </c>
      <c r="AA25" s="489">
        <f t="shared" si="13"/>
        <v>114689.26414891877</v>
      </c>
      <c r="AB25" s="489">
        <f t="shared" si="13"/>
        <v>114436.07901810529</v>
      </c>
      <c r="AC25" s="489">
        <f t="shared" si="13"/>
        <v>114183.45281240952</v>
      </c>
      <c r="AD25" s="489">
        <f t="shared" si="13"/>
        <v>113931.38429796243</v>
      </c>
      <c r="AE25" s="489">
        <f t="shared" si="13"/>
        <v>113679.87224361893</v>
      </c>
      <c r="AF25" s="489">
        <f t="shared" si="13"/>
        <v>113428.91542095166</v>
      </c>
      <c r="AG25" s="489">
        <f t="shared" si="13"/>
        <v>113178.51260424514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1321</v>
      </c>
      <c r="B26" s="50" t="s">
        <v>1366</v>
      </c>
      <c r="C26" s="490">
        <f t="shared" si="13"/>
        <v>14291.712567558641</v>
      </c>
      <c r="D26" s="489">
        <f t="shared" si="13"/>
        <v>14260.162542865242</v>
      </c>
      <c r="E26" s="489">
        <f t="shared" si="13"/>
        <v>14228.682167211695</v>
      </c>
      <c r="F26" s="489">
        <f t="shared" si="13"/>
        <v>14197.271286842533</v>
      </c>
      <c r="G26" s="489">
        <f t="shared" si="13"/>
        <v>14165.929748341714</v>
      </c>
      <c r="H26" s="489">
        <f t="shared" si="13"/>
        <v>14134.657398631878</v>
      </c>
      <c r="I26" s="489">
        <f t="shared" si="13"/>
        <v>14103.454084973595</v>
      </c>
      <c r="J26" s="489">
        <f t="shared" si="13"/>
        <v>14072.319654964615</v>
      </c>
      <c r="K26" s="489">
        <f t="shared" si="13"/>
        <v>14041.253956539127</v>
      </c>
      <c r="L26" s="489">
        <f t="shared" si="13"/>
        <v>14010.256837967019</v>
      </c>
      <c r="M26" s="489">
        <f t="shared" si="13"/>
        <v>13979.328147853137</v>
      </c>
      <c r="N26" s="489">
        <f t="shared" si="13"/>
        <v>13948.467735136537</v>
      </c>
      <c r="O26" s="489">
        <f t="shared" si="13"/>
        <v>13917.675449089757</v>
      </c>
      <c r="P26" s="489">
        <f t="shared" si="13"/>
        <v>13886.951139318078</v>
      </c>
      <c r="Q26" s="489">
        <f t="shared" si="13"/>
        <v>13856.294655758782</v>
      </c>
      <c r="R26" s="489">
        <f t="shared" si="13"/>
        <v>13825.70584868044</v>
      </c>
      <c r="S26" s="489">
        <f t="shared" si="13"/>
        <v>13795.184568682151</v>
      </c>
      <c r="T26" s="489">
        <f t="shared" si="13"/>
        <v>13764.730666692833</v>
      </c>
      <c r="U26" s="489">
        <f t="shared" si="13"/>
        <v>13734.343993970497</v>
      </c>
      <c r="V26" s="489">
        <f t="shared" si="13"/>
        <v>13704.024402101499</v>
      </c>
      <c r="W26" s="489">
        <f t="shared" si="13"/>
        <v>13673.771742999841</v>
      </c>
      <c r="X26" s="489">
        <f t="shared" si="13"/>
        <v>13643.58586890643</v>
      </c>
      <c r="Y26" s="489">
        <f t="shared" si="13"/>
        <v>13613.466632388365</v>
      </c>
      <c r="Z26" s="489">
        <f t="shared" si="13"/>
        <v>13583.413886338212</v>
      </c>
      <c r="AA26" s="489">
        <f t="shared" si="13"/>
        <v>13553.42748397329</v>
      </c>
      <c r="AB26" s="489">
        <f t="shared" si="13"/>
        <v>13523.507278834953</v>
      </c>
      <c r="AC26" s="489">
        <f t="shared" si="13"/>
        <v>13493.653124787865</v>
      </c>
      <c r="AD26" s="489">
        <f t="shared" si="13"/>
        <v>13463.864876019303</v>
      </c>
      <c r="AE26" s="489">
        <f t="shared" si="13"/>
        <v>13434.142387038437</v>
      </c>
      <c r="AF26" s="489">
        <f t="shared" si="13"/>
        <v>13404.48551267561</v>
      </c>
      <c r="AG26" s="489">
        <f t="shared" si="13"/>
        <v>13374.894108081649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1322</v>
      </c>
      <c r="B27" s="50" t="s">
        <v>1366</v>
      </c>
      <c r="C27" s="490">
        <f t="shared" si="13"/>
        <v>0.25910602414137757</v>
      </c>
      <c r="D27" s="489">
        <f t="shared" si="13"/>
        <v>0.25853402820868399</v>
      </c>
      <c r="E27" s="489">
        <f t="shared" si="13"/>
        <v>0.25796329499980436</v>
      </c>
      <c r="F27" s="489">
        <f t="shared" si="13"/>
        <v>0.25739382172718145</v>
      </c>
      <c r="G27" s="489">
        <f t="shared" si="13"/>
        <v>0.25682560560941159</v>
      </c>
      <c r="H27" s="489">
        <f t="shared" si="13"/>
        <v>0.25625864387123143</v>
      </c>
      <c r="I27" s="489">
        <f t="shared" si="13"/>
        <v>0.25569293374350421</v>
      </c>
      <c r="J27" s="489">
        <f t="shared" si="13"/>
        <v>0.25512847246320625</v>
      </c>
      <c r="K27" s="489">
        <f t="shared" si="13"/>
        <v>0.25456525727341334</v>
      </c>
      <c r="L27" s="489">
        <f t="shared" si="13"/>
        <v>0.25400328542328748</v>
      </c>
      <c r="M27" s="489">
        <f t="shared" si="13"/>
        <v>0.25344255416806344</v>
      </c>
      <c r="N27" s="489">
        <f t="shared" si="13"/>
        <v>0.252883060769035</v>
      </c>
      <c r="O27" s="489">
        <f t="shared" si="13"/>
        <v>0.25232480249354211</v>
      </c>
      <c r="P27" s="489">
        <f t="shared" si="13"/>
        <v>0.25176777661495719</v>
      </c>
      <c r="Q27" s="489">
        <f t="shared" si="13"/>
        <v>0.25121198041267173</v>
      </c>
      <c r="R27" s="489">
        <f t="shared" si="13"/>
        <v>0.25065741117208346</v>
      </c>
      <c r="S27" s="489">
        <f t="shared" si="13"/>
        <v>0.25010406618458253</v>
      </c>
      <c r="T27" s="489">
        <f t="shared" si="13"/>
        <v>0.2495519427475387</v>
      </c>
      <c r="U27" s="489">
        <f t="shared" si="13"/>
        <v>0.24900103816428795</v>
      </c>
      <c r="V27" s="489">
        <f t="shared" si="13"/>
        <v>0.24845134974411934</v>
      </c>
      <c r="W27" s="489">
        <f t="shared" si="13"/>
        <v>0.24790287480226192</v>
      </c>
      <c r="X27" s="489">
        <f t="shared" si="13"/>
        <v>0.24735561065987144</v>
      </c>
      <c r="Y27" s="489">
        <f t="shared" si="13"/>
        <v>0.24680955464401758</v>
      </c>
      <c r="Z27" s="489">
        <f t="shared" si="13"/>
        <v>0.24626470408767065</v>
      </c>
      <c r="AA27" s="489">
        <f t="shared" si="13"/>
        <v>0.24572105632968846</v>
      </c>
      <c r="AB27" s="489">
        <f t="shared" si="13"/>
        <v>0.24517860871480379</v>
      </c>
      <c r="AC27" s="489">
        <f t="shared" si="13"/>
        <v>0.24463735859361091</v>
      </c>
      <c r="AD27" s="489">
        <f t="shared" si="13"/>
        <v>0.24409730332255292</v>
      </c>
      <c r="AE27" s="489">
        <f t="shared" si="13"/>
        <v>0.24355844026390869</v>
      </c>
      <c r="AF27" s="489">
        <f t="shared" si="13"/>
        <v>0.24302076678578022</v>
      </c>
      <c r="AG27" s="489">
        <f t="shared" si="13"/>
        <v>0.24248428026207944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1323</v>
      </c>
      <c r="B28" s="156" t="s">
        <v>1366</v>
      </c>
      <c r="C28" s="489">
        <f t="shared" si="13"/>
        <v>299368.4922914381</v>
      </c>
      <c r="D28" s="489">
        <f t="shared" si="13"/>
        <v>298707.61394816241</v>
      </c>
      <c r="E28" s="489">
        <f t="shared" si="13"/>
        <v>298048.19454327156</v>
      </c>
      <c r="F28" s="489">
        <f t="shared" si="13"/>
        <v>297390.23085604992</v>
      </c>
      <c r="G28" s="489">
        <f t="shared" si="13"/>
        <v>296733.71967289184</v>
      </c>
      <c r="H28" s="489">
        <f t="shared" si="13"/>
        <v>296078.6577872858</v>
      </c>
      <c r="I28" s="489">
        <f t="shared" si="13"/>
        <v>295425.0419997992</v>
      </c>
      <c r="J28" s="489">
        <f t="shared" si="13"/>
        <v>294772.8691180622</v>
      </c>
      <c r="K28" s="489">
        <f t="shared" si="13"/>
        <v>294122.13595675235</v>
      </c>
      <c r="L28" s="489">
        <f t="shared" si="13"/>
        <v>293472.83933757915</v>
      </c>
      <c r="M28" s="489">
        <f t="shared" si="13"/>
        <v>292824.9760892684</v>
      </c>
      <c r="N28" s="489">
        <f t="shared" si="13"/>
        <v>292178.54304754664</v>
      </c>
      <c r="O28" s="489">
        <f t="shared" si="13"/>
        <v>291533.53705512587</v>
      </c>
      <c r="P28" s="489">
        <f t="shared" si="13"/>
        <v>290889.95496168785</v>
      </c>
      <c r="Q28" s="489">
        <f t="shared" si="13"/>
        <v>290247.79362386925</v>
      </c>
      <c r="R28" s="489">
        <f t="shared" si="13"/>
        <v>289607.0499052456</v>
      </c>
      <c r="S28" s="489">
        <f t="shared" si="13"/>
        <v>288967.72067631653</v>
      </c>
      <c r="T28" s="489">
        <f t="shared" si="13"/>
        <v>288329.80281449028</v>
      </c>
      <c r="U28" s="489">
        <f t="shared" si="13"/>
        <v>287693.29320406832</v>
      </c>
      <c r="V28" s="489">
        <f t="shared" si="13"/>
        <v>287058.18873623025</v>
      </c>
      <c r="W28" s="489">
        <f t="shared" si="13"/>
        <v>286424.4863090188</v>
      </c>
      <c r="X28" s="489">
        <f t="shared" si="13"/>
        <v>285792.18282732437</v>
      </c>
      <c r="Y28" s="489">
        <f t="shared" si="13"/>
        <v>285161.27520287008</v>
      </c>
      <c r="Z28" s="489">
        <f t="shared" si="13"/>
        <v>284531.76035419659</v>
      </c>
      <c r="AA28" s="489">
        <f t="shared" si="13"/>
        <v>283903.63520664722</v>
      </c>
      <c r="AB28" s="489">
        <f t="shared" si="13"/>
        <v>283276.89669235272</v>
      </c>
      <c r="AC28" s="489">
        <f t="shared" si="13"/>
        <v>282651.54175021651</v>
      </c>
      <c r="AD28" s="489">
        <f t="shared" si="13"/>
        <v>282027.56732589955</v>
      </c>
      <c r="AE28" s="489">
        <f t="shared" si="13"/>
        <v>281404.97037180542</v>
      </c>
      <c r="AF28" s="489">
        <f t="shared" si="13"/>
        <v>280783.7478470655</v>
      </c>
      <c r="AG28" s="489">
        <f t="shared" si="13"/>
        <v>280163.89671752433</v>
      </c>
      <c r="AL28" s="100"/>
      <c r="AM28" s="181"/>
      <c r="AN28" s="181"/>
      <c r="AO28" s="181"/>
    </row>
    <row r="29" spans="1:64" s="1" customFormat="1" ht="15.5" thickBot="1">
      <c r="A29" s="174" t="s">
        <v>1324</v>
      </c>
      <c r="B29" s="193" t="s">
        <v>1366</v>
      </c>
      <c r="C29" s="190">
        <f>SUM(C24:C28)</f>
        <v>469451.33690471697</v>
      </c>
      <c r="D29" s="190">
        <f t="shared" ref="D29:AG29" si="14">SUM(D24:D28)</f>
        <v>468414.98795761366</v>
      </c>
      <c r="E29" s="190">
        <f t="shared" si="14"/>
        <v>467380.92682834307</v>
      </c>
      <c r="F29" s="190">
        <f t="shared" si="14"/>
        <v>466349.14846637612</v>
      </c>
      <c r="G29" s="190">
        <f t="shared" si="14"/>
        <v>465319.64783233334</v>
      </c>
      <c r="H29" s="190">
        <f t="shared" si="14"/>
        <v>464292.4198979598</v>
      </c>
      <c r="I29" s="190">
        <f t="shared" si="14"/>
        <v>463267.45964610099</v>
      </c>
      <c r="J29" s="190">
        <f t="shared" si="14"/>
        <v>462244.76207067817</v>
      </c>
      <c r="K29" s="190">
        <f t="shared" si="14"/>
        <v>461224.32217666367</v>
      </c>
      <c r="L29" s="190">
        <f t="shared" si="14"/>
        <v>460206.13498005713</v>
      </c>
      <c r="M29" s="190">
        <f t="shared" si="14"/>
        <v>459190.19550786028</v>
      </c>
      <c r="N29" s="190">
        <f t="shared" si="14"/>
        <v>458176.49879805348</v>
      </c>
      <c r="O29" s="190">
        <f t="shared" si="14"/>
        <v>457165.03989957087</v>
      </c>
      <c r="P29" s="190">
        <f t="shared" si="14"/>
        <v>456155.81387227646</v>
      </c>
      <c r="Q29" s="190">
        <f t="shared" si="14"/>
        <v>455148.81578694022</v>
      </c>
      <c r="R29" s="190">
        <f t="shared" si="14"/>
        <v>454144.04072521348</v>
      </c>
      <c r="S29" s="190">
        <f t="shared" si="14"/>
        <v>453141.48377960542</v>
      </c>
      <c r="T29" s="190">
        <f t="shared" si="14"/>
        <v>452141.14005345874</v>
      </c>
      <c r="U29" s="190">
        <f t="shared" si="14"/>
        <v>451143.00466092583</v>
      </c>
      <c r="V29" s="190">
        <f t="shared" si="14"/>
        <v>450147.07272694499</v>
      </c>
      <c r="W29" s="190">
        <f t="shared" si="14"/>
        <v>449153.33938721672</v>
      </c>
      <c r="X29" s="190">
        <f t="shared" si="14"/>
        <v>448161.79978817981</v>
      </c>
      <c r="Y29" s="190">
        <f t="shared" si="14"/>
        <v>447172.44908698736</v>
      </c>
      <c r="Z29" s="190">
        <f t="shared" si="14"/>
        <v>446185.28245148377</v>
      </c>
      <c r="AA29" s="190">
        <f t="shared" si="14"/>
        <v>445200.29506018048</v>
      </c>
      <c r="AB29" s="190">
        <f t="shared" si="14"/>
        <v>444217.48210223304</v>
      </c>
      <c r="AC29" s="190">
        <f t="shared" si="14"/>
        <v>443236.83877741708</v>
      </c>
      <c r="AD29" s="190">
        <f t="shared" si="14"/>
        <v>442258.36029610515</v>
      </c>
      <c r="AE29" s="190">
        <f t="shared" si="14"/>
        <v>441282.04187924333</v>
      </c>
      <c r="AF29" s="190">
        <f t="shared" si="14"/>
        <v>440307.87875832757</v>
      </c>
      <c r="AG29" s="190">
        <f t="shared" si="14"/>
        <v>439335.866175381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1325</v>
      </c>
      <c r="B31" s="156" t="s">
        <v>1366</v>
      </c>
      <c r="C31" s="99">
        <f>C29</f>
        <v>469451.33690471697</v>
      </c>
      <c r="D31" s="99">
        <f t="shared" ref="D31:AG31" si="15">D29</f>
        <v>468414.98795761366</v>
      </c>
      <c r="E31" s="99">
        <f t="shared" si="15"/>
        <v>467380.92682834307</v>
      </c>
      <c r="F31" s="99">
        <f t="shared" si="15"/>
        <v>466349.14846637612</v>
      </c>
      <c r="G31" s="99">
        <f t="shared" si="15"/>
        <v>465319.64783233334</v>
      </c>
      <c r="H31" s="99">
        <f t="shared" si="15"/>
        <v>464292.4198979598</v>
      </c>
      <c r="I31" s="99">
        <f t="shared" si="15"/>
        <v>463267.45964610099</v>
      </c>
      <c r="J31" s="99">
        <f t="shared" si="15"/>
        <v>462244.76207067817</v>
      </c>
      <c r="K31" s="99">
        <f t="shared" si="15"/>
        <v>461224.32217666367</v>
      </c>
      <c r="L31" s="99">
        <f t="shared" si="15"/>
        <v>460206.13498005713</v>
      </c>
      <c r="M31" s="99">
        <f t="shared" si="15"/>
        <v>459190.19550786028</v>
      </c>
      <c r="N31" s="99">
        <f t="shared" si="15"/>
        <v>458176.49879805348</v>
      </c>
      <c r="O31" s="99">
        <f t="shared" si="15"/>
        <v>457165.03989957087</v>
      </c>
      <c r="P31" s="99">
        <f t="shared" si="15"/>
        <v>456155.81387227646</v>
      </c>
      <c r="Q31" s="99">
        <f t="shared" si="15"/>
        <v>455148.81578694022</v>
      </c>
      <c r="R31" s="99">
        <f t="shared" si="15"/>
        <v>454144.04072521348</v>
      </c>
      <c r="S31" s="99">
        <f t="shared" si="15"/>
        <v>453141.48377960542</v>
      </c>
      <c r="T31" s="99">
        <f t="shared" si="15"/>
        <v>452141.14005345874</v>
      </c>
      <c r="U31" s="99">
        <f t="shared" si="15"/>
        <v>451143.00466092583</v>
      </c>
      <c r="V31" s="99">
        <f t="shared" si="15"/>
        <v>450147.07272694499</v>
      </c>
      <c r="W31" s="99">
        <f t="shared" si="15"/>
        <v>449153.33938721672</v>
      </c>
      <c r="X31" s="99">
        <f t="shared" si="15"/>
        <v>448161.79978817981</v>
      </c>
      <c r="Y31" s="99">
        <f t="shared" si="15"/>
        <v>447172.44908698736</v>
      </c>
      <c r="Z31" s="99">
        <f t="shared" si="15"/>
        <v>446185.28245148377</v>
      </c>
      <c r="AA31" s="99">
        <f t="shared" si="15"/>
        <v>445200.29506018048</v>
      </c>
      <c r="AB31" s="99">
        <f t="shared" si="15"/>
        <v>444217.48210223304</v>
      </c>
      <c r="AC31" s="99">
        <f t="shared" si="15"/>
        <v>443236.83877741708</v>
      </c>
      <c r="AD31" s="99">
        <f t="shared" si="15"/>
        <v>442258.36029610515</v>
      </c>
      <c r="AE31" s="99">
        <f t="shared" si="15"/>
        <v>441282.04187924333</v>
      </c>
      <c r="AF31" s="99">
        <f t="shared" si="15"/>
        <v>440307.87875832757</v>
      </c>
      <c r="AG31" s="99">
        <f t="shared" si="15"/>
        <v>439335.866175381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1326</v>
      </c>
      <c r="B33" s="50" t="s">
        <v>126</v>
      </c>
      <c r="C33" s="179">
        <f>'Yearly Butadiene'!D25/'Yearly Butadiene'!D18</f>
        <v>1</v>
      </c>
      <c r="D33" s="179">
        <f>'Yearly Butadiene'!E25/'Yearly Butadiene'!E18</f>
        <v>0.982491</v>
      </c>
      <c r="E33" s="179">
        <f>'Yearly Butadiene'!F25/'Yearly Butadiene'!F18</f>
        <v>0.96498200000000001</v>
      </c>
      <c r="F33" s="179">
        <f>'Yearly Butadiene'!G25/'Yearly Butadiene'!G18</f>
        <v>0.9474729999999999</v>
      </c>
      <c r="G33" s="179">
        <f>'Yearly Butadiene'!H25/'Yearly Butadiene'!H18</f>
        <v>0.92996400000000001</v>
      </c>
      <c r="H33" s="179">
        <f>'Yearly Butadiene'!I25/'Yearly Butadiene'!I18</f>
        <v>0.91245500000000002</v>
      </c>
      <c r="I33" s="179">
        <f>'Yearly Butadiene'!J25/'Yearly Butadiene'!J18</f>
        <v>0.89494599999999991</v>
      </c>
      <c r="J33" s="179">
        <f>'Yearly Butadiene'!K25/'Yearly Butadiene'!K18</f>
        <v>0.87743700000000002</v>
      </c>
      <c r="K33" s="179">
        <f>'Yearly Butadiene'!L25/'Yearly Butadiene'!L18</f>
        <v>0.85992800000000003</v>
      </c>
      <c r="L33" s="179">
        <f>'Yearly Butadiene'!M25/'Yearly Butadiene'!M18</f>
        <v>0.84241900000000003</v>
      </c>
      <c r="M33" s="179">
        <f>'Yearly Butadiene'!N25/'Yearly Butadiene'!N18</f>
        <v>0.82491000000000003</v>
      </c>
      <c r="N33" s="179">
        <f>'Yearly Butadiene'!O25/'Yearly Butadiene'!O18</f>
        <v>0.79894799999999999</v>
      </c>
      <c r="O33" s="179">
        <f>'Yearly Butadiene'!P25/'Yearly Butadiene'!P18</f>
        <v>0.77713600000000005</v>
      </c>
      <c r="P33" s="179">
        <f>'Yearly Butadiene'!Q25/'Yearly Butadiene'!Q18</f>
        <v>0.75183800000000001</v>
      </c>
      <c r="Q33" s="179">
        <f>'Yearly Butadiene'!R25/'Yearly Butadiene'!R18</f>
        <v>0.72654000000000007</v>
      </c>
      <c r="R33" s="179">
        <f>'Yearly Butadiene'!S25/'Yearly Butadiene'!S18</f>
        <v>0.70124200000000003</v>
      </c>
      <c r="S33" s="179">
        <f>'Yearly Butadiene'!T25/'Yearly Butadiene'!T18</f>
        <v>0.67594399999999999</v>
      </c>
      <c r="T33" s="179">
        <f>'Yearly Butadiene'!U25/'Yearly Butadiene'!U18</f>
        <v>0.65064599999999995</v>
      </c>
      <c r="U33" s="179">
        <f>'Yearly Butadiene'!V25/'Yearly Butadiene'!V18</f>
        <v>0.62534800000000001</v>
      </c>
      <c r="V33" s="179">
        <f>'Yearly Butadiene'!W25/'Yearly Butadiene'!W18</f>
        <v>0.60004999999999997</v>
      </c>
      <c r="W33" s="179">
        <f>'Yearly Butadiene'!X25/'Yearly Butadiene'!X18</f>
        <v>0.57475200000000004</v>
      </c>
      <c r="X33" s="179">
        <f>'Yearly Butadiene'!Y25/'Yearly Butadiene'!Y18</f>
        <v>0.55600500000000008</v>
      </c>
      <c r="Y33" s="179">
        <f>'Yearly Butadiene'!Z25/'Yearly Butadiene'!Z18</f>
        <v>0.53755999999999993</v>
      </c>
      <c r="Z33" s="179">
        <f>'Yearly Butadiene'!AA25/'Yearly Butadiene'!AA18</f>
        <v>0.51911499999999999</v>
      </c>
      <c r="AA33" s="179">
        <f>'Yearly Butadiene'!AB25/'Yearly Butadiene'!AB18</f>
        <v>0.50066999999999995</v>
      </c>
      <c r="AB33" s="179">
        <f>'Yearly Butadiene'!AC25/'Yearly Butadiene'!AC18</f>
        <v>0.48222500000000007</v>
      </c>
      <c r="AC33" s="179">
        <f>'Yearly Butadiene'!AD25/'Yearly Butadiene'!AD18</f>
        <v>0.46378000000000003</v>
      </c>
      <c r="AD33" s="179">
        <f>'Yearly Butadiene'!AE25/'Yearly Butadiene'!AE18</f>
        <v>0.44533499999999998</v>
      </c>
      <c r="AE33" s="179">
        <f>'Yearly Butadiene'!AF25/'Yearly Butadiene'!AF18</f>
        <v>0.42688999999999999</v>
      </c>
      <c r="AF33" s="179">
        <f>'Yearly Butadiene'!AG25/'Yearly Butadiene'!AG18</f>
        <v>0.408445</v>
      </c>
      <c r="AG33" s="179">
        <f>'Yearly Butadiene'!AH25/'Yearly Butadiene'!AH18</f>
        <v>0.38999999999999996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1327</v>
      </c>
      <c r="B34" s="50" t="s">
        <v>126</v>
      </c>
      <c r="C34" s="179">
        <f>'Yearly Butadiene'!D17/'Yearly Butadiene'!D10</f>
        <v>1</v>
      </c>
      <c r="D34" s="179">
        <f>'Yearly Butadiene'!E17/'Yearly Butadiene'!E10</f>
        <v>0.99459999999999993</v>
      </c>
      <c r="E34" s="179">
        <f>'Yearly Butadiene'!F17/'Yearly Butadiene'!F10</f>
        <v>0.98919999999999997</v>
      </c>
      <c r="F34" s="179">
        <f>'Yearly Butadiene'!G17/'Yearly Butadiene'!G10</f>
        <v>0.98380000000000001</v>
      </c>
      <c r="G34" s="179">
        <f>'Yearly Butadiene'!H17/'Yearly Butadiene'!H10</f>
        <v>0.97840000000000005</v>
      </c>
      <c r="H34" s="179">
        <f>'Yearly Butadiene'!I17/'Yearly Butadiene'!I10</f>
        <v>0.97300000000000009</v>
      </c>
      <c r="I34" s="179">
        <f>'Yearly Butadiene'!J17/'Yearly Butadiene'!J10</f>
        <v>0.96760000000000002</v>
      </c>
      <c r="J34" s="179">
        <f>'Yearly Butadiene'!K17/'Yearly Butadiene'!K10</f>
        <v>0.96220000000000006</v>
      </c>
      <c r="K34" s="179">
        <f>'Yearly Butadiene'!L17/'Yearly Butadiene'!L10</f>
        <v>0.95679999999999998</v>
      </c>
      <c r="L34" s="179">
        <f>'Yearly Butadiene'!M17/'Yearly Butadiene'!M10</f>
        <v>0.95140000000000002</v>
      </c>
      <c r="M34" s="179">
        <f>'Yearly Butadiene'!N17/'Yearly Butadiene'!N10</f>
        <v>0.94600000000000006</v>
      </c>
      <c r="N34" s="179">
        <f>'Yearly Butadiene'!O17/'Yearly Butadiene'!O10</f>
        <v>0.92980000000000007</v>
      </c>
      <c r="O34" s="179">
        <f>'Yearly Butadiene'!P17/'Yearly Butadiene'!P10</f>
        <v>0.91359999999999997</v>
      </c>
      <c r="P34" s="179">
        <f>'Yearly Butadiene'!Q17/'Yearly Butadiene'!Q10</f>
        <v>0.89739999999999998</v>
      </c>
      <c r="Q34" s="179">
        <f>'Yearly Butadiene'!R17/'Yearly Butadiene'!R10</f>
        <v>0.88119999999999998</v>
      </c>
      <c r="R34" s="179">
        <f>'Yearly Butadiene'!S17/'Yearly Butadiene'!S10</f>
        <v>0.86499999999999999</v>
      </c>
      <c r="S34" s="179">
        <f>'Yearly Butadiene'!T17/'Yearly Butadiene'!T10</f>
        <v>0.8488</v>
      </c>
      <c r="T34" s="179">
        <f>'Yearly Butadiene'!U17/'Yearly Butadiene'!U10</f>
        <v>0.83260000000000001</v>
      </c>
      <c r="U34" s="179">
        <f>'Yearly Butadiene'!V17/'Yearly Butadiene'!V10</f>
        <v>0.81639999999999979</v>
      </c>
      <c r="V34" s="179">
        <f>'Yearly Butadiene'!W17/'Yearly Butadiene'!W10</f>
        <v>0.80019999999999991</v>
      </c>
      <c r="W34" s="179">
        <f>'Yearly Butadiene'!X17/'Yearly Butadiene'!X10</f>
        <v>0.78399999999999992</v>
      </c>
      <c r="X34" s="179">
        <f>'Yearly Butadiene'!Y17/'Yearly Butadiene'!Y10</f>
        <v>0.75159999999999993</v>
      </c>
      <c r="Y34" s="179">
        <f>'Yearly Butadiene'!Z17/'Yearly Butadiene'!Z10</f>
        <v>0.71920000000000006</v>
      </c>
      <c r="Z34" s="179">
        <f>'Yearly Butadiene'!AA17/'Yearly Butadiene'!AA10</f>
        <v>0.68679999999999997</v>
      </c>
      <c r="AA34" s="179">
        <f>'Yearly Butadiene'!AB17/'Yearly Butadiene'!AB10</f>
        <v>0.65439999999999998</v>
      </c>
      <c r="AB34" s="179">
        <f>'Yearly Butadiene'!AC17/'Yearly Butadiene'!AC10</f>
        <v>0.622</v>
      </c>
      <c r="AC34" s="179">
        <f>'Yearly Butadiene'!AD17/'Yearly Butadiene'!AD10</f>
        <v>0.58960000000000001</v>
      </c>
      <c r="AD34" s="179">
        <f>'Yearly Butadiene'!AE17/'Yearly Butadiene'!AE10</f>
        <v>0.55719999999999992</v>
      </c>
      <c r="AE34" s="179">
        <f>'Yearly Butadiene'!AF17/'Yearly Butadiene'!AF10</f>
        <v>0.52480000000000004</v>
      </c>
      <c r="AF34" s="179">
        <f>'Yearly Butadiene'!AG17/'Yearly Butadiene'!AG10</f>
        <v>0.49240000000000012</v>
      </c>
      <c r="AG34" s="179">
        <f>'Yearly Butadiene'!AH17/'Yearly Butadiene'!AH10</f>
        <v>0.45999999999999996</v>
      </c>
      <c r="AL34" s="100"/>
      <c r="AM34" s="181"/>
      <c r="AN34" s="181"/>
      <c r="AO34" s="181"/>
      <c r="BL34" s="1"/>
    </row>
    <row r="35" spans="1:64" outlineLevel="1">
      <c r="A35" t="s">
        <v>1328</v>
      </c>
      <c r="B35" s="50" t="s">
        <v>126</v>
      </c>
      <c r="C35" s="179">
        <f>'Yearly Butadiene'!D29/'Yearly Butadiene'!D26</f>
        <v>1</v>
      </c>
      <c r="D35" s="179">
        <f>'Yearly Butadiene'!E29/'Yearly Butadiene'!E26</f>
        <v>0.98185</v>
      </c>
      <c r="E35" s="179">
        <f>'Yearly Butadiene'!F29/'Yearly Butadiene'!F26</f>
        <v>0.9637</v>
      </c>
      <c r="F35" s="179">
        <f>'Yearly Butadiene'!G29/'Yearly Butadiene'!G26</f>
        <v>0.94555000000000011</v>
      </c>
      <c r="G35" s="179">
        <f>'Yearly Butadiene'!H29/'Yearly Butadiene'!H26</f>
        <v>0.9274</v>
      </c>
      <c r="H35" s="179">
        <f>'Yearly Butadiene'!I29/'Yearly Butadiene'!I26</f>
        <v>0.90925</v>
      </c>
      <c r="I35" s="179">
        <f>'Yearly Butadiene'!J29/'Yearly Butadiene'!J26</f>
        <v>0.8911</v>
      </c>
      <c r="J35" s="179">
        <f>'Yearly Butadiene'!K29/'Yearly Butadiene'!K26</f>
        <v>0.87295</v>
      </c>
      <c r="K35" s="179">
        <f>'Yearly Butadiene'!L29/'Yearly Butadiene'!L26</f>
        <v>0.8548</v>
      </c>
      <c r="L35" s="179">
        <f>'Yearly Butadiene'!M29/'Yearly Butadiene'!M26</f>
        <v>0.83665</v>
      </c>
      <c r="M35" s="179">
        <f>'Yearly Butadiene'!N29/'Yearly Butadiene'!N26</f>
        <v>0.81850000000000001</v>
      </c>
      <c r="N35" s="179">
        <f>'Yearly Butadiene'!O29/'Yearly Butadiene'!O26</f>
        <v>0.80035000000000001</v>
      </c>
      <c r="O35" s="179">
        <f>'Yearly Butadiene'!P29/'Yearly Butadiene'!P26</f>
        <v>0.78220000000000012</v>
      </c>
      <c r="P35" s="179">
        <f>'Yearly Butadiene'!Q29/'Yearly Butadiene'!Q26</f>
        <v>0.7640499999999999</v>
      </c>
      <c r="Q35" s="179">
        <f>'Yearly Butadiene'!R29/'Yearly Butadiene'!R26</f>
        <v>0.7458999999999999</v>
      </c>
      <c r="R35" s="179">
        <f>'Yearly Butadiene'!S29/'Yearly Butadiene'!S26</f>
        <v>0.72775000000000001</v>
      </c>
      <c r="S35" s="179">
        <f>'Yearly Butadiene'!T29/'Yearly Butadiene'!T26</f>
        <v>0.70960000000000001</v>
      </c>
      <c r="T35" s="179">
        <f>'Yearly Butadiene'!U29/'Yearly Butadiene'!U26</f>
        <v>0.6914499999999999</v>
      </c>
      <c r="U35" s="179">
        <f>'Yearly Butadiene'!V29/'Yearly Butadiene'!V26</f>
        <v>0.67330000000000001</v>
      </c>
      <c r="V35" s="179">
        <f>'Yearly Butadiene'!W29/'Yearly Butadiene'!W26</f>
        <v>0.65515000000000001</v>
      </c>
      <c r="W35" s="179">
        <f>'Yearly Butadiene'!X29/'Yearly Butadiene'!X26</f>
        <v>0.63700000000000001</v>
      </c>
      <c r="X35" s="179">
        <f>'Yearly Butadiene'!Y29/'Yearly Butadiene'!Y26</f>
        <v>0.61829999999999996</v>
      </c>
      <c r="Y35" s="179">
        <f>'Yearly Butadiene'!Z29/'Yearly Butadiene'!Z26</f>
        <v>0.59960000000000002</v>
      </c>
      <c r="Z35" s="179">
        <f>'Yearly Butadiene'!AA29/'Yearly Butadiene'!AA26</f>
        <v>0.58089999999999997</v>
      </c>
      <c r="AA35" s="179">
        <f>'Yearly Butadiene'!AB29/'Yearly Butadiene'!AB26</f>
        <v>0.56219999999999992</v>
      </c>
      <c r="AB35" s="179">
        <f>'Yearly Butadiene'!AC29/'Yearly Butadiene'!AC26</f>
        <v>0.54349999999999987</v>
      </c>
      <c r="AC35" s="179">
        <f>'Yearly Butadiene'!AD29/'Yearly Butadiene'!AD26</f>
        <v>0.52479999999999982</v>
      </c>
      <c r="AD35" s="179">
        <f>'Yearly Butadiene'!AE29/'Yearly Butadiene'!AE26</f>
        <v>0.50609999999999999</v>
      </c>
      <c r="AE35" s="179">
        <f>'Yearly Butadiene'!AF29/'Yearly Butadiene'!AF26</f>
        <v>0.48739999999999994</v>
      </c>
      <c r="AF35" s="179">
        <f>'Yearly Butadiene'!AG29/'Yearly Butadiene'!AG26</f>
        <v>0.46869999999999995</v>
      </c>
      <c r="AG35" s="179">
        <f>'Yearly Butadiene'!AH29/'Yearly Butadiene'!AH26</f>
        <v>0.4499999999999999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1329</v>
      </c>
      <c r="B36" s="50" t="s">
        <v>126</v>
      </c>
      <c r="C36" s="179">
        <f>'Yearly Butadiene'!D35/'Yearly Butadiene'!D30</f>
        <v>1</v>
      </c>
      <c r="D36" s="179">
        <f>'Yearly Butadiene'!E35/'Yearly Butadiene'!E30</f>
        <v>0.96910000000000018</v>
      </c>
      <c r="E36" s="179">
        <f>'Yearly Butadiene'!F35/'Yearly Butadiene'!F30</f>
        <v>0.93820000000000003</v>
      </c>
      <c r="F36" s="179">
        <f>'Yearly Butadiene'!G35/'Yearly Butadiene'!G30</f>
        <v>0.9073</v>
      </c>
      <c r="G36" s="179">
        <f>'Yearly Butadiene'!H35/'Yearly Butadiene'!H30</f>
        <v>0.87639999999999996</v>
      </c>
      <c r="H36" s="179">
        <f>'Yearly Butadiene'!I35/'Yearly Butadiene'!I30</f>
        <v>0.84549999999999992</v>
      </c>
      <c r="I36" s="179">
        <f>'Yearly Butadiene'!J35/'Yearly Butadiene'!J30</f>
        <v>0.81459999999999999</v>
      </c>
      <c r="J36" s="179">
        <f>'Yearly Butadiene'!K35/'Yearly Butadiene'!K30</f>
        <v>0.78370000000000006</v>
      </c>
      <c r="K36" s="179">
        <f>'Yearly Butadiene'!L35/'Yearly Butadiene'!L30</f>
        <v>0.75280000000000002</v>
      </c>
      <c r="L36" s="179">
        <f>'Yearly Butadiene'!M35/'Yearly Butadiene'!M30</f>
        <v>0.72189999999999999</v>
      </c>
      <c r="M36" s="179">
        <f>'Yearly Butadiene'!N35/'Yearly Butadiene'!N30</f>
        <v>0.69100000000000006</v>
      </c>
      <c r="N36" s="179">
        <f>'Yearly Butadiene'!O35/'Yearly Butadiene'!O30</f>
        <v>0.66920000000000002</v>
      </c>
      <c r="O36" s="179">
        <f>'Yearly Butadiene'!P35/'Yearly Butadiene'!P30</f>
        <v>0.64740000000000009</v>
      </c>
      <c r="P36" s="179">
        <f>'Yearly Butadiene'!Q35/'Yearly Butadiene'!Q30</f>
        <v>0.62560000000000004</v>
      </c>
      <c r="Q36" s="179">
        <f>'Yearly Butadiene'!R35/'Yearly Butadiene'!R30</f>
        <v>0.6038</v>
      </c>
      <c r="R36" s="179">
        <f>'Yearly Butadiene'!S35/'Yearly Butadiene'!S30</f>
        <v>0.58199999999999996</v>
      </c>
      <c r="S36" s="179">
        <f>'Yearly Butadiene'!T35/'Yearly Butadiene'!T30</f>
        <v>0.56019999999999992</v>
      </c>
      <c r="T36" s="179">
        <f>'Yearly Butadiene'!U35/'Yearly Butadiene'!U30</f>
        <v>0.53839999999999999</v>
      </c>
      <c r="U36" s="179">
        <f>'Yearly Butadiene'!V35/'Yearly Butadiene'!V30</f>
        <v>0.51659999999999995</v>
      </c>
      <c r="V36" s="179">
        <f>'Yearly Butadiene'!W35/'Yearly Butadiene'!W30</f>
        <v>0.49479999999999991</v>
      </c>
      <c r="W36" s="179">
        <f>'Yearly Butadiene'!X35/'Yearly Butadiene'!X30</f>
        <v>0.47300000000000003</v>
      </c>
      <c r="X36" s="179">
        <f>'Yearly Butadiene'!Y35/'Yearly Butadiene'!Y30</f>
        <v>0.44669999999999999</v>
      </c>
      <c r="Y36" s="179">
        <f>'Yearly Butadiene'!Z35/'Yearly Butadiene'!Z30</f>
        <v>0.4204</v>
      </c>
      <c r="Z36" s="179">
        <f>'Yearly Butadiene'!AA35/'Yearly Butadiene'!AA30</f>
        <v>0.39409999999999995</v>
      </c>
      <c r="AA36" s="179">
        <f>'Yearly Butadiene'!AB35/'Yearly Butadiene'!AB30</f>
        <v>0.36779999999999996</v>
      </c>
      <c r="AB36" s="179">
        <f>'Yearly Butadiene'!AC35/'Yearly Butadiene'!AC30</f>
        <v>0.34149999999999997</v>
      </c>
      <c r="AC36" s="179">
        <f>'Yearly Butadiene'!AD35/'Yearly Butadiene'!AD30</f>
        <v>0.31520000000000004</v>
      </c>
      <c r="AD36" s="179">
        <f>'Yearly Butadiene'!AE35/'Yearly Butadiene'!AE30</f>
        <v>0.28889999999999999</v>
      </c>
      <c r="AE36" s="179">
        <f>'Yearly Butadiene'!AF35/'Yearly Butadiene'!AF30</f>
        <v>0.26259999999999994</v>
      </c>
      <c r="AF36" s="179">
        <f>'Yearly Butadiene'!AG35/'Yearly Butadiene'!AG30</f>
        <v>0.23629999999999993</v>
      </c>
      <c r="AG36" s="179">
        <f>'Yearly Butadiene'!AH35/'Yearly Butadiene'!AH30</f>
        <v>0.21000000000000005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1330</v>
      </c>
      <c r="B37" s="156" t="s">
        <v>126</v>
      </c>
      <c r="C37" s="139">
        <f>'Yearly Butadiene'!D39/'Yearly Butadiene'!D36</f>
        <v>1</v>
      </c>
      <c r="D37" s="139">
        <f>'Yearly Butadiene'!E39/'Yearly Butadiene'!E36</f>
        <v>0.99339999999999995</v>
      </c>
      <c r="E37" s="139">
        <f>'Yearly Butadiene'!F39/'Yearly Butadiene'!F36</f>
        <v>0.98680000000000012</v>
      </c>
      <c r="F37" s="139">
        <f>'Yearly Butadiene'!G39/'Yearly Butadiene'!G36</f>
        <v>0.98019999999999996</v>
      </c>
      <c r="G37" s="139">
        <f>'Yearly Butadiene'!H39/'Yearly Butadiene'!H36</f>
        <v>0.97360000000000013</v>
      </c>
      <c r="H37" s="139">
        <f>'Yearly Butadiene'!I39/'Yearly Butadiene'!I36</f>
        <v>0.96700000000000019</v>
      </c>
      <c r="I37" s="139">
        <f>'Yearly Butadiene'!J39/'Yearly Butadiene'!J36</f>
        <v>0.96040000000000003</v>
      </c>
      <c r="J37" s="139">
        <f>'Yearly Butadiene'!K39/'Yearly Butadiene'!K36</f>
        <v>0.95379999999999998</v>
      </c>
      <c r="K37" s="139">
        <f>'Yearly Butadiene'!L39/'Yearly Butadiene'!L36</f>
        <v>0.94720000000000004</v>
      </c>
      <c r="L37" s="139">
        <f>'Yearly Butadiene'!M39/'Yearly Butadiene'!M36</f>
        <v>0.94059999999999999</v>
      </c>
      <c r="M37" s="139">
        <f>'Yearly Butadiene'!N39/'Yearly Butadiene'!N36</f>
        <v>0.93400000000000005</v>
      </c>
      <c r="N37" s="139">
        <f>'Yearly Butadiene'!O39/'Yearly Butadiene'!O36</f>
        <v>0.9274</v>
      </c>
      <c r="O37" s="139">
        <f>'Yearly Butadiene'!P39/'Yearly Butadiene'!P36</f>
        <v>0.92079999999999995</v>
      </c>
      <c r="P37" s="139">
        <f>'Yearly Butadiene'!Q39/'Yearly Butadiene'!Q36</f>
        <v>0.91420000000000001</v>
      </c>
      <c r="Q37" s="139">
        <f>'Yearly Butadiene'!R39/'Yearly Butadiene'!R36</f>
        <v>0.90759999999999996</v>
      </c>
      <c r="R37" s="139">
        <f>'Yearly Butadiene'!S39/'Yearly Butadiene'!S36</f>
        <v>0.90099999999999991</v>
      </c>
      <c r="S37" s="139">
        <f>'Yearly Butadiene'!T39/'Yearly Butadiene'!T36</f>
        <v>0.89439999999999997</v>
      </c>
      <c r="T37" s="139">
        <f>'Yearly Butadiene'!U39/'Yearly Butadiene'!U36</f>
        <v>0.88780000000000003</v>
      </c>
      <c r="U37" s="139">
        <f>'Yearly Butadiene'!V39/'Yearly Butadiene'!V36</f>
        <v>0.88119999999999998</v>
      </c>
      <c r="V37" s="139">
        <f>'Yearly Butadiene'!W39/'Yearly Butadiene'!W36</f>
        <v>0.87459999999999993</v>
      </c>
      <c r="W37" s="139">
        <f>'Yearly Butadiene'!X39/'Yearly Butadiene'!X36</f>
        <v>0.86799999999999999</v>
      </c>
      <c r="X37" s="139">
        <f>'Yearly Butadiene'!Y39/'Yearly Butadiene'!Y36</f>
        <v>0.86120000000000008</v>
      </c>
      <c r="Y37" s="139">
        <f>'Yearly Butadiene'!Z39/'Yearly Butadiene'!Z36</f>
        <v>0.85440000000000005</v>
      </c>
      <c r="Z37" s="139">
        <f>'Yearly Butadiene'!AA39/'Yearly Butadiene'!AA36</f>
        <v>0.84759999999999991</v>
      </c>
      <c r="AA37" s="139">
        <f>'Yearly Butadiene'!AB39/'Yearly Butadiene'!AB36</f>
        <v>0.84079999999999999</v>
      </c>
      <c r="AB37" s="139">
        <f>'Yearly Butadiene'!AC39/'Yearly Butadiene'!AC36</f>
        <v>0.83399999999999996</v>
      </c>
      <c r="AC37" s="139">
        <f>'Yearly Butadiene'!AD39/'Yearly Butadiene'!AD36</f>
        <v>0.82719999999999994</v>
      </c>
      <c r="AD37" s="139">
        <f>'Yearly Butadiene'!AE39/'Yearly Butadiene'!AE36</f>
        <v>0.82040000000000002</v>
      </c>
      <c r="AE37" s="139">
        <f>'Yearly Butadiene'!AF39/'Yearly Butadiene'!AF36</f>
        <v>0.81359999999999988</v>
      </c>
      <c r="AF37" s="139">
        <f>'Yearly Butadiene'!AG39/'Yearly Butadiene'!AG36</f>
        <v>0.80679999999999996</v>
      </c>
      <c r="AG37" s="139">
        <f>'Yearly Butadiene'!AH39/'Yearly Butadiene'!AH36</f>
        <v>0.8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1331</v>
      </c>
      <c r="B39" s="50" t="s">
        <v>1366</v>
      </c>
      <c r="C39" s="99">
        <f>C24*C33</f>
        <v>34854.231655462187</v>
      </c>
      <c r="D39" s="99">
        <f t="shared" ref="D39:AF39" si="16">D24*D33</f>
        <v>34168.372790149187</v>
      </c>
      <c r="E39" s="99">
        <f t="shared" si="16"/>
        <v>33485.372236204479</v>
      </c>
      <c r="F39" s="99">
        <f t="shared" si="16"/>
        <v>32805.220716211064</v>
      </c>
      <c r="G39" s="99">
        <f t="shared" si="16"/>
        <v>32127.908979783471</v>
      </c>
      <c r="H39" s="99">
        <f t="shared" si="16"/>
        <v>31453.427803493621</v>
      </c>
      <c r="I39" s="99">
        <f t="shared" si="16"/>
        <v>30781.767990796892</v>
      </c>
      <c r="J39" s="99">
        <f t="shared" si="16"/>
        <v>30112.920371958371</v>
      </c>
      <c r="K39" s="99">
        <f t="shared" si="16"/>
        <v>29446.875803979307</v>
      </c>
      <c r="L39" s="99">
        <f t="shared" si="16"/>
        <v>28783.625170523719</v>
      </c>
      <c r="M39" s="99">
        <f t="shared" si="16"/>
        <v>28123.1593818453</v>
      </c>
      <c r="N39" s="99">
        <f t="shared" si="16"/>
        <v>27177.922526711405</v>
      </c>
      <c r="O39" s="99">
        <f t="shared" si="16"/>
        <v>26377.581446024931</v>
      </c>
      <c r="P39" s="99">
        <f t="shared" si="16"/>
        <v>25462.580794445894</v>
      </c>
      <c r="Q39" s="99">
        <f t="shared" si="16"/>
        <v>24551.491459500045</v>
      </c>
      <c r="R39" s="99">
        <f t="shared" si="16"/>
        <v>23644.300631291095</v>
      </c>
      <c r="S39" s="99">
        <f t="shared" si="16"/>
        <v>22740.995537418992</v>
      </c>
      <c r="T39" s="99">
        <f t="shared" si="16"/>
        <v>21841.563442876828</v>
      </c>
      <c r="U39" s="99">
        <f t="shared" si="16"/>
        <v>20945.991649947951</v>
      </c>
      <c r="V39" s="99">
        <f t="shared" si="16"/>
        <v>20054.267498103425</v>
      </c>
      <c r="W39" s="99">
        <f t="shared" si="16"/>
        <v>19166.378363899683</v>
      </c>
      <c r="X39" s="99">
        <f t="shared" si="16"/>
        <v>18500.287003107904</v>
      </c>
      <c r="Y39" s="99">
        <f t="shared" si="16"/>
        <v>17847.069573748264</v>
      </c>
      <c r="Z39" s="99">
        <f t="shared" si="16"/>
        <v>17196.646038027156</v>
      </c>
      <c r="AA39" s="99">
        <f t="shared" si="16"/>
        <v>16549.00724386716</v>
      </c>
      <c r="AB39" s="99">
        <f t="shared" si="16"/>
        <v>15904.144065982937</v>
      </c>
      <c r="AC39" s="99">
        <f t="shared" si="16"/>
        <v>15262.047405807505</v>
      </c>
      <c r="AD39" s="99">
        <f t="shared" si="16"/>
        <v>14622.708191418789</v>
      </c>
      <c r="AE39" s="99">
        <f t="shared" si="16"/>
        <v>13986.117377466282</v>
      </c>
      <c r="AF39" s="99">
        <f t="shared" si="16"/>
        <v>13352.265945097957</v>
      </c>
      <c r="AG39" s="99">
        <f>AG24*AG33</f>
        <v>12721.144901887357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1332</v>
      </c>
      <c r="B40" s="50" t="s">
        <v>1366</v>
      </c>
      <c r="C40" s="99">
        <f>C25*$C$34</f>
        <v>120936.64128423392</v>
      </c>
      <c r="D40" s="99">
        <f t="shared" ref="D40:O40" si="17">D25*$C$34</f>
        <v>120669.66460101155</v>
      </c>
      <c r="E40" s="99">
        <f t="shared" si="17"/>
        <v>120403.27728879062</v>
      </c>
      <c r="F40" s="99">
        <f t="shared" si="17"/>
        <v>120137.47804649056</v>
      </c>
      <c r="G40" s="99">
        <f t="shared" si="17"/>
        <v>119872.265575903</v>
      </c>
      <c r="H40" s="99">
        <f t="shared" si="17"/>
        <v>119607.6385816855</v>
      </c>
      <c r="I40" s="99">
        <f t="shared" si="17"/>
        <v>119343.59577135519</v>
      </c>
      <c r="J40" s="99">
        <f t="shared" si="17"/>
        <v>119080.13585528242</v>
      </c>
      <c r="K40" s="99">
        <f t="shared" si="17"/>
        <v>118817.2575466845</v>
      </c>
      <c r="L40" s="99">
        <f t="shared" si="17"/>
        <v>118554.95956161941</v>
      </c>
      <c r="M40" s="99">
        <f t="shared" si="17"/>
        <v>118293.24061897959</v>
      </c>
      <c r="N40" s="99">
        <f t="shared" si="17"/>
        <v>118032.09944048552</v>
      </c>
      <c r="O40" s="99">
        <f t="shared" si="17"/>
        <v>117771.53475067961</v>
      </c>
      <c r="P40" s="99">
        <f t="shared" ref="P40:AG40" si="18">D34*P25</f>
        <v>116876.98293242462</v>
      </c>
      <c r="Q40" s="99">
        <f t="shared" si="18"/>
        <v>115985.80674808094</v>
      </c>
      <c r="R40" s="99">
        <f t="shared" si="18"/>
        <v>115097.99565321657</v>
      </c>
      <c r="S40" s="99">
        <f t="shared" si="18"/>
        <v>114213.53913350403</v>
      </c>
      <c r="T40" s="99">
        <f t="shared" si="18"/>
        <v>113332.4267046387</v>
      </c>
      <c r="U40" s="99">
        <f t="shared" si="18"/>
        <v>112454.64791225763</v>
      </c>
      <c r="V40" s="99">
        <f t="shared" si="18"/>
        <v>111580.19233185846</v>
      </c>
      <c r="W40" s="99">
        <f t="shared" si="18"/>
        <v>110709.04956871837</v>
      </c>
      <c r="X40" s="99">
        <f t="shared" si="18"/>
        <v>109841.20925781359</v>
      </c>
      <c r="Y40" s="99">
        <f t="shared" si="18"/>
        <v>108976.66106373875</v>
      </c>
      <c r="Z40" s="99">
        <f t="shared" si="18"/>
        <v>106874.01017865917</v>
      </c>
      <c r="AA40" s="99">
        <f t="shared" si="18"/>
        <v>104780.11172645217</v>
      </c>
      <c r="AB40" s="99">
        <f t="shared" si="18"/>
        <v>102694.93731084769</v>
      </c>
      <c r="AC40" s="99">
        <f t="shared" si="18"/>
        <v>100618.45861829528</v>
      </c>
      <c r="AD40" s="99">
        <f t="shared" si="18"/>
        <v>98550.647417737506</v>
      </c>
      <c r="AE40" s="99">
        <f t="shared" si="18"/>
        <v>96491.47556038374</v>
      </c>
      <c r="AF40" s="99">
        <f t="shared" si="18"/>
        <v>94440.914979484354</v>
      </c>
      <c r="AG40" s="99">
        <f t="shared" si="18"/>
        <v>92398.937690105711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1333</v>
      </c>
      <c r="B41" s="50" t="s">
        <v>1366</v>
      </c>
      <c r="C41" s="99">
        <f t="shared" ref="C41:AG41" si="19">C26</f>
        <v>14291.712567558641</v>
      </c>
      <c r="D41" s="99">
        <f t="shared" si="19"/>
        <v>14260.162542865242</v>
      </c>
      <c r="E41" s="99">
        <f t="shared" si="19"/>
        <v>14228.682167211695</v>
      </c>
      <c r="F41" s="99">
        <f t="shared" si="19"/>
        <v>14197.271286842533</v>
      </c>
      <c r="G41" s="99">
        <f t="shared" si="19"/>
        <v>14165.929748341714</v>
      </c>
      <c r="H41" s="99">
        <f t="shared" si="19"/>
        <v>14134.657398631878</v>
      </c>
      <c r="I41" s="99">
        <f t="shared" si="19"/>
        <v>14103.454084973595</v>
      </c>
      <c r="J41" s="99">
        <f t="shared" si="19"/>
        <v>14072.319654964615</v>
      </c>
      <c r="K41" s="99">
        <f t="shared" si="19"/>
        <v>14041.253956539127</v>
      </c>
      <c r="L41" s="99">
        <f t="shared" si="19"/>
        <v>14010.256837967019</v>
      </c>
      <c r="M41" s="99">
        <f t="shared" si="19"/>
        <v>13979.328147853137</v>
      </c>
      <c r="N41" s="99">
        <f t="shared" si="19"/>
        <v>13948.467735136537</v>
      </c>
      <c r="O41" s="99">
        <f t="shared" si="19"/>
        <v>13917.675449089757</v>
      </c>
      <c r="P41" s="99">
        <f t="shared" si="19"/>
        <v>13886.951139318078</v>
      </c>
      <c r="Q41" s="99">
        <f t="shared" si="19"/>
        <v>13856.294655758782</v>
      </c>
      <c r="R41" s="99">
        <f t="shared" si="19"/>
        <v>13825.70584868044</v>
      </c>
      <c r="S41" s="99">
        <f t="shared" si="19"/>
        <v>13795.184568682151</v>
      </c>
      <c r="T41" s="99">
        <f t="shared" si="19"/>
        <v>13764.730666692833</v>
      </c>
      <c r="U41" s="99">
        <f t="shared" si="19"/>
        <v>13734.343993970497</v>
      </c>
      <c r="V41" s="99">
        <f t="shared" si="19"/>
        <v>13704.024402101499</v>
      </c>
      <c r="W41" s="99">
        <f t="shared" si="19"/>
        <v>13673.771742999841</v>
      </c>
      <c r="X41" s="99">
        <f t="shared" si="19"/>
        <v>13643.58586890643</v>
      </c>
      <c r="Y41" s="99">
        <f t="shared" si="19"/>
        <v>13613.466632388365</v>
      </c>
      <c r="Z41" s="99">
        <f t="shared" si="19"/>
        <v>13583.413886338212</v>
      </c>
      <c r="AA41" s="99">
        <f t="shared" si="19"/>
        <v>13553.42748397329</v>
      </c>
      <c r="AB41" s="99">
        <f t="shared" si="19"/>
        <v>13523.507278834953</v>
      </c>
      <c r="AC41" s="99">
        <f t="shared" si="19"/>
        <v>13493.653124787865</v>
      </c>
      <c r="AD41" s="99">
        <f t="shared" si="19"/>
        <v>13463.864876019303</v>
      </c>
      <c r="AE41" s="99">
        <f t="shared" si="19"/>
        <v>13434.142387038437</v>
      </c>
      <c r="AF41" s="99">
        <f t="shared" si="19"/>
        <v>13404.48551267561</v>
      </c>
      <c r="AG41" s="99">
        <f t="shared" si="19"/>
        <v>13374.894108081649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1334</v>
      </c>
      <c r="B42" s="50" t="s">
        <v>1366</v>
      </c>
      <c r="C42" s="222">
        <f t="shared" ref="C42:H42" si="20">C27*$C$36</f>
        <v>0.25910602414137757</v>
      </c>
      <c r="D42" s="222">
        <f t="shared" si="20"/>
        <v>0.25853402820868399</v>
      </c>
      <c r="E42" s="222">
        <f t="shared" si="20"/>
        <v>0.25796329499980436</v>
      </c>
      <c r="F42" s="222">
        <f t="shared" si="20"/>
        <v>0.25739382172718145</v>
      </c>
      <c r="G42" s="222">
        <f t="shared" si="20"/>
        <v>0.25682560560941159</v>
      </c>
      <c r="H42" s="222">
        <f t="shared" si="20"/>
        <v>0.25625864387123143</v>
      </c>
      <c r="I42" s="222">
        <f t="shared" ref="I42:AG43" si="21">I27*D36</f>
        <v>0.24779202209082998</v>
      </c>
      <c r="J42" s="222">
        <f t="shared" si="21"/>
        <v>0.2393615328649801</v>
      </c>
      <c r="K42" s="222">
        <f t="shared" si="21"/>
        <v>0.23096705792416791</v>
      </c>
      <c r="L42" s="222">
        <f t="shared" si="21"/>
        <v>0.22260847934496913</v>
      </c>
      <c r="M42" s="222">
        <f t="shared" si="21"/>
        <v>0.21428567954909761</v>
      </c>
      <c r="N42" s="222">
        <f t="shared" si="21"/>
        <v>0.2059985413024559</v>
      </c>
      <c r="O42" s="222">
        <f t="shared" si="21"/>
        <v>0.19774694771418896</v>
      </c>
      <c r="P42" s="222">
        <f t="shared" si="21"/>
        <v>0.18953078223573977</v>
      </c>
      <c r="Q42" s="222">
        <f t="shared" si="21"/>
        <v>0.18134992865990773</v>
      </c>
      <c r="R42" s="222">
        <f t="shared" si="21"/>
        <v>0.17320427111990969</v>
      </c>
      <c r="S42" s="222">
        <f t="shared" si="21"/>
        <v>0.16736964109072264</v>
      </c>
      <c r="T42" s="222">
        <f t="shared" si="21"/>
        <v>0.16155992773475658</v>
      </c>
      <c r="U42" s="222">
        <f t="shared" si="21"/>
        <v>0.15577504947557855</v>
      </c>
      <c r="V42" s="222">
        <f t="shared" si="21"/>
        <v>0.15001492497549926</v>
      </c>
      <c r="W42" s="222">
        <f t="shared" si="21"/>
        <v>0.14427947313491643</v>
      </c>
      <c r="X42" s="222">
        <f t="shared" si="21"/>
        <v>0.13856861309165996</v>
      </c>
      <c r="Y42" s="222">
        <f t="shared" si="21"/>
        <v>0.13288226422033905</v>
      </c>
      <c r="Z42" s="222">
        <f t="shared" si="21"/>
        <v>0.12722034613169064</v>
      </c>
      <c r="AA42" s="222">
        <f t="shared" si="21"/>
        <v>0.12158277867192983</v>
      </c>
      <c r="AB42" s="222">
        <f t="shared" si="21"/>
        <v>0.1159694819221022</v>
      </c>
      <c r="AC42" s="222">
        <f t="shared" si="21"/>
        <v>0.10927950808376599</v>
      </c>
      <c r="AD42" s="222">
        <f t="shared" si="21"/>
        <v>0.10261850631680125</v>
      </c>
      <c r="AE42" s="222">
        <f t="shared" si="21"/>
        <v>9.5986381308006408E-2</v>
      </c>
      <c r="AF42" s="222">
        <f t="shared" si="21"/>
        <v>8.9383038023809952E-2</v>
      </c>
      <c r="AG42" s="222">
        <f t="shared" si="21"/>
        <v>8.2808381709500126E-2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1335</v>
      </c>
      <c r="B43" s="156" t="s">
        <v>1366</v>
      </c>
      <c r="C43" s="99">
        <f t="shared" ref="C43:H43" si="22">C28*$C$37</f>
        <v>299368.4922914381</v>
      </c>
      <c r="D43" s="99">
        <f t="shared" si="22"/>
        <v>298707.61394816241</v>
      </c>
      <c r="E43" s="99">
        <f t="shared" si="22"/>
        <v>298048.19454327156</v>
      </c>
      <c r="F43" s="99">
        <f t="shared" si="22"/>
        <v>297390.23085604992</v>
      </c>
      <c r="G43" s="99">
        <f t="shared" si="22"/>
        <v>296733.71967289184</v>
      </c>
      <c r="H43" s="99">
        <f t="shared" si="22"/>
        <v>296078.6577872858</v>
      </c>
      <c r="I43" s="99">
        <f t="shared" si="21"/>
        <v>293475.23672260053</v>
      </c>
      <c r="J43" s="99">
        <f t="shared" si="21"/>
        <v>290881.86724570382</v>
      </c>
      <c r="K43" s="99">
        <f t="shared" si="21"/>
        <v>288298.51766480866</v>
      </c>
      <c r="L43" s="99">
        <f t="shared" si="21"/>
        <v>285725.15637906711</v>
      </c>
      <c r="M43" s="99">
        <f t="shared" si="21"/>
        <v>283161.75187832263</v>
      </c>
      <c r="N43" s="99">
        <f t="shared" si="21"/>
        <v>280608.2727428638</v>
      </c>
      <c r="O43" s="99">
        <f t="shared" si="21"/>
        <v>278064.68764317903</v>
      </c>
      <c r="P43" s="99">
        <f t="shared" si="21"/>
        <v>275530.96533971076</v>
      </c>
      <c r="Q43" s="99">
        <f t="shared" si="21"/>
        <v>273007.07468261139</v>
      </c>
      <c r="R43" s="99">
        <f t="shared" si="21"/>
        <v>270492.98461149941</v>
      </c>
      <c r="S43" s="99">
        <f t="shared" si="21"/>
        <v>267988.66415521596</v>
      </c>
      <c r="T43" s="99">
        <f t="shared" si="21"/>
        <v>265494.08243158262</v>
      </c>
      <c r="U43" s="99">
        <f t="shared" si="21"/>
        <v>263009.20864715928</v>
      </c>
      <c r="V43" s="99">
        <f t="shared" si="21"/>
        <v>260534.01209700256</v>
      </c>
      <c r="W43" s="99">
        <f t="shared" si="21"/>
        <v>258068.4621644259</v>
      </c>
      <c r="X43" s="99">
        <f t="shared" si="21"/>
        <v>255612.52832075892</v>
      </c>
      <c r="Y43" s="99">
        <f t="shared" si="21"/>
        <v>253166.18012510808</v>
      </c>
      <c r="Z43" s="99">
        <f t="shared" si="21"/>
        <v>250729.38722411802</v>
      </c>
      <c r="AA43" s="99">
        <f t="shared" si="21"/>
        <v>248302.11935173365</v>
      </c>
      <c r="AB43" s="99">
        <f t="shared" si="21"/>
        <v>245884.34632896216</v>
      </c>
      <c r="AC43" s="99">
        <f t="shared" si="21"/>
        <v>243419.50775528647</v>
      </c>
      <c r="AD43" s="99">
        <f t="shared" si="21"/>
        <v>240964.3535232486</v>
      </c>
      <c r="AE43" s="99">
        <f t="shared" si="21"/>
        <v>238518.85288714225</v>
      </c>
      <c r="AF43" s="99">
        <f t="shared" si="21"/>
        <v>236082.97518981269</v>
      </c>
      <c r="AG43" s="99">
        <f t="shared" si="21"/>
        <v>233656.68986241528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1336</v>
      </c>
      <c r="B44" s="189" t="s">
        <v>1366</v>
      </c>
      <c r="C44" s="190">
        <f>SUM(C39:C43)</f>
        <v>469451.33690471697</v>
      </c>
      <c r="D44" s="190">
        <f t="shared" ref="D44:AF44" si="23">SUM(D39:D43)</f>
        <v>467806.0724162166</v>
      </c>
      <c r="E44" s="190">
        <f t="shared" si="23"/>
        <v>466165.78419877333</v>
      </c>
      <c r="F44" s="190">
        <f t="shared" si="23"/>
        <v>464530.45829941577</v>
      </c>
      <c r="G44" s="190">
        <f t="shared" si="23"/>
        <v>462900.08080252563</v>
      </c>
      <c r="H44" s="190">
        <f t="shared" si="23"/>
        <v>461274.63782974065</v>
      </c>
      <c r="I44" s="190">
        <f t="shared" si="23"/>
        <v>457704.3023617483</v>
      </c>
      <c r="J44" s="190">
        <f t="shared" si="23"/>
        <v>454147.4824894421</v>
      </c>
      <c r="K44" s="190">
        <f t="shared" si="23"/>
        <v>450604.13593906956</v>
      </c>
      <c r="L44" s="190">
        <f t="shared" si="23"/>
        <v>447074.2205576566</v>
      </c>
      <c r="M44" s="190">
        <f t="shared" si="23"/>
        <v>443557.69431268016</v>
      </c>
      <c r="N44" s="190">
        <f t="shared" si="23"/>
        <v>439766.96844373853</v>
      </c>
      <c r="O44" s="190">
        <f t="shared" si="23"/>
        <v>436131.67703592102</v>
      </c>
      <c r="P44" s="190">
        <f t="shared" si="23"/>
        <v>431757.66973668162</v>
      </c>
      <c r="Q44" s="190">
        <f t="shared" si="23"/>
        <v>427400.84889587981</v>
      </c>
      <c r="R44" s="190">
        <f t="shared" si="23"/>
        <v>423061.15994895867</v>
      </c>
      <c r="S44" s="190">
        <f t="shared" si="23"/>
        <v>418738.55076446221</v>
      </c>
      <c r="T44" s="190">
        <f t="shared" si="23"/>
        <v>414432.96480571874</v>
      </c>
      <c r="U44" s="190">
        <f t="shared" si="23"/>
        <v>410144.34797838482</v>
      </c>
      <c r="V44" s="190">
        <f t="shared" si="23"/>
        <v>405872.64634399093</v>
      </c>
      <c r="W44" s="190">
        <f t="shared" si="23"/>
        <v>401617.80611951696</v>
      </c>
      <c r="X44" s="190">
        <f t="shared" si="23"/>
        <v>397597.74901919998</v>
      </c>
      <c r="Y44" s="190">
        <f t="shared" si="23"/>
        <v>393603.51027724764</v>
      </c>
      <c r="Z44" s="190">
        <f t="shared" si="23"/>
        <v>388383.58454748872</v>
      </c>
      <c r="AA44" s="190">
        <f t="shared" si="23"/>
        <v>383184.78738880495</v>
      </c>
      <c r="AB44" s="190">
        <f t="shared" si="23"/>
        <v>378007.05095410964</v>
      </c>
      <c r="AC44" s="190">
        <f t="shared" si="23"/>
        <v>372793.77618368517</v>
      </c>
      <c r="AD44" s="190">
        <f t="shared" si="23"/>
        <v>367601.67662693054</v>
      </c>
      <c r="AE44" s="190">
        <f t="shared" si="23"/>
        <v>362430.684198412</v>
      </c>
      <c r="AF44" s="190">
        <f t="shared" si="23"/>
        <v>357280.7310101086</v>
      </c>
      <c r="AG44" s="190">
        <f>SUM(AG39:AG43)</f>
        <v>352151.74937087169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</v>
      </c>
      <c r="D46" s="195">
        <f t="shared" ref="D46:AG46" si="24">D49</f>
        <v>0</v>
      </c>
      <c r="E46" s="195">
        <f t="shared" si="24"/>
        <v>0</v>
      </c>
      <c r="F46" s="195">
        <f t="shared" si="24"/>
        <v>0</v>
      </c>
      <c r="G46" s="195">
        <f t="shared" si="24"/>
        <v>0</v>
      </c>
      <c r="H46" s="195">
        <f t="shared" si="24"/>
        <v>0</v>
      </c>
      <c r="I46" s="195">
        <f t="shared" si="24"/>
        <v>0</v>
      </c>
      <c r="J46" s="195">
        <f t="shared" si="24"/>
        <v>0</v>
      </c>
      <c r="K46" s="195">
        <f t="shared" si="24"/>
        <v>0</v>
      </c>
      <c r="L46" s="195">
        <f t="shared" si="24"/>
        <v>0</v>
      </c>
      <c r="M46" s="195">
        <f t="shared" si="24"/>
        <v>0</v>
      </c>
      <c r="N46" s="195">
        <f t="shared" si="24"/>
        <v>0</v>
      </c>
      <c r="O46" s="195">
        <f t="shared" si="24"/>
        <v>0</v>
      </c>
      <c r="P46" s="195">
        <f t="shared" si="24"/>
        <v>0</v>
      </c>
      <c r="Q46" s="195">
        <f t="shared" si="24"/>
        <v>0</v>
      </c>
      <c r="R46" s="195">
        <f t="shared" si="24"/>
        <v>0</v>
      </c>
      <c r="S46" s="195">
        <f t="shared" si="24"/>
        <v>0</v>
      </c>
      <c r="T46" s="195">
        <f t="shared" si="24"/>
        <v>0</v>
      </c>
      <c r="U46" s="195">
        <f t="shared" si="24"/>
        <v>0</v>
      </c>
      <c r="V46" s="195">
        <f t="shared" si="24"/>
        <v>0</v>
      </c>
      <c r="W46" s="195">
        <f t="shared" si="24"/>
        <v>0</v>
      </c>
      <c r="X46" s="195">
        <f t="shared" si="24"/>
        <v>0</v>
      </c>
      <c r="Y46" s="195">
        <f t="shared" si="24"/>
        <v>0</v>
      </c>
      <c r="Z46" s="195">
        <f t="shared" si="24"/>
        <v>0</v>
      </c>
      <c r="AA46" s="195">
        <f t="shared" si="24"/>
        <v>0</v>
      </c>
      <c r="AB46" s="195">
        <f t="shared" si="24"/>
        <v>0</v>
      </c>
      <c r="AC46" s="195">
        <f t="shared" si="24"/>
        <v>0</v>
      </c>
      <c r="AD46" s="195">
        <f t="shared" si="24"/>
        <v>0</v>
      </c>
      <c r="AE46" s="195">
        <f t="shared" si="24"/>
        <v>0</v>
      </c>
      <c r="AF46" s="195">
        <f t="shared" si="24"/>
        <v>0</v>
      </c>
      <c r="AG46" s="195">
        <f t="shared" si="24"/>
        <v>0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05">
        <v>0</v>
      </c>
      <c r="D47" s="102">
        <f>$C47+($M47-$C47)/10*(D$1-$C$1)</f>
        <v>0</v>
      </c>
      <c r="E47" s="102">
        <f t="shared" ref="E47:L48" si="25">$C47+($M47-$C47)/10*(E$1-$C$1)</f>
        <v>0</v>
      </c>
      <c r="F47" s="102">
        <f t="shared" si="25"/>
        <v>0</v>
      </c>
      <c r="G47" s="102">
        <f t="shared" si="25"/>
        <v>0</v>
      </c>
      <c r="H47" s="102">
        <f t="shared" si="25"/>
        <v>0</v>
      </c>
      <c r="I47" s="102">
        <f t="shared" si="25"/>
        <v>0</v>
      </c>
      <c r="J47" s="102">
        <f t="shared" si="25"/>
        <v>0</v>
      </c>
      <c r="K47" s="102">
        <f t="shared" si="25"/>
        <v>0</v>
      </c>
      <c r="L47" s="102">
        <f t="shared" si="25"/>
        <v>0</v>
      </c>
      <c r="M47" s="105">
        <v>0</v>
      </c>
      <c r="N47" s="102">
        <f>$M47+($W47-$M47)/10*(N$1-$M$1)</f>
        <v>0</v>
      </c>
      <c r="O47" s="102">
        <f t="shared" ref="O47:U48" si="26">$M47+($W47-$M47)/10*(O$1-$M$1)</f>
        <v>0</v>
      </c>
      <c r="P47" s="102">
        <f t="shared" si="26"/>
        <v>0</v>
      </c>
      <c r="Q47" s="102">
        <f t="shared" si="26"/>
        <v>0</v>
      </c>
      <c r="R47" s="102">
        <f t="shared" si="26"/>
        <v>0</v>
      </c>
      <c r="S47" s="102">
        <f t="shared" si="26"/>
        <v>0</v>
      </c>
      <c r="T47" s="102">
        <f t="shared" si="26"/>
        <v>0</v>
      </c>
      <c r="U47" s="102">
        <f t="shared" si="26"/>
        <v>0</v>
      </c>
      <c r="V47" s="102">
        <f>$M47+($W47-$M47)/10*(V$1-$M$1)</f>
        <v>0</v>
      </c>
      <c r="W47" s="105">
        <v>0</v>
      </c>
      <c r="X47" s="102">
        <f>$W47+($AG47-$W47)/10*(X$1-$W$1)</f>
        <v>0</v>
      </c>
      <c r="Y47" s="102">
        <f t="shared" ref="Y47:AF48" si="27">$W47+($AG47-$W47)/10*(Y$1-$W$1)</f>
        <v>0</v>
      </c>
      <c r="Z47" s="102">
        <f t="shared" si="27"/>
        <v>0</v>
      </c>
      <c r="AA47" s="102">
        <f t="shared" si="27"/>
        <v>0</v>
      </c>
      <c r="AB47" s="102">
        <f t="shared" si="27"/>
        <v>0</v>
      </c>
      <c r="AC47" s="102">
        <f t="shared" si="27"/>
        <v>0</v>
      </c>
      <c r="AD47" s="102">
        <f t="shared" si="27"/>
        <v>0</v>
      </c>
      <c r="AE47" s="102">
        <f t="shared" si="27"/>
        <v>0</v>
      </c>
      <c r="AF47" s="102">
        <f t="shared" si="27"/>
        <v>0</v>
      </c>
      <c r="AG47" s="102">
        <v>0</v>
      </c>
      <c r="AI47" s="124"/>
      <c r="AJ47" s="185" t="s">
        <v>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05">
        <v>0</v>
      </c>
      <c r="D48" s="102">
        <f>$C48+($M48-$C48)/10*(D$1-$C$1)</f>
        <v>0</v>
      </c>
      <c r="E48" s="102">
        <f t="shared" si="25"/>
        <v>0</v>
      </c>
      <c r="F48" s="102">
        <f t="shared" si="25"/>
        <v>0</v>
      </c>
      <c r="G48" s="102">
        <f t="shared" si="25"/>
        <v>0</v>
      </c>
      <c r="H48" s="102">
        <f t="shared" si="25"/>
        <v>0</v>
      </c>
      <c r="I48" s="102">
        <f t="shared" si="25"/>
        <v>0</v>
      </c>
      <c r="J48" s="102">
        <f t="shared" si="25"/>
        <v>0</v>
      </c>
      <c r="K48" s="102">
        <f t="shared" si="25"/>
        <v>0</v>
      </c>
      <c r="L48" s="102">
        <f t="shared" si="25"/>
        <v>0</v>
      </c>
      <c r="M48" s="105">
        <v>0</v>
      </c>
      <c r="N48" s="102">
        <f>$M48+($W48-$M48)/10*(N$1-$M$1)</f>
        <v>0</v>
      </c>
      <c r="O48" s="102">
        <f t="shared" si="26"/>
        <v>0</v>
      </c>
      <c r="P48" s="102">
        <f t="shared" si="26"/>
        <v>0</v>
      </c>
      <c r="Q48" s="102">
        <f t="shared" si="26"/>
        <v>0</v>
      </c>
      <c r="R48" s="102">
        <f t="shared" si="26"/>
        <v>0</v>
      </c>
      <c r="S48" s="102">
        <f t="shared" si="26"/>
        <v>0</v>
      </c>
      <c r="T48" s="102">
        <f t="shared" si="26"/>
        <v>0</v>
      </c>
      <c r="U48" s="102">
        <f t="shared" si="26"/>
        <v>0</v>
      </c>
      <c r="V48" s="102">
        <f>$M48+($W48-$M48)/10*(V$1-$M$1)</f>
        <v>0</v>
      </c>
      <c r="W48" s="105">
        <v>0</v>
      </c>
      <c r="X48" s="102">
        <f>$W48+($AG48-$W48)/10*(X$1-$W$1)</f>
        <v>0</v>
      </c>
      <c r="Y48" s="102">
        <f t="shared" si="27"/>
        <v>0</v>
      </c>
      <c r="Z48" s="102">
        <f t="shared" si="27"/>
        <v>0</v>
      </c>
      <c r="AA48" s="102">
        <f t="shared" si="27"/>
        <v>0</v>
      </c>
      <c r="AB48" s="102">
        <f t="shared" si="27"/>
        <v>0</v>
      </c>
      <c r="AC48" s="102">
        <f t="shared" si="27"/>
        <v>0</v>
      </c>
      <c r="AD48" s="102">
        <f t="shared" si="27"/>
        <v>0</v>
      </c>
      <c r="AE48" s="102">
        <f t="shared" si="27"/>
        <v>0</v>
      </c>
      <c r="AF48" s="102">
        <f t="shared" si="27"/>
        <v>0</v>
      </c>
      <c r="AG48" s="102">
        <v>0</v>
      </c>
      <c r="AI48" s="124"/>
      <c r="AJ48" s="185" t="s">
        <v>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</v>
      </c>
      <c r="D49" s="102">
        <f t="shared" ref="D49:AF49" si="28">D47+D48</f>
        <v>0</v>
      </c>
      <c r="E49" s="102">
        <f t="shared" si="28"/>
        <v>0</v>
      </c>
      <c r="F49" s="102">
        <f t="shared" si="28"/>
        <v>0</v>
      </c>
      <c r="G49" s="102">
        <f t="shared" si="28"/>
        <v>0</v>
      </c>
      <c r="H49" s="102">
        <f t="shared" si="28"/>
        <v>0</v>
      </c>
      <c r="I49" s="102">
        <f t="shared" si="28"/>
        <v>0</v>
      </c>
      <c r="J49" s="102">
        <f t="shared" si="28"/>
        <v>0</v>
      </c>
      <c r="K49" s="102">
        <f t="shared" si="28"/>
        <v>0</v>
      </c>
      <c r="L49" s="102">
        <f t="shared" si="28"/>
        <v>0</v>
      </c>
      <c r="M49" s="102">
        <f t="shared" si="28"/>
        <v>0</v>
      </c>
      <c r="N49" s="102">
        <f t="shared" si="28"/>
        <v>0</v>
      </c>
      <c r="O49" s="102">
        <f t="shared" si="28"/>
        <v>0</v>
      </c>
      <c r="P49" s="102">
        <f t="shared" si="28"/>
        <v>0</v>
      </c>
      <c r="Q49" s="102">
        <f t="shared" si="28"/>
        <v>0</v>
      </c>
      <c r="R49" s="102">
        <f t="shared" si="28"/>
        <v>0</v>
      </c>
      <c r="S49" s="102">
        <f t="shared" si="28"/>
        <v>0</v>
      </c>
      <c r="T49" s="102">
        <f t="shared" si="28"/>
        <v>0</v>
      </c>
      <c r="U49" s="102">
        <f t="shared" si="28"/>
        <v>0</v>
      </c>
      <c r="V49" s="102">
        <f t="shared" si="28"/>
        <v>0</v>
      </c>
      <c r="W49" s="102">
        <f t="shared" si="28"/>
        <v>0</v>
      </c>
      <c r="X49" s="102">
        <f t="shared" si="28"/>
        <v>0</v>
      </c>
      <c r="Y49" s="102">
        <f t="shared" si="28"/>
        <v>0</v>
      </c>
      <c r="Z49" s="102">
        <f t="shared" si="28"/>
        <v>0</v>
      </c>
      <c r="AA49" s="102">
        <f t="shared" si="28"/>
        <v>0</v>
      </c>
      <c r="AB49" s="102">
        <f t="shared" si="28"/>
        <v>0</v>
      </c>
      <c r="AC49" s="102">
        <f t="shared" si="28"/>
        <v>0</v>
      </c>
      <c r="AD49" s="102">
        <f t="shared" si="28"/>
        <v>0</v>
      </c>
      <c r="AE49" s="102">
        <f t="shared" si="28"/>
        <v>0</v>
      </c>
      <c r="AF49" s="102">
        <f t="shared" si="28"/>
        <v>0</v>
      </c>
      <c r="AG49" s="102">
        <f>AG47+AG48</f>
        <v>0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HC'!C567</f>
        <v>0</v>
      </c>
      <c r="D51" s="102">
        <f>'Ethylene Recycling HC'!D567</f>
        <v>0</v>
      </c>
      <c r="E51" s="102">
        <f>'Ethylene Recycling HC'!E567</f>
        <v>0</v>
      </c>
      <c r="F51" s="102">
        <f>'Ethylene Recycling HC'!F567</f>
        <v>0</v>
      </c>
      <c r="G51" s="102">
        <f>'Ethylene Recycling HC'!G567</f>
        <v>0</v>
      </c>
      <c r="H51" s="102">
        <f>'Ethylene Recycling HC'!H567</f>
        <v>0</v>
      </c>
      <c r="I51" s="102">
        <f>'Ethylene Recycling HC'!I567</f>
        <v>0</v>
      </c>
      <c r="J51" s="102">
        <f>'Ethylene Recycling HC'!J567</f>
        <v>0</v>
      </c>
      <c r="K51" s="102">
        <f>'Ethylene Recycling HC'!K567</f>
        <v>0</v>
      </c>
      <c r="L51" s="102">
        <f>'Ethylene Recycling HC'!L567</f>
        <v>0</v>
      </c>
      <c r="M51" s="102">
        <f>'Ethylene Recycling HC'!M567</f>
        <v>0</v>
      </c>
      <c r="N51" s="102">
        <f>'Ethylene Recycling HC'!N567</f>
        <v>0</v>
      </c>
      <c r="O51" s="102">
        <f>'Ethylene Recycling HC'!O567</f>
        <v>0</v>
      </c>
      <c r="P51" s="102">
        <f>'Ethylene Recycling HC'!P567</f>
        <v>0</v>
      </c>
      <c r="Q51" s="102">
        <f>'Ethylene Recycling HC'!Q567</f>
        <v>0</v>
      </c>
      <c r="R51" s="102">
        <f>'Ethylene Recycling HC'!R567</f>
        <v>0</v>
      </c>
      <c r="S51" s="102">
        <f>'Ethylene Recycling HC'!S567</f>
        <v>0</v>
      </c>
      <c r="T51" s="102">
        <f>'Ethylene Recycling HC'!T567</f>
        <v>0</v>
      </c>
      <c r="U51" s="102">
        <f>'Ethylene Recycling HC'!U567</f>
        <v>0</v>
      </c>
      <c r="V51" s="102">
        <f>'Ethylene Recycling HC'!V567</f>
        <v>0</v>
      </c>
      <c r="W51" s="102">
        <f>'Ethylene Recycling HC'!W567</f>
        <v>0</v>
      </c>
      <c r="X51" s="102">
        <f>'Ethylene Recycling HC'!X567</f>
        <v>0</v>
      </c>
      <c r="Y51" s="102">
        <f>'Ethylene Recycling HC'!Y567</f>
        <v>0</v>
      </c>
      <c r="Z51" s="102">
        <f>'Ethylene Recycling HC'!Z567</f>
        <v>0</v>
      </c>
      <c r="AA51" s="102">
        <f>'Ethylene Recycling HC'!AA567</f>
        <v>0</v>
      </c>
      <c r="AB51" s="102">
        <f>'Ethylene Recycling HC'!AB567</f>
        <v>0</v>
      </c>
      <c r="AC51" s="102">
        <f>'Ethylene Recycling HC'!AC567</f>
        <v>0</v>
      </c>
      <c r="AD51" s="102">
        <f>'Ethylene Recycling HC'!AD567</f>
        <v>0</v>
      </c>
      <c r="AE51" s="102">
        <f>'Ethylene Recycling HC'!AE567</f>
        <v>0</v>
      </c>
      <c r="AF51" s="102">
        <f>'Ethylene Recycling HC'!AF567</f>
        <v>0</v>
      </c>
      <c r="AG51" s="102">
        <f>'Ethylene Recycling HC'!AG567</f>
        <v>0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v>0</v>
      </c>
      <c r="D52" s="102">
        <v>0</v>
      </c>
      <c r="E52" s="10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v>0</v>
      </c>
      <c r="D53" s="102">
        <v>0</v>
      </c>
      <c r="E53" s="10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X54" s="102">
        <v>0</v>
      </c>
      <c r="Y54" s="102">
        <v>0</v>
      </c>
      <c r="Z54" s="102">
        <v>0</v>
      </c>
      <c r="AA54" s="102">
        <v>0</v>
      </c>
      <c r="AB54" s="102">
        <v>0</v>
      </c>
      <c r="AC54" s="102">
        <v>0</v>
      </c>
      <c r="AD54" s="102">
        <v>0</v>
      </c>
      <c r="AE54" s="102">
        <v>0</v>
      </c>
      <c r="AF54" s="102">
        <v>0</v>
      </c>
      <c r="AG54" s="102">
        <v>0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v>0</v>
      </c>
      <c r="D55" s="102">
        <v>0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v>0</v>
      </c>
      <c r="D56" s="102">
        <v>0</v>
      </c>
      <c r="E56" s="10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v>0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02">
        <v>0</v>
      </c>
      <c r="S57" s="102">
        <v>0</v>
      </c>
      <c r="T57" s="102">
        <v>0</v>
      </c>
      <c r="U57" s="102">
        <v>0</v>
      </c>
      <c r="V57" s="102">
        <v>0</v>
      </c>
      <c r="W57" s="102">
        <v>0</v>
      </c>
      <c r="X57" s="102">
        <v>0</v>
      </c>
      <c r="Y57" s="102">
        <v>0</v>
      </c>
      <c r="Z57" s="102">
        <v>0</v>
      </c>
      <c r="AA57" s="102">
        <v>0</v>
      </c>
      <c r="AB57" s="102">
        <v>0</v>
      </c>
      <c r="AC57" s="102">
        <v>0</v>
      </c>
      <c r="AD57" s="102">
        <v>0</v>
      </c>
      <c r="AE57" s="102">
        <v>0</v>
      </c>
      <c r="AF57" s="102">
        <v>0</v>
      </c>
      <c r="AG57" s="102">
        <v>0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v>0</v>
      </c>
      <c r="D58" s="102">
        <v>0</v>
      </c>
      <c r="E58" s="10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1337</v>
      </c>
      <c r="C60" s="329">
        <f>('Overall recycling rates'!F84*'Yearly BTX'!D5+'Overall recycling rates'!G84*'Yearly BTX'!D6+'Overall recycling rates'!H84*'Yearly BTX'!D7)/'Yearly BTX'!D4</f>
        <v>4.046692996996252</v>
      </c>
      <c r="D60" s="329">
        <f>C60-($C60-$AG60)/($AG$1-$C$1)</f>
        <v>3.948469897096377</v>
      </c>
      <c r="E60" s="329">
        <f t="shared" ref="E60:AF60" si="29">D60-($C60-$AG60)/($AG$1-$C$1)</f>
        <v>3.850246797196502</v>
      </c>
      <c r="F60" s="329">
        <f t="shared" si="29"/>
        <v>3.752023697296627</v>
      </c>
      <c r="G60" s="329">
        <f t="shared" si="29"/>
        <v>3.653800597396752</v>
      </c>
      <c r="H60" s="329">
        <f t="shared" si="29"/>
        <v>3.555577497496877</v>
      </c>
      <c r="I60" s="329">
        <f t="shared" si="29"/>
        <v>3.457354397597002</v>
      </c>
      <c r="J60" s="329">
        <f t="shared" si="29"/>
        <v>3.359131297697127</v>
      </c>
      <c r="K60" s="329">
        <f t="shared" si="29"/>
        <v>3.2609081977972521</v>
      </c>
      <c r="L60" s="329">
        <f t="shared" si="29"/>
        <v>3.1626850978973771</v>
      </c>
      <c r="M60" s="329">
        <f t="shared" si="29"/>
        <v>3.0644619979975021</v>
      </c>
      <c r="N60" s="329">
        <f t="shared" si="29"/>
        <v>2.9662388980976271</v>
      </c>
      <c r="O60" s="329">
        <f t="shared" si="29"/>
        <v>2.8680157981977521</v>
      </c>
      <c r="P60" s="329">
        <f t="shared" si="29"/>
        <v>2.7697926982978771</v>
      </c>
      <c r="Q60" s="329">
        <f t="shared" si="29"/>
        <v>2.6715695983980021</v>
      </c>
      <c r="R60" s="329">
        <f t="shared" si="29"/>
        <v>2.5733464984981271</v>
      </c>
      <c r="S60" s="329">
        <f t="shared" si="29"/>
        <v>2.4751233985982521</v>
      </c>
      <c r="T60" s="329">
        <f t="shared" si="29"/>
        <v>2.3769002986983772</v>
      </c>
      <c r="U60" s="329">
        <f t="shared" si="29"/>
        <v>2.2786771987985022</v>
      </c>
      <c r="V60" s="329">
        <f t="shared" si="29"/>
        <v>2.1804540988986272</v>
      </c>
      <c r="W60" s="329">
        <f t="shared" si="29"/>
        <v>2.0822309989987522</v>
      </c>
      <c r="X60" s="329">
        <f t="shared" si="29"/>
        <v>1.9840078990988772</v>
      </c>
      <c r="Y60" s="329">
        <f t="shared" si="29"/>
        <v>1.8857847991990022</v>
      </c>
      <c r="Z60" s="329">
        <f t="shared" si="29"/>
        <v>1.7875616992991272</v>
      </c>
      <c r="AA60" s="329">
        <f t="shared" si="29"/>
        <v>1.6893385993992522</v>
      </c>
      <c r="AB60" s="329">
        <f t="shared" si="29"/>
        <v>1.5911154994993773</v>
      </c>
      <c r="AC60" s="329">
        <f t="shared" si="29"/>
        <v>1.4928923995995023</v>
      </c>
      <c r="AD60" s="329">
        <f t="shared" si="29"/>
        <v>1.3946692996996273</v>
      </c>
      <c r="AE60" s="329">
        <f t="shared" si="29"/>
        <v>1.2964461997997523</v>
      </c>
      <c r="AF60" s="329">
        <f t="shared" si="29"/>
        <v>1.1982230998998773</v>
      </c>
      <c r="AG60" s="329">
        <f>'Overall recycling rates'!G93</f>
        <v>1.1000000000000001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1338</v>
      </c>
      <c r="B61" s="50" t="s">
        <v>126</v>
      </c>
      <c r="C61" s="102">
        <f>C47*C$60</f>
        <v>0</v>
      </c>
      <c r="D61" s="102">
        <f t="shared" ref="D61:AG62" si="30">D47*D$60</f>
        <v>0</v>
      </c>
      <c r="E61" s="102">
        <f t="shared" si="30"/>
        <v>0</v>
      </c>
      <c r="F61" s="102">
        <f t="shared" si="30"/>
        <v>0</v>
      </c>
      <c r="G61" s="102">
        <f t="shared" si="30"/>
        <v>0</v>
      </c>
      <c r="H61" s="102">
        <f t="shared" si="30"/>
        <v>0</v>
      </c>
      <c r="I61" s="102">
        <f t="shared" si="30"/>
        <v>0</v>
      </c>
      <c r="J61" s="102">
        <f t="shared" si="30"/>
        <v>0</v>
      </c>
      <c r="K61" s="102">
        <f t="shared" si="30"/>
        <v>0</v>
      </c>
      <c r="L61" s="102">
        <f t="shared" si="30"/>
        <v>0</v>
      </c>
      <c r="M61" s="102">
        <f>M47*M$60</f>
        <v>0</v>
      </c>
      <c r="N61" s="102">
        <f t="shared" si="30"/>
        <v>0</v>
      </c>
      <c r="O61" s="102">
        <f t="shared" si="30"/>
        <v>0</v>
      </c>
      <c r="P61" s="102">
        <f t="shared" si="30"/>
        <v>0</v>
      </c>
      <c r="Q61" s="102">
        <f t="shared" si="30"/>
        <v>0</v>
      </c>
      <c r="R61" s="102">
        <f t="shared" si="30"/>
        <v>0</v>
      </c>
      <c r="S61" s="102">
        <f t="shared" si="30"/>
        <v>0</v>
      </c>
      <c r="T61" s="102">
        <f t="shared" si="30"/>
        <v>0</v>
      </c>
      <c r="U61" s="102">
        <f t="shared" si="30"/>
        <v>0</v>
      </c>
      <c r="V61" s="102">
        <f t="shared" si="30"/>
        <v>0</v>
      </c>
      <c r="W61" s="102">
        <f t="shared" si="30"/>
        <v>0</v>
      </c>
      <c r="X61" s="102">
        <f t="shared" si="30"/>
        <v>0</v>
      </c>
      <c r="Y61" s="102">
        <f t="shared" si="30"/>
        <v>0</v>
      </c>
      <c r="Z61" s="102">
        <f t="shared" si="30"/>
        <v>0</v>
      </c>
      <c r="AA61" s="102">
        <f t="shared" si="30"/>
        <v>0</v>
      </c>
      <c r="AB61" s="102">
        <f t="shared" si="30"/>
        <v>0</v>
      </c>
      <c r="AC61" s="102">
        <f t="shared" si="30"/>
        <v>0</v>
      </c>
      <c r="AD61" s="102">
        <f t="shared" si="30"/>
        <v>0</v>
      </c>
      <c r="AE61" s="102">
        <f t="shared" si="30"/>
        <v>0</v>
      </c>
      <c r="AF61" s="102">
        <f t="shared" si="30"/>
        <v>0</v>
      </c>
      <c r="AG61" s="102">
        <f t="shared" si="30"/>
        <v>0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1339</v>
      </c>
      <c r="B62" s="50" t="s">
        <v>126</v>
      </c>
      <c r="C62" s="102">
        <f>C48*C$60</f>
        <v>0</v>
      </c>
      <c r="D62" s="102">
        <f t="shared" si="30"/>
        <v>0</v>
      </c>
      <c r="E62" s="102">
        <f t="shared" si="30"/>
        <v>0</v>
      </c>
      <c r="F62" s="102">
        <f t="shared" si="30"/>
        <v>0</v>
      </c>
      <c r="G62" s="102">
        <f t="shared" si="30"/>
        <v>0</v>
      </c>
      <c r="H62" s="102">
        <f t="shared" si="30"/>
        <v>0</v>
      </c>
      <c r="I62" s="102">
        <f t="shared" si="30"/>
        <v>0</v>
      </c>
      <c r="J62" s="102">
        <f t="shared" si="30"/>
        <v>0</v>
      </c>
      <c r="K62" s="102">
        <f t="shared" si="30"/>
        <v>0</v>
      </c>
      <c r="L62" s="102">
        <f t="shared" si="30"/>
        <v>0</v>
      </c>
      <c r="M62" s="102">
        <f t="shared" si="30"/>
        <v>0</v>
      </c>
      <c r="N62" s="102">
        <f t="shared" si="30"/>
        <v>0</v>
      </c>
      <c r="O62" s="102">
        <f t="shared" si="30"/>
        <v>0</v>
      </c>
      <c r="P62" s="102">
        <f t="shared" si="30"/>
        <v>0</v>
      </c>
      <c r="Q62" s="102">
        <f t="shared" si="30"/>
        <v>0</v>
      </c>
      <c r="R62" s="102">
        <f t="shared" si="30"/>
        <v>0</v>
      </c>
      <c r="S62" s="102">
        <f t="shared" si="30"/>
        <v>0</v>
      </c>
      <c r="T62" s="102">
        <f t="shared" si="30"/>
        <v>0</v>
      </c>
      <c r="U62" s="102">
        <f t="shared" si="30"/>
        <v>0</v>
      </c>
      <c r="V62" s="102">
        <f t="shared" si="30"/>
        <v>0</v>
      </c>
      <c r="W62" s="102">
        <f t="shared" si="30"/>
        <v>0</v>
      </c>
      <c r="X62" s="102">
        <f t="shared" si="30"/>
        <v>0</v>
      </c>
      <c r="Y62" s="102">
        <f t="shared" si="30"/>
        <v>0</v>
      </c>
      <c r="Z62" s="102">
        <f t="shared" si="30"/>
        <v>0</v>
      </c>
      <c r="AA62" s="102">
        <f t="shared" si="30"/>
        <v>0</v>
      </c>
      <c r="AB62" s="102">
        <f t="shared" si="30"/>
        <v>0</v>
      </c>
      <c r="AC62" s="102">
        <f t="shared" si="30"/>
        <v>0</v>
      </c>
      <c r="AD62" s="102">
        <f t="shared" si="30"/>
        <v>0</v>
      </c>
      <c r="AE62" s="102">
        <f t="shared" si="30"/>
        <v>0</v>
      </c>
      <c r="AF62" s="102">
        <f t="shared" si="30"/>
        <v>0</v>
      </c>
      <c r="AG62" s="102">
        <f t="shared" si="30"/>
        <v>0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1340</v>
      </c>
      <c r="B63" s="156" t="s">
        <v>126</v>
      </c>
      <c r="C63" s="102">
        <f>SUM(C61:C62)</f>
        <v>0</v>
      </c>
      <c r="D63" s="102">
        <f t="shared" ref="D63:AG63" si="31">SUM(D61:D62)</f>
        <v>0</v>
      </c>
      <c r="E63" s="102">
        <f t="shared" si="31"/>
        <v>0</v>
      </c>
      <c r="F63" s="102">
        <f t="shared" si="31"/>
        <v>0</v>
      </c>
      <c r="G63" s="102">
        <f t="shared" si="31"/>
        <v>0</v>
      </c>
      <c r="H63" s="102">
        <f t="shared" si="31"/>
        <v>0</v>
      </c>
      <c r="I63" s="102">
        <f t="shared" si="31"/>
        <v>0</v>
      </c>
      <c r="J63" s="102">
        <f t="shared" si="31"/>
        <v>0</v>
      </c>
      <c r="K63" s="102">
        <f t="shared" si="31"/>
        <v>0</v>
      </c>
      <c r="L63" s="102">
        <f t="shared" si="31"/>
        <v>0</v>
      </c>
      <c r="M63" s="102">
        <f t="shared" si="31"/>
        <v>0</v>
      </c>
      <c r="N63" s="102">
        <f t="shared" si="31"/>
        <v>0</v>
      </c>
      <c r="O63" s="102">
        <f t="shared" si="31"/>
        <v>0</v>
      </c>
      <c r="P63" s="102">
        <f t="shared" si="31"/>
        <v>0</v>
      </c>
      <c r="Q63" s="102">
        <f t="shared" si="31"/>
        <v>0</v>
      </c>
      <c r="R63" s="102">
        <f t="shared" si="31"/>
        <v>0</v>
      </c>
      <c r="S63" s="102">
        <f t="shared" si="31"/>
        <v>0</v>
      </c>
      <c r="T63" s="102">
        <f t="shared" si="31"/>
        <v>0</v>
      </c>
      <c r="U63" s="102">
        <f t="shared" si="31"/>
        <v>0</v>
      </c>
      <c r="V63" s="102">
        <f t="shared" si="31"/>
        <v>0</v>
      </c>
      <c r="W63" s="102">
        <f t="shared" si="31"/>
        <v>0</v>
      </c>
      <c r="X63" s="102">
        <f t="shared" si="31"/>
        <v>0</v>
      </c>
      <c r="Y63" s="102">
        <f t="shared" si="31"/>
        <v>0</v>
      </c>
      <c r="Z63" s="102">
        <f t="shared" si="31"/>
        <v>0</v>
      </c>
      <c r="AA63" s="102">
        <f t="shared" si="31"/>
        <v>0</v>
      </c>
      <c r="AB63" s="102">
        <f t="shared" si="31"/>
        <v>0</v>
      </c>
      <c r="AC63" s="102">
        <f t="shared" si="31"/>
        <v>0</v>
      </c>
      <c r="AD63" s="102">
        <f t="shared" si="31"/>
        <v>0</v>
      </c>
      <c r="AE63" s="102">
        <f t="shared" si="31"/>
        <v>0</v>
      </c>
      <c r="AF63" s="102">
        <f t="shared" si="31"/>
        <v>0</v>
      </c>
      <c r="AG63" s="102">
        <f t="shared" si="31"/>
        <v>0</v>
      </c>
      <c r="AI63" s="124"/>
      <c r="AJ63" s="185"/>
      <c r="AL63" s="100"/>
      <c r="AM63" s="2"/>
      <c r="AN63" s="2"/>
      <c r="AO63" s="2"/>
    </row>
    <row r="64" spans="1:63" outlineLevel="1">
      <c r="A64" t="s">
        <v>1341</v>
      </c>
      <c r="B64" s="50" t="s">
        <v>126</v>
      </c>
      <c r="C64" s="102">
        <f>C$60*C55</f>
        <v>0</v>
      </c>
      <c r="D64" s="102">
        <f t="shared" ref="D64:AG67" si="32">D$60*D55</f>
        <v>0</v>
      </c>
      <c r="E64" s="102">
        <f t="shared" si="32"/>
        <v>0</v>
      </c>
      <c r="F64" s="102">
        <f t="shared" si="32"/>
        <v>0</v>
      </c>
      <c r="G64" s="102">
        <f t="shared" si="32"/>
        <v>0</v>
      </c>
      <c r="H64" s="102">
        <f t="shared" si="32"/>
        <v>0</v>
      </c>
      <c r="I64" s="102">
        <f t="shared" si="32"/>
        <v>0</v>
      </c>
      <c r="J64" s="102">
        <f t="shared" si="32"/>
        <v>0</v>
      </c>
      <c r="K64" s="102">
        <f t="shared" si="32"/>
        <v>0</v>
      </c>
      <c r="L64" s="102">
        <f t="shared" si="32"/>
        <v>0</v>
      </c>
      <c r="M64" s="102">
        <f t="shared" si="32"/>
        <v>0</v>
      </c>
      <c r="N64" s="102">
        <f t="shared" si="32"/>
        <v>0</v>
      </c>
      <c r="O64" s="102">
        <f t="shared" si="32"/>
        <v>0</v>
      </c>
      <c r="P64" s="102">
        <f t="shared" si="32"/>
        <v>0</v>
      </c>
      <c r="Q64" s="102">
        <f t="shared" si="32"/>
        <v>0</v>
      </c>
      <c r="R64" s="102">
        <f t="shared" si="32"/>
        <v>0</v>
      </c>
      <c r="S64" s="102">
        <f t="shared" si="32"/>
        <v>0</v>
      </c>
      <c r="T64" s="102">
        <f t="shared" si="32"/>
        <v>0</v>
      </c>
      <c r="U64" s="102">
        <f t="shared" si="32"/>
        <v>0</v>
      </c>
      <c r="V64" s="102">
        <f t="shared" si="32"/>
        <v>0</v>
      </c>
      <c r="W64" s="102">
        <f t="shared" si="32"/>
        <v>0</v>
      </c>
      <c r="X64" s="102">
        <f t="shared" si="32"/>
        <v>0</v>
      </c>
      <c r="Y64" s="102">
        <f t="shared" si="32"/>
        <v>0</v>
      </c>
      <c r="Z64" s="102">
        <f t="shared" si="32"/>
        <v>0</v>
      </c>
      <c r="AA64" s="102">
        <f t="shared" si="32"/>
        <v>0</v>
      </c>
      <c r="AB64" s="102">
        <f t="shared" si="32"/>
        <v>0</v>
      </c>
      <c r="AC64" s="102">
        <f t="shared" si="32"/>
        <v>0</v>
      </c>
      <c r="AD64" s="102">
        <f t="shared" si="32"/>
        <v>0</v>
      </c>
      <c r="AE64" s="102">
        <f t="shared" si="32"/>
        <v>0</v>
      </c>
      <c r="AF64" s="102">
        <f t="shared" si="32"/>
        <v>0</v>
      </c>
      <c r="AG64" s="102">
        <f t="shared" si="32"/>
        <v>0</v>
      </c>
      <c r="AI64" s="124"/>
      <c r="AJ64" s="185"/>
      <c r="AL64" s="100"/>
      <c r="AM64" s="2"/>
      <c r="AN64" s="2"/>
      <c r="AO64" s="2"/>
    </row>
    <row r="65" spans="1:63" outlineLevel="1">
      <c r="A65" t="s">
        <v>1342</v>
      </c>
      <c r="B65" s="50" t="s">
        <v>126</v>
      </c>
      <c r="C65" s="102">
        <f t="shared" ref="C65:R67" si="33">C$60*C56</f>
        <v>0</v>
      </c>
      <c r="D65" s="102">
        <f t="shared" si="33"/>
        <v>0</v>
      </c>
      <c r="E65" s="102">
        <f t="shared" si="33"/>
        <v>0</v>
      </c>
      <c r="F65" s="102">
        <f t="shared" si="33"/>
        <v>0</v>
      </c>
      <c r="G65" s="102">
        <f t="shared" si="33"/>
        <v>0</v>
      </c>
      <c r="H65" s="102">
        <f t="shared" si="33"/>
        <v>0</v>
      </c>
      <c r="I65" s="102">
        <f t="shared" si="33"/>
        <v>0</v>
      </c>
      <c r="J65" s="102">
        <f t="shared" si="33"/>
        <v>0</v>
      </c>
      <c r="K65" s="102">
        <f t="shared" si="33"/>
        <v>0</v>
      </c>
      <c r="L65" s="102">
        <f t="shared" si="33"/>
        <v>0</v>
      </c>
      <c r="M65" s="102">
        <f t="shared" si="33"/>
        <v>0</v>
      </c>
      <c r="N65" s="102">
        <f t="shared" si="33"/>
        <v>0</v>
      </c>
      <c r="O65" s="102">
        <f t="shared" si="33"/>
        <v>0</v>
      </c>
      <c r="P65" s="102">
        <f t="shared" si="33"/>
        <v>0</v>
      </c>
      <c r="Q65" s="102">
        <f t="shared" si="33"/>
        <v>0</v>
      </c>
      <c r="R65" s="102">
        <f t="shared" si="33"/>
        <v>0</v>
      </c>
      <c r="S65" s="102">
        <f t="shared" si="32"/>
        <v>0</v>
      </c>
      <c r="T65" s="102">
        <f t="shared" si="32"/>
        <v>0</v>
      </c>
      <c r="U65" s="102">
        <f t="shared" si="32"/>
        <v>0</v>
      </c>
      <c r="V65" s="102">
        <f t="shared" si="32"/>
        <v>0</v>
      </c>
      <c r="W65" s="102">
        <f t="shared" si="32"/>
        <v>0</v>
      </c>
      <c r="X65" s="102">
        <f t="shared" si="32"/>
        <v>0</v>
      </c>
      <c r="Y65" s="102">
        <f t="shared" si="32"/>
        <v>0</v>
      </c>
      <c r="Z65" s="102">
        <f t="shared" si="32"/>
        <v>0</v>
      </c>
      <c r="AA65" s="102">
        <f t="shared" si="32"/>
        <v>0</v>
      </c>
      <c r="AB65" s="102">
        <f t="shared" si="32"/>
        <v>0</v>
      </c>
      <c r="AC65" s="102">
        <f t="shared" si="32"/>
        <v>0</v>
      </c>
      <c r="AD65" s="102">
        <f t="shared" si="32"/>
        <v>0</v>
      </c>
      <c r="AE65" s="102">
        <f t="shared" si="32"/>
        <v>0</v>
      </c>
      <c r="AF65" s="102">
        <f t="shared" si="32"/>
        <v>0</v>
      </c>
      <c r="AG65" s="102">
        <f t="shared" si="32"/>
        <v>0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1343</v>
      </c>
      <c r="C66" s="102">
        <f t="shared" si="33"/>
        <v>0</v>
      </c>
      <c r="D66" s="102">
        <f t="shared" si="32"/>
        <v>0</v>
      </c>
      <c r="E66" s="102">
        <f t="shared" si="32"/>
        <v>0</v>
      </c>
      <c r="F66" s="102">
        <f t="shared" si="32"/>
        <v>0</v>
      </c>
      <c r="G66" s="102">
        <f t="shared" si="32"/>
        <v>0</v>
      </c>
      <c r="H66" s="102">
        <f t="shared" si="32"/>
        <v>0</v>
      </c>
      <c r="I66" s="102">
        <f t="shared" si="32"/>
        <v>0</v>
      </c>
      <c r="J66" s="102">
        <f t="shared" si="32"/>
        <v>0</v>
      </c>
      <c r="K66" s="102">
        <f t="shared" si="32"/>
        <v>0</v>
      </c>
      <c r="L66" s="102">
        <f t="shared" si="32"/>
        <v>0</v>
      </c>
      <c r="M66" s="102">
        <f t="shared" si="32"/>
        <v>0</v>
      </c>
      <c r="N66" s="102">
        <f t="shared" si="32"/>
        <v>0</v>
      </c>
      <c r="O66" s="102">
        <f t="shared" si="32"/>
        <v>0</v>
      </c>
      <c r="P66" s="102">
        <f t="shared" si="32"/>
        <v>0</v>
      </c>
      <c r="Q66" s="102">
        <f t="shared" si="32"/>
        <v>0</v>
      </c>
      <c r="R66" s="102">
        <f t="shared" si="32"/>
        <v>0</v>
      </c>
      <c r="S66" s="102">
        <f t="shared" si="32"/>
        <v>0</v>
      </c>
      <c r="T66" s="102">
        <f t="shared" si="32"/>
        <v>0</v>
      </c>
      <c r="U66" s="102">
        <f t="shared" si="32"/>
        <v>0</v>
      </c>
      <c r="V66" s="102">
        <f t="shared" si="32"/>
        <v>0</v>
      </c>
      <c r="W66" s="102">
        <f t="shared" si="32"/>
        <v>0</v>
      </c>
      <c r="X66" s="102">
        <f t="shared" si="32"/>
        <v>0</v>
      </c>
      <c r="Y66" s="102">
        <f t="shared" si="32"/>
        <v>0</v>
      </c>
      <c r="Z66" s="102">
        <f t="shared" si="32"/>
        <v>0</v>
      </c>
      <c r="AA66" s="102">
        <f t="shared" si="32"/>
        <v>0</v>
      </c>
      <c r="AB66" s="102">
        <f t="shared" si="32"/>
        <v>0</v>
      </c>
      <c r="AC66" s="102">
        <f t="shared" si="32"/>
        <v>0</v>
      </c>
      <c r="AD66" s="102">
        <f t="shared" si="32"/>
        <v>0</v>
      </c>
      <c r="AE66" s="102">
        <f t="shared" si="32"/>
        <v>0</v>
      </c>
      <c r="AF66" s="102">
        <f t="shared" si="32"/>
        <v>0</v>
      </c>
      <c r="AG66" s="102">
        <f t="shared" si="32"/>
        <v>0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1344</v>
      </c>
      <c r="B67" s="50" t="s">
        <v>126</v>
      </c>
      <c r="C67" s="102">
        <f t="shared" si="33"/>
        <v>0</v>
      </c>
      <c r="D67" s="102">
        <f t="shared" si="32"/>
        <v>0</v>
      </c>
      <c r="E67" s="102">
        <f t="shared" si="32"/>
        <v>0</v>
      </c>
      <c r="F67" s="102">
        <f t="shared" si="32"/>
        <v>0</v>
      </c>
      <c r="G67" s="102">
        <f t="shared" si="32"/>
        <v>0</v>
      </c>
      <c r="H67" s="102">
        <f t="shared" si="32"/>
        <v>0</v>
      </c>
      <c r="I67" s="102">
        <f t="shared" si="32"/>
        <v>0</v>
      </c>
      <c r="J67" s="102">
        <f t="shared" si="32"/>
        <v>0</v>
      </c>
      <c r="K67" s="102">
        <f t="shared" si="32"/>
        <v>0</v>
      </c>
      <c r="L67" s="102">
        <f t="shared" si="32"/>
        <v>0</v>
      </c>
      <c r="M67" s="102">
        <f t="shared" si="32"/>
        <v>0</v>
      </c>
      <c r="N67" s="102">
        <f t="shared" si="32"/>
        <v>0</v>
      </c>
      <c r="O67" s="102">
        <f t="shared" si="32"/>
        <v>0</v>
      </c>
      <c r="P67" s="102">
        <f t="shared" si="32"/>
        <v>0</v>
      </c>
      <c r="Q67" s="102">
        <f t="shared" si="32"/>
        <v>0</v>
      </c>
      <c r="R67" s="102">
        <f t="shared" si="32"/>
        <v>0</v>
      </c>
      <c r="S67" s="102">
        <f t="shared" si="32"/>
        <v>0</v>
      </c>
      <c r="T67" s="102">
        <f t="shared" si="32"/>
        <v>0</v>
      </c>
      <c r="U67" s="102">
        <f t="shared" si="32"/>
        <v>0</v>
      </c>
      <c r="V67" s="102">
        <f t="shared" si="32"/>
        <v>0</v>
      </c>
      <c r="W67" s="102">
        <f t="shared" si="32"/>
        <v>0</v>
      </c>
      <c r="X67" s="102">
        <f t="shared" si="32"/>
        <v>0</v>
      </c>
      <c r="Y67" s="102">
        <f t="shared" si="32"/>
        <v>0</v>
      </c>
      <c r="Z67" s="102">
        <f t="shared" si="32"/>
        <v>0</v>
      </c>
      <c r="AA67" s="102">
        <f t="shared" si="32"/>
        <v>0</v>
      </c>
      <c r="AB67" s="102">
        <f t="shared" si="32"/>
        <v>0</v>
      </c>
      <c r="AC67" s="102">
        <f t="shared" si="32"/>
        <v>0</v>
      </c>
      <c r="AD67" s="102">
        <f t="shared" si="32"/>
        <v>0</v>
      </c>
      <c r="AE67" s="102">
        <f t="shared" si="32"/>
        <v>0</v>
      </c>
      <c r="AF67" s="102">
        <f t="shared" si="32"/>
        <v>0</v>
      </c>
      <c r="AG67" s="102">
        <f t="shared" si="32"/>
        <v>0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C39*C61</f>
        <v>0</v>
      </c>
      <c r="D69" s="250">
        <f t="shared" ref="D69:AG69" si="34">D39*D61</f>
        <v>0</v>
      </c>
      <c r="E69" s="250">
        <f t="shared" si="34"/>
        <v>0</v>
      </c>
      <c r="F69" s="250">
        <f t="shared" si="34"/>
        <v>0</v>
      </c>
      <c r="G69" s="250">
        <f t="shared" si="34"/>
        <v>0</v>
      </c>
      <c r="H69" s="250">
        <f t="shared" si="34"/>
        <v>0</v>
      </c>
      <c r="I69" s="250">
        <f t="shared" si="34"/>
        <v>0</v>
      </c>
      <c r="J69" s="250">
        <f t="shared" si="34"/>
        <v>0</v>
      </c>
      <c r="K69" s="250">
        <f t="shared" si="34"/>
        <v>0</v>
      </c>
      <c r="L69" s="250">
        <f t="shared" si="34"/>
        <v>0</v>
      </c>
      <c r="M69" s="250">
        <f t="shared" si="34"/>
        <v>0</v>
      </c>
      <c r="N69" s="250">
        <f t="shared" si="34"/>
        <v>0</v>
      </c>
      <c r="O69" s="250">
        <f t="shared" si="34"/>
        <v>0</v>
      </c>
      <c r="P69" s="250">
        <f t="shared" si="34"/>
        <v>0</v>
      </c>
      <c r="Q69" s="250">
        <f t="shared" si="34"/>
        <v>0</v>
      </c>
      <c r="R69" s="250">
        <f t="shared" si="34"/>
        <v>0</v>
      </c>
      <c r="S69" s="250">
        <f t="shared" si="34"/>
        <v>0</v>
      </c>
      <c r="T69" s="250">
        <f t="shared" si="34"/>
        <v>0</v>
      </c>
      <c r="U69" s="250">
        <f t="shared" si="34"/>
        <v>0</v>
      </c>
      <c r="V69" s="250">
        <f t="shared" si="34"/>
        <v>0</v>
      </c>
      <c r="W69" s="250">
        <f t="shared" si="34"/>
        <v>0</v>
      </c>
      <c r="X69" s="250">
        <f t="shared" si="34"/>
        <v>0</v>
      </c>
      <c r="Y69" s="250">
        <f t="shared" si="34"/>
        <v>0</v>
      </c>
      <c r="Z69" s="250">
        <f t="shared" si="34"/>
        <v>0</v>
      </c>
      <c r="AA69" s="250">
        <f t="shared" si="34"/>
        <v>0</v>
      </c>
      <c r="AB69" s="250">
        <f t="shared" si="34"/>
        <v>0</v>
      </c>
      <c r="AC69" s="250">
        <f t="shared" si="34"/>
        <v>0</v>
      </c>
      <c r="AD69" s="250">
        <f t="shared" si="34"/>
        <v>0</v>
      </c>
      <c r="AE69" s="250">
        <f t="shared" si="34"/>
        <v>0</v>
      </c>
      <c r="AF69" s="250">
        <f t="shared" si="34"/>
        <v>0</v>
      </c>
      <c r="AG69" s="250">
        <f t="shared" si="34"/>
        <v>0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s="1" customFormat="1" outlineLevel="1">
      <c r="A70" s="1" t="s">
        <v>1041</v>
      </c>
      <c r="B70" s="60"/>
      <c r="C70" s="250">
        <f t="shared" ref="C70:AG70" si="35">C69-$C69</f>
        <v>0</v>
      </c>
      <c r="D70" s="250">
        <f t="shared" si="35"/>
        <v>0</v>
      </c>
      <c r="E70" s="250">
        <f t="shared" si="35"/>
        <v>0</v>
      </c>
      <c r="F70" s="250">
        <f t="shared" si="35"/>
        <v>0</v>
      </c>
      <c r="G70" s="250">
        <f t="shared" si="35"/>
        <v>0</v>
      </c>
      <c r="H70" s="250">
        <f t="shared" si="35"/>
        <v>0</v>
      </c>
      <c r="I70" s="250">
        <f t="shared" si="35"/>
        <v>0</v>
      </c>
      <c r="J70" s="250">
        <f t="shared" si="35"/>
        <v>0</v>
      </c>
      <c r="K70" s="250">
        <f t="shared" si="35"/>
        <v>0</v>
      </c>
      <c r="L70" s="250">
        <f t="shared" si="35"/>
        <v>0</v>
      </c>
      <c r="M70" s="250">
        <f t="shared" si="35"/>
        <v>0</v>
      </c>
      <c r="N70" s="250">
        <f t="shared" si="35"/>
        <v>0</v>
      </c>
      <c r="O70" s="250">
        <f t="shared" si="35"/>
        <v>0</v>
      </c>
      <c r="P70" s="250">
        <f t="shared" si="35"/>
        <v>0</v>
      </c>
      <c r="Q70" s="250">
        <f t="shared" si="35"/>
        <v>0</v>
      </c>
      <c r="R70" s="250">
        <f t="shared" si="35"/>
        <v>0</v>
      </c>
      <c r="S70" s="250">
        <f t="shared" si="35"/>
        <v>0</v>
      </c>
      <c r="T70" s="250">
        <f t="shared" si="35"/>
        <v>0</v>
      </c>
      <c r="U70" s="250">
        <f t="shared" si="35"/>
        <v>0</v>
      </c>
      <c r="V70" s="250">
        <f t="shared" si="35"/>
        <v>0</v>
      </c>
      <c r="W70" s="250">
        <f t="shared" si="35"/>
        <v>0</v>
      </c>
      <c r="X70" s="250">
        <f t="shared" si="35"/>
        <v>0</v>
      </c>
      <c r="Y70" s="250">
        <f t="shared" si="35"/>
        <v>0</v>
      </c>
      <c r="Z70" s="250">
        <f t="shared" si="35"/>
        <v>0</v>
      </c>
      <c r="AA70" s="250">
        <f t="shared" si="35"/>
        <v>0</v>
      </c>
      <c r="AB70" s="250">
        <f t="shared" si="35"/>
        <v>0</v>
      </c>
      <c r="AC70" s="250">
        <f t="shared" si="35"/>
        <v>0</v>
      </c>
      <c r="AD70" s="250">
        <f t="shared" si="35"/>
        <v>0</v>
      </c>
      <c r="AE70" s="250">
        <f t="shared" si="35"/>
        <v>0</v>
      </c>
      <c r="AF70" s="250">
        <f t="shared" si="35"/>
        <v>0</v>
      </c>
      <c r="AG70" s="250">
        <f t="shared" si="35"/>
        <v>0</v>
      </c>
      <c r="AH70" s="217"/>
      <c r="AI70" s="368"/>
      <c r="AJ70" s="369"/>
      <c r="AL70" s="194"/>
      <c r="AM70" s="116"/>
      <c r="AN70" s="116"/>
      <c r="AO70" s="116"/>
      <c r="BD70" s="116"/>
      <c r="BE70" s="116"/>
      <c r="BF70" s="116"/>
      <c r="BG70" s="116"/>
      <c r="BH70" s="116"/>
      <c r="BI70" s="116"/>
      <c r="BJ70" s="116"/>
      <c r="BK70" s="116"/>
    </row>
    <row r="71" spans="1:63" s="1" customFormat="1" outlineLevel="1">
      <c r="A71" s="1" t="s">
        <v>1042</v>
      </c>
      <c r="B71" s="60"/>
      <c r="C71" s="250">
        <f t="shared" ref="C71:AG71" si="36">C39*C64</f>
        <v>0</v>
      </c>
      <c r="D71" s="250">
        <f t="shared" si="36"/>
        <v>0</v>
      </c>
      <c r="E71" s="250">
        <f t="shared" si="36"/>
        <v>0</v>
      </c>
      <c r="F71" s="250">
        <f t="shared" si="36"/>
        <v>0</v>
      </c>
      <c r="G71" s="250">
        <f t="shared" si="36"/>
        <v>0</v>
      </c>
      <c r="H71" s="250">
        <f t="shared" si="36"/>
        <v>0</v>
      </c>
      <c r="I71" s="250">
        <f t="shared" si="36"/>
        <v>0</v>
      </c>
      <c r="J71" s="250">
        <f t="shared" si="36"/>
        <v>0</v>
      </c>
      <c r="K71" s="250">
        <f t="shared" si="36"/>
        <v>0</v>
      </c>
      <c r="L71" s="250">
        <f t="shared" si="36"/>
        <v>0</v>
      </c>
      <c r="M71" s="250">
        <f t="shared" si="36"/>
        <v>0</v>
      </c>
      <c r="N71" s="250">
        <f t="shared" si="36"/>
        <v>0</v>
      </c>
      <c r="O71" s="250">
        <f t="shared" si="36"/>
        <v>0</v>
      </c>
      <c r="P71" s="250">
        <f t="shared" si="36"/>
        <v>0</v>
      </c>
      <c r="Q71" s="250">
        <f t="shared" si="36"/>
        <v>0</v>
      </c>
      <c r="R71" s="250">
        <f t="shared" si="36"/>
        <v>0</v>
      </c>
      <c r="S71" s="250">
        <f t="shared" si="36"/>
        <v>0</v>
      </c>
      <c r="T71" s="250">
        <f t="shared" si="36"/>
        <v>0</v>
      </c>
      <c r="U71" s="250">
        <f t="shared" si="36"/>
        <v>0</v>
      </c>
      <c r="V71" s="250">
        <f t="shared" si="36"/>
        <v>0</v>
      </c>
      <c r="W71" s="250">
        <f t="shared" si="36"/>
        <v>0</v>
      </c>
      <c r="X71" s="250">
        <f t="shared" si="36"/>
        <v>0</v>
      </c>
      <c r="Y71" s="250">
        <f t="shared" si="36"/>
        <v>0</v>
      </c>
      <c r="Z71" s="250">
        <f t="shared" si="36"/>
        <v>0</v>
      </c>
      <c r="AA71" s="250">
        <f t="shared" si="36"/>
        <v>0</v>
      </c>
      <c r="AB71" s="250">
        <f t="shared" si="36"/>
        <v>0</v>
      </c>
      <c r="AC71" s="250">
        <f t="shared" si="36"/>
        <v>0</v>
      </c>
      <c r="AD71" s="250">
        <f t="shared" si="36"/>
        <v>0</v>
      </c>
      <c r="AE71" s="250">
        <f t="shared" si="36"/>
        <v>0</v>
      </c>
      <c r="AF71" s="250">
        <f t="shared" si="36"/>
        <v>0</v>
      </c>
      <c r="AG71" s="250">
        <f t="shared" si="36"/>
        <v>0</v>
      </c>
      <c r="AH71" s="217"/>
      <c r="AI71" s="368"/>
      <c r="AJ71" s="369"/>
      <c r="AL71" s="194"/>
      <c r="AM71" s="116"/>
      <c r="AN71" s="116"/>
      <c r="AO71" s="116"/>
      <c r="BD71" s="116"/>
      <c r="BE71" s="116"/>
      <c r="BF71" s="116"/>
      <c r="BG71" s="116"/>
      <c r="BH71" s="116"/>
      <c r="BI71" s="116"/>
      <c r="BJ71" s="116"/>
      <c r="BK71" s="116"/>
    </row>
    <row r="72" spans="1:63" s="1" customFormat="1" outlineLevel="1">
      <c r="A72" s="1" t="s">
        <v>1045</v>
      </c>
      <c r="B72" s="60"/>
      <c r="C72" s="250">
        <f t="shared" ref="C72:AG72" si="37">C71-$C71</f>
        <v>0</v>
      </c>
      <c r="D72" s="250">
        <f t="shared" si="37"/>
        <v>0</v>
      </c>
      <c r="E72" s="250">
        <f t="shared" si="37"/>
        <v>0</v>
      </c>
      <c r="F72" s="250">
        <f t="shared" si="37"/>
        <v>0</v>
      </c>
      <c r="G72" s="250">
        <f t="shared" si="37"/>
        <v>0</v>
      </c>
      <c r="H72" s="250">
        <f t="shared" si="37"/>
        <v>0</v>
      </c>
      <c r="I72" s="250">
        <f t="shared" si="37"/>
        <v>0</v>
      </c>
      <c r="J72" s="250">
        <f t="shared" si="37"/>
        <v>0</v>
      </c>
      <c r="K72" s="250">
        <f t="shared" si="37"/>
        <v>0</v>
      </c>
      <c r="L72" s="250">
        <f t="shared" si="37"/>
        <v>0</v>
      </c>
      <c r="M72" s="250">
        <f t="shared" si="37"/>
        <v>0</v>
      </c>
      <c r="N72" s="250">
        <f t="shared" si="37"/>
        <v>0</v>
      </c>
      <c r="O72" s="250">
        <f t="shared" si="37"/>
        <v>0</v>
      </c>
      <c r="P72" s="250">
        <f t="shared" si="37"/>
        <v>0</v>
      </c>
      <c r="Q72" s="250">
        <f t="shared" si="37"/>
        <v>0</v>
      </c>
      <c r="R72" s="250">
        <f t="shared" si="37"/>
        <v>0</v>
      </c>
      <c r="S72" s="250">
        <f t="shared" si="37"/>
        <v>0</v>
      </c>
      <c r="T72" s="250">
        <f t="shared" si="37"/>
        <v>0</v>
      </c>
      <c r="U72" s="250">
        <f t="shared" si="37"/>
        <v>0</v>
      </c>
      <c r="V72" s="250">
        <f t="shared" si="37"/>
        <v>0</v>
      </c>
      <c r="W72" s="250">
        <f t="shared" si="37"/>
        <v>0</v>
      </c>
      <c r="X72" s="250">
        <f t="shared" si="37"/>
        <v>0</v>
      </c>
      <c r="Y72" s="250">
        <f t="shared" si="37"/>
        <v>0</v>
      </c>
      <c r="Z72" s="250">
        <f t="shared" si="37"/>
        <v>0</v>
      </c>
      <c r="AA72" s="250">
        <f t="shared" si="37"/>
        <v>0</v>
      </c>
      <c r="AB72" s="250">
        <f t="shared" si="37"/>
        <v>0</v>
      </c>
      <c r="AC72" s="250">
        <f t="shared" si="37"/>
        <v>0</v>
      </c>
      <c r="AD72" s="250">
        <f t="shared" si="37"/>
        <v>0</v>
      </c>
      <c r="AE72" s="250">
        <f t="shared" si="37"/>
        <v>0</v>
      </c>
      <c r="AF72" s="250">
        <f t="shared" si="37"/>
        <v>0</v>
      </c>
      <c r="AG72" s="250">
        <f t="shared" si="37"/>
        <v>0</v>
      </c>
      <c r="AH72" s="217"/>
      <c r="AI72" s="368"/>
      <c r="AJ72" s="369"/>
      <c r="AL72" s="194"/>
      <c r="AM72" s="116"/>
      <c r="AN72" s="116"/>
      <c r="AO72" s="116"/>
      <c r="BD72" s="116"/>
      <c r="BE72" s="116"/>
      <c r="BF72" s="116"/>
      <c r="BG72" s="116"/>
      <c r="BH72" s="116"/>
      <c r="BI72" s="116"/>
      <c r="BJ72" s="116"/>
      <c r="BK72" s="116"/>
    </row>
    <row r="73" spans="1:63" s="1" customFormat="1" outlineLevel="1">
      <c r="A73" s="1" t="s">
        <v>1050</v>
      </c>
      <c r="B73" s="60"/>
      <c r="C73" s="250">
        <f t="shared" ref="C73:AG73" si="38">C47*C66</f>
        <v>0</v>
      </c>
      <c r="D73" s="250">
        <f t="shared" si="38"/>
        <v>0</v>
      </c>
      <c r="E73" s="250">
        <f t="shared" si="38"/>
        <v>0</v>
      </c>
      <c r="F73" s="250">
        <f t="shared" si="38"/>
        <v>0</v>
      </c>
      <c r="G73" s="250">
        <f t="shared" si="38"/>
        <v>0</v>
      </c>
      <c r="H73" s="250">
        <f t="shared" si="38"/>
        <v>0</v>
      </c>
      <c r="I73" s="250">
        <f t="shared" si="38"/>
        <v>0</v>
      </c>
      <c r="J73" s="250">
        <f t="shared" si="38"/>
        <v>0</v>
      </c>
      <c r="K73" s="250">
        <f t="shared" si="38"/>
        <v>0</v>
      </c>
      <c r="L73" s="250">
        <f t="shared" si="38"/>
        <v>0</v>
      </c>
      <c r="M73" s="250">
        <f t="shared" si="38"/>
        <v>0</v>
      </c>
      <c r="N73" s="250">
        <f t="shared" si="38"/>
        <v>0</v>
      </c>
      <c r="O73" s="250">
        <f t="shared" si="38"/>
        <v>0</v>
      </c>
      <c r="P73" s="250">
        <f t="shared" si="38"/>
        <v>0</v>
      </c>
      <c r="Q73" s="250">
        <f t="shared" si="38"/>
        <v>0</v>
      </c>
      <c r="R73" s="250">
        <f t="shared" si="38"/>
        <v>0</v>
      </c>
      <c r="S73" s="250">
        <f t="shared" si="38"/>
        <v>0</v>
      </c>
      <c r="T73" s="250">
        <f t="shared" si="38"/>
        <v>0</v>
      </c>
      <c r="U73" s="250">
        <f t="shared" si="38"/>
        <v>0</v>
      </c>
      <c r="V73" s="250">
        <f t="shared" si="38"/>
        <v>0</v>
      </c>
      <c r="W73" s="250">
        <f t="shared" si="38"/>
        <v>0</v>
      </c>
      <c r="X73" s="250">
        <f t="shared" si="38"/>
        <v>0</v>
      </c>
      <c r="Y73" s="250">
        <f t="shared" si="38"/>
        <v>0</v>
      </c>
      <c r="Z73" s="250">
        <f t="shared" si="38"/>
        <v>0</v>
      </c>
      <c r="AA73" s="250">
        <f t="shared" si="38"/>
        <v>0</v>
      </c>
      <c r="AB73" s="250">
        <f t="shared" si="38"/>
        <v>0</v>
      </c>
      <c r="AC73" s="250">
        <f t="shared" si="38"/>
        <v>0</v>
      </c>
      <c r="AD73" s="250">
        <f t="shared" si="38"/>
        <v>0</v>
      </c>
      <c r="AE73" s="250">
        <f t="shared" si="38"/>
        <v>0</v>
      </c>
      <c r="AF73" s="250">
        <f t="shared" si="38"/>
        <v>0</v>
      </c>
      <c r="AG73" s="250">
        <f t="shared" si="38"/>
        <v>0</v>
      </c>
      <c r="AH73" s="217"/>
      <c r="AI73" s="368"/>
      <c r="AJ73" s="369"/>
      <c r="AL73" s="194"/>
      <c r="AM73" s="116"/>
      <c r="AN73" s="116"/>
      <c r="AO73" s="116"/>
      <c r="BD73" s="116"/>
      <c r="BE73" s="116"/>
      <c r="BF73" s="116"/>
      <c r="BG73" s="116"/>
      <c r="BH73" s="116"/>
      <c r="BI73" s="116"/>
      <c r="BJ73" s="116"/>
      <c r="BK73" s="116"/>
    </row>
    <row r="74" spans="1:63" s="1" customFormat="1" outlineLevel="1">
      <c r="A74" s="1" t="s">
        <v>1051</v>
      </c>
      <c r="B74" s="60"/>
      <c r="C74" s="250">
        <f t="shared" ref="C74:AG74" si="39">C73-$C73</f>
        <v>0</v>
      </c>
      <c r="D74" s="250">
        <f t="shared" si="39"/>
        <v>0</v>
      </c>
      <c r="E74" s="250">
        <f t="shared" si="39"/>
        <v>0</v>
      </c>
      <c r="F74" s="250">
        <f t="shared" si="39"/>
        <v>0</v>
      </c>
      <c r="G74" s="250">
        <f t="shared" si="39"/>
        <v>0</v>
      </c>
      <c r="H74" s="250">
        <f t="shared" si="39"/>
        <v>0</v>
      </c>
      <c r="I74" s="250">
        <f t="shared" si="39"/>
        <v>0</v>
      </c>
      <c r="J74" s="250">
        <f t="shared" si="39"/>
        <v>0</v>
      </c>
      <c r="K74" s="250">
        <f t="shared" si="39"/>
        <v>0</v>
      </c>
      <c r="L74" s="250">
        <f t="shared" si="39"/>
        <v>0</v>
      </c>
      <c r="M74" s="250">
        <f t="shared" si="39"/>
        <v>0</v>
      </c>
      <c r="N74" s="250">
        <f t="shared" si="39"/>
        <v>0</v>
      </c>
      <c r="O74" s="250">
        <f t="shared" si="39"/>
        <v>0</v>
      </c>
      <c r="P74" s="250">
        <f t="shared" si="39"/>
        <v>0</v>
      </c>
      <c r="Q74" s="250">
        <f t="shared" si="39"/>
        <v>0</v>
      </c>
      <c r="R74" s="250">
        <f t="shared" si="39"/>
        <v>0</v>
      </c>
      <c r="S74" s="250">
        <f t="shared" si="39"/>
        <v>0</v>
      </c>
      <c r="T74" s="250">
        <f t="shared" si="39"/>
        <v>0</v>
      </c>
      <c r="U74" s="250">
        <f t="shared" si="39"/>
        <v>0</v>
      </c>
      <c r="V74" s="250">
        <f t="shared" si="39"/>
        <v>0</v>
      </c>
      <c r="W74" s="250">
        <f t="shared" si="39"/>
        <v>0</v>
      </c>
      <c r="X74" s="250">
        <f t="shared" si="39"/>
        <v>0</v>
      </c>
      <c r="Y74" s="250">
        <f t="shared" si="39"/>
        <v>0</v>
      </c>
      <c r="Z74" s="250">
        <f t="shared" si="39"/>
        <v>0</v>
      </c>
      <c r="AA74" s="250">
        <f t="shared" si="39"/>
        <v>0</v>
      </c>
      <c r="AB74" s="250">
        <f t="shared" si="39"/>
        <v>0</v>
      </c>
      <c r="AC74" s="250">
        <f t="shared" si="39"/>
        <v>0</v>
      </c>
      <c r="AD74" s="250">
        <f t="shared" si="39"/>
        <v>0</v>
      </c>
      <c r="AE74" s="250">
        <f t="shared" si="39"/>
        <v>0</v>
      </c>
      <c r="AF74" s="250">
        <f t="shared" si="39"/>
        <v>0</v>
      </c>
      <c r="AG74" s="250">
        <f t="shared" si="39"/>
        <v>0</v>
      </c>
      <c r="AH74" s="217"/>
      <c r="AI74" s="368"/>
      <c r="AJ74" s="369"/>
      <c r="AL74" s="194"/>
      <c r="AM74" s="116"/>
      <c r="AN74" s="116"/>
      <c r="AO74" s="116"/>
      <c r="BD74" s="116"/>
      <c r="BE74" s="116"/>
      <c r="BF74" s="116"/>
      <c r="BG74" s="116"/>
      <c r="BH74" s="116"/>
      <c r="BI74" s="116"/>
      <c r="BJ74" s="116"/>
      <c r="BK74" s="116"/>
    </row>
    <row r="75" spans="1:63" s="1" customFormat="1" outlineLevel="1">
      <c r="A75" s="1" t="s">
        <v>1043</v>
      </c>
      <c r="B75" s="60"/>
      <c r="C75" s="250">
        <f t="shared" ref="C75:AG75" si="40">C39*C65</f>
        <v>0</v>
      </c>
      <c r="D75" s="250">
        <f t="shared" si="40"/>
        <v>0</v>
      </c>
      <c r="E75" s="250">
        <f t="shared" si="40"/>
        <v>0</v>
      </c>
      <c r="F75" s="250">
        <f t="shared" si="40"/>
        <v>0</v>
      </c>
      <c r="G75" s="250">
        <f t="shared" si="40"/>
        <v>0</v>
      </c>
      <c r="H75" s="250">
        <f t="shared" si="40"/>
        <v>0</v>
      </c>
      <c r="I75" s="250">
        <f t="shared" si="40"/>
        <v>0</v>
      </c>
      <c r="J75" s="250">
        <f t="shared" si="40"/>
        <v>0</v>
      </c>
      <c r="K75" s="250">
        <f t="shared" si="40"/>
        <v>0</v>
      </c>
      <c r="L75" s="250">
        <f t="shared" si="40"/>
        <v>0</v>
      </c>
      <c r="M75" s="250">
        <f t="shared" si="40"/>
        <v>0</v>
      </c>
      <c r="N75" s="250">
        <f t="shared" si="40"/>
        <v>0</v>
      </c>
      <c r="O75" s="250">
        <f t="shared" si="40"/>
        <v>0</v>
      </c>
      <c r="P75" s="250">
        <f t="shared" si="40"/>
        <v>0</v>
      </c>
      <c r="Q75" s="250">
        <f t="shared" si="40"/>
        <v>0</v>
      </c>
      <c r="R75" s="250">
        <f t="shared" si="40"/>
        <v>0</v>
      </c>
      <c r="S75" s="250">
        <f t="shared" si="40"/>
        <v>0</v>
      </c>
      <c r="T75" s="250">
        <f t="shared" si="40"/>
        <v>0</v>
      </c>
      <c r="U75" s="250">
        <f t="shared" si="40"/>
        <v>0</v>
      </c>
      <c r="V75" s="250">
        <f t="shared" si="40"/>
        <v>0</v>
      </c>
      <c r="W75" s="250">
        <f t="shared" si="40"/>
        <v>0</v>
      </c>
      <c r="X75" s="250">
        <f t="shared" si="40"/>
        <v>0</v>
      </c>
      <c r="Y75" s="250">
        <f t="shared" si="40"/>
        <v>0</v>
      </c>
      <c r="Z75" s="250">
        <f t="shared" si="40"/>
        <v>0</v>
      </c>
      <c r="AA75" s="250">
        <f t="shared" si="40"/>
        <v>0</v>
      </c>
      <c r="AB75" s="250">
        <f t="shared" si="40"/>
        <v>0</v>
      </c>
      <c r="AC75" s="250">
        <f t="shared" si="40"/>
        <v>0</v>
      </c>
      <c r="AD75" s="250">
        <f t="shared" si="40"/>
        <v>0</v>
      </c>
      <c r="AE75" s="250">
        <f t="shared" si="40"/>
        <v>0</v>
      </c>
      <c r="AF75" s="250">
        <f t="shared" si="40"/>
        <v>0</v>
      </c>
      <c r="AG75" s="250">
        <f t="shared" si="40"/>
        <v>0</v>
      </c>
      <c r="AH75" s="217"/>
      <c r="AI75" s="368"/>
      <c r="AJ75" s="369"/>
      <c r="AL75" s="194"/>
      <c r="AM75" s="116"/>
      <c r="AN75" s="116"/>
      <c r="AO75" s="116"/>
      <c r="BD75" s="116"/>
      <c r="BE75" s="116"/>
      <c r="BF75" s="116"/>
      <c r="BG75" s="116"/>
      <c r="BH75" s="116"/>
      <c r="BI75" s="116"/>
      <c r="BJ75" s="116"/>
      <c r="BK75" s="116"/>
    </row>
    <row r="76" spans="1:63" s="1" customFormat="1" outlineLevel="1">
      <c r="A76" s="1" t="s">
        <v>1046</v>
      </c>
      <c r="B76" s="60"/>
      <c r="C76" s="250">
        <f t="shared" ref="C76:AG76" si="41">C75-$C75</f>
        <v>0</v>
      </c>
      <c r="D76" s="250">
        <f t="shared" si="41"/>
        <v>0</v>
      </c>
      <c r="E76" s="250">
        <f t="shared" si="41"/>
        <v>0</v>
      </c>
      <c r="F76" s="250">
        <f t="shared" si="41"/>
        <v>0</v>
      </c>
      <c r="G76" s="250">
        <f t="shared" si="41"/>
        <v>0</v>
      </c>
      <c r="H76" s="250">
        <f t="shared" si="41"/>
        <v>0</v>
      </c>
      <c r="I76" s="250">
        <f t="shared" si="41"/>
        <v>0</v>
      </c>
      <c r="J76" s="250">
        <f t="shared" si="41"/>
        <v>0</v>
      </c>
      <c r="K76" s="250">
        <f t="shared" si="41"/>
        <v>0</v>
      </c>
      <c r="L76" s="250">
        <f t="shared" si="41"/>
        <v>0</v>
      </c>
      <c r="M76" s="250">
        <f t="shared" si="41"/>
        <v>0</v>
      </c>
      <c r="N76" s="250">
        <f t="shared" si="41"/>
        <v>0</v>
      </c>
      <c r="O76" s="250">
        <f t="shared" si="41"/>
        <v>0</v>
      </c>
      <c r="P76" s="250">
        <f t="shared" si="41"/>
        <v>0</v>
      </c>
      <c r="Q76" s="250">
        <f t="shared" si="41"/>
        <v>0</v>
      </c>
      <c r="R76" s="250">
        <f t="shared" si="41"/>
        <v>0</v>
      </c>
      <c r="S76" s="250">
        <f t="shared" si="41"/>
        <v>0</v>
      </c>
      <c r="T76" s="250">
        <f t="shared" si="41"/>
        <v>0</v>
      </c>
      <c r="U76" s="250">
        <f t="shared" si="41"/>
        <v>0</v>
      </c>
      <c r="V76" s="250">
        <f t="shared" si="41"/>
        <v>0</v>
      </c>
      <c r="W76" s="250">
        <f t="shared" si="41"/>
        <v>0</v>
      </c>
      <c r="X76" s="250">
        <f t="shared" si="41"/>
        <v>0</v>
      </c>
      <c r="Y76" s="250">
        <f t="shared" si="41"/>
        <v>0</v>
      </c>
      <c r="Z76" s="250">
        <f t="shared" si="41"/>
        <v>0</v>
      </c>
      <c r="AA76" s="250">
        <f t="shared" si="41"/>
        <v>0</v>
      </c>
      <c r="AB76" s="250">
        <f t="shared" si="41"/>
        <v>0</v>
      </c>
      <c r="AC76" s="250">
        <f t="shared" si="41"/>
        <v>0</v>
      </c>
      <c r="AD76" s="250">
        <f t="shared" si="41"/>
        <v>0</v>
      </c>
      <c r="AE76" s="250">
        <f t="shared" si="41"/>
        <v>0</v>
      </c>
      <c r="AF76" s="250">
        <f t="shared" si="41"/>
        <v>0</v>
      </c>
      <c r="AG76" s="250">
        <f t="shared" si="41"/>
        <v>0</v>
      </c>
      <c r="AH76" s="217"/>
      <c r="AI76" s="368"/>
      <c r="AJ76" s="369"/>
      <c r="AL76" s="194"/>
      <c r="AM76" s="116"/>
      <c r="AN76" s="116"/>
      <c r="AO76" s="116"/>
      <c r="BD76" s="116"/>
      <c r="BE76" s="116"/>
      <c r="BF76" s="116"/>
      <c r="BG76" s="116"/>
      <c r="BH76" s="116"/>
      <c r="BI76" s="116"/>
      <c r="BJ76" s="116"/>
      <c r="BK76" s="116"/>
    </row>
    <row r="77" spans="1:63" s="1" customFormat="1" outlineLevel="1">
      <c r="A77" s="1" t="s">
        <v>1044</v>
      </c>
      <c r="B77" s="60"/>
      <c r="C77" s="250">
        <f t="shared" ref="C77:AG77" si="42">C39*C67</f>
        <v>0</v>
      </c>
      <c r="D77" s="250">
        <f t="shared" si="42"/>
        <v>0</v>
      </c>
      <c r="E77" s="250">
        <f t="shared" si="42"/>
        <v>0</v>
      </c>
      <c r="F77" s="250">
        <f t="shared" si="42"/>
        <v>0</v>
      </c>
      <c r="G77" s="250">
        <f t="shared" si="42"/>
        <v>0</v>
      </c>
      <c r="H77" s="250">
        <f t="shared" si="42"/>
        <v>0</v>
      </c>
      <c r="I77" s="250">
        <f t="shared" si="42"/>
        <v>0</v>
      </c>
      <c r="J77" s="250">
        <f t="shared" si="42"/>
        <v>0</v>
      </c>
      <c r="K77" s="250">
        <f t="shared" si="42"/>
        <v>0</v>
      </c>
      <c r="L77" s="250">
        <f t="shared" si="42"/>
        <v>0</v>
      </c>
      <c r="M77" s="250">
        <f t="shared" si="42"/>
        <v>0</v>
      </c>
      <c r="N77" s="250">
        <f t="shared" si="42"/>
        <v>0</v>
      </c>
      <c r="O77" s="250">
        <f t="shared" si="42"/>
        <v>0</v>
      </c>
      <c r="P77" s="250">
        <f t="shared" si="42"/>
        <v>0</v>
      </c>
      <c r="Q77" s="250">
        <f t="shared" si="42"/>
        <v>0</v>
      </c>
      <c r="R77" s="250">
        <f t="shared" si="42"/>
        <v>0</v>
      </c>
      <c r="S77" s="250">
        <f t="shared" si="42"/>
        <v>0</v>
      </c>
      <c r="T77" s="250">
        <f t="shared" si="42"/>
        <v>0</v>
      </c>
      <c r="U77" s="250">
        <f t="shared" si="42"/>
        <v>0</v>
      </c>
      <c r="V77" s="250">
        <f t="shared" si="42"/>
        <v>0</v>
      </c>
      <c r="W77" s="250">
        <f t="shared" si="42"/>
        <v>0</v>
      </c>
      <c r="X77" s="250">
        <f t="shared" si="42"/>
        <v>0</v>
      </c>
      <c r="Y77" s="250">
        <f t="shared" si="42"/>
        <v>0</v>
      </c>
      <c r="Z77" s="250">
        <f t="shared" si="42"/>
        <v>0</v>
      </c>
      <c r="AA77" s="250">
        <f t="shared" si="42"/>
        <v>0</v>
      </c>
      <c r="AB77" s="250">
        <f t="shared" si="42"/>
        <v>0</v>
      </c>
      <c r="AC77" s="250">
        <f t="shared" si="42"/>
        <v>0</v>
      </c>
      <c r="AD77" s="250">
        <f t="shared" si="42"/>
        <v>0</v>
      </c>
      <c r="AE77" s="250">
        <f t="shared" si="42"/>
        <v>0</v>
      </c>
      <c r="AF77" s="250">
        <f t="shared" si="42"/>
        <v>0</v>
      </c>
      <c r="AG77" s="250">
        <f t="shared" si="42"/>
        <v>0</v>
      </c>
      <c r="AH77" s="217"/>
      <c r="AI77" s="368"/>
      <c r="AJ77" s="369"/>
      <c r="AL77" s="194"/>
      <c r="AM77" s="116"/>
      <c r="AN77" s="116"/>
      <c r="AO77" s="116"/>
      <c r="BD77" s="116"/>
      <c r="BE77" s="116"/>
      <c r="BF77" s="116"/>
      <c r="BG77" s="116"/>
      <c r="BH77" s="116"/>
      <c r="BI77" s="116"/>
      <c r="BJ77" s="116"/>
      <c r="BK77" s="116"/>
    </row>
    <row r="78" spans="1:63" s="1" customFormat="1" outlineLevel="1">
      <c r="A78" s="1" t="s">
        <v>1047</v>
      </c>
      <c r="B78" s="60"/>
      <c r="C78" s="250">
        <f t="shared" ref="C78:AG78" si="43">C77-$C77</f>
        <v>0</v>
      </c>
      <c r="D78" s="250">
        <f t="shared" si="43"/>
        <v>0</v>
      </c>
      <c r="E78" s="250">
        <f t="shared" si="43"/>
        <v>0</v>
      </c>
      <c r="F78" s="250">
        <f t="shared" si="43"/>
        <v>0</v>
      </c>
      <c r="G78" s="250">
        <f t="shared" si="43"/>
        <v>0</v>
      </c>
      <c r="H78" s="250">
        <f t="shared" si="43"/>
        <v>0</v>
      </c>
      <c r="I78" s="250">
        <f t="shared" si="43"/>
        <v>0</v>
      </c>
      <c r="J78" s="250">
        <f t="shared" si="43"/>
        <v>0</v>
      </c>
      <c r="K78" s="250">
        <f t="shared" si="43"/>
        <v>0</v>
      </c>
      <c r="L78" s="250">
        <f t="shared" si="43"/>
        <v>0</v>
      </c>
      <c r="M78" s="250">
        <f t="shared" si="43"/>
        <v>0</v>
      </c>
      <c r="N78" s="250">
        <f t="shared" si="43"/>
        <v>0</v>
      </c>
      <c r="O78" s="250">
        <f t="shared" si="43"/>
        <v>0</v>
      </c>
      <c r="P78" s="250">
        <f t="shared" si="43"/>
        <v>0</v>
      </c>
      <c r="Q78" s="250">
        <f t="shared" si="43"/>
        <v>0</v>
      </c>
      <c r="R78" s="250">
        <f t="shared" si="43"/>
        <v>0</v>
      </c>
      <c r="S78" s="250">
        <f t="shared" si="43"/>
        <v>0</v>
      </c>
      <c r="T78" s="250">
        <f t="shared" si="43"/>
        <v>0</v>
      </c>
      <c r="U78" s="250">
        <f t="shared" si="43"/>
        <v>0</v>
      </c>
      <c r="V78" s="250">
        <f t="shared" si="43"/>
        <v>0</v>
      </c>
      <c r="W78" s="250">
        <f t="shared" si="43"/>
        <v>0</v>
      </c>
      <c r="X78" s="250">
        <f t="shared" si="43"/>
        <v>0</v>
      </c>
      <c r="Y78" s="250">
        <f t="shared" si="43"/>
        <v>0</v>
      </c>
      <c r="Z78" s="250">
        <f t="shared" si="43"/>
        <v>0</v>
      </c>
      <c r="AA78" s="250">
        <f t="shared" si="43"/>
        <v>0</v>
      </c>
      <c r="AB78" s="250">
        <f t="shared" si="43"/>
        <v>0</v>
      </c>
      <c r="AC78" s="250">
        <f t="shared" si="43"/>
        <v>0</v>
      </c>
      <c r="AD78" s="250">
        <f t="shared" si="43"/>
        <v>0</v>
      </c>
      <c r="AE78" s="250">
        <f t="shared" si="43"/>
        <v>0</v>
      </c>
      <c r="AF78" s="250">
        <f t="shared" si="43"/>
        <v>0</v>
      </c>
      <c r="AG78" s="250">
        <f t="shared" si="43"/>
        <v>0</v>
      </c>
      <c r="AH78" s="217"/>
      <c r="AI78" s="368"/>
      <c r="AJ78" s="369"/>
      <c r="AL78" s="194"/>
      <c r="AM78" s="116"/>
      <c r="AN78" s="116"/>
      <c r="AO78" s="116"/>
      <c r="BD78" s="116"/>
      <c r="BE78" s="116"/>
      <c r="BF78" s="116"/>
      <c r="BG78" s="116"/>
      <c r="BH78" s="116"/>
      <c r="BI78" s="116"/>
      <c r="BJ78" s="116"/>
      <c r="BK78" s="116"/>
    </row>
    <row r="79" spans="1:63" outlineLevel="1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I79" s="125"/>
      <c r="AJ79" s="185"/>
      <c r="AL79" s="100"/>
      <c r="AM79" s="123"/>
      <c r="AN79" s="2"/>
      <c r="AO79" s="2"/>
    </row>
    <row r="80" spans="1:63" s="174" customFormat="1" ht="15.5" thickBot="1">
      <c r="A80" s="174" t="s">
        <v>421</v>
      </c>
      <c r="B80" s="189"/>
      <c r="C80" s="195">
        <f>C81</f>
        <v>0.17</v>
      </c>
      <c r="D80" s="195">
        <f t="shared" ref="D80:AG80" si="44">D81</f>
        <v>0.18100000000000002</v>
      </c>
      <c r="E80" s="195">
        <f t="shared" si="44"/>
        <v>0.192</v>
      </c>
      <c r="F80" s="195">
        <f t="shared" si="44"/>
        <v>0.20300000000000001</v>
      </c>
      <c r="G80" s="195">
        <f t="shared" si="44"/>
        <v>0.21400000000000002</v>
      </c>
      <c r="H80" s="195">
        <f t="shared" si="44"/>
        <v>0.22500000000000003</v>
      </c>
      <c r="I80" s="195">
        <f t="shared" si="44"/>
        <v>0.23600000000000002</v>
      </c>
      <c r="J80" s="195">
        <f t="shared" si="44"/>
        <v>0.24700000000000003</v>
      </c>
      <c r="K80" s="195">
        <f t="shared" si="44"/>
        <v>0.25800000000000001</v>
      </c>
      <c r="L80" s="195">
        <f t="shared" si="44"/>
        <v>0.26900000000000002</v>
      </c>
      <c r="M80" s="195">
        <f t="shared" si="44"/>
        <v>0.28000000000000003</v>
      </c>
      <c r="N80" s="195">
        <f t="shared" si="44"/>
        <v>0.29100000000000004</v>
      </c>
      <c r="O80" s="195">
        <f t="shared" si="44"/>
        <v>0.30200000000000005</v>
      </c>
      <c r="P80" s="195">
        <f t="shared" si="44"/>
        <v>0.31300000000000006</v>
      </c>
      <c r="Q80" s="195">
        <f t="shared" si="44"/>
        <v>0.32400000000000001</v>
      </c>
      <c r="R80" s="195">
        <f t="shared" si="44"/>
        <v>0.33500000000000002</v>
      </c>
      <c r="S80" s="195">
        <f t="shared" si="44"/>
        <v>0.34600000000000003</v>
      </c>
      <c r="T80" s="195">
        <f t="shared" si="44"/>
        <v>0.35700000000000004</v>
      </c>
      <c r="U80" s="195">
        <f t="shared" si="44"/>
        <v>0.36799999999999999</v>
      </c>
      <c r="V80" s="195">
        <f t="shared" si="44"/>
        <v>0.379</v>
      </c>
      <c r="W80" s="195">
        <f t="shared" si="44"/>
        <v>0.39</v>
      </c>
      <c r="X80" s="195">
        <f t="shared" si="44"/>
        <v>0.40100000000000002</v>
      </c>
      <c r="Y80" s="195">
        <f t="shared" si="44"/>
        <v>0.41200000000000003</v>
      </c>
      <c r="Z80" s="195">
        <f t="shared" si="44"/>
        <v>0.42300000000000004</v>
      </c>
      <c r="AA80" s="195">
        <f t="shared" si="44"/>
        <v>0.434</v>
      </c>
      <c r="AB80" s="195">
        <f t="shared" si="44"/>
        <v>0.44500000000000001</v>
      </c>
      <c r="AC80" s="195">
        <f t="shared" si="44"/>
        <v>0.45600000000000002</v>
      </c>
      <c r="AD80" s="195">
        <f t="shared" si="44"/>
        <v>0.46700000000000003</v>
      </c>
      <c r="AE80" s="195">
        <f t="shared" si="44"/>
        <v>0.47799999999999998</v>
      </c>
      <c r="AF80" s="195">
        <f t="shared" si="44"/>
        <v>0.48899999999999999</v>
      </c>
      <c r="AG80" s="195">
        <f t="shared" si="44"/>
        <v>0.5</v>
      </c>
      <c r="AJ80" s="204" t="s">
        <v>457</v>
      </c>
      <c r="AL80" s="191"/>
      <c r="AM80" s="192"/>
      <c r="AN80" s="192"/>
      <c r="AO80" s="192"/>
    </row>
    <row r="81" spans="1:63" ht="15.5" outlineLevel="1" thickTop="1">
      <c r="A81" t="s">
        <v>413</v>
      </c>
      <c r="B81" s="50" t="s">
        <v>126</v>
      </c>
      <c r="C81" s="558">
        <v>0.17</v>
      </c>
      <c r="D81" s="102">
        <f>$C81+($M81-$C81)/10*(D$1-$C$1)</f>
        <v>0.18100000000000002</v>
      </c>
      <c r="E81" s="102">
        <f t="shared" ref="E81:L81" si="45">$C81+($M81-$C81)/10*(E$1-$C$1)</f>
        <v>0.192</v>
      </c>
      <c r="F81" s="102">
        <f t="shared" si="45"/>
        <v>0.20300000000000001</v>
      </c>
      <c r="G81" s="102">
        <f t="shared" si="45"/>
        <v>0.21400000000000002</v>
      </c>
      <c r="H81" s="102">
        <f t="shared" si="45"/>
        <v>0.22500000000000003</v>
      </c>
      <c r="I81" s="102">
        <f t="shared" si="45"/>
        <v>0.23600000000000002</v>
      </c>
      <c r="J81" s="102">
        <f t="shared" si="45"/>
        <v>0.24700000000000003</v>
      </c>
      <c r="K81" s="102">
        <f t="shared" si="45"/>
        <v>0.25800000000000001</v>
      </c>
      <c r="L81" s="102">
        <f t="shared" si="45"/>
        <v>0.26900000000000002</v>
      </c>
      <c r="M81" s="113">
        <f>C81+(AG81-C81)/3</f>
        <v>0.28000000000000003</v>
      </c>
      <c r="N81" s="113">
        <f>$M81+($W81-$M81)/10*(N$1-$M$1)</f>
        <v>0.29100000000000004</v>
      </c>
      <c r="O81" s="113">
        <f t="shared" ref="O81:U81" si="46">$M81+($W81-$M81)/10*(O$1-$M$1)</f>
        <v>0.30200000000000005</v>
      </c>
      <c r="P81" s="113">
        <f t="shared" si="46"/>
        <v>0.31300000000000006</v>
      </c>
      <c r="Q81" s="113">
        <f t="shared" si="46"/>
        <v>0.32400000000000001</v>
      </c>
      <c r="R81" s="113">
        <f t="shared" si="46"/>
        <v>0.33500000000000002</v>
      </c>
      <c r="S81" s="113">
        <f t="shared" si="46"/>
        <v>0.34600000000000003</v>
      </c>
      <c r="T81" s="113">
        <f t="shared" si="46"/>
        <v>0.35700000000000004</v>
      </c>
      <c r="U81" s="113">
        <f t="shared" si="46"/>
        <v>0.36799999999999999</v>
      </c>
      <c r="V81" s="113">
        <f>$M81+($W81-$M81)/10*(V$1-$M$1)</f>
        <v>0.379</v>
      </c>
      <c r="W81" s="113">
        <f>C81+(AG81-C81)*2/3</f>
        <v>0.39</v>
      </c>
      <c r="X81" s="102">
        <f>$W81+($AG81-$W81)/10*(X$1-$W$1)</f>
        <v>0.40100000000000002</v>
      </c>
      <c r="Y81" s="102">
        <f t="shared" ref="Y81:AF81" si="47">$W81+($AG81-$W81)/10*(Y$1-$W$1)</f>
        <v>0.41200000000000003</v>
      </c>
      <c r="Z81" s="102">
        <f t="shared" si="47"/>
        <v>0.42300000000000004</v>
      </c>
      <c r="AA81" s="102">
        <f t="shared" si="47"/>
        <v>0.434</v>
      </c>
      <c r="AB81" s="102">
        <f t="shared" si="47"/>
        <v>0.44500000000000001</v>
      </c>
      <c r="AC81" s="102">
        <f t="shared" si="47"/>
        <v>0.45600000000000002</v>
      </c>
      <c r="AD81" s="102">
        <f t="shared" si="47"/>
        <v>0.46700000000000003</v>
      </c>
      <c r="AE81" s="102">
        <f t="shared" si="47"/>
        <v>0.47799999999999998</v>
      </c>
      <c r="AF81" s="102">
        <f t="shared" si="47"/>
        <v>0.48899999999999999</v>
      </c>
      <c r="AG81" s="188">
        <v>0.5</v>
      </c>
      <c r="AJ81" s="185" t="s">
        <v>1469</v>
      </c>
    </row>
    <row r="82" spans="1:63" outlineLevel="1">
      <c r="A82" t="s">
        <v>414</v>
      </c>
      <c r="B82" s="50" t="s">
        <v>126</v>
      </c>
      <c r="C82" s="188">
        <v>0</v>
      </c>
      <c r="D82" s="102">
        <f t="shared" ref="D82:AF82" si="48">C82-($C$82-$AG$82)/($AG$1-$C$1)</f>
        <v>0.01</v>
      </c>
      <c r="E82" s="102">
        <f t="shared" si="48"/>
        <v>0.02</v>
      </c>
      <c r="F82" s="102">
        <f t="shared" si="48"/>
        <v>0.03</v>
      </c>
      <c r="G82" s="102">
        <f t="shared" si="48"/>
        <v>0.04</v>
      </c>
      <c r="H82" s="102">
        <f t="shared" si="48"/>
        <v>0.05</v>
      </c>
      <c r="I82" s="102">
        <f t="shared" si="48"/>
        <v>6.0000000000000005E-2</v>
      </c>
      <c r="J82" s="102">
        <f t="shared" si="48"/>
        <v>7.0000000000000007E-2</v>
      </c>
      <c r="K82" s="102">
        <f t="shared" si="48"/>
        <v>0.08</v>
      </c>
      <c r="L82" s="102">
        <f t="shared" si="48"/>
        <v>0.09</v>
      </c>
      <c r="M82" s="102">
        <f t="shared" si="48"/>
        <v>9.9999999999999992E-2</v>
      </c>
      <c r="N82" s="102">
        <f t="shared" si="48"/>
        <v>0.10999999999999999</v>
      </c>
      <c r="O82" s="102">
        <f t="shared" si="48"/>
        <v>0.11999999999999998</v>
      </c>
      <c r="P82" s="102">
        <f t="shared" si="48"/>
        <v>0.12999999999999998</v>
      </c>
      <c r="Q82" s="102">
        <f t="shared" si="48"/>
        <v>0.13999999999999999</v>
      </c>
      <c r="R82" s="102">
        <f t="shared" si="48"/>
        <v>0.15</v>
      </c>
      <c r="S82" s="102">
        <f t="shared" si="48"/>
        <v>0.16</v>
      </c>
      <c r="T82" s="102">
        <f t="shared" si="48"/>
        <v>0.17</v>
      </c>
      <c r="U82" s="102">
        <f t="shared" si="48"/>
        <v>0.18000000000000002</v>
      </c>
      <c r="V82" s="102">
        <f t="shared" si="48"/>
        <v>0.19000000000000003</v>
      </c>
      <c r="W82" s="102">
        <f t="shared" si="48"/>
        <v>0.20000000000000004</v>
      </c>
      <c r="X82" s="102">
        <f t="shared" si="48"/>
        <v>0.21000000000000005</v>
      </c>
      <c r="Y82" s="102">
        <f t="shared" si="48"/>
        <v>0.22000000000000006</v>
      </c>
      <c r="Z82" s="102">
        <f t="shared" si="48"/>
        <v>0.23000000000000007</v>
      </c>
      <c r="AA82" s="102">
        <f t="shared" si="48"/>
        <v>0.24000000000000007</v>
      </c>
      <c r="AB82" s="102">
        <f t="shared" si="48"/>
        <v>0.25000000000000006</v>
      </c>
      <c r="AC82" s="102">
        <f t="shared" si="48"/>
        <v>0.26000000000000006</v>
      </c>
      <c r="AD82" s="102">
        <f t="shared" si="48"/>
        <v>0.27000000000000007</v>
      </c>
      <c r="AE82" s="102">
        <f t="shared" si="48"/>
        <v>0.28000000000000008</v>
      </c>
      <c r="AF82" s="102">
        <f t="shared" si="48"/>
        <v>0.29000000000000009</v>
      </c>
      <c r="AG82" s="188">
        <v>0.3</v>
      </c>
      <c r="AI82" s="125"/>
      <c r="AJ82" s="185" t="s">
        <v>789</v>
      </c>
      <c r="AL82" s="50" t="s">
        <v>298</v>
      </c>
    </row>
    <row r="83" spans="1:63" outlineLevel="1">
      <c r="A83" t="s">
        <v>415</v>
      </c>
      <c r="B83" s="156" t="s">
        <v>126</v>
      </c>
      <c r="C83" s="102">
        <f>1-C82</f>
        <v>1</v>
      </c>
      <c r="D83" s="102">
        <f t="shared" ref="D83:AG83" si="49">1-D82</f>
        <v>0.99</v>
      </c>
      <c r="E83" s="102">
        <f t="shared" si="49"/>
        <v>0.98</v>
      </c>
      <c r="F83" s="102">
        <f t="shared" si="49"/>
        <v>0.97</v>
      </c>
      <c r="G83" s="102">
        <f t="shared" si="49"/>
        <v>0.96</v>
      </c>
      <c r="H83" s="102">
        <f t="shared" si="49"/>
        <v>0.95</v>
      </c>
      <c r="I83" s="102">
        <f t="shared" si="49"/>
        <v>0.94</v>
      </c>
      <c r="J83" s="102">
        <f t="shared" si="49"/>
        <v>0.92999999999999994</v>
      </c>
      <c r="K83" s="102">
        <f t="shared" si="49"/>
        <v>0.92</v>
      </c>
      <c r="L83" s="102">
        <f t="shared" si="49"/>
        <v>0.91</v>
      </c>
      <c r="M83" s="102">
        <f t="shared" si="49"/>
        <v>0.9</v>
      </c>
      <c r="N83" s="102">
        <f t="shared" si="49"/>
        <v>0.89</v>
      </c>
      <c r="O83" s="102">
        <f t="shared" si="49"/>
        <v>0.88</v>
      </c>
      <c r="P83" s="102">
        <f t="shared" si="49"/>
        <v>0.87</v>
      </c>
      <c r="Q83" s="102">
        <f t="shared" si="49"/>
        <v>0.86</v>
      </c>
      <c r="R83" s="102">
        <f t="shared" si="49"/>
        <v>0.85</v>
      </c>
      <c r="S83" s="102">
        <f t="shared" si="49"/>
        <v>0.84</v>
      </c>
      <c r="T83" s="102">
        <f t="shared" si="49"/>
        <v>0.83</v>
      </c>
      <c r="U83" s="102">
        <f t="shared" si="49"/>
        <v>0.82</v>
      </c>
      <c r="V83" s="102">
        <f t="shared" si="49"/>
        <v>0.80999999999999994</v>
      </c>
      <c r="W83" s="102">
        <f t="shared" si="49"/>
        <v>0.79999999999999993</v>
      </c>
      <c r="X83" s="102">
        <f t="shared" si="49"/>
        <v>0.78999999999999992</v>
      </c>
      <c r="Y83" s="102">
        <f t="shared" si="49"/>
        <v>0.77999999999999992</v>
      </c>
      <c r="Z83" s="102">
        <f t="shared" si="49"/>
        <v>0.76999999999999991</v>
      </c>
      <c r="AA83" s="102">
        <f t="shared" si="49"/>
        <v>0.7599999999999999</v>
      </c>
      <c r="AB83" s="102">
        <f t="shared" si="49"/>
        <v>0.75</v>
      </c>
      <c r="AC83" s="102">
        <f t="shared" si="49"/>
        <v>0.74</v>
      </c>
      <c r="AD83" s="102">
        <f t="shared" si="49"/>
        <v>0.73</v>
      </c>
      <c r="AE83" s="102">
        <f t="shared" si="49"/>
        <v>0.72</v>
      </c>
      <c r="AF83" s="102">
        <f t="shared" si="49"/>
        <v>0.71</v>
      </c>
      <c r="AG83" s="102">
        <f t="shared" si="49"/>
        <v>0.7</v>
      </c>
      <c r="AI83" s="125"/>
      <c r="AJ83" s="185"/>
      <c r="BD83" s="605"/>
      <c r="BE83" s="605"/>
    </row>
    <row r="84" spans="1:63" outlineLevel="1">
      <c r="A84" t="s">
        <v>480</v>
      </c>
      <c r="B84" s="50" t="s">
        <v>126</v>
      </c>
      <c r="C84" s="102">
        <f>C81*C82</f>
        <v>0</v>
      </c>
      <c r="D84" s="102">
        <f t="shared" ref="D84:AG84" si="50">D81*D82</f>
        <v>1.8100000000000002E-3</v>
      </c>
      <c r="E84" s="102">
        <f t="shared" si="50"/>
        <v>3.8400000000000001E-3</v>
      </c>
      <c r="F84" s="102">
        <f t="shared" si="50"/>
        <v>6.0899999999999999E-3</v>
      </c>
      <c r="G84" s="102">
        <f t="shared" si="50"/>
        <v>8.5600000000000016E-3</v>
      </c>
      <c r="H84" s="102">
        <f t="shared" si="50"/>
        <v>1.1250000000000003E-2</v>
      </c>
      <c r="I84" s="102">
        <f t="shared" si="50"/>
        <v>1.4160000000000002E-2</v>
      </c>
      <c r="J84" s="102">
        <f t="shared" si="50"/>
        <v>1.7290000000000003E-2</v>
      </c>
      <c r="K84" s="102">
        <f t="shared" si="50"/>
        <v>2.0640000000000002E-2</v>
      </c>
      <c r="L84" s="102">
        <f t="shared" si="50"/>
        <v>2.4210000000000002E-2</v>
      </c>
      <c r="M84" s="102">
        <f t="shared" si="50"/>
        <v>2.8000000000000001E-2</v>
      </c>
      <c r="N84" s="102">
        <f t="shared" si="50"/>
        <v>3.2009999999999997E-2</v>
      </c>
      <c r="O84" s="102">
        <f t="shared" si="50"/>
        <v>3.6240000000000001E-2</v>
      </c>
      <c r="P84" s="102">
        <f t="shared" si="50"/>
        <v>4.0689999999999997E-2</v>
      </c>
      <c r="Q84" s="102">
        <f t="shared" si="50"/>
        <v>4.5359999999999998E-2</v>
      </c>
      <c r="R84" s="102">
        <f t="shared" si="50"/>
        <v>5.0250000000000003E-2</v>
      </c>
      <c r="S84" s="102">
        <f t="shared" si="50"/>
        <v>5.5360000000000006E-2</v>
      </c>
      <c r="T84" s="102">
        <f t="shared" si="50"/>
        <v>6.0690000000000008E-2</v>
      </c>
      <c r="U84" s="102">
        <f t="shared" si="50"/>
        <v>6.6240000000000007E-2</v>
      </c>
      <c r="V84" s="102">
        <f t="shared" si="50"/>
        <v>7.2010000000000018E-2</v>
      </c>
      <c r="W84" s="102">
        <f t="shared" si="50"/>
        <v>7.8000000000000014E-2</v>
      </c>
      <c r="X84" s="102">
        <f t="shared" si="50"/>
        <v>8.4210000000000021E-2</v>
      </c>
      <c r="Y84" s="102">
        <f t="shared" si="50"/>
        <v>9.0640000000000026E-2</v>
      </c>
      <c r="Z84" s="102">
        <f t="shared" si="50"/>
        <v>9.7290000000000043E-2</v>
      </c>
      <c r="AA84" s="102">
        <f t="shared" si="50"/>
        <v>0.10416000000000003</v>
      </c>
      <c r="AB84" s="102">
        <f t="shared" si="50"/>
        <v>0.11125000000000003</v>
      </c>
      <c r="AC84" s="102">
        <f t="shared" si="50"/>
        <v>0.11856000000000004</v>
      </c>
      <c r="AD84" s="102">
        <f t="shared" si="50"/>
        <v>0.12609000000000004</v>
      </c>
      <c r="AE84" s="102">
        <f t="shared" si="50"/>
        <v>0.13384000000000004</v>
      </c>
      <c r="AF84" s="102">
        <f t="shared" si="50"/>
        <v>0.14181000000000005</v>
      </c>
      <c r="AG84" s="102">
        <f t="shared" si="50"/>
        <v>0.15</v>
      </c>
      <c r="AI84" s="125"/>
      <c r="AJ84" s="185"/>
      <c r="BD84" s="177"/>
      <c r="BE84" s="177"/>
    </row>
    <row r="85" spans="1:63" outlineLevel="1">
      <c r="A85" t="s">
        <v>481</v>
      </c>
      <c r="B85" s="50" t="s">
        <v>126</v>
      </c>
      <c r="C85" s="102">
        <f>C81*C83</f>
        <v>0.17</v>
      </c>
      <c r="D85" s="102">
        <f t="shared" ref="D85:AG85" si="51">D81*D83</f>
        <v>0.17919000000000002</v>
      </c>
      <c r="E85" s="102">
        <f t="shared" si="51"/>
        <v>0.18815999999999999</v>
      </c>
      <c r="F85" s="102">
        <f t="shared" si="51"/>
        <v>0.19691</v>
      </c>
      <c r="G85" s="102">
        <f t="shared" si="51"/>
        <v>0.20544000000000001</v>
      </c>
      <c r="H85" s="102">
        <f t="shared" si="51"/>
        <v>0.21375000000000002</v>
      </c>
      <c r="I85" s="102">
        <f t="shared" si="51"/>
        <v>0.22184000000000001</v>
      </c>
      <c r="J85" s="102">
        <f t="shared" si="51"/>
        <v>0.22971</v>
      </c>
      <c r="K85" s="102">
        <f t="shared" si="51"/>
        <v>0.23736000000000002</v>
      </c>
      <c r="L85" s="102">
        <f t="shared" si="51"/>
        <v>0.24479000000000004</v>
      </c>
      <c r="M85" s="102">
        <f t="shared" si="51"/>
        <v>0.25200000000000006</v>
      </c>
      <c r="N85" s="102">
        <f t="shared" si="51"/>
        <v>0.25899000000000005</v>
      </c>
      <c r="O85" s="102">
        <f t="shared" si="51"/>
        <v>0.26576000000000005</v>
      </c>
      <c r="P85" s="102">
        <f t="shared" si="51"/>
        <v>0.27231000000000005</v>
      </c>
      <c r="Q85" s="102">
        <f t="shared" si="51"/>
        <v>0.27864</v>
      </c>
      <c r="R85" s="102">
        <f t="shared" si="51"/>
        <v>0.28475</v>
      </c>
      <c r="S85" s="102">
        <f t="shared" si="51"/>
        <v>0.29064000000000001</v>
      </c>
      <c r="T85" s="102">
        <f t="shared" si="51"/>
        <v>0.29631000000000002</v>
      </c>
      <c r="U85" s="102">
        <f t="shared" si="51"/>
        <v>0.30175999999999997</v>
      </c>
      <c r="V85" s="102">
        <f t="shared" si="51"/>
        <v>0.30698999999999999</v>
      </c>
      <c r="W85" s="102">
        <f t="shared" si="51"/>
        <v>0.312</v>
      </c>
      <c r="X85" s="102">
        <f t="shared" si="51"/>
        <v>0.31678999999999996</v>
      </c>
      <c r="Y85" s="102">
        <f t="shared" si="51"/>
        <v>0.32135999999999998</v>
      </c>
      <c r="Z85" s="102">
        <f t="shared" si="51"/>
        <v>0.32571</v>
      </c>
      <c r="AA85" s="102">
        <f t="shared" si="51"/>
        <v>0.32983999999999997</v>
      </c>
      <c r="AB85" s="102">
        <f t="shared" si="51"/>
        <v>0.33374999999999999</v>
      </c>
      <c r="AC85" s="102">
        <f t="shared" si="51"/>
        <v>0.33744000000000002</v>
      </c>
      <c r="AD85" s="102">
        <f t="shared" si="51"/>
        <v>0.34090999999999999</v>
      </c>
      <c r="AE85" s="102">
        <f t="shared" si="51"/>
        <v>0.34415999999999997</v>
      </c>
      <c r="AF85" s="102">
        <f t="shared" si="51"/>
        <v>0.34719</v>
      </c>
      <c r="AG85" s="102">
        <f t="shared" si="51"/>
        <v>0.35</v>
      </c>
      <c r="AI85" s="125"/>
      <c r="AJ85" s="185"/>
      <c r="BD85" s="177"/>
      <c r="BE85" s="177"/>
    </row>
    <row r="86" spans="1:63" outlineLevel="1">
      <c r="B86" s="156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I86" s="125"/>
      <c r="AJ86" s="185"/>
      <c r="BD86" s="177"/>
      <c r="BE86" s="177"/>
    </row>
    <row r="87" spans="1:63" outlineLevel="1">
      <c r="A87" t="s">
        <v>422</v>
      </c>
      <c r="B87" s="50" t="s">
        <v>126</v>
      </c>
      <c r="C87" s="188">
        <v>0.9</v>
      </c>
      <c r="D87" s="102">
        <f>C87</f>
        <v>0.9</v>
      </c>
      <c r="E87" s="102">
        <f t="shared" ref="E87:AG89" si="52">D87</f>
        <v>0.9</v>
      </c>
      <c r="F87" s="102">
        <f t="shared" si="52"/>
        <v>0.9</v>
      </c>
      <c r="G87" s="102">
        <f t="shared" si="52"/>
        <v>0.9</v>
      </c>
      <c r="H87" s="102">
        <f t="shared" si="52"/>
        <v>0.9</v>
      </c>
      <c r="I87" s="102">
        <f t="shared" si="52"/>
        <v>0.9</v>
      </c>
      <c r="J87" s="102">
        <f t="shared" si="52"/>
        <v>0.9</v>
      </c>
      <c r="K87" s="102">
        <f t="shared" si="52"/>
        <v>0.9</v>
      </c>
      <c r="L87" s="102">
        <f t="shared" si="52"/>
        <v>0.9</v>
      </c>
      <c r="M87" s="102">
        <f t="shared" si="52"/>
        <v>0.9</v>
      </c>
      <c r="N87" s="102">
        <f t="shared" si="52"/>
        <v>0.9</v>
      </c>
      <c r="O87" s="102">
        <f t="shared" si="52"/>
        <v>0.9</v>
      </c>
      <c r="P87" s="102">
        <f t="shared" si="52"/>
        <v>0.9</v>
      </c>
      <c r="Q87" s="102">
        <f t="shared" si="52"/>
        <v>0.9</v>
      </c>
      <c r="R87" s="102">
        <f t="shared" si="52"/>
        <v>0.9</v>
      </c>
      <c r="S87" s="102">
        <f t="shared" si="52"/>
        <v>0.9</v>
      </c>
      <c r="T87" s="102">
        <f t="shared" si="52"/>
        <v>0.9</v>
      </c>
      <c r="U87" s="102">
        <f t="shared" si="52"/>
        <v>0.9</v>
      </c>
      <c r="V87" s="102">
        <f t="shared" si="52"/>
        <v>0.9</v>
      </c>
      <c r="W87" s="102">
        <f t="shared" si="52"/>
        <v>0.9</v>
      </c>
      <c r="X87" s="102">
        <f t="shared" si="52"/>
        <v>0.9</v>
      </c>
      <c r="Y87" s="102">
        <f t="shared" si="52"/>
        <v>0.9</v>
      </c>
      <c r="Z87" s="102">
        <f t="shared" si="52"/>
        <v>0.9</v>
      </c>
      <c r="AA87" s="102">
        <f t="shared" si="52"/>
        <v>0.9</v>
      </c>
      <c r="AB87" s="102">
        <f t="shared" si="52"/>
        <v>0.9</v>
      </c>
      <c r="AC87" s="102">
        <f t="shared" si="52"/>
        <v>0.9</v>
      </c>
      <c r="AD87" s="102">
        <f t="shared" si="52"/>
        <v>0.9</v>
      </c>
      <c r="AE87" s="102">
        <f t="shared" si="52"/>
        <v>0.9</v>
      </c>
      <c r="AF87" s="102">
        <f t="shared" si="52"/>
        <v>0.9</v>
      </c>
      <c r="AG87" s="102">
        <f t="shared" si="52"/>
        <v>0.9</v>
      </c>
      <c r="AI87" s="124" t="s">
        <v>431</v>
      </c>
      <c r="AJ87" s="488" t="s">
        <v>1377</v>
      </c>
      <c r="BD87" s="177"/>
      <c r="BE87" s="177"/>
    </row>
    <row r="88" spans="1:63" outlineLevel="1">
      <c r="A88" t="s">
        <v>429</v>
      </c>
      <c r="B88" s="50" t="s">
        <v>126</v>
      </c>
      <c r="C88" s="188">
        <v>0</v>
      </c>
      <c r="D88" s="102">
        <f t="shared" ref="D88:S89" si="53">C88</f>
        <v>0</v>
      </c>
      <c r="E88" s="102">
        <f t="shared" si="53"/>
        <v>0</v>
      </c>
      <c r="F88" s="102">
        <f t="shared" si="53"/>
        <v>0</v>
      </c>
      <c r="G88" s="102">
        <f t="shared" si="53"/>
        <v>0</v>
      </c>
      <c r="H88" s="102">
        <f t="shared" si="53"/>
        <v>0</v>
      </c>
      <c r="I88" s="102">
        <f t="shared" si="53"/>
        <v>0</v>
      </c>
      <c r="J88" s="102">
        <f t="shared" si="53"/>
        <v>0</v>
      </c>
      <c r="K88" s="102">
        <f t="shared" si="53"/>
        <v>0</v>
      </c>
      <c r="L88" s="102">
        <f t="shared" si="53"/>
        <v>0</v>
      </c>
      <c r="M88" s="102">
        <f t="shared" si="53"/>
        <v>0</v>
      </c>
      <c r="N88" s="102">
        <f t="shared" si="53"/>
        <v>0</v>
      </c>
      <c r="O88" s="102">
        <f t="shared" si="53"/>
        <v>0</v>
      </c>
      <c r="P88" s="102">
        <f t="shared" si="53"/>
        <v>0</v>
      </c>
      <c r="Q88" s="102">
        <f t="shared" si="53"/>
        <v>0</v>
      </c>
      <c r="R88" s="102">
        <f t="shared" si="53"/>
        <v>0</v>
      </c>
      <c r="S88" s="102">
        <f t="shared" si="53"/>
        <v>0</v>
      </c>
      <c r="T88" s="102">
        <f t="shared" si="52"/>
        <v>0</v>
      </c>
      <c r="U88" s="102">
        <f t="shared" si="52"/>
        <v>0</v>
      </c>
      <c r="V88" s="102">
        <f t="shared" si="52"/>
        <v>0</v>
      </c>
      <c r="W88" s="102">
        <f t="shared" si="52"/>
        <v>0</v>
      </c>
      <c r="X88" s="102">
        <f t="shared" si="52"/>
        <v>0</v>
      </c>
      <c r="Y88" s="102">
        <f t="shared" si="52"/>
        <v>0</v>
      </c>
      <c r="Z88" s="102">
        <f t="shared" si="52"/>
        <v>0</v>
      </c>
      <c r="AA88" s="102">
        <f t="shared" si="52"/>
        <v>0</v>
      </c>
      <c r="AB88" s="102">
        <f t="shared" si="52"/>
        <v>0</v>
      </c>
      <c r="AC88" s="102">
        <f t="shared" si="52"/>
        <v>0</v>
      </c>
      <c r="AD88" s="102">
        <f t="shared" si="52"/>
        <v>0</v>
      </c>
      <c r="AE88" s="102">
        <f t="shared" si="52"/>
        <v>0</v>
      </c>
      <c r="AF88" s="102">
        <f t="shared" si="52"/>
        <v>0</v>
      </c>
      <c r="AG88" s="102">
        <f t="shared" si="52"/>
        <v>0</v>
      </c>
      <c r="AI88" s="124" t="s">
        <v>431</v>
      </c>
      <c r="AJ88" s="205"/>
      <c r="AL88" s="1"/>
      <c r="BC88" s="1"/>
      <c r="BD88" s="615"/>
      <c r="BE88" s="605"/>
      <c r="BF88" s="6"/>
      <c r="BG88" s="6"/>
      <c r="BH88" s="6"/>
      <c r="BI88" s="6"/>
      <c r="BJ88" s="6"/>
    </row>
    <row r="89" spans="1:63" outlineLevel="1">
      <c r="A89" t="s">
        <v>430</v>
      </c>
      <c r="B89" s="50" t="s">
        <v>126</v>
      </c>
      <c r="C89" s="113">
        <f>1-C87-C88</f>
        <v>9.9999999999999978E-2</v>
      </c>
      <c r="D89" s="102">
        <f t="shared" si="53"/>
        <v>9.9999999999999978E-2</v>
      </c>
      <c r="E89" s="102">
        <f t="shared" si="53"/>
        <v>9.9999999999999978E-2</v>
      </c>
      <c r="F89" s="102">
        <f t="shared" si="53"/>
        <v>9.9999999999999978E-2</v>
      </c>
      <c r="G89" s="102">
        <f t="shared" si="53"/>
        <v>9.9999999999999978E-2</v>
      </c>
      <c r="H89" s="102">
        <f t="shared" si="53"/>
        <v>9.9999999999999978E-2</v>
      </c>
      <c r="I89" s="102">
        <f t="shared" si="53"/>
        <v>9.9999999999999978E-2</v>
      </c>
      <c r="J89" s="102">
        <f t="shared" si="53"/>
        <v>9.9999999999999978E-2</v>
      </c>
      <c r="K89" s="102">
        <f t="shared" si="53"/>
        <v>9.9999999999999978E-2</v>
      </c>
      <c r="L89" s="102">
        <f t="shared" si="53"/>
        <v>9.9999999999999978E-2</v>
      </c>
      <c r="M89" s="102">
        <f t="shared" si="53"/>
        <v>9.9999999999999978E-2</v>
      </c>
      <c r="N89" s="102">
        <f t="shared" si="53"/>
        <v>9.9999999999999978E-2</v>
      </c>
      <c r="O89" s="102">
        <f t="shared" si="53"/>
        <v>9.9999999999999978E-2</v>
      </c>
      <c r="P89" s="102">
        <f t="shared" si="53"/>
        <v>9.9999999999999978E-2</v>
      </c>
      <c r="Q89" s="102">
        <f t="shared" si="53"/>
        <v>9.9999999999999978E-2</v>
      </c>
      <c r="R89" s="102">
        <f t="shared" si="53"/>
        <v>9.9999999999999978E-2</v>
      </c>
      <c r="S89" s="102">
        <f t="shared" si="53"/>
        <v>9.9999999999999978E-2</v>
      </c>
      <c r="T89" s="102">
        <f t="shared" si="52"/>
        <v>9.9999999999999978E-2</v>
      </c>
      <c r="U89" s="102">
        <f t="shared" si="52"/>
        <v>9.9999999999999978E-2</v>
      </c>
      <c r="V89" s="102">
        <f t="shared" si="52"/>
        <v>9.9999999999999978E-2</v>
      </c>
      <c r="W89" s="102">
        <f t="shared" si="52"/>
        <v>9.9999999999999978E-2</v>
      </c>
      <c r="X89" s="102">
        <f t="shared" si="52"/>
        <v>9.9999999999999978E-2</v>
      </c>
      <c r="Y89" s="102">
        <f t="shared" si="52"/>
        <v>9.9999999999999978E-2</v>
      </c>
      <c r="Z89" s="102">
        <f t="shared" si="52"/>
        <v>9.9999999999999978E-2</v>
      </c>
      <c r="AA89" s="102">
        <f t="shared" si="52"/>
        <v>9.9999999999999978E-2</v>
      </c>
      <c r="AB89" s="102">
        <f t="shared" si="52"/>
        <v>9.9999999999999978E-2</v>
      </c>
      <c r="AC89" s="102">
        <f t="shared" si="52"/>
        <v>9.9999999999999978E-2</v>
      </c>
      <c r="AD89" s="102">
        <f t="shared" si="52"/>
        <v>9.9999999999999978E-2</v>
      </c>
      <c r="AE89" s="102">
        <f t="shared" si="52"/>
        <v>9.9999999999999978E-2</v>
      </c>
      <c r="AF89" s="102">
        <f t="shared" si="52"/>
        <v>9.9999999999999978E-2</v>
      </c>
      <c r="AG89" s="102">
        <f t="shared" si="52"/>
        <v>9.9999999999999978E-2</v>
      </c>
      <c r="AI89" s="124"/>
      <c r="AJ89" s="196"/>
      <c r="BC89" s="1"/>
      <c r="BD89" s="37"/>
      <c r="BF89" s="6"/>
      <c r="BG89" s="6"/>
      <c r="BH89" s="6"/>
      <c r="BI89" s="6"/>
      <c r="BJ89" s="6"/>
    </row>
    <row r="90" spans="1:63" outlineLevel="1">
      <c r="A90" t="s">
        <v>418</v>
      </c>
      <c r="B90" s="50" t="s">
        <v>126</v>
      </c>
      <c r="C90" s="102">
        <f>SUM(C87:C89)</f>
        <v>1</v>
      </c>
      <c r="D90" s="102">
        <f t="shared" ref="D90:AG90" si="54">SUM(D87:D89)</f>
        <v>1</v>
      </c>
      <c r="E90" s="102">
        <f t="shared" si="54"/>
        <v>1</v>
      </c>
      <c r="F90" s="102">
        <f t="shared" si="54"/>
        <v>1</v>
      </c>
      <c r="G90" s="102">
        <f t="shared" si="54"/>
        <v>1</v>
      </c>
      <c r="H90" s="102">
        <f t="shared" si="54"/>
        <v>1</v>
      </c>
      <c r="I90" s="102">
        <f t="shared" si="54"/>
        <v>1</v>
      </c>
      <c r="J90" s="102">
        <f t="shared" si="54"/>
        <v>1</v>
      </c>
      <c r="K90" s="102">
        <f t="shared" si="54"/>
        <v>1</v>
      </c>
      <c r="L90" s="102">
        <f t="shared" si="54"/>
        <v>1</v>
      </c>
      <c r="M90" s="102">
        <f t="shared" si="54"/>
        <v>1</v>
      </c>
      <c r="N90" s="102">
        <f t="shared" si="54"/>
        <v>1</v>
      </c>
      <c r="O90" s="102">
        <f t="shared" si="54"/>
        <v>1</v>
      </c>
      <c r="P90" s="102">
        <f t="shared" si="54"/>
        <v>1</v>
      </c>
      <c r="Q90" s="102">
        <f t="shared" si="54"/>
        <v>1</v>
      </c>
      <c r="R90" s="102">
        <f t="shared" si="54"/>
        <v>1</v>
      </c>
      <c r="S90" s="102">
        <f t="shared" si="54"/>
        <v>1</v>
      </c>
      <c r="T90" s="102">
        <f t="shared" si="54"/>
        <v>1</v>
      </c>
      <c r="U90" s="102">
        <f t="shared" si="54"/>
        <v>1</v>
      </c>
      <c r="V90" s="102">
        <f t="shared" si="54"/>
        <v>1</v>
      </c>
      <c r="W90" s="102">
        <f t="shared" si="54"/>
        <v>1</v>
      </c>
      <c r="X90" s="102">
        <f t="shared" si="54"/>
        <v>1</v>
      </c>
      <c r="Y90" s="102">
        <f t="shared" si="54"/>
        <v>1</v>
      </c>
      <c r="Z90" s="102">
        <f t="shared" si="54"/>
        <v>1</v>
      </c>
      <c r="AA90" s="102">
        <f t="shared" si="54"/>
        <v>1</v>
      </c>
      <c r="AB90" s="102">
        <f t="shared" si="54"/>
        <v>1</v>
      </c>
      <c r="AC90" s="102">
        <f t="shared" si="54"/>
        <v>1</v>
      </c>
      <c r="AD90" s="102">
        <f t="shared" si="54"/>
        <v>1</v>
      </c>
      <c r="AE90" s="102">
        <f t="shared" si="54"/>
        <v>1</v>
      </c>
      <c r="AF90" s="102">
        <f t="shared" si="54"/>
        <v>1</v>
      </c>
      <c r="AG90" s="102">
        <f t="shared" si="54"/>
        <v>1</v>
      </c>
      <c r="AI90" s="124"/>
      <c r="AJ90" s="185"/>
      <c r="BC90" s="1"/>
      <c r="BD90" s="37"/>
      <c r="BF90" s="6"/>
      <c r="BG90" s="6"/>
      <c r="BH90" s="6"/>
      <c r="BI90" s="6"/>
      <c r="BJ90" s="6"/>
    </row>
    <row r="91" spans="1:63" outlineLevel="1">
      <c r="C91" s="188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I91" s="124"/>
      <c r="AJ91" s="185"/>
      <c r="BC91" s="1"/>
      <c r="BD91" s="37"/>
      <c r="BF91" s="6"/>
      <c r="BG91" s="6"/>
      <c r="BH91" s="6"/>
      <c r="BI91" s="6"/>
      <c r="BJ91" s="6"/>
    </row>
    <row r="92" spans="1:63" outlineLevel="1">
      <c r="A92" t="s">
        <v>426</v>
      </c>
      <c r="B92" s="50" t="s">
        <v>126</v>
      </c>
      <c r="C92" s="102">
        <f>C87*C85</f>
        <v>0.15300000000000002</v>
      </c>
      <c r="D92" s="102">
        <f t="shared" ref="D92:AG92" si="55">D87*D85</f>
        <v>0.16127100000000003</v>
      </c>
      <c r="E92" s="102">
        <f t="shared" si="55"/>
        <v>0.16934399999999999</v>
      </c>
      <c r="F92" s="102">
        <f t="shared" si="55"/>
        <v>0.17721900000000002</v>
      </c>
      <c r="G92" s="102">
        <f t="shared" si="55"/>
        <v>0.184896</v>
      </c>
      <c r="H92" s="102">
        <f t="shared" si="55"/>
        <v>0.19237500000000002</v>
      </c>
      <c r="I92" s="102">
        <f t="shared" si="55"/>
        <v>0.199656</v>
      </c>
      <c r="J92" s="102">
        <f t="shared" si="55"/>
        <v>0.20673900000000001</v>
      </c>
      <c r="K92" s="102">
        <f t="shared" si="55"/>
        <v>0.21362400000000001</v>
      </c>
      <c r="L92" s="102">
        <f t="shared" si="55"/>
        <v>0.22031100000000003</v>
      </c>
      <c r="M92" s="102">
        <f t="shared" si="55"/>
        <v>0.22680000000000006</v>
      </c>
      <c r="N92" s="102">
        <f t="shared" si="55"/>
        <v>0.23309100000000005</v>
      </c>
      <c r="O92" s="102">
        <f t="shared" si="55"/>
        <v>0.23918400000000006</v>
      </c>
      <c r="P92" s="102">
        <f t="shared" si="55"/>
        <v>0.24507900000000005</v>
      </c>
      <c r="Q92" s="102">
        <f t="shared" si="55"/>
        <v>0.250776</v>
      </c>
      <c r="R92" s="102">
        <f t="shared" si="55"/>
        <v>0.25627500000000003</v>
      </c>
      <c r="S92" s="102">
        <f t="shared" si="55"/>
        <v>0.26157600000000003</v>
      </c>
      <c r="T92" s="102">
        <f t="shared" si="55"/>
        <v>0.266679</v>
      </c>
      <c r="U92" s="102">
        <f t="shared" si="55"/>
        <v>0.27158399999999999</v>
      </c>
      <c r="V92" s="102">
        <f t="shared" si="55"/>
        <v>0.27629100000000001</v>
      </c>
      <c r="W92" s="102">
        <f t="shared" si="55"/>
        <v>0.28079999999999999</v>
      </c>
      <c r="X92" s="102">
        <f t="shared" si="55"/>
        <v>0.28511099999999995</v>
      </c>
      <c r="Y92" s="102">
        <f t="shared" si="55"/>
        <v>0.28922399999999998</v>
      </c>
      <c r="Z92" s="102">
        <f t="shared" si="55"/>
        <v>0.29313899999999998</v>
      </c>
      <c r="AA92" s="102">
        <f t="shared" si="55"/>
        <v>0.29685599999999995</v>
      </c>
      <c r="AB92" s="102">
        <f t="shared" si="55"/>
        <v>0.300375</v>
      </c>
      <c r="AC92" s="102">
        <f t="shared" si="55"/>
        <v>0.30369600000000002</v>
      </c>
      <c r="AD92" s="102">
        <f t="shared" si="55"/>
        <v>0.30681900000000001</v>
      </c>
      <c r="AE92" s="102">
        <f t="shared" si="55"/>
        <v>0.30974399999999996</v>
      </c>
      <c r="AF92" s="102">
        <f t="shared" si="55"/>
        <v>0.312471</v>
      </c>
      <c r="AG92" s="102">
        <f t="shared" si="55"/>
        <v>0.315</v>
      </c>
      <c r="AI92" s="124"/>
      <c r="AJ92" s="185"/>
      <c r="BD92" s="177"/>
      <c r="BE92" s="177"/>
    </row>
    <row r="93" spans="1:63" outlineLevel="1">
      <c r="A93" t="s">
        <v>427</v>
      </c>
      <c r="B93" s="50" t="s">
        <v>126</v>
      </c>
      <c r="C93" s="102">
        <f>C85*C88</f>
        <v>0</v>
      </c>
      <c r="D93" s="102">
        <f t="shared" ref="D93:AG93" si="56">D85*D88</f>
        <v>0</v>
      </c>
      <c r="E93" s="102">
        <f t="shared" si="56"/>
        <v>0</v>
      </c>
      <c r="F93" s="102">
        <f t="shared" si="56"/>
        <v>0</v>
      </c>
      <c r="G93" s="102">
        <f t="shared" si="56"/>
        <v>0</v>
      </c>
      <c r="H93" s="102">
        <f t="shared" si="56"/>
        <v>0</v>
      </c>
      <c r="I93" s="102">
        <f t="shared" si="56"/>
        <v>0</v>
      </c>
      <c r="J93" s="102">
        <f t="shared" si="56"/>
        <v>0</v>
      </c>
      <c r="K93" s="102">
        <f t="shared" si="56"/>
        <v>0</v>
      </c>
      <c r="L93" s="102">
        <f t="shared" si="56"/>
        <v>0</v>
      </c>
      <c r="M93" s="102">
        <f t="shared" si="56"/>
        <v>0</v>
      </c>
      <c r="N93" s="102">
        <f t="shared" si="56"/>
        <v>0</v>
      </c>
      <c r="O93" s="102">
        <f t="shared" si="56"/>
        <v>0</v>
      </c>
      <c r="P93" s="102">
        <f t="shared" si="56"/>
        <v>0</v>
      </c>
      <c r="Q93" s="102">
        <f t="shared" si="56"/>
        <v>0</v>
      </c>
      <c r="R93" s="102">
        <f t="shared" si="56"/>
        <v>0</v>
      </c>
      <c r="S93" s="102">
        <f t="shared" si="56"/>
        <v>0</v>
      </c>
      <c r="T93" s="102">
        <f t="shared" si="56"/>
        <v>0</v>
      </c>
      <c r="U93" s="102">
        <f t="shared" si="56"/>
        <v>0</v>
      </c>
      <c r="V93" s="102">
        <f t="shared" si="56"/>
        <v>0</v>
      </c>
      <c r="W93" s="102">
        <f t="shared" si="56"/>
        <v>0</v>
      </c>
      <c r="X93" s="102">
        <f t="shared" si="56"/>
        <v>0</v>
      </c>
      <c r="Y93" s="102">
        <f t="shared" si="56"/>
        <v>0</v>
      </c>
      <c r="Z93" s="102">
        <f t="shared" si="56"/>
        <v>0</v>
      </c>
      <c r="AA93" s="102">
        <f t="shared" si="56"/>
        <v>0</v>
      </c>
      <c r="AB93" s="102">
        <f t="shared" si="56"/>
        <v>0</v>
      </c>
      <c r="AC93" s="102">
        <f t="shared" si="56"/>
        <v>0</v>
      </c>
      <c r="AD93" s="102">
        <f t="shared" si="56"/>
        <v>0</v>
      </c>
      <c r="AE93" s="102">
        <f t="shared" si="56"/>
        <v>0</v>
      </c>
      <c r="AF93" s="102">
        <f t="shared" si="56"/>
        <v>0</v>
      </c>
      <c r="AG93" s="102">
        <f t="shared" si="56"/>
        <v>0</v>
      </c>
      <c r="AI93" s="124"/>
      <c r="AJ93" s="185"/>
      <c r="AL93" s="1"/>
      <c r="BC93" s="1"/>
      <c r="BD93" s="615"/>
      <c r="BE93" s="605"/>
      <c r="BF93" s="6"/>
      <c r="BG93" s="6"/>
      <c r="BH93" s="6"/>
      <c r="BI93" s="6"/>
      <c r="BJ93" s="6"/>
    </row>
    <row r="94" spans="1:63" outlineLevel="1">
      <c r="A94" t="s">
        <v>428</v>
      </c>
      <c r="B94" s="50" t="s">
        <v>126</v>
      </c>
      <c r="C94" s="102">
        <f>C85*C89</f>
        <v>1.6999999999999998E-2</v>
      </c>
      <c r="D94" s="102">
        <f t="shared" ref="D94:AG94" si="57">D85*D89</f>
        <v>1.7918999999999997E-2</v>
      </c>
      <c r="E94" s="102">
        <f t="shared" si="57"/>
        <v>1.8815999999999996E-2</v>
      </c>
      <c r="F94" s="102">
        <f t="shared" si="57"/>
        <v>1.9690999999999997E-2</v>
      </c>
      <c r="G94" s="102">
        <f t="shared" si="57"/>
        <v>2.0543999999999996E-2</v>
      </c>
      <c r="H94" s="102">
        <f t="shared" si="57"/>
        <v>2.1374999999999998E-2</v>
      </c>
      <c r="I94" s="102">
        <f t="shared" si="57"/>
        <v>2.2183999999999995E-2</v>
      </c>
      <c r="J94" s="102">
        <f t="shared" si="57"/>
        <v>2.2970999999999995E-2</v>
      </c>
      <c r="K94" s="102">
        <f t="shared" si="57"/>
        <v>2.3735999999999997E-2</v>
      </c>
      <c r="L94" s="102">
        <f t="shared" si="57"/>
        <v>2.4478999999999997E-2</v>
      </c>
      <c r="M94" s="102">
        <f t="shared" si="57"/>
        <v>2.52E-2</v>
      </c>
      <c r="N94" s="102">
        <f t="shared" si="57"/>
        <v>2.5898999999999998E-2</v>
      </c>
      <c r="O94" s="102">
        <f t="shared" si="57"/>
        <v>2.6575999999999999E-2</v>
      </c>
      <c r="P94" s="102">
        <f t="shared" si="57"/>
        <v>2.7230999999999998E-2</v>
      </c>
      <c r="Q94" s="102">
        <f t="shared" si="57"/>
        <v>2.7863999999999993E-2</v>
      </c>
      <c r="R94" s="102">
        <f t="shared" si="57"/>
        <v>2.8474999999999993E-2</v>
      </c>
      <c r="S94" s="102">
        <f t="shared" si="57"/>
        <v>2.9063999999999996E-2</v>
      </c>
      <c r="T94" s="102">
        <f t="shared" si="57"/>
        <v>2.9630999999999994E-2</v>
      </c>
      <c r="U94" s="102">
        <f t="shared" si="57"/>
        <v>3.0175999999999991E-2</v>
      </c>
      <c r="V94" s="102">
        <f t="shared" si="57"/>
        <v>3.069899999999999E-2</v>
      </c>
      <c r="W94" s="102">
        <f t="shared" si="57"/>
        <v>3.1199999999999992E-2</v>
      </c>
      <c r="X94" s="102">
        <f t="shared" si="57"/>
        <v>3.1678999999999992E-2</v>
      </c>
      <c r="Y94" s="102">
        <f t="shared" si="57"/>
        <v>3.2135999999999991E-2</v>
      </c>
      <c r="Z94" s="102">
        <f t="shared" si="57"/>
        <v>3.2570999999999996E-2</v>
      </c>
      <c r="AA94" s="102">
        <f t="shared" si="57"/>
        <v>3.2983999999999992E-2</v>
      </c>
      <c r="AB94" s="102">
        <f t="shared" si="57"/>
        <v>3.3374999999999995E-2</v>
      </c>
      <c r="AC94" s="102">
        <f t="shared" si="57"/>
        <v>3.3743999999999996E-2</v>
      </c>
      <c r="AD94" s="102">
        <f t="shared" si="57"/>
        <v>3.4090999999999989E-2</v>
      </c>
      <c r="AE94" s="102">
        <f t="shared" si="57"/>
        <v>3.4415999999999988E-2</v>
      </c>
      <c r="AF94" s="102">
        <f t="shared" si="57"/>
        <v>3.4718999999999993E-2</v>
      </c>
      <c r="AG94" s="102">
        <f t="shared" si="57"/>
        <v>3.4999999999999989E-2</v>
      </c>
      <c r="AI94" s="125"/>
      <c r="AJ94" s="185"/>
      <c r="BC94" s="1"/>
      <c r="BD94" s="37"/>
      <c r="BF94" s="6"/>
      <c r="BG94" s="6"/>
      <c r="BH94" s="6"/>
      <c r="BI94" s="6"/>
      <c r="BJ94" s="6"/>
    </row>
    <row r="95" spans="1:63" outlineLevel="1"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I95" s="125"/>
      <c r="AJ95" s="185"/>
      <c r="BC95" s="1"/>
      <c r="BD95" s="37"/>
      <c r="BF95" s="6"/>
      <c r="BG95" s="6"/>
      <c r="BH95" s="6"/>
      <c r="BI95" s="6"/>
      <c r="BJ95" s="6"/>
    </row>
    <row r="96" spans="1:63" outlineLevel="1">
      <c r="A96" t="s">
        <v>1337</v>
      </c>
      <c r="C96" s="203">
        <v>1</v>
      </c>
      <c r="D96" s="203">
        <v>1</v>
      </c>
      <c r="E96" s="203">
        <v>1</v>
      </c>
      <c r="F96" s="203">
        <v>1</v>
      </c>
      <c r="G96" s="203">
        <v>1</v>
      </c>
      <c r="H96" s="203">
        <v>1</v>
      </c>
      <c r="I96" s="203">
        <v>1</v>
      </c>
      <c r="J96" s="203">
        <v>1</v>
      </c>
      <c r="K96" s="203">
        <v>1</v>
      </c>
      <c r="L96" s="203">
        <v>1</v>
      </c>
      <c r="M96" s="203">
        <v>1</v>
      </c>
      <c r="N96" s="203">
        <v>1</v>
      </c>
      <c r="O96" s="203">
        <v>1</v>
      </c>
      <c r="P96" s="203">
        <v>1</v>
      </c>
      <c r="Q96" s="203">
        <v>1</v>
      </c>
      <c r="R96" s="203">
        <v>1</v>
      </c>
      <c r="S96" s="203">
        <v>1</v>
      </c>
      <c r="T96" s="203">
        <v>1</v>
      </c>
      <c r="U96" s="203">
        <v>1</v>
      </c>
      <c r="V96" s="203">
        <v>1</v>
      </c>
      <c r="W96" s="203">
        <v>1</v>
      </c>
      <c r="X96" s="203">
        <v>1</v>
      </c>
      <c r="Y96" s="203">
        <v>1</v>
      </c>
      <c r="Z96" s="203">
        <v>1</v>
      </c>
      <c r="AA96" s="203">
        <v>1</v>
      </c>
      <c r="AB96" s="203">
        <v>1</v>
      </c>
      <c r="AC96" s="203">
        <v>1</v>
      </c>
      <c r="AD96" s="203">
        <v>1</v>
      </c>
      <c r="AE96" s="203">
        <v>1</v>
      </c>
      <c r="AF96" s="203">
        <v>1</v>
      </c>
      <c r="AG96" s="203">
        <v>1</v>
      </c>
      <c r="AI96" s="124"/>
      <c r="AJ96" s="185" t="s">
        <v>1378</v>
      </c>
      <c r="AL96" s="100"/>
      <c r="AM96" s="181"/>
      <c r="AN96" s="181"/>
      <c r="AO96" s="181"/>
      <c r="BC96" s="1"/>
      <c r="BD96" s="181"/>
      <c r="BE96" s="181"/>
      <c r="BF96" s="181"/>
      <c r="BG96" s="181"/>
      <c r="BH96" s="181"/>
      <c r="BI96" s="181"/>
      <c r="BJ96" s="181"/>
      <c r="BK96" s="181"/>
    </row>
    <row r="97" spans="1:63" outlineLevel="1">
      <c r="A97" t="s">
        <v>1345</v>
      </c>
      <c r="B97" s="50" t="s">
        <v>126</v>
      </c>
      <c r="C97" s="102">
        <f>C84*C$96</f>
        <v>0</v>
      </c>
      <c r="D97" s="102">
        <f t="shared" ref="D97:AG98" si="58">D84*D$96</f>
        <v>1.8100000000000002E-3</v>
      </c>
      <c r="E97" s="102">
        <f t="shared" si="58"/>
        <v>3.8400000000000001E-3</v>
      </c>
      <c r="F97" s="102">
        <f t="shared" si="58"/>
        <v>6.0899999999999999E-3</v>
      </c>
      <c r="G97" s="102">
        <f t="shared" si="58"/>
        <v>8.5600000000000016E-3</v>
      </c>
      <c r="H97" s="102">
        <f t="shared" si="58"/>
        <v>1.1250000000000003E-2</v>
      </c>
      <c r="I97" s="102">
        <f t="shared" si="58"/>
        <v>1.4160000000000002E-2</v>
      </c>
      <c r="J97" s="102">
        <f t="shared" si="58"/>
        <v>1.7290000000000003E-2</v>
      </c>
      <c r="K97" s="102">
        <f t="shared" si="58"/>
        <v>2.0640000000000002E-2</v>
      </c>
      <c r="L97" s="102">
        <f t="shared" si="58"/>
        <v>2.4210000000000002E-2</v>
      </c>
      <c r="M97" s="102">
        <f t="shared" si="58"/>
        <v>2.8000000000000001E-2</v>
      </c>
      <c r="N97" s="102">
        <f t="shared" si="58"/>
        <v>3.2009999999999997E-2</v>
      </c>
      <c r="O97" s="102">
        <f t="shared" si="58"/>
        <v>3.6240000000000001E-2</v>
      </c>
      <c r="P97" s="102">
        <f t="shared" si="58"/>
        <v>4.0689999999999997E-2</v>
      </c>
      <c r="Q97" s="102">
        <f t="shared" si="58"/>
        <v>4.5359999999999998E-2</v>
      </c>
      <c r="R97" s="102">
        <f t="shared" si="58"/>
        <v>5.0250000000000003E-2</v>
      </c>
      <c r="S97" s="102">
        <f t="shared" si="58"/>
        <v>5.5360000000000006E-2</v>
      </c>
      <c r="T97" s="102">
        <f t="shared" si="58"/>
        <v>6.0690000000000008E-2</v>
      </c>
      <c r="U97" s="102">
        <f t="shared" si="58"/>
        <v>6.6240000000000007E-2</v>
      </c>
      <c r="V97" s="102">
        <f t="shared" si="58"/>
        <v>7.2010000000000018E-2</v>
      </c>
      <c r="W97" s="102">
        <f t="shared" si="58"/>
        <v>7.8000000000000014E-2</v>
      </c>
      <c r="X97" s="102">
        <f t="shared" si="58"/>
        <v>8.4210000000000021E-2</v>
      </c>
      <c r="Y97" s="102">
        <f t="shared" si="58"/>
        <v>9.0640000000000026E-2</v>
      </c>
      <c r="Z97" s="102">
        <f t="shared" si="58"/>
        <v>9.7290000000000043E-2</v>
      </c>
      <c r="AA97" s="102">
        <f t="shared" si="58"/>
        <v>0.10416000000000003</v>
      </c>
      <c r="AB97" s="102">
        <f t="shared" si="58"/>
        <v>0.11125000000000003</v>
      </c>
      <c r="AC97" s="102">
        <f t="shared" si="58"/>
        <v>0.11856000000000004</v>
      </c>
      <c r="AD97" s="102">
        <f t="shared" si="58"/>
        <v>0.12609000000000004</v>
      </c>
      <c r="AE97" s="102">
        <f t="shared" si="58"/>
        <v>0.13384000000000004</v>
      </c>
      <c r="AF97" s="102">
        <f t="shared" si="58"/>
        <v>0.14181000000000005</v>
      </c>
      <c r="AG97" s="102">
        <f t="shared" si="58"/>
        <v>0.15</v>
      </c>
      <c r="AI97" s="124"/>
      <c r="AJ97"/>
      <c r="AL97" s="100"/>
      <c r="AM97" s="2"/>
      <c r="AN97" s="2"/>
      <c r="AO97" s="2"/>
      <c r="AV97" s="37"/>
    </row>
    <row r="98" spans="1:63" outlineLevel="1">
      <c r="A98" t="s">
        <v>1346</v>
      </c>
      <c r="B98" s="50" t="s">
        <v>126</v>
      </c>
      <c r="C98" s="102">
        <f>C85*C$96</f>
        <v>0.17</v>
      </c>
      <c r="D98" s="102">
        <f t="shared" si="58"/>
        <v>0.17919000000000002</v>
      </c>
      <c r="E98" s="102">
        <f t="shared" si="58"/>
        <v>0.18815999999999999</v>
      </c>
      <c r="F98" s="102">
        <f t="shared" si="58"/>
        <v>0.19691</v>
      </c>
      <c r="G98" s="102">
        <f t="shared" si="58"/>
        <v>0.20544000000000001</v>
      </c>
      <c r="H98" s="102">
        <f t="shared" si="58"/>
        <v>0.21375000000000002</v>
      </c>
      <c r="I98" s="102">
        <f t="shared" si="58"/>
        <v>0.22184000000000001</v>
      </c>
      <c r="J98" s="102">
        <f t="shared" si="58"/>
        <v>0.22971</v>
      </c>
      <c r="K98" s="102">
        <f t="shared" si="58"/>
        <v>0.23736000000000002</v>
      </c>
      <c r="L98" s="102">
        <f t="shared" si="58"/>
        <v>0.24479000000000004</v>
      </c>
      <c r="M98" s="102">
        <f t="shared" si="58"/>
        <v>0.25200000000000006</v>
      </c>
      <c r="N98" s="102">
        <f t="shared" si="58"/>
        <v>0.25899000000000005</v>
      </c>
      <c r="O98" s="102">
        <f t="shared" si="58"/>
        <v>0.26576000000000005</v>
      </c>
      <c r="P98" s="102">
        <f t="shared" si="58"/>
        <v>0.27231000000000005</v>
      </c>
      <c r="Q98" s="102">
        <f t="shared" si="58"/>
        <v>0.27864</v>
      </c>
      <c r="R98" s="102">
        <f t="shared" si="58"/>
        <v>0.28475</v>
      </c>
      <c r="S98" s="102">
        <f t="shared" si="58"/>
        <v>0.29064000000000001</v>
      </c>
      <c r="T98" s="102">
        <f t="shared" si="58"/>
        <v>0.29631000000000002</v>
      </c>
      <c r="U98" s="102">
        <f t="shared" si="58"/>
        <v>0.30175999999999997</v>
      </c>
      <c r="V98" s="102">
        <f t="shared" si="58"/>
        <v>0.30698999999999999</v>
      </c>
      <c r="W98" s="102">
        <f t="shared" si="58"/>
        <v>0.312</v>
      </c>
      <c r="X98" s="102">
        <f t="shared" si="58"/>
        <v>0.31678999999999996</v>
      </c>
      <c r="Y98" s="102">
        <f t="shared" si="58"/>
        <v>0.32135999999999998</v>
      </c>
      <c r="Z98" s="102">
        <f t="shared" si="58"/>
        <v>0.32571</v>
      </c>
      <c r="AA98" s="102">
        <f t="shared" si="58"/>
        <v>0.32983999999999997</v>
      </c>
      <c r="AB98" s="102">
        <f t="shared" si="58"/>
        <v>0.33374999999999999</v>
      </c>
      <c r="AC98" s="102">
        <f t="shared" si="58"/>
        <v>0.33744000000000002</v>
      </c>
      <c r="AD98" s="102">
        <f t="shared" si="58"/>
        <v>0.34090999999999999</v>
      </c>
      <c r="AE98" s="102">
        <f t="shared" si="58"/>
        <v>0.34415999999999997</v>
      </c>
      <c r="AF98" s="102">
        <f t="shared" si="58"/>
        <v>0.34719</v>
      </c>
      <c r="AG98" s="102">
        <f t="shared" si="58"/>
        <v>0.35</v>
      </c>
      <c r="AH98" s="217"/>
      <c r="AI98" s="124"/>
      <c r="AJ98" s="185"/>
      <c r="AL98" s="100"/>
      <c r="AM98" s="2"/>
      <c r="AN98" s="2"/>
      <c r="AO98" s="2"/>
      <c r="AV98" s="37"/>
    </row>
    <row r="99" spans="1:63" outlineLevel="1">
      <c r="A99" t="s">
        <v>1347</v>
      </c>
      <c r="B99" s="156" t="s">
        <v>126</v>
      </c>
      <c r="C99" s="102">
        <f>SUM(C97:C98)</f>
        <v>0.17</v>
      </c>
      <c r="D99" s="102">
        <f t="shared" ref="D99:AG99" si="59">SUM(D97:D98)</f>
        <v>0.18100000000000002</v>
      </c>
      <c r="E99" s="102">
        <f t="shared" si="59"/>
        <v>0.192</v>
      </c>
      <c r="F99" s="102">
        <f t="shared" si="59"/>
        <v>0.20300000000000001</v>
      </c>
      <c r="G99" s="102">
        <f t="shared" si="59"/>
        <v>0.21400000000000002</v>
      </c>
      <c r="H99" s="102">
        <f t="shared" si="59"/>
        <v>0.22500000000000003</v>
      </c>
      <c r="I99" s="102">
        <f t="shared" si="59"/>
        <v>0.23600000000000002</v>
      </c>
      <c r="J99" s="102">
        <f t="shared" si="59"/>
        <v>0.247</v>
      </c>
      <c r="K99" s="102">
        <f t="shared" si="59"/>
        <v>0.25800000000000001</v>
      </c>
      <c r="L99" s="102">
        <f t="shared" si="59"/>
        <v>0.26900000000000002</v>
      </c>
      <c r="M99" s="102">
        <f t="shared" si="59"/>
        <v>0.28000000000000008</v>
      </c>
      <c r="N99" s="102">
        <f t="shared" si="59"/>
        <v>0.29100000000000004</v>
      </c>
      <c r="O99" s="102">
        <f t="shared" si="59"/>
        <v>0.30200000000000005</v>
      </c>
      <c r="P99" s="102">
        <f t="shared" si="59"/>
        <v>0.31300000000000006</v>
      </c>
      <c r="Q99" s="102">
        <f t="shared" si="59"/>
        <v>0.32400000000000001</v>
      </c>
      <c r="R99" s="102">
        <f t="shared" si="59"/>
        <v>0.33500000000000002</v>
      </c>
      <c r="S99" s="102">
        <f t="shared" si="59"/>
        <v>0.34600000000000003</v>
      </c>
      <c r="T99" s="102">
        <f t="shared" si="59"/>
        <v>0.35700000000000004</v>
      </c>
      <c r="U99" s="102">
        <f t="shared" si="59"/>
        <v>0.36799999999999999</v>
      </c>
      <c r="V99" s="102">
        <f t="shared" si="59"/>
        <v>0.379</v>
      </c>
      <c r="W99" s="102">
        <f t="shared" si="59"/>
        <v>0.39</v>
      </c>
      <c r="X99" s="102">
        <f t="shared" si="59"/>
        <v>0.40099999999999997</v>
      </c>
      <c r="Y99" s="102">
        <f t="shared" si="59"/>
        <v>0.41200000000000003</v>
      </c>
      <c r="Z99" s="102">
        <f t="shared" si="59"/>
        <v>0.42300000000000004</v>
      </c>
      <c r="AA99" s="102">
        <f t="shared" si="59"/>
        <v>0.434</v>
      </c>
      <c r="AB99" s="102">
        <f t="shared" si="59"/>
        <v>0.44500000000000001</v>
      </c>
      <c r="AC99" s="102">
        <f t="shared" si="59"/>
        <v>0.45600000000000007</v>
      </c>
      <c r="AD99" s="102">
        <f t="shared" si="59"/>
        <v>0.46700000000000003</v>
      </c>
      <c r="AE99" s="102">
        <f t="shared" si="59"/>
        <v>0.47799999999999998</v>
      </c>
      <c r="AF99" s="102">
        <f t="shared" si="59"/>
        <v>0.48900000000000005</v>
      </c>
      <c r="AG99" s="102">
        <f t="shared" si="59"/>
        <v>0.5</v>
      </c>
      <c r="AI99" s="124"/>
      <c r="AJ99" s="185"/>
      <c r="AL99" s="100"/>
      <c r="AM99" s="2"/>
      <c r="AN99" s="2"/>
      <c r="AO99" s="2"/>
    </row>
    <row r="100" spans="1:63" outlineLevel="1">
      <c r="A100" t="s">
        <v>1348</v>
      </c>
      <c r="B100" s="50" t="s">
        <v>126</v>
      </c>
      <c r="C100" s="102">
        <f>C87*C98</f>
        <v>0.15300000000000002</v>
      </c>
      <c r="D100" s="102">
        <f t="shared" ref="D100:AG100" si="60">D87*D98</f>
        <v>0.16127100000000003</v>
      </c>
      <c r="E100" s="102">
        <f t="shared" si="60"/>
        <v>0.16934399999999999</v>
      </c>
      <c r="F100" s="102">
        <f t="shared" si="60"/>
        <v>0.17721900000000002</v>
      </c>
      <c r="G100" s="102">
        <f t="shared" si="60"/>
        <v>0.184896</v>
      </c>
      <c r="H100" s="102">
        <f t="shared" si="60"/>
        <v>0.19237500000000002</v>
      </c>
      <c r="I100" s="102">
        <f t="shared" si="60"/>
        <v>0.199656</v>
      </c>
      <c r="J100" s="102">
        <f t="shared" si="60"/>
        <v>0.20673900000000001</v>
      </c>
      <c r="K100" s="102">
        <f t="shared" si="60"/>
        <v>0.21362400000000001</v>
      </c>
      <c r="L100" s="102">
        <f t="shared" si="60"/>
        <v>0.22031100000000003</v>
      </c>
      <c r="M100" s="102">
        <f t="shared" si="60"/>
        <v>0.22680000000000006</v>
      </c>
      <c r="N100" s="102">
        <f t="shared" si="60"/>
        <v>0.23309100000000005</v>
      </c>
      <c r="O100" s="102">
        <f t="shared" si="60"/>
        <v>0.23918400000000006</v>
      </c>
      <c r="P100" s="102">
        <f t="shared" si="60"/>
        <v>0.24507900000000005</v>
      </c>
      <c r="Q100" s="102">
        <f t="shared" si="60"/>
        <v>0.250776</v>
      </c>
      <c r="R100" s="102">
        <f t="shared" si="60"/>
        <v>0.25627500000000003</v>
      </c>
      <c r="S100" s="102">
        <f t="shared" si="60"/>
        <v>0.26157600000000003</v>
      </c>
      <c r="T100" s="102">
        <f t="shared" si="60"/>
        <v>0.266679</v>
      </c>
      <c r="U100" s="102">
        <f t="shared" si="60"/>
        <v>0.27158399999999999</v>
      </c>
      <c r="V100" s="102">
        <f t="shared" si="60"/>
        <v>0.27629100000000001</v>
      </c>
      <c r="W100" s="102">
        <f t="shared" si="60"/>
        <v>0.28079999999999999</v>
      </c>
      <c r="X100" s="102">
        <f t="shared" si="60"/>
        <v>0.28511099999999995</v>
      </c>
      <c r="Y100" s="102">
        <f t="shared" si="60"/>
        <v>0.28922399999999998</v>
      </c>
      <c r="Z100" s="102">
        <f t="shared" si="60"/>
        <v>0.29313899999999998</v>
      </c>
      <c r="AA100" s="102">
        <f t="shared" si="60"/>
        <v>0.29685599999999995</v>
      </c>
      <c r="AB100" s="102">
        <f t="shared" si="60"/>
        <v>0.300375</v>
      </c>
      <c r="AC100" s="102">
        <f t="shared" si="60"/>
        <v>0.30369600000000002</v>
      </c>
      <c r="AD100" s="102">
        <f t="shared" si="60"/>
        <v>0.30681900000000001</v>
      </c>
      <c r="AE100" s="102">
        <f t="shared" si="60"/>
        <v>0.30974399999999996</v>
      </c>
      <c r="AF100" s="102">
        <f t="shared" si="60"/>
        <v>0.312471</v>
      </c>
      <c r="AG100" s="102">
        <f t="shared" si="60"/>
        <v>0.315</v>
      </c>
      <c r="AI100" s="124"/>
      <c r="AJ100" s="185"/>
      <c r="BD100" s="177"/>
      <c r="BE100" s="177"/>
    </row>
    <row r="101" spans="1:63" outlineLevel="1">
      <c r="A101" t="s">
        <v>1349</v>
      </c>
      <c r="B101" s="50" t="s">
        <v>126</v>
      </c>
      <c r="C101" s="102">
        <f>C88*C98</f>
        <v>0</v>
      </c>
      <c r="D101" s="102">
        <f t="shared" ref="D101:AG101" si="61">D88*D98</f>
        <v>0</v>
      </c>
      <c r="E101" s="102">
        <f t="shared" si="61"/>
        <v>0</v>
      </c>
      <c r="F101" s="102">
        <f t="shared" si="61"/>
        <v>0</v>
      </c>
      <c r="G101" s="102">
        <f t="shared" si="61"/>
        <v>0</v>
      </c>
      <c r="H101" s="102">
        <f t="shared" si="61"/>
        <v>0</v>
      </c>
      <c r="I101" s="102">
        <f t="shared" si="61"/>
        <v>0</v>
      </c>
      <c r="J101" s="102">
        <f t="shared" si="61"/>
        <v>0</v>
      </c>
      <c r="K101" s="102">
        <f t="shared" si="61"/>
        <v>0</v>
      </c>
      <c r="L101" s="102">
        <f t="shared" si="61"/>
        <v>0</v>
      </c>
      <c r="M101" s="102">
        <f t="shared" si="61"/>
        <v>0</v>
      </c>
      <c r="N101" s="102">
        <f t="shared" si="61"/>
        <v>0</v>
      </c>
      <c r="O101" s="102">
        <f t="shared" si="61"/>
        <v>0</v>
      </c>
      <c r="P101" s="102">
        <f t="shared" si="61"/>
        <v>0</v>
      </c>
      <c r="Q101" s="102">
        <f t="shared" si="61"/>
        <v>0</v>
      </c>
      <c r="R101" s="102">
        <f t="shared" si="61"/>
        <v>0</v>
      </c>
      <c r="S101" s="102">
        <f t="shared" si="61"/>
        <v>0</v>
      </c>
      <c r="T101" s="102">
        <f t="shared" si="61"/>
        <v>0</v>
      </c>
      <c r="U101" s="102">
        <f t="shared" si="61"/>
        <v>0</v>
      </c>
      <c r="V101" s="102">
        <f t="shared" si="61"/>
        <v>0</v>
      </c>
      <c r="W101" s="102">
        <f t="shared" si="61"/>
        <v>0</v>
      </c>
      <c r="X101" s="102">
        <f t="shared" si="61"/>
        <v>0</v>
      </c>
      <c r="Y101" s="102">
        <f t="shared" si="61"/>
        <v>0</v>
      </c>
      <c r="Z101" s="102">
        <f t="shared" si="61"/>
        <v>0</v>
      </c>
      <c r="AA101" s="102">
        <f t="shared" si="61"/>
        <v>0</v>
      </c>
      <c r="AB101" s="102">
        <f t="shared" si="61"/>
        <v>0</v>
      </c>
      <c r="AC101" s="102">
        <f t="shared" si="61"/>
        <v>0</v>
      </c>
      <c r="AD101" s="102">
        <f t="shared" si="61"/>
        <v>0</v>
      </c>
      <c r="AE101" s="102">
        <f t="shared" si="61"/>
        <v>0</v>
      </c>
      <c r="AF101" s="102">
        <f t="shared" si="61"/>
        <v>0</v>
      </c>
      <c r="AG101" s="102">
        <f t="shared" si="61"/>
        <v>0</v>
      </c>
      <c r="AI101" s="124"/>
      <c r="AJ101" s="185"/>
      <c r="AL101" s="1"/>
      <c r="BC101" s="1"/>
      <c r="BD101" s="615"/>
      <c r="BE101" s="605"/>
      <c r="BF101" s="6"/>
      <c r="BG101" s="6"/>
      <c r="BH101" s="6"/>
      <c r="BI101" s="6"/>
      <c r="BJ101" s="6"/>
    </row>
    <row r="102" spans="1:63" outlineLevel="1">
      <c r="A102" t="s">
        <v>1350</v>
      </c>
      <c r="B102" s="50" t="s">
        <v>126</v>
      </c>
      <c r="C102" s="102">
        <f>C89*C98</f>
        <v>1.6999999999999998E-2</v>
      </c>
      <c r="D102" s="102">
        <f t="shared" ref="D102:AG102" si="62">D89*D98</f>
        <v>1.7918999999999997E-2</v>
      </c>
      <c r="E102" s="102">
        <f t="shared" si="62"/>
        <v>1.8815999999999996E-2</v>
      </c>
      <c r="F102" s="102">
        <f t="shared" si="62"/>
        <v>1.9690999999999997E-2</v>
      </c>
      <c r="G102" s="102">
        <f t="shared" si="62"/>
        <v>2.0543999999999996E-2</v>
      </c>
      <c r="H102" s="102">
        <f t="shared" si="62"/>
        <v>2.1374999999999998E-2</v>
      </c>
      <c r="I102" s="102">
        <f t="shared" si="62"/>
        <v>2.2183999999999995E-2</v>
      </c>
      <c r="J102" s="102">
        <f t="shared" si="62"/>
        <v>2.2970999999999995E-2</v>
      </c>
      <c r="K102" s="102">
        <f t="shared" si="62"/>
        <v>2.3735999999999997E-2</v>
      </c>
      <c r="L102" s="102">
        <f t="shared" si="62"/>
        <v>2.4478999999999997E-2</v>
      </c>
      <c r="M102" s="102">
        <f t="shared" si="62"/>
        <v>2.52E-2</v>
      </c>
      <c r="N102" s="102">
        <f t="shared" si="62"/>
        <v>2.5898999999999998E-2</v>
      </c>
      <c r="O102" s="102">
        <f t="shared" si="62"/>
        <v>2.6575999999999999E-2</v>
      </c>
      <c r="P102" s="102">
        <f t="shared" si="62"/>
        <v>2.7230999999999998E-2</v>
      </c>
      <c r="Q102" s="102">
        <f t="shared" si="62"/>
        <v>2.7863999999999993E-2</v>
      </c>
      <c r="R102" s="102">
        <f t="shared" si="62"/>
        <v>2.8474999999999993E-2</v>
      </c>
      <c r="S102" s="102">
        <f t="shared" si="62"/>
        <v>2.9063999999999996E-2</v>
      </c>
      <c r="T102" s="102">
        <f t="shared" si="62"/>
        <v>2.9630999999999994E-2</v>
      </c>
      <c r="U102" s="102">
        <f t="shared" si="62"/>
        <v>3.0175999999999991E-2</v>
      </c>
      <c r="V102" s="102">
        <f t="shared" si="62"/>
        <v>3.069899999999999E-2</v>
      </c>
      <c r="W102" s="102">
        <f t="shared" si="62"/>
        <v>3.1199999999999992E-2</v>
      </c>
      <c r="X102" s="102">
        <f t="shared" si="62"/>
        <v>3.1678999999999992E-2</v>
      </c>
      <c r="Y102" s="102">
        <f t="shared" si="62"/>
        <v>3.2135999999999991E-2</v>
      </c>
      <c r="Z102" s="102">
        <f t="shared" si="62"/>
        <v>3.2570999999999996E-2</v>
      </c>
      <c r="AA102" s="102">
        <f t="shared" si="62"/>
        <v>3.2983999999999992E-2</v>
      </c>
      <c r="AB102" s="102">
        <f t="shared" si="62"/>
        <v>3.3374999999999995E-2</v>
      </c>
      <c r="AC102" s="102">
        <f t="shared" si="62"/>
        <v>3.3743999999999996E-2</v>
      </c>
      <c r="AD102" s="102">
        <f t="shared" si="62"/>
        <v>3.4090999999999989E-2</v>
      </c>
      <c r="AE102" s="102">
        <f t="shared" si="62"/>
        <v>3.4415999999999988E-2</v>
      </c>
      <c r="AF102" s="102">
        <f t="shared" si="62"/>
        <v>3.4718999999999993E-2</v>
      </c>
      <c r="AG102" s="102">
        <f t="shared" si="62"/>
        <v>3.4999999999999989E-2</v>
      </c>
      <c r="AI102" s="125"/>
      <c r="AJ102" s="185"/>
      <c r="BC102" s="1"/>
      <c r="BD102" s="37"/>
      <c r="BF102" s="6"/>
      <c r="BG102" s="6"/>
      <c r="BH102" s="6"/>
      <c r="BI102" s="6"/>
      <c r="BJ102" s="6"/>
    </row>
    <row r="103" spans="1:63" outlineLevel="1"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I103" s="125"/>
      <c r="AJ103" s="185"/>
      <c r="BC103" s="1"/>
      <c r="BD103" s="37"/>
      <c r="BF103" s="6"/>
      <c r="BG103" s="6"/>
      <c r="BH103" s="6"/>
      <c r="BI103" s="6"/>
      <c r="BJ103" s="6"/>
    </row>
    <row r="104" spans="1:63" s="1" customFormat="1" outlineLevel="1">
      <c r="A104" s="1" t="s">
        <v>265</v>
      </c>
      <c r="B104" s="60"/>
      <c r="C104" s="250">
        <f t="shared" ref="C104:AG104" si="63">C40*C97</f>
        <v>0</v>
      </c>
      <c r="D104" s="250">
        <f t="shared" si="63"/>
        <v>218.41209292783094</v>
      </c>
      <c r="E104" s="250">
        <f t="shared" si="63"/>
        <v>462.34858478895598</v>
      </c>
      <c r="F104" s="250">
        <f t="shared" si="63"/>
        <v>731.63724130312755</v>
      </c>
      <c r="G104" s="250">
        <f t="shared" si="63"/>
        <v>1026.10659332973</v>
      </c>
      <c r="H104" s="250">
        <f t="shared" si="63"/>
        <v>1345.5859340439622</v>
      </c>
      <c r="I104" s="250">
        <f t="shared" si="63"/>
        <v>1689.9053161223899</v>
      </c>
      <c r="J104" s="250">
        <f t="shared" si="63"/>
        <v>2058.8955489378336</v>
      </c>
      <c r="K104" s="250">
        <f t="shared" si="63"/>
        <v>2452.3881957635685</v>
      </c>
      <c r="L104" s="250">
        <f t="shared" si="63"/>
        <v>2870.2155709868061</v>
      </c>
      <c r="M104" s="250">
        <f t="shared" si="63"/>
        <v>3312.2107373314284</v>
      </c>
      <c r="N104" s="250">
        <f t="shared" si="63"/>
        <v>3778.2075030899409</v>
      </c>
      <c r="O104" s="250">
        <f t="shared" si="63"/>
        <v>4268.0404193646291</v>
      </c>
      <c r="P104" s="250">
        <f t="shared" si="63"/>
        <v>4755.7244355203575</v>
      </c>
      <c r="Q104" s="250">
        <f t="shared" si="63"/>
        <v>5261.1161940929514</v>
      </c>
      <c r="R104" s="250">
        <f t="shared" si="63"/>
        <v>5783.6742815741327</v>
      </c>
      <c r="S104" s="250">
        <f t="shared" si="63"/>
        <v>6322.8615264307837</v>
      </c>
      <c r="T104" s="250">
        <f t="shared" si="63"/>
        <v>6878.1449767045233</v>
      </c>
      <c r="U104" s="250">
        <f t="shared" si="63"/>
        <v>7448.9958777079464</v>
      </c>
      <c r="V104" s="250">
        <f t="shared" si="63"/>
        <v>8034.8896498171298</v>
      </c>
      <c r="W104" s="250">
        <f t="shared" si="63"/>
        <v>8635.305866360035</v>
      </c>
      <c r="X104" s="250">
        <f t="shared" si="63"/>
        <v>9249.7282316004857</v>
      </c>
      <c r="Y104" s="250">
        <f t="shared" si="63"/>
        <v>9877.6445588172828</v>
      </c>
      <c r="Z104" s="250">
        <f t="shared" si="63"/>
        <v>10397.772450281755</v>
      </c>
      <c r="AA104" s="250">
        <f t="shared" si="63"/>
        <v>10913.896437427262</v>
      </c>
      <c r="AB104" s="250">
        <f t="shared" si="63"/>
        <v>11424.811775831808</v>
      </c>
      <c r="AC104" s="250">
        <f t="shared" si="63"/>
        <v>11929.324453785091</v>
      </c>
      <c r="AD104" s="250">
        <f t="shared" si="63"/>
        <v>12426.251132902526</v>
      </c>
      <c r="AE104" s="250">
        <f t="shared" si="63"/>
        <v>12914.419089001763</v>
      </c>
      <c r="AF104" s="250">
        <f t="shared" si="63"/>
        <v>13392.666153240682</v>
      </c>
      <c r="AG104" s="250">
        <f t="shared" si="63"/>
        <v>13859.840653515856</v>
      </c>
      <c r="AH104" s="217"/>
      <c r="AI104" s="368"/>
      <c r="AJ104" s="369"/>
      <c r="AL104" s="194"/>
      <c r="AM104" s="116"/>
      <c r="AN104" s="116"/>
      <c r="AO104" s="116"/>
      <c r="BD104" s="116"/>
      <c r="BE104" s="116"/>
      <c r="BF104" s="116"/>
      <c r="BG104" s="116"/>
      <c r="BH104" s="116"/>
      <c r="BI104" s="116"/>
      <c r="BJ104" s="116"/>
      <c r="BK104" s="116"/>
    </row>
    <row r="105" spans="1:63" s="1" customFormat="1" outlineLevel="1">
      <c r="A105" s="1" t="s">
        <v>1041</v>
      </c>
      <c r="B105" s="60"/>
      <c r="C105" s="250">
        <f t="shared" ref="C105:AG105" si="64">C104-$C104</f>
        <v>0</v>
      </c>
      <c r="D105" s="250">
        <f t="shared" si="64"/>
        <v>218.41209292783094</v>
      </c>
      <c r="E105" s="250">
        <f t="shared" si="64"/>
        <v>462.34858478895598</v>
      </c>
      <c r="F105" s="250">
        <f t="shared" si="64"/>
        <v>731.63724130312755</v>
      </c>
      <c r="G105" s="250">
        <f t="shared" si="64"/>
        <v>1026.10659332973</v>
      </c>
      <c r="H105" s="250">
        <f t="shared" si="64"/>
        <v>1345.5859340439622</v>
      </c>
      <c r="I105" s="250">
        <f t="shared" si="64"/>
        <v>1689.9053161223899</v>
      </c>
      <c r="J105" s="250">
        <f t="shared" si="64"/>
        <v>2058.8955489378336</v>
      </c>
      <c r="K105" s="250">
        <f t="shared" si="64"/>
        <v>2452.3881957635685</v>
      </c>
      <c r="L105" s="250">
        <f t="shared" si="64"/>
        <v>2870.2155709868061</v>
      </c>
      <c r="M105" s="250">
        <f t="shared" si="64"/>
        <v>3312.2107373314284</v>
      </c>
      <c r="N105" s="250">
        <f t="shared" si="64"/>
        <v>3778.2075030899409</v>
      </c>
      <c r="O105" s="250">
        <f t="shared" si="64"/>
        <v>4268.0404193646291</v>
      </c>
      <c r="P105" s="250">
        <f t="shared" si="64"/>
        <v>4755.7244355203575</v>
      </c>
      <c r="Q105" s="250">
        <f t="shared" si="64"/>
        <v>5261.1161940929514</v>
      </c>
      <c r="R105" s="250">
        <f t="shared" si="64"/>
        <v>5783.6742815741327</v>
      </c>
      <c r="S105" s="250">
        <f t="shared" si="64"/>
        <v>6322.8615264307837</v>
      </c>
      <c r="T105" s="250">
        <f t="shared" si="64"/>
        <v>6878.1449767045233</v>
      </c>
      <c r="U105" s="250">
        <f t="shared" si="64"/>
        <v>7448.9958777079464</v>
      </c>
      <c r="V105" s="250">
        <f t="shared" si="64"/>
        <v>8034.8896498171298</v>
      </c>
      <c r="W105" s="250">
        <f t="shared" si="64"/>
        <v>8635.305866360035</v>
      </c>
      <c r="X105" s="250">
        <f t="shared" si="64"/>
        <v>9249.7282316004857</v>
      </c>
      <c r="Y105" s="250">
        <f t="shared" si="64"/>
        <v>9877.6445588172828</v>
      </c>
      <c r="Z105" s="250">
        <f t="shared" si="64"/>
        <v>10397.772450281755</v>
      </c>
      <c r="AA105" s="250">
        <f t="shared" si="64"/>
        <v>10913.896437427262</v>
      </c>
      <c r="AB105" s="250">
        <f t="shared" si="64"/>
        <v>11424.811775831808</v>
      </c>
      <c r="AC105" s="250">
        <f t="shared" si="64"/>
        <v>11929.324453785091</v>
      </c>
      <c r="AD105" s="250">
        <f t="shared" si="64"/>
        <v>12426.251132902526</v>
      </c>
      <c r="AE105" s="250">
        <f t="shared" si="64"/>
        <v>12914.419089001763</v>
      </c>
      <c r="AF105" s="250">
        <f t="shared" si="64"/>
        <v>13392.666153240682</v>
      </c>
      <c r="AG105" s="250">
        <f t="shared" si="64"/>
        <v>13859.840653515856</v>
      </c>
      <c r="AH105" s="217"/>
      <c r="AI105" s="368"/>
      <c r="AJ105" s="369"/>
      <c r="AL105" s="194"/>
      <c r="AM105" s="116"/>
      <c r="AN105" s="116"/>
      <c r="AO105" s="116"/>
      <c r="BD105" s="116"/>
      <c r="BE105" s="116"/>
      <c r="BF105" s="116"/>
      <c r="BG105" s="116"/>
      <c r="BH105" s="116"/>
      <c r="BI105" s="116"/>
      <c r="BJ105" s="116"/>
      <c r="BK105" s="116"/>
    </row>
    <row r="106" spans="1:63" s="1" customFormat="1" outlineLevel="1">
      <c r="A106" s="1" t="s">
        <v>1044</v>
      </c>
      <c r="B106" s="60"/>
      <c r="C106" s="250">
        <f t="shared" ref="C106:AG106" si="65">C40*C100</f>
        <v>18503.306116487794</v>
      </c>
      <c r="D106" s="250">
        <f t="shared" si="65"/>
        <v>19460.517479869737</v>
      </c>
      <c r="E106" s="250">
        <f t="shared" si="65"/>
        <v>20389.572589192958</v>
      </c>
      <c r="F106" s="250">
        <f t="shared" si="65"/>
        <v>21290.643721921013</v>
      </c>
      <c r="G106" s="250">
        <f t="shared" si="65"/>
        <v>22163.902415922163</v>
      </c>
      <c r="H106" s="250">
        <f t="shared" si="65"/>
        <v>23009.519472151751</v>
      </c>
      <c r="I106" s="250">
        <f t="shared" si="65"/>
        <v>23827.664957325691</v>
      </c>
      <c r="J106" s="250">
        <f t="shared" si="65"/>
        <v>24618.508206585233</v>
      </c>
      <c r="K106" s="250">
        <f t="shared" si="65"/>
        <v>25382.21782615293</v>
      </c>
      <c r="L106" s="250">
        <f t="shared" si="65"/>
        <v>26118.961695979939</v>
      </c>
      <c r="M106" s="250">
        <f t="shared" si="65"/>
        <v>26828.906972384579</v>
      </c>
      <c r="N106" s="250">
        <f t="shared" si="65"/>
        <v>27512.220090682215</v>
      </c>
      <c r="O106" s="250">
        <f t="shared" si="65"/>
        <v>28169.066767806558</v>
      </c>
      <c r="P106" s="250">
        <f t="shared" si="65"/>
        <v>28644.094100095699</v>
      </c>
      <c r="Q106" s="250">
        <f t="shared" si="65"/>
        <v>29086.456673056746</v>
      </c>
      <c r="R106" s="250">
        <f t="shared" si="65"/>
        <v>29496.738836028078</v>
      </c>
      <c r="S106" s="250">
        <f t="shared" si="65"/>
        <v>29875.520712385456</v>
      </c>
      <c r="T106" s="250">
        <f t="shared" si="65"/>
        <v>30223.378221166342</v>
      </c>
      <c r="U106" s="250">
        <f t="shared" si="65"/>
        <v>30540.883098602575</v>
      </c>
      <c r="V106" s="250">
        <f t="shared" si="65"/>
        <v>30828.602919561508</v>
      </c>
      <c r="W106" s="250">
        <f t="shared" si="65"/>
        <v>31087.101118896117</v>
      </c>
      <c r="X106" s="250">
        <f t="shared" si="65"/>
        <v>31316.937012704486</v>
      </c>
      <c r="Y106" s="250">
        <f t="shared" si="65"/>
        <v>31518.665819498772</v>
      </c>
      <c r="Z106" s="250">
        <f t="shared" si="65"/>
        <v>31328.940469761968</v>
      </c>
      <c r="AA106" s="250">
        <f t="shared" si="65"/>
        <v>31104.60484666768</v>
      </c>
      <c r="AB106" s="250">
        <f t="shared" si="65"/>
        <v>30846.991794745874</v>
      </c>
      <c r="AC106" s="250">
        <f t="shared" si="65"/>
        <v>30557.423408541803</v>
      </c>
      <c r="AD106" s="250">
        <f t="shared" si="65"/>
        <v>30237.211090062803</v>
      </c>
      <c r="AE106" s="250">
        <f t="shared" si="65"/>
        <v>29887.655605975498</v>
      </c>
      <c r="AF106" s="250">
        <f t="shared" si="65"/>
        <v>29510.047144554457</v>
      </c>
      <c r="AG106" s="250">
        <f t="shared" si="65"/>
        <v>29105.665372383301</v>
      </c>
      <c r="AH106" s="217"/>
      <c r="AI106" s="368"/>
      <c r="AJ106" s="369"/>
      <c r="AL106" s="194"/>
      <c r="AM106" s="116"/>
      <c r="AN106" s="116"/>
      <c r="AO106" s="116"/>
      <c r="BD106" s="116"/>
      <c r="BE106" s="116"/>
      <c r="BF106" s="116"/>
      <c r="BG106" s="116"/>
      <c r="BH106" s="116"/>
      <c r="BI106" s="116"/>
      <c r="BJ106" s="116"/>
      <c r="BK106" s="116"/>
    </row>
    <row r="107" spans="1:63" s="1" customFormat="1" outlineLevel="1">
      <c r="A107" s="1" t="s">
        <v>1047</v>
      </c>
      <c r="B107" s="60"/>
      <c r="C107" s="250">
        <f t="shared" ref="C107:AG107" si="66">C106-$C106</f>
        <v>0</v>
      </c>
      <c r="D107" s="250">
        <f t="shared" si="66"/>
        <v>957.21136338194265</v>
      </c>
      <c r="E107" s="250">
        <f t="shared" si="66"/>
        <v>1886.2664727051633</v>
      </c>
      <c r="F107" s="250">
        <f t="shared" si="66"/>
        <v>2787.3376054332184</v>
      </c>
      <c r="G107" s="250">
        <f t="shared" si="66"/>
        <v>3660.5962994343681</v>
      </c>
      <c r="H107" s="250">
        <f t="shared" si="66"/>
        <v>4506.2133556639565</v>
      </c>
      <c r="I107" s="250">
        <f t="shared" si="66"/>
        <v>5324.3588408378964</v>
      </c>
      <c r="J107" s="250">
        <f t="shared" si="66"/>
        <v>6115.2020900974385</v>
      </c>
      <c r="K107" s="250">
        <f t="shared" si="66"/>
        <v>6878.9117096651353</v>
      </c>
      <c r="L107" s="250">
        <f t="shared" si="66"/>
        <v>7615.6555794921442</v>
      </c>
      <c r="M107" s="250">
        <f t="shared" si="66"/>
        <v>8325.6008558967842</v>
      </c>
      <c r="N107" s="250">
        <f t="shared" si="66"/>
        <v>9008.91397419442</v>
      </c>
      <c r="O107" s="250">
        <f t="shared" si="66"/>
        <v>9665.7606513187638</v>
      </c>
      <c r="P107" s="250">
        <f t="shared" si="66"/>
        <v>10140.787983607905</v>
      </c>
      <c r="Q107" s="250">
        <f t="shared" si="66"/>
        <v>10583.150556568951</v>
      </c>
      <c r="R107" s="250">
        <f t="shared" si="66"/>
        <v>10993.432719540284</v>
      </c>
      <c r="S107" s="250">
        <f t="shared" si="66"/>
        <v>11372.214595897662</v>
      </c>
      <c r="T107" s="250">
        <f t="shared" si="66"/>
        <v>11720.072104678547</v>
      </c>
      <c r="U107" s="250">
        <f t="shared" si="66"/>
        <v>12037.576982114781</v>
      </c>
      <c r="V107" s="250">
        <f t="shared" si="66"/>
        <v>12325.296803073714</v>
      </c>
      <c r="W107" s="250">
        <f t="shared" si="66"/>
        <v>12583.795002408322</v>
      </c>
      <c r="X107" s="250">
        <f t="shared" si="66"/>
        <v>12813.630896216691</v>
      </c>
      <c r="Y107" s="250">
        <f t="shared" si="66"/>
        <v>13015.359703010978</v>
      </c>
      <c r="Z107" s="250">
        <f t="shared" si="66"/>
        <v>12825.634353274174</v>
      </c>
      <c r="AA107" s="250">
        <f t="shared" si="66"/>
        <v>12601.298730179886</v>
      </c>
      <c r="AB107" s="250">
        <f t="shared" si="66"/>
        <v>12343.68567825808</v>
      </c>
      <c r="AC107" s="250">
        <f t="shared" si="66"/>
        <v>12054.117292054008</v>
      </c>
      <c r="AD107" s="250">
        <f t="shared" si="66"/>
        <v>11733.904973575009</v>
      </c>
      <c r="AE107" s="250">
        <f t="shared" si="66"/>
        <v>11384.349489487704</v>
      </c>
      <c r="AF107" s="250">
        <f t="shared" si="66"/>
        <v>11006.741028066663</v>
      </c>
      <c r="AG107" s="250">
        <f t="shared" si="66"/>
        <v>10602.359255895506</v>
      </c>
      <c r="AH107" s="217"/>
      <c r="AI107" s="368"/>
      <c r="AJ107" s="369"/>
      <c r="AL107" s="194"/>
      <c r="AM107" s="116"/>
      <c r="AN107" s="116"/>
      <c r="AO107" s="116"/>
      <c r="BD107" s="116"/>
      <c r="BE107" s="116"/>
      <c r="BF107" s="116"/>
      <c r="BG107" s="116"/>
      <c r="BH107" s="116"/>
      <c r="BI107" s="116"/>
      <c r="BJ107" s="116"/>
      <c r="BK107" s="116"/>
    </row>
    <row r="108" spans="1:63" s="1" customFormat="1" outlineLevel="1">
      <c r="A108" s="1" t="s">
        <v>1048</v>
      </c>
      <c r="B108" s="60"/>
      <c r="C108" s="250">
        <f t="shared" ref="C108:AG108" si="67">C40*C101</f>
        <v>0</v>
      </c>
      <c r="D108" s="250">
        <f t="shared" si="67"/>
        <v>0</v>
      </c>
      <c r="E108" s="250">
        <f t="shared" si="67"/>
        <v>0</v>
      </c>
      <c r="F108" s="250">
        <f t="shared" si="67"/>
        <v>0</v>
      </c>
      <c r="G108" s="250">
        <f t="shared" si="67"/>
        <v>0</v>
      </c>
      <c r="H108" s="250">
        <f t="shared" si="67"/>
        <v>0</v>
      </c>
      <c r="I108" s="250">
        <f t="shared" si="67"/>
        <v>0</v>
      </c>
      <c r="J108" s="250">
        <f t="shared" si="67"/>
        <v>0</v>
      </c>
      <c r="K108" s="250">
        <f t="shared" si="67"/>
        <v>0</v>
      </c>
      <c r="L108" s="250">
        <f t="shared" si="67"/>
        <v>0</v>
      </c>
      <c r="M108" s="250">
        <f t="shared" si="67"/>
        <v>0</v>
      </c>
      <c r="N108" s="250">
        <f t="shared" si="67"/>
        <v>0</v>
      </c>
      <c r="O108" s="250">
        <f t="shared" si="67"/>
        <v>0</v>
      </c>
      <c r="P108" s="250">
        <f t="shared" si="67"/>
        <v>0</v>
      </c>
      <c r="Q108" s="250">
        <f t="shared" si="67"/>
        <v>0</v>
      </c>
      <c r="R108" s="250">
        <f t="shared" si="67"/>
        <v>0</v>
      </c>
      <c r="S108" s="250">
        <f t="shared" si="67"/>
        <v>0</v>
      </c>
      <c r="T108" s="250">
        <f t="shared" si="67"/>
        <v>0</v>
      </c>
      <c r="U108" s="250">
        <f t="shared" si="67"/>
        <v>0</v>
      </c>
      <c r="V108" s="250">
        <f t="shared" si="67"/>
        <v>0</v>
      </c>
      <c r="W108" s="250">
        <f t="shared" si="67"/>
        <v>0</v>
      </c>
      <c r="X108" s="250">
        <f t="shared" si="67"/>
        <v>0</v>
      </c>
      <c r="Y108" s="250">
        <f t="shared" si="67"/>
        <v>0</v>
      </c>
      <c r="Z108" s="250">
        <f t="shared" si="67"/>
        <v>0</v>
      </c>
      <c r="AA108" s="250">
        <f t="shared" si="67"/>
        <v>0</v>
      </c>
      <c r="AB108" s="250">
        <f t="shared" si="67"/>
        <v>0</v>
      </c>
      <c r="AC108" s="250">
        <f t="shared" si="67"/>
        <v>0</v>
      </c>
      <c r="AD108" s="250">
        <f t="shared" si="67"/>
        <v>0</v>
      </c>
      <c r="AE108" s="250">
        <f t="shared" si="67"/>
        <v>0</v>
      </c>
      <c r="AF108" s="250">
        <f t="shared" si="67"/>
        <v>0</v>
      </c>
      <c r="AG108" s="250">
        <f t="shared" si="67"/>
        <v>0</v>
      </c>
      <c r="AH108" s="217"/>
      <c r="AI108" s="368"/>
      <c r="AJ108" s="369"/>
      <c r="AL108" s="194"/>
      <c r="AM108" s="116"/>
      <c r="AN108" s="116"/>
      <c r="AO108" s="116"/>
      <c r="BD108" s="116"/>
      <c r="BE108" s="116"/>
      <c r="BF108" s="116"/>
      <c r="BG108" s="116"/>
      <c r="BH108" s="116"/>
      <c r="BI108" s="116"/>
      <c r="BJ108" s="116"/>
      <c r="BK108" s="116"/>
    </row>
    <row r="109" spans="1:63" s="1" customFormat="1" outlineLevel="1">
      <c r="A109" s="1" t="s">
        <v>1049</v>
      </c>
      <c r="B109" s="60"/>
      <c r="C109" s="250">
        <f t="shared" ref="C109:AG109" si="68">C108-$C108</f>
        <v>0</v>
      </c>
      <c r="D109" s="250">
        <f t="shared" si="68"/>
        <v>0</v>
      </c>
      <c r="E109" s="250">
        <f t="shared" si="68"/>
        <v>0</v>
      </c>
      <c r="F109" s="250">
        <f t="shared" si="68"/>
        <v>0</v>
      </c>
      <c r="G109" s="250">
        <f t="shared" si="68"/>
        <v>0</v>
      </c>
      <c r="H109" s="250">
        <f t="shared" si="68"/>
        <v>0</v>
      </c>
      <c r="I109" s="250">
        <f t="shared" si="68"/>
        <v>0</v>
      </c>
      <c r="J109" s="250">
        <f t="shared" si="68"/>
        <v>0</v>
      </c>
      <c r="K109" s="250">
        <f t="shared" si="68"/>
        <v>0</v>
      </c>
      <c r="L109" s="250">
        <f t="shared" si="68"/>
        <v>0</v>
      </c>
      <c r="M109" s="250">
        <f t="shared" si="68"/>
        <v>0</v>
      </c>
      <c r="N109" s="250">
        <f t="shared" si="68"/>
        <v>0</v>
      </c>
      <c r="O109" s="250">
        <f t="shared" si="68"/>
        <v>0</v>
      </c>
      <c r="P109" s="250">
        <f t="shared" si="68"/>
        <v>0</v>
      </c>
      <c r="Q109" s="250">
        <f t="shared" si="68"/>
        <v>0</v>
      </c>
      <c r="R109" s="250">
        <f t="shared" si="68"/>
        <v>0</v>
      </c>
      <c r="S109" s="250">
        <f t="shared" si="68"/>
        <v>0</v>
      </c>
      <c r="T109" s="250">
        <f t="shared" si="68"/>
        <v>0</v>
      </c>
      <c r="U109" s="250">
        <f t="shared" si="68"/>
        <v>0</v>
      </c>
      <c r="V109" s="250">
        <f t="shared" si="68"/>
        <v>0</v>
      </c>
      <c r="W109" s="250">
        <f t="shared" si="68"/>
        <v>0</v>
      </c>
      <c r="X109" s="250">
        <f t="shared" si="68"/>
        <v>0</v>
      </c>
      <c r="Y109" s="250">
        <f t="shared" si="68"/>
        <v>0</v>
      </c>
      <c r="Z109" s="250">
        <f t="shared" si="68"/>
        <v>0</v>
      </c>
      <c r="AA109" s="250">
        <f t="shared" si="68"/>
        <v>0</v>
      </c>
      <c r="AB109" s="250">
        <f t="shared" si="68"/>
        <v>0</v>
      </c>
      <c r="AC109" s="250">
        <f t="shared" si="68"/>
        <v>0</v>
      </c>
      <c r="AD109" s="250">
        <f t="shared" si="68"/>
        <v>0</v>
      </c>
      <c r="AE109" s="250">
        <f t="shared" si="68"/>
        <v>0</v>
      </c>
      <c r="AF109" s="250">
        <f t="shared" si="68"/>
        <v>0</v>
      </c>
      <c r="AG109" s="250">
        <f t="shared" si="68"/>
        <v>0</v>
      </c>
      <c r="AH109" s="217"/>
      <c r="AI109" s="368"/>
      <c r="AJ109" s="369"/>
      <c r="AL109" s="194"/>
      <c r="AM109" s="116"/>
      <c r="AN109" s="116"/>
      <c r="AO109" s="116"/>
      <c r="BD109" s="116"/>
      <c r="BE109" s="116"/>
      <c r="BF109" s="116"/>
      <c r="BG109" s="116"/>
      <c r="BH109" s="116"/>
      <c r="BI109" s="116"/>
      <c r="BJ109" s="116"/>
      <c r="BK109" s="116"/>
    </row>
    <row r="110" spans="1:63" s="1" customFormat="1" outlineLevel="1">
      <c r="A110" s="1" t="s">
        <v>1043</v>
      </c>
      <c r="B110" s="60"/>
      <c r="C110" s="250">
        <f t="shared" ref="C110:AG110" si="69">C40*C102</f>
        <v>2055.9229018319766</v>
      </c>
      <c r="D110" s="250">
        <f t="shared" si="69"/>
        <v>2162.2797199855258</v>
      </c>
      <c r="E110" s="250">
        <f t="shared" si="69"/>
        <v>2265.5080654658836</v>
      </c>
      <c r="F110" s="250">
        <f t="shared" si="69"/>
        <v>2365.6270802134454</v>
      </c>
      <c r="G110" s="250">
        <f t="shared" si="69"/>
        <v>2462.6558239913506</v>
      </c>
      <c r="H110" s="250">
        <f t="shared" si="69"/>
        <v>2556.6132746835274</v>
      </c>
      <c r="I110" s="250">
        <f t="shared" si="69"/>
        <v>2647.5183285917428</v>
      </c>
      <c r="J110" s="250">
        <f t="shared" si="69"/>
        <v>2735.389800731692</v>
      </c>
      <c r="K110" s="250">
        <f t="shared" si="69"/>
        <v>2820.2464251281031</v>
      </c>
      <c r="L110" s="250">
        <f t="shared" si="69"/>
        <v>2902.1068551088811</v>
      </c>
      <c r="M110" s="250">
        <f t="shared" si="69"/>
        <v>2980.9896635982855</v>
      </c>
      <c r="N110" s="250">
        <f t="shared" si="69"/>
        <v>3056.9133434091341</v>
      </c>
      <c r="O110" s="250">
        <f t="shared" si="69"/>
        <v>3129.8963075340612</v>
      </c>
      <c r="P110" s="250">
        <f t="shared" si="69"/>
        <v>3182.6771222328548</v>
      </c>
      <c r="Q110" s="250">
        <f t="shared" si="69"/>
        <v>3231.8285192285266</v>
      </c>
      <c r="R110" s="250">
        <f t="shared" si="69"/>
        <v>3277.415426225341</v>
      </c>
      <c r="S110" s="250">
        <f t="shared" si="69"/>
        <v>3319.5023013761606</v>
      </c>
      <c r="T110" s="250">
        <f t="shared" si="69"/>
        <v>3358.1531356851488</v>
      </c>
      <c r="U110" s="250">
        <f t="shared" si="69"/>
        <v>3393.4314554002854</v>
      </c>
      <c r="V110" s="250">
        <f t="shared" si="69"/>
        <v>3425.4003243957218</v>
      </c>
      <c r="W110" s="250">
        <f t="shared" si="69"/>
        <v>3454.1223465440121</v>
      </c>
      <c r="X110" s="250">
        <f t="shared" si="69"/>
        <v>3479.6596680782759</v>
      </c>
      <c r="Y110" s="250">
        <f t="shared" si="69"/>
        <v>3502.0739799443077</v>
      </c>
      <c r="Z110" s="250">
        <f t="shared" si="69"/>
        <v>3480.9933855291074</v>
      </c>
      <c r="AA110" s="250">
        <f t="shared" si="69"/>
        <v>3456.0672051852976</v>
      </c>
      <c r="AB110" s="250">
        <f t="shared" si="69"/>
        <v>3427.4435327495412</v>
      </c>
      <c r="AC110" s="250">
        <f t="shared" si="69"/>
        <v>3395.2692676157553</v>
      </c>
      <c r="AD110" s="250">
        <f t="shared" si="69"/>
        <v>3359.6901211180884</v>
      </c>
      <c r="AE110" s="250">
        <f t="shared" si="69"/>
        <v>3320.8506228861656</v>
      </c>
      <c r="AF110" s="250">
        <f t="shared" si="69"/>
        <v>3278.8941271727167</v>
      </c>
      <c r="AG110" s="250">
        <f t="shared" si="69"/>
        <v>3233.962819153699</v>
      </c>
      <c r="AH110" s="217"/>
      <c r="AI110" s="368"/>
      <c r="AJ110" s="369"/>
      <c r="AL110" s="194"/>
      <c r="AM110" s="116"/>
      <c r="AN110" s="116"/>
      <c r="AO110" s="116"/>
      <c r="BD110" s="116"/>
      <c r="BE110" s="116"/>
      <c r="BF110" s="116"/>
      <c r="BG110" s="116"/>
      <c r="BH110" s="116"/>
      <c r="BI110" s="116"/>
      <c r="BJ110" s="116"/>
      <c r="BK110" s="116"/>
    </row>
    <row r="111" spans="1:63" s="1" customFormat="1" outlineLevel="1">
      <c r="A111" s="1" t="s">
        <v>1046</v>
      </c>
      <c r="B111" s="60"/>
      <c r="C111" s="250">
        <f t="shared" ref="C111:AG111" si="70">C110-$C110</f>
        <v>0</v>
      </c>
      <c r="D111" s="250">
        <f t="shared" si="70"/>
        <v>106.35681815354928</v>
      </c>
      <c r="E111" s="250">
        <f t="shared" si="70"/>
        <v>209.58516363390709</v>
      </c>
      <c r="F111" s="250">
        <f t="shared" si="70"/>
        <v>309.70417838146886</v>
      </c>
      <c r="G111" s="250">
        <f t="shared" si="70"/>
        <v>406.73292215937408</v>
      </c>
      <c r="H111" s="250">
        <f t="shared" si="70"/>
        <v>500.69037285155082</v>
      </c>
      <c r="I111" s="250">
        <f t="shared" si="70"/>
        <v>591.59542675976627</v>
      </c>
      <c r="J111" s="250">
        <f t="shared" si="70"/>
        <v>679.46689889971549</v>
      </c>
      <c r="K111" s="250">
        <f t="shared" si="70"/>
        <v>764.3235232961265</v>
      </c>
      <c r="L111" s="250">
        <f t="shared" si="70"/>
        <v>846.1839532769045</v>
      </c>
      <c r="M111" s="250">
        <f t="shared" si="70"/>
        <v>925.0667617663089</v>
      </c>
      <c r="N111" s="250">
        <f t="shared" si="70"/>
        <v>1000.9904415771575</v>
      </c>
      <c r="O111" s="250">
        <f t="shared" si="70"/>
        <v>1073.9734057020846</v>
      </c>
      <c r="P111" s="250">
        <f t="shared" si="70"/>
        <v>1126.7542204008782</v>
      </c>
      <c r="Q111" s="250">
        <f t="shared" si="70"/>
        <v>1175.90561739655</v>
      </c>
      <c r="R111" s="250">
        <f t="shared" si="70"/>
        <v>1221.4925243933644</v>
      </c>
      <c r="S111" s="250">
        <f t="shared" si="70"/>
        <v>1263.5793995441841</v>
      </c>
      <c r="T111" s="250">
        <f t="shared" si="70"/>
        <v>1302.2302338531722</v>
      </c>
      <c r="U111" s="250">
        <f t="shared" si="70"/>
        <v>1337.5085535683088</v>
      </c>
      <c r="V111" s="250">
        <f t="shared" si="70"/>
        <v>1369.4774225637452</v>
      </c>
      <c r="W111" s="250">
        <f t="shared" si="70"/>
        <v>1398.1994447120355</v>
      </c>
      <c r="X111" s="250">
        <f t="shared" si="70"/>
        <v>1423.7367662462993</v>
      </c>
      <c r="Y111" s="250">
        <f t="shared" si="70"/>
        <v>1446.1510781123311</v>
      </c>
      <c r="Z111" s="250">
        <f t="shared" si="70"/>
        <v>1425.0704836971308</v>
      </c>
      <c r="AA111" s="250">
        <f t="shared" si="70"/>
        <v>1400.144303353321</v>
      </c>
      <c r="AB111" s="250">
        <f t="shared" si="70"/>
        <v>1371.5206309175646</v>
      </c>
      <c r="AC111" s="250">
        <f t="shared" si="70"/>
        <v>1339.3463657837788</v>
      </c>
      <c r="AD111" s="250">
        <f t="shared" si="70"/>
        <v>1303.7672192861119</v>
      </c>
      <c r="AE111" s="250">
        <f t="shared" si="70"/>
        <v>1264.9277210541891</v>
      </c>
      <c r="AF111" s="250">
        <f t="shared" si="70"/>
        <v>1222.9712253407401</v>
      </c>
      <c r="AG111" s="250">
        <f t="shared" si="70"/>
        <v>1178.0399173217224</v>
      </c>
      <c r="AH111" s="217"/>
      <c r="AI111" s="368"/>
      <c r="AJ111" s="369"/>
      <c r="AL111" s="194"/>
      <c r="AM111" s="116"/>
      <c r="AN111" s="116"/>
      <c r="AO111" s="116"/>
      <c r="BD111" s="116"/>
      <c r="BE111" s="116"/>
      <c r="BF111" s="116"/>
      <c r="BG111" s="116"/>
      <c r="BH111" s="116"/>
      <c r="BI111" s="116"/>
      <c r="BJ111" s="116"/>
      <c r="BK111" s="116"/>
    </row>
    <row r="112" spans="1:63" outlineLevel="1">
      <c r="C112" s="10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J112" s="185"/>
      <c r="AM112" s="115"/>
      <c r="AN112" s="115"/>
    </row>
    <row r="113" spans="1:63" s="174" customFormat="1" ht="15.5" thickBot="1">
      <c r="A113" s="174" t="s">
        <v>432</v>
      </c>
      <c r="B113" s="189"/>
      <c r="C113" s="197">
        <f>C114</f>
        <v>0</v>
      </c>
      <c r="D113" s="197">
        <f t="shared" ref="D113:AG113" si="71">D114</f>
        <v>0</v>
      </c>
      <c r="E113" s="197">
        <f t="shared" si="71"/>
        <v>0</v>
      </c>
      <c r="F113" s="197">
        <f t="shared" si="71"/>
        <v>0</v>
      </c>
      <c r="G113" s="197">
        <f t="shared" si="71"/>
        <v>0</v>
      </c>
      <c r="H113" s="197">
        <f t="shared" si="71"/>
        <v>0</v>
      </c>
      <c r="I113" s="197">
        <f t="shared" si="71"/>
        <v>0</v>
      </c>
      <c r="J113" s="197">
        <f t="shared" si="71"/>
        <v>0</v>
      </c>
      <c r="K113" s="197">
        <f t="shared" si="71"/>
        <v>0</v>
      </c>
      <c r="L113" s="197">
        <f t="shared" si="71"/>
        <v>0</v>
      </c>
      <c r="M113" s="197">
        <f t="shared" si="71"/>
        <v>0</v>
      </c>
      <c r="N113" s="197">
        <f t="shared" si="71"/>
        <v>0</v>
      </c>
      <c r="O113" s="197">
        <f t="shared" si="71"/>
        <v>0</v>
      </c>
      <c r="P113" s="197">
        <f t="shared" si="71"/>
        <v>0</v>
      </c>
      <c r="Q113" s="197">
        <f t="shared" si="71"/>
        <v>0</v>
      </c>
      <c r="R113" s="197">
        <f t="shared" si="71"/>
        <v>0</v>
      </c>
      <c r="S113" s="197">
        <f t="shared" si="71"/>
        <v>0</v>
      </c>
      <c r="T113" s="197">
        <f t="shared" si="71"/>
        <v>0</v>
      </c>
      <c r="U113" s="197">
        <f t="shared" si="71"/>
        <v>0</v>
      </c>
      <c r="V113" s="197">
        <f t="shared" si="71"/>
        <v>0</v>
      </c>
      <c r="W113" s="197">
        <f t="shared" si="71"/>
        <v>0</v>
      </c>
      <c r="X113" s="197">
        <f t="shared" si="71"/>
        <v>0</v>
      </c>
      <c r="Y113" s="197">
        <f t="shared" si="71"/>
        <v>0</v>
      </c>
      <c r="Z113" s="197">
        <f t="shared" si="71"/>
        <v>0</v>
      </c>
      <c r="AA113" s="197">
        <f t="shared" si="71"/>
        <v>0</v>
      </c>
      <c r="AB113" s="197">
        <f t="shared" si="71"/>
        <v>0</v>
      </c>
      <c r="AC113" s="197">
        <f t="shared" si="71"/>
        <v>0</v>
      </c>
      <c r="AD113" s="197">
        <f t="shared" si="71"/>
        <v>0</v>
      </c>
      <c r="AE113" s="197">
        <f t="shared" si="71"/>
        <v>0</v>
      </c>
      <c r="AF113" s="197">
        <f t="shared" si="71"/>
        <v>0</v>
      </c>
      <c r="AG113" s="197">
        <f t="shared" si="71"/>
        <v>0</v>
      </c>
      <c r="AJ113" s="204" t="s">
        <v>456</v>
      </c>
      <c r="AL113" s="191"/>
      <c r="AM113" s="198"/>
      <c r="AN113" s="198"/>
      <c r="AO113" s="198"/>
    </row>
    <row r="114" spans="1:63" ht="15.5" outlineLevel="1" thickTop="1">
      <c r="A114" t="s">
        <v>433</v>
      </c>
      <c r="B114" s="50" t="s">
        <v>126</v>
      </c>
      <c r="C114" s="188">
        <v>0</v>
      </c>
      <c r="D114" s="102">
        <f>$C114+($M114-$C114)/10*(D$1-$C$1)</f>
        <v>0</v>
      </c>
      <c r="E114" s="102">
        <f t="shared" ref="E114:L114" si="72">$C114+($M114-$C114)/10*(E$1-$C$1)</f>
        <v>0</v>
      </c>
      <c r="F114" s="102">
        <f t="shared" si="72"/>
        <v>0</v>
      </c>
      <c r="G114" s="102">
        <f t="shared" si="72"/>
        <v>0</v>
      </c>
      <c r="H114" s="102">
        <f t="shared" si="72"/>
        <v>0</v>
      </c>
      <c r="I114" s="102">
        <f t="shared" si="72"/>
        <v>0</v>
      </c>
      <c r="J114" s="102">
        <f t="shared" si="72"/>
        <v>0</v>
      </c>
      <c r="K114" s="102">
        <f t="shared" si="72"/>
        <v>0</v>
      </c>
      <c r="L114" s="102">
        <f t="shared" si="72"/>
        <v>0</v>
      </c>
      <c r="M114" s="113">
        <v>0</v>
      </c>
      <c r="N114" s="113">
        <f>$M114+($W114-$M114)/10*(N$1-$M$1)</f>
        <v>0</v>
      </c>
      <c r="O114" s="113">
        <f t="shared" ref="O114:U114" si="73">$M114+($W114-$M114)/10*(O$1-$M$1)</f>
        <v>0</v>
      </c>
      <c r="P114" s="113">
        <f t="shared" si="73"/>
        <v>0</v>
      </c>
      <c r="Q114" s="113">
        <f t="shared" si="73"/>
        <v>0</v>
      </c>
      <c r="R114" s="113">
        <f t="shared" si="73"/>
        <v>0</v>
      </c>
      <c r="S114" s="113">
        <f t="shared" si="73"/>
        <v>0</v>
      </c>
      <c r="T114" s="113">
        <f t="shared" si="73"/>
        <v>0</v>
      </c>
      <c r="U114" s="113">
        <f t="shared" si="73"/>
        <v>0</v>
      </c>
      <c r="V114" s="113">
        <f>$M114+($W114-$M114)/10*(V$1-$M$1)</f>
        <v>0</v>
      </c>
      <c r="W114" s="113">
        <v>0</v>
      </c>
      <c r="X114" s="102">
        <f>$W114+($AG114-$W114)/10*(X$1-$W$1)</f>
        <v>0</v>
      </c>
      <c r="Y114" s="102">
        <f t="shared" ref="Y114:AF114" si="74">$W114+($AG114-$W114)/10*(Y$1-$W$1)</f>
        <v>0</v>
      </c>
      <c r="Z114" s="102">
        <f t="shared" si="74"/>
        <v>0</v>
      </c>
      <c r="AA114" s="102">
        <f t="shared" si="74"/>
        <v>0</v>
      </c>
      <c r="AB114" s="102">
        <f t="shared" si="74"/>
        <v>0</v>
      </c>
      <c r="AC114" s="102">
        <f t="shared" si="74"/>
        <v>0</v>
      </c>
      <c r="AD114" s="102">
        <f t="shared" si="74"/>
        <v>0</v>
      </c>
      <c r="AE114" s="102">
        <f t="shared" si="74"/>
        <v>0</v>
      </c>
      <c r="AF114" s="102">
        <f t="shared" si="74"/>
        <v>0</v>
      </c>
      <c r="AG114" s="188">
        <v>0</v>
      </c>
      <c r="AJ114" s="185" t="s">
        <v>438</v>
      </c>
    </row>
    <row r="115" spans="1:63" outlineLevel="1">
      <c r="A115" t="s">
        <v>434</v>
      </c>
      <c r="B115" s="50" t="s">
        <v>126</v>
      </c>
      <c r="C115" s="188">
        <v>0</v>
      </c>
      <c r="D115" s="102">
        <f t="shared" ref="D115:L115" si="75">C115-($C$115-$AG$115)/($AG$1-$C$1)</f>
        <v>0</v>
      </c>
      <c r="E115" s="102">
        <f t="shared" si="75"/>
        <v>0</v>
      </c>
      <c r="F115" s="102">
        <f t="shared" si="75"/>
        <v>0</v>
      </c>
      <c r="G115" s="102">
        <f t="shared" si="75"/>
        <v>0</v>
      </c>
      <c r="H115" s="102">
        <f t="shared" si="75"/>
        <v>0</v>
      </c>
      <c r="I115" s="102">
        <f t="shared" si="75"/>
        <v>0</v>
      </c>
      <c r="J115" s="102">
        <f t="shared" si="75"/>
        <v>0</v>
      </c>
      <c r="K115" s="102">
        <f t="shared" si="75"/>
        <v>0</v>
      </c>
      <c r="L115" s="102">
        <f t="shared" si="75"/>
        <v>0</v>
      </c>
      <c r="M115" s="102">
        <v>0</v>
      </c>
      <c r="N115" s="102">
        <f t="shared" ref="N115:V115" si="76">M115-($C$115-$AG$115)/($AG$1-$C$1)</f>
        <v>0</v>
      </c>
      <c r="O115" s="102">
        <f t="shared" si="76"/>
        <v>0</v>
      </c>
      <c r="P115" s="102">
        <f t="shared" si="76"/>
        <v>0</v>
      </c>
      <c r="Q115" s="102">
        <f t="shared" si="76"/>
        <v>0</v>
      </c>
      <c r="R115" s="102">
        <f t="shared" si="76"/>
        <v>0</v>
      </c>
      <c r="S115" s="102">
        <f t="shared" si="76"/>
        <v>0</v>
      </c>
      <c r="T115" s="102">
        <f t="shared" si="76"/>
        <v>0</v>
      </c>
      <c r="U115" s="102">
        <f t="shared" si="76"/>
        <v>0</v>
      </c>
      <c r="V115" s="102">
        <f t="shared" si="76"/>
        <v>0</v>
      </c>
      <c r="W115" s="102">
        <v>0</v>
      </c>
      <c r="X115" s="102">
        <f t="shared" ref="X115:AF115" si="77">W115-($C$115-$AG$115)/($AG$1-$C$1)</f>
        <v>0</v>
      </c>
      <c r="Y115" s="102">
        <f t="shared" si="77"/>
        <v>0</v>
      </c>
      <c r="Z115" s="102">
        <f t="shared" si="77"/>
        <v>0</v>
      </c>
      <c r="AA115" s="102">
        <f t="shared" si="77"/>
        <v>0</v>
      </c>
      <c r="AB115" s="102">
        <f t="shared" si="77"/>
        <v>0</v>
      </c>
      <c r="AC115" s="102">
        <f t="shared" si="77"/>
        <v>0</v>
      </c>
      <c r="AD115" s="102">
        <f t="shared" si="77"/>
        <v>0</v>
      </c>
      <c r="AE115" s="102">
        <f t="shared" si="77"/>
        <v>0</v>
      </c>
      <c r="AF115" s="102">
        <f t="shared" si="77"/>
        <v>0</v>
      </c>
      <c r="AG115" s="188">
        <v>0</v>
      </c>
      <c r="AI115" s="126"/>
      <c r="AJ115" s="185" t="s">
        <v>568</v>
      </c>
      <c r="AM115" s="115"/>
      <c r="AN115" s="115"/>
    </row>
    <row r="116" spans="1:63" ht="14.5" customHeight="1" outlineLevel="1">
      <c r="A116" t="s">
        <v>435</v>
      </c>
      <c r="B116" s="156" t="s">
        <v>126</v>
      </c>
      <c r="C116" s="102">
        <v>0</v>
      </c>
      <c r="D116" s="102">
        <f t="shared" ref="D116:AF116" si="78">1-D115</f>
        <v>1</v>
      </c>
      <c r="E116" s="102">
        <f t="shared" si="78"/>
        <v>1</v>
      </c>
      <c r="F116" s="102">
        <f t="shared" si="78"/>
        <v>1</v>
      </c>
      <c r="G116" s="102">
        <f t="shared" si="78"/>
        <v>1</v>
      </c>
      <c r="H116" s="102">
        <f t="shared" si="78"/>
        <v>1</v>
      </c>
      <c r="I116" s="102">
        <f t="shared" si="78"/>
        <v>1</v>
      </c>
      <c r="J116" s="102">
        <f t="shared" si="78"/>
        <v>1</v>
      </c>
      <c r="K116" s="102">
        <f t="shared" si="78"/>
        <v>1</v>
      </c>
      <c r="L116" s="102">
        <f t="shared" si="78"/>
        <v>1</v>
      </c>
      <c r="M116" s="102">
        <v>0</v>
      </c>
      <c r="N116" s="102">
        <f t="shared" si="78"/>
        <v>1</v>
      </c>
      <c r="O116" s="102">
        <f t="shared" si="78"/>
        <v>1</v>
      </c>
      <c r="P116" s="102">
        <f t="shared" si="78"/>
        <v>1</v>
      </c>
      <c r="Q116" s="102">
        <f t="shared" si="78"/>
        <v>1</v>
      </c>
      <c r="R116" s="102">
        <f t="shared" si="78"/>
        <v>1</v>
      </c>
      <c r="S116" s="102">
        <f t="shared" si="78"/>
        <v>1</v>
      </c>
      <c r="T116" s="102">
        <f t="shared" si="78"/>
        <v>1</v>
      </c>
      <c r="U116" s="102">
        <f t="shared" si="78"/>
        <v>1</v>
      </c>
      <c r="V116" s="102">
        <f t="shared" si="78"/>
        <v>1</v>
      </c>
      <c r="W116" s="102">
        <v>0</v>
      </c>
      <c r="X116" s="102">
        <f t="shared" si="78"/>
        <v>1</v>
      </c>
      <c r="Y116" s="102">
        <f t="shared" si="78"/>
        <v>1</v>
      </c>
      <c r="Z116" s="102">
        <f t="shared" si="78"/>
        <v>1</v>
      </c>
      <c r="AA116" s="102">
        <f t="shared" si="78"/>
        <v>1</v>
      </c>
      <c r="AB116" s="102">
        <f t="shared" si="78"/>
        <v>1</v>
      </c>
      <c r="AC116" s="102">
        <f t="shared" si="78"/>
        <v>1</v>
      </c>
      <c r="AD116" s="102">
        <f t="shared" si="78"/>
        <v>1</v>
      </c>
      <c r="AE116" s="102">
        <f t="shared" si="78"/>
        <v>1</v>
      </c>
      <c r="AF116" s="102">
        <f t="shared" si="78"/>
        <v>1</v>
      </c>
      <c r="AG116" s="102">
        <v>0</v>
      </c>
      <c r="AI116" s="126" t="s">
        <v>289</v>
      </c>
      <c r="AJ116" s="185"/>
    </row>
    <row r="117" spans="1:63" outlineLevel="1">
      <c r="A117" t="s">
        <v>436</v>
      </c>
      <c r="B117" s="50" t="s">
        <v>126</v>
      </c>
      <c r="C117" s="102">
        <f>C114*C115</f>
        <v>0</v>
      </c>
      <c r="D117" s="102">
        <f t="shared" ref="D117:AG117" si="79">D114*D115</f>
        <v>0</v>
      </c>
      <c r="E117" s="102">
        <f t="shared" si="79"/>
        <v>0</v>
      </c>
      <c r="F117" s="102">
        <f t="shared" si="79"/>
        <v>0</v>
      </c>
      <c r="G117" s="102">
        <f t="shared" si="79"/>
        <v>0</v>
      </c>
      <c r="H117" s="102">
        <f t="shared" si="79"/>
        <v>0</v>
      </c>
      <c r="I117" s="102">
        <f t="shared" si="79"/>
        <v>0</v>
      </c>
      <c r="J117" s="102">
        <f t="shared" si="79"/>
        <v>0</v>
      </c>
      <c r="K117" s="102">
        <f t="shared" si="79"/>
        <v>0</v>
      </c>
      <c r="L117" s="102">
        <f t="shared" si="79"/>
        <v>0</v>
      </c>
      <c r="M117" s="102">
        <f t="shared" si="79"/>
        <v>0</v>
      </c>
      <c r="N117" s="102">
        <f t="shared" si="79"/>
        <v>0</v>
      </c>
      <c r="O117" s="102">
        <f t="shared" si="79"/>
        <v>0</v>
      </c>
      <c r="P117" s="102">
        <f t="shared" si="79"/>
        <v>0</v>
      </c>
      <c r="Q117" s="102">
        <f t="shared" si="79"/>
        <v>0</v>
      </c>
      <c r="R117" s="102">
        <f t="shared" si="79"/>
        <v>0</v>
      </c>
      <c r="S117" s="102">
        <f t="shared" si="79"/>
        <v>0</v>
      </c>
      <c r="T117" s="102">
        <f t="shared" si="79"/>
        <v>0</v>
      </c>
      <c r="U117" s="102">
        <f t="shared" si="79"/>
        <v>0</v>
      </c>
      <c r="V117" s="102">
        <f t="shared" si="79"/>
        <v>0</v>
      </c>
      <c r="W117" s="102">
        <f t="shared" si="79"/>
        <v>0</v>
      </c>
      <c r="X117" s="102">
        <f t="shared" si="79"/>
        <v>0</v>
      </c>
      <c r="Y117" s="102">
        <f t="shared" si="79"/>
        <v>0</v>
      </c>
      <c r="Z117" s="102">
        <f t="shared" si="79"/>
        <v>0</v>
      </c>
      <c r="AA117" s="102">
        <f t="shared" si="79"/>
        <v>0</v>
      </c>
      <c r="AB117" s="102">
        <f t="shared" si="79"/>
        <v>0</v>
      </c>
      <c r="AC117" s="102">
        <f t="shared" si="79"/>
        <v>0</v>
      </c>
      <c r="AD117" s="102">
        <f t="shared" si="79"/>
        <v>0</v>
      </c>
      <c r="AE117" s="102">
        <f t="shared" si="79"/>
        <v>0</v>
      </c>
      <c r="AF117" s="102">
        <f t="shared" si="79"/>
        <v>0</v>
      </c>
      <c r="AG117" s="102">
        <f t="shared" si="79"/>
        <v>0</v>
      </c>
      <c r="AI117" s="125"/>
      <c r="AJ117" s="185"/>
      <c r="BD117" s="177"/>
      <c r="BE117" s="177"/>
    </row>
    <row r="118" spans="1:63" outlineLevel="1">
      <c r="A118" t="s">
        <v>437</v>
      </c>
      <c r="B118" s="50" t="s">
        <v>126</v>
      </c>
      <c r="C118" s="102">
        <f>C114*C116</f>
        <v>0</v>
      </c>
      <c r="D118" s="102">
        <f t="shared" ref="D118:AG118" si="80">D114*D116</f>
        <v>0</v>
      </c>
      <c r="E118" s="102">
        <f t="shared" si="80"/>
        <v>0</v>
      </c>
      <c r="F118" s="102">
        <f t="shared" si="80"/>
        <v>0</v>
      </c>
      <c r="G118" s="102">
        <f t="shared" si="80"/>
        <v>0</v>
      </c>
      <c r="H118" s="102">
        <f t="shared" si="80"/>
        <v>0</v>
      </c>
      <c r="I118" s="102">
        <f t="shared" si="80"/>
        <v>0</v>
      </c>
      <c r="J118" s="102">
        <f t="shared" si="80"/>
        <v>0</v>
      </c>
      <c r="K118" s="102">
        <f t="shared" si="80"/>
        <v>0</v>
      </c>
      <c r="L118" s="102">
        <f t="shared" si="80"/>
        <v>0</v>
      </c>
      <c r="M118" s="102">
        <f t="shared" si="80"/>
        <v>0</v>
      </c>
      <c r="N118" s="102">
        <f t="shared" si="80"/>
        <v>0</v>
      </c>
      <c r="O118" s="102">
        <f t="shared" si="80"/>
        <v>0</v>
      </c>
      <c r="P118" s="102">
        <f t="shared" si="80"/>
        <v>0</v>
      </c>
      <c r="Q118" s="102">
        <f t="shared" si="80"/>
        <v>0</v>
      </c>
      <c r="R118" s="102">
        <f t="shared" si="80"/>
        <v>0</v>
      </c>
      <c r="S118" s="102">
        <f t="shared" si="80"/>
        <v>0</v>
      </c>
      <c r="T118" s="102">
        <f t="shared" si="80"/>
        <v>0</v>
      </c>
      <c r="U118" s="102">
        <f t="shared" si="80"/>
        <v>0</v>
      </c>
      <c r="V118" s="102">
        <f t="shared" si="80"/>
        <v>0</v>
      </c>
      <c r="W118" s="102">
        <f t="shared" si="80"/>
        <v>0</v>
      </c>
      <c r="X118" s="102">
        <f t="shared" si="80"/>
        <v>0</v>
      </c>
      <c r="Y118" s="102">
        <f t="shared" si="80"/>
        <v>0</v>
      </c>
      <c r="Z118" s="102">
        <f t="shared" si="80"/>
        <v>0</v>
      </c>
      <c r="AA118" s="102">
        <f t="shared" si="80"/>
        <v>0</v>
      </c>
      <c r="AB118" s="102">
        <f t="shared" si="80"/>
        <v>0</v>
      </c>
      <c r="AC118" s="102">
        <f t="shared" si="80"/>
        <v>0</v>
      </c>
      <c r="AD118" s="102">
        <f t="shared" si="80"/>
        <v>0</v>
      </c>
      <c r="AE118" s="102">
        <f t="shared" si="80"/>
        <v>0</v>
      </c>
      <c r="AF118" s="102">
        <f t="shared" si="80"/>
        <v>0</v>
      </c>
      <c r="AG118" s="102">
        <f t="shared" si="80"/>
        <v>0</v>
      </c>
      <c r="AI118" s="125"/>
      <c r="AJ118" s="185"/>
      <c r="BD118" s="177"/>
      <c r="BE118" s="177"/>
    </row>
    <row r="119" spans="1:63" outlineLevel="1">
      <c r="C119" s="10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J119" s="185"/>
    </row>
    <row r="120" spans="1:63" outlineLevel="1">
      <c r="A120" t="s">
        <v>422</v>
      </c>
      <c r="B120" s="50" t="s">
        <v>126</v>
      </c>
      <c r="C120" s="98">
        <v>0.5</v>
      </c>
      <c r="D120" s="102">
        <f>C120</f>
        <v>0.5</v>
      </c>
      <c r="E120" s="102">
        <f t="shared" ref="E120:AG120" si="81">D120</f>
        <v>0.5</v>
      </c>
      <c r="F120" s="102">
        <f t="shared" si="81"/>
        <v>0.5</v>
      </c>
      <c r="G120" s="102">
        <f t="shared" si="81"/>
        <v>0.5</v>
      </c>
      <c r="H120" s="102">
        <f t="shared" si="81"/>
        <v>0.5</v>
      </c>
      <c r="I120" s="102">
        <f t="shared" si="81"/>
        <v>0.5</v>
      </c>
      <c r="J120" s="102">
        <f t="shared" si="81"/>
        <v>0.5</v>
      </c>
      <c r="K120" s="102">
        <f t="shared" si="81"/>
        <v>0.5</v>
      </c>
      <c r="L120" s="102">
        <f t="shared" si="81"/>
        <v>0.5</v>
      </c>
      <c r="M120" s="102">
        <f t="shared" si="81"/>
        <v>0.5</v>
      </c>
      <c r="N120" s="102">
        <f t="shared" si="81"/>
        <v>0.5</v>
      </c>
      <c r="O120" s="102">
        <f t="shared" si="81"/>
        <v>0.5</v>
      </c>
      <c r="P120" s="102">
        <f t="shared" si="81"/>
        <v>0.5</v>
      </c>
      <c r="Q120" s="102">
        <f t="shared" si="81"/>
        <v>0.5</v>
      </c>
      <c r="R120" s="102">
        <f t="shared" si="81"/>
        <v>0.5</v>
      </c>
      <c r="S120" s="102">
        <f t="shared" si="81"/>
        <v>0.5</v>
      </c>
      <c r="T120" s="102">
        <f t="shared" si="81"/>
        <v>0.5</v>
      </c>
      <c r="U120" s="102">
        <f t="shared" si="81"/>
        <v>0.5</v>
      </c>
      <c r="V120" s="102">
        <f t="shared" si="81"/>
        <v>0.5</v>
      </c>
      <c r="W120" s="102">
        <f t="shared" si="81"/>
        <v>0.5</v>
      </c>
      <c r="X120" s="102">
        <f t="shared" si="81"/>
        <v>0.5</v>
      </c>
      <c r="Y120" s="102">
        <f t="shared" si="81"/>
        <v>0.5</v>
      </c>
      <c r="Z120" s="102">
        <f t="shared" si="81"/>
        <v>0.5</v>
      </c>
      <c r="AA120" s="102">
        <f t="shared" si="81"/>
        <v>0.5</v>
      </c>
      <c r="AB120" s="102">
        <f t="shared" si="81"/>
        <v>0.5</v>
      </c>
      <c r="AC120" s="102">
        <f t="shared" si="81"/>
        <v>0.5</v>
      </c>
      <c r="AD120" s="102">
        <f t="shared" si="81"/>
        <v>0.5</v>
      </c>
      <c r="AE120" s="102">
        <f t="shared" si="81"/>
        <v>0.5</v>
      </c>
      <c r="AF120" s="102">
        <f t="shared" si="81"/>
        <v>0.5</v>
      </c>
      <c r="AG120" s="102">
        <f t="shared" si="81"/>
        <v>0.5</v>
      </c>
      <c r="AI120" s="50"/>
      <c r="AJ120" s="185" t="s">
        <v>445</v>
      </c>
    </row>
    <row r="121" spans="1:63" outlineLevel="1">
      <c r="A121" t="s">
        <v>430</v>
      </c>
      <c r="B121" s="50" t="s">
        <v>126</v>
      </c>
      <c r="C121" s="113">
        <f>1-C120</f>
        <v>0.5</v>
      </c>
      <c r="D121" s="102">
        <f t="shared" ref="D121:AG121" si="82">C121</f>
        <v>0.5</v>
      </c>
      <c r="E121" s="102">
        <f t="shared" si="82"/>
        <v>0.5</v>
      </c>
      <c r="F121" s="102">
        <f t="shared" si="82"/>
        <v>0.5</v>
      </c>
      <c r="G121" s="102">
        <f t="shared" si="82"/>
        <v>0.5</v>
      </c>
      <c r="H121" s="102">
        <f t="shared" si="82"/>
        <v>0.5</v>
      </c>
      <c r="I121" s="102">
        <f t="shared" si="82"/>
        <v>0.5</v>
      </c>
      <c r="J121" s="102">
        <f t="shared" si="82"/>
        <v>0.5</v>
      </c>
      <c r="K121" s="102">
        <f t="shared" si="82"/>
        <v>0.5</v>
      </c>
      <c r="L121" s="102">
        <f t="shared" si="82"/>
        <v>0.5</v>
      </c>
      <c r="M121" s="102">
        <f t="shared" si="82"/>
        <v>0.5</v>
      </c>
      <c r="N121" s="102">
        <f t="shared" si="82"/>
        <v>0.5</v>
      </c>
      <c r="O121" s="102">
        <f t="shared" si="82"/>
        <v>0.5</v>
      </c>
      <c r="P121" s="102">
        <f t="shared" si="82"/>
        <v>0.5</v>
      </c>
      <c r="Q121" s="102">
        <f t="shared" si="82"/>
        <v>0.5</v>
      </c>
      <c r="R121" s="102">
        <f t="shared" si="82"/>
        <v>0.5</v>
      </c>
      <c r="S121" s="102">
        <f t="shared" si="82"/>
        <v>0.5</v>
      </c>
      <c r="T121" s="102">
        <f t="shared" si="82"/>
        <v>0.5</v>
      </c>
      <c r="U121" s="102">
        <f t="shared" si="82"/>
        <v>0.5</v>
      </c>
      <c r="V121" s="102">
        <f t="shared" si="82"/>
        <v>0.5</v>
      </c>
      <c r="W121" s="102">
        <f t="shared" si="82"/>
        <v>0.5</v>
      </c>
      <c r="X121" s="102">
        <f t="shared" si="82"/>
        <v>0.5</v>
      </c>
      <c r="Y121" s="102">
        <f t="shared" si="82"/>
        <v>0.5</v>
      </c>
      <c r="Z121" s="102">
        <f t="shared" si="82"/>
        <v>0.5</v>
      </c>
      <c r="AA121" s="102">
        <f t="shared" si="82"/>
        <v>0.5</v>
      </c>
      <c r="AB121" s="102">
        <f t="shared" si="82"/>
        <v>0.5</v>
      </c>
      <c r="AC121" s="102">
        <f t="shared" si="82"/>
        <v>0.5</v>
      </c>
      <c r="AD121" s="102">
        <f t="shared" si="82"/>
        <v>0.5</v>
      </c>
      <c r="AE121" s="102">
        <f t="shared" si="82"/>
        <v>0.5</v>
      </c>
      <c r="AF121" s="102">
        <f t="shared" si="82"/>
        <v>0.5</v>
      </c>
      <c r="AG121" s="102">
        <f t="shared" si="82"/>
        <v>0.5</v>
      </c>
      <c r="AJ121" s="196"/>
    </row>
    <row r="122" spans="1:63" outlineLevel="1">
      <c r="A122" t="s">
        <v>418</v>
      </c>
      <c r="B122" s="50" t="s">
        <v>126</v>
      </c>
      <c r="C122" s="102">
        <f t="shared" ref="C122:AG122" si="83">SUM(C120:C121)</f>
        <v>1</v>
      </c>
      <c r="D122" s="102">
        <f t="shared" si="83"/>
        <v>1</v>
      </c>
      <c r="E122" s="102">
        <f t="shared" si="83"/>
        <v>1</v>
      </c>
      <c r="F122" s="102">
        <f t="shared" si="83"/>
        <v>1</v>
      </c>
      <c r="G122" s="102">
        <f t="shared" si="83"/>
        <v>1</v>
      </c>
      <c r="H122" s="102">
        <f t="shared" si="83"/>
        <v>1</v>
      </c>
      <c r="I122" s="102">
        <f t="shared" si="83"/>
        <v>1</v>
      </c>
      <c r="J122" s="102">
        <f t="shared" si="83"/>
        <v>1</v>
      </c>
      <c r="K122" s="102">
        <f t="shared" si="83"/>
        <v>1</v>
      </c>
      <c r="L122" s="102">
        <f t="shared" si="83"/>
        <v>1</v>
      </c>
      <c r="M122" s="102">
        <f t="shared" si="83"/>
        <v>1</v>
      </c>
      <c r="N122" s="102">
        <f t="shared" si="83"/>
        <v>1</v>
      </c>
      <c r="O122" s="102">
        <f t="shared" si="83"/>
        <v>1</v>
      </c>
      <c r="P122" s="102">
        <f t="shared" si="83"/>
        <v>1</v>
      </c>
      <c r="Q122" s="102">
        <f t="shared" si="83"/>
        <v>1</v>
      </c>
      <c r="R122" s="102">
        <f t="shared" si="83"/>
        <v>1</v>
      </c>
      <c r="S122" s="102">
        <f t="shared" si="83"/>
        <v>1</v>
      </c>
      <c r="T122" s="102">
        <f t="shared" si="83"/>
        <v>1</v>
      </c>
      <c r="U122" s="102">
        <f t="shared" si="83"/>
        <v>1</v>
      </c>
      <c r="V122" s="102">
        <f t="shared" si="83"/>
        <v>1</v>
      </c>
      <c r="W122" s="102">
        <f t="shared" si="83"/>
        <v>1</v>
      </c>
      <c r="X122" s="102">
        <f t="shared" si="83"/>
        <v>1</v>
      </c>
      <c r="Y122" s="102">
        <f t="shared" si="83"/>
        <v>1</v>
      </c>
      <c r="Z122" s="102">
        <f t="shared" si="83"/>
        <v>1</v>
      </c>
      <c r="AA122" s="102">
        <f t="shared" si="83"/>
        <v>1</v>
      </c>
      <c r="AB122" s="102">
        <f t="shared" si="83"/>
        <v>1</v>
      </c>
      <c r="AC122" s="102">
        <f t="shared" si="83"/>
        <v>1</v>
      </c>
      <c r="AD122" s="102">
        <f t="shared" si="83"/>
        <v>1</v>
      </c>
      <c r="AE122" s="102">
        <f t="shared" si="83"/>
        <v>1</v>
      </c>
      <c r="AF122" s="102">
        <f t="shared" si="83"/>
        <v>1</v>
      </c>
      <c r="AG122" s="102">
        <f t="shared" si="83"/>
        <v>1</v>
      </c>
      <c r="AH122" s="122"/>
      <c r="AI122" s="50"/>
      <c r="AJ122" s="196"/>
    </row>
    <row r="123" spans="1:63" outlineLevel="1">
      <c r="C123" s="188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22"/>
      <c r="AI123" s="122"/>
      <c r="AJ123" s="196"/>
    </row>
    <row r="124" spans="1:63" outlineLevel="1">
      <c r="A124" t="s">
        <v>440</v>
      </c>
      <c r="B124" s="50" t="s">
        <v>126</v>
      </c>
      <c r="C124" s="102">
        <f>C120*C118</f>
        <v>0</v>
      </c>
      <c r="D124" s="102">
        <f t="shared" ref="D124:AG124" si="84">D120*D118</f>
        <v>0</v>
      </c>
      <c r="E124" s="102">
        <f t="shared" si="84"/>
        <v>0</v>
      </c>
      <c r="F124" s="102">
        <f t="shared" si="84"/>
        <v>0</v>
      </c>
      <c r="G124" s="102">
        <f t="shared" si="84"/>
        <v>0</v>
      </c>
      <c r="H124" s="102">
        <f t="shared" si="84"/>
        <v>0</v>
      </c>
      <c r="I124" s="102">
        <f t="shared" si="84"/>
        <v>0</v>
      </c>
      <c r="J124" s="102">
        <f t="shared" si="84"/>
        <v>0</v>
      </c>
      <c r="K124" s="102">
        <f t="shared" si="84"/>
        <v>0</v>
      </c>
      <c r="L124" s="102">
        <f t="shared" si="84"/>
        <v>0</v>
      </c>
      <c r="M124" s="102">
        <f t="shared" si="84"/>
        <v>0</v>
      </c>
      <c r="N124" s="102">
        <f t="shared" si="84"/>
        <v>0</v>
      </c>
      <c r="O124" s="102">
        <f t="shared" si="84"/>
        <v>0</v>
      </c>
      <c r="P124" s="102">
        <f t="shared" si="84"/>
        <v>0</v>
      </c>
      <c r="Q124" s="102">
        <f t="shared" si="84"/>
        <v>0</v>
      </c>
      <c r="R124" s="102">
        <f t="shared" si="84"/>
        <v>0</v>
      </c>
      <c r="S124" s="102">
        <f t="shared" si="84"/>
        <v>0</v>
      </c>
      <c r="T124" s="102">
        <f t="shared" si="84"/>
        <v>0</v>
      </c>
      <c r="U124" s="102">
        <f t="shared" si="84"/>
        <v>0</v>
      </c>
      <c r="V124" s="102">
        <f t="shared" si="84"/>
        <v>0</v>
      </c>
      <c r="W124" s="102">
        <f t="shared" si="84"/>
        <v>0</v>
      </c>
      <c r="X124" s="102">
        <f t="shared" si="84"/>
        <v>0</v>
      </c>
      <c r="Y124" s="102">
        <f t="shared" si="84"/>
        <v>0</v>
      </c>
      <c r="Z124" s="102">
        <f t="shared" si="84"/>
        <v>0</v>
      </c>
      <c r="AA124" s="102">
        <f t="shared" si="84"/>
        <v>0</v>
      </c>
      <c r="AB124" s="102">
        <f t="shared" si="84"/>
        <v>0</v>
      </c>
      <c r="AC124" s="102">
        <f t="shared" si="84"/>
        <v>0</v>
      </c>
      <c r="AD124" s="102">
        <f t="shared" si="84"/>
        <v>0</v>
      </c>
      <c r="AE124" s="102">
        <f t="shared" si="84"/>
        <v>0</v>
      </c>
      <c r="AF124" s="102">
        <f t="shared" si="84"/>
        <v>0</v>
      </c>
      <c r="AG124" s="102">
        <f t="shared" si="84"/>
        <v>0</v>
      </c>
      <c r="AH124" s="122"/>
      <c r="AI124" s="122"/>
      <c r="AJ124" s="185"/>
    </row>
    <row r="125" spans="1:63" outlineLevel="1">
      <c r="A125" t="s">
        <v>518</v>
      </c>
      <c r="B125" s="50" t="s">
        <v>126</v>
      </c>
      <c r="C125" s="102">
        <f>C118*C121</f>
        <v>0</v>
      </c>
      <c r="D125" s="102">
        <f t="shared" ref="D125:AG125" si="85">D118*D121</f>
        <v>0</v>
      </c>
      <c r="E125" s="102">
        <f t="shared" si="85"/>
        <v>0</v>
      </c>
      <c r="F125" s="102">
        <f t="shared" si="85"/>
        <v>0</v>
      </c>
      <c r="G125" s="102">
        <f t="shared" si="85"/>
        <v>0</v>
      </c>
      <c r="H125" s="102">
        <f t="shared" si="85"/>
        <v>0</v>
      </c>
      <c r="I125" s="102">
        <f t="shared" si="85"/>
        <v>0</v>
      </c>
      <c r="J125" s="102">
        <f t="shared" si="85"/>
        <v>0</v>
      </c>
      <c r="K125" s="102">
        <f t="shared" si="85"/>
        <v>0</v>
      </c>
      <c r="L125" s="102">
        <f t="shared" si="85"/>
        <v>0</v>
      </c>
      <c r="M125" s="102">
        <f t="shared" si="85"/>
        <v>0</v>
      </c>
      <c r="N125" s="102">
        <f t="shared" si="85"/>
        <v>0</v>
      </c>
      <c r="O125" s="102">
        <f t="shared" si="85"/>
        <v>0</v>
      </c>
      <c r="P125" s="102">
        <f t="shared" si="85"/>
        <v>0</v>
      </c>
      <c r="Q125" s="102">
        <f t="shared" si="85"/>
        <v>0</v>
      </c>
      <c r="R125" s="102">
        <f t="shared" si="85"/>
        <v>0</v>
      </c>
      <c r="S125" s="102">
        <f t="shared" si="85"/>
        <v>0</v>
      </c>
      <c r="T125" s="102">
        <f t="shared" si="85"/>
        <v>0</v>
      </c>
      <c r="U125" s="102">
        <f t="shared" si="85"/>
        <v>0</v>
      </c>
      <c r="V125" s="102">
        <f t="shared" si="85"/>
        <v>0</v>
      </c>
      <c r="W125" s="102">
        <f t="shared" si="85"/>
        <v>0</v>
      </c>
      <c r="X125" s="102">
        <f t="shared" si="85"/>
        <v>0</v>
      </c>
      <c r="Y125" s="102">
        <f t="shared" si="85"/>
        <v>0</v>
      </c>
      <c r="Z125" s="102">
        <f t="shared" si="85"/>
        <v>0</v>
      </c>
      <c r="AA125" s="102">
        <f t="shared" si="85"/>
        <v>0</v>
      </c>
      <c r="AB125" s="102">
        <f t="shared" si="85"/>
        <v>0</v>
      </c>
      <c r="AC125" s="102">
        <f t="shared" si="85"/>
        <v>0</v>
      </c>
      <c r="AD125" s="102">
        <f t="shared" si="85"/>
        <v>0</v>
      </c>
      <c r="AE125" s="102">
        <f t="shared" si="85"/>
        <v>0</v>
      </c>
      <c r="AF125" s="102">
        <f t="shared" si="85"/>
        <v>0</v>
      </c>
      <c r="AG125" s="102">
        <f t="shared" si="85"/>
        <v>0</v>
      </c>
      <c r="AJ125" s="185"/>
    </row>
    <row r="126" spans="1:63" outlineLevel="1"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J126" s="185"/>
    </row>
    <row r="127" spans="1:63" outlineLevel="1">
      <c r="A127" t="s">
        <v>1337</v>
      </c>
      <c r="C127" s="203">
        <f>('Overall recycling rates'!F87*'Yearly BTX'!D5+'Overall recycling rates'!G87*'Yearly BTX'!D6+'Overall recycling rates'!H87*'Yearly BTX'!D7)/'Yearly BTX'!D4</f>
        <v>1</v>
      </c>
      <c r="D127" s="203">
        <f>C127-($C127-$AG127)/($AG$1-$C$1)</f>
        <v>1</v>
      </c>
      <c r="E127" s="203">
        <f t="shared" ref="E127:AF127" si="86">D127-($C127-$AG127)/($AG$1-$C$1)</f>
        <v>1</v>
      </c>
      <c r="F127" s="203">
        <f t="shared" si="86"/>
        <v>1</v>
      </c>
      <c r="G127" s="203">
        <f t="shared" si="86"/>
        <v>1</v>
      </c>
      <c r="H127" s="203">
        <f t="shared" si="86"/>
        <v>1</v>
      </c>
      <c r="I127" s="203">
        <f t="shared" si="86"/>
        <v>1</v>
      </c>
      <c r="J127" s="203">
        <f t="shared" si="86"/>
        <v>1</v>
      </c>
      <c r="K127" s="203">
        <f t="shared" si="86"/>
        <v>1</v>
      </c>
      <c r="L127" s="203">
        <f t="shared" si="86"/>
        <v>1</v>
      </c>
      <c r="M127" s="203">
        <f t="shared" si="86"/>
        <v>1</v>
      </c>
      <c r="N127" s="203">
        <f t="shared" si="86"/>
        <v>1</v>
      </c>
      <c r="O127" s="203">
        <f t="shared" si="86"/>
        <v>1</v>
      </c>
      <c r="P127" s="203">
        <f t="shared" si="86"/>
        <v>1</v>
      </c>
      <c r="Q127" s="203">
        <f t="shared" si="86"/>
        <v>1</v>
      </c>
      <c r="R127" s="203">
        <f t="shared" si="86"/>
        <v>1</v>
      </c>
      <c r="S127" s="203">
        <f t="shared" si="86"/>
        <v>1</v>
      </c>
      <c r="T127" s="203">
        <f t="shared" si="86"/>
        <v>1</v>
      </c>
      <c r="U127" s="203">
        <f t="shared" si="86"/>
        <v>1</v>
      </c>
      <c r="V127" s="203">
        <f t="shared" si="86"/>
        <v>1</v>
      </c>
      <c r="W127" s="203">
        <f t="shared" si="86"/>
        <v>1</v>
      </c>
      <c r="X127" s="203">
        <f t="shared" si="86"/>
        <v>1</v>
      </c>
      <c r="Y127" s="203">
        <f t="shared" si="86"/>
        <v>1</v>
      </c>
      <c r="Z127" s="203">
        <f t="shared" si="86"/>
        <v>1</v>
      </c>
      <c r="AA127" s="203">
        <f t="shared" si="86"/>
        <v>1</v>
      </c>
      <c r="AB127" s="203">
        <f t="shared" si="86"/>
        <v>1</v>
      </c>
      <c r="AC127" s="203">
        <f t="shared" si="86"/>
        <v>1</v>
      </c>
      <c r="AD127" s="203">
        <f t="shared" si="86"/>
        <v>1</v>
      </c>
      <c r="AE127" s="203">
        <f t="shared" si="86"/>
        <v>1</v>
      </c>
      <c r="AF127" s="203">
        <f t="shared" si="86"/>
        <v>1</v>
      </c>
      <c r="AG127" s="203">
        <f>'Overall recycling rates'!F96</f>
        <v>1</v>
      </c>
      <c r="AI127" s="124"/>
      <c r="AJ127" s="185" t="s">
        <v>993</v>
      </c>
      <c r="AL127" s="100"/>
      <c r="AM127" s="181"/>
      <c r="AN127" s="181"/>
      <c r="AO127" s="181"/>
      <c r="BC127" s="1"/>
      <c r="BD127" s="181"/>
      <c r="BE127" s="181"/>
      <c r="BF127" s="181"/>
      <c r="BG127" s="181"/>
      <c r="BH127" s="181"/>
      <c r="BI127" s="181"/>
      <c r="BJ127" s="181"/>
      <c r="BK127" s="181"/>
    </row>
    <row r="128" spans="1:63" outlineLevel="1">
      <c r="A128" t="s">
        <v>1345</v>
      </c>
      <c r="B128" s="50" t="s">
        <v>126</v>
      </c>
      <c r="C128" s="102">
        <f>C117*C$127</f>
        <v>0</v>
      </c>
      <c r="D128" s="102">
        <f>D117*D$96</f>
        <v>0</v>
      </c>
      <c r="E128" s="102">
        <f t="shared" ref="E128:AG128" si="87">E117*E$96</f>
        <v>0</v>
      </c>
      <c r="F128" s="102">
        <f t="shared" si="87"/>
        <v>0</v>
      </c>
      <c r="G128" s="102">
        <f t="shared" si="87"/>
        <v>0</v>
      </c>
      <c r="H128" s="102">
        <f t="shared" si="87"/>
        <v>0</v>
      </c>
      <c r="I128" s="102">
        <f t="shared" si="87"/>
        <v>0</v>
      </c>
      <c r="J128" s="102">
        <f t="shared" si="87"/>
        <v>0</v>
      </c>
      <c r="K128" s="102">
        <f t="shared" si="87"/>
        <v>0</v>
      </c>
      <c r="L128" s="102">
        <f t="shared" si="87"/>
        <v>0</v>
      </c>
      <c r="M128" s="102">
        <f t="shared" si="87"/>
        <v>0</v>
      </c>
      <c r="N128" s="102">
        <f t="shared" si="87"/>
        <v>0</v>
      </c>
      <c r="O128" s="102">
        <f t="shared" si="87"/>
        <v>0</v>
      </c>
      <c r="P128" s="102">
        <f t="shared" si="87"/>
        <v>0</v>
      </c>
      <c r="Q128" s="102">
        <f t="shared" si="87"/>
        <v>0</v>
      </c>
      <c r="R128" s="102">
        <f t="shared" si="87"/>
        <v>0</v>
      </c>
      <c r="S128" s="102">
        <f t="shared" si="87"/>
        <v>0</v>
      </c>
      <c r="T128" s="102">
        <f t="shared" si="87"/>
        <v>0</v>
      </c>
      <c r="U128" s="102">
        <f t="shared" si="87"/>
        <v>0</v>
      </c>
      <c r="V128" s="102">
        <f t="shared" si="87"/>
        <v>0</v>
      </c>
      <c r="W128" s="102">
        <f t="shared" si="87"/>
        <v>0</v>
      </c>
      <c r="X128" s="102">
        <f t="shared" si="87"/>
        <v>0</v>
      </c>
      <c r="Y128" s="102">
        <f t="shared" si="87"/>
        <v>0</v>
      </c>
      <c r="Z128" s="102">
        <f t="shared" si="87"/>
        <v>0</v>
      </c>
      <c r="AA128" s="102">
        <f t="shared" si="87"/>
        <v>0</v>
      </c>
      <c r="AB128" s="102">
        <f t="shared" si="87"/>
        <v>0</v>
      </c>
      <c r="AC128" s="102">
        <f t="shared" si="87"/>
        <v>0</v>
      </c>
      <c r="AD128" s="102">
        <f t="shared" si="87"/>
        <v>0</v>
      </c>
      <c r="AE128" s="102">
        <f t="shared" si="87"/>
        <v>0</v>
      </c>
      <c r="AF128" s="102">
        <f t="shared" si="87"/>
        <v>0</v>
      </c>
      <c r="AG128" s="102">
        <f t="shared" si="87"/>
        <v>0</v>
      </c>
      <c r="AI128" s="124"/>
      <c r="AJ128"/>
      <c r="AL128" s="100"/>
      <c r="AM128" s="2"/>
      <c r="AN128" s="2"/>
      <c r="AO128" s="2"/>
      <c r="AV128" s="37"/>
    </row>
    <row r="129" spans="1:63" outlineLevel="1">
      <c r="A129" t="s">
        <v>1346</v>
      </c>
      <c r="B129" s="50" t="s">
        <v>126</v>
      </c>
      <c r="C129" s="102">
        <f>C118*C$127</f>
        <v>0</v>
      </c>
      <c r="D129" s="102">
        <f t="shared" ref="D129:AG129" si="88">D115*D$96</f>
        <v>0</v>
      </c>
      <c r="E129" s="102">
        <f t="shared" si="88"/>
        <v>0</v>
      </c>
      <c r="F129" s="102">
        <f t="shared" si="88"/>
        <v>0</v>
      </c>
      <c r="G129" s="102">
        <f t="shared" si="88"/>
        <v>0</v>
      </c>
      <c r="H129" s="102">
        <f t="shared" si="88"/>
        <v>0</v>
      </c>
      <c r="I129" s="102">
        <f t="shared" si="88"/>
        <v>0</v>
      </c>
      <c r="J129" s="102">
        <f t="shared" si="88"/>
        <v>0</v>
      </c>
      <c r="K129" s="102">
        <f t="shared" si="88"/>
        <v>0</v>
      </c>
      <c r="L129" s="102">
        <f t="shared" si="88"/>
        <v>0</v>
      </c>
      <c r="M129" s="102">
        <f t="shared" si="88"/>
        <v>0</v>
      </c>
      <c r="N129" s="102">
        <f t="shared" si="88"/>
        <v>0</v>
      </c>
      <c r="O129" s="102">
        <f t="shared" si="88"/>
        <v>0</v>
      </c>
      <c r="P129" s="102">
        <f t="shared" si="88"/>
        <v>0</v>
      </c>
      <c r="Q129" s="102">
        <f t="shared" si="88"/>
        <v>0</v>
      </c>
      <c r="R129" s="102">
        <f t="shared" si="88"/>
        <v>0</v>
      </c>
      <c r="S129" s="102">
        <f t="shared" si="88"/>
        <v>0</v>
      </c>
      <c r="T129" s="102">
        <f t="shared" si="88"/>
        <v>0</v>
      </c>
      <c r="U129" s="102">
        <f t="shared" si="88"/>
        <v>0</v>
      </c>
      <c r="V129" s="102">
        <f t="shared" si="88"/>
        <v>0</v>
      </c>
      <c r="W129" s="102">
        <f t="shared" si="88"/>
        <v>0</v>
      </c>
      <c r="X129" s="102">
        <f t="shared" si="88"/>
        <v>0</v>
      </c>
      <c r="Y129" s="102">
        <f t="shared" si="88"/>
        <v>0</v>
      </c>
      <c r="Z129" s="102">
        <f t="shared" si="88"/>
        <v>0</v>
      </c>
      <c r="AA129" s="102">
        <f t="shared" si="88"/>
        <v>0</v>
      </c>
      <c r="AB129" s="102">
        <f t="shared" si="88"/>
        <v>0</v>
      </c>
      <c r="AC129" s="102">
        <f t="shared" si="88"/>
        <v>0</v>
      </c>
      <c r="AD129" s="102">
        <f t="shared" si="88"/>
        <v>0</v>
      </c>
      <c r="AE129" s="102">
        <f t="shared" si="88"/>
        <v>0</v>
      </c>
      <c r="AF129" s="102">
        <f t="shared" si="88"/>
        <v>0</v>
      </c>
      <c r="AG129" s="102">
        <f t="shared" si="88"/>
        <v>0</v>
      </c>
      <c r="AH129" s="217"/>
      <c r="AI129" s="124"/>
      <c r="AJ129" s="185"/>
      <c r="AL129" s="100"/>
      <c r="AM129" s="2"/>
      <c r="AN129" s="2"/>
      <c r="AO129" s="2"/>
      <c r="AV129" s="37"/>
    </row>
    <row r="130" spans="1:63" outlineLevel="1">
      <c r="A130" t="s">
        <v>1347</v>
      </c>
      <c r="B130" s="156" t="s">
        <v>126</v>
      </c>
      <c r="C130" s="102">
        <f>SUM(C128:C129)</f>
        <v>0</v>
      </c>
      <c r="D130" s="102">
        <f t="shared" ref="D130:AG130" si="89">SUM(D128:D129)</f>
        <v>0</v>
      </c>
      <c r="E130" s="102">
        <f t="shared" si="89"/>
        <v>0</v>
      </c>
      <c r="F130" s="102">
        <f t="shared" si="89"/>
        <v>0</v>
      </c>
      <c r="G130" s="102">
        <f t="shared" si="89"/>
        <v>0</v>
      </c>
      <c r="H130" s="102">
        <f t="shared" si="89"/>
        <v>0</v>
      </c>
      <c r="I130" s="102">
        <f t="shared" si="89"/>
        <v>0</v>
      </c>
      <c r="J130" s="102">
        <f t="shared" si="89"/>
        <v>0</v>
      </c>
      <c r="K130" s="102">
        <f t="shared" si="89"/>
        <v>0</v>
      </c>
      <c r="L130" s="102">
        <f t="shared" si="89"/>
        <v>0</v>
      </c>
      <c r="M130" s="102">
        <f t="shared" si="89"/>
        <v>0</v>
      </c>
      <c r="N130" s="102">
        <f t="shared" si="89"/>
        <v>0</v>
      </c>
      <c r="O130" s="102">
        <f t="shared" si="89"/>
        <v>0</v>
      </c>
      <c r="P130" s="102">
        <f t="shared" si="89"/>
        <v>0</v>
      </c>
      <c r="Q130" s="102">
        <f t="shared" si="89"/>
        <v>0</v>
      </c>
      <c r="R130" s="102">
        <f t="shared" si="89"/>
        <v>0</v>
      </c>
      <c r="S130" s="102">
        <f t="shared" si="89"/>
        <v>0</v>
      </c>
      <c r="T130" s="102">
        <f t="shared" si="89"/>
        <v>0</v>
      </c>
      <c r="U130" s="102">
        <f t="shared" si="89"/>
        <v>0</v>
      </c>
      <c r="V130" s="102">
        <f t="shared" si="89"/>
        <v>0</v>
      </c>
      <c r="W130" s="102">
        <f t="shared" si="89"/>
        <v>0</v>
      </c>
      <c r="X130" s="102">
        <f t="shared" si="89"/>
        <v>0</v>
      </c>
      <c r="Y130" s="102">
        <f t="shared" si="89"/>
        <v>0</v>
      </c>
      <c r="Z130" s="102">
        <f t="shared" si="89"/>
        <v>0</v>
      </c>
      <c r="AA130" s="102">
        <f t="shared" si="89"/>
        <v>0</v>
      </c>
      <c r="AB130" s="102">
        <f t="shared" si="89"/>
        <v>0</v>
      </c>
      <c r="AC130" s="102">
        <f t="shared" si="89"/>
        <v>0</v>
      </c>
      <c r="AD130" s="102">
        <f t="shared" si="89"/>
        <v>0</v>
      </c>
      <c r="AE130" s="102">
        <f t="shared" si="89"/>
        <v>0</v>
      </c>
      <c r="AF130" s="102">
        <f t="shared" si="89"/>
        <v>0</v>
      </c>
      <c r="AG130" s="102">
        <f t="shared" si="89"/>
        <v>0</v>
      </c>
      <c r="AI130" s="124"/>
      <c r="AJ130" s="185"/>
      <c r="AL130" s="100"/>
      <c r="AM130" s="2"/>
      <c r="AN130" s="2"/>
      <c r="AO130" s="2"/>
    </row>
    <row r="131" spans="1:63" outlineLevel="1">
      <c r="A131" t="s">
        <v>1351</v>
      </c>
      <c r="B131" s="50" t="s">
        <v>126</v>
      </c>
      <c r="C131" s="102">
        <f>C120*C129</f>
        <v>0</v>
      </c>
      <c r="D131" s="102">
        <f t="shared" ref="D131:AG131" si="90">D117*D129</f>
        <v>0</v>
      </c>
      <c r="E131" s="102">
        <f t="shared" si="90"/>
        <v>0</v>
      </c>
      <c r="F131" s="102">
        <f t="shared" si="90"/>
        <v>0</v>
      </c>
      <c r="G131" s="102">
        <f t="shared" si="90"/>
        <v>0</v>
      </c>
      <c r="H131" s="102">
        <f t="shared" si="90"/>
        <v>0</v>
      </c>
      <c r="I131" s="102">
        <f t="shared" si="90"/>
        <v>0</v>
      </c>
      <c r="J131" s="102">
        <f t="shared" si="90"/>
        <v>0</v>
      </c>
      <c r="K131" s="102">
        <f t="shared" si="90"/>
        <v>0</v>
      </c>
      <c r="L131" s="102">
        <f t="shared" si="90"/>
        <v>0</v>
      </c>
      <c r="M131" s="102">
        <f t="shared" si="90"/>
        <v>0</v>
      </c>
      <c r="N131" s="102">
        <f t="shared" si="90"/>
        <v>0</v>
      </c>
      <c r="O131" s="102">
        <f t="shared" si="90"/>
        <v>0</v>
      </c>
      <c r="P131" s="102">
        <f t="shared" si="90"/>
        <v>0</v>
      </c>
      <c r="Q131" s="102">
        <f t="shared" si="90"/>
        <v>0</v>
      </c>
      <c r="R131" s="102">
        <f t="shared" si="90"/>
        <v>0</v>
      </c>
      <c r="S131" s="102">
        <f t="shared" si="90"/>
        <v>0</v>
      </c>
      <c r="T131" s="102">
        <f t="shared" si="90"/>
        <v>0</v>
      </c>
      <c r="U131" s="102">
        <f t="shared" si="90"/>
        <v>0</v>
      </c>
      <c r="V131" s="102">
        <f t="shared" si="90"/>
        <v>0</v>
      </c>
      <c r="W131" s="102">
        <f t="shared" si="90"/>
        <v>0</v>
      </c>
      <c r="X131" s="102">
        <f t="shared" si="90"/>
        <v>0</v>
      </c>
      <c r="Y131" s="102">
        <f t="shared" si="90"/>
        <v>0</v>
      </c>
      <c r="Z131" s="102">
        <f t="shared" si="90"/>
        <v>0</v>
      </c>
      <c r="AA131" s="102">
        <f t="shared" si="90"/>
        <v>0</v>
      </c>
      <c r="AB131" s="102">
        <f t="shared" si="90"/>
        <v>0</v>
      </c>
      <c r="AC131" s="102">
        <f t="shared" si="90"/>
        <v>0</v>
      </c>
      <c r="AD131" s="102">
        <f t="shared" si="90"/>
        <v>0</v>
      </c>
      <c r="AE131" s="102">
        <f t="shared" si="90"/>
        <v>0</v>
      </c>
      <c r="AF131" s="102">
        <f t="shared" si="90"/>
        <v>0</v>
      </c>
      <c r="AG131" s="102">
        <f t="shared" si="90"/>
        <v>0</v>
      </c>
      <c r="AI131" s="124"/>
      <c r="AJ131" s="185"/>
      <c r="BD131" s="177"/>
      <c r="BE131" s="177"/>
    </row>
    <row r="132" spans="1:63" outlineLevel="1">
      <c r="A132" t="s">
        <v>1352</v>
      </c>
      <c r="B132" s="50" t="s">
        <v>126</v>
      </c>
      <c r="C132" s="102">
        <f>C121*C129</f>
        <v>0</v>
      </c>
      <c r="D132" s="102">
        <f t="shared" ref="D132:AG132" si="91">D119*D129</f>
        <v>0</v>
      </c>
      <c r="E132" s="102">
        <f t="shared" si="91"/>
        <v>0</v>
      </c>
      <c r="F132" s="102">
        <f t="shared" si="91"/>
        <v>0</v>
      </c>
      <c r="G132" s="102">
        <f t="shared" si="91"/>
        <v>0</v>
      </c>
      <c r="H132" s="102">
        <f t="shared" si="91"/>
        <v>0</v>
      </c>
      <c r="I132" s="102">
        <f t="shared" si="91"/>
        <v>0</v>
      </c>
      <c r="J132" s="102">
        <f t="shared" si="91"/>
        <v>0</v>
      </c>
      <c r="K132" s="102">
        <f t="shared" si="91"/>
        <v>0</v>
      </c>
      <c r="L132" s="102">
        <f t="shared" si="91"/>
        <v>0</v>
      </c>
      <c r="M132" s="102">
        <f t="shared" si="91"/>
        <v>0</v>
      </c>
      <c r="N132" s="102">
        <f t="shared" si="91"/>
        <v>0</v>
      </c>
      <c r="O132" s="102">
        <f t="shared" si="91"/>
        <v>0</v>
      </c>
      <c r="P132" s="102">
        <f t="shared" si="91"/>
        <v>0</v>
      </c>
      <c r="Q132" s="102">
        <f t="shared" si="91"/>
        <v>0</v>
      </c>
      <c r="R132" s="102">
        <f t="shared" si="91"/>
        <v>0</v>
      </c>
      <c r="S132" s="102">
        <f t="shared" si="91"/>
        <v>0</v>
      </c>
      <c r="T132" s="102">
        <f t="shared" si="91"/>
        <v>0</v>
      </c>
      <c r="U132" s="102">
        <f t="shared" si="91"/>
        <v>0</v>
      </c>
      <c r="V132" s="102">
        <f t="shared" si="91"/>
        <v>0</v>
      </c>
      <c r="W132" s="102">
        <f t="shared" si="91"/>
        <v>0</v>
      </c>
      <c r="X132" s="102">
        <f t="shared" si="91"/>
        <v>0</v>
      </c>
      <c r="Y132" s="102">
        <f t="shared" si="91"/>
        <v>0</v>
      </c>
      <c r="Z132" s="102">
        <f t="shared" si="91"/>
        <v>0</v>
      </c>
      <c r="AA132" s="102">
        <f t="shared" si="91"/>
        <v>0</v>
      </c>
      <c r="AB132" s="102">
        <f t="shared" si="91"/>
        <v>0</v>
      </c>
      <c r="AC132" s="102">
        <f t="shared" si="91"/>
        <v>0</v>
      </c>
      <c r="AD132" s="102">
        <f t="shared" si="91"/>
        <v>0</v>
      </c>
      <c r="AE132" s="102">
        <f t="shared" si="91"/>
        <v>0</v>
      </c>
      <c r="AF132" s="102">
        <f t="shared" si="91"/>
        <v>0</v>
      </c>
      <c r="AG132" s="102">
        <f t="shared" si="91"/>
        <v>0</v>
      </c>
      <c r="AI132" s="125"/>
      <c r="AJ132" s="185"/>
      <c r="BC132" s="1"/>
      <c r="BD132" s="37"/>
      <c r="BF132" s="6"/>
      <c r="BG132" s="6"/>
      <c r="BH132" s="6"/>
      <c r="BI132" s="6"/>
      <c r="BJ132" s="6"/>
    </row>
    <row r="133" spans="1:63" outlineLevel="1"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I133" s="125"/>
      <c r="AJ133" s="185"/>
      <c r="BC133" s="1"/>
      <c r="BD133" s="37"/>
      <c r="BF133" s="6"/>
      <c r="BG133" s="6"/>
      <c r="BH133" s="6"/>
      <c r="BI133" s="6"/>
      <c r="BJ133" s="6"/>
    </row>
    <row r="134" spans="1:63" s="1" customFormat="1" outlineLevel="1">
      <c r="A134" s="1" t="s">
        <v>265</v>
      </c>
      <c r="B134" s="60"/>
      <c r="C134" s="250">
        <f t="shared" ref="C134:AG134" si="92">C128*C42</f>
        <v>0</v>
      </c>
      <c r="D134" s="250">
        <f t="shared" si="92"/>
        <v>0</v>
      </c>
      <c r="E134" s="250">
        <f t="shared" si="92"/>
        <v>0</v>
      </c>
      <c r="F134" s="250">
        <f t="shared" si="92"/>
        <v>0</v>
      </c>
      <c r="G134" s="250">
        <f t="shared" si="92"/>
        <v>0</v>
      </c>
      <c r="H134" s="250">
        <f t="shared" si="92"/>
        <v>0</v>
      </c>
      <c r="I134" s="250">
        <f t="shared" si="92"/>
        <v>0</v>
      </c>
      <c r="J134" s="250">
        <f t="shared" si="92"/>
        <v>0</v>
      </c>
      <c r="K134" s="250">
        <f t="shared" si="92"/>
        <v>0</v>
      </c>
      <c r="L134" s="250">
        <f t="shared" si="92"/>
        <v>0</v>
      </c>
      <c r="M134" s="250">
        <f t="shared" si="92"/>
        <v>0</v>
      </c>
      <c r="N134" s="250">
        <f t="shared" si="92"/>
        <v>0</v>
      </c>
      <c r="O134" s="250">
        <f t="shared" si="92"/>
        <v>0</v>
      </c>
      <c r="P134" s="250">
        <f t="shared" si="92"/>
        <v>0</v>
      </c>
      <c r="Q134" s="250">
        <f t="shared" si="92"/>
        <v>0</v>
      </c>
      <c r="R134" s="250">
        <f t="shared" si="92"/>
        <v>0</v>
      </c>
      <c r="S134" s="250">
        <f t="shared" si="92"/>
        <v>0</v>
      </c>
      <c r="T134" s="250">
        <f t="shared" si="92"/>
        <v>0</v>
      </c>
      <c r="U134" s="250">
        <f t="shared" si="92"/>
        <v>0</v>
      </c>
      <c r="V134" s="250">
        <f t="shared" si="92"/>
        <v>0</v>
      </c>
      <c r="W134" s="250">
        <f t="shared" si="92"/>
        <v>0</v>
      </c>
      <c r="X134" s="250">
        <f t="shared" si="92"/>
        <v>0</v>
      </c>
      <c r="Y134" s="250">
        <f t="shared" si="92"/>
        <v>0</v>
      </c>
      <c r="Z134" s="250">
        <f t="shared" si="92"/>
        <v>0</v>
      </c>
      <c r="AA134" s="250">
        <f t="shared" si="92"/>
        <v>0</v>
      </c>
      <c r="AB134" s="250">
        <f t="shared" si="92"/>
        <v>0</v>
      </c>
      <c r="AC134" s="250">
        <f t="shared" si="92"/>
        <v>0</v>
      </c>
      <c r="AD134" s="250">
        <f t="shared" si="92"/>
        <v>0</v>
      </c>
      <c r="AE134" s="250">
        <f t="shared" si="92"/>
        <v>0</v>
      </c>
      <c r="AF134" s="250">
        <f t="shared" si="92"/>
        <v>0</v>
      </c>
      <c r="AG134" s="250">
        <f t="shared" si="92"/>
        <v>0</v>
      </c>
      <c r="AH134" s="217"/>
      <c r="AI134" s="368"/>
      <c r="AJ134" s="369"/>
      <c r="AL134" s="194"/>
      <c r="AM134" s="116"/>
      <c r="AN134" s="116"/>
      <c r="AO134" s="116"/>
      <c r="BD134" s="116"/>
      <c r="BE134" s="116"/>
      <c r="BF134" s="116"/>
      <c r="BG134" s="116"/>
      <c r="BH134" s="116"/>
      <c r="BI134" s="116"/>
      <c r="BJ134" s="116"/>
      <c r="BK134" s="116"/>
    </row>
    <row r="135" spans="1:63" s="1" customFormat="1" outlineLevel="1">
      <c r="A135" s="1" t="s">
        <v>1041</v>
      </c>
      <c r="B135" s="60"/>
      <c r="C135" s="250">
        <f t="shared" ref="C135:AG135" si="93">C134-$C134</f>
        <v>0</v>
      </c>
      <c r="D135" s="250">
        <f t="shared" si="93"/>
        <v>0</v>
      </c>
      <c r="E135" s="250">
        <f t="shared" si="93"/>
        <v>0</v>
      </c>
      <c r="F135" s="250">
        <f t="shared" si="93"/>
        <v>0</v>
      </c>
      <c r="G135" s="250">
        <f t="shared" si="93"/>
        <v>0</v>
      </c>
      <c r="H135" s="250">
        <f t="shared" si="93"/>
        <v>0</v>
      </c>
      <c r="I135" s="250">
        <f t="shared" si="93"/>
        <v>0</v>
      </c>
      <c r="J135" s="250">
        <f t="shared" si="93"/>
        <v>0</v>
      </c>
      <c r="K135" s="250">
        <f t="shared" si="93"/>
        <v>0</v>
      </c>
      <c r="L135" s="250">
        <f t="shared" si="93"/>
        <v>0</v>
      </c>
      <c r="M135" s="250">
        <f t="shared" si="93"/>
        <v>0</v>
      </c>
      <c r="N135" s="250">
        <f t="shared" si="93"/>
        <v>0</v>
      </c>
      <c r="O135" s="250">
        <f t="shared" si="93"/>
        <v>0</v>
      </c>
      <c r="P135" s="250">
        <f t="shared" si="93"/>
        <v>0</v>
      </c>
      <c r="Q135" s="250">
        <f t="shared" si="93"/>
        <v>0</v>
      </c>
      <c r="R135" s="250">
        <f t="shared" si="93"/>
        <v>0</v>
      </c>
      <c r="S135" s="250">
        <f t="shared" si="93"/>
        <v>0</v>
      </c>
      <c r="T135" s="250">
        <f t="shared" si="93"/>
        <v>0</v>
      </c>
      <c r="U135" s="250">
        <f t="shared" si="93"/>
        <v>0</v>
      </c>
      <c r="V135" s="250">
        <f t="shared" si="93"/>
        <v>0</v>
      </c>
      <c r="W135" s="250">
        <f t="shared" si="93"/>
        <v>0</v>
      </c>
      <c r="X135" s="250">
        <f t="shared" si="93"/>
        <v>0</v>
      </c>
      <c r="Y135" s="250">
        <f t="shared" si="93"/>
        <v>0</v>
      </c>
      <c r="Z135" s="250">
        <f t="shared" si="93"/>
        <v>0</v>
      </c>
      <c r="AA135" s="250">
        <f t="shared" si="93"/>
        <v>0</v>
      </c>
      <c r="AB135" s="250">
        <f t="shared" si="93"/>
        <v>0</v>
      </c>
      <c r="AC135" s="250">
        <f t="shared" si="93"/>
        <v>0</v>
      </c>
      <c r="AD135" s="250">
        <f t="shared" si="93"/>
        <v>0</v>
      </c>
      <c r="AE135" s="250">
        <f t="shared" si="93"/>
        <v>0</v>
      </c>
      <c r="AF135" s="250">
        <f t="shared" si="93"/>
        <v>0</v>
      </c>
      <c r="AG135" s="250">
        <f t="shared" si="93"/>
        <v>0</v>
      </c>
      <c r="AH135" s="217"/>
      <c r="AI135" s="368"/>
      <c r="AJ135" s="369"/>
      <c r="AL135" s="194"/>
      <c r="AM135" s="116"/>
      <c r="AN135" s="116"/>
      <c r="AO135" s="116"/>
      <c r="BD135" s="116"/>
      <c r="BE135" s="116"/>
      <c r="BF135" s="116"/>
      <c r="BG135" s="116"/>
      <c r="BH135" s="116"/>
      <c r="BI135" s="116"/>
      <c r="BJ135" s="116"/>
      <c r="BK135" s="116"/>
    </row>
    <row r="136" spans="1:63" s="1" customFormat="1" outlineLevel="1">
      <c r="A136" s="1" t="s">
        <v>1044</v>
      </c>
      <c r="B136" s="60"/>
      <c r="C136" s="250">
        <f t="shared" ref="C136:AG136" si="94">C128*C42</f>
        <v>0</v>
      </c>
      <c r="D136" s="250">
        <f t="shared" si="94"/>
        <v>0</v>
      </c>
      <c r="E136" s="250">
        <f t="shared" si="94"/>
        <v>0</v>
      </c>
      <c r="F136" s="250">
        <f t="shared" si="94"/>
        <v>0</v>
      </c>
      <c r="G136" s="250">
        <f t="shared" si="94"/>
        <v>0</v>
      </c>
      <c r="H136" s="250">
        <f t="shared" si="94"/>
        <v>0</v>
      </c>
      <c r="I136" s="250">
        <f t="shared" si="94"/>
        <v>0</v>
      </c>
      <c r="J136" s="250">
        <f t="shared" si="94"/>
        <v>0</v>
      </c>
      <c r="K136" s="250">
        <f t="shared" si="94"/>
        <v>0</v>
      </c>
      <c r="L136" s="250">
        <f t="shared" si="94"/>
        <v>0</v>
      </c>
      <c r="M136" s="250">
        <f t="shared" si="94"/>
        <v>0</v>
      </c>
      <c r="N136" s="250">
        <f t="shared" si="94"/>
        <v>0</v>
      </c>
      <c r="O136" s="250">
        <f t="shared" si="94"/>
        <v>0</v>
      </c>
      <c r="P136" s="250">
        <f t="shared" si="94"/>
        <v>0</v>
      </c>
      <c r="Q136" s="250">
        <f t="shared" si="94"/>
        <v>0</v>
      </c>
      <c r="R136" s="250">
        <f t="shared" si="94"/>
        <v>0</v>
      </c>
      <c r="S136" s="250">
        <f t="shared" si="94"/>
        <v>0</v>
      </c>
      <c r="T136" s="250">
        <f t="shared" si="94"/>
        <v>0</v>
      </c>
      <c r="U136" s="250">
        <f t="shared" si="94"/>
        <v>0</v>
      </c>
      <c r="V136" s="250">
        <f t="shared" si="94"/>
        <v>0</v>
      </c>
      <c r="W136" s="250">
        <f t="shared" si="94"/>
        <v>0</v>
      </c>
      <c r="X136" s="250">
        <f t="shared" si="94"/>
        <v>0</v>
      </c>
      <c r="Y136" s="250">
        <f t="shared" si="94"/>
        <v>0</v>
      </c>
      <c r="Z136" s="250">
        <f t="shared" si="94"/>
        <v>0</v>
      </c>
      <c r="AA136" s="250">
        <f t="shared" si="94"/>
        <v>0</v>
      </c>
      <c r="AB136" s="250">
        <f t="shared" si="94"/>
        <v>0</v>
      </c>
      <c r="AC136" s="250">
        <f t="shared" si="94"/>
        <v>0</v>
      </c>
      <c r="AD136" s="250">
        <f t="shared" si="94"/>
        <v>0</v>
      </c>
      <c r="AE136" s="250">
        <f t="shared" si="94"/>
        <v>0</v>
      </c>
      <c r="AF136" s="250">
        <f t="shared" si="94"/>
        <v>0</v>
      </c>
      <c r="AG136" s="250">
        <f t="shared" si="94"/>
        <v>0</v>
      </c>
      <c r="AH136" s="217"/>
      <c r="AI136" s="368"/>
      <c r="AJ136" s="369"/>
      <c r="AL136" s="194"/>
      <c r="AM136" s="116"/>
      <c r="AN136" s="116"/>
      <c r="AO136" s="116"/>
      <c r="BD136" s="116"/>
      <c r="BE136" s="116"/>
      <c r="BF136" s="116"/>
      <c r="BG136" s="116"/>
      <c r="BH136" s="116"/>
      <c r="BI136" s="116"/>
      <c r="BJ136" s="116"/>
      <c r="BK136" s="116"/>
    </row>
    <row r="137" spans="1:63" s="1" customFormat="1" outlineLevel="1">
      <c r="A137" s="1" t="s">
        <v>1047</v>
      </c>
      <c r="B137" s="60"/>
      <c r="C137" s="250">
        <f t="shared" ref="C137:AG137" si="95">C136-$C136</f>
        <v>0</v>
      </c>
      <c r="D137" s="250">
        <f t="shared" si="95"/>
        <v>0</v>
      </c>
      <c r="E137" s="250">
        <f t="shared" si="95"/>
        <v>0</v>
      </c>
      <c r="F137" s="250">
        <f t="shared" si="95"/>
        <v>0</v>
      </c>
      <c r="G137" s="250">
        <f t="shared" si="95"/>
        <v>0</v>
      </c>
      <c r="H137" s="250">
        <f t="shared" si="95"/>
        <v>0</v>
      </c>
      <c r="I137" s="250">
        <f t="shared" si="95"/>
        <v>0</v>
      </c>
      <c r="J137" s="250">
        <f t="shared" si="95"/>
        <v>0</v>
      </c>
      <c r="K137" s="250">
        <f t="shared" si="95"/>
        <v>0</v>
      </c>
      <c r="L137" s="250">
        <f t="shared" si="95"/>
        <v>0</v>
      </c>
      <c r="M137" s="250">
        <f t="shared" si="95"/>
        <v>0</v>
      </c>
      <c r="N137" s="250">
        <f t="shared" si="95"/>
        <v>0</v>
      </c>
      <c r="O137" s="250">
        <f t="shared" si="95"/>
        <v>0</v>
      </c>
      <c r="P137" s="250">
        <f t="shared" si="95"/>
        <v>0</v>
      </c>
      <c r="Q137" s="250">
        <f t="shared" si="95"/>
        <v>0</v>
      </c>
      <c r="R137" s="250">
        <f t="shared" si="95"/>
        <v>0</v>
      </c>
      <c r="S137" s="250">
        <f t="shared" si="95"/>
        <v>0</v>
      </c>
      <c r="T137" s="250">
        <f t="shared" si="95"/>
        <v>0</v>
      </c>
      <c r="U137" s="250">
        <f t="shared" si="95"/>
        <v>0</v>
      </c>
      <c r="V137" s="250">
        <f t="shared" si="95"/>
        <v>0</v>
      </c>
      <c r="W137" s="250">
        <f t="shared" si="95"/>
        <v>0</v>
      </c>
      <c r="X137" s="250">
        <f t="shared" si="95"/>
        <v>0</v>
      </c>
      <c r="Y137" s="250">
        <f t="shared" si="95"/>
        <v>0</v>
      </c>
      <c r="Z137" s="250">
        <f t="shared" si="95"/>
        <v>0</v>
      </c>
      <c r="AA137" s="250">
        <f t="shared" si="95"/>
        <v>0</v>
      </c>
      <c r="AB137" s="250">
        <f t="shared" si="95"/>
        <v>0</v>
      </c>
      <c r="AC137" s="250">
        <f t="shared" si="95"/>
        <v>0</v>
      </c>
      <c r="AD137" s="250">
        <f t="shared" si="95"/>
        <v>0</v>
      </c>
      <c r="AE137" s="250">
        <f t="shared" si="95"/>
        <v>0</v>
      </c>
      <c r="AF137" s="250">
        <f t="shared" si="95"/>
        <v>0</v>
      </c>
      <c r="AG137" s="250">
        <f t="shared" si="95"/>
        <v>0</v>
      </c>
      <c r="AH137" s="217"/>
      <c r="AI137" s="368"/>
      <c r="AJ137" s="369"/>
      <c r="AL137" s="194"/>
      <c r="AM137" s="116"/>
      <c r="AN137" s="116"/>
      <c r="AO137" s="116"/>
      <c r="BD137" s="116"/>
      <c r="BE137" s="116"/>
      <c r="BF137" s="116"/>
      <c r="BG137" s="116"/>
      <c r="BH137" s="116"/>
      <c r="BI137" s="116"/>
      <c r="BJ137" s="116"/>
      <c r="BK137" s="116"/>
    </row>
    <row r="138" spans="1:63" s="1" customFormat="1" outlineLevel="1">
      <c r="A138" s="1" t="s">
        <v>1269</v>
      </c>
      <c r="B138" s="60"/>
      <c r="C138" s="250">
        <f t="shared" ref="C138:AG138" si="96">C128*C42</f>
        <v>0</v>
      </c>
      <c r="D138" s="250">
        <f t="shared" si="96"/>
        <v>0</v>
      </c>
      <c r="E138" s="250">
        <f t="shared" si="96"/>
        <v>0</v>
      </c>
      <c r="F138" s="250">
        <f t="shared" si="96"/>
        <v>0</v>
      </c>
      <c r="G138" s="250">
        <f t="shared" si="96"/>
        <v>0</v>
      </c>
      <c r="H138" s="250">
        <f t="shared" si="96"/>
        <v>0</v>
      </c>
      <c r="I138" s="250">
        <f t="shared" si="96"/>
        <v>0</v>
      </c>
      <c r="J138" s="250">
        <f t="shared" si="96"/>
        <v>0</v>
      </c>
      <c r="K138" s="250">
        <f t="shared" si="96"/>
        <v>0</v>
      </c>
      <c r="L138" s="250">
        <f t="shared" si="96"/>
        <v>0</v>
      </c>
      <c r="M138" s="250">
        <f t="shared" si="96"/>
        <v>0</v>
      </c>
      <c r="N138" s="250">
        <f t="shared" si="96"/>
        <v>0</v>
      </c>
      <c r="O138" s="250">
        <f t="shared" si="96"/>
        <v>0</v>
      </c>
      <c r="P138" s="250">
        <f t="shared" si="96"/>
        <v>0</v>
      </c>
      <c r="Q138" s="250">
        <f t="shared" si="96"/>
        <v>0</v>
      </c>
      <c r="R138" s="250">
        <f t="shared" si="96"/>
        <v>0</v>
      </c>
      <c r="S138" s="250">
        <f t="shared" si="96"/>
        <v>0</v>
      </c>
      <c r="T138" s="250">
        <f t="shared" si="96"/>
        <v>0</v>
      </c>
      <c r="U138" s="250">
        <f t="shared" si="96"/>
        <v>0</v>
      </c>
      <c r="V138" s="250">
        <f t="shared" si="96"/>
        <v>0</v>
      </c>
      <c r="W138" s="250">
        <f t="shared" si="96"/>
        <v>0</v>
      </c>
      <c r="X138" s="250">
        <f t="shared" si="96"/>
        <v>0</v>
      </c>
      <c r="Y138" s="250">
        <f t="shared" si="96"/>
        <v>0</v>
      </c>
      <c r="Z138" s="250">
        <f t="shared" si="96"/>
        <v>0</v>
      </c>
      <c r="AA138" s="250">
        <f t="shared" si="96"/>
        <v>0</v>
      </c>
      <c r="AB138" s="250">
        <f t="shared" si="96"/>
        <v>0</v>
      </c>
      <c r="AC138" s="250">
        <f t="shared" si="96"/>
        <v>0</v>
      </c>
      <c r="AD138" s="250">
        <f t="shared" si="96"/>
        <v>0</v>
      </c>
      <c r="AE138" s="250">
        <f t="shared" si="96"/>
        <v>0</v>
      </c>
      <c r="AF138" s="250">
        <f t="shared" si="96"/>
        <v>0</v>
      </c>
      <c r="AG138" s="250">
        <f t="shared" si="96"/>
        <v>0</v>
      </c>
      <c r="AH138" s="217"/>
      <c r="AI138" s="368"/>
      <c r="AJ138" s="369"/>
      <c r="AL138" s="194"/>
      <c r="AM138" s="116"/>
      <c r="AN138" s="116"/>
      <c r="AO138" s="116"/>
      <c r="BD138" s="116"/>
      <c r="BE138" s="116"/>
      <c r="BF138" s="116"/>
      <c r="BG138" s="116"/>
      <c r="BH138" s="116"/>
      <c r="BI138" s="116"/>
      <c r="BJ138" s="116"/>
      <c r="BK138" s="116"/>
    </row>
    <row r="139" spans="1:63" s="1" customFormat="1" outlineLevel="1">
      <c r="A139" s="1" t="s">
        <v>1270</v>
      </c>
      <c r="B139" s="60"/>
      <c r="C139" s="250">
        <f t="shared" ref="C139:AG139" si="97">C138-$C138</f>
        <v>0</v>
      </c>
      <c r="D139" s="250">
        <f t="shared" si="97"/>
        <v>0</v>
      </c>
      <c r="E139" s="250">
        <f t="shared" si="97"/>
        <v>0</v>
      </c>
      <c r="F139" s="250">
        <f t="shared" si="97"/>
        <v>0</v>
      </c>
      <c r="G139" s="250">
        <f t="shared" si="97"/>
        <v>0</v>
      </c>
      <c r="H139" s="250">
        <f t="shared" si="97"/>
        <v>0</v>
      </c>
      <c r="I139" s="250">
        <f t="shared" si="97"/>
        <v>0</v>
      </c>
      <c r="J139" s="250">
        <f t="shared" si="97"/>
        <v>0</v>
      </c>
      <c r="K139" s="250">
        <f t="shared" si="97"/>
        <v>0</v>
      </c>
      <c r="L139" s="250">
        <f t="shared" si="97"/>
        <v>0</v>
      </c>
      <c r="M139" s="250">
        <f t="shared" si="97"/>
        <v>0</v>
      </c>
      <c r="N139" s="250">
        <f t="shared" si="97"/>
        <v>0</v>
      </c>
      <c r="O139" s="250">
        <f t="shared" si="97"/>
        <v>0</v>
      </c>
      <c r="P139" s="250">
        <f t="shared" si="97"/>
        <v>0</v>
      </c>
      <c r="Q139" s="250">
        <f t="shared" si="97"/>
        <v>0</v>
      </c>
      <c r="R139" s="250">
        <f t="shared" si="97"/>
        <v>0</v>
      </c>
      <c r="S139" s="250">
        <f t="shared" si="97"/>
        <v>0</v>
      </c>
      <c r="T139" s="250">
        <f t="shared" si="97"/>
        <v>0</v>
      </c>
      <c r="U139" s="250">
        <f t="shared" si="97"/>
        <v>0</v>
      </c>
      <c r="V139" s="250">
        <f t="shared" si="97"/>
        <v>0</v>
      </c>
      <c r="W139" s="250">
        <f t="shared" si="97"/>
        <v>0</v>
      </c>
      <c r="X139" s="250">
        <f t="shared" si="97"/>
        <v>0</v>
      </c>
      <c r="Y139" s="250">
        <f t="shared" si="97"/>
        <v>0</v>
      </c>
      <c r="Z139" s="250">
        <f t="shared" si="97"/>
        <v>0</v>
      </c>
      <c r="AA139" s="250">
        <f t="shared" si="97"/>
        <v>0</v>
      </c>
      <c r="AB139" s="250">
        <f t="shared" si="97"/>
        <v>0</v>
      </c>
      <c r="AC139" s="250">
        <f t="shared" si="97"/>
        <v>0</v>
      </c>
      <c r="AD139" s="250">
        <f t="shared" si="97"/>
        <v>0</v>
      </c>
      <c r="AE139" s="250">
        <f t="shared" si="97"/>
        <v>0</v>
      </c>
      <c r="AF139" s="250">
        <f t="shared" si="97"/>
        <v>0</v>
      </c>
      <c r="AG139" s="250">
        <f t="shared" si="97"/>
        <v>0</v>
      </c>
      <c r="AH139" s="217"/>
      <c r="AI139" s="368"/>
      <c r="AJ139" s="369"/>
      <c r="AL139" s="194"/>
      <c r="AM139" s="116"/>
      <c r="AN139" s="116"/>
      <c r="AO139" s="116"/>
      <c r="BD139" s="116"/>
      <c r="BE139" s="116"/>
      <c r="BF139" s="116"/>
      <c r="BG139" s="116"/>
      <c r="BH139" s="116"/>
      <c r="BI139" s="116"/>
      <c r="BJ139" s="116"/>
      <c r="BK139" s="116"/>
    </row>
    <row r="140" spans="1:63" outlineLevel="1"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J140" s="185"/>
    </row>
    <row r="141" spans="1:63" s="174" customFormat="1" ht="15.5" thickBot="1">
      <c r="A141" s="174" t="s">
        <v>446</v>
      </c>
      <c r="B141" s="189"/>
      <c r="C141" s="197">
        <f>C142</f>
        <v>0</v>
      </c>
      <c r="D141" s="197">
        <f t="shared" ref="D141:AG141" si="98">D142</f>
        <v>9.9999999999999985E-3</v>
      </c>
      <c r="E141" s="197">
        <f t="shared" si="98"/>
        <v>1.9999999999999997E-2</v>
      </c>
      <c r="F141" s="197">
        <f t="shared" si="98"/>
        <v>2.9999999999999995E-2</v>
      </c>
      <c r="G141" s="197">
        <f t="shared" si="98"/>
        <v>3.9999999999999994E-2</v>
      </c>
      <c r="H141" s="197">
        <f t="shared" si="98"/>
        <v>4.9999999999999989E-2</v>
      </c>
      <c r="I141" s="197">
        <f t="shared" si="98"/>
        <v>5.9999999999999991E-2</v>
      </c>
      <c r="J141" s="197">
        <f t="shared" si="98"/>
        <v>6.9999999999999993E-2</v>
      </c>
      <c r="K141" s="197">
        <f t="shared" si="98"/>
        <v>7.9999999999999988E-2</v>
      </c>
      <c r="L141" s="197">
        <f t="shared" si="98"/>
        <v>8.9999999999999983E-2</v>
      </c>
      <c r="M141" s="197">
        <f t="shared" si="98"/>
        <v>9.9999999999999992E-2</v>
      </c>
      <c r="N141" s="197">
        <f t="shared" si="98"/>
        <v>0.10999999999999999</v>
      </c>
      <c r="O141" s="197">
        <f t="shared" si="98"/>
        <v>0.12</v>
      </c>
      <c r="P141" s="197">
        <f t="shared" si="98"/>
        <v>0.12999999999999998</v>
      </c>
      <c r="Q141" s="197">
        <f t="shared" si="98"/>
        <v>0.13999999999999999</v>
      </c>
      <c r="R141" s="197">
        <f t="shared" si="98"/>
        <v>0.14999999999999997</v>
      </c>
      <c r="S141" s="197">
        <f t="shared" si="98"/>
        <v>0.15999999999999998</v>
      </c>
      <c r="T141" s="197">
        <f t="shared" si="98"/>
        <v>0.16999999999999998</v>
      </c>
      <c r="U141" s="197">
        <f t="shared" si="98"/>
        <v>0.18</v>
      </c>
      <c r="V141" s="197">
        <f t="shared" si="98"/>
        <v>0.18999999999999997</v>
      </c>
      <c r="W141" s="197">
        <f t="shared" si="98"/>
        <v>0.19999999999999998</v>
      </c>
      <c r="X141" s="197">
        <f t="shared" si="98"/>
        <v>0.21</v>
      </c>
      <c r="Y141" s="197">
        <f t="shared" si="98"/>
        <v>0.21999999999999997</v>
      </c>
      <c r="Z141" s="197">
        <f t="shared" si="98"/>
        <v>0.22999999999999998</v>
      </c>
      <c r="AA141" s="197">
        <f t="shared" si="98"/>
        <v>0.24</v>
      </c>
      <c r="AB141" s="197">
        <f t="shared" si="98"/>
        <v>0.25</v>
      </c>
      <c r="AC141" s="197">
        <f t="shared" si="98"/>
        <v>0.26</v>
      </c>
      <c r="AD141" s="197">
        <f t="shared" si="98"/>
        <v>0.27</v>
      </c>
      <c r="AE141" s="197">
        <f t="shared" si="98"/>
        <v>0.27999999999999997</v>
      </c>
      <c r="AF141" s="197">
        <f t="shared" si="98"/>
        <v>0.28999999999999998</v>
      </c>
      <c r="AG141" s="197">
        <f t="shared" si="98"/>
        <v>0.3</v>
      </c>
      <c r="AJ141" s="204" t="s">
        <v>458</v>
      </c>
      <c r="AL141" s="191"/>
      <c r="AM141" s="198"/>
      <c r="AN141" s="198"/>
      <c r="AO141" s="198"/>
    </row>
    <row r="142" spans="1:63" ht="15.5" outlineLevel="1" thickTop="1">
      <c r="A142" t="s">
        <v>454</v>
      </c>
      <c r="B142" s="50" t="s">
        <v>126</v>
      </c>
      <c r="C142" s="105">
        <v>0</v>
      </c>
      <c r="D142" s="102">
        <f>$C142+($M142-$C142)/10*(D$1-$C$1)</f>
        <v>9.9999999999999985E-3</v>
      </c>
      <c r="E142" s="102">
        <f t="shared" ref="E142:L142" si="99">$C142+($M142-$C142)/10*(E$1-$C$1)</f>
        <v>1.9999999999999997E-2</v>
      </c>
      <c r="F142" s="102">
        <f t="shared" si="99"/>
        <v>2.9999999999999995E-2</v>
      </c>
      <c r="G142" s="102">
        <f t="shared" si="99"/>
        <v>3.9999999999999994E-2</v>
      </c>
      <c r="H142" s="102">
        <f t="shared" si="99"/>
        <v>4.9999999999999989E-2</v>
      </c>
      <c r="I142" s="102">
        <f t="shared" si="99"/>
        <v>5.9999999999999991E-2</v>
      </c>
      <c r="J142" s="102">
        <f t="shared" si="99"/>
        <v>6.9999999999999993E-2</v>
      </c>
      <c r="K142" s="102">
        <f t="shared" si="99"/>
        <v>7.9999999999999988E-2</v>
      </c>
      <c r="L142" s="102">
        <f t="shared" si="99"/>
        <v>8.9999999999999983E-2</v>
      </c>
      <c r="M142" s="113">
        <f>C142+(AG142-C142)/3</f>
        <v>9.9999999999999992E-2</v>
      </c>
      <c r="N142" s="113">
        <f>$M142+($W142-$M142)/10*(N$1-$M$1)</f>
        <v>0.10999999999999999</v>
      </c>
      <c r="O142" s="113">
        <f t="shared" ref="O142:U142" si="100">$M142+($W142-$M142)/10*(O$1-$M$1)</f>
        <v>0.12</v>
      </c>
      <c r="P142" s="113">
        <f t="shared" si="100"/>
        <v>0.12999999999999998</v>
      </c>
      <c r="Q142" s="113">
        <f t="shared" si="100"/>
        <v>0.13999999999999999</v>
      </c>
      <c r="R142" s="113">
        <f t="shared" si="100"/>
        <v>0.14999999999999997</v>
      </c>
      <c r="S142" s="113">
        <f t="shared" si="100"/>
        <v>0.15999999999999998</v>
      </c>
      <c r="T142" s="113">
        <f t="shared" si="100"/>
        <v>0.16999999999999998</v>
      </c>
      <c r="U142" s="113">
        <f t="shared" si="100"/>
        <v>0.18</v>
      </c>
      <c r="V142" s="113">
        <f>$M142+($W142-$M142)/10*(V$1-$M$1)</f>
        <v>0.18999999999999997</v>
      </c>
      <c r="W142" s="113">
        <f>C142+(AG142-C142)*2/3</f>
        <v>0.19999999999999998</v>
      </c>
      <c r="X142" s="22">
        <f t="shared" ref="X142:AF142" si="101">$W142+($AG142-$W142)/10*(X$1-$W$1)</f>
        <v>0.21</v>
      </c>
      <c r="Y142" s="22">
        <f t="shared" si="101"/>
        <v>0.21999999999999997</v>
      </c>
      <c r="Z142" s="22">
        <f t="shared" si="101"/>
        <v>0.22999999999999998</v>
      </c>
      <c r="AA142" s="22">
        <f t="shared" si="101"/>
        <v>0.24</v>
      </c>
      <c r="AB142" s="22">
        <f t="shared" si="101"/>
        <v>0.25</v>
      </c>
      <c r="AC142" s="22">
        <f t="shared" si="101"/>
        <v>0.26</v>
      </c>
      <c r="AD142" s="22">
        <f t="shared" si="101"/>
        <v>0.27</v>
      </c>
      <c r="AE142" s="22">
        <f t="shared" si="101"/>
        <v>0.27999999999999997</v>
      </c>
      <c r="AF142" s="22">
        <f t="shared" si="101"/>
        <v>0.28999999999999998</v>
      </c>
      <c r="AG142" s="98">
        <v>0.3</v>
      </c>
      <c r="AJ142" s="185" t="s">
        <v>789</v>
      </c>
    </row>
    <row r="143" spans="1:63" outlineLevel="1">
      <c r="C143" s="105"/>
      <c r="D143" s="102"/>
      <c r="E143" s="102"/>
      <c r="F143" s="102"/>
      <c r="G143" s="102"/>
      <c r="H143" s="102"/>
      <c r="I143" s="102"/>
      <c r="J143" s="102"/>
      <c r="K143" s="102"/>
      <c r="L143" s="102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22"/>
      <c r="Y143" s="22"/>
      <c r="Z143" s="22"/>
      <c r="AA143" s="22"/>
      <c r="AB143" s="22"/>
      <c r="AC143" s="22"/>
      <c r="AD143" s="22"/>
      <c r="AE143" s="22"/>
      <c r="AF143" s="22"/>
      <c r="AG143" s="98"/>
      <c r="AJ143" s="185"/>
    </row>
    <row r="144" spans="1:63" outlineLevel="1">
      <c r="A144" t="s">
        <v>1337</v>
      </c>
      <c r="C144" s="437">
        <v>1</v>
      </c>
      <c r="D144" s="437">
        <f>C144-($C144-$AG144)/($AG$1-$C$1)</f>
        <v>1</v>
      </c>
      <c r="E144" s="437">
        <f t="shared" ref="E144:AF144" si="102">D144-($C144-$AG144)/($AG$1-$C$1)</f>
        <v>1</v>
      </c>
      <c r="F144" s="437">
        <f t="shared" si="102"/>
        <v>1</v>
      </c>
      <c r="G144" s="437">
        <f t="shared" si="102"/>
        <v>1</v>
      </c>
      <c r="H144" s="437">
        <f t="shared" si="102"/>
        <v>1</v>
      </c>
      <c r="I144" s="437">
        <f t="shared" si="102"/>
        <v>1</v>
      </c>
      <c r="J144" s="437">
        <f t="shared" si="102"/>
        <v>1</v>
      </c>
      <c r="K144" s="437">
        <f t="shared" si="102"/>
        <v>1</v>
      </c>
      <c r="L144" s="437">
        <f t="shared" si="102"/>
        <v>1</v>
      </c>
      <c r="M144" s="437">
        <f t="shared" si="102"/>
        <v>1</v>
      </c>
      <c r="N144" s="437">
        <f t="shared" si="102"/>
        <v>1</v>
      </c>
      <c r="O144" s="437">
        <f t="shared" si="102"/>
        <v>1</v>
      </c>
      <c r="P144" s="437">
        <f t="shared" si="102"/>
        <v>1</v>
      </c>
      <c r="Q144" s="437">
        <f t="shared" si="102"/>
        <v>1</v>
      </c>
      <c r="R144" s="437">
        <f t="shared" si="102"/>
        <v>1</v>
      </c>
      <c r="S144" s="437">
        <f t="shared" si="102"/>
        <v>1</v>
      </c>
      <c r="T144" s="437">
        <f t="shared" si="102"/>
        <v>1</v>
      </c>
      <c r="U144" s="437">
        <f t="shared" si="102"/>
        <v>1</v>
      </c>
      <c r="V144" s="437">
        <f t="shared" si="102"/>
        <v>1</v>
      </c>
      <c r="W144" s="437">
        <f t="shared" si="102"/>
        <v>1</v>
      </c>
      <c r="X144" s="437">
        <f t="shared" si="102"/>
        <v>1</v>
      </c>
      <c r="Y144" s="437">
        <f t="shared" si="102"/>
        <v>1</v>
      </c>
      <c r="Z144" s="437">
        <f t="shared" si="102"/>
        <v>1</v>
      </c>
      <c r="AA144" s="437">
        <f t="shared" si="102"/>
        <v>1</v>
      </c>
      <c r="AB144" s="437">
        <f t="shared" si="102"/>
        <v>1</v>
      </c>
      <c r="AC144" s="437">
        <f t="shared" si="102"/>
        <v>1</v>
      </c>
      <c r="AD144" s="437">
        <f t="shared" si="102"/>
        <v>1</v>
      </c>
      <c r="AE144" s="437">
        <f t="shared" si="102"/>
        <v>1</v>
      </c>
      <c r="AF144" s="437">
        <f t="shared" si="102"/>
        <v>1</v>
      </c>
      <c r="AG144" s="437">
        <v>1</v>
      </c>
      <c r="AI144" s="124"/>
      <c r="AJ144" s="185"/>
      <c r="AL144" s="100"/>
      <c r="AM144" s="181"/>
      <c r="AN144" s="181"/>
      <c r="AO144" s="181"/>
      <c r="BC144" s="1"/>
      <c r="BD144" s="181"/>
      <c r="BE144" s="181"/>
      <c r="BF144" s="181"/>
      <c r="BG144" s="181"/>
      <c r="BH144" s="181"/>
      <c r="BI144" s="181"/>
      <c r="BJ144" s="181"/>
      <c r="BK144" s="181"/>
    </row>
    <row r="145" spans="1:63" outlineLevel="1">
      <c r="A145" t="s">
        <v>1353</v>
      </c>
      <c r="B145" s="50" t="s">
        <v>126</v>
      </c>
      <c r="C145" s="102">
        <f>C142*C144</f>
        <v>0</v>
      </c>
      <c r="D145" s="102">
        <f t="shared" ref="D145:AG145" si="103">D142*D144</f>
        <v>9.9999999999999985E-3</v>
      </c>
      <c r="E145" s="102">
        <f t="shared" si="103"/>
        <v>1.9999999999999997E-2</v>
      </c>
      <c r="F145" s="102">
        <f t="shared" si="103"/>
        <v>2.9999999999999995E-2</v>
      </c>
      <c r="G145" s="102">
        <f t="shared" si="103"/>
        <v>3.9999999999999994E-2</v>
      </c>
      <c r="H145" s="102">
        <f t="shared" si="103"/>
        <v>4.9999999999999989E-2</v>
      </c>
      <c r="I145" s="102">
        <f t="shared" si="103"/>
        <v>5.9999999999999991E-2</v>
      </c>
      <c r="J145" s="102">
        <f t="shared" si="103"/>
        <v>6.9999999999999993E-2</v>
      </c>
      <c r="K145" s="102">
        <f t="shared" si="103"/>
        <v>7.9999999999999988E-2</v>
      </c>
      <c r="L145" s="102">
        <f t="shared" si="103"/>
        <v>8.9999999999999983E-2</v>
      </c>
      <c r="M145" s="102">
        <f t="shared" si="103"/>
        <v>9.9999999999999992E-2</v>
      </c>
      <c r="N145" s="102">
        <f t="shared" si="103"/>
        <v>0.10999999999999999</v>
      </c>
      <c r="O145" s="102">
        <f t="shared" si="103"/>
        <v>0.12</v>
      </c>
      <c r="P145" s="102">
        <f t="shared" si="103"/>
        <v>0.12999999999999998</v>
      </c>
      <c r="Q145" s="102">
        <f t="shared" si="103"/>
        <v>0.13999999999999999</v>
      </c>
      <c r="R145" s="102">
        <f t="shared" si="103"/>
        <v>0.14999999999999997</v>
      </c>
      <c r="S145" s="102">
        <f t="shared" si="103"/>
        <v>0.15999999999999998</v>
      </c>
      <c r="T145" s="102">
        <f t="shared" si="103"/>
        <v>0.16999999999999998</v>
      </c>
      <c r="U145" s="102">
        <f t="shared" si="103"/>
        <v>0.18</v>
      </c>
      <c r="V145" s="102">
        <f t="shared" si="103"/>
        <v>0.18999999999999997</v>
      </c>
      <c r="W145" s="102">
        <f t="shared" si="103"/>
        <v>0.19999999999999998</v>
      </c>
      <c r="X145" s="102">
        <f t="shared" si="103"/>
        <v>0.21</v>
      </c>
      <c r="Y145" s="102">
        <f t="shared" si="103"/>
        <v>0.21999999999999997</v>
      </c>
      <c r="Z145" s="102">
        <f t="shared" si="103"/>
        <v>0.22999999999999998</v>
      </c>
      <c r="AA145" s="102">
        <f t="shared" si="103"/>
        <v>0.24</v>
      </c>
      <c r="AB145" s="102">
        <f t="shared" si="103"/>
        <v>0.25</v>
      </c>
      <c r="AC145" s="102">
        <f t="shared" si="103"/>
        <v>0.26</v>
      </c>
      <c r="AD145" s="102">
        <f t="shared" si="103"/>
        <v>0.27</v>
      </c>
      <c r="AE145" s="102">
        <f t="shared" si="103"/>
        <v>0.27999999999999997</v>
      </c>
      <c r="AF145" s="102">
        <f t="shared" si="103"/>
        <v>0.28999999999999998</v>
      </c>
      <c r="AG145" s="102">
        <f t="shared" si="103"/>
        <v>0.3</v>
      </c>
      <c r="AJ145" s="185"/>
    </row>
    <row r="146" spans="1:63" outlineLevel="1"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I146" s="125"/>
      <c r="AJ146" s="185"/>
      <c r="BC146" s="1"/>
      <c r="BD146" s="37"/>
      <c r="BF146" s="6"/>
      <c r="BG146" s="6"/>
      <c r="BH146" s="6"/>
      <c r="BI146" s="6"/>
      <c r="BJ146" s="6"/>
    </row>
    <row r="147" spans="1:63" s="1" customFormat="1" outlineLevel="1">
      <c r="A147" s="1" t="s">
        <v>265</v>
      </c>
      <c r="B147" s="60"/>
      <c r="C147" s="250">
        <f t="shared" ref="C147:AG147" si="104">C145*C41</f>
        <v>0</v>
      </c>
      <c r="D147" s="250">
        <f t="shared" si="104"/>
        <v>142.6016254286524</v>
      </c>
      <c r="E147" s="250">
        <f t="shared" si="104"/>
        <v>284.57364334423386</v>
      </c>
      <c r="F147" s="250">
        <f t="shared" si="104"/>
        <v>425.91813860527594</v>
      </c>
      <c r="G147" s="250">
        <f t="shared" si="104"/>
        <v>566.63718993366842</v>
      </c>
      <c r="H147" s="250">
        <f t="shared" si="104"/>
        <v>706.73286993159377</v>
      </c>
      <c r="I147" s="250">
        <f t="shared" si="104"/>
        <v>846.20724509841557</v>
      </c>
      <c r="J147" s="250">
        <f t="shared" si="104"/>
        <v>985.06237584752296</v>
      </c>
      <c r="K147" s="250">
        <f t="shared" si="104"/>
        <v>1123.30031652313</v>
      </c>
      <c r="L147" s="250">
        <f t="shared" si="104"/>
        <v>1260.9231154170316</v>
      </c>
      <c r="M147" s="250">
        <f t="shared" si="104"/>
        <v>1397.9328147853137</v>
      </c>
      <c r="N147" s="250">
        <f t="shared" si="104"/>
        <v>1534.331450865019</v>
      </c>
      <c r="O147" s="250">
        <f t="shared" si="104"/>
        <v>1670.1210538907708</v>
      </c>
      <c r="P147" s="250">
        <f t="shared" si="104"/>
        <v>1805.30364811135</v>
      </c>
      <c r="Q147" s="250">
        <f t="shared" si="104"/>
        <v>1939.8812518062293</v>
      </c>
      <c r="R147" s="250">
        <f t="shared" si="104"/>
        <v>2073.8558773020654</v>
      </c>
      <c r="S147" s="250">
        <f t="shared" si="104"/>
        <v>2207.2295309891438</v>
      </c>
      <c r="T147" s="250">
        <f t="shared" si="104"/>
        <v>2340.0042133377815</v>
      </c>
      <c r="U147" s="250">
        <f t="shared" si="104"/>
        <v>2472.1819189146895</v>
      </c>
      <c r="V147" s="250">
        <f t="shared" si="104"/>
        <v>2603.7646363992844</v>
      </c>
      <c r="W147" s="250">
        <f t="shared" si="104"/>
        <v>2734.7543485999681</v>
      </c>
      <c r="X147" s="250">
        <f t="shared" si="104"/>
        <v>2865.1530324703504</v>
      </c>
      <c r="Y147" s="250">
        <f t="shared" si="104"/>
        <v>2994.96265912544</v>
      </c>
      <c r="Z147" s="250">
        <f t="shared" si="104"/>
        <v>3124.1851938577884</v>
      </c>
      <c r="AA147" s="250">
        <f t="shared" si="104"/>
        <v>3252.8225961535895</v>
      </c>
      <c r="AB147" s="250">
        <f t="shared" si="104"/>
        <v>3380.8768197087384</v>
      </c>
      <c r="AC147" s="250">
        <f t="shared" si="104"/>
        <v>3508.3498124448452</v>
      </c>
      <c r="AD147" s="250">
        <f t="shared" si="104"/>
        <v>3635.2435165252118</v>
      </c>
      <c r="AE147" s="250">
        <f t="shared" si="104"/>
        <v>3761.5598683707622</v>
      </c>
      <c r="AF147" s="250">
        <f t="shared" si="104"/>
        <v>3887.3007986759267</v>
      </c>
      <c r="AG147" s="250">
        <f t="shared" si="104"/>
        <v>4012.4682324244945</v>
      </c>
      <c r="AH147" s="217"/>
      <c r="AI147" s="368"/>
      <c r="AJ147" s="369"/>
      <c r="AL147" s="194"/>
      <c r="AM147" s="116"/>
      <c r="AN147" s="116"/>
      <c r="AO147" s="116"/>
      <c r="BD147" s="116"/>
      <c r="BE147" s="116"/>
      <c r="BF147" s="116"/>
      <c r="BG147" s="116"/>
      <c r="BH147" s="116"/>
      <c r="BI147" s="116"/>
      <c r="BJ147" s="116"/>
      <c r="BK147" s="116"/>
    </row>
    <row r="148" spans="1:63" s="1" customFormat="1" outlineLevel="1">
      <c r="A148" s="1" t="s">
        <v>1041</v>
      </c>
      <c r="B148" s="60"/>
      <c r="C148" s="250">
        <f t="shared" ref="C148:AG148" si="105">C147-$C147</f>
        <v>0</v>
      </c>
      <c r="D148" s="250">
        <f t="shared" si="105"/>
        <v>142.6016254286524</v>
      </c>
      <c r="E148" s="250">
        <f t="shared" si="105"/>
        <v>284.57364334423386</v>
      </c>
      <c r="F148" s="250">
        <f t="shared" si="105"/>
        <v>425.91813860527594</v>
      </c>
      <c r="G148" s="250">
        <f t="shared" si="105"/>
        <v>566.63718993366842</v>
      </c>
      <c r="H148" s="250">
        <f t="shared" si="105"/>
        <v>706.73286993159377</v>
      </c>
      <c r="I148" s="250">
        <f t="shared" si="105"/>
        <v>846.20724509841557</v>
      </c>
      <c r="J148" s="250">
        <f t="shared" si="105"/>
        <v>985.06237584752296</v>
      </c>
      <c r="K148" s="250">
        <f t="shared" si="105"/>
        <v>1123.30031652313</v>
      </c>
      <c r="L148" s="250">
        <f t="shared" si="105"/>
        <v>1260.9231154170316</v>
      </c>
      <c r="M148" s="250">
        <f t="shared" si="105"/>
        <v>1397.9328147853137</v>
      </c>
      <c r="N148" s="250">
        <f t="shared" si="105"/>
        <v>1534.331450865019</v>
      </c>
      <c r="O148" s="250">
        <f t="shared" si="105"/>
        <v>1670.1210538907708</v>
      </c>
      <c r="P148" s="250">
        <f t="shared" si="105"/>
        <v>1805.30364811135</v>
      </c>
      <c r="Q148" s="250">
        <f t="shared" si="105"/>
        <v>1939.8812518062293</v>
      </c>
      <c r="R148" s="250">
        <f t="shared" si="105"/>
        <v>2073.8558773020654</v>
      </c>
      <c r="S148" s="250">
        <f t="shared" si="105"/>
        <v>2207.2295309891438</v>
      </c>
      <c r="T148" s="250">
        <f t="shared" si="105"/>
        <v>2340.0042133377815</v>
      </c>
      <c r="U148" s="250">
        <f t="shared" si="105"/>
        <v>2472.1819189146895</v>
      </c>
      <c r="V148" s="250">
        <f t="shared" si="105"/>
        <v>2603.7646363992844</v>
      </c>
      <c r="W148" s="250">
        <f t="shared" si="105"/>
        <v>2734.7543485999681</v>
      </c>
      <c r="X148" s="250">
        <f t="shared" si="105"/>
        <v>2865.1530324703504</v>
      </c>
      <c r="Y148" s="250">
        <f t="shared" si="105"/>
        <v>2994.96265912544</v>
      </c>
      <c r="Z148" s="250">
        <f t="shared" si="105"/>
        <v>3124.1851938577884</v>
      </c>
      <c r="AA148" s="250">
        <f t="shared" si="105"/>
        <v>3252.8225961535895</v>
      </c>
      <c r="AB148" s="250">
        <f t="shared" si="105"/>
        <v>3380.8768197087384</v>
      </c>
      <c r="AC148" s="250">
        <f t="shared" si="105"/>
        <v>3508.3498124448452</v>
      </c>
      <c r="AD148" s="250">
        <f t="shared" si="105"/>
        <v>3635.2435165252118</v>
      </c>
      <c r="AE148" s="250">
        <f t="shared" si="105"/>
        <v>3761.5598683707622</v>
      </c>
      <c r="AF148" s="250">
        <f t="shared" si="105"/>
        <v>3887.3007986759267</v>
      </c>
      <c r="AG148" s="250">
        <f t="shared" si="105"/>
        <v>4012.4682324244945</v>
      </c>
      <c r="AH148" s="217"/>
      <c r="AI148" s="368"/>
      <c r="AJ148" s="369"/>
      <c r="AL148" s="194"/>
      <c r="AM148" s="116"/>
      <c r="AN148" s="116"/>
      <c r="AO148" s="116"/>
      <c r="BD148" s="116"/>
      <c r="BE148" s="116"/>
      <c r="BF148" s="116"/>
      <c r="BG148" s="116"/>
      <c r="BH148" s="116"/>
      <c r="BI148" s="116"/>
      <c r="BJ148" s="116"/>
      <c r="BK148" s="116"/>
    </row>
    <row r="149" spans="1:63" outlineLevel="1">
      <c r="AJ149" s="185"/>
    </row>
    <row r="150" spans="1:63" s="174" customFormat="1" ht="15.5" thickBot="1">
      <c r="A150" s="174" t="s">
        <v>448</v>
      </c>
      <c r="B150" s="189"/>
      <c r="C150" s="197">
        <f>C151</f>
        <v>0</v>
      </c>
      <c r="D150" s="197">
        <f t="shared" ref="D150:AG150" si="106">D151</f>
        <v>0</v>
      </c>
      <c r="E150" s="197">
        <f t="shared" si="106"/>
        <v>0</v>
      </c>
      <c r="F150" s="197">
        <f t="shared" si="106"/>
        <v>0</v>
      </c>
      <c r="G150" s="197">
        <f t="shared" si="106"/>
        <v>0</v>
      </c>
      <c r="H150" s="197">
        <f t="shared" si="106"/>
        <v>0</v>
      </c>
      <c r="I150" s="197">
        <f t="shared" si="106"/>
        <v>0</v>
      </c>
      <c r="J150" s="197">
        <f t="shared" si="106"/>
        <v>0</v>
      </c>
      <c r="K150" s="197">
        <f t="shared" si="106"/>
        <v>0</v>
      </c>
      <c r="L150" s="197">
        <f t="shared" si="106"/>
        <v>0</v>
      </c>
      <c r="M150" s="197">
        <f t="shared" si="106"/>
        <v>0</v>
      </c>
      <c r="N150" s="197">
        <f t="shared" si="106"/>
        <v>0</v>
      </c>
      <c r="O150" s="197">
        <f t="shared" si="106"/>
        <v>0</v>
      </c>
      <c r="P150" s="197">
        <f t="shared" si="106"/>
        <v>0</v>
      </c>
      <c r="Q150" s="197">
        <f t="shared" si="106"/>
        <v>0</v>
      </c>
      <c r="R150" s="197">
        <f t="shared" si="106"/>
        <v>0</v>
      </c>
      <c r="S150" s="197">
        <f t="shared" si="106"/>
        <v>0</v>
      </c>
      <c r="T150" s="197">
        <f t="shared" si="106"/>
        <v>0</v>
      </c>
      <c r="U150" s="197">
        <f t="shared" si="106"/>
        <v>0</v>
      </c>
      <c r="V150" s="197">
        <f t="shared" si="106"/>
        <v>0</v>
      </c>
      <c r="W150" s="197">
        <f t="shared" si="106"/>
        <v>0</v>
      </c>
      <c r="X150" s="197">
        <f t="shared" si="106"/>
        <v>0</v>
      </c>
      <c r="Y150" s="197">
        <f t="shared" si="106"/>
        <v>0</v>
      </c>
      <c r="Z150" s="197">
        <f t="shared" si="106"/>
        <v>0</v>
      </c>
      <c r="AA150" s="197">
        <f t="shared" si="106"/>
        <v>0</v>
      </c>
      <c r="AB150" s="197">
        <f t="shared" si="106"/>
        <v>0</v>
      </c>
      <c r="AC150" s="197">
        <f t="shared" si="106"/>
        <v>0</v>
      </c>
      <c r="AD150" s="197">
        <f t="shared" si="106"/>
        <v>0</v>
      </c>
      <c r="AE150" s="197">
        <f t="shared" si="106"/>
        <v>0</v>
      </c>
      <c r="AF150" s="197">
        <f t="shared" si="106"/>
        <v>0</v>
      </c>
      <c r="AG150" s="197">
        <f t="shared" si="106"/>
        <v>0</v>
      </c>
      <c r="AJ150" s="204" t="s">
        <v>457</v>
      </c>
      <c r="AL150" s="191"/>
      <c r="AM150" s="198"/>
      <c r="AN150" s="198"/>
      <c r="AO150" s="198"/>
    </row>
    <row r="151" spans="1:63" ht="15.5" outlineLevel="2" thickTop="1">
      <c r="A151" t="s">
        <v>449</v>
      </c>
      <c r="B151" s="50" t="s">
        <v>126</v>
      </c>
      <c r="C151" s="105">
        <v>0</v>
      </c>
      <c r="D151" s="102">
        <f>$C151+($M151-$C151)/10*(D$1-$C$1)</f>
        <v>0</v>
      </c>
      <c r="E151" s="102">
        <f t="shared" ref="E151:L151" si="107">$C151+($M151-$C151)/10*(E$1-$C$1)</f>
        <v>0</v>
      </c>
      <c r="F151" s="102">
        <f t="shared" si="107"/>
        <v>0</v>
      </c>
      <c r="G151" s="102">
        <f t="shared" si="107"/>
        <v>0</v>
      </c>
      <c r="H151" s="102">
        <f t="shared" si="107"/>
        <v>0</v>
      </c>
      <c r="I151" s="102">
        <f t="shared" si="107"/>
        <v>0</v>
      </c>
      <c r="J151" s="102">
        <f t="shared" si="107"/>
        <v>0</v>
      </c>
      <c r="K151" s="102">
        <f t="shared" si="107"/>
        <v>0</v>
      </c>
      <c r="L151" s="102">
        <f t="shared" si="107"/>
        <v>0</v>
      </c>
      <c r="M151" s="113">
        <v>0</v>
      </c>
      <c r="N151" s="113">
        <f>$M151+($W151-$M151)/10*(N$1-$M$1)</f>
        <v>0</v>
      </c>
      <c r="O151" s="113">
        <f t="shared" ref="O151:U151" si="108">$M151+($W151-$M151)/10*(O$1-$M$1)</f>
        <v>0</v>
      </c>
      <c r="P151" s="113">
        <f t="shared" si="108"/>
        <v>0</v>
      </c>
      <c r="Q151" s="113">
        <f t="shared" si="108"/>
        <v>0</v>
      </c>
      <c r="R151" s="113">
        <f t="shared" si="108"/>
        <v>0</v>
      </c>
      <c r="S151" s="113">
        <f t="shared" si="108"/>
        <v>0</v>
      </c>
      <c r="T151" s="113">
        <f t="shared" si="108"/>
        <v>0</v>
      </c>
      <c r="U151" s="113">
        <f t="shared" si="108"/>
        <v>0</v>
      </c>
      <c r="V151" s="113">
        <f>$M151+($W151-$M151)/10*(V$1-$M$1)</f>
        <v>0</v>
      </c>
      <c r="W151" s="113">
        <v>0</v>
      </c>
      <c r="X151" s="22">
        <f t="shared" ref="X151:AF151" si="109">$W151+($AG151-$W151)/10*(X$1-$W$1)</f>
        <v>0</v>
      </c>
      <c r="Y151" s="22">
        <f t="shared" si="109"/>
        <v>0</v>
      </c>
      <c r="Z151" s="22">
        <f t="shared" si="109"/>
        <v>0</v>
      </c>
      <c r="AA151" s="22">
        <f t="shared" si="109"/>
        <v>0</v>
      </c>
      <c r="AB151" s="22">
        <f t="shared" si="109"/>
        <v>0</v>
      </c>
      <c r="AC151" s="22">
        <f t="shared" si="109"/>
        <v>0</v>
      </c>
      <c r="AD151" s="22">
        <f t="shared" si="109"/>
        <v>0</v>
      </c>
      <c r="AE151" s="22">
        <f t="shared" si="109"/>
        <v>0</v>
      </c>
      <c r="AF151" s="22">
        <f t="shared" si="109"/>
        <v>0</v>
      </c>
      <c r="AG151" s="98">
        <v>0</v>
      </c>
      <c r="AJ151" s="185" t="s">
        <v>789</v>
      </c>
    </row>
    <row r="152" spans="1:63" outlineLevel="2">
      <c r="C152" s="105"/>
      <c r="D152" s="102"/>
      <c r="E152" s="102"/>
      <c r="F152" s="102"/>
      <c r="G152" s="102"/>
      <c r="H152" s="102"/>
      <c r="I152" s="102"/>
      <c r="J152" s="102"/>
      <c r="K152" s="102"/>
      <c r="L152" s="102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22"/>
      <c r="Y152" s="22"/>
      <c r="Z152" s="22"/>
      <c r="AA152" s="22"/>
      <c r="AB152" s="22"/>
      <c r="AC152" s="22"/>
      <c r="AD152" s="22"/>
      <c r="AE152" s="22"/>
      <c r="AF152" s="22"/>
      <c r="AG152" s="98"/>
      <c r="AJ152" s="185"/>
    </row>
    <row r="153" spans="1:63" outlineLevel="1">
      <c r="A153" t="s">
        <v>1337</v>
      </c>
      <c r="C153" s="437">
        <f>('Overall recycling rates'!F88*'Yearly BTX'!D5+'Overall recycling rates'!G88*'Yearly BTX'!D6+'Overall recycling rates'!H88*'Yearly BTX'!D7)/'Yearly BTX'!D4</f>
        <v>0.99999999999999989</v>
      </c>
      <c r="D153" s="437">
        <f>C153-($C153-$AG153)/($AG$1-$C$1)</f>
        <v>0.99999999999999989</v>
      </c>
      <c r="E153" s="437">
        <f t="shared" ref="E153:AF153" si="110">D153-($C153-$AG153)/($AG$1-$C$1)</f>
        <v>0.99999999999999989</v>
      </c>
      <c r="F153" s="437">
        <f t="shared" si="110"/>
        <v>0.99999999999999989</v>
      </c>
      <c r="G153" s="437">
        <f t="shared" si="110"/>
        <v>0.99999999999999989</v>
      </c>
      <c r="H153" s="437">
        <f t="shared" si="110"/>
        <v>0.99999999999999989</v>
      </c>
      <c r="I153" s="437">
        <f t="shared" si="110"/>
        <v>0.99999999999999989</v>
      </c>
      <c r="J153" s="437">
        <f t="shared" si="110"/>
        <v>0.99999999999999989</v>
      </c>
      <c r="K153" s="437">
        <f t="shared" si="110"/>
        <v>0.99999999999999989</v>
      </c>
      <c r="L153" s="437">
        <f t="shared" si="110"/>
        <v>0.99999999999999989</v>
      </c>
      <c r="M153" s="437">
        <f t="shared" si="110"/>
        <v>0.99999999999999989</v>
      </c>
      <c r="N153" s="437">
        <f t="shared" si="110"/>
        <v>0.99999999999999989</v>
      </c>
      <c r="O153" s="437">
        <f t="shared" si="110"/>
        <v>0.99999999999999989</v>
      </c>
      <c r="P153" s="437">
        <f t="shared" si="110"/>
        <v>0.99999999999999989</v>
      </c>
      <c r="Q153" s="437">
        <f t="shared" si="110"/>
        <v>0.99999999999999989</v>
      </c>
      <c r="R153" s="437">
        <f t="shared" si="110"/>
        <v>0.99999999999999989</v>
      </c>
      <c r="S153" s="437">
        <f t="shared" si="110"/>
        <v>0.99999999999999989</v>
      </c>
      <c r="T153" s="437">
        <f t="shared" si="110"/>
        <v>0.99999999999999989</v>
      </c>
      <c r="U153" s="437">
        <f t="shared" si="110"/>
        <v>0.99999999999999989</v>
      </c>
      <c r="V153" s="437">
        <f t="shared" si="110"/>
        <v>0.99999999999999989</v>
      </c>
      <c r="W153" s="437">
        <f t="shared" si="110"/>
        <v>0.99999999999999989</v>
      </c>
      <c r="X153" s="437">
        <f t="shared" si="110"/>
        <v>0.99999999999999989</v>
      </c>
      <c r="Y153" s="437">
        <f t="shared" si="110"/>
        <v>0.99999999999999989</v>
      </c>
      <c r="Z153" s="437">
        <f t="shared" si="110"/>
        <v>0.99999999999999989</v>
      </c>
      <c r="AA153" s="437">
        <f t="shared" si="110"/>
        <v>0.99999999999999989</v>
      </c>
      <c r="AB153" s="437">
        <f t="shared" si="110"/>
        <v>0.99999999999999989</v>
      </c>
      <c r="AC153" s="437">
        <f t="shared" si="110"/>
        <v>0.99999999999999989</v>
      </c>
      <c r="AD153" s="437">
        <f t="shared" si="110"/>
        <v>0.99999999999999989</v>
      </c>
      <c r="AE153" s="437">
        <f t="shared" si="110"/>
        <v>0.99999999999999989</v>
      </c>
      <c r="AF153" s="437">
        <f t="shared" si="110"/>
        <v>0.99999999999999989</v>
      </c>
      <c r="AG153" s="437">
        <f>'Overall recycling rates'!F97</f>
        <v>1</v>
      </c>
      <c r="AI153" s="124"/>
      <c r="AJ153" s="185"/>
      <c r="AL153" s="100"/>
      <c r="AM153" s="181"/>
      <c r="AN153" s="181"/>
      <c r="AO153" s="181"/>
      <c r="BC153" s="1"/>
      <c r="BD153" s="181"/>
      <c r="BE153" s="181"/>
      <c r="BF153" s="181"/>
      <c r="BG153" s="181"/>
      <c r="BH153" s="181"/>
      <c r="BI153" s="181"/>
      <c r="BJ153" s="181"/>
      <c r="BK153" s="181"/>
    </row>
    <row r="154" spans="1:63" outlineLevel="1">
      <c r="A154" t="s">
        <v>1353</v>
      </c>
      <c r="B154" s="50" t="s">
        <v>126</v>
      </c>
      <c r="C154" s="102">
        <f>C151*C153</f>
        <v>0</v>
      </c>
      <c r="D154" s="102">
        <f t="shared" ref="D154:AG154" si="111">D151*D153</f>
        <v>0</v>
      </c>
      <c r="E154" s="102">
        <f t="shared" si="111"/>
        <v>0</v>
      </c>
      <c r="F154" s="102">
        <f t="shared" si="111"/>
        <v>0</v>
      </c>
      <c r="G154" s="102">
        <f t="shared" si="111"/>
        <v>0</v>
      </c>
      <c r="H154" s="102">
        <f t="shared" si="111"/>
        <v>0</v>
      </c>
      <c r="I154" s="102">
        <f t="shared" si="111"/>
        <v>0</v>
      </c>
      <c r="J154" s="102">
        <f t="shared" si="111"/>
        <v>0</v>
      </c>
      <c r="K154" s="102">
        <f t="shared" si="111"/>
        <v>0</v>
      </c>
      <c r="L154" s="102">
        <f t="shared" si="111"/>
        <v>0</v>
      </c>
      <c r="M154" s="102">
        <f t="shared" si="111"/>
        <v>0</v>
      </c>
      <c r="N154" s="102">
        <f t="shared" si="111"/>
        <v>0</v>
      </c>
      <c r="O154" s="102">
        <f t="shared" si="111"/>
        <v>0</v>
      </c>
      <c r="P154" s="102">
        <f t="shared" si="111"/>
        <v>0</v>
      </c>
      <c r="Q154" s="102">
        <f t="shared" si="111"/>
        <v>0</v>
      </c>
      <c r="R154" s="102">
        <f t="shared" si="111"/>
        <v>0</v>
      </c>
      <c r="S154" s="102">
        <f t="shared" si="111"/>
        <v>0</v>
      </c>
      <c r="T154" s="102">
        <f t="shared" si="111"/>
        <v>0</v>
      </c>
      <c r="U154" s="102">
        <f t="shared" si="111"/>
        <v>0</v>
      </c>
      <c r="V154" s="102">
        <f t="shared" si="111"/>
        <v>0</v>
      </c>
      <c r="W154" s="102">
        <f t="shared" si="111"/>
        <v>0</v>
      </c>
      <c r="X154" s="102">
        <f t="shared" si="111"/>
        <v>0</v>
      </c>
      <c r="Y154" s="102">
        <f t="shared" si="111"/>
        <v>0</v>
      </c>
      <c r="Z154" s="102">
        <f t="shared" si="111"/>
        <v>0</v>
      </c>
      <c r="AA154" s="102">
        <f t="shared" si="111"/>
        <v>0</v>
      </c>
      <c r="AB154" s="102">
        <f t="shared" si="111"/>
        <v>0</v>
      </c>
      <c r="AC154" s="102">
        <f t="shared" si="111"/>
        <v>0</v>
      </c>
      <c r="AD154" s="102">
        <f t="shared" si="111"/>
        <v>0</v>
      </c>
      <c r="AE154" s="102">
        <f t="shared" si="111"/>
        <v>0</v>
      </c>
      <c r="AF154" s="102">
        <f t="shared" si="111"/>
        <v>0</v>
      </c>
      <c r="AG154" s="102">
        <f t="shared" si="111"/>
        <v>0</v>
      </c>
      <c r="AJ154" s="185"/>
    </row>
    <row r="155" spans="1:63" outlineLevel="1"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J155" s="185"/>
    </row>
    <row r="156" spans="1:63" s="1" customFormat="1" outlineLevel="1">
      <c r="A156" s="1" t="s">
        <v>265</v>
      </c>
      <c r="B156" s="60"/>
      <c r="C156" s="250">
        <f t="shared" ref="C156:AG156" si="112">C154*C43</f>
        <v>0</v>
      </c>
      <c r="D156" s="250">
        <f t="shared" si="112"/>
        <v>0</v>
      </c>
      <c r="E156" s="250">
        <f t="shared" si="112"/>
        <v>0</v>
      </c>
      <c r="F156" s="250">
        <f t="shared" si="112"/>
        <v>0</v>
      </c>
      <c r="G156" s="250">
        <f t="shared" si="112"/>
        <v>0</v>
      </c>
      <c r="H156" s="250">
        <f t="shared" si="112"/>
        <v>0</v>
      </c>
      <c r="I156" s="250">
        <f t="shared" si="112"/>
        <v>0</v>
      </c>
      <c r="J156" s="250">
        <f t="shared" si="112"/>
        <v>0</v>
      </c>
      <c r="K156" s="250">
        <f t="shared" si="112"/>
        <v>0</v>
      </c>
      <c r="L156" s="250">
        <f t="shared" si="112"/>
        <v>0</v>
      </c>
      <c r="M156" s="250">
        <f t="shared" si="112"/>
        <v>0</v>
      </c>
      <c r="N156" s="250">
        <f t="shared" si="112"/>
        <v>0</v>
      </c>
      <c r="O156" s="250">
        <f t="shared" si="112"/>
        <v>0</v>
      </c>
      <c r="P156" s="250">
        <f t="shared" si="112"/>
        <v>0</v>
      </c>
      <c r="Q156" s="250">
        <f t="shared" si="112"/>
        <v>0</v>
      </c>
      <c r="R156" s="250">
        <f t="shared" si="112"/>
        <v>0</v>
      </c>
      <c r="S156" s="250">
        <f t="shared" si="112"/>
        <v>0</v>
      </c>
      <c r="T156" s="250">
        <f t="shared" si="112"/>
        <v>0</v>
      </c>
      <c r="U156" s="250">
        <f t="shared" si="112"/>
        <v>0</v>
      </c>
      <c r="V156" s="250">
        <f t="shared" si="112"/>
        <v>0</v>
      </c>
      <c r="W156" s="250">
        <f t="shared" si="112"/>
        <v>0</v>
      </c>
      <c r="X156" s="250">
        <f t="shared" si="112"/>
        <v>0</v>
      </c>
      <c r="Y156" s="250">
        <f t="shared" si="112"/>
        <v>0</v>
      </c>
      <c r="Z156" s="250">
        <f t="shared" si="112"/>
        <v>0</v>
      </c>
      <c r="AA156" s="250">
        <f t="shared" si="112"/>
        <v>0</v>
      </c>
      <c r="AB156" s="250">
        <f t="shared" si="112"/>
        <v>0</v>
      </c>
      <c r="AC156" s="250">
        <f t="shared" si="112"/>
        <v>0</v>
      </c>
      <c r="AD156" s="250">
        <f t="shared" si="112"/>
        <v>0</v>
      </c>
      <c r="AE156" s="250">
        <f t="shared" si="112"/>
        <v>0</v>
      </c>
      <c r="AF156" s="250">
        <f t="shared" si="112"/>
        <v>0</v>
      </c>
      <c r="AG156" s="250">
        <f t="shared" si="112"/>
        <v>0</v>
      </c>
      <c r="AH156" s="217"/>
      <c r="AI156" s="368"/>
      <c r="AJ156" s="369"/>
      <c r="AL156" s="194"/>
      <c r="AM156" s="116"/>
      <c r="AN156" s="116"/>
      <c r="AO156" s="116"/>
      <c r="BD156" s="116"/>
      <c r="BE156" s="116"/>
      <c r="BF156" s="116"/>
      <c r="BG156" s="116"/>
      <c r="BH156" s="116"/>
      <c r="BI156" s="116"/>
      <c r="BJ156" s="116"/>
      <c r="BK156" s="116"/>
    </row>
    <row r="157" spans="1:63" s="1" customFormat="1" outlineLevel="1">
      <c r="A157" s="1" t="s">
        <v>1041</v>
      </c>
      <c r="B157" s="60"/>
      <c r="C157" s="250">
        <f t="shared" ref="C157:AG157" si="113">C156-$C156</f>
        <v>0</v>
      </c>
      <c r="D157" s="250">
        <f t="shared" si="113"/>
        <v>0</v>
      </c>
      <c r="E157" s="250">
        <f t="shared" si="113"/>
        <v>0</v>
      </c>
      <c r="F157" s="250">
        <f t="shared" si="113"/>
        <v>0</v>
      </c>
      <c r="G157" s="250">
        <f t="shared" si="113"/>
        <v>0</v>
      </c>
      <c r="H157" s="250">
        <f t="shared" si="113"/>
        <v>0</v>
      </c>
      <c r="I157" s="250">
        <f t="shared" si="113"/>
        <v>0</v>
      </c>
      <c r="J157" s="250">
        <f t="shared" si="113"/>
        <v>0</v>
      </c>
      <c r="K157" s="250">
        <f t="shared" si="113"/>
        <v>0</v>
      </c>
      <c r="L157" s="250">
        <f t="shared" si="113"/>
        <v>0</v>
      </c>
      <c r="M157" s="250">
        <f t="shared" si="113"/>
        <v>0</v>
      </c>
      <c r="N157" s="250">
        <f t="shared" si="113"/>
        <v>0</v>
      </c>
      <c r="O157" s="250">
        <f t="shared" si="113"/>
        <v>0</v>
      </c>
      <c r="P157" s="250">
        <f t="shared" si="113"/>
        <v>0</v>
      </c>
      <c r="Q157" s="250">
        <f t="shared" si="113"/>
        <v>0</v>
      </c>
      <c r="R157" s="250">
        <f t="shared" si="113"/>
        <v>0</v>
      </c>
      <c r="S157" s="250">
        <f t="shared" si="113"/>
        <v>0</v>
      </c>
      <c r="T157" s="250">
        <f t="shared" si="113"/>
        <v>0</v>
      </c>
      <c r="U157" s="250">
        <f t="shared" si="113"/>
        <v>0</v>
      </c>
      <c r="V157" s="250">
        <f t="shared" si="113"/>
        <v>0</v>
      </c>
      <c r="W157" s="250">
        <f t="shared" si="113"/>
        <v>0</v>
      </c>
      <c r="X157" s="250">
        <f t="shared" si="113"/>
        <v>0</v>
      </c>
      <c r="Y157" s="250">
        <f t="shared" si="113"/>
        <v>0</v>
      </c>
      <c r="Z157" s="250">
        <f t="shared" si="113"/>
        <v>0</v>
      </c>
      <c r="AA157" s="250">
        <f t="shared" si="113"/>
        <v>0</v>
      </c>
      <c r="AB157" s="250">
        <f t="shared" si="113"/>
        <v>0</v>
      </c>
      <c r="AC157" s="250">
        <f t="shared" si="113"/>
        <v>0</v>
      </c>
      <c r="AD157" s="250">
        <f t="shared" si="113"/>
        <v>0</v>
      </c>
      <c r="AE157" s="250">
        <f t="shared" si="113"/>
        <v>0</v>
      </c>
      <c r="AF157" s="250">
        <f t="shared" si="113"/>
        <v>0</v>
      </c>
      <c r="AG157" s="250">
        <f t="shared" si="113"/>
        <v>0</v>
      </c>
      <c r="AH157" s="217"/>
      <c r="AI157" s="368"/>
      <c r="AJ157" s="369"/>
      <c r="AL157" s="194"/>
      <c r="AM157" s="116"/>
      <c r="AN157" s="116"/>
      <c r="AO157" s="116"/>
      <c r="BD157" s="116"/>
      <c r="BE157" s="116"/>
      <c r="BF157" s="116"/>
      <c r="BG157" s="116"/>
      <c r="BH157" s="116"/>
      <c r="BI157" s="116"/>
      <c r="BJ157" s="116"/>
      <c r="BK157" s="116"/>
    </row>
    <row r="158" spans="1:63" outlineLevel="2">
      <c r="C158" s="105"/>
      <c r="D158" s="102"/>
      <c r="E158" s="102"/>
      <c r="F158" s="102"/>
      <c r="G158" s="102"/>
      <c r="H158" s="102"/>
      <c r="I158" s="102"/>
      <c r="J158" s="102"/>
      <c r="K158" s="102"/>
      <c r="L158" s="102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22"/>
      <c r="Y158" s="22"/>
      <c r="Z158" s="22"/>
      <c r="AA158" s="22"/>
      <c r="AB158" s="22"/>
      <c r="AC158" s="22"/>
      <c r="AD158" s="22"/>
      <c r="AE158" s="22"/>
      <c r="AF158" s="22"/>
      <c r="AG158" s="98"/>
      <c r="AJ158" s="185"/>
    </row>
    <row r="159" spans="1:63" s="174" customFormat="1" ht="15.5" thickBot="1">
      <c r="A159" s="200" t="s">
        <v>1354</v>
      </c>
      <c r="B159" s="201"/>
      <c r="C159" s="202">
        <f t="shared" ref="C159:AG159" si="114">(C39*C63+C40*C99+C42*C130+C41*C145+C43*C154)/C44</f>
        <v>4.3794164383203389E-2</v>
      </c>
      <c r="D159" s="202">
        <f t="shared" si="114"/>
        <v>4.6993427863527816E-2</v>
      </c>
      <c r="E159" s="202">
        <f t="shared" si="114"/>
        <v>5.0201030783532163E-2</v>
      </c>
      <c r="F159" s="202">
        <f t="shared" si="114"/>
        <v>5.3417005793081861E-2</v>
      </c>
      <c r="G159" s="202">
        <f t="shared" si="114"/>
        <v>5.6641385712702302E-2</v>
      </c>
      <c r="H159" s="202">
        <f t="shared" si="114"/>
        <v>5.9874203534695483E-2</v>
      </c>
      <c r="I159" s="202">
        <f t="shared" si="114"/>
        <v>6.3384363436044477E-2</v>
      </c>
      <c r="J159" s="202">
        <f t="shared" si="114"/>
        <v>6.6933886246543187E-2</v>
      </c>
      <c r="K159" s="202">
        <f t="shared" si="114"/>
        <v>7.05234378227384E-2</v>
      </c>
      <c r="L159" s="202">
        <f t="shared" si="114"/>
        <v>7.4153699124365424E-2</v>
      </c>
      <c r="M159" s="202">
        <f t="shared" si="114"/>
        <v>7.7825366645010011E-2</v>
      </c>
      <c r="N159" s="202">
        <f t="shared" si="114"/>
        <v>8.1592468199750259E-2</v>
      </c>
      <c r="O159" s="202">
        <f t="shared" si="114"/>
        <v>8.5380463078651964E-2</v>
      </c>
      <c r="P159" s="202">
        <f t="shared" si="114"/>
        <v>8.8910520870126158E-2</v>
      </c>
      <c r="Q159" s="202">
        <f t="shared" si="114"/>
        <v>9.246421185235372E-2</v>
      </c>
      <c r="R159" s="202">
        <f t="shared" si="114"/>
        <v>9.6042105179382886E-2</v>
      </c>
      <c r="S159" s="202">
        <f t="shared" si="114"/>
        <v>9.9644787887350858E-2</v>
      </c>
      <c r="T159" s="202">
        <f t="shared" si="114"/>
        <v>0.10327286722222441</v>
      </c>
      <c r="U159" s="202">
        <f t="shared" si="114"/>
        <v>0.10692696989923349</v>
      </c>
      <c r="V159" s="202">
        <f t="shared" si="114"/>
        <v>0.11060774342532455</v>
      </c>
      <c r="W159" s="202">
        <f t="shared" si="114"/>
        <v>0.11431585696859628</v>
      </c>
      <c r="X159" s="202">
        <f t="shared" si="114"/>
        <v>0.11798728252505335</v>
      </c>
      <c r="Y159" s="202">
        <f t="shared" si="114"/>
        <v>0.12167916638662736</v>
      </c>
      <c r="Z159" s="202">
        <f t="shared" si="114"/>
        <v>0.12444370313885125</v>
      </c>
      <c r="AA159" s="202">
        <f t="shared" si="114"/>
        <v>0.12716421081714749</v>
      </c>
      <c r="AB159" s="202">
        <f t="shared" si="114"/>
        <v>0.12983917574858764</v>
      </c>
      <c r="AC159" s="202">
        <f t="shared" si="114"/>
        <v>0.1324871017107635</v>
      </c>
      <c r="AD159" s="202">
        <f t="shared" si="114"/>
        <v>0.13508751188587656</v>
      </c>
      <c r="AE159" s="202">
        <f t="shared" si="114"/>
        <v>0.13763869164820774</v>
      </c>
      <c r="AF159" s="202">
        <f t="shared" si="114"/>
        <v>0.14013884287039027</v>
      </c>
      <c r="AG159" s="202">
        <f t="shared" si="114"/>
        <v>0.14258607877763574</v>
      </c>
      <c r="AJ159" s="421"/>
      <c r="AL159" s="191"/>
      <c r="AM159" s="198"/>
      <c r="AN159" s="198"/>
      <c r="AO159" s="198"/>
    </row>
    <row r="160" spans="1:63" s="174" customFormat="1" ht="16.25" thickTop="1" thickBot="1">
      <c r="A160" s="200"/>
      <c r="B160" s="201"/>
      <c r="C160" s="202"/>
      <c r="D160" s="202"/>
      <c r="E160" s="202"/>
      <c r="F160" s="202"/>
      <c r="G160" s="202"/>
      <c r="H160" s="202"/>
      <c r="I160" s="202"/>
      <c r="J160" s="202"/>
      <c r="K160" s="202"/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J160" s="199"/>
      <c r="AL160" s="191"/>
      <c r="AM160" s="198"/>
      <c r="AN160" s="198"/>
      <c r="AO160" s="198"/>
    </row>
    <row r="161" spans="1:36" ht="15.5" thickTop="1">
      <c r="B161" s="121"/>
      <c r="C161" s="105"/>
      <c r="D161" s="22"/>
      <c r="E161" s="22"/>
      <c r="F161" s="22"/>
      <c r="G161" s="22"/>
      <c r="H161" s="22"/>
      <c r="I161" s="22"/>
      <c r="J161" s="22"/>
      <c r="K161" s="22"/>
      <c r="L161" s="22"/>
      <c r="M161" s="118"/>
      <c r="N161" s="102"/>
      <c r="O161" s="102"/>
      <c r="P161" s="102"/>
      <c r="Q161" s="102"/>
      <c r="R161" s="102"/>
      <c r="S161" s="102"/>
      <c r="T161" s="102"/>
      <c r="U161" s="102"/>
      <c r="V161" s="102"/>
      <c r="W161" s="118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5"/>
    </row>
    <row r="162" spans="1:36">
      <c r="A162" t="s">
        <v>1355</v>
      </c>
      <c r="B162" s="121"/>
      <c r="C162" s="203">
        <f t="shared" ref="C162:AG162" si="115">C156+C147+C138+C136+C134+C110+C108+C106+C104+C77+C75+C73+C71+C69</f>
        <v>20559.229018319769</v>
      </c>
      <c r="D162" s="203">
        <f t="shared" si="115"/>
        <v>21983.810918211748</v>
      </c>
      <c r="E162" s="203">
        <f t="shared" si="115"/>
        <v>23402.002882792032</v>
      </c>
      <c r="F162" s="203">
        <f t="shared" si="115"/>
        <v>24813.826182042863</v>
      </c>
      <c r="G162" s="203">
        <f t="shared" si="115"/>
        <v>26219.302023176911</v>
      </c>
      <c r="H162" s="203">
        <f t="shared" si="115"/>
        <v>27618.451550810838</v>
      </c>
      <c r="I162" s="203">
        <f t="shared" si="115"/>
        <v>29011.295847138237</v>
      </c>
      <c r="J162" s="203">
        <f t="shared" si="115"/>
        <v>30397.855932102284</v>
      </c>
      <c r="K162" s="203">
        <f t="shared" si="115"/>
        <v>31778.15276356773</v>
      </c>
      <c r="L162" s="203">
        <f t="shared" si="115"/>
        <v>33152.207237492657</v>
      </c>
      <c r="M162" s="203">
        <f t="shared" si="115"/>
        <v>34520.040188099607</v>
      </c>
      <c r="N162" s="203">
        <f t="shared" si="115"/>
        <v>35881.672388046311</v>
      </c>
      <c r="O162" s="203">
        <f t="shared" si="115"/>
        <v>37237.124548596024</v>
      </c>
      <c r="P162" s="203">
        <f t="shared" si="115"/>
        <v>38387.79930596026</v>
      </c>
      <c r="Q162" s="203">
        <f t="shared" si="115"/>
        <v>39519.282638184457</v>
      </c>
      <c r="R162" s="203">
        <f t="shared" si="115"/>
        <v>40631.684421129612</v>
      </c>
      <c r="S162" s="203">
        <f t="shared" si="115"/>
        <v>41725.114071181539</v>
      </c>
      <c r="T162" s="203">
        <f t="shared" si="115"/>
        <v>42799.680546893796</v>
      </c>
      <c r="U162" s="203">
        <f t="shared" si="115"/>
        <v>43855.492350625493</v>
      </c>
      <c r="V162" s="203">
        <f t="shared" si="115"/>
        <v>44892.657530173645</v>
      </c>
      <c r="W162" s="203">
        <f t="shared" si="115"/>
        <v>45911.283680400127</v>
      </c>
      <c r="X162" s="203">
        <f t="shared" si="115"/>
        <v>46911.477944853599</v>
      </c>
      <c r="Y162" s="203">
        <f t="shared" si="115"/>
        <v>47893.347017385808</v>
      </c>
      <c r="Z162" s="203">
        <f t="shared" si="115"/>
        <v>48331.891499430625</v>
      </c>
      <c r="AA162" s="203">
        <f t="shared" si="115"/>
        <v>48727.391085433832</v>
      </c>
      <c r="AB162" s="203">
        <f t="shared" si="115"/>
        <v>49080.123923035964</v>
      </c>
      <c r="AC162" s="203">
        <f t="shared" si="115"/>
        <v>49390.366942387496</v>
      </c>
      <c r="AD162" s="203">
        <f t="shared" si="115"/>
        <v>49658.395860608623</v>
      </c>
      <c r="AE162" s="203">
        <f t="shared" si="115"/>
        <v>49884.485186234189</v>
      </c>
      <c r="AF162" s="203">
        <f t="shared" si="115"/>
        <v>50068.908223643783</v>
      </c>
      <c r="AG162" s="203">
        <f t="shared" si="115"/>
        <v>50211.937077477349</v>
      </c>
      <c r="AH162" s="217"/>
      <c r="AI162" s="22">
        <f>(AG162/C162)^(1/30)-1</f>
        <v>3.0212159988107778E-2</v>
      </c>
      <c r="AJ162" s="448">
        <f>AG162-C162</f>
        <v>29652.70805915758</v>
      </c>
    </row>
    <row r="163" spans="1:36">
      <c r="A163" t="s">
        <v>1356</v>
      </c>
      <c r="B163" s="121"/>
      <c r="C163" s="203">
        <f>C162</f>
        <v>20559.229018319769</v>
      </c>
      <c r="D163" s="203">
        <f>C163*(1+$AI$163)</f>
        <v>20902.568142925709</v>
      </c>
      <c r="E163" s="203">
        <f t="shared" ref="E163:AG163" si="116">D163*(1+$AI$163)</f>
        <v>21251.641030912568</v>
      </c>
      <c r="F163" s="203">
        <f t="shared" si="116"/>
        <v>21606.543436128806</v>
      </c>
      <c r="G163" s="203">
        <f t="shared" si="116"/>
        <v>21967.372711512155</v>
      </c>
      <c r="H163" s="203">
        <f t="shared" si="116"/>
        <v>22334.227835794405</v>
      </c>
      <c r="I163" s="203">
        <f t="shared" si="116"/>
        <v>22707.209440652172</v>
      </c>
      <c r="J163" s="203">
        <f t="shared" si="116"/>
        <v>23086.419838311063</v>
      </c>
      <c r="K163" s="203">
        <f t="shared" si="116"/>
        <v>23471.963049610858</v>
      </c>
      <c r="L163" s="203">
        <f t="shared" si="116"/>
        <v>23863.944832539357</v>
      </c>
      <c r="M163" s="203">
        <f>L163*(1+$AI$163)</f>
        <v>24262.472711242761</v>
      </c>
      <c r="N163" s="203">
        <f t="shared" si="116"/>
        <v>24667.656005520512</v>
      </c>
      <c r="O163" s="203">
        <f t="shared" si="116"/>
        <v>25079.605860812702</v>
      </c>
      <c r="P163" s="203">
        <f t="shared" si="116"/>
        <v>25498.435278688274</v>
      </c>
      <c r="Q163" s="203">
        <f t="shared" si="116"/>
        <v>25924.259147842367</v>
      </c>
      <c r="R163" s="203">
        <f t="shared" si="116"/>
        <v>26357.194275611335</v>
      </c>
      <c r="S163" s="203">
        <f t="shared" si="116"/>
        <v>26797.359420014043</v>
      </c>
      <c r="T163" s="203">
        <f t="shared" si="116"/>
        <v>27244.875322328277</v>
      </c>
      <c r="U163" s="203">
        <f t="shared" si="116"/>
        <v>27699.864740211156</v>
      </c>
      <c r="V163" s="203">
        <f t="shared" si="116"/>
        <v>28162.452481372682</v>
      </c>
      <c r="W163" s="203">
        <f t="shared" si="116"/>
        <v>28632.765437811606</v>
      </c>
      <c r="X163" s="203">
        <f t="shared" si="116"/>
        <v>29110.932620623058</v>
      </c>
      <c r="Y163" s="203">
        <f t="shared" si="116"/>
        <v>29597.085195387463</v>
      </c>
      <c r="Z163" s="203">
        <f t="shared" si="116"/>
        <v>30091.356518150431</v>
      </c>
      <c r="AA163" s="203">
        <f t="shared" si="116"/>
        <v>30593.882172003541</v>
      </c>
      <c r="AB163" s="203">
        <f t="shared" si="116"/>
        <v>31104.800004276</v>
      </c>
      <c r="AC163" s="203">
        <f t="shared" si="116"/>
        <v>31624.250164347406</v>
      </c>
      <c r="AD163" s="203">
        <f t="shared" si="116"/>
        <v>32152.375142092005</v>
      </c>
      <c r="AE163" s="203">
        <f t="shared" si="116"/>
        <v>32689.319806964941</v>
      </c>
      <c r="AF163" s="203">
        <f t="shared" si="116"/>
        <v>33235.231447741251</v>
      </c>
      <c r="AG163" s="203">
        <f t="shared" si="116"/>
        <v>33790.259812918528</v>
      </c>
      <c r="AI163" s="188">
        <v>1.67E-2</v>
      </c>
      <c r="AJ163" s="3" t="s">
        <v>599</v>
      </c>
    </row>
    <row r="164" spans="1:36">
      <c r="B164" s="47"/>
    </row>
    <row r="165" spans="1:36" s="54" customFormat="1">
      <c r="A165" s="54" t="s">
        <v>626</v>
      </c>
      <c r="B165" s="253"/>
      <c r="C165" s="254"/>
      <c r="D165" s="254"/>
      <c r="E165" s="254"/>
      <c r="F165" s="254"/>
      <c r="G165" s="254"/>
      <c r="H165" s="254"/>
      <c r="I165" s="254"/>
      <c r="J165" s="254"/>
      <c r="K165" s="254"/>
      <c r="L165" s="254"/>
      <c r="M165" s="254"/>
      <c r="N165" s="254"/>
      <c r="O165" s="254"/>
      <c r="P165" s="254"/>
      <c r="Q165" s="254"/>
      <c r="R165" s="254"/>
      <c r="S165" s="254"/>
      <c r="T165" s="254"/>
      <c r="U165" s="254"/>
      <c r="V165" s="254"/>
      <c r="W165" s="254"/>
      <c r="X165" s="254"/>
      <c r="Y165" s="254"/>
      <c r="Z165" s="254"/>
      <c r="AA165" s="254"/>
      <c r="AB165" s="254"/>
      <c r="AC165" s="254"/>
      <c r="AD165" s="254"/>
      <c r="AE165" s="254"/>
      <c r="AF165" s="254"/>
      <c r="AG165" s="254"/>
      <c r="AI165" s="255"/>
      <c r="AJ165" s="256"/>
    </row>
    <row r="166" spans="1:36" s="166" customFormat="1" outlineLevel="1">
      <c r="A166" s="293" t="s">
        <v>630</v>
      </c>
      <c r="B166" s="268" t="s">
        <v>126</v>
      </c>
      <c r="C166" s="561">
        <v>0.98</v>
      </c>
      <c r="D166" s="269">
        <f>-($C166-$AG166)/30+C166</f>
        <v>0.98033333333333328</v>
      </c>
      <c r="E166" s="269">
        <f t="shared" ref="E166:AF172" si="117">-($C166-$AG166)/30+D166</f>
        <v>0.98066666666666658</v>
      </c>
      <c r="F166" s="269">
        <f t="shared" si="117"/>
        <v>0.98099999999999987</v>
      </c>
      <c r="G166" s="269">
        <f t="shared" si="117"/>
        <v>0.98133333333333317</v>
      </c>
      <c r="H166" s="269">
        <f t="shared" si="117"/>
        <v>0.98166666666666647</v>
      </c>
      <c r="I166" s="269">
        <f t="shared" si="117"/>
        <v>0.98199999999999976</v>
      </c>
      <c r="J166" s="269">
        <f t="shared" si="117"/>
        <v>0.98233333333333306</v>
      </c>
      <c r="K166" s="269">
        <f t="shared" si="117"/>
        <v>0.98266666666666636</v>
      </c>
      <c r="L166" s="269">
        <f t="shared" si="117"/>
        <v>0.98299999999999965</v>
      </c>
      <c r="M166" s="269">
        <f t="shared" si="117"/>
        <v>0.98333333333333295</v>
      </c>
      <c r="N166" s="269">
        <f t="shared" si="117"/>
        <v>0.98366666666666625</v>
      </c>
      <c r="O166" s="269">
        <f t="shared" si="117"/>
        <v>0.98399999999999954</v>
      </c>
      <c r="P166" s="269">
        <f t="shared" si="117"/>
        <v>0.98433333333333284</v>
      </c>
      <c r="Q166" s="269">
        <f t="shared" si="117"/>
        <v>0.98466666666666613</v>
      </c>
      <c r="R166" s="269">
        <f t="shared" si="117"/>
        <v>0.98499999999999943</v>
      </c>
      <c r="S166" s="269">
        <f t="shared" si="117"/>
        <v>0.98533333333333273</v>
      </c>
      <c r="T166" s="269">
        <f t="shared" si="117"/>
        <v>0.98566666666666602</v>
      </c>
      <c r="U166" s="269">
        <f t="shared" si="117"/>
        <v>0.98599999999999932</v>
      </c>
      <c r="V166" s="269">
        <f t="shared" si="117"/>
        <v>0.98633333333333262</v>
      </c>
      <c r="W166" s="269">
        <f t="shared" si="117"/>
        <v>0.98666666666666591</v>
      </c>
      <c r="X166" s="269">
        <f t="shared" si="117"/>
        <v>0.98699999999999921</v>
      </c>
      <c r="Y166" s="269">
        <f t="shared" si="117"/>
        <v>0.98733333333333251</v>
      </c>
      <c r="Z166" s="269">
        <f t="shared" si="117"/>
        <v>0.9876666666666658</v>
      </c>
      <c r="AA166" s="269">
        <f t="shared" si="117"/>
        <v>0.9879999999999991</v>
      </c>
      <c r="AB166" s="269">
        <f t="shared" si="117"/>
        <v>0.9883333333333324</v>
      </c>
      <c r="AC166" s="269">
        <f t="shared" si="117"/>
        <v>0.98866666666666569</v>
      </c>
      <c r="AD166" s="269">
        <f t="shared" si="117"/>
        <v>0.98899999999999899</v>
      </c>
      <c r="AE166" s="269">
        <f t="shared" si="117"/>
        <v>0.98933333333333229</v>
      </c>
      <c r="AF166" s="269">
        <f t="shared" si="117"/>
        <v>0.98966666666666558</v>
      </c>
      <c r="AG166" s="561">
        <v>0.99</v>
      </c>
      <c r="AI166" s="270"/>
      <c r="AJ166" s="271" t="s">
        <v>1469</v>
      </c>
    </row>
    <row r="167" spans="1:36" outlineLevel="1">
      <c r="A167" s="3" t="s">
        <v>621</v>
      </c>
      <c r="B167" s="252" t="s">
        <v>126</v>
      </c>
      <c r="C167" s="255">
        <f>1-SUM(C168:C172)</f>
        <v>0.97</v>
      </c>
      <c r="D167" s="287">
        <f t="shared" ref="D167:S168" si="118">-($C167-$AG167)/30+C167</f>
        <v>0.97033333333333327</v>
      </c>
      <c r="E167" s="287">
        <f t="shared" si="118"/>
        <v>0.97066666666666657</v>
      </c>
      <c r="F167" s="287">
        <f t="shared" si="118"/>
        <v>0.97099999999999986</v>
      </c>
      <c r="G167" s="287">
        <f t="shared" si="118"/>
        <v>0.97133333333333316</v>
      </c>
      <c r="H167" s="287">
        <f t="shared" si="118"/>
        <v>0.97166666666666646</v>
      </c>
      <c r="I167" s="287">
        <f t="shared" si="118"/>
        <v>0.97199999999999975</v>
      </c>
      <c r="J167" s="287">
        <f t="shared" si="118"/>
        <v>0.97233333333333305</v>
      </c>
      <c r="K167" s="287">
        <f t="shared" si="118"/>
        <v>0.97266666666666635</v>
      </c>
      <c r="L167" s="287">
        <f t="shared" si="118"/>
        <v>0.97299999999999964</v>
      </c>
      <c r="M167" s="287">
        <f t="shared" si="118"/>
        <v>0.97333333333333294</v>
      </c>
      <c r="N167" s="287">
        <f t="shared" si="118"/>
        <v>0.97366666666666624</v>
      </c>
      <c r="O167" s="287">
        <f t="shared" si="118"/>
        <v>0.97399999999999953</v>
      </c>
      <c r="P167" s="287">
        <f t="shared" si="118"/>
        <v>0.97433333333333283</v>
      </c>
      <c r="Q167" s="287">
        <f t="shared" si="118"/>
        <v>0.97466666666666613</v>
      </c>
      <c r="R167" s="287">
        <f t="shared" si="118"/>
        <v>0.97499999999999942</v>
      </c>
      <c r="S167" s="287">
        <f t="shared" si="118"/>
        <v>0.97533333333333272</v>
      </c>
      <c r="T167" s="287">
        <f t="shared" si="117"/>
        <v>0.97566666666666602</v>
      </c>
      <c r="U167" s="287">
        <f t="shared" si="117"/>
        <v>0.97599999999999931</v>
      </c>
      <c r="V167" s="287">
        <f t="shared" si="117"/>
        <v>0.97633333333333261</v>
      </c>
      <c r="W167" s="287">
        <f t="shared" si="117"/>
        <v>0.97666666666666591</v>
      </c>
      <c r="X167" s="287">
        <f t="shared" si="117"/>
        <v>0.9769999999999992</v>
      </c>
      <c r="Y167" s="287">
        <f t="shared" si="117"/>
        <v>0.9773333333333325</v>
      </c>
      <c r="Z167" s="287">
        <f t="shared" si="117"/>
        <v>0.9776666666666658</v>
      </c>
      <c r="AA167" s="287">
        <f t="shared" si="117"/>
        <v>0.97799999999999909</v>
      </c>
      <c r="AB167" s="287">
        <f t="shared" si="117"/>
        <v>0.97833333333333239</v>
      </c>
      <c r="AC167" s="287">
        <f t="shared" si="117"/>
        <v>0.97866666666666569</v>
      </c>
      <c r="AD167" s="287">
        <f t="shared" si="117"/>
        <v>0.97899999999999898</v>
      </c>
      <c r="AE167" s="287">
        <f t="shared" si="117"/>
        <v>0.97933333333333228</v>
      </c>
      <c r="AF167" s="287">
        <f t="shared" si="117"/>
        <v>0.97966666666666558</v>
      </c>
      <c r="AG167" s="255">
        <f>1-SUM(AG168:AG172)</f>
        <v>0.98</v>
      </c>
      <c r="AI167" s="188"/>
      <c r="AJ167" s="271"/>
    </row>
    <row r="168" spans="1:36" outlineLevel="1">
      <c r="A168" s="3" t="s">
        <v>620</v>
      </c>
      <c r="B168" s="252" t="s">
        <v>126</v>
      </c>
      <c r="C168" s="266">
        <v>0.01</v>
      </c>
      <c r="D168" s="267">
        <f t="shared" si="118"/>
        <v>0.01</v>
      </c>
      <c r="E168" s="267">
        <f t="shared" si="118"/>
        <v>0.01</v>
      </c>
      <c r="F168" s="267">
        <f t="shared" si="118"/>
        <v>0.01</v>
      </c>
      <c r="G168" s="267">
        <f t="shared" si="118"/>
        <v>0.01</v>
      </c>
      <c r="H168" s="267">
        <f t="shared" si="118"/>
        <v>0.01</v>
      </c>
      <c r="I168" s="267">
        <f t="shared" si="118"/>
        <v>0.01</v>
      </c>
      <c r="J168" s="267">
        <f t="shared" si="118"/>
        <v>0.01</v>
      </c>
      <c r="K168" s="267">
        <f t="shared" si="118"/>
        <v>0.01</v>
      </c>
      <c r="L168" s="267">
        <f t="shared" si="118"/>
        <v>0.01</v>
      </c>
      <c r="M168" s="267">
        <f t="shared" si="118"/>
        <v>0.01</v>
      </c>
      <c r="N168" s="267">
        <f t="shared" si="118"/>
        <v>0.01</v>
      </c>
      <c r="O168" s="267">
        <f t="shared" si="118"/>
        <v>0.01</v>
      </c>
      <c r="P168" s="267">
        <f t="shared" si="118"/>
        <v>0.01</v>
      </c>
      <c r="Q168" s="267">
        <f t="shared" si="118"/>
        <v>0.01</v>
      </c>
      <c r="R168" s="267">
        <f t="shared" si="118"/>
        <v>0.01</v>
      </c>
      <c r="S168" s="267">
        <f t="shared" si="118"/>
        <v>0.01</v>
      </c>
      <c r="T168" s="267">
        <f t="shared" si="117"/>
        <v>0.01</v>
      </c>
      <c r="U168" s="267">
        <f t="shared" si="117"/>
        <v>0.01</v>
      </c>
      <c r="V168" s="267">
        <f t="shared" si="117"/>
        <v>0.01</v>
      </c>
      <c r="W168" s="267">
        <f t="shared" si="117"/>
        <v>0.01</v>
      </c>
      <c r="X168" s="267">
        <f t="shared" si="117"/>
        <v>0.01</v>
      </c>
      <c r="Y168" s="267">
        <f t="shared" si="117"/>
        <v>0.01</v>
      </c>
      <c r="Z168" s="267">
        <f t="shared" si="117"/>
        <v>0.01</v>
      </c>
      <c r="AA168" s="267">
        <f t="shared" si="117"/>
        <v>0.01</v>
      </c>
      <c r="AB168" s="267">
        <f t="shared" si="117"/>
        <v>0.01</v>
      </c>
      <c r="AC168" s="267">
        <f t="shared" si="117"/>
        <v>0.01</v>
      </c>
      <c r="AD168" s="267">
        <f t="shared" si="117"/>
        <v>0.01</v>
      </c>
      <c r="AE168" s="267">
        <f t="shared" si="117"/>
        <v>0.01</v>
      </c>
      <c r="AF168" s="267">
        <f t="shared" si="117"/>
        <v>0.01</v>
      </c>
      <c r="AG168" s="266">
        <v>0.01</v>
      </c>
      <c r="AI168" s="188"/>
      <c r="AJ168" s="271" t="s">
        <v>1469</v>
      </c>
    </row>
    <row r="169" spans="1:36" outlineLevel="1">
      <c r="A169" s="3" t="s">
        <v>622</v>
      </c>
      <c r="B169" s="252" t="s">
        <v>126</v>
      </c>
      <c r="C169" s="562">
        <v>0</v>
      </c>
      <c r="D169" s="267">
        <f t="shared" ref="D169:S172" si="119">-($C169-$AG169)/30+C169</f>
        <v>0</v>
      </c>
      <c r="E169" s="267">
        <f t="shared" si="119"/>
        <v>0</v>
      </c>
      <c r="F169" s="267">
        <f t="shared" si="119"/>
        <v>0</v>
      </c>
      <c r="G169" s="267">
        <f t="shared" si="119"/>
        <v>0</v>
      </c>
      <c r="H169" s="267">
        <f t="shared" si="119"/>
        <v>0</v>
      </c>
      <c r="I169" s="267">
        <f t="shared" si="119"/>
        <v>0</v>
      </c>
      <c r="J169" s="267">
        <f t="shared" si="119"/>
        <v>0</v>
      </c>
      <c r="K169" s="267">
        <f t="shared" si="119"/>
        <v>0</v>
      </c>
      <c r="L169" s="267">
        <f t="shared" si="119"/>
        <v>0</v>
      </c>
      <c r="M169" s="267">
        <f t="shared" si="119"/>
        <v>0</v>
      </c>
      <c r="N169" s="267">
        <f t="shared" si="119"/>
        <v>0</v>
      </c>
      <c r="O169" s="267">
        <f t="shared" si="119"/>
        <v>0</v>
      </c>
      <c r="P169" s="267">
        <f t="shared" si="119"/>
        <v>0</v>
      </c>
      <c r="Q169" s="267">
        <f t="shared" si="119"/>
        <v>0</v>
      </c>
      <c r="R169" s="267">
        <f t="shared" si="119"/>
        <v>0</v>
      </c>
      <c r="S169" s="267">
        <f t="shared" si="119"/>
        <v>0</v>
      </c>
      <c r="T169" s="267">
        <f t="shared" si="117"/>
        <v>0</v>
      </c>
      <c r="U169" s="267">
        <f t="shared" si="117"/>
        <v>0</v>
      </c>
      <c r="V169" s="267">
        <f t="shared" si="117"/>
        <v>0</v>
      </c>
      <c r="W169" s="267">
        <f t="shared" si="117"/>
        <v>0</v>
      </c>
      <c r="X169" s="267">
        <f t="shared" si="117"/>
        <v>0</v>
      </c>
      <c r="Y169" s="267">
        <f t="shared" si="117"/>
        <v>0</v>
      </c>
      <c r="Z169" s="267">
        <f t="shared" si="117"/>
        <v>0</v>
      </c>
      <c r="AA169" s="267">
        <f t="shared" si="117"/>
        <v>0</v>
      </c>
      <c r="AB169" s="267">
        <f t="shared" si="117"/>
        <v>0</v>
      </c>
      <c r="AC169" s="267">
        <f t="shared" si="117"/>
        <v>0</v>
      </c>
      <c r="AD169" s="267">
        <f t="shared" si="117"/>
        <v>0</v>
      </c>
      <c r="AE169" s="267">
        <f t="shared" si="117"/>
        <v>0</v>
      </c>
      <c r="AF169" s="267">
        <f t="shared" si="117"/>
        <v>0</v>
      </c>
      <c r="AG169" s="562">
        <v>0</v>
      </c>
      <c r="AI169" s="188"/>
      <c r="AJ169" t="s">
        <v>1470</v>
      </c>
    </row>
    <row r="170" spans="1:36" outlineLevel="1">
      <c r="A170" s="3" t="s">
        <v>623</v>
      </c>
      <c r="B170" s="252" t="s">
        <v>126</v>
      </c>
      <c r="C170" s="562">
        <v>0</v>
      </c>
      <c r="D170" s="267">
        <f t="shared" si="119"/>
        <v>0</v>
      </c>
      <c r="E170" s="267">
        <f t="shared" si="119"/>
        <v>0</v>
      </c>
      <c r="F170" s="267">
        <f t="shared" si="119"/>
        <v>0</v>
      </c>
      <c r="G170" s="267">
        <f t="shared" si="119"/>
        <v>0</v>
      </c>
      <c r="H170" s="267">
        <f t="shared" si="119"/>
        <v>0</v>
      </c>
      <c r="I170" s="267">
        <f t="shared" si="119"/>
        <v>0</v>
      </c>
      <c r="J170" s="267">
        <f t="shared" si="119"/>
        <v>0</v>
      </c>
      <c r="K170" s="267">
        <f t="shared" si="119"/>
        <v>0</v>
      </c>
      <c r="L170" s="267">
        <f t="shared" si="119"/>
        <v>0</v>
      </c>
      <c r="M170" s="267">
        <f t="shared" si="119"/>
        <v>0</v>
      </c>
      <c r="N170" s="267">
        <f t="shared" si="119"/>
        <v>0</v>
      </c>
      <c r="O170" s="267">
        <f t="shared" si="119"/>
        <v>0</v>
      </c>
      <c r="P170" s="267">
        <f t="shared" si="119"/>
        <v>0</v>
      </c>
      <c r="Q170" s="267">
        <f t="shared" si="119"/>
        <v>0</v>
      </c>
      <c r="R170" s="267">
        <f t="shared" si="119"/>
        <v>0</v>
      </c>
      <c r="S170" s="267">
        <f t="shared" si="119"/>
        <v>0</v>
      </c>
      <c r="T170" s="267">
        <f t="shared" si="117"/>
        <v>0</v>
      </c>
      <c r="U170" s="267">
        <f t="shared" si="117"/>
        <v>0</v>
      </c>
      <c r="V170" s="267">
        <f t="shared" si="117"/>
        <v>0</v>
      </c>
      <c r="W170" s="267">
        <f t="shared" si="117"/>
        <v>0</v>
      </c>
      <c r="X170" s="267">
        <f t="shared" si="117"/>
        <v>0</v>
      </c>
      <c r="Y170" s="267">
        <f t="shared" si="117"/>
        <v>0</v>
      </c>
      <c r="Z170" s="267">
        <f t="shared" si="117"/>
        <v>0</v>
      </c>
      <c r="AA170" s="267">
        <f t="shared" si="117"/>
        <v>0</v>
      </c>
      <c r="AB170" s="267">
        <f t="shared" si="117"/>
        <v>0</v>
      </c>
      <c r="AC170" s="267">
        <f t="shared" si="117"/>
        <v>0</v>
      </c>
      <c r="AD170" s="267">
        <f t="shared" si="117"/>
        <v>0</v>
      </c>
      <c r="AE170" s="267">
        <f t="shared" si="117"/>
        <v>0</v>
      </c>
      <c r="AF170" s="267">
        <f t="shared" si="117"/>
        <v>0</v>
      </c>
      <c r="AG170" s="562">
        <v>0</v>
      </c>
      <c r="AI170" s="188"/>
      <c r="AJ170" t="s">
        <v>1470</v>
      </c>
    </row>
    <row r="171" spans="1:36" outlineLevel="1">
      <c r="A171" s="3" t="s">
        <v>624</v>
      </c>
      <c r="B171" s="252" t="s">
        <v>126</v>
      </c>
      <c r="C171" s="562">
        <v>1.4999999999999999E-2</v>
      </c>
      <c r="D171" s="267">
        <f t="shared" si="119"/>
        <v>1.4733333333333333E-2</v>
      </c>
      <c r="E171" s="267">
        <f t="shared" si="119"/>
        <v>1.4466666666666666E-2</v>
      </c>
      <c r="F171" s="267">
        <f t="shared" si="119"/>
        <v>1.4199999999999999E-2</v>
      </c>
      <c r="G171" s="267">
        <f t="shared" si="119"/>
        <v>1.3933333333333332E-2</v>
      </c>
      <c r="H171" s="267">
        <f t="shared" si="119"/>
        <v>1.3666666666666666E-2</v>
      </c>
      <c r="I171" s="267">
        <f t="shared" si="119"/>
        <v>1.3399999999999999E-2</v>
      </c>
      <c r="J171" s="267">
        <f t="shared" si="119"/>
        <v>1.3133333333333332E-2</v>
      </c>
      <c r="K171" s="267">
        <f t="shared" si="119"/>
        <v>1.2866666666666665E-2</v>
      </c>
      <c r="L171" s="267">
        <f t="shared" si="119"/>
        <v>1.2599999999999998E-2</v>
      </c>
      <c r="M171" s="267">
        <f t="shared" si="119"/>
        <v>1.2333333333333332E-2</v>
      </c>
      <c r="N171" s="267">
        <f t="shared" si="119"/>
        <v>1.2066666666666665E-2</v>
      </c>
      <c r="O171" s="267">
        <f t="shared" si="119"/>
        <v>1.1799999999999998E-2</v>
      </c>
      <c r="P171" s="267">
        <f t="shared" si="119"/>
        <v>1.1533333333333331E-2</v>
      </c>
      <c r="Q171" s="267">
        <f t="shared" si="119"/>
        <v>1.1266666666666664E-2</v>
      </c>
      <c r="R171" s="267">
        <f t="shared" si="119"/>
        <v>1.0999999999999998E-2</v>
      </c>
      <c r="S171" s="267">
        <f t="shared" si="119"/>
        <v>1.0733333333333331E-2</v>
      </c>
      <c r="T171" s="267">
        <f t="shared" si="117"/>
        <v>1.0466666666666664E-2</v>
      </c>
      <c r="U171" s="267">
        <f t="shared" si="117"/>
        <v>1.0199999999999997E-2</v>
      </c>
      <c r="V171" s="267">
        <f t="shared" si="117"/>
        <v>9.9333333333333305E-3</v>
      </c>
      <c r="W171" s="267">
        <f t="shared" si="117"/>
        <v>9.6666666666666637E-3</v>
      </c>
      <c r="X171" s="267">
        <f t="shared" si="117"/>
        <v>9.3999999999999969E-3</v>
      </c>
      <c r="Y171" s="267">
        <f t="shared" si="117"/>
        <v>9.1333333333333301E-3</v>
      </c>
      <c r="Z171" s="267">
        <f t="shared" si="117"/>
        <v>8.8666666666666633E-3</v>
      </c>
      <c r="AA171" s="267">
        <f t="shared" si="117"/>
        <v>8.5999999999999965E-3</v>
      </c>
      <c r="AB171" s="267">
        <f t="shared" si="117"/>
        <v>8.3333333333333297E-3</v>
      </c>
      <c r="AC171" s="267">
        <f t="shared" si="117"/>
        <v>8.066666666666663E-3</v>
      </c>
      <c r="AD171" s="267">
        <f t="shared" si="117"/>
        <v>7.7999999999999962E-3</v>
      </c>
      <c r="AE171" s="267">
        <f t="shared" si="117"/>
        <v>7.5333333333333294E-3</v>
      </c>
      <c r="AF171" s="267">
        <f t="shared" si="117"/>
        <v>7.2666666666666626E-3</v>
      </c>
      <c r="AG171" s="562">
        <v>7.0000000000000001E-3</v>
      </c>
      <c r="AI171" s="188"/>
      <c r="AJ171" t="s">
        <v>1470</v>
      </c>
    </row>
    <row r="172" spans="1:36" outlineLevel="1">
      <c r="A172" s="3" t="s">
        <v>625</v>
      </c>
      <c r="B172" s="252" t="s">
        <v>126</v>
      </c>
      <c r="C172" s="562">
        <v>5.0000000000000001E-3</v>
      </c>
      <c r="D172" s="267">
        <f t="shared" si="119"/>
        <v>4.9333333333333338E-3</v>
      </c>
      <c r="E172" s="267">
        <f t="shared" si="119"/>
        <v>4.8666666666666676E-3</v>
      </c>
      <c r="F172" s="267">
        <f t="shared" si="119"/>
        <v>4.8000000000000013E-3</v>
      </c>
      <c r="G172" s="267">
        <f t="shared" si="119"/>
        <v>4.7333333333333351E-3</v>
      </c>
      <c r="H172" s="267">
        <f t="shared" si="119"/>
        <v>4.6666666666666688E-3</v>
      </c>
      <c r="I172" s="267">
        <f t="shared" si="119"/>
        <v>4.6000000000000025E-3</v>
      </c>
      <c r="J172" s="267">
        <f t="shared" si="119"/>
        <v>4.5333333333333363E-3</v>
      </c>
      <c r="K172" s="267">
        <f t="shared" si="119"/>
        <v>4.46666666666667E-3</v>
      </c>
      <c r="L172" s="267">
        <f t="shared" si="119"/>
        <v>4.4000000000000037E-3</v>
      </c>
      <c r="M172" s="267">
        <f t="shared" si="119"/>
        <v>4.3333333333333375E-3</v>
      </c>
      <c r="N172" s="267">
        <f t="shared" si="119"/>
        <v>4.2666666666666712E-3</v>
      </c>
      <c r="O172" s="267">
        <f t="shared" si="119"/>
        <v>4.2000000000000049E-3</v>
      </c>
      <c r="P172" s="267">
        <f t="shared" si="119"/>
        <v>4.1333333333333387E-3</v>
      </c>
      <c r="Q172" s="267">
        <f t="shared" si="119"/>
        <v>4.0666666666666724E-3</v>
      </c>
      <c r="R172" s="267">
        <f t="shared" si="119"/>
        <v>4.0000000000000062E-3</v>
      </c>
      <c r="S172" s="267">
        <f t="shared" si="119"/>
        <v>3.9333333333333399E-3</v>
      </c>
      <c r="T172" s="267">
        <f t="shared" si="117"/>
        <v>3.8666666666666732E-3</v>
      </c>
      <c r="U172" s="267">
        <f t="shared" si="117"/>
        <v>3.8000000000000065E-3</v>
      </c>
      <c r="V172" s="267">
        <f t="shared" si="117"/>
        <v>3.7333333333333398E-3</v>
      </c>
      <c r="W172" s="267">
        <f t="shared" si="117"/>
        <v>3.6666666666666731E-3</v>
      </c>
      <c r="X172" s="267">
        <f t="shared" si="117"/>
        <v>3.6000000000000064E-3</v>
      </c>
      <c r="Y172" s="267">
        <f t="shared" si="117"/>
        <v>3.5333333333333397E-3</v>
      </c>
      <c r="Z172" s="267">
        <f t="shared" si="117"/>
        <v>3.466666666666673E-3</v>
      </c>
      <c r="AA172" s="267">
        <f t="shared" si="117"/>
        <v>3.4000000000000063E-3</v>
      </c>
      <c r="AB172" s="267">
        <f t="shared" si="117"/>
        <v>3.3333333333333396E-3</v>
      </c>
      <c r="AC172" s="267">
        <f t="shared" si="117"/>
        <v>3.2666666666666729E-3</v>
      </c>
      <c r="AD172" s="267">
        <f t="shared" si="117"/>
        <v>3.2000000000000062E-3</v>
      </c>
      <c r="AE172" s="267">
        <f t="shared" si="117"/>
        <v>3.1333333333333395E-3</v>
      </c>
      <c r="AF172" s="267">
        <f t="shared" si="117"/>
        <v>3.0666666666666728E-3</v>
      </c>
      <c r="AG172" s="562">
        <v>3.0000000000000001E-3</v>
      </c>
      <c r="AI172" s="188"/>
      <c r="AJ172" t="s">
        <v>1470</v>
      </c>
    </row>
    <row r="173" spans="1:36" s="54" customFormat="1" outlineLevel="1">
      <c r="A173" s="256" t="s">
        <v>627</v>
      </c>
      <c r="B173" s="253"/>
      <c r="C173" s="254"/>
      <c r="D173" s="254"/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254"/>
      <c r="Q173" s="254"/>
      <c r="R173" s="254"/>
      <c r="S173" s="254"/>
      <c r="T173" s="254"/>
      <c r="U173" s="254"/>
      <c r="V173" s="254"/>
      <c r="W173" s="254"/>
      <c r="X173" s="254"/>
      <c r="Y173" s="254"/>
      <c r="Z173" s="254"/>
      <c r="AA173" s="254"/>
      <c r="AB173" s="254"/>
      <c r="AC173" s="254"/>
      <c r="AD173" s="254"/>
      <c r="AE173" s="254"/>
      <c r="AF173" s="254"/>
      <c r="AG173" s="254"/>
      <c r="AI173" s="255"/>
      <c r="AJ173" s="256"/>
    </row>
    <row r="174" spans="1:36" s="54" customFormat="1" outlineLevel="1">
      <c r="A174" s="257" t="s">
        <v>656</v>
      </c>
      <c r="B174" s="258" t="s">
        <v>126</v>
      </c>
      <c r="C174" s="563">
        <f>C166</f>
        <v>0.98</v>
      </c>
      <c r="D174" s="287">
        <f>-($C174-$AG174)/30+C174</f>
        <v>0.98033333333333328</v>
      </c>
      <c r="E174" s="287">
        <f t="shared" ref="E174:T175" si="120">-($C174-$AG174)/30+D174</f>
        <v>0.98066666666666658</v>
      </c>
      <c r="F174" s="287">
        <f t="shared" si="120"/>
        <v>0.98099999999999987</v>
      </c>
      <c r="G174" s="287">
        <f t="shared" si="120"/>
        <v>0.98133333333333317</v>
      </c>
      <c r="H174" s="287">
        <f t="shared" si="120"/>
        <v>0.98166666666666647</v>
      </c>
      <c r="I174" s="287">
        <f t="shared" si="120"/>
        <v>0.98199999999999976</v>
      </c>
      <c r="J174" s="287">
        <f t="shared" si="120"/>
        <v>0.98233333333333306</v>
      </c>
      <c r="K174" s="287">
        <f t="shared" si="120"/>
        <v>0.98266666666666636</v>
      </c>
      <c r="L174" s="287">
        <f t="shared" si="120"/>
        <v>0.98299999999999965</v>
      </c>
      <c r="M174" s="287">
        <f t="shared" si="120"/>
        <v>0.98333333333333295</v>
      </c>
      <c r="N174" s="287">
        <f t="shared" si="120"/>
        <v>0.98366666666666625</v>
      </c>
      <c r="O174" s="287">
        <f t="shared" si="120"/>
        <v>0.98399999999999954</v>
      </c>
      <c r="P174" s="287">
        <f t="shared" si="120"/>
        <v>0.98433333333333284</v>
      </c>
      <c r="Q174" s="287">
        <f t="shared" si="120"/>
        <v>0.98466666666666613</v>
      </c>
      <c r="R174" s="287">
        <f t="shared" si="120"/>
        <v>0.98499999999999943</v>
      </c>
      <c r="S174" s="287">
        <f t="shared" si="120"/>
        <v>0.98533333333333273</v>
      </c>
      <c r="T174" s="287">
        <f t="shared" si="120"/>
        <v>0.98566666666666602</v>
      </c>
      <c r="U174" s="287">
        <f t="shared" ref="U174:AF175" si="121">-($C174-$AG174)/30+T174</f>
        <v>0.98599999999999932</v>
      </c>
      <c r="V174" s="287">
        <f t="shared" si="121"/>
        <v>0.98633333333333262</v>
      </c>
      <c r="W174" s="287">
        <f t="shared" si="121"/>
        <v>0.98666666666666591</v>
      </c>
      <c r="X174" s="287">
        <f t="shared" si="121"/>
        <v>0.98699999999999921</v>
      </c>
      <c r="Y174" s="287">
        <f t="shared" si="121"/>
        <v>0.98733333333333251</v>
      </c>
      <c r="Z174" s="287">
        <f t="shared" si="121"/>
        <v>0.9876666666666658</v>
      </c>
      <c r="AA174" s="287">
        <f t="shared" si="121"/>
        <v>0.9879999999999991</v>
      </c>
      <c r="AB174" s="287">
        <f t="shared" si="121"/>
        <v>0.9883333333333324</v>
      </c>
      <c r="AC174" s="287">
        <f t="shared" si="121"/>
        <v>0.98866666666666569</v>
      </c>
      <c r="AD174" s="287">
        <f t="shared" si="121"/>
        <v>0.98899999999999899</v>
      </c>
      <c r="AE174" s="287">
        <f t="shared" si="121"/>
        <v>0.98933333333333229</v>
      </c>
      <c r="AF174" s="287">
        <f t="shared" si="121"/>
        <v>0.98966666666666558</v>
      </c>
      <c r="AG174" s="563">
        <f>AG166</f>
        <v>0.99</v>
      </c>
      <c r="AI174" s="255"/>
      <c r="AJ174" s="271" t="s">
        <v>1469</v>
      </c>
    </row>
    <row r="175" spans="1:36" s="54" customFormat="1" outlineLevel="1">
      <c r="A175" s="257" t="s">
        <v>667</v>
      </c>
      <c r="B175" s="258" t="s">
        <v>126</v>
      </c>
      <c r="C175" s="563">
        <v>1</v>
      </c>
      <c r="D175" s="287">
        <f>-($C175-$AG175)/30+C175</f>
        <v>1</v>
      </c>
      <c r="E175" s="287">
        <f t="shared" si="120"/>
        <v>1</v>
      </c>
      <c r="F175" s="287">
        <f t="shared" si="120"/>
        <v>1</v>
      </c>
      <c r="G175" s="287">
        <f t="shared" si="120"/>
        <v>1</v>
      </c>
      <c r="H175" s="287">
        <f t="shared" si="120"/>
        <v>1</v>
      </c>
      <c r="I175" s="287">
        <f t="shared" si="120"/>
        <v>1</v>
      </c>
      <c r="J175" s="287">
        <f t="shared" si="120"/>
        <v>1</v>
      </c>
      <c r="K175" s="287">
        <f t="shared" si="120"/>
        <v>1</v>
      </c>
      <c r="L175" s="287">
        <f t="shared" si="120"/>
        <v>1</v>
      </c>
      <c r="M175" s="287">
        <f t="shared" si="120"/>
        <v>1</v>
      </c>
      <c r="N175" s="287">
        <f t="shared" si="120"/>
        <v>1</v>
      </c>
      <c r="O175" s="287">
        <f t="shared" si="120"/>
        <v>1</v>
      </c>
      <c r="P175" s="287">
        <f t="shared" si="120"/>
        <v>1</v>
      </c>
      <c r="Q175" s="287">
        <f t="shared" si="120"/>
        <v>1</v>
      </c>
      <c r="R175" s="287">
        <f t="shared" si="120"/>
        <v>1</v>
      </c>
      <c r="S175" s="287">
        <f t="shared" si="120"/>
        <v>1</v>
      </c>
      <c r="T175" s="287">
        <f t="shared" si="120"/>
        <v>1</v>
      </c>
      <c r="U175" s="287">
        <f t="shared" si="121"/>
        <v>1</v>
      </c>
      <c r="V175" s="287">
        <f t="shared" si="121"/>
        <v>1</v>
      </c>
      <c r="W175" s="287">
        <f t="shared" si="121"/>
        <v>1</v>
      </c>
      <c r="X175" s="287">
        <f t="shared" si="121"/>
        <v>1</v>
      </c>
      <c r="Y175" s="287">
        <f t="shared" si="121"/>
        <v>1</v>
      </c>
      <c r="Z175" s="287">
        <f t="shared" si="121"/>
        <v>1</v>
      </c>
      <c r="AA175" s="287">
        <f t="shared" si="121"/>
        <v>1</v>
      </c>
      <c r="AB175" s="287">
        <f t="shared" si="121"/>
        <v>1</v>
      </c>
      <c r="AC175" s="287">
        <f t="shared" si="121"/>
        <v>1</v>
      </c>
      <c r="AD175" s="287">
        <f t="shared" si="121"/>
        <v>1</v>
      </c>
      <c r="AE175" s="287">
        <f t="shared" si="121"/>
        <v>1</v>
      </c>
      <c r="AF175" s="287">
        <f t="shared" si="121"/>
        <v>1</v>
      </c>
      <c r="AG175" s="563">
        <v>1</v>
      </c>
      <c r="AI175" s="255"/>
      <c r="AJ175" t="s">
        <v>1470</v>
      </c>
    </row>
    <row r="176" spans="1:36" s="58" customFormat="1" outlineLevel="1">
      <c r="A176" s="261" t="s">
        <v>668</v>
      </c>
      <c r="B176" s="262" t="s">
        <v>126</v>
      </c>
      <c r="C176" s="289">
        <f>1-C175</f>
        <v>0</v>
      </c>
      <c r="D176" s="289">
        <f t="shared" ref="D176:AG176" si="122">1-D175</f>
        <v>0</v>
      </c>
      <c r="E176" s="289">
        <f t="shared" si="122"/>
        <v>0</v>
      </c>
      <c r="F176" s="289">
        <f t="shared" si="122"/>
        <v>0</v>
      </c>
      <c r="G176" s="289">
        <f t="shared" si="122"/>
        <v>0</v>
      </c>
      <c r="H176" s="289">
        <f t="shared" si="122"/>
        <v>0</v>
      </c>
      <c r="I176" s="289">
        <f t="shared" si="122"/>
        <v>0</v>
      </c>
      <c r="J176" s="289">
        <f t="shared" si="122"/>
        <v>0</v>
      </c>
      <c r="K176" s="289">
        <f t="shared" si="122"/>
        <v>0</v>
      </c>
      <c r="L176" s="289">
        <f t="shared" si="122"/>
        <v>0</v>
      </c>
      <c r="M176" s="289">
        <f t="shared" si="122"/>
        <v>0</v>
      </c>
      <c r="N176" s="289">
        <f t="shared" si="122"/>
        <v>0</v>
      </c>
      <c r="O176" s="289">
        <f t="shared" si="122"/>
        <v>0</v>
      </c>
      <c r="P176" s="289">
        <f t="shared" si="122"/>
        <v>0</v>
      </c>
      <c r="Q176" s="289">
        <f t="shared" si="122"/>
        <v>0</v>
      </c>
      <c r="R176" s="289">
        <f t="shared" si="122"/>
        <v>0</v>
      </c>
      <c r="S176" s="289">
        <f t="shared" si="122"/>
        <v>0</v>
      </c>
      <c r="T176" s="289">
        <f t="shared" si="122"/>
        <v>0</v>
      </c>
      <c r="U176" s="289">
        <f t="shared" si="122"/>
        <v>0</v>
      </c>
      <c r="V176" s="289">
        <f t="shared" si="122"/>
        <v>0</v>
      </c>
      <c r="W176" s="289">
        <f t="shared" si="122"/>
        <v>0</v>
      </c>
      <c r="X176" s="289">
        <f t="shared" si="122"/>
        <v>0</v>
      </c>
      <c r="Y176" s="289">
        <f t="shared" si="122"/>
        <v>0</v>
      </c>
      <c r="Z176" s="289">
        <f t="shared" si="122"/>
        <v>0</v>
      </c>
      <c r="AA176" s="289">
        <f t="shared" si="122"/>
        <v>0</v>
      </c>
      <c r="AB176" s="289">
        <f t="shared" si="122"/>
        <v>0</v>
      </c>
      <c r="AC176" s="289">
        <f t="shared" si="122"/>
        <v>0</v>
      </c>
      <c r="AD176" s="289">
        <f t="shared" si="122"/>
        <v>0</v>
      </c>
      <c r="AE176" s="289">
        <f t="shared" si="122"/>
        <v>0</v>
      </c>
      <c r="AF176" s="289">
        <f t="shared" si="122"/>
        <v>0</v>
      </c>
      <c r="AG176" s="289">
        <f t="shared" si="122"/>
        <v>0</v>
      </c>
      <c r="AI176" s="291"/>
      <c r="AJ176" s="290"/>
    </row>
    <row r="177" spans="1:36" s="1" customFormat="1" outlineLevel="1">
      <c r="A177" t="s">
        <v>649</v>
      </c>
      <c r="B177" s="252" t="s">
        <v>126</v>
      </c>
      <c r="C177" s="562">
        <v>1</v>
      </c>
      <c r="D177" s="267">
        <f t="shared" ref="D177:S192" si="123">-($C177-$AG177)/30+C177</f>
        <v>1</v>
      </c>
      <c r="E177" s="267">
        <f t="shared" si="123"/>
        <v>1</v>
      </c>
      <c r="F177" s="267">
        <f t="shared" si="123"/>
        <v>1</v>
      </c>
      <c r="G177" s="267">
        <f t="shared" si="123"/>
        <v>1</v>
      </c>
      <c r="H177" s="267">
        <f t="shared" si="123"/>
        <v>1</v>
      </c>
      <c r="I177" s="267">
        <f t="shared" si="123"/>
        <v>1</v>
      </c>
      <c r="J177" s="267">
        <f t="shared" si="123"/>
        <v>1</v>
      </c>
      <c r="K177" s="267">
        <f t="shared" si="123"/>
        <v>1</v>
      </c>
      <c r="L177" s="267">
        <f t="shared" si="123"/>
        <v>1</v>
      </c>
      <c r="M177" s="267">
        <f t="shared" si="123"/>
        <v>1</v>
      </c>
      <c r="N177" s="267">
        <f t="shared" si="123"/>
        <v>1</v>
      </c>
      <c r="O177" s="267">
        <f t="shared" si="123"/>
        <v>1</v>
      </c>
      <c r="P177" s="267">
        <f t="shared" si="123"/>
        <v>1</v>
      </c>
      <c r="Q177" s="267">
        <f t="shared" si="123"/>
        <v>1</v>
      </c>
      <c r="R177" s="267">
        <f t="shared" si="123"/>
        <v>1</v>
      </c>
      <c r="S177" s="267">
        <f t="shared" si="123"/>
        <v>1</v>
      </c>
      <c r="T177" s="267">
        <f t="shared" ref="T177:AF191" si="124">-($C177-$AG177)/30+S177</f>
        <v>1</v>
      </c>
      <c r="U177" s="267">
        <f t="shared" si="124"/>
        <v>1</v>
      </c>
      <c r="V177" s="267">
        <f t="shared" si="124"/>
        <v>1</v>
      </c>
      <c r="W177" s="267">
        <f t="shared" si="124"/>
        <v>1</v>
      </c>
      <c r="X177" s="267">
        <f t="shared" si="124"/>
        <v>1</v>
      </c>
      <c r="Y177" s="267">
        <f t="shared" si="124"/>
        <v>1</v>
      </c>
      <c r="Z177" s="267">
        <f t="shared" si="124"/>
        <v>1</v>
      </c>
      <c r="AA177" s="267">
        <f t="shared" si="124"/>
        <v>1</v>
      </c>
      <c r="AB177" s="267">
        <f t="shared" si="124"/>
        <v>1</v>
      </c>
      <c r="AC177" s="267">
        <f t="shared" si="124"/>
        <v>1</v>
      </c>
      <c r="AD177" s="267">
        <f t="shared" si="124"/>
        <v>1</v>
      </c>
      <c r="AE177" s="267">
        <f t="shared" si="124"/>
        <v>1</v>
      </c>
      <c r="AF177" s="267">
        <f t="shared" si="124"/>
        <v>1</v>
      </c>
      <c r="AG177" s="562">
        <v>1</v>
      </c>
      <c r="AI177" s="266"/>
      <c r="AJ177" s="185"/>
    </row>
    <row r="178" spans="1:36" s="1" customFormat="1" outlineLevel="1">
      <c r="A178" t="s">
        <v>655</v>
      </c>
      <c r="B178" s="252" t="s">
        <v>126</v>
      </c>
      <c r="C178" s="562">
        <v>0</v>
      </c>
      <c r="D178" s="267">
        <f t="shared" si="123"/>
        <v>0</v>
      </c>
      <c r="E178" s="267">
        <f t="shared" si="123"/>
        <v>0</v>
      </c>
      <c r="F178" s="267">
        <f t="shared" si="123"/>
        <v>0</v>
      </c>
      <c r="G178" s="267">
        <f t="shared" si="123"/>
        <v>0</v>
      </c>
      <c r="H178" s="267">
        <f t="shared" si="123"/>
        <v>0</v>
      </c>
      <c r="I178" s="267">
        <f t="shared" si="123"/>
        <v>0</v>
      </c>
      <c r="J178" s="267">
        <f t="shared" si="123"/>
        <v>0</v>
      </c>
      <c r="K178" s="267">
        <f t="shared" si="123"/>
        <v>0</v>
      </c>
      <c r="L178" s="267">
        <f t="shared" si="123"/>
        <v>0</v>
      </c>
      <c r="M178" s="267">
        <f t="shared" si="123"/>
        <v>0</v>
      </c>
      <c r="N178" s="267">
        <f t="shared" si="123"/>
        <v>0</v>
      </c>
      <c r="O178" s="267">
        <f t="shared" si="123"/>
        <v>0</v>
      </c>
      <c r="P178" s="267">
        <f t="shared" si="123"/>
        <v>0</v>
      </c>
      <c r="Q178" s="267">
        <f t="shared" si="123"/>
        <v>0</v>
      </c>
      <c r="R178" s="267">
        <f t="shared" si="123"/>
        <v>0</v>
      </c>
      <c r="S178" s="267">
        <f t="shared" si="123"/>
        <v>0</v>
      </c>
      <c r="T178" s="267">
        <f t="shared" si="124"/>
        <v>0</v>
      </c>
      <c r="U178" s="267">
        <f t="shared" si="124"/>
        <v>0</v>
      </c>
      <c r="V178" s="267">
        <f t="shared" si="124"/>
        <v>0</v>
      </c>
      <c r="W178" s="267">
        <f t="shared" si="124"/>
        <v>0</v>
      </c>
      <c r="X178" s="267">
        <f t="shared" si="124"/>
        <v>0</v>
      </c>
      <c r="Y178" s="267">
        <f t="shared" si="124"/>
        <v>0</v>
      </c>
      <c r="Z178" s="267">
        <f t="shared" si="124"/>
        <v>0</v>
      </c>
      <c r="AA178" s="267">
        <f t="shared" si="124"/>
        <v>0</v>
      </c>
      <c r="AB178" s="267">
        <f t="shared" si="124"/>
        <v>0</v>
      </c>
      <c r="AC178" s="267">
        <f t="shared" si="124"/>
        <v>0</v>
      </c>
      <c r="AD178" s="267">
        <f t="shared" si="124"/>
        <v>0</v>
      </c>
      <c r="AE178" s="267">
        <f t="shared" si="124"/>
        <v>0</v>
      </c>
      <c r="AF178" s="267">
        <f t="shared" si="124"/>
        <v>0</v>
      </c>
      <c r="AG178" s="562">
        <v>0</v>
      </c>
      <c r="AI178" s="380"/>
      <c r="AJ178" s="185" t="s">
        <v>1471</v>
      </c>
    </row>
    <row r="179" spans="1:36" s="1" customFormat="1" outlineLevel="1">
      <c r="A179" t="s">
        <v>650</v>
      </c>
      <c r="B179" s="252" t="s">
        <v>126</v>
      </c>
      <c r="C179" s="246">
        <v>0.15</v>
      </c>
      <c r="D179" s="267">
        <f t="shared" si="123"/>
        <v>0.15633333333333332</v>
      </c>
      <c r="E179" s="267">
        <f t="shared" si="123"/>
        <v>0.16266666666666665</v>
      </c>
      <c r="F179" s="267">
        <f t="shared" si="123"/>
        <v>0.16899999999999998</v>
      </c>
      <c r="G179" s="267">
        <f t="shared" si="123"/>
        <v>0.17533333333333331</v>
      </c>
      <c r="H179" s="267">
        <f t="shared" si="123"/>
        <v>0.18166666666666664</v>
      </c>
      <c r="I179" s="267">
        <f t="shared" si="123"/>
        <v>0.18799999999999997</v>
      </c>
      <c r="J179" s="267">
        <f t="shared" si="123"/>
        <v>0.1943333333333333</v>
      </c>
      <c r="K179" s="267">
        <f t="shared" si="123"/>
        <v>0.20066666666666663</v>
      </c>
      <c r="L179" s="267">
        <f t="shared" si="123"/>
        <v>0.20699999999999996</v>
      </c>
      <c r="M179" s="267">
        <f t="shared" si="123"/>
        <v>0.21333333333333329</v>
      </c>
      <c r="N179" s="267">
        <f t="shared" si="123"/>
        <v>0.21966666666666662</v>
      </c>
      <c r="O179" s="267">
        <f t="shared" si="123"/>
        <v>0.22599999999999995</v>
      </c>
      <c r="P179" s="267">
        <f t="shared" si="123"/>
        <v>0.23233333333333328</v>
      </c>
      <c r="Q179" s="267">
        <f t="shared" si="123"/>
        <v>0.23866666666666661</v>
      </c>
      <c r="R179" s="267">
        <f t="shared" si="123"/>
        <v>0.24499999999999994</v>
      </c>
      <c r="S179" s="267">
        <f t="shared" si="123"/>
        <v>0.2513333333333333</v>
      </c>
      <c r="T179" s="267">
        <f t="shared" si="124"/>
        <v>0.25766666666666665</v>
      </c>
      <c r="U179" s="267">
        <f t="shared" si="124"/>
        <v>0.26400000000000001</v>
      </c>
      <c r="V179" s="267">
        <f t="shared" si="124"/>
        <v>0.27033333333333337</v>
      </c>
      <c r="W179" s="267">
        <f t="shared" si="124"/>
        <v>0.27666666666666673</v>
      </c>
      <c r="X179" s="267">
        <f t="shared" si="124"/>
        <v>0.28300000000000008</v>
      </c>
      <c r="Y179" s="267">
        <f t="shared" si="124"/>
        <v>0.28933333333333344</v>
      </c>
      <c r="Z179" s="267">
        <f t="shared" si="124"/>
        <v>0.2956666666666668</v>
      </c>
      <c r="AA179" s="267">
        <f t="shared" si="124"/>
        <v>0.30200000000000016</v>
      </c>
      <c r="AB179" s="267">
        <f t="shared" si="124"/>
        <v>0.30833333333333351</v>
      </c>
      <c r="AC179" s="267">
        <f t="shared" si="124"/>
        <v>0.31466666666666687</v>
      </c>
      <c r="AD179" s="267">
        <f t="shared" si="124"/>
        <v>0.32100000000000023</v>
      </c>
      <c r="AE179" s="267">
        <f t="shared" si="124"/>
        <v>0.32733333333333359</v>
      </c>
      <c r="AF179" s="267">
        <f t="shared" si="124"/>
        <v>0.33366666666666694</v>
      </c>
      <c r="AG179" s="246">
        <v>0.34</v>
      </c>
      <c r="AI179" s="266"/>
      <c r="AJ179" t="s">
        <v>1470</v>
      </c>
    </row>
    <row r="180" spans="1:36" s="1" customFormat="1" outlineLevel="1">
      <c r="A180" t="s">
        <v>651</v>
      </c>
      <c r="B180" s="252" t="s">
        <v>126</v>
      </c>
      <c r="C180" s="267">
        <f>1-C179</f>
        <v>0.85</v>
      </c>
      <c r="D180" s="267">
        <f t="shared" si="123"/>
        <v>0.84366666666666668</v>
      </c>
      <c r="E180" s="267">
        <f t="shared" si="123"/>
        <v>0.83733333333333337</v>
      </c>
      <c r="F180" s="267">
        <f t="shared" si="123"/>
        <v>0.83100000000000007</v>
      </c>
      <c r="G180" s="267">
        <f t="shared" si="123"/>
        <v>0.82466666666666677</v>
      </c>
      <c r="H180" s="267">
        <f t="shared" si="123"/>
        <v>0.81833333333333347</v>
      </c>
      <c r="I180" s="267">
        <f t="shared" si="123"/>
        <v>0.81200000000000017</v>
      </c>
      <c r="J180" s="267">
        <f t="shared" si="123"/>
        <v>0.80566666666666686</v>
      </c>
      <c r="K180" s="267">
        <f t="shared" si="123"/>
        <v>0.79933333333333356</v>
      </c>
      <c r="L180" s="267">
        <f t="shared" si="123"/>
        <v>0.79300000000000026</v>
      </c>
      <c r="M180" s="267">
        <f t="shared" si="123"/>
        <v>0.78666666666666696</v>
      </c>
      <c r="N180" s="267">
        <f t="shared" si="123"/>
        <v>0.78033333333333366</v>
      </c>
      <c r="O180" s="267">
        <f t="shared" si="123"/>
        <v>0.77400000000000035</v>
      </c>
      <c r="P180" s="267">
        <f t="shared" si="123"/>
        <v>0.76766666666666705</v>
      </c>
      <c r="Q180" s="267">
        <f t="shared" si="123"/>
        <v>0.76133333333333375</v>
      </c>
      <c r="R180" s="267">
        <f t="shared" si="123"/>
        <v>0.75500000000000045</v>
      </c>
      <c r="S180" s="267">
        <f t="shared" si="123"/>
        <v>0.74866666666666715</v>
      </c>
      <c r="T180" s="267">
        <f t="shared" si="124"/>
        <v>0.74233333333333384</v>
      </c>
      <c r="U180" s="267">
        <f t="shared" si="124"/>
        <v>0.73600000000000054</v>
      </c>
      <c r="V180" s="267">
        <f t="shared" si="124"/>
        <v>0.72966666666666724</v>
      </c>
      <c r="W180" s="267">
        <f t="shared" si="124"/>
        <v>0.72333333333333394</v>
      </c>
      <c r="X180" s="267">
        <f t="shared" si="124"/>
        <v>0.71700000000000064</v>
      </c>
      <c r="Y180" s="267">
        <f t="shared" si="124"/>
        <v>0.71066666666666733</v>
      </c>
      <c r="Z180" s="267">
        <f t="shared" si="124"/>
        <v>0.70433333333333403</v>
      </c>
      <c r="AA180" s="267">
        <f t="shared" si="124"/>
        <v>0.69800000000000073</v>
      </c>
      <c r="AB180" s="267">
        <f t="shared" si="124"/>
        <v>0.69166666666666743</v>
      </c>
      <c r="AC180" s="267">
        <f t="shared" si="124"/>
        <v>0.68533333333333413</v>
      </c>
      <c r="AD180" s="267">
        <f t="shared" si="124"/>
        <v>0.67900000000000083</v>
      </c>
      <c r="AE180" s="267">
        <f t="shared" si="124"/>
        <v>0.67266666666666752</v>
      </c>
      <c r="AF180" s="267">
        <f t="shared" si="124"/>
        <v>0.66633333333333422</v>
      </c>
      <c r="AG180" s="267">
        <f>1-AG179</f>
        <v>0.65999999999999992</v>
      </c>
      <c r="AI180" s="266"/>
      <c r="AJ180" t="s">
        <v>1470</v>
      </c>
    </row>
    <row r="181" spans="1:36" s="1" customFormat="1" outlineLevel="1">
      <c r="A181" t="s">
        <v>654</v>
      </c>
      <c r="B181" s="252" t="s">
        <v>126</v>
      </c>
      <c r="C181" s="246">
        <v>0</v>
      </c>
      <c r="D181" s="267">
        <f t="shared" si="123"/>
        <v>0</v>
      </c>
      <c r="E181" s="267">
        <f t="shared" si="123"/>
        <v>0</v>
      </c>
      <c r="F181" s="267">
        <f t="shared" si="123"/>
        <v>0</v>
      </c>
      <c r="G181" s="267">
        <f t="shared" si="123"/>
        <v>0</v>
      </c>
      <c r="H181" s="267">
        <f t="shared" si="123"/>
        <v>0</v>
      </c>
      <c r="I181" s="267">
        <f t="shared" si="123"/>
        <v>0</v>
      </c>
      <c r="J181" s="267">
        <f t="shared" si="123"/>
        <v>0</v>
      </c>
      <c r="K181" s="267">
        <f t="shared" si="123"/>
        <v>0</v>
      </c>
      <c r="L181" s="267">
        <f t="shared" si="123"/>
        <v>0</v>
      </c>
      <c r="M181" s="267">
        <f t="shared" si="123"/>
        <v>0</v>
      </c>
      <c r="N181" s="267">
        <f t="shared" si="123"/>
        <v>0</v>
      </c>
      <c r="O181" s="267">
        <f t="shared" si="123"/>
        <v>0</v>
      </c>
      <c r="P181" s="267">
        <f t="shared" si="123"/>
        <v>0</v>
      </c>
      <c r="Q181" s="267">
        <f t="shared" si="123"/>
        <v>0</v>
      </c>
      <c r="R181" s="267">
        <f t="shared" si="123"/>
        <v>0</v>
      </c>
      <c r="S181" s="267">
        <f t="shared" si="123"/>
        <v>0</v>
      </c>
      <c r="T181" s="267">
        <f t="shared" si="124"/>
        <v>0</v>
      </c>
      <c r="U181" s="267">
        <f t="shared" si="124"/>
        <v>0</v>
      </c>
      <c r="V181" s="267">
        <f t="shared" si="124"/>
        <v>0</v>
      </c>
      <c r="W181" s="267">
        <f t="shared" si="124"/>
        <v>0</v>
      </c>
      <c r="X181" s="267">
        <f t="shared" si="124"/>
        <v>0</v>
      </c>
      <c r="Y181" s="267">
        <f t="shared" si="124"/>
        <v>0</v>
      </c>
      <c r="Z181" s="267">
        <f t="shared" si="124"/>
        <v>0</v>
      </c>
      <c r="AA181" s="267">
        <f t="shared" si="124"/>
        <v>0</v>
      </c>
      <c r="AB181" s="267">
        <f t="shared" si="124"/>
        <v>0</v>
      </c>
      <c r="AC181" s="267">
        <f t="shared" si="124"/>
        <v>0</v>
      </c>
      <c r="AD181" s="267">
        <f t="shared" si="124"/>
        <v>0</v>
      </c>
      <c r="AE181" s="267">
        <f t="shared" si="124"/>
        <v>0</v>
      </c>
      <c r="AF181" s="267">
        <f t="shared" si="124"/>
        <v>0</v>
      </c>
      <c r="AG181" s="246">
        <v>0</v>
      </c>
      <c r="AI181" s="266"/>
      <c r="AJ181" t="s">
        <v>1470</v>
      </c>
    </row>
    <row r="182" spans="1:36" s="1" customFormat="1" outlineLevel="1">
      <c r="A182" t="s">
        <v>665</v>
      </c>
      <c r="B182" s="252" t="s">
        <v>126</v>
      </c>
      <c r="C182" s="246">
        <v>1</v>
      </c>
      <c r="D182" s="267">
        <f t="shared" si="123"/>
        <v>1</v>
      </c>
      <c r="E182" s="267">
        <f t="shared" si="123"/>
        <v>1</v>
      </c>
      <c r="F182" s="267">
        <f t="shared" si="123"/>
        <v>1</v>
      </c>
      <c r="G182" s="267">
        <f t="shared" si="123"/>
        <v>1</v>
      </c>
      <c r="H182" s="267">
        <f t="shared" si="123"/>
        <v>1</v>
      </c>
      <c r="I182" s="267">
        <f t="shared" si="123"/>
        <v>1</v>
      </c>
      <c r="J182" s="267">
        <f t="shared" si="123"/>
        <v>1</v>
      </c>
      <c r="K182" s="267">
        <f t="shared" si="123"/>
        <v>1</v>
      </c>
      <c r="L182" s="267">
        <f t="shared" si="123"/>
        <v>1</v>
      </c>
      <c r="M182" s="267">
        <f t="shared" si="123"/>
        <v>1</v>
      </c>
      <c r="N182" s="267">
        <f t="shared" si="123"/>
        <v>1</v>
      </c>
      <c r="O182" s="267">
        <f t="shared" si="123"/>
        <v>1</v>
      </c>
      <c r="P182" s="267">
        <f t="shared" si="123"/>
        <v>1</v>
      </c>
      <c r="Q182" s="267">
        <f t="shared" si="123"/>
        <v>1</v>
      </c>
      <c r="R182" s="267">
        <f t="shared" si="123"/>
        <v>1</v>
      </c>
      <c r="S182" s="267">
        <f t="shared" si="123"/>
        <v>1</v>
      </c>
      <c r="T182" s="267">
        <f t="shared" si="124"/>
        <v>1</v>
      </c>
      <c r="U182" s="267">
        <f t="shared" si="124"/>
        <v>1</v>
      </c>
      <c r="V182" s="267">
        <f t="shared" si="124"/>
        <v>1</v>
      </c>
      <c r="W182" s="267">
        <f t="shared" si="124"/>
        <v>1</v>
      </c>
      <c r="X182" s="267">
        <f t="shared" si="124"/>
        <v>1</v>
      </c>
      <c r="Y182" s="267">
        <f t="shared" si="124"/>
        <v>1</v>
      </c>
      <c r="Z182" s="267">
        <f t="shared" si="124"/>
        <v>1</v>
      </c>
      <c r="AA182" s="267">
        <f t="shared" si="124"/>
        <v>1</v>
      </c>
      <c r="AB182" s="267">
        <f t="shared" si="124"/>
        <v>1</v>
      </c>
      <c r="AC182" s="267">
        <f t="shared" si="124"/>
        <v>1</v>
      </c>
      <c r="AD182" s="267">
        <f t="shared" si="124"/>
        <v>1</v>
      </c>
      <c r="AE182" s="267">
        <f t="shared" si="124"/>
        <v>1</v>
      </c>
      <c r="AF182" s="267">
        <f t="shared" si="124"/>
        <v>1</v>
      </c>
      <c r="AG182" s="246">
        <v>1</v>
      </c>
      <c r="AI182" s="266"/>
      <c r="AJ182" t="s">
        <v>1470</v>
      </c>
    </row>
    <row r="183" spans="1:36" s="1" customFormat="1" outlineLevel="1">
      <c r="A183" t="s">
        <v>652</v>
      </c>
      <c r="B183" s="252" t="s">
        <v>126</v>
      </c>
      <c r="C183" s="246">
        <v>0.8</v>
      </c>
      <c r="D183" s="267">
        <f t="shared" si="123"/>
        <v>0.80333333333333334</v>
      </c>
      <c r="E183" s="267">
        <f t="shared" si="123"/>
        <v>0.80666666666666664</v>
      </c>
      <c r="F183" s="267">
        <f t="shared" si="123"/>
        <v>0.80999999999999994</v>
      </c>
      <c r="G183" s="267">
        <f t="shared" si="123"/>
        <v>0.81333333333333324</v>
      </c>
      <c r="H183" s="267">
        <f t="shared" si="123"/>
        <v>0.81666666666666654</v>
      </c>
      <c r="I183" s="267">
        <f t="shared" si="123"/>
        <v>0.81999999999999984</v>
      </c>
      <c r="J183" s="267">
        <f t="shared" si="123"/>
        <v>0.82333333333333314</v>
      </c>
      <c r="K183" s="267">
        <f t="shared" si="123"/>
        <v>0.82666666666666644</v>
      </c>
      <c r="L183" s="267">
        <f t="shared" si="123"/>
        <v>0.82999999999999974</v>
      </c>
      <c r="M183" s="267">
        <f t="shared" si="123"/>
        <v>0.83333333333333304</v>
      </c>
      <c r="N183" s="267">
        <f t="shared" si="123"/>
        <v>0.83666666666666634</v>
      </c>
      <c r="O183" s="267">
        <f t="shared" si="123"/>
        <v>0.83999999999999964</v>
      </c>
      <c r="P183" s="267">
        <f t="shared" si="123"/>
        <v>0.84333333333333294</v>
      </c>
      <c r="Q183" s="267">
        <f t="shared" si="123"/>
        <v>0.84666666666666623</v>
      </c>
      <c r="R183" s="267">
        <f t="shared" si="123"/>
        <v>0.84999999999999953</v>
      </c>
      <c r="S183" s="267">
        <f t="shared" si="123"/>
        <v>0.85333333333333283</v>
      </c>
      <c r="T183" s="267">
        <f t="shared" si="124"/>
        <v>0.85666666666666613</v>
      </c>
      <c r="U183" s="267">
        <f t="shared" si="124"/>
        <v>0.85999999999999943</v>
      </c>
      <c r="V183" s="267">
        <f t="shared" si="124"/>
        <v>0.86333333333333273</v>
      </c>
      <c r="W183" s="267">
        <f t="shared" si="124"/>
        <v>0.86666666666666603</v>
      </c>
      <c r="X183" s="267">
        <f t="shared" si="124"/>
        <v>0.86999999999999933</v>
      </c>
      <c r="Y183" s="267">
        <f t="shared" si="124"/>
        <v>0.87333333333333263</v>
      </c>
      <c r="Z183" s="267">
        <f t="shared" si="124"/>
        <v>0.87666666666666593</v>
      </c>
      <c r="AA183" s="267">
        <f t="shared" si="124"/>
        <v>0.87999999999999923</v>
      </c>
      <c r="AB183" s="267">
        <f t="shared" si="124"/>
        <v>0.88333333333333253</v>
      </c>
      <c r="AC183" s="267">
        <f t="shared" si="124"/>
        <v>0.88666666666666583</v>
      </c>
      <c r="AD183" s="267">
        <f t="shared" si="124"/>
        <v>0.88999999999999913</v>
      </c>
      <c r="AE183" s="267">
        <f t="shared" si="124"/>
        <v>0.89333333333333242</v>
      </c>
      <c r="AF183" s="267">
        <f t="shared" si="124"/>
        <v>0.89666666666666572</v>
      </c>
      <c r="AG183" s="246">
        <v>0.9</v>
      </c>
      <c r="AI183" s="266"/>
      <c r="AJ183" t="s">
        <v>1470</v>
      </c>
    </row>
    <row r="184" spans="1:36" s="1" customFormat="1" outlineLevel="1">
      <c r="A184" t="s">
        <v>653</v>
      </c>
      <c r="B184" s="252" t="s">
        <v>126</v>
      </c>
      <c r="C184" s="246">
        <v>0.2</v>
      </c>
      <c r="D184" s="267">
        <f t="shared" si="123"/>
        <v>0.19666666666666668</v>
      </c>
      <c r="E184" s="267">
        <f t="shared" si="123"/>
        <v>0.19333333333333336</v>
      </c>
      <c r="F184" s="267">
        <f t="shared" si="123"/>
        <v>0.19000000000000003</v>
      </c>
      <c r="G184" s="267">
        <f t="shared" si="123"/>
        <v>0.1866666666666667</v>
      </c>
      <c r="H184" s="267">
        <f t="shared" si="123"/>
        <v>0.18333333333333338</v>
      </c>
      <c r="I184" s="267">
        <f t="shared" si="123"/>
        <v>0.18000000000000005</v>
      </c>
      <c r="J184" s="267">
        <f t="shared" si="123"/>
        <v>0.17666666666666672</v>
      </c>
      <c r="K184" s="267">
        <f t="shared" si="123"/>
        <v>0.17333333333333339</v>
      </c>
      <c r="L184" s="267">
        <f t="shared" si="123"/>
        <v>0.17000000000000007</v>
      </c>
      <c r="M184" s="267">
        <f t="shared" si="123"/>
        <v>0.16666666666666674</v>
      </c>
      <c r="N184" s="267">
        <f t="shared" si="123"/>
        <v>0.16333333333333341</v>
      </c>
      <c r="O184" s="267">
        <f t="shared" si="123"/>
        <v>0.16000000000000009</v>
      </c>
      <c r="P184" s="267">
        <f t="shared" si="123"/>
        <v>0.15666666666666676</v>
      </c>
      <c r="Q184" s="267">
        <f t="shared" si="123"/>
        <v>0.15333333333333343</v>
      </c>
      <c r="R184" s="267">
        <f t="shared" si="123"/>
        <v>0.15000000000000011</v>
      </c>
      <c r="S184" s="267">
        <f t="shared" si="123"/>
        <v>0.14666666666666678</v>
      </c>
      <c r="T184" s="267">
        <f t="shared" si="124"/>
        <v>0.14333333333333345</v>
      </c>
      <c r="U184" s="267">
        <f t="shared" si="124"/>
        <v>0.14000000000000012</v>
      </c>
      <c r="V184" s="267">
        <f t="shared" si="124"/>
        <v>0.1366666666666668</v>
      </c>
      <c r="W184" s="267">
        <f t="shared" si="124"/>
        <v>0.13333333333333347</v>
      </c>
      <c r="X184" s="267">
        <f t="shared" si="124"/>
        <v>0.13000000000000014</v>
      </c>
      <c r="Y184" s="267">
        <f t="shared" si="124"/>
        <v>0.12666666666666682</v>
      </c>
      <c r="Z184" s="267">
        <f t="shared" si="124"/>
        <v>0.12333333333333349</v>
      </c>
      <c r="AA184" s="267">
        <f t="shared" si="124"/>
        <v>0.12000000000000016</v>
      </c>
      <c r="AB184" s="267">
        <f t="shared" si="124"/>
        <v>0.11666666666666684</v>
      </c>
      <c r="AC184" s="267">
        <f t="shared" si="124"/>
        <v>0.11333333333333351</v>
      </c>
      <c r="AD184" s="267">
        <f t="shared" si="124"/>
        <v>0.11000000000000018</v>
      </c>
      <c r="AE184" s="267">
        <f t="shared" si="124"/>
        <v>0.10666666666666685</v>
      </c>
      <c r="AF184" s="267">
        <f t="shared" si="124"/>
        <v>0.10333333333333353</v>
      </c>
      <c r="AG184" s="246">
        <v>0.1</v>
      </c>
      <c r="AI184" s="266"/>
      <c r="AJ184" t="s">
        <v>1470</v>
      </c>
    </row>
    <row r="185" spans="1:36" s="1" customFormat="1" outlineLevel="1">
      <c r="A185" t="s">
        <v>663</v>
      </c>
      <c r="B185" s="252" t="s">
        <v>126</v>
      </c>
      <c r="C185" s="246">
        <v>0.95</v>
      </c>
      <c r="D185" s="267">
        <f t="shared" si="123"/>
        <v>0.94866666666666666</v>
      </c>
      <c r="E185" s="267">
        <f t="shared" si="123"/>
        <v>0.94733333333333336</v>
      </c>
      <c r="F185" s="267">
        <f t="shared" si="123"/>
        <v>0.94600000000000006</v>
      </c>
      <c r="G185" s="267">
        <f t="shared" si="123"/>
        <v>0.94466666666666677</v>
      </c>
      <c r="H185" s="267">
        <f t="shared" si="123"/>
        <v>0.94333333333333347</v>
      </c>
      <c r="I185" s="267">
        <f t="shared" si="123"/>
        <v>0.94200000000000017</v>
      </c>
      <c r="J185" s="267">
        <f t="shared" si="123"/>
        <v>0.94066666666666687</v>
      </c>
      <c r="K185" s="267">
        <f t="shared" si="123"/>
        <v>0.93933333333333358</v>
      </c>
      <c r="L185" s="267">
        <f t="shared" si="123"/>
        <v>0.93800000000000028</v>
      </c>
      <c r="M185" s="267">
        <f t="shared" si="123"/>
        <v>0.93666666666666698</v>
      </c>
      <c r="N185" s="267">
        <f t="shared" si="123"/>
        <v>0.93533333333333368</v>
      </c>
      <c r="O185" s="267">
        <f t="shared" si="123"/>
        <v>0.93400000000000039</v>
      </c>
      <c r="P185" s="267">
        <f t="shared" si="123"/>
        <v>0.93266666666666709</v>
      </c>
      <c r="Q185" s="267">
        <f t="shared" si="123"/>
        <v>0.93133333333333379</v>
      </c>
      <c r="R185" s="267">
        <f t="shared" si="123"/>
        <v>0.93000000000000049</v>
      </c>
      <c r="S185" s="267">
        <f t="shared" si="123"/>
        <v>0.9286666666666672</v>
      </c>
      <c r="T185" s="267">
        <f t="shared" si="124"/>
        <v>0.9273333333333339</v>
      </c>
      <c r="U185" s="267">
        <f t="shared" si="124"/>
        <v>0.9260000000000006</v>
      </c>
      <c r="V185" s="267">
        <f t="shared" si="124"/>
        <v>0.9246666666666673</v>
      </c>
      <c r="W185" s="267">
        <f t="shared" si="124"/>
        <v>0.92333333333333401</v>
      </c>
      <c r="X185" s="267">
        <f t="shared" si="124"/>
        <v>0.92200000000000071</v>
      </c>
      <c r="Y185" s="267">
        <f t="shared" si="124"/>
        <v>0.92066666666666741</v>
      </c>
      <c r="Z185" s="267">
        <f t="shared" si="124"/>
        <v>0.91933333333333411</v>
      </c>
      <c r="AA185" s="267">
        <f t="shared" si="124"/>
        <v>0.91800000000000082</v>
      </c>
      <c r="AB185" s="267">
        <f t="shared" si="124"/>
        <v>0.91666666666666752</v>
      </c>
      <c r="AC185" s="267">
        <f t="shared" si="124"/>
        <v>0.91533333333333422</v>
      </c>
      <c r="AD185" s="267">
        <f t="shared" si="124"/>
        <v>0.91400000000000092</v>
      </c>
      <c r="AE185" s="267">
        <f t="shared" si="124"/>
        <v>0.91266666666666763</v>
      </c>
      <c r="AF185" s="267">
        <f t="shared" si="124"/>
        <v>0.91133333333333433</v>
      </c>
      <c r="AG185" s="246">
        <v>0.91</v>
      </c>
      <c r="AI185" s="266"/>
      <c r="AJ185" t="s">
        <v>1470</v>
      </c>
    </row>
    <row r="186" spans="1:36" s="1" customFormat="1" outlineLevel="1">
      <c r="A186" t="s">
        <v>664</v>
      </c>
      <c r="B186" s="252" t="s">
        <v>126</v>
      </c>
      <c r="C186" s="246">
        <v>0.05</v>
      </c>
      <c r="D186" s="267">
        <f t="shared" si="123"/>
        <v>5.1333333333333335E-2</v>
      </c>
      <c r="E186" s="267">
        <f t="shared" si="123"/>
        <v>5.2666666666666667E-2</v>
      </c>
      <c r="F186" s="267">
        <f t="shared" si="123"/>
        <v>5.3999999999999999E-2</v>
      </c>
      <c r="G186" s="267">
        <f t="shared" si="123"/>
        <v>5.5333333333333332E-2</v>
      </c>
      <c r="H186" s="267">
        <f t="shared" si="123"/>
        <v>5.6666666666666664E-2</v>
      </c>
      <c r="I186" s="267">
        <f t="shared" si="123"/>
        <v>5.7999999999999996E-2</v>
      </c>
      <c r="J186" s="267">
        <f t="shared" si="123"/>
        <v>5.9333333333333328E-2</v>
      </c>
      <c r="K186" s="267">
        <f t="shared" si="123"/>
        <v>6.066666666666666E-2</v>
      </c>
      <c r="L186" s="267">
        <f t="shared" si="123"/>
        <v>6.1999999999999993E-2</v>
      </c>
      <c r="M186" s="267">
        <f t="shared" si="123"/>
        <v>6.3333333333333325E-2</v>
      </c>
      <c r="N186" s="267">
        <f t="shared" si="123"/>
        <v>6.4666666666666664E-2</v>
      </c>
      <c r="O186" s="267">
        <f t="shared" si="123"/>
        <v>6.6000000000000003E-2</v>
      </c>
      <c r="P186" s="267">
        <f t="shared" si="123"/>
        <v>6.7333333333333342E-2</v>
      </c>
      <c r="Q186" s="267">
        <f t="shared" si="123"/>
        <v>6.8666666666666681E-2</v>
      </c>
      <c r="R186" s="267">
        <f t="shared" si="123"/>
        <v>7.0000000000000021E-2</v>
      </c>
      <c r="S186" s="267">
        <f t="shared" si="123"/>
        <v>7.133333333333336E-2</v>
      </c>
      <c r="T186" s="267">
        <f t="shared" si="124"/>
        <v>7.2666666666666699E-2</v>
      </c>
      <c r="U186" s="267">
        <f t="shared" si="124"/>
        <v>7.4000000000000038E-2</v>
      </c>
      <c r="V186" s="267">
        <f t="shared" si="124"/>
        <v>7.5333333333333377E-2</v>
      </c>
      <c r="W186" s="267">
        <f t="shared" si="124"/>
        <v>7.6666666666666716E-2</v>
      </c>
      <c r="X186" s="267">
        <f t="shared" si="124"/>
        <v>7.8000000000000055E-2</v>
      </c>
      <c r="Y186" s="267">
        <f t="shared" si="124"/>
        <v>7.9333333333333395E-2</v>
      </c>
      <c r="Z186" s="267">
        <f t="shared" si="124"/>
        <v>8.0666666666666734E-2</v>
      </c>
      <c r="AA186" s="267">
        <f t="shared" si="124"/>
        <v>8.2000000000000073E-2</v>
      </c>
      <c r="AB186" s="267">
        <f t="shared" si="124"/>
        <v>8.3333333333333412E-2</v>
      </c>
      <c r="AC186" s="267">
        <f t="shared" si="124"/>
        <v>8.4666666666666751E-2</v>
      </c>
      <c r="AD186" s="267">
        <f t="shared" si="124"/>
        <v>8.600000000000009E-2</v>
      </c>
      <c r="AE186" s="267">
        <f t="shared" si="124"/>
        <v>8.7333333333333429E-2</v>
      </c>
      <c r="AF186" s="267">
        <f t="shared" si="124"/>
        <v>8.8666666666666769E-2</v>
      </c>
      <c r="AG186" s="246">
        <v>0.09</v>
      </c>
      <c r="AI186" s="266"/>
      <c r="AJ186" t="s">
        <v>1470</v>
      </c>
    </row>
    <row r="187" spans="1:36" s="1" customFormat="1" outlineLevel="1">
      <c r="A187" t="s">
        <v>666</v>
      </c>
      <c r="B187" s="252"/>
      <c r="C187" s="246">
        <v>0.27</v>
      </c>
      <c r="D187" s="267">
        <f t="shared" si="123"/>
        <v>0.26600000000000001</v>
      </c>
      <c r="E187" s="267">
        <f t="shared" si="123"/>
        <v>0.26200000000000001</v>
      </c>
      <c r="F187" s="267">
        <f t="shared" si="123"/>
        <v>0.25800000000000001</v>
      </c>
      <c r="G187" s="267">
        <f t="shared" si="123"/>
        <v>0.254</v>
      </c>
      <c r="H187" s="267">
        <f t="shared" si="123"/>
        <v>0.25</v>
      </c>
      <c r="I187" s="267">
        <f t="shared" si="123"/>
        <v>0.246</v>
      </c>
      <c r="J187" s="267">
        <f t="shared" si="123"/>
        <v>0.24199999999999999</v>
      </c>
      <c r="K187" s="267">
        <f t="shared" si="123"/>
        <v>0.23799999999999999</v>
      </c>
      <c r="L187" s="267">
        <f t="shared" si="123"/>
        <v>0.23399999999999999</v>
      </c>
      <c r="M187" s="267">
        <f t="shared" si="123"/>
        <v>0.22999999999999998</v>
      </c>
      <c r="N187" s="267">
        <f t="shared" si="123"/>
        <v>0.22599999999999998</v>
      </c>
      <c r="O187" s="267">
        <f t="shared" si="123"/>
        <v>0.22199999999999998</v>
      </c>
      <c r="P187" s="267">
        <f t="shared" si="123"/>
        <v>0.21799999999999997</v>
      </c>
      <c r="Q187" s="267">
        <f t="shared" si="123"/>
        <v>0.21399999999999997</v>
      </c>
      <c r="R187" s="267">
        <f t="shared" si="123"/>
        <v>0.20999999999999996</v>
      </c>
      <c r="S187" s="267">
        <f t="shared" si="123"/>
        <v>0.20599999999999996</v>
      </c>
      <c r="T187" s="267">
        <f t="shared" si="124"/>
        <v>0.20199999999999996</v>
      </c>
      <c r="U187" s="267">
        <f t="shared" si="124"/>
        <v>0.19799999999999995</v>
      </c>
      <c r="V187" s="267">
        <f t="shared" si="124"/>
        <v>0.19399999999999995</v>
      </c>
      <c r="W187" s="267">
        <f t="shared" si="124"/>
        <v>0.18999999999999995</v>
      </c>
      <c r="X187" s="267">
        <f t="shared" si="124"/>
        <v>0.18599999999999994</v>
      </c>
      <c r="Y187" s="267">
        <f t="shared" si="124"/>
        <v>0.18199999999999994</v>
      </c>
      <c r="Z187" s="267">
        <f t="shared" si="124"/>
        <v>0.17799999999999994</v>
      </c>
      <c r="AA187" s="267">
        <f t="shared" si="124"/>
        <v>0.17399999999999993</v>
      </c>
      <c r="AB187" s="267">
        <f t="shared" si="124"/>
        <v>0.16999999999999993</v>
      </c>
      <c r="AC187" s="267">
        <f t="shared" si="124"/>
        <v>0.16599999999999993</v>
      </c>
      <c r="AD187" s="267">
        <f t="shared" si="124"/>
        <v>0.16199999999999992</v>
      </c>
      <c r="AE187" s="267">
        <f t="shared" si="124"/>
        <v>0.15799999999999992</v>
      </c>
      <c r="AF187" s="267">
        <f t="shared" si="124"/>
        <v>0.15399999999999991</v>
      </c>
      <c r="AG187" s="246">
        <v>0.15</v>
      </c>
      <c r="AI187" s="266"/>
      <c r="AJ187" t="s">
        <v>1470</v>
      </c>
    </row>
    <row r="188" spans="1:36" s="61" customFormat="1" outlineLevel="1">
      <c r="A188" s="294" t="s">
        <v>657</v>
      </c>
      <c r="B188" s="258" t="s">
        <v>126</v>
      </c>
      <c r="C188" s="255">
        <f>1-SUM(C189:C193)</f>
        <v>0.97</v>
      </c>
      <c r="D188" s="287">
        <f t="shared" ref="D188:S189" si="125">-($C188-$AG188)/30+C188</f>
        <v>0.97033333333333327</v>
      </c>
      <c r="E188" s="287">
        <f t="shared" si="125"/>
        <v>0.97066666666666657</v>
      </c>
      <c r="F188" s="287">
        <f t="shared" si="125"/>
        <v>0.97099999999999986</v>
      </c>
      <c r="G188" s="287">
        <f t="shared" si="125"/>
        <v>0.97133333333333316</v>
      </c>
      <c r="H188" s="287">
        <f t="shared" si="125"/>
        <v>0.97166666666666646</v>
      </c>
      <c r="I188" s="287">
        <f t="shared" si="125"/>
        <v>0.97199999999999975</v>
      </c>
      <c r="J188" s="287">
        <f t="shared" si="125"/>
        <v>0.97233333333333305</v>
      </c>
      <c r="K188" s="287">
        <f t="shared" si="125"/>
        <v>0.97266666666666635</v>
      </c>
      <c r="L188" s="287">
        <f t="shared" si="125"/>
        <v>0.97299999999999964</v>
      </c>
      <c r="M188" s="287">
        <f t="shared" si="125"/>
        <v>0.97333333333333294</v>
      </c>
      <c r="N188" s="287">
        <f t="shared" si="125"/>
        <v>0.97366666666666624</v>
      </c>
      <c r="O188" s="287">
        <f t="shared" si="125"/>
        <v>0.97399999999999953</v>
      </c>
      <c r="P188" s="287">
        <f t="shared" si="125"/>
        <v>0.97433333333333283</v>
      </c>
      <c r="Q188" s="287">
        <f t="shared" si="125"/>
        <v>0.97466666666666613</v>
      </c>
      <c r="R188" s="287">
        <f t="shared" si="125"/>
        <v>0.97499999999999942</v>
      </c>
      <c r="S188" s="287">
        <f t="shared" si="125"/>
        <v>0.97533333333333272</v>
      </c>
      <c r="T188" s="287">
        <f t="shared" si="124"/>
        <v>0.97566666666666602</v>
      </c>
      <c r="U188" s="287">
        <f t="shared" si="124"/>
        <v>0.97599999999999931</v>
      </c>
      <c r="V188" s="287">
        <f t="shared" si="124"/>
        <v>0.97633333333333261</v>
      </c>
      <c r="W188" s="287">
        <f t="shared" si="124"/>
        <v>0.97666666666666591</v>
      </c>
      <c r="X188" s="287">
        <f t="shared" si="124"/>
        <v>0.9769999999999992</v>
      </c>
      <c r="Y188" s="287">
        <f t="shared" si="124"/>
        <v>0.9773333333333325</v>
      </c>
      <c r="Z188" s="287">
        <f t="shared" si="124"/>
        <v>0.9776666666666658</v>
      </c>
      <c r="AA188" s="287">
        <f t="shared" si="124"/>
        <v>0.97799999999999909</v>
      </c>
      <c r="AB188" s="287">
        <f t="shared" si="124"/>
        <v>0.97833333333333239</v>
      </c>
      <c r="AC188" s="287">
        <f t="shared" si="124"/>
        <v>0.97866666666666569</v>
      </c>
      <c r="AD188" s="287">
        <f t="shared" si="124"/>
        <v>0.97899999999999898</v>
      </c>
      <c r="AE188" s="287">
        <f t="shared" si="124"/>
        <v>0.97933333333333228</v>
      </c>
      <c r="AF188" s="287">
        <f t="shared" si="124"/>
        <v>0.97966666666666558</v>
      </c>
      <c r="AG188" s="255">
        <f>1-SUM(AG189:AG193)</f>
        <v>0.98</v>
      </c>
      <c r="AH188"/>
      <c r="AI188" s="188"/>
      <c r="AJ188" t="s">
        <v>1470</v>
      </c>
    </row>
    <row r="189" spans="1:36" outlineLevel="1">
      <c r="A189" s="295" t="s">
        <v>658</v>
      </c>
      <c r="B189" s="252" t="s">
        <v>126</v>
      </c>
      <c r="C189" s="266">
        <v>0.01</v>
      </c>
      <c r="D189" s="267">
        <f t="shared" si="125"/>
        <v>0.01</v>
      </c>
      <c r="E189" s="267">
        <f t="shared" si="125"/>
        <v>0.01</v>
      </c>
      <c r="F189" s="267">
        <f t="shared" si="125"/>
        <v>0.01</v>
      </c>
      <c r="G189" s="267">
        <f t="shared" si="125"/>
        <v>0.01</v>
      </c>
      <c r="H189" s="267">
        <f t="shared" si="125"/>
        <v>0.01</v>
      </c>
      <c r="I189" s="267">
        <f t="shared" si="125"/>
        <v>0.01</v>
      </c>
      <c r="J189" s="267">
        <f t="shared" si="125"/>
        <v>0.01</v>
      </c>
      <c r="K189" s="267">
        <f t="shared" si="125"/>
        <v>0.01</v>
      </c>
      <c r="L189" s="267">
        <f t="shared" si="125"/>
        <v>0.01</v>
      </c>
      <c r="M189" s="267">
        <f t="shared" si="125"/>
        <v>0.01</v>
      </c>
      <c r="N189" s="267">
        <f t="shared" si="125"/>
        <v>0.01</v>
      </c>
      <c r="O189" s="267">
        <f t="shared" si="125"/>
        <v>0.01</v>
      </c>
      <c r="P189" s="267">
        <f t="shared" si="125"/>
        <v>0.01</v>
      </c>
      <c r="Q189" s="267">
        <f t="shared" si="125"/>
        <v>0.01</v>
      </c>
      <c r="R189" s="267">
        <f t="shared" si="125"/>
        <v>0.01</v>
      </c>
      <c r="S189" s="267">
        <f t="shared" si="125"/>
        <v>0.01</v>
      </c>
      <c r="T189" s="267">
        <f t="shared" si="124"/>
        <v>0.01</v>
      </c>
      <c r="U189" s="267">
        <f t="shared" si="124"/>
        <v>0.01</v>
      </c>
      <c r="V189" s="267">
        <f t="shared" si="124"/>
        <v>0.01</v>
      </c>
      <c r="W189" s="267">
        <f t="shared" si="124"/>
        <v>0.01</v>
      </c>
      <c r="X189" s="267">
        <f t="shared" si="124"/>
        <v>0.01</v>
      </c>
      <c r="Y189" s="267">
        <f t="shared" si="124"/>
        <v>0.01</v>
      </c>
      <c r="Z189" s="267">
        <f t="shared" si="124"/>
        <v>0.01</v>
      </c>
      <c r="AA189" s="267">
        <f t="shared" si="124"/>
        <v>0.01</v>
      </c>
      <c r="AB189" s="267">
        <f t="shared" si="124"/>
        <v>0.01</v>
      </c>
      <c r="AC189" s="267">
        <f t="shared" si="124"/>
        <v>0.01</v>
      </c>
      <c r="AD189" s="267">
        <f t="shared" si="124"/>
        <v>0.01</v>
      </c>
      <c r="AE189" s="267">
        <f t="shared" si="124"/>
        <v>0.01</v>
      </c>
      <c r="AF189" s="267">
        <f t="shared" si="124"/>
        <v>0.01</v>
      </c>
      <c r="AG189" s="266">
        <v>0.01</v>
      </c>
      <c r="AI189" s="188"/>
      <c r="AJ189" s="271" t="s">
        <v>1469</v>
      </c>
    </row>
    <row r="190" spans="1:36" outlineLevel="1">
      <c r="A190" s="295" t="s">
        <v>659</v>
      </c>
      <c r="B190" s="252" t="s">
        <v>126</v>
      </c>
      <c r="C190" s="562">
        <v>0</v>
      </c>
      <c r="D190" s="267">
        <f t="shared" si="123"/>
        <v>0</v>
      </c>
      <c r="E190" s="267">
        <f t="shared" si="123"/>
        <v>0</v>
      </c>
      <c r="F190" s="267">
        <f t="shared" si="123"/>
        <v>0</v>
      </c>
      <c r="G190" s="267">
        <f t="shared" si="123"/>
        <v>0</v>
      </c>
      <c r="H190" s="267">
        <f t="shared" si="123"/>
        <v>0</v>
      </c>
      <c r="I190" s="267">
        <f t="shared" si="123"/>
        <v>0</v>
      </c>
      <c r="J190" s="267">
        <f t="shared" si="123"/>
        <v>0</v>
      </c>
      <c r="K190" s="267">
        <f t="shared" si="123"/>
        <v>0</v>
      </c>
      <c r="L190" s="267">
        <f t="shared" si="123"/>
        <v>0</v>
      </c>
      <c r="M190" s="267">
        <f t="shared" si="123"/>
        <v>0</v>
      </c>
      <c r="N190" s="267">
        <f t="shared" si="123"/>
        <v>0</v>
      </c>
      <c r="O190" s="267">
        <f t="shared" si="123"/>
        <v>0</v>
      </c>
      <c r="P190" s="267">
        <f t="shared" si="123"/>
        <v>0</v>
      </c>
      <c r="Q190" s="267">
        <f t="shared" si="123"/>
        <v>0</v>
      </c>
      <c r="R190" s="267">
        <f t="shared" si="123"/>
        <v>0</v>
      </c>
      <c r="S190" s="267">
        <f t="shared" si="123"/>
        <v>0</v>
      </c>
      <c r="T190" s="267">
        <f t="shared" si="124"/>
        <v>0</v>
      </c>
      <c r="U190" s="267">
        <f t="shared" si="124"/>
        <v>0</v>
      </c>
      <c r="V190" s="267">
        <f t="shared" si="124"/>
        <v>0</v>
      </c>
      <c r="W190" s="267">
        <f t="shared" si="124"/>
        <v>0</v>
      </c>
      <c r="X190" s="267">
        <f t="shared" si="124"/>
        <v>0</v>
      </c>
      <c r="Y190" s="267">
        <f t="shared" si="124"/>
        <v>0</v>
      </c>
      <c r="Z190" s="267">
        <f t="shared" si="124"/>
        <v>0</v>
      </c>
      <c r="AA190" s="267">
        <f t="shared" si="124"/>
        <v>0</v>
      </c>
      <c r="AB190" s="267">
        <f t="shared" si="124"/>
        <v>0</v>
      </c>
      <c r="AC190" s="267">
        <f t="shared" si="124"/>
        <v>0</v>
      </c>
      <c r="AD190" s="267">
        <f t="shared" si="124"/>
        <v>0</v>
      </c>
      <c r="AE190" s="267">
        <f t="shared" si="124"/>
        <v>0</v>
      </c>
      <c r="AF190" s="267">
        <f t="shared" si="124"/>
        <v>0</v>
      </c>
      <c r="AG190" s="562">
        <v>0</v>
      </c>
      <c r="AI190" s="246"/>
      <c r="AJ190" t="s">
        <v>1470</v>
      </c>
    </row>
    <row r="191" spans="1:36" outlineLevel="1">
      <c r="A191" s="295" t="s">
        <v>660</v>
      </c>
      <c r="B191" s="252" t="s">
        <v>126</v>
      </c>
      <c r="C191" s="562">
        <v>0</v>
      </c>
      <c r="D191" s="267">
        <f t="shared" si="123"/>
        <v>0</v>
      </c>
      <c r="E191" s="267">
        <f t="shared" si="123"/>
        <v>0</v>
      </c>
      <c r="F191" s="267">
        <f t="shared" si="123"/>
        <v>0</v>
      </c>
      <c r="G191" s="267">
        <f t="shared" si="123"/>
        <v>0</v>
      </c>
      <c r="H191" s="267">
        <f t="shared" si="123"/>
        <v>0</v>
      </c>
      <c r="I191" s="267">
        <f t="shared" si="123"/>
        <v>0</v>
      </c>
      <c r="J191" s="267">
        <f t="shared" si="123"/>
        <v>0</v>
      </c>
      <c r="K191" s="267">
        <f t="shared" si="123"/>
        <v>0</v>
      </c>
      <c r="L191" s="267">
        <f t="shared" si="123"/>
        <v>0</v>
      </c>
      <c r="M191" s="267">
        <f t="shared" si="123"/>
        <v>0</v>
      </c>
      <c r="N191" s="267">
        <f t="shared" si="123"/>
        <v>0</v>
      </c>
      <c r="O191" s="267">
        <f t="shared" si="123"/>
        <v>0</v>
      </c>
      <c r="P191" s="267">
        <f t="shared" si="123"/>
        <v>0</v>
      </c>
      <c r="Q191" s="267">
        <f t="shared" si="123"/>
        <v>0</v>
      </c>
      <c r="R191" s="267">
        <f t="shared" si="123"/>
        <v>0</v>
      </c>
      <c r="S191" s="267">
        <f t="shared" si="123"/>
        <v>0</v>
      </c>
      <c r="T191" s="267">
        <f t="shared" si="124"/>
        <v>0</v>
      </c>
      <c r="U191" s="267">
        <f t="shared" si="124"/>
        <v>0</v>
      </c>
      <c r="V191" s="267">
        <f t="shared" si="124"/>
        <v>0</v>
      </c>
      <c r="W191" s="267">
        <f t="shared" si="124"/>
        <v>0</v>
      </c>
      <c r="X191" s="267">
        <f t="shared" si="124"/>
        <v>0</v>
      </c>
      <c r="Y191" s="267">
        <f t="shared" si="124"/>
        <v>0</v>
      </c>
      <c r="Z191" s="267">
        <f t="shared" si="124"/>
        <v>0</v>
      </c>
      <c r="AA191" s="267">
        <f t="shared" si="124"/>
        <v>0</v>
      </c>
      <c r="AB191" s="267">
        <f t="shared" si="124"/>
        <v>0</v>
      </c>
      <c r="AC191" s="267">
        <f t="shared" si="124"/>
        <v>0</v>
      </c>
      <c r="AD191" s="267">
        <f t="shared" si="124"/>
        <v>0</v>
      </c>
      <c r="AE191" s="267">
        <f t="shared" si="124"/>
        <v>0</v>
      </c>
      <c r="AF191" s="267">
        <f t="shared" si="124"/>
        <v>0</v>
      </c>
      <c r="AG191" s="562">
        <v>0</v>
      </c>
      <c r="AI191" s="246"/>
      <c r="AJ191" t="s">
        <v>1470</v>
      </c>
    </row>
    <row r="192" spans="1:36" outlineLevel="1">
      <c r="A192" s="295" t="s">
        <v>661</v>
      </c>
      <c r="B192" s="252" t="s">
        <v>126</v>
      </c>
      <c r="C192" s="562">
        <v>1.4999999999999999E-2</v>
      </c>
      <c r="D192" s="267">
        <f t="shared" si="123"/>
        <v>1.4733333333333333E-2</v>
      </c>
      <c r="E192" s="267">
        <f t="shared" si="123"/>
        <v>1.4466666666666666E-2</v>
      </c>
      <c r="F192" s="267">
        <f t="shared" si="123"/>
        <v>1.4199999999999999E-2</v>
      </c>
      <c r="G192" s="267">
        <f t="shared" si="123"/>
        <v>1.3933333333333332E-2</v>
      </c>
      <c r="H192" s="267">
        <f t="shared" si="123"/>
        <v>1.3666666666666666E-2</v>
      </c>
      <c r="I192" s="267">
        <f t="shared" si="123"/>
        <v>1.3399999999999999E-2</v>
      </c>
      <c r="J192" s="267">
        <f t="shared" si="123"/>
        <v>1.3133333333333332E-2</v>
      </c>
      <c r="K192" s="267">
        <f t="shared" si="123"/>
        <v>1.2866666666666665E-2</v>
      </c>
      <c r="L192" s="267">
        <f t="shared" si="123"/>
        <v>1.2599999999999998E-2</v>
      </c>
      <c r="M192" s="267">
        <f t="shared" si="123"/>
        <v>1.2333333333333332E-2</v>
      </c>
      <c r="N192" s="267">
        <f t="shared" si="123"/>
        <v>1.2066666666666665E-2</v>
      </c>
      <c r="O192" s="267">
        <f t="shared" si="123"/>
        <v>1.1799999999999998E-2</v>
      </c>
      <c r="P192" s="267">
        <f t="shared" si="123"/>
        <v>1.1533333333333331E-2</v>
      </c>
      <c r="Q192" s="267">
        <f t="shared" si="123"/>
        <v>1.1266666666666664E-2</v>
      </c>
      <c r="R192" s="267">
        <f t="shared" si="123"/>
        <v>1.0999999999999998E-2</v>
      </c>
      <c r="S192" s="267">
        <f t="shared" ref="S192:AF192" si="126">-($C192-$AG192)/30+R192</f>
        <v>1.0733333333333331E-2</v>
      </c>
      <c r="T192" s="267">
        <f t="shared" si="126"/>
        <v>1.0466666666666664E-2</v>
      </c>
      <c r="U192" s="267">
        <f t="shared" si="126"/>
        <v>1.0199999999999997E-2</v>
      </c>
      <c r="V192" s="267">
        <f t="shared" si="126"/>
        <v>9.9333333333333305E-3</v>
      </c>
      <c r="W192" s="267">
        <f t="shared" si="126"/>
        <v>9.6666666666666637E-3</v>
      </c>
      <c r="X192" s="267">
        <f t="shared" si="126"/>
        <v>9.3999999999999969E-3</v>
      </c>
      <c r="Y192" s="267">
        <f t="shared" si="126"/>
        <v>9.1333333333333301E-3</v>
      </c>
      <c r="Z192" s="267">
        <f t="shared" si="126"/>
        <v>8.8666666666666633E-3</v>
      </c>
      <c r="AA192" s="267">
        <f t="shared" si="126"/>
        <v>8.5999999999999965E-3</v>
      </c>
      <c r="AB192" s="267">
        <f t="shared" si="126"/>
        <v>8.3333333333333297E-3</v>
      </c>
      <c r="AC192" s="267">
        <f t="shared" si="126"/>
        <v>8.066666666666663E-3</v>
      </c>
      <c r="AD192" s="267">
        <f t="shared" si="126"/>
        <v>7.7999999999999962E-3</v>
      </c>
      <c r="AE192" s="267">
        <f t="shared" si="126"/>
        <v>7.5333333333333294E-3</v>
      </c>
      <c r="AF192" s="267">
        <f t="shared" si="126"/>
        <v>7.2666666666666626E-3</v>
      </c>
      <c r="AG192" s="562">
        <v>7.0000000000000001E-3</v>
      </c>
      <c r="AI192" s="246"/>
      <c r="AJ192" t="s">
        <v>1470</v>
      </c>
    </row>
    <row r="193" spans="1:36" s="62" customFormat="1" outlineLevel="1">
      <c r="A193" s="296" t="s">
        <v>662</v>
      </c>
      <c r="B193" s="262" t="s">
        <v>126</v>
      </c>
      <c r="C193" s="564">
        <v>5.0000000000000001E-3</v>
      </c>
      <c r="D193" s="289">
        <f t="shared" ref="D193:AF193" si="127">-($C193-$AG193)/30+C193</f>
        <v>4.9333333333333338E-3</v>
      </c>
      <c r="E193" s="289">
        <f t="shared" si="127"/>
        <v>4.8666666666666676E-3</v>
      </c>
      <c r="F193" s="289">
        <f t="shared" si="127"/>
        <v>4.8000000000000013E-3</v>
      </c>
      <c r="G193" s="289">
        <f t="shared" si="127"/>
        <v>4.7333333333333351E-3</v>
      </c>
      <c r="H193" s="289">
        <f t="shared" si="127"/>
        <v>4.6666666666666688E-3</v>
      </c>
      <c r="I193" s="289">
        <f t="shared" si="127"/>
        <v>4.6000000000000025E-3</v>
      </c>
      <c r="J193" s="289">
        <f t="shared" si="127"/>
        <v>4.5333333333333363E-3</v>
      </c>
      <c r="K193" s="289">
        <f t="shared" si="127"/>
        <v>4.46666666666667E-3</v>
      </c>
      <c r="L193" s="289">
        <f t="shared" si="127"/>
        <v>4.4000000000000037E-3</v>
      </c>
      <c r="M193" s="289">
        <f t="shared" si="127"/>
        <v>4.3333333333333375E-3</v>
      </c>
      <c r="N193" s="289">
        <f t="shared" si="127"/>
        <v>4.2666666666666712E-3</v>
      </c>
      <c r="O193" s="289">
        <f t="shared" si="127"/>
        <v>4.2000000000000049E-3</v>
      </c>
      <c r="P193" s="289">
        <f t="shared" si="127"/>
        <v>4.1333333333333387E-3</v>
      </c>
      <c r="Q193" s="289">
        <f t="shared" si="127"/>
        <v>4.0666666666666724E-3</v>
      </c>
      <c r="R193" s="289">
        <f t="shared" si="127"/>
        <v>4.0000000000000062E-3</v>
      </c>
      <c r="S193" s="289">
        <f t="shared" si="127"/>
        <v>3.9333333333333399E-3</v>
      </c>
      <c r="T193" s="289">
        <f t="shared" si="127"/>
        <v>3.8666666666666732E-3</v>
      </c>
      <c r="U193" s="289">
        <f t="shared" si="127"/>
        <v>3.8000000000000065E-3</v>
      </c>
      <c r="V193" s="289">
        <f t="shared" si="127"/>
        <v>3.7333333333333398E-3</v>
      </c>
      <c r="W193" s="289">
        <f t="shared" si="127"/>
        <v>3.6666666666666731E-3</v>
      </c>
      <c r="X193" s="289">
        <f t="shared" si="127"/>
        <v>3.6000000000000064E-3</v>
      </c>
      <c r="Y193" s="289">
        <f t="shared" si="127"/>
        <v>3.5333333333333397E-3</v>
      </c>
      <c r="Z193" s="289">
        <f t="shared" si="127"/>
        <v>3.466666666666673E-3</v>
      </c>
      <c r="AA193" s="289">
        <f t="shared" si="127"/>
        <v>3.4000000000000063E-3</v>
      </c>
      <c r="AB193" s="289">
        <f t="shared" si="127"/>
        <v>3.3333333333333396E-3</v>
      </c>
      <c r="AC193" s="289">
        <f t="shared" si="127"/>
        <v>3.2666666666666729E-3</v>
      </c>
      <c r="AD193" s="289">
        <f t="shared" si="127"/>
        <v>3.2000000000000062E-3</v>
      </c>
      <c r="AE193" s="289">
        <f t="shared" si="127"/>
        <v>3.1333333333333395E-3</v>
      </c>
      <c r="AF193" s="289">
        <f t="shared" si="127"/>
        <v>3.0666666666666728E-3</v>
      </c>
      <c r="AG193" s="564">
        <v>3.0000000000000001E-3</v>
      </c>
      <c r="AI193" s="264"/>
      <c r="AJ193" t="s">
        <v>1470</v>
      </c>
    </row>
    <row r="194" spans="1:36" s="54" customFormat="1" outlineLevel="1">
      <c r="A194" s="54" t="s">
        <v>626</v>
      </c>
      <c r="B194" s="253"/>
      <c r="C194" s="254">
        <f t="shared" ref="C194:AG194" si="128">C29</f>
        <v>469451.33690471697</v>
      </c>
      <c r="D194" s="254">
        <f t="shared" si="128"/>
        <v>468414.98795761366</v>
      </c>
      <c r="E194" s="254">
        <f t="shared" si="128"/>
        <v>467380.92682834307</v>
      </c>
      <c r="F194" s="254">
        <f t="shared" si="128"/>
        <v>466349.14846637612</v>
      </c>
      <c r="G194" s="254">
        <f t="shared" si="128"/>
        <v>465319.64783233334</v>
      </c>
      <c r="H194" s="254">
        <f t="shared" si="128"/>
        <v>464292.4198979598</v>
      </c>
      <c r="I194" s="254">
        <f t="shared" si="128"/>
        <v>463267.45964610099</v>
      </c>
      <c r="J194" s="254">
        <f t="shared" si="128"/>
        <v>462244.76207067817</v>
      </c>
      <c r="K194" s="254">
        <f t="shared" si="128"/>
        <v>461224.32217666367</v>
      </c>
      <c r="L194" s="254">
        <f t="shared" si="128"/>
        <v>460206.13498005713</v>
      </c>
      <c r="M194" s="254">
        <f t="shared" si="128"/>
        <v>459190.19550786028</v>
      </c>
      <c r="N194" s="254">
        <f t="shared" si="128"/>
        <v>458176.49879805348</v>
      </c>
      <c r="O194" s="254">
        <f t="shared" si="128"/>
        <v>457165.03989957087</v>
      </c>
      <c r="P194" s="254">
        <f t="shared" si="128"/>
        <v>456155.81387227646</v>
      </c>
      <c r="Q194" s="254">
        <f t="shared" si="128"/>
        <v>455148.81578694022</v>
      </c>
      <c r="R194" s="254">
        <f t="shared" si="128"/>
        <v>454144.04072521348</v>
      </c>
      <c r="S194" s="254">
        <f t="shared" si="128"/>
        <v>453141.48377960542</v>
      </c>
      <c r="T194" s="254">
        <f t="shared" si="128"/>
        <v>452141.14005345874</v>
      </c>
      <c r="U194" s="254">
        <f t="shared" si="128"/>
        <v>451143.00466092583</v>
      </c>
      <c r="V194" s="254">
        <f t="shared" si="128"/>
        <v>450147.07272694499</v>
      </c>
      <c r="W194" s="254">
        <f t="shared" si="128"/>
        <v>449153.33938721672</v>
      </c>
      <c r="X194" s="254">
        <f t="shared" si="128"/>
        <v>448161.79978817981</v>
      </c>
      <c r="Y194" s="254">
        <f t="shared" si="128"/>
        <v>447172.44908698736</v>
      </c>
      <c r="Z194" s="254">
        <f t="shared" si="128"/>
        <v>446185.28245148377</v>
      </c>
      <c r="AA194" s="254">
        <f t="shared" si="128"/>
        <v>445200.29506018048</v>
      </c>
      <c r="AB194" s="254">
        <f t="shared" si="128"/>
        <v>444217.48210223304</v>
      </c>
      <c r="AC194" s="254">
        <f t="shared" si="128"/>
        <v>443236.83877741708</v>
      </c>
      <c r="AD194" s="254">
        <f t="shared" si="128"/>
        <v>442258.36029610515</v>
      </c>
      <c r="AE194" s="254">
        <f t="shared" si="128"/>
        <v>441282.04187924333</v>
      </c>
      <c r="AF194" s="254">
        <f t="shared" si="128"/>
        <v>440307.87875832757</v>
      </c>
      <c r="AG194" s="254">
        <f t="shared" si="128"/>
        <v>439335.866175381</v>
      </c>
      <c r="AI194" s="255"/>
      <c r="AJ194" s="256"/>
    </row>
    <row r="195" spans="1:36" s="54" customFormat="1" outlineLevel="1">
      <c r="A195" s="257" t="s">
        <v>178</v>
      </c>
      <c r="B195" s="258" t="s">
        <v>127</v>
      </c>
      <c r="C195" s="259">
        <v>0</v>
      </c>
      <c r="D195" s="259">
        <v>0</v>
      </c>
      <c r="E195" s="259">
        <v>0</v>
      </c>
      <c r="F195" s="259">
        <v>0</v>
      </c>
      <c r="G195" s="259">
        <v>0</v>
      </c>
      <c r="H195" s="259">
        <v>0</v>
      </c>
      <c r="I195" s="259">
        <v>0</v>
      </c>
      <c r="J195" s="259">
        <v>0</v>
      </c>
      <c r="K195" s="259">
        <v>0</v>
      </c>
      <c r="L195" s="259">
        <v>0</v>
      </c>
      <c r="M195" s="259">
        <v>0</v>
      </c>
      <c r="N195" s="259">
        <v>0</v>
      </c>
      <c r="O195" s="259">
        <v>0</v>
      </c>
      <c r="P195" s="259">
        <v>0</v>
      </c>
      <c r="Q195" s="259">
        <v>0</v>
      </c>
      <c r="R195" s="259">
        <v>0</v>
      </c>
      <c r="S195" s="259">
        <v>0</v>
      </c>
      <c r="T195" s="259">
        <v>0</v>
      </c>
      <c r="U195" s="259">
        <v>0</v>
      </c>
      <c r="V195" s="259">
        <v>0</v>
      </c>
      <c r="W195" s="259">
        <v>0</v>
      </c>
      <c r="X195" s="259">
        <v>0</v>
      </c>
      <c r="Y195" s="259">
        <v>0</v>
      </c>
      <c r="Z195" s="259">
        <v>0</v>
      </c>
      <c r="AA195" s="259">
        <v>0</v>
      </c>
      <c r="AB195" s="259">
        <v>0</v>
      </c>
      <c r="AC195" s="259">
        <v>0</v>
      </c>
      <c r="AD195" s="259">
        <v>0</v>
      </c>
      <c r="AE195" s="259">
        <v>0</v>
      </c>
      <c r="AF195" s="259">
        <v>0</v>
      </c>
      <c r="AG195" s="259">
        <v>0</v>
      </c>
      <c r="AI195" s="255"/>
      <c r="AJ195" s="256"/>
    </row>
    <row r="196" spans="1:36" outlineLevel="1">
      <c r="A196" s="260" t="s">
        <v>619</v>
      </c>
      <c r="B196" s="252" t="s">
        <v>127</v>
      </c>
      <c r="C196" s="218">
        <f t="shared" ref="C196:AG196" si="129">C163</f>
        <v>20559.229018319769</v>
      </c>
      <c r="D196" s="218">
        <f t="shared" si="129"/>
        <v>20902.568142925709</v>
      </c>
      <c r="E196" s="218">
        <f t="shared" si="129"/>
        <v>21251.641030912568</v>
      </c>
      <c r="F196" s="218">
        <f t="shared" si="129"/>
        <v>21606.543436128806</v>
      </c>
      <c r="G196" s="218">
        <f t="shared" si="129"/>
        <v>21967.372711512155</v>
      </c>
      <c r="H196" s="218">
        <f t="shared" si="129"/>
        <v>22334.227835794405</v>
      </c>
      <c r="I196" s="218">
        <f t="shared" si="129"/>
        <v>22707.209440652172</v>
      </c>
      <c r="J196" s="218">
        <f t="shared" si="129"/>
        <v>23086.419838311063</v>
      </c>
      <c r="K196" s="218">
        <f t="shared" si="129"/>
        <v>23471.963049610858</v>
      </c>
      <c r="L196" s="218">
        <f t="shared" si="129"/>
        <v>23863.944832539357</v>
      </c>
      <c r="M196" s="218">
        <f t="shared" si="129"/>
        <v>24262.472711242761</v>
      </c>
      <c r="N196" s="218">
        <f t="shared" si="129"/>
        <v>24667.656005520512</v>
      </c>
      <c r="O196" s="218">
        <f t="shared" si="129"/>
        <v>25079.605860812702</v>
      </c>
      <c r="P196" s="218">
        <f t="shared" si="129"/>
        <v>25498.435278688274</v>
      </c>
      <c r="Q196" s="218">
        <f t="shared" si="129"/>
        <v>25924.259147842367</v>
      </c>
      <c r="R196" s="218">
        <f t="shared" si="129"/>
        <v>26357.194275611335</v>
      </c>
      <c r="S196" s="218">
        <f t="shared" si="129"/>
        <v>26797.359420014043</v>
      </c>
      <c r="T196" s="218">
        <f t="shared" si="129"/>
        <v>27244.875322328277</v>
      </c>
      <c r="U196" s="218">
        <f t="shared" si="129"/>
        <v>27699.864740211156</v>
      </c>
      <c r="V196" s="218">
        <f t="shared" si="129"/>
        <v>28162.452481372682</v>
      </c>
      <c r="W196" s="218">
        <f t="shared" si="129"/>
        <v>28632.765437811606</v>
      </c>
      <c r="X196" s="218">
        <f t="shared" si="129"/>
        <v>29110.932620623058</v>
      </c>
      <c r="Y196" s="218">
        <f t="shared" si="129"/>
        <v>29597.085195387463</v>
      </c>
      <c r="Z196" s="218">
        <f t="shared" si="129"/>
        <v>30091.356518150431</v>
      </c>
      <c r="AA196" s="218">
        <f t="shared" si="129"/>
        <v>30593.882172003541</v>
      </c>
      <c r="AB196" s="218">
        <f t="shared" si="129"/>
        <v>31104.800004276</v>
      </c>
      <c r="AC196" s="218">
        <f t="shared" si="129"/>
        <v>31624.250164347406</v>
      </c>
      <c r="AD196" s="218">
        <f t="shared" si="129"/>
        <v>32152.375142092005</v>
      </c>
      <c r="AE196" s="218">
        <f t="shared" si="129"/>
        <v>32689.319806964941</v>
      </c>
      <c r="AF196" s="218">
        <f t="shared" si="129"/>
        <v>33235.231447741251</v>
      </c>
      <c r="AG196" s="218">
        <f t="shared" si="129"/>
        <v>33790.259812918528</v>
      </c>
      <c r="AI196" s="246"/>
    </row>
    <row r="197" spans="1:36" s="62" customFormat="1" outlineLevel="1">
      <c r="A197" s="261" t="s">
        <v>628</v>
      </c>
      <c r="B197" s="262" t="s">
        <v>127</v>
      </c>
      <c r="C197" s="263">
        <f>C194-C195-C196</f>
        <v>448892.10788639722</v>
      </c>
      <c r="D197" s="263">
        <f t="shared" ref="D197:AG197" si="130">D194-D195-D196</f>
        <v>447512.41981468792</v>
      </c>
      <c r="E197" s="263">
        <f t="shared" si="130"/>
        <v>446129.28579743049</v>
      </c>
      <c r="F197" s="263">
        <f t="shared" si="130"/>
        <v>444742.6050302473</v>
      </c>
      <c r="G197" s="263">
        <f t="shared" si="130"/>
        <v>443352.2751208212</v>
      </c>
      <c r="H197" s="263">
        <f t="shared" si="130"/>
        <v>441958.19206216541</v>
      </c>
      <c r="I197" s="263">
        <f t="shared" si="130"/>
        <v>440560.25020544883</v>
      </c>
      <c r="J197" s="263">
        <f t="shared" si="130"/>
        <v>439158.34223236714</v>
      </c>
      <c r="K197" s="263">
        <f t="shared" si="130"/>
        <v>437752.35912705283</v>
      </c>
      <c r="L197" s="263">
        <f t="shared" si="130"/>
        <v>436342.19014751777</v>
      </c>
      <c r="M197" s="263">
        <f t="shared" si="130"/>
        <v>434927.72279661754</v>
      </c>
      <c r="N197" s="263">
        <f t="shared" si="130"/>
        <v>433508.84279253299</v>
      </c>
      <c r="O197" s="263">
        <f t="shared" si="130"/>
        <v>432085.43403875816</v>
      </c>
      <c r="P197" s="263">
        <f t="shared" si="130"/>
        <v>430657.37859358819</v>
      </c>
      <c r="Q197" s="263">
        <f t="shared" si="130"/>
        <v>429224.55663909786</v>
      </c>
      <c r="R197" s="263">
        <f t="shared" si="130"/>
        <v>427786.84644960216</v>
      </c>
      <c r="S197" s="263">
        <f t="shared" si="130"/>
        <v>426344.1243595914</v>
      </c>
      <c r="T197" s="263">
        <f t="shared" si="130"/>
        <v>424896.26473113045</v>
      </c>
      <c r="U197" s="263">
        <f t="shared" si="130"/>
        <v>423443.13992071466</v>
      </c>
      <c r="V197" s="263">
        <f t="shared" si="130"/>
        <v>421984.6202455723</v>
      </c>
      <c r="W197" s="263">
        <f t="shared" si="130"/>
        <v>420520.57394940511</v>
      </c>
      <c r="X197" s="263">
        <f t="shared" si="130"/>
        <v>419050.86716755677</v>
      </c>
      <c r="Y197" s="263">
        <f t="shared" si="130"/>
        <v>417575.36389159987</v>
      </c>
      <c r="Z197" s="263">
        <f t="shared" si="130"/>
        <v>416093.92593333335</v>
      </c>
      <c r="AA197" s="263">
        <f t="shared" si="130"/>
        <v>414606.41288817691</v>
      </c>
      <c r="AB197" s="263">
        <f t="shared" si="130"/>
        <v>413112.68209795706</v>
      </c>
      <c r="AC197" s="263">
        <f t="shared" si="130"/>
        <v>411612.58861306967</v>
      </c>
      <c r="AD197" s="263">
        <f t="shared" si="130"/>
        <v>410105.98515401315</v>
      </c>
      <c r="AE197" s="263">
        <f t="shared" si="130"/>
        <v>408592.72207227838</v>
      </c>
      <c r="AF197" s="263">
        <f t="shared" si="130"/>
        <v>407072.6473105863</v>
      </c>
      <c r="AG197" s="263">
        <f t="shared" si="130"/>
        <v>405545.60636246245</v>
      </c>
      <c r="AI197" s="264"/>
      <c r="AJ197" s="265"/>
    </row>
    <row r="198" spans="1:36" outlineLevel="1">
      <c r="A198" s="104" t="s">
        <v>621</v>
      </c>
      <c r="B198" s="252" t="s">
        <v>127</v>
      </c>
      <c r="C198" s="203">
        <f>C167*C$197</f>
        <v>435425.34464980528</v>
      </c>
      <c r="D198" s="203">
        <f t="shared" ref="D198:AG198" si="131">D167*D$197</f>
        <v>434236.21802685218</v>
      </c>
      <c r="E198" s="203">
        <f t="shared" si="131"/>
        <v>433042.82674737251</v>
      </c>
      <c r="F198" s="203">
        <f t="shared" si="131"/>
        <v>431845.06948437006</v>
      </c>
      <c r="G198" s="203">
        <f t="shared" si="131"/>
        <v>430642.84323402424</v>
      </c>
      <c r="H198" s="203">
        <f t="shared" si="131"/>
        <v>429436.04328707064</v>
      </c>
      <c r="I198" s="203">
        <f t="shared" si="131"/>
        <v>428224.56319969613</v>
      </c>
      <c r="J198" s="203">
        <f t="shared" si="131"/>
        <v>427008.29476393817</v>
      </c>
      <c r="K198" s="203">
        <f t="shared" si="131"/>
        <v>425787.12797757989</v>
      </c>
      <c r="L198" s="203">
        <f t="shared" si="131"/>
        <v>424560.95101353462</v>
      </c>
      <c r="M198" s="203">
        <f t="shared" si="131"/>
        <v>423329.65018870757</v>
      </c>
      <c r="N198" s="203">
        <f t="shared" si="131"/>
        <v>422093.10993232945</v>
      </c>
      <c r="O198" s="203">
        <f t="shared" si="131"/>
        <v>420851.21275375027</v>
      </c>
      <c r="P198" s="203">
        <f t="shared" si="131"/>
        <v>419603.83920968586</v>
      </c>
      <c r="Q198" s="203">
        <f t="shared" si="131"/>
        <v>418350.86787090712</v>
      </c>
      <c r="R198" s="203">
        <f t="shared" si="131"/>
        <v>417092.17528836185</v>
      </c>
      <c r="S198" s="203">
        <f t="shared" si="131"/>
        <v>415827.63595872122</v>
      </c>
      <c r="T198" s="203">
        <f t="shared" si="131"/>
        <v>414557.12228933931</v>
      </c>
      <c r="U198" s="203">
        <f t="shared" si="131"/>
        <v>413280.50456261722</v>
      </c>
      <c r="V198" s="203">
        <f t="shared" si="131"/>
        <v>411997.65089976013</v>
      </c>
      <c r="W198" s="203">
        <f t="shared" si="131"/>
        <v>410708.42722391867</v>
      </c>
      <c r="X198" s="203">
        <f t="shared" si="131"/>
        <v>409412.69722270261</v>
      </c>
      <c r="Y198" s="203">
        <f t="shared" si="131"/>
        <v>408110.3223100566</v>
      </c>
      <c r="Z198" s="203">
        <f t="shared" si="131"/>
        <v>406801.16158748855</v>
      </c>
      <c r="AA198" s="203">
        <f t="shared" si="131"/>
        <v>405485.07180463662</v>
      </c>
      <c r="AB198" s="203">
        <f t="shared" si="131"/>
        <v>404161.90731916763</v>
      </c>
      <c r="AC198" s="203">
        <f t="shared" si="131"/>
        <v>402831.52005599043</v>
      </c>
      <c r="AD198" s="203">
        <f t="shared" si="131"/>
        <v>401493.75946577848</v>
      </c>
      <c r="AE198" s="203">
        <f t="shared" si="131"/>
        <v>400148.47248278419</v>
      </c>
      <c r="AF198" s="203">
        <f t="shared" si="131"/>
        <v>398795.50348193728</v>
      </c>
      <c r="AG198" s="203">
        <f t="shared" si="131"/>
        <v>397434.69423521322</v>
      </c>
      <c r="AI198" s="188"/>
    </row>
    <row r="199" spans="1:36" outlineLevel="1">
      <c r="A199" s="104" t="s">
        <v>620</v>
      </c>
      <c r="B199" s="252" t="s">
        <v>127</v>
      </c>
      <c r="C199" s="203">
        <f t="shared" ref="C199:AG203" si="132">C168*C$197</f>
        <v>4488.9210788639721</v>
      </c>
      <c r="D199" s="203">
        <f t="shared" si="132"/>
        <v>4475.1241981468793</v>
      </c>
      <c r="E199" s="203">
        <f t="shared" si="132"/>
        <v>4461.2928579743048</v>
      </c>
      <c r="F199" s="203">
        <f t="shared" si="132"/>
        <v>4447.4260503024734</v>
      </c>
      <c r="G199" s="203">
        <f t="shared" si="132"/>
        <v>4433.522751208212</v>
      </c>
      <c r="H199" s="203">
        <f t="shared" si="132"/>
        <v>4419.5819206216538</v>
      </c>
      <c r="I199" s="203">
        <f t="shared" si="132"/>
        <v>4405.6025020544885</v>
      </c>
      <c r="J199" s="203">
        <f t="shared" si="132"/>
        <v>4391.5834223236716</v>
      </c>
      <c r="K199" s="203">
        <f t="shared" si="132"/>
        <v>4377.5235912705284</v>
      </c>
      <c r="L199" s="203">
        <f t="shared" si="132"/>
        <v>4363.4219014751779</v>
      </c>
      <c r="M199" s="203">
        <f t="shared" si="132"/>
        <v>4349.2772279661758</v>
      </c>
      <c r="N199" s="203">
        <f t="shared" si="132"/>
        <v>4335.0884279253296</v>
      </c>
      <c r="O199" s="203">
        <f t="shared" si="132"/>
        <v>4320.8543403875819</v>
      </c>
      <c r="P199" s="203">
        <f t="shared" si="132"/>
        <v>4306.5737859358824</v>
      </c>
      <c r="Q199" s="203">
        <f t="shared" si="132"/>
        <v>4292.2455663909786</v>
      </c>
      <c r="R199" s="203">
        <f t="shared" si="132"/>
        <v>4277.8684644960213</v>
      </c>
      <c r="S199" s="203">
        <f t="shared" si="132"/>
        <v>4263.4412435959139</v>
      </c>
      <c r="T199" s="203">
        <f t="shared" si="132"/>
        <v>4248.9626473113049</v>
      </c>
      <c r="U199" s="203">
        <f t="shared" si="132"/>
        <v>4234.4313992071466</v>
      </c>
      <c r="V199" s="203">
        <f t="shared" si="132"/>
        <v>4219.846202455723</v>
      </c>
      <c r="W199" s="203">
        <f t="shared" si="132"/>
        <v>4205.2057394940512</v>
      </c>
      <c r="X199" s="203">
        <f t="shared" si="132"/>
        <v>4190.5086716755677</v>
      </c>
      <c r="Y199" s="203">
        <f t="shared" si="132"/>
        <v>4175.7536389159986</v>
      </c>
      <c r="Z199" s="203">
        <f t="shared" si="132"/>
        <v>4160.9392593333332</v>
      </c>
      <c r="AA199" s="203">
        <f t="shared" si="132"/>
        <v>4146.0641288817696</v>
      </c>
      <c r="AB199" s="203">
        <f t="shared" si="132"/>
        <v>4131.1268209795708</v>
      </c>
      <c r="AC199" s="203">
        <f t="shared" si="132"/>
        <v>4116.1258861306969</v>
      </c>
      <c r="AD199" s="203">
        <f t="shared" si="132"/>
        <v>4101.0598515401316</v>
      </c>
      <c r="AE199" s="203">
        <f t="shared" si="132"/>
        <v>4085.9272207227841</v>
      </c>
      <c r="AF199" s="203">
        <f t="shared" si="132"/>
        <v>4070.7264731058631</v>
      </c>
      <c r="AG199" s="203">
        <f t="shared" si="132"/>
        <v>4055.4560636246247</v>
      </c>
      <c r="AI199" s="188"/>
    </row>
    <row r="200" spans="1:36" outlineLevel="1">
      <c r="A200" s="104" t="s">
        <v>622</v>
      </c>
      <c r="B200" s="252" t="s">
        <v>127</v>
      </c>
      <c r="C200" s="203">
        <f t="shared" si="132"/>
        <v>0</v>
      </c>
      <c r="D200" s="203">
        <f t="shared" si="132"/>
        <v>0</v>
      </c>
      <c r="E200" s="203">
        <f t="shared" si="132"/>
        <v>0</v>
      </c>
      <c r="F200" s="203">
        <f t="shared" si="132"/>
        <v>0</v>
      </c>
      <c r="G200" s="203">
        <f t="shared" si="132"/>
        <v>0</v>
      </c>
      <c r="H200" s="203">
        <f t="shared" si="132"/>
        <v>0</v>
      </c>
      <c r="I200" s="203">
        <f t="shared" si="132"/>
        <v>0</v>
      </c>
      <c r="J200" s="203">
        <f t="shared" si="132"/>
        <v>0</v>
      </c>
      <c r="K200" s="203">
        <f t="shared" si="132"/>
        <v>0</v>
      </c>
      <c r="L200" s="203">
        <f t="shared" si="132"/>
        <v>0</v>
      </c>
      <c r="M200" s="203">
        <f t="shared" si="132"/>
        <v>0</v>
      </c>
      <c r="N200" s="203">
        <f t="shared" si="132"/>
        <v>0</v>
      </c>
      <c r="O200" s="203">
        <f t="shared" si="132"/>
        <v>0</v>
      </c>
      <c r="P200" s="203">
        <f t="shared" si="132"/>
        <v>0</v>
      </c>
      <c r="Q200" s="203">
        <f t="shared" si="132"/>
        <v>0</v>
      </c>
      <c r="R200" s="203">
        <f t="shared" si="132"/>
        <v>0</v>
      </c>
      <c r="S200" s="203">
        <f t="shared" si="132"/>
        <v>0</v>
      </c>
      <c r="T200" s="203">
        <f t="shared" si="132"/>
        <v>0</v>
      </c>
      <c r="U200" s="203">
        <f t="shared" si="132"/>
        <v>0</v>
      </c>
      <c r="V200" s="203">
        <f t="shared" si="132"/>
        <v>0</v>
      </c>
      <c r="W200" s="203">
        <f t="shared" si="132"/>
        <v>0</v>
      </c>
      <c r="X200" s="203">
        <f t="shared" si="132"/>
        <v>0</v>
      </c>
      <c r="Y200" s="203">
        <f t="shared" si="132"/>
        <v>0</v>
      </c>
      <c r="Z200" s="203">
        <f t="shared" si="132"/>
        <v>0</v>
      </c>
      <c r="AA200" s="203">
        <f t="shared" si="132"/>
        <v>0</v>
      </c>
      <c r="AB200" s="203">
        <f t="shared" si="132"/>
        <v>0</v>
      </c>
      <c r="AC200" s="203">
        <f t="shared" si="132"/>
        <v>0</v>
      </c>
      <c r="AD200" s="203">
        <f t="shared" si="132"/>
        <v>0</v>
      </c>
      <c r="AE200" s="203">
        <f t="shared" si="132"/>
        <v>0</v>
      </c>
      <c r="AF200" s="203">
        <f t="shared" si="132"/>
        <v>0</v>
      </c>
      <c r="AG200" s="203">
        <f t="shared" si="132"/>
        <v>0</v>
      </c>
      <c r="AI200" s="188"/>
    </row>
    <row r="201" spans="1:36" outlineLevel="1">
      <c r="A201" s="104" t="s">
        <v>623</v>
      </c>
      <c r="B201" s="252" t="s">
        <v>127</v>
      </c>
      <c r="C201" s="203">
        <f t="shared" si="132"/>
        <v>0</v>
      </c>
      <c r="D201" s="203">
        <f t="shared" si="132"/>
        <v>0</v>
      </c>
      <c r="E201" s="203">
        <f t="shared" si="132"/>
        <v>0</v>
      </c>
      <c r="F201" s="203">
        <f t="shared" si="132"/>
        <v>0</v>
      </c>
      <c r="G201" s="203">
        <f t="shared" si="132"/>
        <v>0</v>
      </c>
      <c r="H201" s="203">
        <f t="shared" si="132"/>
        <v>0</v>
      </c>
      <c r="I201" s="203">
        <f t="shared" si="132"/>
        <v>0</v>
      </c>
      <c r="J201" s="203">
        <f t="shared" si="132"/>
        <v>0</v>
      </c>
      <c r="K201" s="203">
        <f t="shared" si="132"/>
        <v>0</v>
      </c>
      <c r="L201" s="203">
        <f t="shared" si="132"/>
        <v>0</v>
      </c>
      <c r="M201" s="203">
        <f t="shared" si="132"/>
        <v>0</v>
      </c>
      <c r="N201" s="203">
        <f t="shared" si="132"/>
        <v>0</v>
      </c>
      <c r="O201" s="203">
        <f t="shared" si="132"/>
        <v>0</v>
      </c>
      <c r="P201" s="203">
        <f t="shared" si="132"/>
        <v>0</v>
      </c>
      <c r="Q201" s="203">
        <f t="shared" si="132"/>
        <v>0</v>
      </c>
      <c r="R201" s="203">
        <f t="shared" si="132"/>
        <v>0</v>
      </c>
      <c r="S201" s="203">
        <f t="shared" si="132"/>
        <v>0</v>
      </c>
      <c r="T201" s="203">
        <f t="shared" si="132"/>
        <v>0</v>
      </c>
      <c r="U201" s="203">
        <f t="shared" si="132"/>
        <v>0</v>
      </c>
      <c r="V201" s="203">
        <f t="shared" si="132"/>
        <v>0</v>
      </c>
      <c r="W201" s="203">
        <f t="shared" si="132"/>
        <v>0</v>
      </c>
      <c r="X201" s="203">
        <f t="shared" si="132"/>
        <v>0</v>
      </c>
      <c r="Y201" s="203">
        <f t="shared" si="132"/>
        <v>0</v>
      </c>
      <c r="Z201" s="203">
        <f t="shared" si="132"/>
        <v>0</v>
      </c>
      <c r="AA201" s="203">
        <f t="shared" si="132"/>
        <v>0</v>
      </c>
      <c r="AB201" s="203">
        <f t="shared" si="132"/>
        <v>0</v>
      </c>
      <c r="AC201" s="203">
        <f t="shared" si="132"/>
        <v>0</v>
      </c>
      <c r="AD201" s="203">
        <f t="shared" si="132"/>
        <v>0</v>
      </c>
      <c r="AE201" s="203">
        <f t="shared" si="132"/>
        <v>0</v>
      </c>
      <c r="AF201" s="203">
        <f t="shared" si="132"/>
        <v>0</v>
      </c>
      <c r="AG201" s="203">
        <f t="shared" si="132"/>
        <v>0</v>
      </c>
      <c r="AI201" s="188"/>
    </row>
    <row r="202" spans="1:36" outlineLevel="1">
      <c r="A202" s="104" t="s">
        <v>624</v>
      </c>
      <c r="B202" s="252" t="s">
        <v>127</v>
      </c>
      <c r="C202" s="203">
        <f t="shared" si="132"/>
        <v>6733.3816182959581</v>
      </c>
      <c r="D202" s="203">
        <f t="shared" si="132"/>
        <v>6593.3496519364016</v>
      </c>
      <c r="E202" s="203">
        <f t="shared" si="132"/>
        <v>6454.0036678694942</v>
      </c>
      <c r="F202" s="203">
        <f t="shared" si="132"/>
        <v>6315.3449914295115</v>
      </c>
      <c r="G202" s="203">
        <f t="shared" si="132"/>
        <v>6177.3750333501084</v>
      </c>
      <c r="H202" s="203">
        <f t="shared" si="132"/>
        <v>6040.0952915162597</v>
      </c>
      <c r="I202" s="203">
        <f t="shared" si="132"/>
        <v>5903.5073527530139</v>
      </c>
      <c r="J202" s="203">
        <f t="shared" si="132"/>
        <v>5767.6128946517547</v>
      </c>
      <c r="K202" s="203">
        <f t="shared" si="132"/>
        <v>5632.413687434746</v>
      </c>
      <c r="L202" s="203">
        <f t="shared" si="132"/>
        <v>5497.9115958587236</v>
      </c>
      <c r="M202" s="203">
        <f t="shared" si="132"/>
        <v>5364.1085811582825</v>
      </c>
      <c r="N202" s="203">
        <f t="shared" si="132"/>
        <v>5231.0067030298969</v>
      </c>
      <c r="O202" s="203">
        <f t="shared" si="132"/>
        <v>5098.6081216573457</v>
      </c>
      <c r="P202" s="203">
        <f t="shared" si="132"/>
        <v>4966.9150997793831</v>
      </c>
      <c r="Q202" s="203">
        <f t="shared" si="132"/>
        <v>4835.9300048005016</v>
      </c>
      <c r="R202" s="203">
        <f t="shared" si="132"/>
        <v>4705.6553109456227</v>
      </c>
      <c r="S202" s="203">
        <f t="shared" si="132"/>
        <v>4576.0936014596136</v>
      </c>
      <c r="T202" s="203">
        <f t="shared" si="132"/>
        <v>4447.2475708524971</v>
      </c>
      <c r="U202" s="203">
        <f t="shared" si="132"/>
        <v>4319.1200271912885</v>
      </c>
      <c r="V202" s="203">
        <f t="shared" si="132"/>
        <v>4191.71389443935</v>
      </c>
      <c r="W202" s="203">
        <f t="shared" si="132"/>
        <v>4065.0322148442483</v>
      </c>
      <c r="X202" s="203">
        <f t="shared" si="132"/>
        <v>3939.0781513750326</v>
      </c>
      <c r="Y202" s="203">
        <f t="shared" si="132"/>
        <v>3813.8549902099444</v>
      </c>
      <c r="Z202" s="203">
        <f t="shared" si="132"/>
        <v>3689.3661432755544</v>
      </c>
      <c r="AA202" s="203">
        <f t="shared" si="132"/>
        <v>3565.61515083832</v>
      </c>
      <c r="AB202" s="203">
        <f t="shared" si="132"/>
        <v>3442.6056841496406</v>
      </c>
      <c r="AC202" s="203">
        <f t="shared" si="132"/>
        <v>3320.3415481454272</v>
      </c>
      <c r="AD202" s="203">
        <f t="shared" si="132"/>
        <v>3198.8266842013008</v>
      </c>
      <c r="AE202" s="203">
        <f t="shared" si="132"/>
        <v>3078.0651729444953</v>
      </c>
      <c r="AF202" s="203">
        <f t="shared" si="132"/>
        <v>2958.061237123592</v>
      </c>
      <c r="AG202" s="203">
        <f t="shared" si="132"/>
        <v>2838.8192445372374</v>
      </c>
      <c r="AI202" s="188"/>
    </row>
    <row r="203" spans="1:36" outlineLevel="1">
      <c r="A203" s="104" t="s">
        <v>625</v>
      </c>
      <c r="B203" s="252" t="s">
        <v>127</v>
      </c>
      <c r="C203" s="203">
        <f t="shared" si="132"/>
        <v>2244.460539431986</v>
      </c>
      <c r="D203" s="203">
        <f t="shared" si="132"/>
        <v>2207.7279377524605</v>
      </c>
      <c r="E203" s="203">
        <f t="shared" si="132"/>
        <v>2171.1625242141622</v>
      </c>
      <c r="F203" s="203">
        <f t="shared" si="132"/>
        <v>2134.7645041451879</v>
      </c>
      <c r="G203" s="203">
        <f t="shared" si="132"/>
        <v>2098.5341022385546</v>
      </c>
      <c r="H203" s="203">
        <f t="shared" si="132"/>
        <v>2062.4715629567727</v>
      </c>
      <c r="I203" s="203">
        <f t="shared" si="132"/>
        <v>2026.5771509450658</v>
      </c>
      <c r="J203" s="203">
        <f t="shared" si="132"/>
        <v>1990.8511514533991</v>
      </c>
      <c r="K203" s="203">
        <f t="shared" si="132"/>
        <v>1955.2938707675041</v>
      </c>
      <c r="L203" s="203">
        <f t="shared" si="132"/>
        <v>1919.9056366490797</v>
      </c>
      <c r="M203" s="203">
        <f t="shared" si="132"/>
        <v>1884.6867987853445</v>
      </c>
      <c r="N203" s="203">
        <f t="shared" si="132"/>
        <v>1849.6377292481427</v>
      </c>
      <c r="O203" s="203">
        <f t="shared" si="132"/>
        <v>1814.7588229627863</v>
      </c>
      <c r="P203" s="203">
        <f t="shared" si="132"/>
        <v>1780.0504981868335</v>
      </c>
      <c r="Q203" s="203">
        <f t="shared" si="132"/>
        <v>1745.5131969990005</v>
      </c>
      <c r="R203" s="203">
        <f t="shared" si="132"/>
        <v>1711.1473857984113</v>
      </c>
      <c r="S203" s="203">
        <f t="shared" si="132"/>
        <v>1676.9535558143957</v>
      </c>
      <c r="T203" s="203">
        <f t="shared" si="132"/>
        <v>1642.9322236270405</v>
      </c>
      <c r="U203" s="203">
        <f t="shared" si="132"/>
        <v>1609.0839316987185</v>
      </c>
      <c r="V203" s="203">
        <f t="shared" si="132"/>
        <v>1575.4092489168061</v>
      </c>
      <c r="W203" s="203">
        <f t="shared" si="132"/>
        <v>1541.9087711478214</v>
      </c>
      <c r="X203" s="203">
        <f t="shared" si="132"/>
        <v>1508.5831218032072</v>
      </c>
      <c r="Y203" s="203">
        <f t="shared" si="132"/>
        <v>1475.4329524169889</v>
      </c>
      <c r="Z203" s="203">
        <f t="shared" si="132"/>
        <v>1442.4589432355583</v>
      </c>
      <c r="AA203" s="203">
        <f t="shared" si="132"/>
        <v>1409.6618038198042</v>
      </c>
      <c r="AB203" s="203">
        <f t="shared" si="132"/>
        <v>1377.0422736598596</v>
      </c>
      <c r="AC203" s="203">
        <f t="shared" si="132"/>
        <v>1344.6011228026969</v>
      </c>
      <c r="AD203" s="203">
        <f t="shared" si="132"/>
        <v>1312.3391524928447</v>
      </c>
      <c r="AE203" s="203">
        <f t="shared" si="132"/>
        <v>1280.2571958264748</v>
      </c>
      <c r="AF203" s="203">
        <f t="shared" si="132"/>
        <v>1248.3561184191337</v>
      </c>
      <c r="AG203" s="203">
        <f t="shared" si="132"/>
        <v>1216.6368190873873</v>
      </c>
      <c r="AI203" s="188"/>
    </row>
    <row r="204" spans="1:36" s="54" customFormat="1">
      <c r="A204" s="54" t="s">
        <v>627</v>
      </c>
      <c r="B204" s="253"/>
      <c r="C204" s="254">
        <f t="shared" ref="C204:AG204" si="133">C44</f>
        <v>469451.33690471697</v>
      </c>
      <c r="D204" s="254">
        <f t="shared" si="133"/>
        <v>467806.0724162166</v>
      </c>
      <c r="E204" s="254">
        <f t="shared" si="133"/>
        <v>466165.78419877333</v>
      </c>
      <c r="F204" s="254">
        <f t="shared" si="133"/>
        <v>464530.45829941577</v>
      </c>
      <c r="G204" s="254">
        <f t="shared" si="133"/>
        <v>462900.08080252563</v>
      </c>
      <c r="H204" s="254">
        <f t="shared" si="133"/>
        <v>461274.63782974065</v>
      </c>
      <c r="I204" s="254">
        <f t="shared" si="133"/>
        <v>457704.3023617483</v>
      </c>
      <c r="J204" s="254">
        <f t="shared" si="133"/>
        <v>454147.4824894421</v>
      </c>
      <c r="K204" s="254">
        <f t="shared" si="133"/>
        <v>450604.13593906956</v>
      </c>
      <c r="L204" s="254">
        <f t="shared" si="133"/>
        <v>447074.2205576566</v>
      </c>
      <c r="M204" s="254">
        <f t="shared" si="133"/>
        <v>443557.69431268016</v>
      </c>
      <c r="N204" s="254">
        <f t="shared" si="133"/>
        <v>439766.96844373853</v>
      </c>
      <c r="O204" s="254">
        <f t="shared" si="133"/>
        <v>436131.67703592102</v>
      </c>
      <c r="P204" s="254">
        <f t="shared" si="133"/>
        <v>431757.66973668162</v>
      </c>
      <c r="Q204" s="254">
        <f t="shared" si="133"/>
        <v>427400.84889587981</v>
      </c>
      <c r="R204" s="254">
        <f t="shared" si="133"/>
        <v>423061.15994895867</v>
      </c>
      <c r="S204" s="254">
        <f t="shared" si="133"/>
        <v>418738.55076446221</v>
      </c>
      <c r="T204" s="254">
        <f t="shared" si="133"/>
        <v>414432.96480571874</v>
      </c>
      <c r="U204" s="254">
        <f t="shared" si="133"/>
        <v>410144.34797838482</v>
      </c>
      <c r="V204" s="254">
        <f t="shared" si="133"/>
        <v>405872.64634399093</v>
      </c>
      <c r="W204" s="254">
        <f t="shared" si="133"/>
        <v>401617.80611951696</v>
      </c>
      <c r="X204" s="254">
        <f t="shared" si="133"/>
        <v>397597.74901919998</v>
      </c>
      <c r="Y204" s="254">
        <f t="shared" si="133"/>
        <v>393603.51027724764</v>
      </c>
      <c r="Z204" s="254">
        <f t="shared" si="133"/>
        <v>388383.58454748872</v>
      </c>
      <c r="AA204" s="254">
        <f t="shared" si="133"/>
        <v>383184.78738880495</v>
      </c>
      <c r="AB204" s="254">
        <f t="shared" si="133"/>
        <v>378007.05095410964</v>
      </c>
      <c r="AC204" s="254">
        <f t="shared" si="133"/>
        <v>372793.77618368517</v>
      </c>
      <c r="AD204" s="254">
        <f t="shared" si="133"/>
        <v>367601.67662693054</v>
      </c>
      <c r="AE204" s="254">
        <f t="shared" si="133"/>
        <v>362430.684198412</v>
      </c>
      <c r="AF204" s="254">
        <f t="shared" si="133"/>
        <v>357280.7310101086</v>
      </c>
      <c r="AG204" s="254">
        <f t="shared" si="133"/>
        <v>352151.74937087169</v>
      </c>
      <c r="AI204" s="255"/>
      <c r="AJ204" s="256"/>
    </row>
    <row r="205" spans="1:36" s="54" customFormat="1">
      <c r="A205" s="257" t="s">
        <v>178</v>
      </c>
      <c r="B205" s="258" t="s">
        <v>127</v>
      </c>
      <c r="C205" s="259">
        <f>C204-C194</f>
        <v>0</v>
      </c>
      <c r="D205" s="259">
        <f t="shared" ref="D205:AG205" si="134">D204-D194</f>
        <v>-608.9155413970584</v>
      </c>
      <c r="E205" s="259">
        <f t="shared" si="134"/>
        <v>-1215.1426295697456</v>
      </c>
      <c r="F205" s="259">
        <f t="shared" si="134"/>
        <v>-1818.690166960354</v>
      </c>
      <c r="G205" s="259">
        <f t="shared" si="134"/>
        <v>-2419.5670298077166</v>
      </c>
      <c r="H205" s="259">
        <f t="shared" si="134"/>
        <v>-3017.7820682191523</v>
      </c>
      <c r="I205" s="259">
        <f t="shared" si="134"/>
        <v>-5563.1572843526956</v>
      </c>
      <c r="J205" s="259">
        <f t="shared" si="134"/>
        <v>-8097.279581236071</v>
      </c>
      <c r="K205" s="259">
        <f t="shared" si="134"/>
        <v>-10620.186237594113</v>
      </c>
      <c r="L205" s="259">
        <f t="shared" si="134"/>
        <v>-13131.914422400529</v>
      </c>
      <c r="M205" s="259">
        <f t="shared" si="134"/>
        <v>-15632.501195180113</v>
      </c>
      <c r="N205" s="259">
        <f t="shared" si="134"/>
        <v>-18409.530354314949</v>
      </c>
      <c r="O205" s="259">
        <f t="shared" si="134"/>
        <v>-21033.362863649847</v>
      </c>
      <c r="P205" s="259">
        <f t="shared" si="134"/>
        <v>-24398.144135594834</v>
      </c>
      <c r="Q205" s="259">
        <f t="shared" si="134"/>
        <v>-27747.966891060409</v>
      </c>
      <c r="R205" s="259">
        <f t="shared" si="134"/>
        <v>-31082.880776254809</v>
      </c>
      <c r="S205" s="259">
        <f t="shared" si="134"/>
        <v>-34402.933015143208</v>
      </c>
      <c r="T205" s="259">
        <f t="shared" si="134"/>
        <v>-37708.17524774</v>
      </c>
      <c r="U205" s="259">
        <f t="shared" si="134"/>
        <v>-40998.656682541012</v>
      </c>
      <c r="V205" s="259">
        <f t="shared" si="134"/>
        <v>-44274.426382954058</v>
      </c>
      <c r="W205" s="259">
        <f t="shared" si="134"/>
        <v>-47535.533267699764</v>
      </c>
      <c r="X205" s="259">
        <f t="shared" si="134"/>
        <v>-50564.050768979825</v>
      </c>
      <c r="Y205" s="259">
        <f t="shared" si="134"/>
        <v>-53568.938809739717</v>
      </c>
      <c r="Z205" s="259">
        <f t="shared" si="134"/>
        <v>-57801.697903995053</v>
      </c>
      <c r="AA205" s="259">
        <f t="shared" si="134"/>
        <v>-62015.507671375526</v>
      </c>
      <c r="AB205" s="259">
        <f t="shared" si="134"/>
        <v>-66210.431148123404</v>
      </c>
      <c r="AC205" s="259">
        <f t="shared" si="134"/>
        <v>-70443.062593731913</v>
      </c>
      <c r="AD205" s="259">
        <f t="shared" si="134"/>
        <v>-74656.683669174614</v>
      </c>
      <c r="AE205" s="259">
        <f t="shared" si="134"/>
        <v>-78851.357680831337</v>
      </c>
      <c r="AF205" s="259">
        <f t="shared" si="134"/>
        <v>-83027.147748218966</v>
      </c>
      <c r="AG205" s="259">
        <f t="shared" si="134"/>
        <v>-87184.116804509307</v>
      </c>
      <c r="AI205" s="255"/>
      <c r="AJ205" s="256"/>
    </row>
    <row r="206" spans="1:36">
      <c r="A206" s="260" t="s">
        <v>619</v>
      </c>
      <c r="B206" s="252" t="s">
        <v>127</v>
      </c>
      <c r="C206" s="218">
        <f>C162</f>
        <v>20559.229018319769</v>
      </c>
      <c r="D206" s="218">
        <f t="shared" ref="D206:AG206" si="135">D162</f>
        <v>21983.810918211748</v>
      </c>
      <c r="E206" s="218">
        <f t="shared" si="135"/>
        <v>23402.002882792032</v>
      </c>
      <c r="F206" s="218">
        <f t="shared" si="135"/>
        <v>24813.826182042863</v>
      </c>
      <c r="G206" s="218">
        <f t="shared" si="135"/>
        <v>26219.302023176911</v>
      </c>
      <c r="H206" s="218">
        <f t="shared" si="135"/>
        <v>27618.451550810838</v>
      </c>
      <c r="I206" s="218">
        <f t="shared" si="135"/>
        <v>29011.295847138237</v>
      </c>
      <c r="J206" s="218">
        <f t="shared" si="135"/>
        <v>30397.855932102284</v>
      </c>
      <c r="K206" s="218">
        <f t="shared" si="135"/>
        <v>31778.15276356773</v>
      </c>
      <c r="L206" s="218">
        <f t="shared" si="135"/>
        <v>33152.207237492657</v>
      </c>
      <c r="M206" s="218">
        <f t="shared" si="135"/>
        <v>34520.040188099607</v>
      </c>
      <c r="N206" s="218">
        <f t="shared" si="135"/>
        <v>35881.672388046311</v>
      </c>
      <c r="O206" s="218">
        <f t="shared" si="135"/>
        <v>37237.124548596024</v>
      </c>
      <c r="P206" s="218">
        <f t="shared" si="135"/>
        <v>38387.79930596026</v>
      </c>
      <c r="Q206" s="218">
        <f t="shared" si="135"/>
        <v>39519.282638184457</v>
      </c>
      <c r="R206" s="218">
        <f t="shared" si="135"/>
        <v>40631.684421129612</v>
      </c>
      <c r="S206" s="218">
        <f t="shared" si="135"/>
        <v>41725.114071181539</v>
      </c>
      <c r="T206" s="218">
        <f t="shared" si="135"/>
        <v>42799.680546893796</v>
      </c>
      <c r="U206" s="218">
        <f t="shared" si="135"/>
        <v>43855.492350625493</v>
      </c>
      <c r="V206" s="218">
        <f t="shared" si="135"/>
        <v>44892.657530173645</v>
      </c>
      <c r="W206" s="218">
        <f t="shared" si="135"/>
        <v>45911.283680400127</v>
      </c>
      <c r="X206" s="218">
        <f t="shared" si="135"/>
        <v>46911.477944853599</v>
      </c>
      <c r="Y206" s="218">
        <f t="shared" si="135"/>
        <v>47893.347017385808</v>
      </c>
      <c r="Z206" s="218">
        <f t="shared" si="135"/>
        <v>48331.891499430625</v>
      </c>
      <c r="AA206" s="218">
        <f t="shared" si="135"/>
        <v>48727.391085433832</v>
      </c>
      <c r="AB206" s="218">
        <f t="shared" si="135"/>
        <v>49080.123923035964</v>
      </c>
      <c r="AC206" s="218">
        <f t="shared" si="135"/>
        <v>49390.366942387496</v>
      </c>
      <c r="AD206" s="218">
        <f t="shared" si="135"/>
        <v>49658.395860608623</v>
      </c>
      <c r="AE206" s="218">
        <f t="shared" si="135"/>
        <v>49884.485186234189</v>
      </c>
      <c r="AF206" s="218">
        <f t="shared" si="135"/>
        <v>50068.908223643783</v>
      </c>
      <c r="AG206" s="218">
        <f t="shared" si="135"/>
        <v>50211.937077477349</v>
      </c>
      <c r="AI206" s="246"/>
    </row>
    <row r="207" spans="1:36" s="62" customFormat="1">
      <c r="A207" s="261" t="s">
        <v>628</v>
      </c>
      <c r="B207" s="262" t="s">
        <v>127</v>
      </c>
      <c r="C207" s="263">
        <f>C204-C206</f>
        <v>448892.10788639722</v>
      </c>
      <c r="D207" s="263">
        <f t="shared" ref="D207:AG207" si="136">D204-D206</f>
        <v>445822.26149800484</v>
      </c>
      <c r="E207" s="263">
        <f t="shared" si="136"/>
        <v>442763.78131598129</v>
      </c>
      <c r="F207" s="263">
        <f t="shared" si="136"/>
        <v>439716.63211737288</v>
      </c>
      <c r="G207" s="263">
        <f t="shared" si="136"/>
        <v>436680.77877934871</v>
      </c>
      <c r="H207" s="263">
        <f t="shared" si="136"/>
        <v>433656.18627892982</v>
      </c>
      <c r="I207" s="263">
        <f t="shared" si="136"/>
        <v>428693.00651461008</v>
      </c>
      <c r="J207" s="263">
        <f t="shared" si="136"/>
        <v>423749.6265573398</v>
      </c>
      <c r="K207" s="263">
        <f t="shared" si="136"/>
        <v>418825.98317550181</v>
      </c>
      <c r="L207" s="263">
        <f t="shared" si="136"/>
        <v>413922.01332016394</v>
      </c>
      <c r="M207" s="263">
        <f t="shared" si="136"/>
        <v>409037.65412458056</v>
      </c>
      <c r="N207" s="263">
        <f t="shared" si="136"/>
        <v>403885.29605569225</v>
      </c>
      <c r="O207" s="263">
        <f t="shared" si="136"/>
        <v>398894.55248732498</v>
      </c>
      <c r="P207" s="263">
        <f t="shared" si="136"/>
        <v>393369.87043072138</v>
      </c>
      <c r="Q207" s="263">
        <f t="shared" si="136"/>
        <v>387881.56625769538</v>
      </c>
      <c r="R207" s="263">
        <f t="shared" si="136"/>
        <v>382429.47552782902</v>
      </c>
      <c r="S207" s="263">
        <f t="shared" si="136"/>
        <v>377013.4366932807</v>
      </c>
      <c r="T207" s="263">
        <f t="shared" si="136"/>
        <v>371633.28425882495</v>
      </c>
      <c r="U207" s="263">
        <f t="shared" si="136"/>
        <v>366288.8556277593</v>
      </c>
      <c r="V207" s="263">
        <f t="shared" si="136"/>
        <v>360979.98881381727</v>
      </c>
      <c r="W207" s="263">
        <f t="shared" si="136"/>
        <v>355706.52243911684</v>
      </c>
      <c r="X207" s="263">
        <f t="shared" si="136"/>
        <v>350686.27107434638</v>
      </c>
      <c r="Y207" s="263">
        <f t="shared" si="136"/>
        <v>345710.16325986182</v>
      </c>
      <c r="Z207" s="263">
        <f t="shared" si="136"/>
        <v>340051.69304805808</v>
      </c>
      <c r="AA207" s="263">
        <f t="shared" si="136"/>
        <v>334457.39630337112</v>
      </c>
      <c r="AB207" s="263">
        <f t="shared" si="136"/>
        <v>328926.92703107366</v>
      </c>
      <c r="AC207" s="263">
        <f t="shared" si="136"/>
        <v>323403.40924129769</v>
      </c>
      <c r="AD207" s="263">
        <f t="shared" si="136"/>
        <v>317943.28076632193</v>
      </c>
      <c r="AE207" s="263">
        <f t="shared" si="136"/>
        <v>312546.19901217782</v>
      </c>
      <c r="AF207" s="263">
        <f t="shared" si="136"/>
        <v>307211.82278646482</v>
      </c>
      <c r="AG207" s="263">
        <f t="shared" si="136"/>
        <v>301939.81229339435</v>
      </c>
      <c r="AI207" s="264"/>
      <c r="AJ207" s="265"/>
    </row>
    <row r="208" spans="1:36" s="54" customFormat="1" outlineLevel="1">
      <c r="A208" s="257" t="s">
        <v>656</v>
      </c>
      <c r="B208" s="258" t="s">
        <v>126</v>
      </c>
      <c r="C208" s="259">
        <f>C204*C174</f>
        <v>460062.31016662263</v>
      </c>
      <c r="D208" s="259">
        <f t="shared" ref="D208:AG208" si="137">D204*D174</f>
        <v>458605.88632536429</v>
      </c>
      <c r="E208" s="259">
        <f t="shared" si="137"/>
        <v>457153.24570426368</v>
      </c>
      <c r="F208" s="259">
        <f t="shared" si="137"/>
        <v>455704.37959172681</v>
      </c>
      <c r="G208" s="259">
        <f t="shared" si="137"/>
        <v>454259.27929421177</v>
      </c>
      <c r="H208" s="259">
        <f t="shared" si="137"/>
        <v>452817.93613619532</v>
      </c>
      <c r="I208" s="259">
        <f t="shared" si="137"/>
        <v>449465.6249192367</v>
      </c>
      <c r="J208" s="259">
        <f t="shared" si="137"/>
        <v>446124.21029879519</v>
      </c>
      <c r="K208" s="259">
        <f t="shared" si="137"/>
        <v>442793.66424945887</v>
      </c>
      <c r="L208" s="259">
        <f t="shared" si="137"/>
        <v>439473.95880817628</v>
      </c>
      <c r="M208" s="259">
        <f t="shared" si="137"/>
        <v>436165.06607413531</v>
      </c>
      <c r="N208" s="259">
        <f t="shared" si="137"/>
        <v>432584.10795915726</v>
      </c>
      <c r="O208" s="259">
        <f t="shared" si="137"/>
        <v>429153.57020334608</v>
      </c>
      <c r="P208" s="259">
        <f t="shared" si="137"/>
        <v>424993.46624414006</v>
      </c>
      <c r="Q208" s="259">
        <f t="shared" si="137"/>
        <v>420847.36921280943</v>
      </c>
      <c r="R208" s="259">
        <f t="shared" si="137"/>
        <v>416715.24254972406</v>
      </c>
      <c r="S208" s="259">
        <f t="shared" si="137"/>
        <v>412597.05201991653</v>
      </c>
      <c r="T208" s="259">
        <f t="shared" si="137"/>
        <v>408492.75897683651</v>
      </c>
      <c r="U208" s="259">
        <f t="shared" si="137"/>
        <v>404402.32710668712</v>
      </c>
      <c r="V208" s="259">
        <f t="shared" si="137"/>
        <v>400325.72017728945</v>
      </c>
      <c r="W208" s="259">
        <f t="shared" si="137"/>
        <v>396262.90203792311</v>
      </c>
      <c r="X208" s="259">
        <f t="shared" si="137"/>
        <v>392428.97828195005</v>
      </c>
      <c r="Y208" s="259">
        <f t="shared" si="137"/>
        <v>388617.86581373552</v>
      </c>
      <c r="Z208" s="259">
        <f t="shared" si="137"/>
        <v>383593.52033806936</v>
      </c>
      <c r="AA208" s="259">
        <f t="shared" si="137"/>
        <v>378586.56994013896</v>
      </c>
      <c r="AB208" s="259">
        <f t="shared" si="137"/>
        <v>373596.96869297803</v>
      </c>
      <c r="AC208" s="259">
        <f t="shared" si="137"/>
        <v>368568.78005360306</v>
      </c>
      <c r="AD208" s="259">
        <f t="shared" si="137"/>
        <v>363558.05818403396</v>
      </c>
      <c r="AE208" s="259">
        <f t="shared" si="137"/>
        <v>358564.75690029521</v>
      </c>
      <c r="AF208" s="259">
        <f t="shared" si="137"/>
        <v>353588.83012300375</v>
      </c>
      <c r="AG208" s="259">
        <f t="shared" si="137"/>
        <v>348630.23187716299</v>
      </c>
      <c r="AI208" s="255"/>
      <c r="AJ208" s="288"/>
    </row>
    <row r="209" spans="1:36" s="54" customFormat="1" outlineLevel="1">
      <c r="A209" s="257" t="s">
        <v>667</v>
      </c>
      <c r="B209" s="258" t="s">
        <v>126</v>
      </c>
      <c r="C209" s="259">
        <f>C208*C175</f>
        <v>460062.31016662263</v>
      </c>
      <c r="D209" s="259">
        <f t="shared" ref="D209:AG209" si="138">D208*D175</f>
        <v>458605.88632536429</v>
      </c>
      <c r="E209" s="259">
        <f t="shared" si="138"/>
        <v>457153.24570426368</v>
      </c>
      <c r="F209" s="259">
        <f t="shared" si="138"/>
        <v>455704.37959172681</v>
      </c>
      <c r="G209" s="259">
        <f t="shared" si="138"/>
        <v>454259.27929421177</v>
      </c>
      <c r="H209" s="259">
        <f t="shared" si="138"/>
        <v>452817.93613619532</v>
      </c>
      <c r="I209" s="259">
        <f t="shared" si="138"/>
        <v>449465.6249192367</v>
      </c>
      <c r="J209" s="259">
        <f t="shared" si="138"/>
        <v>446124.21029879519</v>
      </c>
      <c r="K209" s="259">
        <f t="shared" si="138"/>
        <v>442793.66424945887</v>
      </c>
      <c r="L209" s="259">
        <f t="shared" si="138"/>
        <v>439473.95880817628</v>
      </c>
      <c r="M209" s="259">
        <f t="shared" si="138"/>
        <v>436165.06607413531</v>
      </c>
      <c r="N209" s="259">
        <f t="shared" si="138"/>
        <v>432584.10795915726</v>
      </c>
      <c r="O209" s="259">
        <f t="shared" si="138"/>
        <v>429153.57020334608</v>
      </c>
      <c r="P209" s="259">
        <f t="shared" si="138"/>
        <v>424993.46624414006</v>
      </c>
      <c r="Q209" s="259">
        <f t="shared" si="138"/>
        <v>420847.36921280943</v>
      </c>
      <c r="R209" s="259">
        <f t="shared" si="138"/>
        <v>416715.24254972406</v>
      </c>
      <c r="S209" s="259">
        <f t="shared" si="138"/>
        <v>412597.05201991653</v>
      </c>
      <c r="T209" s="259">
        <f t="shared" si="138"/>
        <v>408492.75897683651</v>
      </c>
      <c r="U209" s="259">
        <f t="shared" si="138"/>
        <v>404402.32710668712</v>
      </c>
      <c r="V209" s="259">
        <f t="shared" si="138"/>
        <v>400325.72017728945</v>
      </c>
      <c r="W209" s="259">
        <f t="shared" si="138"/>
        <v>396262.90203792311</v>
      </c>
      <c r="X209" s="259">
        <f t="shared" si="138"/>
        <v>392428.97828195005</v>
      </c>
      <c r="Y209" s="259">
        <f t="shared" si="138"/>
        <v>388617.86581373552</v>
      </c>
      <c r="Z209" s="259">
        <f t="shared" si="138"/>
        <v>383593.52033806936</v>
      </c>
      <c r="AA209" s="259">
        <f t="shared" si="138"/>
        <v>378586.56994013896</v>
      </c>
      <c r="AB209" s="259">
        <f t="shared" si="138"/>
        <v>373596.96869297803</v>
      </c>
      <c r="AC209" s="259">
        <f t="shared" si="138"/>
        <v>368568.78005360306</v>
      </c>
      <c r="AD209" s="259">
        <f t="shared" si="138"/>
        <v>363558.05818403396</v>
      </c>
      <c r="AE209" s="259">
        <f t="shared" si="138"/>
        <v>358564.75690029521</v>
      </c>
      <c r="AF209" s="259">
        <f t="shared" si="138"/>
        <v>353588.83012300375</v>
      </c>
      <c r="AG209" s="259">
        <f t="shared" si="138"/>
        <v>348630.23187716299</v>
      </c>
      <c r="AI209" s="255"/>
      <c r="AJ209" s="288"/>
    </row>
    <row r="210" spans="1:36" s="58" customFormat="1" outlineLevel="1">
      <c r="A210" s="261" t="s">
        <v>668</v>
      </c>
      <c r="B210" s="262" t="s">
        <v>126</v>
      </c>
      <c r="C210" s="263">
        <f>C208*C176</f>
        <v>0</v>
      </c>
      <c r="D210" s="263">
        <f t="shared" ref="D210:AG210" si="139">D208*D176</f>
        <v>0</v>
      </c>
      <c r="E210" s="263">
        <f t="shared" si="139"/>
        <v>0</v>
      </c>
      <c r="F210" s="263">
        <f t="shared" si="139"/>
        <v>0</v>
      </c>
      <c r="G210" s="263">
        <f t="shared" si="139"/>
        <v>0</v>
      </c>
      <c r="H210" s="263">
        <f t="shared" si="139"/>
        <v>0</v>
      </c>
      <c r="I210" s="263">
        <f t="shared" si="139"/>
        <v>0</v>
      </c>
      <c r="J210" s="263">
        <f t="shared" si="139"/>
        <v>0</v>
      </c>
      <c r="K210" s="263">
        <f t="shared" si="139"/>
        <v>0</v>
      </c>
      <c r="L210" s="263">
        <f t="shared" si="139"/>
        <v>0</v>
      </c>
      <c r="M210" s="263">
        <f t="shared" si="139"/>
        <v>0</v>
      </c>
      <c r="N210" s="263">
        <f t="shared" si="139"/>
        <v>0</v>
      </c>
      <c r="O210" s="263">
        <f t="shared" si="139"/>
        <v>0</v>
      </c>
      <c r="P210" s="263">
        <f t="shared" si="139"/>
        <v>0</v>
      </c>
      <c r="Q210" s="263">
        <f t="shared" si="139"/>
        <v>0</v>
      </c>
      <c r="R210" s="263">
        <f t="shared" si="139"/>
        <v>0</v>
      </c>
      <c r="S210" s="263">
        <f t="shared" si="139"/>
        <v>0</v>
      </c>
      <c r="T210" s="263">
        <f t="shared" si="139"/>
        <v>0</v>
      </c>
      <c r="U210" s="263">
        <f t="shared" si="139"/>
        <v>0</v>
      </c>
      <c r="V210" s="263">
        <f t="shared" si="139"/>
        <v>0</v>
      </c>
      <c r="W210" s="263">
        <f t="shared" si="139"/>
        <v>0</v>
      </c>
      <c r="X210" s="263">
        <f t="shared" si="139"/>
        <v>0</v>
      </c>
      <c r="Y210" s="263">
        <f t="shared" si="139"/>
        <v>0</v>
      </c>
      <c r="Z210" s="263">
        <f t="shared" si="139"/>
        <v>0</v>
      </c>
      <c r="AA210" s="263">
        <f t="shared" si="139"/>
        <v>0</v>
      </c>
      <c r="AB210" s="263">
        <f t="shared" si="139"/>
        <v>0</v>
      </c>
      <c r="AC210" s="263">
        <f t="shared" si="139"/>
        <v>0</v>
      </c>
      <c r="AD210" s="263">
        <f t="shared" si="139"/>
        <v>0</v>
      </c>
      <c r="AE210" s="263">
        <f t="shared" si="139"/>
        <v>0</v>
      </c>
      <c r="AF210" s="263">
        <f t="shared" si="139"/>
        <v>0</v>
      </c>
      <c r="AG210" s="263">
        <f t="shared" si="139"/>
        <v>0</v>
      </c>
      <c r="AI210" s="291"/>
      <c r="AJ210" s="290"/>
    </row>
    <row r="211" spans="1:36" s="1" customFormat="1" outlineLevel="1">
      <c r="A211" t="s">
        <v>649</v>
      </c>
      <c r="B211" s="252" t="s">
        <v>127</v>
      </c>
      <c r="C211" s="218">
        <f>C177*C208</f>
        <v>460062.31016662263</v>
      </c>
      <c r="D211" s="218">
        <f t="shared" ref="D211:AG211" si="140">D177*D208</f>
        <v>458605.88632536429</v>
      </c>
      <c r="E211" s="218">
        <f t="shared" si="140"/>
        <v>457153.24570426368</v>
      </c>
      <c r="F211" s="218">
        <f t="shared" si="140"/>
        <v>455704.37959172681</v>
      </c>
      <c r="G211" s="218">
        <f t="shared" si="140"/>
        <v>454259.27929421177</v>
      </c>
      <c r="H211" s="218">
        <f t="shared" si="140"/>
        <v>452817.93613619532</v>
      </c>
      <c r="I211" s="218">
        <f t="shared" si="140"/>
        <v>449465.6249192367</v>
      </c>
      <c r="J211" s="218">
        <f t="shared" si="140"/>
        <v>446124.21029879519</v>
      </c>
      <c r="K211" s="218">
        <f t="shared" si="140"/>
        <v>442793.66424945887</v>
      </c>
      <c r="L211" s="218">
        <f t="shared" si="140"/>
        <v>439473.95880817628</v>
      </c>
      <c r="M211" s="218">
        <f t="shared" si="140"/>
        <v>436165.06607413531</v>
      </c>
      <c r="N211" s="218">
        <f t="shared" si="140"/>
        <v>432584.10795915726</v>
      </c>
      <c r="O211" s="218">
        <f t="shared" si="140"/>
        <v>429153.57020334608</v>
      </c>
      <c r="P211" s="218">
        <f t="shared" si="140"/>
        <v>424993.46624414006</v>
      </c>
      <c r="Q211" s="218">
        <f t="shared" si="140"/>
        <v>420847.36921280943</v>
      </c>
      <c r="R211" s="218">
        <f t="shared" si="140"/>
        <v>416715.24254972406</v>
      </c>
      <c r="S211" s="218">
        <f t="shared" si="140"/>
        <v>412597.05201991653</v>
      </c>
      <c r="T211" s="218">
        <f t="shared" si="140"/>
        <v>408492.75897683651</v>
      </c>
      <c r="U211" s="218">
        <f t="shared" si="140"/>
        <v>404402.32710668712</v>
      </c>
      <c r="V211" s="218">
        <f t="shared" si="140"/>
        <v>400325.72017728945</v>
      </c>
      <c r="W211" s="218">
        <f t="shared" si="140"/>
        <v>396262.90203792311</v>
      </c>
      <c r="X211" s="218">
        <f t="shared" si="140"/>
        <v>392428.97828195005</v>
      </c>
      <c r="Y211" s="218">
        <f t="shared" si="140"/>
        <v>388617.86581373552</v>
      </c>
      <c r="Z211" s="218">
        <f t="shared" si="140"/>
        <v>383593.52033806936</v>
      </c>
      <c r="AA211" s="218">
        <f t="shared" si="140"/>
        <v>378586.56994013896</v>
      </c>
      <c r="AB211" s="218">
        <f t="shared" si="140"/>
        <v>373596.96869297803</v>
      </c>
      <c r="AC211" s="218">
        <f t="shared" si="140"/>
        <v>368568.78005360306</v>
      </c>
      <c r="AD211" s="218">
        <f t="shared" si="140"/>
        <v>363558.05818403396</v>
      </c>
      <c r="AE211" s="218">
        <f t="shared" si="140"/>
        <v>358564.75690029521</v>
      </c>
      <c r="AF211" s="218">
        <f t="shared" si="140"/>
        <v>353588.83012300375</v>
      </c>
      <c r="AG211" s="218">
        <f t="shared" si="140"/>
        <v>348630.23187716299</v>
      </c>
      <c r="AI211" s="266"/>
      <c r="AJ211" s="185"/>
    </row>
    <row r="212" spans="1:36" s="1" customFormat="1" outlineLevel="1">
      <c r="A212" t="s">
        <v>655</v>
      </c>
      <c r="B212" s="252" t="s">
        <v>127</v>
      </c>
      <c r="C212" s="218">
        <f>C178*C208</f>
        <v>0</v>
      </c>
      <c r="D212" s="218">
        <f t="shared" ref="D212:AG212" si="141">D178*D208</f>
        <v>0</v>
      </c>
      <c r="E212" s="218">
        <f t="shared" si="141"/>
        <v>0</v>
      </c>
      <c r="F212" s="218">
        <f t="shared" si="141"/>
        <v>0</v>
      </c>
      <c r="G212" s="218">
        <f t="shared" si="141"/>
        <v>0</v>
      </c>
      <c r="H212" s="218">
        <f t="shared" si="141"/>
        <v>0</v>
      </c>
      <c r="I212" s="218">
        <f t="shared" si="141"/>
        <v>0</v>
      </c>
      <c r="J212" s="218">
        <f t="shared" si="141"/>
        <v>0</v>
      </c>
      <c r="K212" s="218">
        <f t="shared" si="141"/>
        <v>0</v>
      </c>
      <c r="L212" s="218">
        <f t="shared" si="141"/>
        <v>0</v>
      </c>
      <c r="M212" s="218">
        <f t="shared" si="141"/>
        <v>0</v>
      </c>
      <c r="N212" s="218">
        <f t="shared" si="141"/>
        <v>0</v>
      </c>
      <c r="O212" s="218">
        <f t="shared" si="141"/>
        <v>0</v>
      </c>
      <c r="P212" s="218">
        <f t="shared" si="141"/>
        <v>0</v>
      </c>
      <c r="Q212" s="218">
        <f t="shared" si="141"/>
        <v>0</v>
      </c>
      <c r="R212" s="218">
        <f t="shared" si="141"/>
        <v>0</v>
      </c>
      <c r="S212" s="218">
        <f t="shared" si="141"/>
        <v>0</v>
      </c>
      <c r="T212" s="218">
        <f t="shared" si="141"/>
        <v>0</v>
      </c>
      <c r="U212" s="218">
        <f t="shared" si="141"/>
        <v>0</v>
      </c>
      <c r="V212" s="218">
        <f t="shared" si="141"/>
        <v>0</v>
      </c>
      <c r="W212" s="218">
        <f t="shared" si="141"/>
        <v>0</v>
      </c>
      <c r="X212" s="218">
        <f t="shared" si="141"/>
        <v>0</v>
      </c>
      <c r="Y212" s="218">
        <f t="shared" si="141"/>
        <v>0</v>
      </c>
      <c r="Z212" s="218">
        <f t="shared" si="141"/>
        <v>0</v>
      </c>
      <c r="AA212" s="218">
        <f t="shared" si="141"/>
        <v>0</v>
      </c>
      <c r="AB212" s="218">
        <f t="shared" si="141"/>
        <v>0</v>
      </c>
      <c r="AC212" s="218">
        <f t="shared" si="141"/>
        <v>0</v>
      </c>
      <c r="AD212" s="218">
        <f t="shared" si="141"/>
        <v>0</v>
      </c>
      <c r="AE212" s="218">
        <f t="shared" si="141"/>
        <v>0</v>
      </c>
      <c r="AF212" s="218">
        <f t="shared" si="141"/>
        <v>0</v>
      </c>
      <c r="AG212" s="218">
        <f t="shared" si="141"/>
        <v>0</v>
      </c>
      <c r="AI212" s="266"/>
      <c r="AJ212" s="185"/>
    </row>
    <row r="213" spans="1:36" s="1" customFormat="1" outlineLevel="1">
      <c r="A213" t="s">
        <v>650</v>
      </c>
      <c r="B213" s="252" t="s">
        <v>127</v>
      </c>
      <c r="C213" s="218">
        <f>C211*C179</f>
        <v>69009.346524993394</v>
      </c>
      <c r="D213" s="218">
        <f t="shared" ref="D213:AG213" si="142">D211*D179</f>
        <v>71695.386895531949</v>
      </c>
      <c r="E213" s="218">
        <f t="shared" si="142"/>
        <v>74363.594634560213</v>
      </c>
      <c r="F213" s="218">
        <f t="shared" si="142"/>
        <v>77014.040151001827</v>
      </c>
      <c r="G213" s="218">
        <f t="shared" si="142"/>
        <v>79646.793636251794</v>
      </c>
      <c r="H213" s="218">
        <f t="shared" si="142"/>
        <v>82261.925064742143</v>
      </c>
      <c r="I213" s="218">
        <f t="shared" si="142"/>
        <v>84499.537484816494</v>
      </c>
      <c r="J213" s="218">
        <f t="shared" si="142"/>
        <v>86696.804868065854</v>
      </c>
      <c r="K213" s="218">
        <f t="shared" si="142"/>
        <v>88853.92862605807</v>
      </c>
      <c r="L213" s="218">
        <f t="shared" si="142"/>
        <v>90971.109473292468</v>
      </c>
      <c r="M213" s="218">
        <f t="shared" si="142"/>
        <v>93048.54742914885</v>
      </c>
      <c r="N213" s="218">
        <f t="shared" si="142"/>
        <v>95024.309048361523</v>
      </c>
      <c r="O213" s="218">
        <f t="shared" si="142"/>
        <v>96988.706865956192</v>
      </c>
      <c r="P213" s="218">
        <f t="shared" si="142"/>
        <v>98740.148657388519</v>
      </c>
      <c r="Q213" s="218">
        <f t="shared" si="142"/>
        <v>100442.23878545716</v>
      </c>
      <c r="R213" s="218">
        <f t="shared" si="142"/>
        <v>102095.23442468236</v>
      </c>
      <c r="S213" s="218">
        <f t="shared" si="142"/>
        <v>103699.39240767233</v>
      </c>
      <c r="T213" s="218">
        <f t="shared" si="142"/>
        <v>105254.96756303153</v>
      </c>
      <c r="U213" s="218">
        <f t="shared" si="142"/>
        <v>106762.21435616541</v>
      </c>
      <c r="V213" s="218">
        <f t="shared" si="142"/>
        <v>108221.38635459392</v>
      </c>
      <c r="W213" s="218">
        <f t="shared" si="142"/>
        <v>109632.73623049208</v>
      </c>
      <c r="X213" s="218">
        <f t="shared" si="142"/>
        <v>111057.4008537919</v>
      </c>
      <c r="Y213" s="218">
        <f t="shared" si="142"/>
        <v>112440.10250877419</v>
      </c>
      <c r="Z213" s="218">
        <f t="shared" si="142"/>
        <v>113415.81751328922</v>
      </c>
      <c r="AA213" s="218">
        <f t="shared" si="142"/>
        <v>114333.14412192203</v>
      </c>
      <c r="AB213" s="218">
        <f t="shared" si="142"/>
        <v>115192.39868033495</v>
      </c>
      <c r="AC213" s="218">
        <f t="shared" si="142"/>
        <v>115976.30945686717</v>
      </c>
      <c r="AD213" s="218">
        <f t="shared" si="142"/>
        <v>116702.13667707499</v>
      </c>
      <c r="AE213" s="218">
        <f t="shared" si="142"/>
        <v>117370.19709203005</v>
      </c>
      <c r="AF213" s="218">
        <f t="shared" si="142"/>
        <v>117980.80631770901</v>
      </c>
      <c r="AG213" s="218">
        <f t="shared" si="142"/>
        <v>118534.27883823543</v>
      </c>
      <c r="AI213" s="266"/>
      <c r="AJ213" s="185"/>
    </row>
    <row r="214" spans="1:36" s="1" customFormat="1" outlineLevel="1">
      <c r="A214" t="s">
        <v>651</v>
      </c>
      <c r="B214" s="252" t="s">
        <v>127</v>
      </c>
      <c r="C214" s="218">
        <f>C211*C180</f>
        <v>391052.96364162921</v>
      </c>
      <c r="D214" s="218">
        <f t="shared" ref="D214:AG214" si="143">D211*D180</f>
        <v>386910.49942983233</v>
      </c>
      <c r="E214" s="218">
        <f t="shared" si="143"/>
        <v>382789.65106970345</v>
      </c>
      <c r="F214" s="218">
        <f t="shared" si="143"/>
        <v>378690.33944072499</v>
      </c>
      <c r="G214" s="218">
        <f t="shared" si="143"/>
        <v>374612.48565796</v>
      </c>
      <c r="H214" s="218">
        <f t="shared" si="143"/>
        <v>370556.01107145322</v>
      </c>
      <c r="I214" s="218">
        <f t="shared" si="143"/>
        <v>364966.08743442025</v>
      </c>
      <c r="J214" s="218">
        <f t="shared" si="143"/>
        <v>359427.40543072944</v>
      </c>
      <c r="K214" s="218">
        <f t="shared" si="143"/>
        <v>353939.73562340089</v>
      </c>
      <c r="L214" s="218">
        <f t="shared" si="143"/>
        <v>348502.84933488391</v>
      </c>
      <c r="M214" s="218">
        <f t="shared" si="143"/>
        <v>343116.51864498656</v>
      </c>
      <c r="N214" s="218">
        <f t="shared" si="143"/>
        <v>337559.79891079589</v>
      </c>
      <c r="O214" s="218">
        <f t="shared" si="143"/>
        <v>332164.86333739001</v>
      </c>
      <c r="P214" s="218">
        <f t="shared" si="143"/>
        <v>326253.31758675165</v>
      </c>
      <c r="Q214" s="218">
        <f t="shared" si="143"/>
        <v>320405.13042735244</v>
      </c>
      <c r="R214" s="218">
        <f t="shared" si="143"/>
        <v>314620.00812504184</v>
      </c>
      <c r="S214" s="218">
        <f t="shared" si="143"/>
        <v>308897.6596122444</v>
      </c>
      <c r="T214" s="218">
        <f t="shared" si="143"/>
        <v>303237.79141380516</v>
      </c>
      <c r="U214" s="218">
        <f t="shared" si="143"/>
        <v>297640.11275052192</v>
      </c>
      <c r="V214" s="218">
        <f t="shared" si="143"/>
        <v>292104.33382269577</v>
      </c>
      <c r="W214" s="218">
        <f t="shared" si="143"/>
        <v>286630.16580743127</v>
      </c>
      <c r="X214" s="218">
        <f t="shared" si="143"/>
        <v>281371.57742815843</v>
      </c>
      <c r="Y214" s="218">
        <f t="shared" si="143"/>
        <v>276177.76330496161</v>
      </c>
      <c r="Z214" s="218">
        <f t="shared" si="143"/>
        <v>270177.70282478043</v>
      </c>
      <c r="AA214" s="218">
        <f t="shared" si="143"/>
        <v>264253.42581821728</v>
      </c>
      <c r="AB214" s="218">
        <f t="shared" si="143"/>
        <v>258404.57001264341</v>
      </c>
      <c r="AC214" s="218">
        <f t="shared" si="143"/>
        <v>252592.47059673624</v>
      </c>
      <c r="AD214" s="218">
        <f t="shared" si="143"/>
        <v>246855.92150695936</v>
      </c>
      <c r="AE214" s="218">
        <f t="shared" si="143"/>
        <v>241194.55980826556</v>
      </c>
      <c r="AF214" s="218">
        <f t="shared" si="143"/>
        <v>235608.02380529515</v>
      </c>
      <c r="AG214" s="218">
        <f t="shared" si="143"/>
        <v>230095.95303892755</v>
      </c>
      <c r="AI214" s="266"/>
      <c r="AJ214" s="185"/>
    </row>
    <row r="215" spans="1:36" s="1" customFormat="1" outlineLevel="1">
      <c r="A215" t="s">
        <v>654</v>
      </c>
      <c r="B215" s="252" t="s">
        <v>127</v>
      </c>
      <c r="C215" s="218">
        <f>C181*C214</f>
        <v>0</v>
      </c>
      <c r="D215" s="218">
        <f t="shared" ref="D215:AG215" si="144">D181*D214</f>
        <v>0</v>
      </c>
      <c r="E215" s="218">
        <f t="shared" si="144"/>
        <v>0</v>
      </c>
      <c r="F215" s="218">
        <f t="shared" si="144"/>
        <v>0</v>
      </c>
      <c r="G215" s="218">
        <f t="shared" si="144"/>
        <v>0</v>
      </c>
      <c r="H215" s="218">
        <f t="shared" si="144"/>
        <v>0</v>
      </c>
      <c r="I215" s="218">
        <f t="shared" si="144"/>
        <v>0</v>
      </c>
      <c r="J215" s="218">
        <f t="shared" si="144"/>
        <v>0</v>
      </c>
      <c r="K215" s="218">
        <f t="shared" si="144"/>
        <v>0</v>
      </c>
      <c r="L215" s="218">
        <f t="shared" si="144"/>
        <v>0</v>
      </c>
      <c r="M215" s="218">
        <f t="shared" si="144"/>
        <v>0</v>
      </c>
      <c r="N215" s="218">
        <f t="shared" si="144"/>
        <v>0</v>
      </c>
      <c r="O215" s="218">
        <f t="shared" si="144"/>
        <v>0</v>
      </c>
      <c r="P215" s="218">
        <f t="shared" si="144"/>
        <v>0</v>
      </c>
      <c r="Q215" s="218">
        <f t="shared" si="144"/>
        <v>0</v>
      </c>
      <c r="R215" s="218">
        <f t="shared" si="144"/>
        <v>0</v>
      </c>
      <c r="S215" s="218">
        <f t="shared" si="144"/>
        <v>0</v>
      </c>
      <c r="T215" s="218">
        <f t="shared" si="144"/>
        <v>0</v>
      </c>
      <c r="U215" s="218">
        <f t="shared" si="144"/>
        <v>0</v>
      </c>
      <c r="V215" s="218">
        <f t="shared" si="144"/>
        <v>0</v>
      </c>
      <c r="W215" s="218">
        <f t="shared" si="144"/>
        <v>0</v>
      </c>
      <c r="X215" s="218">
        <f t="shared" si="144"/>
        <v>0</v>
      </c>
      <c r="Y215" s="218">
        <f t="shared" si="144"/>
        <v>0</v>
      </c>
      <c r="Z215" s="218">
        <f t="shared" si="144"/>
        <v>0</v>
      </c>
      <c r="AA215" s="218">
        <f t="shared" si="144"/>
        <v>0</v>
      </c>
      <c r="AB215" s="218">
        <f t="shared" si="144"/>
        <v>0</v>
      </c>
      <c r="AC215" s="218">
        <f t="shared" si="144"/>
        <v>0</v>
      </c>
      <c r="AD215" s="218">
        <f t="shared" si="144"/>
        <v>0</v>
      </c>
      <c r="AE215" s="218">
        <f t="shared" si="144"/>
        <v>0</v>
      </c>
      <c r="AF215" s="218">
        <f t="shared" si="144"/>
        <v>0</v>
      </c>
      <c r="AG215" s="218">
        <f t="shared" si="144"/>
        <v>0</v>
      </c>
      <c r="AI215" s="266"/>
      <c r="AJ215" s="185"/>
    </row>
    <row r="216" spans="1:36" s="1" customFormat="1" outlineLevel="1">
      <c r="A216" t="s">
        <v>683</v>
      </c>
      <c r="B216" s="252" t="s">
        <v>127</v>
      </c>
      <c r="C216" s="218">
        <f>C182*C214</f>
        <v>391052.96364162921</v>
      </c>
      <c r="D216" s="218">
        <f t="shared" ref="D216:AG216" si="145">D182*D214</f>
        <v>386910.49942983233</v>
      </c>
      <c r="E216" s="218">
        <f t="shared" si="145"/>
        <v>382789.65106970345</v>
      </c>
      <c r="F216" s="218">
        <f t="shared" si="145"/>
        <v>378690.33944072499</v>
      </c>
      <c r="G216" s="218">
        <f t="shared" si="145"/>
        <v>374612.48565796</v>
      </c>
      <c r="H216" s="218">
        <f t="shared" si="145"/>
        <v>370556.01107145322</v>
      </c>
      <c r="I216" s="218">
        <f t="shared" si="145"/>
        <v>364966.08743442025</v>
      </c>
      <c r="J216" s="218">
        <f t="shared" si="145"/>
        <v>359427.40543072944</v>
      </c>
      <c r="K216" s="218">
        <f t="shared" si="145"/>
        <v>353939.73562340089</v>
      </c>
      <c r="L216" s="218">
        <f t="shared" si="145"/>
        <v>348502.84933488391</v>
      </c>
      <c r="M216" s="218">
        <f t="shared" si="145"/>
        <v>343116.51864498656</v>
      </c>
      <c r="N216" s="218">
        <f t="shared" si="145"/>
        <v>337559.79891079589</v>
      </c>
      <c r="O216" s="218">
        <f t="shared" si="145"/>
        <v>332164.86333739001</v>
      </c>
      <c r="P216" s="218">
        <f t="shared" si="145"/>
        <v>326253.31758675165</v>
      </c>
      <c r="Q216" s="218">
        <f t="shared" si="145"/>
        <v>320405.13042735244</v>
      </c>
      <c r="R216" s="218">
        <f t="shared" si="145"/>
        <v>314620.00812504184</v>
      </c>
      <c r="S216" s="218">
        <f t="shared" si="145"/>
        <v>308897.6596122444</v>
      </c>
      <c r="T216" s="218">
        <f t="shared" si="145"/>
        <v>303237.79141380516</v>
      </c>
      <c r="U216" s="218">
        <f t="shared" si="145"/>
        <v>297640.11275052192</v>
      </c>
      <c r="V216" s="218">
        <f t="shared" si="145"/>
        <v>292104.33382269577</v>
      </c>
      <c r="W216" s="218">
        <f t="shared" si="145"/>
        <v>286630.16580743127</v>
      </c>
      <c r="X216" s="218">
        <f t="shared" si="145"/>
        <v>281371.57742815843</v>
      </c>
      <c r="Y216" s="218">
        <f t="shared" si="145"/>
        <v>276177.76330496161</v>
      </c>
      <c r="Z216" s="218">
        <f t="shared" si="145"/>
        <v>270177.70282478043</v>
      </c>
      <c r="AA216" s="218">
        <f t="shared" si="145"/>
        <v>264253.42581821728</v>
      </c>
      <c r="AB216" s="218">
        <f t="shared" si="145"/>
        <v>258404.57001264341</v>
      </c>
      <c r="AC216" s="218">
        <f t="shared" si="145"/>
        <v>252592.47059673624</v>
      </c>
      <c r="AD216" s="218">
        <f t="shared" si="145"/>
        <v>246855.92150695936</v>
      </c>
      <c r="AE216" s="218">
        <f t="shared" si="145"/>
        <v>241194.55980826556</v>
      </c>
      <c r="AF216" s="218">
        <f t="shared" si="145"/>
        <v>235608.02380529515</v>
      </c>
      <c r="AG216" s="218">
        <f t="shared" si="145"/>
        <v>230095.95303892755</v>
      </c>
      <c r="AI216" s="266"/>
      <c r="AJ216" s="185"/>
    </row>
    <row r="217" spans="1:36" s="1" customFormat="1" outlineLevel="1">
      <c r="A217" t="s">
        <v>652</v>
      </c>
      <c r="B217" s="252" t="s">
        <v>127</v>
      </c>
      <c r="C217" s="218">
        <f>C183*(C215+C213)</f>
        <v>55207.477219994718</v>
      </c>
      <c r="D217" s="218">
        <f t="shared" ref="D217:AG217" si="146">D183*(D215+D213)</f>
        <v>57595.294139410667</v>
      </c>
      <c r="E217" s="218">
        <f t="shared" si="146"/>
        <v>59986.633005211901</v>
      </c>
      <c r="F217" s="218">
        <f t="shared" si="146"/>
        <v>62381.372522311474</v>
      </c>
      <c r="G217" s="218">
        <f t="shared" si="146"/>
        <v>64779.392157484785</v>
      </c>
      <c r="H217" s="218">
        <f t="shared" si="146"/>
        <v>67180.572136206072</v>
      </c>
      <c r="I217" s="218">
        <f t="shared" si="146"/>
        <v>69289.620737549514</v>
      </c>
      <c r="J217" s="218">
        <f t="shared" si="146"/>
        <v>71380.3693413742</v>
      </c>
      <c r="K217" s="218">
        <f t="shared" si="146"/>
        <v>73452.580997541314</v>
      </c>
      <c r="L217" s="218">
        <f t="shared" si="146"/>
        <v>75506.020862832724</v>
      </c>
      <c r="M217" s="218">
        <f t="shared" si="146"/>
        <v>77540.456190957353</v>
      </c>
      <c r="N217" s="218">
        <f t="shared" si="146"/>
        <v>79503.671903795781</v>
      </c>
      <c r="O217" s="218">
        <f t="shared" si="146"/>
        <v>81470.513767403172</v>
      </c>
      <c r="P217" s="218">
        <f t="shared" si="146"/>
        <v>83270.85870106428</v>
      </c>
      <c r="Q217" s="218">
        <f t="shared" si="146"/>
        <v>85041.095505020348</v>
      </c>
      <c r="R217" s="218">
        <f t="shared" si="146"/>
        <v>86780.949260979964</v>
      </c>
      <c r="S217" s="218">
        <f t="shared" si="146"/>
        <v>88490.148187880346</v>
      </c>
      <c r="T217" s="218">
        <f t="shared" si="146"/>
        <v>90168.42221233029</v>
      </c>
      <c r="U217" s="218">
        <f t="shared" si="146"/>
        <v>91815.504346302187</v>
      </c>
      <c r="V217" s="218">
        <f t="shared" si="146"/>
        <v>93431.130219466024</v>
      </c>
      <c r="W217" s="218">
        <f t="shared" si="146"/>
        <v>95015.038066426408</v>
      </c>
      <c r="X217" s="218">
        <f t="shared" si="146"/>
        <v>96619.938742798884</v>
      </c>
      <c r="Y217" s="218">
        <f t="shared" si="146"/>
        <v>98197.689524329384</v>
      </c>
      <c r="Z217" s="218">
        <f t="shared" si="146"/>
        <v>99427.86668665013</v>
      </c>
      <c r="AA217" s="218">
        <f t="shared" si="146"/>
        <v>100613.16682729129</v>
      </c>
      <c r="AB217" s="218">
        <f t="shared" si="146"/>
        <v>101753.28550096245</v>
      </c>
      <c r="AC217" s="218">
        <f t="shared" si="146"/>
        <v>102832.32771842212</v>
      </c>
      <c r="AD217" s="218">
        <f t="shared" si="146"/>
        <v>103864.90164259664</v>
      </c>
      <c r="AE217" s="218">
        <f t="shared" si="146"/>
        <v>104850.70940221341</v>
      </c>
      <c r="AF217" s="218">
        <f t="shared" si="146"/>
        <v>105789.45633154563</v>
      </c>
      <c r="AG217" s="218">
        <f t="shared" si="146"/>
        <v>106680.85095441189</v>
      </c>
      <c r="AH217" s="218"/>
      <c r="AI217" s="266"/>
      <c r="AJ217" s="185"/>
    </row>
    <row r="218" spans="1:36" s="1" customFormat="1" outlineLevel="1">
      <c r="A218" t="s">
        <v>653</v>
      </c>
      <c r="B218" s="252" t="s">
        <v>127</v>
      </c>
      <c r="C218" s="218">
        <f>C184*(C215+C213)</f>
        <v>13801.86930499868</v>
      </c>
      <c r="D218" s="218">
        <f t="shared" ref="D218:AG218" si="147">D184*(D215+D213)</f>
        <v>14100.092756121285</v>
      </c>
      <c r="E218" s="218">
        <f t="shared" si="147"/>
        <v>14376.96162934831</v>
      </c>
      <c r="F218" s="218">
        <f t="shared" si="147"/>
        <v>14632.667628690349</v>
      </c>
      <c r="G218" s="218">
        <f t="shared" si="147"/>
        <v>14867.401478767004</v>
      </c>
      <c r="H218" s="218">
        <f t="shared" si="147"/>
        <v>15081.352928536064</v>
      </c>
      <c r="I218" s="218">
        <f t="shared" si="147"/>
        <v>15209.916747266972</v>
      </c>
      <c r="J218" s="218">
        <f t="shared" si="147"/>
        <v>15316.435526691639</v>
      </c>
      <c r="K218" s="218">
        <f t="shared" si="147"/>
        <v>15401.347628516738</v>
      </c>
      <c r="L218" s="218">
        <f t="shared" si="147"/>
        <v>15465.088610459727</v>
      </c>
      <c r="M218" s="218">
        <f t="shared" si="147"/>
        <v>15508.091238191482</v>
      </c>
      <c r="N218" s="218">
        <f t="shared" si="147"/>
        <v>15520.637144565722</v>
      </c>
      <c r="O218" s="218">
        <f t="shared" si="147"/>
        <v>15518.193098553</v>
      </c>
      <c r="P218" s="218">
        <f t="shared" si="147"/>
        <v>15469.28995632421</v>
      </c>
      <c r="Q218" s="218">
        <f t="shared" si="147"/>
        <v>15401.143280436774</v>
      </c>
      <c r="R218" s="218">
        <f t="shared" si="147"/>
        <v>15314.285163702365</v>
      </c>
      <c r="S218" s="218">
        <f t="shared" si="147"/>
        <v>15209.244219791954</v>
      </c>
      <c r="T218" s="218">
        <f t="shared" si="147"/>
        <v>15086.545350701199</v>
      </c>
      <c r="U218" s="218">
        <f t="shared" si="147"/>
        <v>14946.710009863171</v>
      </c>
      <c r="V218" s="218">
        <f t="shared" si="147"/>
        <v>14790.256135127851</v>
      </c>
      <c r="W218" s="218">
        <f t="shared" si="147"/>
        <v>14617.698164065627</v>
      </c>
      <c r="X218" s="218">
        <f t="shared" si="147"/>
        <v>14437.462110992963</v>
      </c>
      <c r="Y218" s="218">
        <f t="shared" si="147"/>
        <v>14242.412984444747</v>
      </c>
      <c r="Z218" s="218">
        <f t="shared" si="147"/>
        <v>13987.950826639022</v>
      </c>
      <c r="AA218" s="218">
        <f t="shared" si="147"/>
        <v>13719.977294630662</v>
      </c>
      <c r="AB218" s="218">
        <f t="shared" si="147"/>
        <v>13439.113179372431</v>
      </c>
      <c r="AC218" s="218">
        <f t="shared" si="147"/>
        <v>13143.981738444965</v>
      </c>
      <c r="AD218" s="218">
        <f t="shared" si="147"/>
        <v>12837.23503447827</v>
      </c>
      <c r="AE218" s="218">
        <f t="shared" si="147"/>
        <v>12519.48768981656</v>
      </c>
      <c r="AF218" s="218">
        <f t="shared" si="147"/>
        <v>12191.349986163286</v>
      </c>
      <c r="AG218" s="218">
        <f t="shared" si="147"/>
        <v>11853.427883823544</v>
      </c>
      <c r="AI218" s="266"/>
      <c r="AJ218" s="185"/>
    </row>
    <row r="219" spans="1:36" s="1" customFormat="1" outlineLevel="1">
      <c r="A219" t="s">
        <v>663</v>
      </c>
      <c r="B219" s="252" t="s">
        <v>127</v>
      </c>
      <c r="C219" s="218">
        <f>C212*C185</f>
        <v>0</v>
      </c>
      <c r="D219" s="218">
        <f t="shared" ref="D219:AG219" si="148">D212*D185</f>
        <v>0</v>
      </c>
      <c r="E219" s="218">
        <f t="shared" si="148"/>
        <v>0</v>
      </c>
      <c r="F219" s="218">
        <f t="shared" si="148"/>
        <v>0</v>
      </c>
      <c r="G219" s="218">
        <f t="shared" si="148"/>
        <v>0</v>
      </c>
      <c r="H219" s="218">
        <f t="shared" si="148"/>
        <v>0</v>
      </c>
      <c r="I219" s="218">
        <f t="shared" si="148"/>
        <v>0</v>
      </c>
      <c r="J219" s="218">
        <f t="shared" si="148"/>
        <v>0</v>
      </c>
      <c r="K219" s="218">
        <f t="shared" si="148"/>
        <v>0</v>
      </c>
      <c r="L219" s="218">
        <f t="shared" si="148"/>
        <v>0</v>
      </c>
      <c r="M219" s="218">
        <f t="shared" si="148"/>
        <v>0</v>
      </c>
      <c r="N219" s="218">
        <f t="shared" si="148"/>
        <v>0</v>
      </c>
      <c r="O219" s="218">
        <f t="shared" si="148"/>
        <v>0</v>
      </c>
      <c r="P219" s="218">
        <f t="shared" si="148"/>
        <v>0</v>
      </c>
      <c r="Q219" s="218">
        <f t="shared" si="148"/>
        <v>0</v>
      </c>
      <c r="R219" s="218">
        <f t="shared" si="148"/>
        <v>0</v>
      </c>
      <c r="S219" s="218">
        <f t="shared" si="148"/>
        <v>0</v>
      </c>
      <c r="T219" s="218">
        <f t="shared" si="148"/>
        <v>0</v>
      </c>
      <c r="U219" s="218">
        <f t="shared" si="148"/>
        <v>0</v>
      </c>
      <c r="V219" s="218">
        <f t="shared" si="148"/>
        <v>0</v>
      </c>
      <c r="W219" s="218">
        <f t="shared" si="148"/>
        <v>0</v>
      </c>
      <c r="X219" s="218">
        <f t="shared" si="148"/>
        <v>0</v>
      </c>
      <c r="Y219" s="218">
        <f t="shared" si="148"/>
        <v>0</v>
      </c>
      <c r="Z219" s="218">
        <f t="shared" si="148"/>
        <v>0</v>
      </c>
      <c r="AA219" s="218">
        <f t="shared" si="148"/>
        <v>0</v>
      </c>
      <c r="AB219" s="218">
        <f t="shared" si="148"/>
        <v>0</v>
      </c>
      <c r="AC219" s="218">
        <f t="shared" si="148"/>
        <v>0</v>
      </c>
      <c r="AD219" s="218">
        <f t="shared" si="148"/>
        <v>0</v>
      </c>
      <c r="AE219" s="218">
        <f t="shared" si="148"/>
        <v>0</v>
      </c>
      <c r="AF219" s="218">
        <f t="shared" si="148"/>
        <v>0</v>
      </c>
      <c r="AG219" s="218">
        <f t="shared" si="148"/>
        <v>0</v>
      </c>
      <c r="AI219" s="266"/>
      <c r="AJ219" s="185"/>
    </row>
    <row r="220" spans="1:36" s="1" customFormat="1" outlineLevel="1">
      <c r="A220" t="s">
        <v>684</v>
      </c>
      <c r="B220" s="252" t="s">
        <v>127</v>
      </c>
      <c r="C220" s="218">
        <f>C212*C186</f>
        <v>0</v>
      </c>
      <c r="D220" s="218">
        <f t="shared" ref="D220:AG220" si="149">D212*D186</f>
        <v>0</v>
      </c>
      <c r="E220" s="218">
        <f t="shared" si="149"/>
        <v>0</v>
      </c>
      <c r="F220" s="218">
        <f t="shared" si="149"/>
        <v>0</v>
      </c>
      <c r="G220" s="218">
        <f t="shared" si="149"/>
        <v>0</v>
      </c>
      <c r="H220" s="218">
        <f t="shared" si="149"/>
        <v>0</v>
      </c>
      <c r="I220" s="218">
        <f t="shared" si="149"/>
        <v>0</v>
      </c>
      <c r="J220" s="218">
        <f t="shared" si="149"/>
        <v>0</v>
      </c>
      <c r="K220" s="218">
        <f t="shared" si="149"/>
        <v>0</v>
      </c>
      <c r="L220" s="218">
        <f t="shared" si="149"/>
        <v>0</v>
      </c>
      <c r="M220" s="218">
        <f t="shared" si="149"/>
        <v>0</v>
      </c>
      <c r="N220" s="218">
        <f t="shared" si="149"/>
        <v>0</v>
      </c>
      <c r="O220" s="218">
        <f t="shared" si="149"/>
        <v>0</v>
      </c>
      <c r="P220" s="218">
        <f t="shared" si="149"/>
        <v>0</v>
      </c>
      <c r="Q220" s="218">
        <f t="shared" si="149"/>
        <v>0</v>
      </c>
      <c r="R220" s="218">
        <f t="shared" si="149"/>
        <v>0</v>
      </c>
      <c r="S220" s="218">
        <f t="shared" si="149"/>
        <v>0</v>
      </c>
      <c r="T220" s="218">
        <f t="shared" si="149"/>
        <v>0</v>
      </c>
      <c r="U220" s="218">
        <f t="shared" si="149"/>
        <v>0</v>
      </c>
      <c r="V220" s="218">
        <f t="shared" si="149"/>
        <v>0</v>
      </c>
      <c r="W220" s="218">
        <f t="shared" si="149"/>
        <v>0</v>
      </c>
      <c r="X220" s="218">
        <f t="shared" si="149"/>
        <v>0</v>
      </c>
      <c r="Y220" s="218">
        <f t="shared" si="149"/>
        <v>0</v>
      </c>
      <c r="Z220" s="218">
        <f t="shared" si="149"/>
        <v>0</v>
      </c>
      <c r="AA220" s="218">
        <f t="shared" si="149"/>
        <v>0</v>
      </c>
      <c r="AB220" s="218">
        <f t="shared" si="149"/>
        <v>0</v>
      </c>
      <c r="AC220" s="218">
        <f t="shared" si="149"/>
        <v>0</v>
      </c>
      <c r="AD220" s="218">
        <f t="shared" si="149"/>
        <v>0</v>
      </c>
      <c r="AE220" s="218">
        <f t="shared" si="149"/>
        <v>0</v>
      </c>
      <c r="AF220" s="218">
        <f t="shared" si="149"/>
        <v>0</v>
      </c>
      <c r="AG220" s="218">
        <f t="shared" si="149"/>
        <v>0</v>
      </c>
      <c r="AI220" s="266"/>
      <c r="AJ220" s="185"/>
    </row>
    <row r="221" spans="1:36" s="1" customFormat="1" outlineLevel="1">
      <c r="A221" t="s">
        <v>666</v>
      </c>
      <c r="B221" s="252" t="s">
        <v>127</v>
      </c>
      <c r="C221" s="218">
        <f t="shared" ref="C221:AG221" si="150">C217*C187</f>
        <v>14906.018849398575</v>
      </c>
      <c r="D221" s="218">
        <f t="shared" si="150"/>
        <v>15320.348241083238</v>
      </c>
      <c r="E221" s="218">
        <f t="shared" si="150"/>
        <v>15716.497847365519</v>
      </c>
      <c r="F221" s="218">
        <f t="shared" si="150"/>
        <v>16094.394110756361</v>
      </c>
      <c r="G221" s="218">
        <f t="shared" si="150"/>
        <v>16453.965608001137</v>
      </c>
      <c r="H221" s="218">
        <f t="shared" si="150"/>
        <v>16795.143034051518</v>
      </c>
      <c r="I221" s="218">
        <f t="shared" si="150"/>
        <v>17045.24670143718</v>
      </c>
      <c r="J221" s="218">
        <f t="shared" si="150"/>
        <v>17274.049380612556</v>
      </c>
      <c r="K221" s="218">
        <f t="shared" si="150"/>
        <v>17481.714277414831</v>
      </c>
      <c r="L221" s="218">
        <f t="shared" si="150"/>
        <v>17668.408881902855</v>
      </c>
      <c r="M221" s="218">
        <f t="shared" si="150"/>
        <v>17834.30492392019</v>
      </c>
      <c r="N221" s="218">
        <f t="shared" si="150"/>
        <v>17967.829850257844</v>
      </c>
      <c r="O221" s="218">
        <f t="shared" si="150"/>
        <v>18086.454056363502</v>
      </c>
      <c r="P221" s="218">
        <f t="shared" si="150"/>
        <v>18153.047196832013</v>
      </c>
      <c r="Q221" s="218">
        <f t="shared" si="150"/>
        <v>18198.79443807435</v>
      </c>
      <c r="R221" s="218">
        <f t="shared" si="150"/>
        <v>18223.99934480579</v>
      </c>
      <c r="S221" s="218">
        <f t="shared" si="150"/>
        <v>18228.97052670335</v>
      </c>
      <c r="T221" s="218">
        <f t="shared" si="150"/>
        <v>18214.021286890715</v>
      </c>
      <c r="U221" s="218">
        <f t="shared" si="150"/>
        <v>18179.469860567828</v>
      </c>
      <c r="V221" s="218">
        <f t="shared" si="150"/>
        <v>18125.639262576406</v>
      </c>
      <c r="W221" s="218">
        <f t="shared" si="150"/>
        <v>18052.857232621012</v>
      </c>
      <c r="X221" s="218">
        <f t="shared" si="150"/>
        <v>17971.308606160586</v>
      </c>
      <c r="Y221" s="218">
        <f t="shared" si="150"/>
        <v>17871.979493427942</v>
      </c>
      <c r="Z221" s="218">
        <f t="shared" si="150"/>
        <v>17698.160270223718</v>
      </c>
      <c r="AA221" s="218">
        <f t="shared" si="150"/>
        <v>17506.69102794868</v>
      </c>
      <c r="AB221" s="218">
        <f t="shared" si="150"/>
        <v>17298.058535163607</v>
      </c>
      <c r="AC221" s="218">
        <f t="shared" si="150"/>
        <v>17070.166401258066</v>
      </c>
      <c r="AD221" s="218">
        <f t="shared" si="150"/>
        <v>16826.114066100647</v>
      </c>
      <c r="AE221" s="218">
        <f t="shared" si="150"/>
        <v>16566.412085549709</v>
      </c>
      <c r="AF221" s="218">
        <f t="shared" si="150"/>
        <v>16291.576275058018</v>
      </c>
      <c r="AG221" s="218">
        <f t="shared" si="150"/>
        <v>16002.127643161783</v>
      </c>
      <c r="AI221" s="266"/>
      <c r="AJ221" s="185"/>
    </row>
    <row r="222" spans="1:36" s="61" customFormat="1">
      <c r="A222" s="294" t="s">
        <v>657</v>
      </c>
      <c r="B222" s="258" t="s">
        <v>127</v>
      </c>
      <c r="C222" s="259">
        <f>C188*C$207</f>
        <v>435425.34464980528</v>
      </c>
      <c r="D222" s="259">
        <f t="shared" ref="D222:AG227" si="151">D188*D$207</f>
        <v>432596.20107356401</v>
      </c>
      <c r="E222" s="259">
        <f t="shared" si="151"/>
        <v>429776.04373071244</v>
      </c>
      <c r="F222" s="259">
        <f t="shared" si="151"/>
        <v>426964.84978596901</v>
      </c>
      <c r="G222" s="259">
        <f t="shared" si="151"/>
        <v>424162.59645434062</v>
      </c>
      <c r="H222" s="259">
        <f t="shared" si="151"/>
        <v>421369.26100102672</v>
      </c>
      <c r="I222" s="259">
        <f t="shared" si="151"/>
        <v>416689.60233220091</v>
      </c>
      <c r="J222" s="259">
        <f t="shared" si="151"/>
        <v>412025.88688925328</v>
      </c>
      <c r="K222" s="259">
        <f t="shared" si="151"/>
        <v>407378.07296870463</v>
      </c>
      <c r="L222" s="259">
        <f t="shared" si="151"/>
        <v>402746.11896051938</v>
      </c>
      <c r="M222" s="259">
        <f t="shared" si="151"/>
        <v>398129.98334792489</v>
      </c>
      <c r="N222" s="259">
        <f t="shared" si="151"/>
        <v>393249.64992622554</v>
      </c>
      <c r="O222" s="259">
        <f t="shared" si="151"/>
        <v>388523.29412265436</v>
      </c>
      <c r="P222" s="259">
        <f t="shared" si="151"/>
        <v>383273.37708966597</v>
      </c>
      <c r="Q222" s="259">
        <f t="shared" si="151"/>
        <v>378055.23324583354</v>
      </c>
      <c r="R222" s="259">
        <f t="shared" si="151"/>
        <v>372868.73863963305</v>
      </c>
      <c r="S222" s="259">
        <f t="shared" si="151"/>
        <v>367713.7719215129</v>
      </c>
      <c r="T222" s="259">
        <f t="shared" si="151"/>
        <v>362590.20767519332</v>
      </c>
      <c r="U222" s="259">
        <f t="shared" si="151"/>
        <v>357497.9230926928</v>
      </c>
      <c r="V222" s="259">
        <f t="shared" si="151"/>
        <v>352436.79574522335</v>
      </c>
      <c r="W222" s="259">
        <f t="shared" si="151"/>
        <v>347406.70358220383</v>
      </c>
      <c r="X222" s="259">
        <f t="shared" si="151"/>
        <v>342620.48683963611</v>
      </c>
      <c r="Y222" s="259">
        <f t="shared" si="151"/>
        <v>337874.06622597133</v>
      </c>
      <c r="Z222" s="259">
        <f t="shared" si="151"/>
        <v>332457.20523665118</v>
      </c>
      <c r="AA222" s="259">
        <f t="shared" si="151"/>
        <v>327099.33358469664</v>
      </c>
      <c r="AB222" s="259">
        <f t="shared" si="151"/>
        <v>321800.17694540008</v>
      </c>
      <c r="AC222" s="259">
        <f t="shared" si="151"/>
        <v>316504.13651081634</v>
      </c>
      <c r="AD222" s="259">
        <f t="shared" si="151"/>
        <v>311266.47187022882</v>
      </c>
      <c r="AE222" s="259">
        <f t="shared" si="151"/>
        <v>306086.91089925915</v>
      </c>
      <c r="AF222" s="259">
        <f t="shared" si="151"/>
        <v>300965.18238980637</v>
      </c>
      <c r="AG222" s="259">
        <f t="shared" si="151"/>
        <v>295901.01604752644</v>
      </c>
      <c r="AI222" s="286"/>
      <c r="AJ222" s="297"/>
    </row>
    <row r="223" spans="1:36">
      <c r="A223" s="295" t="s">
        <v>658</v>
      </c>
      <c r="B223" s="252" t="s">
        <v>127</v>
      </c>
      <c r="C223" s="218">
        <f t="shared" ref="C223:R227" si="152">C189*C$207</f>
        <v>4488.9210788639721</v>
      </c>
      <c r="D223" s="218">
        <f t="shared" si="152"/>
        <v>4458.2226149800481</v>
      </c>
      <c r="E223" s="218">
        <f t="shared" si="152"/>
        <v>4427.637813159813</v>
      </c>
      <c r="F223" s="218">
        <f t="shared" si="152"/>
        <v>4397.1663211737286</v>
      </c>
      <c r="G223" s="218">
        <f t="shared" si="152"/>
        <v>4366.8077877934875</v>
      </c>
      <c r="H223" s="218">
        <f t="shared" si="152"/>
        <v>4336.5618627892982</v>
      </c>
      <c r="I223" s="218">
        <f t="shared" si="152"/>
        <v>4286.9300651461008</v>
      </c>
      <c r="J223" s="218">
        <f t="shared" si="152"/>
        <v>4237.496265573398</v>
      </c>
      <c r="K223" s="218">
        <f t="shared" si="152"/>
        <v>4188.2598317550182</v>
      </c>
      <c r="L223" s="218">
        <f t="shared" si="152"/>
        <v>4139.2201332016393</v>
      </c>
      <c r="M223" s="218">
        <f t="shared" si="152"/>
        <v>4090.3765412458056</v>
      </c>
      <c r="N223" s="218">
        <f t="shared" si="152"/>
        <v>4038.8529605569224</v>
      </c>
      <c r="O223" s="218">
        <f t="shared" si="152"/>
        <v>3988.9455248732497</v>
      </c>
      <c r="P223" s="218">
        <f t="shared" si="152"/>
        <v>3933.698704307214</v>
      </c>
      <c r="Q223" s="218">
        <f t="shared" si="152"/>
        <v>3878.8156625769539</v>
      </c>
      <c r="R223" s="218">
        <f t="shared" si="152"/>
        <v>3824.2947552782903</v>
      </c>
      <c r="S223" s="218">
        <f t="shared" si="151"/>
        <v>3770.1343669328071</v>
      </c>
      <c r="T223" s="218">
        <f t="shared" si="151"/>
        <v>3716.3328425882496</v>
      </c>
      <c r="U223" s="218">
        <f t="shared" si="151"/>
        <v>3662.8885562775931</v>
      </c>
      <c r="V223" s="218">
        <f t="shared" si="151"/>
        <v>3609.7998881381727</v>
      </c>
      <c r="W223" s="218">
        <f t="shared" si="151"/>
        <v>3557.0652243911686</v>
      </c>
      <c r="X223" s="218">
        <f t="shared" si="151"/>
        <v>3506.862710743464</v>
      </c>
      <c r="Y223" s="218">
        <f t="shared" si="151"/>
        <v>3457.1016325986184</v>
      </c>
      <c r="Z223" s="218">
        <f t="shared" si="151"/>
        <v>3400.5169304805809</v>
      </c>
      <c r="AA223" s="218">
        <f t="shared" si="151"/>
        <v>3344.5739630337112</v>
      </c>
      <c r="AB223" s="218">
        <f t="shared" si="151"/>
        <v>3289.2692703107368</v>
      </c>
      <c r="AC223" s="218">
        <f t="shared" si="151"/>
        <v>3234.0340924129769</v>
      </c>
      <c r="AD223" s="218">
        <f t="shared" si="151"/>
        <v>3179.4328076632191</v>
      </c>
      <c r="AE223" s="218">
        <f t="shared" si="151"/>
        <v>3125.4619901217784</v>
      </c>
      <c r="AF223" s="218">
        <f t="shared" si="151"/>
        <v>3072.1182278646484</v>
      </c>
      <c r="AG223" s="218">
        <f t="shared" si="151"/>
        <v>3019.3981229339438</v>
      </c>
      <c r="AI223" s="246"/>
    </row>
    <row r="224" spans="1:36">
      <c r="A224" s="295" t="s">
        <v>659</v>
      </c>
      <c r="B224" s="252" t="s">
        <v>127</v>
      </c>
      <c r="C224" s="218">
        <f t="shared" si="152"/>
        <v>0</v>
      </c>
      <c r="D224" s="218">
        <f t="shared" si="151"/>
        <v>0</v>
      </c>
      <c r="E224" s="218">
        <f t="shared" si="151"/>
        <v>0</v>
      </c>
      <c r="F224" s="218">
        <f t="shared" si="151"/>
        <v>0</v>
      </c>
      <c r="G224" s="218">
        <f t="shared" si="151"/>
        <v>0</v>
      </c>
      <c r="H224" s="218">
        <f t="shared" si="151"/>
        <v>0</v>
      </c>
      <c r="I224" s="218">
        <f t="shared" si="151"/>
        <v>0</v>
      </c>
      <c r="J224" s="218">
        <f t="shared" si="151"/>
        <v>0</v>
      </c>
      <c r="K224" s="218">
        <f t="shared" si="151"/>
        <v>0</v>
      </c>
      <c r="L224" s="218">
        <f t="shared" si="151"/>
        <v>0</v>
      </c>
      <c r="M224" s="218">
        <f t="shared" si="151"/>
        <v>0</v>
      </c>
      <c r="N224" s="218">
        <f t="shared" si="151"/>
        <v>0</v>
      </c>
      <c r="O224" s="218">
        <f t="shared" si="151"/>
        <v>0</v>
      </c>
      <c r="P224" s="218">
        <f t="shared" si="151"/>
        <v>0</v>
      </c>
      <c r="Q224" s="218">
        <f t="shared" si="151"/>
        <v>0</v>
      </c>
      <c r="R224" s="218">
        <f t="shared" si="151"/>
        <v>0</v>
      </c>
      <c r="S224" s="218">
        <f t="shared" si="151"/>
        <v>0</v>
      </c>
      <c r="T224" s="218">
        <f t="shared" si="151"/>
        <v>0</v>
      </c>
      <c r="U224" s="218">
        <f t="shared" si="151"/>
        <v>0</v>
      </c>
      <c r="V224" s="218">
        <f t="shared" si="151"/>
        <v>0</v>
      </c>
      <c r="W224" s="218">
        <f t="shared" si="151"/>
        <v>0</v>
      </c>
      <c r="X224" s="218">
        <f t="shared" si="151"/>
        <v>0</v>
      </c>
      <c r="Y224" s="218">
        <f t="shared" si="151"/>
        <v>0</v>
      </c>
      <c r="Z224" s="218">
        <f t="shared" si="151"/>
        <v>0</v>
      </c>
      <c r="AA224" s="218">
        <f t="shared" si="151"/>
        <v>0</v>
      </c>
      <c r="AB224" s="218">
        <f t="shared" si="151"/>
        <v>0</v>
      </c>
      <c r="AC224" s="218">
        <f t="shared" si="151"/>
        <v>0</v>
      </c>
      <c r="AD224" s="218">
        <f t="shared" si="151"/>
        <v>0</v>
      </c>
      <c r="AE224" s="218">
        <f t="shared" si="151"/>
        <v>0</v>
      </c>
      <c r="AF224" s="218">
        <f t="shared" si="151"/>
        <v>0</v>
      </c>
      <c r="AG224" s="218">
        <f t="shared" si="151"/>
        <v>0</v>
      </c>
      <c r="AI224" s="246"/>
    </row>
    <row r="225" spans="1:36">
      <c r="A225" s="295" t="s">
        <v>660</v>
      </c>
      <c r="B225" s="252" t="s">
        <v>127</v>
      </c>
      <c r="C225" s="218">
        <f t="shared" si="152"/>
        <v>0</v>
      </c>
      <c r="D225" s="218">
        <f t="shared" si="151"/>
        <v>0</v>
      </c>
      <c r="E225" s="218">
        <f t="shared" si="151"/>
        <v>0</v>
      </c>
      <c r="F225" s="218">
        <f t="shared" si="151"/>
        <v>0</v>
      </c>
      <c r="G225" s="218">
        <f t="shared" si="151"/>
        <v>0</v>
      </c>
      <c r="H225" s="218">
        <f t="shared" si="151"/>
        <v>0</v>
      </c>
      <c r="I225" s="218">
        <f t="shared" si="151"/>
        <v>0</v>
      </c>
      <c r="J225" s="218">
        <f t="shared" si="151"/>
        <v>0</v>
      </c>
      <c r="K225" s="218">
        <f t="shared" si="151"/>
        <v>0</v>
      </c>
      <c r="L225" s="218">
        <f t="shared" si="151"/>
        <v>0</v>
      </c>
      <c r="M225" s="218">
        <f t="shared" si="151"/>
        <v>0</v>
      </c>
      <c r="N225" s="218">
        <f t="shared" si="151"/>
        <v>0</v>
      </c>
      <c r="O225" s="218">
        <f t="shared" si="151"/>
        <v>0</v>
      </c>
      <c r="P225" s="218">
        <f t="shared" si="151"/>
        <v>0</v>
      </c>
      <c r="Q225" s="218">
        <f t="shared" si="151"/>
        <v>0</v>
      </c>
      <c r="R225" s="218">
        <f t="shared" si="151"/>
        <v>0</v>
      </c>
      <c r="S225" s="218">
        <f t="shared" si="151"/>
        <v>0</v>
      </c>
      <c r="T225" s="218">
        <f t="shared" si="151"/>
        <v>0</v>
      </c>
      <c r="U225" s="218">
        <f t="shared" si="151"/>
        <v>0</v>
      </c>
      <c r="V225" s="218">
        <f t="shared" si="151"/>
        <v>0</v>
      </c>
      <c r="W225" s="218">
        <f t="shared" si="151"/>
        <v>0</v>
      </c>
      <c r="X225" s="218">
        <f t="shared" si="151"/>
        <v>0</v>
      </c>
      <c r="Y225" s="218">
        <f t="shared" si="151"/>
        <v>0</v>
      </c>
      <c r="Z225" s="218">
        <f t="shared" si="151"/>
        <v>0</v>
      </c>
      <c r="AA225" s="218">
        <f t="shared" si="151"/>
        <v>0</v>
      </c>
      <c r="AB225" s="218">
        <f t="shared" si="151"/>
        <v>0</v>
      </c>
      <c r="AC225" s="218">
        <f t="shared" si="151"/>
        <v>0</v>
      </c>
      <c r="AD225" s="218">
        <f t="shared" si="151"/>
        <v>0</v>
      </c>
      <c r="AE225" s="218">
        <f t="shared" si="151"/>
        <v>0</v>
      </c>
      <c r="AF225" s="218">
        <f t="shared" si="151"/>
        <v>0</v>
      </c>
      <c r="AG225" s="218">
        <f t="shared" si="151"/>
        <v>0</v>
      </c>
      <c r="AI225" s="246"/>
    </row>
    <row r="226" spans="1:36">
      <c r="A226" s="295" t="s">
        <v>661</v>
      </c>
      <c r="B226" s="252" t="s">
        <v>127</v>
      </c>
      <c r="C226" s="218">
        <f t="shared" si="152"/>
        <v>6733.3816182959581</v>
      </c>
      <c r="D226" s="218">
        <f t="shared" si="151"/>
        <v>6568.4479860706042</v>
      </c>
      <c r="E226" s="218">
        <f t="shared" si="151"/>
        <v>6405.3160363711959</v>
      </c>
      <c r="F226" s="218">
        <f t="shared" si="151"/>
        <v>6243.9761760666943</v>
      </c>
      <c r="G226" s="218">
        <f t="shared" si="151"/>
        <v>6084.4188509922578</v>
      </c>
      <c r="H226" s="218">
        <f t="shared" si="151"/>
        <v>5926.6345458120404</v>
      </c>
      <c r="I226" s="218">
        <f t="shared" si="151"/>
        <v>5744.4862872957747</v>
      </c>
      <c r="J226" s="218">
        <f t="shared" si="151"/>
        <v>5565.2450954530623</v>
      </c>
      <c r="K226" s="218">
        <f t="shared" si="151"/>
        <v>5388.8943168581227</v>
      </c>
      <c r="L226" s="218">
        <f t="shared" si="151"/>
        <v>5215.4173678340649</v>
      </c>
      <c r="M226" s="218">
        <f t="shared" si="151"/>
        <v>5044.7977342031591</v>
      </c>
      <c r="N226" s="218">
        <f t="shared" si="151"/>
        <v>4873.5492390720192</v>
      </c>
      <c r="O226" s="218">
        <f t="shared" si="151"/>
        <v>4706.9557193504343</v>
      </c>
      <c r="P226" s="218">
        <f t="shared" si="151"/>
        <v>4536.8658389676521</v>
      </c>
      <c r="Q226" s="218">
        <f t="shared" si="151"/>
        <v>4370.1323131700337</v>
      </c>
      <c r="R226" s="218">
        <f t="shared" si="151"/>
        <v>4206.7242308061186</v>
      </c>
      <c r="S226" s="218">
        <f t="shared" si="151"/>
        <v>4046.610887174545</v>
      </c>
      <c r="T226" s="218">
        <f t="shared" si="151"/>
        <v>3889.7617085757001</v>
      </c>
      <c r="U226" s="218">
        <f t="shared" si="151"/>
        <v>3736.1463274031439</v>
      </c>
      <c r="V226" s="218">
        <f t="shared" si="151"/>
        <v>3585.734555550584</v>
      </c>
      <c r="W226" s="218">
        <f t="shared" si="151"/>
        <v>3438.4963835781286</v>
      </c>
      <c r="X226" s="218">
        <f t="shared" si="151"/>
        <v>3296.450948098855</v>
      </c>
      <c r="Y226" s="218">
        <f t="shared" si="151"/>
        <v>3157.4861577734036</v>
      </c>
      <c r="Z226" s="218">
        <f t="shared" si="151"/>
        <v>3015.1250116927804</v>
      </c>
      <c r="AA226" s="218">
        <f t="shared" si="151"/>
        <v>2876.3336082089904</v>
      </c>
      <c r="AB226" s="218">
        <f t="shared" si="151"/>
        <v>2741.057725258946</v>
      </c>
      <c r="AC226" s="218">
        <f t="shared" si="151"/>
        <v>2608.7875012131335</v>
      </c>
      <c r="AD226" s="218">
        <f t="shared" si="151"/>
        <v>2479.9575899773099</v>
      </c>
      <c r="AE226" s="218">
        <f t="shared" si="151"/>
        <v>2354.5146992250716</v>
      </c>
      <c r="AF226" s="218">
        <f t="shared" si="151"/>
        <v>2232.40591224831</v>
      </c>
      <c r="AG226" s="218">
        <f t="shared" si="151"/>
        <v>2113.5786860537605</v>
      </c>
      <c r="AI226" s="246"/>
    </row>
    <row r="227" spans="1:36" s="62" customFormat="1">
      <c r="A227" s="296" t="s">
        <v>662</v>
      </c>
      <c r="B227" s="262" t="s">
        <v>127</v>
      </c>
      <c r="C227" s="263">
        <f t="shared" si="152"/>
        <v>2244.460539431986</v>
      </c>
      <c r="D227" s="263">
        <f t="shared" si="151"/>
        <v>2199.3898233901573</v>
      </c>
      <c r="E227" s="263">
        <f t="shared" si="151"/>
        <v>2154.7837357377762</v>
      </c>
      <c r="F227" s="263">
        <f t="shared" si="151"/>
        <v>2110.6398341633903</v>
      </c>
      <c r="G227" s="263">
        <f t="shared" si="151"/>
        <v>2066.9556862222512</v>
      </c>
      <c r="H227" s="263">
        <f t="shared" si="151"/>
        <v>2023.7288693016735</v>
      </c>
      <c r="I227" s="263">
        <f t="shared" si="151"/>
        <v>1971.9878299672075</v>
      </c>
      <c r="J227" s="263">
        <f t="shared" si="151"/>
        <v>1920.9983070599417</v>
      </c>
      <c r="K227" s="263">
        <f t="shared" si="151"/>
        <v>1870.7560581839095</v>
      </c>
      <c r="L227" s="263">
        <f t="shared" si="151"/>
        <v>1821.256858608723</v>
      </c>
      <c r="M227" s="263">
        <f t="shared" si="151"/>
        <v>1772.4965012065175</v>
      </c>
      <c r="N227" s="263">
        <f t="shared" si="151"/>
        <v>1723.2439298376221</v>
      </c>
      <c r="O227" s="263">
        <f t="shared" si="151"/>
        <v>1675.3571204467669</v>
      </c>
      <c r="P227" s="263">
        <f t="shared" si="151"/>
        <v>1625.9287977803172</v>
      </c>
      <c r="Q227" s="263">
        <f t="shared" si="151"/>
        <v>1577.3850361146301</v>
      </c>
      <c r="R227" s="263">
        <f t="shared" si="151"/>
        <v>1529.7179021113184</v>
      </c>
      <c r="S227" s="263">
        <f t="shared" si="151"/>
        <v>1482.91951766024</v>
      </c>
      <c r="T227" s="263">
        <f t="shared" si="151"/>
        <v>1436.9820324674588</v>
      </c>
      <c r="U227" s="263">
        <f t="shared" si="151"/>
        <v>1391.8976513854877</v>
      </c>
      <c r="V227" s="263">
        <f t="shared" si="151"/>
        <v>1347.6586249049201</v>
      </c>
      <c r="W227" s="263">
        <f t="shared" si="151"/>
        <v>1304.2572489434308</v>
      </c>
      <c r="X227" s="263">
        <f t="shared" si="151"/>
        <v>1262.4705758676491</v>
      </c>
      <c r="Y227" s="263">
        <f t="shared" si="151"/>
        <v>1221.5092435181807</v>
      </c>
      <c r="Z227" s="263">
        <f t="shared" si="151"/>
        <v>1178.8458692332702</v>
      </c>
      <c r="AA227" s="263">
        <f t="shared" si="151"/>
        <v>1137.155147431464</v>
      </c>
      <c r="AB227" s="263">
        <f t="shared" si="151"/>
        <v>1096.423090103581</v>
      </c>
      <c r="AC227" s="263">
        <f t="shared" si="151"/>
        <v>1056.4511368549079</v>
      </c>
      <c r="AD227" s="263">
        <f t="shared" si="151"/>
        <v>1017.4184984522321</v>
      </c>
      <c r="AE227" s="263">
        <f t="shared" si="151"/>
        <v>979.31142357149247</v>
      </c>
      <c r="AF227" s="263">
        <f t="shared" si="151"/>
        <v>942.1162565451607</v>
      </c>
      <c r="AG227" s="263">
        <f t="shared" si="151"/>
        <v>905.81943688018305</v>
      </c>
      <c r="AI227" s="264"/>
      <c r="AJ227" s="265"/>
    </row>
    <row r="228" spans="1:36" s="160" customFormat="1">
      <c r="B228" s="156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J228" s="272"/>
    </row>
    <row r="229" spans="1:36" s="160" customFormat="1" ht="14.75" customHeight="1">
      <c r="A229" s="160" t="s">
        <v>1357</v>
      </c>
      <c r="B229" s="299" t="s">
        <v>127</v>
      </c>
      <c r="C229" s="203">
        <f>C162</f>
        <v>20559.229018319769</v>
      </c>
      <c r="D229" s="203">
        <f t="shared" ref="D229:AG229" si="153">D162</f>
        <v>21983.810918211748</v>
      </c>
      <c r="E229" s="203">
        <f t="shared" si="153"/>
        <v>23402.002882792032</v>
      </c>
      <c r="F229" s="203">
        <f t="shared" si="153"/>
        <v>24813.826182042863</v>
      </c>
      <c r="G229" s="203">
        <f t="shared" si="153"/>
        <v>26219.302023176911</v>
      </c>
      <c r="H229" s="203">
        <f t="shared" si="153"/>
        <v>27618.451550810838</v>
      </c>
      <c r="I229" s="203">
        <f t="shared" si="153"/>
        <v>29011.295847138237</v>
      </c>
      <c r="J229" s="203">
        <f t="shared" si="153"/>
        <v>30397.855932102284</v>
      </c>
      <c r="K229" s="203">
        <f t="shared" si="153"/>
        <v>31778.15276356773</v>
      </c>
      <c r="L229" s="203">
        <f t="shared" si="153"/>
        <v>33152.207237492657</v>
      </c>
      <c r="M229" s="203">
        <f t="shared" si="153"/>
        <v>34520.040188099607</v>
      </c>
      <c r="N229" s="203">
        <f t="shared" si="153"/>
        <v>35881.672388046311</v>
      </c>
      <c r="O229" s="203">
        <f t="shared" si="153"/>
        <v>37237.124548596024</v>
      </c>
      <c r="P229" s="203">
        <f t="shared" si="153"/>
        <v>38387.79930596026</v>
      </c>
      <c r="Q229" s="203">
        <f t="shared" si="153"/>
        <v>39519.282638184457</v>
      </c>
      <c r="R229" s="203">
        <f t="shared" si="153"/>
        <v>40631.684421129612</v>
      </c>
      <c r="S229" s="203">
        <f t="shared" si="153"/>
        <v>41725.114071181539</v>
      </c>
      <c r="T229" s="203">
        <f t="shared" si="153"/>
        <v>42799.680546893796</v>
      </c>
      <c r="U229" s="203">
        <f t="shared" si="153"/>
        <v>43855.492350625493</v>
      </c>
      <c r="V229" s="203">
        <f t="shared" si="153"/>
        <v>44892.657530173645</v>
      </c>
      <c r="W229" s="203">
        <f t="shared" si="153"/>
        <v>45911.283680400127</v>
      </c>
      <c r="X229" s="203">
        <f t="shared" si="153"/>
        <v>46911.477944853599</v>
      </c>
      <c r="Y229" s="203">
        <f t="shared" si="153"/>
        <v>47893.347017385808</v>
      </c>
      <c r="Z229" s="203">
        <f t="shared" si="153"/>
        <v>48331.891499430625</v>
      </c>
      <c r="AA229" s="203">
        <f t="shared" si="153"/>
        <v>48727.391085433832</v>
      </c>
      <c r="AB229" s="203">
        <f t="shared" si="153"/>
        <v>49080.123923035964</v>
      </c>
      <c r="AC229" s="203">
        <f t="shared" si="153"/>
        <v>49390.366942387496</v>
      </c>
      <c r="AD229" s="203">
        <f t="shared" si="153"/>
        <v>49658.395860608623</v>
      </c>
      <c r="AE229" s="203">
        <f t="shared" si="153"/>
        <v>49884.485186234189</v>
      </c>
      <c r="AF229" s="203">
        <f t="shared" si="153"/>
        <v>50068.908223643783</v>
      </c>
      <c r="AG229" s="203">
        <f t="shared" si="153"/>
        <v>50211.937077477349</v>
      </c>
      <c r="AI229" s="616"/>
      <c r="AJ229" s="272"/>
    </row>
    <row r="230" spans="1:36" s="160" customFormat="1">
      <c r="A230" s="160" t="s">
        <v>1358</v>
      </c>
      <c r="B230" s="298" t="s">
        <v>127</v>
      </c>
      <c r="C230" s="218">
        <f>C229/(1-C187)</f>
        <v>28163.327422355847</v>
      </c>
      <c r="D230" s="218">
        <f t="shared" ref="D230:AG230" si="154">D229/(1-D187)</f>
        <v>29950.696073857969</v>
      </c>
      <c r="E230" s="218">
        <f t="shared" si="154"/>
        <v>31710.031006493271</v>
      </c>
      <c r="F230" s="218">
        <f t="shared" si="154"/>
        <v>33441.814261513297</v>
      </c>
      <c r="G230" s="218">
        <f t="shared" si="154"/>
        <v>35146.517457341703</v>
      </c>
      <c r="H230" s="218">
        <f t="shared" si="154"/>
        <v>36824.602067747786</v>
      </c>
      <c r="I230" s="218">
        <f t="shared" si="154"/>
        <v>38476.519691164773</v>
      </c>
      <c r="J230" s="218">
        <f t="shared" si="154"/>
        <v>40102.712311480587</v>
      </c>
      <c r="K230" s="218">
        <f t="shared" si="154"/>
        <v>41703.61255061382</v>
      </c>
      <c r="L230" s="218">
        <f t="shared" si="154"/>
        <v>43279.643913175794</v>
      </c>
      <c r="M230" s="218">
        <f t="shared" si="154"/>
        <v>44831.221023505983</v>
      </c>
      <c r="N230" s="218">
        <f t="shared" si="154"/>
        <v>46358.749855356989</v>
      </c>
      <c r="O230" s="218">
        <f t="shared" si="154"/>
        <v>47862.627954493604</v>
      </c>
      <c r="P230" s="218">
        <f t="shared" si="154"/>
        <v>49089.257424501608</v>
      </c>
      <c r="Q230" s="218">
        <f t="shared" si="154"/>
        <v>50278.985544763935</v>
      </c>
      <c r="R230" s="218">
        <f t="shared" si="154"/>
        <v>51432.511925480518</v>
      </c>
      <c r="S230" s="218">
        <f t="shared" si="154"/>
        <v>52550.521500228635</v>
      </c>
      <c r="T230" s="218">
        <f t="shared" si="154"/>
        <v>53633.684895856888</v>
      </c>
      <c r="U230" s="218">
        <f t="shared" si="154"/>
        <v>54682.658791303606</v>
      </c>
      <c r="V230" s="218">
        <f t="shared" si="154"/>
        <v>55698.086265724123</v>
      </c>
      <c r="W230" s="218">
        <f t="shared" si="154"/>
        <v>56680.597136296448</v>
      </c>
      <c r="X230" s="218">
        <f t="shared" si="154"/>
        <v>57630.808286060928</v>
      </c>
      <c r="Y230" s="218">
        <f t="shared" si="154"/>
        <v>58549.323982134236</v>
      </c>
      <c r="Z230" s="218">
        <f t="shared" si="154"/>
        <v>58797.92153215404</v>
      </c>
      <c r="AA230" s="218">
        <f t="shared" si="154"/>
        <v>58991.998892777032</v>
      </c>
      <c r="AB230" s="218">
        <f t="shared" si="154"/>
        <v>59132.679425344533</v>
      </c>
      <c r="AC230" s="218">
        <f t="shared" si="154"/>
        <v>59221.063480080928</v>
      </c>
      <c r="AD230" s="218">
        <f t="shared" si="154"/>
        <v>59258.228950606943</v>
      </c>
      <c r="AE230" s="218">
        <f t="shared" si="154"/>
        <v>59245.231812629674</v>
      </c>
      <c r="AF230" s="218">
        <f t="shared" si="154"/>
        <v>59183.106647333072</v>
      </c>
      <c r="AG230" s="218">
        <f t="shared" si="154"/>
        <v>59072.867149973354</v>
      </c>
      <c r="AI230" s="616"/>
      <c r="AJ230" s="272"/>
    </row>
    <row r="231" spans="1:36" s="160" customFormat="1">
      <c r="A231" s="160" t="s">
        <v>1359</v>
      </c>
      <c r="B231" s="298" t="s">
        <v>127</v>
      </c>
      <c r="C231" s="218">
        <f>C219</f>
        <v>0</v>
      </c>
      <c r="D231" s="218">
        <f t="shared" ref="D231:AG231" si="155">D219</f>
        <v>0</v>
      </c>
      <c r="E231" s="218">
        <f t="shared" si="155"/>
        <v>0</v>
      </c>
      <c r="F231" s="218">
        <f t="shared" si="155"/>
        <v>0</v>
      </c>
      <c r="G231" s="218">
        <f t="shared" si="155"/>
        <v>0</v>
      </c>
      <c r="H231" s="218">
        <f t="shared" si="155"/>
        <v>0</v>
      </c>
      <c r="I231" s="218">
        <f t="shared" si="155"/>
        <v>0</v>
      </c>
      <c r="J231" s="218">
        <f t="shared" si="155"/>
        <v>0</v>
      </c>
      <c r="K231" s="218">
        <f t="shared" si="155"/>
        <v>0</v>
      </c>
      <c r="L231" s="218">
        <f t="shared" si="155"/>
        <v>0</v>
      </c>
      <c r="M231" s="218">
        <f t="shared" si="155"/>
        <v>0</v>
      </c>
      <c r="N231" s="218">
        <f t="shared" si="155"/>
        <v>0</v>
      </c>
      <c r="O231" s="218">
        <f t="shared" si="155"/>
        <v>0</v>
      </c>
      <c r="P231" s="218">
        <f t="shared" si="155"/>
        <v>0</v>
      </c>
      <c r="Q231" s="218">
        <f t="shared" si="155"/>
        <v>0</v>
      </c>
      <c r="R231" s="218">
        <f t="shared" si="155"/>
        <v>0</v>
      </c>
      <c r="S231" s="218">
        <f t="shared" si="155"/>
        <v>0</v>
      </c>
      <c r="T231" s="218">
        <f t="shared" si="155"/>
        <v>0</v>
      </c>
      <c r="U231" s="218">
        <f t="shared" si="155"/>
        <v>0</v>
      </c>
      <c r="V231" s="218">
        <f t="shared" si="155"/>
        <v>0</v>
      </c>
      <c r="W231" s="218">
        <f t="shared" si="155"/>
        <v>0</v>
      </c>
      <c r="X231" s="218">
        <f t="shared" si="155"/>
        <v>0</v>
      </c>
      <c r="Y231" s="218">
        <f t="shared" si="155"/>
        <v>0</v>
      </c>
      <c r="Z231" s="218">
        <f t="shared" si="155"/>
        <v>0</v>
      </c>
      <c r="AA231" s="218">
        <f t="shared" si="155"/>
        <v>0</v>
      </c>
      <c r="AB231" s="218">
        <f t="shared" si="155"/>
        <v>0</v>
      </c>
      <c r="AC231" s="218">
        <f t="shared" si="155"/>
        <v>0</v>
      </c>
      <c r="AD231" s="218">
        <f t="shared" si="155"/>
        <v>0</v>
      </c>
      <c r="AE231" s="218">
        <f t="shared" si="155"/>
        <v>0</v>
      </c>
      <c r="AF231" s="218">
        <f t="shared" si="155"/>
        <v>0</v>
      </c>
      <c r="AG231" s="218">
        <f t="shared" si="155"/>
        <v>0</v>
      </c>
      <c r="AI231" s="616"/>
      <c r="AJ231" s="272"/>
    </row>
    <row r="232" spans="1:36" s="160" customFormat="1">
      <c r="A232" s="160" t="s">
        <v>1360</v>
      </c>
      <c r="B232" s="298" t="s">
        <v>127</v>
      </c>
      <c r="C232" s="218">
        <f>C230-C231</f>
        <v>28163.327422355847</v>
      </c>
      <c r="D232" s="218">
        <f t="shared" ref="D232:AG232" si="156">D230-D231</f>
        <v>29950.696073857969</v>
      </c>
      <c r="E232" s="218">
        <f t="shared" si="156"/>
        <v>31710.031006493271</v>
      </c>
      <c r="F232" s="218">
        <f t="shared" si="156"/>
        <v>33441.814261513297</v>
      </c>
      <c r="G232" s="218">
        <f t="shared" si="156"/>
        <v>35146.517457341703</v>
      </c>
      <c r="H232" s="218">
        <f t="shared" si="156"/>
        <v>36824.602067747786</v>
      </c>
      <c r="I232" s="218">
        <f t="shared" si="156"/>
        <v>38476.519691164773</v>
      </c>
      <c r="J232" s="218">
        <f t="shared" si="156"/>
        <v>40102.712311480587</v>
      </c>
      <c r="K232" s="218">
        <f t="shared" si="156"/>
        <v>41703.61255061382</v>
      </c>
      <c r="L232" s="218">
        <f t="shared" si="156"/>
        <v>43279.643913175794</v>
      </c>
      <c r="M232" s="218">
        <f t="shared" si="156"/>
        <v>44831.221023505983</v>
      </c>
      <c r="N232" s="218">
        <f t="shared" si="156"/>
        <v>46358.749855356989</v>
      </c>
      <c r="O232" s="218">
        <f t="shared" si="156"/>
        <v>47862.627954493604</v>
      </c>
      <c r="P232" s="218">
        <f t="shared" si="156"/>
        <v>49089.257424501608</v>
      </c>
      <c r="Q232" s="218">
        <f t="shared" si="156"/>
        <v>50278.985544763935</v>
      </c>
      <c r="R232" s="218">
        <f t="shared" si="156"/>
        <v>51432.511925480518</v>
      </c>
      <c r="S232" s="218">
        <f t="shared" si="156"/>
        <v>52550.521500228635</v>
      </c>
      <c r="T232" s="218">
        <f t="shared" si="156"/>
        <v>53633.684895856888</v>
      </c>
      <c r="U232" s="218">
        <f t="shared" si="156"/>
        <v>54682.658791303606</v>
      </c>
      <c r="V232" s="218">
        <f t="shared" si="156"/>
        <v>55698.086265724123</v>
      </c>
      <c r="W232" s="218">
        <f t="shared" si="156"/>
        <v>56680.597136296448</v>
      </c>
      <c r="X232" s="218">
        <f t="shared" si="156"/>
        <v>57630.808286060928</v>
      </c>
      <c r="Y232" s="218">
        <f t="shared" si="156"/>
        <v>58549.323982134236</v>
      </c>
      <c r="Z232" s="218">
        <f t="shared" si="156"/>
        <v>58797.92153215404</v>
      </c>
      <c r="AA232" s="218">
        <f t="shared" si="156"/>
        <v>58991.998892777032</v>
      </c>
      <c r="AB232" s="218">
        <f t="shared" si="156"/>
        <v>59132.679425344533</v>
      </c>
      <c r="AC232" s="218">
        <f t="shared" si="156"/>
        <v>59221.063480080928</v>
      </c>
      <c r="AD232" s="218">
        <f t="shared" si="156"/>
        <v>59258.228950606943</v>
      </c>
      <c r="AE232" s="218">
        <f t="shared" si="156"/>
        <v>59245.231812629674</v>
      </c>
      <c r="AF232" s="218">
        <f t="shared" si="156"/>
        <v>59183.106647333072</v>
      </c>
      <c r="AG232" s="218">
        <f t="shared" si="156"/>
        <v>59072.867149973354</v>
      </c>
      <c r="AI232" s="616"/>
      <c r="AJ232" s="272"/>
    </row>
    <row r="233" spans="1:36" s="160" customFormat="1">
      <c r="A233" s="160" t="s">
        <v>1361</v>
      </c>
      <c r="B233" s="298" t="s">
        <v>127</v>
      </c>
      <c r="C233" s="218">
        <f>(C232)/(1-C184)</f>
        <v>35204.159277944804</v>
      </c>
      <c r="D233" s="218">
        <f t="shared" ref="D233:AG233" si="157">(D230-D219)/(1-D184)</f>
        <v>37283.024158329419</v>
      </c>
      <c r="E233" s="218">
        <f t="shared" si="157"/>
        <v>39309.955793173474</v>
      </c>
      <c r="F233" s="218">
        <f t="shared" si="157"/>
        <v>41286.190446312714</v>
      </c>
      <c r="G233" s="218">
        <f t="shared" si="157"/>
        <v>43212.931300010292</v>
      </c>
      <c r="H233" s="218">
        <f t="shared" si="157"/>
        <v>45091.349470711575</v>
      </c>
      <c r="I233" s="218">
        <f t="shared" si="157"/>
        <v>46922.584989225332</v>
      </c>
      <c r="J233" s="218">
        <f t="shared" si="157"/>
        <v>48707.747746737557</v>
      </c>
      <c r="K233" s="218">
        <f t="shared" si="157"/>
        <v>50447.918408000587</v>
      </c>
      <c r="L233" s="218">
        <f t="shared" si="157"/>
        <v>52144.149292982889</v>
      </c>
      <c r="M233" s="218">
        <f t="shared" si="157"/>
        <v>53797.465228207184</v>
      </c>
      <c r="N233" s="218">
        <f t="shared" si="157"/>
        <v>55408.864368952585</v>
      </c>
      <c r="O233" s="218">
        <f t="shared" si="157"/>
        <v>56979.31899344478</v>
      </c>
      <c r="P233" s="218">
        <f t="shared" si="157"/>
        <v>58208.605641701513</v>
      </c>
      <c r="Q233" s="218">
        <f t="shared" si="157"/>
        <v>59384.628596177885</v>
      </c>
      <c r="R233" s="218">
        <f t="shared" si="157"/>
        <v>60508.837559388856</v>
      </c>
      <c r="S233" s="218">
        <f t="shared" si="157"/>
        <v>61582.642383080434</v>
      </c>
      <c r="T233" s="218">
        <f t="shared" si="157"/>
        <v>62607.41427531933</v>
      </c>
      <c r="U233" s="218">
        <f t="shared" si="157"/>
        <v>63584.48696663211</v>
      </c>
      <c r="V233" s="218">
        <f t="shared" si="157"/>
        <v>64515.157836746097</v>
      </c>
      <c r="W233" s="218">
        <f t="shared" si="157"/>
        <v>65400.689003418993</v>
      </c>
      <c r="X233" s="218">
        <f t="shared" si="157"/>
        <v>66242.308374782689</v>
      </c>
      <c r="Y233" s="218">
        <f t="shared" si="157"/>
        <v>67041.210666565938</v>
      </c>
      <c r="Z233" s="218">
        <f t="shared" si="157"/>
        <v>67069.872470137707</v>
      </c>
      <c r="AA233" s="218">
        <f t="shared" si="157"/>
        <v>67036.362378155725</v>
      </c>
      <c r="AB233" s="218">
        <f t="shared" si="157"/>
        <v>66942.655953220237</v>
      </c>
      <c r="AC233" s="218">
        <f t="shared" si="157"/>
        <v>66790.67309783565</v>
      </c>
      <c r="AD233" s="218">
        <f t="shared" si="157"/>
        <v>66582.279719783095</v>
      </c>
      <c r="AE233" s="218">
        <f t="shared" si="157"/>
        <v>66319.289342495918</v>
      </c>
      <c r="AF233" s="218">
        <f t="shared" si="157"/>
        <v>66003.464662453247</v>
      </c>
      <c r="AG233" s="218">
        <f t="shared" si="157"/>
        <v>65636.519055525947</v>
      </c>
      <c r="AI233" s="616"/>
      <c r="AJ233" s="272"/>
    </row>
    <row r="234" spans="1:36" s="160" customFormat="1">
      <c r="A234" s="160" t="s">
        <v>1362</v>
      </c>
      <c r="B234" s="298" t="s">
        <v>127</v>
      </c>
      <c r="C234" s="218">
        <f>IF(C213&gt;C233,C233,C213)</f>
        <v>35204.159277944804</v>
      </c>
      <c r="D234" s="218">
        <f t="shared" ref="D234:AG234" si="158">IF(D213&gt;D233,D233,D213)</f>
        <v>37283.024158329419</v>
      </c>
      <c r="E234" s="218">
        <f t="shared" si="158"/>
        <v>39309.955793173474</v>
      </c>
      <c r="F234" s="218">
        <f t="shared" si="158"/>
        <v>41286.190446312714</v>
      </c>
      <c r="G234" s="218">
        <f t="shared" si="158"/>
        <v>43212.931300010292</v>
      </c>
      <c r="H234" s="218">
        <f t="shared" si="158"/>
        <v>45091.349470711575</v>
      </c>
      <c r="I234" s="218">
        <f t="shared" si="158"/>
        <v>46922.584989225332</v>
      </c>
      <c r="J234" s="218">
        <f t="shared" si="158"/>
        <v>48707.747746737557</v>
      </c>
      <c r="K234" s="218">
        <f t="shared" si="158"/>
        <v>50447.918408000587</v>
      </c>
      <c r="L234" s="218">
        <f t="shared" si="158"/>
        <v>52144.149292982889</v>
      </c>
      <c r="M234" s="218">
        <f t="shared" si="158"/>
        <v>53797.465228207184</v>
      </c>
      <c r="N234" s="218">
        <f t="shared" si="158"/>
        <v>55408.864368952585</v>
      </c>
      <c r="O234" s="218">
        <f t="shared" si="158"/>
        <v>56979.31899344478</v>
      </c>
      <c r="P234" s="218">
        <f t="shared" si="158"/>
        <v>58208.605641701513</v>
      </c>
      <c r="Q234" s="218">
        <f t="shared" si="158"/>
        <v>59384.628596177885</v>
      </c>
      <c r="R234" s="218">
        <f t="shared" si="158"/>
        <v>60508.837559388856</v>
      </c>
      <c r="S234" s="218">
        <f t="shared" si="158"/>
        <v>61582.642383080434</v>
      </c>
      <c r="T234" s="218">
        <f t="shared" si="158"/>
        <v>62607.41427531933</v>
      </c>
      <c r="U234" s="218">
        <f t="shared" si="158"/>
        <v>63584.48696663211</v>
      </c>
      <c r="V234" s="218">
        <f t="shared" si="158"/>
        <v>64515.157836746097</v>
      </c>
      <c r="W234" s="218">
        <f t="shared" si="158"/>
        <v>65400.689003418993</v>
      </c>
      <c r="X234" s="218">
        <f t="shared" si="158"/>
        <v>66242.308374782689</v>
      </c>
      <c r="Y234" s="218">
        <f t="shared" si="158"/>
        <v>67041.210666565938</v>
      </c>
      <c r="Z234" s="218">
        <f t="shared" si="158"/>
        <v>67069.872470137707</v>
      </c>
      <c r="AA234" s="218">
        <f t="shared" si="158"/>
        <v>67036.362378155725</v>
      </c>
      <c r="AB234" s="218">
        <f t="shared" si="158"/>
        <v>66942.655953220237</v>
      </c>
      <c r="AC234" s="218">
        <f t="shared" si="158"/>
        <v>66790.67309783565</v>
      </c>
      <c r="AD234" s="218">
        <f t="shared" si="158"/>
        <v>66582.279719783095</v>
      </c>
      <c r="AE234" s="218">
        <f t="shared" si="158"/>
        <v>66319.289342495918</v>
      </c>
      <c r="AF234" s="218">
        <f t="shared" si="158"/>
        <v>66003.464662453247</v>
      </c>
      <c r="AG234" s="218">
        <f t="shared" si="158"/>
        <v>65636.519055525947</v>
      </c>
      <c r="AI234" s="616"/>
      <c r="AJ234" s="272"/>
    </row>
    <row r="235" spans="1:36" s="160" customFormat="1">
      <c r="A235" s="160" t="s">
        <v>1363</v>
      </c>
      <c r="B235" s="298" t="s">
        <v>127</v>
      </c>
      <c r="C235" s="218">
        <f>IF(C233-C234&lt;0,0,C233-C234)</f>
        <v>0</v>
      </c>
      <c r="D235" s="218">
        <f t="shared" ref="D235:AG235" si="159">IF(D233-D234&lt;0,0,D233-D234)</f>
        <v>0</v>
      </c>
      <c r="E235" s="218">
        <f t="shared" si="159"/>
        <v>0</v>
      </c>
      <c r="F235" s="218">
        <f t="shared" si="159"/>
        <v>0</v>
      </c>
      <c r="G235" s="218">
        <f t="shared" si="159"/>
        <v>0</v>
      </c>
      <c r="H235" s="218">
        <f t="shared" si="159"/>
        <v>0</v>
      </c>
      <c r="I235" s="218">
        <f t="shared" si="159"/>
        <v>0</v>
      </c>
      <c r="J235" s="218">
        <f t="shared" si="159"/>
        <v>0</v>
      </c>
      <c r="K235" s="218">
        <f t="shared" si="159"/>
        <v>0</v>
      </c>
      <c r="L235" s="218">
        <f t="shared" si="159"/>
        <v>0</v>
      </c>
      <c r="M235" s="218">
        <f t="shared" si="159"/>
        <v>0</v>
      </c>
      <c r="N235" s="218">
        <f t="shared" si="159"/>
        <v>0</v>
      </c>
      <c r="O235" s="218">
        <f t="shared" si="159"/>
        <v>0</v>
      </c>
      <c r="P235" s="218">
        <f t="shared" si="159"/>
        <v>0</v>
      </c>
      <c r="Q235" s="218">
        <f t="shared" si="159"/>
        <v>0</v>
      </c>
      <c r="R235" s="218">
        <f t="shared" si="159"/>
        <v>0</v>
      </c>
      <c r="S235" s="218">
        <f t="shared" si="159"/>
        <v>0</v>
      </c>
      <c r="T235" s="218">
        <f t="shared" si="159"/>
        <v>0</v>
      </c>
      <c r="U235" s="218">
        <f t="shared" si="159"/>
        <v>0</v>
      </c>
      <c r="V235" s="218">
        <f t="shared" si="159"/>
        <v>0</v>
      </c>
      <c r="W235" s="218">
        <f t="shared" si="159"/>
        <v>0</v>
      </c>
      <c r="X235" s="218">
        <f t="shared" si="159"/>
        <v>0</v>
      </c>
      <c r="Y235" s="218">
        <f t="shared" si="159"/>
        <v>0</v>
      </c>
      <c r="Z235" s="218">
        <f t="shared" si="159"/>
        <v>0</v>
      </c>
      <c r="AA235" s="218">
        <f t="shared" si="159"/>
        <v>0</v>
      </c>
      <c r="AB235" s="218">
        <f t="shared" si="159"/>
        <v>0</v>
      </c>
      <c r="AC235" s="218">
        <f t="shared" si="159"/>
        <v>0</v>
      </c>
      <c r="AD235" s="218">
        <f t="shared" si="159"/>
        <v>0</v>
      </c>
      <c r="AE235" s="218">
        <f t="shared" si="159"/>
        <v>0</v>
      </c>
      <c r="AF235" s="218">
        <f t="shared" si="159"/>
        <v>0</v>
      </c>
      <c r="AG235" s="218">
        <f t="shared" si="159"/>
        <v>0</v>
      </c>
      <c r="AI235" s="616"/>
      <c r="AJ235" s="272"/>
    </row>
    <row r="236" spans="1:36" s="160" customFormat="1">
      <c r="A236" s="160" t="s">
        <v>1364</v>
      </c>
      <c r="B236" s="298" t="s">
        <v>127</v>
      </c>
      <c r="C236" s="218">
        <f>C230*C187+C184*C233+C220+IF(C213&gt;C233,C213-C233,0)</f>
        <v>48450.117506673632</v>
      </c>
      <c r="D236" s="218">
        <f t="shared" ref="D236:AG236" si="160">D230*D187+D184*D233+D220+IF(D213&gt;D233,D213-D233,0)</f>
        <v>49711.575977320201</v>
      </c>
      <c r="E236" s="218">
        <f t="shared" si="160"/>
        <v>50961.591751768181</v>
      </c>
      <c r="F236" s="218">
        <f t="shared" si="160"/>
        <v>52200.21396895896</v>
      </c>
      <c r="G236" s="218">
        <f t="shared" si="160"/>
        <v>53427.491613074882</v>
      </c>
      <c r="H236" s="218">
        <f t="shared" si="160"/>
        <v>54643.473513931305</v>
      </c>
      <c r="I236" s="218">
        <f t="shared" si="160"/>
        <v>55488.241637678257</v>
      </c>
      <c r="J236" s="218">
        <f t="shared" si="160"/>
        <v>56298.94893596357</v>
      </c>
      <c r="K236" s="218">
        <f t="shared" si="160"/>
        <v>57075.775862490344</v>
      </c>
      <c r="L236" s="218">
        <f t="shared" si="160"/>
        <v>57818.902235799811</v>
      </c>
      <c r="M236" s="218">
        <f t="shared" si="160"/>
        <v>58528.507241049243</v>
      </c>
      <c r="N236" s="218">
        <f t="shared" si="160"/>
        <v>59142.636660315213</v>
      </c>
      <c r="O236" s="218">
        <f t="shared" si="160"/>
        <v>59751.58231736016</v>
      </c>
      <c r="P236" s="218">
        <f t="shared" si="160"/>
        <v>60352.349351428267</v>
      </c>
      <c r="Q236" s="218">
        <f t="shared" si="160"/>
        <v>60922.9561472727</v>
      </c>
      <c r="R236" s="218">
        <f t="shared" si="160"/>
        <v>61463.550003552751</v>
      </c>
      <c r="S236" s="218">
        <f t="shared" si="160"/>
        <v>61974.278336490803</v>
      </c>
      <c r="T236" s="218">
        <f t="shared" si="160"/>
        <v>62455.287016137736</v>
      </c>
      <c r="U236" s="218">
        <f t="shared" si="160"/>
        <v>62906.722005539908</v>
      </c>
      <c r="V236" s="218">
        <f t="shared" si="160"/>
        <v>63328.728824420279</v>
      </c>
      <c r="W236" s="218">
        <f t="shared" si="160"/>
        <v>63721.452550091955</v>
      </c>
      <c r="X236" s="218">
        <f t="shared" si="160"/>
        <v>64145.922908938301</v>
      </c>
      <c r="Y236" s="218">
        <f t="shared" si="160"/>
        <v>64546.755491388372</v>
      </c>
      <c r="Z236" s="218">
        <f t="shared" si="160"/>
        <v>65083.926013858589</v>
      </c>
      <c r="AA236" s="218">
        <f t="shared" si="160"/>
        <v>65605.753036488197</v>
      </c>
      <c r="AB236" s="218">
        <f t="shared" si="160"/>
        <v>66112.27475729899</v>
      </c>
      <c r="AC236" s="218">
        <f t="shared" si="160"/>
        <v>66585.942514479655</v>
      </c>
      <c r="AD236" s="218">
        <f t="shared" si="160"/>
        <v>67043.740816466365</v>
      </c>
      <c r="AE236" s="218">
        <f t="shared" si="160"/>
        <v>67485.711905795863</v>
      </c>
      <c r="AF236" s="218">
        <f t="shared" si="160"/>
        <v>67911.898094065225</v>
      </c>
      <c r="AG236" s="218">
        <f t="shared" si="160"/>
        <v>68322.341760758078</v>
      </c>
      <c r="AI236" s="616"/>
      <c r="AJ236" s="272"/>
    </row>
    <row r="237" spans="1:36" s="160" customFormat="1">
      <c r="A237" s="160" t="s">
        <v>1365</v>
      </c>
      <c r="B237" s="298" t="s">
        <v>127</v>
      </c>
      <c r="C237" s="218">
        <f>C216-C235</f>
        <v>391052.96364162921</v>
      </c>
      <c r="D237" s="218">
        <f t="shared" ref="D237:AF237" si="161">D216-D235</f>
        <v>386910.49942983233</v>
      </c>
      <c r="E237" s="218">
        <f t="shared" si="161"/>
        <v>382789.65106970345</v>
      </c>
      <c r="F237" s="218">
        <f t="shared" si="161"/>
        <v>378690.33944072499</v>
      </c>
      <c r="G237" s="218">
        <f t="shared" si="161"/>
        <v>374612.48565796</v>
      </c>
      <c r="H237" s="218">
        <f t="shared" si="161"/>
        <v>370556.01107145322</v>
      </c>
      <c r="I237" s="218">
        <f t="shared" si="161"/>
        <v>364966.08743442025</v>
      </c>
      <c r="J237" s="218">
        <f t="shared" si="161"/>
        <v>359427.40543072944</v>
      </c>
      <c r="K237" s="218">
        <f t="shared" si="161"/>
        <v>353939.73562340089</v>
      </c>
      <c r="L237" s="218">
        <f t="shared" si="161"/>
        <v>348502.84933488391</v>
      </c>
      <c r="M237" s="218">
        <f t="shared" si="161"/>
        <v>343116.51864498656</v>
      </c>
      <c r="N237" s="218">
        <f t="shared" si="161"/>
        <v>337559.79891079589</v>
      </c>
      <c r="O237" s="218">
        <f t="shared" si="161"/>
        <v>332164.86333739001</v>
      </c>
      <c r="P237" s="218">
        <f t="shared" si="161"/>
        <v>326253.31758675165</v>
      </c>
      <c r="Q237" s="218">
        <f t="shared" si="161"/>
        <v>320405.13042735244</v>
      </c>
      <c r="R237" s="218">
        <f t="shared" si="161"/>
        <v>314620.00812504184</v>
      </c>
      <c r="S237" s="218">
        <f t="shared" si="161"/>
        <v>308897.6596122444</v>
      </c>
      <c r="T237" s="218">
        <f t="shared" si="161"/>
        <v>303237.79141380516</v>
      </c>
      <c r="U237" s="218">
        <f t="shared" si="161"/>
        <v>297640.11275052192</v>
      </c>
      <c r="V237" s="218">
        <f t="shared" si="161"/>
        <v>292104.33382269577</v>
      </c>
      <c r="W237" s="218">
        <f t="shared" si="161"/>
        <v>286630.16580743127</v>
      </c>
      <c r="X237" s="218">
        <f t="shared" si="161"/>
        <v>281371.57742815843</v>
      </c>
      <c r="Y237" s="218">
        <f t="shared" si="161"/>
        <v>276177.76330496161</v>
      </c>
      <c r="Z237" s="218">
        <f t="shared" si="161"/>
        <v>270177.70282478043</v>
      </c>
      <c r="AA237" s="218">
        <f t="shared" si="161"/>
        <v>264253.42581821728</v>
      </c>
      <c r="AB237" s="218">
        <f t="shared" si="161"/>
        <v>258404.57001264341</v>
      </c>
      <c r="AC237" s="218">
        <f t="shared" si="161"/>
        <v>252592.47059673624</v>
      </c>
      <c r="AD237" s="218">
        <f t="shared" si="161"/>
        <v>246855.92150695936</v>
      </c>
      <c r="AE237" s="218">
        <f t="shared" si="161"/>
        <v>241194.55980826556</v>
      </c>
      <c r="AF237" s="218">
        <f t="shared" si="161"/>
        <v>235608.02380529515</v>
      </c>
      <c r="AG237" s="218">
        <f>AG216-AG235</f>
        <v>230095.95303892755</v>
      </c>
      <c r="AI237" s="616"/>
      <c r="AJ237" s="272"/>
    </row>
    <row r="238" spans="1:36" s="160" customFormat="1">
      <c r="B238" s="299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  <c r="AE238" s="276"/>
      <c r="AF238" s="276"/>
      <c r="AG238" s="276"/>
      <c r="AJ238" s="272"/>
    </row>
    <row r="239" spans="1:36" s="160" customFormat="1">
      <c r="A239" s="160" t="s">
        <v>677</v>
      </c>
      <c r="B239" s="299" t="s">
        <v>126</v>
      </c>
      <c r="C239" s="246">
        <v>0.8</v>
      </c>
      <c r="D239" s="267">
        <f>C239</f>
        <v>0.8</v>
      </c>
      <c r="E239" s="267">
        <f t="shared" ref="E239:AG239" si="162">D239</f>
        <v>0.8</v>
      </c>
      <c r="F239" s="267">
        <f t="shared" si="162"/>
        <v>0.8</v>
      </c>
      <c r="G239" s="267">
        <f t="shared" si="162"/>
        <v>0.8</v>
      </c>
      <c r="H239" s="267">
        <f t="shared" si="162"/>
        <v>0.8</v>
      </c>
      <c r="I239" s="267">
        <f t="shared" si="162"/>
        <v>0.8</v>
      </c>
      <c r="J239" s="267">
        <f t="shared" si="162"/>
        <v>0.8</v>
      </c>
      <c r="K239" s="267">
        <f t="shared" si="162"/>
        <v>0.8</v>
      </c>
      <c r="L239" s="267">
        <f t="shared" si="162"/>
        <v>0.8</v>
      </c>
      <c r="M239" s="267">
        <f>L239</f>
        <v>0.8</v>
      </c>
      <c r="N239" s="267">
        <f t="shared" si="162"/>
        <v>0.8</v>
      </c>
      <c r="O239" s="267">
        <f t="shared" si="162"/>
        <v>0.8</v>
      </c>
      <c r="P239" s="267">
        <f t="shared" si="162"/>
        <v>0.8</v>
      </c>
      <c r="Q239" s="267">
        <f t="shared" si="162"/>
        <v>0.8</v>
      </c>
      <c r="R239" s="267">
        <f t="shared" si="162"/>
        <v>0.8</v>
      </c>
      <c r="S239" s="267">
        <f t="shared" si="162"/>
        <v>0.8</v>
      </c>
      <c r="T239" s="267">
        <f t="shared" si="162"/>
        <v>0.8</v>
      </c>
      <c r="U239" s="267">
        <f t="shared" si="162"/>
        <v>0.8</v>
      </c>
      <c r="V239" s="267">
        <f t="shared" si="162"/>
        <v>0.8</v>
      </c>
      <c r="W239" s="267">
        <f t="shared" si="162"/>
        <v>0.8</v>
      </c>
      <c r="X239" s="267">
        <f t="shared" si="162"/>
        <v>0.8</v>
      </c>
      <c r="Y239" s="267">
        <f t="shared" si="162"/>
        <v>0.8</v>
      </c>
      <c r="Z239" s="267">
        <f t="shared" si="162"/>
        <v>0.8</v>
      </c>
      <c r="AA239" s="267">
        <f t="shared" si="162"/>
        <v>0.8</v>
      </c>
      <c r="AB239" s="267">
        <f t="shared" si="162"/>
        <v>0.8</v>
      </c>
      <c r="AC239" s="267">
        <f t="shared" si="162"/>
        <v>0.8</v>
      </c>
      <c r="AD239" s="267">
        <f t="shared" si="162"/>
        <v>0.8</v>
      </c>
      <c r="AE239" s="267">
        <f t="shared" si="162"/>
        <v>0.8</v>
      </c>
      <c r="AF239" s="267">
        <f t="shared" si="162"/>
        <v>0.8</v>
      </c>
      <c r="AG239" s="267">
        <f t="shared" si="162"/>
        <v>0.8</v>
      </c>
      <c r="AJ239" s="272"/>
    </row>
    <row r="240" spans="1:36" s="160" customFormat="1">
      <c r="B240" s="299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  <c r="AE240" s="276"/>
      <c r="AF240" s="276"/>
      <c r="AG240" s="276"/>
      <c r="AJ240" s="272"/>
    </row>
    <row r="241" spans="1:37" s="160" customFormat="1">
      <c r="A241" s="160" t="s">
        <v>634</v>
      </c>
      <c r="B241" s="299" t="s">
        <v>127</v>
      </c>
      <c r="C241" s="276">
        <f>C175*C236*C239</f>
        <v>38760.094005338906</v>
      </c>
      <c r="D241" s="276">
        <f t="shared" ref="D241:AG241" si="163">D175*D236*D239</f>
        <v>39769.260781856166</v>
      </c>
      <c r="E241" s="276">
        <f t="shared" si="163"/>
        <v>40769.273401414546</v>
      </c>
      <c r="F241" s="276">
        <f t="shared" si="163"/>
        <v>41760.171175167168</v>
      </c>
      <c r="G241" s="276">
        <f t="shared" si="163"/>
        <v>42741.993290459912</v>
      </c>
      <c r="H241" s="276">
        <f t="shared" si="163"/>
        <v>43714.77881114505</v>
      </c>
      <c r="I241" s="276">
        <f t="shared" si="163"/>
        <v>44390.593310142605</v>
      </c>
      <c r="J241" s="276">
        <f t="shared" si="163"/>
        <v>45039.159148770857</v>
      </c>
      <c r="K241" s="276">
        <f t="shared" si="163"/>
        <v>45660.620689992276</v>
      </c>
      <c r="L241" s="276">
        <f t="shared" si="163"/>
        <v>46255.121788639852</v>
      </c>
      <c r="M241" s="276">
        <f t="shared" si="163"/>
        <v>46822.805792839397</v>
      </c>
      <c r="N241" s="276">
        <f t="shared" si="163"/>
        <v>47314.109328252176</v>
      </c>
      <c r="O241" s="276">
        <f t="shared" si="163"/>
        <v>47801.26585388813</v>
      </c>
      <c r="P241" s="276">
        <f t="shared" si="163"/>
        <v>48281.87948114262</v>
      </c>
      <c r="Q241" s="276">
        <f t="shared" si="163"/>
        <v>48738.364917818166</v>
      </c>
      <c r="R241" s="276">
        <f t="shared" si="163"/>
        <v>49170.840002842204</v>
      </c>
      <c r="S241" s="276">
        <f t="shared" si="163"/>
        <v>49579.422669192645</v>
      </c>
      <c r="T241" s="276">
        <f t="shared" si="163"/>
        <v>49964.229612910189</v>
      </c>
      <c r="U241" s="276">
        <f t="shared" si="163"/>
        <v>50325.377604431931</v>
      </c>
      <c r="V241" s="276">
        <f t="shared" si="163"/>
        <v>50662.983059536229</v>
      </c>
      <c r="W241" s="276">
        <f t="shared" si="163"/>
        <v>50977.16204007357</v>
      </c>
      <c r="X241" s="276">
        <f t="shared" si="163"/>
        <v>51316.738327150641</v>
      </c>
      <c r="Y241" s="276">
        <f t="shared" si="163"/>
        <v>51637.404393110701</v>
      </c>
      <c r="Z241" s="276">
        <f t="shared" si="163"/>
        <v>52067.140811086872</v>
      </c>
      <c r="AA241" s="276">
        <f t="shared" si="163"/>
        <v>52484.602429190563</v>
      </c>
      <c r="AB241" s="276">
        <f t="shared" si="163"/>
        <v>52889.819805839194</v>
      </c>
      <c r="AC241" s="276">
        <f t="shared" si="163"/>
        <v>53268.754011583726</v>
      </c>
      <c r="AD241" s="276">
        <f t="shared" si="163"/>
        <v>53634.992653173096</v>
      </c>
      <c r="AE241" s="276">
        <f t="shared" si="163"/>
        <v>53988.569524636696</v>
      </c>
      <c r="AF241" s="276">
        <f t="shared" si="163"/>
        <v>54329.518475252182</v>
      </c>
      <c r="AG241" s="276">
        <f t="shared" si="163"/>
        <v>54657.873408606465</v>
      </c>
      <c r="AJ241" s="272"/>
    </row>
    <row r="242" spans="1:37" s="160" customFormat="1">
      <c r="A242" s="160" t="s">
        <v>639</v>
      </c>
      <c r="B242" s="299" t="s">
        <v>127</v>
      </c>
      <c r="C242" s="276">
        <f>C236*C239-C241</f>
        <v>0</v>
      </c>
      <c r="D242" s="276">
        <f t="shared" ref="D242:AG242" si="164">D236*D239-D241</f>
        <v>0</v>
      </c>
      <c r="E242" s="276">
        <f t="shared" si="164"/>
        <v>0</v>
      </c>
      <c r="F242" s="276">
        <f t="shared" si="164"/>
        <v>0</v>
      </c>
      <c r="G242" s="276">
        <f t="shared" si="164"/>
        <v>0</v>
      </c>
      <c r="H242" s="276">
        <f t="shared" si="164"/>
        <v>0</v>
      </c>
      <c r="I242" s="276">
        <f t="shared" si="164"/>
        <v>0</v>
      </c>
      <c r="J242" s="276">
        <f t="shared" si="164"/>
        <v>0</v>
      </c>
      <c r="K242" s="276">
        <f t="shared" si="164"/>
        <v>0</v>
      </c>
      <c r="L242" s="276">
        <f t="shared" si="164"/>
        <v>0</v>
      </c>
      <c r="M242" s="276">
        <f t="shared" si="164"/>
        <v>0</v>
      </c>
      <c r="N242" s="276">
        <f t="shared" si="164"/>
        <v>0</v>
      </c>
      <c r="O242" s="276">
        <f t="shared" si="164"/>
        <v>0</v>
      </c>
      <c r="P242" s="276">
        <f t="shared" si="164"/>
        <v>0</v>
      </c>
      <c r="Q242" s="276">
        <f t="shared" si="164"/>
        <v>0</v>
      </c>
      <c r="R242" s="276">
        <f t="shared" si="164"/>
        <v>0</v>
      </c>
      <c r="S242" s="276">
        <f t="shared" si="164"/>
        <v>0</v>
      </c>
      <c r="T242" s="276">
        <f t="shared" si="164"/>
        <v>0</v>
      </c>
      <c r="U242" s="276">
        <f t="shared" si="164"/>
        <v>0</v>
      </c>
      <c r="V242" s="276">
        <f t="shared" si="164"/>
        <v>0</v>
      </c>
      <c r="W242" s="276">
        <f t="shared" si="164"/>
        <v>0</v>
      </c>
      <c r="X242" s="276">
        <f t="shared" si="164"/>
        <v>0</v>
      </c>
      <c r="Y242" s="276">
        <f t="shared" si="164"/>
        <v>0</v>
      </c>
      <c r="Z242" s="276">
        <f t="shared" si="164"/>
        <v>0</v>
      </c>
      <c r="AA242" s="276">
        <f t="shared" si="164"/>
        <v>0</v>
      </c>
      <c r="AB242" s="276">
        <f t="shared" si="164"/>
        <v>0</v>
      </c>
      <c r="AC242" s="276">
        <f t="shared" si="164"/>
        <v>0</v>
      </c>
      <c r="AD242" s="276">
        <f t="shared" si="164"/>
        <v>0</v>
      </c>
      <c r="AE242" s="276">
        <f t="shared" si="164"/>
        <v>0</v>
      </c>
      <c r="AF242" s="276">
        <f t="shared" si="164"/>
        <v>0</v>
      </c>
      <c r="AG242" s="276">
        <f t="shared" si="164"/>
        <v>0</v>
      </c>
      <c r="AJ242" s="272"/>
    </row>
    <row r="243" spans="1:37" s="160" customFormat="1">
      <c r="B243" s="15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  <c r="AB243" s="276"/>
      <c r="AC243" s="276"/>
      <c r="AD243" s="276"/>
      <c r="AE243" s="276"/>
      <c r="AF243" s="276"/>
      <c r="AG243" s="276"/>
      <c r="AJ243" s="272"/>
    </row>
    <row r="244" spans="1:37" s="160" customFormat="1">
      <c r="B244" s="184" t="s">
        <v>633</v>
      </c>
      <c r="C244" s="280">
        <v>0</v>
      </c>
      <c r="D244" s="280">
        <f>C244+1</f>
        <v>1</v>
      </c>
      <c r="E244" s="280">
        <f t="shared" ref="E244:AG244" si="165">D244+1</f>
        <v>2</v>
      </c>
      <c r="F244" s="280">
        <f t="shared" si="165"/>
        <v>3</v>
      </c>
      <c r="G244" s="280">
        <f t="shared" si="165"/>
        <v>4</v>
      </c>
      <c r="H244" s="280">
        <f t="shared" si="165"/>
        <v>5</v>
      </c>
      <c r="I244" s="280">
        <f t="shared" si="165"/>
        <v>6</v>
      </c>
      <c r="J244" s="280">
        <f t="shared" si="165"/>
        <v>7</v>
      </c>
      <c r="K244" s="280">
        <f t="shared" si="165"/>
        <v>8</v>
      </c>
      <c r="L244" s="280">
        <f t="shared" si="165"/>
        <v>9</v>
      </c>
      <c r="M244" s="280">
        <f t="shared" si="165"/>
        <v>10</v>
      </c>
      <c r="N244" s="280">
        <f t="shared" si="165"/>
        <v>11</v>
      </c>
      <c r="O244" s="280">
        <f t="shared" si="165"/>
        <v>12</v>
      </c>
      <c r="P244" s="280">
        <f t="shared" si="165"/>
        <v>13</v>
      </c>
      <c r="Q244" s="280">
        <f t="shared" si="165"/>
        <v>14</v>
      </c>
      <c r="R244" s="280">
        <f t="shared" si="165"/>
        <v>15</v>
      </c>
      <c r="S244" s="280">
        <f t="shared" si="165"/>
        <v>16</v>
      </c>
      <c r="T244" s="280">
        <f t="shared" si="165"/>
        <v>17</v>
      </c>
      <c r="U244" s="280">
        <f t="shared" si="165"/>
        <v>18</v>
      </c>
      <c r="V244" s="280">
        <f t="shared" si="165"/>
        <v>19</v>
      </c>
      <c r="W244" s="280">
        <f t="shared" si="165"/>
        <v>20</v>
      </c>
      <c r="X244" s="280">
        <f t="shared" si="165"/>
        <v>21</v>
      </c>
      <c r="Y244" s="280">
        <f t="shared" si="165"/>
        <v>22</v>
      </c>
      <c r="Z244" s="280">
        <f t="shared" si="165"/>
        <v>23</v>
      </c>
      <c r="AA244" s="280">
        <f t="shared" si="165"/>
        <v>24</v>
      </c>
      <c r="AB244" s="280">
        <f t="shared" si="165"/>
        <v>25</v>
      </c>
      <c r="AC244" s="280">
        <f t="shared" si="165"/>
        <v>26</v>
      </c>
      <c r="AD244" s="280">
        <f t="shared" si="165"/>
        <v>27</v>
      </c>
      <c r="AE244" s="280">
        <f t="shared" si="165"/>
        <v>28</v>
      </c>
      <c r="AF244" s="280">
        <f t="shared" si="165"/>
        <v>29</v>
      </c>
      <c r="AG244" s="280">
        <f t="shared" si="165"/>
        <v>30</v>
      </c>
      <c r="AJ244" s="272" t="s">
        <v>641</v>
      </c>
      <c r="AK244" s="160">
        <f>'Propylene Recycling HC'!AK196</f>
        <v>1.9</v>
      </c>
    </row>
    <row r="245" spans="1:37" s="160" customFormat="1">
      <c r="A245" s="160" t="s">
        <v>686</v>
      </c>
      <c r="B245" s="156"/>
      <c r="C245" s="282">
        <f>$AK$246/((1+EXP(-$AK$245*(C244-$AK$247)))^$AK$244)</f>
        <v>4.6088632748610021E-5</v>
      </c>
      <c r="D245" s="282">
        <f t="shared" ref="D245:AG245" si="166">$AK$246/((1+EXP(-$AK$245*(D244-$AK$247)))^$AK$244)</f>
        <v>8.924759460408035E-5</v>
      </c>
      <c r="E245" s="282">
        <f t="shared" si="166"/>
        <v>1.7252431976790472E-4</v>
      </c>
      <c r="F245" s="282">
        <f t="shared" si="166"/>
        <v>3.3269643715580369E-4</v>
      </c>
      <c r="G245" s="282">
        <f t="shared" si="166"/>
        <v>6.393827369910735E-4</v>
      </c>
      <c r="H245" s="282">
        <f t="shared" si="166"/>
        <v>1.2229053771654547E-3</v>
      </c>
      <c r="I245" s="282">
        <f t="shared" si="166"/>
        <v>2.3234018804222717E-3</v>
      </c>
      <c r="J245" s="282">
        <f t="shared" si="166"/>
        <v>4.3736281679830789E-3</v>
      </c>
      <c r="K245" s="282">
        <f t="shared" si="166"/>
        <v>8.1294184230466908E-3</v>
      </c>
      <c r="L245" s="282">
        <f t="shared" si="166"/>
        <v>1.4853985082038716E-2</v>
      </c>
      <c r="M245" s="282">
        <f t="shared" si="166"/>
        <v>2.6531412096832362E-2</v>
      </c>
      <c r="N245" s="282">
        <f t="shared" si="166"/>
        <v>4.6014759335105015E-2</v>
      </c>
      <c r="O245" s="282">
        <f t="shared" si="166"/>
        <v>7.6910635328419796E-2</v>
      </c>
      <c r="P245" s="282">
        <f t="shared" si="166"/>
        <v>0.12294065829885638</v>
      </c>
      <c r="Q245" s="282">
        <f t="shared" si="166"/>
        <v>0.18666754187878853</v>
      </c>
      <c r="R245" s="282">
        <f t="shared" si="166"/>
        <v>0.26794336563407328</v>
      </c>
      <c r="S245" s="282">
        <f t="shared" si="166"/>
        <v>0.36297326582455031</v>
      </c>
      <c r="T245" s="282">
        <f t="shared" si="166"/>
        <v>0.46484396312424381</v>
      </c>
      <c r="U245" s="282">
        <f t="shared" si="166"/>
        <v>0.56546260593861253</v>
      </c>
      <c r="V245" s="282">
        <f t="shared" si="166"/>
        <v>0.6578403022607352</v>
      </c>
      <c r="W245" s="282">
        <f t="shared" si="166"/>
        <v>0.73754668886795227</v>
      </c>
      <c r="X245" s="282">
        <f t="shared" si="166"/>
        <v>0.80293052021410605</v>
      </c>
      <c r="Y245" s="282">
        <f t="shared" si="166"/>
        <v>0.85447682949112158</v>
      </c>
      <c r="Z245" s="282">
        <f t="shared" si="166"/>
        <v>0.89389910336617451</v>
      </c>
      <c r="AA245" s="282">
        <f t="shared" si="166"/>
        <v>0.92337223319290385</v>
      </c>
      <c r="AB245" s="282">
        <f t="shared" si="166"/>
        <v>0.94504210708611314</v>
      </c>
      <c r="AC245" s="282">
        <f t="shared" si="166"/>
        <v>0.96078240575184182</v>
      </c>
      <c r="AD245" s="282">
        <f t="shared" si="166"/>
        <v>0.97211605463477313</v>
      </c>
      <c r="AE245" s="282">
        <f t="shared" si="166"/>
        <v>0.98022577885232642</v>
      </c>
      <c r="AF245" s="282">
        <f t="shared" si="166"/>
        <v>0.98600279580400285</v>
      </c>
      <c r="AG245" s="282">
        <f t="shared" si="166"/>
        <v>0.9901050637460882</v>
      </c>
      <c r="AI245" s="156" t="s">
        <v>640</v>
      </c>
      <c r="AJ245" s="272" t="s">
        <v>642</v>
      </c>
      <c r="AK245" s="160">
        <f>'Propylene Recycling HC'!AK197</f>
        <v>0.35</v>
      </c>
    </row>
    <row r="246" spans="1:37" s="160" customFormat="1">
      <c r="B246" s="156"/>
      <c r="C246" s="278">
        <v>0</v>
      </c>
      <c r="D246" s="278">
        <v>0</v>
      </c>
      <c r="E246" s="278">
        <v>0</v>
      </c>
      <c r="F246" s="278">
        <v>0</v>
      </c>
      <c r="G246" s="278">
        <v>0</v>
      </c>
      <c r="H246" s="278">
        <v>0</v>
      </c>
      <c r="I246" s="278">
        <v>0</v>
      </c>
      <c r="J246" s="278">
        <v>0</v>
      </c>
      <c r="K246" s="278">
        <v>0</v>
      </c>
      <c r="L246" s="278">
        <v>0</v>
      </c>
      <c r="M246" s="278">
        <f>C245</f>
        <v>4.6088632748610021E-5</v>
      </c>
      <c r="N246" s="278">
        <v>0</v>
      </c>
      <c r="O246" s="278">
        <v>0</v>
      </c>
      <c r="P246" s="278">
        <v>0</v>
      </c>
      <c r="Q246" s="278">
        <v>0</v>
      </c>
      <c r="R246" s="278">
        <f t="shared" ref="R246:AG246" si="167">C245</f>
        <v>4.6088632748610021E-5</v>
      </c>
      <c r="S246" s="278">
        <f t="shared" si="167"/>
        <v>8.924759460408035E-5</v>
      </c>
      <c r="T246" s="278">
        <f t="shared" si="167"/>
        <v>1.7252431976790472E-4</v>
      </c>
      <c r="U246" s="278">
        <f t="shared" si="167"/>
        <v>3.3269643715580369E-4</v>
      </c>
      <c r="V246" s="278">
        <f t="shared" si="167"/>
        <v>6.393827369910735E-4</v>
      </c>
      <c r="W246" s="278">
        <f t="shared" si="167"/>
        <v>1.2229053771654547E-3</v>
      </c>
      <c r="X246" s="278">
        <f t="shared" si="167"/>
        <v>2.3234018804222717E-3</v>
      </c>
      <c r="Y246" s="278">
        <f t="shared" si="167"/>
        <v>4.3736281679830789E-3</v>
      </c>
      <c r="Z246" s="278">
        <f t="shared" si="167"/>
        <v>8.1294184230466908E-3</v>
      </c>
      <c r="AA246" s="278">
        <f t="shared" si="167"/>
        <v>1.4853985082038716E-2</v>
      </c>
      <c r="AB246" s="278">
        <f t="shared" si="167"/>
        <v>2.6531412096832362E-2</v>
      </c>
      <c r="AC246" s="278">
        <f t="shared" si="167"/>
        <v>4.6014759335105015E-2</v>
      </c>
      <c r="AD246" s="278">
        <f t="shared" si="167"/>
        <v>7.6910635328419796E-2</v>
      </c>
      <c r="AE246" s="278">
        <f t="shared" si="167"/>
        <v>0.12294065829885638</v>
      </c>
      <c r="AF246" s="278">
        <f t="shared" si="167"/>
        <v>0.18666754187878853</v>
      </c>
      <c r="AG246" s="278">
        <f t="shared" si="167"/>
        <v>0.26794336563407328</v>
      </c>
      <c r="AI246" s="156" t="s">
        <v>687</v>
      </c>
      <c r="AJ246" s="272" t="s">
        <v>643</v>
      </c>
      <c r="AK246" s="160">
        <f>'Propylene Recycling HC'!AK198</f>
        <v>1</v>
      </c>
    </row>
    <row r="247" spans="1:37" s="160" customFormat="1">
      <c r="B247" s="15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  <c r="AB247" s="276"/>
      <c r="AC247" s="276"/>
      <c r="AD247" s="276"/>
      <c r="AE247" s="276"/>
      <c r="AF247" s="276"/>
      <c r="AG247" s="276"/>
      <c r="AJ247" s="272" t="s">
        <v>644</v>
      </c>
      <c r="AK247" s="160">
        <f>'Propylene Recycling HC'!AK199</f>
        <v>15</v>
      </c>
    </row>
    <row r="248" spans="1:37" s="160" customFormat="1">
      <c r="A248" s="160" t="s">
        <v>762</v>
      </c>
      <c r="B248" s="156" t="s">
        <v>126</v>
      </c>
      <c r="C248" s="277">
        <v>0</v>
      </c>
      <c r="D248" s="277">
        <f>C248</f>
        <v>0</v>
      </c>
      <c r="E248" s="277">
        <f t="shared" ref="E248:AG248" si="168">D248</f>
        <v>0</v>
      </c>
      <c r="F248" s="277">
        <f t="shared" si="168"/>
        <v>0</v>
      </c>
      <c r="G248" s="277">
        <f t="shared" si="168"/>
        <v>0</v>
      </c>
      <c r="H248" s="277">
        <f t="shared" si="168"/>
        <v>0</v>
      </c>
      <c r="I248" s="277">
        <f t="shared" si="168"/>
        <v>0</v>
      </c>
      <c r="J248" s="277">
        <f t="shared" si="168"/>
        <v>0</v>
      </c>
      <c r="K248" s="277">
        <f t="shared" si="168"/>
        <v>0</v>
      </c>
      <c r="L248" s="277">
        <f t="shared" si="168"/>
        <v>0</v>
      </c>
      <c r="M248" s="277">
        <v>0</v>
      </c>
      <c r="N248" s="277">
        <f t="shared" si="168"/>
        <v>0</v>
      </c>
      <c r="O248" s="277">
        <f t="shared" si="168"/>
        <v>0</v>
      </c>
      <c r="P248" s="277">
        <f t="shared" si="168"/>
        <v>0</v>
      </c>
      <c r="Q248" s="277">
        <f t="shared" si="168"/>
        <v>0</v>
      </c>
      <c r="R248" s="277">
        <f t="shared" si="168"/>
        <v>0</v>
      </c>
      <c r="S248" s="277">
        <f t="shared" si="168"/>
        <v>0</v>
      </c>
      <c r="T248" s="277">
        <f t="shared" si="168"/>
        <v>0</v>
      </c>
      <c r="U248" s="277">
        <f t="shared" si="168"/>
        <v>0</v>
      </c>
      <c r="V248" s="277">
        <f t="shared" si="168"/>
        <v>0</v>
      </c>
      <c r="W248" s="277">
        <f t="shared" si="168"/>
        <v>0</v>
      </c>
      <c r="X248" s="277">
        <f t="shared" si="168"/>
        <v>0</v>
      </c>
      <c r="Y248" s="277">
        <f t="shared" si="168"/>
        <v>0</v>
      </c>
      <c r="Z248" s="277">
        <f t="shared" si="168"/>
        <v>0</v>
      </c>
      <c r="AA248" s="277">
        <f t="shared" si="168"/>
        <v>0</v>
      </c>
      <c r="AB248" s="277">
        <f t="shared" si="168"/>
        <v>0</v>
      </c>
      <c r="AC248" s="277">
        <f t="shared" si="168"/>
        <v>0</v>
      </c>
      <c r="AD248" s="277">
        <f t="shared" si="168"/>
        <v>0</v>
      </c>
      <c r="AE248" s="277">
        <f t="shared" si="168"/>
        <v>0</v>
      </c>
      <c r="AF248" s="277">
        <f t="shared" si="168"/>
        <v>0</v>
      </c>
      <c r="AG248" s="277">
        <f t="shared" si="168"/>
        <v>0</v>
      </c>
      <c r="AI248" s="156" t="s">
        <v>766</v>
      </c>
      <c r="AJ248" s="272"/>
    </row>
    <row r="249" spans="1:37" s="250" customFormat="1" ht="15.5" thickBot="1">
      <c r="A249" s="283" t="s">
        <v>631</v>
      </c>
      <c r="B249" s="284" t="s">
        <v>127</v>
      </c>
      <c r="C249" s="285">
        <f>C248*(C241*C245+C242*C246)</f>
        <v>0</v>
      </c>
      <c r="D249" s="285">
        <f t="shared" ref="D249:AG249" si="169">D248*(D241*D245+D242*D246)</f>
        <v>0</v>
      </c>
      <c r="E249" s="285">
        <f t="shared" si="169"/>
        <v>0</v>
      </c>
      <c r="F249" s="285">
        <f t="shared" si="169"/>
        <v>0</v>
      </c>
      <c r="G249" s="285">
        <f t="shared" si="169"/>
        <v>0</v>
      </c>
      <c r="H249" s="285">
        <f t="shared" si="169"/>
        <v>0</v>
      </c>
      <c r="I249" s="285">
        <f t="shared" si="169"/>
        <v>0</v>
      </c>
      <c r="J249" s="285">
        <f t="shared" si="169"/>
        <v>0</v>
      </c>
      <c r="K249" s="285">
        <f t="shared" si="169"/>
        <v>0</v>
      </c>
      <c r="L249" s="285">
        <f t="shared" si="169"/>
        <v>0</v>
      </c>
      <c r="M249" s="285">
        <f>M248*(M241*M245+M242*M246)</f>
        <v>0</v>
      </c>
      <c r="N249" s="285">
        <f t="shared" si="169"/>
        <v>0</v>
      </c>
      <c r="O249" s="285">
        <f t="shared" si="169"/>
        <v>0</v>
      </c>
      <c r="P249" s="285">
        <f t="shared" si="169"/>
        <v>0</v>
      </c>
      <c r="Q249" s="285">
        <f t="shared" si="169"/>
        <v>0</v>
      </c>
      <c r="R249" s="285">
        <f t="shared" si="169"/>
        <v>0</v>
      </c>
      <c r="S249" s="285">
        <f t="shared" si="169"/>
        <v>0</v>
      </c>
      <c r="T249" s="285">
        <f t="shared" si="169"/>
        <v>0</v>
      </c>
      <c r="U249" s="285">
        <f t="shared" si="169"/>
        <v>0</v>
      </c>
      <c r="V249" s="285">
        <f t="shared" si="169"/>
        <v>0</v>
      </c>
      <c r="W249" s="285">
        <f t="shared" si="169"/>
        <v>0</v>
      </c>
      <c r="X249" s="285">
        <f t="shared" si="169"/>
        <v>0</v>
      </c>
      <c r="Y249" s="285">
        <f t="shared" si="169"/>
        <v>0</v>
      </c>
      <c r="Z249" s="285">
        <f t="shared" si="169"/>
        <v>0</v>
      </c>
      <c r="AA249" s="285">
        <f t="shared" si="169"/>
        <v>0</v>
      </c>
      <c r="AB249" s="285">
        <f t="shared" si="169"/>
        <v>0</v>
      </c>
      <c r="AC249" s="285">
        <f t="shared" si="169"/>
        <v>0</v>
      </c>
      <c r="AD249" s="285">
        <f t="shared" si="169"/>
        <v>0</v>
      </c>
      <c r="AE249" s="285">
        <f t="shared" si="169"/>
        <v>0</v>
      </c>
      <c r="AF249" s="285">
        <f t="shared" si="169"/>
        <v>0</v>
      </c>
      <c r="AG249" s="285">
        <f t="shared" si="169"/>
        <v>0</v>
      </c>
      <c r="AJ249" s="275"/>
    </row>
    <row r="250" spans="1:37" s="203" customFormat="1">
      <c r="A250" s="274" t="s">
        <v>637</v>
      </c>
      <c r="B250" s="273" t="s">
        <v>126</v>
      </c>
      <c r="C250" s="279">
        <v>0</v>
      </c>
      <c r="D250" s="279">
        <v>0.5</v>
      </c>
      <c r="E250" s="279">
        <v>0.5</v>
      </c>
      <c r="F250" s="279">
        <v>0.5</v>
      </c>
      <c r="G250" s="279">
        <v>0.5</v>
      </c>
      <c r="H250" s="279">
        <v>0.5</v>
      </c>
      <c r="I250" s="279">
        <v>0.5</v>
      </c>
      <c r="J250" s="279">
        <v>0.5</v>
      </c>
      <c r="K250" s="279">
        <v>0.5</v>
      </c>
      <c r="L250" s="279">
        <v>0.5</v>
      </c>
      <c r="M250" s="279">
        <v>0</v>
      </c>
      <c r="N250" s="279">
        <v>0.5</v>
      </c>
      <c r="O250" s="279">
        <v>0.5</v>
      </c>
      <c r="P250" s="279">
        <v>0.5</v>
      </c>
      <c r="Q250" s="279">
        <v>0.5</v>
      </c>
      <c r="R250" s="279">
        <v>0.5</v>
      </c>
      <c r="S250" s="279">
        <v>0.5</v>
      </c>
      <c r="T250" s="279">
        <v>0.5</v>
      </c>
      <c r="U250" s="279">
        <v>0.5</v>
      </c>
      <c r="V250" s="279">
        <v>0.5</v>
      </c>
      <c r="W250" s="279">
        <v>0</v>
      </c>
      <c r="X250" s="279">
        <v>0.5</v>
      </c>
      <c r="Y250" s="279">
        <v>0.5</v>
      </c>
      <c r="Z250" s="279">
        <v>0.5</v>
      </c>
      <c r="AA250" s="279">
        <v>0.5</v>
      </c>
      <c r="AB250" s="279">
        <v>0.5</v>
      </c>
      <c r="AC250" s="279">
        <v>0.5</v>
      </c>
      <c r="AD250" s="279">
        <v>0.5</v>
      </c>
      <c r="AE250" s="279">
        <v>0.5</v>
      </c>
      <c r="AF250" s="279">
        <v>0.5</v>
      </c>
      <c r="AG250" s="279">
        <v>0</v>
      </c>
    </row>
    <row r="251" spans="1:37" s="203" customFormat="1" ht="15.5" thickBot="1">
      <c r="A251" s="251" t="s">
        <v>632</v>
      </c>
      <c r="B251" s="284" t="s">
        <v>127</v>
      </c>
      <c r="C251" s="285">
        <f>C250*(C241*C245+C242*C246)</f>
        <v>0</v>
      </c>
      <c r="D251" s="285">
        <f t="shared" ref="D251:AG251" si="170">D250*(D241*D245+D242*D246)</f>
        <v>1.7746554319815253</v>
      </c>
      <c r="E251" s="285">
        <f t="shared" si="170"/>
        <v>3.5168455805053878</v>
      </c>
      <c r="F251" s="285">
        <f t="shared" si="170"/>
        <v>6.9467300824973046</v>
      </c>
      <c r="G251" s="285">
        <f t="shared" si="170"/>
        <v>13.66424632725418</v>
      </c>
      <c r="H251" s="285">
        <f t="shared" si="170"/>
        <v>26.729519034873881</v>
      </c>
      <c r="I251" s="285">
        <f t="shared" si="170"/>
        <v>51.568593984922821</v>
      </c>
      <c r="J251" s="285">
        <f t="shared" si="170"/>
        <v>98.492267557668512</v>
      </c>
      <c r="K251" s="285">
        <f t="shared" si="170"/>
        <v>185.59714552248505</v>
      </c>
      <c r="L251" s="285">
        <f t="shared" si="170"/>
        <v>343.53644450817018</v>
      </c>
      <c r="M251" s="285">
        <f t="shared" si="170"/>
        <v>0</v>
      </c>
      <c r="N251" s="285">
        <f t="shared" si="170"/>
        <v>1088.5736769471855</v>
      </c>
      <c r="O251" s="285">
        <f t="shared" si="170"/>
        <v>1838.2128631626176</v>
      </c>
      <c r="P251" s="285">
        <f t="shared" si="170"/>
        <v>2967.9030236588601</v>
      </c>
      <c r="Q251" s="285">
        <f t="shared" si="170"/>
        <v>4548.9353872002503</v>
      </c>
      <c r="R251" s="285">
        <f t="shared" si="170"/>
        <v>6587.5001807080325</v>
      </c>
      <c r="S251" s="285">
        <f t="shared" si="170"/>
        <v>8998.0024819662995</v>
      </c>
      <c r="T251" s="285">
        <f t="shared" si="170"/>
        <v>11612.785253857437</v>
      </c>
      <c r="U251" s="285">
        <f t="shared" si="170"/>
        <v>14228.559582523385</v>
      </c>
      <c r="V251" s="285">
        <f t="shared" si="170"/>
        <v>16664.076044657912</v>
      </c>
      <c r="W251" s="285">
        <f t="shared" si="170"/>
        <v>0</v>
      </c>
      <c r="X251" s="285">
        <f t="shared" si="170"/>
        <v>20601.88770035511</v>
      </c>
      <c r="Y251" s="285">
        <f t="shared" si="170"/>
        <v>22061.482794488071</v>
      </c>
      <c r="Z251" s="285">
        <f t="shared" si="170"/>
        <v>23271.385242935452</v>
      </c>
      <c r="AA251" s="285">
        <f t="shared" si="170"/>
        <v>24231.412276641699</v>
      </c>
      <c r="AB251" s="285">
        <f t="shared" si="170"/>
        <v>24991.553376357555</v>
      </c>
      <c r="AC251" s="285">
        <f t="shared" si="170"/>
        <v>25589.840815326243</v>
      </c>
      <c r="AD251" s="285">
        <f t="shared" si="170"/>
        <v>26069.718724183836</v>
      </c>
      <c r="AE251" s="285">
        <f t="shared" si="170"/>
        <v>26460.493805704991</v>
      </c>
      <c r="AF251" s="285">
        <f t="shared" si="170"/>
        <v>26784.52855564194</v>
      </c>
      <c r="AG251" s="285">
        <f t="shared" si="170"/>
        <v>0</v>
      </c>
      <c r="AJ251" s="274"/>
    </row>
    <row r="252" spans="1:37" s="203" customFormat="1">
      <c r="A252" s="275"/>
      <c r="B252" s="273"/>
      <c r="AJ252" s="274"/>
    </row>
    <row r="253" spans="1:37" s="203" customFormat="1">
      <c r="A253" s="275" t="s">
        <v>635</v>
      </c>
      <c r="B253" s="273" t="s">
        <v>127</v>
      </c>
      <c r="C253" s="203">
        <f>SUM(C222:C223)-SUM(C249,C251)</f>
        <v>439914.26572866924</v>
      </c>
      <c r="D253" s="203">
        <f t="shared" ref="D253:AG253" si="171">SUM(D222:D223)-SUM(D249,D251)</f>
        <v>437052.6490331121</v>
      </c>
      <c r="E253" s="203">
        <f t="shared" si="171"/>
        <v>434200.16469829174</v>
      </c>
      <c r="F253" s="203">
        <f t="shared" si="171"/>
        <v>431355.06937706022</v>
      </c>
      <c r="G253" s="203">
        <f t="shared" si="171"/>
        <v>428515.73999580689</v>
      </c>
      <c r="H253" s="203">
        <f t="shared" si="171"/>
        <v>425679.0933447812</v>
      </c>
      <c r="I253" s="203">
        <f t="shared" si="171"/>
        <v>420924.9638033621</v>
      </c>
      <c r="J253" s="203">
        <f t="shared" si="171"/>
        <v>416164.89088726905</v>
      </c>
      <c r="K253" s="203">
        <f t="shared" si="171"/>
        <v>411380.73565493716</v>
      </c>
      <c r="L253" s="203">
        <f t="shared" si="171"/>
        <v>406541.80264921283</v>
      </c>
      <c r="M253" s="203">
        <f t="shared" si="171"/>
        <v>402220.35988917068</v>
      </c>
      <c r="N253" s="203">
        <f t="shared" si="171"/>
        <v>396199.92920983525</v>
      </c>
      <c r="O253" s="203">
        <f t="shared" si="171"/>
        <v>390674.02678436501</v>
      </c>
      <c r="P253" s="203">
        <f t="shared" si="171"/>
        <v>384239.17277031433</v>
      </c>
      <c r="Q253" s="203">
        <f t="shared" si="171"/>
        <v>377385.11352121021</v>
      </c>
      <c r="R253" s="203">
        <f t="shared" si="171"/>
        <v>370105.53321420331</v>
      </c>
      <c r="S253" s="203">
        <f t="shared" si="171"/>
        <v>362485.90380647941</v>
      </c>
      <c r="T253" s="203">
        <f t="shared" si="171"/>
        <v>354693.75526392413</v>
      </c>
      <c r="U253" s="203">
        <f t="shared" si="171"/>
        <v>346932.25206644705</v>
      </c>
      <c r="V253" s="203">
        <f t="shared" si="171"/>
        <v>339382.51958870364</v>
      </c>
      <c r="W253" s="203">
        <f t="shared" si="171"/>
        <v>350963.76880659501</v>
      </c>
      <c r="X253" s="203">
        <f t="shared" si="171"/>
        <v>325525.46185002447</v>
      </c>
      <c r="Y253" s="203">
        <f t="shared" si="171"/>
        <v>319269.68506408186</v>
      </c>
      <c r="Z253" s="203">
        <f t="shared" si="171"/>
        <v>312586.33692419634</v>
      </c>
      <c r="AA253" s="203">
        <f t="shared" si="171"/>
        <v>306212.49527108867</v>
      </c>
      <c r="AB253" s="203">
        <f t="shared" si="171"/>
        <v>300097.8928393533</v>
      </c>
      <c r="AC253" s="203">
        <f t="shared" si="171"/>
        <v>294148.32978790306</v>
      </c>
      <c r="AD253" s="203">
        <f t="shared" si="171"/>
        <v>288376.18595370819</v>
      </c>
      <c r="AE253" s="203">
        <f t="shared" si="171"/>
        <v>282751.87908367591</v>
      </c>
      <c r="AF253" s="203">
        <f t="shared" si="171"/>
        <v>277252.77206202911</v>
      </c>
      <c r="AG253" s="203">
        <f t="shared" si="171"/>
        <v>298920.41417046037</v>
      </c>
      <c r="AJ253" s="274"/>
    </row>
    <row r="254" spans="1:37" s="203" customFormat="1">
      <c r="A254" s="275"/>
      <c r="B254" s="273"/>
      <c r="AJ254" s="274"/>
    </row>
    <row r="255" spans="1:37" s="203" customFormat="1">
      <c r="A255" s="274" t="s">
        <v>646</v>
      </c>
      <c r="B255" s="273" t="s">
        <v>127</v>
      </c>
      <c r="C255" s="276">
        <f t="shared" ref="C255:AG255" si="172">C175*C174*C125</f>
        <v>0</v>
      </c>
      <c r="D255" s="276">
        <f t="shared" si="172"/>
        <v>0</v>
      </c>
      <c r="E255" s="276">
        <f t="shared" si="172"/>
        <v>0</v>
      </c>
      <c r="F255" s="276">
        <f t="shared" si="172"/>
        <v>0</v>
      </c>
      <c r="G255" s="276">
        <f t="shared" si="172"/>
        <v>0</v>
      </c>
      <c r="H255" s="276">
        <f t="shared" si="172"/>
        <v>0</v>
      </c>
      <c r="I255" s="276">
        <f t="shared" si="172"/>
        <v>0</v>
      </c>
      <c r="J255" s="276">
        <f t="shared" si="172"/>
        <v>0</v>
      </c>
      <c r="K255" s="276">
        <f t="shared" si="172"/>
        <v>0</v>
      </c>
      <c r="L255" s="276">
        <f t="shared" si="172"/>
        <v>0</v>
      </c>
      <c r="M255" s="276">
        <f t="shared" si="172"/>
        <v>0</v>
      </c>
      <c r="N255" s="276">
        <f t="shared" si="172"/>
        <v>0</v>
      </c>
      <c r="O255" s="276">
        <f t="shared" si="172"/>
        <v>0</v>
      </c>
      <c r="P255" s="276">
        <f t="shared" si="172"/>
        <v>0</v>
      </c>
      <c r="Q255" s="276">
        <f t="shared" si="172"/>
        <v>0</v>
      </c>
      <c r="R255" s="276">
        <f t="shared" si="172"/>
        <v>0</v>
      </c>
      <c r="S255" s="276">
        <f t="shared" si="172"/>
        <v>0</v>
      </c>
      <c r="T255" s="276">
        <f t="shared" si="172"/>
        <v>0</v>
      </c>
      <c r="U255" s="276">
        <f t="shared" si="172"/>
        <v>0</v>
      </c>
      <c r="V255" s="276">
        <f t="shared" si="172"/>
        <v>0</v>
      </c>
      <c r="W255" s="276">
        <f t="shared" si="172"/>
        <v>0</v>
      </c>
      <c r="X255" s="276">
        <f t="shared" si="172"/>
        <v>0</v>
      </c>
      <c r="Y255" s="276">
        <f t="shared" si="172"/>
        <v>0</v>
      </c>
      <c r="Z255" s="276">
        <f t="shared" si="172"/>
        <v>0</v>
      </c>
      <c r="AA255" s="276">
        <f t="shared" si="172"/>
        <v>0</v>
      </c>
      <c r="AB255" s="276">
        <f t="shared" si="172"/>
        <v>0</v>
      </c>
      <c r="AC255" s="276">
        <f t="shared" si="172"/>
        <v>0</v>
      </c>
      <c r="AD255" s="276">
        <f t="shared" si="172"/>
        <v>0</v>
      </c>
      <c r="AE255" s="276">
        <f t="shared" si="172"/>
        <v>0</v>
      </c>
      <c r="AF255" s="276">
        <f t="shared" si="172"/>
        <v>0</v>
      </c>
      <c r="AG255" s="276">
        <f t="shared" si="172"/>
        <v>0</v>
      </c>
      <c r="AJ255" s="274"/>
    </row>
    <row r="256" spans="1:37" s="203" customFormat="1">
      <c r="A256" s="203" t="s">
        <v>645</v>
      </c>
      <c r="B256" s="273" t="s">
        <v>127</v>
      </c>
      <c r="C256" s="276">
        <f t="shared" ref="C256:AG256" si="173">C176*C174*C125</f>
        <v>0</v>
      </c>
      <c r="D256" s="276">
        <f t="shared" si="173"/>
        <v>0</v>
      </c>
      <c r="E256" s="276">
        <f t="shared" si="173"/>
        <v>0</v>
      </c>
      <c r="F256" s="276">
        <f t="shared" si="173"/>
        <v>0</v>
      </c>
      <c r="G256" s="276">
        <f t="shared" si="173"/>
        <v>0</v>
      </c>
      <c r="H256" s="276">
        <f t="shared" si="173"/>
        <v>0</v>
      </c>
      <c r="I256" s="276">
        <f t="shared" si="173"/>
        <v>0</v>
      </c>
      <c r="J256" s="276">
        <f t="shared" si="173"/>
        <v>0</v>
      </c>
      <c r="K256" s="276">
        <f t="shared" si="173"/>
        <v>0</v>
      </c>
      <c r="L256" s="276">
        <f t="shared" si="173"/>
        <v>0</v>
      </c>
      <c r="M256" s="276">
        <f t="shared" si="173"/>
        <v>0</v>
      </c>
      <c r="N256" s="276">
        <f t="shared" si="173"/>
        <v>0</v>
      </c>
      <c r="O256" s="276">
        <f t="shared" si="173"/>
        <v>0</v>
      </c>
      <c r="P256" s="276">
        <f t="shared" si="173"/>
        <v>0</v>
      </c>
      <c r="Q256" s="276">
        <f t="shared" si="173"/>
        <v>0</v>
      </c>
      <c r="R256" s="276">
        <f t="shared" si="173"/>
        <v>0</v>
      </c>
      <c r="S256" s="276">
        <f t="shared" si="173"/>
        <v>0</v>
      </c>
      <c r="T256" s="276">
        <f t="shared" si="173"/>
        <v>0</v>
      </c>
      <c r="U256" s="276">
        <f t="shared" si="173"/>
        <v>0</v>
      </c>
      <c r="V256" s="276">
        <f t="shared" si="173"/>
        <v>0</v>
      </c>
      <c r="W256" s="276">
        <f t="shared" si="173"/>
        <v>0</v>
      </c>
      <c r="X256" s="276">
        <f t="shared" si="173"/>
        <v>0</v>
      </c>
      <c r="Y256" s="276">
        <f t="shared" si="173"/>
        <v>0</v>
      </c>
      <c r="Z256" s="276">
        <f t="shared" si="173"/>
        <v>0</v>
      </c>
      <c r="AA256" s="276">
        <f t="shared" si="173"/>
        <v>0</v>
      </c>
      <c r="AB256" s="276">
        <f t="shared" si="173"/>
        <v>0</v>
      </c>
      <c r="AC256" s="276">
        <f t="shared" si="173"/>
        <v>0</v>
      </c>
      <c r="AD256" s="276">
        <f t="shared" si="173"/>
        <v>0</v>
      </c>
      <c r="AE256" s="276">
        <f t="shared" si="173"/>
        <v>0</v>
      </c>
      <c r="AF256" s="276">
        <f t="shared" si="173"/>
        <v>0</v>
      </c>
      <c r="AG256" s="276">
        <f t="shared" si="173"/>
        <v>0</v>
      </c>
      <c r="AJ256" s="274"/>
    </row>
    <row r="257" spans="1:36" s="203" customFormat="1">
      <c r="B257" s="273"/>
      <c r="C257" s="267"/>
      <c r="D257" s="267"/>
      <c r="E257" s="267"/>
      <c r="F257" s="267"/>
      <c r="G257" s="267"/>
      <c r="H257" s="267"/>
      <c r="I257" s="267"/>
      <c r="J257" s="267"/>
      <c r="K257" s="267"/>
      <c r="L257" s="267"/>
      <c r="M257" s="267"/>
      <c r="N257" s="267"/>
      <c r="O257" s="267"/>
      <c r="P257" s="267"/>
      <c r="Q257" s="267"/>
      <c r="R257" s="267"/>
      <c r="S257" s="267"/>
      <c r="T257" s="267"/>
      <c r="U257" s="267"/>
      <c r="V257" s="267"/>
      <c r="W257" s="267"/>
      <c r="X257" s="267"/>
      <c r="Y257" s="267"/>
      <c r="Z257" s="267"/>
      <c r="AA257" s="267"/>
      <c r="AB257" s="267"/>
      <c r="AC257" s="267"/>
      <c r="AD257" s="267"/>
      <c r="AE257" s="267"/>
      <c r="AF257" s="267"/>
      <c r="AG257" s="267"/>
      <c r="AJ257" s="274"/>
    </row>
    <row r="258" spans="1:36" s="203" customFormat="1">
      <c r="A258" s="300" t="s">
        <v>647</v>
      </c>
      <c r="B258" s="301" t="s">
        <v>127</v>
      </c>
      <c r="C258" s="254">
        <f>C236+C237</f>
        <v>439503.08114830282</v>
      </c>
      <c r="D258" s="254">
        <f t="shared" ref="D258:AG258" si="174">D236+D237</f>
        <v>436622.07540715253</v>
      </c>
      <c r="E258" s="254">
        <f t="shared" si="174"/>
        <v>433751.24282147165</v>
      </c>
      <c r="F258" s="254">
        <f t="shared" si="174"/>
        <v>430890.55340968393</v>
      </c>
      <c r="G258" s="254">
        <f t="shared" si="174"/>
        <v>428039.97727103491</v>
      </c>
      <c r="H258" s="254">
        <f t="shared" si="174"/>
        <v>425199.48458538455</v>
      </c>
      <c r="I258" s="254">
        <f t="shared" si="174"/>
        <v>420454.32907209848</v>
      </c>
      <c r="J258" s="254">
        <f t="shared" si="174"/>
        <v>415726.35436669301</v>
      </c>
      <c r="K258" s="254">
        <f t="shared" si="174"/>
        <v>411015.51148589124</v>
      </c>
      <c r="L258" s="254">
        <f t="shared" si="174"/>
        <v>406321.75157068373</v>
      </c>
      <c r="M258" s="254">
        <f t="shared" si="174"/>
        <v>401645.02588603582</v>
      </c>
      <c r="N258" s="254">
        <f t="shared" si="174"/>
        <v>396702.4355711111</v>
      </c>
      <c r="O258" s="254">
        <f t="shared" si="174"/>
        <v>391916.44565475016</v>
      </c>
      <c r="P258" s="254">
        <f t="shared" si="174"/>
        <v>386605.66693817993</v>
      </c>
      <c r="Q258" s="254">
        <f t="shared" si="174"/>
        <v>381328.08657462517</v>
      </c>
      <c r="R258" s="254">
        <f t="shared" si="174"/>
        <v>376083.5581285946</v>
      </c>
      <c r="S258" s="254">
        <f t="shared" si="174"/>
        <v>370871.9379487352</v>
      </c>
      <c r="T258" s="254">
        <f t="shared" si="174"/>
        <v>365693.07842994289</v>
      </c>
      <c r="U258" s="254">
        <f t="shared" si="174"/>
        <v>360546.83475606184</v>
      </c>
      <c r="V258" s="254">
        <f t="shared" si="174"/>
        <v>355433.06264711602</v>
      </c>
      <c r="W258" s="254">
        <f t="shared" si="174"/>
        <v>350351.61835752323</v>
      </c>
      <c r="X258" s="254">
        <f t="shared" si="174"/>
        <v>345517.50033709675</v>
      </c>
      <c r="Y258" s="254">
        <f t="shared" si="174"/>
        <v>340724.51879634999</v>
      </c>
      <c r="Z258" s="254">
        <f t="shared" si="174"/>
        <v>335261.62883863901</v>
      </c>
      <c r="AA258" s="254">
        <f t="shared" si="174"/>
        <v>329859.17885470547</v>
      </c>
      <c r="AB258" s="254">
        <f t="shared" si="174"/>
        <v>324516.8447699424</v>
      </c>
      <c r="AC258" s="254">
        <f t="shared" si="174"/>
        <v>319178.41311121592</v>
      </c>
      <c r="AD258" s="254">
        <f t="shared" si="174"/>
        <v>313899.66232342576</v>
      </c>
      <c r="AE258" s="254">
        <f t="shared" si="174"/>
        <v>308680.27171406144</v>
      </c>
      <c r="AF258" s="254">
        <f t="shared" si="174"/>
        <v>303519.92189936037</v>
      </c>
      <c r="AG258" s="254">
        <f t="shared" si="174"/>
        <v>298418.29479968559</v>
      </c>
      <c r="AI258" s="203" t="s">
        <v>679</v>
      </c>
      <c r="AJ258" s="274"/>
    </row>
    <row r="259" spans="1:36" s="203" customFormat="1">
      <c r="A259" s="304" t="s">
        <v>648</v>
      </c>
      <c r="B259" s="305" t="s">
        <v>127</v>
      </c>
      <c r="C259" s="306">
        <f>C258</f>
        <v>439503.08114830282</v>
      </c>
      <c r="D259" s="306">
        <f t="shared" ref="D259:AG259" si="175">D258</f>
        <v>436622.07540715253</v>
      </c>
      <c r="E259" s="306">
        <f t="shared" si="175"/>
        <v>433751.24282147165</v>
      </c>
      <c r="F259" s="306">
        <f t="shared" si="175"/>
        <v>430890.55340968393</v>
      </c>
      <c r="G259" s="306">
        <f t="shared" si="175"/>
        <v>428039.97727103491</v>
      </c>
      <c r="H259" s="306">
        <f t="shared" si="175"/>
        <v>425199.48458538455</v>
      </c>
      <c r="I259" s="306">
        <f t="shared" si="175"/>
        <v>420454.32907209848</v>
      </c>
      <c r="J259" s="306">
        <f t="shared" si="175"/>
        <v>415726.35436669301</v>
      </c>
      <c r="K259" s="306">
        <f t="shared" si="175"/>
        <v>411015.51148589124</v>
      </c>
      <c r="L259" s="306">
        <f t="shared" si="175"/>
        <v>406321.75157068373</v>
      </c>
      <c r="M259" s="306">
        <f t="shared" si="175"/>
        <v>401645.02588603582</v>
      </c>
      <c r="N259" s="306">
        <f t="shared" si="175"/>
        <v>396702.4355711111</v>
      </c>
      <c r="O259" s="306">
        <f t="shared" si="175"/>
        <v>391916.44565475016</v>
      </c>
      <c r="P259" s="306">
        <f t="shared" si="175"/>
        <v>386605.66693817993</v>
      </c>
      <c r="Q259" s="306">
        <f t="shared" si="175"/>
        <v>381328.08657462517</v>
      </c>
      <c r="R259" s="306">
        <f t="shared" si="175"/>
        <v>376083.5581285946</v>
      </c>
      <c r="S259" s="306">
        <f t="shared" si="175"/>
        <v>370871.9379487352</v>
      </c>
      <c r="T259" s="306">
        <f t="shared" si="175"/>
        <v>365693.07842994289</v>
      </c>
      <c r="U259" s="306">
        <f t="shared" si="175"/>
        <v>360546.83475606184</v>
      </c>
      <c r="V259" s="306">
        <f t="shared" si="175"/>
        <v>355433.06264711602</v>
      </c>
      <c r="W259" s="306">
        <f t="shared" si="175"/>
        <v>350351.61835752323</v>
      </c>
      <c r="X259" s="306">
        <f t="shared" si="175"/>
        <v>345517.50033709675</v>
      </c>
      <c r="Y259" s="306">
        <f t="shared" si="175"/>
        <v>340724.51879634999</v>
      </c>
      <c r="Z259" s="306">
        <f t="shared" si="175"/>
        <v>335261.62883863901</v>
      </c>
      <c r="AA259" s="306">
        <f t="shared" si="175"/>
        <v>329859.17885470547</v>
      </c>
      <c r="AB259" s="306">
        <f t="shared" si="175"/>
        <v>324516.8447699424</v>
      </c>
      <c r="AC259" s="306">
        <f t="shared" si="175"/>
        <v>319178.41311121592</v>
      </c>
      <c r="AD259" s="306">
        <f t="shared" si="175"/>
        <v>313899.66232342576</v>
      </c>
      <c r="AE259" s="306">
        <f t="shared" si="175"/>
        <v>308680.27171406144</v>
      </c>
      <c r="AF259" s="306">
        <f t="shared" si="175"/>
        <v>303519.92189936037</v>
      </c>
      <c r="AG259" s="306">
        <f t="shared" si="175"/>
        <v>298418.29479968559</v>
      </c>
      <c r="AI259" s="203" t="s">
        <v>680</v>
      </c>
      <c r="AJ259" s="274"/>
    </row>
    <row r="260" spans="1:36" s="203" customFormat="1">
      <c r="A260" s="378"/>
      <c r="B260" s="379"/>
      <c r="C260" s="378"/>
      <c r="D260" s="378"/>
      <c r="E260" s="378"/>
      <c r="F260" s="378"/>
      <c r="G260" s="378"/>
      <c r="H260" s="378"/>
      <c r="I260" s="378"/>
      <c r="J260" s="378"/>
      <c r="K260" s="378"/>
      <c r="L260" s="378"/>
      <c r="M260" s="378"/>
      <c r="N260" s="378"/>
      <c r="O260" s="378"/>
      <c r="P260" s="378"/>
      <c r="Q260" s="378"/>
      <c r="R260" s="378"/>
      <c r="S260" s="378"/>
      <c r="T260" s="378"/>
      <c r="U260" s="378"/>
      <c r="V260" s="378"/>
      <c r="W260" s="378"/>
      <c r="X260" s="378"/>
      <c r="Y260" s="378"/>
      <c r="Z260" s="378"/>
      <c r="AA260" s="378"/>
      <c r="AB260" s="378"/>
      <c r="AC260" s="378"/>
      <c r="AD260" s="378"/>
      <c r="AE260" s="378"/>
      <c r="AF260" s="378"/>
      <c r="AG260" s="378"/>
      <c r="AJ260" s="274"/>
    </row>
    <row r="261" spans="1:36">
      <c r="B261" s="121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I261" s="22"/>
    </row>
    <row r="262" spans="1:36">
      <c r="B262" s="121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I262" s="188"/>
    </row>
  </sheetData>
  <mergeCells count="5">
    <mergeCell ref="BD83:BE83"/>
    <mergeCell ref="BD88:BE88"/>
    <mergeCell ref="BD93:BE93"/>
    <mergeCell ref="BD101:BE101"/>
    <mergeCell ref="AI229:AI237"/>
  </mergeCells>
  <hyperlinks>
    <hyperlink ref="AJ87" r:id="rId1" xr:uid="{5D79E9DE-720D-4467-9EB2-9A77CB74CCC4}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2ECF-7E8F-4C61-8BE1-3057FBEBDEC7}">
  <sheetPr>
    <tabColor theme="4"/>
  </sheetPr>
  <dimension ref="A1:BL262"/>
  <sheetViews>
    <sheetView zoomScale="45" zoomScaleNormal="45" workbookViewId="0">
      <pane xSplit="2" ySplit="3" topLeftCell="AG139" activePane="bottomRight" state="frozen"/>
      <selection pane="topRight" activeCell="C1" sqref="C1"/>
      <selection pane="bottomLeft" activeCell="A4" sqref="A4"/>
      <selection pane="bottomRight" activeCell="AJ157" sqref="AJ157:AJ160"/>
    </sheetView>
  </sheetViews>
  <sheetFormatPr defaultRowHeight="14.75" outlineLevelRow="2" outlineLevelCol="1"/>
  <cols>
    <col min="1" max="1" width="84.26953125" customWidth="1"/>
    <col min="2" max="2" width="15.453125" style="50" bestFit="1" customWidth="1"/>
    <col min="3" max="3" width="11.453125" style="99" customWidth="1"/>
    <col min="4" max="12" width="8.81640625" style="99" hidden="1" customWidth="1" outlineLevel="1"/>
    <col min="13" max="13" width="10.453125" style="99" customWidth="1" collapsed="1"/>
    <col min="14" max="22" width="8.81640625" style="99" hidden="1" customWidth="1" outlineLevel="1"/>
    <col min="23" max="23" width="10.453125" style="99" bestFit="1" customWidth="1" collapsed="1"/>
    <col min="24" max="32" width="8.81640625" style="99" hidden="1" customWidth="1" outlineLevel="1"/>
    <col min="33" max="33" width="10.453125" style="99" bestFit="1" customWidth="1" collapsed="1"/>
    <col min="35" max="35" width="52.81640625" bestFit="1" customWidth="1"/>
    <col min="36" max="36" width="30.453125" style="3" customWidth="1"/>
    <col min="37" max="37" width="13.26953125" customWidth="1"/>
    <col min="38" max="38" width="20.453125" bestFit="1" customWidth="1"/>
    <col min="41" max="41" width="17.81640625" customWidth="1"/>
    <col min="42" max="42" width="18.1796875" customWidth="1"/>
    <col min="44" max="44" width="10.453125" customWidth="1"/>
    <col min="47" max="47" width="20.1796875" bestFit="1" customWidth="1"/>
    <col min="55" max="55" width="49" bestFit="1" customWidth="1"/>
    <col min="56" max="56" width="8.81640625" customWidth="1"/>
  </cols>
  <sheetData>
    <row r="1" spans="1:47">
      <c r="C1" s="111">
        <v>2020</v>
      </c>
      <c r="D1" s="111">
        <f>C1+1</f>
        <v>2021</v>
      </c>
      <c r="E1" s="111">
        <f t="shared" ref="E1:L1" si="0">D1+1</f>
        <v>2022</v>
      </c>
      <c r="F1" s="111">
        <f t="shared" si="0"/>
        <v>2023</v>
      </c>
      <c r="G1" s="111">
        <f t="shared" si="0"/>
        <v>2024</v>
      </c>
      <c r="H1" s="111">
        <f t="shared" si="0"/>
        <v>2025</v>
      </c>
      <c r="I1" s="111">
        <f t="shared" si="0"/>
        <v>2026</v>
      </c>
      <c r="J1" s="111">
        <f t="shared" si="0"/>
        <v>2027</v>
      </c>
      <c r="K1" s="111">
        <f t="shared" si="0"/>
        <v>2028</v>
      </c>
      <c r="L1" s="111">
        <f t="shared" si="0"/>
        <v>2029</v>
      </c>
      <c r="M1" s="111">
        <v>2030</v>
      </c>
      <c r="N1" s="111">
        <f>M1+1</f>
        <v>2031</v>
      </c>
      <c r="O1" s="111">
        <f t="shared" ref="O1:V1" si="1">N1+1</f>
        <v>2032</v>
      </c>
      <c r="P1" s="111">
        <f t="shared" si="1"/>
        <v>2033</v>
      </c>
      <c r="Q1" s="111">
        <f t="shared" si="1"/>
        <v>2034</v>
      </c>
      <c r="R1" s="111">
        <f t="shared" si="1"/>
        <v>2035</v>
      </c>
      <c r="S1" s="111">
        <f t="shared" si="1"/>
        <v>2036</v>
      </c>
      <c r="T1" s="111">
        <f t="shared" si="1"/>
        <v>2037</v>
      </c>
      <c r="U1" s="111">
        <f t="shared" si="1"/>
        <v>2038</v>
      </c>
      <c r="V1" s="111">
        <f t="shared" si="1"/>
        <v>2039</v>
      </c>
      <c r="W1" s="111">
        <v>2040</v>
      </c>
      <c r="X1" s="111">
        <f>W1+1</f>
        <v>2041</v>
      </c>
      <c r="Y1" s="111">
        <f t="shared" ref="Y1:AF1" si="2">X1+1</f>
        <v>2042</v>
      </c>
      <c r="Z1" s="111">
        <f t="shared" si="2"/>
        <v>2043</v>
      </c>
      <c r="AA1" s="111">
        <f t="shared" si="2"/>
        <v>2044</v>
      </c>
      <c r="AB1" s="111">
        <f t="shared" si="2"/>
        <v>2045</v>
      </c>
      <c r="AC1" s="111">
        <f t="shared" si="2"/>
        <v>2046</v>
      </c>
      <c r="AD1" s="111">
        <f t="shared" si="2"/>
        <v>2047</v>
      </c>
      <c r="AE1" s="111">
        <f t="shared" si="2"/>
        <v>2048</v>
      </c>
      <c r="AF1" s="111">
        <f t="shared" si="2"/>
        <v>2049</v>
      </c>
      <c r="AG1" s="111">
        <v>2050</v>
      </c>
      <c r="AI1" s="1" t="s">
        <v>67</v>
      </c>
      <c r="AJ1" s="142" t="s">
        <v>60</v>
      </c>
      <c r="AO1" s="1"/>
    </row>
    <row r="2" spans="1:47" ht="15.5" thickBot="1">
      <c r="A2" s="174" t="str">
        <f>'Ethylene Recycling HC'!A2</f>
        <v>Plastic waste generation</v>
      </c>
      <c r="B2" s="174" t="str">
        <f>'Ethylene Recycling HC'!B2</f>
        <v>mT</v>
      </c>
      <c r="C2" s="190">
        <f>'Ethylene Recycling HC'!C2</f>
        <v>8568000</v>
      </c>
      <c r="D2" s="190">
        <f>'Ethylene Recycling HC'!D2</f>
        <v>8549085.4990054406</v>
      </c>
      <c r="E2" s="190">
        <f>'Ethylene Recycling HC'!E2</f>
        <v>8530212.7531868704</v>
      </c>
      <c r="F2" s="190">
        <f>'Ethylene Recycling HC'!F2</f>
        <v>8511381.6703666151</v>
      </c>
      <c r="G2" s="190">
        <f>'Ethylene Recycling HC'!G2</f>
        <v>8492592.1585704871</v>
      </c>
      <c r="H2" s="190">
        <f>'Ethylene Recycling HC'!H2</f>
        <v>8473844.1260273419</v>
      </c>
      <c r="I2" s="190">
        <f>'Ethylene Recycling HC'!I2</f>
        <v>8455137.4811686259</v>
      </c>
      <c r="J2" s="190">
        <f>'Ethylene Recycling HC'!J2</f>
        <v>8436472.1326279286</v>
      </c>
      <c r="K2" s="190">
        <f>'Ethylene Recycling HC'!K2</f>
        <v>8417847.9892405383</v>
      </c>
      <c r="L2" s="190">
        <f>'Ethylene Recycling HC'!L2</f>
        <v>8399264.9600429963</v>
      </c>
      <c r="M2" s="190">
        <f>'Ethylene Recycling HC'!M2</f>
        <v>8380722.9542726539</v>
      </c>
      <c r="N2" s="190">
        <f>'Ethylene Recycling HC'!N2</f>
        <v>8362221.8813672252</v>
      </c>
      <c r="O2" s="190">
        <f>'Ethylene Recycling HC'!O2</f>
        <v>8343761.6509643495</v>
      </c>
      <c r="P2" s="190">
        <f>'Ethylene Recycling HC'!P2</f>
        <v>8325342.1729011461</v>
      </c>
      <c r="Q2" s="190">
        <f>'Ethylene Recycling HC'!Q2</f>
        <v>8306963.3572137766</v>
      </c>
      <c r="R2" s="190">
        <f>'Ethylene Recycling HC'!R2</f>
        <v>8288625.1141370041</v>
      </c>
      <c r="S2" s="190">
        <f>'Ethylene Recycling HC'!S2</f>
        <v>8270327.3541037561</v>
      </c>
      <c r="T2" s="190">
        <f>'Ethylene Recycling HC'!T2</f>
        <v>8252069.9877446853</v>
      </c>
      <c r="U2" s="190">
        <f>'Ethylene Recycling HC'!U2</f>
        <v>8233852.9258877328</v>
      </c>
      <c r="V2" s="190">
        <f>'Ethylene Recycling HC'!V2</f>
        <v>8215676.0795576964</v>
      </c>
      <c r="W2" s="190">
        <f>'Ethylene Recycling HC'!W2</f>
        <v>8197539.3599757906</v>
      </c>
      <c r="X2" s="190">
        <f>'Ethylene Recycling HC'!X2</f>
        <v>8179442.6785592176</v>
      </c>
      <c r="Y2" s="190">
        <f>'Ethylene Recycling HC'!Y2</f>
        <v>8161385.946920732</v>
      </c>
      <c r="Z2" s="190">
        <f>'Ethylene Recycling HC'!Z2</f>
        <v>8143369.07686821</v>
      </c>
      <c r="AA2" s="190">
        <f>'Ethylene Recycling HC'!AA2</f>
        <v>8125391.9804042177</v>
      </c>
      <c r="AB2" s="190">
        <f>'Ethylene Recycling HC'!AB2</f>
        <v>8107454.5697255842</v>
      </c>
      <c r="AC2" s="190">
        <f>'Ethylene Recycling HC'!AC2</f>
        <v>8089556.7572229682</v>
      </c>
      <c r="AD2" s="190">
        <f>'Ethylene Recycling HC'!AD2</f>
        <v>8071698.455480434</v>
      </c>
      <c r="AE2" s="190">
        <f>'Ethylene Recycling HC'!AE2</f>
        <v>8053879.5772750229</v>
      </c>
      <c r="AF2" s="190">
        <f>'Ethylene Recycling HC'!AF2</f>
        <v>8036100.0355763268</v>
      </c>
      <c r="AG2" s="190">
        <f>'Ethylene Recycling HC'!AG2</f>
        <v>8018359.7435460649</v>
      </c>
      <c r="AH2" s="79"/>
      <c r="AI2" s="321">
        <f>(AG2/C2)^(1/30)-1</f>
        <v>-2.2075748126235695E-3</v>
      </c>
      <c r="AJ2" s="186" t="s">
        <v>384</v>
      </c>
      <c r="AR2" s="1"/>
      <c r="AU2" s="22"/>
    </row>
    <row r="3" spans="1:47" ht="15.5" outlineLevel="1" thickTop="1">
      <c r="C3" s="103"/>
      <c r="D3" s="103"/>
      <c r="E3" s="103"/>
      <c r="F3" s="103"/>
      <c r="G3" s="103"/>
      <c r="H3" s="103"/>
      <c r="I3" s="103"/>
      <c r="J3" s="103"/>
      <c r="K3" s="103"/>
      <c r="L3" s="103"/>
      <c r="N3" s="103"/>
      <c r="O3" s="103"/>
      <c r="P3" s="103"/>
      <c r="Q3" s="103"/>
      <c r="R3" s="103"/>
      <c r="S3" s="103"/>
      <c r="T3" s="103"/>
      <c r="U3" s="103"/>
      <c r="V3" s="103"/>
      <c r="X3" s="103"/>
      <c r="Y3" s="103"/>
      <c r="Z3" s="103"/>
      <c r="AA3" s="103"/>
      <c r="AB3" s="103"/>
      <c r="AC3" s="103"/>
      <c r="AD3" s="103"/>
      <c r="AE3" s="103"/>
      <c r="AF3" s="103"/>
      <c r="AI3" s="51"/>
      <c r="AJ3" s="187"/>
    </row>
    <row r="4" spans="1:47" outlineLevel="1">
      <c r="A4" t="s">
        <v>387</v>
      </c>
      <c r="B4" s="50" t="s">
        <v>126</v>
      </c>
      <c r="C4" s="102">
        <f>'Waste gen. - Industry shares'!C18+'Waste gen. - Industry shares'!C22</f>
        <v>0.52072263549415521</v>
      </c>
      <c r="D4" s="22">
        <f>C4</f>
        <v>0.52072263549415521</v>
      </c>
      <c r="E4" s="22">
        <f t="shared" ref="E4:T8" si="3">D4</f>
        <v>0.52072263549415521</v>
      </c>
      <c r="F4" s="22">
        <f t="shared" si="3"/>
        <v>0.52072263549415521</v>
      </c>
      <c r="G4" s="22">
        <f t="shared" si="3"/>
        <v>0.52072263549415521</v>
      </c>
      <c r="H4" s="22">
        <f t="shared" si="3"/>
        <v>0.52072263549415521</v>
      </c>
      <c r="I4" s="22">
        <f t="shared" si="3"/>
        <v>0.52072263549415521</v>
      </c>
      <c r="J4" s="22">
        <f t="shared" si="3"/>
        <v>0.52072263549415521</v>
      </c>
      <c r="K4" s="22">
        <f t="shared" si="3"/>
        <v>0.52072263549415521</v>
      </c>
      <c r="L4" s="22">
        <f t="shared" si="3"/>
        <v>0.52072263549415521</v>
      </c>
      <c r="M4" s="22">
        <f t="shared" si="3"/>
        <v>0.52072263549415521</v>
      </c>
      <c r="N4" s="22">
        <f t="shared" si="3"/>
        <v>0.52072263549415521</v>
      </c>
      <c r="O4" s="22">
        <f t="shared" si="3"/>
        <v>0.52072263549415521</v>
      </c>
      <c r="P4" s="22">
        <f t="shared" si="3"/>
        <v>0.52072263549415521</v>
      </c>
      <c r="Q4" s="22">
        <f t="shared" si="3"/>
        <v>0.52072263549415521</v>
      </c>
      <c r="R4" s="22">
        <f t="shared" si="3"/>
        <v>0.52072263549415521</v>
      </c>
      <c r="S4" s="22">
        <f t="shared" si="3"/>
        <v>0.52072263549415521</v>
      </c>
      <c r="T4" s="22">
        <f t="shared" si="3"/>
        <v>0.52072263549415521</v>
      </c>
      <c r="U4" s="22">
        <f t="shared" ref="T4:AG8" si="4">T4</f>
        <v>0.52072263549415521</v>
      </c>
      <c r="V4" s="22">
        <f t="shared" si="4"/>
        <v>0.52072263549415521</v>
      </c>
      <c r="W4" s="22">
        <f t="shared" si="4"/>
        <v>0.52072263549415521</v>
      </c>
      <c r="X4" s="22">
        <f t="shared" si="4"/>
        <v>0.52072263549415521</v>
      </c>
      <c r="Y4" s="22">
        <f t="shared" si="4"/>
        <v>0.52072263549415521</v>
      </c>
      <c r="Z4" s="22">
        <f t="shared" si="4"/>
        <v>0.52072263549415521</v>
      </c>
      <c r="AA4" s="22">
        <f t="shared" si="4"/>
        <v>0.52072263549415521</v>
      </c>
      <c r="AB4" s="22">
        <f t="shared" si="4"/>
        <v>0.52072263549415521</v>
      </c>
      <c r="AC4" s="22">
        <f t="shared" si="4"/>
        <v>0.52072263549415521</v>
      </c>
      <c r="AD4" s="22">
        <f t="shared" si="4"/>
        <v>0.52072263549415521</v>
      </c>
      <c r="AE4" s="22">
        <f t="shared" si="4"/>
        <v>0.52072263549415521</v>
      </c>
      <c r="AF4" s="22">
        <f t="shared" si="4"/>
        <v>0.52072263549415521</v>
      </c>
      <c r="AG4" s="22">
        <f t="shared" si="4"/>
        <v>0.52072263549415521</v>
      </c>
      <c r="AI4" s="50" t="s">
        <v>272</v>
      </c>
      <c r="AJ4" s="185"/>
    </row>
    <row r="5" spans="1:47" outlineLevel="1">
      <c r="A5" t="s">
        <v>290</v>
      </c>
      <c r="B5" s="50" t="s">
        <v>126</v>
      </c>
      <c r="C5" s="102">
        <f>'Waste gen. - Industry shares'!C20</f>
        <v>3.2943676939426139E-2</v>
      </c>
      <c r="D5" s="22">
        <f>C5</f>
        <v>3.2943676939426139E-2</v>
      </c>
      <c r="E5" s="22">
        <f t="shared" si="3"/>
        <v>3.2943676939426139E-2</v>
      </c>
      <c r="F5" s="22">
        <f t="shared" si="3"/>
        <v>3.2943676939426139E-2</v>
      </c>
      <c r="G5" s="22">
        <f t="shared" si="3"/>
        <v>3.2943676939426139E-2</v>
      </c>
      <c r="H5" s="22">
        <f t="shared" si="3"/>
        <v>3.2943676939426139E-2</v>
      </c>
      <c r="I5" s="22">
        <f t="shared" si="3"/>
        <v>3.2943676939426139E-2</v>
      </c>
      <c r="J5" s="22">
        <f t="shared" si="3"/>
        <v>3.2943676939426139E-2</v>
      </c>
      <c r="K5" s="22">
        <f t="shared" si="3"/>
        <v>3.2943676939426139E-2</v>
      </c>
      <c r="L5" s="22">
        <f t="shared" si="3"/>
        <v>3.2943676939426139E-2</v>
      </c>
      <c r="M5" s="22">
        <f t="shared" si="3"/>
        <v>3.2943676939426139E-2</v>
      </c>
      <c r="N5" s="22">
        <f t="shared" si="3"/>
        <v>3.2943676939426139E-2</v>
      </c>
      <c r="O5" s="22">
        <f t="shared" si="3"/>
        <v>3.2943676939426139E-2</v>
      </c>
      <c r="P5" s="22">
        <f t="shared" si="3"/>
        <v>3.2943676939426139E-2</v>
      </c>
      <c r="Q5" s="22">
        <f t="shared" si="3"/>
        <v>3.2943676939426139E-2</v>
      </c>
      <c r="R5" s="22">
        <f t="shared" si="3"/>
        <v>3.2943676939426139E-2</v>
      </c>
      <c r="S5" s="22">
        <f t="shared" si="3"/>
        <v>3.2943676939426139E-2</v>
      </c>
      <c r="T5" s="22">
        <f t="shared" si="4"/>
        <v>3.2943676939426139E-2</v>
      </c>
      <c r="U5" s="22">
        <f t="shared" si="4"/>
        <v>3.2943676939426139E-2</v>
      </c>
      <c r="V5" s="22">
        <f t="shared" si="4"/>
        <v>3.2943676939426139E-2</v>
      </c>
      <c r="W5" s="22">
        <f t="shared" si="4"/>
        <v>3.2943676939426139E-2</v>
      </c>
      <c r="X5" s="22">
        <f t="shared" si="4"/>
        <v>3.2943676939426139E-2</v>
      </c>
      <c r="Y5" s="22">
        <f t="shared" si="4"/>
        <v>3.2943676939426139E-2</v>
      </c>
      <c r="Z5" s="22">
        <f t="shared" si="4"/>
        <v>3.2943676939426139E-2</v>
      </c>
      <c r="AA5" s="22">
        <f t="shared" si="4"/>
        <v>3.2943676939426139E-2</v>
      </c>
      <c r="AB5" s="22">
        <f t="shared" si="4"/>
        <v>3.2943676939426139E-2</v>
      </c>
      <c r="AC5" s="22">
        <f t="shared" si="4"/>
        <v>3.2943676939426139E-2</v>
      </c>
      <c r="AD5" s="22">
        <f t="shared" si="4"/>
        <v>3.2943676939426139E-2</v>
      </c>
      <c r="AE5" s="22">
        <f t="shared" si="4"/>
        <v>3.2943676939426139E-2</v>
      </c>
      <c r="AF5" s="22">
        <f t="shared" si="4"/>
        <v>3.2943676939426139E-2</v>
      </c>
      <c r="AG5" s="22">
        <f>AF5</f>
        <v>3.2943676939426139E-2</v>
      </c>
      <c r="AI5" s="50" t="s">
        <v>272</v>
      </c>
      <c r="AJ5" s="185"/>
    </row>
    <row r="6" spans="1:47" outlineLevel="1">
      <c r="A6" t="s">
        <v>291</v>
      </c>
      <c r="B6" s="50" t="s">
        <v>126</v>
      </c>
      <c r="C6" s="102">
        <f>'Waste gen. - Industry shares'!C19</f>
        <v>6.4824654622741756E-2</v>
      </c>
      <c r="D6" s="22">
        <f t="shared" ref="D6:D7" si="5">C6</f>
        <v>6.4824654622741756E-2</v>
      </c>
      <c r="E6" s="22">
        <f t="shared" si="3"/>
        <v>6.4824654622741756E-2</v>
      </c>
      <c r="F6" s="22">
        <f t="shared" si="3"/>
        <v>6.4824654622741756E-2</v>
      </c>
      <c r="G6" s="22">
        <f t="shared" si="3"/>
        <v>6.4824654622741756E-2</v>
      </c>
      <c r="H6" s="22">
        <f t="shared" si="3"/>
        <v>6.4824654622741756E-2</v>
      </c>
      <c r="I6" s="22">
        <f t="shared" si="3"/>
        <v>6.4824654622741756E-2</v>
      </c>
      <c r="J6" s="22">
        <f t="shared" si="3"/>
        <v>6.4824654622741756E-2</v>
      </c>
      <c r="K6" s="22">
        <f t="shared" si="3"/>
        <v>6.4824654622741756E-2</v>
      </c>
      <c r="L6" s="22">
        <f t="shared" si="3"/>
        <v>6.4824654622741756E-2</v>
      </c>
      <c r="M6" s="22">
        <f t="shared" si="3"/>
        <v>6.4824654622741756E-2</v>
      </c>
      <c r="N6" s="22">
        <f t="shared" si="3"/>
        <v>6.4824654622741756E-2</v>
      </c>
      <c r="O6" s="22">
        <f t="shared" si="3"/>
        <v>6.4824654622741756E-2</v>
      </c>
      <c r="P6" s="22">
        <f t="shared" si="3"/>
        <v>6.4824654622741756E-2</v>
      </c>
      <c r="Q6" s="22">
        <f t="shared" si="3"/>
        <v>6.4824654622741756E-2</v>
      </c>
      <c r="R6" s="22">
        <f t="shared" si="3"/>
        <v>6.4824654622741756E-2</v>
      </c>
      <c r="S6" s="22">
        <f t="shared" si="3"/>
        <v>6.4824654622741756E-2</v>
      </c>
      <c r="T6" s="22">
        <f t="shared" si="3"/>
        <v>6.4824654622741756E-2</v>
      </c>
      <c r="U6" s="22">
        <f t="shared" si="4"/>
        <v>6.4824654622741756E-2</v>
      </c>
      <c r="V6" s="22">
        <f t="shared" si="4"/>
        <v>6.4824654622741756E-2</v>
      </c>
      <c r="W6" s="22">
        <f t="shared" si="4"/>
        <v>6.4824654622741756E-2</v>
      </c>
      <c r="X6" s="22">
        <f t="shared" si="4"/>
        <v>6.4824654622741756E-2</v>
      </c>
      <c r="Y6" s="22">
        <f t="shared" si="4"/>
        <v>6.4824654622741756E-2</v>
      </c>
      <c r="Z6" s="22">
        <f t="shared" si="4"/>
        <v>6.4824654622741756E-2</v>
      </c>
      <c r="AA6" s="22">
        <f t="shared" si="4"/>
        <v>6.4824654622741756E-2</v>
      </c>
      <c r="AB6" s="22">
        <f t="shared" si="4"/>
        <v>6.4824654622741756E-2</v>
      </c>
      <c r="AC6" s="22">
        <f t="shared" si="4"/>
        <v>6.4824654622741756E-2</v>
      </c>
      <c r="AD6" s="22">
        <f t="shared" si="4"/>
        <v>6.4824654622741756E-2</v>
      </c>
      <c r="AE6" s="22">
        <f t="shared" si="4"/>
        <v>6.4824654622741756E-2</v>
      </c>
      <c r="AF6" s="22">
        <f t="shared" si="4"/>
        <v>6.4824654622741756E-2</v>
      </c>
      <c r="AG6" s="22">
        <f t="shared" si="4"/>
        <v>6.4824654622741756E-2</v>
      </c>
      <c r="AI6" s="50" t="s">
        <v>272</v>
      </c>
      <c r="AJ6"/>
      <c r="AR6" s="22"/>
    </row>
    <row r="7" spans="1:47" outlineLevel="1">
      <c r="A7" t="s">
        <v>395</v>
      </c>
      <c r="B7" s="50" t="s">
        <v>126</v>
      </c>
      <c r="C7" s="102">
        <f>'Waste gen. - Industry shares'!C23</f>
        <v>5.3134962805526036E-2</v>
      </c>
      <c r="D7" s="22">
        <f t="shared" si="5"/>
        <v>5.3134962805526036E-2</v>
      </c>
      <c r="E7" s="22">
        <f t="shared" si="3"/>
        <v>5.3134962805526036E-2</v>
      </c>
      <c r="F7" s="22">
        <f t="shared" si="3"/>
        <v>5.3134962805526036E-2</v>
      </c>
      <c r="G7" s="22">
        <f t="shared" si="3"/>
        <v>5.3134962805526036E-2</v>
      </c>
      <c r="H7" s="22">
        <f t="shared" si="3"/>
        <v>5.3134962805526036E-2</v>
      </c>
      <c r="I7" s="22">
        <f t="shared" si="3"/>
        <v>5.3134962805526036E-2</v>
      </c>
      <c r="J7" s="22">
        <f t="shared" si="3"/>
        <v>5.3134962805526036E-2</v>
      </c>
      <c r="K7" s="22">
        <f t="shared" si="3"/>
        <v>5.3134962805526036E-2</v>
      </c>
      <c r="L7" s="22">
        <f t="shared" si="3"/>
        <v>5.3134962805526036E-2</v>
      </c>
      <c r="M7" s="22">
        <f>L7</f>
        <v>5.3134962805526036E-2</v>
      </c>
      <c r="N7" s="22">
        <f t="shared" si="3"/>
        <v>5.3134962805526036E-2</v>
      </c>
      <c r="O7" s="22">
        <f t="shared" si="3"/>
        <v>5.3134962805526036E-2</v>
      </c>
      <c r="P7" s="22">
        <f t="shared" si="3"/>
        <v>5.3134962805526036E-2</v>
      </c>
      <c r="Q7" s="22">
        <f t="shared" si="3"/>
        <v>5.3134962805526036E-2</v>
      </c>
      <c r="R7" s="22">
        <f t="shared" si="3"/>
        <v>5.3134962805526036E-2</v>
      </c>
      <c r="S7" s="22">
        <f t="shared" si="3"/>
        <v>5.3134962805526036E-2</v>
      </c>
      <c r="T7" s="22">
        <f t="shared" si="3"/>
        <v>5.3134962805526036E-2</v>
      </c>
      <c r="U7" s="22">
        <f t="shared" si="4"/>
        <v>5.3134962805526036E-2</v>
      </c>
      <c r="V7" s="22">
        <f t="shared" si="4"/>
        <v>5.3134962805526036E-2</v>
      </c>
      <c r="W7" s="22">
        <f t="shared" si="4"/>
        <v>5.3134962805526036E-2</v>
      </c>
      <c r="X7" s="22">
        <f t="shared" si="4"/>
        <v>5.3134962805526036E-2</v>
      </c>
      <c r="Y7" s="22">
        <f t="shared" si="4"/>
        <v>5.3134962805526036E-2</v>
      </c>
      <c r="Z7" s="22">
        <f t="shared" si="4"/>
        <v>5.3134962805526036E-2</v>
      </c>
      <c r="AA7" s="22">
        <f t="shared" si="4"/>
        <v>5.3134962805526036E-2</v>
      </c>
      <c r="AB7" s="22">
        <f t="shared" si="4"/>
        <v>5.3134962805526036E-2</v>
      </c>
      <c r="AC7" s="22">
        <f t="shared" si="4"/>
        <v>5.3134962805526036E-2</v>
      </c>
      <c r="AD7" s="22">
        <f t="shared" si="4"/>
        <v>5.3134962805526036E-2</v>
      </c>
      <c r="AE7" s="22">
        <f t="shared" si="4"/>
        <v>5.3134962805526036E-2</v>
      </c>
      <c r="AF7" s="22">
        <f t="shared" si="4"/>
        <v>5.3134962805526036E-2</v>
      </c>
      <c r="AG7" s="22">
        <f t="shared" si="4"/>
        <v>5.3134962805526036E-2</v>
      </c>
      <c r="AI7" s="50" t="s">
        <v>272</v>
      </c>
    </row>
    <row r="8" spans="1:47" outlineLevel="1">
      <c r="A8" t="s">
        <v>388</v>
      </c>
      <c r="B8" s="50" t="s">
        <v>126</v>
      </c>
      <c r="C8" s="102">
        <f>'Waste gen. - Industry shares'!C24+'Waste gen. - Industry shares'!C21</f>
        <v>0.3283740701381509</v>
      </c>
      <c r="D8" s="117">
        <f>C8</f>
        <v>0.3283740701381509</v>
      </c>
      <c r="E8" s="117">
        <f t="shared" si="3"/>
        <v>0.3283740701381509</v>
      </c>
      <c r="F8" s="117">
        <f t="shared" si="3"/>
        <v>0.3283740701381509</v>
      </c>
      <c r="G8" s="117">
        <f t="shared" si="3"/>
        <v>0.3283740701381509</v>
      </c>
      <c r="H8" s="117">
        <f t="shared" si="3"/>
        <v>0.3283740701381509</v>
      </c>
      <c r="I8" s="117">
        <f t="shared" si="3"/>
        <v>0.3283740701381509</v>
      </c>
      <c r="J8" s="117">
        <f t="shared" si="3"/>
        <v>0.3283740701381509</v>
      </c>
      <c r="K8" s="117">
        <f t="shared" si="3"/>
        <v>0.3283740701381509</v>
      </c>
      <c r="L8" s="117">
        <f t="shared" si="3"/>
        <v>0.3283740701381509</v>
      </c>
      <c r="M8" s="119">
        <f t="shared" si="3"/>
        <v>0.3283740701381509</v>
      </c>
      <c r="N8" s="119">
        <f t="shared" si="3"/>
        <v>0.3283740701381509</v>
      </c>
      <c r="O8" s="119">
        <f t="shared" si="3"/>
        <v>0.3283740701381509</v>
      </c>
      <c r="P8" s="119">
        <f t="shared" si="3"/>
        <v>0.3283740701381509</v>
      </c>
      <c r="Q8" s="119">
        <f t="shared" si="3"/>
        <v>0.3283740701381509</v>
      </c>
      <c r="R8" s="119">
        <f t="shared" si="3"/>
        <v>0.3283740701381509</v>
      </c>
      <c r="S8" s="119">
        <f t="shared" si="3"/>
        <v>0.3283740701381509</v>
      </c>
      <c r="T8" s="119">
        <f t="shared" si="3"/>
        <v>0.3283740701381509</v>
      </c>
      <c r="U8" s="119">
        <f t="shared" si="4"/>
        <v>0.3283740701381509</v>
      </c>
      <c r="V8" s="119">
        <f t="shared" si="4"/>
        <v>0.3283740701381509</v>
      </c>
      <c r="W8" s="119">
        <f t="shared" si="4"/>
        <v>0.3283740701381509</v>
      </c>
      <c r="X8" s="119">
        <f t="shared" si="4"/>
        <v>0.3283740701381509</v>
      </c>
      <c r="Y8" s="119">
        <f t="shared" si="4"/>
        <v>0.3283740701381509</v>
      </c>
      <c r="Z8" s="119">
        <f t="shared" si="4"/>
        <v>0.3283740701381509</v>
      </c>
      <c r="AA8" s="119">
        <f t="shared" si="4"/>
        <v>0.3283740701381509</v>
      </c>
      <c r="AB8" s="119">
        <f t="shared" si="4"/>
        <v>0.3283740701381509</v>
      </c>
      <c r="AC8" s="119">
        <f t="shared" si="4"/>
        <v>0.3283740701381509</v>
      </c>
      <c r="AD8" s="119">
        <f t="shared" si="4"/>
        <v>0.3283740701381509</v>
      </c>
      <c r="AE8" s="119">
        <f t="shared" si="4"/>
        <v>0.3283740701381509</v>
      </c>
      <c r="AF8" s="119">
        <f t="shared" si="4"/>
        <v>0.3283740701381509</v>
      </c>
      <c r="AG8" s="119">
        <f t="shared" si="4"/>
        <v>0.3283740701381509</v>
      </c>
      <c r="AI8" s="50" t="s">
        <v>272</v>
      </c>
      <c r="AJ8"/>
    </row>
    <row r="9" spans="1:47" ht="15.5" outlineLevel="1" thickBot="1">
      <c r="A9" s="169" t="s">
        <v>418</v>
      </c>
      <c r="B9" s="170"/>
      <c r="C9" s="171">
        <f>SUM(C4:C8)</f>
        <v>1</v>
      </c>
      <c r="D9" s="171">
        <f t="shared" ref="D9:AG9" si="6">SUM(D4:D8)</f>
        <v>1</v>
      </c>
      <c r="E9" s="171">
        <f t="shared" si="6"/>
        <v>1</v>
      </c>
      <c r="F9" s="171">
        <f t="shared" si="6"/>
        <v>1</v>
      </c>
      <c r="G9" s="171">
        <f t="shared" si="6"/>
        <v>1</v>
      </c>
      <c r="H9" s="171">
        <f t="shared" si="6"/>
        <v>1</v>
      </c>
      <c r="I9" s="171">
        <f t="shared" si="6"/>
        <v>1</v>
      </c>
      <c r="J9" s="171">
        <f t="shared" si="6"/>
        <v>1</v>
      </c>
      <c r="K9" s="171">
        <f t="shared" si="6"/>
        <v>1</v>
      </c>
      <c r="L9" s="171">
        <f t="shared" si="6"/>
        <v>1</v>
      </c>
      <c r="M9" s="171">
        <f t="shared" si="6"/>
        <v>1</v>
      </c>
      <c r="N9" s="171">
        <f t="shared" si="6"/>
        <v>1</v>
      </c>
      <c r="O9" s="171">
        <f t="shared" si="6"/>
        <v>1</v>
      </c>
      <c r="P9" s="171">
        <f t="shared" si="6"/>
        <v>1</v>
      </c>
      <c r="Q9" s="171">
        <f t="shared" si="6"/>
        <v>1</v>
      </c>
      <c r="R9" s="171">
        <f t="shared" si="6"/>
        <v>1</v>
      </c>
      <c r="S9" s="171">
        <f t="shared" si="6"/>
        <v>1</v>
      </c>
      <c r="T9" s="171">
        <f t="shared" si="6"/>
        <v>1</v>
      </c>
      <c r="U9" s="171">
        <f t="shared" si="6"/>
        <v>1</v>
      </c>
      <c r="V9" s="171">
        <f t="shared" si="6"/>
        <v>1</v>
      </c>
      <c r="W9" s="171">
        <f t="shared" si="6"/>
        <v>1</v>
      </c>
      <c r="X9" s="171">
        <f t="shared" si="6"/>
        <v>1</v>
      </c>
      <c r="Y9" s="171">
        <f t="shared" si="6"/>
        <v>1</v>
      </c>
      <c r="Z9" s="171">
        <f t="shared" si="6"/>
        <v>1</v>
      </c>
      <c r="AA9" s="171">
        <f t="shared" si="6"/>
        <v>1</v>
      </c>
      <c r="AB9" s="171">
        <f t="shared" si="6"/>
        <v>1</v>
      </c>
      <c r="AC9" s="171">
        <f t="shared" si="6"/>
        <v>1</v>
      </c>
      <c r="AD9" s="171">
        <f t="shared" si="6"/>
        <v>1</v>
      </c>
      <c r="AE9" s="171">
        <f t="shared" si="6"/>
        <v>1</v>
      </c>
      <c r="AF9" s="171">
        <f t="shared" si="6"/>
        <v>1</v>
      </c>
      <c r="AG9" s="171">
        <f t="shared" si="6"/>
        <v>1</v>
      </c>
      <c r="AM9" s="24"/>
      <c r="AN9" s="2"/>
      <c r="AO9" s="24"/>
      <c r="AR9" s="2"/>
    </row>
    <row r="10" spans="1:47" ht="15.5" outlineLevel="1" thickTop="1">
      <c r="AM10" s="24"/>
      <c r="AN10" s="2"/>
      <c r="AO10" s="24"/>
      <c r="AR10" s="2"/>
    </row>
    <row r="11" spans="1:47" outlineLevel="1">
      <c r="A11" t="s">
        <v>398</v>
      </c>
      <c r="B11" s="50" t="s">
        <v>300</v>
      </c>
      <c r="C11" s="99">
        <f t="shared" ref="C11:AG15" si="7">C$2*C4</f>
        <v>4461551.5409139218</v>
      </c>
      <c r="D11" s="99">
        <f t="shared" si="7"/>
        <v>4451702.3321069777</v>
      </c>
      <c r="E11" s="99">
        <f t="shared" si="7"/>
        <v>4441874.8661653204</v>
      </c>
      <c r="F11" s="99">
        <f t="shared" si="7"/>
        <v>4432069.0950899487</v>
      </c>
      <c r="G11" s="99">
        <f t="shared" si="7"/>
        <v>4422284.9709878201</v>
      </c>
      <c r="H11" s="99">
        <f t="shared" si="7"/>
        <v>4412522.4460716238</v>
      </c>
      <c r="I11" s="99">
        <f t="shared" si="7"/>
        <v>4402781.4726595404</v>
      </c>
      <c r="J11" s="99">
        <f t="shared" si="7"/>
        <v>4393062.0031750109</v>
      </c>
      <c r="K11" s="99">
        <f t="shared" si="7"/>
        <v>4383363.9901465084</v>
      </c>
      <c r="L11" s="99">
        <f t="shared" si="7"/>
        <v>4373687.3862072993</v>
      </c>
      <c r="M11" s="99">
        <f t="shared" si="7"/>
        <v>4364032.1440952187</v>
      </c>
      <c r="N11" s="99">
        <f t="shared" si="7"/>
        <v>4354398.2166524343</v>
      </c>
      <c r="O11" s="99">
        <f t="shared" si="7"/>
        <v>4344785.5568252197</v>
      </c>
      <c r="P11" s="99">
        <f t="shared" si="7"/>
        <v>4335194.1176637216</v>
      </c>
      <c r="Q11" s="99">
        <f t="shared" si="7"/>
        <v>4325623.8523217328</v>
      </c>
      <c r="R11" s="99">
        <f t="shared" si="7"/>
        <v>4316074.7140564639</v>
      </c>
      <c r="S11" s="99">
        <f t="shared" si="7"/>
        <v>4306546.6562283114</v>
      </c>
      <c r="T11" s="99">
        <f t="shared" si="7"/>
        <v>4297039.6323006339</v>
      </c>
      <c r="U11" s="99">
        <f t="shared" si="7"/>
        <v>4287553.5958395209</v>
      </c>
      <c r="V11" s="99">
        <f t="shared" si="7"/>
        <v>4278088.5005135722</v>
      </c>
      <c r="W11" s="99">
        <f t="shared" si="7"/>
        <v>4268644.3000936639</v>
      </c>
      <c r="X11" s="99">
        <f t="shared" si="7"/>
        <v>4259220.9484527279</v>
      </c>
      <c r="Y11" s="99">
        <f t="shared" si="7"/>
        <v>4249818.3995655254</v>
      </c>
      <c r="Z11" s="99">
        <f t="shared" si="7"/>
        <v>4240436.60750842</v>
      </c>
      <c r="AA11" s="99">
        <f t="shared" si="7"/>
        <v>4231075.5264591575</v>
      </c>
      <c r="AB11" s="99">
        <f t="shared" si="7"/>
        <v>4221735.110696638</v>
      </c>
      <c r="AC11" s="99">
        <f t="shared" si="7"/>
        <v>4212415.3146006959</v>
      </c>
      <c r="AD11" s="99">
        <f t="shared" si="7"/>
        <v>4203116.0926518738</v>
      </c>
      <c r="AE11" s="99">
        <f t="shared" si="7"/>
        <v>4193837.3994312026</v>
      </c>
      <c r="AF11" s="99">
        <f t="shared" si="7"/>
        <v>4184579.1896199794</v>
      </c>
      <c r="AG11" s="99">
        <f t="shared" si="7"/>
        <v>4175341.4179995456</v>
      </c>
      <c r="AJ11" s="624"/>
      <c r="AM11" s="24"/>
      <c r="AN11" s="2"/>
      <c r="AO11" s="24"/>
      <c r="AR11" s="2"/>
    </row>
    <row r="12" spans="1:47" outlineLevel="1">
      <c r="A12" t="s">
        <v>273</v>
      </c>
      <c r="B12" s="50" t="s">
        <v>300</v>
      </c>
      <c r="C12" s="99">
        <f t="shared" si="7"/>
        <v>282261.42401700316</v>
      </c>
      <c r="D12" s="99">
        <f t="shared" si="7"/>
        <v>281638.31080676796</v>
      </c>
      <c r="E12" s="99">
        <f t="shared" si="7"/>
        <v>281016.57316556107</v>
      </c>
      <c r="F12" s="99">
        <f t="shared" si="7"/>
        <v>280396.20805671101</v>
      </c>
      <c r="G12" s="99">
        <f t="shared" si="7"/>
        <v>279777.21245024982</v>
      </c>
      <c r="H12" s="99">
        <f t="shared" si="7"/>
        <v>279159.5833228986</v>
      </c>
      <c r="I12" s="99">
        <f t="shared" si="7"/>
        <v>278543.31765805249</v>
      </c>
      <c r="J12" s="99">
        <f t="shared" si="7"/>
        <v>277928.41244576598</v>
      </c>
      <c r="K12" s="99">
        <f t="shared" si="7"/>
        <v>277314.8646827382</v>
      </c>
      <c r="L12" s="99">
        <f t="shared" si="7"/>
        <v>276702.67137229844</v>
      </c>
      <c r="M12" s="99">
        <f t="shared" si="7"/>
        <v>276091.82952439133</v>
      </c>
      <c r="N12" s="99">
        <f t="shared" si="7"/>
        <v>275482.33615556214</v>
      </c>
      <c r="O12" s="99">
        <f t="shared" si="7"/>
        <v>274874.18828894239</v>
      </c>
      <c r="P12" s="99">
        <f t="shared" si="7"/>
        <v>274267.38295423542</v>
      </c>
      <c r="Q12" s="99">
        <f t="shared" si="7"/>
        <v>273661.91718770145</v>
      </c>
      <c r="R12" s="99">
        <f t="shared" si="7"/>
        <v>273057.78803214355</v>
      </c>
      <c r="S12" s="99">
        <f t="shared" si="7"/>
        <v>272454.99253689311</v>
      </c>
      <c r="T12" s="99">
        <f t="shared" si="7"/>
        <v>271853.52775779512</v>
      </c>
      <c r="U12" s="99">
        <f t="shared" si="7"/>
        <v>271253.39075719414</v>
      </c>
      <c r="V12" s="99">
        <f t="shared" si="7"/>
        <v>270654.57860391983</v>
      </c>
      <c r="W12" s="99">
        <f t="shared" si="7"/>
        <v>270057.08837327256</v>
      </c>
      <c r="X12" s="99">
        <f t="shared" si="7"/>
        <v>269460.91714700928</v>
      </c>
      <c r="Y12" s="99">
        <f t="shared" si="7"/>
        <v>268866.06201332906</v>
      </c>
      <c r="Z12" s="99">
        <f t="shared" si="7"/>
        <v>268272.5200668592</v>
      </c>
      <c r="AA12" s="99">
        <f t="shared" si="7"/>
        <v>267680.28840864054</v>
      </c>
      <c r="AB12" s="99">
        <f t="shared" si="7"/>
        <v>267089.3641461138</v>
      </c>
      <c r="AC12" s="99">
        <f t="shared" si="7"/>
        <v>266499.74439310521</v>
      </c>
      <c r="AD12" s="99">
        <f t="shared" si="7"/>
        <v>265911.42626981233</v>
      </c>
      <c r="AE12" s="99">
        <f t="shared" si="7"/>
        <v>265324.4069027903</v>
      </c>
      <c r="AF12" s="99">
        <f t="shared" si="7"/>
        <v>264738.68342493742</v>
      </c>
      <c r="AG12" s="99">
        <f t="shared" si="7"/>
        <v>264154.25297548139</v>
      </c>
      <c r="AM12" s="24"/>
      <c r="AN12" s="2"/>
      <c r="AO12" s="24"/>
      <c r="AR12" s="2"/>
    </row>
    <row r="13" spans="1:47" outlineLevel="1">
      <c r="A13" t="s">
        <v>274</v>
      </c>
      <c r="B13" s="50" t="s">
        <v>300</v>
      </c>
      <c r="C13" s="99">
        <f t="shared" si="7"/>
        <v>555417.64080765133</v>
      </c>
      <c r="D13" s="99">
        <f t="shared" si="7"/>
        <v>554191.51481331757</v>
      </c>
      <c r="E13" s="99">
        <f t="shared" si="7"/>
        <v>552968.09558384598</v>
      </c>
      <c r="F13" s="99">
        <f t="shared" si="7"/>
        <v>551747.37714385067</v>
      </c>
      <c r="G13" s="99">
        <f t="shared" si="7"/>
        <v>550529.35353113676</v>
      </c>
      <c r="H13" s="99">
        <f t="shared" si="7"/>
        <v>549314.01879667141</v>
      </c>
      <c r="I13" s="99">
        <f t="shared" si="7"/>
        <v>548101.36700455484</v>
      </c>
      <c r="J13" s="99">
        <f t="shared" si="7"/>
        <v>546891.39223199105</v>
      </c>
      <c r="K13" s="99">
        <f t="shared" si="7"/>
        <v>545684.08856925904</v>
      </c>
      <c r="L13" s="99">
        <f t="shared" si="7"/>
        <v>544479.4501196841</v>
      </c>
      <c r="M13" s="99">
        <f t="shared" si="7"/>
        <v>543277.47099960875</v>
      </c>
      <c r="N13" s="99">
        <f t="shared" si="7"/>
        <v>542078.14533836418</v>
      </c>
      <c r="O13" s="99">
        <f t="shared" si="7"/>
        <v>540881.46727824153</v>
      </c>
      <c r="P13" s="99">
        <f t="shared" si="7"/>
        <v>539687.43097446323</v>
      </c>
      <c r="Q13" s="99">
        <f t="shared" si="7"/>
        <v>538496.03059515439</v>
      </c>
      <c r="R13" s="99">
        <f t="shared" si="7"/>
        <v>537307.2603213148</v>
      </c>
      <c r="S13" s="99">
        <f t="shared" si="7"/>
        <v>536121.11434678966</v>
      </c>
      <c r="T13" s="99">
        <f t="shared" si="7"/>
        <v>534937.58687824197</v>
      </c>
      <c r="U13" s="99">
        <f t="shared" si="7"/>
        <v>533756.67213512398</v>
      </c>
      <c r="V13" s="99">
        <f t="shared" si="7"/>
        <v>532578.36434964871</v>
      </c>
      <c r="W13" s="99">
        <f t="shared" si="7"/>
        <v>531402.65776676219</v>
      </c>
      <c r="X13" s="99">
        <f t="shared" si="7"/>
        <v>530229.54664411501</v>
      </c>
      <c r="Y13" s="99">
        <f t="shared" si="7"/>
        <v>529059.02525203465</v>
      </c>
      <c r="Z13" s="99">
        <f t="shared" si="7"/>
        <v>527891.08787349705</v>
      </c>
      <c r="AA13" s="99">
        <f t="shared" si="7"/>
        <v>526725.72880409902</v>
      </c>
      <c r="AB13" s="99">
        <f t="shared" si="7"/>
        <v>525562.94235203043</v>
      </c>
      <c r="AC13" s="99">
        <f t="shared" si="7"/>
        <v>524402.72283804568</v>
      </c>
      <c r="AD13" s="99">
        <f t="shared" si="7"/>
        <v>523245.0645954372</v>
      </c>
      <c r="AE13" s="99">
        <f t="shared" si="7"/>
        <v>522089.96197000676</v>
      </c>
      <c r="AF13" s="99">
        <f t="shared" si="7"/>
        <v>520937.4093200381</v>
      </c>
      <c r="AG13" s="99">
        <f t="shared" si="7"/>
        <v>519787.40101626981</v>
      </c>
      <c r="AM13" s="24"/>
      <c r="AN13" s="2"/>
      <c r="AO13" s="24"/>
      <c r="AR13" s="2"/>
    </row>
    <row r="14" spans="1:47" outlineLevel="1">
      <c r="A14" t="s">
        <v>396</v>
      </c>
      <c r="B14" s="50" t="s">
        <v>300</v>
      </c>
      <c r="C14" s="99">
        <f t="shared" si="7"/>
        <v>455260.3613177471</v>
      </c>
      <c r="D14" s="99">
        <f t="shared" si="7"/>
        <v>454255.34001091606</v>
      </c>
      <c r="E14" s="99">
        <f t="shared" si="7"/>
        <v>453252.53736380819</v>
      </c>
      <c r="F14" s="99">
        <f t="shared" si="7"/>
        <v>452251.94847856613</v>
      </c>
      <c r="G14" s="99">
        <f t="shared" si="7"/>
        <v>451253.56846814492</v>
      </c>
      <c r="H14" s="99">
        <f t="shared" si="7"/>
        <v>450257.3924562881</v>
      </c>
      <c r="I14" s="99">
        <f t="shared" si="7"/>
        <v>449263.41557750403</v>
      </c>
      <c r="J14" s="99">
        <f t="shared" si="7"/>
        <v>448271.63297704188</v>
      </c>
      <c r="K14" s="99">
        <f t="shared" si="7"/>
        <v>447282.03981086815</v>
      </c>
      <c r="L14" s="99">
        <f t="shared" si="7"/>
        <v>446294.63124564273</v>
      </c>
      <c r="M14" s="99">
        <f t="shared" si="7"/>
        <v>445309.40245869575</v>
      </c>
      <c r="N14" s="99">
        <f t="shared" si="7"/>
        <v>444326.34863800346</v>
      </c>
      <c r="O14" s="99">
        <f t="shared" si="7"/>
        <v>443345.4649821652</v>
      </c>
      <c r="P14" s="99">
        <f t="shared" si="7"/>
        <v>442366.74670037971</v>
      </c>
      <c r="Q14" s="99">
        <f t="shared" si="7"/>
        <v>441390.1890124217</v>
      </c>
      <c r="R14" s="99">
        <f t="shared" si="7"/>
        <v>440415.78714861872</v>
      </c>
      <c r="S14" s="99">
        <f t="shared" si="7"/>
        <v>439443.53634982766</v>
      </c>
      <c r="T14" s="99">
        <f t="shared" si="7"/>
        <v>438473.43186741153</v>
      </c>
      <c r="U14" s="99">
        <f t="shared" si="7"/>
        <v>437505.46896321641</v>
      </c>
      <c r="V14" s="99">
        <f t="shared" si="7"/>
        <v>436539.64290954813</v>
      </c>
      <c r="W14" s="99">
        <f t="shared" si="7"/>
        <v>435575.94898914936</v>
      </c>
      <c r="X14" s="99">
        <f t="shared" si="7"/>
        <v>434614.38249517628</v>
      </c>
      <c r="Y14" s="99">
        <f t="shared" si="7"/>
        <v>433654.93873117596</v>
      </c>
      <c r="Z14" s="99">
        <f t="shared" si="7"/>
        <v>432697.61301106325</v>
      </c>
      <c r="AA14" s="99">
        <f t="shared" si="7"/>
        <v>431742.40065909765</v>
      </c>
      <c r="AB14" s="99">
        <f t="shared" si="7"/>
        <v>430789.29700986098</v>
      </c>
      <c r="AC14" s="99">
        <f t="shared" si="7"/>
        <v>429838.29740823421</v>
      </c>
      <c r="AD14" s="99">
        <f t="shared" si="7"/>
        <v>428889.39720937482</v>
      </c>
      <c r="AE14" s="99">
        <f t="shared" si="7"/>
        <v>427942.59177869407</v>
      </c>
      <c r="AF14" s="99">
        <f t="shared" si="7"/>
        <v>426997.87649183458</v>
      </c>
      <c r="AG14" s="99">
        <f t="shared" si="7"/>
        <v>426055.24673464743</v>
      </c>
      <c r="AM14" s="24"/>
      <c r="AN14" s="2"/>
      <c r="AO14" s="24"/>
      <c r="AR14" s="2"/>
    </row>
    <row r="15" spans="1:47" outlineLevel="1">
      <c r="A15" t="s">
        <v>275</v>
      </c>
      <c r="B15" s="50" t="s">
        <v>300</v>
      </c>
      <c r="C15" s="120">
        <f t="shared" si="7"/>
        <v>2813509.0329436767</v>
      </c>
      <c r="D15" s="120">
        <f t="shared" si="7"/>
        <v>2807298.0012674611</v>
      </c>
      <c r="E15" s="120">
        <f t="shared" si="7"/>
        <v>2801100.6809083344</v>
      </c>
      <c r="F15" s="120">
        <f t="shared" si="7"/>
        <v>2794917.0415975386</v>
      </c>
      <c r="G15" s="120">
        <f t="shared" si="7"/>
        <v>2788747.0531331357</v>
      </c>
      <c r="H15" s="120">
        <f t="shared" si="7"/>
        <v>2782590.6853798605</v>
      </c>
      <c r="I15" s="120">
        <f t="shared" si="7"/>
        <v>2776447.9082689751</v>
      </c>
      <c r="J15" s="120">
        <f t="shared" si="7"/>
        <v>2770318.6917981189</v>
      </c>
      <c r="K15" s="120">
        <f t="shared" si="7"/>
        <v>2764203.0060311649</v>
      </c>
      <c r="L15" s="120">
        <f t="shared" si="7"/>
        <v>2758100.821098072</v>
      </c>
      <c r="M15" s="120">
        <f t="shared" si="7"/>
        <v>2752012.1071947399</v>
      </c>
      <c r="N15" s="120">
        <f t="shared" si="7"/>
        <v>2745936.8345828615</v>
      </c>
      <c r="O15" s="120">
        <f t="shared" si="7"/>
        <v>2739874.9735897812</v>
      </c>
      <c r="P15" s="120">
        <f t="shared" si="7"/>
        <v>2733826.4946083464</v>
      </c>
      <c r="Q15" s="120">
        <f t="shared" si="7"/>
        <v>2727791.3680967661</v>
      </c>
      <c r="R15" s="120">
        <f t="shared" si="7"/>
        <v>2721769.5645784638</v>
      </c>
      <c r="S15" s="120">
        <f t="shared" si="7"/>
        <v>2715761.0546419346</v>
      </c>
      <c r="T15" s="120">
        <f t="shared" si="7"/>
        <v>2709765.8089406034</v>
      </c>
      <c r="U15" s="120">
        <f t="shared" si="7"/>
        <v>2703783.7981926776</v>
      </c>
      <c r="V15" s="120">
        <f t="shared" si="7"/>
        <v>2697814.9931810074</v>
      </c>
      <c r="W15" s="120">
        <f t="shared" si="7"/>
        <v>2691859.3647529427</v>
      </c>
      <c r="X15" s="120">
        <f t="shared" si="7"/>
        <v>2685916.8838201892</v>
      </c>
      <c r="Y15" s="120">
        <f t="shared" si="7"/>
        <v>2679987.5213586674</v>
      </c>
      <c r="Z15" s="120">
        <f t="shared" si="7"/>
        <v>2674071.2484083707</v>
      </c>
      <c r="AA15" s="120">
        <f t="shared" si="7"/>
        <v>2668168.0360732232</v>
      </c>
      <c r="AB15" s="120">
        <f t="shared" si="7"/>
        <v>2662277.8555209409</v>
      </c>
      <c r="AC15" s="120">
        <f t="shared" si="7"/>
        <v>2656400.6779828873</v>
      </c>
      <c r="AD15" s="120">
        <f t="shared" si="7"/>
        <v>2650536.4747539363</v>
      </c>
      <c r="AE15" s="120">
        <f t="shared" si="7"/>
        <v>2644685.2171923295</v>
      </c>
      <c r="AF15" s="120">
        <f t="shared" si="7"/>
        <v>2638846.8767195377</v>
      </c>
      <c r="AG15" s="120">
        <f t="shared" si="7"/>
        <v>2633021.4248201214</v>
      </c>
    </row>
    <row r="16" spans="1:47" ht="15.5" outlineLevel="1" thickBot="1">
      <c r="A16" s="174" t="s">
        <v>417</v>
      </c>
      <c r="B16" s="172"/>
      <c r="C16" s="173">
        <f t="shared" ref="C16:AG16" si="8">SUM(C11:C15)</f>
        <v>8568000</v>
      </c>
      <c r="D16" s="173">
        <f t="shared" si="8"/>
        <v>8549085.4990054406</v>
      </c>
      <c r="E16" s="173">
        <f t="shared" si="8"/>
        <v>8530212.7531868704</v>
      </c>
      <c r="F16" s="173">
        <f t="shared" si="8"/>
        <v>8511381.6703666151</v>
      </c>
      <c r="G16" s="173">
        <f t="shared" si="8"/>
        <v>8492592.1585704871</v>
      </c>
      <c r="H16" s="173">
        <f t="shared" si="8"/>
        <v>8473844.1260273419</v>
      </c>
      <c r="I16" s="173">
        <f t="shared" si="8"/>
        <v>8455137.4811686277</v>
      </c>
      <c r="J16" s="173">
        <f t="shared" si="8"/>
        <v>8436472.1326279286</v>
      </c>
      <c r="K16" s="173">
        <f t="shared" si="8"/>
        <v>8417847.9892405383</v>
      </c>
      <c r="L16" s="173">
        <f t="shared" si="8"/>
        <v>8399264.9600429963</v>
      </c>
      <c r="M16" s="173">
        <f t="shared" si="8"/>
        <v>8380722.9542726539</v>
      </c>
      <c r="N16" s="173">
        <f t="shared" si="8"/>
        <v>8362221.8813672252</v>
      </c>
      <c r="O16" s="173">
        <f t="shared" si="8"/>
        <v>8343761.6509643495</v>
      </c>
      <c r="P16" s="173">
        <f t="shared" si="8"/>
        <v>8325342.1729011461</v>
      </c>
      <c r="Q16" s="173">
        <f t="shared" si="8"/>
        <v>8306963.3572137766</v>
      </c>
      <c r="R16" s="173">
        <f t="shared" si="8"/>
        <v>8288625.1141370051</v>
      </c>
      <c r="S16" s="173">
        <f t="shared" si="8"/>
        <v>8270327.3541037552</v>
      </c>
      <c r="T16" s="173">
        <f t="shared" si="8"/>
        <v>8252069.9877446862</v>
      </c>
      <c r="U16" s="173">
        <f t="shared" si="8"/>
        <v>8233852.9258877318</v>
      </c>
      <c r="V16" s="173">
        <f t="shared" si="8"/>
        <v>8215676.0795576964</v>
      </c>
      <c r="W16" s="173">
        <f t="shared" si="8"/>
        <v>8197539.3599757906</v>
      </c>
      <c r="X16" s="173">
        <f t="shared" si="8"/>
        <v>8179442.6785592176</v>
      </c>
      <c r="Y16" s="173">
        <f t="shared" si="8"/>
        <v>8161385.946920732</v>
      </c>
      <c r="Z16" s="173">
        <f t="shared" si="8"/>
        <v>8143369.07686821</v>
      </c>
      <c r="AA16" s="173">
        <f t="shared" si="8"/>
        <v>8125391.9804042187</v>
      </c>
      <c r="AB16" s="173">
        <f t="shared" si="8"/>
        <v>8107454.5697255842</v>
      </c>
      <c r="AC16" s="173">
        <f t="shared" si="8"/>
        <v>8089556.7572229691</v>
      </c>
      <c r="AD16" s="173">
        <f t="shared" si="8"/>
        <v>8071698.4554804359</v>
      </c>
      <c r="AE16" s="173">
        <f t="shared" si="8"/>
        <v>8053879.5772750229</v>
      </c>
      <c r="AF16" s="173">
        <f t="shared" si="8"/>
        <v>8036100.0355763268</v>
      </c>
      <c r="AG16" s="173">
        <f t="shared" si="8"/>
        <v>8018359.7435460649</v>
      </c>
    </row>
    <row r="17" spans="1:64" ht="15.5" outlineLevel="1" thickTop="1">
      <c r="AL17" s="106"/>
      <c r="AM17" s="107"/>
      <c r="AN17" s="107"/>
      <c r="AO17" s="107"/>
      <c r="AP17" s="107"/>
      <c r="AQ17" s="107"/>
    </row>
    <row r="18" spans="1:64" outlineLevel="1">
      <c r="A18" t="s">
        <v>1314</v>
      </c>
      <c r="B18" s="50" t="s">
        <v>126</v>
      </c>
      <c r="C18" s="139">
        <f>'Overall recycling rates'!I76</f>
        <v>7.8121324691281064E-3</v>
      </c>
      <c r="D18" s="139">
        <f>C18</f>
        <v>7.8121324691281064E-3</v>
      </c>
      <c r="E18" s="139">
        <f t="shared" ref="E18:T18" si="9">D18</f>
        <v>7.8121324691281064E-3</v>
      </c>
      <c r="F18" s="139">
        <f t="shared" si="9"/>
        <v>7.8121324691281064E-3</v>
      </c>
      <c r="G18" s="139">
        <f t="shared" si="9"/>
        <v>7.8121324691281064E-3</v>
      </c>
      <c r="H18" s="139">
        <f t="shared" si="9"/>
        <v>7.8121324691281064E-3</v>
      </c>
      <c r="I18" s="139">
        <f t="shared" si="9"/>
        <v>7.8121324691281064E-3</v>
      </c>
      <c r="J18" s="139">
        <f t="shared" si="9"/>
        <v>7.8121324691281064E-3</v>
      </c>
      <c r="K18" s="139">
        <f t="shared" si="9"/>
        <v>7.8121324691281064E-3</v>
      </c>
      <c r="L18" s="139">
        <f t="shared" si="9"/>
        <v>7.8121324691281064E-3</v>
      </c>
      <c r="M18" s="139">
        <f t="shared" si="9"/>
        <v>7.8121324691281064E-3</v>
      </c>
      <c r="N18" s="139">
        <f t="shared" si="9"/>
        <v>7.8121324691281064E-3</v>
      </c>
      <c r="O18" s="139">
        <f t="shared" si="9"/>
        <v>7.8121324691281064E-3</v>
      </c>
      <c r="P18" s="139">
        <f t="shared" si="9"/>
        <v>7.8121324691281064E-3</v>
      </c>
      <c r="Q18" s="139">
        <f t="shared" si="9"/>
        <v>7.8121324691281064E-3</v>
      </c>
      <c r="R18" s="139">
        <f t="shared" si="9"/>
        <v>7.8121324691281064E-3</v>
      </c>
      <c r="S18" s="139">
        <f t="shared" si="9"/>
        <v>7.8121324691281064E-3</v>
      </c>
      <c r="T18" s="139">
        <f t="shared" si="9"/>
        <v>7.8121324691281064E-3</v>
      </c>
      <c r="U18" s="139">
        <f t="shared" ref="T18:AG22" si="10">T18</f>
        <v>7.8121324691281064E-3</v>
      </c>
      <c r="V18" s="139">
        <f t="shared" si="10"/>
        <v>7.8121324691281064E-3</v>
      </c>
      <c r="W18" s="139">
        <f t="shared" si="10"/>
        <v>7.8121324691281064E-3</v>
      </c>
      <c r="X18" s="139">
        <f t="shared" si="10"/>
        <v>7.8121324691281064E-3</v>
      </c>
      <c r="Y18" s="139">
        <f t="shared" si="10"/>
        <v>7.8121324691281064E-3</v>
      </c>
      <c r="Z18" s="139">
        <f t="shared" si="10"/>
        <v>7.8121324691281064E-3</v>
      </c>
      <c r="AA18" s="139">
        <f t="shared" si="10"/>
        <v>7.8121324691281064E-3</v>
      </c>
      <c r="AB18" s="139">
        <f t="shared" si="10"/>
        <v>7.8121324691281064E-3</v>
      </c>
      <c r="AC18" s="139">
        <f t="shared" si="10"/>
        <v>7.8121324691281064E-3</v>
      </c>
      <c r="AD18" s="139">
        <f t="shared" si="10"/>
        <v>7.8121324691281064E-3</v>
      </c>
      <c r="AE18" s="139">
        <f t="shared" si="10"/>
        <v>7.8121324691281064E-3</v>
      </c>
      <c r="AF18" s="139">
        <f t="shared" si="10"/>
        <v>7.8121324691281064E-3</v>
      </c>
      <c r="AG18" s="139">
        <f>AF18</f>
        <v>7.8121324691281064E-3</v>
      </c>
      <c r="AI18" s="50" t="s">
        <v>272</v>
      </c>
      <c r="AJ18" s="185"/>
      <c r="AM18" s="107"/>
      <c r="AN18" s="107"/>
      <c r="AO18" s="107"/>
      <c r="AP18" s="107"/>
      <c r="AQ18" s="107"/>
    </row>
    <row r="19" spans="1:64" outlineLevel="1">
      <c r="A19" t="s">
        <v>1315</v>
      </c>
      <c r="B19" s="50" t="s">
        <v>126</v>
      </c>
      <c r="C19" s="139">
        <f>'Overall recycling rates'!I78</f>
        <v>0.42845614382271668</v>
      </c>
      <c r="D19" s="139">
        <f t="shared" ref="D19:S22" si="11">C19</f>
        <v>0.42845614382271668</v>
      </c>
      <c r="E19" s="139">
        <f t="shared" si="11"/>
        <v>0.42845614382271668</v>
      </c>
      <c r="F19" s="139">
        <f t="shared" si="11"/>
        <v>0.42845614382271668</v>
      </c>
      <c r="G19" s="139">
        <f t="shared" si="11"/>
        <v>0.42845614382271668</v>
      </c>
      <c r="H19" s="139">
        <f t="shared" si="11"/>
        <v>0.42845614382271668</v>
      </c>
      <c r="I19" s="139">
        <f t="shared" si="11"/>
        <v>0.42845614382271668</v>
      </c>
      <c r="J19" s="139">
        <f t="shared" si="11"/>
        <v>0.42845614382271668</v>
      </c>
      <c r="K19" s="139">
        <f t="shared" si="11"/>
        <v>0.42845614382271668</v>
      </c>
      <c r="L19" s="139">
        <f t="shared" si="11"/>
        <v>0.42845614382271668</v>
      </c>
      <c r="M19" s="139">
        <f t="shared" si="11"/>
        <v>0.42845614382271668</v>
      </c>
      <c r="N19" s="139">
        <f t="shared" si="11"/>
        <v>0.42845614382271668</v>
      </c>
      <c r="O19" s="139">
        <f t="shared" si="11"/>
        <v>0.42845614382271668</v>
      </c>
      <c r="P19" s="139">
        <f t="shared" si="11"/>
        <v>0.42845614382271668</v>
      </c>
      <c r="Q19" s="139">
        <f t="shared" si="11"/>
        <v>0.42845614382271668</v>
      </c>
      <c r="R19" s="139">
        <f t="shared" si="11"/>
        <v>0.42845614382271668</v>
      </c>
      <c r="S19" s="139">
        <f t="shared" si="11"/>
        <v>0.42845614382271668</v>
      </c>
      <c r="T19" s="139">
        <f t="shared" si="10"/>
        <v>0.42845614382271668</v>
      </c>
      <c r="U19" s="139">
        <f t="shared" si="10"/>
        <v>0.42845614382271668</v>
      </c>
      <c r="V19" s="139">
        <f t="shared" si="10"/>
        <v>0.42845614382271668</v>
      </c>
      <c r="W19" s="139">
        <f t="shared" si="10"/>
        <v>0.42845614382271668</v>
      </c>
      <c r="X19" s="139">
        <f t="shared" si="10"/>
        <v>0.42845614382271668</v>
      </c>
      <c r="Y19" s="139">
        <f t="shared" si="10"/>
        <v>0.42845614382271668</v>
      </c>
      <c r="Z19" s="139">
        <f t="shared" si="10"/>
        <v>0.42845614382271668</v>
      </c>
      <c r="AA19" s="139">
        <f t="shared" si="10"/>
        <v>0.42845614382271668</v>
      </c>
      <c r="AB19" s="139">
        <f t="shared" si="10"/>
        <v>0.42845614382271668</v>
      </c>
      <c r="AC19" s="139">
        <f t="shared" si="10"/>
        <v>0.42845614382271668</v>
      </c>
      <c r="AD19" s="139">
        <f t="shared" si="10"/>
        <v>0.42845614382271668</v>
      </c>
      <c r="AE19" s="139">
        <f t="shared" si="10"/>
        <v>0.42845614382271668</v>
      </c>
      <c r="AF19" s="139">
        <f t="shared" si="10"/>
        <v>0.42845614382271668</v>
      </c>
      <c r="AG19" s="139">
        <f t="shared" si="10"/>
        <v>0.42845614382271668</v>
      </c>
      <c r="AI19" s="50" t="s">
        <v>272</v>
      </c>
      <c r="AJ19" s="185"/>
      <c r="AM19" s="112"/>
      <c r="AN19" s="107"/>
      <c r="AO19" s="108"/>
      <c r="AP19" s="109"/>
      <c r="AQ19" s="108"/>
    </row>
    <row r="20" spans="1:64" outlineLevel="1">
      <c r="A20" t="s">
        <v>1316</v>
      </c>
      <c r="B20" s="50" t="s">
        <v>126</v>
      </c>
      <c r="C20" s="139">
        <f>'Overall recycling rates'!I77</f>
        <v>2.5731470370254327E-2</v>
      </c>
      <c r="D20" s="139">
        <f t="shared" si="11"/>
        <v>2.5731470370254327E-2</v>
      </c>
      <c r="E20" s="139">
        <f t="shared" si="11"/>
        <v>2.5731470370254327E-2</v>
      </c>
      <c r="F20" s="139">
        <f t="shared" si="11"/>
        <v>2.5731470370254327E-2</v>
      </c>
      <c r="G20" s="139">
        <f t="shared" si="11"/>
        <v>2.5731470370254327E-2</v>
      </c>
      <c r="H20" s="139">
        <f t="shared" si="11"/>
        <v>2.5731470370254327E-2</v>
      </c>
      <c r="I20" s="139">
        <f t="shared" si="11"/>
        <v>2.5731470370254327E-2</v>
      </c>
      <c r="J20" s="139">
        <f t="shared" si="11"/>
        <v>2.5731470370254327E-2</v>
      </c>
      <c r="K20" s="139">
        <f t="shared" si="11"/>
        <v>2.5731470370254327E-2</v>
      </c>
      <c r="L20" s="139">
        <f t="shared" si="11"/>
        <v>2.5731470370254327E-2</v>
      </c>
      <c r="M20" s="139">
        <f t="shared" si="11"/>
        <v>2.5731470370254327E-2</v>
      </c>
      <c r="N20" s="139">
        <f t="shared" si="11"/>
        <v>2.5731470370254327E-2</v>
      </c>
      <c r="O20" s="139">
        <f t="shared" si="11"/>
        <v>2.5731470370254327E-2</v>
      </c>
      <c r="P20" s="139">
        <f t="shared" si="11"/>
        <v>2.5731470370254327E-2</v>
      </c>
      <c r="Q20" s="139">
        <f t="shared" si="11"/>
        <v>2.5731470370254327E-2</v>
      </c>
      <c r="R20" s="139">
        <f t="shared" si="11"/>
        <v>2.5731470370254327E-2</v>
      </c>
      <c r="S20" s="139">
        <f t="shared" si="11"/>
        <v>2.5731470370254327E-2</v>
      </c>
      <c r="T20" s="139">
        <f t="shared" si="10"/>
        <v>2.5731470370254327E-2</v>
      </c>
      <c r="U20" s="139">
        <f t="shared" si="10"/>
        <v>2.5731470370254327E-2</v>
      </c>
      <c r="V20" s="139">
        <f t="shared" si="10"/>
        <v>2.5731470370254327E-2</v>
      </c>
      <c r="W20" s="139">
        <f t="shared" si="10"/>
        <v>2.5731470370254327E-2</v>
      </c>
      <c r="X20" s="139">
        <f t="shared" si="10"/>
        <v>2.5731470370254327E-2</v>
      </c>
      <c r="Y20" s="139">
        <f t="shared" si="10"/>
        <v>2.5731470370254327E-2</v>
      </c>
      <c r="Z20" s="139">
        <f t="shared" si="10"/>
        <v>2.5731470370254327E-2</v>
      </c>
      <c r="AA20" s="139">
        <f t="shared" si="10"/>
        <v>2.5731470370254327E-2</v>
      </c>
      <c r="AB20" s="139">
        <f t="shared" si="10"/>
        <v>2.5731470370254327E-2</v>
      </c>
      <c r="AC20" s="139">
        <f t="shared" si="10"/>
        <v>2.5731470370254327E-2</v>
      </c>
      <c r="AD20" s="139">
        <f t="shared" si="10"/>
        <v>2.5731470370254327E-2</v>
      </c>
      <c r="AE20" s="139">
        <f t="shared" si="10"/>
        <v>2.5731470370254327E-2</v>
      </c>
      <c r="AF20" s="139">
        <f t="shared" si="10"/>
        <v>2.5731470370254327E-2</v>
      </c>
      <c r="AG20" s="139">
        <f t="shared" si="10"/>
        <v>2.5731470370254327E-2</v>
      </c>
      <c r="AI20" s="50" t="s">
        <v>272</v>
      </c>
      <c r="AJ20" s="185"/>
      <c r="AM20" s="112"/>
      <c r="AN20" s="107"/>
      <c r="AO20" s="108"/>
      <c r="AP20" s="109"/>
      <c r="AQ20" s="108"/>
    </row>
    <row r="21" spans="1:64" outlineLevel="1">
      <c r="A21" t="s">
        <v>1317</v>
      </c>
      <c r="B21" s="50" t="s">
        <v>126</v>
      </c>
      <c r="C21" s="139">
        <f>'Overall recycling rates'!I79</f>
        <v>5.6913811558598572E-7</v>
      </c>
      <c r="D21" s="139">
        <f t="shared" si="11"/>
        <v>5.6913811558598572E-7</v>
      </c>
      <c r="E21" s="139">
        <f t="shared" si="11"/>
        <v>5.6913811558598572E-7</v>
      </c>
      <c r="F21" s="139">
        <f t="shared" si="11"/>
        <v>5.6913811558598572E-7</v>
      </c>
      <c r="G21" s="139">
        <f t="shared" si="11"/>
        <v>5.6913811558598572E-7</v>
      </c>
      <c r="H21" s="139">
        <f t="shared" si="11"/>
        <v>5.6913811558598572E-7</v>
      </c>
      <c r="I21" s="139">
        <f t="shared" si="11"/>
        <v>5.6913811558598572E-7</v>
      </c>
      <c r="J21" s="139">
        <f t="shared" si="11"/>
        <v>5.6913811558598572E-7</v>
      </c>
      <c r="K21" s="139">
        <f t="shared" si="11"/>
        <v>5.6913811558598572E-7</v>
      </c>
      <c r="L21" s="139">
        <f t="shared" si="11"/>
        <v>5.6913811558598572E-7</v>
      </c>
      <c r="M21" s="139">
        <f t="shared" si="11"/>
        <v>5.6913811558598572E-7</v>
      </c>
      <c r="N21" s="139">
        <f t="shared" si="11"/>
        <v>5.6913811558598572E-7</v>
      </c>
      <c r="O21" s="139">
        <f t="shared" si="11"/>
        <v>5.6913811558598572E-7</v>
      </c>
      <c r="P21" s="139">
        <f t="shared" si="11"/>
        <v>5.6913811558598572E-7</v>
      </c>
      <c r="Q21" s="139">
        <f t="shared" si="11"/>
        <v>5.6913811558598572E-7</v>
      </c>
      <c r="R21" s="139">
        <f t="shared" si="11"/>
        <v>5.6913811558598572E-7</v>
      </c>
      <c r="S21" s="139">
        <f t="shared" si="11"/>
        <v>5.6913811558598572E-7</v>
      </c>
      <c r="T21" s="139">
        <f t="shared" si="10"/>
        <v>5.6913811558598572E-7</v>
      </c>
      <c r="U21" s="139">
        <f t="shared" si="10"/>
        <v>5.6913811558598572E-7</v>
      </c>
      <c r="V21" s="139">
        <f t="shared" si="10"/>
        <v>5.6913811558598572E-7</v>
      </c>
      <c r="W21" s="139">
        <f t="shared" si="10"/>
        <v>5.6913811558598572E-7</v>
      </c>
      <c r="X21" s="139">
        <f t="shared" si="10"/>
        <v>5.6913811558598572E-7</v>
      </c>
      <c r="Y21" s="139">
        <f t="shared" si="10"/>
        <v>5.6913811558598572E-7</v>
      </c>
      <c r="Z21" s="139">
        <f t="shared" si="10"/>
        <v>5.6913811558598572E-7</v>
      </c>
      <c r="AA21" s="139">
        <f t="shared" si="10"/>
        <v>5.6913811558598572E-7</v>
      </c>
      <c r="AB21" s="139">
        <f t="shared" si="10"/>
        <v>5.6913811558598572E-7</v>
      </c>
      <c r="AC21" s="139">
        <f t="shared" si="10"/>
        <v>5.6913811558598572E-7</v>
      </c>
      <c r="AD21" s="139">
        <f t="shared" si="10"/>
        <v>5.6913811558598572E-7</v>
      </c>
      <c r="AE21" s="139">
        <f t="shared" si="10"/>
        <v>5.6913811558598572E-7</v>
      </c>
      <c r="AF21" s="139">
        <f t="shared" si="10"/>
        <v>5.6913811558598572E-7</v>
      </c>
      <c r="AG21" s="139">
        <f t="shared" si="10"/>
        <v>5.6913811558598572E-7</v>
      </c>
      <c r="AI21" s="50" t="s">
        <v>272</v>
      </c>
      <c r="AJ21" s="185"/>
      <c r="AM21" s="112"/>
      <c r="AN21" s="107"/>
      <c r="AO21" s="419"/>
      <c r="AP21" s="420"/>
      <c r="AQ21" s="419"/>
    </row>
    <row r="22" spans="1:64" outlineLevel="1">
      <c r="A22" t="s">
        <v>1318</v>
      </c>
      <c r="B22" s="50" t="s">
        <v>126</v>
      </c>
      <c r="C22" s="139">
        <f>'Overall recycling rates'!I80</f>
        <v>0.10640395633570057</v>
      </c>
      <c r="D22" s="139">
        <f>C22</f>
        <v>0.10640395633570057</v>
      </c>
      <c r="E22" s="139">
        <f t="shared" si="11"/>
        <v>0.10640395633570057</v>
      </c>
      <c r="F22" s="139">
        <f t="shared" si="11"/>
        <v>0.10640395633570057</v>
      </c>
      <c r="G22" s="139">
        <f t="shared" si="11"/>
        <v>0.10640395633570057</v>
      </c>
      <c r="H22" s="139">
        <f t="shared" si="11"/>
        <v>0.10640395633570057</v>
      </c>
      <c r="I22" s="139">
        <f t="shared" si="11"/>
        <v>0.10640395633570057</v>
      </c>
      <c r="J22" s="139">
        <f t="shared" si="11"/>
        <v>0.10640395633570057</v>
      </c>
      <c r="K22" s="139">
        <f t="shared" si="11"/>
        <v>0.10640395633570057</v>
      </c>
      <c r="L22" s="139">
        <f t="shared" si="11"/>
        <v>0.10640395633570057</v>
      </c>
      <c r="M22" s="139">
        <f t="shared" si="11"/>
        <v>0.10640395633570057</v>
      </c>
      <c r="N22" s="139">
        <f t="shared" si="11"/>
        <v>0.10640395633570057</v>
      </c>
      <c r="O22" s="139">
        <f t="shared" si="11"/>
        <v>0.10640395633570057</v>
      </c>
      <c r="P22" s="139">
        <f t="shared" si="11"/>
        <v>0.10640395633570057</v>
      </c>
      <c r="Q22" s="139">
        <f t="shared" si="11"/>
        <v>0.10640395633570057</v>
      </c>
      <c r="R22" s="139">
        <f t="shared" si="11"/>
        <v>0.10640395633570057</v>
      </c>
      <c r="S22" s="139">
        <f t="shared" si="11"/>
        <v>0.10640395633570057</v>
      </c>
      <c r="T22" s="139">
        <f t="shared" si="10"/>
        <v>0.10640395633570057</v>
      </c>
      <c r="U22" s="139">
        <f t="shared" si="10"/>
        <v>0.10640395633570057</v>
      </c>
      <c r="V22" s="139">
        <f t="shared" si="10"/>
        <v>0.10640395633570057</v>
      </c>
      <c r="W22" s="139">
        <f t="shared" si="10"/>
        <v>0.10640395633570057</v>
      </c>
      <c r="X22" s="139">
        <f t="shared" si="10"/>
        <v>0.10640395633570057</v>
      </c>
      <c r="Y22" s="139">
        <f t="shared" si="10"/>
        <v>0.10640395633570057</v>
      </c>
      <c r="Z22" s="139">
        <f t="shared" si="10"/>
        <v>0.10640395633570057</v>
      </c>
      <c r="AA22" s="139">
        <f t="shared" si="10"/>
        <v>0.10640395633570057</v>
      </c>
      <c r="AB22" s="139">
        <f t="shared" si="10"/>
        <v>0.10640395633570057</v>
      </c>
      <c r="AC22" s="139">
        <f t="shared" si="10"/>
        <v>0.10640395633570057</v>
      </c>
      <c r="AD22" s="139">
        <f t="shared" si="10"/>
        <v>0.10640395633570057</v>
      </c>
      <c r="AE22" s="139">
        <f t="shared" si="10"/>
        <v>0.10640395633570057</v>
      </c>
      <c r="AF22" s="139">
        <f t="shared" si="10"/>
        <v>0.10640395633570057</v>
      </c>
      <c r="AG22" s="139">
        <f t="shared" si="10"/>
        <v>0.10640395633570057</v>
      </c>
      <c r="AI22" s="50" t="s">
        <v>272</v>
      </c>
      <c r="AJ22" s="185"/>
      <c r="AM22" s="112"/>
      <c r="AN22" s="107"/>
      <c r="AO22" s="108"/>
      <c r="AP22" s="109"/>
      <c r="AQ22" s="108"/>
    </row>
    <row r="23" spans="1:64" outlineLevel="1">
      <c r="AI23" s="50"/>
      <c r="AM23" s="112"/>
      <c r="AN23" s="107"/>
      <c r="AO23" s="108"/>
      <c r="AP23" s="109"/>
      <c r="AQ23" s="108"/>
      <c r="BD23" s="22"/>
      <c r="BE23" s="22"/>
      <c r="BF23" s="22"/>
      <c r="BG23" s="22"/>
      <c r="BH23" s="22"/>
      <c r="BI23" s="22"/>
      <c r="BJ23" s="22"/>
      <c r="BK23" s="22"/>
      <c r="BL23" s="22"/>
    </row>
    <row r="24" spans="1:64" outlineLevel="1">
      <c r="A24" t="s">
        <v>1319</v>
      </c>
      <c r="B24" s="50" t="s">
        <v>1366</v>
      </c>
      <c r="C24" s="178">
        <f>C11*C18</f>
        <v>34854.231655462187</v>
      </c>
      <c r="D24" s="178">
        <f t="shared" ref="D24:AG24" si="12">D11*D18</f>
        <v>34777.288331546231</v>
      </c>
      <c r="E24" s="178">
        <f t="shared" si="12"/>
        <v>34700.514865774159</v>
      </c>
      <c r="F24" s="178">
        <f t="shared" si="12"/>
        <v>34623.910883171411</v>
      </c>
      <c r="G24" s="178">
        <f t="shared" si="12"/>
        <v>34547.476009591199</v>
      </c>
      <c r="H24" s="178">
        <f t="shared" si="12"/>
        <v>34471.209871712708</v>
      </c>
      <c r="I24" s="178">
        <f t="shared" si="12"/>
        <v>34395.112097039259</v>
      </c>
      <c r="J24" s="178">
        <f t="shared" si="12"/>
        <v>34319.182313896461</v>
      </c>
      <c r="K24" s="178">
        <f t="shared" si="12"/>
        <v>34243.420151430473</v>
      </c>
      <c r="L24" s="178">
        <f t="shared" si="12"/>
        <v>34167.825239606085</v>
      </c>
      <c r="M24" s="178">
        <f>M11*M18</f>
        <v>34092.397209205003</v>
      </c>
      <c r="N24" s="178">
        <f t="shared" si="12"/>
        <v>34017.135691824005</v>
      </c>
      <c r="O24" s="178">
        <f t="shared" si="12"/>
        <v>33942.040319873136</v>
      </c>
      <c r="P24" s="178">
        <f t="shared" si="12"/>
        <v>33867.110726573934</v>
      </c>
      <c r="Q24" s="178">
        <f t="shared" si="12"/>
        <v>33792.346545957611</v>
      </c>
      <c r="R24" s="178">
        <f t="shared" si="12"/>
        <v>33717.747412863311</v>
      </c>
      <c r="S24" s="178">
        <f t="shared" si="12"/>
        <v>33643.312962936267</v>
      </c>
      <c r="T24" s="178">
        <f t="shared" si="12"/>
        <v>33569.042832626081</v>
      </c>
      <c r="U24" s="178">
        <f t="shared" si="12"/>
        <v>33494.936659184888</v>
      </c>
      <c r="V24" s="178">
        <f t="shared" si="12"/>
        <v>33420.994080665652</v>
      </c>
      <c r="W24" s="178">
        <f t="shared" si="12"/>
        <v>33347.21473592033</v>
      </c>
      <c r="X24" s="178">
        <f t="shared" si="12"/>
        <v>33273.598264598164</v>
      </c>
      <c r="Y24" s="178">
        <f t="shared" si="12"/>
        <v>33200.144307143884</v>
      </c>
      <c r="Z24" s="178">
        <f t="shared" si="12"/>
        <v>33126.852504795963</v>
      </c>
      <c r="AA24" s="178">
        <f t="shared" si="12"/>
        <v>33053.722499584881</v>
      </c>
      <c r="AB24" s="178">
        <f t="shared" si="12"/>
        <v>32980.753934331347</v>
      </c>
      <c r="AC24" s="178">
        <f t="shared" si="12"/>
        <v>32907.946452644581</v>
      </c>
      <c r="AD24" s="178">
        <f t="shared" si="12"/>
        <v>32835.299698920564</v>
      </c>
      <c r="AE24" s="178">
        <f t="shared" si="12"/>
        <v>32762.813318340279</v>
      </c>
      <c r="AF24" s="178">
        <f t="shared" si="12"/>
        <v>32690.486956868019</v>
      </c>
      <c r="AG24" s="178">
        <f t="shared" si="12"/>
        <v>32618.320261249639</v>
      </c>
      <c r="AI24" s="217"/>
      <c r="AM24" s="112"/>
      <c r="AN24" s="107"/>
      <c r="AO24" s="107"/>
      <c r="AP24" s="107"/>
      <c r="AQ24" s="107"/>
      <c r="BD24" s="179"/>
      <c r="BE24" s="179"/>
      <c r="BF24" s="179"/>
      <c r="BG24" s="179"/>
      <c r="BH24" s="179"/>
      <c r="BI24" s="179"/>
      <c r="BJ24" s="179"/>
      <c r="BK24" s="179"/>
      <c r="BL24" s="179"/>
    </row>
    <row r="25" spans="1:64" outlineLevel="1">
      <c r="A25" t="s">
        <v>1320</v>
      </c>
      <c r="B25" s="50" t="s">
        <v>1366</v>
      </c>
      <c r="C25" s="178">
        <f t="shared" ref="C25:AG28" si="13">C12*C19</f>
        <v>120936.64128423392</v>
      </c>
      <c r="D25" s="178">
        <f t="shared" si="13"/>
        <v>120669.66460101155</v>
      </c>
      <c r="E25" s="178">
        <f t="shared" si="13"/>
        <v>120403.27728879062</v>
      </c>
      <c r="F25" s="178">
        <f t="shared" si="13"/>
        <v>120137.47804649056</v>
      </c>
      <c r="G25" s="178">
        <f t="shared" si="13"/>
        <v>119872.265575903</v>
      </c>
      <c r="H25" s="178">
        <f t="shared" si="13"/>
        <v>119607.6385816855</v>
      </c>
      <c r="I25" s="178">
        <f t="shared" si="13"/>
        <v>119343.59577135519</v>
      </c>
      <c r="J25" s="178">
        <f t="shared" si="13"/>
        <v>119080.13585528242</v>
      </c>
      <c r="K25" s="178">
        <f t="shared" si="13"/>
        <v>118817.2575466845</v>
      </c>
      <c r="L25" s="178">
        <f t="shared" si="13"/>
        <v>118554.95956161941</v>
      </c>
      <c r="M25" s="178">
        <f t="shared" si="13"/>
        <v>118293.24061897959</v>
      </c>
      <c r="N25" s="178">
        <f t="shared" si="13"/>
        <v>118032.09944048552</v>
      </c>
      <c r="O25" s="178">
        <f t="shared" si="13"/>
        <v>117771.53475067961</v>
      </c>
      <c r="P25" s="178">
        <f t="shared" si="13"/>
        <v>117511.54527692001</v>
      </c>
      <c r="Q25" s="178">
        <f t="shared" si="13"/>
        <v>117252.12974937419</v>
      </c>
      <c r="R25" s="178">
        <f t="shared" si="13"/>
        <v>116993.28690101298</v>
      </c>
      <c r="S25" s="178">
        <f t="shared" si="13"/>
        <v>116735.01546760427</v>
      </c>
      <c r="T25" s="178">
        <f t="shared" si="13"/>
        <v>116477.31418770677</v>
      </c>
      <c r="U25" s="178">
        <f t="shared" si="13"/>
        <v>116220.18180266394</v>
      </c>
      <c r="V25" s="178">
        <f t="shared" si="13"/>
        <v>115963.61705659785</v>
      </c>
      <c r="W25" s="178">
        <f t="shared" si="13"/>
        <v>115707.61869640298</v>
      </c>
      <c r="X25" s="178">
        <f t="shared" si="13"/>
        <v>115452.18547174016</v>
      </c>
      <c r="Y25" s="178">
        <f t="shared" si="13"/>
        <v>115197.31613503039</v>
      </c>
      <c r="Z25" s="178">
        <f t="shared" si="13"/>
        <v>114943.00944144887</v>
      </c>
      <c r="AA25" s="178">
        <f t="shared" si="13"/>
        <v>114689.26414891877</v>
      </c>
      <c r="AB25" s="178">
        <f t="shared" si="13"/>
        <v>114436.07901810529</v>
      </c>
      <c r="AC25" s="178">
        <f t="shared" si="13"/>
        <v>114183.45281240952</v>
      </c>
      <c r="AD25" s="178">
        <f t="shared" si="13"/>
        <v>113931.38429796243</v>
      </c>
      <c r="AE25" s="178">
        <f t="shared" si="13"/>
        <v>113679.87224361893</v>
      </c>
      <c r="AF25" s="178">
        <f t="shared" si="13"/>
        <v>113428.91542095166</v>
      </c>
      <c r="AG25" s="178">
        <f t="shared" si="13"/>
        <v>113178.51260424514</v>
      </c>
      <c r="AM25" s="180"/>
      <c r="BD25" s="179"/>
      <c r="BE25" s="179"/>
      <c r="BF25" s="179"/>
      <c r="BG25" s="179"/>
      <c r="BH25" s="179"/>
      <c r="BI25" s="179"/>
      <c r="BJ25" s="179"/>
      <c r="BK25" s="179"/>
      <c r="BL25" s="179"/>
    </row>
    <row r="26" spans="1:64" outlineLevel="1">
      <c r="A26" t="s">
        <v>1321</v>
      </c>
      <c r="B26" s="50" t="s">
        <v>1366</v>
      </c>
      <c r="C26" s="178">
        <f t="shared" si="13"/>
        <v>14291.712567558641</v>
      </c>
      <c r="D26" s="178">
        <f t="shared" si="13"/>
        <v>14260.162542865242</v>
      </c>
      <c r="E26" s="178">
        <f t="shared" si="13"/>
        <v>14228.682167211695</v>
      </c>
      <c r="F26" s="178">
        <f t="shared" si="13"/>
        <v>14197.271286842533</v>
      </c>
      <c r="G26" s="178">
        <f t="shared" si="13"/>
        <v>14165.929748341714</v>
      </c>
      <c r="H26" s="178">
        <f t="shared" si="13"/>
        <v>14134.657398631878</v>
      </c>
      <c r="I26" s="178">
        <f t="shared" si="13"/>
        <v>14103.454084973595</v>
      </c>
      <c r="J26" s="178">
        <f t="shared" si="13"/>
        <v>14072.319654964615</v>
      </c>
      <c r="K26" s="178">
        <f t="shared" si="13"/>
        <v>14041.253956539127</v>
      </c>
      <c r="L26" s="178">
        <f t="shared" si="13"/>
        <v>14010.256837967019</v>
      </c>
      <c r="M26" s="178">
        <f t="shared" si="13"/>
        <v>13979.328147853137</v>
      </c>
      <c r="N26" s="178">
        <f t="shared" si="13"/>
        <v>13948.467735136537</v>
      </c>
      <c r="O26" s="178">
        <f t="shared" si="13"/>
        <v>13917.675449089757</v>
      </c>
      <c r="P26" s="178">
        <f t="shared" si="13"/>
        <v>13886.951139318078</v>
      </c>
      <c r="Q26" s="178">
        <f t="shared" si="13"/>
        <v>13856.294655758782</v>
      </c>
      <c r="R26" s="178">
        <f t="shared" si="13"/>
        <v>13825.70584868044</v>
      </c>
      <c r="S26" s="178">
        <f t="shared" si="13"/>
        <v>13795.184568682151</v>
      </c>
      <c r="T26" s="178">
        <f t="shared" si="13"/>
        <v>13764.730666692833</v>
      </c>
      <c r="U26" s="178">
        <f t="shared" si="13"/>
        <v>13734.343993970497</v>
      </c>
      <c r="V26" s="178">
        <f t="shared" si="13"/>
        <v>13704.024402101499</v>
      </c>
      <c r="W26" s="178">
        <f t="shared" si="13"/>
        <v>13673.771742999841</v>
      </c>
      <c r="X26" s="178">
        <f t="shared" si="13"/>
        <v>13643.58586890643</v>
      </c>
      <c r="Y26" s="178">
        <f t="shared" si="13"/>
        <v>13613.466632388365</v>
      </c>
      <c r="Z26" s="178">
        <f t="shared" si="13"/>
        <v>13583.413886338212</v>
      </c>
      <c r="AA26" s="178">
        <f t="shared" si="13"/>
        <v>13553.42748397329</v>
      </c>
      <c r="AB26" s="178">
        <f t="shared" si="13"/>
        <v>13523.507278834953</v>
      </c>
      <c r="AC26" s="178">
        <f t="shared" si="13"/>
        <v>13493.653124787865</v>
      </c>
      <c r="AD26" s="178">
        <f t="shared" si="13"/>
        <v>13463.864876019303</v>
      </c>
      <c r="AE26" s="178">
        <f t="shared" si="13"/>
        <v>13434.142387038437</v>
      </c>
      <c r="AF26" s="178">
        <f t="shared" si="13"/>
        <v>13404.48551267561</v>
      </c>
      <c r="AG26" s="178">
        <f t="shared" si="13"/>
        <v>13374.894108081649</v>
      </c>
      <c r="BD26" s="179"/>
      <c r="BE26" s="179"/>
      <c r="BF26" s="179"/>
      <c r="BG26" s="179"/>
      <c r="BH26" s="179"/>
      <c r="BI26" s="179"/>
      <c r="BJ26" s="179"/>
      <c r="BK26" s="179"/>
      <c r="BL26" s="179"/>
    </row>
    <row r="27" spans="1:64" outlineLevel="1">
      <c r="A27" t="s">
        <v>1322</v>
      </c>
      <c r="B27" s="50" t="s">
        <v>1366</v>
      </c>
      <c r="C27" s="178">
        <f t="shared" si="13"/>
        <v>0.25910602414137757</v>
      </c>
      <c r="D27" s="178">
        <f t="shared" si="13"/>
        <v>0.25853402820868399</v>
      </c>
      <c r="E27" s="178">
        <f t="shared" si="13"/>
        <v>0.25796329499980436</v>
      </c>
      <c r="F27" s="178">
        <f t="shared" si="13"/>
        <v>0.25739382172718145</v>
      </c>
      <c r="G27" s="178">
        <f t="shared" si="13"/>
        <v>0.25682560560941159</v>
      </c>
      <c r="H27" s="178">
        <f t="shared" si="13"/>
        <v>0.25625864387123143</v>
      </c>
      <c r="I27" s="178">
        <f t="shared" si="13"/>
        <v>0.25569293374350421</v>
      </c>
      <c r="J27" s="178">
        <f t="shared" si="13"/>
        <v>0.25512847246320625</v>
      </c>
      <c r="K27" s="178">
        <f t="shared" si="13"/>
        <v>0.25456525727341334</v>
      </c>
      <c r="L27" s="178">
        <f t="shared" si="13"/>
        <v>0.25400328542328748</v>
      </c>
      <c r="M27" s="178">
        <f t="shared" si="13"/>
        <v>0.25344255416806344</v>
      </c>
      <c r="N27" s="178">
        <f t="shared" si="13"/>
        <v>0.252883060769035</v>
      </c>
      <c r="O27" s="178">
        <f t="shared" si="13"/>
        <v>0.25232480249354211</v>
      </c>
      <c r="P27" s="178">
        <f t="shared" si="13"/>
        <v>0.25176777661495719</v>
      </c>
      <c r="Q27" s="178">
        <f t="shared" si="13"/>
        <v>0.25121198041267173</v>
      </c>
      <c r="R27" s="178">
        <f t="shared" si="13"/>
        <v>0.25065741117208346</v>
      </c>
      <c r="S27" s="178">
        <f t="shared" si="13"/>
        <v>0.25010406618458253</v>
      </c>
      <c r="T27" s="178">
        <f t="shared" si="13"/>
        <v>0.2495519427475387</v>
      </c>
      <c r="U27" s="178">
        <f t="shared" si="13"/>
        <v>0.24900103816428795</v>
      </c>
      <c r="V27" s="178">
        <f t="shared" si="13"/>
        <v>0.24845134974411934</v>
      </c>
      <c r="W27" s="178">
        <f t="shared" si="13"/>
        <v>0.24790287480226192</v>
      </c>
      <c r="X27" s="178">
        <f t="shared" si="13"/>
        <v>0.24735561065987144</v>
      </c>
      <c r="Y27" s="178">
        <f t="shared" si="13"/>
        <v>0.24680955464401758</v>
      </c>
      <c r="Z27" s="178">
        <f t="shared" si="13"/>
        <v>0.24626470408767065</v>
      </c>
      <c r="AA27" s="178">
        <f t="shared" si="13"/>
        <v>0.24572105632968846</v>
      </c>
      <c r="AB27" s="178">
        <f t="shared" si="13"/>
        <v>0.24517860871480379</v>
      </c>
      <c r="AC27" s="178">
        <f t="shared" si="13"/>
        <v>0.24463735859361091</v>
      </c>
      <c r="AD27" s="178">
        <f t="shared" si="13"/>
        <v>0.24409730332255292</v>
      </c>
      <c r="AE27" s="178">
        <f t="shared" si="13"/>
        <v>0.24355844026390869</v>
      </c>
      <c r="AF27" s="178">
        <f t="shared" si="13"/>
        <v>0.24302076678578022</v>
      </c>
      <c r="AG27" s="178">
        <f t="shared" si="13"/>
        <v>0.24248428026207944</v>
      </c>
      <c r="BD27" s="179"/>
      <c r="BE27" s="179"/>
      <c r="BF27" s="179"/>
      <c r="BG27" s="179"/>
      <c r="BH27" s="179"/>
      <c r="BI27" s="179"/>
      <c r="BJ27" s="179"/>
      <c r="BK27" s="179"/>
      <c r="BL27" s="179"/>
    </row>
    <row r="28" spans="1:64" outlineLevel="1">
      <c r="A28" s="160" t="s">
        <v>1323</v>
      </c>
      <c r="B28" s="156" t="s">
        <v>1366</v>
      </c>
      <c r="C28" s="178">
        <f t="shared" si="13"/>
        <v>299368.4922914381</v>
      </c>
      <c r="D28" s="178">
        <f t="shared" si="13"/>
        <v>298707.61394816241</v>
      </c>
      <c r="E28" s="178">
        <f t="shared" si="13"/>
        <v>298048.19454327156</v>
      </c>
      <c r="F28" s="178">
        <f t="shared" si="13"/>
        <v>297390.23085604992</v>
      </c>
      <c r="G28" s="178">
        <f t="shared" si="13"/>
        <v>296733.71967289184</v>
      </c>
      <c r="H28" s="178">
        <f t="shared" si="13"/>
        <v>296078.6577872858</v>
      </c>
      <c r="I28" s="178">
        <f t="shared" si="13"/>
        <v>295425.0419997992</v>
      </c>
      <c r="J28" s="178">
        <f t="shared" si="13"/>
        <v>294772.8691180622</v>
      </c>
      <c r="K28" s="178">
        <f t="shared" si="13"/>
        <v>294122.13595675235</v>
      </c>
      <c r="L28" s="178">
        <f t="shared" si="13"/>
        <v>293472.83933757915</v>
      </c>
      <c r="M28" s="178">
        <f t="shared" si="13"/>
        <v>292824.9760892684</v>
      </c>
      <c r="N28" s="178">
        <f t="shared" si="13"/>
        <v>292178.54304754664</v>
      </c>
      <c r="O28" s="178">
        <f t="shared" si="13"/>
        <v>291533.53705512587</v>
      </c>
      <c r="P28" s="178">
        <f t="shared" si="13"/>
        <v>290889.95496168785</v>
      </c>
      <c r="Q28" s="178">
        <f t="shared" si="13"/>
        <v>290247.79362386925</v>
      </c>
      <c r="R28" s="178">
        <f t="shared" si="13"/>
        <v>289607.0499052456</v>
      </c>
      <c r="S28" s="178">
        <f t="shared" si="13"/>
        <v>288967.72067631653</v>
      </c>
      <c r="T28" s="178">
        <f t="shared" si="13"/>
        <v>288329.80281449028</v>
      </c>
      <c r="U28" s="178">
        <f t="shared" si="13"/>
        <v>287693.29320406832</v>
      </c>
      <c r="V28" s="178">
        <f t="shared" si="13"/>
        <v>287058.18873623025</v>
      </c>
      <c r="W28" s="178">
        <f t="shared" si="13"/>
        <v>286424.4863090188</v>
      </c>
      <c r="X28" s="178">
        <f t="shared" si="13"/>
        <v>285792.18282732437</v>
      </c>
      <c r="Y28" s="178">
        <f t="shared" si="13"/>
        <v>285161.27520287008</v>
      </c>
      <c r="Z28" s="178">
        <f t="shared" si="13"/>
        <v>284531.76035419659</v>
      </c>
      <c r="AA28" s="178">
        <f t="shared" si="13"/>
        <v>283903.63520664722</v>
      </c>
      <c r="AB28" s="178">
        <f t="shared" si="13"/>
        <v>283276.89669235272</v>
      </c>
      <c r="AC28" s="178">
        <f t="shared" si="13"/>
        <v>282651.54175021651</v>
      </c>
      <c r="AD28" s="178">
        <f t="shared" si="13"/>
        <v>282027.56732589955</v>
      </c>
      <c r="AE28" s="178">
        <f t="shared" si="13"/>
        <v>281404.97037180542</v>
      </c>
      <c r="AF28" s="178">
        <f t="shared" si="13"/>
        <v>280783.7478470655</v>
      </c>
      <c r="AG28" s="178">
        <f t="shared" si="13"/>
        <v>280163.89671752433</v>
      </c>
      <c r="AL28" s="100"/>
      <c r="AM28" s="181"/>
      <c r="AN28" s="181"/>
      <c r="AO28" s="181"/>
    </row>
    <row r="29" spans="1:64" s="1" customFormat="1" ht="15.5" thickBot="1">
      <c r="A29" s="174" t="s">
        <v>1324</v>
      </c>
      <c r="B29" s="193" t="s">
        <v>1366</v>
      </c>
      <c r="C29" s="190">
        <f>SUM(C24:C28)</f>
        <v>469451.33690471697</v>
      </c>
      <c r="D29" s="190">
        <f t="shared" ref="D29:AG29" si="14">SUM(D24:D28)</f>
        <v>468414.98795761366</v>
      </c>
      <c r="E29" s="190">
        <f t="shared" si="14"/>
        <v>467380.92682834307</v>
      </c>
      <c r="F29" s="190">
        <f t="shared" si="14"/>
        <v>466349.14846637612</v>
      </c>
      <c r="G29" s="190">
        <f t="shared" si="14"/>
        <v>465319.64783233334</v>
      </c>
      <c r="H29" s="190">
        <f t="shared" si="14"/>
        <v>464292.4198979598</v>
      </c>
      <c r="I29" s="190">
        <f t="shared" si="14"/>
        <v>463267.45964610099</v>
      </c>
      <c r="J29" s="190">
        <f t="shared" si="14"/>
        <v>462244.76207067817</v>
      </c>
      <c r="K29" s="190">
        <f t="shared" si="14"/>
        <v>461224.32217666367</v>
      </c>
      <c r="L29" s="190">
        <f t="shared" si="14"/>
        <v>460206.13498005713</v>
      </c>
      <c r="M29" s="190">
        <f t="shared" si="14"/>
        <v>459190.19550786028</v>
      </c>
      <c r="N29" s="190">
        <f t="shared" si="14"/>
        <v>458176.49879805348</v>
      </c>
      <c r="O29" s="190">
        <f t="shared" si="14"/>
        <v>457165.03989957087</v>
      </c>
      <c r="P29" s="190">
        <f t="shared" si="14"/>
        <v>456155.81387227646</v>
      </c>
      <c r="Q29" s="190">
        <f t="shared" si="14"/>
        <v>455148.81578694022</v>
      </c>
      <c r="R29" s="190">
        <f t="shared" si="14"/>
        <v>454144.04072521348</v>
      </c>
      <c r="S29" s="190">
        <f t="shared" si="14"/>
        <v>453141.48377960542</v>
      </c>
      <c r="T29" s="190">
        <f t="shared" si="14"/>
        <v>452141.14005345874</v>
      </c>
      <c r="U29" s="190">
        <f t="shared" si="14"/>
        <v>451143.00466092583</v>
      </c>
      <c r="V29" s="190">
        <f t="shared" si="14"/>
        <v>450147.07272694499</v>
      </c>
      <c r="W29" s="190">
        <f t="shared" si="14"/>
        <v>449153.33938721672</v>
      </c>
      <c r="X29" s="190">
        <f t="shared" si="14"/>
        <v>448161.79978817981</v>
      </c>
      <c r="Y29" s="190">
        <f t="shared" si="14"/>
        <v>447172.44908698736</v>
      </c>
      <c r="Z29" s="190">
        <f t="shared" si="14"/>
        <v>446185.28245148377</v>
      </c>
      <c r="AA29" s="190">
        <f t="shared" si="14"/>
        <v>445200.29506018048</v>
      </c>
      <c r="AB29" s="190">
        <f t="shared" si="14"/>
        <v>444217.48210223304</v>
      </c>
      <c r="AC29" s="190">
        <f t="shared" si="14"/>
        <v>443236.83877741708</v>
      </c>
      <c r="AD29" s="190">
        <f t="shared" si="14"/>
        <v>442258.36029610515</v>
      </c>
      <c r="AE29" s="190">
        <f t="shared" si="14"/>
        <v>441282.04187924333</v>
      </c>
      <c r="AF29" s="190">
        <f t="shared" si="14"/>
        <v>440307.87875832757</v>
      </c>
      <c r="AG29" s="190">
        <f t="shared" si="14"/>
        <v>439335.866175381</v>
      </c>
      <c r="AJ29" s="142"/>
      <c r="AL29" s="194"/>
      <c r="AM29" s="116"/>
      <c r="AN29" s="116"/>
      <c r="AO29" s="116"/>
    </row>
    <row r="30" spans="1:64" ht="15.5" outlineLevel="1" thickTop="1">
      <c r="AL30" s="100"/>
      <c r="AM30" s="2"/>
      <c r="AN30" s="2"/>
      <c r="AO30" s="2"/>
    </row>
    <row r="31" spans="1:64" outlineLevel="1">
      <c r="A31" t="s">
        <v>1325</v>
      </c>
      <c r="B31" s="156" t="s">
        <v>1366</v>
      </c>
      <c r="C31" s="99">
        <f>C29</f>
        <v>469451.33690471697</v>
      </c>
      <c r="D31" s="99">
        <f t="shared" ref="D31:AG31" si="15">D29</f>
        <v>468414.98795761366</v>
      </c>
      <c r="E31" s="99">
        <f t="shared" si="15"/>
        <v>467380.92682834307</v>
      </c>
      <c r="F31" s="99">
        <f t="shared" si="15"/>
        <v>466349.14846637612</v>
      </c>
      <c r="G31" s="99">
        <f t="shared" si="15"/>
        <v>465319.64783233334</v>
      </c>
      <c r="H31" s="99">
        <f t="shared" si="15"/>
        <v>464292.4198979598</v>
      </c>
      <c r="I31" s="99">
        <f t="shared" si="15"/>
        <v>463267.45964610099</v>
      </c>
      <c r="J31" s="99">
        <f t="shared" si="15"/>
        <v>462244.76207067817</v>
      </c>
      <c r="K31" s="99">
        <f t="shared" si="15"/>
        <v>461224.32217666367</v>
      </c>
      <c r="L31" s="99">
        <f t="shared" si="15"/>
        <v>460206.13498005713</v>
      </c>
      <c r="M31" s="99">
        <f t="shared" si="15"/>
        <v>459190.19550786028</v>
      </c>
      <c r="N31" s="99">
        <f t="shared" si="15"/>
        <v>458176.49879805348</v>
      </c>
      <c r="O31" s="99">
        <f t="shared" si="15"/>
        <v>457165.03989957087</v>
      </c>
      <c r="P31" s="99">
        <f t="shared" si="15"/>
        <v>456155.81387227646</v>
      </c>
      <c r="Q31" s="99">
        <f t="shared" si="15"/>
        <v>455148.81578694022</v>
      </c>
      <c r="R31" s="99">
        <f t="shared" si="15"/>
        <v>454144.04072521348</v>
      </c>
      <c r="S31" s="99">
        <f t="shared" si="15"/>
        <v>453141.48377960542</v>
      </c>
      <c r="T31" s="99">
        <f t="shared" si="15"/>
        <v>452141.14005345874</v>
      </c>
      <c r="U31" s="99">
        <f t="shared" si="15"/>
        <v>451143.00466092583</v>
      </c>
      <c r="V31" s="99">
        <f t="shared" si="15"/>
        <v>450147.07272694499</v>
      </c>
      <c r="W31" s="99">
        <f t="shared" si="15"/>
        <v>449153.33938721672</v>
      </c>
      <c r="X31" s="99">
        <f t="shared" si="15"/>
        <v>448161.79978817981</v>
      </c>
      <c r="Y31" s="99">
        <f t="shared" si="15"/>
        <v>447172.44908698736</v>
      </c>
      <c r="Z31" s="99">
        <f t="shared" si="15"/>
        <v>446185.28245148377</v>
      </c>
      <c r="AA31" s="99">
        <f t="shared" si="15"/>
        <v>445200.29506018048</v>
      </c>
      <c r="AB31" s="99">
        <f t="shared" si="15"/>
        <v>444217.48210223304</v>
      </c>
      <c r="AC31" s="99">
        <f t="shared" si="15"/>
        <v>443236.83877741708</v>
      </c>
      <c r="AD31" s="99">
        <f t="shared" si="15"/>
        <v>442258.36029610515</v>
      </c>
      <c r="AE31" s="99">
        <f t="shared" si="15"/>
        <v>441282.04187924333</v>
      </c>
      <c r="AF31" s="99">
        <f t="shared" si="15"/>
        <v>440307.87875832757</v>
      </c>
      <c r="AG31" s="99">
        <f t="shared" si="15"/>
        <v>439335.866175381</v>
      </c>
      <c r="AL31" s="100"/>
      <c r="AM31" s="2"/>
      <c r="AN31" s="2"/>
      <c r="AO31" s="2"/>
    </row>
    <row r="32" spans="1:64" outlineLevel="1">
      <c r="AL32" s="100"/>
      <c r="AM32" s="2"/>
      <c r="AN32" s="2"/>
      <c r="AO32" s="2"/>
    </row>
    <row r="33" spans="1:64" outlineLevel="1">
      <c r="A33" t="s">
        <v>1326</v>
      </c>
      <c r="B33" s="50" t="s">
        <v>126</v>
      </c>
      <c r="C33" s="179">
        <f>'Yearly Butadiene'!AJ25/'Yearly Butadiene'!AJ18</f>
        <v>1</v>
      </c>
      <c r="D33" s="179">
        <f>'Yearly Butadiene'!AK25/'Yearly Butadiene'!AK18</f>
        <v>0.98594424999999997</v>
      </c>
      <c r="E33" s="179">
        <f>'Yearly Butadiene'!AL25/'Yearly Butadiene'!AL18</f>
        <v>0.97188850000000016</v>
      </c>
      <c r="F33" s="179">
        <f>'Yearly Butadiene'!AM25/'Yearly Butadiene'!AM18</f>
        <v>0.9578327499999999</v>
      </c>
      <c r="G33" s="179">
        <f>'Yearly Butadiene'!AN25/'Yearly Butadiene'!AN18</f>
        <v>0.94377699999999998</v>
      </c>
      <c r="H33" s="179">
        <f>'Yearly Butadiene'!AO25/'Yearly Butadiene'!AO18</f>
        <v>0.92972124999999994</v>
      </c>
      <c r="I33" s="179">
        <f>'Yearly Butadiene'!AP25/'Yearly Butadiene'!AP18</f>
        <v>0.91566550000000002</v>
      </c>
      <c r="J33" s="179">
        <f>'Yearly Butadiene'!AQ25/'Yearly Butadiene'!AQ18</f>
        <v>0.90160974999999988</v>
      </c>
      <c r="K33" s="179">
        <f>'Yearly Butadiene'!AR25/'Yearly Butadiene'!AR18</f>
        <v>0.88755400000000007</v>
      </c>
      <c r="L33" s="179">
        <f>'Yearly Butadiene'!AS25/'Yearly Butadiene'!AS18</f>
        <v>0.87349825000000003</v>
      </c>
      <c r="M33" s="179">
        <f>'Yearly Butadiene'!AT25/'Yearly Butadiene'!AT18</f>
        <v>0.8594425</v>
      </c>
      <c r="N33" s="179">
        <f>'Yearly Butadiene'!AU25/'Yearly Butadiene'!AU18</f>
        <v>0.8390470000000001</v>
      </c>
      <c r="O33" s="179">
        <f>'Yearly Butadiene'!AV25/'Yearly Butadiene'!AV18</f>
        <v>0.82222050000000002</v>
      </c>
      <c r="P33" s="179">
        <f>'Yearly Butadiene'!AW25/'Yearly Butadiene'!AW18</f>
        <v>0.80239603999999998</v>
      </c>
      <c r="Q33" s="179">
        <f>'Yearly Butadiene'!AX25/'Yearly Butadiene'!AX18</f>
        <v>0.78257157999999993</v>
      </c>
      <c r="R33" s="179">
        <f>'Yearly Butadiene'!AY25/'Yearly Butadiene'!AY18</f>
        <v>0.76274712</v>
      </c>
      <c r="S33" s="179">
        <f>'Yearly Butadiene'!AZ25/'Yearly Butadiene'!AZ18</f>
        <v>0.74292265999999996</v>
      </c>
      <c r="T33" s="179">
        <f>'Yearly Butadiene'!BA25/'Yearly Butadiene'!BA18</f>
        <v>0.72309820000000002</v>
      </c>
      <c r="U33" s="179">
        <f>'Yearly Butadiene'!BB25/'Yearly Butadiene'!BB18</f>
        <v>0.70327373999999998</v>
      </c>
      <c r="V33" s="179">
        <f>'Yearly Butadiene'!BC25/'Yearly Butadiene'!BC18</f>
        <v>0.68344927999999994</v>
      </c>
      <c r="W33" s="179">
        <f>'Yearly Butadiene'!BD25/'Yearly Butadiene'!BD18</f>
        <v>0.66362482</v>
      </c>
      <c r="X33" s="179">
        <f>'Yearly Butadiene'!BE25/'Yearly Butadiene'!BE18</f>
        <v>0.64897958999999994</v>
      </c>
      <c r="Y33" s="179">
        <f>'Yearly Butadiene'!BF25/'Yearly Butadiene'!BF18</f>
        <v>0.63459407999999995</v>
      </c>
      <c r="Z33" s="179">
        <f>'Yearly Butadiene'!BG25/'Yearly Butadiene'!BG18</f>
        <v>0.62020856999999996</v>
      </c>
      <c r="AA33" s="179">
        <f>'Yearly Butadiene'!BH25/'Yearly Butadiene'!BH18</f>
        <v>0.60582305999999997</v>
      </c>
      <c r="AB33" s="179">
        <f>'Yearly Butadiene'!BI25/'Yearly Butadiene'!BI18</f>
        <v>0.59143754999999998</v>
      </c>
      <c r="AC33" s="179">
        <f>'Yearly Butadiene'!BJ25/'Yearly Butadiene'!BJ18</f>
        <v>0.57705203999999999</v>
      </c>
      <c r="AD33" s="179">
        <f>'Yearly Butadiene'!BK25/'Yearly Butadiene'!BK18</f>
        <v>0.56266653000000011</v>
      </c>
      <c r="AE33" s="179">
        <f>'Yearly Butadiene'!BL25/'Yearly Butadiene'!BL18</f>
        <v>0.54828102000000001</v>
      </c>
      <c r="AF33" s="179">
        <f>'Yearly Butadiene'!BM25/'Yearly Butadiene'!BM18</f>
        <v>0.53389550999999991</v>
      </c>
      <c r="AG33" s="179">
        <f>'Yearly Butadiene'!BN25/'Yearly Butadiene'!BN18</f>
        <v>0.51950999999999992</v>
      </c>
      <c r="AL33" s="100"/>
      <c r="AM33" s="181"/>
      <c r="AN33" s="181"/>
      <c r="AO33" s="181"/>
      <c r="BC33" s="1"/>
      <c r="BD33" s="477"/>
      <c r="BE33" s="477"/>
      <c r="BF33" s="477"/>
      <c r="BG33" s="477"/>
      <c r="BH33" s="477"/>
      <c r="BI33" s="477"/>
      <c r="BJ33" s="477"/>
      <c r="BK33" s="477"/>
    </row>
    <row r="34" spans="1:64" outlineLevel="1">
      <c r="A34" t="s">
        <v>1327</v>
      </c>
      <c r="B34" s="50" t="s">
        <v>126</v>
      </c>
      <c r="C34" s="179">
        <f>'Yearly Butadiene'!AJ17/'Yearly Butadiene'!AJ10</f>
        <v>1</v>
      </c>
      <c r="D34" s="179">
        <f>'Yearly Butadiene'!AK17/'Yearly Butadiene'!AK10</f>
        <v>0.99730000000000008</v>
      </c>
      <c r="E34" s="179">
        <f>'Yearly Butadiene'!AL17/'Yearly Butadiene'!AL10</f>
        <v>0.99459999999999993</v>
      </c>
      <c r="F34" s="179">
        <f>'Yearly Butadiene'!AM17/'Yearly Butadiene'!AM10</f>
        <v>0.9919</v>
      </c>
      <c r="G34" s="179">
        <f>'Yearly Butadiene'!AN17/'Yearly Butadiene'!AN10</f>
        <v>0.98919999999999997</v>
      </c>
      <c r="H34" s="179">
        <f>'Yearly Butadiene'!AO17/'Yearly Butadiene'!AO10</f>
        <v>0.98649999999999993</v>
      </c>
      <c r="I34" s="179">
        <f>'Yearly Butadiene'!AP17/'Yearly Butadiene'!AP10</f>
        <v>0.9837999999999999</v>
      </c>
      <c r="J34" s="179">
        <f>'Yearly Butadiene'!AQ17/'Yearly Butadiene'!AQ10</f>
        <v>0.98109999999999997</v>
      </c>
      <c r="K34" s="179">
        <f>'Yearly Butadiene'!AR17/'Yearly Butadiene'!AR10</f>
        <v>0.97839999999999994</v>
      </c>
      <c r="L34" s="179">
        <f>'Yearly Butadiene'!AS17/'Yearly Butadiene'!AS10</f>
        <v>0.97570000000000001</v>
      </c>
      <c r="M34" s="179">
        <f>'Yearly Butadiene'!AT17/'Yearly Butadiene'!AT10</f>
        <v>0.97299999999999998</v>
      </c>
      <c r="N34" s="179">
        <f>'Yearly Butadiene'!AU17/'Yearly Butadiene'!AU10</f>
        <v>0.96489999999999998</v>
      </c>
      <c r="O34" s="179">
        <f>'Yearly Butadiene'!AV17/'Yearly Butadiene'!AV10</f>
        <v>0.95679999999999998</v>
      </c>
      <c r="P34" s="179">
        <f>'Yearly Butadiene'!AW17/'Yearly Butadiene'!AW10</f>
        <v>0.94869999999999999</v>
      </c>
      <c r="Q34" s="179">
        <f>'Yearly Butadiene'!AX17/'Yearly Butadiene'!AX10</f>
        <v>0.94059999999999999</v>
      </c>
      <c r="R34" s="179">
        <f>'Yearly Butadiene'!AY17/'Yearly Butadiene'!AY10</f>
        <v>0.93249999999999988</v>
      </c>
      <c r="S34" s="179">
        <f>'Yearly Butadiene'!AZ17/'Yearly Butadiene'!AZ10</f>
        <v>0.9244</v>
      </c>
      <c r="T34" s="179">
        <f>'Yearly Butadiene'!BA17/'Yearly Butadiene'!BA10</f>
        <v>0.9163</v>
      </c>
      <c r="U34" s="179">
        <f>'Yearly Butadiene'!BB17/'Yearly Butadiene'!BB10</f>
        <v>0.9081999999999999</v>
      </c>
      <c r="V34" s="179">
        <f>'Yearly Butadiene'!BC17/'Yearly Butadiene'!BC10</f>
        <v>0.90010000000000001</v>
      </c>
      <c r="W34" s="179">
        <f>'Yearly Butadiene'!BD17/'Yearly Butadiene'!BD10</f>
        <v>0.89200000000000002</v>
      </c>
      <c r="X34" s="179">
        <f>'Yearly Butadiene'!BE17/'Yearly Butadiene'!BE10</f>
        <v>0.87580000000000002</v>
      </c>
      <c r="Y34" s="179">
        <f>'Yearly Butadiene'!BF17/'Yearly Butadiene'!BF10</f>
        <v>0.85959999999999992</v>
      </c>
      <c r="Z34" s="179">
        <f>'Yearly Butadiene'!BG17/'Yearly Butadiene'!BG10</f>
        <v>0.84339999999999993</v>
      </c>
      <c r="AA34" s="179">
        <f>'Yearly Butadiene'!BH17/'Yearly Butadiene'!BH10</f>
        <v>0.82720000000000005</v>
      </c>
      <c r="AB34" s="179">
        <f>'Yearly Butadiene'!BI17/'Yearly Butadiene'!BI10</f>
        <v>0.81100000000000005</v>
      </c>
      <c r="AC34" s="179">
        <f>'Yearly Butadiene'!BJ17/'Yearly Butadiene'!BJ10</f>
        <v>0.79479999999999995</v>
      </c>
      <c r="AD34" s="179">
        <f>'Yearly Butadiene'!BK17/'Yearly Butadiene'!BK10</f>
        <v>0.77859999999999996</v>
      </c>
      <c r="AE34" s="179">
        <f>'Yearly Butadiene'!BL17/'Yearly Butadiene'!BL10</f>
        <v>0.76239999999999997</v>
      </c>
      <c r="AF34" s="179">
        <f>'Yearly Butadiene'!BM17/'Yearly Butadiene'!BM10</f>
        <v>0.74619999999999997</v>
      </c>
      <c r="AG34" s="179">
        <f>'Yearly Butadiene'!BN17/'Yearly Butadiene'!BN10</f>
        <v>0.72999999999999987</v>
      </c>
      <c r="AL34" s="100"/>
      <c r="AM34" s="181"/>
      <c r="AN34" s="181"/>
      <c r="AO34" s="181"/>
      <c r="BL34" s="1"/>
    </row>
    <row r="35" spans="1:64" outlineLevel="1">
      <c r="A35" t="s">
        <v>1328</v>
      </c>
      <c r="B35" s="50" t="s">
        <v>126</v>
      </c>
      <c r="C35" s="179">
        <f>'Yearly Butadiene'!AJ29/'Yearly Butadiene'!AJ26</f>
        <v>1</v>
      </c>
      <c r="D35" s="179">
        <f>'Yearly Butadiene'!AK29/'Yearly Butadiene'!AK26</f>
        <v>0.99274000000000007</v>
      </c>
      <c r="E35" s="179">
        <f>'Yearly Butadiene'!AL29/'Yearly Butadiene'!AL26</f>
        <v>0.98547999999999991</v>
      </c>
      <c r="F35" s="179">
        <f>'Yearly Butadiene'!AM29/'Yearly Butadiene'!AM26</f>
        <v>0.97821999999999998</v>
      </c>
      <c r="G35" s="179">
        <f>'Yearly Butadiene'!AN29/'Yearly Butadiene'!AN26</f>
        <v>0.97096000000000005</v>
      </c>
      <c r="H35" s="179">
        <f>'Yearly Butadiene'!AO29/'Yearly Butadiene'!AO26</f>
        <v>0.9637</v>
      </c>
      <c r="I35" s="179">
        <f>'Yearly Butadiene'!AP29/'Yearly Butadiene'!AP26</f>
        <v>0.95644000000000007</v>
      </c>
      <c r="J35" s="179">
        <f>'Yearly Butadiene'!AQ29/'Yearly Butadiene'!AQ26</f>
        <v>0.94918000000000002</v>
      </c>
      <c r="K35" s="179">
        <f>'Yearly Butadiene'!AR29/'Yearly Butadiene'!AR26</f>
        <v>0.94191999999999998</v>
      </c>
      <c r="L35" s="179">
        <f>'Yearly Butadiene'!AS29/'Yearly Butadiene'!AS26</f>
        <v>0.93466000000000005</v>
      </c>
      <c r="M35" s="179">
        <f>'Yearly Butadiene'!AT29/'Yearly Butadiene'!AT26</f>
        <v>0.9274</v>
      </c>
      <c r="N35" s="179">
        <f>'Yearly Butadiene'!AU29/'Yearly Butadiene'!AU26</f>
        <v>0.92013999999999996</v>
      </c>
      <c r="O35" s="179">
        <f>'Yearly Butadiene'!AV29/'Yearly Butadiene'!AV26</f>
        <v>0.91288000000000002</v>
      </c>
      <c r="P35" s="179">
        <f>'Yearly Butadiene'!AW29/'Yearly Butadiene'!AW26</f>
        <v>0.90561999999999998</v>
      </c>
      <c r="Q35" s="179">
        <f>'Yearly Butadiene'!AX29/'Yearly Butadiene'!AX26</f>
        <v>0.89835999999999994</v>
      </c>
      <c r="R35" s="179">
        <f>'Yearly Butadiene'!AY29/'Yearly Butadiene'!AY26</f>
        <v>0.8911</v>
      </c>
      <c r="S35" s="179">
        <f>'Yearly Butadiene'!AZ29/'Yearly Butadiene'!AZ26</f>
        <v>0.88383999999999996</v>
      </c>
      <c r="T35" s="179">
        <f>'Yearly Butadiene'!BA29/'Yearly Butadiene'!BA26</f>
        <v>0.87657999999999991</v>
      </c>
      <c r="U35" s="179">
        <f>'Yearly Butadiene'!BB29/'Yearly Butadiene'!BB26</f>
        <v>0.86931999999999998</v>
      </c>
      <c r="V35" s="179">
        <f>'Yearly Butadiene'!BC29/'Yearly Butadiene'!BC26</f>
        <v>0.86206000000000005</v>
      </c>
      <c r="W35" s="179">
        <f>'Yearly Butadiene'!BD29/'Yearly Butadiene'!BD26</f>
        <v>0.8548</v>
      </c>
      <c r="X35" s="179">
        <f>'Yearly Butadiene'!BE29/'Yearly Butadiene'!BE26</f>
        <v>0.84731999999999996</v>
      </c>
      <c r="Y35" s="179">
        <f>'Yearly Butadiene'!BF29/'Yearly Butadiene'!BF26</f>
        <v>0.83983999999999992</v>
      </c>
      <c r="Z35" s="179">
        <f>'Yearly Butadiene'!BG29/'Yearly Butadiene'!BG26</f>
        <v>0.8323600000000001</v>
      </c>
      <c r="AA35" s="179">
        <f>'Yearly Butadiene'!BH29/'Yearly Butadiene'!BH26</f>
        <v>0.82487999999999995</v>
      </c>
      <c r="AB35" s="179">
        <f>'Yearly Butadiene'!BI29/'Yearly Butadiene'!BI26</f>
        <v>0.81740000000000002</v>
      </c>
      <c r="AC35" s="179">
        <f>'Yearly Butadiene'!BJ29/'Yearly Butadiene'!BJ26</f>
        <v>0.80991999999999997</v>
      </c>
      <c r="AD35" s="179">
        <f>'Yearly Butadiene'!BK29/'Yearly Butadiene'!BK26</f>
        <v>0.80243999999999993</v>
      </c>
      <c r="AE35" s="179">
        <f>'Yearly Butadiene'!BL29/'Yearly Butadiene'!BL26</f>
        <v>0.79496000000000011</v>
      </c>
      <c r="AF35" s="179">
        <f>'Yearly Butadiene'!BM29/'Yearly Butadiene'!BM26</f>
        <v>0.78747999999999996</v>
      </c>
      <c r="AG35" s="179">
        <f>'Yearly Butadiene'!BN29/'Yearly Butadiene'!BN26</f>
        <v>0.78</v>
      </c>
      <c r="AL35" s="100"/>
      <c r="AM35" s="181"/>
      <c r="AN35" s="181"/>
      <c r="AO35" s="181"/>
      <c r="BD35" s="37"/>
      <c r="BE35" s="37"/>
      <c r="BF35" s="37"/>
      <c r="BG35" s="37"/>
      <c r="BH35" s="37"/>
      <c r="BI35" s="37"/>
      <c r="BJ35" s="37"/>
      <c r="BK35" s="37"/>
      <c r="BL35" s="110"/>
    </row>
    <row r="36" spans="1:64" outlineLevel="1">
      <c r="A36" t="s">
        <v>1329</v>
      </c>
      <c r="B36" s="50" t="s">
        <v>126</v>
      </c>
      <c r="C36" s="179">
        <f>'Yearly Butadiene'!AJ35/'Yearly Butadiene'!AJ30</f>
        <v>1</v>
      </c>
      <c r="D36" s="179">
        <f>'Yearly Butadiene'!AK35/'Yearly Butadiene'!AK30</f>
        <v>0.98455000000000004</v>
      </c>
      <c r="E36" s="179">
        <f>'Yearly Butadiene'!AL35/'Yearly Butadiene'!AL30</f>
        <v>0.96909999999999996</v>
      </c>
      <c r="F36" s="179">
        <f>'Yearly Butadiene'!AM35/'Yearly Butadiene'!AM30</f>
        <v>0.95364999999999989</v>
      </c>
      <c r="G36" s="179">
        <f>'Yearly Butadiene'!AN35/'Yearly Butadiene'!AN30</f>
        <v>0.93819999999999992</v>
      </c>
      <c r="H36" s="179">
        <f>'Yearly Butadiene'!AO35/'Yearly Butadiene'!AO30</f>
        <v>0.92274999999999996</v>
      </c>
      <c r="I36" s="179">
        <f>'Yearly Butadiene'!AP35/'Yearly Butadiene'!AP30</f>
        <v>0.9073</v>
      </c>
      <c r="J36" s="179">
        <f>'Yearly Butadiene'!AQ35/'Yearly Butadiene'!AQ30</f>
        <v>0.89185000000000003</v>
      </c>
      <c r="K36" s="179">
        <f>'Yearly Butadiene'!AR35/'Yearly Butadiene'!AR30</f>
        <v>0.87639999999999996</v>
      </c>
      <c r="L36" s="179">
        <f>'Yearly Butadiene'!AS35/'Yearly Butadiene'!AS30</f>
        <v>0.86094999999999999</v>
      </c>
      <c r="M36" s="179">
        <f>'Yearly Butadiene'!AT35/'Yearly Butadiene'!AT30</f>
        <v>0.84550000000000014</v>
      </c>
      <c r="N36" s="179">
        <f>'Yearly Butadiene'!AU35/'Yearly Butadiene'!AU30</f>
        <v>0.83460000000000001</v>
      </c>
      <c r="O36" s="179">
        <f>'Yearly Butadiene'!AV35/'Yearly Butadiene'!AV30</f>
        <v>0.8237000000000001</v>
      </c>
      <c r="P36" s="179">
        <f>'Yearly Butadiene'!AW35/'Yearly Butadiene'!AW30</f>
        <v>0.81280000000000008</v>
      </c>
      <c r="Q36" s="179">
        <f>'Yearly Butadiene'!AX35/'Yearly Butadiene'!AX30</f>
        <v>0.80190000000000006</v>
      </c>
      <c r="R36" s="179">
        <f>'Yearly Butadiene'!AY35/'Yearly Butadiene'!AY30</f>
        <v>0.79100000000000004</v>
      </c>
      <c r="S36" s="179">
        <f>'Yearly Butadiene'!AZ35/'Yearly Butadiene'!AZ30</f>
        <v>0.78010000000000013</v>
      </c>
      <c r="T36" s="179">
        <f>'Yearly Butadiene'!BA35/'Yearly Butadiene'!BA30</f>
        <v>0.76919999999999999</v>
      </c>
      <c r="U36" s="179">
        <f>'Yearly Butadiene'!BB35/'Yearly Butadiene'!BB30</f>
        <v>0.75829999999999986</v>
      </c>
      <c r="V36" s="179">
        <f>'Yearly Butadiene'!BC35/'Yearly Butadiene'!BC30</f>
        <v>0.74739999999999995</v>
      </c>
      <c r="W36" s="179">
        <f>'Yearly Butadiene'!BD35/'Yearly Butadiene'!BD30</f>
        <v>0.73650000000000004</v>
      </c>
      <c r="X36" s="179">
        <f>'Yearly Butadiene'!BE35/'Yearly Butadiene'!BE30</f>
        <v>0.72335000000000005</v>
      </c>
      <c r="Y36" s="179">
        <f>'Yearly Butadiene'!BF35/'Yearly Butadiene'!BF30</f>
        <v>0.71020000000000005</v>
      </c>
      <c r="Z36" s="179">
        <f>'Yearly Butadiene'!BG35/'Yearly Butadiene'!BG30</f>
        <v>0.69704999999999995</v>
      </c>
      <c r="AA36" s="179">
        <f>'Yearly Butadiene'!BH35/'Yearly Butadiene'!BH30</f>
        <v>0.68390000000000006</v>
      </c>
      <c r="AB36" s="179">
        <f>'Yearly Butadiene'!BI35/'Yearly Butadiene'!BI30</f>
        <v>0.67074999999999996</v>
      </c>
      <c r="AC36" s="179">
        <f>'Yearly Butadiene'!BJ35/'Yearly Butadiene'!BJ30</f>
        <v>0.65759999999999996</v>
      </c>
      <c r="AD36" s="179">
        <f>'Yearly Butadiene'!BK35/'Yearly Butadiene'!BK30</f>
        <v>0.64445000000000008</v>
      </c>
      <c r="AE36" s="179">
        <f>'Yearly Butadiene'!BL35/'Yearly Butadiene'!BL30</f>
        <v>0.63129999999999997</v>
      </c>
      <c r="AF36" s="179">
        <f>'Yearly Butadiene'!BM35/'Yearly Butadiene'!BM30</f>
        <v>0.61814999999999998</v>
      </c>
      <c r="AG36" s="179">
        <f>'Yearly Butadiene'!BN35/'Yearly Butadiene'!BN30</f>
        <v>0.60499999999999998</v>
      </c>
      <c r="AL36" s="100"/>
      <c r="AM36" s="181"/>
      <c r="AN36" s="181"/>
      <c r="AO36" s="181"/>
      <c r="BD36" s="37"/>
      <c r="BE36" s="37"/>
      <c r="BF36" s="37"/>
      <c r="BG36" s="37"/>
      <c r="BH36" s="37"/>
      <c r="BI36" s="37"/>
      <c r="BJ36" s="37"/>
      <c r="BK36" s="37"/>
      <c r="BL36" s="110"/>
    </row>
    <row r="37" spans="1:64" outlineLevel="1">
      <c r="A37" t="s">
        <v>1330</v>
      </c>
      <c r="B37" s="156" t="s">
        <v>126</v>
      </c>
      <c r="C37" s="139">
        <f>'Yearly Butadiene'!AJ39/'Yearly Butadiene'!AJ36</f>
        <v>1</v>
      </c>
      <c r="D37" s="139">
        <f>'Yearly Butadiene'!AK39/'Yearly Butadiene'!AK36</f>
        <v>0.99670000000000014</v>
      </c>
      <c r="E37" s="139">
        <f>'Yearly Butadiene'!AL39/'Yearly Butadiene'!AL36</f>
        <v>0.99339999999999995</v>
      </c>
      <c r="F37" s="139">
        <f>'Yearly Butadiene'!AM39/'Yearly Butadiene'!AM36</f>
        <v>0.99010000000000009</v>
      </c>
      <c r="G37" s="139">
        <f>'Yearly Butadiene'!AN39/'Yearly Butadiene'!AN36</f>
        <v>0.98680000000000001</v>
      </c>
      <c r="H37" s="139">
        <f>'Yearly Butadiene'!AO39/'Yearly Butadiene'!AO36</f>
        <v>0.98349999999999993</v>
      </c>
      <c r="I37" s="139">
        <f>'Yearly Butadiene'!AP39/'Yearly Butadiene'!AP36</f>
        <v>0.98020000000000007</v>
      </c>
      <c r="J37" s="139">
        <f>'Yearly Butadiene'!AQ39/'Yearly Butadiene'!AQ36</f>
        <v>0.97689999999999977</v>
      </c>
      <c r="K37" s="139">
        <f>'Yearly Butadiene'!AR39/'Yearly Butadiene'!AR36</f>
        <v>0.97359999999999991</v>
      </c>
      <c r="L37" s="139">
        <f>'Yearly Butadiene'!AS39/'Yearly Butadiene'!AS36</f>
        <v>0.97030000000000005</v>
      </c>
      <c r="M37" s="139">
        <f>'Yearly Butadiene'!AT39/'Yearly Butadiene'!AT36</f>
        <v>0.96700000000000008</v>
      </c>
      <c r="N37" s="139">
        <f>'Yearly Butadiene'!AU39/'Yearly Butadiene'!AU36</f>
        <v>0.96369999999999978</v>
      </c>
      <c r="O37" s="139">
        <f>'Yearly Butadiene'!AV39/'Yearly Butadiene'!AV36</f>
        <v>0.96040000000000003</v>
      </c>
      <c r="P37" s="139">
        <f>'Yearly Butadiene'!AW39/'Yearly Butadiene'!AW36</f>
        <v>0.95710000000000006</v>
      </c>
      <c r="Q37" s="139">
        <f>'Yearly Butadiene'!AX39/'Yearly Butadiene'!AX36</f>
        <v>0.95379999999999998</v>
      </c>
      <c r="R37" s="139">
        <f>'Yearly Butadiene'!AY39/'Yearly Butadiene'!AY36</f>
        <v>0.95050000000000001</v>
      </c>
      <c r="S37" s="139">
        <f>'Yearly Butadiene'!AZ39/'Yearly Butadiene'!AZ36</f>
        <v>0.94719999999999993</v>
      </c>
      <c r="T37" s="139">
        <f>'Yearly Butadiene'!BA39/'Yearly Butadiene'!BA36</f>
        <v>0.94389999999999996</v>
      </c>
      <c r="U37" s="139">
        <f>'Yearly Butadiene'!BB39/'Yearly Butadiene'!BB36</f>
        <v>0.94059999999999999</v>
      </c>
      <c r="V37" s="139">
        <f>'Yearly Butadiene'!BC39/'Yearly Butadiene'!BC36</f>
        <v>0.93730000000000002</v>
      </c>
      <c r="W37" s="139">
        <f>'Yearly Butadiene'!BD39/'Yearly Butadiene'!BD36</f>
        <v>0.93399999999999994</v>
      </c>
      <c r="X37" s="139">
        <f>'Yearly Butadiene'!BE39/'Yearly Butadiene'!BE36</f>
        <v>0.93059999999999998</v>
      </c>
      <c r="Y37" s="139">
        <f>'Yearly Butadiene'!BF39/'Yearly Butadiene'!BF36</f>
        <v>0.92719999999999991</v>
      </c>
      <c r="Z37" s="139">
        <f>'Yearly Butadiene'!BG39/'Yearly Butadiene'!BG36</f>
        <v>0.92380000000000007</v>
      </c>
      <c r="AA37" s="139">
        <f>'Yearly Butadiene'!BH39/'Yearly Butadiene'!BH36</f>
        <v>0.92039999999999988</v>
      </c>
      <c r="AB37" s="139">
        <f>'Yearly Butadiene'!BI39/'Yearly Butadiene'!BI36</f>
        <v>0.91700000000000004</v>
      </c>
      <c r="AC37" s="139">
        <f>'Yearly Butadiene'!BJ39/'Yearly Butadiene'!BJ36</f>
        <v>0.91359999999999997</v>
      </c>
      <c r="AD37" s="139">
        <f>'Yearly Butadiene'!BK39/'Yearly Butadiene'!BK36</f>
        <v>0.91020000000000001</v>
      </c>
      <c r="AE37" s="139">
        <f>'Yearly Butadiene'!BL39/'Yearly Butadiene'!BL36</f>
        <v>0.90680000000000005</v>
      </c>
      <c r="AF37" s="139">
        <f>'Yearly Butadiene'!BM39/'Yearly Butadiene'!BM36</f>
        <v>0.90339999999999998</v>
      </c>
      <c r="AG37" s="139">
        <f>'Yearly Butadiene'!BN39/'Yearly Butadiene'!BN36</f>
        <v>0.9</v>
      </c>
      <c r="AI37" s="122"/>
      <c r="AL37" s="100"/>
      <c r="AM37" s="181"/>
      <c r="AN37" s="181"/>
      <c r="AO37" s="181"/>
      <c r="BD37" s="37"/>
      <c r="BE37" s="37"/>
      <c r="BF37" s="37"/>
      <c r="BG37" s="37"/>
      <c r="BH37" s="37"/>
      <c r="BI37" s="37"/>
      <c r="BJ37" s="37"/>
      <c r="BK37" s="37"/>
      <c r="BL37" s="110"/>
    </row>
    <row r="38" spans="1:64" outlineLevel="1">
      <c r="AI38" t="s">
        <v>406</v>
      </c>
      <c r="BD38" s="37"/>
      <c r="BE38" s="37"/>
      <c r="BF38" s="37"/>
      <c r="BG38" s="37"/>
      <c r="BH38" s="37"/>
      <c r="BI38" s="37"/>
      <c r="BJ38" s="37"/>
      <c r="BK38" s="37"/>
      <c r="BL38" s="110"/>
    </row>
    <row r="39" spans="1:64" outlineLevel="1">
      <c r="A39" t="s">
        <v>1331</v>
      </c>
      <c r="B39" s="50" t="s">
        <v>1366</v>
      </c>
      <c r="C39" s="99">
        <f>C24*C33</f>
        <v>34854.231655462187</v>
      </c>
      <c r="D39" s="99">
        <f t="shared" ref="D39:AF39" si="16">D24*D33</f>
        <v>34288.467461080101</v>
      </c>
      <c r="E39" s="99">
        <f t="shared" si="16"/>
        <v>33725.031342124952</v>
      </c>
      <c r="F39" s="99">
        <f t="shared" si="16"/>
        <v>33163.915776982998</v>
      </c>
      <c r="G39" s="99">
        <f t="shared" si="16"/>
        <v>32605.11326590395</v>
      </c>
      <c r="H39" s="99">
        <f t="shared" si="16"/>
        <v>32048.616330941077</v>
      </c>
      <c r="I39" s="99">
        <f t="shared" si="16"/>
        <v>31494.417515891502</v>
      </c>
      <c r="J39" s="99">
        <f t="shared" si="16"/>
        <v>30942.509386236605</v>
      </c>
      <c r="K39" s="99">
        <f t="shared" si="16"/>
        <v>30392.884529082723</v>
      </c>
      <c r="L39" s="99">
        <f t="shared" si="16"/>
        <v>29845.535553101749</v>
      </c>
      <c r="M39" s="99">
        <f t="shared" si="16"/>
        <v>29300.455088472172</v>
      </c>
      <c r="N39" s="99">
        <f t="shared" si="16"/>
        <v>28541.975650817858</v>
      </c>
      <c r="O39" s="99">
        <f t="shared" si="16"/>
        <v>27907.84136282625</v>
      </c>
      <c r="P39" s="99">
        <f t="shared" si="16"/>
        <v>27174.835533244448</v>
      </c>
      <c r="Q39" s="99">
        <f t="shared" si="16"/>
        <v>26444.930028377588</v>
      </c>
      <c r="R39" s="99">
        <f t="shared" si="16"/>
        <v>25718.11473204894</v>
      </c>
      <c r="S39" s="99">
        <f t="shared" si="16"/>
        <v>24994.37955763709</v>
      </c>
      <c r="T39" s="99">
        <f t="shared" si="16"/>
        <v>24273.714447994822</v>
      </c>
      <c r="U39" s="99">
        <f t="shared" si="16"/>
        <v>23556.109375368062</v>
      </c>
      <c r="V39" s="99">
        <f t="shared" si="16"/>
        <v>22841.554341315201</v>
      </c>
      <c r="W39" s="99">
        <f t="shared" si="16"/>
        <v>22130.039376626475</v>
      </c>
      <c r="X39" s="99">
        <f t="shared" si="16"/>
        <v>21593.886159583624</v>
      </c>
      <c r="Y39" s="99">
        <f t="shared" si="16"/>
        <v>21068.615032459209</v>
      </c>
      <c r="Z39" s="99">
        <f t="shared" si="16"/>
        <v>20545.557820600421</v>
      </c>
      <c r="AA39" s="99">
        <f t="shared" si="16"/>
        <v>20024.707309089361</v>
      </c>
      <c r="AB39" s="99">
        <f t="shared" si="16"/>
        <v>19506.056304073791</v>
      </c>
      <c r="AC39" s="99">
        <f t="shared" si="16"/>
        <v>18989.597632709319</v>
      </c>
      <c r="AD39" s="99">
        <f t="shared" si="16"/>
        <v>18475.324143101683</v>
      </c>
      <c r="AE39" s="99">
        <f t="shared" si="16"/>
        <v>17963.228704249192</v>
      </c>
      <c r="AF39" s="99">
        <f t="shared" si="16"/>
        <v>17453.304205985394</v>
      </c>
      <c r="AG39" s="99">
        <f>AG24*AG33</f>
        <v>16945.543558921796</v>
      </c>
      <c r="AI39" s="184" t="s">
        <v>285</v>
      </c>
      <c r="AJ39" s="185" t="s">
        <v>407</v>
      </c>
      <c r="BD39" s="37"/>
      <c r="BE39" s="37"/>
      <c r="BF39" s="37"/>
      <c r="BG39" s="37"/>
      <c r="BH39" s="37"/>
      <c r="BI39" s="37"/>
      <c r="BJ39" s="37"/>
      <c r="BK39" s="37"/>
      <c r="BL39" s="110"/>
    </row>
    <row r="40" spans="1:64" outlineLevel="1">
      <c r="A40" t="s">
        <v>1332</v>
      </c>
      <c r="B40" s="50" t="s">
        <v>1366</v>
      </c>
      <c r="C40" s="99">
        <f>C25*$C$34</f>
        <v>120936.64128423392</v>
      </c>
      <c r="D40" s="99">
        <f t="shared" ref="D40:O40" si="17">D25*$C$34</f>
        <v>120669.66460101155</v>
      </c>
      <c r="E40" s="99">
        <f t="shared" si="17"/>
        <v>120403.27728879062</v>
      </c>
      <c r="F40" s="99">
        <f t="shared" si="17"/>
        <v>120137.47804649056</v>
      </c>
      <c r="G40" s="99">
        <f t="shared" si="17"/>
        <v>119872.265575903</v>
      </c>
      <c r="H40" s="99">
        <f t="shared" si="17"/>
        <v>119607.6385816855</v>
      </c>
      <c r="I40" s="99">
        <f t="shared" si="17"/>
        <v>119343.59577135519</v>
      </c>
      <c r="J40" s="99">
        <f t="shared" si="17"/>
        <v>119080.13585528242</v>
      </c>
      <c r="K40" s="99">
        <f t="shared" si="17"/>
        <v>118817.2575466845</v>
      </c>
      <c r="L40" s="99">
        <f t="shared" si="17"/>
        <v>118554.95956161941</v>
      </c>
      <c r="M40" s="99">
        <f t="shared" si="17"/>
        <v>118293.24061897959</v>
      </c>
      <c r="N40" s="99">
        <f t="shared" si="17"/>
        <v>118032.09944048552</v>
      </c>
      <c r="O40" s="99">
        <f t="shared" si="17"/>
        <v>117771.53475067961</v>
      </c>
      <c r="P40" s="99">
        <f t="shared" ref="P40:AG40" si="18">D34*P25</f>
        <v>117194.26410467233</v>
      </c>
      <c r="Q40" s="99">
        <f t="shared" si="18"/>
        <v>116618.96824872756</v>
      </c>
      <c r="R40" s="99">
        <f t="shared" si="18"/>
        <v>116045.64127711477</v>
      </c>
      <c r="S40" s="99">
        <f t="shared" si="18"/>
        <v>115474.27730055414</v>
      </c>
      <c r="T40" s="99">
        <f t="shared" si="18"/>
        <v>114904.87044617272</v>
      </c>
      <c r="U40" s="99">
        <f t="shared" si="18"/>
        <v>114337.41485746077</v>
      </c>
      <c r="V40" s="99">
        <f t="shared" si="18"/>
        <v>113771.90469422816</v>
      </c>
      <c r="W40" s="99">
        <f t="shared" si="18"/>
        <v>113208.33413256066</v>
      </c>
      <c r="X40" s="99">
        <f t="shared" si="18"/>
        <v>112646.69736477688</v>
      </c>
      <c r="Y40" s="99">
        <f t="shared" si="18"/>
        <v>112086.98859938457</v>
      </c>
      <c r="Z40" s="99">
        <f t="shared" si="18"/>
        <v>110908.50981005402</v>
      </c>
      <c r="AA40" s="99">
        <f t="shared" si="18"/>
        <v>109734.68793768548</v>
      </c>
      <c r="AB40" s="99">
        <f t="shared" si="18"/>
        <v>108565.50816447649</v>
      </c>
      <c r="AC40" s="99">
        <f t="shared" si="18"/>
        <v>107400.95571535239</v>
      </c>
      <c r="AD40" s="99">
        <f t="shared" si="18"/>
        <v>106241.01585784995</v>
      </c>
      <c r="AE40" s="99">
        <f t="shared" si="18"/>
        <v>105085.67390200133</v>
      </c>
      <c r="AF40" s="99">
        <f t="shared" si="18"/>
        <v>103934.91520021801</v>
      </c>
      <c r="AG40" s="99">
        <f t="shared" si="18"/>
        <v>102788.72514717543</v>
      </c>
      <c r="AI40" s="184" t="s">
        <v>286</v>
      </c>
      <c r="AJ40" s="185" t="s">
        <v>407</v>
      </c>
      <c r="BD40" s="37"/>
      <c r="BE40" s="37"/>
      <c r="BF40" s="37"/>
      <c r="BG40" s="37"/>
      <c r="BH40" s="37"/>
      <c r="BI40" s="37"/>
      <c r="BJ40" s="37"/>
      <c r="BK40" s="37"/>
      <c r="BL40" s="110"/>
    </row>
    <row r="41" spans="1:64" outlineLevel="1">
      <c r="A41" t="s">
        <v>1333</v>
      </c>
      <c r="B41" s="50" t="s">
        <v>1366</v>
      </c>
      <c r="C41" s="99">
        <f t="shared" ref="C41:AG41" si="19">C26</f>
        <v>14291.712567558641</v>
      </c>
      <c r="D41" s="99">
        <f t="shared" si="19"/>
        <v>14260.162542865242</v>
      </c>
      <c r="E41" s="99">
        <f t="shared" si="19"/>
        <v>14228.682167211695</v>
      </c>
      <c r="F41" s="99">
        <f t="shared" si="19"/>
        <v>14197.271286842533</v>
      </c>
      <c r="G41" s="99">
        <f t="shared" si="19"/>
        <v>14165.929748341714</v>
      </c>
      <c r="H41" s="99">
        <f t="shared" si="19"/>
        <v>14134.657398631878</v>
      </c>
      <c r="I41" s="99">
        <f t="shared" si="19"/>
        <v>14103.454084973595</v>
      </c>
      <c r="J41" s="99">
        <f t="shared" si="19"/>
        <v>14072.319654964615</v>
      </c>
      <c r="K41" s="99">
        <f t="shared" si="19"/>
        <v>14041.253956539127</v>
      </c>
      <c r="L41" s="99">
        <f t="shared" si="19"/>
        <v>14010.256837967019</v>
      </c>
      <c r="M41" s="99">
        <f t="shared" si="19"/>
        <v>13979.328147853137</v>
      </c>
      <c r="N41" s="99">
        <f t="shared" si="19"/>
        <v>13948.467735136537</v>
      </c>
      <c r="O41" s="99">
        <f t="shared" si="19"/>
        <v>13917.675449089757</v>
      </c>
      <c r="P41" s="99">
        <f t="shared" si="19"/>
        <v>13886.951139318078</v>
      </c>
      <c r="Q41" s="99">
        <f t="shared" si="19"/>
        <v>13856.294655758782</v>
      </c>
      <c r="R41" s="99">
        <f t="shared" si="19"/>
        <v>13825.70584868044</v>
      </c>
      <c r="S41" s="99">
        <f t="shared" si="19"/>
        <v>13795.184568682151</v>
      </c>
      <c r="T41" s="99">
        <f t="shared" si="19"/>
        <v>13764.730666692833</v>
      </c>
      <c r="U41" s="99">
        <f t="shared" si="19"/>
        <v>13734.343993970497</v>
      </c>
      <c r="V41" s="99">
        <f t="shared" si="19"/>
        <v>13704.024402101499</v>
      </c>
      <c r="W41" s="99">
        <f t="shared" si="19"/>
        <v>13673.771742999841</v>
      </c>
      <c r="X41" s="99">
        <f t="shared" si="19"/>
        <v>13643.58586890643</v>
      </c>
      <c r="Y41" s="99">
        <f t="shared" si="19"/>
        <v>13613.466632388365</v>
      </c>
      <c r="Z41" s="99">
        <f t="shared" si="19"/>
        <v>13583.413886338212</v>
      </c>
      <c r="AA41" s="99">
        <f t="shared" si="19"/>
        <v>13553.42748397329</v>
      </c>
      <c r="AB41" s="99">
        <f t="shared" si="19"/>
        <v>13523.507278834953</v>
      </c>
      <c r="AC41" s="99">
        <f t="shared" si="19"/>
        <v>13493.653124787865</v>
      </c>
      <c r="AD41" s="99">
        <f t="shared" si="19"/>
        <v>13463.864876019303</v>
      </c>
      <c r="AE41" s="99">
        <f t="shared" si="19"/>
        <v>13434.142387038437</v>
      </c>
      <c r="AF41" s="99">
        <f t="shared" si="19"/>
        <v>13404.48551267561</v>
      </c>
      <c r="AG41" s="99">
        <f t="shared" si="19"/>
        <v>13374.894108081649</v>
      </c>
      <c r="AI41" s="184" t="s">
        <v>287</v>
      </c>
      <c r="AJ41" s="185" t="s">
        <v>407</v>
      </c>
      <c r="BD41" s="37"/>
      <c r="BE41" s="37"/>
      <c r="BF41" s="37"/>
      <c r="BG41" s="37"/>
      <c r="BH41" s="37"/>
      <c r="BI41" s="37"/>
      <c r="BJ41" s="37"/>
      <c r="BK41" s="37"/>
      <c r="BL41" s="110"/>
    </row>
    <row r="42" spans="1:64" outlineLevel="1">
      <c r="A42" t="s">
        <v>1334</v>
      </c>
      <c r="B42" s="50" t="s">
        <v>1366</v>
      </c>
      <c r="C42" s="222">
        <f t="shared" ref="C42:H42" si="20">C27*$C$36</f>
        <v>0.25910602414137757</v>
      </c>
      <c r="D42" s="222">
        <f t="shared" si="20"/>
        <v>0.25853402820868399</v>
      </c>
      <c r="E42" s="222">
        <f t="shared" si="20"/>
        <v>0.25796329499980436</v>
      </c>
      <c r="F42" s="222">
        <f t="shared" si="20"/>
        <v>0.25739382172718145</v>
      </c>
      <c r="G42" s="222">
        <f t="shared" si="20"/>
        <v>0.25682560560941159</v>
      </c>
      <c r="H42" s="222">
        <f t="shared" si="20"/>
        <v>0.25625864387123143</v>
      </c>
      <c r="I42" s="222">
        <f t="shared" ref="I42:AG43" si="21">I27*D36</f>
        <v>0.25174247791716708</v>
      </c>
      <c r="J42" s="222">
        <f t="shared" si="21"/>
        <v>0.24724500266409316</v>
      </c>
      <c r="K42" s="222">
        <f t="shared" si="21"/>
        <v>0.24276615759879061</v>
      </c>
      <c r="L42" s="222">
        <f t="shared" si="21"/>
        <v>0.23830588238412831</v>
      </c>
      <c r="M42" s="222">
        <f t="shared" si="21"/>
        <v>0.23386411685858052</v>
      </c>
      <c r="N42" s="222">
        <f t="shared" si="21"/>
        <v>0.22944080103574546</v>
      </c>
      <c r="O42" s="222">
        <f t="shared" si="21"/>
        <v>0.22503587510386555</v>
      </c>
      <c r="P42" s="222">
        <f t="shared" si="21"/>
        <v>0.22064927942534848</v>
      </c>
      <c r="Q42" s="222">
        <f t="shared" si="21"/>
        <v>0.21628095453628973</v>
      </c>
      <c r="R42" s="222">
        <f t="shared" si="21"/>
        <v>0.21193084114599658</v>
      </c>
      <c r="S42" s="222">
        <f t="shared" si="21"/>
        <v>0.20873685363765257</v>
      </c>
      <c r="T42" s="222">
        <f t="shared" si="21"/>
        <v>0.20555593524114765</v>
      </c>
      <c r="U42" s="222">
        <f t="shared" si="21"/>
        <v>0.20238804381993328</v>
      </c>
      <c r="V42" s="222">
        <f t="shared" si="21"/>
        <v>0.1992331373598093</v>
      </c>
      <c r="W42" s="222">
        <f t="shared" si="21"/>
        <v>0.19609117396858919</v>
      </c>
      <c r="X42" s="222">
        <f t="shared" si="21"/>
        <v>0.19296211187576573</v>
      </c>
      <c r="Y42" s="222">
        <f t="shared" si="21"/>
        <v>0.18984590943217833</v>
      </c>
      <c r="Z42" s="222">
        <f t="shared" si="21"/>
        <v>0.18674252510968062</v>
      </c>
      <c r="AA42" s="222">
        <f t="shared" si="21"/>
        <v>0.18365191750080914</v>
      </c>
      <c r="AB42" s="222">
        <f t="shared" si="21"/>
        <v>0.180574045318453</v>
      </c>
      <c r="AC42" s="222">
        <f t="shared" si="21"/>
        <v>0.17695843333868846</v>
      </c>
      <c r="AD42" s="222">
        <f t="shared" si="21"/>
        <v>0.17335790481967708</v>
      </c>
      <c r="AE42" s="222">
        <f t="shared" si="21"/>
        <v>0.16977241078595753</v>
      </c>
      <c r="AF42" s="222">
        <f t="shared" si="21"/>
        <v>0.1662019024047951</v>
      </c>
      <c r="AG42" s="222">
        <f t="shared" si="21"/>
        <v>0.16264633098578976</v>
      </c>
      <c r="AI42" s="184" t="s">
        <v>288</v>
      </c>
      <c r="AJ42" s="185" t="s">
        <v>407</v>
      </c>
      <c r="AL42" s="5"/>
      <c r="AM42" s="101"/>
      <c r="AN42" s="101"/>
      <c r="AO42" s="101"/>
      <c r="BC42" s="1"/>
      <c r="BD42" s="110"/>
      <c r="BE42" s="110"/>
      <c r="BF42" s="110"/>
      <c r="BG42" s="110"/>
      <c r="BH42" s="110"/>
      <c r="BI42" s="110"/>
      <c r="BJ42" s="110"/>
      <c r="BK42" s="110"/>
      <c r="BL42" s="110"/>
    </row>
    <row r="43" spans="1:64" outlineLevel="1">
      <c r="A43" s="160" t="s">
        <v>1335</v>
      </c>
      <c r="B43" s="156" t="s">
        <v>1366</v>
      </c>
      <c r="C43" s="99">
        <f t="shared" ref="C43:H43" si="22">C28*$C$37</f>
        <v>299368.4922914381</v>
      </c>
      <c r="D43" s="99">
        <f t="shared" si="22"/>
        <v>298707.61394816241</v>
      </c>
      <c r="E43" s="99">
        <f t="shared" si="22"/>
        <v>298048.19454327156</v>
      </c>
      <c r="F43" s="99">
        <f t="shared" si="22"/>
        <v>297390.23085604992</v>
      </c>
      <c r="G43" s="99">
        <f t="shared" si="22"/>
        <v>296733.71967289184</v>
      </c>
      <c r="H43" s="99">
        <f t="shared" si="22"/>
        <v>296078.6577872858</v>
      </c>
      <c r="I43" s="99">
        <f t="shared" si="21"/>
        <v>294450.13936119992</v>
      </c>
      <c r="J43" s="99">
        <f t="shared" si="21"/>
        <v>292827.36818188295</v>
      </c>
      <c r="K43" s="99">
        <f t="shared" si="21"/>
        <v>291210.32681078051</v>
      </c>
      <c r="L43" s="99">
        <f t="shared" si="21"/>
        <v>289598.9978583231</v>
      </c>
      <c r="M43" s="99">
        <f t="shared" si="21"/>
        <v>287993.36398379545</v>
      </c>
      <c r="N43" s="99">
        <f t="shared" si="21"/>
        <v>286393.40789520525</v>
      </c>
      <c r="O43" s="99">
        <f t="shared" si="21"/>
        <v>284799.11234915239</v>
      </c>
      <c r="P43" s="99">
        <f t="shared" si="21"/>
        <v>283210.46015069925</v>
      </c>
      <c r="Q43" s="99">
        <f t="shared" si="21"/>
        <v>281627.43415324035</v>
      </c>
      <c r="R43" s="99">
        <f t="shared" si="21"/>
        <v>280050.01725837251</v>
      </c>
      <c r="S43" s="99">
        <f t="shared" si="21"/>
        <v>278478.19241576619</v>
      </c>
      <c r="T43" s="99">
        <f t="shared" si="21"/>
        <v>276911.94262303645</v>
      </c>
      <c r="U43" s="99">
        <f t="shared" si="21"/>
        <v>275351.2509256138</v>
      </c>
      <c r="V43" s="99">
        <f t="shared" si="21"/>
        <v>273796.10041661642</v>
      </c>
      <c r="W43" s="99">
        <f t="shared" si="21"/>
        <v>272246.4742367224</v>
      </c>
      <c r="X43" s="99">
        <f t="shared" si="21"/>
        <v>270702.3555740416</v>
      </c>
      <c r="Y43" s="99">
        <f t="shared" si="21"/>
        <v>269163.72766398906</v>
      </c>
      <c r="Z43" s="99">
        <f t="shared" si="21"/>
        <v>267630.57378915732</v>
      </c>
      <c r="AA43" s="99">
        <f t="shared" si="21"/>
        <v>266102.87727919046</v>
      </c>
      <c r="AB43" s="99">
        <f t="shared" si="21"/>
        <v>264580.62151065742</v>
      </c>
      <c r="AC43" s="99">
        <f t="shared" si="21"/>
        <v>263035.52475275146</v>
      </c>
      <c r="AD43" s="99">
        <f t="shared" si="21"/>
        <v>261495.96042457403</v>
      </c>
      <c r="AE43" s="99">
        <f t="shared" si="21"/>
        <v>259961.91162947388</v>
      </c>
      <c r="AF43" s="99">
        <f t="shared" si="21"/>
        <v>258433.36151843905</v>
      </c>
      <c r="AG43" s="99">
        <f t="shared" si="21"/>
        <v>256910.29328996982</v>
      </c>
      <c r="AI43" s="184" t="s">
        <v>288</v>
      </c>
      <c r="AJ43" s="185" t="s">
        <v>407</v>
      </c>
      <c r="AL43" s="100"/>
      <c r="AM43" s="2"/>
      <c r="AN43" s="2"/>
      <c r="AO43" s="2"/>
    </row>
    <row r="44" spans="1:64" s="1" customFormat="1" ht="15.5" thickBot="1">
      <c r="A44" s="174" t="s">
        <v>1336</v>
      </c>
      <c r="B44" s="189" t="s">
        <v>1366</v>
      </c>
      <c r="C44" s="190">
        <f>SUM(C39:C43)</f>
        <v>469451.33690471697</v>
      </c>
      <c r="D44" s="190">
        <f t="shared" ref="D44:AF44" si="23">SUM(D39:D43)</f>
        <v>467926.16708714748</v>
      </c>
      <c r="E44" s="190">
        <f t="shared" si="23"/>
        <v>466405.44330469379</v>
      </c>
      <c r="F44" s="190">
        <f t="shared" si="23"/>
        <v>464889.15336018777</v>
      </c>
      <c r="G44" s="190">
        <f t="shared" si="23"/>
        <v>463377.28508864611</v>
      </c>
      <c r="H44" s="190">
        <f t="shared" si="23"/>
        <v>461869.82635718817</v>
      </c>
      <c r="I44" s="190">
        <f t="shared" si="23"/>
        <v>459391.85847589816</v>
      </c>
      <c r="J44" s="190">
        <f t="shared" si="23"/>
        <v>456922.58032336924</v>
      </c>
      <c r="K44" s="190">
        <f t="shared" si="23"/>
        <v>454461.96560924442</v>
      </c>
      <c r="L44" s="190">
        <f t="shared" si="23"/>
        <v>452009.98811689368</v>
      </c>
      <c r="M44" s="190">
        <f t="shared" si="23"/>
        <v>449566.62170321721</v>
      </c>
      <c r="N44" s="190">
        <f t="shared" si="23"/>
        <v>446916.18016244622</v>
      </c>
      <c r="O44" s="190">
        <f t="shared" si="23"/>
        <v>444396.38894762308</v>
      </c>
      <c r="P44" s="190">
        <f t="shared" si="23"/>
        <v>441466.7315772135</v>
      </c>
      <c r="Q44" s="190">
        <f t="shared" si="23"/>
        <v>438547.84336705878</v>
      </c>
      <c r="R44" s="190">
        <f t="shared" si="23"/>
        <v>435639.6910470578</v>
      </c>
      <c r="S44" s="190">
        <f t="shared" si="23"/>
        <v>432742.24257949321</v>
      </c>
      <c r="T44" s="190">
        <f t="shared" si="23"/>
        <v>429855.46373983205</v>
      </c>
      <c r="U44" s="190">
        <f t="shared" si="23"/>
        <v>426979.32154045691</v>
      </c>
      <c r="V44" s="190">
        <f t="shared" si="23"/>
        <v>424113.78308739862</v>
      </c>
      <c r="W44" s="190">
        <f t="shared" si="23"/>
        <v>421258.81558008335</v>
      </c>
      <c r="X44" s="190">
        <f t="shared" si="23"/>
        <v>418586.71792942041</v>
      </c>
      <c r="Y44" s="190">
        <f t="shared" si="23"/>
        <v>415932.98777413066</v>
      </c>
      <c r="Z44" s="190">
        <f t="shared" si="23"/>
        <v>412668.24204867508</v>
      </c>
      <c r="AA44" s="190">
        <f t="shared" si="23"/>
        <v>409415.88366185606</v>
      </c>
      <c r="AB44" s="190">
        <f t="shared" si="23"/>
        <v>406175.87383208796</v>
      </c>
      <c r="AC44" s="190">
        <f t="shared" si="23"/>
        <v>402919.9081840344</v>
      </c>
      <c r="AD44" s="190">
        <f t="shared" si="23"/>
        <v>399676.33865944983</v>
      </c>
      <c r="AE44" s="190">
        <f t="shared" si="23"/>
        <v>396445.1263951736</v>
      </c>
      <c r="AF44" s="190">
        <f t="shared" si="23"/>
        <v>393226.23263922043</v>
      </c>
      <c r="AG44" s="190">
        <f>SUM(AG39:AG43)</f>
        <v>390019.61875047965</v>
      </c>
      <c r="AJ44" s="142"/>
      <c r="AL44" s="194"/>
      <c r="AM44" s="116"/>
      <c r="AN44" s="116"/>
      <c r="AO44" s="116"/>
    </row>
    <row r="45" spans="1:64" ht="15.5" thickTop="1">
      <c r="B45" s="156"/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L45" s="100"/>
      <c r="AM45" s="2"/>
      <c r="AN45" s="2"/>
      <c r="AO45" s="2"/>
    </row>
    <row r="46" spans="1:64" s="174" customFormat="1" ht="15.5" thickBot="1">
      <c r="A46" s="174" t="s">
        <v>416</v>
      </c>
      <c r="B46" s="189" t="s">
        <v>126</v>
      </c>
      <c r="C46" s="195">
        <f>C49</f>
        <v>0</v>
      </c>
      <c r="D46" s="195">
        <f t="shared" ref="D46:AG46" si="24">D49</f>
        <v>0</v>
      </c>
      <c r="E46" s="195">
        <f t="shared" si="24"/>
        <v>0</v>
      </c>
      <c r="F46" s="195">
        <f t="shared" si="24"/>
        <v>0</v>
      </c>
      <c r="G46" s="195">
        <f t="shared" si="24"/>
        <v>0</v>
      </c>
      <c r="H46" s="195">
        <f t="shared" si="24"/>
        <v>0</v>
      </c>
      <c r="I46" s="195">
        <f t="shared" si="24"/>
        <v>0</v>
      </c>
      <c r="J46" s="195">
        <f t="shared" si="24"/>
        <v>0</v>
      </c>
      <c r="K46" s="195">
        <f t="shared" si="24"/>
        <v>0</v>
      </c>
      <c r="L46" s="195">
        <f t="shared" si="24"/>
        <v>0</v>
      </c>
      <c r="M46" s="195">
        <f t="shared" si="24"/>
        <v>0</v>
      </c>
      <c r="N46" s="195">
        <f t="shared" si="24"/>
        <v>0</v>
      </c>
      <c r="O46" s="195">
        <f t="shared" si="24"/>
        <v>0</v>
      </c>
      <c r="P46" s="195">
        <f t="shared" si="24"/>
        <v>0</v>
      </c>
      <c r="Q46" s="195">
        <f t="shared" si="24"/>
        <v>0</v>
      </c>
      <c r="R46" s="195">
        <f t="shared" si="24"/>
        <v>0</v>
      </c>
      <c r="S46" s="195">
        <f t="shared" si="24"/>
        <v>0</v>
      </c>
      <c r="T46" s="195">
        <f t="shared" si="24"/>
        <v>0</v>
      </c>
      <c r="U46" s="195">
        <f t="shared" si="24"/>
        <v>0</v>
      </c>
      <c r="V46" s="195">
        <f t="shared" si="24"/>
        <v>0</v>
      </c>
      <c r="W46" s="195">
        <f t="shared" si="24"/>
        <v>0</v>
      </c>
      <c r="X46" s="195">
        <f t="shared" si="24"/>
        <v>0</v>
      </c>
      <c r="Y46" s="195">
        <f t="shared" si="24"/>
        <v>0</v>
      </c>
      <c r="Z46" s="195">
        <f t="shared" si="24"/>
        <v>0</v>
      </c>
      <c r="AA46" s="195">
        <f t="shared" si="24"/>
        <v>0</v>
      </c>
      <c r="AB46" s="195">
        <f t="shared" si="24"/>
        <v>0</v>
      </c>
      <c r="AC46" s="195">
        <f t="shared" si="24"/>
        <v>0</v>
      </c>
      <c r="AD46" s="195">
        <f t="shared" si="24"/>
        <v>0</v>
      </c>
      <c r="AE46" s="195">
        <f t="shared" si="24"/>
        <v>0</v>
      </c>
      <c r="AF46" s="195">
        <f t="shared" si="24"/>
        <v>0</v>
      </c>
      <c r="AG46" s="195">
        <f t="shared" si="24"/>
        <v>0</v>
      </c>
      <c r="AJ46" s="204" t="s">
        <v>458</v>
      </c>
      <c r="AL46" s="191"/>
      <c r="AM46" s="192"/>
      <c r="AN46" s="192"/>
      <c r="AO46" s="192"/>
    </row>
    <row r="47" spans="1:64" ht="15.5" outlineLevel="1" thickTop="1">
      <c r="A47" t="s">
        <v>408</v>
      </c>
      <c r="B47" s="50" t="s">
        <v>126</v>
      </c>
      <c r="C47" s="105">
        <v>0</v>
      </c>
      <c r="D47" s="102">
        <f>$C47+($M47-$C47)/10*(D$1-$C$1)</f>
        <v>0</v>
      </c>
      <c r="E47" s="102">
        <f t="shared" ref="E47:L48" si="25">$C47+($M47-$C47)/10*(E$1-$C$1)</f>
        <v>0</v>
      </c>
      <c r="F47" s="102">
        <f t="shared" si="25"/>
        <v>0</v>
      </c>
      <c r="G47" s="102">
        <f t="shared" si="25"/>
        <v>0</v>
      </c>
      <c r="H47" s="102">
        <f t="shared" si="25"/>
        <v>0</v>
      </c>
      <c r="I47" s="102">
        <f t="shared" si="25"/>
        <v>0</v>
      </c>
      <c r="J47" s="102">
        <f t="shared" si="25"/>
        <v>0</v>
      </c>
      <c r="K47" s="102">
        <f t="shared" si="25"/>
        <v>0</v>
      </c>
      <c r="L47" s="102">
        <f t="shared" si="25"/>
        <v>0</v>
      </c>
      <c r="M47" s="105">
        <v>0</v>
      </c>
      <c r="N47" s="102">
        <f>$M47+($W47-$M47)/10*(N$1-$M$1)</f>
        <v>0</v>
      </c>
      <c r="O47" s="102">
        <f t="shared" ref="O47:U48" si="26">$M47+($W47-$M47)/10*(O$1-$M$1)</f>
        <v>0</v>
      </c>
      <c r="P47" s="102">
        <f t="shared" si="26"/>
        <v>0</v>
      </c>
      <c r="Q47" s="102">
        <f t="shared" si="26"/>
        <v>0</v>
      </c>
      <c r="R47" s="102">
        <f t="shared" si="26"/>
        <v>0</v>
      </c>
      <c r="S47" s="102">
        <f t="shared" si="26"/>
        <v>0</v>
      </c>
      <c r="T47" s="102">
        <f t="shared" si="26"/>
        <v>0</v>
      </c>
      <c r="U47" s="102">
        <f t="shared" si="26"/>
        <v>0</v>
      </c>
      <c r="V47" s="102">
        <f>$M47+($W47-$M47)/10*(V$1-$M$1)</f>
        <v>0</v>
      </c>
      <c r="W47" s="105">
        <v>0</v>
      </c>
      <c r="X47" s="102">
        <f>$W47+($AG47-$W47)/10*(X$1-$W$1)</f>
        <v>0</v>
      </c>
      <c r="Y47" s="102">
        <f t="shared" ref="Y47:AF48" si="27">$W47+($AG47-$W47)/10*(Y$1-$W$1)</f>
        <v>0</v>
      </c>
      <c r="Z47" s="102">
        <f t="shared" si="27"/>
        <v>0</v>
      </c>
      <c r="AA47" s="102">
        <f t="shared" si="27"/>
        <v>0</v>
      </c>
      <c r="AB47" s="102">
        <f t="shared" si="27"/>
        <v>0</v>
      </c>
      <c r="AC47" s="102">
        <f t="shared" si="27"/>
        <v>0</v>
      </c>
      <c r="AD47" s="102">
        <f t="shared" si="27"/>
        <v>0</v>
      </c>
      <c r="AE47" s="102">
        <f t="shared" si="27"/>
        <v>0</v>
      </c>
      <c r="AF47" s="102">
        <f t="shared" si="27"/>
        <v>0</v>
      </c>
      <c r="AG47" s="102">
        <v>0</v>
      </c>
      <c r="AI47" s="124"/>
      <c r="AJ47" s="185" t="s">
        <v>469</v>
      </c>
      <c r="AL47" s="100"/>
      <c r="AM47" s="2"/>
      <c r="AN47" s="2"/>
      <c r="AO47" s="2"/>
      <c r="AV47" s="37"/>
    </row>
    <row r="48" spans="1:64" outlineLevel="1">
      <c r="A48" t="s">
        <v>410</v>
      </c>
      <c r="B48" s="50" t="s">
        <v>126</v>
      </c>
      <c r="C48" s="105">
        <v>0</v>
      </c>
      <c r="D48" s="102">
        <f>$C48+($M48-$C48)/10*(D$1-$C$1)</f>
        <v>0</v>
      </c>
      <c r="E48" s="102">
        <f t="shared" si="25"/>
        <v>0</v>
      </c>
      <c r="F48" s="102">
        <f t="shared" si="25"/>
        <v>0</v>
      </c>
      <c r="G48" s="102">
        <f t="shared" si="25"/>
        <v>0</v>
      </c>
      <c r="H48" s="102">
        <f t="shared" si="25"/>
        <v>0</v>
      </c>
      <c r="I48" s="102">
        <f t="shared" si="25"/>
        <v>0</v>
      </c>
      <c r="J48" s="102">
        <f t="shared" si="25"/>
        <v>0</v>
      </c>
      <c r="K48" s="102">
        <f t="shared" si="25"/>
        <v>0</v>
      </c>
      <c r="L48" s="102">
        <f t="shared" si="25"/>
        <v>0</v>
      </c>
      <c r="M48" s="105">
        <v>0</v>
      </c>
      <c r="N48" s="102">
        <f>$M48+($W48-$M48)/10*(N$1-$M$1)</f>
        <v>0</v>
      </c>
      <c r="O48" s="102">
        <f t="shared" si="26"/>
        <v>0</v>
      </c>
      <c r="P48" s="102">
        <f t="shared" si="26"/>
        <v>0</v>
      </c>
      <c r="Q48" s="102">
        <f t="shared" si="26"/>
        <v>0</v>
      </c>
      <c r="R48" s="102">
        <f t="shared" si="26"/>
        <v>0</v>
      </c>
      <c r="S48" s="102">
        <f t="shared" si="26"/>
        <v>0</v>
      </c>
      <c r="T48" s="102">
        <f t="shared" si="26"/>
        <v>0</v>
      </c>
      <c r="U48" s="102">
        <f t="shared" si="26"/>
        <v>0</v>
      </c>
      <c r="V48" s="102">
        <f>$M48+($W48-$M48)/10*(V$1-$M$1)</f>
        <v>0</v>
      </c>
      <c r="W48" s="105">
        <v>0</v>
      </c>
      <c r="X48" s="102">
        <f>$W48+($AG48-$W48)/10*(X$1-$W$1)</f>
        <v>0</v>
      </c>
      <c r="Y48" s="102">
        <f t="shared" si="27"/>
        <v>0</v>
      </c>
      <c r="Z48" s="102">
        <f t="shared" si="27"/>
        <v>0</v>
      </c>
      <c r="AA48" s="102">
        <f t="shared" si="27"/>
        <v>0</v>
      </c>
      <c r="AB48" s="102">
        <f t="shared" si="27"/>
        <v>0</v>
      </c>
      <c r="AC48" s="102">
        <f t="shared" si="27"/>
        <v>0</v>
      </c>
      <c r="AD48" s="102">
        <f t="shared" si="27"/>
        <v>0</v>
      </c>
      <c r="AE48" s="102">
        <f t="shared" si="27"/>
        <v>0</v>
      </c>
      <c r="AF48" s="102">
        <f t="shared" si="27"/>
        <v>0</v>
      </c>
      <c r="AG48" s="102">
        <v>0</v>
      </c>
      <c r="AI48" s="124"/>
      <c r="AJ48" s="185" t="s">
        <v>469</v>
      </c>
      <c r="AL48" s="100"/>
      <c r="AM48" s="2"/>
      <c r="AN48" s="2"/>
      <c r="AO48" s="2"/>
      <c r="AV48" s="37"/>
    </row>
    <row r="49" spans="1:63" outlineLevel="1">
      <c r="A49" t="s">
        <v>409</v>
      </c>
      <c r="B49" s="156" t="s">
        <v>126</v>
      </c>
      <c r="C49" s="102">
        <f>C47+C48</f>
        <v>0</v>
      </c>
      <c r="D49" s="102">
        <f t="shared" ref="D49:AF49" si="28">D47+D48</f>
        <v>0</v>
      </c>
      <c r="E49" s="102">
        <f t="shared" si="28"/>
        <v>0</v>
      </c>
      <c r="F49" s="102">
        <f t="shared" si="28"/>
        <v>0</v>
      </c>
      <c r="G49" s="102">
        <f t="shared" si="28"/>
        <v>0</v>
      </c>
      <c r="H49" s="102">
        <f t="shared" si="28"/>
        <v>0</v>
      </c>
      <c r="I49" s="102">
        <f t="shared" si="28"/>
        <v>0</v>
      </c>
      <c r="J49" s="102">
        <f t="shared" si="28"/>
        <v>0</v>
      </c>
      <c r="K49" s="102">
        <f t="shared" si="28"/>
        <v>0</v>
      </c>
      <c r="L49" s="102">
        <f t="shared" si="28"/>
        <v>0</v>
      </c>
      <c r="M49" s="102">
        <f t="shared" si="28"/>
        <v>0</v>
      </c>
      <c r="N49" s="102">
        <f t="shared" si="28"/>
        <v>0</v>
      </c>
      <c r="O49" s="102">
        <f t="shared" si="28"/>
        <v>0</v>
      </c>
      <c r="P49" s="102">
        <f t="shared" si="28"/>
        <v>0</v>
      </c>
      <c r="Q49" s="102">
        <f t="shared" si="28"/>
        <v>0</v>
      </c>
      <c r="R49" s="102">
        <f t="shared" si="28"/>
        <v>0</v>
      </c>
      <c r="S49" s="102">
        <f t="shared" si="28"/>
        <v>0</v>
      </c>
      <c r="T49" s="102">
        <f t="shared" si="28"/>
        <v>0</v>
      </c>
      <c r="U49" s="102">
        <f t="shared" si="28"/>
        <v>0</v>
      </c>
      <c r="V49" s="102">
        <f t="shared" si="28"/>
        <v>0</v>
      </c>
      <c r="W49" s="102">
        <f t="shared" si="28"/>
        <v>0</v>
      </c>
      <c r="X49" s="102">
        <f t="shared" si="28"/>
        <v>0</v>
      </c>
      <c r="Y49" s="102">
        <f t="shared" si="28"/>
        <v>0</v>
      </c>
      <c r="Z49" s="102">
        <f t="shared" si="28"/>
        <v>0</v>
      </c>
      <c r="AA49" s="102">
        <f t="shared" si="28"/>
        <v>0</v>
      </c>
      <c r="AB49" s="102">
        <f t="shared" si="28"/>
        <v>0</v>
      </c>
      <c r="AC49" s="102">
        <f t="shared" si="28"/>
        <v>0</v>
      </c>
      <c r="AD49" s="102">
        <f t="shared" si="28"/>
        <v>0</v>
      </c>
      <c r="AE49" s="102">
        <f t="shared" si="28"/>
        <v>0</v>
      </c>
      <c r="AF49" s="102">
        <f t="shared" si="28"/>
        <v>0</v>
      </c>
      <c r="AG49" s="102">
        <f>AG47+AG48</f>
        <v>0</v>
      </c>
      <c r="AI49" s="124"/>
      <c r="AJ49" s="185"/>
      <c r="AL49" s="100"/>
      <c r="AM49" s="2"/>
      <c r="AN49" s="2"/>
      <c r="AO49" s="2"/>
    </row>
    <row r="50" spans="1:63" outlineLevel="1">
      <c r="C50" s="105"/>
      <c r="D50" s="102"/>
      <c r="E50" s="102"/>
      <c r="F50" s="102"/>
      <c r="G50" s="102"/>
      <c r="H50" s="102"/>
      <c r="I50" s="102"/>
      <c r="J50" s="102"/>
      <c r="K50" s="102"/>
      <c r="L50" s="102"/>
      <c r="M50" s="105"/>
      <c r="N50" s="102"/>
      <c r="O50" s="102"/>
      <c r="P50" s="102"/>
      <c r="Q50" s="102"/>
      <c r="R50" s="102"/>
      <c r="S50" s="102"/>
      <c r="T50" s="102"/>
      <c r="U50" s="102"/>
      <c r="V50" s="102"/>
      <c r="W50" s="105"/>
      <c r="X50" s="102"/>
      <c r="Y50" s="102"/>
      <c r="Z50" s="102"/>
      <c r="AA50" s="102"/>
      <c r="AB50" s="102"/>
      <c r="AC50" s="102"/>
      <c r="AD50" s="102"/>
      <c r="AE50" s="102"/>
      <c r="AF50" s="102"/>
      <c r="AG50" s="105"/>
      <c r="AI50" s="124"/>
      <c r="AJ50" s="185"/>
      <c r="AL50" s="100"/>
      <c r="AM50" s="2"/>
      <c r="AN50" s="2"/>
      <c r="AO50" s="2"/>
      <c r="AV50" s="37"/>
    </row>
    <row r="51" spans="1:63" outlineLevel="1">
      <c r="A51" t="s">
        <v>423</v>
      </c>
      <c r="B51" s="50" t="s">
        <v>126</v>
      </c>
      <c r="C51" s="102">
        <f>'Ethylene Recycling HC'!C567</f>
        <v>0</v>
      </c>
      <c r="D51" s="102">
        <f>'Ethylene Recycling HC'!D567</f>
        <v>0</v>
      </c>
      <c r="E51" s="102">
        <f>'Ethylene Recycling HC'!E567</f>
        <v>0</v>
      </c>
      <c r="F51" s="102">
        <f>'Ethylene Recycling HC'!F567</f>
        <v>0</v>
      </c>
      <c r="G51" s="102">
        <f>'Ethylene Recycling HC'!G567</f>
        <v>0</v>
      </c>
      <c r="H51" s="102">
        <f>'Ethylene Recycling HC'!H567</f>
        <v>0</v>
      </c>
      <c r="I51" s="102">
        <f>'Ethylene Recycling HC'!I567</f>
        <v>0</v>
      </c>
      <c r="J51" s="102">
        <f>'Ethylene Recycling HC'!J567</f>
        <v>0</v>
      </c>
      <c r="K51" s="102">
        <f>'Ethylene Recycling HC'!K567</f>
        <v>0</v>
      </c>
      <c r="L51" s="102">
        <f>'Ethylene Recycling HC'!L567</f>
        <v>0</v>
      </c>
      <c r="M51" s="102">
        <f>'Ethylene Recycling HC'!M567</f>
        <v>0</v>
      </c>
      <c r="N51" s="102">
        <f>'Ethylene Recycling HC'!N567</f>
        <v>0</v>
      </c>
      <c r="O51" s="102">
        <f>'Ethylene Recycling HC'!O567</f>
        <v>0</v>
      </c>
      <c r="P51" s="102">
        <f>'Ethylene Recycling HC'!P567</f>
        <v>0</v>
      </c>
      <c r="Q51" s="102">
        <f>'Ethylene Recycling HC'!Q567</f>
        <v>0</v>
      </c>
      <c r="R51" s="102">
        <f>'Ethylene Recycling HC'!R567</f>
        <v>0</v>
      </c>
      <c r="S51" s="102">
        <f>'Ethylene Recycling HC'!S567</f>
        <v>0</v>
      </c>
      <c r="T51" s="102">
        <f>'Ethylene Recycling HC'!T567</f>
        <v>0</v>
      </c>
      <c r="U51" s="102">
        <f>'Ethylene Recycling HC'!U567</f>
        <v>0</v>
      </c>
      <c r="V51" s="102">
        <f>'Ethylene Recycling HC'!V567</f>
        <v>0</v>
      </c>
      <c r="W51" s="102">
        <f>'Ethylene Recycling HC'!W567</f>
        <v>0</v>
      </c>
      <c r="X51" s="102">
        <f>'Ethylene Recycling HC'!X567</f>
        <v>0</v>
      </c>
      <c r="Y51" s="102">
        <f>'Ethylene Recycling HC'!Y567</f>
        <v>0</v>
      </c>
      <c r="Z51" s="102">
        <f>'Ethylene Recycling HC'!Z567</f>
        <v>0</v>
      </c>
      <c r="AA51" s="102">
        <f>'Ethylene Recycling HC'!AA567</f>
        <v>0</v>
      </c>
      <c r="AB51" s="102">
        <f>'Ethylene Recycling HC'!AB567</f>
        <v>0</v>
      </c>
      <c r="AC51" s="102">
        <f>'Ethylene Recycling HC'!AC567</f>
        <v>0</v>
      </c>
      <c r="AD51" s="102">
        <f>'Ethylene Recycling HC'!AD567</f>
        <v>0</v>
      </c>
      <c r="AE51" s="102">
        <f>'Ethylene Recycling HC'!AE567</f>
        <v>0</v>
      </c>
      <c r="AF51" s="102">
        <f>'Ethylene Recycling HC'!AF567</f>
        <v>0</v>
      </c>
      <c r="AG51" s="102">
        <f>'Ethylene Recycling HC'!AG567</f>
        <v>0</v>
      </c>
      <c r="AI51" s="124"/>
      <c r="AJ51" s="185" t="s">
        <v>752</v>
      </c>
      <c r="AL51" s="100"/>
      <c r="AM51" s="2"/>
      <c r="AN51" s="2"/>
      <c r="AO51" s="2"/>
      <c r="AV51" s="37"/>
    </row>
    <row r="52" spans="1:63" outlineLevel="1">
      <c r="A52" t="s">
        <v>424</v>
      </c>
      <c r="C52" s="102">
        <v>0</v>
      </c>
      <c r="D52" s="102">
        <v>0</v>
      </c>
      <c r="E52" s="10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2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I52" s="124"/>
      <c r="AJ52" s="185" t="s">
        <v>752</v>
      </c>
      <c r="AL52" s="100"/>
      <c r="AM52" s="2"/>
      <c r="AN52" s="2"/>
      <c r="AO52" s="2"/>
      <c r="AV52" s="37"/>
    </row>
    <row r="53" spans="1:63" outlineLevel="1">
      <c r="A53" t="s">
        <v>751</v>
      </c>
      <c r="B53" s="50" t="s">
        <v>126</v>
      </c>
      <c r="C53" s="102">
        <v>0</v>
      </c>
      <c r="D53" s="102">
        <v>0</v>
      </c>
      <c r="E53" s="102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0</v>
      </c>
      <c r="Q53" s="102">
        <v>0</v>
      </c>
      <c r="R53" s="102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2">
        <v>0</v>
      </c>
      <c r="Y53" s="102">
        <v>0</v>
      </c>
      <c r="Z53" s="102">
        <v>0</v>
      </c>
      <c r="AA53" s="102">
        <v>0</v>
      </c>
      <c r="AB53" s="102">
        <v>0</v>
      </c>
      <c r="AC53" s="102">
        <v>0</v>
      </c>
      <c r="AD53" s="102">
        <v>0</v>
      </c>
      <c r="AE53" s="102">
        <v>0</v>
      </c>
      <c r="AF53" s="102">
        <v>0</v>
      </c>
      <c r="AG53" s="102">
        <v>0</v>
      </c>
      <c r="AI53" s="124"/>
      <c r="AJ53" s="185" t="s">
        <v>752</v>
      </c>
      <c r="AL53" s="100"/>
      <c r="AM53" s="2"/>
      <c r="AN53" s="2"/>
      <c r="AO53" s="2"/>
      <c r="AV53" s="37"/>
    </row>
    <row r="54" spans="1:63" outlineLevel="1">
      <c r="A54" t="s">
        <v>425</v>
      </c>
      <c r="B54" s="50" t="s">
        <v>126</v>
      </c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X54" s="102">
        <v>0</v>
      </c>
      <c r="Y54" s="102">
        <v>0</v>
      </c>
      <c r="Z54" s="102">
        <v>0</v>
      </c>
      <c r="AA54" s="102">
        <v>0</v>
      </c>
      <c r="AB54" s="102">
        <v>0</v>
      </c>
      <c r="AC54" s="102">
        <v>0</v>
      </c>
      <c r="AD54" s="102">
        <v>0</v>
      </c>
      <c r="AE54" s="102">
        <v>0</v>
      </c>
      <c r="AF54" s="102">
        <v>0</v>
      </c>
      <c r="AG54" s="102">
        <v>0</v>
      </c>
      <c r="AI54" s="124"/>
      <c r="AJ54" s="185" t="s">
        <v>752</v>
      </c>
      <c r="AL54" s="100"/>
      <c r="AM54" s="2"/>
      <c r="AN54" s="2"/>
      <c r="AO54" s="2"/>
      <c r="AV54" s="37"/>
    </row>
    <row r="55" spans="1:63" outlineLevel="1">
      <c r="A55" t="s">
        <v>423</v>
      </c>
      <c r="B55" s="50" t="s">
        <v>126</v>
      </c>
      <c r="C55" s="102">
        <v>0</v>
      </c>
      <c r="D55" s="102">
        <v>0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02">
        <v>0</v>
      </c>
      <c r="V55" s="102">
        <v>0</v>
      </c>
      <c r="W55" s="102">
        <v>0</v>
      </c>
      <c r="X55" s="102">
        <v>0</v>
      </c>
      <c r="Y55" s="102">
        <v>0</v>
      </c>
      <c r="Z55" s="102">
        <v>0</v>
      </c>
      <c r="AA55" s="102">
        <v>0</v>
      </c>
      <c r="AB55" s="102">
        <v>0</v>
      </c>
      <c r="AC55" s="102">
        <v>0</v>
      </c>
      <c r="AD55" s="102">
        <v>0</v>
      </c>
      <c r="AE55" s="102">
        <v>0</v>
      </c>
      <c r="AF55" s="102">
        <v>0</v>
      </c>
      <c r="AG55" s="102">
        <v>0</v>
      </c>
      <c r="AH55" s="224"/>
      <c r="AI55" s="124"/>
      <c r="AJ55" s="185"/>
      <c r="AL55" s="100"/>
      <c r="AM55" s="2"/>
      <c r="AN55" s="2"/>
      <c r="AO55" s="2"/>
    </row>
    <row r="56" spans="1:63" outlineLevel="1">
      <c r="A56" t="s">
        <v>424</v>
      </c>
      <c r="B56" s="50" t="s">
        <v>126</v>
      </c>
      <c r="C56" s="102">
        <v>0</v>
      </c>
      <c r="D56" s="102">
        <v>0</v>
      </c>
      <c r="E56" s="10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02">
        <v>0</v>
      </c>
      <c r="V56" s="102">
        <v>0</v>
      </c>
      <c r="W56" s="102">
        <v>0</v>
      </c>
      <c r="X56" s="102">
        <v>0</v>
      </c>
      <c r="Y56" s="102">
        <v>0</v>
      </c>
      <c r="Z56" s="102">
        <v>0</v>
      </c>
      <c r="AA56" s="102">
        <v>0</v>
      </c>
      <c r="AB56" s="102">
        <v>0</v>
      </c>
      <c r="AC56" s="102">
        <v>0</v>
      </c>
      <c r="AD56" s="102">
        <v>0</v>
      </c>
      <c r="AE56" s="102">
        <v>0</v>
      </c>
      <c r="AF56" s="102">
        <v>0</v>
      </c>
      <c r="AG56" s="102">
        <v>0</v>
      </c>
      <c r="AH56" s="224"/>
      <c r="AJ56" s="185"/>
      <c r="AL56" s="100"/>
      <c r="AM56" s="2"/>
      <c r="AN56" s="2"/>
      <c r="AO56" s="2"/>
      <c r="BC56" s="1"/>
      <c r="BD56" s="2"/>
      <c r="BE56" s="2"/>
      <c r="BF56" s="2"/>
      <c r="BG56" s="2"/>
      <c r="BH56" s="2"/>
      <c r="BI56" s="2"/>
      <c r="BJ56" s="2"/>
      <c r="BK56" s="2"/>
    </row>
    <row r="57" spans="1:63" outlineLevel="1">
      <c r="A57" t="s">
        <v>751</v>
      </c>
      <c r="C57" s="102">
        <v>0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02">
        <v>0</v>
      </c>
      <c r="S57" s="102">
        <v>0</v>
      </c>
      <c r="T57" s="102">
        <v>0</v>
      </c>
      <c r="U57" s="102">
        <v>0</v>
      </c>
      <c r="V57" s="102">
        <v>0</v>
      </c>
      <c r="W57" s="102">
        <v>0</v>
      </c>
      <c r="X57" s="102">
        <v>0</v>
      </c>
      <c r="Y57" s="102">
        <v>0</v>
      </c>
      <c r="Z57" s="102">
        <v>0</v>
      </c>
      <c r="AA57" s="102">
        <v>0</v>
      </c>
      <c r="AB57" s="102">
        <v>0</v>
      </c>
      <c r="AC57" s="102">
        <v>0</v>
      </c>
      <c r="AD57" s="102">
        <v>0</v>
      </c>
      <c r="AE57" s="102">
        <v>0</v>
      </c>
      <c r="AF57" s="102">
        <v>0</v>
      </c>
      <c r="AG57" s="102">
        <v>0</v>
      </c>
      <c r="AH57" s="224"/>
      <c r="AJ57" s="185"/>
      <c r="AL57" s="100"/>
      <c r="AM57" s="2"/>
      <c r="AN57" s="2"/>
      <c r="AO57" s="2"/>
      <c r="BC57" s="1"/>
      <c r="BD57" s="2"/>
      <c r="BE57" s="2"/>
      <c r="BF57" s="2"/>
      <c r="BG57" s="2"/>
      <c r="BH57" s="2"/>
      <c r="BI57" s="2"/>
      <c r="BJ57" s="2"/>
      <c r="BK57" s="2"/>
    </row>
    <row r="58" spans="1:63" outlineLevel="1">
      <c r="A58" t="s">
        <v>425</v>
      </c>
      <c r="B58" s="50" t="s">
        <v>126</v>
      </c>
      <c r="C58" s="102">
        <v>0</v>
      </c>
      <c r="D58" s="102">
        <v>0</v>
      </c>
      <c r="E58" s="102">
        <v>0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02">
        <v>0</v>
      </c>
      <c r="V58" s="102">
        <v>0</v>
      </c>
      <c r="W58" s="102">
        <v>0</v>
      </c>
      <c r="X58" s="102">
        <v>0</v>
      </c>
      <c r="Y58" s="102">
        <v>0</v>
      </c>
      <c r="Z58" s="102">
        <v>0</v>
      </c>
      <c r="AA58" s="102">
        <v>0</v>
      </c>
      <c r="AB58" s="102">
        <v>0</v>
      </c>
      <c r="AC58" s="102">
        <v>0</v>
      </c>
      <c r="AD58" s="102">
        <v>0</v>
      </c>
      <c r="AE58" s="102">
        <v>0</v>
      </c>
      <c r="AF58" s="102">
        <v>0</v>
      </c>
      <c r="AG58" s="102">
        <v>0</v>
      </c>
      <c r="AH58" s="224"/>
      <c r="AI58" s="124"/>
      <c r="AJ58" s="185"/>
      <c r="AL58" s="100"/>
      <c r="AM58" s="2"/>
      <c r="AN58" s="2"/>
      <c r="AO58" s="2"/>
      <c r="BC58" s="1"/>
      <c r="BD58" s="2"/>
      <c r="BE58" s="2"/>
      <c r="BF58" s="2"/>
      <c r="BG58" s="2"/>
      <c r="BH58" s="2"/>
      <c r="BI58" s="2"/>
      <c r="BJ58" s="2"/>
      <c r="BK58" s="2"/>
    </row>
    <row r="59" spans="1:63" outlineLevel="1"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I59" s="124"/>
      <c r="AJ59" s="185"/>
      <c r="AL59" s="100"/>
      <c r="AM59" s="2"/>
      <c r="AN59" s="2"/>
      <c r="AO59" s="2"/>
      <c r="BC59" s="1"/>
      <c r="BD59" s="2"/>
      <c r="BE59" s="2"/>
      <c r="BF59" s="2"/>
      <c r="BG59" s="2"/>
      <c r="BH59" s="2"/>
      <c r="BI59" s="2"/>
      <c r="BJ59" s="2"/>
      <c r="BK59" s="2"/>
    </row>
    <row r="60" spans="1:63" outlineLevel="1">
      <c r="A60" t="s">
        <v>1337</v>
      </c>
      <c r="C60" s="329">
        <f>('Overall recycling rates'!F84*'Yearly BTX'!D5+'Overall recycling rates'!G84*'Yearly BTX'!D6+'Overall recycling rates'!H84*'Yearly BTX'!D7)/'Yearly BTX'!D4</f>
        <v>4.046692996996252</v>
      </c>
      <c r="D60" s="329">
        <f>C60-($C60-$AG60)/($AG$1-$C$1)</f>
        <v>3.948469897096377</v>
      </c>
      <c r="E60" s="329">
        <f t="shared" ref="E60:AF60" si="29">D60-($C60-$AG60)/($AG$1-$C$1)</f>
        <v>3.850246797196502</v>
      </c>
      <c r="F60" s="329">
        <f t="shared" si="29"/>
        <v>3.752023697296627</v>
      </c>
      <c r="G60" s="329">
        <f t="shared" si="29"/>
        <v>3.653800597396752</v>
      </c>
      <c r="H60" s="329">
        <f t="shared" si="29"/>
        <v>3.555577497496877</v>
      </c>
      <c r="I60" s="329">
        <f t="shared" si="29"/>
        <v>3.457354397597002</v>
      </c>
      <c r="J60" s="329">
        <f t="shared" si="29"/>
        <v>3.359131297697127</v>
      </c>
      <c r="K60" s="329">
        <f t="shared" si="29"/>
        <v>3.2609081977972521</v>
      </c>
      <c r="L60" s="329">
        <f t="shared" si="29"/>
        <v>3.1626850978973771</v>
      </c>
      <c r="M60" s="329">
        <f t="shared" si="29"/>
        <v>3.0644619979975021</v>
      </c>
      <c r="N60" s="329">
        <f t="shared" si="29"/>
        <v>2.9662388980976271</v>
      </c>
      <c r="O60" s="329">
        <f t="shared" si="29"/>
        <v>2.8680157981977521</v>
      </c>
      <c r="P60" s="329">
        <f t="shared" si="29"/>
        <v>2.7697926982978771</v>
      </c>
      <c r="Q60" s="329">
        <f t="shared" si="29"/>
        <v>2.6715695983980021</v>
      </c>
      <c r="R60" s="329">
        <f t="shared" si="29"/>
        <v>2.5733464984981271</v>
      </c>
      <c r="S60" s="329">
        <f t="shared" si="29"/>
        <v>2.4751233985982521</v>
      </c>
      <c r="T60" s="329">
        <f t="shared" si="29"/>
        <v>2.3769002986983772</v>
      </c>
      <c r="U60" s="329">
        <f t="shared" si="29"/>
        <v>2.2786771987985022</v>
      </c>
      <c r="V60" s="329">
        <f t="shared" si="29"/>
        <v>2.1804540988986272</v>
      </c>
      <c r="W60" s="329">
        <f t="shared" si="29"/>
        <v>2.0822309989987522</v>
      </c>
      <c r="X60" s="329">
        <f t="shared" si="29"/>
        <v>1.9840078990988772</v>
      </c>
      <c r="Y60" s="329">
        <f t="shared" si="29"/>
        <v>1.8857847991990022</v>
      </c>
      <c r="Z60" s="329">
        <f t="shared" si="29"/>
        <v>1.7875616992991272</v>
      </c>
      <c r="AA60" s="329">
        <f t="shared" si="29"/>
        <v>1.6893385993992522</v>
      </c>
      <c r="AB60" s="329">
        <f t="shared" si="29"/>
        <v>1.5911154994993773</v>
      </c>
      <c r="AC60" s="329">
        <f t="shared" si="29"/>
        <v>1.4928923995995023</v>
      </c>
      <c r="AD60" s="329">
        <f t="shared" si="29"/>
        <v>1.3946692996996273</v>
      </c>
      <c r="AE60" s="329">
        <f t="shared" si="29"/>
        <v>1.2964461997997523</v>
      </c>
      <c r="AF60" s="329">
        <f t="shared" si="29"/>
        <v>1.1982230998998773</v>
      </c>
      <c r="AG60" s="329">
        <f>'Overall recycling rates'!G93</f>
        <v>1.1000000000000001</v>
      </c>
      <c r="AI60" s="124"/>
      <c r="AJ60" s="185"/>
      <c r="AL60" s="100"/>
      <c r="AM60" s="2"/>
      <c r="AN60" s="2"/>
      <c r="AO60" s="2"/>
      <c r="BC60" s="1"/>
      <c r="BD60" s="2"/>
      <c r="BE60" s="2"/>
      <c r="BF60" s="2"/>
      <c r="BG60" s="2"/>
      <c r="BH60" s="2"/>
      <c r="BI60" s="2"/>
      <c r="BJ60" s="2"/>
      <c r="BK60" s="2"/>
    </row>
    <row r="61" spans="1:63" outlineLevel="1">
      <c r="A61" t="s">
        <v>1338</v>
      </c>
      <c r="B61" s="50" t="s">
        <v>126</v>
      </c>
      <c r="C61" s="102">
        <f>C47*C$60</f>
        <v>0</v>
      </c>
      <c r="D61" s="102">
        <f t="shared" ref="D61:AG62" si="30">D47*D$60</f>
        <v>0</v>
      </c>
      <c r="E61" s="102">
        <f t="shared" si="30"/>
        <v>0</v>
      </c>
      <c r="F61" s="102">
        <f t="shared" si="30"/>
        <v>0</v>
      </c>
      <c r="G61" s="102">
        <f t="shared" si="30"/>
        <v>0</v>
      </c>
      <c r="H61" s="102">
        <f t="shared" si="30"/>
        <v>0</v>
      </c>
      <c r="I61" s="102">
        <f t="shared" si="30"/>
        <v>0</v>
      </c>
      <c r="J61" s="102">
        <f t="shared" si="30"/>
        <v>0</v>
      </c>
      <c r="K61" s="102">
        <f t="shared" si="30"/>
        <v>0</v>
      </c>
      <c r="L61" s="102">
        <f t="shared" si="30"/>
        <v>0</v>
      </c>
      <c r="M61" s="102">
        <f>M47*M$60</f>
        <v>0</v>
      </c>
      <c r="N61" s="102">
        <f t="shared" si="30"/>
        <v>0</v>
      </c>
      <c r="O61" s="102">
        <f t="shared" si="30"/>
        <v>0</v>
      </c>
      <c r="P61" s="102">
        <f t="shared" si="30"/>
        <v>0</v>
      </c>
      <c r="Q61" s="102">
        <f t="shared" si="30"/>
        <v>0</v>
      </c>
      <c r="R61" s="102">
        <f t="shared" si="30"/>
        <v>0</v>
      </c>
      <c r="S61" s="102">
        <f t="shared" si="30"/>
        <v>0</v>
      </c>
      <c r="T61" s="102">
        <f t="shared" si="30"/>
        <v>0</v>
      </c>
      <c r="U61" s="102">
        <f t="shared" si="30"/>
        <v>0</v>
      </c>
      <c r="V61" s="102">
        <f t="shared" si="30"/>
        <v>0</v>
      </c>
      <c r="W61" s="102">
        <f t="shared" si="30"/>
        <v>0</v>
      </c>
      <c r="X61" s="102">
        <f t="shared" si="30"/>
        <v>0</v>
      </c>
      <c r="Y61" s="102">
        <f t="shared" si="30"/>
        <v>0</v>
      </c>
      <c r="Z61" s="102">
        <f t="shared" si="30"/>
        <v>0</v>
      </c>
      <c r="AA61" s="102">
        <f t="shared" si="30"/>
        <v>0</v>
      </c>
      <c r="AB61" s="102">
        <f t="shared" si="30"/>
        <v>0</v>
      </c>
      <c r="AC61" s="102">
        <f t="shared" si="30"/>
        <v>0</v>
      </c>
      <c r="AD61" s="102">
        <f t="shared" si="30"/>
        <v>0</v>
      </c>
      <c r="AE61" s="102">
        <f t="shared" si="30"/>
        <v>0</v>
      </c>
      <c r="AF61" s="102">
        <f t="shared" si="30"/>
        <v>0</v>
      </c>
      <c r="AG61" s="102">
        <f t="shared" si="30"/>
        <v>0</v>
      </c>
      <c r="AI61" s="124"/>
      <c r="AJ61" s="185"/>
      <c r="AL61" s="100"/>
      <c r="AM61" s="2"/>
      <c r="AN61" s="2"/>
      <c r="AO61" s="2"/>
      <c r="AV61" s="37"/>
    </row>
    <row r="62" spans="1:63" outlineLevel="1">
      <c r="A62" t="s">
        <v>1339</v>
      </c>
      <c r="B62" s="50" t="s">
        <v>126</v>
      </c>
      <c r="C62" s="102">
        <f>C48*C$60</f>
        <v>0</v>
      </c>
      <c r="D62" s="102">
        <f t="shared" si="30"/>
        <v>0</v>
      </c>
      <c r="E62" s="102">
        <f t="shared" si="30"/>
        <v>0</v>
      </c>
      <c r="F62" s="102">
        <f t="shared" si="30"/>
        <v>0</v>
      </c>
      <c r="G62" s="102">
        <f t="shared" si="30"/>
        <v>0</v>
      </c>
      <c r="H62" s="102">
        <f t="shared" si="30"/>
        <v>0</v>
      </c>
      <c r="I62" s="102">
        <f t="shared" si="30"/>
        <v>0</v>
      </c>
      <c r="J62" s="102">
        <f t="shared" si="30"/>
        <v>0</v>
      </c>
      <c r="K62" s="102">
        <f t="shared" si="30"/>
        <v>0</v>
      </c>
      <c r="L62" s="102">
        <f t="shared" si="30"/>
        <v>0</v>
      </c>
      <c r="M62" s="102">
        <f t="shared" si="30"/>
        <v>0</v>
      </c>
      <c r="N62" s="102">
        <f t="shared" si="30"/>
        <v>0</v>
      </c>
      <c r="O62" s="102">
        <f t="shared" si="30"/>
        <v>0</v>
      </c>
      <c r="P62" s="102">
        <f t="shared" si="30"/>
        <v>0</v>
      </c>
      <c r="Q62" s="102">
        <f t="shared" si="30"/>
        <v>0</v>
      </c>
      <c r="R62" s="102">
        <f t="shared" si="30"/>
        <v>0</v>
      </c>
      <c r="S62" s="102">
        <f t="shared" si="30"/>
        <v>0</v>
      </c>
      <c r="T62" s="102">
        <f t="shared" si="30"/>
        <v>0</v>
      </c>
      <c r="U62" s="102">
        <f t="shared" si="30"/>
        <v>0</v>
      </c>
      <c r="V62" s="102">
        <f t="shared" si="30"/>
        <v>0</v>
      </c>
      <c r="W62" s="102">
        <f t="shared" si="30"/>
        <v>0</v>
      </c>
      <c r="X62" s="102">
        <f t="shared" si="30"/>
        <v>0</v>
      </c>
      <c r="Y62" s="102">
        <f t="shared" si="30"/>
        <v>0</v>
      </c>
      <c r="Z62" s="102">
        <f t="shared" si="30"/>
        <v>0</v>
      </c>
      <c r="AA62" s="102">
        <f t="shared" si="30"/>
        <v>0</v>
      </c>
      <c r="AB62" s="102">
        <f t="shared" si="30"/>
        <v>0</v>
      </c>
      <c r="AC62" s="102">
        <f t="shared" si="30"/>
        <v>0</v>
      </c>
      <c r="AD62" s="102">
        <f t="shared" si="30"/>
        <v>0</v>
      </c>
      <c r="AE62" s="102">
        <f t="shared" si="30"/>
        <v>0</v>
      </c>
      <c r="AF62" s="102">
        <f t="shared" si="30"/>
        <v>0</v>
      </c>
      <c r="AG62" s="102">
        <f t="shared" si="30"/>
        <v>0</v>
      </c>
      <c r="AH62" s="217"/>
      <c r="AI62" s="124"/>
      <c r="AJ62" s="185"/>
      <c r="AL62" s="100"/>
      <c r="AM62" s="2"/>
      <c r="AN62" s="2"/>
      <c r="AO62" s="2"/>
      <c r="AV62" s="37"/>
    </row>
    <row r="63" spans="1:63" outlineLevel="1">
      <c r="A63" t="s">
        <v>1340</v>
      </c>
      <c r="B63" s="156" t="s">
        <v>126</v>
      </c>
      <c r="C63" s="102">
        <f>SUM(C61:C62)</f>
        <v>0</v>
      </c>
      <c r="D63" s="102">
        <f t="shared" ref="D63:AG63" si="31">SUM(D61:D62)</f>
        <v>0</v>
      </c>
      <c r="E63" s="102">
        <f t="shared" si="31"/>
        <v>0</v>
      </c>
      <c r="F63" s="102">
        <f t="shared" si="31"/>
        <v>0</v>
      </c>
      <c r="G63" s="102">
        <f t="shared" si="31"/>
        <v>0</v>
      </c>
      <c r="H63" s="102">
        <f t="shared" si="31"/>
        <v>0</v>
      </c>
      <c r="I63" s="102">
        <f t="shared" si="31"/>
        <v>0</v>
      </c>
      <c r="J63" s="102">
        <f t="shared" si="31"/>
        <v>0</v>
      </c>
      <c r="K63" s="102">
        <f t="shared" si="31"/>
        <v>0</v>
      </c>
      <c r="L63" s="102">
        <f t="shared" si="31"/>
        <v>0</v>
      </c>
      <c r="M63" s="102">
        <f t="shared" si="31"/>
        <v>0</v>
      </c>
      <c r="N63" s="102">
        <f t="shared" si="31"/>
        <v>0</v>
      </c>
      <c r="O63" s="102">
        <f t="shared" si="31"/>
        <v>0</v>
      </c>
      <c r="P63" s="102">
        <f t="shared" si="31"/>
        <v>0</v>
      </c>
      <c r="Q63" s="102">
        <f t="shared" si="31"/>
        <v>0</v>
      </c>
      <c r="R63" s="102">
        <f t="shared" si="31"/>
        <v>0</v>
      </c>
      <c r="S63" s="102">
        <f t="shared" si="31"/>
        <v>0</v>
      </c>
      <c r="T63" s="102">
        <f t="shared" si="31"/>
        <v>0</v>
      </c>
      <c r="U63" s="102">
        <f t="shared" si="31"/>
        <v>0</v>
      </c>
      <c r="V63" s="102">
        <f t="shared" si="31"/>
        <v>0</v>
      </c>
      <c r="W63" s="102">
        <f t="shared" si="31"/>
        <v>0</v>
      </c>
      <c r="X63" s="102">
        <f t="shared" si="31"/>
        <v>0</v>
      </c>
      <c r="Y63" s="102">
        <f t="shared" si="31"/>
        <v>0</v>
      </c>
      <c r="Z63" s="102">
        <f t="shared" si="31"/>
        <v>0</v>
      </c>
      <c r="AA63" s="102">
        <f t="shared" si="31"/>
        <v>0</v>
      </c>
      <c r="AB63" s="102">
        <f t="shared" si="31"/>
        <v>0</v>
      </c>
      <c r="AC63" s="102">
        <f t="shared" si="31"/>
        <v>0</v>
      </c>
      <c r="AD63" s="102">
        <f t="shared" si="31"/>
        <v>0</v>
      </c>
      <c r="AE63" s="102">
        <f t="shared" si="31"/>
        <v>0</v>
      </c>
      <c r="AF63" s="102">
        <f t="shared" si="31"/>
        <v>0</v>
      </c>
      <c r="AG63" s="102">
        <f t="shared" si="31"/>
        <v>0</v>
      </c>
      <c r="AI63" s="124"/>
      <c r="AJ63" s="185"/>
      <c r="AL63" s="100"/>
      <c r="AM63" s="2"/>
      <c r="AN63" s="2"/>
      <c r="AO63" s="2"/>
    </row>
    <row r="64" spans="1:63" outlineLevel="1">
      <c r="A64" t="s">
        <v>1341</v>
      </c>
      <c r="B64" s="50" t="s">
        <v>126</v>
      </c>
      <c r="C64" s="102">
        <f>C$60*C55</f>
        <v>0</v>
      </c>
      <c r="D64" s="102">
        <f t="shared" ref="D64:AG67" si="32">D$60*D55</f>
        <v>0</v>
      </c>
      <c r="E64" s="102">
        <f t="shared" si="32"/>
        <v>0</v>
      </c>
      <c r="F64" s="102">
        <f t="shared" si="32"/>
        <v>0</v>
      </c>
      <c r="G64" s="102">
        <f t="shared" si="32"/>
        <v>0</v>
      </c>
      <c r="H64" s="102">
        <f t="shared" si="32"/>
        <v>0</v>
      </c>
      <c r="I64" s="102">
        <f t="shared" si="32"/>
        <v>0</v>
      </c>
      <c r="J64" s="102">
        <f t="shared" si="32"/>
        <v>0</v>
      </c>
      <c r="K64" s="102">
        <f t="shared" si="32"/>
        <v>0</v>
      </c>
      <c r="L64" s="102">
        <f t="shared" si="32"/>
        <v>0</v>
      </c>
      <c r="M64" s="102">
        <f t="shared" si="32"/>
        <v>0</v>
      </c>
      <c r="N64" s="102">
        <f t="shared" si="32"/>
        <v>0</v>
      </c>
      <c r="O64" s="102">
        <f t="shared" si="32"/>
        <v>0</v>
      </c>
      <c r="P64" s="102">
        <f t="shared" si="32"/>
        <v>0</v>
      </c>
      <c r="Q64" s="102">
        <f t="shared" si="32"/>
        <v>0</v>
      </c>
      <c r="R64" s="102">
        <f t="shared" si="32"/>
        <v>0</v>
      </c>
      <c r="S64" s="102">
        <f t="shared" si="32"/>
        <v>0</v>
      </c>
      <c r="T64" s="102">
        <f t="shared" si="32"/>
        <v>0</v>
      </c>
      <c r="U64" s="102">
        <f t="shared" si="32"/>
        <v>0</v>
      </c>
      <c r="V64" s="102">
        <f t="shared" si="32"/>
        <v>0</v>
      </c>
      <c r="W64" s="102">
        <f t="shared" si="32"/>
        <v>0</v>
      </c>
      <c r="X64" s="102">
        <f t="shared" si="32"/>
        <v>0</v>
      </c>
      <c r="Y64" s="102">
        <f t="shared" si="32"/>
        <v>0</v>
      </c>
      <c r="Z64" s="102">
        <f t="shared" si="32"/>
        <v>0</v>
      </c>
      <c r="AA64" s="102">
        <f t="shared" si="32"/>
        <v>0</v>
      </c>
      <c r="AB64" s="102">
        <f t="shared" si="32"/>
        <v>0</v>
      </c>
      <c r="AC64" s="102">
        <f t="shared" si="32"/>
        <v>0</v>
      </c>
      <c r="AD64" s="102">
        <f t="shared" si="32"/>
        <v>0</v>
      </c>
      <c r="AE64" s="102">
        <f t="shared" si="32"/>
        <v>0</v>
      </c>
      <c r="AF64" s="102">
        <f t="shared" si="32"/>
        <v>0</v>
      </c>
      <c r="AG64" s="102">
        <f t="shared" si="32"/>
        <v>0</v>
      </c>
      <c r="AI64" s="124"/>
      <c r="AJ64" s="185"/>
      <c r="AL64" s="100"/>
      <c r="AM64" s="2"/>
      <c r="AN64" s="2"/>
      <c r="AO64" s="2"/>
    </row>
    <row r="65" spans="1:63" outlineLevel="1">
      <c r="A65" t="s">
        <v>1342</v>
      </c>
      <c r="B65" s="50" t="s">
        <v>126</v>
      </c>
      <c r="C65" s="102">
        <f t="shared" ref="C65:R67" si="33">C$60*C56</f>
        <v>0</v>
      </c>
      <c r="D65" s="102">
        <f t="shared" si="33"/>
        <v>0</v>
      </c>
      <c r="E65" s="102">
        <f t="shared" si="33"/>
        <v>0</v>
      </c>
      <c r="F65" s="102">
        <f t="shared" si="33"/>
        <v>0</v>
      </c>
      <c r="G65" s="102">
        <f t="shared" si="33"/>
        <v>0</v>
      </c>
      <c r="H65" s="102">
        <f t="shared" si="33"/>
        <v>0</v>
      </c>
      <c r="I65" s="102">
        <f t="shared" si="33"/>
        <v>0</v>
      </c>
      <c r="J65" s="102">
        <f t="shared" si="33"/>
        <v>0</v>
      </c>
      <c r="K65" s="102">
        <f t="shared" si="33"/>
        <v>0</v>
      </c>
      <c r="L65" s="102">
        <f t="shared" si="33"/>
        <v>0</v>
      </c>
      <c r="M65" s="102">
        <f t="shared" si="33"/>
        <v>0</v>
      </c>
      <c r="N65" s="102">
        <f t="shared" si="33"/>
        <v>0</v>
      </c>
      <c r="O65" s="102">
        <f t="shared" si="33"/>
        <v>0</v>
      </c>
      <c r="P65" s="102">
        <f t="shared" si="33"/>
        <v>0</v>
      </c>
      <c r="Q65" s="102">
        <f t="shared" si="33"/>
        <v>0</v>
      </c>
      <c r="R65" s="102">
        <f t="shared" si="33"/>
        <v>0</v>
      </c>
      <c r="S65" s="102">
        <f t="shared" si="32"/>
        <v>0</v>
      </c>
      <c r="T65" s="102">
        <f t="shared" si="32"/>
        <v>0</v>
      </c>
      <c r="U65" s="102">
        <f t="shared" si="32"/>
        <v>0</v>
      </c>
      <c r="V65" s="102">
        <f t="shared" si="32"/>
        <v>0</v>
      </c>
      <c r="W65" s="102">
        <f t="shared" si="32"/>
        <v>0</v>
      </c>
      <c r="X65" s="102">
        <f t="shared" si="32"/>
        <v>0</v>
      </c>
      <c r="Y65" s="102">
        <f t="shared" si="32"/>
        <v>0</v>
      </c>
      <c r="Z65" s="102">
        <f t="shared" si="32"/>
        <v>0</v>
      </c>
      <c r="AA65" s="102">
        <f t="shared" si="32"/>
        <v>0</v>
      </c>
      <c r="AB65" s="102">
        <f t="shared" si="32"/>
        <v>0</v>
      </c>
      <c r="AC65" s="102">
        <f t="shared" si="32"/>
        <v>0</v>
      </c>
      <c r="AD65" s="102">
        <f t="shared" si="32"/>
        <v>0</v>
      </c>
      <c r="AE65" s="102">
        <f t="shared" si="32"/>
        <v>0</v>
      </c>
      <c r="AF65" s="102">
        <f t="shared" si="32"/>
        <v>0</v>
      </c>
      <c r="AG65" s="102">
        <f t="shared" si="32"/>
        <v>0</v>
      </c>
      <c r="AI65" s="124"/>
      <c r="AJ65" s="185"/>
      <c r="AL65" s="100"/>
      <c r="AM65" s="2"/>
      <c r="AN65" s="2"/>
      <c r="AO65" s="2"/>
      <c r="BC65" s="1"/>
      <c r="BD65" s="2"/>
      <c r="BE65" s="2"/>
      <c r="BF65" s="2"/>
      <c r="BG65" s="2"/>
      <c r="BH65" s="2"/>
      <c r="BI65" s="2"/>
      <c r="BJ65" s="2"/>
      <c r="BK65" s="2"/>
    </row>
    <row r="66" spans="1:63" outlineLevel="1">
      <c r="A66" t="s">
        <v>1343</v>
      </c>
      <c r="C66" s="102">
        <f t="shared" si="33"/>
        <v>0</v>
      </c>
      <c r="D66" s="102">
        <f t="shared" si="32"/>
        <v>0</v>
      </c>
      <c r="E66" s="102">
        <f t="shared" si="32"/>
        <v>0</v>
      </c>
      <c r="F66" s="102">
        <f t="shared" si="32"/>
        <v>0</v>
      </c>
      <c r="G66" s="102">
        <f t="shared" si="32"/>
        <v>0</v>
      </c>
      <c r="H66" s="102">
        <f t="shared" si="32"/>
        <v>0</v>
      </c>
      <c r="I66" s="102">
        <f t="shared" si="32"/>
        <v>0</v>
      </c>
      <c r="J66" s="102">
        <f t="shared" si="32"/>
        <v>0</v>
      </c>
      <c r="K66" s="102">
        <f t="shared" si="32"/>
        <v>0</v>
      </c>
      <c r="L66" s="102">
        <f t="shared" si="32"/>
        <v>0</v>
      </c>
      <c r="M66" s="102">
        <f t="shared" si="32"/>
        <v>0</v>
      </c>
      <c r="N66" s="102">
        <f t="shared" si="32"/>
        <v>0</v>
      </c>
      <c r="O66" s="102">
        <f t="shared" si="32"/>
        <v>0</v>
      </c>
      <c r="P66" s="102">
        <f t="shared" si="32"/>
        <v>0</v>
      </c>
      <c r="Q66" s="102">
        <f t="shared" si="32"/>
        <v>0</v>
      </c>
      <c r="R66" s="102">
        <f t="shared" si="32"/>
        <v>0</v>
      </c>
      <c r="S66" s="102">
        <f t="shared" si="32"/>
        <v>0</v>
      </c>
      <c r="T66" s="102">
        <f t="shared" si="32"/>
        <v>0</v>
      </c>
      <c r="U66" s="102">
        <f t="shared" si="32"/>
        <v>0</v>
      </c>
      <c r="V66" s="102">
        <f t="shared" si="32"/>
        <v>0</v>
      </c>
      <c r="W66" s="102">
        <f t="shared" si="32"/>
        <v>0</v>
      </c>
      <c r="X66" s="102">
        <f t="shared" si="32"/>
        <v>0</v>
      </c>
      <c r="Y66" s="102">
        <f t="shared" si="32"/>
        <v>0</v>
      </c>
      <c r="Z66" s="102">
        <f t="shared" si="32"/>
        <v>0</v>
      </c>
      <c r="AA66" s="102">
        <f t="shared" si="32"/>
        <v>0</v>
      </c>
      <c r="AB66" s="102">
        <f t="shared" si="32"/>
        <v>0</v>
      </c>
      <c r="AC66" s="102">
        <f t="shared" si="32"/>
        <v>0</v>
      </c>
      <c r="AD66" s="102">
        <f t="shared" si="32"/>
        <v>0</v>
      </c>
      <c r="AE66" s="102">
        <f t="shared" si="32"/>
        <v>0</v>
      </c>
      <c r="AF66" s="102">
        <f t="shared" si="32"/>
        <v>0</v>
      </c>
      <c r="AG66" s="102">
        <f t="shared" si="32"/>
        <v>0</v>
      </c>
      <c r="AI66" s="124"/>
      <c r="AJ66" s="185"/>
      <c r="AL66" s="100"/>
      <c r="AM66" s="2"/>
      <c r="AN66" s="2"/>
      <c r="AO66" s="2"/>
      <c r="BC66" s="1"/>
      <c r="BD66" s="2"/>
      <c r="BE66" s="2"/>
      <c r="BF66" s="2"/>
      <c r="BG66" s="2"/>
      <c r="BH66" s="2"/>
      <c r="BI66" s="2"/>
      <c r="BJ66" s="2"/>
      <c r="BK66" s="2"/>
    </row>
    <row r="67" spans="1:63" outlineLevel="1">
      <c r="A67" t="s">
        <v>1344</v>
      </c>
      <c r="B67" s="50" t="s">
        <v>126</v>
      </c>
      <c r="C67" s="102">
        <f t="shared" si="33"/>
        <v>0</v>
      </c>
      <c r="D67" s="102">
        <f t="shared" si="32"/>
        <v>0</v>
      </c>
      <c r="E67" s="102">
        <f t="shared" si="32"/>
        <v>0</v>
      </c>
      <c r="F67" s="102">
        <f t="shared" si="32"/>
        <v>0</v>
      </c>
      <c r="G67" s="102">
        <f t="shared" si="32"/>
        <v>0</v>
      </c>
      <c r="H67" s="102">
        <f t="shared" si="32"/>
        <v>0</v>
      </c>
      <c r="I67" s="102">
        <f t="shared" si="32"/>
        <v>0</v>
      </c>
      <c r="J67" s="102">
        <f t="shared" si="32"/>
        <v>0</v>
      </c>
      <c r="K67" s="102">
        <f t="shared" si="32"/>
        <v>0</v>
      </c>
      <c r="L67" s="102">
        <f t="shared" si="32"/>
        <v>0</v>
      </c>
      <c r="M67" s="102">
        <f t="shared" si="32"/>
        <v>0</v>
      </c>
      <c r="N67" s="102">
        <f t="shared" si="32"/>
        <v>0</v>
      </c>
      <c r="O67" s="102">
        <f t="shared" si="32"/>
        <v>0</v>
      </c>
      <c r="P67" s="102">
        <f t="shared" si="32"/>
        <v>0</v>
      </c>
      <c r="Q67" s="102">
        <f t="shared" si="32"/>
        <v>0</v>
      </c>
      <c r="R67" s="102">
        <f t="shared" si="32"/>
        <v>0</v>
      </c>
      <c r="S67" s="102">
        <f t="shared" si="32"/>
        <v>0</v>
      </c>
      <c r="T67" s="102">
        <f t="shared" si="32"/>
        <v>0</v>
      </c>
      <c r="U67" s="102">
        <f t="shared" si="32"/>
        <v>0</v>
      </c>
      <c r="V67" s="102">
        <f t="shared" si="32"/>
        <v>0</v>
      </c>
      <c r="W67" s="102">
        <f t="shared" si="32"/>
        <v>0</v>
      </c>
      <c r="X67" s="102">
        <f t="shared" si="32"/>
        <v>0</v>
      </c>
      <c r="Y67" s="102">
        <f t="shared" si="32"/>
        <v>0</v>
      </c>
      <c r="Z67" s="102">
        <f t="shared" si="32"/>
        <v>0</v>
      </c>
      <c r="AA67" s="102">
        <f t="shared" si="32"/>
        <v>0</v>
      </c>
      <c r="AB67" s="102">
        <f t="shared" si="32"/>
        <v>0</v>
      </c>
      <c r="AC67" s="102">
        <f t="shared" si="32"/>
        <v>0</v>
      </c>
      <c r="AD67" s="102">
        <f t="shared" si="32"/>
        <v>0</v>
      </c>
      <c r="AE67" s="102">
        <f t="shared" si="32"/>
        <v>0</v>
      </c>
      <c r="AF67" s="102">
        <f t="shared" si="32"/>
        <v>0</v>
      </c>
      <c r="AG67" s="102">
        <f t="shared" si="32"/>
        <v>0</v>
      </c>
      <c r="AH67" s="217"/>
      <c r="AI67" s="124"/>
      <c r="AJ67" s="185"/>
      <c r="AL67" s="100"/>
      <c r="AM67" s="2"/>
      <c r="AN67" s="2"/>
      <c r="AO67" s="2"/>
      <c r="BC67" s="1"/>
      <c r="BD67" s="2"/>
      <c r="BE67" s="2"/>
      <c r="BF67" s="2"/>
      <c r="BG67" s="2"/>
      <c r="BH67" s="2"/>
      <c r="BI67" s="2"/>
      <c r="BJ67" s="2"/>
      <c r="BK67" s="2"/>
    </row>
    <row r="68" spans="1:63" outlineLevel="1"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I68" s="125"/>
      <c r="AJ68" s="185"/>
      <c r="BC68" s="1"/>
      <c r="BD68" s="37"/>
      <c r="BF68" s="6"/>
      <c r="BG68" s="6"/>
      <c r="BH68" s="6"/>
      <c r="BI68" s="6"/>
      <c r="BJ68" s="6"/>
    </row>
    <row r="69" spans="1:63" s="1" customFormat="1" outlineLevel="1">
      <c r="A69" s="1" t="s">
        <v>265</v>
      </c>
      <c r="B69" s="60"/>
      <c r="C69" s="250">
        <f>C39*C61</f>
        <v>0</v>
      </c>
      <c r="D69" s="250">
        <f t="shared" ref="D69:AG69" si="34">D39*D61</f>
        <v>0</v>
      </c>
      <c r="E69" s="250">
        <f t="shared" si="34"/>
        <v>0</v>
      </c>
      <c r="F69" s="250">
        <f t="shared" si="34"/>
        <v>0</v>
      </c>
      <c r="G69" s="250">
        <f t="shared" si="34"/>
        <v>0</v>
      </c>
      <c r="H69" s="250">
        <f t="shared" si="34"/>
        <v>0</v>
      </c>
      <c r="I69" s="250">
        <f t="shared" si="34"/>
        <v>0</v>
      </c>
      <c r="J69" s="250">
        <f t="shared" si="34"/>
        <v>0</v>
      </c>
      <c r="K69" s="250">
        <f t="shared" si="34"/>
        <v>0</v>
      </c>
      <c r="L69" s="250">
        <f t="shared" si="34"/>
        <v>0</v>
      </c>
      <c r="M69" s="250">
        <f t="shared" si="34"/>
        <v>0</v>
      </c>
      <c r="N69" s="250">
        <f t="shared" si="34"/>
        <v>0</v>
      </c>
      <c r="O69" s="250">
        <f t="shared" si="34"/>
        <v>0</v>
      </c>
      <c r="P69" s="250">
        <f t="shared" si="34"/>
        <v>0</v>
      </c>
      <c r="Q69" s="250">
        <f t="shared" si="34"/>
        <v>0</v>
      </c>
      <c r="R69" s="250">
        <f t="shared" si="34"/>
        <v>0</v>
      </c>
      <c r="S69" s="250">
        <f t="shared" si="34"/>
        <v>0</v>
      </c>
      <c r="T69" s="250">
        <f t="shared" si="34"/>
        <v>0</v>
      </c>
      <c r="U69" s="250">
        <f t="shared" si="34"/>
        <v>0</v>
      </c>
      <c r="V69" s="250">
        <f t="shared" si="34"/>
        <v>0</v>
      </c>
      <c r="W69" s="250">
        <f t="shared" si="34"/>
        <v>0</v>
      </c>
      <c r="X69" s="250">
        <f t="shared" si="34"/>
        <v>0</v>
      </c>
      <c r="Y69" s="250">
        <f t="shared" si="34"/>
        <v>0</v>
      </c>
      <c r="Z69" s="250">
        <f t="shared" si="34"/>
        <v>0</v>
      </c>
      <c r="AA69" s="250">
        <f t="shared" si="34"/>
        <v>0</v>
      </c>
      <c r="AB69" s="250">
        <f t="shared" si="34"/>
        <v>0</v>
      </c>
      <c r="AC69" s="250">
        <f t="shared" si="34"/>
        <v>0</v>
      </c>
      <c r="AD69" s="250">
        <f t="shared" si="34"/>
        <v>0</v>
      </c>
      <c r="AE69" s="250">
        <f t="shared" si="34"/>
        <v>0</v>
      </c>
      <c r="AF69" s="250">
        <f t="shared" si="34"/>
        <v>0</v>
      </c>
      <c r="AG69" s="250">
        <f t="shared" si="34"/>
        <v>0</v>
      </c>
      <c r="AH69" s="217"/>
      <c r="AI69" s="368"/>
      <c r="AJ69" s="369"/>
      <c r="AL69" s="194"/>
      <c r="AM69" s="116"/>
      <c r="AN69" s="116"/>
      <c r="AO69" s="116"/>
      <c r="BD69" s="116"/>
      <c r="BE69" s="116"/>
      <c r="BF69" s="116"/>
      <c r="BG69" s="116"/>
      <c r="BH69" s="116"/>
      <c r="BI69" s="116"/>
      <c r="BJ69" s="116"/>
      <c r="BK69" s="116"/>
    </row>
    <row r="70" spans="1:63" s="1" customFormat="1" outlineLevel="1">
      <c r="A70" s="1" t="s">
        <v>1041</v>
      </c>
      <c r="B70" s="60"/>
      <c r="C70" s="250">
        <f t="shared" ref="C70:AG70" si="35">C69-$C69</f>
        <v>0</v>
      </c>
      <c r="D70" s="250">
        <f t="shared" si="35"/>
        <v>0</v>
      </c>
      <c r="E70" s="250">
        <f t="shared" si="35"/>
        <v>0</v>
      </c>
      <c r="F70" s="250">
        <f t="shared" si="35"/>
        <v>0</v>
      </c>
      <c r="G70" s="250">
        <f t="shared" si="35"/>
        <v>0</v>
      </c>
      <c r="H70" s="250">
        <f t="shared" si="35"/>
        <v>0</v>
      </c>
      <c r="I70" s="250">
        <f t="shared" si="35"/>
        <v>0</v>
      </c>
      <c r="J70" s="250">
        <f t="shared" si="35"/>
        <v>0</v>
      </c>
      <c r="K70" s="250">
        <f t="shared" si="35"/>
        <v>0</v>
      </c>
      <c r="L70" s="250">
        <f t="shared" si="35"/>
        <v>0</v>
      </c>
      <c r="M70" s="250">
        <f t="shared" si="35"/>
        <v>0</v>
      </c>
      <c r="N70" s="250">
        <f t="shared" si="35"/>
        <v>0</v>
      </c>
      <c r="O70" s="250">
        <f t="shared" si="35"/>
        <v>0</v>
      </c>
      <c r="P70" s="250">
        <f t="shared" si="35"/>
        <v>0</v>
      </c>
      <c r="Q70" s="250">
        <f t="shared" si="35"/>
        <v>0</v>
      </c>
      <c r="R70" s="250">
        <f t="shared" si="35"/>
        <v>0</v>
      </c>
      <c r="S70" s="250">
        <f t="shared" si="35"/>
        <v>0</v>
      </c>
      <c r="T70" s="250">
        <f t="shared" si="35"/>
        <v>0</v>
      </c>
      <c r="U70" s="250">
        <f t="shared" si="35"/>
        <v>0</v>
      </c>
      <c r="V70" s="250">
        <f t="shared" si="35"/>
        <v>0</v>
      </c>
      <c r="W70" s="250">
        <f t="shared" si="35"/>
        <v>0</v>
      </c>
      <c r="X70" s="250">
        <f t="shared" si="35"/>
        <v>0</v>
      </c>
      <c r="Y70" s="250">
        <f t="shared" si="35"/>
        <v>0</v>
      </c>
      <c r="Z70" s="250">
        <f t="shared" si="35"/>
        <v>0</v>
      </c>
      <c r="AA70" s="250">
        <f t="shared" si="35"/>
        <v>0</v>
      </c>
      <c r="AB70" s="250">
        <f t="shared" si="35"/>
        <v>0</v>
      </c>
      <c r="AC70" s="250">
        <f t="shared" si="35"/>
        <v>0</v>
      </c>
      <c r="AD70" s="250">
        <f t="shared" si="35"/>
        <v>0</v>
      </c>
      <c r="AE70" s="250">
        <f t="shared" si="35"/>
        <v>0</v>
      </c>
      <c r="AF70" s="250">
        <f t="shared" si="35"/>
        <v>0</v>
      </c>
      <c r="AG70" s="250">
        <f t="shared" si="35"/>
        <v>0</v>
      </c>
      <c r="AH70" s="217"/>
      <c r="AI70" s="368"/>
      <c r="AJ70" s="369"/>
      <c r="AL70" s="194"/>
      <c r="AM70" s="116"/>
      <c r="AN70" s="116"/>
      <c r="AO70" s="116"/>
      <c r="BD70" s="116"/>
      <c r="BE70" s="116"/>
      <c r="BF70" s="116"/>
      <c r="BG70" s="116"/>
      <c r="BH70" s="116"/>
      <c r="BI70" s="116"/>
      <c r="BJ70" s="116"/>
      <c r="BK70" s="116"/>
    </row>
    <row r="71" spans="1:63" s="1" customFormat="1" outlineLevel="1">
      <c r="A71" s="1" t="s">
        <v>1042</v>
      </c>
      <c r="B71" s="60"/>
      <c r="C71" s="250">
        <f t="shared" ref="C71:AG71" si="36">C39*C64</f>
        <v>0</v>
      </c>
      <c r="D71" s="250">
        <f t="shared" si="36"/>
        <v>0</v>
      </c>
      <c r="E71" s="250">
        <f t="shared" si="36"/>
        <v>0</v>
      </c>
      <c r="F71" s="250">
        <f t="shared" si="36"/>
        <v>0</v>
      </c>
      <c r="G71" s="250">
        <f t="shared" si="36"/>
        <v>0</v>
      </c>
      <c r="H71" s="250">
        <f t="shared" si="36"/>
        <v>0</v>
      </c>
      <c r="I71" s="250">
        <f t="shared" si="36"/>
        <v>0</v>
      </c>
      <c r="J71" s="250">
        <f t="shared" si="36"/>
        <v>0</v>
      </c>
      <c r="K71" s="250">
        <f t="shared" si="36"/>
        <v>0</v>
      </c>
      <c r="L71" s="250">
        <f t="shared" si="36"/>
        <v>0</v>
      </c>
      <c r="M71" s="250">
        <f t="shared" si="36"/>
        <v>0</v>
      </c>
      <c r="N71" s="250">
        <f t="shared" si="36"/>
        <v>0</v>
      </c>
      <c r="O71" s="250">
        <f t="shared" si="36"/>
        <v>0</v>
      </c>
      <c r="P71" s="250">
        <f t="shared" si="36"/>
        <v>0</v>
      </c>
      <c r="Q71" s="250">
        <f t="shared" si="36"/>
        <v>0</v>
      </c>
      <c r="R71" s="250">
        <f t="shared" si="36"/>
        <v>0</v>
      </c>
      <c r="S71" s="250">
        <f t="shared" si="36"/>
        <v>0</v>
      </c>
      <c r="T71" s="250">
        <f t="shared" si="36"/>
        <v>0</v>
      </c>
      <c r="U71" s="250">
        <f t="shared" si="36"/>
        <v>0</v>
      </c>
      <c r="V71" s="250">
        <f t="shared" si="36"/>
        <v>0</v>
      </c>
      <c r="W71" s="250">
        <f t="shared" si="36"/>
        <v>0</v>
      </c>
      <c r="X71" s="250">
        <f t="shared" si="36"/>
        <v>0</v>
      </c>
      <c r="Y71" s="250">
        <f t="shared" si="36"/>
        <v>0</v>
      </c>
      <c r="Z71" s="250">
        <f t="shared" si="36"/>
        <v>0</v>
      </c>
      <c r="AA71" s="250">
        <f t="shared" si="36"/>
        <v>0</v>
      </c>
      <c r="AB71" s="250">
        <f t="shared" si="36"/>
        <v>0</v>
      </c>
      <c r="AC71" s="250">
        <f t="shared" si="36"/>
        <v>0</v>
      </c>
      <c r="AD71" s="250">
        <f t="shared" si="36"/>
        <v>0</v>
      </c>
      <c r="AE71" s="250">
        <f t="shared" si="36"/>
        <v>0</v>
      </c>
      <c r="AF71" s="250">
        <f t="shared" si="36"/>
        <v>0</v>
      </c>
      <c r="AG71" s="250">
        <f t="shared" si="36"/>
        <v>0</v>
      </c>
      <c r="AH71" s="217"/>
      <c r="AI71" s="368"/>
      <c r="AJ71" s="369"/>
      <c r="AL71" s="194"/>
      <c r="AM71" s="116"/>
      <c r="AN71" s="116"/>
      <c r="AO71" s="116"/>
      <c r="BD71" s="116"/>
      <c r="BE71" s="116"/>
      <c r="BF71" s="116"/>
      <c r="BG71" s="116"/>
      <c r="BH71" s="116"/>
      <c r="BI71" s="116"/>
      <c r="BJ71" s="116"/>
      <c r="BK71" s="116"/>
    </row>
    <row r="72" spans="1:63" s="1" customFormat="1" outlineLevel="1">
      <c r="A72" s="1" t="s">
        <v>1045</v>
      </c>
      <c r="B72" s="60"/>
      <c r="C72" s="250">
        <f t="shared" ref="C72:AG72" si="37">C71-$C71</f>
        <v>0</v>
      </c>
      <c r="D72" s="250">
        <f t="shared" si="37"/>
        <v>0</v>
      </c>
      <c r="E72" s="250">
        <f t="shared" si="37"/>
        <v>0</v>
      </c>
      <c r="F72" s="250">
        <f t="shared" si="37"/>
        <v>0</v>
      </c>
      <c r="G72" s="250">
        <f t="shared" si="37"/>
        <v>0</v>
      </c>
      <c r="H72" s="250">
        <f t="shared" si="37"/>
        <v>0</v>
      </c>
      <c r="I72" s="250">
        <f t="shared" si="37"/>
        <v>0</v>
      </c>
      <c r="J72" s="250">
        <f t="shared" si="37"/>
        <v>0</v>
      </c>
      <c r="K72" s="250">
        <f t="shared" si="37"/>
        <v>0</v>
      </c>
      <c r="L72" s="250">
        <f t="shared" si="37"/>
        <v>0</v>
      </c>
      <c r="M72" s="250">
        <f t="shared" si="37"/>
        <v>0</v>
      </c>
      <c r="N72" s="250">
        <f t="shared" si="37"/>
        <v>0</v>
      </c>
      <c r="O72" s="250">
        <f t="shared" si="37"/>
        <v>0</v>
      </c>
      <c r="P72" s="250">
        <f t="shared" si="37"/>
        <v>0</v>
      </c>
      <c r="Q72" s="250">
        <f t="shared" si="37"/>
        <v>0</v>
      </c>
      <c r="R72" s="250">
        <f t="shared" si="37"/>
        <v>0</v>
      </c>
      <c r="S72" s="250">
        <f t="shared" si="37"/>
        <v>0</v>
      </c>
      <c r="T72" s="250">
        <f t="shared" si="37"/>
        <v>0</v>
      </c>
      <c r="U72" s="250">
        <f t="shared" si="37"/>
        <v>0</v>
      </c>
      <c r="V72" s="250">
        <f t="shared" si="37"/>
        <v>0</v>
      </c>
      <c r="W72" s="250">
        <f t="shared" si="37"/>
        <v>0</v>
      </c>
      <c r="X72" s="250">
        <f t="shared" si="37"/>
        <v>0</v>
      </c>
      <c r="Y72" s="250">
        <f t="shared" si="37"/>
        <v>0</v>
      </c>
      <c r="Z72" s="250">
        <f t="shared" si="37"/>
        <v>0</v>
      </c>
      <c r="AA72" s="250">
        <f t="shared" si="37"/>
        <v>0</v>
      </c>
      <c r="AB72" s="250">
        <f t="shared" si="37"/>
        <v>0</v>
      </c>
      <c r="AC72" s="250">
        <f t="shared" si="37"/>
        <v>0</v>
      </c>
      <c r="AD72" s="250">
        <f t="shared" si="37"/>
        <v>0</v>
      </c>
      <c r="AE72" s="250">
        <f t="shared" si="37"/>
        <v>0</v>
      </c>
      <c r="AF72" s="250">
        <f t="shared" si="37"/>
        <v>0</v>
      </c>
      <c r="AG72" s="250">
        <f t="shared" si="37"/>
        <v>0</v>
      </c>
      <c r="AH72" s="217"/>
      <c r="AI72" s="368"/>
      <c r="AJ72" s="369"/>
      <c r="AL72" s="194"/>
      <c r="AM72" s="116"/>
      <c r="AN72" s="116"/>
      <c r="AO72" s="116"/>
      <c r="BD72" s="116"/>
      <c r="BE72" s="116"/>
      <c r="BF72" s="116"/>
      <c r="BG72" s="116"/>
      <c r="BH72" s="116"/>
      <c r="BI72" s="116"/>
      <c r="BJ72" s="116"/>
      <c r="BK72" s="116"/>
    </row>
    <row r="73" spans="1:63" s="1" customFormat="1" outlineLevel="1">
      <c r="A73" s="1" t="s">
        <v>1050</v>
      </c>
      <c r="B73" s="60"/>
      <c r="C73" s="250">
        <f t="shared" ref="C73:AG73" si="38">C47*C66</f>
        <v>0</v>
      </c>
      <c r="D73" s="250">
        <f t="shared" si="38"/>
        <v>0</v>
      </c>
      <c r="E73" s="250">
        <f t="shared" si="38"/>
        <v>0</v>
      </c>
      <c r="F73" s="250">
        <f t="shared" si="38"/>
        <v>0</v>
      </c>
      <c r="G73" s="250">
        <f t="shared" si="38"/>
        <v>0</v>
      </c>
      <c r="H73" s="250">
        <f t="shared" si="38"/>
        <v>0</v>
      </c>
      <c r="I73" s="250">
        <f t="shared" si="38"/>
        <v>0</v>
      </c>
      <c r="J73" s="250">
        <f t="shared" si="38"/>
        <v>0</v>
      </c>
      <c r="K73" s="250">
        <f t="shared" si="38"/>
        <v>0</v>
      </c>
      <c r="L73" s="250">
        <f t="shared" si="38"/>
        <v>0</v>
      </c>
      <c r="M73" s="250">
        <f t="shared" si="38"/>
        <v>0</v>
      </c>
      <c r="N73" s="250">
        <f t="shared" si="38"/>
        <v>0</v>
      </c>
      <c r="O73" s="250">
        <f t="shared" si="38"/>
        <v>0</v>
      </c>
      <c r="P73" s="250">
        <f t="shared" si="38"/>
        <v>0</v>
      </c>
      <c r="Q73" s="250">
        <f t="shared" si="38"/>
        <v>0</v>
      </c>
      <c r="R73" s="250">
        <f t="shared" si="38"/>
        <v>0</v>
      </c>
      <c r="S73" s="250">
        <f t="shared" si="38"/>
        <v>0</v>
      </c>
      <c r="T73" s="250">
        <f t="shared" si="38"/>
        <v>0</v>
      </c>
      <c r="U73" s="250">
        <f t="shared" si="38"/>
        <v>0</v>
      </c>
      <c r="V73" s="250">
        <f t="shared" si="38"/>
        <v>0</v>
      </c>
      <c r="W73" s="250">
        <f t="shared" si="38"/>
        <v>0</v>
      </c>
      <c r="X73" s="250">
        <f t="shared" si="38"/>
        <v>0</v>
      </c>
      <c r="Y73" s="250">
        <f t="shared" si="38"/>
        <v>0</v>
      </c>
      <c r="Z73" s="250">
        <f t="shared" si="38"/>
        <v>0</v>
      </c>
      <c r="AA73" s="250">
        <f t="shared" si="38"/>
        <v>0</v>
      </c>
      <c r="AB73" s="250">
        <f t="shared" si="38"/>
        <v>0</v>
      </c>
      <c r="AC73" s="250">
        <f t="shared" si="38"/>
        <v>0</v>
      </c>
      <c r="AD73" s="250">
        <f t="shared" si="38"/>
        <v>0</v>
      </c>
      <c r="AE73" s="250">
        <f t="shared" si="38"/>
        <v>0</v>
      </c>
      <c r="AF73" s="250">
        <f t="shared" si="38"/>
        <v>0</v>
      </c>
      <c r="AG73" s="250">
        <f t="shared" si="38"/>
        <v>0</v>
      </c>
      <c r="AH73" s="217"/>
      <c r="AI73" s="368"/>
      <c r="AJ73" s="369"/>
      <c r="AL73" s="194"/>
      <c r="AM73" s="116"/>
      <c r="AN73" s="116"/>
      <c r="AO73" s="116"/>
      <c r="BD73" s="116"/>
      <c r="BE73" s="116"/>
      <c r="BF73" s="116"/>
      <c r="BG73" s="116"/>
      <c r="BH73" s="116"/>
      <c r="BI73" s="116"/>
      <c r="BJ73" s="116"/>
      <c r="BK73" s="116"/>
    </row>
    <row r="74" spans="1:63" s="1" customFormat="1" outlineLevel="1">
      <c r="A74" s="1" t="s">
        <v>1051</v>
      </c>
      <c r="B74" s="60"/>
      <c r="C74" s="250">
        <f t="shared" ref="C74:AG74" si="39">C73-$C73</f>
        <v>0</v>
      </c>
      <c r="D74" s="250">
        <f t="shared" si="39"/>
        <v>0</v>
      </c>
      <c r="E74" s="250">
        <f t="shared" si="39"/>
        <v>0</v>
      </c>
      <c r="F74" s="250">
        <f t="shared" si="39"/>
        <v>0</v>
      </c>
      <c r="G74" s="250">
        <f t="shared" si="39"/>
        <v>0</v>
      </c>
      <c r="H74" s="250">
        <f t="shared" si="39"/>
        <v>0</v>
      </c>
      <c r="I74" s="250">
        <f t="shared" si="39"/>
        <v>0</v>
      </c>
      <c r="J74" s="250">
        <f t="shared" si="39"/>
        <v>0</v>
      </c>
      <c r="K74" s="250">
        <f t="shared" si="39"/>
        <v>0</v>
      </c>
      <c r="L74" s="250">
        <f t="shared" si="39"/>
        <v>0</v>
      </c>
      <c r="M74" s="250">
        <f t="shared" si="39"/>
        <v>0</v>
      </c>
      <c r="N74" s="250">
        <f t="shared" si="39"/>
        <v>0</v>
      </c>
      <c r="O74" s="250">
        <f t="shared" si="39"/>
        <v>0</v>
      </c>
      <c r="P74" s="250">
        <f t="shared" si="39"/>
        <v>0</v>
      </c>
      <c r="Q74" s="250">
        <f t="shared" si="39"/>
        <v>0</v>
      </c>
      <c r="R74" s="250">
        <f t="shared" si="39"/>
        <v>0</v>
      </c>
      <c r="S74" s="250">
        <f t="shared" si="39"/>
        <v>0</v>
      </c>
      <c r="T74" s="250">
        <f t="shared" si="39"/>
        <v>0</v>
      </c>
      <c r="U74" s="250">
        <f t="shared" si="39"/>
        <v>0</v>
      </c>
      <c r="V74" s="250">
        <f t="shared" si="39"/>
        <v>0</v>
      </c>
      <c r="W74" s="250">
        <f t="shared" si="39"/>
        <v>0</v>
      </c>
      <c r="X74" s="250">
        <f t="shared" si="39"/>
        <v>0</v>
      </c>
      <c r="Y74" s="250">
        <f t="shared" si="39"/>
        <v>0</v>
      </c>
      <c r="Z74" s="250">
        <f t="shared" si="39"/>
        <v>0</v>
      </c>
      <c r="AA74" s="250">
        <f t="shared" si="39"/>
        <v>0</v>
      </c>
      <c r="AB74" s="250">
        <f t="shared" si="39"/>
        <v>0</v>
      </c>
      <c r="AC74" s="250">
        <f t="shared" si="39"/>
        <v>0</v>
      </c>
      <c r="AD74" s="250">
        <f t="shared" si="39"/>
        <v>0</v>
      </c>
      <c r="AE74" s="250">
        <f t="shared" si="39"/>
        <v>0</v>
      </c>
      <c r="AF74" s="250">
        <f t="shared" si="39"/>
        <v>0</v>
      </c>
      <c r="AG74" s="250">
        <f t="shared" si="39"/>
        <v>0</v>
      </c>
      <c r="AH74" s="217"/>
      <c r="AI74" s="368"/>
      <c r="AJ74" s="369"/>
      <c r="AL74" s="194"/>
      <c r="AM74" s="116"/>
      <c r="AN74" s="116"/>
      <c r="AO74" s="116"/>
      <c r="BD74" s="116"/>
      <c r="BE74" s="116"/>
      <c r="BF74" s="116"/>
      <c r="BG74" s="116"/>
      <c r="BH74" s="116"/>
      <c r="BI74" s="116"/>
      <c r="BJ74" s="116"/>
      <c r="BK74" s="116"/>
    </row>
    <row r="75" spans="1:63" s="1" customFormat="1" outlineLevel="1">
      <c r="A75" s="1" t="s">
        <v>1043</v>
      </c>
      <c r="B75" s="60"/>
      <c r="C75" s="250">
        <f t="shared" ref="C75:AG75" si="40">C39*C65</f>
        <v>0</v>
      </c>
      <c r="D75" s="250">
        <f t="shared" si="40"/>
        <v>0</v>
      </c>
      <c r="E75" s="250">
        <f t="shared" si="40"/>
        <v>0</v>
      </c>
      <c r="F75" s="250">
        <f t="shared" si="40"/>
        <v>0</v>
      </c>
      <c r="G75" s="250">
        <f t="shared" si="40"/>
        <v>0</v>
      </c>
      <c r="H75" s="250">
        <f t="shared" si="40"/>
        <v>0</v>
      </c>
      <c r="I75" s="250">
        <f t="shared" si="40"/>
        <v>0</v>
      </c>
      <c r="J75" s="250">
        <f t="shared" si="40"/>
        <v>0</v>
      </c>
      <c r="K75" s="250">
        <f t="shared" si="40"/>
        <v>0</v>
      </c>
      <c r="L75" s="250">
        <f t="shared" si="40"/>
        <v>0</v>
      </c>
      <c r="M75" s="250">
        <f t="shared" si="40"/>
        <v>0</v>
      </c>
      <c r="N75" s="250">
        <f t="shared" si="40"/>
        <v>0</v>
      </c>
      <c r="O75" s="250">
        <f t="shared" si="40"/>
        <v>0</v>
      </c>
      <c r="P75" s="250">
        <f t="shared" si="40"/>
        <v>0</v>
      </c>
      <c r="Q75" s="250">
        <f t="shared" si="40"/>
        <v>0</v>
      </c>
      <c r="R75" s="250">
        <f t="shared" si="40"/>
        <v>0</v>
      </c>
      <c r="S75" s="250">
        <f t="shared" si="40"/>
        <v>0</v>
      </c>
      <c r="T75" s="250">
        <f t="shared" si="40"/>
        <v>0</v>
      </c>
      <c r="U75" s="250">
        <f t="shared" si="40"/>
        <v>0</v>
      </c>
      <c r="V75" s="250">
        <f t="shared" si="40"/>
        <v>0</v>
      </c>
      <c r="W75" s="250">
        <f t="shared" si="40"/>
        <v>0</v>
      </c>
      <c r="X75" s="250">
        <f t="shared" si="40"/>
        <v>0</v>
      </c>
      <c r="Y75" s="250">
        <f t="shared" si="40"/>
        <v>0</v>
      </c>
      <c r="Z75" s="250">
        <f t="shared" si="40"/>
        <v>0</v>
      </c>
      <c r="AA75" s="250">
        <f t="shared" si="40"/>
        <v>0</v>
      </c>
      <c r="AB75" s="250">
        <f t="shared" si="40"/>
        <v>0</v>
      </c>
      <c r="AC75" s="250">
        <f t="shared" si="40"/>
        <v>0</v>
      </c>
      <c r="AD75" s="250">
        <f t="shared" si="40"/>
        <v>0</v>
      </c>
      <c r="AE75" s="250">
        <f t="shared" si="40"/>
        <v>0</v>
      </c>
      <c r="AF75" s="250">
        <f t="shared" si="40"/>
        <v>0</v>
      </c>
      <c r="AG75" s="250">
        <f t="shared" si="40"/>
        <v>0</v>
      </c>
      <c r="AH75" s="217"/>
      <c r="AI75" s="368"/>
      <c r="AJ75" s="369"/>
      <c r="AL75" s="194"/>
      <c r="AM75" s="116"/>
      <c r="AN75" s="116"/>
      <c r="AO75" s="116"/>
      <c r="BD75" s="116"/>
      <c r="BE75" s="116"/>
      <c r="BF75" s="116"/>
      <c r="BG75" s="116"/>
      <c r="BH75" s="116"/>
      <c r="BI75" s="116"/>
      <c r="BJ75" s="116"/>
      <c r="BK75" s="116"/>
    </row>
    <row r="76" spans="1:63" s="1" customFormat="1" outlineLevel="1">
      <c r="A76" s="1" t="s">
        <v>1046</v>
      </c>
      <c r="B76" s="60"/>
      <c r="C76" s="250">
        <f t="shared" ref="C76:AG76" si="41">C75-$C75</f>
        <v>0</v>
      </c>
      <c r="D76" s="250">
        <f t="shared" si="41"/>
        <v>0</v>
      </c>
      <c r="E76" s="250">
        <f t="shared" si="41"/>
        <v>0</v>
      </c>
      <c r="F76" s="250">
        <f t="shared" si="41"/>
        <v>0</v>
      </c>
      <c r="G76" s="250">
        <f t="shared" si="41"/>
        <v>0</v>
      </c>
      <c r="H76" s="250">
        <f t="shared" si="41"/>
        <v>0</v>
      </c>
      <c r="I76" s="250">
        <f t="shared" si="41"/>
        <v>0</v>
      </c>
      <c r="J76" s="250">
        <f t="shared" si="41"/>
        <v>0</v>
      </c>
      <c r="K76" s="250">
        <f t="shared" si="41"/>
        <v>0</v>
      </c>
      <c r="L76" s="250">
        <f t="shared" si="41"/>
        <v>0</v>
      </c>
      <c r="M76" s="250">
        <f t="shared" si="41"/>
        <v>0</v>
      </c>
      <c r="N76" s="250">
        <f t="shared" si="41"/>
        <v>0</v>
      </c>
      <c r="O76" s="250">
        <f t="shared" si="41"/>
        <v>0</v>
      </c>
      <c r="P76" s="250">
        <f t="shared" si="41"/>
        <v>0</v>
      </c>
      <c r="Q76" s="250">
        <f t="shared" si="41"/>
        <v>0</v>
      </c>
      <c r="R76" s="250">
        <f t="shared" si="41"/>
        <v>0</v>
      </c>
      <c r="S76" s="250">
        <f t="shared" si="41"/>
        <v>0</v>
      </c>
      <c r="T76" s="250">
        <f t="shared" si="41"/>
        <v>0</v>
      </c>
      <c r="U76" s="250">
        <f t="shared" si="41"/>
        <v>0</v>
      </c>
      <c r="V76" s="250">
        <f t="shared" si="41"/>
        <v>0</v>
      </c>
      <c r="W76" s="250">
        <f t="shared" si="41"/>
        <v>0</v>
      </c>
      <c r="X76" s="250">
        <f t="shared" si="41"/>
        <v>0</v>
      </c>
      <c r="Y76" s="250">
        <f t="shared" si="41"/>
        <v>0</v>
      </c>
      <c r="Z76" s="250">
        <f t="shared" si="41"/>
        <v>0</v>
      </c>
      <c r="AA76" s="250">
        <f t="shared" si="41"/>
        <v>0</v>
      </c>
      <c r="AB76" s="250">
        <f t="shared" si="41"/>
        <v>0</v>
      </c>
      <c r="AC76" s="250">
        <f t="shared" si="41"/>
        <v>0</v>
      </c>
      <c r="AD76" s="250">
        <f t="shared" si="41"/>
        <v>0</v>
      </c>
      <c r="AE76" s="250">
        <f t="shared" si="41"/>
        <v>0</v>
      </c>
      <c r="AF76" s="250">
        <f t="shared" si="41"/>
        <v>0</v>
      </c>
      <c r="AG76" s="250">
        <f t="shared" si="41"/>
        <v>0</v>
      </c>
      <c r="AH76" s="217"/>
      <c r="AI76" s="368"/>
      <c r="AJ76" s="369"/>
      <c r="AL76" s="194"/>
      <c r="AM76" s="116"/>
      <c r="AN76" s="116"/>
      <c r="AO76" s="116"/>
      <c r="BD76" s="116"/>
      <c r="BE76" s="116"/>
      <c r="BF76" s="116"/>
      <c r="BG76" s="116"/>
      <c r="BH76" s="116"/>
      <c r="BI76" s="116"/>
      <c r="BJ76" s="116"/>
      <c r="BK76" s="116"/>
    </row>
    <row r="77" spans="1:63" s="1" customFormat="1" outlineLevel="1">
      <c r="A77" s="1" t="s">
        <v>1044</v>
      </c>
      <c r="B77" s="60"/>
      <c r="C77" s="250">
        <f t="shared" ref="C77:AG77" si="42">C39*C67</f>
        <v>0</v>
      </c>
      <c r="D77" s="250">
        <f t="shared" si="42"/>
        <v>0</v>
      </c>
      <c r="E77" s="250">
        <f t="shared" si="42"/>
        <v>0</v>
      </c>
      <c r="F77" s="250">
        <f t="shared" si="42"/>
        <v>0</v>
      </c>
      <c r="G77" s="250">
        <f t="shared" si="42"/>
        <v>0</v>
      </c>
      <c r="H77" s="250">
        <f t="shared" si="42"/>
        <v>0</v>
      </c>
      <c r="I77" s="250">
        <f t="shared" si="42"/>
        <v>0</v>
      </c>
      <c r="J77" s="250">
        <f t="shared" si="42"/>
        <v>0</v>
      </c>
      <c r="K77" s="250">
        <f t="shared" si="42"/>
        <v>0</v>
      </c>
      <c r="L77" s="250">
        <f t="shared" si="42"/>
        <v>0</v>
      </c>
      <c r="M77" s="250">
        <f t="shared" si="42"/>
        <v>0</v>
      </c>
      <c r="N77" s="250">
        <f t="shared" si="42"/>
        <v>0</v>
      </c>
      <c r="O77" s="250">
        <f t="shared" si="42"/>
        <v>0</v>
      </c>
      <c r="P77" s="250">
        <f t="shared" si="42"/>
        <v>0</v>
      </c>
      <c r="Q77" s="250">
        <f t="shared" si="42"/>
        <v>0</v>
      </c>
      <c r="R77" s="250">
        <f t="shared" si="42"/>
        <v>0</v>
      </c>
      <c r="S77" s="250">
        <f t="shared" si="42"/>
        <v>0</v>
      </c>
      <c r="T77" s="250">
        <f t="shared" si="42"/>
        <v>0</v>
      </c>
      <c r="U77" s="250">
        <f t="shared" si="42"/>
        <v>0</v>
      </c>
      <c r="V77" s="250">
        <f t="shared" si="42"/>
        <v>0</v>
      </c>
      <c r="W77" s="250">
        <f t="shared" si="42"/>
        <v>0</v>
      </c>
      <c r="X77" s="250">
        <f t="shared" si="42"/>
        <v>0</v>
      </c>
      <c r="Y77" s="250">
        <f t="shared" si="42"/>
        <v>0</v>
      </c>
      <c r="Z77" s="250">
        <f t="shared" si="42"/>
        <v>0</v>
      </c>
      <c r="AA77" s="250">
        <f t="shared" si="42"/>
        <v>0</v>
      </c>
      <c r="AB77" s="250">
        <f t="shared" si="42"/>
        <v>0</v>
      </c>
      <c r="AC77" s="250">
        <f t="shared" si="42"/>
        <v>0</v>
      </c>
      <c r="AD77" s="250">
        <f t="shared" si="42"/>
        <v>0</v>
      </c>
      <c r="AE77" s="250">
        <f t="shared" si="42"/>
        <v>0</v>
      </c>
      <c r="AF77" s="250">
        <f t="shared" si="42"/>
        <v>0</v>
      </c>
      <c r="AG77" s="250">
        <f t="shared" si="42"/>
        <v>0</v>
      </c>
      <c r="AH77" s="217"/>
      <c r="AI77" s="368"/>
      <c r="AJ77" s="369"/>
      <c r="AL77" s="194"/>
      <c r="AM77" s="116"/>
      <c r="AN77" s="116"/>
      <c r="AO77" s="116"/>
      <c r="BD77" s="116"/>
      <c r="BE77" s="116"/>
      <c r="BF77" s="116"/>
      <c r="BG77" s="116"/>
      <c r="BH77" s="116"/>
      <c r="BI77" s="116"/>
      <c r="BJ77" s="116"/>
      <c r="BK77" s="116"/>
    </row>
    <row r="78" spans="1:63" s="1" customFormat="1" outlineLevel="1">
      <c r="A78" s="1" t="s">
        <v>1047</v>
      </c>
      <c r="B78" s="60"/>
      <c r="C78" s="250">
        <f t="shared" ref="C78:AG78" si="43">C77-$C77</f>
        <v>0</v>
      </c>
      <c r="D78" s="250">
        <f t="shared" si="43"/>
        <v>0</v>
      </c>
      <c r="E78" s="250">
        <f t="shared" si="43"/>
        <v>0</v>
      </c>
      <c r="F78" s="250">
        <f t="shared" si="43"/>
        <v>0</v>
      </c>
      <c r="G78" s="250">
        <f t="shared" si="43"/>
        <v>0</v>
      </c>
      <c r="H78" s="250">
        <f t="shared" si="43"/>
        <v>0</v>
      </c>
      <c r="I78" s="250">
        <f t="shared" si="43"/>
        <v>0</v>
      </c>
      <c r="J78" s="250">
        <f t="shared" si="43"/>
        <v>0</v>
      </c>
      <c r="K78" s="250">
        <f t="shared" si="43"/>
        <v>0</v>
      </c>
      <c r="L78" s="250">
        <f t="shared" si="43"/>
        <v>0</v>
      </c>
      <c r="M78" s="250">
        <f t="shared" si="43"/>
        <v>0</v>
      </c>
      <c r="N78" s="250">
        <f t="shared" si="43"/>
        <v>0</v>
      </c>
      <c r="O78" s="250">
        <f t="shared" si="43"/>
        <v>0</v>
      </c>
      <c r="P78" s="250">
        <f t="shared" si="43"/>
        <v>0</v>
      </c>
      <c r="Q78" s="250">
        <f t="shared" si="43"/>
        <v>0</v>
      </c>
      <c r="R78" s="250">
        <f t="shared" si="43"/>
        <v>0</v>
      </c>
      <c r="S78" s="250">
        <f t="shared" si="43"/>
        <v>0</v>
      </c>
      <c r="T78" s="250">
        <f t="shared" si="43"/>
        <v>0</v>
      </c>
      <c r="U78" s="250">
        <f t="shared" si="43"/>
        <v>0</v>
      </c>
      <c r="V78" s="250">
        <f t="shared" si="43"/>
        <v>0</v>
      </c>
      <c r="W78" s="250">
        <f t="shared" si="43"/>
        <v>0</v>
      </c>
      <c r="X78" s="250">
        <f t="shared" si="43"/>
        <v>0</v>
      </c>
      <c r="Y78" s="250">
        <f t="shared" si="43"/>
        <v>0</v>
      </c>
      <c r="Z78" s="250">
        <f t="shared" si="43"/>
        <v>0</v>
      </c>
      <c r="AA78" s="250">
        <f t="shared" si="43"/>
        <v>0</v>
      </c>
      <c r="AB78" s="250">
        <f t="shared" si="43"/>
        <v>0</v>
      </c>
      <c r="AC78" s="250">
        <f t="shared" si="43"/>
        <v>0</v>
      </c>
      <c r="AD78" s="250">
        <f t="shared" si="43"/>
        <v>0</v>
      </c>
      <c r="AE78" s="250">
        <f t="shared" si="43"/>
        <v>0</v>
      </c>
      <c r="AF78" s="250">
        <f t="shared" si="43"/>
        <v>0</v>
      </c>
      <c r="AG78" s="250">
        <f t="shared" si="43"/>
        <v>0</v>
      </c>
      <c r="AH78" s="217"/>
      <c r="AI78" s="368"/>
      <c r="AJ78" s="369"/>
      <c r="AL78" s="194"/>
      <c r="AM78" s="116"/>
      <c r="AN78" s="116"/>
      <c r="AO78" s="116"/>
      <c r="BD78" s="116"/>
      <c r="BE78" s="116"/>
      <c r="BF78" s="116"/>
      <c r="BG78" s="116"/>
      <c r="BH78" s="116"/>
      <c r="BI78" s="116"/>
      <c r="BJ78" s="116"/>
      <c r="BK78" s="116"/>
    </row>
    <row r="79" spans="1:63" outlineLevel="1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I79" s="125"/>
      <c r="AJ79" s="185"/>
      <c r="AL79" s="100"/>
      <c r="AM79" s="123"/>
      <c r="AN79" s="2"/>
      <c r="AO79" s="2"/>
    </row>
    <row r="80" spans="1:63" s="174" customFormat="1" ht="15.5" thickBot="1">
      <c r="A80" s="174" t="s">
        <v>421</v>
      </c>
      <c r="B80" s="189"/>
      <c r="C80" s="195">
        <f>C81</f>
        <v>0.17</v>
      </c>
      <c r="D80" s="195">
        <f t="shared" ref="D80:AG80" si="44">D81</f>
        <v>0.18100000000000002</v>
      </c>
      <c r="E80" s="195">
        <f t="shared" si="44"/>
        <v>0.192</v>
      </c>
      <c r="F80" s="195">
        <f t="shared" si="44"/>
        <v>0.20300000000000001</v>
      </c>
      <c r="G80" s="195">
        <f t="shared" si="44"/>
        <v>0.21400000000000002</v>
      </c>
      <c r="H80" s="195">
        <f t="shared" si="44"/>
        <v>0.22500000000000003</v>
      </c>
      <c r="I80" s="195">
        <f t="shared" si="44"/>
        <v>0.23600000000000002</v>
      </c>
      <c r="J80" s="195">
        <f t="shared" si="44"/>
        <v>0.24700000000000003</v>
      </c>
      <c r="K80" s="195">
        <f t="shared" si="44"/>
        <v>0.25800000000000001</v>
      </c>
      <c r="L80" s="195">
        <f t="shared" si="44"/>
        <v>0.26900000000000002</v>
      </c>
      <c r="M80" s="195">
        <f t="shared" si="44"/>
        <v>0.28000000000000003</v>
      </c>
      <c r="N80" s="195">
        <f t="shared" si="44"/>
        <v>0.29100000000000004</v>
      </c>
      <c r="O80" s="195">
        <f t="shared" si="44"/>
        <v>0.30200000000000005</v>
      </c>
      <c r="P80" s="195">
        <f t="shared" si="44"/>
        <v>0.31300000000000006</v>
      </c>
      <c r="Q80" s="195">
        <f t="shared" si="44"/>
        <v>0.32400000000000001</v>
      </c>
      <c r="R80" s="195">
        <f t="shared" si="44"/>
        <v>0.33500000000000002</v>
      </c>
      <c r="S80" s="195">
        <f t="shared" si="44"/>
        <v>0.34600000000000003</v>
      </c>
      <c r="T80" s="195">
        <f t="shared" si="44"/>
        <v>0.35700000000000004</v>
      </c>
      <c r="U80" s="195">
        <f t="shared" si="44"/>
        <v>0.36799999999999999</v>
      </c>
      <c r="V80" s="195">
        <f t="shared" si="44"/>
        <v>0.379</v>
      </c>
      <c r="W80" s="195">
        <f t="shared" si="44"/>
        <v>0.39</v>
      </c>
      <c r="X80" s="195">
        <f t="shared" si="44"/>
        <v>0.40100000000000002</v>
      </c>
      <c r="Y80" s="195">
        <f t="shared" si="44"/>
        <v>0.41200000000000003</v>
      </c>
      <c r="Z80" s="195">
        <f t="shared" si="44"/>
        <v>0.42300000000000004</v>
      </c>
      <c r="AA80" s="195">
        <f t="shared" si="44"/>
        <v>0.434</v>
      </c>
      <c r="AB80" s="195">
        <f t="shared" si="44"/>
        <v>0.44500000000000001</v>
      </c>
      <c r="AC80" s="195">
        <f t="shared" si="44"/>
        <v>0.45600000000000002</v>
      </c>
      <c r="AD80" s="195">
        <f t="shared" si="44"/>
        <v>0.46700000000000003</v>
      </c>
      <c r="AE80" s="195">
        <f t="shared" si="44"/>
        <v>0.47799999999999998</v>
      </c>
      <c r="AF80" s="195">
        <f t="shared" si="44"/>
        <v>0.48899999999999999</v>
      </c>
      <c r="AG80" s="195">
        <f t="shared" si="44"/>
        <v>0.5</v>
      </c>
      <c r="AJ80" s="204" t="s">
        <v>457</v>
      </c>
      <c r="AL80" s="191"/>
      <c r="AM80" s="192"/>
      <c r="AN80" s="192"/>
      <c r="AO80" s="192"/>
    </row>
    <row r="81" spans="1:63" ht="15.5" outlineLevel="1" thickTop="1">
      <c r="A81" t="s">
        <v>413</v>
      </c>
      <c r="B81" s="50" t="s">
        <v>126</v>
      </c>
      <c r="C81" s="558">
        <f>'Butadiene Recycling HC'!C81</f>
        <v>0.17</v>
      </c>
      <c r="D81" s="102">
        <f>$C81+($M81-$C81)/10*(D$1-$C$1)</f>
        <v>0.18100000000000002</v>
      </c>
      <c r="E81" s="102">
        <f t="shared" ref="E81:L81" si="45">$C81+($M81-$C81)/10*(E$1-$C$1)</f>
        <v>0.192</v>
      </c>
      <c r="F81" s="102">
        <f t="shared" si="45"/>
        <v>0.20300000000000001</v>
      </c>
      <c r="G81" s="102">
        <f t="shared" si="45"/>
        <v>0.21400000000000002</v>
      </c>
      <c r="H81" s="102">
        <f t="shared" si="45"/>
        <v>0.22500000000000003</v>
      </c>
      <c r="I81" s="102">
        <f t="shared" si="45"/>
        <v>0.23600000000000002</v>
      </c>
      <c r="J81" s="102">
        <f t="shared" si="45"/>
        <v>0.24700000000000003</v>
      </c>
      <c r="K81" s="102">
        <f t="shared" si="45"/>
        <v>0.25800000000000001</v>
      </c>
      <c r="L81" s="102">
        <f t="shared" si="45"/>
        <v>0.26900000000000002</v>
      </c>
      <c r="M81" s="113">
        <f>C81+(AG81-C81)/3</f>
        <v>0.28000000000000003</v>
      </c>
      <c r="N81" s="113">
        <f>$M81+($W81-$M81)/10*(N$1-$M$1)</f>
        <v>0.29100000000000004</v>
      </c>
      <c r="O81" s="113">
        <f t="shared" ref="O81:U81" si="46">$M81+($W81-$M81)/10*(O$1-$M$1)</f>
        <v>0.30200000000000005</v>
      </c>
      <c r="P81" s="113">
        <f t="shared" si="46"/>
        <v>0.31300000000000006</v>
      </c>
      <c r="Q81" s="113">
        <f t="shared" si="46"/>
        <v>0.32400000000000001</v>
      </c>
      <c r="R81" s="113">
        <f t="shared" si="46"/>
        <v>0.33500000000000002</v>
      </c>
      <c r="S81" s="113">
        <f t="shared" si="46"/>
        <v>0.34600000000000003</v>
      </c>
      <c r="T81" s="113">
        <f t="shared" si="46"/>
        <v>0.35700000000000004</v>
      </c>
      <c r="U81" s="113">
        <f t="shared" si="46"/>
        <v>0.36799999999999999</v>
      </c>
      <c r="V81" s="113">
        <f>$M81+($W81-$M81)/10*(V$1-$M$1)</f>
        <v>0.379</v>
      </c>
      <c r="W81" s="113">
        <f>C81+(AG81-C81)*2/3</f>
        <v>0.39</v>
      </c>
      <c r="X81" s="102">
        <f>$W81+($AG81-$W81)/10*(X$1-$W$1)</f>
        <v>0.40100000000000002</v>
      </c>
      <c r="Y81" s="102">
        <f t="shared" ref="Y81:AF81" si="47">$W81+($AG81-$W81)/10*(Y$1-$W$1)</f>
        <v>0.41200000000000003</v>
      </c>
      <c r="Z81" s="102">
        <f t="shared" si="47"/>
        <v>0.42300000000000004</v>
      </c>
      <c r="AA81" s="102">
        <f t="shared" si="47"/>
        <v>0.434</v>
      </c>
      <c r="AB81" s="102">
        <f t="shared" si="47"/>
        <v>0.44500000000000001</v>
      </c>
      <c r="AC81" s="102">
        <f t="shared" si="47"/>
        <v>0.45600000000000002</v>
      </c>
      <c r="AD81" s="102">
        <f t="shared" si="47"/>
        <v>0.46700000000000003</v>
      </c>
      <c r="AE81" s="102">
        <f t="shared" si="47"/>
        <v>0.47799999999999998</v>
      </c>
      <c r="AF81" s="102">
        <f t="shared" si="47"/>
        <v>0.48899999999999999</v>
      </c>
      <c r="AG81" s="188">
        <v>0.5</v>
      </c>
      <c r="AJ81" s="185" t="s">
        <v>1469</v>
      </c>
    </row>
    <row r="82" spans="1:63" outlineLevel="1">
      <c r="A82" t="s">
        <v>414</v>
      </c>
      <c r="B82" s="50" t="s">
        <v>126</v>
      </c>
      <c r="C82" s="188">
        <v>0</v>
      </c>
      <c r="D82" s="102">
        <f t="shared" ref="D82:AF82" si="48">C82-($C$82-$AG$82)/($AG$1-$C$1)</f>
        <v>0.01</v>
      </c>
      <c r="E82" s="102">
        <f t="shared" si="48"/>
        <v>0.02</v>
      </c>
      <c r="F82" s="102">
        <f t="shared" si="48"/>
        <v>0.03</v>
      </c>
      <c r="G82" s="102">
        <f t="shared" si="48"/>
        <v>0.04</v>
      </c>
      <c r="H82" s="102">
        <f t="shared" si="48"/>
        <v>0.05</v>
      </c>
      <c r="I82" s="102">
        <f t="shared" si="48"/>
        <v>6.0000000000000005E-2</v>
      </c>
      <c r="J82" s="102">
        <f t="shared" si="48"/>
        <v>7.0000000000000007E-2</v>
      </c>
      <c r="K82" s="102">
        <f t="shared" si="48"/>
        <v>0.08</v>
      </c>
      <c r="L82" s="102">
        <f t="shared" si="48"/>
        <v>0.09</v>
      </c>
      <c r="M82" s="102">
        <f t="shared" si="48"/>
        <v>9.9999999999999992E-2</v>
      </c>
      <c r="N82" s="102">
        <f t="shared" si="48"/>
        <v>0.10999999999999999</v>
      </c>
      <c r="O82" s="102">
        <f t="shared" si="48"/>
        <v>0.11999999999999998</v>
      </c>
      <c r="P82" s="102">
        <f t="shared" si="48"/>
        <v>0.12999999999999998</v>
      </c>
      <c r="Q82" s="102">
        <f t="shared" si="48"/>
        <v>0.13999999999999999</v>
      </c>
      <c r="R82" s="102">
        <f t="shared" si="48"/>
        <v>0.15</v>
      </c>
      <c r="S82" s="102">
        <f t="shared" si="48"/>
        <v>0.16</v>
      </c>
      <c r="T82" s="102">
        <f t="shared" si="48"/>
        <v>0.17</v>
      </c>
      <c r="U82" s="102">
        <f t="shared" si="48"/>
        <v>0.18000000000000002</v>
      </c>
      <c r="V82" s="102">
        <f t="shared" si="48"/>
        <v>0.19000000000000003</v>
      </c>
      <c r="W82" s="102">
        <f t="shared" si="48"/>
        <v>0.20000000000000004</v>
      </c>
      <c r="X82" s="102">
        <f t="shared" si="48"/>
        <v>0.21000000000000005</v>
      </c>
      <c r="Y82" s="102">
        <f t="shared" si="48"/>
        <v>0.22000000000000006</v>
      </c>
      <c r="Z82" s="102">
        <f t="shared" si="48"/>
        <v>0.23000000000000007</v>
      </c>
      <c r="AA82" s="102">
        <f t="shared" si="48"/>
        <v>0.24000000000000007</v>
      </c>
      <c r="AB82" s="102">
        <f t="shared" si="48"/>
        <v>0.25000000000000006</v>
      </c>
      <c r="AC82" s="102">
        <f t="shared" si="48"/>
        <v>0.26000000000000006</v>
      </c>
      <c r="AD82" s="102">
        <f t="shared" si="48"/>
        <v>0.27000000000000007</v>
      </c>
      <c r="AE82" s="102">
        <f t="shared" si="48"/>
        <v>0.28000000000000008</v>
      </c>
      <c r="AF82" s="102">
        <f t="shared" si="48"/>
        <v>0.29000000000000009</v>
      </c>
      <c r="AG82" s="188">
        <v>0.3</v>
      </c>
      <c r="AI82" s="125"/>
      <c r="AJ82" s="185" t="s">
        <v>789</v>
      </c>
      <c r="AL82" s="50" t="s">
        <v>298</v>
      </c>
    </row>
    <row r="83" spans="1:63" outlineLevel="1">
      <c r="A83" t="s">
        <v>415</v>
      </c>
      <c r="B83" s="156" t="s">
        <v>126</v>
      </c>
      <c r="C83" s="102">
        <f>1-C82</f>
        <v>1</v>
      </c>
      <c r="D83" s="102">
        <f t="shared" ref="D83:AG83" si="49">1-D82</f>
        <v>0.99</v>
      </c>
      <c r="E83" s="102">
        <f t="shared" si="49"/>
        <v>0.98</v>
      </c>
      <c r="F83" s="102">
        <f t="shared" si="49"/>
        <v>0.97</v>
      </c>
      <c r="G83" s="102">
        <f t="shared" si="49"/>
        <v>0.96</v>
      </c>
      <c r="H83" s="102">
        <f t="shared" si="49"/>
        <v>0.95</v>
      </c>
      <c r="I83" s="102">
        <f t="shared" si="49"/>
        <v>0.94</v>
      </c>
      <c r="J83" s="102">
        <f t="shared" si="49"/>
        <v>0.92999999999999994</v>
      </c>
      <c r="K83" s="102">
        <f t="shared" si="49"/>
        <v>0.92</v>
      </c>
      <c r="L83" s="102">
        <f t="shared" si="49"/>
        <v>0.91</v>
      </c>
      <c r="M83" s="102">
        <f t="shared" si="49"/>
        <v>0.9</v>
      </c>
      <c r="N83" s="102">
        <f t="shared" si="49"/>
        <v>0.89</v>
      </c>
      <c r="O83" s="102">
        <f t="shared" si="49"/>
        <v>0.88</v>
      </c>
      <c r="P83" s="102">
        <f t="shared" si="49"/>
        <v>0.87</v>
      </c>
      <c r="Q83" s="102">
        <f t="shared" si="49"/>
        <v>0.86</v>
      </c>
      <c r="R83" s="102">
        <f t="shared" si="49"/>
        <v>0.85</v>
      </c>
      <c r="S83" s="102">
        <f t="shared" si="49"/>
        <v>0.84</v>
      </c>
      <c r="T83" s="102">
        <f t="shared" si="49"/>
        <v>0.83</v>
      </c>
      <c r="U83" s="102">
        <f t="shared" si="49"/>
        <v>0.82</v>
      </c>
      <c r="V83" s="102">
        <f t="shared" si="49"/>
        <v>0.80999999999999994</v>
      </c>
      <c r="W83" s="102">
        <f t="shared" si="49"/>
        <v>0.79999999999999993</v>
      </c>
      <c r="X83" s="102">
        <f t="shared" si="49"/>
        <v>0.78999999999999992</v>
      </c>
      <c r="Y83" s="102">
        <f t="shared" si="49"/>
        <v>0.77999999999999992</v>
      </c>
      <c r="Z83" s="102">
        <f t="shared" si="49"/>
        <v>0.76999999999999991</v>
      </c>
      <c r="AA83" s="102">
        <f t="shared" si="49"/>
        <v>0.7599999999999999</v>
      </c>
      <c r="AB83" s="102">
        <f t="shared" si="49"/>
        <v>0.75</v>
      </c>
      <c r="AC83" s="102">
        <f t="shared" si="49"/>
        <v>0.74</v>
      </c>
      <c r="AD83" s="102">
        <f t="shared" si="49"/>
        <v>0.73</v>
      </c>
      <c r="AE83" s="102">
        <f t="shared" si="49"/>
        <v>0.72</v>
      </c>
      <c r="AF83" s="102">
        <f t="shared" si="49"/>
        <v>0.71</v>
      </c>
      <c r="AG83" s="102">
        <f t="shared" si="49"/>
        <v>0.7</v>
      </c>
      <c r="AI83" s="125"/>
      <c r="AJ83" s="185"/>
      <c r="BD83" s="605"/>
      <c r="BE83" s="605"/>
    </row>
    <row r="84" spans="1:63" outlineLevel="1">
      <c r="A84" t="s">
        <v>480</v>
      </c>
      <c r="B84" s="50" t="s">
        <v>126</v>
      </c>
      <c r="C84" s="102">
        <f>C81*C82</f>
        <v>0</v>
      </c>
      <c r="D84" s="102">
        <f t="shared" ref="D84:AG84" si="50">D81*D82</f>
        <v>1.8100000000000002E-3</v>
      </c>
      <c r="E84" s="102">
        <f t="shared" si="50"/>
        <v>3.8400000000000001E-3</v>
      </c>
      <c r="F84" s="102">
        <f t="shared" si="50"/>
        <v>6.0899999999999999E-3</v>
      </c>
      <c r="G84" s="102">
        <f t="shared" si="50"/>
        <v>8.5600000000000016E-3</v>
      </c>
      <c r="H84" s="102">
        <f t="shared" si="50"/>
        <v>1.1250000000000003E-2</v>
      </c>
      <c r="I84" s="102">
        <f t="shared" si="50"/>
        <v>1.4160000000000002E-2</v>
      </c>
      <c r="J84" s="102">
        <f t="shared" si="50"/>
        <v>1.7290000000000003E-2</v>
      </c>
      <c r="K84" s="102">
        <f t="shared" si="50"/>
        <v>2.0640000000000002E-2</v>
      </c>
      <c r="L84" s="102">
        <f t="shared" si="50"/>
        <v>2.4210000000000002E-2</v>
      </c>
      <c r="M84" s="102">
        <f t="shared" si="50"/>
        <v>2.8000000000000001E-2</v>
      </c>
      <c r="N84" s="102">
        <f t="shared" si="50"/>
        <v>3.2009999999999997E-2</v>
      </c>
      <c r="O84" s="102">
        <f t="shared" si="50"/>
        <v>3.6240000000000001E-2</v>
      </c>
      <c r="P84" s="102">
        <f t="shared" si="50"/>
        <v>4.0689999999999997E-2</v>
      </c>
      <c r="Q84" s="102">
        <f t="shared" si="50"/>
        <v>4.5359999999999998E-2</v>
      </c>
      <c r="R84" s="102">
        <f t="shared" si="50"/>
        <v>5.0250000000000003E-2</v>
      </c>
      <c r="S84" s="102">
        <f t="shared" si="50"/>
        <v>5.5360000000000006E-2</v>
      </c>
      <c r="T84" s="102">
        <f t="shared" si="50"/>
        <v>6.0690000000000008E-2</v>
      </c>
      <c r="U84" s="102">
        <f t="shared" si="50"/>
        <v>6.6240000000000007E-2</v>
      </c>
      <c r="V84" s="102">
        <f t="shared" si="50"/>
        <v>7.2010000000000018E-2</v>
      </c>
      <c r="W84" s="102">
        <f t="shared" si="50"/>
        <v>7.8000000000000014E-2</v>
      </c>
      <c r="X84" s="102">
        <f t="shared" si="50"/>
        <v>8.4210000000000021E-2</v>
      </c>
      <c r="Y84" s="102">
        <f t="shared" si="50"/>
        <v>9.0640000000000026E-2</v>
      </c>
      <c r="Z84" s="102">
        <f t="shared" si="50"/>
        <v>9.7290000000000043E-2</v>
      </c>
      <c r="AA84" s="102">
        <f t="shared" si="50"/>
        <v>0.10416000000000003</v>
      </c>
      <c r="AB84" s="102">
        <f t="shared" si="50"/>
        <v>0.11125000000000003</v>
      </c>
      <c r="AC84" s="102">
        <f t="shared" si="50"/>
        <v>0.11856000000000004</v>
      </c>
      <c r="AD84" s="102">
        <f t="shared" si="50"/>
        <v>0.12609000000000004</v>
      </c>
      <c r="AE84" s="102">
        <f t="shared" si="50"/>
        <v>0.13384000000000004</v>
      </c>
      <c r="AF84" s="102">
        <f t="shared" si="50"/>
        <v>0.14181000000000005</v>
      </c>
      <c r="AG84" s="102">
        <f t="shared" si="50"/>
        <v>0.15</v>
      </c>
      <c r="AI84" s="125"/>
      <c r="AJ84" s="185"/>
      <c r="BD84" s="177"/>
      <c r="BE84" s="177"/>
    </row>
    <row r="85" spans="1:63" outlineLevel="1">
      <c r="A85" t="s">
        <v>481</v>
      </c>
      <c r="B85" s="50" t="s">
        <v>126</v>
      </c>
      <c r="C85" s="102">
        <f>C81*C83</f>
        <v>0.17</v>
      </c>
      <c r="D85" s="102">
        <f t="shared" ref="D85:AG85" si="51">D81*D83</f>
        <v>0.17919000000000002</v>
      </c>
      <c r="E85" s="102">
        <f t="shared" si="51"/>
        <v>0.18815999999999999</v>
      </c>
      <c r="F85" s="102">
        <f t="shared" si="51"/>
        <v>0.19691</v>
      </c>
      <c r="G85" s="102">
        <f t="shared" si="51"/>
        <v>0.20544000000000001</v>
      </c>
      <c r="H85" s="102">
        <f t="shared" si="51"/>
        <v>0.21375000000000002</v>
      </c>
      <c r="I85" s="102">
        <f t="shared" si="51"/>
        <v>0.22184000000000001</v>
      </c>
      <c r="J85" s="102">
        <f t="shared" si="51"/>
        <v>0.22971</v>
      </c>
      <c r="K85" s="102">
        <f t="shared" si="51"/>
        <v>0.23736000000000002</v>
      </c>
      <c r="L85" s="102">
        <f t="shared" si="51"/>
        <v>0.24479000000000004</v>
      </c>
      <c r="M85" s="102">
        <f t="shared" si="51"/>
        <v>0.25200000000000006</v>
      </c>
      <c r="N85" s="102">
        <f t="shared" si="51"/>
        <v>0.25899000000000005</v>
      </c>
      <c r="O85" s="102">
        <f t="shared" si="51"/>
        <v>0.26576000000000005</v>
      </c>
      <c r="P85" s="102">
        <f t="shared" si="51"/>
        <v>0.27231000000000005</v>
      </c>
      <c r="Q85" s="102">
        <f t="shared" si="51"/>
        <v>0.27864</v>
      </c>
      <c r="R85" s="102">
        <f t="shared" si="51"/>
        <v>0.28475</v>
      </c>
      <c r="S85" s="102">
        <f t="shared" si="51"/>
        <v>0.29064000000000001</v>
      </c>
      <c r="T85" s="102">
        <f t="shared" si="51"/>
        <v>0.29631000000000002</v>
      </c>
      <c r="U85" s="102">
        <f t="shared" si="51"/>
        <v>0.30175999999999997</v>
      </c>
      <c r="V85" s="102">
        <f t="shared" si="51"/>
        <v>0.30698999999999999</v>
      </c>
      <c r="W85" s="102">
        <f t="shared" si="51"/>
        <v>0.312</v>
      </c>
      <c r="X85" s="102">
        <f t="shared" si="51"/>
        <v>0.31678999999999996</v>
      </c>
      <c r="Y85" s="102">
        <f t="shared" si="51"/>
        <v>0.32135999999999998</v>
      </c>
      <c r="Z85" s="102">
        <f t="shared" si="51"/>
        <v>0.32571</v>
      </c>
      <c r="AA85" s="102">
        <f t="shared" si="51"/>
        <v>0.32983999999999997</v>
      </c>
      <c r="AB85" s="102">
        <f t="shared" si="51"/>
        <v>0.33374999999999999</v>
      </c>
      <c r="AC85" s="102">
        <f t="shared" si="51"/>
        <v>0.33744000000000002</v>
      </c>
      <c r="AD85" s="102">
        <f t="shared" si="51"/>
        <v>0.34090999999999999</v>
      </c>
      <c r="AE85" s="102">
        <f t="shared" si="51"/>
        <v>0.34415999999999997</v>
      </c>
      <c r="AF85" s="102">
        <f t="shared" si="51"/>
        <v>0.34719</v>
      </c>
      <c r="AG85" s="102">
        <f t="shared" si="51"/>
        <v>0.35</v>
      </c>
      <c r="AI85" s="125"/>
      <c r="AJ85" s="185"/>
      <c r="BD85" s="177"/>
      <c r="BE85" s="177"/>
    </row>
    <row r="86" spans="1:63" outlineLevel="1">
      <c r="B86" s="156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I86" s="125"/>
      <c r="AJ86" s="185"/>
      <c r="BD86" s="177"/>
      <c r="BE86" s="177"/>
    </row>
    <row r="87" spans="1:63" outlineLevel="1">
      <c r="A87" t="s">
        <v>422</v>
      </c>
      <c r="B87" s="50" t="s">
        <v>126</v>
      </c>
      <c r="C87" s="188">
        <v>0.9</v>
      </c>
      <c r="D87" s="102">
        <f>C87</f>
        <v>0.9</v>
      </c>
      <c r="E87" s="102">
        <f t="shared" ref="E87:T87" si="52">D87</f>
        <v>0.9</v>
      </c>
      <c r="F87" s="102">
        <f t="shared" si="52"/>
        <v>0.9</v>
      </c>
      <c r="G87" s="102">
        <f t="shared" si="52"/>
        <v>0.9</v>
      </c>
      <c r="H87" s="102">
        <f t="shared" si="52"/>
        <v>0.9</v>
      </c>
      <c r="I87" s="102">
        <f t="shared" si="52"/>
        <v>0.9</v>
      </c>
      <c r="J87" s="102">
        <f t="shared" si="52"/>
        <v>0.9</v>
      </c>
      <c r="K87" s="102">
        <f t="shared" si="52"/>
        <v>0.9</v>
      </c>
      <c r="L87" s="102">
        <f t="shared" si="52"/>
        <v>0.9</v>
      </c>
      <c r="M87" s="102">
        <f t="shared" si="52"/>
        <v>0.9</v>
      </c>
      <c r="N87" s="102">
        <f t="shared" si="52"/>
        <v>0.9</v>
      </c>
      <c r="O87" s="102">
        <f t="shared" si="52"/>
        <v>0.9</v>
      </c>
      <c r="P87" s="102">
        <f t="shared" si="52"/>
        <v>0.9</v>
      </c>
      <c r="Q87" s="102">
        <f t="shared" si="52"/>
        <v>0.9</v>
      </c>
      <c r="R87" s="102">
        <f t="shared" si="52"/>
        <v>0.9</v>
      </c>
      <c r="S87" s="102">
        <f t="shared" si="52"/>
        <v>0.9</v>
      </c>
      <c r="T87" s="102">
        <f t="shared" si="52"/>
        <v>0.9</v>
      </c>
      <c r="U87" s="102">
        <f t="shared" ref="T87:AG89" si="53">T87</f>
        <v>0.9</v>
      </c>
      <c r="V87" s="102">
        <f t="shared" si="53"/>
        <v>0.9</v>
      </c>
      <c r="W87" s="102">
        <f t="shared" si="53"/>
        <v>0.9</v>
      </c>
      <c r="X87" s="102">
        <f t="shared" si="53"/>
        <v>0.9</v>
      </c>
      <c r="Y87" s="102">
        <f t="shared" si="53"/>
        <v>0.9</v>
      </c>
      <c r="Z87" s="102">
        <f t="shared" si="53"/>
        <v>0.9</v>
      </c>
      <c r="AA87" s="102">
        <f t="shared" si="53"/>
        <v>0.9</v>
      </c>
      <c r="AB87" s="102">
        <f t="shared" si="53"/>
        <v>0.9</v>
      </c>
      <c r="AC87" s="102">
        <f t="shared" si="53"/>
        <v>0.9</v>
      </c>
      <c r="AD87" s="102">
        <f t="shared" si="53"/>
        <v>0.9</v>
      </c>
      <c r="AE87" s="102">
        <f t="shared" si="53"/>
        <v>0.9</v>
      </c>
      <c r="AF87" s="102">
        <f t="shared" si="53"/>
        <v>0.9</v>
      </c>
      <c r="AG87" s="102">
        <f t="shared" si="53"/>
        <v>0.9</v>
      </c>
      <c r="AI87" s="124" t="s">
        <v>431</v>
      </c>
      <c r="AJ87" s="488" t="s">
        <v>1377</v>
      </c>
      <c r="BD87" s="177"/>
      <c r="BE87" s="177"/>
    </row>
    <row r="88" spans="1:63" outlineLevel="1">
      <c r="A88" t="s">
        <v>429</v>
      </c>
      <c r="B88" s="50" t="s">
        <v>126</v>
      </c>
      <c r="C88" s="188">
        <v>0</v>
      </c>
      <c r="D88" s="102">
        <f t="shared" ref="D88:S89" si="54">C88</f>
        <v>0</v>
      </c>
      <c r="E88" s="102">
        <f t="shared" si="54"/>
        <v>0</v>
      </c>
      <c r="F88" s="102">
        <f t="shared" si="54"/>
        <v>0</v>
      </c>
      <c r="G88" s="102">
        <f t="shared" si="54"/>
        <v>0</v>
      </c>
      <c r="H88" s="102">
        <f t="shared" si="54"/>
        <v>0</v>
      </c>
      <c r="I88" s="102">
        <f t="shared" si="54"/>
        <v>0</v>
      </c>
      <c r="J88" s="102">
        <f t="shared" si="54"/>
        <v>0</v>
      </c>
      <c r="K88" s="102">
        <f t="shared" si="54"/>
        <v>0</v>
      </c>
      <c r="L88" s="102">
        <f t="shared" si="54"/>
        <v>0</v>
      </c>
      <c r="M88" s="102">
        <f t="shared" si="54"/>
        <v>0</v>
      </c>
      <c r="N88" s="102">
        <f t="shared" si="54"/>
        <v>0</v>
      </c>
      <c r="O88" s="102">
        <f t="shared" si="54"/>
        <v>0</v>
      </c>
      <c r="P88" s="102">
        <f t="shared" si="54"/>
        <v>0</v>
      </c>
      <c r="Q88" s="102">
        <f t="shared" si="54"/>
        <v>0</v>
      </c>
      <c r="R88" s="102">
        <f t="shared" si="54"/>
        <v>0</v>
      </c>
      <c r="S88" s="102">
        <f t="shared" si="54"/>
        <v>0</v>
      </c>
      <c r="T88" s="102">
        <f t="shared" si="53"/>
        <v>0</v>
      </c>
      <c r="U88" s="102">
        <f t="shared" si="53"/>
        <v>0</v>
      </c>
      <c r="V88" s="102">
        <f t="shared" si="53"/>
        <v>0</v>
      </c>
      <c r="W88" s="102">
        <f t="shared" si="53"/>
        <v>0</v>
      </c>
      <c r="X88" s="102">
        <f t="shared" si="53"/>
        <v>0</v>
      </c>
      <c r="Y88" s="102">
        <f t="shared" si="53"/>
        <v>0</v>
      </c>
      <c r="Z88" s="102">
        <f t="shared" si="53"/>
        <v>0</v>
      </c>
      <c r="AA88" s="102">
        <f t="shared" si="53"/>
        <v>0</v>
      </c>
      <c r="AB88" s="102">
        <f t="shared" si="53"/>
        <v>0</v>
      </c>
      <c r="AC88" s="102">
        <f t="shared" si="53"/>
        <v>0</v>
      </c>
      <c r="AD88" s="102">
        <f t="shared" si="53"/>
        <v>0</v>
      </c>
      <c r="AE88" s="102">
        <f t="shared" si="53"/>
        <v>0</v>
      </c>
      <c r="AF88" s="102">
        <f t="shared" si="53"/>
        <v>0</v>
      </c>
      <c r="AG88" s="102">
        <f t="shared" si="53"/>
        <v>0</v>
      </c>
      <c r="AI88" s="124" t="s">
        <v>431</v>
      </c>
      <c r="AJ88" s="205"/>
      <c r="AL88" s="1"/>
      <c r="BC88" s="1"/>
      <c r="BD88" s="615"/>
      <c r="BE88" s="605"/>
      <c r="BF88" s="6"/>
      <c r="BG88" s="6"/>
      <c r="BH88" s="6"/>
      <c r="BI88" s="6"/>
      <c r="BJ88" s="6"/>
    </row>
    <row r="89" spans="1:63" outlineLevel="1">
      <c r="A89" t="s">
        <v>430</v>
      </c>
      <c r="B89" s="50" t="s">
        <v>126</v>
      </c>
      <c r="C89" s="113">
        <f>1-C87-C88</f>
        <v>9.9999999999999978E-2</v>
      </c>
      <c r="D89" s="102">
        <f t="shared" si="54"/>
        <v>9.9999999999999978E-2</v>
      </c>
      <c r="E89" s="102">
        <f t="shared" si="54"/>
        <v>9.9999999999999978E-2</v>
      </c>
      <c r="F89" s="102">
        <f t="shared" si="54"/>
        <v>9.9999999999999978E-2</v>
      </c>
      <c r="G89" s="102">
        <f t="shared" si="54"/>
        <v>9.9999999999999978E-2</v>
      </c>
      <c r="H89" s="102">
        <f t="shared" si="54"/>
        <v>9.9999999999999978E-2</v>
      </c>
      <c r="I89" s="102">
        <f t="shared" si="54"/>
        <v>9.9999999999999978E-2</v>
      </c>
      <c r="J89" s="102">
        <f t="shared" si="54"/>
        <v>9.9999999999999978E-2</v>
      </c>
      <c r="K89" s="102">
        <f t="shared" si="54"/>
        <v>9.9999999999999978E-2</v>
      </c>
      <c r="L89" s="102">
        <f t="shared" si="54"/>
        <v>9.9999999999999978E-2</v>
      </c>
      <c r="M89" s="102">
        <f t="shared" si="54"/>
        <v>9.9999999999999978E-2</v>
      </c>
      <c r="N89" s="102">
        <f t="shared" si="54"/>
        <v>9.9999999999999978E-2</v>
      </c>
      <c r="O89" s="102">
        <f t="shared" si="54"/>
        <v>9.9999999999999978E-2</v>
      </c>
      <c r="P89" s="102">
        <f t="shared" si="54"/>
        <v>9.9999999999999978E-2</v>
      </c>
      <c r="Q89" s="102">
        <f t="shared" si="54"/>
        <v>9.9999999999999978E-2</v>
      </c>
      <c r="R89" s="102">
        <f t="shared" si="54"/>
        <v>9.9999999999999978E-2</v>
      </c>
      <c r="S89" s="102">
        <f t="shared" si="54"/>
        <v>9.9999999999999978E-2</v>
      </c>
      <c r="T89" s="102">
        <f t="shared" si="53"/>
        <v>9.9999999999999978E-2</v>
      </c>
      <c r="U89" s="102">
        <f t="shared" si="53"/>
        <v>9.9999999999999978E-2</v>
      </c>
      <c r="V89" s="102">
        <f t="shared" si="53"/>
        <v>9.9999999999999978E-2</v>
      </c>
      <c r="W89" s="102">
        <f t="shared" si="53"/>
        <v>9.9999999999999978E-2</v>
      </c>
      <c r="X89" s="102">
        <f t="shared" si="53"/>
        <v>9.9999999999999978E-2</v>
      </c>
      <c r="Y89" s="102">
        <f t="shared" si="53"/>
        <v>9.9999999999999978E-2</v>
      </c>
      <c r="Z89" s="102">
        <f t="shared" si="53"/>
        <v>9.9999999999999978E-2</v>
      </c>
      <c r="AA89" s="102">
        <f t="shared" si="53"/>
        <v>9.9999999999999978E-2</v>
      </c>
      <c r="AB89" s="102">
        <f t="shared" si="53"/>
        <v>9.9999999999999978E-2</v>
      </c>
      <c r="AC89" s="102">
        <f t="shared" si="53"/>
        <v>9.9999999999999978E-2</v>
      </c>
      <c r="AD89" s="102">
        <f t="shared" si="53"/>
        <v>9.9999999999999978E-2</v>
      </c>
      <c r="AE89" s="102">
        <f t="shared" si="53"/>
        <v>9.9999999999999978E-2</v>
      </c>
      <c r="AF89" s="102">
        <f t="shared" si="53"/>
        <v>9.9999999999999978E-2</v>
      </c>
      <c r="AG89" s="102">
        <f t="shared" si="53"/>
        <v>9.9999999999999978E-2</v>
      </c>
      <c r="AI89" s="124"/>
      <c r="AJ89" s="196"/>
      <c r="BC89" s="1"/>
      <c r="BD89" s="37"/>
      <c r="BF89" s="6"/>
      <c r="BG89" s="6"/>
      <c r="BH89" s="6"/>
      <c r="BI89" s="6"/>
      <c r="BJ89" s="6"/>
    </row>
    <row r="90" spans="1:63" outlineLevel="1">
      <c r="A90" t="s">
        <v>418</v>
      </c>
      <c r="B90" s="50" t="s">
        <v>126</v>
      </c>
      <c r="C90" s="102">
        <f>SUM(C87:C89)</f>
        <v>1</v>
      </c>
      <c r="D90" s="102">
        <f t="shared" ref="D90:AG90" si="55">SUM(D87:D89)</f>
        <v>1</v>
      </c>
      <c r="E90" s="102">
        <f t="shared" si="55"/>
        <v>1</v>
      </c>
      <c r="F90" s="102">
        <f t="shared" si="55"/>
        <v>1</v>
      </c>
      <c r="G90" s="102">
        <f t="shared" si="55"/>
        <v>1</v>
      </c>
      <c r="H90" s="102">
        <f t="shared" si="55"/>
        <v>1</v>
      </c>
      <c r="I90" s="102">
        <f t="shared" si="55"/>
        <v>1</v>
      </c>
      <c r="J90" s="102">
        <f t="shared" si="55"/>
        <v>1</v>
      </c>
      <c r="K90" s="102">
        <f t="shared" si="55"/>
        <v>1</v>
      </c>
      <c r="L90" s="102">
        <f t="shared" si="55"/>
        <v>1</v>
      </c>
      <c r="M90" s="102">
        <f t="shared" si="55"/>
        <v>1</v>
      </c>
      <c r="N90" s="102">
        <f t="shared" si="55"/>
        <v>1</v>
      </c>
      <c r="O90" s="102">
        <f t="shared" si="55"/>
        <v>1</v>
      </c>
      <c r="P90" s="102">
        <f t="shared" si="55"/>
        <v>1</v>
      </c>
      <c r="Q90" s="102">
        <f t="shared" si="55"/>
        <v>1</v>
      </c>
      <c r="R90" s="102">
        <f t="shared" si="55"/>
        <v>1</v>
      </c>
      <c r="S90" s="102">
        <f t="shared" si="55"/>
        <v>1</v>
      </c>
      <c r="T90" s="102">
        <f t="shared" si="55"/>
        <v>1</v>
      </c>
      <c r="U90" s="102">
        <f t="shared" si="55"/>
        <v>1</v>
      </c>
      <c r="V90" s="102">
        <f t="shared" si="55"/>
        <v>1</v>
      </c>
      <c r="W90" s="102">
        <f t="shared" si="55"/>
        <v>1</v>
      </c>
      <c r="X90" s="102">
        <f t="shared" si="55"/>
        <v>1</v>
      </c>
      <c r="Y90" s="102">
        <f t="shared" si="55"/>
        <v>1</v>
      </c>
      <c r="Z90" s="102">
        <f t="shared" si="55"/>
        <v>1</v>
      </c>
      <c r="AA90" s="102">
        <f t="shared" si="55"/>
        <v>1</v>
      </c>
      <c r="AB90" s="102">
        <f t="shared" si="55"/>
        <v>1</v>
      </c>
      <c r="AC90" s="102">
        <f t="shared" si="55"/>
        <v>1</v>
      </c>
      <c r="AD90" s="102">
        <f t="shared" si="55"/>
        <v>1</v>
      </c>
      <c r="AE90" s="102">
        <f t="shared" si="55"/>
        <v>1</v>
      </c>
      <c r="AF90" s="102">
        <f t="shared" si="55"/>
        <v>1</v>
      </c>
      <c r="AG90" s="102">
        <f t="shared" si="55"/>
        <v>1</v>
      </c>
      <c r="AI90" s="124"/>
      <c r="AJ90" s="185"/>
      <c r="BC90" s="1"/>
      <c r="BD90" s="37"/>
      <c r="BF90" s="6"/>
      <c r="BG90" s="6"/>
      <c r="BH90" s="6"/>
      <c r="BI90" s="6"/>
      <c r="BJ90" s="6"/>
    </row>
    <row r="91" spans="1:63" outlineLevel="1">
      <c r="C91" s="188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I91" s="124"/>
      <c r="AJ91" s="185"/>
      <c r="BC91" s="1"/>
      <c r="BD91" s="37"/>
      <c r="BF91" s="6"/>
      <c r="BG91" s="6"/>
      <c r="BH91" s="6"/>
      <c r="BI91" s="6"/>
      <c r="BJ91" s="6"/>
    </row>
    <row r="92" spans="1:63" outlineLevel="1">
      <c r="A92" t="s">
        <v>426</v>
      </c>
      <c r="B92" s="50" t="s">
        <v>126</v>
      </c>
      <c r="C92" s="102">
        <f>C87*C85</f>
        <v>0.15300000000000002</v>
      </c>
      <c r="D92" s="102">
        <f t="shared" ref="D92:AG92" si="56">D87*D85</f>
        <v>0.16127100000000003</v>
      </c>
      <c r="E92" s="102">
        <f t="shared" si="56"/>
        <v>0.16934399999999999</v>
      </c>
      <c r="F92" s="102">
        <f t="shared" si="56"/>
        <v>0.17721900000000002</v>
      </c>
      <c r="G92" s="102">
        <f t="shared" si="56"/>
        <v>0.184896</v>
      </c>
      <c r="H92" s="102">
        <f t="shared" si="56"/>
        <v>0.19237500000000002</v>
      </c>
      <c r="I92" s="102">
        <f t="shared" si="56"/>
        <v>0.199656</v>
      </c>
      <c r="J92" s="102">
        <f t="shared" si="56"/>
        <v>0.20673900000000001</v>
      </c>
      <c r="K92" s="102">
        <f t="shared" si="56"/>
        <v>0.21362400000000001</v>
      </c>
      <c r="L92" s="102">
        <f t="shared" si="56"/>
        <v>0.22031100000000003</v>
      </c>
      <c r="M92" s="102">
        <f t="shared" si="56"/>
        <v>0.22680000000000006</v>
      </c>
      <c r="N92" s="102">
        <f t="shared" si="56"/>
        <v>0.23309100000000005</v>
      </c>
      <c r="O92" s="102">
        <f t="shared" si="56"/>
        <v>0.23918400000000006</v>
      </c>
      <c r="P92" s="102">
        <f t="shared" si="56"/>
        <v>0.24507900000000005</v>
      </c>
      <c r="Q92" s="102">
        <f t="shared" si="56"/>
        <v>0.250776</v>
      </c>
      <c r="R92" s="102">
        <f t="shared" si="56"/>
        <v>0.25627500000000003</v>
      </c>
      <c r="S92" s="102">
        <f t="shared" si="56"/>
        <v>0.26157600000000003</v>
      </c>
      <c r="T92" s="102">
        <f t="shared" si="56"/>
        <v>0.266679</v>
      </c>
      <c r="U92" s="102">
        <f t="shared" si="56"/>
        <v>0.27158399999999999</v>
      </c>
      <c r="V92" s="102">
        <f t="shared" si="56"/>
        <v>0.27629100000000001</v>
      </c>
      <c r="W92" s="102">
        <f t="shared" si="56"/>
        <v>0.28079999999999999</v>
      </c>
      <c r="X92" s="102">
        <f t="shared" si="56"/>
        <v>0.28511099999999995</v>
      </c>
      <c r="Y92" s="102">
        <f t="shared" si="56"/>
        <v>0.28922399999999998</v>
      </c>
      <c r="Z92" s="102">
        <f t="shared" si="56"/>
        <v>0.29313899999999998</v>
      </c>
      <c r="AA92" s="102">
        <f t="shared" si="56"/>
        <v>0.29685599999999995</v>
      </c>
      <c r="AB92" s="102">
        <f t="shared" si="56"/>
        <v>0.300375</v>
      </c>
      <c r="AC92" s="102">
        <f t="shared" si="56"/>
        <v>0.30369600000000002</v>
      </c>
      <c r="AD92" s="102">
        <f t="shared" si="56"/>
        <v>0.30681900000000001</v>
      </c>
      <c r="AE92" s="102">
        <f t="shared" si="56"/>
        <v>0.30974399999999996</v>
      </c>
      <c r="AF92" s="102">
        <f t="shared" si="56"/>
        <v>0.312471</v>
      </c>
      <c r="AG92" s="102">
        <f t="shared" si="56"/>
        <v>0.315</v>
      </c>
      <c r="AI92" s="124"/>
      <c r="AJ92" s="185"/>
      <c r="BD92" s="177"/>
      <c r="BE92" s="177"/>
    </row>
    <row r="93" spans="1:63" outlineLevel="1">
      <c r="A93" t="s">
        <v>427</v>
      </c>
      <c r="B93" s="50" t="s">
        <v>126</v>
      </c>
      <c r="C93" s="102">
        <f>C85*C88</f>
        <v>0</v>
      </c>
      <c r="D93" s="102">
        <f t="shared" ref="D93:AG93" si="57">D85*D88</f>
        <v>0</v>
      </c>
      <c r="E93" s="102">
        <f t="shared" si="57"/>
        <v>0</v>
      </c>
      <c r="F93" s="102">
        <f t="shared" si="57"/>
        <v>0</v>
      </c>
      <c r="G93" s="102">
        <f t="shared" si="57"/>
        <v>0</v>
      </c>
      <c r="H93" s="102">
        <f t="shared" si="57"/>
        <v>0</v>
      </c>
      <c r="I93" s="102">
        <f t="shared" si="57"/>
        <v>0</v>
      </c>
      <c r="J93" s="102">
        <f t="shared" si="57"/>
        <v>0</v>
      </c>
      <c r="K93" s="102">
        <f t="shared" si="57"/>
        <v>0</v>
      </c>
      <c r="L93" s="102">
        <f t="shared" si="57"/>
        <v>0</v>
      </c>
      <c r="M93" s="102">
        <f t="shared" si="57"/>
        <v>0</v>
      </c>
      <c r="N93" s="102">
        <f t="shared" si="57"/>
        <v>0</v>
      </c>
      <c r="O93" s="102">
        <f t="shared" si="57"/>
        <v>0</v>
      </c>
      <c r="P93" s="102">
        <f t="shared" si="57"/>
        <v>0</v>
      </c>
      <c r="Q93" s="102">
        <f t="shared" si="57"/>
        <v>0</v>
      </c>
      <c r="R93" s="102">
        <f t="shared" si="57"/>
        <v>0</v>
      </c>
      <c r="S93" s="102">
        <f t="shared" si="57"/>
        <v>0</v>
      </c>
      <c r="T93" s="102">
        <f t="shared" si="57"/>
        <v>0</v>
      </c>
      <c r="U93" s="102">
        <f t="shared" si="57"/>
        <v>0</v>
      </c>
      <c r="V93" s="102">
        <f t="shared" si="57"/>
        <v>0</v>
      </c>
      <c r="W93" s="102">
        <f t="shared" si="57"/>
        <v>0</v>
      </c>
      <c r="X93" s="102">
        <f t="shared" si="57"/>
        <v>0</v>
      </c>
      <c r="Y93" s="102">
        <f t="shared" si="57"/>
        <v>0</v>
      </c>
      <c r="Z93" s="102">
        <f t="shared" si="57"/>
        <v>0</v>
      </c>
      <c r="AA93" s="102">
        <f t="shared" si="57"/>
        <v>0</v>
      </c>
      <c r="AB93" s="102">
        <f t="shared" si="57"/>
        <v>0</v>
      </c>
      <c r="AC93" s="102">
        <f t="shared" si="57"/>
        <v>0</v>
      </c>
      <c r="AD93" s="102">
        <f t="shared" si="57"/>
        <v>0</v>
      </c>
      <c r="AE93" s="102">
        <f t="shared" si="57"/>
        <v>0</v>
      </c>
      <c r="AF93" s="102">
        <f t="shared" si="57"/>
        <v>0</v>
      </c>
      <c r="AG93" s="102">
        <f t="shared" si="57"/>
        <v>0</v>
      </c>
      <c r="AI93" s="124"/>
      <c r="AJ93" s="185"/>
      <c r="AL93" s="1"/>
      <c r="BC93" s="1"/>
      <c r="BD93" s="615"/>
      <c r="BE93" s="605"/>
      <c r="BF93" s="6"/>
      <c r="BG93" s="6"/>
      <c r="BH93" s="6"/>
      <c r="BI93" s="6"/>
      <c r="BJ93" s="6"/>
    </row>
    <row r="94" spans="1:63" outlineLevel="1">
      <c r="A94" t="s">
        <v>428</v>
      </c>
      <c r="B94" s="50" t="s">
        <v>126</v>
      </c>
      <c r="C94" s="102">
        <f>C85*C89</f>
        <v>1.6999999999999998E-2</v>
      </c>
      <c r="D94" s="102">
        <f t="shared" ref="D94:AG94" si="58">D85*D89</f>
        <v>1.7918999999999997E-2</v>
      </c>
      <c r="E94" s="102">
        <f t="shared" si="58"/>
        <v>1.8815999999999996E-2</v>
      </c>
      <c r="F94" s="102">
        <f t="shared" si="58"/>
        <v>1.9690999999999997E-2</v>
      </c>
      <c r="G94" s="102">
        <f t="shared" si="58"/>
        <v>2.0543999999999996E-2</v>
      </c>
      <c r="H94" s="102">
        <f t="shared" si="58"/>
        <v>2.1374999999999998E-2</v>
      </c>
      <c r="I94" s="102">
        <f t="shared" si="58"/>
        <v>2.2183999999999995E-2</v>
      </c>
      <c r="J94" s="102">
        <f t="shared" si="58"/>
        <v>2.2970999999999995E-2</v>
      </c>
      <c r="K94" s="102">
        <f t="shared" si="58"/>
        <v>2.3735999999999997E-2</v>
      </c>
      <c r="L94" s="102">
        <f t="shared" si="58"/>
        <v>2.4478999999999997E-2</v>
      </c>
      <c r="M94" s="102">
        <f t="shared" si="58"/>
        <v>2.52E-2</v>
      </c>
      <c r="N94" s="102">
        <f t="shared" si="58"/>
        <v>2.5898999999999998E-2</v>
      </c>
      <c r="O94" s="102">
        <f t="shared" si="58"/>
        <v>2.6575999999999999E-2</v>
      </c>
      <c r="P94" s="102">
        <f t="shared" si="58"/>
        <v>2.7230999999999998E-2</v>
      </c>
      <c r="Q94" s="102">
        <f t="shared" si="58"/>
        <v>2.7863999999999993E-2</v>
      </c>
      <c r="R94" s="102">
        <f t="shared" si="58"/>
        <v>2.8474999999999993E-2</v>
      </c>
      <c r="S94" s="102">
        <f t="shared" si="58"/>
        <v>2.9063999999999996E-2</v>
      </c>
      <c r="T94" s="102">
        <f t="shared" si="58"/>
        <v>2.9630999999999994E-2</v>
      </c>
      <c r="U94" s="102">
        <f t="shared" si="58"/>
        <v>3.0175999999999991E-2</v>
      </c>
      <c r="V94" s="102">
        <f t="shared" si="58"/>
        <v>3.069899999999999E-2</v>
      </c>
      <c r="W94" s="102">
        <f t="shared" si="58"/>
        <v>3.1199999999999992E-2</v>
      </c>
      <c r="X94" s="102">
        <f t="shared" si="58"/>
        <v>3.1678999999999992E-2</v>
      </c>
      <c r="Y94" s="102">
        <f t="shared" si="58"/>
        <v>3.2135999999999991E-2</v>
      </c>
      <c r="Z94" s="102">
        <f t="shared" si="58"/>
        <v>3.2570999999999996E-2</v>
      </c>
      <c r="AA94" s="102">
        <f t="shared" si="58"/>
        <v>3.2983999999999992E-2</v>
      </c>
      <c r="AB94" s="102">
        <f t="shared" si="58"/>
        <v>3.3374999999999995E-2</v>
      </c>
      <c r="AC94" s="102">
        <f t="shared" si="58"/>
        <v>3.3743999999999996E-2</v>
      </c>
      <c r="AD94" s="102">
        <f t="shared" si="58"/>
        <v>3.4090999999999989E-2</v>
      </c>
      <c r="AE94" s="102">
        <f t="shared" si="58"/>
        <v>3.4415999999999988E-2</v>
      </c>
      <c r="AF94" s="102">
        <f t="shared" si="58"/>
        <v>3.4718999999999993E-2</v>
      </c>
      <c r="AG94" s="102">
        <f t="shared" si="58"/>
        <v>3.4999999999999989E-2</v>
      </c>
      <c r="AI94" s="125"/>
      <c r="AJ94" s="185"/>
      <c r="BC94" s="1"/>
      <c r="BD94" s="37"/>
      <c r="BF94" s="6"/>
      <c r="BG94" s="6"/>
      <c r="BH94" s="6"/>
      <c r="BI94" s="6"/>
      <c r="BJ94" s="6"/>
    </row>
    <row r="95" spans="1:63" outlineLevel="1"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I95" s="125"/>
      <c r="AJ95" s="185"/>
      <c r="BC95" s="1"/>
      <c r="BD95" s="37"/>
      <c r="BF95" s="6"/>
      <c r="BG95" s="6"/>
      <c r="BH95" s="6"/>
      <c r="BI95" s="6"/>
      <c r="BJ95" s="6"/>
    </row>
    <row r="96" spans="1:63" outlineLevel="1">
      <c r="A96" t="s">
        <v>1337</v>
      </c>
      <c r="C96" s="203">
        <v>1</v>
      </c>
      <c r="D96" s="203">
        <v>1</v>
      </c>
      <c r="E96" s="203">
        <v>1</v>
      </c>
      <c r="F96" s="203">
        <v>1</v>
      </c>
      <c r="G96" s="203">
        <v>1</v>
      </c>
      <c r="H96" s="203">
        <v>1</v>
      </c>
      <c r="I96" s="203">
        <v>1</v>
      </c>
      <c r="J96" s="203">
        <v>1</v>
      </c>
      <c r="K96" s="203">
        <v>1</v>
      </c>
      <c r="L96" s="203">
        <v>1</v>
      </c>
      <c r="M96" s="203">
        <v>1</v>
      </c>
      <c r="N96" s="203">
        <v>1</v>
      </c>
      <c r="O96" s="203">
        <v>1</v>
      </c>
      <c r="P96" s="203">
        <v>1</v>
      </c>
      <c r="Q96" s="203">
        <v>1</v>
      </c>
      <c r="R96" s="203">
        <v>1</v>
      </c>
      <c r="S96" s="203">
        <v>1</v>
      </c>
      <c r="T96" s="203">
        <v>1</v>
      </c>
      <c r="U96" s="203">
        <v>1</v>
      </c>
      <c r="V96" s="203">
        <v>1</v>
      </c>
      <c r="W96" s="203">
        <v>1</v>
      </c>
      <c r="X96" s="203">
        <v>1</v>
      </c>
      <c r="Y96" s="203">
        <v>1</v>
      </c>
      <c r="Z96" s="203">
        <v>1</v>
      </c>
      <c r="AA96" s="203">
        <v>1</v>
      </c>
      <c r="AB96" s="203">
        <v>1</v>
      </c>
      <c r="AC96" s="203">
        <v>1</v>
      </c>
      <c r="AD96" s="203">
        <v>1</v>
      </c>
      <c r="AE96" s="203">
        <v>1</v>
      </c>
      <c r="AF96" s="203">
        <v>1</v>
      </c>
      <c r="AG96" s="203">
        <v>1</v>
      </c>
      <c r="AI96" s="124"/>
      <c r="AJ96" s="185" t="s">
        <v>1378</v>
      </c>
      <c r="AL96" s="100"/>
      <c r="AM96" s="181"/>
      <c r="AN96" s="181"/>
      <c r="AO96" s="181"/>
      <c r="BC96" s="1"/>
      <c r="BD96" s="181"/>
      <c r="BE96" s="181"/>
      <c r="BF96" s="181"/>
      <c r="BG96" s="181"/>
      <c r="BH96" s="181"/>
      <c r="BI96" s="181"/>
      <c r="BJ96" s="181"/>
      <c r="BK96" s="181"/>
    </row>
    <row r="97" spans="1:63" outlineLevel="1">
      <c r="A97" t="s">
        <v>1345</v>
      </c>
      <c r="B97" s="50" t="s">
        <v>126</v>
      </c>
      <c r="C97" s="102">
        <f>C84*C$96</f>
        <v>0</v>
      </c>
      <c r="D97" s="102">
        <f t="shared" ref="D97:AG98" si="59">D84*D$96</f>
        <v>1.8100000000000002E-3</v>
      </c>
      <c r="E97" s="102">
        <f t="shared" si="59"/>
        <v>3.8400000000000001E-3</v>
      </c>
      <c r="F97" s="102">
        <f t="shared" si="59"/>
        <v>6.0899999999999999E-3</v>
      </c>
      <c r="G97" s="102">
        <f t="shared" si="59"/>
        <v>8.5600000000000016E-3</v>
      </c>
      <c r="H97" s="102">
        <f t="shared" si="59"/>
        <v>1.1250000000000003E-2</v>
      </c>
      <c r="I97" s="102">
        <f t="shared" si="59"/>
        <v>1.4160000000000002E-2</v>
      </c>
      <c r="J97" s="102">
        <f t="shared" si="59"/>
        <v>1.7290000000000003E-2</v>
      </c>
      <c r="K97" s="102">
        <f t="shared" si="59"/>
        <v>2.0640000000000002E-2</v>
      </c>
      <c r="L97" s="102">
        <f t="shared" si="59"/>
        <v>2.4210000000000002E-2</v>
      </c>
      <c r="M97" s="102">
        <f t="shared" si="59"/>
        <v>2.8000000000000001E-2</v>
      </c>
      <c r="N97" s="102">
        <f t="shared" si="59"/>
        <v>3.2009999999999997E-2</v>
      </c>
      <c r="O97" s="102">
        <f t="shared" si="59"/>
        <v>3.6240000000000001E-2</v>
      </c>
      <c r="P97" s="102">
        <f t="shared" si="59"/>
        <v>4.0689999999999997E-2</v>
      </c>
      <c r="Q97" s="102">
        <f t="shared" si="59"/>
        <v>4.5359999999999998E-2</v>
      </c>
      <c r="R97" s="102">
        <f t="shared" si="59"/>
        <v>5.0250000000000003E-2</v>
      </c>
      <c r="S97" s="102">
        <f t="shared" si="59"/>
        <v>5.5360000000000006E-2</v>
      </c>
      <c r="T97" s="102">
        <f t="shared" si="59"/>
        <v>6.0690000000000008E-2</v>
      </c>
      <c r="U97" s="102">
        <f t="shared" si="59"/>
        <v>6.6240000000000007E-2</v>
      </c>
      <c r="V97" s="102">
        <f t="shared" si="59"/>
        <v>7.2010000000000018E-2</v>
      </c>
      <c r="W97" s="102">
        <f t="shared" si="59"/>
        <v>7.8000000000000014E-2</v>
      </c>
      <c r="X97" s="102">
        <f t="shared" si="59"/>
        <v>8.4210000000000021E-2</v>
      </c>
      <c r="Y97" s="102">
        <f t="shared" si="59"/>
        <v>9.0640000000000026E-2</v>
      </c>
      <c r="Z97" s="102">
        <f t="shared" si="59"/>
        <v>9.7290000000000043E-2</v>
      </c>
      <c r="AA97" s="102">
        <f t="shared" si="59"/>
        <v>0.10416000000000003</v>
      </c>
      <c r="AB97" s="102">
        <f t="shared" si="59"/>
        <v>0.11125000000000003</v>
      </c>
      <c r="AC97" s="102">
        <f t="shared" si="59"/>
        <v>0.11856000000000004</v>
      </c>
      <c r="AD97" s="102">
        <f t="shared" si="59"/>
        <v>0.12609000000000004</v>
      </c>
      <c r="AE97" s="102">
        <f t="shared" si="59"/>
        <v>0.13384000000000004</v>
      </c>
      <c r="AF97" s="102">
        <f t="shared" si="59"/>
        <v>0.14181000000000005</v>
      </c>
      <c r="AG97" s="102">
        <f t="shared" si="59"/>
        <v>0.15</v>
      </c>
      <c r="AI97" s="124"/>
      <c r="AJ97"/>
      <c r="AL97" s="100"/>
      <c r="AM97" s="2"/>
      <c r="AN97" s="2"/>
      <c r="AO97" s="2"/>
      <c r="AV97" s="37"/>
    </row>
    <row r="98" spans="1:63" outlineLevel="1">
      <c r="A98" t="s">
        <v>1346</v>
      </c>
      <c r="B98" s="50" t="s">
        <v>126</v>
      </c>
      <c r="C98" s="102">
        <f>C85*C$96</f>
        <v>0.17</v>
      </c>
      <c r="D98" s="102">
        <f t="shared" si="59"/>
        <v>0.17919000000000002</v>
      </c>
      <c r="E98" s="102">
        <f t="shared" si="59"/>
        <v>0.18815999999999999</v>
      </c>
      <c r="F98" s="102">
        <f t="shared" si="59"/>
        <v>0.19691</v>
      </c>
      <c r="G98" s="102">
        <f t="shared" si="59"/>
        <v>0.20544000000000001</v>
      </c>
      <c r="H98" s="102">
        <f t="shared" si="59"/>
        <v>0.21375000000000002</v>
      </c>
      <c r="I98" s="102">
        <f t="shared" si="59"/>
        <v>0.22184000000000001</v>
      </c>
      <c r="J98" s="102">
        <f t="shared" si="59"/>
        <v>0.22971</v>
      </c>
      <c r="K98" s="102">
        <f t="shared" si="59"/>
        <v>0.23736000000000002</v>
      </c>
      <c r="L98" s="102">
        <f t="shared" si="59"/>
        <v>0.24479000000000004</v>
      </c>
      <c r="M98" s="102">
        <f t="shared" si="59"/>
        <v>0.25200000000000006</v>
      </c>
      <c r="N98" s="102">
        <f t="shared" si="59"/>
        <v>0.25899000000000005</v>
      </c>
      <c r="O98" s="102">
        <f t="shared" si="59"/>
        <v>0.26576000000000005</v>
      </c>
      <c r="P98" s="102">
        <f t="shared" si="59"/>
        <v>0.27231000000000005</v>
      </c>
      <c r="Q98" s="102">
        <f t="shared" si="59"/>
        <v>0.27864</v>
      </c>
      <c r="R98" s="102">
        <f t="shared" si="59"/>
        <v>0.28475</v>
      </c>
      <c r="S98" s="102">
        <f t="shared" si="59"/>
        <v>0.29064000000000001</v>
      </c>
      <c r="T98" s="102">
        <f t="shared" si="59"/>
        <v>0.29631000000000002</v>
      </c>
      <c r="U98" s="102">
        <f t="shared" si="59"/>
        <v>0.30175999999999997</v>
      </c>
      <c r="V98" s="102">
        <f t="shared" si="59"/>
        <v>0.30698999999999999</v>
      </c>
      <c r="W98" s="102">
        <f t="shared" si="59"/>
        <v>0.312</v>
      </c>
      <c r="X98" s="102">
        <f t="shared" si="59"/>
        <v>0.31678999999999996</v>
      </c>
      <c r="Y98" s="102">
        <f t="shared" si="59"/>
        <v>0.32135999999999998</v>
      </c>
      <c r="Z98" s="102">
        <f t="shared" si="59"/>
        <v>0.32571</v>
      </c>
      <c r="AA98" s="102">
        <f t="shared" si="59"/>
        <v>0.32983999999999997</v>
      </c>
      <c r="AB98" s="102">
        <f t="shared" si="59"/>
        <v>0.33374999999999999</v>
      </c>
      <c r="AC98" s="102">
        <f t="shared" si="59"/>
        <v>0.33744000000000002</v>
      </c>
      <c r="AD98" s="102">
        <f t="shared" si="59"/>
        <v>0.34090999999999999</v>
      </c>
      <c r="AE98" s="102">
        <f t="shared" si="59"/>
        <v>0.34415999999999997</v>
      </c>
      <c r="AF98" s="102">
        <f t="shared" si="59"/>
        <v>0.34719</v>
      </c>
      <c r="AG98" s="102">
        <f t="shared" si="59"/>
        <v>0.35</v>
      </c>
      <c r="AH98" s="217"/>
      <c r="AI98" s="124"/>
      <c r="AJ98" s="185"/>
      <c r="AL98" s="100"/>
      <c r="AM98" s="2"/>
      <c r="AN98" s="2"/>
      <c r="AO98" s="2"/>
      <c r="AV98" s="37"/>
    </row>
    <row r="99" spans="1:63" outlineLevel="1">
      <c r="A99" t="s">
        <v>1347</v>
      </c>
      <c r="B99" s="156" t="s">
        <v>126</v>
      </c>
      <c r="C99" s="102">
        <f>SUM(C97:C98)</f>
        <v>0.17</v>
      </c>
      <c r="D99" s="102">
        <f t="shared" ref="D99:AG99" si="60">SUM(D97:D98)</f>
        <v>0.18100000000000002</v>
      </c>
      <c r="E99" s="102">
        <f t="shared" si="60"/>
        <v>0.192</v>
      </c>
      <c r="F99" s="102">
        <f t="shared" si="60"/>
        <v>0.20300000000000001</v>
      </c>
      <c r="G99" s="102">
        <f t="shared" si="60"/>
        <v>0.21400000000000002</v>
      </c>
      <c r="H99" s="102">
        <f t="shared" si="60"/>
        <v>0.22500000000000003</v>
      </c>
      <c r="I99" s="102">
        <f t="shared" si="60"/>
        <v>0.23600000000000002</v>
      </c>
      <c r="J99" s="102">
        <f t="shared" si="60"/>
        <v>0.247</v>
      </c>
      <c r="K99" s="102">
        <f t="shared" si="60"/>
        <v>0.25800000000000001</v>
      </c>
      <c r="L99" s="102">
        <f t="shared" si="60"/>
        <v>0.26900000000000002</v>
      </c>
      <c r="M99" s="102">
        <f t="shared" si="60"/>
        <v>0.28000000000000008</v>
      </c>
      <c r="N99" s="102">
        <f t="shared" si="60"/>
        <v>0.29100000000000004</v>
      </c>
      <c r="O99" s="102">
        <f t="shared" si="60"/>
        <v>0.30200000000000005</v>
      </c>
      <c r="P99" s="102">
        <f t="shared" si="60"/>
        <v>0.31300000000000006</v>
      </c>
      <c r="Q99" s="102">
        <f t="shared" si="60"/>
        <v>0.32400000000000001</v>
      </c>
      <c r="R99" s="102">
        <f t="shared" si="60"/>
        <v>0.33500000000000002</v>
      </c>
      <c r="S99" s="102">
        <f t="shared" si="60"/>
        <v>0.34600000000000003</v>
      </c>
      <c r="T99" s="102">
        <f t="shared" si="60"/>
        <v>0.35700000000000004</v>
      </c>
      <c r="U99" s="102">
        <f t="shared" si="60"/>
        <v>0.36799999999999999</v>
      </c>
      <c r="V99" s="102">
        <f t="shared" si="60"/>
        <v>0.379</v>
      </c>
      <c r="W99" s="102">
        <f t="shared" si="60"/>
        <v>0.39</v>
      </c>
      <c r="X99" s="102">
        <f t="shared" si="60"/>
        <v>0.40099999999999997</v>
      </c>
      <c r="Y99" s="102">
        <f t="shared" si="60"/>
        <v>0.41200000000000003</v>
      </c>
      <c r="Z99" s="102">
        <f t="shared" si="60"/>
        <v>0.42300000000000004</v>
      </c>
      <c r="AA99" s="102">
        <f t="shared" si="60"/>
        <v>0.434</v>
      </c>
      <c r="AB99" s="102">
        <f t="shared" si="60"/>
        <v>0.44500000000000001</v>
      </c>
      <c r="AC99" s="102">
        <f t="shared" si="60"/>
        <v>0.45600000000000007</v>
      </c>
      <c r="AD99" s="102">
        <f t="shared" si="60"/>
        <v>0.46700000000000003</v>
      </c>
      <c r="AE99" s="102">
        <f t="shared" si="60"/>
        <v>0.47799999999999998</v>
      </c>
      <c r="AF99" s="102">
        <f t="shared" si="60"/>
        <v>0.48900000000000005</v>
      </c>
      <c r="AG99" s="102">
        <f t="shared" si="60"/>
        <v>0.5</v>
      </c>
      <c r="AI99" s="124"/>
      <c r="AJ99" s="185"/>
      <c r="AL99" s="100"/>
      <c r="AM99" s="2"/>
      <c r="AN99" s="2"/>
      <c r="AO99" s="2"/>
    </row>
    <row r="100" spans="1:63" outlineLevel="1">
      <c r="A100" t="s">
        <v>1348</v>
      </c>
      <c r="B100" s="50" t="s">
        <v>126</v>
      </c>
      <c r="C100" s="102">
        <f>C87*C98</f>
        <v>0.15300000000000002</v>
      </c>
      <c r="D100" s="102">
        <f t="shared" ref="D100:AG100" si="61">D87*D98</f>
        <v>0.16127100000000003</v>
      </c>
      <c r="E100" s="102">
        <f t="shared" si="61"/>
        <v>0.16934399999999999</v>
      </c>
      <c r="F100" s="102">
        <f t="shared" si="61"/>
        <v>0.17721900000000002</v>
      </c>
      <c r="G100" s="102">
        <f t="shared" si="61"/>
        <v>0.184896</v>
      </c>
      <c r="H100" s="102">
        <f t="shared" si="61"/>
        <v>0.19237500000000002</v>
      </c>
      <c r="I100" s="102">
        <f t="shared" si="61"/>
        <v>0.199656</v>
      </c>
      <c r="J100" s="102">
        <f t="shared" si="61"/>
        <v>0.20673900000000001</v>
      </c>
      <c r="K100" s="102">
        <f t="shared" si="61"/>
        <v>0.21362400000000001</v>
      </c>
      <c r="L100" s="102">
        <f t="shared" si="61"/>
        <v>0.22031100000000003</v>
      </c>
      <c r="M100" s="102">
        <f t="shared" si="61"/>
        <v>0.22680000000000006</v>
      </c>
      <c r="N100" s="102">
        <f t="shared" si="61"/>
        <v>0.23309100000000005</v>
      </c>
      <c r="O100" s="102">
        <f t="shared" si="61"/>
        <v>0.23918400000000006</v>
      </c>
      <c r="P100" s="102">
        <f t="shared" si="61"/>
        <v>0.24507900000000005</v>
      </c>
      <c r="Q100" s="102">
        <f t="shared" si="61"/>
        <v>0.250776</v>
      </c>
      <c r="R100" s="102">
        <f t="shared" si="61"/>
        <v>0.25627500000000003</v>
      </c>
      <c r="S100" s="102">
        <f t="shared" si="61"/>
        <v>0.26157600000000003</v>
      </c>
      <c r="T100" s="102">
        <f t="shared" si="61"/>
        <v>0.266679</v>
      </c>
      <c r="U100" s="102">
        <f t="shared" si="61"/>
        <v>0.27158399999999999</v>
      </c>
      <c r="V100" s="102">
        <f t="shared" si="61"/>
        <v>0.27629100000000001</v>
      </c>
      <c r="W100" s="102">
        <f t="shared" si="61"/>
        <v>0.28079999999999999</v>
      </c>
      <c r="X100" s="102">
        <f t="shared" si="61"/>
        <v>0.28511099999999995</v>
      </c>
      <c r="Y100" s="102">
        <f t="shared" si="61"/>
        <v>0.28922399999999998</v>
      </c>
      <c r="Z100" s="102">
        <f t="shared" si="61"/>
        <v>0.29313899999999998</v>
      </c>
      <c r="AA100" s="102">
        <f t="shared" si="61"/>
        <v>0.29685599999999995</v>
      </c>
      <c r="AB100" s="102">
        <f t="shared" si="61"/>
        <v>0.300375</v>
      </c>
      <c r="AC100" s="102">
        <f t="shared" si="61"/>
        <v>0.30369600000000002</v>
      </c>
      <c r="AD100" s="102">
        <f t="shared" si="61"/>
        <v>0.30681900000000001</v>
      </c>
      <c r="AE100" s="102">
        <f t="shared" si="61"/>
        <v>0.30974399999999996</v>
      </c>
      <c r="AF100" s="102">
        <f t="shared" si="61"/>
        <v>0.312471</v>
      </c>
      <c r="AG100" s="102">
        <f t="shared" si="61"/>
        <v>0.315</v>
      </c>
      <c r="AI100" s="124"/>
      <c r="AJ100" s="185"/>
      <c r="BD100" s="177"/>
      <c r="BE100" s="177"/>
    </row>
    <row r="101" spans="1:63" outlineLevel="1">
      <c r="A101" t="s">
        <v>1349</v>
      </c>
      <c r="B101" s="50" t="s">
        <v>126</v>
      </c>
      <c r="C101" s="102">
        <f>C88*C98</f>
        <v>0</v>
      </c>
      <c r="D101" s="102">
        <f t="shared" ref="D101:AG101" si="62">D88*D98</f>
        <v>0</v>
      </c>
      <c r="E101" s="102">
        <f t="shared" si="62"/>
        <v>0</v>
      </c>
      <c r="F101" s="102">
        <f t="shared" si="62"/>
        <v>0</v>
      </c>
      <c r="G101" s="102">
        <f t="shared" si="62"/>
        <v>0</v>
      </c>
      <c r="H101" s="102">
        <f t="shared" si="62"/>
        <v>0</v>
      </c>
      <c r="I101" s="102">
        <f t="shared" si="62"/>
        <v>0</v>
      </c>
      <c r="J101" s="102">
        <f t="shared" si="62"/>
        <v>0</v>
      </c>
      <c r="K101" s="102">
        <f t="shared" si="62"/>
        <v>0</v>
      </c>
      <c r="L101" s="102">
        <f t="shared" si="62"/>
        <v>0</v>
      </c>
      <c r="M101" s="102">
        <f t="shared" si="62"/>
        <v>0</v>
      </c>
      <c r="N101" s="102">
        <f t="shared" si="62"/>
        <v>0</v>
      </c>
      <c r="O101" s="102">
        <f t="shared" si="62"/>
        <v>0</v>
      </c>
      <c r="P101" s="102">
        <f t="shared" si="62"/>
        <v>0</v>
      </c>
      <c r="Q101" s="102">
        <f t="shared" si="62"/>
        <v>0</v>
      </c>
      <c r="R101" s="102">
        <f t="shared" si="62"/>
        <v>0</v>
      </c>
      <c r="S101" s="102">
        <f t="shared" si="62"/>
        <v>0</v>
      </c>
      <c r="T101" s="102">
        <f t="shared" si="62"/>
        <v>0</v>
      </c>
      <c r="U101" s="102">
        <f t="shared" si="62"/>
        <v>0</v>
      </c>
      <c r="V101" s="102">
        <f t="shared" si="62"/>
        <v>0</v>
      </c>
      <c r="W101" s="102">
        <f t="shared" si="62"/>
        <v>0</v>
      </c>
      <c r="X101" s="102">
        <f t="shared" si="62"/>
        <v>0</v>
      </c>
      <c r="Y101" s="102">
        <f t="shared" si="62"/>
        <v>0</v>
      </c>
      <c r="Z101" s="102">
        <f t="shared" si="62"/>
        <v>0</v>
      </c>
      <c r="AA101" s="102">
        <f t="shared" si="62"/>
        <v>0</v>
      </c>
      <c r="AB101" s="102">
        <f t="shared" si="62"/>
        <v>0</v>
      </c>
      <c r="AC101" s="102">
        <f t="shared" si="62"/>
        <v>0</v>
      </c>
      <c r="AD101" s="102">
        <f t="shared" si="62"/>
        <v>0</v>
      </c>
      <c r="AE101" s="102">
        <f t="shared" si="62"/>
        <v>0</v>
      </c>
      <c r="AF101" s="102">
        <f t="shared" si="62"/>
        <v>0</v>
      </c>
      <c r="AG101" s="102">
        <f t="shared" si="62"/>
        <v>0</v>
      </c>
      <c r="AI101" s="124"/>
      <c r="AJ101" s="185"/>
      <c r="AL101" s="1"/>
      <c r="BC101" s="1"/>
      <c r="BD101" s="615"/>
      <c r="BE101" s="605"/>
      <c r="BF101" s="6"/>
      <c r="BG101" s="6"/>
      <c r="BH101" s="6"/>
      <c r="BI101" s="6"/>
      <c r="BJ101" s="6"/>
    </row>
    <row r="102" spans="1:63" outlineLevel="1">
      <c r="A102" t="s">
        <v>1350</v>
      </c>
      <c r="B102" s="50" t="s">
        <v>126</v>
      </c>
      <c r="C102" s="102">
        <f>C89*C98</f>
        <v>1.6999999999999998E-2</v>
      </c>
      <c r="D102" s="102">
        <f t="shared" ref="D102:AG102" si="63">D89*D98</f>
        <v>1.7918999999999997E-2</v>
      </c>
      <c r="E102" s="102">
        <f t="shared" si="63"/>
        <v>1.8815999999999996E-2</v>
      </c>
      <c r="F102" s="102">
        <f t="shared" si="63"/>
        <v>1.9690999999999997E-2</v>
      </c>
      <c r="G102" s="102">
        <f t="shared" si="63"/>
        <v>2.0543999999999996E-2</v>
      </c>
      <c r="H102" s="102">
        <f t="shared" si="63"/>
        <v>2.1374999999999998E-2</v>
      </c>
      <c r="I102" s="102">
        <f t="shared" si="63"/>
        <v>2.2183999999999995E-2</v>
      </c>
      <c r="J102" s="102">
        <f t="shared" si="63"/>
        <v>2.2970999999999995E-2</v>
      </c>
      <c r="K102" s="102">
        <f t="shared" si="63"/>
        <v>2.3735999999999997E-2</v>
      </c>
      <c r="L102" s="102">
        <f t="shared" si="63"/>
        <v>2.4478999999999997E-2</v>
      </c>
      <c r="M102" s="102">
        <f t="shared" si="63"/>
        <v>2.52E-2</v>
      </c>
      <c r="N102" s="102">
        <f t="shared" si="63"/>
        <v>2.5898999999999998E-2</v>
      </c>
      <c r="O102" s="102">
        <f t="shared" si="63"/>
        <v>2.6575999999999999E-2</v>
      </c>
      <c r="P102" s="102">
        <f t="shared" si="63"/>
        <v>2.7230999999999998E-2</v>
      </c>
      <c r="Q102" s="102">
        <f t="shared" si="63"/>
        <v>2.7863999999999993E-2</v>
      </c>
      <c r="R102" s="102">
        <f t="shared" si="63"/>
        <v>2.8474999999999993E-2</v>
      </c>
      <c r="S102" s="102">
        <f t="shared" si="63"/>
        <v>2.9063999999999996E-2</v>
      </c>
      <c r="T102" s="102">
        <f t="shared" si="63"/>
        <v>2.9630999999999994E-2</v>
      </c>
      <c r="U102" s="102">
        <f t="shared" si="63"/>
        <v>3.0175999999999991E-2</v>
      </c>
      <c r="V102" s="102">
        <f t="shared" si="63"/>
        <v>3.069899999999999E-2</v>
      </c>
      <c r="W102" s="102">
        <f t="shared" si="63"/>
        <v>3.1199999999999992E-2</v>
      </c>
      <c r="X102" s="102">
        <f t="shared" si="63"/>
        <v>3.1678999999999992E-2</v>
      </c>
      <c r="Y102" s="102">
        <f t="shared" si="63"/>
        <v>3.2135999999999991E-2</v>
      </c>
      <c r="Z102" s="102">
        <f t="shared" si="63"/>
        <v>3.2570999999999996E-2</v>
      </c>
      <c r="AA102" s="102">
        <f t="shared" si="63"/>
        <v>3.2983999999999992E-2</v>
      </c>
      <c r="AB102" s="102">
        <f t="shared" si="63"/>
        <v>3.3374999999999995E-2</v>
      </c>
      <c r="AC102" s="102">
        <f t="shared" si="63"/>
        <v>3.3743999999999996E-2</v>
      </c>
      <c r="AD102" s="102">
        <f t="shared" si="63"/>
        <v>3.4090999999999989E-2</v>
      </c>
      <c r="AE102" s="102">
        <f t="shared" si="63"/>
        <v>3.4415999999999988E-2</v>
      </c>
      <c r="AF102" s="102">
        <f t="shared" si="63"/>
        <v>3.4718999999999993E-2</v>
      </c>
      <c r="AG102" s="102">
        <f t="shared" si="63"/>
        <v>3.4999999999999989E-2</v>
      </c>
      <c r="AI102" s="125"/>
      <c r="AJ102" s="185"/>
      <c r="BC102" s="1"/>
      <c r="BD102" s="37"/>
      <c r="BF102" s="6"/>
      <c r="BG102" s="6"/>
      <c r="BH102" s="6"/>
      <c r="BI102" s="6"/>
      <c r="BJ102" s="6"/>
    </row>
    <row r="103" spans="1:63" outlineLevel="1"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I103" s="125"/>
      <c r="AJ103" s="185"/>
      <c r="BC103" s="1"/>
      <c r="BD103" s="37"/>
      <c r="BF103" s="6"/>
      <c r="BG103" s="6"/>
      <c r="BH103" s="6"/>
      <c r="BI103" s="6"/>
      <c r="BJ103" s="6"/>
    </row>
    <row r="104" spans="1:63" s="1" customFormat="1" outlineLevel="1">
      <c r="A104" s="1" t="s">
        <v>265</v>
      </c>
      <c r="B104" s="60"/>
      <c r="C104" s="250">
        <f t="shared" ref="C104:AG104" si="64">C40*C97</f>
        <v>0</v>
      </c>
      <c r="D104" s="250">
        <f t="shared" si="64"/>
        <v>218.41209292783094</v>
      </c>
      <c r="E104" s="250">
        <f t="shared" si="64"/>
        <v>462.34858478895598</v>
      </c>
      <c r="F104" s="250">
        <f t="shared" si="64"/>
        <v>731.63724130312755</v>
      </c>
      <c r="G104" s="250">
        <f t="shared" si="64"/>
        <v>1026.10659332973</v>
      </c>
      <c r="H104" s="250">
        <f t="shared" si="64"/>
        <v>1345.5859340439622</v>
      </c>
      <c r="I104" s="250">
        <f t="shared" si="64"/>
        <v>1689.9053161223899</v>
      </c>
      <c r="J104" s="250">
        <f t="shared" si="64"/>
        <v>2058.8955489378336</v>
      </c>
      <c r="K104" s="250">
        <f t="shared" si="64"/>
        <v>2452.3881957635685</v>
      </c>
      <c r="L104" s="250">
        <f t="shared" si="64"/>
        <v>2870.2155709868061</v>
      </c>
      <c r="M104" s="250">
        <f t="shared" si="64"/>
        <v>3312.2107373314284</v>
      </c>
      <c r="N104" s="250">
        <f t="shared" si="64"/>
        <v>3778.2075030899409</v>
      </c>
      <c r="O104" s="250">
        <f t="shared" si="64"/>
        <v>4268.0404193646291</v>
      </c>
      <c r="P104" s="250">
        <f t="shared" si="64"/>
        <v>4768.6346064191166</v>
      </c>
      <c r="Q104" s="250">
        <f t="shared" si="64"/>
        <v>5289.8363997622819</v>
      </c>
      <c r="R104" s="250">
        <f t="shared" si="64"/>
        <v>5831.2934741750178</v>
      </c>
      <c r="S104" s="250">
        <f t="shared" si="64"/>
        <v>6392.655991358678</v>
      </c>
      <c r="T104" s="250">
        <f t="shared" si="64"/>
        <v>6973.5765873782229</v>
      </c>
      <c r="U104" s="250">
        <f t="shared" si="64"/>
        <v>7573.7103601582021</v>
      </c>
      <c r="V104" s="250">
        <f t="shared" si="64"/>
        <v>8192.7148570313711</v>
      </c>
      <c r="W104" s="250">
        <f t="shared" si="64"/>
        <v>8830.2500623397336</v>
      </c>
      <c r="X104" s="250">
        <f t="shared" si="64"/>
        <v>9485.978385087863</v>
      </c>
      <c r="Y104" s="250">
        <f t="shared" si="64"/>
        <v>10159.564646648219</v>
      </c>
      <c r="Z104" s="250">
        <f t="shared" si="64"/>
        <v>10790.28891942016</v>
      </c>
      <c r="AA104" s="250">
        <f t="shared" si="64"/>
        <v>11429.965095589323</v>
      </c>
      <c r="AB104" s="250">
        <f t="shared" si="64"/>
        <v>12077.912783298012</v>
      </c>
      <c r="AC104" s="250">
        <f t="shared" si="64"/>
        <v>12733.457309612184</v>
      </c>
      <c r="AD104" s="250">
        <f t="shared" si="64"/>
        <v>13395.929689516304</v>
      </c>
      <c r="AE104" s="250">
        <f t="shared" si="64"/>
        <v>14064.666595043864</v>
      </c>
      <c r="AF104" s="250">
        <f t="shared" si="64"/>
        <v>14739.01032454292</v>
      </c>
      <c r="AG104" s="250">
        <f t="shared" si="64"/>
        <v>15418.308772076314</v>
      </c>
      <c r="AH104" s="217"/>
      <c r="AI104" s="368"/>
      <c r="AJ104" s="369"/>
      <c r="AL104" s="194"/>
      <c r="AM104" s="116"/>
      <c r="AN104" s="116"/>
      <c r="AO104" s="116"/>
      <c r="BD104" s="116"/>
      <c r="BE104" s="116"/>
      <c r="BF104" s="116"/>
      <c r="BG104" s="116"/>
      <c r="BH104" s="116"/>
      <c r="BI104" s="116"/>
      <c r="BJ104" s="116"/>
      <c r="BK104" s="116"/>
    </row>
    <row r="105" spans="1:63" s="1" customFormat="1" outlineLevel="1">
      <c r="A105" s="1" t="s">
        <v>1041</v>
      </c>
      <c r="B105" s="60"/>
      <c r="C105" s="250">
        <f t="shared" ref="C105:AG105" si="65">C104-$C104</f>
        <v>0</v>
      </c>
      <c r="D105" s="250">
        <f t="shared" si="65"/>
        <v>218.41209292783094</v>
      </c>
      <c r="E105" s="250">
        <f t="shared" si="65"/>
        <v>462.34858478895598</v>
      </c>
      <c r="F105" s="250">
        <f t="shared" si="65"/>
        <v>731.63724130312755</v>
      </c>
      <c r="G105" s="250">
        <f t="shared" si="65"/>
        <v>1026.10659332973</v>
      </c>
      <c r="H105" s="250">
        <f t="shared" si="65"/>
        <v>1345.5859340439622</v>
      </c>
      <c r="I105" s="250">
        <f t="shared" si="65"/>
        <v>1689.9053161223899</v>
      </c>
      <c r="J105" s="250">
        <f t="shared" si="65"/>
        <v>2058.8955489378336</v>
      </c>
      <c r="K105" s="250">
        <f t="shared" si="65"/>
        <v>2452.3881957635685</v>
      </c>
      <c r="L105" s="250">
        <f t="shared" si="65"/>
        <v>2870.2155709868061</v>
      </c>
      <c r="M105" s="250">
        <f t="shared" si="65"/>
        <v>3312.2107373314284</v>
      </c>
      <c r="N105" s="250">
        <f t="shared" si="65"/>
        <v>3778.2075030899409</v>
      </c>
      <c r="O105" s="250">
        <f t="shared" si="65"/>
        <v>4268.0404193646291</v>
      </c>
      <c r="P105" s="250">
        <f t="shared" si="65"/>
        <v>4768.6346064191166</v>
      </c>
      <c r="Q105" s="250">
        <f t="shared" si="65"/>
        <v>5289.8363997622819</v>
      </c>
      <c r="R105" s="250">
        <f t="shared" si="65"/>
        <v>5831.2934741750178</v>
      </c>
      <c r="S105" s="250">
        <f t="shared" si="65"/>
        <v>6392.655991358678</v>
      </c>
      <c r="T105" s="250">
        <f t="shared" si="65"/>
        <v>6973.5765873782229</v>
      </c>
      <c r="U105" s="250">
        <f t="shared" si="65"/>
        <v>7573.7103601582021</v>
      </c>
      <c r="V105" s="250">
        <f t="shared" si="65"/>
        <v>8192.7148570313711</v>
      </c>
      <c r="W105" s="250">
        <f t="shared" si="65"/>
        <v>8830.2500623397336</v>
      </c>
      <c r="X105" s="250">
        <f t="shared" si="65"/>
        <v>9485.978385087863</v>
      </c>
      <c r="Y105" s="250">
        <f t="shared" si="65"/>
        <v>10159.564646648219</v>
      </c>
      <c r="Z105" s="250">
        <f t="shared" si="65"/>
        <v>10790.28891942016</v>
      </c>
      <c r="AA105" s="250">
        <f t="shared" si="65"/>
        <v>11429.965095589323</v>
      </c>
      <c r="AB105" s="250">
        <f t="shared" si="65"/>
        <v>12077.912783298012</v>
      </c>
      <c r="AC105" s="250">
        <f t="shared" si="65"/>
        <v>12733.457309612184</v>
      </c>
      <c r="AD105" s="250">
        <f t="shared" si="65"/>
        <v>13395.929689516304</v>
      </c>
      <c r="AE105" s="250">
        <f t="shared" si="65"/>
        <v>14064.666595043864</v>
      </c>
      <c r="AF105" s="250">
        <f t="shared" si="65"/>
        <v>14739.01032454292</v>
      </c>
      <c r="AG105" s="250">
        <f t="shared" si="65"/>
        <v>15418.308772076314</v>
      </c>
      <c r="AH105" s="217"/>
      <c r="AI105" s="368"/>
      <c r="AJ105" s="369"/>
      <c r="AL105" s="194"/>
      <c r="AM105" s="116"/>
      <c r="AN105" s="116"/>
      <c r="AO105" s="116"/>
      <c r="BD105" s="116"/>
      <c r="BE105" s="116"/>
      <c r="BF105" s="116"/>
      <c r="BG105" s="116"/>
      <c r="BH105" s="116"/>
      <c r="BI105" s="116"/>
      <c r="BJ105" s="116"/>
      <c r="BK105" s="116"/>
    </row>
    <row r="106" spans="1:63" s="1" customFormat="1" outlineLevel="1">
      <c r="A106" s="1" t="s">
        <v>1044</v>
      </c>
      <c r="B106" s="60"/>
      <c r="C106" s="250">
        <f t="shared" ref="C106:AG106" si="66">C40*C100</f>
        <v>18503.306116487794</v>
      </c>
      <c r="D106" s="250">
        <f t="shared" si="66"/>
        <v>19460.517479869737</v>
      </c>
      <c r="E106" s="250">
        <f t="shared" si="66"/>
        <v>20389.572589192958</v>
      </c>
      <c r="F106" s="250">
        <f t="shared" si="66"/>
        <v>21290.643721921013</v>
      </c>
      <c r="G106" s="250">
        <f t="shared" si="66"/>
        <v>22163.902415922163</v>
      </c>
      <c r="H106" s="250">
        <f t="shared" si="66"/>
        <v>23009.519472151751</v>
      </c>
      <c r="I106" s="250">
        <f t="shared" si="66"/>
        <v>23827.664957325691</v>
      </c>
      <c r="J106" s="250">
        <f t="shared" si="66"/>
        <v>24618.508206585233</v>
      </c>
      <c r="K106" s="250">
        <f t="shared" si="66"/>
        <v>25382.21782615293</v>
      </c>
      <c r="L106" s="250">
        <f t="shared" si="66"/>
        <v>26118.961695979939</v>
      </c>
      <c r="M106" s="250">
        <f t="shared" si="66"/>
        <v>26828.906972384579</v>
      </c>
      <c r="N106" s="250">
        <f t="shared" si="66"/>
        <v>27512.220090682215</v>
      </c>
      <c r="O106" s="250">
        <f t="shared" si="66"/>
        <v>28169.066767806558</v>
      </c>
      <c r="P106" s="250">
        <f t="shared" si="66"/>
        <v>28721.853052508995</v>
      </c>
      <c r="Q106" s="250">
        <f t="shared" si="66"/>
        <v>29245.238381542902</v>
      </c>
      <c r="R106" s="250">
        <f t="shared" si="66"/>
        <v>29739.596718292592</v>
      </c>
      <c r="S106" s="250">
        <f t="shared" si="66"/>
        <v>30205.299559169755</v>
      </c>
      <c r="T106" s="250">
        <f t="shared" si="66"/>
        <v>30642.715945714895</v>
      </c>
      <c r="U106" s="250">
        <f t="shared" si="66"/>
        <v>31052.212476648623</v>
      </c>
      <c r="V106" s="250">
        <f t="shared" si="66"/>
        <v>31434.153319872992</v>
      </c>
      <c r="W106" s="250">
        <f t="shared" si="66"/>
        <v>31788.900224423032</v>
      </c>
      <c r="X106" s="250">
        <f t="shared" si="66"/>
        <v>32116.812532368895</v>
      </c>
      <c r="Y106" s="250">
        <f t="shared" si="66"/>
        <v>32418.2471906684</v>
      </c>
      <c r="Z106" s="250">
        <f t="shared" si="66"/>
        <v>32511.609657209425</v>
      </c>
      <c r="AA106" s="250">
        <f t="shared" si="66"/>
        <v>32575.400522429554</v>
      </c>
      <c r="AB106" s="250">
        <f t="shared" si="66"/>
        <v>32610.364514904624</v>
      </c>
      <c r="AC106" s="250">
        <f t="shared" si="66"/>
        <v>32617.240646929662</v>
      </c>
      <c r="AD106" s="250">
        <f t="shared" si="66"/>
        <v>32596.762244489666</v>
      </c>
      <c r="AE106" s="250">
        <f t="shared" si="66"/>
        <v>32549.656977101498</v>
      </c>
      <c r="AF106" s="250">
        <f t="shared" si="66"/>
        <v>32476.64688752732</v>
      </c>
      <c r="AG106" s="250">
        <f t="shared" si="66"/>
        <v>32378.448421360259</v>
      </c>
      <c r="AH106" s="217"/>
      <c r="AI106" s="368"/>
      <c r="AJ106" s="369"/>
      <c r="AL106" s="194"/>
      <c r="AM106" s="116"/>
      <c r="AN106" s="116"/>
      <c r="AO106" s="116"/>
      <c r="BD106" s="116"/>
      <c r="BE106" s="116"/>
      <c r="BF106" s="116"/>
      <c r="BG106" s="116"/>
      <c r="BH106" s="116"/>
      <c r="BI106" s="116"/>
      <c r="BJ106" s="116"/>
      <c r="BK106" s="116"/>
    </row>
    <row r="107" spans="1:63" s="1" customFormat="1" outlineLevel="1">
      <c r="A107" s="1" t="s">
        <v>1047</v>
      </c>
      <c r="B107" s="60"/>
      <c r="C107" s="250">
        <f t="shared" ref="C107:AG107" si="67">C106-$C106</f>
        <v>0</v>
      </c>
      <c r="D107" s="250">
        <f t="shared" si="67"/>
        <v>957.21136338194265</v>
      </c>
      <c r="E107" s="250">
        <f t="shared" si="67"/>
        <v>1886.2664727051633</v>
      </c>
      <c r="F107" s="250">
        <f t="shared" si="67"/>
        <v>2787.3376054332184</v>
      </c>
      <c r="G107" s="250">
        <f t="shared" si="67"/>
        <v>3660.5962994343681</v>
      </c>
      <c r="H107" s="250">
        <f t="shared" si="67"/>
        <v>4506.2133556639565</v>
      </c>
      <c r="I107" s="250">
        <f t="shared" si="67"/>
        <v>5324.3588408378964</v>
      </c>
      <c r="J107" s="250">
        <f t="shared" si="67"/>
        <v>6115.2020900974385</v>
      </c>
      <c r="K107" s="250">
        <f t="shared" si="67"/>
        <v>6878.9117096651353</v>
      </c>
      <c r="L107" s="250">
        <f t="shared" si="67"/>
        <v>7615.6555794921442</v>
      </c>
      <c r="M107" s="250">
        <f t="shared" si="67"/>
        <v>8325.6008558967842</v>
      </c>
      <c r="N107" s="250">
        <f t="shared" si="67"/>
        <v>9008.91397419442</v>
      </c>
      <c r="O107" s="250">
        <f t="shared" si="67"/>
        <v>9665.7606513187638</v>
      </c>
      <c r="P107" s="250">
        <f t="shared" si="67"/>
        <v>10218.546936021201</v>
      </c>
      <c r="Q107" s="250">
        <f t="shared" si="67"/>
        <v>10741.932265055108</v>
      </c>
      <c r="R107" s="250">
        <f t="shared" si="67"/>
        <v>11236.290601804798</v>
      </c>
      <c r="S107" s="250">
        <f t="shared" si="67"/>
        <v>11701.99344268196</v>
      </c>
      <c r="T107" s="250">
        <f t="shared" si="67"/>
        <v>12139.409829227101</v>
      </c>
      <c r="U107" s="250">
        <f t="shared" si="67"/>
        <v>12548.906360160829</v>
      </c>
      <c r="V107" s="250">
        <f t="shared" si="67"/>
        <v>12930.847203385198</v>
      </c>
      <c r="W107" s="250">
        <f t="shared" si="67"/>
        <v>13285.594107935238</v>
      </c>
      <c r="X107" s="250">
        <f t="shared" si="67"/>
        <v>13613.5064158811</v>
      </c>
      <c r="Y107" s="250">
        <f t="shared" si="67"/>
        <v>13914.941074180606</v>
      </c>
      <c r="Z107" s="250">
        <f t="shared" si="67"/>
        <v>14008.30354072163</v>
      </c>
      <c r="AA107" s="250">
        <f t="shared" si="67"/>
        <v>14072.09440594176</v>
      </c>
      <c r="AB107" s="250">
        <f t="shared" si="67"/>
        <v>14107.05839841683</v>
      </c>
      <c r="AC107" s="250">
        <f t="shared" si="67"/>
        <v>14113.934530441868</v>
      </c>
      <c r="AD107" s="250">
        <f t="shared" si="67"/>
        <v>14093.456128001872</v>
      </c>
      <c r="AE107" s="250">
        <f t="shared" si="67"/>
        <v>14046.350860613704</v>
      </c>
      <c r="AF107" s="250">
        <f t="shared" si="67"/>
        <v>13973.340771039526</v>
      </c>
      <c r="AG107" s="250">
        <f t="shared" si="67"/>
        <v>13875.142304872465</v>
      </c>
      <c r="AH107" s="217"/>
      <c r="AI107" s="368"/>
      <c r="AJ107" s="369"/>
      <c r="AL107" s="194"/>
      <c r="AM107" s="116"/>
      <c r="AN107" s="116"/>
      <c r="AO107" s="116"/>
      <c r="BD107" s="116"/>
      <c r="BE107" s="116"/>
      <c r="BF107" s="116"/>
      <c r="BG107" s="116"/>
      <c r="BH107" s="116"/>
      <c r="BI107" s="116"/>
      <c r="BJ107" s="116"/>
      <c r="BK107" s="116"/>
    </row>
    <row r="108" spans="1:63" s="1" customFormat="1" outlineLevel="1">
      <c r="A108" s="1" t="s">
        <v>1048</v>
      </c>
      <c r="B108" s="60"/>
      <c r="C108" s="250">
        <f t="shared" ref="C108:AG108" si="68">C40*C101</f>
        <v>0</v>
      </c>
      <c r="D108" s="250">
        <f t="shared" si="68"/>
        <v>0</v>
      </c>
      <c r="E108" s="250">
        <f t="shared" si="68"/>
        <v>0</v>
      </c>
      <c r="F108" s="250">
        <f t="shared" si="68"/>
        <v>0</v>
      </c>
      <c r="G108" s="250">
        <f t="shared" si="68"/>
        <v>0</v>
      </c>
      <c r="H108" s="250">
        <f t="shared" si="68"/>
        <v>0</v>
      </c>
      <c r="I108" s="250">
        <f t="shared" si="68"/>
        <v>0</v>
      </c>
      <c r="J108" s="250">
        <f t="shared" si="68"/>
        <v>0</v>
      </c>
      <c r="K108" s="250">
        <f t="shared" si="68"/>
        <v>0</v>
      </c>
      <c r="L108" s="250">
        <f t="shared" si="68"/>
        <v>0</v>
      </c>
      <c r="M108" s="250">
        <f t="shared" si="68"/>
        <v>0</v>
      </c>
      <c r="N108" s="250">
        <f t="shared" si="68"/>
        <v>0</v>
      </c>
      <c r="O108" s="250">
        <f t="shared" si="68"/>
        <v>0</v>
      </c>
      <c r="P108" s="250">
        <f t="shared" si="68"/>
        <v>0</v>
      </c>
      <c r="Q108" s="250">
        <f t="shared" si="68"/>
        <v>0</v>
      </c>
      <c r="R108" s="250">
        <f t="shared" si="68"/>
        <v>0</v>
      </c>
      <c r="S108" s="250">
        <f t="shared" si="68"/>
        <v>0</v>
      </c>
      <c r="T108" s="250">
        <f t="shared" si="68"/>
        <v>0</v>
      </c>
      <c r="U108" s="250">
        <f t="shared" si="68"/>
        <v>0</v>
      </c>
      <c r="V108" s="250">
        <f t="shared" si="68"/>
        <v>0</v>
      </c>
      <c r="W108" s="250">
        <f t="shared" si="68"/>
        <v>0</v>
      </c>
      <c r="X108" s="250">
        <f t="shared" si="68"/>
        <v>0</v>
      </c>
      <c r="Y108" s="250">
        <f t="shared" si="68"/>
        <v>0</v>
      </c>
      <c r="Z108" s="250">
        <f t="shared" si="68"/>
        <v>0</v>
      </c>
      <c r="AA108" s="250">
        <f t="shared" si="68"/>
        <v>0</v>
      </c>
      <c r="AB108" s="250">
        <f t="shared" si="68"/>
        <v>0</v>
      </c>
      <c r="AC108" s="250">
        <f t="shared" si="68"/>
        <v>0</v>
      </c>
      <c r="AD108" s="250">
        <f t="shared" si="68"/>
        <v>0</v>
      </c>
      <c r="AE108" s="250">
        <f t="shared" si="68"/>
        <v>0</v>
      </c>
      <c r="AF108" s="250">
        <f t="shared" si="68"/>
        <v>0</v>
      </c>
      <c r="AG108" s="250">
        <f t="shared" si="68"/>
        <v>0</v>
      </c>
      <c r="AH108" s="217"/>
      <c r="AI108" s="368"/>
      <c r="AJ108" s="369"/>
      <c r="AL108" s="194"/>
      <c r="AM108" s="116"/>
      <c r="AN108" s="116"/>
      <c r="AO108" s="116"/>
      <c r="BD108" s="116"/>
      <c r="BE108" s="116"/>
      <c r="BF108" s="116"/>
      <c r="BG108" s="116"/>
      <c r="BH108" s="116"/>
      <c r="BI108" s="116"/>
      <c r="BJ108" s="116"/>
      <c r="BK108" s="116"/>
    </row>
    <row r="109" spans="1:63" s="1" customFormat="1" outlineLevel="1">
      <c r="A109" s="1" t="s">
        <v>1049</v>
      </c>
      <c r="B109" s="60"/>
      <c r="C109" s="250">
        <f t="shared" ref="C109:AG109" si="69">C108-$C108</f>
        <v>0</v>
      </c>
      <c r="D109" s="250">
        <f t="shared" si="69"/>
        <v>0</v>
      </c>
      <c r="E109" s="250">
        <f t="shared" si="69"/>
        <v>0</v>
      </c>
      <c r="F109" s="250">
        <f t="shared" si="69"/>
        <v>0</v>
      </c>
      <c r="G109" s="250">
        <f t="shared" si="69"/>
        <v>0</v>
      </c>
      <c r="H109" s="250">
        <f t="shared" si="69"/>
        <v>0</v>
      </c>
      <c r="I109" s="250">
        <f t="shared" si="69"/>
        <v>0</v>
      </c>
      <c r="J109" s="250">
        <f t="shared" si="69"/>
        <v>0</v>
      </c>
      <c r="K109" s="250">
        <f t="shared" si="69"/>
        <v>0</v>
      </c>
      <c r="L109" s="250">
        <f t="shared" si="69"/>
        <v>0</v>
      </c>
      <c r="M109" s="250">
        <f t="shared" si="69"/>
        <v>0</v>
      </c>
      <c r="N109" s="250">
        <f t="shared" si="69"/>
        <v>0</v>
      </c>
      <c r="O109" s="250">
        <f t="shared" si="69"/>
        <v>0</v>
      </c>
      <c r="P109" s="250">
        <f t="shared" si="69"/>
        <v>0</v>
      </c>
      <c r="Q109" s="250">
        <f t="shared" si="69"/>
        <v>0</v>
      </c>
      <c r="R109" s="250">
        <f t="shared" si="69"/>
        <v>0</v>
      </c>
      <c r="S109" s="250">
        <f t="shared" si="69"/>
        <v>0</v>
      </c>
      <c r="T109" s="250">
        <f t="shared" si="69"/>
        <v>0</v>
      </c>
      <c r="U109" s="250">
        <f t="shared" si="69"/>
        <v>0</v>
      </c>
      <c r="V109" s="250">
        <f t="shared" si="69"/>
        <v>0</v>
      </c>
      <c r="W109" s="250">
        <f t="shared" si="69"/>
        <v>0</v>
      </c>
      <c r="X109" s="250">
        <f t="shared" si="69"/>
        <v>0</v>
      </c>
      <c r="Y109" s="250">
        <f t="shared" si="69"/>
        <v>0</v>
      </c>
      <c r="Z109" s="250">
        <f t="shared" si="69"/>
        <v>0</v>
      </c>
      <c r="AA109" s="250">
        <f t="shared" si="69"/>
        <v>0</v>
      </c>
      <c r="AB109" s="250">
        <f t="shared" si="69"/>
        <v>0</v>
      </c>
      <c r="AC109" s="250">
        <f t="shared" si="69"/>
        <v>0</v>
      </c>
      <c r="AD109" s="250">
        <f t="shared" si="69"/>
        <v>0</v>
      </c>
      <c r="AE109" s="250">
        <f t="shared" si="69"/>
        <v>0</v>
      </c>
      <c r="AF109" s="250">
        <f t="shared" si="69"/>
        <v>0</v>
      </c>
      <c r="AG109" s="250">
        <f t="shared" si="69"/>
        <v>0</v>
      </c>
      <c r="AH109" s="217"/>
      <c r="AI109" s="368"/>
      <c r="AJ109" s="369"/>
      <c r="AL109" s="194"/>
      <c r="AM109" s="116"/>
      <c r="AN109" s="116"/>
      <c r="AO109" s="116"/>
      <c r="BD109" s="116"/>
      <c r="BE109" s="116"/>
      <c r="BF109" s="116"/>
      <c r="BG109" s="116"/>
      <c r="BH109" s="116"/>
      <c r="BI109" s="116"/>
      <c r="BJ109" s="116"/>
      <c r="BK109" s="116"/>
    </row>
    <row r="110" spans="1:63" s="1" customFormat="1" outlineLevel="1">
      <c r="A110" s="1" t="s">
        <v>1043</v>
      </c>
      <c r="B110" s="60"/>
      <c r="C110" s="250">
        <f t="shared" ref="C110:AG110" si="70">C40*C102</f>
        <v>2055.9229018319766</v>
      </c>
      <c r="D110" s="250">
        <f t="shared" si="70"/>
        <v>2162.2797199855258</v>
      </c>
      <c r="E110" s="250">
        <f t="shared" si="70"/>
        <v>2265.5080654658836</v>
      </c>
      <c r="F110" s="250">
        <f t="shared" si="70"/>
        <v>2365.6270802134454</v>
      </c>
      <c r="G110" s="250">
        <f t="shared" si="70"/>
        <v>2462.6558239913506</v>
      </c>
      <c r="H110" s="250">
        <f t="shared" si="70"/>
        <v>2556.6132746835274</v>
      </c>
      <c r="I110" s="250">
        <f t="shared" si="70"/>
        <v>2647.5183285917428</v>
      </c>
      <c r="J110" s="250">
        <f t="shared" si="70"/>
        <v>2735.389800731692</v>
      </c>
      <c r="K110" s="250">
        <f t="shared" si="70"/>
        <v>2820.2464251281031</v>
      </c>
      <c r="L110" s="250">
        <f t="shared" si="70"/>
        <v>2902.1068551088811</v>
      </c>
      <c r="M110" s="250">
        <f t="shared" si="70"/>
        <v>2980.9896635982855</v>
      </c>
      <c r="N110" s="250">
        <f t="shared" si="70"/>
        <v>3056.9133434091341</v>
      </c>
      <c r="O110" s="250">
        <f t="shared" si="70"/>
        <v>3129.8963075340612</v>
      </c>
      <c r="P110" s="250">
        <f t="shared" si="70"/>
        <v>3191.3170058343321</v>
      </c>
      <c r="Q110" s="250">
        <f t="shared" si="70"/>
        <v>3249.4709312825439</v>
      </c>
      <c r="R110" s="250">
        <f t="shared" si="70"/>
        <v>3304.3996353658422</v>
      </c>
      <c r="S110" s="250">
        <f t="shared" si="70"/>
        <v>3356.144395463305</v>
      </c>
      <c r="T110" s="250">
        <f t="shared" si="70"/>
        <v>3404.7462161905432</v>
      </c>
      <c r="U110" s="250">
        <f t="shared" si="70"/>
        <v>3450.2458307387351</v>
      </c>
      <c r="V110" s="250">
        <f t="shared" si="70"/>
        <v>3492.683702208109</v>
      </c>
      <c r="W110" s="250">
        <f t="shared" si="70"/>
        <v>3532.1000249358917</v>
      </c>
      <c r="X110" s="250">
        <f t="shared" si="70"/>
        <v>3568.5347258187658</v>
      </c>
      <c r="Y110" s="250">
        <f t="shared" si="70"/>
        <v>3602.0274656298216</v>
      </c>
      <c r="Z110" s="250">
        <f t="shared" si="70"/>
        <v>3612.401073023269</v>
      </c>
      <c r="AA110" s="250">
        <f t="shared" si="70"/>
        <v>3619.4889469366171</v>
      </c>
      <c r="AB110" s="250">
        <f t="shared" si="70"/>
        <v>3623.373834989402</v>
      </c>
      <c r="AC110" s="250">
        <f t="shared" si="70"/>
        <v>3624.1378496588509</v>
      </c>
      <c r="AD110" s="250">
        <f t="shared" si="70"/>
        <v>3621.8624716099616</v>
      </c>
      <c r="AE110" s="250">
        <f t="shared" si="70"/>
        <v>3616.6285530112768</v>
      </c>
      <c r="AF110" s="250">
        <f t="shared" si="70"/>
        <v>3608.5163208363683</v>
      </c>
      <c r="AG110" s="250">
        <f t="shared" si="70"/>
        <v>3597.6053801511389</v>
      </c>
      <c r="AH110" s="217"/>
      <c r="AI110" s="368"/>
      <c r="AJ110" s="369"/>
      <c r="AL110" s="194"/>
      <c r="AM110" s="116"/>
      <c r="AN110" s="116"/>
      <c r="AO110" s="116"/>
      <c r="BD110" s="116"/>
      <c r="BE110" s="116"/>
      <c r="BF110" s="116"/>
      <c r="BG110" s="116"/>
      <c r="BH110" s="116"/>
      <c r="BI110" s="116"/>
      <c r="BJ110" s="116"/>
      <c r="BK110" s="116"/>
    </row>
    <row r="111" spans="1:63" s="1" customFormat="1" outlineLevel="1">
      <c r="A111" s="1" t="s">
        <v>1046</v>
      </c>
      <c r="B111" s="60"/>
      <c r="C111" s="250">
        <f t="shared" ref="C111:AG111" si="71">C110-$C110</f>
        <v>0</v>
      </c>
      <c r="D111" s="250">
        <f t="shared" si="71"/>
        <v>106.35681815354928</v>
      </c>
      <c r="E111" s="250">
        <f t="shared" si="71"/>
        <v>209.58516363390709</v>
      </c>
      <c r="F111" s="250">
        <f t="shared" si="71"/>
        <v>309.70417838146886</v>
      </c>
      <c r="G111" s="250">
        <f t="shared" si="71"/>
        <v>406.73292215937408</v>
      </c>
      <c r="H111" s="250">
        <f t="shared" si="71"/>
        <v>500.69037285155082</v>
      </c>
      <c r="I111" s="250">
        <f t="shared" si="71"/>
        <v>591.59542675976627</v>
      </c>
      <c r="J111" s="250">
        <f t="shared" si="71"/>
        <v>679.46689889971549</v>
      </c>
      <c r="K111" s="250">
        <f t="shared" si="71"/>
        <v>764.3235232961265</v>
      </c>
      <c r="L111" s="250">
        <f t="shared" si="71"/>
        <v>846.1839532769045</v>
      </c>
      <c r="M111" s="250">
        <f t="shared" si="71"/>
        <v>925.0667617663089</v>
      </c>
      <c r="N111" s="250">
        <f t="shared" si="71"/>
        <v>1000.9904415771575</v>
      </c>
      <c r="O111" s="250">
        <f t="shared" si="71"/>
        <v>1073.9734057020846</v>
      </c>
      <c r="P111" s="250">
        <f t="shared" si="71"/>
        <v>1135.3941040023556</v>
      </c>
      <c r="Q111" s="250">
        <f t="shared" si="71"/>
        <v>1193.5480294505674</v>
      </c>
      <c r="R111" s="250">
        <f t="shared" si="71"/>
        <v>1248.4767335338656</v>
      </c>
      <c r="S111" s="250">
        <f t="shared" si="71"/>
        <v>1300.2214936313285</v>
      </c>
      <c r="T111" s="250">
        <f t="shared" si="71"/>
        <v>1348.8233143585667</v>
      </c>
      <c r="U111" s="250">
        <f t="shared" si="71"/>
        <v>1394.3229289067585</v>
      </c>
      <c r="V111" s="250">
        <f t="shared" si="71"/>
        <v>1436.7608003761325</v>
      </c>
      <c r="W111" s="250">
        <f t="shared" si="71"/>
        <v>1476.1771231039152</v>
      </c>
      <c r="X111" s="250">
        <f t="shared" si="71"/>
        <v>1512.6118239867892</v>
      </c>
      <c r="Y111" s="250">
        <f t="shared" si="71"/>
        <v>1546.104563797845</v>
      </c>
      <c r="Z111" s="250">
        <f t="shared" si="71"/>
        <v>1556.4781711912924</v>
      </c>
      <c r="AA111" s="250">
        <f t="shared" si="71"/>
        <v>1563.5660451046406</v>
      </c>
      <c r="AB111" s="250">
        <f t="shared" si="71"/>
        <v>1567.4509331574254</v>
      </c>
      <c r="AC111" s="250">
        <f t="shared" si="71"/>
        <v>1568.2149478268743</v>
      </c>
      <c r="AD111" s="250">
        <f t="shared" si="71"/>
        <v>1565.9395697779851</v>
      </c>
      <c r="AE111" s="250">
        <f t="shared" si="71"/>
        <v>1560.7056511793003</v>
      </c>
      <c r="AF111" s="250">
        <f t="shared" si="71"/>
        <v>1552.5934190043918</v>
      </c>
      <c r="AG111" s="250">
        <f t="shared" si="71"/>
        <v>1541.6824783191623</v>
      </c>
      <c r="AH111" s="217"/>
      <c r="AI111" s="368"/>
      <c r="AJ111" s="369"/>
      <c r="AL111" s="194"/>
      <c r="AM111" s="116"/>
      <c r="AN111" s="116"/>
      <c r="AO111" s="116"/>
      <c r="BD111" s="116"/>
      <c r="BE111" s="116"/>
      <c r="BF111" s="116"/>
      <c r="BG111" s="116"/>
      <c r="BH111" s="116"/>
      <c r="BI111" s="116"/>
      <c r="BJ111" s="116"/>
      <c r="BK111" s="116"/>
    </row>
    <row r="112" spans="1:63" outlineLevel="1">
      <c r="C112" s="10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J112" s="185"/>
      <c r="AM112" s="115"/>
      <c r="AN112" s="115"/>
    </row>
    <row r="113" spans="1:63" s="174" customFormat="1" ht="15.5" thickBot="1">
      <c r="A113" s="174" t="s">
        <v>432</v>
      </c>
      <c r="B113" s="189"/>
      <c r="C113" s="197">
        <f>C114</f>
        <v>0</v>
      </c>
      <c r="D113" s="197">
        <f t="shared" ref="D113:AG113" si="72">D114</f>
        <v>0</v>
      </c>
      <c r="E113" s="197">
        <f t="shared" si="72"/>
        <v>0</v>
      </c>
      <c r="F113" s="197">
        <f t="shared" si="72"/>
        <v>0</v>
      </c>
      <c r="G113" s="197">
        <f t="shared" si="72"/>
        <v>0</v>
      </c>
      <c r="H113" s="197">
        <f t="shared" si="72"/>
        <v>0</v>
      </c>
      <c r="I113" s="197">
        <f t="shared" si="72"/>
        <v>0</v>
      </c>
      <c r="J113" s="197">
        <f t="shared" si="72"/>
        <v>0</v>
      </c>
      <c r="K113" s="197">
        <f t="shared" si="72"/>
        <v>0</v>
      </c>
      <c r="L113" s="197">
        <f t="shared" si="72"/>
        <v>0</v>
      </c>
      <c r="M113" s="197">
        <f t="shared" si="72"/>
        <v>0</v>
      </c>
      <c r="N113" s="197">
        <f t="shared" si="72"/>
        <v>0</v>
      </c>
      <c r="O113" s="197">
        <f t="shared" si="72"/>
        <v>0</v>
      </c>
      <c r="P113" s="197">
        <f t="shared" si="72"/>
        <v>0</v>
      </c>
      <c r="Q113" s="197">
        <f t="shared" si="72"/>
        <v>0</v>
      </c>
      <c r="R113" s="197">
        <f t="shared" si="72"/>
        <v>0</v>
      </c>
      <c r="S113" s="197">
        <f t="shared" si="72"/>
        <v>0</v>
      </c>
      <c r="T113" s="197">
        <f t="shared" si="72"/>
        <v>0</v>
      </c>
      <c r="U113" s="197">
        <f t="shared" si="72"/>
        <v>0</v>
      </c>
      <c r="V113" s="197">
        <f t="shared" si="72"/>
        <v>0</v>
      </c>
      <c r="W113" s="197">
        <f t="shared" si="72"/>
        <v>0</v>
      </c>
      <c r="X113" s="197">
        <f t="shared" si="72"/>
        <v>0</v>
      </c>
      <c r="Y113" s="197">
        <f t="shared" si="72"/>
        <v>0</v>
      </c>
      <c r="Z113" s="197">
        <f t="shared" si="72"/>
        <v>0</v>
      </c>
      <c r="AA113" s="197">
        <f t="shared" si="72"/>
        <v>0</v>
      </c>
      <c r="AB113" s="197">
        <f t="shared" si="72"/>
        <v>0</v>
      </c>
      <c r="AC113" s="197">
        <f t="shared" si="72"/>
        <v>0</v>
      </c>
      <c r="AD113" s="197">
        <f t="shared" si="72"/>
        <v>0</v>
      </c>
      <c r="AE113" s="197">
        <f t="shared" si="72"/>
        <v>0</v>
      </c>
      <c r="AF113" s="197">
        <f t="shared" si="72"/>
        <v>0</v>
      </c>
      <c r="AG113" s="197">
        <f t="shared" si="72"/>
        <v>0</v>
      </c>
      <c r="AJ113" s="204" t="s">
        <v>456</v>
      </c>
      <c r="AL113" s="191"/>
      <c r="AM113" s="198"/>
      <c r="AN113" s="198"/>
      <c r="AO113" s="198"/>
    </row>
    <row r="114" spans="1:63" ht="15.5" outlineLevel="1" thickTop="1">
      <c r="A114" t="s">
        <v>433</v>
      </c>
      <c r="B114" s="50" t="s">
        <v>126</v>
      </c>
      <c r="C114" s="188">
        <v>0</v>
      </c>
      <c r="D114" s="102">
        <f>$C114+($M114-$C114)/10*(D$1-$C$1)</f>
        <v>0</v>
      </c>
      <c r="E114" s="102">
        <f t="shared" ref="E114:L114" si="73">$C114+($M114-$C114)/10*(E$1-$C$1)</f>
        <v>0</v>
      </c>
      <c r="F114" s="102">
        <f t="shared" si="73"/>
        <v>0</v>
      </c>
      <c r="G114" s="102">
        <f t="shared" si="73"/>
        <v>0</v>
      </c>
      <c r="H114" s="102">
        <f t="shared" si="73"/>
        <v>0</v>
      </c>
      <c r="I114" s="102">
        <f t="shared" si="73"/>
        <v>0</v>
      </c>
      <c r="J114" s="102">
        <f t="shared" si="73"/>
        <v>0</v>
      </c>
      <c r="K114" s="102">
        <f t="shared" si="73"/>
        <v>0</v>
      </c>
      <c r="L114" s="102">
        <f t="shared" si="73"/>
        <v>0</v>
      </c>
      <c r="M114" s="113">
        <v>0</v>
      </c>
      <c r="N114" s="113">
        <f>$M114+($W114-$M114)/10*(N$1-$M$1)</f>
        <v>0</v>
      </c>
      <c r="O114" s="113">
        <f t="shared" ref="O114:U114" si="74">$M114+($W114-$M114)/10*(O$1-$M$1)</f>
        <v>0</v>
      </c>
      <c r="P114" s="113">
        <f t="shared" si="74"/>
        <v>0</v>
      </c>
      <c r="Q114" s="113">
        <f t="shared" si="74"/>
        <v>0</v>
      </c>
      <c r="R114" s="113">
        <f t="shared" si="74"/>
        <v>0</v>
      </c>
      <c r="S114" s="113">
        <f t="shared" si="74"/>
        <v>0</v>
      </c>
      <c r="T114" s="113">
        <f t="shared" si="74"/>
        <v>0</v>
      </c>
      <c r="U114" s="113">
        <f t="shared" si="74"/>
        <v>0</v>
      </c>
      <c r="V114" s="113">
        <f>$M114+($W114-$M114)/10*(V$1-$M$1)</f>
        <v>0</v>
      </c>
      <c r="W114" s="113">
        <v>0</v>
      </c>
      <c r="X114" s="102">
        <f>$W114+($AG114-$W114)/10*(X$1-$W$1)</f>
        <v>0</v>
      </c>
      <c r="Y114" s="102">
        <f t="shared" ref="Y114:AF114" si="75">$W114+($AG114-$W114)/10*(Y$1-$W$1)</f>
        <v>0</v>
      </c>
      <c r="Z114" s="102">
        <f t="shared" si="75"/>
        <v>0</v>
      </c>
      <c r="AA114" s="102">
        <f t="shared" si="75"/>
        <v>0</v>
      </c>
      <c r="AB114" s="102">
        <f t="shared" si="75"/>
        <v>0</v>
      </c>
      <c r="AC114" s="102">
        <f t="shared" si="75"/>
        <v>0</v>
      </c>
      <c r="AD114" s="102">
        <f t="shared" si="75"/>
        <v>0</v>
      </c>
      <c r="AE114" s="102">
        <f t="shared" si="75"/>
        <v>0</v>
      </c>
      <c r="AF114" s="102">
        <f t="shared" si="75"/>
        <v>0</v>
      </c>
      <c r="AG114" s="188">
        <v>0</v>
      </c>
      <c r="AJ114" s="185" t="s">
        <v>438</v>
      </c>
    </row>
    <row r="115" spans="1:63" outlineLevel="1">
      <c r="A115" t="s">
        <v>434</v>
      </c>
      <c r="B115" s="50" t="s">
        <v>126</v>
      </c>
      <c r="C115" s="188">
        <v>0</v>
      </c>
      <c r="D115" s="102">
        <f t="shared" ref="D115:L115" si="76">C115-($C$115-$AG$115)/($AG$1-$C$1)</f>
        <v>0</v>
      </c>
      <c r="E115" s="102">
        <f t="shared" si="76"/>
        <v>0</v>
      </c>
      <c r="F115" s="102">
        <f t="shared" si="76"/>
        <v>0</v>
      </c>
      <c r="G115" s="102">
        <f t="shared" si="76"/>
        <v>0</v>
      </c>
      <c r="H115" s="102">
        <f t="shared" si="76"/>
        <v>0</v>
      </c>
      <c r="I115" s="102">
        <f t="shared" si="76"/>
        <v>0</v>
      </c>
      <c r="J115" s="102">
        <f t="shared" si="76"/>
        <v>0</v>
      </c>
      <c r="K115" s="102">
        <f t="shared" si="76"/>
        <v>0</v>
      </c>
      <c r="L115" s="102">
        <f t="shared" si="76"/>
        <v>0</v>
      </c>
      <c r="M115" s="102">
        <v>0</v>
      </c>
      <c r="N115" s="102">
        <f t="shared" ref="N115:V115" si="77">M115-($C$115-$AG$115)/($AG$1-$C$1)</f>
        <v>0</v>
      </c>
      <c r="O115" s="102">
        <f t="shared" si="77"/>
        <v>0</v>
      </c>
      <c r="P115" s="102">
        <f t="shared" si="77"/>
        <v>0</v>
      </c>
      <c r="Q115" s="102">
        <f t="shared" si="77"/>
        <v>0</v>
      </c>
      <c r="R115" s="102">
        <f t="shared" si="77"/>
        <v>0</v>
      </c>
      <c r="S115" s="102">
        <f t="shared" si="77"/>
        <v>0</v>
      </c>
      <c r="T115" s="102">
        <f t="shared" si="77"/>
        <v>0</v>
      </c>
      <c r="U115" s="102">
        <f t="shared" si="77"/>
        <v>0</v>
      </c>
      <c r="V115" s="102">
        <f t="shared" si="77"/>
        <v>0</v>
      </c>
      <c r="W115" s="102">
        <v>0</v>
      </c>
      <c r="X115" s="102">
        <f t="shared" ref="X115:AF115" si="78">W115-($C$115-$AG$115)/($AG$1-$C$1)</f>
        <v>0</v>
      </c>
      <c r="Y115" s="102">
        <f t="shared" si="78"/>
        <v>0</v>
      </c>
      <c r="Z115" s="102">
        <f t="shared" si="78"/>
        <v>0</v>
      </c>
      <c r="AA115" s="102">
        <f t="shared" si="78"/>
        <v>0</v>
      </c>
      <c r="AB115" s="102">
        <f t="shared" si="78"/>
        <v>0</v>
      </c>
      <c r="AC115" s="102">
        <f t="shared" si="78"/>
        <v>0</v>
      </c>
      <c r="AD115" s="102">
        <f t="shared" si="78"/>
        <v>0</v>
      </c>
      <c r="AE115" s="102">
        <f t="shared" si="78"/>
        <v>0</v>
      </c>
      <c r="AF115" s="102">
        <f t="shared" si="78"/>
        <v>0</v>
      </c>
      <c r="AG115" s="188">
        <v>0</v>
      </c>
      <c r="AI115" s="126"/>
      <c r="AJ115" s="185" t="s">
        <v>568</v>
      </c>
      <c r="AM115" s="115"/>
      <c r="AN115" s="115"/>
    </row>
    <row r="116" spans="1:63" ht="14.5" customHeight="1" outlineLevel="1">
      <c r="A116" t="s">
        <v>435</v>
      </c>
      <c r="B116" s="156" t="s">
        <v>126</v>
      </c>
      <c r="C116" s="102">
        <v>0</v>
      </c>
      <c r="D116" s="102">
        <f t="shared" ref="D116:AF116" si="79">1-D115</f>
        <v>1</v>
      </c>
      <c r="E116" s="102">
        <f t="shared" si="79"/>
        <v>1</v>
      </c>
      <c r="F116" s="102">
        <f t="shared" si="79"/>
        <v>1</v>
      </c>
      <c r="G116" s="102">
        <f t="shared" si="79"/>
        <v>1</v>
      </c>
      <c r="H116" s="102">
        <f t="shared" si="79"/>
        <v>1</v>
      </c>
      <c r="I116" s="102">
        <f t="shared" si="79"/>
        <v>1</v>
      </c>
      <c r="J116" s="102">
        <f t="shared" si="79"/>
        <v>1</v>
      </c>
      <c r="K116" s="102">
        <f t="shared" si="79"/>
        <v>1</v>
      </c>
      <c r="L116" s="102">
        <f t="shared" si="79"/>
        <v>1</v>
      </c>
      <c r="M116" s="102">
        <v>0</v>
      </c>
      <c r="N116" s="102">
        <f t="shared" si="79"/>
        <v>1</v>
      </c>
      <c r="O116" s="102">
        <f t="shared" si="79"/>
        <v>1</v>
      </c>
      <c r="P116" s="102">
        <f t="shared" si="79"/>
        <v>1</v>
      </c>
      <c r="Q116" s="102">
        <f t="shared" si="79"/>
        <v>1</v>
      </c>
      <c r="R116" s="102">
        <f t="shared" si="79"/>
        <v>1</v>
      </c>
      <c r="S116" s="102">
        <f t="shared" si="79"/>
        <v>1</v>
      </c>
      <c r="T116" s="102">
        <f t="shared" si="79"/>
        <v>1</v>
      </c>
      <c r="U116" s="102">
        <f t="shared" si="79"/>
        <v>1</v>
      </c>
      <c r="V116" s="102">
        <f t="shared" si="79"/>
        <v>1</v>
      </c>
      <c r="W116" s="102">
        <v>0</v>
      </c>
      <c r="X116" s="102">
        <f t="shared" si="79"/>
        <v>1</v>
      </c>
      <c r="Y116" s="102">
        <f t="shared" si="79"/>
        <v>1</v>
      </c>
      <c r="Z116" s="102">
        <f t="shared" si="79"/>
        <v>1</v>
      </c>
      <c r="AA116" s="102">
        <f t="shared" si="79"/>
        <v>1</v>
      </c>
      <c r="AB116" s="102">
        <f t="shared" si="79"/>
        <v>1</v>
      </c>
      <c r="AC116" s="102">
        <f t="shared" si="79"/>
        <v>1</v>
      </c>
      <c r="AD116" s="102">
        <f t="shared" si="79"/>
        <v>1</v>
      </c>
      <c r="AE116" s="102">
        <f t="shared" si="79"/>
        <v>1</v>
      </c>
      <c r="AF116" s="102">
        <f t="shared" si="79"/>
        <v>1</v>
      </c>
      <c r="AG116" s="102">
        <v>0</v>
      </c>
      <c r="AI116" s="126" t="s">
        <v>289</v>
      </c>
      <c r="AJ116" s="185"/>
    </row>
    <row r="117" spans="1:63" outlineLevel="1">
      <c r="A117" t="s">
        <v>436</v>
      </c>
      <c r="B117" s="50" t="s">
        <v>126</v>
      </c>
      <c r="C117" s="102">
        <f>C114*C115</f>
        <v>0</v>
      </c>
      <c r="D117" s="102">
        <f t="shared" ref="D117:AG117" si="80">D114*D115</f>
        <v>0</v>
      </c>
      <c r="E117" s="102">
        <f t="shared" si="80"/>
        <v>0</v>
      </c>
      <c r="F117" s="102">
        <f t="shared" si="80"/>
        <v>0</v>
      </c>
      <c r="G117" s="102">
        <f t="shared" si="80"/>
        <v>0</v>
      </c>
      <c r="H117" s="102">
        <f t="shared" si="80"/>
        <v>0</v>
      </c>
      <c r="I117" s="102">
        <f t="shared" si="80"/>
        <v>0</v>
      </c>
      <c r="J117" s="102">
        <f t="shared" si="80"/>
        <v>0</v>
      </c>
      <c r="K117" s="102">
        <f t="shared" si="80"/>
        <v>0</v>
      </c>
      <c r="L117" s="102">
        <f t="shared" si="80"/>
        <v>0</v>
      </c>
      <c r="M117" s="102">
        <f t="shared" si="80"/>
        <v>0</v>
      </c>
      <c r="N117" s="102">
        <f t="shared" si="80"/>
        <v>0</v>
      </c>
      <c r="O117" s="102">
        <f t="shared" si="80"/>
        <v>0</v>
      </c>
      <c r="P117" s="102">
        <f t="shared" si="80"/>
        <v>0</v>
      </c>
      <c r="Q117" s="102">
        <f t="shared" si="80"/>
        <v>0</v>
      </c>
      <c r="R117" s="102">
        <f t="shared" si="80"/>
        <v>0</v>
      </c>
      <c r="S117" s="102">
        <f t="shared" si="80"/>
        <v>0</v>
      </c>
      <c r="T117" s="102">
        <f t="shared" si="80"/>
        <v>0</v>
      </c>
      <c r="U117" s="102">
        <f t="shared" si="80"/>
        <v>0</v>
      </c>
      <c r="V117" s="102">
        <f t="shared" si="80"/>
        <v>0</v>
      </c>
      <c r="W117" s="102">
        <f t="shared" si="80"/>
        <v>0</v>
      </c>
      <c r="X117" s="102">
        <f t="shared" si="80"/>
        <v>0</v>
      </c>
      <c r="Y117" s="102">
        <f t="shared" si="80"/>
        <v>0</v>
      </c>
      <c r="Z117" s="102">
        <f t="shared" si="80"/>
        <v>0</v>
      </c>
      <c r="AA117" s="102">
        <f t="shared" si="80"/>
        <v>0</v>
      </c>
      <c r="AB117" s="102">
        <f t="shared" si="80"/>
        <v>0</v>
      </c>
      <c r="AC117" s="102">
        <f t="shared" si="80"/>
        <v>0</v>
      </c>
      <c r="AD117" s="102">
        <f t="shared" si="80"/>
        <v>0</v>
      </c>
      <c r="AE117" s="102">
        <f t="shared" si="80"/>
        <v>0</v>
      </c>
      <c r="AF117" s="102">
        <f t="shared" si="80"/>
        <v>0</v>
      </c>
      <c r="AG117" s="102">
        <f t="shared" si="80"/>
        <v>0</v>
      </c>
      <c r="AI117" s="125"/>
      <c r="AJ117" s="185"/>
      <c r="BD117" s="177"/>
      <c r="BE117" s="177"/>
    </row>
    <row r="118" spans="1:63" outlineLevel="1">
      <c r="A118" t="s">
        <v>437</v>
      </c>
      <c r="B118" s="50" t="s">
        <v>126</v>
      </c>
      <c r="C118" s="102">
        <f>C114*C116</f>
        <v>0</v>
      </c>
      <c r="D118" s="102">
        <f t="shared" ref="D118:AG118" si="81">D114*D116</f>
        <v>0</v>
      </c>
      <c r="E118" s="102">
        <f t="shared" si="81"/>
        <v>0</v>
      </c>
      <c r="F118" s="102">
        <f t="shared" si="81"/>
        <v>0</v>
      </c>
      <c r="G118" s="102">
        <f t="shared" si="81"/>
        <v>0</v>
      </c>
      <c r="H118" s="102">
        <f t="shared" si="81"/>
        <v>0</v>
      </c>
      <c r="I118" s="102">
        <f t="shared" si="81"/>
        <v>0</v>
      </c>
      <c r="J118" s="102">
        <f t="shared" si="81"/>
        <v>0</v>
      </c>
      <c r="K118" s="102">
        <f t="shared" si="81"/>
        <v>0</v>
      </c>
      <c r="L118" s="102">
        <f t="shared" si="81"/>
        <v>0</v>
      </c>
      <c r="M118" s="102">
        <f t="shared" si="81"/>
        <v>0</v>
      </c>
      <c r="N118" s="102">
        <f t="shared" si="81"/>
        <v>0</v>
      </c>
      <c r="O118" s="102">
        <f t="shared" si="81"/>
        <v>0</v>
      </c>
      <c r="P118" s="102">
        <f t="shared" si="81"/>
        <v>0</v>
      </c>
      <c r="Q118" s="102">
        <f t="shared" si="81"/>
        <v>0</v>
      </c>
      <c r="R118" s="102">
        <f t="shared" si="81"/>
        <v>0</v>
      </c>
      <c r="S118" s="102">
        <f t="shared" si="81"/>
        <v>0</v>
      </c>
      <c r="T118" s="102">
        <f t="shared" si="81"/>
        <v>0</v>
      </c>
      <c r="U118" s="102">
        <f t="shared" si="81"/>
        <v>0</v>
      </c>
      <c r="V118" s="102">
        <f t="shared" si="81"/>
        <v>0</v>
      </c>
      <c r="W118" s="102">
        <f t="shared" si="81"/>
        <v>0</v>
      </c>
      <c r="X118" s="102">
        <f t="shared" si="81"/>
        <v>0</v>
      </c>
      <c r="Y118" s="102">
        <f t="shared" si="81"/>
        <v>0</v>
      </c>
      <c r="Z118" s="102">
        <f t="shared" si="81"/>
        <v>0</v>
      </c>
      <c r="AA118" s="102">
        <f t="shared" si="81"/>
        <v>0</v>
      </c>
      <c r="AB118" s="102">
        <f t="shared" si="81"/>
        <v>0</v>
      </c>
      <c r="AC118" s="102">
        <f t="shared" si="81"/>
        <v>0</v>
      </c>
      <c r="AD118" s="102">
        <f t="shared" si="81"/>
        <v>0</v>
      </c>
      <c r="AE118" s="102">
        <f t="shared" si="81"/>
        <v>0</v>
      </c>
      <c r="AF118" s="102">
        <f t="shared" si="81"/>
        <v>0</v>
      </c>
      <c r="AG118" s="102">
        <f t="shared" si="81"/>
        <v>0</v>
      </c>
      <c r="AI118" s="125"/>
      <c r="AJ118" s="185"/>
      <c r="BD118" s="177"/>
      <c r="BE118" s="177"/>
    </row>
    <row r="119" spans="1:63" outlineLevel="1">
      <c r="C119" s="10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J119" s="185"/>
    </row>
    <row r="120" spans="1:63" outlineLevel="1">
      <c r="A120" t="s">
        <v>422</v>
      </c>
      <c r="B120" s="50" t="s">
        <v>126</v>
      </c>
      <c r="C120" s="188">
        <v>0.5</v>
      </c>
      <c r="D120" s="102">
        <f>C120</f>
        <v>0.5</v>
      </c>
      <c r="E120" s="102">
        <f t="shared" ref="E120:AG120" si="82">D120</f>
        <v>0.5</v>
      </c>
      <c r="F120" s="102">
        <f t="shared" si="82"/>
        <v>0.5</v>
      </c>
      <c r="G120" s="102">
        <f t="shared" si="82"/>
        <v>0.5</v>
      </c>
      <c r="H120" s="102">
        <f t="shared" si="82"/>
        <v>0.5</v>
      </c>
      <c r="I120" s="102">
        <f t="shared" si="82"/>
        <v>0.5</v>
      </c>
      <c r="J120" s="102">
        <f t="shared" si="82"/>
        <v>0.5</v>
      </c>
      <c r="K120" s="102">
        <f t="shared" si="82"/>
        <v>0.5</v>
      </c>
      <c r="L120" s="102">
        <f t="shared" si="82"/>
        <v>0.5</v>
      </c>
      <c r="M120" s="102">
        <f t="shared" si="82"/>
        <v>0.5</v>
      </c>
      <c r="N120" s="102">
        <f t="shared" si="82"/>
        <v>0.5</v>
      </c>
      <c r="O120" s="102">
        <f t="shared" si="82"/>
        <v>0.5</v>
      </c>
      <c r="P120" s="102">
        <f t="shared" si="82"/>
        <v>0.5</v>
      </c>
      <c r="Q120" s="102">
        <f t="shared" si="82"/>
        <v>0.5</v>
      </c>
      <c r="R120" s="102">
        <f t="shared" si="82"/>
        <v>0.5</v>
      </c>
      <c r="S120" s="102">
        <f t="shared" si="82"/>
        <v>0.5</v>
      </c>
      <c r="T120" s="102">
        <f t="shared" si="82"/>
        <v>0.5</v>
      </c>
      <c r="U120" s="102">
        <f t="shared" si="82"/>
        <v>0.5</v>
      </c>
      <c r="V120" s="102">
        <f t="shared" si="82"/>
        <v>0.5</v>
      </c>
      <c r="W120" s="102">
        <f t="shared" si="82"/>
        <v>0.5</v>
      </c>
      <c r="X120" s="102">
        <f t="shared" si="82"/>
        <v>0.5</v>
      </c>
      <c r="Y120" s="102">
        <f t="shared" si="82"/>
        <v>0.5</v>
      </c>
      <c r="Z120" s="102">
        <f t="shared" si="82"/>
        <v>0.5</v>
      </c>
      <c r="AA120" s="102">
        <f t="shared" si="82"/>
        <v>0.5</v>
      </c>
      <c r="AB120" s="102">
        <f t="shared" si="82"/>
        <v>0.5</v>
      </c>
      <c r="AC120" s="102">
        <f t="shared" si="82"/>
        <v>0.5</v>
      </c>
      <c r="AD120" s="102">
        <f t="shared" si="82"/>
        <v>0.5</v>
      </c>
      <c r="AE120" s="102">
        <f t="shared" si="82"/>
        <v>0.5</v>
      </c>
      <c r="AF120" s="102">
        <f t="shared" si="82"/>
        <v>0.5</v>
      </c>
      <c r="AG120" s="102">
        <f t="shared" si="82"/>
        <v>0.5</v>
      </c>
      <c r="AI120" s="50"/>
      <c r="AJ120" s="185" t="s">
        <v>445</v>
      </c>
    </row>
    <row r="121" spans="1:63" outlineLevel="1">
      <c r="A121" t="s">
        <v>430</v>
      </c>
      <c r="B121" s="50" t="s">
        <v>126</v>
      </c>
      <c r="C121" s="113">
        <f>1-C120</f>
        <v>0.5</v>
      </c>
      <c r="D121" s="102">
        <f t="shared" ref="D121:AG121" si="83">C121</f>
        <v>0.5</v>
      </c>
      <c r="E121" s="102">
        <f t="shared" si="83"/>
        <v>0.5</v>
      </c>
      <c r="F121" s="102">
        <f t="shared" si="83"/>
        <v>0.5</v>
      </c>
      <c r="G121" s="102">
        <f t="shared" si="83"/>
        <v>0.5</v>
      </c>
      <c r="H121" s="102">
        <f t="shared" si="83"/>
        <v>0.5</v>
      </c>
      <c r="I121" s="102">
        <f t="shared" si="83"/>
        <v>0.5</v>
      </c>
      <c r="J121" s="102">
        <f t="shared" si="83"/>
        <v>0.5</v>
      </c>
      <c r="K121" s="102">
        <f t="shared" si="83"/>
        <v>0.5</v>
      </c>
      <c r="L121" s="102">
        <f t="shared" si="83"/>
        <v>0.5</v>
      </c>
      <c r="M121" s="102">
        <f t="shared" si="83"/>
        <v>0.5</v>
      </c>
      <c r="N121" s="102">
        <f t="shared" si="83"/>
        <v>0.5</v>
      </c>
      <c r="O121" s="102">
        <f t="shared" si="83"/>
        <v>0.5</v>
      </c>
      <c r="P121" s="102">
        <f t="shared" si="83"/>
        <v>0.5</v>
      </c>
      <c r="Q121" s="102">
        <f t="shared" si="83"/>
        <v>0.5</v>
      </c>
      <c r="R121" s="102">
        <f t="shared" si="83"/>
        <v>0.5</v>
      </c>
      <c r="S121" s="102">
        <f t="shared" si="83"/>
        <v>0.5</v>
      </c>
      <c r="T121" s="102">
        <f t="shared" si="83"/>
        <v>0.5</v>
      </c>
      <c r="U121" s="102">
        <f t="shared" si="83"/>
        <v>0.5</v>
      </c>
      <c r="V121" s="102">
        <f t="shared" si="83"/>
        <v>0.5</v>
      </c>
      <c r="W121" s="102">
        <f t="shared" si="83"/>
        <v>0.5</v>
      </c>
      <c r="X121" s="102">
        <f t="shared" si="83"/>
        <v>0.5</v>
      </c>
      <c r="Y121" s="102">
        <f t="shared" si="83"/>
        <v>0.5</v>
      </c>
      <c r="Z121" s="102">
        <f t="shared" si="83"/>
        <v>0.5</v>
      </c>
      <c r="AA121" s="102">
        <f t="shared" si="83"/>
        <v>0.5</v>
      </c>
      <c r="AB121" s="102">
        <f t="shared" si="83"/>
        <v>0.5</v>
      </c>
      <c r="AC121" s="102">
        <f t="shared" si="83"/>
        <v>0.5</v>
      </c>
      <c r="AD121" s="102">
        <f t="shared" si="83"/>
        <v>0.5</v>
      </c>
      <c r="AE121" s="102">
        <f t="shared" si="83"/>
        <v>0.5</v>
      </c>
      <c r="AF121" s="102">
        <f t="shared" si="83"/>
        <v>0.5</v>
      </c>
      <c r="AG121" s="102">
        <f t="shared" si="83"/>
        <v>0.5</v>
      </c>
      <c r="AJ121" s="196"/>
    </row>
    <row r="122" spans="1:63" outlineLevel="1">
      <c r="A122" t="s">
        <v>418</v>
      </c>
      <c r="B122" s="50" t="s">
        <v>126</v>
      </c>
      <c r="C122" s="102">
        <f t="shared" ref="C122:AG122" si="84">SUM(C120:C121)</f>
        <v>1</v>
      </c>
      <c r="D122" s="102">
        <f t="shared" si="84"/>
        <v>1</v>
      </c>
      <c r="E122" s="102">
        <f t="shared" si="84"/>
        <v>1</v>
      </c>
      <c r="F122" s="102">
        <f t="shared" si="84"/>
        <v>1</v>
      </c>
      <c r="G122" s="102">
        <f t="shared" si="84"/>
        <v>1</v>
      </c>
      <c r="H122" s="102">
        <f t="shared" si="84"/>
        <v>1</v>
      </c>
      <c r="I122" s="102">
        <f t="shared" si="84"/>
        <v>1</v>
      </c>
      <c r="J122" s="102">
        <f t="shared" si="84"/>
        <v>1</v>
      </c>
      <c r="K122" s="102">
        <f t="shared" si="84"/>
        <v>1</v>
      </c>
      <c r="L122" s="102">
        <f t="shared" si="84"/>
        <v>1</v>
      </c>
      <c r="M122" s="102">
        <f t="shared" si="84"/>
        <v>1</v>
      </c>
      <c r="N122" s="102">
        <f t="shared" si="84"/>
        <v>1</v>
      </c>
      <c r="O122" s="102">
        <f t="shared" si="84"/>
        <v>1</v>
      </c>
      <c r="P122" s="102">
        <f t="shared" si="84"/>
        <v>1</v>
      </c>
      <c r="Q122" s="102">
        <f t="shared" si="84"/>
        <v>1</v>
      </c>
      <c r="R122" s="102">
        <f t="shared" si="84"/>
        <v>1</v>
      </c>
      <c r="S122" s="102">
        <f t="shared" si="84"/>
        <v>1</v>
      </c>
      <c r="T122" s="102">
        <f t="shared" si="84"/>
        <v>1</v>
      </c>
      <c r="U122" s="102">
        <f t="shared" si="84"/>
        <v>1</v>
      </c>
      <c r="V122" s="102">
        <f t="shared" si="84"/>
        <v>1</v>
      </c>
      <c r="W122" s="102">
        <f t="shared" si="84"/>
        <v>1</v>
      </c>
      <c r="X122" s="102">
        <f t="shared" si="84"/>
        <v>1</v>
      </c>
      <c r="Y122" s="102">
        <f t="shared" si="84"/>
        <v>1</v>
      </c>
      <c r="Z122" s="102">
        <f t="shared" si="84"/>
        <v>1</v>
      </c>
      <c r="AA122" s="102">
        <f t="shared" si="84"/>
        <v>1</v>
      </c>
      <c r="AB122" s="102">
        <f t="shared" si="84"/>
        <v>1</v>
      </c>
      <c r="AC122" s="102">
        <f t="shared" si="84"/>
        <v>1</v>
      </c>
      <c r="AD122" s="102">
        <f t="shared" si="84"/>
        <v>1</v>
      </c>
      <c r="AE122" s="102">
        <f t="shared" si="84"/>
        <v>1</v>
      </c>
      <c r="AF122" s="102">
        <f t="shared" si="84"/>
        <v>1</v>
      </c>
      <c r="AG122" s="102">
        <f t="shared" si="84"/>
        <v>1</v>
      </c>
      <c r="AH122" s="122"/>
      <c r="AI122" s="50"/>
      <c r="AJ122" s="196"/>
    </row>
    <row r="123" spans="1:63" outlineLevel="1">
      <c r="C123" s="188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22"/>
      <c r="AI123" s="122"/>
      <c r="AJ123" s="196"/>
    </row>
    <row r="124" spans="1:63" outlineLevel="1">
      <c r="A124" t="s">
        <v>440</v>
      </c>
      <c r="B124" s="50" t="s">
        <v>126</v>
      </c>
      <c r="C124" s="102">
        <f>C120*C118</f>
        <v>0</v>
      </c>
      <c r="D124" s="102">
        <f t="shared" ref="D124:AG124" si="85">D120*D118</f>
        <v>0</v>
      </c>
      <c r="E124" s="102">
        <f t="shared" si="85"/>
        <v>0</v>
      </c>
      <c r="F124" s="102">
        <f t="shared" si="85"/>
        <v>0</v>
      </c>
      <c r="G124" s="102">
        <f t="shared" si="85"/>
        <v>0</v>
      </c>
      <c r="H124" s="102">
        <f t="shared" si="85"/>
        <v>0</v>
      </c>
      <c r="I124" s="102">
        <f t="shared" si="85"/>
        <v>0</v>
      </c>
      <c r="J124" s="102">
        <f t="shared" si="85"/>
        <v>0</v>
      </c>
      <c r="K124" s="102">
        <f t="shared" si="85"/>
        <v>0</v>
      </c>
      <c r="L124" s="102">
        <f t="shared" si="85"/>
        <v>0</v>
      </c>
      <c r="M124" s="102">
        <f t="shared" si="85"/>
        <v>0</v>
      </c>
      <c r="N124" s="102">
        <f t="shared" si="85"/>
        <v>0</v>
      </c>
      <c r="O124" s="102">
        <f t="shared" si="85"/>
        <v>0</v>
      </c>
      <c r="P124" s="102">
        <f t="shared" si="85"/>
        <v>0</v>
      </c>
      <c r="Q124" s="102">
        <f t="shared" si="85"/>
        <v>0</v>
      </c>
      <c r="R124" s="102">
        <f t="shared" si="85"/>
        <v>0</v>
      </c>
      <c r="S124" s="102">
        <f t="shared" si="85"/>
        <v>0</v>
      </c>
      <c r="T124" s="102">
        <f t="shared" si="85"/>
        <v>0</v>
      </c>
      <c r="U124" s="102">
        <f t="shared" si="85"/>
        <v>0</v>
      </c>
      <c r="V124" s="102">
        <f t="shared" si="85"/>
        <v>0</v>
      </c>
      <c r="W124" s="102">
        <f t="shared" si="85"/>
        <v>0</v>
      </c>
      <c r="X124" s="102">
        <f t="shared" si="85"/>
        <v>0</v>
      </c>
      <c r="Y124" s="102">
        <f t="shared" si="85"/>
        <v>0</v>
      </c>
      <c r="Z124" s="102">
        <f t="shared" si="85"/>
        <v>0</v>
      </c>
      <c r="AA124" s="102">
        <f t="shared" si="85"/>
        <v>0</v>
      </c>
      <c r="AB124" s="102">
        <f t="shared" si="85"/>
        <v>0</v>
      </c>
      <c r="AC124" s="102">
        <f t="shared" si="85"/>
        <v>0</v>
      </c>
      <c r="AD124" s="102">
        <f t="shared" si="85"/>
        <v>0</v>
      </c>
      <c r="AE124" s="102">
        <f t="shared" si="85"/>
        <v>0</v>
      </c>
      <c r="AF124" s="102">
        <f t="shared" si="85"/>
        <v>0</v>
      </c>
      <c r="AG124" s="102">
        <f t="shared" si="85"/>
        <v>0</v>
      </c>
      <c r="AH124" s="122"/>
      <c r="AI124" s="122"/>
      <c r="AJ124" s="185"/>
    </row>
    <row r="125" spans="1:63" outlineLevel="1">
      <c r="A125" t="s">
        <v>518</v>
      </c>
      <c r="B125" s="50" t="s">
        <v>126</v>
      </c>
      <c r="C125" s="102">
        <f>C118*C121</f>
        <v>0</v>
      </c>
      <c r="D125" s="102">
        <f t="shared" ref="D125:AG125" si="86">D118*D121</f>
        <v>0</v>
      </c>
      <c r="E125" s="102">
        <f t="shared" si="86"/>
        <v>0</v>
      </c>
      <c r="F125" s="102">
        <f t="shared" si="86"/>
        <v>0</v>
      </c>
      <c r="G125" s="102">
        <f t="shared" si="86"/>
        <v>0</v>
      </c>
      <c r="H125" s="102">
        <f t="shared" si="86"/>
        <v>0</v>
      </c>
      <c r="I125" s="102">
        <f t="shared" si="86"/>
        <v>0</v>
      </c>
      <c r="J125" s="102">
        <f t="shared" si="86"/>
        <v>0</v>
      </c>
      <c r="K125" s="102">
        <f t="shared" si="86"/>
        <v>0</v>
      </c>
      <c r="L125" s="102">
        <f t="shared" si="86"/>
        <v>0</v>
      </c>
      <c r="M125" s="102">
        <f t="shared" si="86"/>
        <v>0</v>
      </c>
      <c r="N125" s="102">
        <f t="shared" si="86"/>
        <v>0</v>
      </c>
      <c r="O125" s="102">
        <f t="shared" si="86"/>
        <v>0</v>
      </c>
      <c r="P125" s="102">
        <f t="shared" si="86"/>
        <v>0</v>
      </c>
      <c r="Q125" s="102">
        <f t="shared" si="86"/>
        <v>0</v>
      </c>
      <c r="R125" s="102">
        <f t="shared" si="86"/>
        <v>0</v>
      </c>
      <c r="S125" s="102">
        <f t="shared" si="86"/>
        <v>0</v>
      </c>
      <c r="T125" s="102">
        <f t="shared" si="86"/>
        <v>0</v>
      </c>
      <c r="U125" s="102">
        <f t="shared" si="86"/>
        <v>0</v>
      </c>
      <c r="V125" s="102">
        <f t="shared" si="86"/>
        <v>0</v>
      </c>
      <c r="W125" s="102">
        <f t="shared" si="86"/>
        <v>0</v>
      </c>
      <c r="X125" s="102">
        <f t="shared" si="86"/>
        <v>0</v>
      </c>
      <c r="Y125" s="102">
        <f t="shared" si="86"/>
        <v>0</v>
      </c>
      <c r="Z125" s="102">
        <f t="shared" si="86"/>
        <v>0</v>
      </c>
      <c r="AA125" s="102">
        <f t="shared" si="86"/>
        <v>0</v>
      </c>
      <c r="AB125" s="102">
        <f t="shared" si="86"/>
        <v>0</v>
      </c>
      <c r="AC125" s="102">
        <f t="shared" si="86"/>
        <v>0</v>
      </c>
      <c r="AD125" s="102">
        <f t="shared" si="86"/>
        <v>0</v>
      </c>
      <c r="AE125" s="102">
        <f t="shared" si="86"/>
        <v>0</v>
      </c>
      <c r="AF125" s="102">
        <f t="shared" si="86"/>
        <v>0</v>
      </c>
      <c r="AG125" s="102">
        <f t="shared" si="86"/>
        <v>0</v>
      </c>
      <c r="AJ125" s="185"/>
    </row>
    <row r="126" spans="1:63" outlineLevel="1"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J126" s="185"/>
    </row>
    <row r="127" spans="1:63" outlineLevel="1">
      <c r="A127" t="s">
        <v>1337</v>
      </c>
      <c r="C127" s="203">
        <f>('Overall recycling rates'!F87*'Yearly BTX'!D5+'Overall recycling rates'!G87*'Yearly BTX'!D6+'Overall recycling rates'!H87*'Yearly BTX'!D7)/'Yearly BTX'!D4</f>
        <v>1</v>
      </c>
      <c r="D127" s="203">
        <f>C127-($C127-$AG127)/($AG$1-$C$1)</f>
        <v>1</v>
      </c>
      <c r="E127" s="203">
        <f t="shared" ref="E127:AF127" si="87">D127-($C127-$AG127)/($AG$1-$C$1)</f>
        <v>1</v>
      </c>
      <c r="F127" s="203">
        <f t="shared" si="87"/>
        <v>1</v>
      </c>
      <c r="G127" s="203">
        <f t="shared" si="87"/>
        <v>1</v>
      </c>
      <c r="H127" s="203">
        <f t="shared" si="87"/>
        <v>1</v>
      </c>
      <c r="I127" s="203">
        <f t="shared" si="87"/>
        <v>1</v>
      </c>
      <c r="J127" s="203">
        <f t="shared" si="87"/>
        <v>1</v>
      </c>
      <c r="K127" s="203">
        <f t="shared" si="87"/>
        <v>1</v>
      </c>
      <c r="L127" s="203">
        <f t="shared" si="87"/>
        <v>1</v>
      </c>
      <c r="M127" s="203">
        <f t="shared" si="87"/>
        <v>1</v>
      </c>
      <c r="N127" s="203">
        <f t="shared" si="87"/>
        <v>1</v>
      </c>
      <c r="O127" s="203">
        <f t="shared" si="87"/>
        <v>1</v>
      </c>
      <c r="P127" s="203">
        <f t="shared" si="87"/>
        <v>1</v>
      </c>
      <c r="Q127" s="203">
        <f t="shared" si="87"/>
        <v>1</v>
      </c>
      <c r="R127" s="203">
        <f t="shared" si="87"/>
        <v>1</v>
      </c>
      <c r="S127" s="203">
        <f t="shared" si="87"/>
        <v>1</v>
      </c>
      <c r="T127" s="203">
        <f t="shared" si="87"/>
        <v>1</v>
      </c>
      <c r="U127" s="203">
        <f t="shared" si="87"/>
        <v>1</v>
      </c>
      <c r="V127" s="203">
        <f t="shared" si="87"/>
        <v>1</v>
      </c>
      <c r="W127" s="203">
        <f t="shared" si="87"/>
        <v>1</v>
      </c>
      <c r="X127" s="203">
        <f t="shared" si="87"/>
        <v>1</v>
      </c>
      <c r="Y127" s="203">
        <f t="shared" si="87"/>
        <v>1</v>
      </c>
      <c r="Z127" s="203">
        <f t="shared" si="87"/>
        <v>1</v>
      </c>
      <c r="AA127" s="203">
        <f t="shared" si="87"/>
        <v>1</v>
      </c>
      <c r="AB127" s="203">
        <f t="shared" si="87"/>
        <v>1</v>
      </c>
      <c r="AC127" s="203">
        <f t="shared" si="87"/>
        <v>1</v>
      </c>
      <c r="AD127" s="203">
        <f t="shared" si="87"/>
        <v>1</v>
      </c>
      <c r="AE127" s="203">
        <f t="shared" si="87"/>
        <v>1</v>
      </c>
      <c r="AF127" s="203">
        <f t="shared" si="87"/>
        <v>1</v>
      </c>
      <c r="AG127" s="203">
        <f>'Overall recycling rates'!F96</f>
        <v>1</v>
      </c>
      <c r="AI127" s="124"/>
      <c r="AJ127" s="185" t="s">
        <v>993</v>
      </c>
      <c r="AL127" s="100"/>
      <c r="AM127" s="181"/>
      <c r="AN127" s="181"/>
      <c r="AO127" s="181"/>
      <c r="BC127" s="1"/>
      <c r="BD127" s="181"/>
      <c r="BE127" s="181"/>
      <c r="BF127" s="181"/>
      <c r="BG127" s="181"/>
      <c r="BH127" s="181"/>
      <c r="BI127" s="181"/>
      <c r="BJ127" s="181"/>
      <c r="BK127" s="181"/>
    </row>
    <row r="128" spans="1:63" outlineLevel="1">
      <c r="A128" t="s">
        <v>1345</v>
      </c>
      <c r="B128" s="50" t="s">
        <v>126</v>
      </c>
      <c r="C128" s="102">
        <f>C117*C$127</f>
        <v>0</v>
      </c>
      <c r="D128" s="102">
        <f>D117*D$96</f>
        <v>0</v>
      </c>
      <c r="E128" s="102">
        <f t="shared" ref="E128:AG128" si="88">E117*E$96</f>
        <v>0</v>
      </c>
      <c r="F128" s="102">
        <f t="shared" si="88"/>
        <v>0</v>
      </c>
      <c r="G128" s="102">
        <f t="shared" si="88"/>
        <v>0</v>
      </c>
      <c r="H128" s="102">
        <f t="shared" si="88"/>
        <v>0</v>
      </c>
      <c r="I128" s="102">
        <f t="shared" si="88"/>
        <v>0</v>
      </c>
      <c r="J128" s="102">
        <f t="shared" si="88"/>
        <v>0</v>
      </c>
      <c r="K128" s="102">
        <f t="shared" si="88"/>
        <v>0</v>
      </c>
      <c r="L128" s="102">
        <f t="shared" si="88"/>
        <v>0</v>
      </c>
      <c r="M128" s="102">
        <f t="shared" si="88"/>
        <v>0</v>
      </c>
      <c r="N128" s="102">
        <f t="shared" si="88"/>
        <v>0</v>
      </c>
      <c r="O128" s="102">
        <f t="shared" si="88"/>
        <v>0</v>
      </c>
      <c r="P128" s="102">
        <f t="shared" si="88"/>
        <v>0</v>
      </c>
      <c r="Q128" s="102">
        <f t="shared" si="88"/>
        <v>0</v>
      </c>
      <c r="R128" s="102">
        <f t="shared" si="88"/>
        <v>0</v>
      </c>
      <c r="S128" s="102">
        <f t="shared" si="88"/>
        <v>0</v>
      </c>
      <c r="T128" s="102">
        <f t="shared" si="88"/>
        <v>0</v>
      </c>
      <c r="U128" s="102">
        <f t="shared" si="88"/>
        <v>0</v>
      </c>
      <c r="V128" s="102">
        <f t="shared" si="88"/>
        <v>0</v>
      </c>
      <c r="W128" s="102">
        <f t="shared" si="88"/>
        <v>0</v>
      </c>
      <c r="X128" s="102">
        <f t="shared" si="88"/>
        <v>0</v>
      </c>
      <c r="Y128" s="102">
        <f t="shared" si="88"/>
        <v>0</v>
      </c>
      <c r="Z128" s="102">
        <f t="shared" si="88"/>
        <v>0</v>
      </c>
      <c r="AA128" s="102">
        <f t="shared" si="88"/>
        <v>0</v>
      </c>
      <c r="AB128" s="102">
        <f t="shared" si="88"/>
        <v>0</v>
      </c>
      <c r="AC128" s="102">
        <f t="shared" si="88"/>
        <v>0</v>
      </c>
      <c r="AD128" s="102">
        <f t="shared" si="88"/>
        <v>0</v>
      </c>
      <c r="AE128" s="102">
        <f t="shared" si="88"/>
        <v>0</v>
      </c>
      <c r="AF128" s="102">
        <f t="shared" si="88"/>
        <v>0</v>
      </c>
      <c r="AG128" s="102">
        <f t="shared" si="88"/>
        <v>0</v>
      </c>
      <c r="AI128" s="124"/>
      <c r="AJ128"/>
      <c r="AL128" s="100"/>
      <c r="AM128" s="2"/>
      <c r="AN128" s="2"/>
      <c r="AO128" s="2"/>
      <c r="AV128" s="37"/>
    </row>
    <row r="129" spans="1:63" outlineLevel="1">
      <c r="A129" t="s">
        <v>1346</v>
      </c>
      <c r="B129" s="50" t="s">
        <v>126</v>
      </c>
      <c r="C129" s="102">
        <f>C118*C$127</f>
        <v>0</v>
      </c>
      <c r="D129" s="102">
        <f t="shared" ref="D129:AG129" si="89">D115*D$96</f>
        <v>0</v>
      </c>
      <c r="E129" s="102">
        <f t="shared" si="89"/>
        <v>0</v>
      </c>
      <c r="F129" s="102">
        <f t="shared" si="89"/>
        <v>0</v>
      </c>
      <c r="G129" s="102">
        <f t="shared" si="89"/>
        <v>0</v>
      </c>
      <c r="H129" s="102">
        <f t="shared" si="89"/>
        <v>0</v>
      </c>
      <c r="I129" s="102">
        <f t="shared" si="89"/>
        <v>0</v>
      </c>
      <c r="J129" s="102">
        <f t="shared" si="89"/>
        <v>0</v>
      </c>
      <c r="K129" s="102">
        <f t="shared" si="89"/>
        <v>0</v>
      </c>
      <c r="L129" s="102">
        <f t="shared" si="89"/>
        <v>0</v>
      </c>
      <c r="M129" s="102">
        <f t="shared" si="89"/>
        <v>0</v>
      </c>
      <c r="N129" s="102">
        <f t="shared" si="89"/>
        <v>0</v>
      </c>
      <c r="O129" s="102">
        <f t="shared" si="89"/>
        <v>0</v>
      </c>
      <c r="P129" s="102">
        <f t="shared" si="89"/>
        <v>0</v>
      </c>
      <c r="Q129" s="102">
        <f t="shared" si="89"/>
        <v>0</v>
      </c>
      <c r="R129" s="102">
        <f t="shared" si="89"/>
        <v>0</v>
      </c>
      <c r="S129" s="102">
        <f t="shared" si="89"/>
        <v>0</v>
      </c>
      <c r="T129" s="102">
        <f t="shared" si="89"/>
        <v>0</v>
      </c>
      <c r="U129" s="102">
        <f t="shared" si="89"/>
        <v>0</v>
      </c>
      <c r="V129" s="102">
        <f t="shared" si="89"/>
        <v>0</v>
      </c>
      <c r="W129" s="102">
        <f t="shared" si="89"/>
        <v>0</v>
      </c>
      <c r="X129" s="102">
        <f t="shared" si="89"/>
        <v>0</v>
      </c>
      <c r="Y129" s="102">
        <f t="shared" si="89"/>
        <v>0</v>
      </c>
      <c r="Z129" s="102">
        <f t="shared" si="89"/>
        <v>0</v>
      </c>
      <c r="AA129" s="102">
        <f t="shared" si="89"/>
        <v>0</v>
      </c>
      <c r="AB129" s="102">
        <f t="shared" si="89"/>
        <v>0</v>
      </c>
      <c r="AC129" s="102">
        <f t="shared" si="89"/>
        <v>0</v>
      </c>
      <c r="AD129" s="102">
        <f t="shared" si="89"/>
        <v>0</v>
      </c>
      <c r="AE129" s="102">
        <f t="shared" si="89"/>
        <v>0</v>
      </c>
      <c r="AF129" s="102">
        <f t="shared" si="89"/>
        <v>0</v>
      </c>
      <c r="AG129" s="102">
        <f t="shared" si="89"/>
        <v>0</v>
      </c>
      <c r="AH129" s="217"/>
      <c r="AI129" s="124"/>
      <c r="AJ129" s="185"/>
      <c r="AL129" s="100"/>
      <c r="AM129" s="2"/>
      <c r="AN129" s="2"/>
      <c r="AO129" s="2"/>
      <c r="AV129" s="37"/>
    </row>
    <row r="130" spans="1:63" outlineLevel="1">
      <c r="A130" t="s">
        <v>1347</v>
      </c>
      <c r="B130" s="156" t="s">
        <v>126</v>
      </c>
      <c r="C130" s="102">
        <f>SUM(C128:C129)</f>
        <v>0</v>
      </c>
      <c r="D130" s="102">
        <f t="shared" ref="D130:AG130" si="90">SUM(D128:D129)</f>
        <v>0</v>
      </c>
      <c r="E130" s="102">
        <f t="shared" si="90"/>
        <v>0</v>
      </c>
      <c r="F130" s="102">
        <f t="shared" si="90"/>
        <v>0</v>
      </c>
      <c r="G130" s="102">
        <f t="shared" si="90"/>
        <v>0</v>
      </c>
      <c r="H130" s="102">
        <f t="shared" si="90"/>
        <v>0</v>
      </c>
      <c r="I130" s="102">
        <f t="shared" si="90"/>
        <v>0</v>
      </c>
      <c r="J130" s="102">
        <f t="shared" si="90"/>
        <v>0</v>
      </c>
      <c r="K130" s="102">
        <f t="shared" si="90"/>
        <v>0</v>
      </c>
      <c r="L130" s="102">
        <f t="shared" si="90"/>
        <v>0</v>
      </c>
      <c r="M130" s="102">
        <f t="shared" si="90"/>
        <v>0</v>
      </c>
      <c r="N130" s="102">
        <f t="shared" si="90"/>
        <v>0</v>
      </c>
      <c r="O130" s="102">
        <f t="shared" si="90"/>
        <v>0</v>
      </c>
      <c r="P130" s="102">
        <f t="shared" si="90"/>
        <v>0</v>
      </c>
      <c r="Q130" s="102">
        <f t="shared" si="90"/>
        <v>0</v>
      </c>
      <c r="R130" s="102">
        <f t="shared" si="90"/>
        <v>0</v>
      </c>
      <c r="S130" s="102">
        <f t="shared" si="90"/>
        <v>0</v>
      </c>
      <c r="T130" s="102">
        <f t="shared" si="90"/>
        <v>0</v>
      </c>
      <c r="U130" s="102">
        <f t="shared" si="90"/>
        <v>0</v>
      </c>
      <c r="V130" s="102">
        <f t="shared" si="90"/>
        <v>0</v>
      </c>
      <c r="W130" s="102">
        <f t="shared" si="90"/>
        <v>0</v>
      </c>
      <c r="X130" s="102">
        <f t="shared" si="90"/>
        <v>0</v>
      </c>
      <c r="Y130" s="102">
        <f t="shared" si="90"/>
        <v>0</v>
      </c>
      <c r="Z130" s="102">
        <f t="shared" si="90"/>
        <v>0</v>
      </c>
      <c r="AA130" s="102">
        <f t="shared" si="90"/>
        <v>0</v>
      </c>
      <c r="AB130" s="102">
        <f t="shared" si="90"/>
        <v>0</v>
      </c>
      <c r="AC130" s="102">
        <f t="shared" si="90"/>
        <v>0</v>
      </c>
      <c r="AD130" s="102">
        <f t="shared" si="90"/>
        <v>0</v>
      </c>
      <c r="AE130" s="102">
        <f t="shared" si="90"/>
        <v>0</v>
      </c>
      <c r="AF130" s="102">
        <f t="shared" si="90"/>
        <v>0</v>
      </c>
      <c r="AG130" s="102">
        <f t="shared" si="90"/>
        <v>0</v>
      </c>
      <c r="AI130" s="124"/>
      <c r="AJ130" s="185"/>
      <c r="AL130" s="100"/>
      <c r="AM130" s="2"/>
      <c r="AN130" s="2"/>
      <c r="AO130" s="2"/>
    </row>
    <row r="131" spans="1:63" outlineLevel="1">
      <c r="A131" t="s">
        <v>1351</v>
      </c>
      <c r="B131" s="50" t="s">
        <v>126</v>
      </c>
      <c r="C131" s="102">
        <f>C120*C129</f>
        <v>0</v>
      </c>
      <c r="D131" s="102">
        <f t="shared" ref="D131:AG131" si="91">D117*D129</f>
        <v>0</v>
      </c>
      <c r="E131" s="102">
        <f t="shared" si="91"/>
        <v>0</v>
      </c>
      <c r="F131" s="102">
        <f t="shared" si="91"/>
        <v>0</v>
      </c>
      <c r="G131" s="102">
        <f t="shared" si="91"/>
        <v>0</v>
      </c>
      <c r="H131" s="102">
        <f t="shared" si="91"/>
        <v>0</v>
      </c>
      <c r="I131" s="102">
        <f t="shared" si="91"/>
        <v>0</v>
      </c>
      <c r="J131" s="102">
        <f t="shared" si="91"/>
        <v>0</v>
      </c>
      <c r="K131" s="102">
        <f t="shared" si="91"/>
        <v>0</v>
      </c>
      <c r="L131" s="102">
        <f t="shared" si="91"/>
        <v>0</v>
      </c>
      <c r="M131" s="102">
        <f t="shared" si="91"/>
        <v>0</v>
      </c>
      <c r="N131" s="102">
        <f t="shared" si="91"/>
        <v>0</v>
      </c>
      <c r="O131" s="102">
        <f t="shared" si="91"/>
        <v>0</v>
      </c>
      <c r="P131" s="102">
        <f t="shared" si="91"/>
        <v>0</v>
      </c>
      <c r="Q131" s="102">
        <f t="shared" si="91"/>
        <v>0</v>
      </c>
      <c r="R131" s="102">
        <f t="shared" si="91"/>
        <v>0</v>
      </c>
      <c r="S131" s="102">
        <f t="shared" si="91"/>
        <v>0</v>
      </c>
      <c r="T131" s="102">
        <f t="shared" si="91"/>
        <v>0</v>
      </c>
      <c r="U131" s="102">
        <f t="shared" si="91"/>
        <v>0</v>
      </c>
      <c r="V131" s="102">
        <f t="shared" si="91"/>
        <v>0</v>
      </c>
      <c r="W131" s="102">
        <f t="shared" si="91"/>
        <v>0</v>
      </c>
      <c r="X131" s="102">
        <f t="shared" si="91"/>
        <v>0</v>
      </c>
      <c r="Y131" s="102">
        <f t="shared" si="91"/>
        <v>0</v>
      </c>
      <c r="Z131" s="102">
        <f t="shared" si="91"/>
        <v>0</v>
      </c>
      <c r="AA131" s="102">
        <f t="shared" si="91"/>
        <v>0</v>
      </c>
      <c r="AB131" s="102">
        <f t="shared" si="91"/>
        <v>0</v>
      </c>
      <c r="AC131" s="102">
        <f t="shared" si="91"/>
        <v>0</v>
      </c>
      <c r="AD131" s="102">
        <f t="shared" si="91"/>
        <v>0</v>
      </c>
      <c r="AE131" s="102">
        <f t="shared" si="91"/>
        <v>0</v>
      </c>
      <c r="AF131" s="102">
        <f t="shared" si="91"/>
        <v>0</v>
      </c>
      <c r="AG131" s="102">
        <f t="shared" si="91"/>
        <v>0</v>
      </c>
      <c r="AI131" s="124"/>
      <c r="AJ131" s="185"/>
      <c r="BD131" s="177"/>
      <c r="BE131" s="177"/>
    </row>
    <row r="132" spans="1:63" outlineLevel="1">
      <c r="A132" t="s">
        <v>1352</v>
      </c>
      <c r="B132" s="50" t="s">
        <v>126</v>
      </c>
      <c r="C132" s="102">
        <f>C121*C129</f>
        <v>0</v>
      </c>
      <c r="D132" s="102">
        <f t="shared" ref="D132:AG132" si="92">D119*D129</f>
        <v>0</v>
      </c>
      <c r="E132" s="102">
        <f t="shared" si="92"/>
        <v>0</v>
      </c>
      <c r="F132" s="102">
        <f t="shared" si="92"/>
        <v>0</v>
      </c>
      <c r="G132" s="102">
        <f t="shared" si="92"/>
        <v>0</v>
      </c>
      <c r="H132" s="102">
        <f t="shared" si="92"/>
        <v>0</v>
      </c>
      <c r="I132" s="102">
        <f t="shared" si="92"/>
        <v>0</v>
      </c>
      <c r="J132" s="102">
        <f t="shared" si="92"/>
        <v>0</v>
      </c>
      <c r="K132" s="102">
        <f t="shared" si="92"/>
        <v>0</v>
      </c>
      <c r="L132" s="102">
        <f t="shared" si="92"/>
        <v>0</v>
      </c>
      <c r="M132" s="102">
        <f t="shared" si="92"/>
        <v>0</v>
      </c>
      <c r="N132" s="102">
        <f t="shared" si="92"/>
        <v>0</v>
      </c>
      <c r="O132" s="102">
        <f t="shared" si="92"/>
        <v>0</v>
      </c>
      <c r="P132" s="102">
        <f t="shared" si="92"/>
        <v>0</v>
      </c>
      <c r="Q132" s="102">
        <f t="shared" si="92"/>
        <v>0</v>
      </c>
      <c r="R132" s="102">
        <f t="shared" si="92"/>
        <v>0</v>
      </c>
      <c r="S132" s="102">
        <f t="shared" si="92"/>
        <v>0</v>
      </c>
      <c r="T132" s="102">
        <f t="shared" si="92"/>
        <v>0</v>
      </c>
      <c r="U132" s="102">
        <f t="shared" si="92"/>
        <v>0</v>
      </c>
      <c r="V132" s="102">
        <f t="shared" si="92"/>
        <v>0</v>
      </c>
      <c r="W132" s="102">
        <f t="shared" si="92"/>
        <v>0</v>
      </c>
      <c r="X132" s="102">
        <f t="shared" si="92"/>
        <v>0</v>
      </c>
      <c r="Y132" s="102">
        <f t="shared" si="92"/>
        <v>0</v>
      </c>
      <c r="Z132" s="102">
        <f t="shared" si="92"/>
        <v>0</v>
      </c>
      <c r="AA132" s="102">
        <f t="shared" si="92"/>
        <v>0</v>
      </c>
      <c r="AB132" s="102">
        <f t="shared" si="92"/>
        <v>0</v>
      </c>
      <c r="AC132" s="102">
        <f t="shared" si="92"/>
        <v>0</v>
      </c>
      <c r="AD132" s="102">
        <f t="shared" si="92"/>
        <v>0</v>
      </c>
      <c r="AE132" s="102">
        <f t="shared" si="92"/>
        <v>0</v>
      </c>
      <c r="AF132" s="102">
        <f t="shared" si="92"/>
        <v>0</v>
      </c>
      <c r="AG132" s="102">
        <f t="shared" si="92"/>
        <v>0</v>
      </c>
      <c r="AI132" s="125"/>
      <c r="AJ132" s="185"/>
      <c r="BC132" s="1"/>
      <c r="BD132" s="37"/>
      <c r="BF132" s="6"/>
      <c r="BG132" s="6"/>
      <c r="BH132" s="6"/>
      <c r="BI132" s="6"/>
      <c r="BJ132" s="6"/>
    </row>
    <row r="133" spans="1:63" outlineLevel="1"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I133" s="125"/>
      <c r="AJ133" s="185"/>
      <c r="BC133" s="1"/>
      <c r="BD133" s="37"/>
      <c r="BF133" s="6"/>
      <c r="BG133" s="6"/>
      <c r="BH133" s="6"/>
      <c r="BI133" s="6"/>
      <c r="BJ133" s="6"/>
    </row>
    <row r="134" spans="1:63" s="1" customFormat="1" outlineLevel="1">
      <c r="A134" s="1" t="s">
        <v>265</v>
      </c>
      <c r="B134" s="60"/>
      <c r="C134" s="250">
        <f t="shared" ref="C134:AG134" si="93">C128*C42</f>
        <v>0</v>
      </c>
      <c r="D134" s="250">
        <f t="shared" si="93"/>
        <v>0</v>
      </c>
      <c r="E134" s="250">
        <f t="shared" si="93"/>
        <v>0</v>
      </c>
      <c r="F134" s="250">
        <f t="shared" si="93"/>
        <v>0</v>
      </c>
      <c r="G134" s="250">
        <f t="shared" si="93"/>
        <v>0</v>
      </c>
      <c r="H134" s="250">
        <f t="shared" si="93"/>
        <v>0</v>
      </c>
      <c r="I134" s="250">
        <f t="shared" si="93"/>
        <v>0</v>
      </c>
      <c r="J134" s="250">
        <f t="shared" si="93"/>
        <v>0</v>
      </c>
      <c r="K134" s="250">
        <f t="shared" si="93"/>
        <v>0</v>
      </c>
      <c r="L134" s="250">
        <f t="shared" si="93"/>
        <v>0</v>
      </c>
      <c r="M134" s="250">
        <f t="shared" si="93"/>
        <v>0</v>
      </c>
      <c r="N134" s="250">
        <f t="shared" si="93"/>
        <v>0</v>
      </c>
      <c r="O134" s="250">
        <f t="shared" si="93"/>
        <v>0</v>
      </c>
      <c r="P134" s="250">
        <f t="shared" si="93"/>
        <v>0</v>
      </c>
      <c r="Q134" s="250">
        <f t="shared" si="93"/>
        <v>0</v>
      </c>
      <c r="R134" s="250">
        <f t="shared" si="93"/>
        <v>0</v>
      </c>
      <c r="S134" s="250">
        <f t="shared" si="93"/>
        <v>0</v>
      </c>
      <c r="T134" s="250">
        <f t="shared" si="93"/>
        <v>0</v>
      </c>
      <c r="U134" s="250">
        <f t="shared" si="93"/>
        <v>0</v>
      </c>
      <c r="V134" s="250">
        <f t="shared" si="93"/>
        <v>0</v>
      </c>
      <c r="W134" s="250">
        <f t="shared" si="93"/>
        <v>0</v>
      </c>
      <c r="X134" s="250">
        <f t="shared" si="93"/>
        <v>0</v>
      </c>
      <c r="Y134" s="250">
        <f t="shared" si="93"/>
        <v>0</v>
      </c>
      <c r="Z134" s="250">
        <f t="shared" si="93"/>
        <v>0</v>
      </c>
      <c r="AA134" s="250">
        <f t="shared" si="93"/>
        <v>0</v>
      </c>
      <c r="AB134" s="250">
        <f t="shared" si="93"/>
        <v>0</v>
      </c>
      <c r="AC134" s="250">
        <f t="shared" si="93"/>
        <v>0</v>
      </c>
      <c r="AD134" s="250">
        <f t="shared" si="93"/>
        <v>0</v>
      </c>
      <c r="AE134" s="250">
        <f t="shared" si="93"/>
        <v>0</v>
      </c>
      <c r="AF134" s="250">
        <f t="shared" si="93"/>
        <v>0</v>
      </c>
      <c r="AG134" s="250">
        <f t="shared" si="93"/>
        <v>0</v>
      </c>
      <c r="AH134" s="217"/>
      <c r="AI134" s="368"/>
      <c r="AJ134" s="369"/>
      <c r="AL134" s="194"/>
      <c r="AM134" s="116"/>
      <c r="AN134" s="116"/>
      <c r="AO134" s="116"/>
      <c r="BD134" s="116"/>
      <c r="BE134" s="116"/>
      <c r="BF134" s="116"/>
      <c r="BG134" s="116"/>
      <c r="BH134" s="116"/>
      <c r="BI134" s="116"/>
      <c r="BJ134" s="116"/>
      <c r="BK134" s="116"/>
    </row>
    <row r="135" spans="1:63" s="1" customFormat="1" outlineLevel="1">
      <c r="A135" s="1" t="s">
        <v>1041</v>
      </c>
      <c r="B135" s="60"/>
      <c r="C135" s="250">
        <f t="shared" ref="C135:AG135" si="94">C134-$C134</f>
        <v>0</v>
      </c>
      <c r="D135" s="250">
        <f t="shared" si="94"/>
        <v>0</v>
      </c>
      <c r="E135" s="250">
        <f t="shared" si="94"/>
        <v>0</v>
      </c>
      <c r="F135" s="250">
        <f t="shared" si="94"/>
        <v>0</v>
      </c>
      <c r="G135" s="250">
        <f t="shared" si="94"/>
        <v>0</v>
      </c>
      <c r="H135" s="250">
        <f t="shared" si="94"/>
        <v>0</v>
      </c>
      <c r="I135" s="250">
        <f t="shared" si="94"/>
        <v>0</v>
      </c>
      <c r="J135" s="250">
        <f t="shared" si="94"/>
        <v>0</v>
      </c>
      <c r="K135" s="250">
        <f t="shared" si="94"/>
        <v>0</v>
      </c>
      <c r="L135" s="250">
        <f t="shared" si="94"/>
        <v>0</v>
      </c>
      <c r="M135" s="250">
        <f t="shared" si="94"/>
        <v>0</v>
      </c>
      <c r="N135" s="250">
        <f t="shared" si="94"/>
        <v>0</v>
      </c>
      <c r="O135" s="250">
        <f t="shared" si="94"/>
        <v>0</v>
      </c>
      <c r="P135" s="250">
        <f t="shared" si="94"/>
        <v>0</v>
      </c>
      <c r="Q135" s="250">
        <f t="shared" si="94"/>
        <v>0</v>
      </c>
      <c r="R135" s="250">
        <f t="shared" si="94"/>
        <v>0</v>
      </c>
      <c r="S135" s="250">
        <f t="shared" si="94"/>
        <v>0</v>
      </c>
      <c r="T135" s="250">
        <f t="shared" si="94"/>
        <v>0</v>
      </c>
      <c r="U135" s="250">
        <f t="shared" si="94"/>
        <v>0</v>
      </c>
      <c r="V135" s="250">
        <f t="shared" si="94"/>
        <v>0</v>
      </c>
      <c r="W135" s="250">
        <f t="shared" si="94"/>
        <v>0</v>
      </c>
      <c r="X135" s="250">
        <f t="shared" si="94"/>
        <v>0</v>
      </c>
      <c r="Y135" s="250">
        <f t="shared" si="94"/>
        <v>0</v>
      </c>
      <c r="Z135" s="250">
        <f t="shared" si="94"/>
        <v>0</v>
      </c>
      <c r="AA135" s="250">
        <f t="shared" si="94"/>
        <v>0</v>
      </c>
      <c r="AB135" s="250">
        <f t="shared" si="94"/>
        <v>0</v>
      </c>
      <c r="AC135" s="250">
        <f t="shared" si="94"/>
        <v>0</v>
      </c>
      <c r="AD135" s="250">
        <f t="shared" si="94"/>
        <v>0</v>
      </c>
      <c r="AE135" s="250">
        <f t="shared" si="94"/>
        <v>0</v>
      </c>
      <c r="AF135" s="250">
        <f t="shared" si="94"/>
        <v>0</v>
      </c>
      <c r="AG135" s="250">
        <f t="shared" si="94"/>
        <v>0</v>
      </c>
      <c r="AH135" s="217"/>
      <c r="AI135" s="368"/>
      <c r="AJ135" s="369"/>
      <c r="AL135" s="194"/>
      <c r="AM135" s="116"/>
      <c r="AN135" s="116"/>
      <c r="AO135" s="116"/>
      <c r="BD135" s="116"/>
      <c r="BE135" s="116"/>
      <c r="BF135" s="116"/>
      <c r="BG135" s="116"/>
      <c r="BH135" s="116"/>
      <c r="BI135" s="116"/>
      <c r="BJ135" s="116"/>
      <c r="BK135" s="116"/>
    </row>
    <row r="136" spans="1:63" s="1" customFormat="1" outlineLevel="1">
      <c r="A136" s="1" t="s">
        <v>1044</v>
      </c>
      <c r="B136" s="60"/>
      <c r="C136" s="250">
        <f t="shared" ref="C136:AG136" si="95">C128*C42</f>
        <v>0</v>
      </c>
      <c r="D136" s="250">
        <f t="shared" si="95"/>
        <v>0</v>
      </c>
      <c r="E136" s="250">
        <f t="shared" si="95"/>
        <v>0</v>
      </c>
      <c r="F136" s="250">
        <f t="shared" si="95"/>
        <v>0</v>
      </c>
      <c r="G136" s="250">
        <f t="shared" si="95"/>
        <v>0</v>
      </c>
      <c r="H136" s="250">
        <f t="shared" si="95"/>
        <v>0</v>
      </c>
      <c r="I136" s="250">
        <f t="shared" si="95"/>
        <v>0</v>
      </c>
      <c r="J136" s="250">
        <f t="shared" si="95"/>
        <v>0</v>
      </c>
      <c r="K136" s="250">
        <f t="shared" si="95"/>
        <v>0</v>
      </c>
      <c r="L136" s="250">
        <f t="shared" si="95"/>
        <v>0</v>
      </c>
      <c r="M136" s="250">
        <f t="shared" si="95"/>
        <v>0</v>
      </c>
      <c r="N136" s="250">
        <f t="shared" si="95"/>
        <v>0</v>
      </c>
      <c r="O136" s="250">
        <f t="shared" si="95"/>
        <v>0</v>
      </c>
      <c r="P136" s="250">
        <f t="shared" si="95"/>
        <v>0</v>
      </c>
      <c r="Q136" s="250">
        <f t="shared" si="95"/>
        <v>0</v>
      </c>
      <c r="R136" s="250">
        <f t="shared" si="95"/>
        <v>0</v>
      </c>
      <c r="S136" s="250">
        <f t="shared" si="95"/>
        <v>0</v>
      </c>
      <c r="T136" s="250">
        <f t="shared" si="95"/>
        <v>0</v>
      </c>
      <c r="U136" s="250">
        <f t="shared" si="95"/>
        <v>0</v>
      </c>
      <c r="V136" s="250">
        <f t="shared" si="95"/>
        <v>0</v>
      </c>
      <c r="W136" s="250">
        <f t="shared" si="95"/>
        <v>0</v>
      </c>
      <c r="X136" s="250">
        <f t="shared" si="95"/>
        <v>0</v>
      </c>
      <c r="Y136" s="250">
        <f t="shared" si="95"/>
        <v>0</v>
      </c>
      <c r="Z136" s="250">
        <f t="shared" si="95"/>
        <v>0</v>
      </c>
      <c r="AA136" s="250">
        <f t="shared" si="95"/>
        <v>0</v>
      </c>
      <c r="AB136" s="250">
        <f t="shared" si="95"/>
        <v>0</v>
      </c>
      <c r="AC136" s="250">
        <f t="shared" si="95"/>
        <v>0</v>
      </c>
      <c r="AD136" s="250">
        <f t="shared" si="95"/>
        <v>0</v>
      </c>
      <c r="AE136" s="250">
        <f t="shared" si="95"/>
        <v>0</v>
      </c>
      <c r="AF136" s="250">
        <f t="shared" si="95"/>
        <v>0</v>
      </c>
      <c r="AG136" s="250">
        <f t="shared" si="95"/>
        <v>0</v>
      </c>
      <c r="AH136" s="217"/>
      <c r="AI136" s="368"/>
      <c r="AJ136" s="369"/>
      <c r="AL136" s="194"/>
      <c r="AM136" s="116"/>
      <c r="AN136" s="116"/>
      <c r="AO136" s="116"/>
      <c r="BD136" s="116"/>
      <c r="BE136" s="116"/>
      <c r="BF136" s="116"/>
      <c r="BG136" s="116"/>
      <c r="BH136" s="116"/>
      <c r="BI136" s="116"/>
      <c r="BJ136" s="116"/>
      <c r="BK136" s="116"/>
    </row>
    <row r="137" spans="1:63" s="1" customFormat="1" outlineLevel="1">
      <c r="A137" s="1" t="s">
        <v>1047</v>
      </c>
      <c r="B137" s="60"/>
      <c r="C137" s="250">
        <f t="shared" ref="C137:AG137" si="96">C136-$C136</f>
        <v>0</v>
      </c>
      <c r="D137" s="250">
        <f t="shared" si="96"/>
        <v>0</v>
      </c>
      <c r="E137" s="250">
        <f t="shared" si="96"/>
        <v>0</v>
      </c>
      <c r="F137" s="250">
        <f t="shared" si="96"/>
        <v>0</v>
      </c>
      <c r="G137" s="250">
        <f t="shared" si="96"/>
        <v>0</v>
      </c>
      <c r="H137" s="250">
        <f t="shared" si="96"/>
        <v>0</v>
      </c>
      <c r="I137" s="250">
        <f t="shared" si="96"/>
        <v>0</v>
      </c>
      <c r="J137" s="250">
        <f t="shared" si="96"/>
        <v>0</v>
      </c>
      <c r="K137" s="250">
        <f t="shared" si="96"/>
        <v>0</v>
      </c>
      <c r="L137" s="250">
        <f t="shared" si="96"/>
        <v>0</v>
      </c>
      <c r="M137" s="250">
        <f t="shared" si="96"/>
        <v>0</v>
      </c>
      <c r="N137" s="250">
        <f t="shared" si="96"/>
        <v>0</v>
      </c>
      <c r="O137" s="250">
        <f t="shared" si="96"/>
        <v>0</v>
      </c>
      <c r="P137" s="250">
        <f t="shared" si="96"/>
        <v>0</v>
      </c>
      <c r="Q137" s="250">
        <f t="shared" si="96"/>
        <v>0</v>
      </c>
      <c r="R137" s="250">
        <f t="shared" si="96"/>
        <v>0</v>
      </c>
      <c r="S137" s="250">
        <f t="shared" si="96"/>
        <v>0</v>
      </c>
      <c r="T137" s="250">
        <f t="shared" si="96"/>
        <v>0</v>
      </c>
      <c r="U137" s="250">
        <f t="shared" si="96"/>
        <v>0</v>
      </c>
      <c r="V137" s="250">
        <f t="shared" si="96"/>
        <v>0</v>
      </c>
      <c r="W137" s="250">
        <f t="shared" si="96"/>
        <v>0</v>
      </c>
      <c r="X137" s="250">
        <f t="shared" si="96"/>
        <v>0</v>
      </c>
      <c r="Y137" s="250">
        <f t="shared" si="96"/>
        <v>0</v>
      </c>
      <c r="Z137" s="250">
        <f t="shared" si="96"/>
        <v>0</v>
      </c>
      <c r="AA137" s="250">
        <f t="shared" si="96"/>
        <v>0</v>
      </c>
      <c r="AB137" s="250">
        <f t="shared" si="96"/>
        <v>0</v>
      </c>
      <c r="AC137" s="250">
        <f t="shared" si="96"/>
        <v>0</v>
      </c>
      <c r="AD137" s="250">
        <f t="shared" si="96"/>
        <v>0</v>
      </c>
      <c r="AE137" s="250">
        <f t="shared" si="96"/>
        <v>0</v>
      </c>
      <c r="AF137" s="250">
        <f t="shared" si="96"/>
        <v>0</v>
      </c>
      <c r="AG137" s="250">
        <f t="shared" si="96"/>
        <v>0</v>
      </c>
      <c r="AH137" s="217"/>
      <c r="AI137" s="368"/>
      <c r="AJ137" s="369"/>
      <c r="AL137" s="194"/>
      <c r="AM137" s="116"/>
      <c r="AN137" s="116"/>
      <c r="AO137" s="116"/>
      <c r="BD137" s="116"/>
      <c r="BE137" s="116"/>
      <c r="BF137" s="116"/>
      <c r="BG137" s="116"/>
      <c r="BH137" s="116"/>
      <c r="BI137" s="116"/>
      <c r="BJ137" s="116"/>
      <c r="BK137" s="116"/>
    </row>
    <row r="138" spans="1:63" s="1" customFormat="1" outlineLevel="1">
      <c r="A138" s="1" t="s">
        <v>1269</v>
      </c>
      <c r="B138" s="60"/>
      <c r="C138" s="250">
        <f t="shared" ref="C138:AG138" si="97">C128*C42</f>
        <v>0</v>
      </c>
      <c r="D138" s="250">
        <f t="shared" si="97"/>
        <v>0</v>
      </c>
      <c r="E138" s="250">
        <f t="shared" si="97"/>
        <v>0</v>
      </c>
      <c r="F138" s="250">
        <f t="shared" si="97"/>
        <v>0</v>
      </c>
      <c r="G138" s="250">
        <f t="shared" si="97"/>
        <v>0</v>
      </c>
      <c r="H138" s="250">
        <f t="shared" si="97"/>
        <v>0</v>
      </c>
      <c r="I138" s="250">
        <f t="shared" si="97"/>
        <v>0</v>
      </c>
      <c r="J138" s="250">
        <f t="shared" si="97"/>
        <v>0</v>
      </c>
      <c r="K138" s="250">
        <f t="shared" si="97"/>
        <v>0</v>
      </c>
      <c r="L138" s="250">
        <f t="shared" si="97"/>
        <v>0</v>
      </c>
      <c r="M138" s="250">
        <f t="shared" si="97"/>
        <v>0</v>
      </c>
      <c r="N138" s="250">
        <f t="shared" si="97"/>
        <v>0</v>
      </c>
      <c r="O138" s="250">
        <f t="shared" si="97"/>
        <v>0</v>
      </c>
      <c r="P138" s="250">
        <f t="shared" si="97"/>
        <v>0</v>
      </c>
      <c r="Q138" s="250">
        <f t="shared" si="97"/>
        <v>0</v>
      </c>
      <c r="R138" s="250">
        <f t="shared" si="97"/>
        <v>0</v>
      </c>
      <c r="S138" s="250">
        <f t="shared" si="97"/>
        <v>0</v>
      </c>
      <c r="T138" s="250">
        <f t="shared" si="97"/>
        <v>0</v>
      </c>
      <c r="U138" s="250">
        <f t="shared" si="97"/>
        <v>0</v>
      </c>
      <c r="V138" s="250">
        <f t="shared" si="97"/>
        <v>0</v>
      </c>
      <c r="W138" s="250">
        <f t="shared" si="97"/>
        <v>0</v>
      </c>
      <c r="X138" s="250">
        <f t="shared" si="97"/>
        <v>0</v>
      </c>
      <c r="Y138" s="250">
        <f t="shared" si="97"/>
        <v>0</v>
      </c>
      <c r="Z138" s="250">
        <f t="shared" si="97"/>
        <v>0</v>
      </c>
      <c r="AA138" s="250">
        <f t="shared" si="97"/>
        <v>0</v>
      </c>
      <c r="AB138" s="250">
        <f t="shared" si="97"/>
        <v>0</v>
      </c>
      <c r="AC138" s="250">
        <f t="shared" si="97"/>
        <v>0</v>
      </c>
      <c r="AD138" s="250">
        <f t="shared" si="97"/>
        <v>0</v>
      </c>
      <c r="AE138" s="250">
        <f t="shared" si="97"/>
        <v>0</v>
      </c>
      <c r="AF138" s="250">
        <f t="shared" si="97"/>
        <v>0</v>
      </c>
      <c r="AG138" s="250">
        <f t="shared" si="97"/>
        <v>0</v>
      </c>
      <c r="AH138" s="217"/>
      <c r="AI138" s="368"/>
      <c r="AJ138" s="369"/>
      <c r="AL138" s="194"/>
      <c r="AM138" s="116"/>
      <c r="AN138" s="116"/>
      <c r="AO138" s="116"/>
      <c r="BD138" s="116"/>
      <c r="BE138" s="116"/>
      <c r="BF138" s="116"/>
      <c r="BG138" s="116"/>
      <c r="BH138" s="116"/>
      <c r="BI138" s="116"/>
      <c r="BJ138" s="116"/>
      <c r="BK138" s="116"/>
    </row>
    <row r="139" spans="1:63" s="1" customFormat="1" outlineLevel="1">
      <c r="A139" s="1" t="s">
        <v>1270</v>
      </c>
      <c r="B139" s="60"/>
      <c r="C139" s="250">
        <f t="shared" ref="C139:AG139" si="98">C138-$C138</f>
        <v>0</v>
      </c>
      <c r="D139" s="250">
        <f t="shared" si="98"/>
        <v>0</v>
      </c>
      <c r="E139" s="250">
        <f t="shared" si="98"/>
        <v>0</v>
      </c>
      <c r="F139" s="250">
        <f t="shared" si="98"/>
        <v>0</v>
      </c>
      <c r="G139" s="250">
        <f t="shared" si="98"/>
        <v>0</v>
      </c>
      <c r="H139" s="250">
        <f t="shared" si="98"/>
        <v>0</v>
      </c>
      <c r="I139" s="250">
        <f t="shared" si="98"/>
        <v>0</v>
      </c>
      <c r="J139" s="250">
        <f t="shared" si="98"/>
        <v>0</v>
      </c>
      <c r="K139" s="250">
        <f t="shared" si="98"/>
        <v>0</v>
      </c>
      <c r="L139" s="250">
        <f t="shared" si="98"/>
        <v>0</v>
      </c>
      <c r="M139" s="250">
        <f t="shared" si="98"/>
        <v>0</v>
      </c>
      <c r="N139" s="250">
        <f t="shared" si="98"/>
        <v>0</v>
      </c>
      <c r="O139" s="250">
        <f t="shared" si="98"/>
        <v>0</v>
      </c>
      <c r="P139" s="250">
        <f t="shared" si="98"/>
        <v>0</v>
      </c>
      <c r="Q139" s="250">
        <f t="shared" si="98"/>
        <v>0</v>
      </c>
      <c r="R139" s="250">
        <f t="shared" si="98"/>
        <v>0</v>
      </c>
      <c r="S139" s="250">
        <f t="shared" si="98"/>
        <v>0</v>
      </c>
      <c r="T139" s="250">
        <f t="shared" si="98"/>
        <v>0</v>
      </c>
      <c r="U139" s="250">
        <f t="shared" si="98"/>
        <v>0</v>
      </c>
      <c r="V139" s="250">
        <f t="shared" si="98"/>
        <v>0</v>
      </c>
      <c r="W139" s="250">
        <f t="shared" si="98"/>
        <v>0</v>
      </c>
      <c r="X139" s="250">
        <f t="shared" si="98"/>
        <v>0</v>
      </c>
      <c r="Y139" s="250">
        <f t="shared" si="98"/>
        <v>0</v>
      </c>
      <c r="Z139" s="250">
        <f t="shared" si="98"/>
        <v>0</v>
      </c>
      <c r="AA139" s="250">
        <f t="shared" si="98"/>
        <v>0</v>
      </c>
      <c r="AB139" s="250">
        <f t="shared" si="98"/>
        <v>0</v>
      </c>
      <c r="AC139" s="250">
        <f t="shared" si="98"/>
        <v>0</v>
      </c>
      <c r="AD139" s="250">
        <f t="shared" si="98"/>
        <v>0</v>
      </c>
      <c r="AE139" s="250">
        <f t="shared" si="98"/>
        <v>0</v>
      </c>
      <c r="AF139" s="250">
        <f t="shared" si="98"/>
        <v>0</v>
      </c>
      <c r="AG139" s="250">
        <f t="shared" si="98"/>
        <v>0</v>
      </c>
      <c r="AH139" s="217"/>
      <c r="AI139" s="368"/>
      <c r="AJ139" s="369"/>
      <c r="AL139" s="194"/>
      <c r="AM139" s="116"/>
      <c r="AN139" s="116"/>
      <c r="AO139" s="116"/>
      <c r="BD139" s="116"/>
      <c r="BE139" s="116"/>
      <c r="BF139" s="116"/>
      <c r="BG139" s="116"/>
      <c r="BH139" s="116"/>
      <c r="BI139" s="116"/>
      <c r="BJ139" s="116"/>
      <c r="BK139" s="116"/>
    </row>
    <row r="140" spans="1:63" outlineLevel="1"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J140" s="185"/>
    </row>
    <row r="141" spans="1:63" s="174" customFormat="1" ht="15.5" thickBot="1">
      <c r="A141" s="174" t="s">
        <v>446</v>
      </c>
      <c r="B141" s="189"/>
      <c r="C141" s="197">
        <f>C142</f>
        <v>0</v>
      </c>
      <c r="D141" s="197">
        <f t="shared" ref="D141:AG141" si="99">D142</f>
        <v>9.9999999999999985E-3</v>
      </c>
      <c r="E141" s="197">
        <f t="shared" si="99"/>
        <v>1.9999999999999997E-2</v>
      </c>
      <c r="F141" s="197">
        <f t="shared" si="99"/>
        <v>2.9999999999999995E-2</v>
      </c>
      <c r="G141" s="197">
        <f t="shared" si="99"/>
        <v>3.9999999999999994E-2</v>
      </c>
      <c r="H141" s="197">
        <f t="shared" si="99"/>
        <v>4.9999999999999989E-2</v>
      </c>
      <c r="I141" s="197">
        <f t="shared" si="99"/>
        <v>5.9999999999999991E-2</v>
      </c>
      <c r="J141" s="197">
        <f t="shared" si="99"/>
        <v>6.9999999999999993E-2</v>
      </c>
      <c r="K141" s="197">
        <f t="shared" si="99"/>
        <v>7.9999999999999988E-2</v>
      </c>
      <c r="L141" s="197">
        <f t="shared" si="99"/>
        <v>8.9999999999999983E-2</v>
      </c>
      <c r="M141" s="197">
        <f t="shared" si="99"/>
        <v>9.9999999999999992E-2</v>
      </c>
      <c r="N141" s="197">
        <f t="shared" si="99"/>
        <v>0.10999999999999999</v>
      </c>
      <c r="O141" s="197">
        <f t="shared" si="99"/>
        <v>0.12</v>
      </c>
      <c r="P141" s="197">
        <f t="shared" si="99"/>
        <v>0.12999999999999998</v>
      </c>
      <c r="Q141" s="197">
        <f t="shared" si="99"/>
        <v>0.13999999999999999</v>
      </c>
      <c r="R141" s="197">
        <f t="shared" si="99"/>
        <v>0.14999999999999997</v>
      </c>
      <c r="S141" s="197">
        <f t="shared" si="99"/>
        <v>0.15999999999999998</v>
      </c>
      <c r="T141" s="197">
        <f t="shared" si="99"/>
        <v>0.16999999999999998</v>
      </c>
      <c r="U141" s="197">
        <f t="shared" si="99"/>
        <v>0.18</v>
      </c>
      <c r="V141" s="197">
        <f t="shared" si="99"/>
        <v>0.18999999999999997</v>
      </c>
      <c r="W141" s="197">
        <f t="shared" si="99"/>
        <v>0.19999999999999998</v>
      </c>
      <c r="X141" s="197">
        <f t="shared" si="99"/>
        <v>0.21</v>
      </c>
      <c r="Y141" s="197">
        <f t="shared" si="99"/>
        <v>0.21999999999999997</v>
      </c>
      <c r="Z141" s="197">
        <f t="shared" si="99"/>
        <v>0.22999999999999998</v>
      </c>
      <c r="AA141" s="197">
        <f t="shared" si="99"/>
        <v>0.24</v>
      </c>
      <c r="AB141" s="197">
        <f t="shared" si="99"/>
        <v>0.25</v>
      </c>
      <c r="AC141" s="197">
        <f t="shared" si="99"/>
        <v>0.26</v>
      </c>
      <c r="AD141" s="197">
        <f t="shared" si="99"/>
        <v>0.27</v>
      </c>
      <c r="AE141" s="197">
        <f t="shared" si="99"/>
        <v>0.27999999999999997</v>
      </c>
      <c r="AF141" s="197">
        <f t="shared" si="99"/>
        <v>0.28999999999999998</v>
      </c>
      <c r="AG141" s="197">
        <f t="shared" si="99"/>
        <v>0.3</v>
      </c>
      <c r="AJ141" s="204" t="s">
        <v>458</v>
      </c>
      <c r="AL141" s="191"/>
      <c r="AM141" s="198"/>
      <c r="AN141" s="198"/>
      <c r="AO141" s="198"/>
    </row>
    <row r="142" spans="1:63" ht="15.5" outlineLevel="1" thickTop="1">
      <c r="A142" t="s">
        <v>454</v>
      </c>
      <c r="B142" s="50" t="s">
        <v>126</v>
      </c>
      <c r="C142" s="105">
        <v>0</v>
      </c>
      <c r="D142" s="102">
        <f>$C142+($M142-$C142)/10*(D$1-$C$1)</f>
        <v>9.9999999999999985E-3</v>
      </c>
      <c r="E142" s="102">
        <f t="shared" ref="E142:L142" si="100">$C142+($M142-$C142)/10*(E$1-$C$1)</f>
        <v>1.9999999999999997E-2</v>
      </c>
      <c r="F142" s="102">
        <f t="shared" si="100"/>
        <v>2.9999999999999995E-2</v>
      </c>
      <c r="G142" s="102">
        <f t="shared" si="100"/>
        <v>3.9999999999999994E-2</v>
      </c>
      <c r="H142" s="102">
        <f t="shared" si="100"/>
        <v>4.9999999999999989E-2</v>
      </c>
      <c r="I142" s="102">
        <f t="shared" si="100"/>
        <v>5.9999999999999991E-2</v>
      </c>
      <c r="J142" s="102">
        <f t="shared" si="100"/>
        <v>6.9999999999999993E-2</v>
      </c>
      <c r="K142" s="102">
        <f t="shared" si="100"/>
        <v>7.9999999999999988E-2</v>
      </c>
      <c r="L142" s="102">
        <f t="shared" si="100"/>
        <v>8.9999999999999983E-2</v>
      </c>
      <c r="M142" s="113">
        <f>C142+(AG142-C142)/3</f>
        <v>9.9999999999999992E-2</v>
      </c>
      <c r="N142" s="113">
        <f>$M142+($W142-$M142)/10*(N$1-$M$1)</f>
        <v>0.10999999999999999</v>
      </c>
      <c r="O142" s="113">
        <f t="shared" ref="O142:U142" si="101">$M142+($W142-$M142)/10*(O$1-$M$1)</f>
        <v>0.12</v>
      </c>
      <c r="P142" s="113">
        <f t="shared" si="101"/>
        <v>0.12999999999999998</v>
      </c>
      <c r="Q142" s="113">
        <f t="shared" si="101"/>
        <v>0.13999999999999999</v>
      </c>
      <c r="R142" s="113">
        <f t="shared" si="101"/>
        <v>0.14999999999999997</v>
      </c>
      <c r="S142" s="113">
        <f t="shared" si="101"/>
        <v>0.15999999999999998</v>
      </c>
      <c r="T142" s="113">
        <f t="shared" si="101"/>
        <v>0.16999999999999998</v>
      </c>
      <c r="U142" s="113">
        <f t="shared" si="101"/>
        <v>0.18</v>
      </c>
      <c r="V142" s="113">
        <f>$M142+($W142-$M142)/10*(V$1-$M$1)</f>
        <v>0.18999999999999997</v>
      </c>
      <c r="W142" s="113">
        <f>C142+(AG142-C142)*2/3</f>
        <v>0.19999999999999998</v>
      </c>
      <c r="X142" s="22">
        <f t="shared" ref="X142:AF142" si="102">$W142+($AG142-$W142)/10*(X$1-$W$1)</f>
        <v>0.21</v>
      </c>
      <c r="Y142" s="22">
        <f t="shared" si="102"/>
        <v>0.21999999999999997</v>
      </c>
      <c r="Z142" s="22">
        <f t="shared" si="102"/>
        <v>0.22999999999999998</v>
      </c>
      <c r="AA142" s="22">
        <f t="shared" si="102"/>
        <v>0.24</v>
      </c>
      <c r="AB142" s="22">
        <f t="shared" si="102"/>
        <v>0.25</v>
      </c>
      <c r="AC142" s="22">
        <f t="shared" si="102"/>
        <v>0.26</v>
      </c>
      <c r="AD142" s="22">
        <f t="shared" si="102"/>
        <v>0.27</v>
      </c>
      <c r="AE142" s="22">
        <f t="shared" si="102"/>
        <v>0.27999999999999997</v>
      </c>
      <c r="AF142" s="22">
        <f t="shared" si="102"/>
        <v>0.28999999999999998</v>
      </c>
      <c r="AG142" s="188">
        <v>0.3</v>
      </c>
      <c r="AJ142" s="185" t="s">
        <v>789</v>
      </c>
    </row>
    <row r="143" spans="1:63" outlineLevel="1">
      <c r="C143" s="105"/>
      <c r="D143" s="102"/>
      <c r="E143" s="102"/>
      <c r="F143" s="102"/>
      <c r="G143" s="102"/>
      <c r="H143" s="102"/>
      <c r="I143" s="102"/>
      <c r="J143" s="102"/>
      <c r="K143" s="102"/>
      <c r="L143" s="102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22"/>
      <c r="Y143" s="22"/>
      <c r="Z143" s="22"/>
      <c r="AA143" s="22"/>
      <c r="AB143" s="22"/>
      <c r="AC143" s="22"/>
      <c r="AD143" s="22"/>
      <c r="AE143" s="22"/>
      <c r="AF143" s="22"/>
      <c r="AG143" s="98"/>
      <c r="AJ143" s="185"/>
    </row>
    <row r="144" spans="1:63" outlineLevel="1">
      <c r="A144" t="s">
        <v>1337</v>
      </c>
      <c r="C144" s="437">
        <v>1</v>
      </c>
      <c r="D144" s="437">
        <f>C144-($C144-$AG144)/($AG$1-$C$1)</f>
        <v>1</v>
      </c>
      <c r="E144" s="437">
        <f t="shared" ref="E144:AF144" si="103">D144-($C144-$AG144)/($AG$1-$C$1)</f>
        <v>1</v>
      </c>
      <c r="F144" s="437">
        <f t="shared" si="103"/>
        <v>1</v>
      </c>
      <c r="G144" s="437">
        <f t="shared" si="103"/>
        <v>1</v>
      </c>
      <c r="H144" s="437">
        <f t="shared" si="103"/>
        <v>1</v>
      </c>
      <c r="I144" s="437">
        <f t="shared" si="103"/>
        <v>1</v>
      </c>
      <c r="J144" s="437">
        <f t="shared" si="103"/>
        <v>1</v>
      </c>
      <c r="K144" s="437">
        <f t="shared" si="103"/>
        <v>1</v>
      </c>
      <c r="L144" s="437">
        <f t="shared" si="103"/>
        <v>1</v>
      </c>
      <c r="M144" s="437">
        <f t="shared" si="103"/>
        <v>1</v>
      </c>
      <c r="N144" s="437">
        <f t="shared" si="103"/>
        <v>1</v>
      </c>
      <c r="O144" s="437">
        <f t="shared" si="103"/>
        <v>1</v>
      </c>
      <c r="P144" s="437">
        <f t="shared" si="103"/>
        <v>1</v>
      </c>
      <c r="Q144" s="437">
        <f t="shared" si="103"/>
        <v>1</v>
      </c>
      <c r="R144" s="437">
        <f t="shared" si="103"/>
        <v>1</v>
      </c>
      <c r="S144" s="437">
        <f t="shared" si="103"/>
        <v>1</v>
      </c>
      <c r="T144" s="437">
        <f t="shared" si="103"/>
        <v>1</v>
      </c>
      <c r="U144" s="437">
        <f t="shared" si="103"/>
        <v>1</v>
      </c>
      <c r="V144" s="437">
        <f t="shared" si="103"/>
        <v>1</v>
      </c>
      <c r="W144" s="437">
        <f t="shared" si="103"/>
        <v>1</v>
      </c>
      <c r="X144" s="437">
        <f t="shared" si="103"/>
        <v>1</v>
      </c>
      <c r="Y144" s="437">
        <f t="shared" si="103"/>
        <v>1</v>
      </c>
      <c r="Z144" s="437">
        <f t="shared" si="103"/>
        <v>1</v>
      </c>
      <c r="AA144" s="437">
        <f t="shared" si="103"/>
        <v>1</v>
      </c>
      <c r="AB144" s="437">
        <f t="shared" si="103"/>
        <v>1</v>
      </c>
      <c r="AC144" s="437">
        <f t="shared" si="103"/>
        <v>1</v>
      </c>
      <c r="AD144" s="437">
        <f t="shared" si="103"/>
        <v>1</v>
      </c>
      <c r="AE144" s="437">
        <f t="shared" si="103"/>
        <v>1</v>
      </c>
      <c r="AF144" s="437">
        <f t="shared" si="103"/>
        <v>1</v>
      </c>
      <c r="AG144" s="437">
        <v>1</v>
      </c>
      <c r="AI144" s="124"/>
      <c r="AJ144" s="185"/>
      <c r="AL144" s="100"/>
      <c r="AM144" s="181"/>
      <c r="AN144" s="181"/>
      <c r="AO144" s="181"/>
      <c r="BC144" s="1"/>
      <c r="BD144" s="181"/>
      <c r="BE144" s="181"/>
      <c r="BF144" s="181"/>
      <c r="BG144" s="181"/>
      <c r="BH144" s="181"/>
      <c r="BI144" s="181"/>
      <c r="BJ144" s="181"/>
      <c r="BK144" s="181"/>
    </row>
    <row r="145" spans="1:63" outlineLevel="1">
      <c r="A145" t="s">
        <v>1353</v>
      </c>
      <c r="B145" s="50" t="s">
        <v>126</v>
      </c>
      <c r="C145" s="102">
        <f>C142*C144</f>
        <v>0</v>
      </c>
      <c r="D145" s="102">
        <f t="shared" ref="D145:AG145" si="104">D142*D144</f>
        <v>9.9999999999999985E-3</v>
      </c>
      <c r="E145" s="102">
        <f t="shared" si="104"/>
        <v>1.9999999999999997E-2</v>
      </c>
      <c r="F145" s="102">
        <f t="shared" si="104"/>
        <v>2.9999999999999995E-2</v>
      </c>
      <c r="G145" s="102">
        <f t="shared" si="104"/>
        <v>3.9999999999999994E-2</v>
      </c>
      <c r="H145" s="102">
        <f t="shared" si="104"/>
        <v>4.9999999999999989E-2</v>
      </c>
      <c r="I145" s="102">
        <f t="shared" si="104"/>
        <v>5.9999999999999991E-2</v>
      </c>
      <c r="J145" s="102">
        <f t="shared" si="104"/>
        <v>6.9999999999999993E-2</v>
      </c>
      <c r="K145" s="102">
        <f t="shared" si="104"/>
        <v>7.9999999999999988E-2</v>
      </c>
      <c r="L145" s="102">
        <f t="shared" si="104"/>
        <v>8.9999999999999983E-2</v>
      </c>
      <c r="M145" s="102">
        <f t="shared" si="104"/>
        <v>9.9999999999999992E-2</v>
      </c>
      <c r="N145" s="102">
        <f t="shared" si="104"/>
        <v>0.10999999999999999</v>
      </c>
      <c r="O145" s="102">
        <f t="shared" si="104"/>
        <v>0.12</v>
      </c>
      <c r="P145" s="102">
        <f t="shared" si="104"/>
        <v>0.12999999999999998</v>
      </c>
      <c r="Q145" s="102">
        <f t="shared" si="104"/>
        <v>0.13999999999999999</v>
      </c>
      <c r="R145" s="102">
        <f t="shared" si="104"/>
        <v>0.14999999999999997</v>
      </c>
      <c r="S145" s="102">
        <f t="shared" si="104"/>
        <v>0.15999999999999998</v>
      </c>
      <c r="T145" s="102">
        <f t="shared" si="104"/>
        <v>0.16999999999999998</v>
      </c>
      <c r="U145" s="102">
        <f t="shared" si="104"/>
        <v>0.18</v>
      </c>
      <c r="V145" s="102">
        <f t="shared" si="104"/>
        <v>0.18999999999999997</v>
      </c>
      <c r="W145" s="102">
        <f t="shared" si="104"/>
        <v>0.19999999999999998</v>
      </c>
      <c r="X145" s="102">
        <f t="shared" si="104"/>
        <v>0.21</v>
      </c>
      <c r="Y145" s="102">
        <f t="shared" si="104"/>
        <v>0.21999999999999997</v>
      </c>
      <c r="Z145" s="102">
        <f t="shared" si="104"/>
        <v>0.22999999999999998</v>
      </c>
      <c r="AA145" s="102">
        <f t="shared" si="104"/>
        <v>0.24</v>
      </c>
      <c r="AB145" s="102">
        <f t="shared" si="104"/>
        <v>0.25</v>
      </c>
      <c r="AC145" s="102">
        <f t="shared" si="104"/>
        <v>0.26</v>
      </c>
      <c r="AD145" s="102">
        <f t="shared" si="104"/>
        <v>0.27</v>
      </c>
      <c r="AE145" s="102">
        <f t="shared" si="104"/>
        <v>0.27999999999999997</v>
      </c>
      <c r="AF145" s="102">
        <f t="shared" si="104"/>
        <v>0.28999999999999998</v>
      </c>
      <c r="AG145" s="102">
        <f t="shared" si="104"/>
        <v>0.3</v>
      </c>
      <c r="AJ145" s="185"/>
    </row>
    <row r="146" spans="1:63" outlineLevel="1"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I146" s="125"/>
      <c r="AJ146" s="185"/>
      <c r="BC146" s="1"/>
      <c r="BD146" s="37"/>
      <c r="BF146" s="6"/>
      <c r="BG146" s="6"/>
      <c r="BH146" s="6"/>
      <c r="BI146" s="6"/>
      <c r="BJ146" s="6"/>
    </row>
    <row r="147" spans="1:63" s="1" customFormat="1" outlineLevel="1">
      <c r="A147" s="1" t="s">
        <v>265</v>
      </c>
      <c r="B147" s="60"/>
      <c r="C147" s="250">
        <f t="shared" ref="C147:AG147" si="105">C145*C41</f>
        <v>0</v>
      </c>
      <c r="D147" s="250">
        <f t="shared" si="105"/>
        <v>142.6016254286524</v>
      </c>
      <c r="E147" s="250">
        <f t="shared" si="105"/>
        <v>284.57364334423386</v>
      </c>
      <c r="F147" s="250">
        <f t="shared" si="105"/>
        <v>425.91813860527594</v>
      </c>
      <c r="G147" s="250">
        <f t="shared" si="105"/>
        <v>566.63718993366842</v>
      </c>
      <c r="H147" s="250">
        <f t="shared" si="105"/>
        <v>706.73286993159377</v>
      </c>
      <c r="I147" s="250">
        <f t="shared" si="105"/>
        <v>846.20724509841557</v>
      </c>
      <c r="J147" s="250">
        <f t="shared" si="105"/>
        <v>985.06237584752296</v>
      </c>
      <c r="K147" s="250">
        <f t="shared" si="105"/>
        <v>1123.30031652313</v>
      </c>
      <c r="L147" s="250">
        <f t="shared" si="105"/>
        <v>1260.9231154170316</v>
      </c>
      <c r="M147" s="250">
        <f t="shared" si="105"/>
        <v>1397.9328147853137</v>
      </c>
      <c r="N147" s="250">
        <f t="shared" si="105"/>
        <v>1534.331450865019</v>
      </c>
      <c r="O147" s="250">
        <f t="shared" si="105"/>
        <v>1670.1210538907708</v>
      </c>
      <c r="P147" s="250">
        <f t="shared" si="105"/>
        <v>1805.30364811135</v>
      </c>
      <c r="Q147" s="250">
        <f t="shared" si="105"/>
        <v>1939.8812518062293</v>
      </c>
      <c r="R147" s="250">
        <f t="shared" si="105"/>
        <v>2073.8558773020654</v>
      </c>
      <c r="S147" s="250">
        <f t="shared" si="105"/>
        <v>2207.2295309891438</v>
      </c>
      <c r="T147" s="250">
        <f t="shared" si="105"/>
        <v>2340.0042133377815</v>
      </c>
      <c r="U147" s="250">
        <f t="shared" si="105"/>
        <v>2472.1819189146895</v>
      </c>
      <c r="V147" s="250">
        <f t="shared" si="105"/>
        <v>2603.7646363992844</v>
      </c>
      <c r="W147" s="250">
        <f t="shared" si="105"/>
        <v>2734.7543485999681</v>
      </c>
      <c r="X147" s="250">
        <f t="shared" si="105"/>
        <v>2865.1530324703504</v>
      </c>
      <c r="Y147" s="250">
        <f t="shared" si="105"/>
        <v>2994.96265912544</v>
      </c>
      <c r="Z147" s="250">
        <f t="shared" si="105"/>
        <v>3124.1851938577884</v>
      </c>
      <c r="AA147" s="250">
        <f t="shared" si="105"/>
        <v>3252.8225961535895</v>
      </c>
      <c r="AB147" s="250">
        <f t="shared" si="105"/>
        <v>3380.8768197087384</v>
      </c>
      <c r="AC147" s="250">
        <f t="shared" si="105"/>
        <v>3508.3498124448452</v>
      </c>
      <c r="AD147" s="250">
        <f t="shared" si="105"/>
        <v>3635.2435165252118</v>
      </c>
      <c r="AE147" s="250">
        <f t="shared" si="105"/>
        <v>3761.5598683707622</v>
      </c>
      <c r="AF147" s="250">
        <f t="shared" si="105"/>
        <v>3887.3007986759267</v>
      </c>
      <c r="AG147" s="250">
        <f t="shared" si="105"/>
        <v>4012.4682324244945</v>
      </c>
      <c r="AH147" s="217"/>
      <c r="AI147" s="368"/>
      <c r="AJ147" s="369"/>
      <c r="AL147" s="194"/>
      <c r="AM147" s="116"/>
      <c r="AN147" s="116"/>
      <c r="AO147" s="116"/>
      <c r="BD147" s="116"/>
      <c r="BE147" s="116"/>
      <c r="BF147" s="116"/>
      <c r="BG147" s="116"/>
      <c r="BH147" s="116"/>
      <c r="BI147" s="116"/>
      <c r="BJ147" s="116"/>
      <c r="BK147" s="116"/>
    </row>
    <row r="148" spans="1:63" s="1" customFormat="1" outlineLevel="1">
      <c r="A148" s="1" t="s">
        <v>1041</v>
      </c>
      <c r="B148" s="60"/>
      <c r="C148" s="250">
        <f t="shared" ref="C148:AG148" si="106">C147-$C147</f>
        <v>0</v>
      </c>
      <c r="D148" s="250">
        <f t="shared" si="106"/>
        <v>142.6016254286524</v>
      </c>
      <c r="E148" s="250">
        <f t="shared" si="106"/>
        <v>284.57364334423386</v>
      </c>
      <c r="F148" s="250">
        <f t="shared" si="106"/>
        <v>425.91813860527594</v>
      </c>
      <c r="G148" s="250">
        <f t="shared" si="106"/>
        <v>566.63718993366842</v>
      </c>
      <c r="H148" s="250">
        <f t="shared" si="106"/>
        <v>706.73286993159377</v>
      </c>
      <c r="I148" s="250">
        <f t="shared" si="106"/>
        <v>846.20724509841557</v>
      </c>
      <c r="J148" s="250">
        <f t="shared" si="106"/>
        <v>985.06237584752296</v>
      </c>
      <c r="K148" s="250">
        <f t="shared" si="106"/>
        <v>1123.30031652313</v>
      </c>
      <c r="L148" s="250">
        <f t="shared" si="106"/>
        <v>1260.9231154170316</v>
      </c>
      <c r="M148" s="250">
        <f t="shared" si="106"/>
        <v>1397.9328147853137</v>
      </c>
      <c r="N148" s="250">
        <f t="shared" si="106"/>
        <v>1534.331450865019</v>
      </c>
      <c r="O148" s="250">
        <f t="shared" si="106"/>
        <v>1670.1210538907708</v>
      </c>
      <c r="P148" s="250">
        <f t="shared" si="106"/>
        <v>1805.30364811135</v>
      </c>
      <c r="Q148" s="250">
        <f t="shared" si="106"/>
        <v>1939.8812518062293</v>
      </c>
      <c r="R148" s="250">
        <f t="shared" si="106"/>
        <v>2073.8558773020654</v>
      </c>
      <c r="S148" s="250">
        <f t="shared" si="106"/>
        <v>2207.2295309891438</v>
      </c>
      <c r="T148" s="250">
        <f t="shared" si="106"/>
        <v>2340.0042133377815</v>
      </c>
      <c r="U148" s="250">
        <f t="shared" si="106"/>
        <v>2472.1819189146895</v>
      </c>
      <c r="V148" s="250">
        <f t="shared" si="106"/>
        <v>2603.7646363992844</v>
      </c>
      <c r="W148" s="250">
        <f t="shared" si="106"/>
        <v>2734.7543485999681</v>
      </c>
      <c r="X148" s="250">
        <f t="shared" si="106"/>
        <v>2865.1530324703504</v>
      </c>
      <c r="Y148" s="250">
        <f t="shared" si="106"/>
        <v>2994.96265912544</v>
      </c>
      <c r="Z148" s="250">
        <f t="shared" si="106"/>
        <v>3124.1851938577884</v>
      </c>
      <c r="AA148" s="250">
        <f t="shared" si="106"/>
        <v>3252.8225961535895</v>
      </c>
      <c r="AB148" s="250">
        <f t="shared" si="106"/>
        <v>3380.8768197087384</v>
      </c>
      <c r="AC148" s="250">
        <f t="shared" si="106"/>
        <v>3508.3498124448452</v>
      </c>
      <c r="AD148" s="250">
        <f t="shared" si="106"/>
        <v>3635.2435165252118</v>
      </c>
      <c r="AE148" s="250">
        <f t="shared" si="106"/>
        <v>3761.5598683707622</v>
      </c>
      <c r="AF148" s="250">
        <f t="shared" si="106"/>
        <v>3887.3007986759267</v>
      </c>
      <c r="AG148" s="250">
        <f t="shared" si="106"/>
        <v>4012.4682324244945</v>
      </c>
      <c r="AH148" s="217"/>
      <c r="AI148" s="368"/>
      <c r="AJ148" s="369"/>
      <c r="AL148" s="194"/>
      <c r="AM148" s="116"/>
      <c r="AN148" s="116"/>
      <c r="AO148" s="116"/>
      <c r="BD148" s="116"/>
      <c r="BE148" s="116"/>
      <c r="BF148" s="116"/>
      <c r="BG148" s="116"/>
      <c r="BH148" s="116"/>
      <c r="BI148" s="116"/>
      <c r="BJ148" s="116"/>
      <c r="BK148" s="116"/>
    </row>
    <row r="149" spans="1:63" outlineLevel="1">
      <c r="AJ149" s="185"/>
    </row>
    <row r="150" spans="1:63" s="174" customFormat="1" ht="15.5" thickBot="1">
      <c r="A150" s="174" t="s">
        <v>448</v>
      </c>
      <c r="B150" s="189"/>
      <c r="C150" s="197">
        <f>C151</f>
        <v>0</v>
      </c>
      <c r="D150" s="197">
        <f t="shared" ref="D150:AG150" si="107">D151</f>
        <v>0</v>
      </c>
      <c r="E150" s="197">
        <f t="shared" si="107"/>
        <v>0</v>
      </c>
      <c r="F150" s="197">
        <f t="shared" si="107"/>
        <v>0</v>
      </c>
      <c r="G150" s="197">
        <f t="shared" si="107"/>
        <v>0</v>
      </c>
      <c r="H150" s="197">
        <f t="shared" si="107"/>
        <v>0</v>
      </c>
      <c r="I150" s="197">
        <f t="shared" si="107"/>
        <v>0</v>
      </c>
      <c r="J150" s="197">
        <f t="shared" si="107"/>
        <v>0</v>
      </c>
      <c r="K150" s="197">
        <f t="shared" si="107"/>
        <v>0</v>
      </c>
      <c r="L150" s="197">
        <f t="shared" si="107"/>
        <v>0</v>
      </c>
      <c r="M150" s="197">
        <f t="shared" si="107"/>
        <v>0</v>
      </c>
      <c r="N150" s="197">
        <f t="shared" si="107"/>
        <v>0</v>
      </c>
      <c r="O150" s="197">
        <f t="shared" si="107"/>
        <v>0</v>
      </c>
      <c r="P150" s="197">
        <f t="shared" si="107"/>
        <v>0</v>
      </c>
      <c r="Q150" s="197">
        <f t="shared" si="107"/>
        <v>0</v>
      </c>
      <c r="R150" s="197">
        <f t="shared" si="107"/>
        <v>0</v>
      </c>
      <c r="S150" s="197">
        <f t="shared" si="107"/>
        <v>0</v>
      </c>
      <c r="T150" s="197">
        <f t="shared" si="107"/>
        <v>0</v>
      </c>
      <c r="U150" s="197">
        <f t="shared" si="107"/>
        <v>0</v>
      </c>
      <c r="V150" s="197">
        <f t="shared" si="107"/>
        <v>0</v>
      </c>
      <c r="W150" s="197">
        <f t="shared" si="107"/>
        <v>0</v>
      </c>
      <c r="X150" s="197">
        <f t="shared" si="107"/>
        <v>0</v>
      </c>
      <c r="Y150" s="197">
        <f t="shared" si="107"/>
        <v>0</v>
      </c>
      <c r="Z150" s="197">
        <f t="shared" si="107"/>
        <v>0</v>
      </c>
      <c r="AA150" s="197">
        <f t="shared" si="107"/>
        <v>0</v>
      </c>
      <c r="AB150" s="197">
        <f t="shared" si="107"/>
        <v>0</v>
      </c>
      <c r="AC150" s="197">
        <f t="shared" si="107"/>
        <v>0</v>
      </c>
      <c r="AD150" s="197">
        <f t="shared" si="107"/>
        <v>0</v>
      </c>
      <c r="AE150" s="197">
        <f t="shared" si="107"/>
        <v>0</v>
      </c>
      <c r="AF150" s="197">
        <f t="shared" si="107"/>
        <v>0</v>
      </c>
      <c r="AG150" s="197">
        <f t="shared" si="107"/>
        <v>0</v>
      </c>
      <c r="AJ150" s="204" t="s">
        <v>457</v>
      </c>
      <c r="AL150" s="191"/>
      <c r="AM150" s="198"/>
      <c r="AN150" s="198"/>
      <c r="AO150" s="198"/>
    </row>
    <row r="151" spans="1:63" ht="15.5" outlineLevel="2" thickTop="1">
      <c r="A151" t="s">
        <v>449</v>
      </c>
      <c r="B151" s="50" t="s">
        <v>126</v>
      </c>
      <c r="C151" s="105">
        <v>0</v>
      </c>
      <c r="D151" s="102">
        <f>$C151+($M151-$C151)/10*(D$1-$C$1)</f>
        <v>0</v>
      </c>
      <c r="E151" s="102">
        <f t="shared" ref="E151:L151" si="108">$C151+($M151-$C151)/10*(E$1-$C$1)</f>
        <v>0</v>
      </c>
      <c r="F151" s="102">
        <f t="shared" si="108"/>
        <v>0</v>
      </c>
      <c r="G151" s="102">
        <f t="shared" si="108"/>
        <v>0</v>
      </c>
      <c r="H151" s="102">
        <f t="shared" si="108"/>
        <v>0</v>
      </c>
      <c r="I151" s="102">
        <f t="shared" si="108"/>
        <v>0</v>
      </c>
      <c r="J151" s="102">
        <f t="shared" si="108"/>
        <v>0</v>
      </c>
      <c r="K151" s="102">
        <f t="shared" si="108"/>
        <v>0</v>
      </c>
      <c r="L151" s="102">
        <f t="shared" si="108"/>
        <v>0</v>
      </c>
      <c r="M151" s="113">
        <v>0</v>
      </c>
      <c r="N151" s="113">
        <f>$M151+($W151-$M151)/10*(N$1-$M$1)</f>
        <v>0</v>
      </c>
      <c r="O151" s="113">
        <f t="shared" ref="O151:U151" si="109">$M151+($W151-$M151)/10*(O$1-$M$1)</f>
        <v>0</v>
      </c>
      <c r="P151" s="113">
        <f t="shared" si="109"/>
        <v>0</v>
      </c>
      <c r="Q151" s="113">
        <f t="shared" si="109"/>
        <v>0</v>
      </c>
      <c r="R151" s="113">
        <f t="shared" si="109"/>
        <v>0</v>
      </c>
      <c r="S151" s="113">
        <f t="shared" si="109"/>
        <v>0</v>
      </c>
      <c r="T151" s="113">
        <f t="shared" si="109"/>
        <v>0</v>
      </c>
      <c r="U151" s="113">
        <f t="shared" si="109"/>
        <v>0</v>
      </c>
      <c r="V151" s="113">
        <f>$M151+($W151-$M151)/10*(V$1-$M$1)</f>
        <v>0</v>
      </c>
      <c r="W151" s="113">
        <v>0</v>
      </c>
      <c r="X151" s="22">
        <f t="shared" ref="X151:AF151" si="110">$W151+($AG151-$W151)/10*(X$1-$W$1)</f>
        <v>0</v>
      </c>
      <c r="Y151" s="22">
        <f t="shared" si="110"/>
        <v>0</v>
      </c>
      <c r="Z151" s="22">
        <f t="shared" si="110"/>
        <v>0</v>
      </c>
      <c r="AA151" s="22">
        <f t="shared" si="110"/>
        <v>0</v>
      </c>
      <c r="AB151" s="22">
        <f t="shared" si="110"/>
        <v>0</v>
      </c>
      <c r="AC151" s="22">
        <f t="shared" si="110"/>
        <v>0</v>
      </c>
      <c r="AD151" s="22">
        <f t="shared" si="110"/>
        <v>0</v>
      </c>
      <c r="AE151" s="22">
        <f t="shared" si="110"/>
        <v>0</v>
      </c>
      <c r="AF151" s="22">
        <f t="shared" si="110"/>
        <v>0</v>
      </c>
      <c r="AG151" s="188">
        <v>0</v>
      </c>
      <c r="AJ151" s="185" t="s">
        <v>789</v>
      </c>
    </row>
    <row r="152" spans="1:63" outlineLevel="2">
      <c r="C152" s="105"/>
      <c r="D152" s="102"/>
      <c r="E152" s="102"/>
      <c r="F152" s="102"/>
      <c r="G152" s="102"/>
      <c r="H152" s="102"/>
      <c r="I152" s="102"/>
      <c r="J152" s="102"/>
      <c r="K152" s="102"/>
      <c r="L152" s="102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22"/>
      <c r="Y152" s="22"/>
      <c r="Z152" s="22"/>
      <c r="AA152" s="22"/>
      <c r="AB152" s="22"/>
      <c r="AC152" s="22"/>
      <c r="AD152" s="22"/>
      <c r="AE152" s="22"/>
      <c r="AF152" s="22"/>
      <c r="AG152" s="98"/>
      <c r="AJ152" s="185"/>
    </row>
    <row r="153" spans="1:63" outlineLevel="1">
      <c r="A153" t="s">
        <v>1337</v>
      </c>
      <c r="C153" s="437">
        <f>('Overall recycling rates'!F88*'Yearly BTX'!D5+'Overall recycling rates'!G88*'Yearly BTX'!D6+'Overall recycling rates'!H88*'Yearly BTX'!D7)/'Yearly BTX'!D4</f>
        <v>0.99999999999999989</v>
      </c>
      <c r="D153" s="437">
        <f>C153-($C153-$AG153)/($AG$1-$C$1)</f>
        <v>0.99999999999999989</v>
      </c>
      <c r="E153" s="437">
        <f t="shared" ref="E153:AF153" si="111">D153-($C153-$AG153)/($AG$1-$C$1)</f>
        <v>0.99999999999999989</v>
      </c>
      <c r="F153" s="437">
        <f t="shared" si="111"/>
        <v>0.99999999999999989</v>
      </c>
      <c r="G153" s="437">
        <f t="shared" si="111"/>
        <v>0.99999999999999989</v>
      </c>
      <c r="H153" s="437">
        <f t="shared" si="111"/>
        <v>0.99999999999999989</v>
      </c>
      <c r="I153" s="437">
        <f t="shared" si="111"/>
        <v>0.99999999999999989</v>
      </c>
      <c r="J153" s="437">
        <f t="shared" si="111"/>
        <v>0.99999999999999989</v>
      </c>
      <c r="K153" s="437">
        <f t="shared" si="111"/>
        <v>0.99999999999999989</v>
      </c>
      <c r="L153" s="437">
        <f t="shared" si="111"/>
        <v>0.99999999999999989</v>
      </c>
      <c r="M153" s="437">
        <f t="shared" si="111"/>
        <v>0.99999999999999989</v>
      </c>
      <c r="N153" s="437">
        <f t="shared" si="111"/>
        <v>0.99999999999999989</v>
      </c>
      <c r="O153" s="437">
        <f t="shared" si="111"/>
        <v>0.99999999999999989</v>
      </c>
      <c r="P153" s="437">
        <f t="shared" si="111"/>
        <v>0.99999999999999989</v>
      </c>
      <c r="Q153" s="437">
        <f t="shared" si="111"/>
        <v>0.99999999999999989</v>
      </c>
      <c r="R153" s="437">
        <f t="shared" si="111"/>
        <v>0.99999999999999989</v>
      </c>
      <c r="S153" s="437">
        <f t="shared" si="111"/>
        <v>0.99999999999999989</v>
      </c>
      <c r="T153" s="437">
        <f t="shared" si="111"/>
        <v>0.99999999999999989</v>
      </c>
      <c r="U153" s="437">
        <f t="shared" si="111"/>
        <v>0.99999999999999989</v>
      </c>
      <c r="V153" s="437">
        <f t="shared" si="111"/>
        <v>0.99999999999999989</v>
      </c>
      <c r="W153" s="437">
        <f t="shared" si="111"/>
        <v>0.99999999999999989</v>
      </c>
      <c r="X153" s="437">
        <f t="shared" si="111"/>
        <v>0.99999999999999989</v>
      </c>
      <c r="Y153" s="437">
        <f t="shared" si="111"/>
        <v>0.99999999999999989</v>
      </c>
      <c r="Z153" s="437">
        <f t="shared" si="111"/>
        <v>0.99999999999999989</v>
      </c>
      <c r="AA153" s="437">
        <f t="shared" si="111"/>
        <v>0.99999999999999989</v>
      </c>
      <c r="AB153" s="437">
        <f t="shared" si="111"/>
        <v>0.99999999999999989</v>
      </c>
      <c r="AC153" s="437">
        <f t="shared" si="111"/>
        <v>0.99999999999999989</v>
      </c>
      <c r="AD153" s="437">
        <f t="shared" si="111"/>
        <v>0.99999999999999989</v>
      </c>
      <c r="AE153" s="437">
        <f t="shared" si="111"/>
        <v>0.99999999999999989</v>
      </c>
      <c r="AF153" s="437">
        <f t="shared" si="111"/>
        <v>0.99999999999999989</v>
      </c>
      <c r="AG153" s="437">
        <f>'Overall recycling rates'!F97</f>
        <v>1</v>
      </c>
      <c r="AI153" s="124"/>
      <c r="AJ153" s="185"/>
      <c r="AL153" s="100"/>
      <c r="AM153" s="181"/>
      <c r="AN153" s="181"/>
      <c r="AO153" s="181"/>
      <c r="BC153" s="1"/>
      <c r="BD153" s="181"/>
      <c r="BE153" s="181"/>
      <c r="BF153" s="181"/>
      <c r="BG153" s="181"/>
      <c r="BH153" s="181"/>
      <c r="BI153" s="181"/>
      <c r="BJ153" s="181"/>
      <c r="BK153" s="181"/>
    </row>
    <row r="154" spans="1:63" outlineLevel="1">
      <c r="A154" t="s">
        <v>1353</v>
      </c>
      <c r="B154" s="50" t="s">
        <v>126</v>
      </c>
      <c r="C154" s="102">
        <f>C151*C153</f>
        <v>0</v>
      </c>
      <c r="D154" s="102">
        <f t="shared" ref="D154:AG154" si="112">D151*D153</f>
        <v>0</v>
      </c>
      <c r="E154" s="102">
        <f t="shared" si="112"/>
        <v>0</v>
      </c>
      <c r="F154" s="102">
        <f t="shared" si="112"/>
        <v>0</v>
      </c>
      <c r="G154" s="102">
        <f t="shared" si="112"/>
        <v>0</v>
      </c>
      <c r="H154" s="102">
        <f t="shared" si="112"/>
        <v>0</v>
      </c>
      <c r="I154" s="102">
        <f t="shared" si="112"/>
        <v>0</v>
      </c>
      <c r="J154" s="102">
        <f t="shared" si="112"/>
        <v>0</v>
      </c>
      <c r="K154" s="102">
        <f t="shared" si="112"/>
        <v>0</v>
      </c>
      <c r="L154" s="102">
        <f t="shared" si="112"/>
        <v>0</v>
      </c>
      <c r="M154" s="102">
        <f t="shared" si="112"/>
        <v>0</v>
      </c>
      <c r="N154" s="102">
        <f t="shared" si="112"/>
        <v>0</v>
      </c>
      <c r="O154" s="102">
        <f t="shared" si="112"/>
        <v>0</v>
      </c>
      <c r="P154" s="102">
        <f t="shared" si="112"/>
        <v>0</v>
      </c>
      <c r="Q154" s="102">
        <f t="shared" si="112"/>
        <v>0</v>
      </c>
      <c r="R154" s="102">
        <f t="shared" si="112"/>
        <v>0</v>
      </c>
      <c r="S154" s="102">
        <f t="shared" si="112"/>
        <v>0</v>
      </c>
      <c r="T154" s="102">
        <f t="shared" si="112"/>
        <v>0</v>
      </c>
      <c r="U154" s="102">
        <f t="shared" si="112"/>
        <v>0</v>
      </c>
      <c r="V154" s="102">
        <f t="shared" si="112"/>
        <v>0</v>
      </c>
      <c r="W154" s="102">
        <f t="shared" si="112"/>
        <v>0</v>
      </c>
      <c r="X154" s="102">
        <f t="shared" si="112"/>
        <v>0</v>
      </c>
      <c r="Y154" s="102">
        <f t="shared" si="112"/>
        <v>0</v>
      </c>
      <c r="Z154" s="102">
        <f t="shared" si="112"/>
        <v>0</v>
      </c>
      <c r="AA154" s="102">
        <f t="shared" si="112"/>
        <v>0</v>
      </c>
      <c r="AB154" s="102">
        <f t="shared" si="112"/>
        <v>0</v>
      </c>
      <c r="AC154" s="102">
        <f t="shared" si="112"/>
        <v>0</v>
      </c>
      <c r="AD154" s="102">
        <f t="shared" si="112"/>
        <v>0</v>
      </c>
      <c r="AE154" s="102">
        <f t="shared" si="112"/>
        <v>0</v>
      </c>
      <c r="AF154" s="102">
        <f t="shared" si="112"/>
        <v>0</v>
      </c>
      <c r="AG154" s="102">
        <f t="shared" si="112"/>
        <v>0</v>
      </c>
      <c r="AJ154" s="185"/>
    </row>
    <row r="155" spans="1:63" outlineLevel="1"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J155" s="185"/>
    </row>
    <row r="156" spans="1:63" s="1" customFormat="1" outlineLevel="1">
      <c r="A156" s="1" t="s">
        <v>265</v>
      </c>
      <c r="B156" s="60"/>
      <c r="C156" s="250">
        <f t="shared" ref="C156:AG156" si="113">C154*C43</f>
        <v>0</v>
      </c>
      <c r="D156" s="250">
        <f t="shared" si="113"/>
        <v>0</v>
      </c>
      <c r="E156" s="250">
        <f t="shared" si="113"/>
        <v>0</v>
      </c>
      <c r="F156" s="250">
        <f t="shared" si="113"/>
        <v>0</v>
      </c>
      <c r="G156" s="250">
        <f t="shared" si="113"/>
        <v>0</v>
      </c>
      <c r="H156" s="250">
        <f t="shared" si="113"/>
        <v>0</v>
      </c>
      <c r="I156" s="250">
        <f t="shared" si="113"/>
        <v>0</v>
      </c>
      <c r="J156" s="250">
        <f t="shared" si="113"/>
        <v>0</v>
      </c>
      <c r="K156" s="250">
        <f t="shared" si="113"/>
        <v>0</v>
      </c>
      <c r="L156" s="250">
        <f t="shared" si="113"/>
        <v>0</v>
      </c>
      <c r="M156" s="250">
        <f t="shared" si="113"/>
        <v>0</v>
      </c>
      <c r="N156" s="250">
        <f t="shared" si="113"/>
        <v>0</v>
      </c>
      <c r="O156" s="250">
        <f t="shared" si="113"/>
        <v>0</v>
      </c>
      <c r="P156" s="250">
        <f t="shared" si="113"/>
        <v>0</v>
      </c>
      <c r="Q156" s="250">
        <f t="shared" si="113"/>
        <v>0</v>
      </c>
      <c r="R156" s="250">
        <f t="shared" si="113"/>
        <v>0</v>
      </c>
      <c r="S156" s="250">
        <f t="shared" si="113"/>
        <v>0</v>
      </c>
      <c r="T156" s="250">
        <f t="shared" si="113"/>
        <v>0</v>
      </c>
      <c r="U156" s="250">
        <f t="shared" si="113"/>
        <v>0</v>
      </c>
      <c r="V156" s="250">
        <f t="shared" si="113"/>
        <v>0</v>
      </c>
      <c r="W156" s="250">
        <f t="shared" si="113"/>
        <v>0</v>
      </c>
      <c r="X156" s="250">
        <f t="shared" si="113"/>
        <v>0</v>
      </c>
      <c r="Y156" s="250">
        <f t="shared" si="113"/>
        <v>0</v>
      </c>
      <c r="Z156" s="250">
        <f t="shared" si="113"/>
        <v>0</v>
      </c>
      <c r="AA156" s="250">
        <f t="shared" si="113"/>
        <v>0</v>
      </c>
      <c r="AB156" s="250">
        <f t="shared" si="113"/>
        <v>0</v>
      </c>
      <c r="AC156" s="250">
        <f t="shared" si="113"/>
        <v>0</v>
      </c>
      <c r="AD156" s="250">
        <f t="shared" si="113"/>
        <v>0</v>
      </c>
      <c r="AE156" s="250">
        <f t="shared" si="113"/>
        <v>0</v>
      </c>
      <c r="AF156" s="250">
        <f t="shared" si="113"/>
        <v>0</v>
      </c>
      <c r="AG156" s="250">
        <f t="shared" si="113"/>
        <v>0</v>
      </c>
      <c r="AH156" s="217"/>
      <c r="AI156" s="368"/>
      <c r="AJ156" s="369"/>
      <c r="AL156" s="194"/>
      <c r="AM156" s="116"/>
      <c r="AN156" s="116"/>
      <c r="AO156" s="116"/>
      <c r="BD156" s="116"/>
      <c r="BE156" s="116"/>
      <c r="BF156" s="116"/>
      <c r="BG156" s="116"/>
      <c r="BH156" s="116"/>
      <c r="BI156" s="116"/>
      <c r="BJ156" s="116"/>
      <c r="BK156" s="116"/>
    </row>
    <row r="157" spans="1:63" s="1" customFormat="1" outlineLevel="1">
      <c r="A157" s="1" t="s">
        <v>1041</v>
      </c>
      <c r="B157" s="60"/>
      <c r="C157" s="250">
        <f t="shared" ref="C157:AG157" si="114">C156-$C156</f>
        <v>0</v>
      </c>
      <c r="D157" s="250">
        <f t="shared" si="114"/>
        <v>0</v>
      </c>
      <c r="E157" s="250">
        <f t="shared" si="114"/>
        <v>0</v>
      </c>
      <c r="F157" s="250">
        <f t="shared" si="114"/>
        <v>0</v>
      </c>
      <c r="G157" s="250">
        <f t="shared" si="114"/>
        <v>0</v>
      </c>
      <c r="H157" s="250">
        <f t="shared" si="114"/>
        <v>0</v>
      </c>
      <c r="I157" s="250">
        <f t="shared" si="114"/>
        <v>0</v>
      </c>
      <c r="J157" s="250">
        <f t="shared" si="114"/>
        <v>0</v>
      </c>
      <c r="K157" s="250">
        <f t="shared" si="114"/>
        <v>0</v>
      </c>
      <c r="L157" s="250">
        <f t="shared" si="114"/>
        <v>0</v>
      </c>
      <c r="M157" s="250">
        <f t="shared" si="114"/>
        <v>0</v>
      </c>
      <c r="N157" s="250">
        <f t="shared" si="114"/>
        <v>0</v>
      </c>
      <c r="O157" s="250">
        <f t="shared" si="114"/>
        <v>0</v>
      </c>
      <c r="P157" s="250">
        <f t="shared" si="114"/>
        <v>0</v>
      </c>
      <c r="Q157" s="250">
        <f t="shared" si="114"/>
        <v>0</v>
      </c>
      <c r="R157" s="250">
        <f t="shared" si="114"/>
        <v>0</v>
      </c>
      <c r="S157" s="250">
        <f t="shared" si="114"/>
        <v>0</v>
      </c>
      <c r="T157" s="250">
        <f t="shared" si="114"/>
        <v>0</v>
      </c>
      <c r="U157" s="250">
        <f t="shared" si="114"/>
        <v>0</v>
      </c>
      <c r="V157" s="250">
        <f t="shared" si="114"/>
        <v>0</v>
      </c>
      <c r="W157" s="250">
        <f t="shared" si="114"/>
        <v>0</v>
      </c>
      <c r="X157" s="250">
        <f t="shared" si="114"/>
        <v>0</v>
      </c>
      <c r="Y157" s="250">
        <f t="shared" si="114"/>
        <v>0</v>
      </c>
      <c r="Z157" s="250">
        <f t="shared" si="114"/>
        <v>0</v>
      </c>
      <c r="AA157" s="250">
        <f t="shared" si="114"/>
        <v>0</v>
      </c>
      <c r="AB157" s="250">
        <f t="shared" si="114"/>
        <v>0</v>
      </c>
      <c r="AC157" s="250">
        <f t="shared" si="114"/>
        <v>0</v>
      </c>
      <c r="AD157" s="250">
        <f t="shared" si="114"/>
        <v>0</v>
      </c>
      <c r="AE157" s="250">
        <f t="shared" si="114"/>
        <v>0</v>
      </c>
      <c r="AF157" s="250">
        <f t="shared" si="114"/>
        <v>0</v>
      </c>
      <c r="AG157" s="250">
        <f t="shared" si="114"/>
        <v>0</v>
      </c>
      <c r="AH157" s="217"/>
      <c r="AI157" s="368"/>
      <c r="AJ157" s="369"/>
      <c r="AL157" s="194"/>
      <c r="AM157" s="116"/>
      <c r="AN157" s="116"/>
      <c r="AO157" s="116"/>
      <c r="BD157" s="116"/>
      <c r="BE157" s="116"/>
      <c r="BF157" s="116"/>
      <c r="BG157" s="116"/>
      <c r="BH157" s="116"/>
      <c r="BI157" s="116"/>
      <c r="BJ157" s="116"/>
      <c r="BK157" s="116"/>
    </row>
    <row r="158" spans="1:63" outlineLevel="2">
      <c r="C158" s="105"/>
      <c r="D158" s="102"/>
      <c r="E158" s="102"/>
      <c r="F158" s="102"/>
      <c r="G158" s="102"/>
      <c r="H158" s="102"/>
      <c r="I158" s="102"/>
      <c r="J158" s="102"/>
      <c r="K158" s="102"/>
      <c r="L158" s="102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22"/>
      <c r="Y158" s="22"/>
      <c r="Z158" s="22"/>
      <c r="AA158" s="22"/>
      <c r="AB158" s="22"/>
      <c r="AC158" s="22"/>
      <c r="AD158" s="22"/>
      <c r="AE158" s="22"/>
      <c r="AF158" s="22"/>
      <c r="AG158" s="98"/>
      <c r="AJ158" s="185"/>
    </row>
    <row r="159" spans="1:63" s="174" customFormat="1" ht="15.5" thickBot="1">
      <c r="A159" s="200" t="s">
        <v>1354</v>
      </c>
      <c r="B159" s="201"/>
      <c r="C159" s="202">
        <f t="shared" ref="C159:AG159" si="115">(C39*C63+C40*C99+C42*C130+C41*C145+C43*C154)/C44</f>
        <v>4.3794164383203389E-2</v>
      </c>
      <c r="D159" s="202">
        <f t="shared" si="115"/>
        <v>4.6981366857642384E-2</v>
      </c>
      <c r="E159" s="202">
        <f t="shared" si="115"/>
        <v>5.0175235342405616E-2</v>
      </c>
      <c r="F159" s="202">
        <f t="shared" si="115"/>
        <v>5.3375790772252234E-2</v>
      </c>
      <c r="G159" s="202">
        <f t="shared" si="115"/>
        <v>5.6583054169694676E-2</v>
      </c>
      <c r="H159" s="202">
        <f t="shared" si="115"/>
        <v>5.9797046645459019E-2</v>
      </c>
      <c r="I159" s="202">
        <f t="shared" si="115"/>
        <v>6.3151523719614008E-2</v>
      </c>
      <c r="J159" s="202">
        <f t="shared" si="115"/>
        <v>6.6527366431725424E-2</v>
      </c>
      <c r="K159" s="202">
        <f t="shared" si="115"/>
        <v>6.9924779559861414E-2</v>
      </c>
      <c r="L159" s="202">
        <f t="shared" si="115"/>
        <v>7.334397050739333E-2</v>
      </c>
      <c r="M159" s="202">
        <f t="shared" si="115"/>
        <v>7.6785149345202322E-2</v>
      </c>
      <c r="N159" s="202">
        <f t="shared" si="115"/>
        <v>8.0287252913966892E-2</v>
      </c>
      <c r="O159" s="202">
        <f t="shared" si="115"/>
        <v>8.3792590297093558E-2</v>
      </c>
      <c r="P159" s="202">
        <f t="shared" si="115"/>
        <v>8.7180087558063959E-2</v>
      </c>
      <c r="Q159" s="202">
        <f t="shared" si="115"/>
        <v>9.0581740544885395E-2</v>
      </c>
      <c r="R159" s="202">
        <f t="shared" si="115"/>
        <v>9.3997738375753717E-2</v>
      </c>
      <c r="S159" s="202">
        <f t="shared" si="115"/>
        <v>9.7428273296513213E-2</v>
      </c>
      <c r="T159" s="202">
        <f t="shared" si="115"/>
        <v>0.10087354150479173</v>
      </c>
      <c r="U159" s="202">
        <f t="shared" si="115"/>
        <v>0.10433374250007851</v>
      </c>
      <c r="V159" s="202">
        <f t="shared" si="115"/>
        <v>0.10780907940001891</v>
      </c>
      <c r="W159" s="202">
        <f t="shared" si="115"/>
        <v>0.11129975902281235</v>
      </c>
      <c r="X159" s="202">
        <f t="shared" si="115"/>
        <v>0.11475872649128226</v>
      </c>
      <c r="Y159" s="202">
        <f t="shared" si="115"/>
        <v>0.11822770351837517</v>
      </c>
      <c r="Z159" s="202">
        <f t="shared" si="115"/>
        <v>0.12125596240480387</v>
      </c>
      <c r="AA159" s="202">
        <f t="shared" si="115"/>
        <v>0.12426893823965528</v>
      </c>
      <c r="AB159" s="202">
        <f t="shared" si="115"/>
        <v>0.12726636731326471</v>
      </c>
      <c r="AC159" s="202">
        <f t="shared" si="115"/>
        <v>0.13025711699178127</v>
      </c>
      <c r="AD159" s="202">
        <f t="shared" si="115"/>
        <v>0.13323230016754489</v>
      </c>
      <c r="AE159" s="202">
        <f t="shared" si="115"/>
        <v>0.13619164015074323</v>
      </c>
      <c r="AF159" s="202">
        <f t="shared" si="115"/>
        <v>0.1391348536550448</v>
      </c>
      <c r="AG159" s="202">
        <f t="shared" si="115"/>
        <v>0.14206165059983683</v>
      </c>
      <c r="AJ159" s="421"/>
      <c r="AL159" s="191"/>
      <c r="AM159" s="198"/>
      <c r="AN159" s="198"/>
      <c r="AO159" s="198"/>
    </row>
    <row r="160" spans="1:63" s="174" customFormat="1" ht="16.25" thickTop="1" thickBot="1">
      <c r="A160" s="200"/>
      <c r="B160" s="201"/>
      <c r="C160" s="202"/>
      <c r="D160" s="202"/>
      <c r="E160" s="202"/>
      <c r="F160" s="202"/>
      <c r="G160" s="202"/>
      <c r="H160" s="202"/>
      <c r="I160" s="202"/>
      <c r="J160" s="202"/>
      <c r="K160" s="202"/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J160" s="199"/>
      <c r="AL160" s="191"/>
      <c r="AM160" s="198"/>
      <c r="AN160" s="198"/>
      <c r="AO160" s="198"/>
    </row>
    <row r="161" spans="1:36" ht="15.5" thickTop="1">
      <c r="B161" s="121"/>
      <c r="C161" s="105"/>
      <c r="D161" s="22"/>
      <c r="E161" s="22"/>
      <c r="F161" s="22"/>
      <c r="G161" s="22"/>
      <c r="H161" s="22"/>
      <c r="I161" s="22"/>
      <c r="J161" s="22"/>
      <c r="K161" s="22"/>
      <c r="L161" s="22"/>
      <c r="M161" s="118"/>
      <c r="N161" s="102"/>
      <c r="O161" s="102"/>
      <c r="P161" s="102"/>
      <c r="Q161" s="102"/>
      <c r="R161" s="102"/>
      <c r="S161" s="102"/>
      <c r="T161" s="102"/>
      <c r="U161" s="102"/>
      <c r="V161" s="102"/>
      <c r="W161" s="118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5"/>
    </row>
    <row r="162" spans="1:36">
      <c r="A162" t="s">
        <v>1355</v>
      </c>
      <c r="B162" s="121"/>
      <c r="C162" s="203">
        <f t="shared" ref="C162:AG162" si="116">C156+C147+C138+C136+C134+C110+C108+C106+C104+C77+C75+C73+C71+C69</f>
        <v>20559.229018319769</v>
      </c>
      <c r="D162" s="203">
        <f t="shared" si="116"/>
        <v>21983.810918211748</v>
      </c>
      <c r="E162" s="203">
        <f t="shared" si="116"/>
        <v>23402.002882792032</v>
      </c>
      <c r="F162" s="203">
        <f t="shared" si="116"/>
        <v>24813.826182042863</v>
      </c>
      <c r="G162" s="203">
        <f t="shared" si="116"/>
        <v>26219.302023176911</v>
      </c>
      <c r="H162" s="203">
        <f t="shared" si="116"/>
        <v>27618.451550810838</v>
      </c>
      <c r="I162" s="203">
        <f t="shared" si="116"/>
        <v>29011.295847138237</v>
      </c>
      <c r="J162" s="203">
        <f t="shared" si="116"/>
        <v>30397.855932102284</v>
      </c>
      <c r="K162" s="203">
        <f t="shared" si="116"/>
        <v>31778.15276356773</v>
      </c>
      <c r="L162" s="203">
        <f t="shared" si="116"/>
        <v>33152.207237492657</v>
      </c>
      <c r="M162" s="203">
        <f t="shared" si="116"/>
        <v>34520.040188099607</v>
      </c>
      <c r="N162" s="203">
        <f t="shared" si="116"/>
        <v>35881.672388046311</v>
      </c>
      <c r="O162" s="203">
        <f t="shared" si="116"/>
        <v>37237.124548596024</v>
      </c>
      <c r="P162" s="203">
        <f t="shared" si="116"/>
        <v>38487.108312873796</v>
      </c>
      <c r="Q162" s="203">
        <f t="shared" si="116"/>
        <v>39724.426964393955</v>
      </c>
      <c r="R162" s="203">
        <f t="shared" si="116"/>
        <v>40949.145705135525</v>
      </c>
      <c r="S162" s="203">
        <f t="shared" si="116"/>
        <v>42161.329476980878</v>
      </c>
      <c r="T162" s="203">
        <f t="shared" si="116"/>
        <v>43361.042962621446</v>
      </c>
      <c r="U162" s="203">
        <f t="shared" si="116"/>
        <v>44548.350586460248</v>
      </c>
      <c r="V162" s="203">
        <f t="shared" si="116"/>
        <v>45723.31651551176</v>
      </c>
      <c r="W162" s="203">
        <f t="shared" si="116"/>
        <v>46886.004660298626</v>
      </c>
      <c r="X162" s="203">
        <f t="shared" si="116"/>
        <v>48036.478675745879</v>
      </c>
      <c r="Y162" s="203">
        <f t="shared" si="116"/>
        <v>49174.801962071884</v>
      </c>
      <c r="Z162" s="203">
        <f t="shared" si="116"/>
        <v>50038.48484351064</v>
      </c>
      <c r="AA162" s="203">
        <f t="shared" si="116"/>
        <v>50877.677161109088</v>
      </c>
      <c r="AB162" s="203">
        <f t="shared" si="116"/>
        <v>51692.527952900782</v>
      </c>
      <c r="AC162" s="203">
        <f t="shared" si="116"/>
        <v>52483.185618645541</v>
      </c>
      <c r="AD162" s="203">
        <f t="shared" si="116"/>
        <v>53249.797922141144</v>
      </c>
      <c r="AE162" s="203">
        <f t="shared" si="116"/>
        <v>53992.511993527398</v>
      </c>
      <c r="AF162" s="203">
        <f t="shared" si="116"/>
        <v>54711.474331582533</v>
      </c>
      <c r="AG162" s="203">
        <f t="shared" si="116"/>
        <v>55406.830806012207</v>
      </c>
      <c r="AH162" s="217"/>
      <c r="AI162" s="22">
        <f>(AG162/C162)^(1/30)-1</f>
        <v>3.359852966160215E-2</v>
      </c>
      <c r="AJ162" s="448">
        <f>AG162-C162</f>
        <v>34847.601787692438</v>
      </c>
    </row>
    <row r="163" spans="1:36">
      <c r="A163" t="s">
        <v>1356</v>
      </c>
      <c r="B163" s="121"/>
      <c r="C163" s="203">
        <f>C162</f>
        <v>20559.229018319769</v>
      </c>
      <c r="D163" s="203">
        <f>C163*(1+$AI$163)</f>
        <v>20902.568142925709</v>
      </c>
      <c r="E163" s="203">
        <f t="shared" ref="E163:AG163" si="117">D163*(1+$AI$163)</f>
        <v>21251.641030912568</v>
      </c>
      <c r="F163" s="203">
        <f t="shared" si="117"/>
        <v>21606.543436128806</v>
      </c>
      <c r="G163" s="203">
        <f t="shared" si="117"/>
        <v>21967.372711512155</v>
      </c>
      <c r="H163" s="203">
        <f t="shared" si="117"/>
        <v>22334.227835794405</v>
      </c>
      <c r="I163" s="203">
        <f t="shared" si="117"/>
        <v>22707.209440652172</v>
      </c>
      <c r="J163" s="203">
        <f t="shared" si="117"/>
        <v>23086.419838311063</v>
      </c>
      <c r="K163" s="203">
        <f t="shared" si="117"/>
        <v>23471.963049610858</v>
      </c>
      <c r="L163" s="203">
        <f t="shared" si="117"/>
        <v>23863.944832539357</v>
      </c>
      <c r="M163" s="203">
        <f>L163*(1+$AI$163)</f>
        <v>24262.472711242761</v>
      </c>
      <c r="N163" s="203">
        <f t="shared" si="117"/>
        <v>24667.656005520512</v>
      </c>
      <c r="O163" s="203">
        <f t="shared" si="117"/>
        <v>25079.605860812702</v>
      </c>
      <c r="P163" s="203">
        <f t="shared" si="117"/>
        <v>25498.435278688274</v>
      </c>
      <c r="Q163" s="203">
        <f t="shared" si="117"/>
        <v>25924.259147842367</v>
      </c>
      <c r="R163" s="203">
        <f t="shared" si="117"/>
        <v>26357.194275611335</v>
      </c>
      <c r="S163" s="203">
        <f t="shared" si="117"/>
        <v>26797.359420014043</v>
      </c>
      <c r="T163" s="203">
        <f t="shared" si="117"/>
        <v>27244.875322328277</v>
      </c>
      <c r="U163" s="203">
        <f t="shared" si="117"/>
        <v>27699.864740211156</v>
      </c>
      <c r="V163" s="203">
        <f t="shared" si="117"/>
        <v>28162.452481372682</v>
      </c>
      <c r="W163" s="203">
        <f t="shared" si="117"/>
        <v>28632.765437811606</v>
      </c>
      <c r="X163" s="203">
        <f t="shared" si="117"/>
        <v>29110.932620623058</v>
      </c>
      <c r="Y163" s="203">
        <f t="shared" si="117"/>
        <v>29597.085195387463</v>
      </c>
      <c r="Z163" s="203">
        <f t="shared" si="117"/>
        <v>30091.356518150431</v>
      </c>
      <c r="AA163" s="203">
        <f t="shared" si="117"/>
        <v>30593.882172003541</v>
      </c>
      <c r="AB163" s="203">
        <f t="shared" si="117"/>
        <v>31104.800004276</v>
      </c>
      <c r="AC163" s="203">
        <f t="shared" si="117"/>
        <v>31624.250164347406</v>
      </c>
      <c r="AD163" s="203">
        <f t="shared" si="117"/>
        <v>32152.375142092005</v>
      </c>
      <c r="AE163" s="203">
        <f t="shared" si="117"/>
        <v>32689.319806964941</v>
      </c>
      <c r="AF163" s="203">
        <f t="shared" si="117"/>
        <v>33235.231447741251</v>
      </c>
      <c r="AG163" s="203">
        <f t="shared" si="117"/>
        <v>33790.259812918528</v>
      </c>
      <c r="AI163" s="188">
        <v>1.67E-2</v>
      </c>
      <c r="AJ163" s="3" t="s">
        <v>599</v>
      </c>
    </row>
    <row r="164" spans="1:36">
      <c r="B164" s="47"/>
    </row>
    <row r="165" spans="1:36" s="54" customFormat="1">
      <c r="A165" s="54" t="s">
        <v>626</v>
      </c>
      <c r="B165" s="253"/>
      <c r="C165" s="254"/>
      <c r="D165" s="254"/>
      <c r="E165" s="254"/>
      <c r="F165" s="254"/>
      <c r="G165" s="254"/>
      <c r="H165" s="254"/>
      <c r="I165" s="254"/>
      <c r="J165" s="254"/>
      <c r="K165" s="254"/>
      <c r="L165" s="254"/>
      <c r="M165" s="254"/>
      <c r="N165" s="254"/>
      <c r="O165" s="254"/>
      <c r="P165" s="254"/>
      <c r="Q165" s="254"/>
      <c r="R165" s="254"/>
      <c r="S165" s="254"/>
      <c r="T165" s="254"/>
      <c r="U165" s="254"/>
      <c r="V165" s="254"/>
      <c r="W165" s="254"/>
      <c r="X165" s="254"/>
      <c r="Y165" s="254"/>
      <c r="Z165" s="254"/>
      <c r="AA165" s="254"/>
      <c r="AB165" s="254"/>
      <c r="AC165" s="254"/>
      <c r="AD165" s="254"/>
      <c r="AE165" s="254"/>
      <c r="AF165" s="254"/>
      <c r="AG165" s="254"/>
      <c r="AI165" s="255"/>
      <c r="AJ165" s="256"/>
    </row>
    <row r="166" spans="1:36" s="166" customFormat="1" outlineLevel="1">
      <c r="A166" s="293" t="s">
        <v>630</v>
      </c>
      <c r="B166" s="268" t="s">
        <v>126</v>
      </c>
      <c r="C166" s="561">
        <v>0.98</v>
      </c>
      <c r="D166" s="269">
        <f>-($C166-$AG166)/30+C166</f>
        <v>0.98033333333333328</v>
      </c>
      <c r="E166" s="269">
        <f t="shared" ref="E166:AF172" si="118">-($C166-$AG166)/30+D166</f>
        <v>0.98066666666666658</v>
      </c>
      <c r="F166" s="269">
        <f t="shared" si="118"/>
        <v>0.98099999999999987</v>
      </c>
      <c r="G166" s="269">
        <f t="shared" si="118"/>
        <v>0.98133333333333317</v>
      </c>
      <c r="H166" s="269">
        <f t="shared" si="118"/>
        <v>0.98166666666666647</v>
      </c>
      <c r="I166" s="269">
        <f t="shared" si="118"/>
        <v>0.98199999999999976</v>
      </c>
      <c r="J166" s="269">
        <f t="shared" si="118"/>
        <v>0.98233333333333306</v>
      </c>
      <c r="K166" s="269">
        <f t="shared" si="118"/>
        <v>0.98266666666666636</v>
      </c>
      <c r="L166" s="269">
        <f t="shared" si="118"/>
        <v>0.98299999999999965</v>
      </c>
      <c r="M166" s="269">
        <f t="shared" si="118"/>
        <v>0.98333333333333295</v>
      </c>
      <c r="N166" s="269">
        <f t="shared" si="118"/>
        <v>0.98366666666666625</v>
      </c>
      <c r="O166" s="269">
        <f t="shared" si="118"/>
        <v>0.98399999999999954</v>
      </c>
      <c r="P166" s="269">
        <f t="shared" si="118"/>
        <v>0.98433333333333284</v>
      </c>
      <c r="Q166" s="269">
        <f t="shared" si="118"/>
        <v>0.98466666666666613</v>
      </c>
      <c r="R166" s="269">
        <f t="shared" si="118"/>
        <v>0.98499999999999943</v>
      </c>
      <c r="S166" s="269">
        <f t="shared" si="118"/>
        <v>0.98533333333333273</v>
      </c>
      <c r="T166" s="269">
        <f t="shared" si="118"/>
        <v>0.98566666666666602</v>
      </c>
      <c r="U166" s="269">
        <f t="shared" si="118"/>
        <v>0.98599999999999932</v>
      </c>
      <c r="V166" s="269">
        <f t="shared" si="118"/>
        <v>0.98633333333333262</v>
      </c>
      <c r="W166" s="269">
        <f t="shared" si="118"/>
        <v>0.98666666666666591</v>
      </c>
      <c r="X166" s="269">
        <f t="shared" si="118"/>
        <v>0.98699999999999921</v>
      </c>
      <c r="Y166" s="269">
        <f t="shared" si="118"/>
        <v>0.98733333333333251</v>
      </c>
      <c r="Z166" s="269">
        <f t="shared" si="118"/>
        <v>0.9876666666666658</v>
      </c>
      <c r="AA166" s="269">
        <f t="shared" si="118"/>
        <v>0.9879999999999991</v>
      </c>
      <c r="AB166" s="269">
        <f t="shared" si="118"/>
        <v>0.9883333333333324</v>
      </c>
      <c r="AC166" s="269">
        <f t="shared" si="118"/>
        <v>0.98866666666666569</v>
      </c>
      <c r="AD166" s="269">
        <f t="shared" si="118"/>
        <v>0.98899999999999899</v>
      </c>
      <c r="AE166" s="269">
        <f t="shared" si="118"/>
        <v>0.98933333333333229</v>
      </c>
      <c r="AF166" s="269">
        <f t="shared" si="118"/>
        <v>0.98966666666666558</v>
      </c>
      <c r="AG166" s="561">
        <v>0.99</v>
      </c>
      <c r="AI166" s="270"/>
      <c r="AJ166" s="271" t="s">
        <v>1469</v>
      </c>
    </row>
    <row r="167" spans="1:36" outlineLevel="1">
      <c r="A167" s="3" t="s">
        <v>621</v>
      </c>
      <c r="B167" s="252" t="s">
        <v>126</v>
      </c>
      <c r="C167" s="794">
        <f>1-SUM(C168:C172)</f>
        <v>0.97</v>
      </c>
      <c r="D167" s="287">
        <f t="shared" ref="D167:S168" si="119">-($C167-$AG167)/30+C167</f>
        <v>0.97033333333333327</v>
      </c>
      <c r="E167" s="287">
        <f t="shared" si="119"/>
        <v>0.97066666666666657</v>
      </c>
      <c r="F167" s="287">
        <f t="shared" si="119"/>
        <v>0.97099999999999986</v>
      </c>
      <c r="G167" s="287">
        <f t="shared" si="119"/>
        <v>0.97133333333333316</v>
      </c>
      <c r="H167" s="287">
        <f t="shared" si="119"/>
        <v>0.97166666666666646</v>
      </c>
      <c r="I167" s="287">
        <f t="shared" si="119"/>
        <v>0.97199999999999975</v>
      </c>
      <c r="J167" s="287">
        <f t="shared" si="119"/>
        <v>0.97233333333333305</v>
      </c>
      <c r="K167" s="287">
        <f t="shared" si="119"/>
        <v>0.97266666666666635</v>
      </c>
      <c r="L167" s="287">
        <f t="shared" si="119"/>
        <v>0.97299999999999964</v>
      </c>
      <c r="M167" s="287">
        <f t="shared" si="119"/>
        <v>0.97333333333333294</v>
      </c>
      <c r="N167" s="287">
        <f t="shared" si="119"/>
        <v>0.97366666666666624</v>
      </c>
      <c r="O167" s="287">
        <f t="shared" si="119"/>
        <v>0.97399999999999953</v>
      </c>
      <c r="P167" s="287">
        <f t="shared" si="119"/>
        <v>0.97433333333333283</v>
      </c>
      <c r="Q167" s="287">
        <f t="shared" si="119"/>
        <v>0.97466666666666613</v>
      </c>
      <c r="R167" s="287">
        <f t="shared" si="119"/>
        <v>0.97499999999999942</v>
      </c>
      <c r="S167" s="287">
        <f t="shared" si="119"/>
        <v>0.97533333333333272</v>
      </c>
      <c r="T167" s="287">
        <f t="shared" si="118"/>
        <v>0.97566666666666602</v>
      </c>
      <c r="U167" s="287">
        <f t="shared" si="118"/>
        <v>0.97599999999999931</v>
      </c>
      <c r="V167" s="287">
        <f t="shared" si="118"/>
        <v>0.97633333333333261</v>
      </c>
      <c r="W167" s="287">
        <f t="shared" si="118"/>
        <v>0.97666666666666591</v>
      </c>
      <c r="X167" s="287">
        <f t="shared" si="118"/>
        <v>0.9769999999999992</v>
      </c>
      <c r="Y167" s="287">
        <f t="shared" si="118"/>
        <v>0.9773333333333325</v>
      </c>
      <c r="Z167" s="287">
        <f t="shared" si="118"/>
        <v>0.9776666666666658</v>
      </c>
      <c r="AA167" s="287">
        <f t="shared" si="118"/>
        <v>0.97799999999999909</v>
      </c>
      <c r="AB167" s="287">
        <f t="shared" si="118"/>
        <v>0.97833333333333239</v>
      </c>
      <c r="AC167" s="287">
        <f t="shared" si="118"/>
        <v>0.97866666666666569</v>
      </c>
      <c r="AD167" s="287">
        <f t="shared" si="118"/>
        <v>0.97899999999999898</v>
      </c>
      <c r="AE167" s="287">
        <f t="shared" si="118"/>
        <v>0.97933333333333228</v>
      </c>
      <c r="AF167" s="287">
        <f t="shared" si="118"/>
        <v>0.97966666666666558</v>
      </c>
      <c r="AG167" s="794">
        <f>1-SUM(AG168:AG172)</f>
        <v>0.98</v>
      </c>
      <c r="AI167" s="188"/>
      <c r="AJ167" s="271"/>
    </row>
    <row r="168" spans="1:36" outlineLevel="1">
      <c r="A168" s="3" t="s">
        <v>620</v>
      </c>
      <c r="B168" s="252" t="s">
        <v>126</v>
      </c>
      <c r="C168" s="562">
        <v>0.01</v>
      </c>
      <c r="D168" s="267">
        <f t="shared" si="119"/>
        <v>0.01</v>
      </c>
      <c r="E168" s="267">
        <f t="shared" si="119"/>
        <v>0.01</v>
      </c>
      <c r="F168" s="267">
        <f t="shared" si="119"/>
        <v>0.01</v>
      </c>
      <c r="G168" s="267">
        <f t="shared" si="119"/>
        <v>0.01</v>
      </c>
      <c r="H168" s="267">
        <f t="shared" si="119"/>
        <v>0.01</v>
      </c>
      <c r="I168" s="267">
        <f t="shared" si="119"/>
        <v>0.01</v>
      </c>
      <c r="J168" s="267">
        <f t="shared" si="119"/>
        <v>0.01</v>
      </c>
      <c r="K168" s="267">
        <f t="shared" si="119"/>
        <v>0.01</v>
      </c>
      <c r="L168" s="267">
        <f t="shared" si="119"/>
        <v>0.01</v>
      </c>
      <c r="M168" s="267">
        <f t="shared" si="119"/>
        <v>0.01</v>
      </c>
      <c r="N168" s="267">
        <f t="shared" si="119"/>
        <v>0.01</v>
      </c>
      <c r="O168" s="267">
        <f t="shared" si="119"/>
        <v>0.01</v>
      </c>
      <c r="P168" s="267">
        <f t="shared" si="119"/>
        <v>0.01</v>
      </c>
      <c r="Q168" s="267">
        <f t="shared" si="119"/>
        <v>0.01</v>
      </c>
      <c r="R168" s="267">
        <f t="shared" si="119"/>
        <v>0.01</v>
      </c>
      <c r="S168" s="267">
        <f t="shared" si="119"/>
        <v>0.01</v>
      </c>
      <c r="T168" s="267">
        <f t="shared" si="118"/>
        <v>0.01</v>
      </c>
      <c r="U168" s="267">
        <f t="shared" si="118"/>
        <v>0.01</v>
      </c>
      <c r="V168" s="267">
        <f t="shared" si="118"/>
        <v>0.01</v>
      </c>
      <c r="W168" s="267">
        <f t="shared" si="118"/>
        <v>0.01</v>
      </c>
      <c r="X168" s="267">
        <f t="shared" si="118"/>
        <v>0.01</v>
      </c>
      <c r="Y168" s="267">
        <f t="shared" si="118"/>
        <v>0.01</v>
      </c>
      <c r="Z168" s="267">
        <f t="shared" si="118"/>
        <v>0.01</v>
      </c>
      <c r="AA168" s="267">
        <f t="shared" si="118"/>
        <v>0.01</v>
      </c>
      <c r="AB168" s="267">
        <f t="shared" si="118"/>
        <v>0.01</v>
      </c>
      <c r="AC168" s="267">
        <f t="shared" si="118"/>
        <v>0.01</v>
      </c>
      <c r="AD168" s="267">
        <f t="shared" si="118"/>
        <v>0.01</v>
      </c>
      <c r="AE168" s="267">
        <f t="shared" si="118"/>
        <v>0.01</v>
      </c>
      <c r="AF168" s="267">
        <f t="shared" si="118"/>
        <v>0.01</v>
      </c>
      <c r="AG168" s="562">
        <v>0.01</v>
      </c>
      <c r="AI168" s="188"/>
      <c r="AJ168" s="271" t="s">
        <v>1469</v>
      </c>
    </row>
    <row r="169" spans="1:36" outlineLevel="1">
      <c r="A169" s="3" t="s">
        <v>622</v>
      </c>
      <c r="B169" s="252" t="s">
        <v>126</v>
      </c>
      <c r="C169" s="562">
        <v>0</v>
      </c>
      <c r="D169" s="267">
        <f t="shared" ref="D169:S172" si="120">-($C169-$AG169)/30+C169</f>
        <v>0</v>
      </c>
      <c r="E169" s="267">
        <f t="shared" si="120"/>
        <v>0</v>
      </c>
      <c r="F169" s="267">
        <f t="shared" si="120"/>
        <v>0</v>
      </c>
      <c r="G169" s="267">
        <f t="shared" si="120"/>
        <v>0</v>
      </c>
      <c r="H169" s="267">
        <f t="shared" si="120"/>
        <v>0</v>
      </c>
      <c r="I169" s="267">
        <f t="shared" si="120"/>
        <v>0</v>
      </c>
      <c r="J169" s="267">
        <f t="shared" si="120"/>
        <v>0</v>
      </c>
      <c r="K169" s="267">
        <f t="shared" si="120"/>
        <v>0</v>
      </c>
      <c r="L169" s="267">
        <f t="shared" si="120"/>
        <v>0</v>
      </c>
      <c r="M169" s="267">
        <f t="shared" si="120"/>
        <v>0</v>
      </c>
      <c r="N169" s="267">
        <f t="shared" si="120"/>
        <v>0</v>
      </c>
      <c r="O169" s="267">
        <f t="shared" si="120"/>
        <v>0</v>
      </c>
      <c r="P169" s="267">
        <f t="shared" si="120"/>
        <v>0</v>
      </c>
      <c r="Q169" s="267">
        <f t="shared" si="120"/>
        <v>0</v>
      </c>
      <c r="R169" s="267">
        <f t="shared" si="120"/>
        <v>0</v>
      </c>
      <c r="S169" s="267">
        <f t="shared" si="120"/>
        <v>0</v>
      </c>
      <c r="T169" s="267">
        <f t="shared" si="118"/>
        <v>0</v>
      </c>
      <c r="U169" s="267">
        <f t="shared" si="118"/>
        <v>0</v>
      </c>
      <c r="V169" s="267">
        <f t="shared" si="118"/>
        <v>0</v>
      </c>
      <c r="W169" s="267">
        <f t="shared" si="118"/>
        <v>0</v>
      </c>
      <c r="X169" s="267">
        <f t="shared" si="118"/>
        <v>0</v>
      </c>
      <c r="Y169" s="267">
        <f t="shared" si="118"/>
        <v>0</v>
      </c>
      <c r="Z169" s="267">
        <f t="shared" si="118"/>
        <v>0</v>
      </c>
      <c r="AA169" s="267">
        <f t="shared" si="118"/>
        <v>0</v>
      </c>
      <c r="AB169" s="267">
        <f t="shared" si="118"/>
        <v>0</v>
      </c>
      <c r="AC169" s="267">
        <f t="shared" si="118"/>
        <v>0</v>
      </c>
      <c r="AD169" s="267">
        <f t="shared" si="118"/>
        <v>0</v>
      </c>
      <c r="AE169" s="267">
        <f t="shared" si="118"/>
        <v>0</v>
      </c>
      <c r="AF169" s="267">
        <f t="shared" si="118"/>
        <v>0</v>
      </c>
      <c r="AG169" s="562">
        <v>0</v>
      </c>
      <c r="AI169" s="188"/>
      <c r="AJ169" t="s">
        <v>1470</v>
      </c>
    </row>
    <row r="170" spans="1:36" outlineLevel="1">
      <c r="A170" s="3" t="s">
        <v>623</v>
      </c>
      <c r="B170" s="252" t="s">
        <v>126</v>
      </c>
      <c r="C170" s="562">
        <v>0</v>
      </c>
      <c r="D170" s="267">
        <f t="shared" si="120"/>
        <v>0</v>
      </c>
      <c r="E170" s="267">
        <f t="shared" si="120"/>
        <v>0</v>
      </c>
      <c r="F170" s="267">
        <f t="shared" si="120"/>
        <v>0</v>
      </c>
      <c r="G170" s="267">
        <f t="shared" si="120"/>
        <v>0</v>
      </c>
      <c r="H170" s="267">
        <f t="shared" si="120"/>
        <v>0</v>
      </c>
      <c r="I170" s="267">
        <f t="shared" si="120"/>
        <v>0</v>
      </c>
      <c r="J170" s="267">
        <f t="shared" si="120"/>
        <v>0</v>
      </c>
      <c r="K170" s="267">
        <f t="shared" si="120"/>
        <v>0</v>
      </c>
      <c r="L170" s="267">
        <f t="shared" si="120"/>
        <v>0</v>
      </c>
      <c r="M170" s="267">
        <f t="shared" si="120"/>
        <v>0</v>
      </c>
      <c r="N170" s="267">
        <f t="shared" si="120"/>
        <v>0</v>
      </c>
      <c r="O170" s="267">
        <f t="shared" si="120"/>
        <v>0</v>
      </c>
      <c r="P170" s="267">
        <f t="shared" si="120"/>
        <v>0</v>
      </c>
      <c r="Q170" s="267">
        <f t="shared" si="120"/>
        <v>0</v>
      </c>
      <c r="R170" s="267">
        <f t="shared" si="120"/>
        <v>0</v>
      </c>
      <c r="S170" s="267">
        <f t="shared" si="120"/>
        <v>0</v>
      </c>
      <c r="T170" s="267">
        <f t="shared" si="118"/>
        <v>0</v>
      </c>
      <c r="U170" s="267">
        <f t="shared" si="118"/>
        <v>0</v>
      </c>
      <c r="V170" s="267">
        <f t="shared" si="118"/>
        <v>0</v>
      </c>
      <c r="W170" s="267">
        <f t="shared" si="118"/>
        <v>0</v>
      </c>
      <c r="X170" s="267">
        <f t="shared" si="118"/>
        <v>0</v>
      </c>
      <c r="Y170" s="267">
        <f t="shared" si="118"/>
        <v>0</v>
      </c>
      <c r="Z170" s="267">
        <f t="shared" si="118"/>
        <v>0</v>
      </c>
      <c r="AA170" s="267">
        <f t="shared" si="118"/>
        <v>0</v>
      </c>
      <c r="AB170" s="267">
        <f t="shared" si="118"/>
        <v>0</v>
      </c>
      <c r="AC170" s="267">
        <f t="shared" si="118"/>
        <v>0</v>
      </c>
      <c r="AD170" s="267">
        <f t="shared" si="118"/>
        <v>0</v>
      </c>
      <c r="AE170" s="267">
        <f t="shared" si="118"/>
        <v>0</v>
      </c>
      <c r="AF170" s="267">
        <f t="shared" si="118"/>
        <v>0</v>
      </c>
      <c r="AG170" s="562">
        <v>0</v>
      </c>
      <c r="AI170" s="188"/>
      <c r="AJ170" t="s">
        <v>1470</v>
      </c>
    </row>
    <row r="171" spans="1:36" outlineLevel="1">
      <c r="A171" s="3" t="s">
        <v>624</v>
      </c>
      <c r="B171" s="252" t="s">
        <v>126</v>
      </c>
      <c r="C171" s="562">
        <v>1.4999999999999999E-2</v>
      </c>
      <c r="D171" s="267">
        <f t="shared" si="120"/>
        <v>1.4733333333333333E-2</v>
      </c>
      <c r="E171" s="267">
        <f t="shared" si="120"/>
        <v>1.4466666666666666E-2</v>
      </c>
      <c r="F171" s="267">
        <f t="shared" si="120"/>
        <v>1.4199999999999999E-2</v>
      </c>
      <c r="G171" s="267">
        <f t="shared" si="120"/>
        <v>1.3933333333333332E-2</v>
      </c>
      <c r="H171" s="267">
        <f t="shared" si="120"/>
        <v>1.3666666666666666E-2</v>
      </c>
      <c r="I171" s="267">
        <f t="shared" si="120"/>
        <v>1.3399999999999999E-2</v>
      </c>
      <c r="J171" s="267">
        <f t="shared" si="120"/>
        <v>1.3133333333333332E-2</v>
      </c>
      <c r="K171" s="267">
        <f t="shared" si="120"/>
        <v>1.2866666666666665E-2</v>
      </c>
      <c r="L171" s="267">
        <f t="shared" si="120"/>
        <v>1.2599999999999998E-2</v>
      </c>
      <c r="M171" s="267">
        <f t="shared" si="120"/>
        <v>1.2333333333333332E-2</v>
      </c>
      <c r="N171" s="267">
        <f t="shared" si="120"/>
        <v>1.2066666666666665E-2</v>
      </c>
      <c r="O171" s="267">
        <f t="shared" si="120"/>
        <v>1.1799999999999998E-2</v>
      </c>
      <c r="P171" s="267">
        <f t="shared" si="120"/>
        <v>1.1533333333333331E-2</v>
      </c>
      <c r="Q171" s="267">
        <f t="shared" si="120"/>
        <v>1.1266666666666664E-2</v>
      </c>
      <c r="R171" s="267">
        <f t="shared" si="120"/>
        <v>1.0999999999999998E-2</v>
      </c>
      <c r="S171" s="267">
        <f t="shared" si="120"/>
        <v>1.0733333333333331E-2</v>
      </c>
      <c r="T171" s="267">
        <f t="shared" si="118"/>
        <v>1.0466666666666664E-2</v>
      </c>
      <c r="U171" s="267">
        <f t="shared" si="118"/>
        <v>1.0199999999999997E-2</v>
      </c>
      <c r="V171" s="267">
        <f t="shared" si="118"/>
        <v>9.9333333333333305E-3</v>
      </c>
      <c r="W171" s="267">
        <f t="shared" si="118"/>
        <v>9.6666666666666637E-3</v>
      </c>
      <c r="X171" s="267">
        <f t="shared" si="118"/>
        <v>9.3999999999999969E-3</v>
      </c>
      <c r="Y171" s="267">
        <f t="shared" si="118"/>
        <v>9.1333333333333301E-3</v>
      </c>
      <c r="Z171" s="267">
        <f t="shared" si="118"/>
        <v>8.8666666666666633E-3</v>
      </c>
      <c r="AA171" s="267">
        <f t="shared" si="118"/>
        <v>8.5999999999999965E-3</v>
      </c>
      <c r="AB171" s="267">
        <f t="shared" si="118"/>
        <v>8.3333333333333297E-3</v>
      </c>
      <c r="AC171" s="267">
        <f t="shared" si="118"/>
        <v>8.066666666666663E-3</v>
      </c>
      <c r="AD171" s="267">
        <f t="shared" si="118"/>
        <v>7.7999999999999962E-3</v>
      </c>
      <c r="AE171" s="267">
        <f t="shared" si="118"/>
        <v>7.5333333333333294E-3</v>
      </c>
      <c r="AF171" s="267">
        <f t="shared" si="118"/>
        <v>7.2666666666666626E-3</v>
      </c>
      <c r="AG171" s="562">
        <v>7.0000000000000001E-3</v>
      </c>
      <c r="AI171" s="188"/>
      <c r="AJ171" t="s">
        <v>1470</v>
      </c>
    </row>
    <row r="172" spans="1:36" outlineLevel="1">
      <c r="A172" s="3" t="s">
        <v>625</v>
      </c>
      <c r="B172" s="252" t="s">
        <v>126</v>
      </c>
      <c r="C172" s="562">
        <v>5.0000000000000001E-3</v>
      </c>
      <c r="D172" s="267">
        <f t="shared" si="120"/>
        <v>4.9333333333333338E-3</v>
      </c>
      <c r="E172" s="267">
        <f t="shared" si="120"/>
        <v>4.8666666666666676E-3</v>
      </c>
      <c r="F172" s="267">
        <f t="shared" si="120"/>
        <v>4.8000000000000013E-3</v>
      </c>
      <c r="G172" s="267">
        <f t="shared" si="120"/>
        <v>4.7333333333333351E-3</v>
      </c>
      <c r="H172" s="267">
        <f t="shared" si="120"/>
        <v>4.6666666666666688E-3</v>
      </c>
      <c r="I172" s="267">
        <f t="shared" si="120"/>
        <v>4.6000000000000025E-3</v>
      </c>
      <c r="J172" s="267">
        <f t="shared" si="120"/>
        <v>4.5333333333333363E-3</v>
      </c>
      <c r="K172" s="267">
        <f t="shared" si="120"/>
        <v>4.46666666666667E-3</v>
      </c>
      <c r="L172" s="267">
        <f t="shared" si="120"/>
        <v>4.4000000000000037E-3</v>
      </c>
      <c r="M172" s="267">
        <f t="shared" si="120"/>
        <v>4.3333333333333375E-3</v>
      </c>
      <c r="N172" s="267">
        <f t="shared" si="120"/>
        <v>4.2666666666666712E-3</v>
      </c>
      <c r="O172" s="267">
        <f t="shared" si="120"/>
        <v>4.2000000000000049E-3</v>
      </c>
      <c r="P172" s="267">
        <f t="shared" si="120"/>
        <v>4.1333333333333387E-3</v>
      </c>
      <c r="Q172" s="267">
        <f t="shared" si="120"/>
        <v>4.0666666666666724E-3</v>
      </c>
      <c r="R172" s="267">
        <f t="shared" si="120"/>
        <v>4.0000000000000062E-3</v>
      </c>
      <c r="S172" s="267">
        <f t="shared" si="120"/>
        <v>3.9333333333333399E-3</v>
      </c>
      <c r="T172" s="267">
        <f t="shared" si="118"/>
        <v>3.8666666666666732E-3</v>
      </c>
      <c r="U172" s="267">
        <f t="shared" si="118"/>
        <v>3.8000000000000065E-3</v>
      </c>
      <c r="V172" s="267">
        <f t="shared" si="118"/>
        <v>3.7333333333333398E-3</v>
      </c>
      <c r="W172" s="267">
        <f t="shared" si="118"/>
        <v>3.6666666666666731E-3</v>
      </c>
      <c r="X172" s="267">
        <f t="shared" si="118"/>
        <v>3.6000000000000064E-3</v>
      </c>
      <c r="Y172" s="267">
        <f t="shared" si="118"/>
        <v>3.5333333333333397E-3</v>
      </c>
      <c r="Z172" s="267">
        <f t="shared" si="118"/>
        <v>3.466666666666673E-3</v>
      </c>
      <c r="AA172" s="267">
        <f t="shared" si="118"/>
        <v>3.4000000000000063E-3</v>
      </c>
      <c r="AB172" s="267">
        <f t="shared" si="118"/>
        <v>3.3333333333333396E-3</v>
      </c>
      <c r="AC172" s="267">
        <f t="shared" si="118"/>
        <v>3.2666666666666729E-3</v>
      </c>
      <c r="AD172" s="267">
        <f t="shared" si="118"/>
        <v>3.2000000000000062E-3</v>
      </c>
      <c r="AE172" s="267">
        <f t="shared" si="118"/>
        <v>3.1333333333333395E-3</v>
      </c>
      <c r="AF172" s="267">
        <f t="shared" si="118"/>
        <v>3.0666666666666728E-3</v>
      </c>
      <c r="AG172" s="562">
        <v>3.0000000000000001E-3</v>
      </c>
      <c r="AI172" s="188"/>
      <c r="AJ172" t="s">
        <v>1470</v>
      </c>
    </row>
    <row r="173" spans="1:36" s="54" customFormat="1" outlineLevel="1">
      <c r="A173" s="256" t="s">
        <v>627</v>
      </c>
      <c r="B173" s="253"/>
      <c r="C173" s="254"/>
      <c r="D173" s="254"/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254"/>
      <c r="Q173" s="254"/>
      <c r="R173" s="254"/>
      <c r="S173" s="254"/>
      <c r="T173" s="254"/>
      <c r="U173" s="254"/>
      <c r="V173" s="254"/>
      <c r="W173" s="254"/>
      <c r="X173" s="254"/>
      <c r="Y173" s="254"/>
      <c r="Z173" s="254"/>
      <c r="AA173" s="254"/>
      <c r="AB173" s="254"/>
      <c r="AC173" s="254"/>
      <c r="AD173" s="254"/>
      <c r="AE173" s="254"/>
      <c r="AF173" s="254"/>
      <c r="AG173" s="254"/>
      <c r="AI173" s="255"/>
      <c r="AJ173" s="256"/>
    </row>
    <row r="174" spans="1:36" s="54" customFormat="1" outlineLevel="1">
      <c r="A174" s="257" t="s">
        <v>656</v>
      </c>
      <c r="B174" s="258" t="s">
        <v>126</v>
      </c>
      <c r="C174" s="563">
        <f>C166</f>
        <v>0.98</v>
      </c>
      <c r="D174" s="287">
        <f>-($C174-$AG174)/30+C174</f>
        <v>0.98033333333333328</v>
      </c>
      <c r="E174" s="287">
        <f t="shared" ref="E174:T175" si="121">-($C174-$AG174)/30+D174</f>
        <v>0.98066666666666658</v>
      </c>
      <c r="F174" s="287">
        <f t="shared" si="121"/>
        <v>0.98099999999999987</v>
      </c>
      <c r="G174" s="287">
        <f t="shared" si="121"/>
        <v>0.98133333333333317</v>
      </c>
      <c r="H174" s="287">
        <f t="shared" si="121"/>
        <v>0.98166666666666647</v>
      </c>
      <c r="I174" s="287">
        <f t="shared" si="121"/>
        <v>0.98199999999999976</v>
      </c>
      <c r="J174" s="287">
        <f t="shared" si="121"/>
        <v>0.98233333333333306</v>
      </c>
      <c r="K174" s="287">
        <f t="shared" si="121"/>
        <v>0.98266666666666636</v>
      </c>
      <c r="L174" s="287">
        <f t="shared" si="121"/>
        <v>0.98299999999999965</v>
      </c>
      <c r="M174" s="287">
        <f t="shared" si="121"/>
        <v>0.98333333333333295</v>
      </c>
      <c r="N174" s="287">
        <f t="shared" si="121"/>
        <v>0.98366666666666625</v>
      </c>
      <c r="O174" s="287">
        <f t="shared" si="121"/>
        <v>0.98399999999999954</v>
      </c>
      <c r="P174" s="287">
        <f t="shared" si="121"/>
        <v>0.98433333333333284</v>
      </c>
      <c r="Q174" s="287">
        <f t="shared" si="121"/>
        <v>0.98466666666666613</v>
      </c>
      <c r="R174" s="287">
        <f t="shared" si="121"/>
        <v>0.98499999999999943</v>
      </c>
      <c r="S174" s="287">
        <f t="shared" si="121"/>
        <v>0.98533333333333273</v>
      </c>
      <c r="T174" s="287">
        <f t="shared" si="121"/>
        <v>0.98566666666666602</v>
      </c>
      <c r="U174" s="287">
        <f t="shared" ref="U174:AF175" si="122">-($C174-$AG174)/30+T174</f>
        <v>0.98599999999999932</v>
      </c>
      <c r="V174" s="287">
        <f t="shared" si="122"/>
        <v>0.98633333333333262</v>
      </c>
      <c r="W174" s="287">
        <f t="shared" si="122"/>
        <v>0.98666666666666591</v>
      </c>
      <c r="X174" s="287">
        <f t="shared" si="122"/>
        <v>0.98699999999999921</v>
      </c>
      <c r="Y174" s="287">
        <f t="shared" si="122"/>
        <v>0.98733333333333251</v>
      </c>
      <c r="Z174" s="287">
        <f t="shared" si="122"/>
        <v>0.9876666666666658</v>
      </c>
      <c r="AA174" s="287">
        <f t="shared" si="122"/>
        <v>0.9879999999999991</v>
      </c>
      <c r="AB174" s="287">
        <f t="shared" si="122"/>
        <v>0.9883333333333324</v>
      </c>
      <c r="AC174" s="287">
        <f t="shared" si="122"/>
        <v>0.98866666666666569</v>
      </c>
      <c r="AD174" s="287">
        <f t="shared" si="122"/>
        <v>0.98899999999999899</v>
      </c>
      <c r="AE174" s="287">
        <f t="shared" si="122"/>
        <v>0.98933333333333229</v>
      </c>
      <c r="AF174" s="287">
        <f t="shared" si="122"/>
        <v>0.98966666666666558</v>
      </c>
      <c r="AG174" s="563">
        <f>AG166</f>
        <v>0.99</v>
      </c>
      <c r="AI174" s="255"/>
      <c r="AJ174" s="271" t="s">
        <v>1469</v>
      </c>
    </row>
    <row r="175" spans="1:36" s="54" customFormat="1" outlineLevel="1">
      <c r="A175" s="257" t="s">
        <v>667</v>
      </c>
      <c r="B175" s="258" t="s">
        <v>126</v>
      </c>
      <c r="C175" s="563">
        <v>1</v>
      </c>
      <c r="D175" s="287">
        <f>-($C175-$AG175)/30+C175</f>
        <v>1</v>
      </c>
      <c r="E175" s="287">
        <f t="shared" si="121"/>
        <v>1</v>
      </c>
      <c r="F175" s="287">
        <f t="shared" si="121"/>
        <v>1</v>
      </c>
      <c r="G175" s="287">
        <f t="shared" si="121"/>
        <v>1</v>
      </c>
      <c r="H175" s="287">
        <f t="shared" si="121"/>
        <v>1</v>
      </c>
      <c r="I175" s="287">
        <f t="shared" si="121"/>
        <v>1</v>
      </c>
      <c r="J175" s="287">
        <f t="shared" si="121"/>
        <v>1</v>
      </c>
      <c r="K175" s="287">
        <f t="shared" si="121"/>
        <v>1</v>
      </c>
      <c r="L175" s="287">
        <f t="shared" si="121"/>
        <v>1</v>
      </c>
      <c r="M175" s="287">
        <f t="shared" si="121"/>
        <v>1</v>
      </c>
      <c r="N175" s="287">
        <f t="shared" si="121"/>
        <v>1</v>
      </c>
      <c r="O175" s="287">
        <f t="shared" si="121"/>
        <v>1</v>
      </c>
      <c r="P175" s="287">
        <f t="shared" si="121"/>
        <v>1</v>
      </c>
      <c r="Q175" s="287">
        <f t="shared" si="121"/>
        <v>1</v>
      </c>
      <c r="R175" s="287">
        <f t="shared" si="121"/>
        <v>1</v>
      </c>
      <c r="S175" s="287">
        <f t="shared" si="121"/>
        <v>1</v>
      </c>
      <c r="T175" s="287">
        <f t="shared" si="121"/>
        <v>1</v>
      </c>
      <c r="U175" s="287">
        <f t="shared" si="122"/>
        <v>1</v>
      </c>
      <c r="V175" s="287">
        <f t="shared" si="122"/>
        <v>1</v>
      </c>
      <c r="W175" s="287">
        <f t="shared" si="122"/>
        <v>1</v>
      </c>
      <c r="X175" s="287">
        <f t="shared" si="122"/>
        <v>1</v>
      </c>
      <c r="Y175" s="287">
        <f t="shared" si="122"/>
        <v>1</v>
      </c>
      <c r="Z175" s="287">
        <f t="shared" si="122"/>
        <v>1</v>
      </c>
      <c r="AA175" s="287">
        <f t="shared" si="122"/>
        <v>1</v>
      </c>
      <c r="AB175" s="287">
        <f t="shared" si="122"/>
        <v>1</v>
      </c>
      <c r="AC175" s="287">
        <f t="shared" si="122"/>
        <v>1</v>
      </c>
      <c r="AD175" s="287">
        <f t="shared" si="122"/>
        <v>1</v>
      </c>
      <c r="AE175" s="287">
        <f t="shared" si="122"/>
        <v>1</v>
      </c>
      <c r="AF175" s="287">
        <f t="shared" si="122"/>
        <v>1</v>
      </c>
      <c r="AG175" s="563">
        <v>1</v>
      </c>
      <c r="AI175" s="255"/>
      <c r="AJ175" t="s">
        <v>1470</v>
      </c>
    </row>
    <row r="176" spans="1:36" s="58" customFormat="1" outlineLevel="1">
      <c r="A176" s="261" t="s">
        <v>668</v>
      </c>
      <c r="B176" s="262" t="s">
        <v>126</v>
      </c>
      <c r="C176" s="289">
        <f>1-C175</f>
        <v>0</v>
      </c>
      <c r="D176" s="289">
        <f t="shared" ref="D176:AG176" si="123">1-D175</f>
        <v>0</v>
      </c>
      <c r="E176" s="289">
        <f t="shared" si="123"/>
        <v>0</v>
      </c>
      <c r="F176" s="289">
        <f t="shared" si="123"/>
        <v>0</v>
      </c>
      <c r="G176" s="289">
        <f t="shared" si="123"/>
        <v>0</v>
      </c>
      <c r="H176" s="289">
        <f t="shared" si="123"/>
        <v>0</v>
      </c>
      <c r="I176" s="289">
        <f t="shared" si="123"/>
        <v>0</v>
      </c>
      <c r="J176" s="289">
        <f t="shared" si="123"/>
        <v>0</v>
      </c>
      <c r="K176" s="289">
        <f t="shared" si="123"/>
        <v>0</v>
      </c>
      <c r="L176" s="289">
        <f t="shared" si="123"/>
        <v>0</v>
      </c>
      <c r="M176" s="289">
        <f t="shared" si="123"/>
        <v>0</v>
      </c>
      <c r="N176" s="289">
        <f t="shared" si="123"/>
        <v>0</v>
      </c>
      <c r="O176" s="289">
        <f t="shared" si="123"/>
        <v>0</v>
      </c>
      <c r="P176" s="289">
        <f t="shared" si="123"/>
        <v>0</v>
      </c>
      <c r="Q176" s="289">
        <f t="shared" si="123"/>
        <v>0</v>
      </c>
      <c r="R176" s="289">
        <f t="shared" si="123"/>
        <v>0</v>
      </c>
      <c r="S176" s="289">
        <f t="shared" si="123"/>
        <v>0</v>
      </c>
      <c r="T176" s="289">
        <f t="shared" si="123"/>
        <v>0</v>
      </c>
      <c r="U176" s="289">
        <f t="shared" si="123"/>
        <v>0</v>
      </c>
      <c r="V176" s="289">
        <f t="shared" si="123"/>
        <v>0</v>
      </c>
      <c r="W176" s="289">
        <f t="shared" si="123"/>
        <v>0</v>
      </c>
      <c r="X176" s="289">
        <f t="shared" si="123"/>
        <v>0</v>
      </c>
      <c r="Y176" s="289">
        <f t="shared" si="123"/>
        <v>0</v>
      </c>
      <c r="Z176" s="289">
        <f t="shared" si="123"/>
        <v>0</v>
      </c>
      <c r="AA176" s="289">
        <f t="shared" si="123"/>
        <v>0</v>
      </c>
      <c r="AB176" s="289">
        <f t="shared" si="123"/>
        <v>0</v>
      </c>
      <c r="AC176" s="289">
        <f t="shared" si="123"/>
        <v>0</v>
      </c>
      <c r="AD176" s="289">
        <f t="shared" si="123"/>
        <v>0</v>
      </c>
      <c r="AE176" s="289">
        <f t="shared" si="123"/>
        <v>0</v>
      </c>
      <c r="AF176" s="289">
        <f t="shared" si="123"/>
        <v>0</v>
      </c>
      <c r="AG176" s="289">
        <f t="shared" si="123"/>
        <v>0</v>
      </c>
      <c r="AI176" s="291"/>
      <c r="AJ176" s="290"/>
    </row>
    <row r="177" spans="1:36" s="1" customFormat="1" outlineLevel="1">
      <c r="A177" t="s">
        <v>649</v>
      </c>
      <c r="B177" s="252" t="s">
        <v>126</v>
      </c>
      <c r="C177" s="562">
        <v>1</v>
      </c>
      <c r="D177" s="267">
        <f t="shared" ref="D177:S192" si="124">-($C177-$AG177)/30+C177</f>
        <v>1</v>
      </c>
      <c r="E177" s="267">
        <f t="shared" si="124"/>
        <v>1</v>
      </c>
      <c r="F177" s="267">
        <f t="shared" si="124"/>
        <v>1</v>
      </c>
      <c r="G177" s="267">
        <f t="shared" si="124"/>
        <v>1</v>
      </c>
      <c r="H177" s="267">
        <f t="shared" si="124"/>
        <v>1</v>
      </c>
      <c r="I177" s="267">
        <f t="shared" si="124"/>
        <v>1</v>
      </c>
      <c r="J177" s="267">
        <f t="shared" si="124"/>
        <v>1</v>
      </c>
      <c r="K177" s="267">
        <f t="shared" si="124"/>
        <v>1</v>
      </c>
      <c r="L177" s="267">
        <f t="shared" si="124"/>
        <v>1</v>
      </c>
      <c r="M177" s="267">
        <f t="shared" si="124"/>
        <v>1</v>
      </c>
      <c r="N177" s="267">
        <f t="shared" si="124"/>
        <v>1</v>
      </c>
      <c r="O177" s="267">
        <f t="shared" si="124"/>
        <v>1</v>
      </c>
      <c r="P177" s="267">
        <f t="shared" si="124"/>
        <v>1</v>
      </c>
      <c r="Q177" s="267">
        <f t="shared" si="124"/>
        <v>1</v>
      </c>
      <c r="R177" s="267">
        <f t="shared" si="124"/>
        <v>1</v>
      </c>
      <c r="S177" s="267">
        <f t="shared" si="124"/>
        <v>1</v>
      </c>
      <c r="T177" s="267">
        <f t="shared" ref="T177:AF191" si="125">-($C177-$AG177)/30+S177</f>
        <v>1</v>
      </c>
      <c r="U177" s="267">
        <f t="shared" si="125"/>
        <v>1</v>
      </c>
      <c r="V177" s="267">
        <f t="shared" si="125"/>
        <v>1</v>
      </c>
      <c r="W177" s="267">
        <f t="shared" si="125"/>
        <v>1</v>
      </c>
      <c r="X177" s="267">
        <f t="shared" si="125"/>
        <v>1</v>
      </c>
      <c r="Y177" s="267">
        <f t="shared" si="125"/>
        <v>1</v>
      </c>
      <c r="Z177" s="267">
        <f t="shared" si="125"/>
        <v>1</v>
      </c>
      <c r="AA177" s="267">
        <f t="shared" si="125"/>
        <v>1</v>
      </c>
      <c r="AB177" s="267">
        <f t="shared" si="125"/>
        <v>1</v>
      </c>
      <c r="AC177" s="267">
        <f t="shared" si="125"/>
        <v>1</v>
      </c>
      <c r="AD177" s="267">
        <f t="shared" si="125"/>
        <v>1</v>
      </c>
      <c r="AE177" s="267">
        <f t="shared" si="125"/>
        <v>1</v>
      </c>
      <c r="AF177" s="267">
        <f t="shared" si="125"/>
        <v>1</v>
      </c>
      <c r="AG177" s="562">
        <v>1</v>
      </c>
      <c r="AI177" s="266"/>
      <c r="AJ177" s="185"/>
    </row>
    <row r="178" spans="1:36" s="1" customFormat="1" outlineLevel="1">
      <c r="A178" t="s">
        <v>655</v>
      </c>
      <c r="B178" s="252" t="s">
        <v>126</v>
      </c>
      <c r="C178" s="562">
        <v>0</v>
      </c>
      <c r="D178" s="267">
        <f t="shared" si="124"/>
        <v>0</v>
      </c>
      <c r="E178" s="267">
        <f t="shared" si="124"/>
        <v>0</v>
      </c>
      <c r="F178" s="267">
        <f t="shared" si="124"/>
        <v>0</v>
      </c>
      <c r="G178" s="267">
        <f t="shared" si="124"/>
        <v>0</v>
      </c>
      <c r="H178" s="267">
        <f t="shared" si="124"/>
        <v>0</v>
      </c>
      <c r="I178" s="267">
        <f t="shared" si="124"/>
        <v>0</v>
      </c>
      <c r="J178" s="267">
        <f t="shared" si="124"/>
        <v>0</v>
      </c>
      <c r="K178" s="267">
        <f t="shared" si="124"/>
        <v>0</v>
      </c>
      <c r="L178" s="267">
        <f t="shared" si="124"/>
        <v>0</v>
      </c>
      <c r="M178" s="267">
        <f t="shared" si="124"/>
        <v>0</v>
      </c>
      <c r="N178" s="267">
        <f t="shared" si="124"/>
        <v>0</v>
      </c>
      <c r="O178" s="267">
        <f t="shared" si="124"/>
        <v>0</v>
      </c>
      <c r="P178" s="267">
        <f t="shared" si="124"/>
        <v>0</v>
      </c>
      <c r="Q178" s="267">
        <f t="shared" si="124"/>
        <v>0</v>
      </c>
      <c r="R178" s="267">
        <f t="shared" si="124"/>
        <v>0</v>
      </c>
      <c r="S178" s="267">
        <f t="shared" si="124"/>
        <v>0</v>
      </c>
      <c r="T178" s="267">
        <f t="shared" si="125"/>
        <v>0</v>
      </c>
      <c r="U178" s="267">
        <f t="shared" si="125"/>
        <v>0</v>
      </c>
      <c r="V178" s="267">
        <f t="shared" si="125"/>
        <v>0</v>
      </c>
      <c r="W178" s="267">
        <f t="shared" si="125"/>
        <v>0</v>
      </c>
      <c r="X178" s="267">
        <f t="shared" si="125"/>
        <v>0</v>
      </c>
      <c r="Y178" s="267">
        <f t="shared" si="125"/>
        <v>0</v>
      </c>
      <c r="Z178" s="267">
        <f t="shared" si="125"/>
        <v>0</v>
      </c>
      <c r="AA178" s="267">
        <f t="shared" si="125"/>
        <v>0</v>
      </c>
      <c r="AB178" s="267">
        <f t="shared" si="125"/>
        <v>0</v>
      </c>
      <c r="AC178" s="267">
        <f t="shared" si="125"/>
        <v>0</v>
      </c>
      <c r="AD178" s="267">
        <f t="shared" si="125"/>
        <v>0</v>
      </c>
      <c r="AE178" s="267">
        <f t="shared" si="125"/>
        <v>0</v>
      </c>
      <c r="AF178" s="267">
        <f t="shared" si="125"/>
        <v>0</v>
      </c>
      <c r="AG178" s="562">
        <v>0</v>
      </c>
      <c r="AI178" s="380"/>
      <c r="AJ178" s="185" t="s">
        <v>1471</v>
      </c>
    </row>
    <row r="179" spans="1:36" s="1" customFormat="1" outlineLevel="1">
      <c r="A179" t="s">
        <v>650</v>
      </c>
      <c r="B179" s="252" t="s">
        <v>126</v>
      </c>
      <c r="C179" s="246">
        <v>0.15</v>
      </c>
      <c r="D179" s="267">
        <f t="shared" si="124"/>
        <v>0.15633333333333332</v>
      </c>
      <c r="E179" s="267">
        <f t="shared" si="124"/>
        <v>0.16266666666666665</v>
      </c>
      <c r="F179" s="267">
        <f t="shared" si="124"/>
        <v>0.16899999999999998</v>
      </c>
      <c r="G179" s="267">
        <f t="shared" si="124"/>
        <v>0.17533333333333331</v>
      </c>
      <c r="H179" s="267">
        <f t="shared" si="124"/>
        <v>0.18166666666666664</v>
      </c>
      <c r="I179" s="267">
        <f t="shared" si="124"/>
        <v>0.18799999999999997</v>
      </c>
      <c r="J179" s="267">
        <f t="shared" si="124"/>
        <v>0.1943333333333333</v>
      </c>
      <c r="K179" s="267">
        <f t="shared" si="124"/>
        <v>0.20066666666666663</v>
      </c>
      <c r="L179" s="267">
        <f t="shared" si="124"/>
        <v>0.20699999999999996</v>
      </c>
      <c r="M179" s="267">
        <f t="shared" si="124"/>
        <v>0.21333333333333329</v>
      </c>
      <c r="N179" s="267">
        <f t="shared" si="124"/>
        <v>0.21966666666666662</v>
      </c>
      <c r="O179" s="267">
        <f t="shared" si="124"/>
        <v>0.22599999999999995</v>
      </c>
      <c r="P179" s="267">
        <f t="shared" si="124"/>
        <v>0.23233333333333328</v>
      </c>
      <c r="Q179" s="267">
        <f t="shared" si="124"/>
        <v>0.23866666666666661</v>
      </c>
      <c r="R179" s="267">
        <f t="shared" si="124"/>
        <v>0.24499999999999994</v>
      </c>
      <c r="S179" s="267">
        <f t="shared" si="124"/>
        <v>0.2513333333333333</v>
      </c>
      <c r="T179" s="267">
        <f t="shared" si="125"/>
        <v>0.25766666666666665</v>
      </c>
      <c r="U179" s="267">
        <f t="shared" si="125"/>
        <v>0.26400000000000001</v>
      </c>
      <c r="V179" s="267">
        <f t="shared" si="125"/>
        <v>0.27033333333333337</v>
      </c>
      <c r="W179" s="267">
        <f t="shared" si="125"/>
        <v>0.27666666666666673</v>
      </c>
      <c r="X179" s="267">
        <f t="shared" si="125"/>
        <v>0.28300000000000008</v>
      </c>
      <c r="Y179" s="267">
        <f t="shared" si="125"/>
        <v>0.28933333333333344</v>
      </c>
      <c r="Z179" s="267">
        <f t="shared" si="125"/>
        <v>0.2956666666666668</v>
      </c>
      <c r="AA179" s="267">
        <f t="shared" si="125"/>
        <v>0.30200000000000016</v>
      </c>
      <c r="AB179" s="267">
        <f t="shared" si="125"/>
        <v>0.30833333333333351</v>
      </c>
      <c r="AC179" s="267">
        <f t="shared" si="125"/>
        <v>0.31466666666666687</v>
      </c>
      <c r="AD179" s="267">
        <f t="shared" si="125"/>
        <v>0.32100000000000023</v>
      </c>
      <c r="AE179" s="267">
        <f t="shared" si="125"/>
        <v>0.32733333333333359</v>
      </c>
      <c r="AF179" s="267">
        <f t="shared" si="125"/>
        <v>0.33366666666666694</v>
      </c>
      <c r="AG179" s="246">
        <v>0.34</v>
      </c>
      <c r="AI179" s="266"/>
      <c r="AJ179" t="s">
        <v>1470</v>
      </c>
    </row>
    <row r="180" spans="1:36" s="1" customFormat="1" outlineLevel="1">
      <c r="A180" t="s">
        <v>651</v>
      </c>
      <c r="B180" s="252" t="s">
        <v>126</v>
      </c>
      <c r="C180" s="267">
        <f>1-C179</f>
        <v>0.85</v>
      </c>
      <c r="D180" s="267">
        <f t="shared" si="124"/>
        <v>0.84366666666666668</v>
      </c>
      <c r="E180" s="267">
        <f t="shared" si="124"/>
        <v>0.83733333333333337</v>
      </c>
      <c r="F180" s="267">
        <f t="shared" si="124"/>
        <v>0.83100000000000007</v>
      </c>
      <c r="G180" s="267">
        <f t="shared" si="124"/>
        <v>0.82466666666666677</v>
      </c>
      <c r="H180" s="267">
        <f t="shared" si="124"/>
        <v>0.81833333333333347</v>
      </c>
      <c r="I180" s="267">
        <f t="shared" si="124"/>
        <v>0.81200000000000017</v>
      </c>
      <c r="J180" s="267">
        <f t="shared" si="124"/>
        <v>0.80566666666666686</v>
      </c>
      <c r="K180" s="267">
        <f t="shared" si="124"/>
        <v>0.79933333333333356</v>
      </c>
      <c r="L180" s="267">
        <f t="shared" si="124"/>
        <v>0.79300000000000026</v>
      </c>
      <c r="M180" s="267">
        <f t="shared" si="124"/>
        <v>0.78666666666666696</v>
      </c>
      <c r="N180" s="267">
        <f t="shared" si="124"/>
        <v>0.78033333333333366</v>
      </c>
      <c r="O180" s="267">
        <f t="shared" si="124"/>
        <v>0.77400000000000035</v>
      </c>
      <c r="P180" s="267">
        <f t="shared" si="124"/>
        <v>0.76766666666666705</v>
      </c>
      <c r="Q180" s="267">
        <f t="shared" si="124"/>
        <v>0.76133333333333375</v>
      </c>
      <c r="R180" s="267">
        <f t="shared" si="124"/>
        <v>0.75500000000000045</v>
      </c>
      <c r="S180" s="267">
        <f t="shared" si="124"/>
        <v>0.74866666666666715</v>
      </c>
      <c r="T180" s="267">
        <f t="shared" si="125"/>
        <v>0.74233333333333384</v>
      </c>
      <c r="U180" s="267">
        <f t="shared" si="125"/>
        <v>0.73600000000000054</v>
      </c>
      <c r="V180" s="267">
        <f t="shared" si="125"/>
        <v>0.72966666666666724</v>
      </c>
      <c r="W180" s="267">
        <f t="shared" si="125"/>
        <v>0.72333333333333394</v>
      </c>
      <c r="X180" s="267">
        <f t="shared" si="125"/>
        <v>0.71700000000000064</v>
      </c>
      <c r="Y180" s="267">
        <f t="shared" si="125"/>
        <v>0.71066666666666733</v>
      </c>
      <c r="Z180" s="267">
        <f t="shared" si="125"/>
        <v>0.70433333333333403</v>
      </c>
      <c r="AA180" s="267">
        <f t="shared" si="125"/>
        <v>0.69800000000000073</v>
      </c>
      <c r="AB180" s="267">
        <f t="shared" si="125"/>
        <v>0.69166666666666743</v>
      </c>
      <c r="AC180" s="267">
        <f t="shared" si="125"/>
        <v>0.68533333333333413</v>
      </c>
      <c r="AD180" s="267">
        <f t="shared" si="125"/>
        <v>0.67900000000000083</v>
      </c>
      <c r="AE180" s="267">
        <f t="shared" si="125"/>
        <v>0.67266666666666752</v>
      </c>
      <c r="AF180" s="267">
        <f t="shared" si="125"/>
        <v>0.66633333333333422</v>
      </c>
      <c r="AG180" s="267">
        <f>1-AG179</f>
        <v>0.65999999999999992</v>
      </c>
      <c r="AI180" s="266"/>
      <c r="AJ180" t="s">
        <v>1470</v>
      </c>
    </row>
    <row r="181" spans="1:36" s="1" customFormat="1" outlineLevel="1">
      <c r="A181" t="s">
        <v>654</v>
      </c>
      <c r="B181" s="252" t="s">
        <v>126</v>
      </c>
      <c r="C181" s="246">
        <v>0</v>
      </c>
      <c r="D181" s="267">
        <f t="shared" si="124"/>
        <v>0</v>
      </c>
      <c r="E181" s="267">
        <f t="shared" si="124"/>
        <v>0</v>
      </c>
      <c r="F181" s="267">
        <f t="shared" si="124"/>
        <v>0</v>
      </c>
      <c r="G181" s="267">
        <f t="shared" si="124"/>
        <v>0</v>
      </c>
      <c r="H181" s="267">
        <f t="shared" si="124"/>
        <v>0</v>
      </c>
      <c r="I181" s="267">
        <f t="shared" si="124"/>
        <v>0</v>
      </c>
      <c r="J181" s="267">
        <f t="shared" si="124"/>
        <v>0</v>
      </c>
      <c r="K181" s="267">
        <f t="shared" si="124"/>
        <v>0</v>
      </c>
      <c r="L181" s="267">
        <f t="shared" si="124"/>
        <v>0</v>
      </c>
      <c r="M181" s="267">
        <f t="shared" si="124"/>
        <v>0</v>
      </c>
      <c r="N181" s="267">
        <f t="shared" si="124"/>
        <v>0</v>
      </c>
      <c r="O181" s="267">
        <f t="shared" si="124"/>
        <v>0</v>
      </c>
      <c r="P181" s="267">
        <f t="shared" si="124"/>
        <v>0</v>
      </c>
      <c r="Q181" s="267">
        <f t="shared" si="124"/>
        <v>0</v>
      </c>
      <c r="R181" s="267">
        <f t="shared" si="124"/>
        <v>0</v>
      </c>
      <c r="S181" s="267">
        <f t="shared" si="124"/>
        <v>0</v>
      </c>
      <c r="T181" s="267">
        <f t="shared" si="125"/>
        <v>0</v>
      </c>
      <c r="U181" s="267">
        <f t="shared" si="125"/>
        <v>0</v>
      </c>
      <c r="V181" s="267">
        <f t="shared" si="125"/>
        <v>0</v>
      </c>
      <c r="W181" s="267">
        <f t="shared" si="125"/>
        <v>0</v>
      </c>
      <c r="X181" s="267">
        <f t="shared" si="125"/>
        <v>0</v>
      </c>
      <c r="Y181" s="267">
        <f t="shared" si="125"/>
        <v>0</v>
      </c>
      <c r="Z181" s="267">
        <f t="shared" si="125"/>
        <v>0</v>
      </c>
      <c r="AA181" s="267">
        <f t="shared" si="125"/>
        <v>0</v>
      </c>
      <c r="AB181" s="267">
        <f t="shared" si="125"/>
        <v>0</v>
      </c>
      <c r="AC181" s="267">
        <f t="shared" si="125"/>
        <v>0</v>
      </c>
      <c r="AD181" s="267">
        <f t="shared" si="125"/>
        <v>0</v>
      </c>
      <c r="AE181" s="267">
        <f t="shared" si="125"/>
        <v>0</v>
      </c>
      <c r="AF181" s="267">
        <f t="shared" si="125"/>
        <v>0</v>
      </c>
      <c r="AG181" s="246">
        <v>0</v>
      </c>
      <c r="AI181" s="266"/>
      <c r="AJ181" t="s">
        <v>1470</v>
      </c>
    </row>
    <row r="182" spans="1:36" s="1" customFormat="1" outlineLevel="1">
      <c r="A182" t="s">
        <v>665</v>
      </c>
      <c r="B182" s="252" t="s">
        <v>126</v>
      </c>
      <c r="C182" s="246">
        <v>1</v>
      </c>
      <c r="D182" s="267">
        <f t="shared" si="124"/>
        <v>1</v>
      </c>
      <c r="E182" s="267">
        <f t="shared" si="124"/>
        <v>1</v>
      </c>
      <c r="F182" s="267">
        <f t="shared" si="124"/>
        <v>1</v>
      </c>
      <c r="G182" s="267">
        <f t="shared" si="124"/>
        <v>1</v>
      </c>
      <c r="H182" s="267">
        <f t="shared" si="124"/>
        <v>1</v>
      </c>
      <c r="I182" s="267">
        <f t="shared" si="124"/>
        <v>1</v>
      </c>
      <c r="J182" s="267">
        <f t="shared" si="124"/>
        <v>1</v>
      </c>
      <c r="K182" s="267">
        <f t="shared" si="124"/>
        <v>1</v>
      </c>
      <c r="L182" s="267">
        <f t="shared" si="124"/>
        <v>1</v>
      </c>
      <c r="M182" s="267">
        <f t="shared" si="124"/>
        <v>1</v>
      </c>
      <c r="N182" s="267">
        <f t="shared" si="124"/>
        <v>1</v>
      </c>
      <c r="O182" s="267">
        <f t="shared" si="124"/>
        <v>1</v>
      </c>
      <c r="P182" s="267">
        <f t="shared" si="124"/>
        <v>1</v>
      </c>
      <c r="Q182" s="267">
        <f t="shared" si="124"/>
        <v>1</v>
      </c>
      <c r="R182" s="267">
        <f t="shared" si="124"/>
        <v>1</v>
      </c>
      <c r="S182" s="267">
        <f t="shared" si="124"/>
        <v>1</v>
      </c>
      <c r="T182" s="267">
        <f t="shared" si="125"/>
        <v>1</v>
      </c>
      <c r="U182" s="267">
        <f t="shared" si="125"/>
        <v>1</v>
      </c>
      <c r="V182" s="267">
        <f t="shared" si="125"/>
        <v>1</v>
      </c>
      <c r="W182" s="267">
        <f t="shared" si="125"/>
        <v>1</v>
      </c>
      <c r="X182" s="267">
        <f t="shared" si="125"/>
        <v>1</v>
      </c>
      <c r="Y182" s="267">
        <f t="shared" si="125"/>
        <v>1</v>
      </c>
      <c r="Z182" s="267">
        <f t="shared" si="125"/>
        <v>1</v>
      </c>
      <c r="AA182" s="267">
        <f t="shared" si="125"/>
        <v>1</v>
      </c>
      <c r="AB182" s="267">
        <f t="shared" si="125"/>
        <v>1</v>
      </c>
      <c r="AC182" s="267">
        <f t="shared" si="125"/>
        <v>1</v>
      </c>
      <c r="AD182" s="267">
        <f t="shared" si="125"/>
        <v>1</v>
      </c>
      <c r="AE182" s="267">
        <f t="shared" si="125"/>
        <v>1</v>
      </c>
      <c r="AF182" s="267">
        <f t="shared" si="125"/>
        <v>1</v>
      </c>
      <c r="AG182" s="246">
        <v>1</v>
      </c>
      <c r="AI182" s="266"/>
      <c r="AJ182" t="s">
        <v>1470</v>
      </c>
    </row>
    <row r="183" spans="1:36" s="1" customFormat="1" outlineLevel="1">
      <c r="A183" t="s">
        <v>652</v>
      </c>
      <c r="B183" s="252" t="s">
        <v>126</v>
      </c>
      <c r="C183" s="246">
        <v>0.8</v>
      </c>
      <c r="D183" s="267">
        <f t="shared" si="124"/>
        <v>0.80333333333333334</v>
      </c>
      <c r="E183" s="267">
        <f t="shared" si="124"/>
        <v>0.80666666666666664</v>
      </c>
      <c r="F183" s="267">
        <f t="shared" si="124"/>
        <v>0.80999999999999994</v>
      </c>
      <c r="G183" s="267">
        <f t="shared" si="124"/>
        <v>0.81333333333333324</v>
      </c>
      <c r="H183" s="267">
        <f t="shared" si="124"/>
        <v>0.81666666666666654</v>
      </c>
      <c r="I183" s="267">
        <f t="shared" si="124"/>
        <v>0.81999999999999984</v>
      </c>
      <c r="J183" s="267">
        <f t="shared" si="124"/>
        <v>0.82333333333333314</v>
      </c>
      <c r="K183" s="267">
        <f t="shared" si="124"/>
        <v>0.82666666666666644</v>
      </c>
      <c r="L183" s="267">
        <f t="shared" si="124"/>
        <v>0.82999999999999974</v>
      </c>
      <c r="M183" s="267">
        <f t="shared" si="124"/>
        <v>0.83333333333333304</v>
      </c>
      <c r="N183" s="267">
        <f t="shared" si="124"/>
        <v>0.83666666666666634</v>
      </c>
      <c r="O183" s="267">
        <f t="shared" si="124"/>
        <v>0.83999999999999964</v>
      </c>
      <c r="P183" s="267">
        <f t="shared" si="124"/>
        <v>0.84333333333333294</v>
      </c>
      <c r="Q183" s="267">
        <f t="shared" si="124"/>
        <v>0.84666666666666623</v>
      </c>
      <c r="R183" s="267">
        <f t="shared" si="124"/>
        <v>0.84999999999999953</v>
      </c>
      <c r="S183" s="267">
        <f t="shared" si="124"/>
        <v>0.85333333333333283</v>
      </c>
      <c r="T183" s="267">
        <f t="shared" si="125"/>
        <v>0.85666666666666613</v>
      </c>
      <c r="U183" s="267">
        <f t="shared" si="125"/>
        <v>0.85999999999999943</v>
      </c>
      <c r="V183" s="267">
        <f t="shared" si="125"/>
        <v>0.86333333333333273</v>
      </c>
      <c r="W183" s="267">
        <f t="shared" si="125"/>
        <v>0.86666666666666603</v>
      </c>
      <c r="X183" s="267">
        <f t="shared" si="125"/>
        <v>0.86999999999999933</v>
      </c>
      <c r="Y183" s="267">
        <f t="shared" si="125"/>
        <v>0.87333333333333263</v>
      </c>
      <c r="Z183" s="267">
        <f t="shared" si="125"/>
        <v>0.87666666666666593</v>
      </c>
      <c r="AA183" s="267">
        <f t="shared" si="125"/>
        <v>0.87999999999999923</v>
      </c>
      <c r="AB183" s="267">
        <f t="shared" si="125"/>
        <v>0.88333333333333253</v>
      </c>
      <c r="AC183" s="267">
        <f t="shared" si="125"/>
        <v>0.88666666666666583</v>
      </c>
      <c r="AD183" s="267">
        <f t="shared" si="125"/>
        <v>0.88999999999999913</v>
      </c>
      <c r="AE183" s="267">
        <f t="shared" si="125"/>
        <v>0.89333333333333242</v>
      </c>
      <c r="AF183" s="267">
        <f t="shared" si="125"/>
        <v>0.89666666666666572</v>
      </c>
      <c r="AG183" s="246">
        <v>0.9</v>
      </c>
      <c r="AI183" s="266"/>
      <c r="AJ183" t="s">
        <v>1470</v>
      </c>
    </row>
    <row r="184" spans="1:36" s="1" customFormat="1" outlineLevel="1">
      <c r="A184" t="s">
        <v>653</v>
      </c>
      <c r="B184" s="252" t="s">
        <v>126</v>
      </c>
      <c r="C184" s="246">
        <v>0.2</v>
      </c>
      <c r="D184" s="267">
        <f t="shared" si="124"/>
        <v>0.19666666666666668</v>
      </c>
      <c r="E184" s="267">
        <f t="shared" si="124"/>
        <v>0.19333333333333336</v>
      </c>
      <c r="F184" s="267">
        <f t="shared" si="124"/>
        <v>0.19000000000000003</v>
      </c>
      <c r="G184" s="267">
        <f t="shared" si="124"/>
        <v>0.1866666666666667</v>
      </c>
      <c r="H184" s="267">
        <f t="shared" si="124"/>
        <v>0.18333333333333338</v>
      </c>
      <c r="I184" s="267">
        <f t="shared" si="124"/>
        <v>0.18000000000000005</v>
      </c>
      <c r="J184" s="267">
        <f t="shared" si="124"/>
        <v>0.17666666666666672</v>
      </c>
      <c r="K184" s="267">
        <f t="shared" si="124"/>
        <v>0.17333333333333339</v>
      </c>
      <c r="L184" s="267">
        <f t="shared" si="124"/>
        <v>0.17000000000000007</v>
      </c>
      <c r="M184" s="267">
        <f t="shared" si="124"/>
        <v>0.16666666666666674</v>
      </c>
      <c r="N184" s="267">
        <f t="shared" si="124"/>
        <v>0.16333333333333341</v>
      </c>
      <c r="O184" s="267">
        <f t="shared" si="124"/>
        <v>0.16000000000000009</v>
      </c>
      <c r="P184" s="267">
        <f t="shared" si="124"/>
        <v>0.15666666666666676</v>
      </c>
      <c r="Q184" s="267">
        <f t="shared" si="124"/>
        <v>0.15333333333333343</v>
      </c>
      <c r="R184" s="267">
        <f t="shared" si="124"/>
        <v>0.15000000000000011</v>
      </c>
      <c r="S184" s="267">
        <f t="shared" si="124"/>
        <v>0.14666666666666678</v>
      </c>
      <c r="T184" s="267">
        <f t="shared" si="125"/>
        <v>0.14333333333333345</v>
      </c>
      <c r="U184" s="267">
        <f t="shared" si="125"/>
        <v>0.14000000000000012</v>
      </c>
      <c r="V184" s="267">
        <f t="shared" si="125"/>
        <v>0.1366666666666668</v>
      </c>
      <c r="W184" s="267">
        <f t="shared" si="125"/>
        <v>0.13333333333333347</v>
      </c>
      <c r="X184" s="267">
        <f t="shared" si="125"/>
        <v>0.13000000000000014</v>
      </c>
      <c r="Y184" s="267">
        <f t="shared" si="125"/>
        <v>0.12666666666666682</v>
      </c>
      <c r="Z184" s="267">
        <f t="shared" si="125"/>
        <v>0.12333333333333349</v>
      </c>
      <c r="AA184" s="267">
        <f t="shared" si="125"/>
        <v>0.12000000000000016</v>
      </c>
      <c r="AB184" s="267">
        <f t="shared" si="125"/>
        <v>0.11666666666666684</v>
      </c>
      <c r="AC184" s="267">
        <f t="shared" si="125"/>
        <v>0.11333333333333351</v>
      </c>
      <c r="AD184" s="267">
        <f t="shared" si="125"/>
        <v>0.11000000000000018</v>
      </c>
      <c r="AE184" s="267">
        <f t="shared" si="125"/>
        <v>0.10666666666666685</v>
      </c>
      <c r="AF184" s="267">
        <f t="shared" si="125"/>
        <v>0.10333333333333353</v>
      </c>
      <c r="AG184" s="246">
        <v>0.1</v>
      </c>
      <c r="AI184" s="266"/>
      <c r="AJ184" t="s">
        <v>1470</v>
      </c>
    </row>
    <row r="185" spans="1:36" s="1" customFormat="1" outlineLevel="1">
      <c r="A185" t="s">
        <v>663</v>
      </c>
      <c r="B185" s="252" t="s">
        <v>126</v>
      </c>
      <c r="C185" s="246">
        <v>0.95</v>
      </c>
      <c r="D185" s="267">
        <f t="shared" si="124"/>
        <v>0.94866666666666666</v>
      </c>
      <c r="E185" s="267">
        <f t="shared" si="124"/>
        <v>0.94733333333333336</v>
      </c>
      <c r="F185" s="267">
        <f t="shared" si="124"/>
        <v>0.94600000000000006</v>
      </c>
      <c r="G185" s="267">
        <f t="shared" si="124"/>
        <v>0.94466666666666677</v>
      </c>
      <c r="H185" s="267">
        <f t="shared" si="124"/>
        <v>0.94333333333333347</v>
      </c>
      <c r="I185" s="267">
        <f t="shared" si="124"/>
        <v>0.94200000000000017</v>
      </c>
      <c r="J185" s="267">
        <f t="shared" si="124"/>
        <v>0.94066666666666687</v>
      </c>
      <c r="K185" s="267">
        <f t="shared" si="124"/>
        <v>0.93933333333333358</v>
      </c>
      <c r="L185" s="267">
        <f t="shared" si="124"/>
        <v>0.93800000000000028</v>
      </c>
      <c r="M185" s="267">
        <f t="shared" si="124"/>
        <v>0.93666666666666698</v>
      </c>
      <c r="N185" s="267">
        <f t="shared" si="124"/>
        <v>0.93533333333333368</v>
      </c>
      <c r="O185" s="267">
        <f t="shared" si="124"/>
        <v>0.93400000000000039</v>
      </c>
      <c r="P185" s="267">
        <f t="shared" si="124"/>
        <v>0.93266666666666709</v>
      </c>
      <c r="Q185" s="267">
        <f t="shared" si="124"/>
        <v>0.93133333333333379</v>
      </c>
      <c r="R185" s="267">
        <f t="shared" si="124"/>
        <v>0.93000000000000049</v>
      </c>
      <c r="S185" s="267">
        <f t="shared" si="124"/>
        <v>0.9286666666666672</v>
      </c>
      <c r="T185" s="267">
        <f t="shared" si="125"/>
        <v>0.9273333333333339</v>
      </c>
      <c r="U185" s="267">
        <f t="shared" si="125"/>
        <v>0.9260000000000006</v>
      </c>
      <c r="V185" s="267">
        <f t="shared" si="125"/>
        <v>0.9246666666666673</v>
      </c>
      <c r="W185" s="267">
        <f t="shared" si="125"/>
        <v>0.92333333333333401</v>
      </c>
      <c r="X185" s="267">
        <f t="shared" si="125"/>
        <v>0.92200000000000071</v>
      </c>
      <c r="Y185" s="267">
        <f t="shared" si="125"/>
        <v>0.92066666666666741</v>
      </c>
      <c r="Z185" s="267">
        <f t="shared" si="125"/>
        <v>0.91933333333333411</v>
      </c>
      <c r="AA185" s="267">
        <f t="shared" si="125"/>
        <v>0.91800000000000082</v>
      </c>
      <c r="AB185" s="267">
        <f t="shared" si="125"/>
        <v>0.91666666666666752</v>
      </c>
      <c r="AC185" s="267">
        <f t="shared" si="125"/>
        <v>0.91533333333333422</v>
      </c>
      <c r="AD185" s="267">
        <f t="shared" si="125"/>
        <v>0.91400000000000092</v>
      </c>
      <c r="AE185" s="267">
        <f t="shared" si="125"/>
        <v>0.91266666666666763</v>
      </c>
      <c r="AF185" s="267">
        <f t="shared" si="125"/>
        <v>0.91133333333333433</v>
      </c>
      <c r="AG185" s="246">
        <v>0.91</v>
      </c>
      <c r="AI185" s="266"/>
      <c r="AJ185" t="s">
        <v>1470</v>
      </c>
    </row>
    <row r="186" spans="1:36" s="1" customFormat="1" outlineLevel="1">
      <c r="A186" t="s">
        <v>664</v>
      </c>
      <c r="B186" s="252" t="s">
        <v>126</v>
      </c>
      <c r="C186" s="246">
        <v>0.05</v>
      </c>
      <c r="D186" s="267">
        <f t="shared" si="124"/>
        <v>5.1333333333333335E-2</v>
      </c>
      <c r="E186" s="267">
        <f t="shared" si="124"/>
        <v>5.2666666666666667E-2</v>
      </c>
      <c r="F186" s="267">
        <f t="shared" si="124"/>
        <v>5.3999999999999999E-2</v>
      </c>
      <c r="G186" s="267">
        <f t="shared" si="124"/>
        <v>5.5333333333333332E-2</v>
      </c>
      <c r="H186" s="267">
        <f t="shared" si="124"/>
        <v>5.6666666666666664E-2</v>
      </c>
      <c r="I186" s="267">
        <f t="shared" si="124"/>
        <v>5.7999999999999996E-2</v>
      </c>
      <c r="J186" s="267">
        <f t="shared" si="124"/>
        <v>5.9333333333333328E-2</v>
      </c>
      <c r="K186" s="267">
        <f t="shared" si="124"/>
        <v>6.066666666666666E-2</v>
      </c>
      <c r="L186" s="267">
        <f t="shared" si="124"/>
        <v>6.1999999999999993E-2</v>
      </c>
      <c r="M186" s="267">
        <f t="shared" si="124"/>
        <v>6.3333333333333325E-2</v>
      </c>
      <c r="N186" s="267">
        <f t="shared" si="124"/>
        <v>6.4666666666666664E-2</v>
      </c>
      <c r="O186" s="267">
        <f t="shared" si="124"/>
        <v>6.6000000000000003E-2</v>
      </c>
      <c r="P186" s="267">
        <f t="shared" si="124"/>
        <v>6.7333333333333342E-2</v>
      </c>
      <c r="Q186" s="267">
        <f t="shared" si="124"/>
        <v>6.8666666666666681E-2</v>
      </c>
      <c r="R186" s="267">
        <f t="shared" si="124"/>
        <v>7.0000000000000021E-2</v>
      </c>
      <c r="S186" s="267">
        <f t="shared" si="124"/>
        <v>7.133333333333336E-2</v>
      </c>
      <c r="T186" s="267">
        <f t="shared" si="125"/>
        <v>7.2666666666666699E-2</v>
      </c>
      <c r="U186" s="267">
        <f t="shared" si="125"/>
        <v>7.4000000000000038E-2</v>
      </c>
      <c r="V186" s="267">
        <f t="shared" si="125"/>
        <v>7.5333333333333377E-2</v>
      </c>
      <c r="W186" s="267">
        <f t="shared" si="125"/>
        <v>7.6666666666666716E-2</v>
      </c>
      <c r="X186" s="267">
        <f t="shared" si="125"/>
        <v>7.8000000000000055E-2</v>
      </c>
      <c r="Y186" s="267">
        <f t="shared" si="125"/>
        <v>7.9333333333333395E-2</v>
      </c>
      <c r="Z186" s="267">
        <f t="shared" si="125"/>
        <v>8.0666666666666734E-2</v>
      </c>
      <c r="AA186" s="267">
        <f t="shared" si="125"/>
        <v>8.2000000000000073E-2</v>
      </c>
      <c r="AB186" s="267">
        <f t="shared" si="125"/>
        <v>8.3333333333333412E-2</v>
      </c>
      <c r="AC186" s="267">
        <f t="shared" si="125"/>
        <v>8.4666666666666751E-2</v>
      </c>
      <c r="AD186" s="267">
        <f t="shared" si="125"/>
        <v>8.600000000000009E-2</v>
      </c>
      <c r="AE186" s="267">
        <f t="shared" si="125"/>
        <v>8.7333333333333429E-2</v>
      </c>
      <c r="AF186" s="267">
        <f t="shared" si="125"/>
        <v>8.8666666666666769E-2</v>
      </c>
      <c r="AG186" s="246">
        <v>0.09</v>
      </c>
      <c r="AI186" s="266"/>
      <c r="AJ186" t="s">
        <v>1470</v>
      </c>
    </row>
    <row r="187" spans="1:36" s="1" customFormat="1" outlineLevel="1">
      <c r="A187" t="s">
        <v>666</v>
      </c>
      <c r="B187" s="252"/>
      <c r="C187" s="246">
        <v>0.27</v>
      </c>
      <c r="D187" s="267">
        <f t="shared" si="124"/>
        <v>0.26600000000000001</v>
      </c>
      <c r="E187" s="267">
        <f t="shared" si="124"/>
        <v>0.26200000000000001</v>
      </c>
      <c r="F187" s="267">
        <f t="shared" si="124"/>
        <v>0.25800000000000001</v>
      </c>
      <c r="G187" s="267">
        <f t="shared" si="124"/>
        <v>0.254</v>
      </c>
      <c r="H187" s="267">
        <f t="shared" si="124"/>
        <v>0.25</v>
      </c>
      <c r="I187" s="267">
        <f t="shared" si="124"/>
        <v>0.246</v>
      </c>
      <c r="J187" s="267">
        <f t="shared" si="124"/>
        <v>0.24199999999999999</v>
      </c>
      <c r="K187" s="267">
        <f t="shared" si="124"/>
        <v>0.23799999999999999</v>
      </c>
      <c r="L187" s="267">
        <f t="shared" si="124"/>
        <v>0.23399999999999999</v>
      </c>
      <c r="M187" s="267">
        <f t="shared" si="124"/>
        <v>0.22999999999999998</v>
      </c>
      <c r="N187" s="267">
        <f t="shared" si="124"/>
        <v>0.22599999999999998</v>
      </c>
      <c r="O187" s="267">
        <f t="shared" si="124"/>
        <v>0.22199999999999998</v>
      </c>
      <c r="P187" s="267">
        <f t="shared" si="124"/>
        <v>0.21799999999999997</v>
      </c>
      <c r="Q187" s="267">
        <f t="shared" si="124"/>
        <v>0.21399999999999997</v>
      </c>
      <c r="R187" s="267">
        <f t="shared" si="124"/>
        <v>0.20999999999999996</v>
      </c>
      <c r="S187" s="267">
        <f t="shared" si="124"/>
        <v>0.20599999999999996</v>
      </c>
      <c r="T187" s="267">
        <f t="shared" si="125"/>
        <v>0.20199999999999996</v>
      </c>
      <c r="U187" s="267">
        <f t="shared" si="125"/>
        <v>0.19799999999999995</v>
      </c>
      <c r="V187" s="267">
        <f t="shared" si="125"/>
        <v>0.19399999999999995</v>
      </c>
      <c r="W187" s="267">
        <f t="shared" si="125"/>
        <v>0.18999999999999995</v>
      </c>
      <c r="X187" s="267">
        <f t="shared" si="125"/>
        <v>0.18599999999999994</v>
      </c>
      <c r="Y187" s="267">
        <f t="shared" si="125"/>
        <v>0.18199999999999994</v>
      </c>
      <c r="Z187" s="267">
        <f t="shared" si="125"/>
        <v>0.17799999999999994</v>
      </c>
      <c r="AA187" s="267">
        <f t="shared" si="125"/>
        <v>0.17399999999999993</v>
      </c>
      <c r="AB187" s="267">
        <f t="shared" si="125"/>
        <v>0.16999999999999993</v>
      </c>
      <c r="AC187" s="267">
        <f t="shared" si="125"/>
        <v>0.16599999999999993</v>
      </c>
      <c r="AD187" s="267">
        <f t="shared" si="125"/>
        <v>0.16199999999999992</v>
      </c>
      <c r="AE187" s="267">
        <f t="shared" si="125"/>
        <v>0.15799999999999992</v>
      </c>
      <c r="AF187" s="267">
        <f t="shared" si="125"/>
        <v>0.15399999999999991</v>
      </c>
      <c r="AG187" s="246">
        <v>0.15</v>
      </c>
      <c r="AI187" s="266"/>
      <c r="AJ187" t="s">
        <v>1470</v>
      </c>
    </row>
    <row r="188" spans="1:36" s="61" customFormat="1" outlineLevel="1">
      <c r="A188" s="294" t="s">
        <v>657</v>
      </c>
      <c r="B188" s="258" t="s">
        <v>126</v>
      </c>
      <c r="C188" s="255">
        <f>1-SUM(C189:C193)</f>
        <v>0.97</v>
      </c>
      <c r="D188" s="287">
        <f t="shared" ref="D188:S189" si="126">-($C188-$AG188)/30+C188</f>
        <v>0.97033333333333327</v>
      </c>
      <c r="E188" s="287">
        <f t="shared" si="126"/>
        <v>0.97066666666666657</v>
      </c>
      <c r="F188" s="287">
        <f t="shared" si="126"/>
        <v>0.97099999999999986</v>
      </c>
      <c r="G188" s="287">
        <f t="shared" si="126"/>
        <v>0.97133333333333316</v>
      </c>
      <c r="H188" s="287">
        <f t="shared" si="126"/>
        <v>0.97166666666666646</v>
      </c>
      <c r="I188" s="287">
        <f t="shared" si="126"/>
        <v>0.97199999999999975</v>
      </c>
      <c r="J188" s="287">
        <f t="shared" si="126"/>
        <v>0.97233333333333305</v>
      </c>
      <c r="K188" s="287">
        <f t="shared" si="126"/>
        <v>0.97266666666666635</v>
      </c>
      <c r="L188" s="287">
        <f t="shared" si="126"/>
        <v>0.97299999999999964</v>
      </c>
      <c r="M188" s="287">
        <f t="shared" si="126"/>
        <v>0.97333333333333294</v>
      </c>
      <c r="N188" s="287">
        <f t="shared" si="126"/>
        <v>0.97366666666666624</v>
      </c>
      <c r="O188" s="287">
        <f t="shared" si="126"/>
        <v>0.97399999999999953</v>
      </c>
      <c r="P188" s="287">
        <f t="shared" si="126"/>
        <v>0.97433333333333283</v>
      </c>
      <c r="Q188" s="287">
        <f t="shared" si="126"/>
        <v>0.97466666666666613</v>
      </c>
      <c r="R188" s="287">
        <f t="shared" si="126"/>
        <v>0.97499999999999942</v>
      </c>
      <c r="S188" s="287">
        <f t="shared" si="126"/>
        <v>0.97533333333333272</v>
      </c>
      <c r="T188" s="287">
        <f t="shared" si="125"/>
        <v>0.97566666666666602</v>
      </c>
      <c r="U188" s="287">
        <f t="shared" si="125"/>
        <v>0.97599999999999931</v>
      </c>
      <c r="V188" s="287">
        <f t="shared" si="125"/>
        <v>0.97633333333333261</v>
      </c>
      <c r="W188" s="287">
        <f t="shared" si="125"/>
        <v>0.97666666666666591</v>
      </c>
      <c r="X188" s="287">
        <f t="shared" si="125"/>
        <v>0.9769999999999992</v>
      </c>
      <c r="Y188" s="287">
        <f t="shared" si="125"/>
        <v>0.9773333333333325</v>
      </c>
      <c r="Z188" s="287">
        <f t="shared" si="125"/>
        <v>0.9776666666666658</v>
      </c>
      <c r="AA188" s="287">
        <f t="shared" si="125"/>
        <v>0.97799999999999909</v>
      </c>
      <c r="AB188" s="287">
        <f t="shared" si="125"/>
        <v>0.97833333333333239</v>
      </c>
      <c r="AC188" s="287">
        <f t="shared" si="125"/>
        <v>0.97866666666666569</v>
      </c>
      <c r="AD188" s="287">
        <f t="shared" si="125"/>
        <v>0.97899999999999898</v>
      </c>
      <c r="AE188" s="287">
        <f t="shared" si="125"/>
        <v>0.97933333333333228</v>
      </c>
      <c r="AF188" s="287">
        <f t="shared" si="125"/>
        <v>0.97966666666666558</v>
      </c>
      <c r="AG188" s="255">
        <f>1-SUM(AG189:AG193)</f>
        <v>0.98</v>
      </c>
      <c r="AH188"/>
      <c r="AI188" s="188"/>
      <c r="AJ188" t="s">
        <v>1470</v>
      </c>
    </row>
    <row r="189" spans="1:36" outlineLevel="1">
      <c r="A189" s="295" t="s">
        <v>658</v>
      </c>
      <c r="B189" s="252" t="s">
        <v>126</v>
      </c>
      <c r="C189" s="266">
        <v>0.01</v>
      </c>
      <c r="D189" s="267">
        <f t="shared" si="126"/>
        <v>0.01</v>
      </c>
      <c r="E189" s="267">
        <f t="shared" si="126"/>
        <v>0.01</v>
      </c>
      <c r="F189" s="267">
        <f t="shared" si="126"/>
        <v>0.01</v>
      </c>
      <c r="G189" s="267">
        <f t="shared" si="126"/>
        <v>0.01</v>
      </c>
      <c r="H189" s="267">
        <f t="shared" si="126"/>
        <v>0.01</v>
      </c>
      <c r="I189" s="267">
        <f t="shared" si="126"/>
        <v>0.01</v>
      </c>
      <c r="J189" s="267">
        <f t="shared" si="126"/>
        <v>0.01</v>
      </c>
      <c r="K189" s="267">
        <f t="shared" si="126"/>
        <v>0.01</v>
      </c>
      <c r="L189" s="267">
        <f t="shared" si="126"/>
        <v>0.01</v>
      </c>
      <c r="M189" s="267">
        <f t="shared" si="126"/>
        <v>0.01</v>
      </c>
      <c r="N189" s="267">
        <f t="shared" si="126"/>
        <v>0.01</v>
      </c>
      <c r="O189" s="267">
        <f t="shared" si="126"/>
        <v>0.01</v>
      </c>
      <c r="P189" s="267">
        <f t="shared" si="126"/>
        <v>0.01</v>
      </c>
      <c r="Q189" s="267">
        <f t="shared" si="126"/>
        <v>0.01</v>
      </c>
      <c r="R189" s="267">
        <f t="shared" si="126"/>
        <v>0.01</v>
      </c>
      <c r="S189" s="267">
        <f t="shared" si="126"/>
        <v>0.01</v>
      </c>
      <c r="T189" s="267">
        <f t="shared" si="125"/>
        <v>0.01</v>
      </c>
      <c r="U189" s="267">
        <f t="shared" si="125"/>
        <v>0.01</v>
      </c>
      <c r="V189" s="267">
        <f t="shared" si="125"/>
        <v>0.01</v>
      </c>
      <c r="W189" s="267">
        <f t="shared" si="125"/>
        <v>0.01</v>
      </c>
      <c r="X189" s="267">
        <f t="shared" si="125"/>
        <v>0.01</v>
      </c>
      <c r="Y189" s="267">
        <f t="shared" si="125"/>
        <v>0.01</v>
      </c>
      <c r="Z189" s="267">
        <f t="shared" si="125"/>
        <v>0.01</v>
      </c>
      <c r="AA189" s="267">
        <f t="shared" si="125"/>
        <v>0.01</v>
      </c>
      <c r="AB189" s="267">
        <f t="shared" si="125"/>
        <v>0.01</v>
      </c>
      <c r="AC189" s="267">
        <f t="shared" si="125"/>
        <v>0.01</v>
      </c>
      <c r="AD189" s="267">
        <f t="shared" si="125"/>
        <v>0.01</v>
      </c>
      <c r="AE189" s="267">
        <f t="shared" si="125"/>
        <v>0.01</v>
      </c>
      <c r="AF189" s="267">
        <f t="shared" si="125"/>
        <v>0.01</v>
      </c>
      <c r="AG189" s="266">
        <v>0.01</v>
      </c>
      <c r="AI189" s="188"/>
      <c r="AJ189" s="271" t="s">
        <v>1469</v>
      </c>
    </row>
    <row r="190" spans="1:36" outlineLevel="1">
      <c r="A190" s="295" t="s">
        <v>659</v>
      </c>
      <c r="B190" s="252" t="s">
        <v>126</v>
      </c>
      <c r="C190" s="562">
        <v>0</v>
      </c>
      <c r="D190" s="267">
        <f t="shared" si="124"/>
        <v>0</v>
      </c>
      <c r="E190" s="267">
        <f t="shared" si="124"/>
        <v>0</v>
      </c>
      <c r="F190" s="267">
        <f t="shared" si="124"/>
        <v>0</v>
      </c>
      <c r="G190" s="267">
        <f t="shared" si="124"/>
        <v>0</v>
      </c>
      <c r="H190" s="267">
        <f t="shared" si="124"/>
        <v>0</v>
      </c>
      <c r="I190" s="267">
        <f t="shared" si="124"/>
        <v>0</v>
      </c>
      <c r="J190" s="267">
        <f t="shared" si="124"/>
        <v>0</v>
      </c>
      <c r="K190" s="267">
        <f t="shared" si="124"/>
        <v>0</v>
      </c>
      <c r="L190" s="267">
        <f t="shared" si="124"/>
        <v>0</v>
      </c>
      <c r="M190" s="267">
        <f t="shared" si="124"/>
        <v>0</v>
      </c>
      <c r="N190" s="267">
        <f t="shared" si="124"/>
        <v>0</v>
      </c>
      <c r="O190" s="267">
        <f t="shared" si="124"/>
        <v>0</v>
      </c>
      <c r="P190" s="267">
        <f t="shared" si="124"/>
        <v>0</v>
      </c>
      <c r="Q190" s="267">
        <f t="shared" si="124"/>
        <v>0</v>
      </c>
      <c r="R190" s="267">
        <f t="shared" si="124"/>
        <v>0</v>
      </c>
      <c r="S190" s="267">
        <f t="shared" si="124"/>
        <v>0</v>
      </c>
      <c r="T190" s="267">
        <f t="shared" si="125"/>
        <v>0</v>
      </c>
      <c r="U190" s="267">
        <f t="shared" si="125"/>
        <v>0</v>
      </c>
      <c r="V190" s="267">
        <f t="shared" si="125"/>
        <v>0</v>
      </c>
      <c r="W190" s="267">
        <f t="shared" si="125"/>
        <v>0</v>
      </c>
      <c r="X190" s="267">
        <f t="shared" si="125"/>
        <v>0</v>
      </c>
      <c r="Y190" s="267">
        <f t="shared" si="125"/>
        <v>0</v>
      </c>
      <c r="Z190" s="267">
        <f t="shared" si="125"/>
        <v>0</v>
      </c>
      <c r="AA190" s="267">
        <f t="shared" si="125"/>
        <v>0</v>
      </c>
      <c r="AB190" s="267">
        <f t="shared" si="125"/>
        <v>0</v>
      </c>
      <c r="AC190" s="267">
        <f t="shared" si="125"/>
        <v>0</v>
      </c>
      <c r="AD190" s="267">
        <f t="shared" si="125"/>
        <v>0</v>
      </c>
      <c r="AE190" s="267">
        <f t="shared" si="125"/>
        <v>0</v>
      </c>
      <c r="AF190" s="267">
        <f t="shared" si="125"/>
        <v>0</v>
      </c>
      <c r="AG190" s="562">
        <v>0</v>
      </c>
      <c r="AI190" s="246"/>
      <c r="AJ190" t="s">
        <v>1470</v>
      </c>
    </row>
    <row r="191" spans="1:36" outlineLevel="1">
      <c r="A191" s="295" t="s">
        <v>660</v>
      </c>
      <c r="B191" s="252" t="s">
        <v>126</v>
      </c>
      <c r="C191" s="562">
        <v>0</v>
      </c>
      <c r="D191" s="267">
        <f t="shared" si="124"/>
        <v>0</v>
      </c>
      <c r="E191" s="267">
        <f t="shared" si="124"/>
        <v>0</v>
      </c>
      <c r="F191" s="267">
        <f t="shared" si="124"/>
        <v>0</v>
      </c>
      <c r="G191" s="267">
        <f t="shared" si="124"/>
        <v>0</v>
      </c>
      <c r="H191" s="267">
        <f t="shared" si="124"/>
        <v>0</v>
      </c>
      <c r="I191" s="267">
        <f t="shared" si="124"/>
        <v>0</v>
      </c>
      <c r="J191" s="267">
        <f t="shared" si="124"/>
        <v>0</v>
      </c>
      <c r="K191" s="267">
        <f t="shared" si="124"/>
        <v>0</v>
      </c>
      <c r="L191" s="267">
        <f t="shared" si="124"/>
        <v>0</v>
      </c>
      <c r="M191" s="267">
        <f t="shared" si="124"/>
        <v>0</v>
      </c>
      <c r="N191" s="267">
        <f t="shared" si="124"/>
        <v>0</v>
      </c>
      <c r="O191" s="267">
        <f t="shared" si="124"/>
        <v>0</v>
      </c>
      <c r="P191" s="267">
        <f t="shared" si="124"/>
        <v>0</v>
      </c>
      <c r="Q191" s="267">
        <f t="shared" si="124"/>
        <v>0</v>
      </c>
      <c r="R191" s="267">
        <f t="shared" si="124"/>
        <v>0</v>
      </c>
      <c r="S191" s="267">
        <f t="shared" si="124"/>
        <v>0</v>
      </c>
      <c r="T191" s="267">
        <f t="shared" si="125"/>
        <v>0</v>
      </c>
      <c r="U191" s="267">
        <f t="shared" si="125"/>
        <v>0</v>
      </c>
      <c r="V191" s="267">
        <f t="shared" si="125"/>
        <v>0</v>
      </c>
      <c r="W191" s="267">
        <f t="shared" si="125"/>
        <v>0</v>
      </c>
      <c r="X191" s="267">
        <f t="shared" si="125"/>
        <v>0</v>
      </c>
      <c r="Y191" s="267">
        <f t="shared" si="125"/>
        <v>0</v>
      </c>
      <c r="Z191" s="267">
        <f t="shared" si="125"/>
        <v>0</v>
      </c>
      <c r="AA191" s="267">
        <f t="shared" si="125"/>
        <v>0</v>
      </c>
      <c r="AB191" s="267">
        <f t="shared" si="125"/>
        <v>0</v>
      </c>
      <c r="AC191" s="267">
        <f t="shared" si="125"/>
        <v>0</v>
      </c>
      <c r="AD191" s="267">
        <f t="shared" si="125"/>
        <v>0</v>
      </c>
      <c r="AE191" s="267">
        <f t="shared" si="125"/>
        <v>0</v>
      </c>
      <c r="AF191" s="267">
        <f t="shared" si="125"/>
        <v>0</v>
      </c>
      <c r="AG191" s="562">
        <v>0</v>
      </c>
      <c r="AI191" s="246"/>
      <c r="AJ191" t="s">
        <v>1470</v>
      </c>
    </row>
    <row r="192" spans="1:36" outlineLevel="1">
      <c r="A192" s="295" t="s">
        <v>661</v>
      </c>
      <c r="B192" s="252" t="s">
        <v>126</v>
      </c>
      <c r="C192" s="562">
        <v>1.4999999999999999E-2</v>
      </c>
      <c r="D192" s="267">
        <f t="shared" si="124"/>
        <v>1.4733333333333333E-2</v>
      </c>
      <c r="E192" s="267">
        <f t="shared" si="124"/>
        <v>1.4466666666666666E-2</v>
      </c>
      <c r="F192" s="267">
        <f t="shared" si="124"/>
        <v>1.4199999999999999E-2</v>
      </c>
      <c r="G192" s="267">
        <f t="shared" si="124"/>
        <v>1.3933333333333332E-2</v>
      </c>
      <c r="H192" s="267">
        <f t="shared" si="124"/>
        <v>1.3666666666666666E-2</v>
      </c>
      <c r="I192" s="267">
        <f t="shared" si="124"/>
        <v>1.3399999999999999E-2</v>
      </c>
      <c r="J192" s="267">
        <f t="shared" si="124"/>
        <v>1.3133333333333332E-2</v>
      </c>
      <c r="K192" s="267">
        <f t="shared" si="124"/>
        <v>1.2866666666666665E-2</v>
      </c>
      <c r="L192" s="267">
        <f t="shared" si="124"/>
        <v>1.2599999999999998E-2</v>
      </c>
      <c r="M192" s="267">
        <f t="shared" si="124"/>
        <v>1.2333333333333332E-2</v>
      </c>
      <c r="N192" s="267">
        <f t="shared" si="124"/>
        <v>1.2066666666666665E-2</v>
      </c>
      <c r="O192" s="267">
        <f t="shared" si="124"/>
        <v>1.1799999999999998E-2</v>
      </c>
      <c r="P192" s="267">
        <f t="shared" si="124"/>
        <v>1.1533333333333331E-2</v>
      </c>
      <c r="Q192" s="267">
        <f t="shared" si="124"/>
        <v>1.1266666666666664E-2</v>
      </c>
      <c r="R192" s="267">
        <f t="shared" si="124"/>
        <v>1.0999999999999998E-2</v>
      </c>
      <c r="S192" s="267">
        <f t="shared" ref="S192:AF192" si="127">-($C192-$AG192)/30+R192</f>
        <v>1.0733333333333331E-2</v>
      </c>
      <c r="T192" s="267">
        <f t="shared" si="127"/>
        <v>1.0466666666666664E-2</v>
      </c>
      <c r="U192" s="267">
        <f t="shared" si="127"/>
        <v>1.0199999999999997E-2</v>
      </c>
      <c r="V192" s="267">
        <f t="shared" si="127"/>
        <v>9.9333333333333305E-3</v>
      </c>
      <c r="W192" s="267">
        <f t="shared" si="127"/>
        <v>9.6666666666666637E-3</v>
      </c>
      <c r="X192" s="267">
        <f t="shared" si="127"/>
        <v>9.3999999999999969E-3</v>
      </c>
      <c r="Y192" s="267">
        <f t="shared" si="127"/>
        <v>9.1333333333333301E-3</v>
      </c>
      <c r="Z192" s="267">
        <f t="shared" si="127"/>
        <v>8.8666666666666633E-3</v>
      </c>
      <c r="AA192" s="267">
        <f t="shared" si="127"/>
        <v>8.5999999999999965E-3</v>
      </c>
      <c r="AB192" s="267">
        <f t="shared" si="127"/>
        <v>8.3333333333333297E-3</v>
      </c>
      <c r="AC192" s="267">
        <f t="shared" si="127"/>
        <v>8.066666666666663E-3</v>
      </c>
      <c r="AD192" s="267">
        <f t="shared" si="127"/>
        <v>7.7999999999999962E-3</v>
      </c>
      <c r="AE192" s="267">
        <f t="shared" si="127"/>
        <v>7.5333333333333294E-3</v>
      </c>
      <c r="AF192" s="267">
        <f t="shared" si="127"/>
        <v>7.2666666666666626E-3</v>
      </c>
      <c r="AG192" s="562">
        <v>7.0000000000000001E-3</v>
      </c>
      <c r="AI192" s="246"/>
      <c r="AJ192" t="s">
        <v>1470</v>
      </c>
    </row>
    <row r="193" spans="1:36" s="62" customFormat="1" outlineLevel="1">
      <c r="A193" s="296" t="s">
        <v>662</v>
      </c>
      <c r="B193" s="262" t="s">
        <v>126</v>
      </c>
      <c r="C193" s="564">
        <v>5.0000000000000001E-3</v>
      </c>
      <c r="D193" s="289">
        <f t="shared" ref="D193:AF193" si="128">-($C193-$AG193)/30+C193</f>
        <v>4.9333333333333338E-3</v>
      </c>
      <c r="E193" s="289">
        <f t="shared" si="128"/>
        <v>4.8666666666666676E-3</v>
      </c>
      <c r="F193" s="289">
        <f t="shared" si="128"/>
        <v>4.8000000000000013E-3</v>
      </c>
      <c r="G193" s="289">
        <f t="shared" si="128"/>
        <v>4.7333333333333351E-3</v>
      </c>
      <c r="H193" s="289">
        <f t="shared" si="128"/>
        <v>4.6666666666666688E-3</v>
      </c>
      <c r="I193" s="289">
        <f t="shared" si="128"/>
        <v>4.6000000000000025E-3</v>
      </c>
      <c r="J193" s="289">
        <f t="shared" si="128"/>
        <v>4.5333333333333363E-3</v>
      </c>
      <c r="K193" s="289">
        <f t="shared" si="128"/>
        <v>4.46666666666667E-3</v>
      </c>
      <c r="L193" s="289">
        <f t="shared" si="128"/>
        <v>4.4000000000000037E-3</v>
      </c>
      <c r="M193" s="289">
        <f t="shared" si="128"/>
        <v>4.3333333333333375E-3</v>
      </c>
      <c r="N193" s="289">
        <f t="shared" si="128"/>
        <v>4.2666666666666712E-3</v>
      </c>
      <c r="O193" s="289">
        <f t="shared" si="128"/>
        <v>4.2000000000000049E-3</v>
      </c>
      <c r="P193" s="289">
        <f t="shared" si="128"/>
        <v>4.1333333333333387E-3</v>
      </c>
      <c r="Q193" s="289">
        <f t="shared" si="128"/>
        <v>4.0666666666666724E-3</v>
      </c>
      <c r="R193" s="289">
        <f t="shared" si="128"/>
        <v>4.0000000000000062E-3</v>
      </c>
      <c r="S193" s="289">
        <f t="shared" si="128"/>
        <v>3.9333333333333399E-3</v>
      </c>
      <c r="T193" s="289">
        <f t="shared" si="128"/>
        <v>3.8666666666666732E-3</v>
      </c>
      <c r="U193" s="289">
        <f t="shared" si="128"/>
        <v>3.8000000000000065E-3</v>
      </c>
      <c r="V193" s="289">
        <f t="shared" si="128"/>
        <v>3.7333333333333398E-3</v>
      </c>
      <c r="W193" s="289">
        <f t="shared" si="128"/>
        <v>3.6666666666666731E-3</v>
      </c>
      <c r="X193" s="289">
        <f t="shared" si="128"/>
        <v>3.6000000000000064E-3</v>
      </c>
      <c r="Y193" s="289">
        <f t="shared" si="128"/>
        <v>3.5333333333333397E-3</v>
      </c>
      <c r="Z193" s="289">
        <f t="shared" si="128"/>
        <v>3.466666666666673E-3</v>
      </c>
      <c r="AA193" s="289">
        <f t="shared" si="128"/>
        <v>3.4000000000000063E-3</v>
      </c>
      <c r="AB193" s="289">
        <f t="shared" si="128"/>
        <v>3.3333333333333396E-3</v>
      </c>
      <c r="AC193" s="289">
        <f t="shared" si="128"/>
        <v>3.2666666666666729E-3</v>
      </c>
      <c r="AD193" s="289">
        <f t="shared" si="128"/>
        <v>3.2000000000000062E-3</v>
      </c>
      <c r="AE193" s="289">
        <f t="shared" si="128"/>
        <v>3.1333333333333395E-3</v>
      </c>
      <c r="AF193" s="289">
        <f t="shared" si="128"/>
        <v>3.0666666666666728E-3</v>
      </c>
      <c r="AG193" s="564">
        <v>3.0000000000000001E-3</v>
      </c>
      <c r="AI193" s="264"/>
      <c r="AJ193" t="s">
        <v>1470</v>
      </c>
    </row>
    <row r="194" spans="1:36" s="54" customFormat="1" outlineLevel="1">
      <c r="A194" s="54" t="s">
        <v>626</v>
      </c>
      <c r="B194" s="253"/>
      <c r="C194" s="254">
        <f t="shared" ref="C194:AG194" si="129">C29</f>
        <v>469451.33690471697</v>
      </c>
      <c r="D194" s="254">
        <f t="shared" si="129"/>
        <v>468414.98795761366</v>
      </c>
      <c r="E194" s="254">
        <f t="shared" si="129"/>
        <v>467380.92682834307</v>
      </c>
      <c r="F194" s="254">
        <f t="shared" si="129"/>
        <v>466349.14846637612</v>
      </c>
      <c r="G194" s="254">
        <f t="shared" si="129"/>
        <v>465319.64783233334</v>
      </c>
      <c r="H194" s="254">
        <f t="shared" si="129"/>
        <v>464292.4198979598</v>
      </c>
      <c r="I194" s="254">
        <f t="shared" si="129"/>
        <v>463267.45964610099</v>
      </c>
      <c r="J194" s="254">
        <f t="shared" si="129"/>
        <v>462244.76207067817</v>
      </c>
      <c r="K194" s="254">
        <f t="shared" si="129"/>
        <v>461224.32217666367</v>
      </c>
      <c r="L194" s="254">
        <f t="shared" si="129"/>
        <v>460206.13498005713</v>
      </c>
      <c r="M194" s="254">
        <f t="shared" si="129"/>
        <v>459190.19550786028</v>
      </c>
      <c r="N194" s="254">
        <f t="shared" si="129"/>
        <v>458176.49879805348</v>
      </c>
      <c r="O194" s="254">
        <f t="shared" si="129"/>
        <v>457165.03989957087</v>
      </c>
      <c r="P194" s="254">
        <f t="shared" si="129"/>
        <v>456155.81387227646</v>
      </c>
      <c r="Q194" s="254">
        <f t="shared" si="129"/>
        <v>455148.81578694022</v>
      </c>
      <c r="R194" s="254">
        <f t="shared" si="129"/>
        <v>454144.04072521348</v>
      </c>
      <c r="S194" s="254">
        <f t="shared" si="129"/>
        <v>453141.48377960542</v>
      </c>
      <c r="T194" s="254">
        <f t="shared" si="129"/>
        <v>452141.14005345874</v>
      </c>
      <c r="U194" s="254">
        <f t="shared" si="129"/>
        <v>451143.00466092583</v>
      </c>
      <c r="V194" s="254">
        <f t="shared" si="129"/>
        <v>450147.07272694499</v>
      </c>
      <c r="W194" s="254">
        <f t="shared" si="129"/>
        <v>449153.33938721672</v>
      </c>
      <c r="X194" s="254">
        <f t="shared" si="129"/>
        <v>448161.79978817981</v>
      </c>
      <c r="Y194" s="254">
        <f t="shared" si="129"/>
        <v>447172.44908698736</v>
      </c>
      <c r="Z194" s="254">
        <f t="shared" si="129"/>
        <v>446185.28245148377</v>
      </c>
      <c r="AA194" s="254">
        <f t="shared" si="129"/>
        <v>445200.29506018048</v>
      </c>
      <c r="AB194" s="254">
        <f t="shared" si="129"/>
        <v>444217.48210223304</v>
      </c>
      <c r="AC194" s="254">
        <f t="shared" si="129"/>
        <v>443236.83877741708</v>
      </c>
      <c r="AD194" s="254">
        <f t="shared" si="129"/>
        <v>442258.36029610515</v>
      </c>
      <c r="AE194" s="254">
        <f t="shared" si="129"/>
        <v>441282.04187924333</v>
      </c>
      <c r="AF194" s="254">
        <f t="shared" si="129"/>
        <v>440307.87875832757</v>
      </c>
      <c r="AG194" s="254">
        <f t="shared" si="129"/>
        <v>439335.866175381</v>
      </c>
      <c r="AI194" s="255"/>
      <c r="AJ194" s="256"/>
    </row>
    <row r="195" spans="1:36" s="54" customFormat="1" outlineLevel="1">
      <c r="A195" s="257" t="s">
        <v>178</v>
      </c>
      <c r="B195" s="258" t="s">
        <v>127</v>
      </c>
      <c r="C195" s="259">
        <v>0</v>
      </c>
      <c r="D195" s="259">
        <v>0</v>
      </c>
      <c r="E195" s="259">
        <v>0</v>
      </c>
      <c r="F195" s="259">
        <v>0</v>
      </c>
      <c r="G195" s="259">
        <v>0</v>
      </c>
      <c r="H195" s="259">
        <v>0</v>
      </c>
      <c r="I195" s="259">
        <v>0</v>
      </c>
      <c r="J195" s="259">
        <v>0</v>
      </c>
      <c r="K195" s="259">
        <v>0</v>
      </c>
      <c r="L195" s="259">
        <v>0</v>
      </c>
      <c r="M195" s="259">
        <v>0</v>
      </c>
      <c r="N195" s="259">
        <v>0</v>
      </c>
      <c r="O195" s="259">
        <v>0</v>
      </c>
      <c r="P195" s="259">
        <v>0</v>
      </c>
      <c r="Q195" s="259">
        <v>0</v>
      </c>
      <c r="R195" s="259">
        <v>0</v>
      </c>
      <c r="S195" s="259">
        <v>0</v>
      </c>
      <c r="T195" s="259">
        <v>0</v>
      </c>
      <c r="U195" s="259">
        <v>0</v>
      </c>
      <c r="V195" s="259">
        <v>0</v>
      </c>
      <c r="W195" s="259">
        <v>0</v>
      </c>
      <c r="X195" s="259">
        <v>0</v>
      </c>
      <c r="Y195" s="259">
        <v>0</v>
      </c>
      <c r="Z195" s="259">
        <v>0</v>
      </c>
      <c r="AA195" s="259">
        <v>0</v>
      </c>
      <c r="AB195" s="259">
        <v>0</v>
      </c>
      <c r="AC195" s="259">
        <v>0</v>
      </c>
      <c r="AD195" s="259">
        <v>0</v>
      </c>
      <c r="AE195" s="259">
        <v>0</v>
      </c>
      <c r="AF195" s="259">
        <v>0</v>
      </c>
      <c r="AG195" s="259">
        <v>0</v>
      </c>
      <c r="AI195" s="255"/>
      <c r="AJ195" s="256"/>
    </row>
    <row r="196" spans="1:36" outlineLevel="1">
      <c r="A196" s="260" t="s">
        <v>619</v>
      </c>
      <c r="B196" s="252" t="s">
        <v>127</v>
      </c>
      <c r="C196" s="218">
        <f t="shared" ref="C196:AG196" si="130">C163</f>
        <v>20559.229018319769</v>
      </c>
      <c r="D196" s="218">
        <f t="shared" si="130"/>
        <v>20902.568142925709</v>
      </c>
      <c r="E196" s="218">
        <f t="shared" si="130"/>
        <v>21251.641030912568</v>
      </c>
      <c r="F196" s="218">
        <f t="shared" si="130"/>
        <v>21606.543436128806</v>
      </c>
      <c r="G196" s="218">
        <f t="shared" si="130"/>
        <v>21967.372711512155</v>
      </c>
      <c r="H196" s="218">
        <f t="shared" si="130"/>
        <v>22334.227835794405</v>
      </c>
      <c r="I196" s="218">
        <f t="shared" si="130"/>
        <v>22707.209440652172</v>
      </c>
      <c r="J196" s="218">
        <f t="shared" si="130"/>
        <v>23086.419838311063</v>
      </c>
      <c r="K196" s="218">
        <f t="shared" si="130"/>
        <v>23471.963049610858</v>
      </c>
      <c r="L196" s="218">
        <f t="shared" si="130"/>
        <v>23863.944832539357</v>
      </c>
      <c r="M196" s="218">
        <f t="shared" si="130"/>
        <v>24262.472711242761</v>
      </c>
      <c r="N196" s="218">
        <f t="shared" si="130"/>
        <v>24667.656005520512</v>
      </c>
      <c r="O196" s="218">
        <f t="shared" si="130"/>
        <v>25079.605860812702</v>
      </c>
      <c r="P196" s="218">
        <f t="shared" si="130"/>
        <v>25498.435278688274</v>
      </c>
      <c r="Q196" s="218">
        <f t="shared" si="130"/>
        <v>25924.259147842367</v>
      </c>
      <c r="R196" s="218">
        <f t="shared" si="130"/>
        <v>26357.194275611335</v>
      </c>
      <c r="S196" s="218">
        <f t="shared" si="130"/>
        <v>26797.359420014043</v>
      </c>
      <c r="T196" s="218">
        <f t="shared" si="130"/>
        <v>27244.875322328277</v>
      </c>
      <c r="U196" s="218">
        <f t="shared" si="130"/>
        <v>27699.864740211156</v>
      </c>
      <c r="V196" s="218">
        <f t="shared" si="130"/>
        <v>28162.452481372682</v>
      </c>
      <c r="W196" s="218">
        <f t="shared" si="130"/>
        <v>28632.765437811606</v>
      </c>
      <c r="X196" s="218">
        <f t="shared" si="130"/>
        <v>29110.932620623058</v>
      </c>
      <c r="Y196" s="218">
        <f t="shared" si="130"/>
        <v>29597.085195387463</v>
      </c>
      <c r="Z196" s="218">
        <f t="shared" si="130"/>
        <v>30091.356518150431</v>
      </c>
      <c r="AA196" s="218">
        <f t="shared" si="130"/>
        <v>30593.882172003541</v>
      </c>
      <c r="AB196" s="218">
        <f t="shared" si="130"/>
        <v>31104.800004276</v>
      </c>
      <c r="AC196" s="218">
        <f t="shared" si="130"/>
        <v>31624.250164347406</v>
      </c>
      <c r="AD196" s="218">
        <f t="shared" si="130"/>
        <v>32152.375142092005</v>
      </c>
      <c r="AE196" s="218">
        <f t="shared" si="130"/>
        <v>32689.319806964941</v>
      </c>
      <c r="AF196" s="218">
        <f t="shared" si="130"/>
        <v>33235.231447741251</v>
      </c>
      <c r="AG196" s="218">
        <f t="shared" si="130"/>
        <v>33790.259812918528</v>
      </c>
      <c r="AI196" s="246"/>
    </row>
    <row r="197" spans="1:36" s="62" customFormat="1" outlineLevel="1">
      <c r="A197" s="261" t="s">
        <v>628</v>
      </c>
      <c r="B197" s="262" t="s">
        <v>127</v>
      </c>
      <c r="C197" s="263">
        <f>C194-C195-C196</f>
        <v>448892.10788639722</v>
      </c>
      <c r="D197" s="263">
        <f t="shared" ref="D197:AG197" si="131">D194-D195-D196</f>
        <v>447512.41981468792</v>
      </c>
      <c r="E197" s="263">
        <f t="shared" si="131"/>
        <v>446129.28579743049</v>
      </c>
      <c r="F197" s="263">
        <f t="shared" si="131"/>
        <v>444742.6050302473</v>
      </c>
      <c r="G197" s="263">
        <f t="shared" si="131"/>
        <v>443352.2751208212</v>
      </c>
      <c r="H197" s="263">
        <f t="shared" si="131"/>
        <v>441958.19206216541</v>
      </c>
      <c r="I197" s="263">
        <f t="shared" si="131"/>
        <v>440560.25020544883</v>
      </c>
      <c r="J197" s="263">
        <f t="shared" si="131"/>
        <v>439158.34223236714</v>
      </c>
      <c r="K197" s="263">
        <f t="shared" si="131"/>
        <v>437752.35912705283</v>
      </c>
      <c r="L197" s="263">
        <f t="shared" si="131"/>
        <v>436342.19014751777</v>
      </c>
      <c r="M197" s="263">
        <f t="shared" si="131"/>
        <v>434927.72279661754</v>
      </c>
      <c r="N197" s="263">
        <f t="shared" si="131"/>
        <v>433508.84279253299</v>
      </c>
      <c r="O197" s="263">
        <f t="shared" si="131"/>
        <v>432085.43403875816</v>
      </c>
      <c r="P197" s="263">
        <f t="shared" si="131"/>
        <v>430657.37859358819</v>
      </c>
      <c r="Q197" s="263">
        <f t="shared" si="131"/>
        <v>429224.55663909786</v>
      </c>
      <c r="R197" s="263">
        <f t="shared" si="131"/>
        <v>427786.84644960216</v>
      </c>
      <c r="S197" s="263">
        <f t="shared" si="131"/>
        <v>426344.1243595914</v>
      </c>
      <c r="T197" s="263">
        <f t="shared" si="131"/>
        <v>424896.26473113045</v>
      </c>
      <c r="U197" s="263">
        <f t="shared" si="131"/>
        <v>423443.13992071466</v>
      </c>
      <c r="V197" s="263">
        <f t="shared" si="131"/>
        <v>421984.6202455723</v>
      </c>
      <c r="W197" s="263">
        <f t="shared" si="131"/>
        <v>420520.57394940511</v>
      </c>
      <c r="X197" s="263">
        <f t="shared" si="131"/>
        <v>419050.86716755677</v>
      </c>
      <c r="Y197" s="263">
        <f t="shared" si="131"/>
        <v>417575.36389159987</v>
      </c>
      <c r="Z197" s="263">
        <f t="shared" si="131"/>
        <v>416093.92593333335</v>
      </c>
      <c r="AA197" s="263">
        <f t="shared" si="131"/>
        <v>414606.41288817691</v>
      </c>
      <c r="AB197" s="263">
        <f t="shared" si="131"/>
        <v>413112.68209795706</v>
      </c>
      <c r="AC197" s="263">
        <f t="shared" si="131"/>
        <v>411612.58861306967</v>
      </c>
      <c r="AD197" s="263">
        <f t="shared" si="131"/>
        <v>410105.98515401315</v>
      </c>
      <c r="AE197" s="263">
        <f t="shared" si="131"/>
        <v>408592.72207227838</v>
      </c>
      <c r="AF197" s="263">
        <f t="shared" si="131"/>
        <v>407072.6473105863</v>
      </c>
      <c r="AG197" s="263">
        <f t="shared" si="131"/>
        <v>405545.60636246245</v>
      </c>
      <c r="AI197" s="264"/>
      <c r="AJ197" s="265"/>
    </row>
    <row r="198" spans="1:36" outlineLevel="1">
      <c r="A198" s="104" t="s">
        <v>621</v>
      </c>
      <c r="B198" s="252" t="s">
        <v>127</v>
      </c>
      <c r="C198" s="203">
        <f>C167*C$197</f>
        <v>435425.34464980528</v>
      </c>
      <c r="D198" s="203">
        <f t="shared" ref="D198:AG198" si="132">D167*D$197</f>
        <v>434236.21802685218</v>
      </c>
      <c r="E198" s="203">
        <f t="shared" si="132"/>
        <v>433042.82674737251</v>
      </c>
      <c r="F198" s="203">
        <f t="shared" si="132"/>
        <v>431845.06948437006</v>
      </c>
      <c r="G198" s="203">
        <f t="shared" si="132"/>
        <v>430642.84323402424</v>
      </c>
      <c r="H198" s="203">
        <f t="shared" si="132"/>
        <v>429436.04328707064</v>
      </c>
      <c r="I198" s="203">
        <f t="shared" si="132"/>
        <v>428224.56319969613</v>
      </c>
      <c r="J198" s="203">
        <f t="shared" si="132"/>
        <v>427008.29476393817</v>
      </c>
      <c r="K198" s="203">
        <f t="shared" si="132"/>
        <v>425787.12797757989</v>
      </c>
      <c r="L198" s="203">
        <f t="shared" si="132"/>
        <v>424560.95101353462</v>
      </c>
      <c r="M198" s="203">
        <f t="shared" si="132"/>
        <v>423329.65018870757</v>
      </c>
      <c r="N198" s="203">
        <f t="shared" si="132"/>
        <v>422093.10993232945</v>
      </c>
      <c r="O198" s="203">
        <f t="shared" si="132"/>
        <v>420851.21275375027</v>
      </c>
      <c r="P198" s="203">
        <f t="shared" si="132"/>
        <v>419603.83920968586</v>
      </c>
      <c r="Q198" s="203">
        <f t="shared" si="132"/>
        <v>418350.86787090712</v>
      </c>
      <c r="R198" s="203">
        <f t="shared" si="132"/>
        <v>417092.17528836185</v>
      </c>
      <c r="S198" s="203">
        <f t="shared" si="132"/>
        <v>415827.63595872122</v>
      </c>
      <c r="T198" s="203">
        <f t="shared" si="132"/>
        <v>414557.12228933931</v>
      </c>
      <c r="U198" s="203">
        <f t="shared" si="132"/>
        <v>413280.50456261722</v>
      </c>
      <c r="V198" s="203">
        <f t="shared" si="132"/>
        <v>411997.65089976013</v>
      </c>
      <c r="W198" s="203">
        <f t="shared" si="132"/>
        <v>410708.42722391867</v>
      </c>
      <c r="X198" s="203">
        <f t="shared" si="132"/>
        <v>409412.69722270261</v>
      </c>
      <c r="Y198" s="203">
        <f t="shared" si="132"/>
        <v>408110.3223100566</v>
      </c>
      <c r="Z198" s="203">
        <f t="shared" si="132"/>
        <v>406801.16158748855</v>
      </c>
      <c r="AA198" s="203">
        <f t="shared" si="132"/>
        <v>405485.07180463662</v>
      </c>
      <c r="AB198" s="203">
        <f t="shared" si="132"/>
        <v>404161.90731916763</v>
      </c>
      <c r="AC198" s="203">
        <f t="shared" si="132"/>
        <v>402831.52005599043</v>
      </c>
      <c r="AD198" s="203">
        <f t="shared" si="132"/>
        <v>401493.75946577848</v>
      </c>
      <c r="AE198" s="203">
        <f t="shared" si="132"/>
        <v>400148.47248278419</v>
      </c>
      <c r="AF198" s="203">
        <f t="shared" si="132"/>
        <v>398795.50348193728</v>
      </c>
      <c r="AG198" s="203">
        <f t="shared" si="132"/>
        <v>397434.69423521322</v>
      </c>
      <c r="AI198" s="188"/>
    </row>
    <row r="199" spans="1:36" outlineLevel="1">
      <c r="A199" s="104" t="s">
        <v>620</v>
      </c>
      <c r="B199" s="252" t="s">
        <v>127</v>
      </c>
      <c r="C199" s="203">
        <f t="shared" ref="C199:AG203" si="133">C168*C$197</f>
        <v>4488.9210788639721</v>
      </c>
      <c r="D199" s="203">
        <f t="shared" si="133"/>
        <v>4475.1241981468793</v>
      </c>
      <c r="E199" s="203">
        <f t="shared" si="133"/>
        <v>4461.2928579743048</v>
      </c>
      <c r="F199" s="203">
        <f t="shared" si="133"/>
        <v>4447.4260503024734</v>
      </c>
      <c r="G199" s="203">
        <f t="shared" si="133"/>
        <v>4433.522751208212</v>
      </c>
      <c r="H199" s="203">
        <f t="shared" si="133"/>
        <v>4419.5819206216538</v>
      </c>
      <c r="I199" s="203">
        <f t="shared" si="133"/>
        <v>4405.6025020544885</v>
      </c>
      <c r="J199" s="203">
        <f t="shared" si="133"/>
        <v>4391.5834223236716</v>
      </c>
      <c r="K199" s="203">
        <f t="shared" si="133"/>
        <v>4377.5235912705284</v>
      </c>
      <c r="L199" s="203">
        <f t="shared" si="133"/>
        <v>4363.4219014751779</v>
      </c>
      <c r="M199" s="203">
        <f t="shared" si="133"/>
        <v>4349.2772279661758</v>
      </c>
      <c r="N199" s="203">
        <f t="shared" si="133"/>
        <v>4335.0884279253296</v>
      </c>
      <c r="O199" s="203">
        <f t="shared" si="133"/>
        <v>4320.8543403875819</v>
      </c>
      <c r="P199" s="203">
        <f t="shared" si="133"/>
        <v>4306.5737859358824</v>
      </c>
      <c r="Q199" s="203">
        <f t="shared" si="133"/>
        <v>4292.2455663909786</v>
      </c>
      <c r="R199" s="203">
        <f t="shared" si="133"/>
        <v>4277.8684644960213</v>
      </c>
      <c r="S199" s="203">
        <f t="shared" si="133"/>
        <v>4263.4412435959139</v>
      </c>
      <c r="T199" s="203">
        <f t="shared" si="133"/>
        <v>4248.9626473113049</v>
      </c>
      <c r="U199" s="203">
        <f t="shared" si="133"/>
        <v>4234.4313992071466</v>
      </c>
      <c r="V199" s="203">
        <f t="shared" si="133"/>
        <v>4219.846202455723</v>
      </c>
      <c r="W199" s="203">
        <f t="shared" si="133"/>
        <v>4205.2057394940512</v>
      </c>
      <c r="X199" s="203">
        <f t="shared" si="133"/>
        <v>4190.5086716755677</v>
      </c>
      <c r="Y199" s="203">
        <f t="shared" si="133"/>
        <v>4175.7536389159986</v>
      </c>
      <c r="Z199" s="203">
        <f t="shared" si="133"/>
        <v>4160.9392593333332</v>
      </c>
      <c r="AA199" s="203">
        <f t="shared" si="133"/>
        <v>4146.0641288817696</v>
      </c>
      <c r="AB199" s="203">
        <f t="shared" si="133"/>
        <v>4131.1268209795708</v>
      </c>
      <c r="AC199" s="203">
        <f t="shared" si="133"/>
        <v>4116.1258861306969</v>
      </c>
      <c r="AD199" s="203">
        <f t="shared" si="133"/>
        <v>4101.0598515401316</v>
      </c>
      <c r="AE199" s="203">
        <f t="shared" si="133"/>
        <v>4085.9272207227841</v>
      </c>
      <c r="AF199" s="203">
        <f t="shared" si="133"/>
        <v>4070.7264731058631</v>
      </c>
      <c r="AG199" s="203">
        <f t="shared" si="133"/>
        <v>4055.4560636246247</v>
      </c>
      <c r="AI199" s="188"/>
    </row>
    <row r="200" spans="1:36" outlineLevel="1">
      <c r="A200" s="104" t="s">
        <v>622</v>
      </c>
      <c r="B200" s="252" t="s">
        <v>127</v>
      </c>
      <c r="C200" s="203">
        <f t="shared" si="133"/>
        <v>0</v>
      </c>
      <c r="D200" s="203">
        <f t="shared" si="133"/>
        <v>0</v>
      </c>
      <c r="E200" s="203">
        <f t="shared" si="133"/>
        <v>0</v>
      </c>
      <c r="F200" s="203">
        <f t="shared" si="133"/>
        <v>0</v>
      </c>
      <c r="G200" s="203">
        <f t="shared" si="133"/>
        <v>0</v>
      </c>
      <c r="H200" s="203">
        <f t="shared" si="133"/>
        <v>0</v>
      </c>
      <c r="I200" s="203">
        <f t="shared" si="133"/>
        <v>0</v>
      </c>
      <c r="J200" s="203">
        <f t="shared" si="133"/>
        <v>0</v>
      </c>
      <c r="K200" s="203">
        <f t="shared" si="133"/>
        <v>0</v>
      </c>
      <c r="L200" s="203">
        <f t="shared" si="133"/>
        <v>0</v>
      </c>
      <c r="M200" s="203">
        <f t="shared" si="133"/>
        <v>0</v>
      </c>
      <c r="N200" s="203">
        <f t="shared" si="133"/>
        <v>0</v>
      </c>
      <c r="O200" s="203">
        <f t="shared" si="133"/>
        <v>0</v>
      </c>
      <c r="P200" s="203">
        <f t="shared" si="133"/>
        <v>0</v>
      </c>
      <c r="Q200" s="203">
        <f t="shared" si="133"/>
        <v>0</v>
      </c>
      <c r="R200" s="203">
        <f t="shared" si="133"/>
        <v>0</v>
      </c>
      <c r="S200" s="203">
        <f t="shared" si="133"/>
        <v>0</v>
      </c>
      <c r="T200" s="203">
        <f t="shared" si="133"/>
        <v>0</v>
      </c>
      <c r="U200" s="203">
        <f t="shared" si="133"/>
        <v>0</v>
      </c>
      <c r="V200" s="203">
        <f t="shared" si="133"/>
        <v>0</v>
      </c>
      <c r="W200" s="203">
        <f t="shared" si="133"/>
        <v>0</v>
      </c>
      <c r="X200" s="203">
        <f t="shared" si="133"/>
        <v>0</v>
      </c>
      <c r="Y200" s="203">
        <f t="shared" si="133"/>
        <v>0</v>
      </c>
      <c r="Z200" s="203">
        <f t="shared" si="133"/>
        <v>0</v>
      </c>
      <c r="AA200" s="203">
        <f t="shared" si="133"/>
        <v>0</v>
      </c>
      <c r="AB200" s="203">
        <f t="shared" si="133"/>
        <v>0</v>
      </c>
      <c r="AC200" s="203">
        <f t="shared" si="133"/>
        <v>0</v>
      </c>
      <c r="AD200" s="203">
        <f t="shared" si="133"/>
        <v>0</v>
      </c>
      <c r="AE200" s="203">
        <f t="shared" si="133"/>
        <v>0</v>
      </c>
      <c r="AF200" s="203">
        <f t="shared" si="133"/>
        <v>0</v>
      </c>
      <c r="AG200" s="203">
        <f t="shared" si="133"/>
        <v>0</v>
      </c>
      <c r="AI200" s="188"/>
    </row>
    <row r="201" spans="1:36" outlineLevel="1">
      <c r="A201" s="104" t="s">
        <v>623</v>
      </c>
      <c r="B201" s="252" t="s">
        <v>127</v>
      </c>
      <c r="C201" s="203">
        <f t="shared" si="133"/>
        <v>0</v>
      </c>
      <c r="D201" s="203">
        <f t="shared" si="133"/>
        <v>0</v>
      </c>
      <c r="E201" s="203">
        <f t="shared" si="133"/>
        <v>0</v>
      </c>
      <c r="F201" s="203">
        <f t="shared" si="133"/>
        <v>0</v>
      </c>
      <c r="G201" s="203">
        <f t="shared" si="133"/>
        <v>0</v>
      </c>
      <c r="H201" s="203">
        <f t="shared" si="133"/>
        <v>0</v>
      </c>
      <c r="I201" s="203">
        <f t="shared" si="133"/>
        <v>0</v>
      </c>
      <c r="J201" s="203">
        <f t="shared" si="133"/>
        <v>0</v>
      </c>
      <c r="K201" s="203">
        <f t="shared" si="133"/>
        <v>0</v>
      </c>
      <c r="L201" s="203">
        <f t="shared" si="133"/>
        <v>0</v>
      </c>
      <c r="M201" s="203">
        <f t="shared" si="133"/>
        <v>0</v>
      </c>
      <c r="N201" s="203">
        <f t="shared" si="133"/>
        <v>0</v>
      </c>
      <c r="O201" s="203">
        <f t="shared" si="133"/>
        <v>0</v>
      </c>
      <c r="P201" s="203">
        <f t="shared" si="133"/>
        <v>0</v>
      </c>
      <c r="Q201" s="203">
        <f t="shared" si="133"/>
        <v>0</v>
      </c>
      <c r="R201" s="203">
        <f t="shared" si="133"/>
        <v>0</v>
      </c>
      <c r="S201" s="203">
        <f t="shared" si="133"/>
        <v>0</v>
      </c>
      <c r="T201" s="203">
        <f t="shared" si="133"/>
        <v>0</v>
      </c>
      <c r="U201" s="203">
        <f t="shared" si="133"/>
        <v>0</v>
      </c>
      <c r="V201" s="203">
        <f t="shared" si="133"/>
        <v>0</v>
      </c>
      <c r="W201" s="203">
        <f t="shared" si="133"/>
        <v>0</v>
      </c>
      <c r="X201" s="203">
        <f t="shared" si="133"/>
        <v>0</v>
      </c>
      <c r="Y201" s="203">
        <f t="shared" si="133"/>
        <v>0</v>
      </c>
      <c r="Z201" s="203">
        <f t="shared" si="133"/>
        <v>0</v>
      </c>
      <c r="AA201" s="203">
        <f t="shared" si="133"/>
        <v>0</v>
      </c>
      <c r="AB201" s="203">
        <f t="shared" si="133"/>
        <v>0</v>
      </c>
      <c r="AC201" s="203">
        <f t="shared" si="133"/>
        <v>0</v>
      </c>
      <c r="AD201" s="203">
        <f t="shared" si="133"/>
        <v>0</v>
      </c>
      <c r="AE201" s="203">
        <f t="shared" si="133"/>
        <v>0</v>
      </c>
      <c r="AF201" s="203">
        <f t="shared" si="133"/>
        <v>0</v>
      </c>
      <c r="AG201" s="203">
        <f t="shared" si="133"/>
        <v>0</v>
      </c>
      <c r="AI201" s="188"/>
    </row>
    <row r="202" spans="1:36" outlineLevel="1">
      <c r="A202" s="104" t="s">
        <v>624</v>
      </c>
      <c r="B202" s="252" t="s">
        <v>127</v>
      </c>
      <c r="C202" s="203">
        <f t="shared" si="133"/>
        <v>6733.3816182959581</v>
      </c>
      <c r="D202" s="203">
        <f t="shared" si="133"/>
        <v>6593.3496519364016</v>
      </c>
      <c r="E202" s="203">
        <f t="shared" si="133"/>
        <v>6454.0036678694942</v>
      </c>
      <c r="F202" s="203">
        <f t="shared" si="133"/>
        <v>6315.3449914295115</v>
      </c>
      <c r="G202" s="203">
        <f t="shared" si="133"/>
        <v>6177.3750333501084</v>
      </c>
      <c r="H202" s="203">
        <f t="shared" si="133"/>
        <v>6040.0952915162597</v>
      </c>
      <c r="I202" s="203">
        <f t="shared" si="133"/>
        <v>5903.5073527530139</v>
      </c>
      <c r="J202" s="203">
        <f t="shared" si="133"/>
        <v>5767.6128946517547</v>
      </c>
      <c r="K202" s="203">
        <f t="shared" si="133"/>
        <v>5632.413687434746</v>
      </c>
      <c r="L202" s="203">
        <f t="shared" si="133"/>
        <v>5497.9115958587236</v>
      </c>
      <c r="M202" s="203">
        <f t="shared" si="133"/>
        <v>5364.1085811582825</v>
      </c>
      <c r="N202" s="203">
        <f t="shared" si="133"/>
        <v>5231.0067030298969</v>
      </c>
      <c r="O202" s="203">
        <f t="shared" si="133"/>
        <v>5098.6081216573457</v>
      </c>
      <c r="P202" s="203">
        <f t="shared" si="133"/>
        <v>4966.9150997793831</v>
      </c>
      <c r="Q202" s="203">
        <f t="shared" si="133"/>
        <v>4835.9300048005016</v>
      </c>
      <c r="R202" s="203">
        <f t="shared" si="133"/>
        <v>4705.6553109456227</v>
      </c>
      <c r="S202" s="203">
        <f t="shared" si="133"/>
        <v>4576.0936014596136</v>
      </c>
      <c r="T202" s="203">
        <f t="shared" si="133"/>
        <v>4447.2475708524971</v>
      </c>
      <c r="U202" s="203">
        <f t="shared" si="133"/>
        <v>4319.1200271912885</v>
      </c>
      <c r="V202" s="203">
        <f t="shared" si="133"/>
        <v>4191.71389443935</v>
      </c>
      <c r="W202" s="203">
        <f t="shared" si="133"/>
        <v>4065.0322148442483</v>
      </c>
      <c r="X202" s="203">
        <f t="shared" si="133"/>
        <v>3939.0781513750326</v>
      </c>
      <c r="Y202" s="203">
        <f t="shared" si="133"/>
        <v>3813.8549902099444</v>
      </c>
      <c r="Z202" s="203">
        <f t="shared" si="133"/>
        <v>3689.3661432755544</v>
      </c>
      <c r="AA202" s="203">
        <f t="shared" si="133"/>
        <v>3565.61515083832</v>
      </c>
      <c r="AB202" s="203">
        <f t="shared" si="133"/>
        <v>3442.6056841496406</v>
      </c>
      <c r="AC202" s="203">
        <f t="shared" si="133"/>
        <v>3320.3415481454272</v>
      </c>
      <c r="AD202" s="203">
        <f t="shared" si="133"/>
        <v>3198.8266842013008</v>
      </c>
      <c r="AE202" s="203">
        <f t="shared" si="133"/>
        <v>3078.0651729444953</v>
      </c>
      <c r="AF202" s="203">
        <f t="shared" si="133"/>
        <v>2958.061237123592</v>
      </c>
      <c r="AG202" s="203">
        <f t="shared" si="133"/>
        <v>2838.8192445372374</v>
      </c>
      <c r="AI202" s="188"/>
    </row>
    <row r="203" spans="1:36" outlineLevel="1">
      <c r="A203" s="104" t="s">
        <v>625</v>
      </c>
      <c r="B203" s="252" t="s">
        <v>127</v>
      </c>
      <c r="C203" s="203">
        <f t="shared" si="133"/>
        <v>2244.460539431986</v>
      </c>
      <c r="D203" s="203">
        <f t="shared" si="133"/>
        <v>2207.7279377524605</v>
      </c>
      <c r="E203" s="203">
        <f t="shared" si="133"/>
        <v>2171.1625242141622</v>
      </c>
      <c r="F203" s="203">
        <f t="shared" si="133"/>
        <v>2134.7645041451879</v>
      </c>
      <c r="G203" s="203">
        <f t="shared" si="133"/>
        <v>2098.5341022385546</v>
      </c>
      <c r="H203" s="203">
        <f t="shared" si="133"/>
        <v>2062.4715629567727</v>
      </c>
      <c r="I203" s="203">
        <f t="shared" si="133"/>
        <v>2026.5771509450658</v>
      </c>
      <c r="J203" s="203">
        <f t="shared" si="133"/>
        <v>1990.8511514533991</v>
      </c>
      <c r="K203" s="203">
        <f t="shared" si="133"/>
        <v>1955.2938707675041</v>
      </c>
      <c r="L203" s="203">
        <f t="shared" si="133"/>
        <v>1919.9056366490797</v>
      </c>
      <c r="M203" s="203">
        <f t="shared" si="133"/>
        <v>1884.6867987853445</v>
      </c>
      <c r="N203" s="203">
        <f t="shared" si="133"/>
        <v>1849.6377292481427</v>
      </c>
      <c r="O203" s="203">
        <f t="shared" si="133"/>
        <v>1814.7588229627863</v>
      </c>
      <c r="P203" s="203">
        <f t="shared" si="133"/>
        <v>1780.0504981868335</v>
      </c>
      <c r="Q203" s="203">
        <f t="shared" si="133"/>
        <v>1745.5131969990005</v>
      </c>
      <c r="R203" s="203">
        <f t="shared" si="133"/>
        <v>1711.1473857984113</v>
      </c>
      <c r="S203" s="203">
        <f t="shared" si="133"/>
        <v>1676.9535558143957</v>
      </c>
      <c r="T203" s="203">
        <f t="shared" si="133"/>
        <v>1642.9322236270405</v>
      </c>
      <c r="U203" s="203">
        <f t="shared" si="133"/>
        <v>1609.0839316987185</v>
      </c>
      <c r="V203" s="203">
        <f t="shared" si="133"/>
        <v>1575.4092489168061</v>
      </c>
      <c r="W203" s="203">
        <f t="shared" si="133"/>
        <v>1541.9087711478214</v>
      </c>
      <c r="X203" s="203">
        <f t="shared" si="133"/>
        <v>1508.5831218032072</v>
      </c>
      <c r="Y203" s="203">
        <f t="shared" si="133"/>
        <v>1475.4329524169889</v>
      </c>
      <c r="Z203" s="203">
        <f t="shared" si="133"/>
        <v>1442.4589432355583</v>
      </c>
      <c r="AA203" s="203">
        <f t="shared" si="133"/>
        <v>1409.6618038198042</v>
      </c>
      <c r="AB203" s="203">
        <f t="shared" si="133"/>
        <v>1377.0422736598596</v>
      </c>
      <c r="AC203" s="203">
        <f t="shared" si="133"/>
        <v>1344.6011228026969</v>
      </c>
      <c r="AD203" s="203">
        <f t="shared" si="133"/>
        <v>1312.3391524928447</v>
      </c>
      <c r="AE203" s="203">
        <f t="shared" si="133"/>
        <v>1280.2571958264748</v>
      </c>
      <c r="AF203" s="203">
        <f t="shared" si="133"/>
        <v>1248.3561184191337</v>
      </c>
      <c r="AG203" s="203">
        <f t="shared" si="133"/>
        <v>1216.6368190873873</v>
      </c>
      <c r="AI203" s="188"/>
    </row>
    <row r="204" spans="1:36" s="54" customFormat="1">
      <c r="A204" s="54" t="s">
        <v>627</v>
      </c>
      <c r="B204" s="253"/>
      <c r="C204" s="254">
        <f t="shared" ref="C204:AG204" si="134">C44</f>
        <v>469451.33690471697</v>
      </c>
      <c r="D204" s="254">
        <f t="shared" si="134"/>
        <v>467926.16708714748</v>
      </c>
      <c r="E204" s="254">
        <f t="shared" si="134"/>
        <v>466405.44330469379</v>
      </c>
      <c r="F204" s="254">
        <f t="shared" si="134"/>
        <v>464889.15336018777</v>
      </c>
      <c r="G204" s="254">
        <f t="shared" si="134"/>
        <v>463377.28508864611</v>
      </c>
      <c r="H204" s="254">
        <f t="shared" si="134"/>
        <v>461869.82635718817</v>
      </c>
      <c r="I204" s="254">
        <f t="shared" si="134"/>
        <v>459391.85847589816</v>
      </c>
      <c r="J204" s="254">
        <f t="shared" si="134"/>
        <v>456922.58032336924</v>
      </c>
      <c r="K204" s="254">
        <f t="shared" si="134"/>
        <v>454461.96560924442</v>
      </c>
      <c r="L204" s="254">
        <f t="shared" si="134"/>
        <v>452009.98811689368</v>
      </c>
      <c r="M204" s="254">
        <f t="shared" si="134"/>
        <v>449566.62170321721</v>
      </c>
      <c r="N204" s="254">
        <f t="shared" si="134"/>
        <v>446916.18016244622</v>
      </c>
      <c r="O204" s="254">
        <f t="shared" si="134"/>
        <v>444396.38894762308</v>
      </c>
      <c r="P204" s="254">
        <f t="shared" si="134"/>
        <v>441466.7315772135</v>
      </c>
      <c r="Q204" s="254">
        <f t="shared" si="134"/>
        <v>438547.84336705878</v>
      </c>
      <c r="R204" s="254">
        <f t="shared" si="134"/>
        <v>435639.6910470578</v>
      </c>
      <c r="S204" s="254">
        <f t="shared" si="134"/>
        <v>432742.24257949321</v>
      </c>
      <c r="T204" s="254">
        <f t="shared" si="134"/>
        <v>429855.46373983205</v>
      </c>
      <c r="U204" s="254">
        <f t="shared" si="134"/>
        <v>426979.32154045691</v>
      </c>
      <c r="V204" s="254">
        <f t="shared" si="134"/>
        <v>424113.78308739862</v>
      </c>
      <c r="W204" s="254">
        <f t="shared" si="134"/>
        <v>421258.81558008335</v>
      </c>
      <c r="X204" s="254">
        <f t="shared" si="134"/>
        <v>418586.71792942041</v>
      </c>
      <c r="Y204" s="254">
        <f t="shared" si="134"/>
        <v>415932.98777413066</v>
      </c>
      <c r="Z204" s="254">
        <f t="shared" si="134"/>
        <v>412668.24204867508</v>
      </c>
      <c r="AA204" s="254">
        <f t="shared" si="134"/>
        <v>409415.88366185606</v>
      </c>
      <c r="AB204" s="254">
        <f t="shared" si="134"/>
        <v>406175.87383208796</v>
      </c>
      <c r="AC204" s="254">
        <f t="shared" si="134"/>
        <v>402919.9081840344</v>
      </c>
      <c r="AD204" s="254">
        <f t="shared" si="134"/>
        <v>399676.33865944983</v>
      </c>
      <c r="AE204" s="254">
        <f t="shared" si="134"/>
        <v>396445.1263951736</v>
      </c>
      <c r="AF204" s="254">
        <f t="shared" si="134"/>
        <v>393226.23263922043</v>
      </c>
      <c r="AG204" s="254">
        <f t="shared" si="134"/>
        <v>390019.61875047965</v>
      </c>
      <c r="AI204" s="255"/>
      <c r="AJ204" s="256"/>
    </row>
    <row r="205" spans="1:36" s="54" customFormat="1">
      <c r="A205" s="257" t="s">
        <v>178</v>
      </c>
      <c r="B205" s="258" t="s">
        <v>127</v>
      </c>
      <c r="C205" s="259">
        <f>C204-C194</f>
        <v>0</v>
      </c>
      <c r="D205" s="259">
        <f t="shared" ref="D205:AG205" si="135">D204-D194</f>
        <v>-488.82087046618108</v>
      </c>
      <c r="E205" s="259">
        <f t="shared" si="135"/>
        <v>-975.48352364927996</v>
      </c>
      <c r="F205" s="259">
        <f t="shared" si="135"/>
        <v>-1459.9951061883476</v>
      </c>
      <c r="G205" s="259">
        <f t="shared" si="135"/>
        <v>-1942.3627436872339</v>
      </c>
      <c r="H205" s="259">
        <f t="shared" si="135"/>
        <v>-2422.5935407716315</v>
      </c>
      <c r="I205" s="259">
        <f t="shared" si="135"/>
        <v>-3875.6011702028336</v>
      </c>
      <c r="J205" s="259">
        <f t="shared" si="135"/>
        <v>-5322.1817473089322</v>
      </c>
      <c r="K205" s="259">
        <f t="shared" si="135"/>
        <v>-6762.3565674192505</v>
      </c>
      <c r="L205" s="259">
        <f t="shared" si="135"/>
        <v>-8196.1468631634489</v>
      </c>
      <c r="M205" s="259">
        <f t="shared" si="135"/>
        <v>-9623.5738046430633</v>
      </c>
      <c r="N205" s="259">
        <f t="shared" si="135"/>
        <v>-11260.318635607255</v>
      </c>
      <c r="O205" s="259">
        <f t="shared" si="135"/>
        <v>-12768.650951947784</v>
      </c>
      <c r="P205" s="259">
        <f t="shared" si="135"/>
        <v>-14689.082295062952</v>
      </c>
      <c r="Q205" s="259">
        <f t="shared" si="135"/>
        <v>-16600.972419881437</v>
      </c>
      <c r="R205" s="259">
        <f t="shared" si="135"/>
        <v>-18504.349678155675</v>
      </c>
      <c r="S205" s="259">
        <f t="shared" si="135"/>
        <v>-20399.241200112214</v>
      </c>
      <c r="T205" s="259">
        <f t="shared" si="135"/>
        <v>-22285.676313626696</v>
      </c>
      <c r="U205" s="259">
        <f t="shared" si="135"/>
        <v>-24163.683120468922</v>
      </c>
      <c r="V205" s="259">
        <f t="shared" si="135"/>
        <v>-26033.289639546361</v>
      </c>
      <c r="W205" s="259">
        <f t="shared" si="135"/>
        <v>-27894.523807133373</v>
      </c>
      <c r="X205" s="259">
        <f t="shared" si="135"/>
        <v>-29575.081858759397</v>
      </c>
      <c r="Y205" s="259">
        <f t="shared" si="135"/>
        <v>-31239.4613128567</v>
      </c>
      <c r="Z205" s="259">
        <f t="shared" si="135"/>
        <v>-33517.040402808692</v>
      </c>
      <c r="AA205" s="259">
        <f t="shared" si="135"/>
        <v>-35784.411398324417</v>
      </c>
      <c r="AB205" s="259">
        <f t="shared" si="135"/>
        <v>-38041.60827014508</v>
      </c>
      <c r="AC205" s="259">
        <f t="shared" si="135"/>
        <v>-40316.930593382684</v>
      </c>
      <c r="AD205" s="259">
        <f t="shared" si="135"/>
        <v>-42582.021636655321</v>
      </c>
      <c r="AE205" s="259">
        <f t="shared" si="135"/>
        <v>-44836.91548406973</v>
      </c>
      <c r="AF205" s="259">
        <f t="shared" si="135"/>
        <v>-47081.646119107143</v>
      </c>
      <c r="AG205" s="259">
        <f t="shared" si="135"/>
        <v>-49316.247424901347</v>
      </c>
      <c r="AI205" s="255"/>
      <c r="AJ205" s="256"/>
    </row>
    <row r="206" spans="1:36">
      <c r="A206" s="260" t="s">
        <v>619</v>
      </c>
      <c r="B206" s="252" t="s">
        <v>127</v>
      </c>
      <c r="C206" s="218">
        <f>C162</f>
        <v>20559.229018319769</v>
      </c>
      <c r="D206" s="218">
        <f t="shared" ref="D206:AG206" si="136">D162</f>
        <v>21983.810918211748</v>
      </c>
      <c r="E206" s="218">
        <f t="shared" si="136"/>
        <v>23402.002882792032</v>
      </c>
      <c r="F206" s="218">
        <f t="shared" si="136"/>
        <v>24813.826182042863</v>
      </c>
      <c r="G206" s="218">
        <f t="shared" si="136"/>
        <v>26219.302023176911</v>
      </c>
      <c r="H206" s="218">
        <f t="shared" si="136"/>
        <v>27618.451550810838</v>
      </c>
      <c r="I206" s="218">
        <f t="shared" si="136"/>
        <v>29011.295847138237</v>
      </c>
      <c r="J206" s="218">
        <f t="shared" si="136"/>
        <v>30397.855932102284</v>
      </c>
      <c r="K206" s="218">
        <f t="shared" si="136"/>
        <v>31778.15276356773</v>
      </c>
      <c r="L206" s="218">
        <f t="shared" si="136"/>
        <v>33152.207237492657</v>
      </c>
      <c r="M206" s="218">
        <f t="shared" si="136"/>
        <v>34520.040188099607</v>
      </c>
      <c r="N206" s="218">
        <f t="shared" si="136"/>
        <v>35881.672388046311</v>
      </c>
      <c r="O206" s="218">
        <f t="shared" si="136"/>
        <v>37237.124548596024</v>
      </c>
      <c r="P206" s="218">
        <f t="shared" si="136"/>
        <v>38487.108312873796</v>
      </c>
      <c r="Q206" s="218">
        <f t="shared" si="136"/>
        <v>39724.426964393955</v>
      </c>
      <c r="R206" s="218">
        <f t="shared" si="136"/>
        <v>40949.145705135525</v>
      </c>
      <c r="S206" s="218">
        <f t="shared" si="136"/>
        <v>42161.329476980878</v>
      </c>
      <c r="T206" s="218">
        <f t="shared" si="136"/>
        <v>43361.042962621446</v>
      </c>
      <c r="U206" s="218">
        <f t="shared" si="136"/>
        <v>44548.350586460248</v>
      </c>
      <c r="V206" s="218">
        <f t="shared" si="136"/>
        <v>45723.31651551176</v>
      </c>
      <c r="W206" s="218">
        <f t="shared" si="136"/>
        <v>46886.004660298626</v>
      </c>
      <c r="X206" s="218">
        <f t="shared" si="136"/>
        <v>48036.478675745879</v>
      </c>
      <c r="Y206" s="218">
        <f t="shared" si="136"/>
        <v>49174.801962071884</v>
      </c>
      <c r="Z206" s="218">
        <f t="shared" si="136"/>
        <v>50038.48484351064</v>
      </c>
      <c r="AA206" s="218">
        <f t="shared" si="136"/>
        <v>50877.677161109088</v>
      </c>
      <c r="AB206" s="218">
        <f t="shared" si="136"/>
        <v>51692.527952900782</v>
      </c>
      <c r="AC206" s="218">
        <f t="shared" si="136"/>
        <v>52483.185618645541</v>
      </c>
      <c r="AD206" s="218">
        <f t="shared" si="136"/>
        <v>53249.797922141144</v>
      </c>
      <c r="AE206" s="218">
        <f t="shared" si="136"/>
        <v>53992.511993527398</v>
      </c>
      <c r="AF206" s="218">
        <f t="shared" si="136"/>
        <v>54711.474331582533</v>
      </c>
      <c r="AG206" s="218">
        <f t="shared" si="136"/>
        <v>55406.830806012207</v>
      </c>
      <c r="AI206" s="246"/>
    </row>
    <row r="207" spans="1:36" s="62" customFormat="1">
      <c r="A207" s="261" t="s">
        <v>628</v>
      </c>
      <c r="B207" s="262" t="s">
        <v>127</v>
      </c>
      <c r="C207" s="263">
        <f>C204-C206</f>
        <v>448892.10788639722</v>
      </c>
      <c r="D207" s="263">
        <f t="shared" ref="D207:AG207" si="137">D204-D206</f>
        <v>445942.35616893572</v>
      </c>
      <c r="E207" s="263">
        <f t="shared" si="137"/>
        <v>443003.44042190176</v>
      </c>
      <c r="F207" s="263">
        <f t="shared" si="137"/>
        <v>440075.32717814489</v>
      </c>
      <c r="G207" s="263">
        <f t="shared" si="137"/>
        <v>437157.98306546919</v>
      </c>
      <c r="H207" s="263">
        <f t="shared" si="137"/>
        <v>434251.37480637734</v>
      </c>
      <c r="I207" s="263">
        <f t="shared" si="137"/>
        <v>430380.56262875994</v>
      </c>
      <c r="J207" s="263">
        <f t="shared" si="137"/>
        <v>426524.72439126694</v>
      </c>
      <c r="K207" s="263">
        <f t="shared" si="137"/>
        <v>422683.81284567667</v>
      </c>
      <c r="L207" s="263">
        <f t="shared" si="137"/>
        <v>418857.78087940102</v>
      </c>
      <c r="M207" s="263">
        <f t="shared" si="137"/>
        <v>415046.58151511761</v>
      </c>
      <c r="N207" s="263">
        <f t="shared" si="137"/>
        <v>411034.50777439994</v>
      </c>
      <c r="O207" s="263">
        <f t="shared" si="137"/>
        <v>407159.26439902704</v>
      </c>
      <c r="P207" s="263">
        <f t="shared" si="137"/>
        <v>402979.62326433969</v>
      </c>
      <c r="Q207" s="263">
        <f t="shared" si="137"/>
        <v>398823.41640266485</v>
      </c>
      <c r="R207" s="263">
        <f t="shared" si="137"/>
        <v>394690.54534192226</v>
      </c>
      <c r="S207" s="263">
        <f t="shared" si="137"/>
        <v>390580.91310251231</v>
      </c>
      <c r="T207" s="263">
        <f t="shared" si="137"/>
        <v>386494.42077721062</v>
      </c>
      <c r="U207" s="263">
        <f t="shared" si="137"/>
        <v>382430.97095399664</v>
      </c>
      <c r="V207" s="263">
        <f t="shared" si="137"/>
        <v>378390.46657188685</v>
      </c>
      <c r="W207" s="263">
        <f t="shared" si="137"/>
        <v>374372.81091978471</v>
      </c>
      <c r="X207" s="263">
        <f t="shared" si="137"/>
        <v>370550.23925367452</v>
      </c>
      <c r="Y207" s="263">
        <f t="shared" si="137"/>
        <v>366758.18581205874</v>
      </c>
      <c r="Z207" s="263">
        <f t="shared" si="137"/>
        <v>362629.75720516441</v>
      </c>
      <c r="AA207" s="263">
        <f t="shared" si="137"/>
        <v>358538.20650074695</v>
      </c>
      <c r="AB207" s="263">
        <f t="shared" si="137"/>
        <v>354483.34587918717</v>
      </c>
      <c r="AC207" s="263">
        <f t="shared" si="137"/>
        <v>350436.72256538889</v>
      </c>
      <c r="AD207" s="263">
        <f t="shared" si="137"/>
        <v>346426.54073730868</v>
      </c>
      <c r="AE207" s="263">
        <f t="shared" si="137"/>
        <v>342452.61440164619</v>
      </c>
      <c r="AF207" s="263">
        <f t="shared" si="137"/>
        <v>338514.75830763788</v>
      </c>
      <c r="AG207" s="263">
        <f t="shared" si="137"/>
        <v>334612.78794446745</v>
      </c>
      <c r="AI207" s="264"/>
      <c r="AJ207" s="265"/>
    </row>
    <row r="208" spans="1:36" s="54" customFormat="1" outlineLevel="1">
      <c r="A208" s="257" t="s">
        <v>656</v>
      </c>
      <c r="B208" s="258" t="s">
        <v>126</v>
      </c>
      <c r="C208" s="259">
        <f>C204*C174</f>
        <v>460062.31016662263</v>
      </c>
      <c r="D208" s="259">
        <f t="shared" ref="D208:AG208" si="138">D204*D174</f>
        <v>458723.61913443357</v>
      </c>
      <c r="E208" s="259">
        <f t="shared" si="138"/>
        <v>457388.271400803</v>
      </c>
      <c r="F208" s="259">
        <f t="shared" si="138"/>
        <v>456056.25944634416</v>
      </c>
      <c r="G208" s="259">
        <f t="shared" si="138"/>
        <v>454727.5757669913</v>
      </c>
      <c r="H208" s="259">
        <f t="shared" si="138"/>
        <v>453402.21287397295</v>
      </c>
      <c r="I208" s="259">
        <f t="shared" si="138"/>
        <v>451122.80502333189</v>
      </c>
      <c r="J208" s="259">
        <f t="shared" si="138"/>
        <v>448850.28140432294</v>
      </c>
      <c r="K208" s="259">
        <f t="shared" si="138"/>
        <v>446584.62487201736</v>
      </c>
      <c r="L208" s="259">
        <f t="shared" si="138"/>
        <v>444325.81831890636</v>
      </c>
      <c r="M208" s="259">
        <f t="shared" si="138"/>
        <v>442073.84467483009</v>
      </c>
      <c r="N208" s="259">
        <f t="shared" si="138"/>
        <v>439616.54921979277</v>
      </c>
      <c r="O208" s="259">
        <f t="shared" si="138"/>
        <v>437286.0467244609</v>
      </c>
      <c r="P208" s="259">
        <f t="shared" si="138"/>
        <v>434550.41944917029</v>
      </c>
      <c r="Q208" s="259">
        <f t="shared" si="138"/>
        <v>431823.44310209696</v>
      </c>
      <c r="R208" s="259">
        <f t="shared" si="138"/>
        <v>429105.09568135167</v>
      </c>
      <c r="S208" s="259">
        <f t="shared" si="138"/>
        <v>426395.35635499371</v>
      </c>
      <c r="T208" s="259">
        <f t="shared" si="138"/>
        <v>423694.20209289418</v>
      </c>
      <c r="U208" s="259">
        <f t="shared" si="138"/>
        <v>421001.6110388902</v>
      </c>
      <c r="V208" s="259">
        <f t="shared" si="138"/>
        <v>418317.56138520385</v>
      </c>
      <c r="W208" s="259">
        <f t="shared" si="138"/>
        <v>415642.0313723486</v>
      </c>
      <c r="X208" s="259">
        <f t="shared" si="138"/>
        <v>413145.09059633763</v>
      </c>
      <c r="Y208" s="259">
        <f t="shared" si="138"/>
        <v>410664.50326232467</v>
      </c>
      <c r="Z208" s="259">
        <f t="shared" si="138"/>
        <v>407578.66706340772</v>
      </c>
      <c r="AA208" s="259">
        <f t="shared" si="138"/>
        <v>404502.8930579134</v>
      </c>
      <c r="AB208" s="259">
        <f t="shared" si="138"/>
        <v>401437.15530404658</v>
      </c>
      <c r="AC208" s="259">
        <f t="shared" si="138"/>
        <v>398353.48255794827</v>
      </c>
      <c r="AD208" s="259">
        <f t="shared" si="138"/>
        <v>395279.89893419546</v>
      </c>
      <c r="AE208" s="259">
        <f t="shared" si="138"/>
        <v>392216.37838029134</v>
      </c>
      <c r="AF208" s="259">
        <f t="shared" si="138"/>
        <v>389162.89490194805</v>
      </c>
      <c r="AG208" s="259">
        <f t="shared" si="138"/>
        <v>386119.42256297485</v>
      </c>
      <c r="AI208" s="255"/>
      <c r="AJ208" s="288"/>
    </row>
    <row r="209" spans="1:36" s="54" customFormat="1" outlineLevel="1">
      <c r="A209" s="257" t="s">
        <v>667</v>
      </c>
      <c r="B209" s="258" t="s">
        <v>126</v>
      </c>
      <c r="C209" s="259">
        <f>C208*C175</f>
        <v>460062.31016662263</v>
      </c>
      <c r="D209" s="259">
        <f t="shared" ref="D209:AG209" si="139">D208*D175</f>
        <v>458723.61913443357</v>
      </c>
      <c r="E209" s="259">
        <f t="shared" si="139"/>
        <v>457388.271400803</v>
      </c>
      <c r="F209" s="259">
        <f t="shared" si="139"/>
        <v>456056.25944634416</v>
      </c>
      <c r="G209" s="259">
        <f t="shared" si="139"/>
        <v>454727.5757669913</v>
      </c>
      <c r="H209" s="259">
        <f t="shared" si="139"/>
        <v>453402.21287397295</v>
      </c>
      <c r="I209" s="259">
        <f t="shared" si="139"/>
        <v>451122.80502333189</v>
      </c>
      <c r="J209" s="259">
        <f t="shared" si="139"/>
        <v>448850.28140432294</v>
      </c>
      <c r="K209" s="259">
        <f t="shared" si="139"/>
        <v>446584.62487201736</v>
      </c>
      <c r="L209" s="259">
        <f t="shared" si="139"/>
        <v>444325.81831890636</v>
      </c>
      <c r="M209" s="259">
        <f t="shared" si="139"/>
        <v>442073.84467483009</v>
      </c>
      <c r="N209" s="259">
        <f t="shared" si="139"/>
        <v>439616.54921979277</v>
      </c>
      <c r="O209" s="259">
        <f t="shared" si="139"/>
        <v>437286.0467244609</v>
      </c>
      <c r="P209" s="259">
        <f t="shared" si="139"/>
        <v>434550.41944917029</v>
      </c>
      <c r="Q209" s="259">
        <f t="shared" si="139"/>
        <v>431823.44310209696</v>
      </c>
      <c r="R209" s="259">
        <f t="shared" si="139"/>
        <v>429105.09568135167</v>
      </c>
      <c r="S209" s="259">
        <f t="shared" si="139"/>
        <v>426395.35635499371</v>
      </c>
      <c r="T209" s="259">
        <f t="shared" si="139"/>
        <v>423694.20209289418</v>
      </c>
      <c r="U209" s="259">
        <f t="shared" si="139"/>
        <v>421001.6110388902</v>
      </c>
      <c r="V209" s="259">
        <f t="shared" si="139"/>
        <v>418317.56138520385</v>
      </c>
      <c r="W209" s="259">
        <f t="shared" si="139"/>
        <v>415642.0313723486</v>
      </c>
      <c r="X209" s="259">
        <f t="shared" si="139"/>
        <v>413145.09059633763</v>
      </c>
      <c r="Y209" s="259">
        <f t="shared" si="139"/>
        <v>410664.50326232467</v>
      </c>
      <c r="Z209" s="259">
        <f t="shared" si="139"/>
        <v>407578.66706340772</v>
      </c>
      <c r="AA209" s="259">
        <f t="shared" si="139"/>
        <v>404502.8930579134</v>
      </c>
      <c r="AB209" s="259">
        <f t="shared" si="139"/>
        <v>401437.15530404658</v>
      </c>
      <c r="AC209" s="259">
        <f t="shared" si="139"/>
        <v>398353.48255794827</v>
      </c>
      <c r="AD209" s="259">
        <f t="shared" si="139"/>
        <v>395279.89893419546</v>
      </c>
      <c r="AE209" s="259">
        <f t="shared" si="139"/>
        <v>392216.37838029134</v>
      </c>
      <c r="AF209" s="259">
        <f t="shared" si="139"/>
        <v>389162.89490194805</v>
      </c>
      <c r="AG209" s="259">
        <f t="shared" si="139"/>
        <v>386119.42256297485</v>
      </c>
      <c r="AI209" s="255"/>
      <c r="AJ209" s="288"/>
    </row>
    <row r="210" spans="1:36" s="58" customFormat="1" outlineLevel="1">
      <c r="A210" s="261" t="s">
        <v>668</v>
      </c>
      <c r="B210" s="262" t="s">
        <v>126</v>
      </c>
      <c r="C210" s="263">
        <f>C208*C176</f>
        <v>0</v>
      </c>
      <c r="D210" s="263">
        <f t="shared" ref="D210:AG210" si="140">D208*D176</f>
        <v>0</v>
      </c>
      <c r="E210" s="263">
        <f t="shared" si="140"/>
        <v>0</v>
      </c>
      <c r="F210" s="263">
        <f t="shared" si="140"/>
        <v>0</v>
      </c>
      <c r="G210" s="263">
        <f t="shared" si="140"/>
        <v>0</v>
      </c>
      <c r="H210" s="263">
        <f t="shared" si="140"/>
        <v>0</v>
      </c>
      <c r="I210" s="263">
        <f t="shared" si="140"/>
        <v>0</v>
      </c>
      <c r="J210" s="263">
        <f t="shared" si="140"/>
        <v>0</v>
      </c>
      <c r="K210" s="263">
        <f t="shared" si="140"/>
        <v>0</v>
      </c>
      <c r="L210" s="263">
        <f t="shared" si="140"/>
        <v>0</v>
      </c>
      <c r="M210" s="263">
        <f t="shared" si="140"/>
        <v>0</v>
      </c>
      <c r="N210" s="263">
        <f t="shared" si="140"/>
        <v>0</v>
      </c>
      <c r="O210" s="263">
        <f t="shared" si="140"/>
        <v>0</v>
      </c>
      <c r="P210" s="263">
        <f t="shared" si="140"/>
        <v>0</v>
      </c>
      <c r="Q210" s="263">
        <f t="shared" si="140"/>
        <v>0</v>
      </c>
      <c r="R210" s="263">
        <f t="shared" si="140"/>
        <v>0</v>
      </c>
      <c r="S210" s="263">
        <f t="shared" si="140"/>
        <v>0</v>
      </c>
      <c r="T210" s="263">
        <f t="shared" si="140"/>
        <v>0</v>
      </c>
      <c r="U210" s="263">
        <f t="shared" si="140"/>
        <v>0</v>
      </c>
      <c r="V210" s="263">
        <f t="shared" si="140"/>
        <v>0</v>
      </c>
      <c r="W210" s="263">
        <f t="shared" si="140"/>
        <v>0</v>
      </c>
      <c r="X210" s="263">
        <f t="shared" si="140"/>
        <v>0</v>
      </c>
      <c r="Y210" s="263">
        <f t="shared" si="140"/>
        <v>0</v>
      </c>
      <c r="Z210" s="263">
        <f t="shared" si="140"/>
        <v>0</v>
      </c>
      <c r="AA210" s="263">
        <f t="shared" si="140"/>
        <v>0</v>
      </c>
      <c r="AB210" s="263">
        <f t="shared" si="140"/>
        <v>0</v>
      </c>
      <c r="AC210" s="263">
        <f t="shared" si="140"/>
        <v>0</v>
      </c>
      <c r="AD210" s="263">
        <f t="shared" si="140"/>
        <v>0</v>
      </c>
      <c r="AE210" s="263">
        <f t="shared" si="140"/>
        <v>0</v>
      </c>
      <c r="AF210" s="263">
        <f t="shared" si="140"/>
        <v>0</v>
      </c>
      <c r="AG210" s="263">
        <f t="shared" si="140"/>
        <v>0</v>
      </c>
      <c r="AI210" s="291"/>
      <c r="AJ210" s="290"/>
    </row>
    <row r="211" spans="1:36" s="1" customFormat="1" outlineLevel="1">
      <c r="A211" t="s">
        <v>649</v>
      </c>
      <c r="B211" s="252" t="s">
        <v>127</v>
      </c>
      <c r="C211" s="218">
        <f>C177*C208</f>
        <v>460062.31016662263</v>
      </c>
      <c r="D211" s="218">
        <f t="shared" ref="D211:AG211" si="141">D177*D208</f>
        <v>458723.61913443357</v>
      </c>
      <c r="E211" s="218">
        <f t="shared" si="141"/>
        <v>457388.271400803</v>
      </c>
      <c r="F211" s="218">
        <f t="shared" si="141"/>
        <v>456056.25944634416</v>
      </c>
      <c r="G211" s="218">
        <f t="shared" si="141"/>
        <v>454727.5757669913</v>
      </c>
      <c r="H211" s="218">
        <f t="shared" si="141"/>
        <v>453402.21287397295</v>
      </c>
      <c r="I211" s="218">
        <f t="shared" si="141"/>
        <v>451122.80502333189</v>
      </c>
      <c r="J211" s="218">
        <f t="shared" si="141"/>
        <v>448850.28140432294</v>
      </c>
      <c r="K211" s="218">
        <f t="shared" si="141"/>
        <v>446584.62487201736</v>
      </c>
      <c r="L211" s="218">
        <f t="shared" si="141"/>
        <v>444325.81831890636</v>
      </c>
      <c r="M211" s="218">
        <f t="shared" si="141"/>
        <v>442073.84467483009</v>
      </c>
      <c r="N211" s="218">
        <f t="shared" si="141"/>
        <v>439616.54921979277</v>
      </c>
      <c r="O211" s="218">
        <f t="shared" si="141"/>
        <v>437286.0467244609</v>
      </c>
      <c r="P211" s="218">
        <f t="shared" si="141"/>
        <v>434550.41944917029</v>
      </c>
      <c r="Q211" s="218">
        <f t="shared" si="141"/>
        <v>431823.44310209696</v>
      </c>
      <c r="R211" s="218">
        <f t="shared" si="141"/>
        <v>429105.09568135167</v>
      </c>
      <c r="S211" s="218">
        <f t="shared" si="141"/>
        <v>426395.35635499371</v>
      </c>
      <c r="T211" s="218">
        <f t="shared" si="141"/>
        <v>423694.20209289418</v>
      </c>
      <c r="U211" s="218">
        <f t="shared" si="141"/>
        <v>421001.6110388902</v>
      </c>
      <c r="V211" s="218">
        <f t="shared" si="141"/>
        <v>418317.56138520385</v>
      </c>
      <c r="W211" s="218">
        <f t="shared" si="141"/>
        <v>415642.0313723486</v>
      </c>
      <c r="X211" s="218">
        <f t="shared" si="141"/>
        <v>413145.09059633763</v>
      </c>
      <c r="Y211" s="218">
        <f t="shared" si="141"/>
        <v>410664.50326232467</v>
      </c>
      <c r="Z211" s="218">
        <f t="shared" si="141"/>
        <v>407578.66706340772</v>
      </c>
      <c r="AA211" s="218">
        <f t="shared" si="141"/>
        <v>404502.8930579134</v>
      </c>
      <c r="AB211" s="218">
        <f t="shared" si="141"/>
        <v>401437.15530404658</v>
      </c>
      <c r="AC211" s="218">
        <f t="shared" si="141"/>
        <v>398353.48255794827</v>
      </c>
      <c r="AD211" s="218">
        <f t="shared" si="141"/>
        <v>395279.89893419546</v>
      </c>
      <c r="AE211" s="218">
        <f t="shared" si="141"/>
        <v>392216.37838029134</v>
      </c>
      <c r="AF211" s="218">
        <f t="shared" si="141"/>
        <v>389162.89490194805</v>
      </c>
      <c r="AG211" s="218">
        <f t="shared" si="141"/>
        <v>386119.42256297485</v>
      </c>
      <c r="AI211" s="266"/>
      <c r="AJ211" s="185"/>
    </row>
    <row r="212" spans="1:36" s="1" customFormat="1" outlineLevel="1">
      <c r="A212" t="s">
        <v>655</v>
      </c>
      <c r="B212" s="252" t="s">
        <v>127</v>
      </c>
      <c r="C212" s="218">
        <f>C178*C208</f>
        <v>0</v>
      </c>
      <c r="D212" s="218">
        <f t="shared" ref="D212:AG212" si="142">D178*D208</f>
        <v>0</v>
      </c>
      <c r="E212" s="218">
        <f t="shared" si="142"/>
        <v>0</v>
      </c>
      <c r="F212" s="218">
        <f t="shared" si="142"/>
        <v>0</v>
      </c>
      <c r="G212" s="218">
        <f t="shared" si="142"/>
        <v>0</v>
      </c>
      <c r="H212" s="218">
        <f t="shared" si="142"/>
        <v>0</v>
      </c>
      <c r="I212" s="218">
        <f t="shared" si="142"/>
        <v>0</v>
      </c>
      <c r="J212" s="218">
        <f t="shared" si="142"/>
        <v>0</v>
      </c>
      <c r="K212" s="218">
        <f t="shared" si="142"/>
        <v>0</v>
      </c>
      <c r="L212" s="218">
        <f t="shared" si="142"/>
        <v>0</v>
      </c>
      <c r="M212" s="218">
        <f t="shared" si="142"/>
        <v>0</v>
      </c>
      <c r="N212" s="218">
        <f t="shared" si="142"/>
        <v>0</v>
      </c>
      <c r="O212" s="218">
        <f t="shared" si="142"/>
        <v>0</v>
      </c>
      <c r="P212" s="218">
        <f t="shared" si="142"/>
        <v>0</v>
      </c>
      <c r="Q212" s="218">
        <f t="shared" si="142"/>
        <v>0</v>
      </c>
      <c r="R212" s="218">
        <f t="shared" si="142"/>
        <v>0</v>
      </c>
      <c r="S212" s="218">
        <f t="shared" si="142"/>
        <v>0</v>
      </c>
      <c r="T212" s="218">
        <f t="shared" si="142"/>
        <v>0</v>
      </c>
      <c r="U212" s="218">
        <f t="shared" si="142"/>
        <v>0</v>
      </c>
      <c r="V212" s="218">
        <f t="shared" si="142"/>
        <v>0</v>
      </c>
      <c r="W212" s="218">
        <f t="shared" si="142"/>
        <v>0</v>
      </c>
      <c r="X212" s="218">
        <f t="shared" si="142"/>
        <v>0</v>
      </c>
      <c r="Y212" s="218">
        <f t="shared" si="142"/>
        <v>0</v>
      </c>
      <c r="Z212" s="218">
        <f t="shared" si="142"/>
        <v>0</v>
      </c>
      <c r="AA212" s="218">
        <f t="shared" si="142"/>
        <v>0</v>
      </c>
      <c r="AB212" s="218">
        <f t="shared" si="142"/>
        <v>0</v>
      </c>
      <c r="AC212" s="218">
        <f t="shared" si="142"/>
        <v>0</v>
      </c>
      <c r="AD212" s="218">
        <f t="shared" si="142"/>
        <v>0</v>
      </c>
      <c r="AE212" s="218">
        <f t="shared" si="142"/>
        <v>0</v>
      </c>
      <c r="AF212" s="218">
        <f t="shared" si="142"/>
        <v>0</v>
      </c>
      <c r="AG212" s="218">
        <f t="shared" si="142"/>
        <v>0</v>
      </c>
      <c r="AI212" s="266"/>
      <c r="AJ212" s="185"/>
    </row>
    <row r="213" spans="1:36" s="1" customFormat="1" outlineLevel="1">
      <c r="A213" t="s">
        <v>650</v>
      </c>
      <c r="B213" s="252" t="s">
        <v>127</v>
      </c>
      <c r="C213" s="218">
        <f>C211*C179</f>
        <v>69009.346524993394</v>
      </c>
      <c r="D213" s="218">
        <f t="shared" ref="D213:AG213" si="143">D211*D179</f>
        <v>71713.79245801644</v>
      </c>
      <c r="E213" s="218">
        <f t="shared" si="143"/>
        <v>74401.825481197287</v>
      </c>
      <c r="F213" s="218">
        <f t="shared" si="143"/>
        <v>77073.507846432156</v>
      </c>
      <c r="G213" s="218">
        <f t="shared" si="143"/>
        <v>79728.901617812458</v>
      </c>
      <c r="H213" s="218">
        <f t="shared" si="143"/>
        <v>82368.068672105073</v>
      </c>
      <c r="I213" s="218">
        <f t="shared" si="143"/>
        <v>84811.087344386382</v>
      </c>
      <c r="J213" s="218">
        <f t="shared" si="143"/>
        <v>87226.571352906743</v>
      </c>
      <c r="K213" s="218">
        <f t="shared" si="143"/>
        <v>89614.648057651473</v>
      </c>
      <c r="L213" s="218">
        <f t="shared" si="143"/>
        <v>91975.444392013596</v>
      </c>
      <c r="M213" s="218">
        <f t="shared" si="143"/>
        <v>94309.086863963734</v>
      </c>
      <c r="N213" s="218">
        <f t="shared" si="143"/>
        <v>96569.101978614461</v>
      </c>
      <c r="O213" s="218">
        <f t="shared" si="143"/>
        <v>98826.646559728149</v>
      </c>
      <c r="P213" s="218">
        <f t="shared" si="143"/>
        <v>100960.54745202388</v>
      </c>
      <c r="Q213" s="218">
        <f t="shared" si="143"/>
        <v>103061.86175370045</v>
      </c>
      <c r="R213" s="218">
        <f t="shared" si="143"/>
        <v>105130.74844193114</v>
      </c>
      <c r="S213" s="218">
        <f t="shared" si="143"/>
        <v>107167.36623055507</v>
      </c>
      <c r="T213" s="218">
        <f t="shared" si="143"/>
        <v>109171.87273926906</v>
      </c>
      <c r="U213" s="218">
        <f t="shared" si="143"/>
        <v>111144.42531426702</v>
      </c>
      <c r="V213" s="218">
        <f t="shared" si="143"/>
        <v>113085.18076113345</v>
      </c>
      <c r="W213" s="218">
        <f t="shared" si="143"/>
        <v>114994.29534634981</v>
      </c>
      <c r="X213" s="218">
        <f t="shared" si="143"/>
        <v>116920.06063876358</v>
      </c>
      <c r="Y213" s="218">
        <f t="shared" si="143"/>
        <v>118818.92961056599</v>
      </c>
      <c r="Z213" s="218">
        <f t="shared" si="143"/>
        <v>120507.42589508093</v>
      </c>
      <c r="AA213" s="218">
        <f t="shared" si="143"/>
        <v>122159.87370348991</v>
      </c>
      <c r="AB213" s="218">
        <f t="shared" si="143"/>
        <v>123776.45621874777</v>
      </c>
      <c r="AC213" s="218">
        <f t="shared" si="143"/>
        <v>125348.5625115678</v>
      </c>
      <c r="AD213" s="218">
        <f t="shared" si="143"/>
        <v>126884.84755787683</v>
      </c>
      <c r="AE213" s="218">
        <f t="shared" si="143"/>
        <v>128385.49452314879</v>
      </c>
      <c r="AF213" s="218">
        <f t="shared" si="143"/>
        <v>129850.68593228344</v>
      </c>
      <c r="AG213" s="218">
        <f t="shared" si="143"/>
        <v>131280.60367141146</v>
      </c>
      <c r="AI213" s="266"/>
      <c r="AJ213" s="185"/>
    </row>
    <row r="214" spans="1:36" s="1" customFormat="1" outlineLevel="1">
      <c r="A214" t="s">
        <v>651</v>
      </c>
      <c r="B214" s="252" t="s">
        <v>127</v>
      </c>
      <c r="C214" s="218">
        <f>C211*C180</f>
        <v>391052.96364162921</v>
      </c>
      <c r="D214" s="218">
        <f t="shared" ref="D214:AG214" si="144">D211*D180</f>
        <v>387009.82667641714</v>
      </c>
      <c r="E214" s="218">
        <f t="shared" si="144"/>
        <v>382986.44591960573</v>
      </c>
      <c r="F214" s="218">
        <f t="shared" si="144"/>
        <v>378982.75159991201</v>
      </c>
      <c r="G214" s="218">
        <f t="shared" si="144"/>
        <v>374998.6741491789</v>
      </c>
      <c r="H214" s="218">
        <f t="shared" si="144"/>
        <v>371034.14420186792</v>
      </c>
      <c r="I214" s="218">
        <f t="shared" si="144"/>
        <v>366311.71767894557</v>
      </c>
      <c r="J214" s="218">
        <f t="shared" si="144"/>
        <v>361623.7100514163</v>
      </c>
      <c r="K214" s="218">
        <f t="shared" si="144"/>
        <v>356969.976814366</v>
      </c>
      <c r="L214" s="218">
        <f t="shared" si="144"/>
        <v>352350.37392689288</v>
      </c>
      <c r="M214" s="218">
        <f t="shared" si="144"/>
        <v>347764.75781086646</v>
      </c>
      <c r="N214" s="218">
        <f t="shared" si="144"/>
        <v>343047.44724117842</v>
      </c>
      <c r="O214" s="218">
        <f t="shared" si="144"/>
        <v>338459.40016473288</v>
      </c>
      <c r="P214" s="218">
        <f t="shared" si="144"/>
        <v>333589.87199714658</v>
      </c>
      <c r="Q214" s="218">
        <f t="shared" si="144"/>
        <v>328761.58134839666</v>
      </c>
      <c r="R214" s="218">
        <f t="shared" si="144"/>
        <v>323974.34723942069</v>
      </c>
      <c r="S214" s="218">
        <f t="shared" si="144"/>
        <v>319227.99012443883</v>
      </c>
      <c r="T214" s="218">
        <f t="shared" si="144"/>
        <v>314522.3293536253</v>
      </c>
      <c r="U214" s="218">
        <f t="shared" si="144"/>
        <v>309857.18572462344</v>
      </c>
      <c r="V214" s="218">
        <f t="shared" si="144"/>
        <v>305232.38062407065</v>
      </c>
      <c r="W214" s="218">
        <f t="shared" si="144"/>
        <v>300647.73602599907</v>
      </c>
      <c r="X214" s="218">
        <f t="shared" si="144"/>
        <v>296225.02995757433</v>
      </c>
      <c r="Y214" s="218">
        <f t="shared" si="144"/>
        <v>291845.57365175901</v>
      </c>
      <c r="Z214" s="218">
        <f t="shared" si="144"/>
        <v>287071.24116832711</v>
      </c>
      <c r="AA214" s="218">
        <f t="shared" si="144"/>
        <v>282343.01935442386</v>
      </c>
      <c r="AB214" s="218">
        <f t="shared" si="144"/>
        <v>277660.69908529922</v>
      </c>
      <c r="AC214" s="218">
        <f t="shared" si="144"/>
        <v>273004.92004638084</v>
      </c>
      <c r="AD214" s="218">
        <f t="shared" si="144"/>
        <v>268395.05137631902</v>
      </c>
      <c r="AE214" s="218">
        <f t="shared" si="144"/>
        <v>263830.883857143</v>
      </c>
      <c r="AF214" s="218">
        <f t="shared" si="144"/>
        <v>259312.20896966505</v>
      </c>
      <c r="AG214" s="218">
        <f t="shared" si="144"/>
        <v>254838.81889156337</v>
      </c>
      <c r="AI214" s="266"/>
      <c r="AJ214" s="185"/>
    </row>
    <row r="215" spans="1:36" s="1" customFormat="1" outlineLevel="1">
      <c r="A215" t="s">
        <v>654</v>
      </c>
      <c r="B215" s="252" t="s">
        <v>127</v>
      </c>
      <c r="C215" s="218">
        <f>C181*C214</f>
        <v>0</v>
      </c>
      <c r="D215" s="218">
        <f t="shared" ref="D215:AG215" si="145">D181*D214</f>
        <v>0</v>
      </c>
      <c r="E215" s="218">
        <f t="shared" si="145"/>
        <v>0</v>
      </c>
      <c r="F215" s="218">
        <f t="shared" si="145"/>
        <v>0</v>
      </c>
      <c r="G215" s="218">
        <f t="shared" si="145"/>
        <v>0</v>
      </c>
      <c r="H215" s="218">
        <f t="shared" si="145"/>
        <v>0</v>
      </c>
      <c r="I215" s="218">
        <f t="shared" si="145"/>
        <v>0</v>
      </c>
      <c r="J215" s="218">
        <f t="shared" si="145"/>
        <v>0</v>
      </c>
      <c r="K215" s="218">
        <f t="shared" si="145"/>
        <v>0</v>
      </c>
      <c r="L215" s="218">
        <f t="shared" si="145"/>
        <v>0</v>
      </c>
      <c r="M215" s="218">
        <f t="shared" si="145"/>
        <v>0</v>
      </c>
      <c r="N215" s="218">
        <f t="shared" si="145"/>
        <v>0</v>
      </c>
      <c r="O215" s="218">
        <f t="shared" si="145"/>
        <v>0</v>
      </c>
      <c r="P215" s="218">
        <f t="shared" si="145"/>
        <v>0</v>
      </c>
      <c r="Q215" s="218">
        <f t="shared" si="145"/>
        <v>0</v>
      </c>
      <c r="R215" s="218">
        <f t="shared" si="145"/>
        <v>0</v>
      </c>
      <c r="S215" s="218">
        <f t="shared" si="145"/>
        <v>0</v>
      </c>
      <c r="T215" s="218">
        <f t="shared" si="145"/>
        <v>0</v>
      </c>
      <c r="U215" s="218">
        <f t="shared" si="145"/>
        <v>0</v>
      </c>
      <c r="V215" s="218">
        <f t="shared" si="145"/>
        <v>0</v>
      </c>
      <c r="W215" s="218">
        <f t="shared" si="145"/>
        <v>0</v>
      </c>
      <c r="X215" s="218">
        <f t="shared" si="145"/>
        <v>0</v>
      </c>
      <c r="Y215" s="218">
        <f t="shared" si="145"/>
        <v>0</v>
      </c>
      <c r="Z215" s="218">
        <f t="shared" si="145"/>
        <v>0</v>
      </c>
      <c r="AA215" s="218">
        <f t="shared" si="145"/>
        <v>0</v>
      </c>
      <c r="AB215" s="218">
        <f t="shared" si="145"/>
        <v>0</v>
      </c>
      <c r="AC215" s="218">
        <f t="shared" si="145"/>
        <v>0</v>
      </c>
      <c r="AD215" s="218">
        <f t="shared" si="145"/>
        <v>0</v>
      </c>
      <c r="AE215" s="218">
        <f t="shared" si="145"/>
        <v>0</v>
      </c>
      <c r="AF215" s="218">
        <f t="shared" si="145"/>
        <v>0</v>
      </c>
      <c r="AG215" s="218">
        <f t="shared" si="145"/>
        <v>0</v>
      </c>
      <c r="AI215" s="266"/>
      <c r="AJ215" s="185"/>
    </row>
    <row r="216" spans="1:36" s="1" customFormat="1" outlineLevel="1">
      <c r="A216" t="s">
        <v>683</v>
      </c>
      <c r="B216" s="252" t="s">
        <v>127</v>
      </c>
      <c r="C216" s="218">
        <f>C182*C214</f>
        <v>391052.96364162921</v>
      </c>
      <c r="D216" s="218">
        <f t="shared" ref="D216:AG216" si="146">D182*D214</f>
        <v>387009.82667641714</v>
      </c>
      <c r="E216" s="218">
        <f t="shared" si="146"/>
        <v>382986.44591960573</v>
      </c>
      <c r="F216" s="218">
        <f t="shared" si="146"/>
        <v>378982.75159991201</v>
      </c>
      <c r="G216" s="218">
        <f t="shared" si="146"/>
        <v>374998.6741491789</v>
      </c>
      <c r="H216" s="218">
        <f t="shared" si="146"/>
        <v>371034.14420186792</v>
      </c>
      <c r="I216" s="218">
        <f t="shared" si="146"/>
        <v>366311.71767894557</v>
      </c>
      <c r="J216" s="218">
        <f t="shared" si="146"/>
        <v>361623.7100514163</v>
      </c>
      <c r="K216" s="218">
        <f t="shared" si="146"/>
        <v>356969.976814366</v>
      </c>
      <c r="L216" s="218">
        <f t="shared" si="146"/>
        <v>352350.37392689288</v>
      </c>
      <c r="M216" s="218">
        <f t="shared" si="146"/>
        <v>347764.75781086646</v>
      </c>
      <c r="N216" s="218">
        <f t="shared" si="146"/>
        <v>343047.44724117842</v>
      </c>
      <c r="O216" s="218">
        <f t="shared" si="146"/>
        <v>338459.40016473288</v>
      </c>
      <c r="P216" s="218">
        <f t="shared" si="146"/>
        <v>333589.87199714658</v>
      </c>
      <c r="Q216" s="218">
        <f t="shared" si="146"/>
        <v>328761.58134839666</v>
      </c>
      <c r="R216" s="218">
        <f t="shared" si="146"/>
        <v>323974.34723942069</v>
      </c>
      <c r="S216" s="218">
        <f t="shared" si="146"/>
        <v>319227.99012443883</v>
      </c>
      <c r="T216" s="218">
        <f t="shared" si="146"/>
        <v>314522.3293536253</v>
      </c>
      <c r="U216" s="218">
        <f t="shared" si="146"/>
        <v>309857.18572462344</v>
      </c>
      <c r="V216" s="218">
        <f t="shared" si="146"/>
        <v>305232.38062407065</v>
      </c>
      <c r="W216" s="218">
        <f t="shared" si="146"/>
        <v>300647.73602599907</v>
      </c>
      <c r="X216" s="218">
        <f t="shared" si="146"/>
        <v>296225.02995757433</v>
      </c>
      <c r="Y216" s="218">
        <f t="shared" si="146"/>
        <v>291845.57365175901</v>
      </c>
      <c r="Z216" s="218">
        <f t="shared" si="146"/>
        <v>287071.24116832711</v>
      </c>
      <c r="AA216" s="218">
        <f t="shared" si="146"/>
        <v>282343.01935442386</v>
      </c>
      <c r="AB216" s="218">
        <f t="shared" si="146"/>
        <v>277660.69908529922</v>
      </c>
      <c r="AC216" s="218">
        <f t="shared" si="146"/>
        <v>273004.92004638084</v>
      </c>
      <c r="AD216" s="218">
        <f t="shared" si="146"/>
        <v>268395.05137631902</v>
      </c>
      <c r="AE216" s="218">
        <f t="shared" si="146"/>
        <v>263830.883857143</v>
      </c>
      <c r="AF216" s="218">
        <f t="shared" si="146"/>
        <v>259312.20896966505</v>
      </c>
      <c r="AG216" s="218">
        <f t="shared" si="146"/>
        <v>254838.81889156337</v>
      </c>
      <c r="AI216" s="266"/>
      <c r="AJ216" s="185"/>
    </row>
    <row r="217" spans="1:36" s="1" customFormat="1" outlineLevel="1">
      <c r="A217" t="s">
        <v>652</v>
      </c>
      <c r="B217" s="252" t="s">
        <v>127</v>
      </c>
      <c r="C217" s="218">
        <f>C183*(C215+C213)</f>
        <v>55207.477219994718</v>
      </c>
      <c r="D217" s="218">
        <f t="shared" ref="D217:AG217" si="147">D183*(D215+D213)</f>
        <v>57610.079941273209</v>
      </c>
      <c r="E217" s="218">
        <f t="shared" si="147"/>
        <v>60017.472554832479</v>
      </c>
      <c r="F217" s="218">
        <f t="shared" si="147"/>
        <v>62429.541355610039</v>
      </c>
      <c r="G217" s="218">
        <f t="shared" si="147"/>
        <v>64846.173315820794</v>
      </c>
      <c r="H217" s="218">
        <f t="shared" si="147"/>
        <v>67267.25608221913</v>
      </c>
      <c r="I217" s="218">
        <f t="shared" si="147"/>
        <v>69545.091622396823</v>
      </c>
      <c r="J217" s="218">
        <f t="shared" si="147"/>
        <v>71816.543747226533</v>
      </c>
      <c r="K217" s="218">
        <f t="shared" si="147"/>
        <v>74081.442394325204</v>
      </c>
      <c r="L217" s="218">
        <f t="shared" si="147"/>
        <v>76339.618845371268</v>
      </c>
      <c r="M217" s="218">
        <f t="shared" si="147"/>
        <v>78590.905719969756</v>
      </c>
      <c r="N217" s="218">
        <f t="shared" si="147"/>
        <v>80796.148655440731</v>
      </c>
      <c r="O217" s="218">
        <f t="shared" si="147"/>
        <v>83014.383110171606</v>
      </c>
      <c r="P217" s="218">
        <f t="shared" si="147"/>
        <v>85143.395017873438</v>
      </c>
      <c r="Q217" s="218">
        <f t="shared" si="147"/>
        <v>87259.042951466326</v>
      </c>
      <c r="R217" s="218">
        <f t="shared" si="147"/>
        <v>89361.136175641412</v>
      </c>
      <c r="S217" s="218">
        <f t="shared" si="147"/>
        <v>91449.485850073601</v>
      </c>
      <c r="T217" s="218">
        <f t="shared" si="147"/>
        <v>93523.90431330711</v>
      </c>
      <c r="U217" s="218">
        <f t="shared" si="147"/>
        <v>95584.205770269575</v>
      </c>
      <c r="V217" s="218">
        <f t="shared" si="147"/>
        <v>97630.206057111805</v>
      </c>
      <c r="W217" s="218">
        <f t="shared" si="147"/>
        <v>99661.722633503101</v>
      </c>
      <c r="X217" s="218">
        <f t="shared" si="147"/>
        <v>101720.45275572424</v>
      </c>
      <c r="Y217" s="218">
        <f t="shared" si="147"/>
        <v>103768.53185989421</v>
      </c>
      <c r="Z217" s="218">
        <f t="shared" si="147"/>
        <v>105644.84336802085</v>
      </c>
      <c r="AA217" s="218">
        <f t="shared" si="147"/>
        <v>107500.68885907103</v>
      </c>
      <c r="AB217" s="218">
        <f t="shared" si="147"/>
        <v>109335.86965989377</v>
      </c>
      <c r="AC217" s="218">
        <f t="shared" si="147"/>
        <v>111142.39209359001</v>
      </c>
      <c r="AD217" s="218">
        <f t="shared" si="147"/>
        <v>112927.51432651027</v>
      </c>
      <c r="AE217" s="218">
        <f t="shared" si="147"/>
        <v>114691.0417740128</v>
      </c>
      <c r="AF217" s="218">
        <f t="shared" si="147"/>
        <v>116432.7817192807</v>
      </c>
      <c r="AG217" s="218">
        <f t="shared" si="147"/>
        <v>118152.54330427032</v>
      </c>
      <c r="AH217" s="218"/>
      <c r="AI217" s="266"/>
      <c r="AJ217" s="185"/>
    </row>
    <row r="218" spans="1:36" s="1" customFormat="1" outlineLevel="1">
      <c r="A218" t="s">
        <v>653</v>
      </c>
      <c r="B218" s="252" t="s">
        <v>127</v>
      </c>
      <c r="C218" s="218">
        <f>C184*(C215+C213)</f>
        <v>13801.86930499868</v>
      </c>
      <c r="D218" s="218">
        <f t="shared" ref="D218:AG218" si="148">D184*(D215+D213)</f>
        <v>14103.712516743235</v>
      </c>
      <c r="E218" s="218">
        <f t="shared" si="148"/>
        <v>14384.352926364811</v>
      </c>
      <c r="F218" s="218">
        <f t="shared" si="148"/>
        <v>14643.966490822111</v>
      </c>
      <c r="G218" s="218">
        <f t="shared" si="148"/>
        <v>14882.728301991661</v>
      </c>
      <c r="H218" s="218">
        <f t="shared" si="148"/>
        <v>15100.812589885934</v>
      </c>
      <c r="I218" s="218">
        <f t="shared" si="148"/>
        <v>15265.995721989553</v>
      </c>
      <c r="J218" s="218">
        <f t="shared" si="148"/>
        <v>15410.027605680196</v>
      </c>
      <c r="K218" s="218">
        <f t="shared" si="148"/>
        <v>15533.20566332626</v>
      </c>
      <c r="L218" s="218">
        <f t="shared" si="148"/>
        <v>15635.825546642318</v>
      </c>
      <c r="M218" s="218">
        <f t="shared" si="148"/>
        <v>15718.181143993963</v>
      </c>
      <c r="N218" s="218">
        <f t="shared" si="148"/>
        <v>15772.953323173702</v>
      </c>
      <c r="O218" s="218">
        <f t="shared" si="148"/>
        <v>15812.263449556513</v>
      </c>
      <c r="P218" s="218">
        <f t="shared" si="148"/>
        <v>15817.152434150417</v>
      </c>
      <c r="Q218" s="218">
        <f t="shared" si="148"/>
        <v>15802.818802234078</v>
      </c>
      <c r="R218" s="218">
        <f t="shared" si="148"/>
        <v>15769.612266289681</v>
      </c>
      <c r="S218" s="218">
        <f t="shared" si="148"/>
        <v>15717.880380481422</v>
      </c>
      <c r="T218" s="218">
        <f t="shared" si="148"/>
        <v>15647.968425961912</v>
      </c>
      <c r="U218" s="218">
        <f t="shared" si="148"/>
        <v>15560.219543997397</v>
      </c>
      <c r="V218" s="218">
        <f t="shared" si="148"/>
        <v>15454.974704021586</v>
      </c>
      <c r="W218" s="218">
        <f t="shared" si="148"/>
        <v>15332.572712846657</v>
      </c>
      <c r="X218" s="218">
        <f t="shared" si="148"/>
        <v>15199.607883039282</v>
      </c>
      <c r="Y218" s="218">
        <f t="shared" si="148"/>
        <v>15050.397750671709</v>
      </c>
      <c r="Z218" s="218">
        <f t="shared" si="148"/>
        <v>14862.58252706</v>
      </c>
      <c r="AA218" s="218">
        <f t="shared" si="148"/>
        <v>14659.184844418809</v>
      </c>
      <c r="AB218" s="218">
        <f t="shared" si="148"/>
        <v>14440.586558853927</v>
      </c>
      <c r="AC218" s="218">
        <f t="shared" si="148"/>
        <v>14206.170417977706</v>
      </c>
      <c r="AD218" s="218">
        <f t="shared" si="148"/>
        <v>13957.333231366474</v>
      </c>
      <c r="AE218" s="218">
        <f t="shared" si="148"/>
        <v>13694.452749135895</v>
      </c>
      <c r="AF218" s="218">
        <f t="shared" si="148"/>
        <v>13417.904213002646</v>
      </c>
      <c r="AG218" s="218">
        <f t="shared" si="148"/>
        <v>13128.060367141146</v>
      </c>
      <c r="AI218" s="266"/>
      <c r="AJ218" s="185"/>
    </row>
    <row r="219" spans="1:36" s="1" customFormat="1" outlineLevel="1">
      <c r="A219" t="s">
        <v>663</v>
      </c>
      <c r="B219" s="252" t="s">
        <v>127</v>
      </c>
      <c r="C219" s="218">
        <f>C212*C185</f>
        <v>0</v>
      </c>
      <c r="D219" s="218">
        <f t="shared" ref="D219:AG219" si="149">D212*D185</f>
        <v>0</v>
      </c>
      <c r="E219" s="218">
        <f t="shared" si="149"/>
        <v>0</v>
      </c>
      <c r="F219" s="218">
        <f t="shared" si="149"/>
        <v>0</v>
      </c>
      <c r="G219" s="218">
        <f t="shared" si="149"/>
        <v>0</v>
      </c>
      <c r="H219" s="218">
        <f t="shared" si="149"/>
        <v>0</v>
      </c>
      <c r="I219" s="218">
        <f t="shared" si="149"/>
        <v>0</v>
      </c>
      <c r="J219" s="218">
        <f t="shared" si="149"/>
        <v>0</v>
      </c>
      <c r="K219" s="218">
        <f t="shared" si="149"/>
        <v>0</v>
      </c>
      <c r="L219" s="218">
        <f t="shared" si="149"/>
        <v>0</v>
      </c>
      <c r="M219" s="218">
        <f t="shared" si="149"/>
        <v>0</v>
      </c>
      <c r="N219" s="218">
        <f t="shared" si="149"/>
        <v>0</v>
      </c>
      <c r="O219" s="218">
        <f t="shared" si="149"/>
        <v>0</v>
      </c>
      <c r="P219" s="218">
        <f t="shared" si="149"/>
        <v>0</v>
      </c>
      <c r="Q219" s="218">
        <f t="shared" si="149"/>
        <v>0</v>
      </c>
      <c r="R219" s="218">
        <f t="shared" si="149"/>
        <v>0</v>
      </c>
      <c r="S219" s="218">
        <f t="shared" si="149"/>
        <v>0</v>
      </c>
      <c r="T219" s="218">
        <f t="shared" si="149"/>
        <v>0</v>
      </c>
      <c r="U219" s="218">
        <f t="shared" si="149"/>
        <v>0</v>
      </c>
      <c r="V219" s="218">
        <f t="shared" si="149"/>
        <v>0</v>
      </c>
      <c r="W219" s="218">
        <f t="shared" si="149"/>
        <v>0</v>
      </c>
      <c r="X219" s="218">
        <f t="shared" si="149"/>
        <v>0</v>
      </c>
      <c r="Y219" s="218">
        <f t="shared" si="149"/>
        <v>0</v>
      </c>
      <c r="Z219" s="218">
        <f t="shared" si="149"/>
        <v>0</v>
      </c>
      <c r="AA219" s="218">
        <f t="shared" si="149"/>
        <v>0</v>
      </c>
      <c r="AB219" s="218">
        <f t="shared" si="149"/>
        <v>0</v>
      </c>
      <c r="AC219" s="218">
        <f t="shared" si="149"/>
        <v>0</v>
      </c>
      <c r="AD219" s="218">
        <f t="shared" si="149"/>
        <v>0</v>
      </c>
      <c r="AE219" s="218">
        <f t="shared" si="149"/>
        <v>0</v>
      </c>
      <c r="AF219" s="218">
        <f t="shared" si="149"/>
        <v>0</v>
      </c>
      <c r="AG219" s="218">
        <f t="shared" si="149"/>
        <v>0</v>
      </c>
      <c r="AI219" s="266"/>
      <c r="AJ219" s="185"/>
    </row>
    <row r="220" spans="1:36" s="1" customFormat="1" outlineLevel="1">
      <c r="A220" t="s">
        <v>684</v>
      </c>
      <c r="B220" s="252" t="s">
        <v>127</v>
      </c>
      <c r="C220" s="218">
        <f>C212*C186</f>
        <v>0</v>
      </c>
      <c r="D220" s="218">
        <f t="shared" ref="D220:AG220" si="150">D212*D186</f>
        <v>0</v>
      </c>
      <c r="E220" s="218">
        <f t="shared" si="150"/>
        <v>0</v>
      </c>
      <c r="F220" s="218">
        <f t="shared" si="150"/>
        <v>0</v>
      </c>
      <c r="G220" s="218">
        <f t="shared" si="150"/>
        <v>0</v>
      </c>
      <c r="H220" s="218">
        <f t="shared" si="150"/>
        <v>0</v>
      </c>
      <c r="I220" s="218">
        <f t="shared" si="150"/>
        <v>0</v>
      </c>
      <c r="J220" s="218">
        <f t="shared" si="150"/>
        <v>0</v>
      </c>
      <c r="K220" s="218">
        <f t="shared" si="150"/>
        <v>0</v>
      </c>
      <c r="L220" s="218">
        <f t="shared" si="150"/>
        <v>0</v>
      </c>
      <c r="M220" s="218">
        <f t="shared" si="150"/>
        <v>0</v>
      </c>
      <c r="N220" s="218">
        <f t="shared" si="150"/>
        <v>0</v>
      </c>
      <c r="O220" s="218">
        <f t="shared" si="150"/>
        <v>0</v>
      </c>
      <c r="P220" s="218">
        <f t="shared" si="150"/>
        <v>0</v>
      </c>
      <c r="Q220" s="218">
        <f t="shared" si="150"/>
        <v>0</v>
      </c>
      <c r="R220" s="218">
        <f t="shared" si="150"/>
        <v>0</v>
      </c>
      <c r="S220" s="218">
        <f t="shared" si="150"/>
        <v>0</v>
      </c>
      <c r="T220" s="218">
        <f t="shared" si="150"/>
        <v>0</v>
      </c>
      <c r="U220" s="218">
        <f t="shared" si="150"/>
        <v>0</v>
      </c>
      <c r="V220" s="218">
        <f t="shared" si="150"/>
        <v>0</v>
      </c>
      <c r="W220" s="218">
        <f t="shared" si="150"/>
        <v>0</v>
      </c>
      <c r="X220" s="218">
        <f t="shared" si="150"/>
        <v>0</v>
      </c>
      <c r="Y220" s="218">
        <f t="shared" si="150"/>
        <v>0</v>
      </c>
      <c r="Z220" s="218">
        <f t="shared" si="150"/>
        <v>0</v>
      </c>
      <c r="AA220" s="218">
        <f t="shared" si="150"/>
        <v>0</v>
      </c>
      <c r="AB220" s="218">
        <f t="shared" si="150"/>
        <v>0</v>
      </c>
      <c r="AC220" s="218">
        <f t="shared" si="150"/>
        <v>0</v>
      </c>
      <c r="AD220" s="218">
        <f t="shared" si="150"/>
        <v>0</v>
      </c>
      <c r="AE220" s="218">
        <f t="shared" si="150"/>
        <v>0</v>
      </c>
      <c r="AF220" s="218">
        <f t="shared" si="150"/>
        <v>0</v>
      </c>
      <c r="AG220" s="218">
        <f t="shared" si="150"/>
        <v>0</v>
      </c>
      <c r="AI220" s="266"/>
      <c r="AJ220" s="185"/>
    </row>
    <row r="221" spans="1:36" s="1" customFormat="1" outlineLevel="1">
      <c r="A221" t="s">
        <v>666</v>
      </c>
      <c r="B221" s="252" t="s">
        <v>127</v>
      </c>
      <c r="C221" s="218">
        <f t="shared" ref="C221:AG221" si="151">C217*C187</f>
        <v>14906.018849398575</v>
      </c>
      <c r="D221" s="218">
        <f t="shared" si="151"/>
        <v>15324.281264378675</v>
      </c>
      <c r="E221" s="218">
        <f t="shared" si="151"/>
        <v>15724.57780936611</v>
      </c>
      <c r="F221" s="218">
        <f t="shared" si="151"/>
        <v>16106.821669747391</v>
      </c>
      <c r="G221" s="218">
        <f t="shared" si="151"/>
        <v>16470.928022218483</v>
      </c>
      <c r="H221" s="218">
        <f t="shared" si="151"/>
        <v>16816.814020554782</v>
      </c>
      <c r="I221" s="218">
        <f t="shared" si="151"/>
        <v>17108.092539109617</v>
      </c>
      <c r="J221" s="218">
        <f t="shared" si="151"/>
        <v>17379.60358682882</v>
      </c>
      <c r="K221" s="218">
        <f t="shared" si="151"/>
        <v>17631.383289849397</v>
      </c>
      <c r="L221" s="218">
        <f t="shared" si="151"/>
        <v>17863.470809816874</v>
      </c>
      <c r="M221" s="218">
        <f t="shared" si="151"/>
        <v>18075.908315593042</v>
      </c>
      <c r="N221" s="218">
        <f t="shared" si="151"/>
        <v>18259.929596129605</v>
      </c>
      <c r="O221" s="218">
        <f t="shared" si="151"/>
        <v>18429.193050458096</v>
      </c>
      <c r="P221" s="218">
        <f t="shared" si="151"/>
        <v>18561.260113896406</v>
      </c>
      <c r="Q221" s="218">
        <f t="shared" si="151"/>
        <v>18673.435191613789</v>
      </c>
      <c r="R221" s="218">
        <f t="shared" si="151"/>
        <v>18765.838596884692</v>
      </c>
      <c r="S221" s="218">
        <f t="shared" si="151"/>
        <v>18838.594085115157</v>
      </c>
      <c r="T221" s="218">
        <f t="shared" si="151"/>
        <v>18891.828671288033</v>
      </c>
      <c r="U221" s="218">
        <f t="shared" si="151"/>
        <v>18925.672742513372</v>
      </c>
      <c r="V221" s="218">
        <f t="shared" si="151"/>
        <v>18940.259975079687</v>
      </c>
      <c r="W221" s="218">
        <f t="shared" si="151"/>
        <v>18935.727300365583</v>
      </c>
      <c r="X221" s="218">
        <f t="shared" si="151"/>
        <v>18920.004212564701</v>
      </c>
      <c r="Y221" s="218">
        <f t="shared" si="151"/>
        <v>18885.872798500739</v>
      </c>
      <c r="Z221" s="218">
        <f t="shared" si="151"/>
        <v>18804.782119507705</v>
      </c>
      <c r="AA221" s="218">
        <f t="shared" si="151"/>
        <v>18705.119861478353</v>
      </c>
      <c r="AB221" s="218">
        <f t="shared" si="151"/>
        <v>18587.097842181935</v>
      </c>
      <c r="AC221" s="218">
        <f t="shared" si="151"/>
        <v>18449.637087535932</v>
      </c>
      <c r="AD221" s="218">
        <f t="shared" si="151"/>
        <v>18294.257320894656</v>
      </c>
      <c r="AE221" s="218">
        <f t="shared" si="151"/>
        <v>18121.184600294015</v>
      </c>
      <c r="AF221" s="218">
        <f t="shared" si="151"/>
        <v>17930.648384769218</v>
      </c>
      <c r="AG221" s="218">
        <f t="shared" si="151"/>
        <v>17722.881495640548</v>
      </c>
      <c r="AI221" s="266"/>
      <c r="AJ221" s="185"/>
    </row>
    <row r="222" spans="1:36" s="61" customFormat="1">
      <c r="A222" s="294" t="s">
        <v>657</v>
      </c>
      <c r="B222" s="258" t="s">
        <v>127</v>
      </c>
      <c r="C222" s="259">
        <f>C188*C$207</f>
        <v>435425.34464980528</v>
      </c>
      <c r="D222" s="259">
        <f t="shared" ref="D222:AG227" si="152">D188*D$207</f>
        <v>432712.73293592391</v>
      </c>
      <c r="E222" s="259">
        <f t="shared" si="152"/>
        <v>430008.67283619259</v>
      </c>
      <c r="F222" s="259">
        <f t="shared" si="152"/>
        <v>427313.14268997865</v>
      </c>
      <c r="G222" s="259">
        <f t="shared" si="152"/>
        <v>424626.120884259</v>
      </c>
      <c r="H222" s="259">
        <f t="shared" si="152"/>
        <v>421947.58585352986</v>
      </c>
      <c r="I222" s="259">
        <f t="shared" si="152"/>
        <v>418329.90687515459</v>
      </c>
      <c r="J222" s="259">
        <f t="shared" si="152"/>
        <v>414724.20701644174</v>
      </c>
      <c r="K222" s="259">
        <f t="shared" si="152"/>
        <v>411130.4552945614</v>
      </c>
      <c r="L222" s="259">
        <f t="shared" si="152"/>
        <v>407548.62079565704</v>
      </c>
      <c r="M222" s="259">
        <f t="shared" si="152"/>
        <v>403978.6726747143</v>
      </c>
      <c r="N222" s="259">
        <f t="shared" si="152"/>
        <v>400210.59906967392</v>
      </c>
      <c r="O222" s="259">
        <f t="shared" si="152"/>
        <v>396573.12352465215</v>
      </c>
      <c r="P222" s="259">
        <f t="shared" si="152"/>
        <v>392636.4796005548</v>
      </c>
      <c r="Q222" s="259">
        <f t="shared" si="152"/>
        <v>388719.8898537971</v>
      </c>
      <c r="R222" s="259">
        <f t="shared" si="152"/>
        <v>384823.28170837398</v>
      </c>
      <c r="S222" s="259">
        <f t="shared" si="152"/>
        <v>380946.58391265012</v>
      </c>
      <c r="T222" s="259">
        <f t="shared" si="152"/>
        <v>377089.72320496489</v>
      </c>
      <c r="U222" s="259">
        <f t="shared" si="152"/>
        <v>373252.62765110045</v>
      </c>
      <c r="V222" s="259">
        <f t="shared" si="152"/>
        <v>369435.22552968527</v>
      </c>
      <c r="W222" s="259">
        <f t="shared" si="152"/>
        <v>365637.44533165614</v>
      </c>
      <c r="X222" s="259">
        <f t="shared" si="152"/>
        <v>362027.58375083969</v>
      </c>
      <c r="Y222" s="259">
        <f t="shared" si="152"/>
        <v>358445.00026698509</v>
      </c>
      <c r="Z222" s="259">
        <f t="shared" si="152"/>
        <v>354531.02596091543</v>
      </c>
      <c r="AA222" s="259">
        <f t="shared" si="152"/>
        <v>350650.36595773022</v>
      </c>
      <c r="AB222" s="259">
        <f t="shared" si="152"/>
        <v>346802.87338513776</v>
      </c>
      <c r="AC222" s="259">
        <f t="shared" si="152"/>
        <v>342960.73915066023</v>
      </c>
      <c r="AD222" s="259">
        <f t="shared" si="152"/>
        <v>339151.58338182484</v>
      </c>
      <c r="AE222" s="259">
        <f t="shared" si="152"/>
        <v>335375.2603706785</v>
      </c>
      <c r="AF222" s="259">
        <f t="shared" si="152"/>
        <v>331631.62488871557</v>
      </c>
      <c r="AG222" s="259">
        <f t="shared" si="152"/>
        <v>327920.53218557808</v>
      </c>
      <c r="AI222" s="286"/>
      <c r="AJ222" s="297"/>
    </row>
    <row r="223" spans="1:36">
      <c r="A223" s="295" t="s">
        <v>658</v>
      </c>
      <c r="B223" s="252" t="s">
        <v>127</v>
      </c>
      <c r="C223" s="218">
        <f t="shared" ref="C223:R227" si="153">C189*C$207</f>
        <v>4488.9210788639721</v>
      </c>
      <c r="D223" s="218">
        <f t="shared" si="153"/>
        <v>4459.4235616893575</v>
      </c>
      <c r="E223" s="218">
        <f t="shared" si="153"/>
        <v>4430.0344042190181</v>
      </c>
      <c r="F223" s="218">
        <f t="shared" si="153"/>
        <v>4400.7532717814493</v>
      </c>
      <c r="G223" s="218">
        <f t="shared" si="153"/>
        <v>4371.5798306546922</v>
      </c>
      <c r="H223" s="218">
        <f t="shared" si="153"/>
        <v>4342.5137480637732</v>
      </c>
      <c r="I223" s="218">
        <f t="shared" si="153"/>
        <v>4303.8056262875998</v>
      </c>
      <c r="J223" s="218">
        <f t="shared" si="153"/>
        <v>4265.2472439126695</v>
      </c>
      <c r="K223" s="218">
        <f t="shared" si="153"/>
        <v>4226.8381284567668</v>
      </c>
      <c r="L223" s="218">
        <f t="shared" si="153"/>
        <v>4188.5778087940107</v>
      </c>
      <c r="M223" s="218">
        <f t="shared" si="153"/>
        <v>4150.4658151511758</v>
      </c>
      <c r="N223" s="218">
        <f t="shared" si="153"/>
        <v>4110.3450777439994</v>
      </c>
      <c r="O223" s="218">
        <f t="shared" si="153"/>
        <v>4071.5926439902705</v>
      </c>
      <c r="P223" s="218">
        <f t="shared" si="153"/>
        <v>4029.7962326433972</v>
      </c>
      <c r="Q223" s="218">
        <f t="shared" si="153"/>
        <v>3988.2341640266486</v>
      </c>
      <c r="R223" s="218">
        <f t="shared" si="153"/>
        <v>3946.9054534192228</v>
      </c>
      <c r="S223" s="218">
        <f t="shared" si="152"/>
        <v>3905.809131025123</v>
      </c>
      <c r="T223" s="218">
        <f t="shared" si="152"/>
        <v>3864.9442077721064</v>
      </c>
      <c r="U223" s="218">
        <f t="shared" si="152"/>
        <v>3824.3097095399667</v>
      </c>
      <c r="V223" s="218">
        <f t="shared" si="152"/>
        <v>3783.9046657188687</v>
      </c>
      <c r="W223" s="218">
        <f t="shared" si="152"/>
        <v>3743.7281091978471</v>
      </c>
      <c r="X223" s="218">
        <f t="shared" si="152"/>
        <v>3705.5023925367454</v>
      </c>
      <c r="Y223" s="218">
        <f t="shared" si="152"/>
        <v>3667.5818581205876</v>
      </c>
      <c r="Z223" s="218">
        <f t="shared" si="152"/>
        <v>3626.2975720516442</v>
      </c>
      <c r="AA223" s="218">
        <f t="shared" si="152"/>
        <v>3585.3820650074695</v>
      </c>
      <c r="AB223" s="218">
        <f t="shared" si="152"/>
        <v>3544.8334587918716</v>
      </c>
      <c r="AC223" s="218">
        <f t="shared" si="152"/>
        <v>3504.3672256538889</v>
      </c>
      <c r="AD223" s="218">
        <f t="shared" si="152"/>
        <v>3464.2654073730869</v>
      </c>
      <c r="AE223" s="218">
        <f t="shared" si="152"/>
        <v>3424.5261440164618</v>
      </c>
      <c r="AF223" s="218">
        <f t="shared" si="152"/>
        <v>3385.1475830763789</v>
      </c>
      <c r="AG223" s="218">
        <f t="shared" si="152"/>
        <v>3346.1278794446744</v>
      </c>
      <c r="AI223" s="246"/>
    </row>
    <row r="224" spans="1:36">
      <c r="A224" s="295" t="s">
        <v>659</v>
      </c>
      <c r="B224" s="252" t="s">
        <v>127</v>
      </c>
      <c r="C224" s="218">
        <f t="shared" si="153"/>
        <v>0</v>
      </c>
      <c r="D224" s="218">
        <f t="shared" si="152"/>
        <v>0</v>
      </c>
      <c r="E224" s="218">
        <f t="shared" si="152"/>
        <v>0</v>
      </c>
      <c r="F224" s="218">
        <f t="shared" si="152"/>
        <v>0</v>
      </c>
      <c r="G224" s="218">
        <f t="shared" si="152"/>
        <v>0</v>
      </c>
      <c r="H224" s="218">
        <f t="shared" si="152"/>
        <v>0</v>
      </c>
      <c r="I224" s="218">
        <f t="shared" si="152"/>
        <v>0</v>
      </c>
      <c r="J224" s="218">
        <f t="shared" si="152"/>
        <v>0</v>
      </c>
      <c r="K224" s="218">
        <f t="shared" si="152"/>
        <v>0</v>
      </c>
      <c r="L224" s="218">
        <f t="shared" si="152"/>
        <v>0</v>
      </c>
      <c r="M224" s="218">
        <f t="shared" si="152"/>
        <v>0</v>
      </c>
      <c r="N224" s="218">
        <f t="shared" si="152"/>
        <v>0</v>
      </c>
      <c r="O224" s="218">
        <f t="shared" si="152"/>
        <v>0</v>
      </c>
      <c r="P224" s="218">
        <f t="shared" si="152"/>
        <v>0</v>
      </c>
      <c r="Q224" s="218">
        <f t="shared" si="152"/>
        <v>0</v>
      </c>
      <c r="R224" s="218">
        <f t="shared" si="152"/>
        <v>0</v>
      </c>
      <c r="S224" s="218">
        <f t="shared" si="152"/>
        <v>0</v>
      </c>
      <c r="T224" s="218">
        <f t="shared" si="152"/>
        <v>0</v>
      </c>
      <c r="U224" s="218">
        <f t="shared" si="152"/>
        <v>0</v>
      </c>
      <c r="V224" s="218">
        <f t="shared" si="152"/>
        <v>0</v>
      </c>
      <c r="W224" s="218">
        <f t="shared" si="152"/>
        <v>0</v>
      </c>
      <c r="X224" s="218">
        <f t="shared" si="152"/>
        <v>0</v>
      </c>
      <c r="Y224" s="218">
        <f t="shared" si="152"/>
        <v>0</v>
      </c>
      <c r="Z224" s="218">
        <f t="shared" si="152"/>
        <v>0</v>
      </c>
      <c r="AA224" s="218">
        <f t="shared" si="152"/>
        <v>0</v>
      </c>
      <c r="AB224" s="218">
        <f t="shared" si="152"/>
        <v>0</v>
      </c>
      <c r="AC224" s="218">
        <f t="shared" si="152"/>
        <v>0</v>
      </c>
      <c r="AD224" s="218">
        <f t="shared" si="152"/>
        <v>0</v>
      </c>
      <c r="AE224" s="218">
        <f t="shared" si="152"/>
        <v>0</v>
      </c>
      <c r="AF224" s="218">
        <f t="shared" si="152"/>
        <v>0</v>
      </c>
      <c r="AG224" s="218">
        <f t="shared" si="152"/>
        <v>0</v>
      </c>
      <c r="AI224" s="246"/>
    </row>
    <row r="225" spans="1:36">
      <c r="A225" s="295" t="s">
        <v>660</v>
      </c>
      <c r="B225" s="252" t="s">
        <v>127</v>
      </c>
      <c r="C225" s="218">
        <f t="shared" si="153"/>
        <v>0</v>
      </c>
      <c r="D225" s="218">
        <f t="shared" si="152"/>
        <v>0</v>
      </c>
      <c r="E225" s="218">
        <f t="shared" si="152"/>
        <v>0</v>
      </c>
      <c r="F225" s="218">
        <f t="shared" si="152"/>
        <v>0</v>
      </c>
      <c r="G225" s="218">
        <f t="shared" si="152"/>
        <v>0</v>
      </c>
      <c r="H225" s="218">
        <f t="shared" si="152"/>
        <v>0</v>
      </c>
      <c r="I225" s="218">
        <f t="shared" si="152"/>
        <v>0</v>
      </c>
      <c r="J225" s="218">
        <f t="shared" si="152"/>
        <v>0</v>
      </c>
      <c r="K225" s="218">
        <f t="shared" si="152"/>
        <v>0</v>
      </c>
      <c r="L225" s="218">
        <f t="shared" si="152"/>
        <v>0</v>
      </c>
      <c r="M225" s="218">
        <f t="shared" si="152"/>
        <v>0</v>
      </c>
      <c r="N225" s="218">
        <f t="shared" si="152"/>
        <v>0</v>
      </c>
      <c r="O225" s="218">
        <f t="shared" si="152"/>
        <v>0</v>
      </c>
      <c r="P225" s="218">
        <f t="shared" si="152"/>
        <v>0</v>
      </c>
      <c r="Q225" s="218">
        <f t="shared" si="152"/>
        <v>0</v>
      </c>
      <c r="R225" s="218">
        <f t="shared" si="152"/>
        <v>0</v>
      </c>
      <c r="S225" s="218">
        <f t="shared" si="152"/>
        <v>0</v>
      </c>
      <c r="T225" s="218">
        <f t="shared" si="152"/>
        <v>0</v>
      </c>
      <c r="U225" s="218">
        <f t="shared" si="152"/>
        <v>0</v>
      </c>
      <c r="V225" s="218">
        <f t="shared" si="152"/>
        <v>0</v>
      </c>
      <c r="W225" s="218">
        <f t="shared" si="152"/>
        <v>0</v>
      </c>
      <c r="X225" s="218">
        <f t="shared" si="152"/>
        <v>0</v>
      </c>
      <c r="Y225" s="218">
        <f t="shared" si="152"/>
        <v>0</v>
      </c>
      <c r="Z225" s="218">
        <f t="shared" si="152"/>
        <v>0</v>
      </c>
      <c r="AA225" s="218">
        <f t="shared" si="152"/>
        <v>0</v>
      </c>
      <c r="AB225" s="218">
        <f t="shared" si="152"/>
        <v>0</v>
      </c>
      <c r="AC225" s="218">
        <f t="shared" si="152"/>
        <v>0</v>
      </c>
      <c r="AD225" s="218">
        <f t="shared" si="152"/>
        <v>0</v>
      </c>
      <c r="AE225" s="218">
        <f t="shared" si="152"/>
        <v>0</v>
      </c>
      <c r="AF225" s="218">
        <f t="shared" si="152"/>
        <v>0</v>
      </c>
      <c r="AG225" s="218">
        <f t="shared" si="152"/>
        <v>0</v>
      </c>
      <c r="AI225" s="246"/>
    </row>
    <row r="226" spans="1:36">
      <c r="A226" s="295" t="s">
        <v>661</v>
      </c>
      <c r="B226" s="252" t="s">
        <v>127</v>
      </c>
      <c r="C226" s="218">
        <f t="shared" si="153"/>
        <v>6733.3816182959581</v>
      </c>
      <c r="D226" s="218">
        <f t="shared" si="152"/>
        <v>6570.2173808889856</v>
      </c>
      <c r="E226" s="218">
        <f t="shared" si="152"/>
        <v>6408.7831047701784</v>
      </c>
      <c r="F226" s="218">
        <f t="shared" si="152"/>
        <v>6249.0696459296569</v>
      </c>
      <c r="G226" s="218">
        <f t="shared" si="152"/>
        <v>6091.0678973788699</v>
      </c>
      <c r="H226" s="218">
        <f t="shared" si="152"/>
        <v>5934.7687890204897</v>
      </c>
      <c r="I226" s="218">
        <f t="shared" si="152"/>
        <v>5767.0995392253826</v>
      </c>
      <c r="J226" s="218">
        <f t="shared" si="152"/>
        <v>5601.6913803386387</v>
      </c>
      <c r="K226" s="218">
        <f t="shared" si="152"/>
        <v>5438.5317252810391</v>
      </c>
      <c r="L226" s="218">
        <f t="shared" si="152"/>
        <v>5277.6080390804518</v>
      </c>
      <c r="M226" s="218">
        <f t="shared" si="152"/>
        <v>5118.9078386864494</v>
      </c>
      <c r="N226" s="218">
        <f t="shared" si="152"/>
        <v>4959.816393811092</v>
      </c>
      <c r="O226" s="218">
        <f t="shared" si="152"/>
        <v>4804.4793199085179</v>
      </c>
      <c r="P226" s="218">
        <f t="shared" si="152"/>
        <v>4647.698321648717</v>
      </c>
      <c r="Q226" s="218">
        <f t="shared" si="152"/>
        <v>4493.4104914700229</v>
      </c>
      <c r="R226" s="218">
        <f t="shared" si="152"/>
        <v>4341.5959987611441</v>
      </c>
      <c r="S226" s="218">
        <f t="shared" si="152"/>
        <v>4192.2351339669649</v>
      </c>
      <c r="T226" s="218">
        <f t="shared" si="152"/>
        <v>4045.3082708014699</v>
      </c>
      <c r="U226" s="218">
        <f t="shared" si="152"/>
        <v>3900.7959037307646</v>
      </c>
      <c r="V226" s="218">
        <f t="shared" si="152"/>
        <v>3758.6786346140748</v>
      </c>
      <c r="W226" s="218">
        <f t="shared" si="152"/>
        <v>3618.9371722245842</v>
      </c>
      <c r="X226" s="218">
        <f t="shared" si="152"/>
        <v>3483.1722489845392</v>
      </c>
      <c r="Y226" s="218">
        <f t="shared" si="152"/>
        <v>3349.7247637501355</v>
      </c>
      <c r="Z226" s="218">
        <f t="shared" si="152"/>
        <v>3215.3171805524566</v>
      </c>
      <c r="AA226" s="218">
        <f t="shared" si="152"/>
        <v>3083.4285759064223</v>
      </c>
      <c r="AB226" s="218">
        <f t="shared" si="152"/>
        <v>2954.0278823265585</v>
      </c>
      <c r="AC226" s="218">
        <f t="shared" si="152"/>
        <v>2826.8562286941356</v>
      </c>
      <c r="AD226" s="218">
        <f t="shared" si="152"/>
        <v>2702.1270177510064</v>
      </c>
      <c r="AE226" s="218">
        <f t="shared" si="152"/>
        <v>2579.8096951590665</v>
      </c>
      <c r="AF226" s="218">
        <f t="shared" si="152"/>
        <v>2459.873910368834</v>
      </c>
      <c r="AG226" s="218">
        <f t="shared" si="152"/>
        <v>2342.2895156112722</v>
      </c>
      <c r="AI226" s="246"/>
    </row>
    <row r="227" spans="1:36" s="62" customFormat="1">
      <c r="A227" s="296" t="s">
        <v>662</v>
      </c>
      <c r="B227" s="262" t="s">
        <v>127</v>
      </c>
      <c r="C227" s="263">
        <f t="shared" si="153"/>
        <v>2244.460539431986</v>
      </c>
      <c r="D227" s="263">
        <f t="shared" si="152"/>
        <v>2199.9822904334164</v>
      </c>
      <c r="E227" s="263">
        <f t="shared" si="152"/>
        <v>2155.9500767199224</v>
      </c>
      <c r="F227" s="263">
        <f t="shared" si="152"/>
        <v>2112.3615704550962</v>
      </c>
      <c r="G227" s="263">
        <f t="shared" si="152"/>
        <v>2069.2144531765548</v>
      </c>
      <c r="H227" s="263">
        <f t="shared" si="152"/>
        <v>2026.5064157630952</v>
      </c>
      <c r="I227" s="263">
        <f t="shared" si="152"/>
        <v>1979.7505880922968</v>
      </c>
      <c r="J227" s="263">
        <f t="shared" si="152"/>
        <v>1933.5787505737446</v>
      </c>
      <c r="K227" s="263">
        <f t="shared" si="152"/>
        <v>1887.9876973773571</v>
      </c>
      <c r="L227" s="263">
        <f t="shared" si="152"/>
        <v>1842.9742358693661</v>
      </c>
      <c r="M227" s="263">
        <f t="shared" si="152"/>
        <v>1798.5351865655114</v>
      </c>
      <c r="N227" s="263">
        <f t="shared" si="152"/>
        <v>1753.747233170775</v>
      </c>
      <c r="O227" s="263">
        <f t="shared" si="152"/>
        <v>1710.0689104759156</v>
      </c>
      <c r="P227" s="263">
        <f t="shared" si="152"/>
        <v>1665.6491094926062</v>
      </c>
      <c r="Q227" s="263">
        <f t="shared" si="152"/>
        <v>1621.8818933708394</v>
      </c>
      <c r="R227" s="263">
        <f t="shared" si="152"/>
        <v>1578.7621813676915</v>
      </c>
      <c r="S227" s="263">
        <f t="shared" si="152"/>
        <v>1536.2849248698842</v>
      </c>
      <c r="T227" s="263">
        <f t="shared" si="152"/>
        <v>1494.4450936718836</v>
      </c>
      <c r="U227" s="263">
        <f t="shared" si="152"/>
        <v>1453.2376896251897</v>
      </c>
      <c r="V227" s="263">
        <f t="shared" si="152"/>
        <v>1412.6577418683801</v>
      </c>
      <c r="W227" s="263">
        <f t="shared" si="152"/>
        <v>1372.7003067058797</v>
      </c>
      <c r="X227" s="263">
        <f t="shared" si="152"/>
        <v>1333.9808613132307</v>
      </c>
      <c r="Y227" s="263">
        <f t="shared" si="152"/>
        <v>1295.8789232026099</v>
      </c>
      <c r="Z227" s="263">
        <f t="shared" si="152"/>
        <v>1257.1164916445723</v>
      </c>
      <c r="AA227" s="263">
        <f t="shared" si="152"/>
        <v>1219.0299021025419</v>
      </c>
      <c r="AB227" s="263">
        <f t="shared" si="152"/>
        <v>1181.6111529306261</v>
      </c>
      <c r="AC227" s="263">
        <f t="shared" si="152"/>
        <v>1144.7599603802726</v>
      </c>
      <c r="AD227" s="263">
        <f t="shared" si="152"/>
        <v>1108.56493035939</v>
      </c>
      <c r="AE227" s="263">
        <f t="shared" si="152"/>
        <v>1073.0181917918269</v>
      </c>
      <c r="AF227" s="263">
        <f t="shared" si="152"/>
        <v>1038.1119254767582</v>
      </c>
      <c r="AG227" s="263">
        <f t="shared" si="152"/>
        <v>1003.8383638334024</v>
      </c>
      <c r="AI227" s="264"/>
      <c r="AJ227" s="265"/>
    </row>
    <row r="228" spans="1:36" s="160" customFormat="1">
      <c r="B228" s="156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J228" s="272"/>
    </row>
    <row r="229" spans="1:36" s="160" customFormat="1">
      <c r="A229" s="160" t="s">
        <v>1357</v>
      </c>
      <c r="B229" s="299" t="s">
        <v>127</v>
      </c>
      <c r="C229" s="203">
        <f>C162</f>
        <v>20559.229018319769</v>
      </c>
      <c r="D229" s="203">
        <f t="shared" ref="D229:AG229" si="154">D162</f>
        <v>21983.810918211748</v>
      </c>
      <c r="E229" s="203">
        <f t="shared" si="154"/>
        <v>23402.002882792032</v>
      </c>
      <c r="F229" s="203">
        <f t="shared" si="154"/>
        <v>24813.826182042863</v>
      </c>
      <c r="G229" s="203">
        <f t="shared" si="154"/>
        <v>26219.302023176911</v>
      </c>
      <c r="H229" s="203">
        <f t="shared" si="154"/>
        <v>27618.451550810838</v>
      </c>
      <c r="I229" s="203">
        <f t="shared" si="154"/>
        <v>29011.295847138237</v>
      </c>
      <c r="J229" s="203">
        <f t="shared" si="154"/>
        <v>30397.855932102284</v>
      </c>
      <c r="K229" s="203">
        <f t="shared" si="154"/>
        <v>31778.15276356773</v>
      </c>
      <c r="L229" s="203">
        <f t="shared" si="154"/>
        <v>33152.207237492657</v>
      </c>
      <c r="M229" s="203">
        <f t="shared" si="154"/>
        <v>34520.040188099607</v>
      </c>
      <c r="N229" s="203">
        <f t="shared" si="154"/>
        <v>35881.672388046311</v>
      </c>
      <c r="O229" s="203">
        <f t="shared" si="154"/>
        <v>37237.124548596024</v>
      </c>
      <c r="P229" s="203">
        <f t="shared" si="154"/>
        <v>38487.108312873796</v>
      </c>
      <c r="Q229" s="203">
        <f t="shared" si="154"/>
        <v>39724.426964393955</v>
      </c>
      <c r="R229" s="203">
        <f t="shared" si="154"/>
        <v>40949.145705135525</v>
      </c>
      <c r="S229" s="203">
        <f t="shared" si="154"/>
        <v>42161.329476980878</v>
      </c>
      <c r="T229" s="203">
        <f t="shared" si="154"/>
        <v>43361.042962621446</v>
      </c>
      <c r="U229" s="203">
        <f t="shared" si="154"/>
        <v>44548.350586460248</v>
      </c>
      <c r="V229" s="203">
        <f t="shared" si="154"/>
        <v>45723.31651551176</v>
      </c>
      <c r="W229" s="203">
        <f t="shared" si="154"/>
        <v>46886.004660298626</v>
      </c>
      <c r="X229" s="203">
        <f t="shared" si="154"/>
        <v>48036.478675745879</v>
      </c>
      <c r="Y229" s="203">
        <f t="shared" si="154"/>
        <v>49174.801962071884</v>
      </c>
      <c r="Z229" s="203">
        <f t="shared" si="154"/>
        <v>50038.48484351064</v>
      </c>
      <c r="AA229" s="203">
        <f t="shared" si="154"/>
        <v>50877.677161109088</v>
      </c>
      <c r="AB229" s="203">
        <f t="shared" si="154"/>
        <v>51692.527952900782</v>
      </c>
      <c r="AC229" s="203">
        <f t="shared" si="154"/>
        <v>52483.185618645541</v>
      </c>
      <c r="AD229" s="203">
        <f t="shared" si="154"/>
        <v>53249.797922141144</v>
      </c>
      <c r="AE229" s="203">
        <f t="shared" si="154"/>
        <v>53992.511993527398</v>
      </c>
      <c r="AF229" s="203">
        <f t="shared" si="154"/>
        <v>54711.474331582533</v>
      </c>
      <c r="AG229" s="203">
        <f t="shared" si="154"/>
        <v>55406.830806012207</v>
      </c>
      <c r="AI229" s="616"/>
      <c r="AJ229" s="272"/>
    </row>
    <row r="230" spans="1:36" s="160" customFormat="1">
      <c r="A230" s="160" t="s">
        <v>1358</v>
      </c>
      <c r="B230" s="298" t="s">
        <v>127</v>
      </c>
      <c r="C230" s="218">
        <f>C229/(1-C187)</f>
        <v>28163.327422355847</v>
      </c>
      <c r="D230" s="218">
        <f t="shared" ref="D230:AG230" si="155">D229/(1-D187)</f>
        <v>29950.696073857969</v>
      </c>
      <c r="E230" s="218">
        <f t="shared" si="155"/>
        <v>31710.031006493271</v>
      </c>
      <c r="F230" s="218">
        <f t="shared" si="155"/>
        <v>33441.814261513297</v>
      </c>
      <c r="G230" s="218">
        <f t="shared" si="155"/>
        <v>35146.517457341703</v>
      </c>
      <c r="H230" s="218">
        <f t="shared" si="155"/>
        <v>36824.602067747786</v>
      </c>
      <c r="I230" s="218">
        <f t="shared" si="155"/>
        <v>38476.519691164773</v>
      </c>
      <c r="J230" s="218">
        <f t="shared" si="155"/>
        <v>40102.712311480587</v>
      </c>
      <c r="K230" s="218">
        <f t="shared" si="155"/>
        <v>41703.61255061382</v>
      </c>
      <c r="L230" s="218">
        <f t="shared" si="155"/>
        <v>43279.643913175794</v>
      </c>
      <c r="M230" s="218">
        <f t="shared" si="155"/>
        <v>44831.221023505983</v>
      </c>
      <c r="N230" s="218">
        <f t="shared" si="155"/>
        <v>46358.749855356989</v>
      </c>
      <c r="O230" s="218">
        <f t="shared" si="155"/>
        <v>47862.627954493604</v>
      </c>
      <c r="P230" s="218">
        <f t="shared" si="155"/>
        <v>49216.251039480558</v>
      </c>
      <c r="Q230" s="218">
        <f t="shared" si="155"/>
        <v>50539.983415259485</v>
      </c>
      <c r="R230" s="218">
        <f t="shared" si="155"/>
        <v>51834.361652070285</v>
      </c>
      <c r="S230" s="218">
        <f t="shared" si="155"/>
        <v>53099.91118007667</v>
      </c>
      <c r="T230" s="218">
        <f t="shared" si="155"/>
        <v>54337.146569701057</v>
      </c>
      <c r="U230" s="218">
        <f t="shared" si="155"/>
        <v>55546.571803566389</v>
      </c>
      <c r="V230" s="218">
        <f t="shared" si="155"/>
        <v>56728.680540337169</v>
      </c>
      <c r="W230" s="218">
        <f t="shared" si="155"/>
        <v>57883.956370739041</v>
      </c>
      <c r="X230" s="218">
        <f t="shared" si="155"/>
        <v>59012.873066026877</v>
      </c>
      <c r="Y230" s="218">
        <f t="shared" si="155"/>
        <v>60115.894819158777</v>
      </c>
      <c r="Z230" s="218">
        <f t="shared" si="155"/>
        <v>60874.069152689335</v>
      </c>
      <c r="AA230" s="218">
        <f t="shared" si="155"/>
        <v>61595.250800374197</v>
      </c>
      <c r="AB230" s="218">
        <f t="shared" si="155"/>
        <v>62280.154160121419</v>
      </c>
      <c r="AC230" s="218">
        <f t="shared" si="155"/>
        <v>62929.479159047405</v>
      </c>
      <c r="AD230" s="218">
        <f t="shared" si="155"/>
        <v>63543.911601600405</v>
      </c>
      <c r="AE230" s="218">
        <f t="shared" si="155"/>
        <v>64124.123507752251</v>
      </c>
      <c r="AF230" s="218">
        <f t="shared" si="155"/>
        <v>64670.773441586913</v>
      </c>
      <c r="AG230" s="218">
        <f t="shared" si="155"/>
        <v>65184.506830602601</v>
      </c>
      <c r="AI230" s="616"/>
      <c r="AJ230" s="272"/>
    </row>
    <row r="231" spans="1:36" s="160" customFormat="1">
      <c r="A231" s="160" t="s">
        <v>1359</v>
      </c>
      <c r="B231" s="298" t="s">
        <v>127</v>
      </c>
      <c r="C231" s="218">
        <f>C219</f>
        <v>0</v>
      </c>
      <c r="D231" s="218">
        <f t="shared" ref="D231:AG231" si="156">D219</f>
        <v>0</v>
      </c>
      <c r="E231" s="218">
        <f t="shared" si="156"/>
        <v>0</v>
      </c>
      <c r="F231" s="218">
        <f t="shared" si="156"/>
        <v>0</v>
      </c>
      <c r="G231" s="218">
        <f t="shared" si="156"/>
        <v>0</v>
      </c>
      <c r="H231" s="218">
        <f t="shared" si="156"/>
        <v>0</v>
      </c>
      <c r="I231" s="218">
        <f t="shared" si="156"/>
        <v>0</v>
      </c>
      <c r="J231" s="218">
        <f t="shared" si="156"/>
        <v>0</v>
      </c>
      <c r="K231" s="218">
        <f t="shared" si="156"/>
        <v>0</v>
      </c>
      <c r="L231" s="218">
        <f t="shared" si="156"/>
        <v>0</v>
      </c>
      <c r="M231" s="218">
        <f t="shared" si="156"/>
        <v>0</v>
      </c>
      <c r="N231" s="218">
        <f t="shared" si="156"/>
        <v>0</v>
      </c>
      <c r="O231" s="218">
        <f t="shared" si="156"/>
        <v>0</v>
      </c>
      <c r="P231" s="218">
        <f t="shared" si="156"/>
        <v>0</v>
      </c>
      <c r="Q231" s="218">
        <f t="shared" si="156"/>
        <v>0</v>
      </c>
      <c r="R231" s="218">
        <f t="shared" si="156"/>
        <v>0</v>
      </c>
      <c r="S231" s="218">
        <f t="shared" si="156"/>
        <v>0</v>
      </c>
      <c r="T231" s="218">
        <f t="shared" si="156"/>
        <v>0</v>
      </c>
      <c r="U231" s="218">
        <f t="shared" si="156"/>
        <v>0</v>
      </c>
      <c r="V231" s="218">
        <f t="shared" si="156"/>
        <v>0</v>
      </c>
      <c r="W231" s="218">
        <f t="shared" si="156"/>
        <v>0</v>
      </c>
      <c r="X231" s="218">
        <f t="shared" si="156"/>
        <v>0</v>
      </c>
      <c r="Y231" s="218">
        <f t="shared" si="156"/>
        <v>0</v>
      </c>
      <c r="Z231" s="218">
        <f t="shared" si="156"/>
        <v>0</v>
      </c>
      <c r="AA231" s="218">
        <f t="shared" si="156"/>
        <v>0</v>
      </c>
      <c r="AB231" s="218">
        <f t="shared" si="156"/>
        <v>0</v>
      </c>
      <c r="AC231" s="218">
        <f t="shared" si="156"/>
        <v>0</v>
      </c>
      <c r="AD231" s="218">
        <f t="shared" si="156"/>
        <v>0</v>
      </c>
      <c r="AE231" s="218">
        <f t="shared" si="156"/>
        <v>0</v>
      </c>
      <c r="AF231" s="218">
        <f t="shared" si="156"/>
        <v>0</v>
      </c>
      <c r="AG231" s="218">
        <f t="shared" si="156"/>
        <v>0</v>
      </c>
      <c r="AI231" s="616"/>
      <c r="AJ231" s="272"/>
    </row>
    <row r="232" spans="1:36" s="160" customFormat="1">
      <c r="A232" s="160" t="s">
        <v>1360</v>
      </c>
      <c r="B232" s="298" t="s">
        <v>127</v>
      </c>
      <c r="C232" s="218">
        <f>C230-C231</f>
        <v>28163.327422355847</v>
      </c>
      <c r="D232" s="218">
        <f t="shared" ref="D232:AG232" si="157">D230-D231</f>
        <v>29950.696073857969</v>
      </c>
      <c r="E232" s="218">
        <f t="shared" si="157"/>
        <v>31710.031006493271</v>
      </c>
      <c r="F232" s="218">
        <f t="shared" si="157"/>
        <v>33441.814261513297</v>
      </c>
      <c r="G232" s="218">
        <f t="shared" si="157"/>
        <v>35146.517457341703</v>
      </c>
      <c r="H232" s="218">
        <f t="shared" si="157"/>
        <v>36824.602067747786</v>
      </c>
      <c r="I232" s="218">
        <f t="shared" si="157"/>
        <v>38476.519691164773</v>
      </c>
      <c r="J232" s="218">
        <f t="shared" si="157"/>
        <v>40102.712311480587</v>
      </c>
      <c r="K232" s="218">
        <f t="shared" si="157"/>
        <v>41703.61255061382</v>
      </c>
      <c r="L232" s="218">
        <f t="shared" si="157"/>
        <v>43279.643913175794</v>
      </c>
      <c r="M232" s="218">
        <f t="shared" si="157"/>
        <v>44831.221023505983</v>
      </c>
      <c r="N232" s="218">
        <f t="shared" si="157"/>
        <v>46358.749855356989</v>
      </c>
      <c r="O232" s="218">
        <f t="shared" si="157"/>
        <v>47862.627954493604</v>
      </c>
      <c r="P232" s="218">
        <f t="shared" si="157"/>
        <v>49216.251039480558</v>
      </c>
      <c r="Q232" s="218">
        <f t="shared" si="157"/>
        <v>50539.983415259485</v>
      </c>
      <c r="R232" s="218">
        <f t="shared" si="157"/>
        <v>51834.361652070285</v>
      </c>
      <c r="S232" s="218">
        <f t="shared" si="157"/>
        <v>53099.91118007667</v>
      </c>
      <c r="T232" s="218">
        <f t="shared" si="157"/>
        <v>54337.146569701057</v>
      </c>
      <c r="U232" s="218">
        <f t="shared" si="157"/>
        <v>55546.571803566389</v>
      </c>
      <c r="V232" s="218">
        <f t="shared" si="157"/>
        <v>56728.680540337169</v>
      </c>
      <c r="W232" s="218">
        <f t="shared" si="157"/>
        <v>57883.956370739041</v>
      </c>
      <c r="X232" s="218">
        <f t="shared" si="157"/>
        <v>59012.873066026877</v>
      </c>
      <c r="Y232" s="218">
        <f t="shared" si="157"/>
        <v>60115.894819158777</v>
      </c>
      <c r="Z232" s="218">
        <f t="shared" si="157"/>
        <v>60874.069152689335</v>
      </c>
      <c r="AA232" s="218">
        <f t="shared" si="157"/>
        <v>61595.250800374197</v>
      </c>
      <c r="AB232" s="218">
        <f t="shared" si="157"/>
        <v>62280.154160121419</v>
      </c>
      <c r="AC232" s="218">
        <f t="shared" si="157"/>
        <v>62929.479159047405</v>
      </c>
      <c r="AD232" s="218">
        <f t="shared" si="157"/>
        <v>63543.911601600405</v>
      </c>
      <c r="AE232" s="218">
        <f t="shared" si="157"/>
        <v>64124.123507752251</v>
      </c>
      <c r="AF232" s="218">
        <f t="shared" si="157"/>
        <v>64670.773441586913</v>
      </c>
      <c r="AG232" s="218">
        <f t="shared" si="157"/>
        <v>65184.506830602601</v>
      </c>
      <c r="AI232" s="616"/>
      <c r="AJ232" s="272"/>
    </row>
    <row r="233" spans="1:36" s="160" customFormat="1">
      <c r="A233" s="160" t="s">
        <v>1361</v>
      </c>
      <c r="B233" s="298" t="s">
        <v>127</v>
      </c>
      <c r="C233" s="218">
        <f>(C232)/(1-C184)</f>
        <v>35204.159277944804</v>
      </c>
      <c r="D233" s="218">
        <f t="shared" ref="D233:AG233" si="158">(D230-D219)/(1-D184)</f>
        <v>37283.024158329419</v>
      </c>
      <c r="E233" s="218">
        <f t="shared" si="158"/>
        <v>39309.955793173474</v>
      </c>
      <c r="F233" s="218">
        <f t="shared" si="158"/>
        <v>41286.190446312714</v>
      </c>
      <c r="G233" s="218">
        <f t="shared" si="158"/>
        <v>43212.931300010292</v>
      </c>
      <c r="H233" s="218">
        <f t="shared" si="158"/>
        <v>45091.349470711575</v>
      </c>
      <c r="I233" s="218">
        <f t="shared" si="158"/>
        <v>46922.584989225332</v>
      </c>
      <c r="J233" s="218">
        <f t="shared" si="158"/>
        <v>48707.747746737557</v>
      </c>
      <c r="K233" s="218">
        <f t="shared" si="158"/>
        <v>50447.918408000587</v>
      </c>
      <c r="L233" s="218">
        <f t="shared" si="158"/>
        <v>52144.149292982889</v>
      </c>
      <c r="M233" s="218">
        <f t="shared" si="158"/>
        <v>53797.465228207184</v>
      </c>
      <c r="N233" s="218">
        <f t="shared" si="158"/>
        <v>55408.864368952585</v>
      </c>
      <c r="O233" s="218">
        <f t="shared" si="158"/>
        <v>56979.31899344478</v>
      </c>
      <c r="P233" s="218">
        <f t="shared" si="158"/>
        <v>58359.190955905804</v>
      </c>
      <c r="Q233" s="218">
        <f t="shared" si="158"/>
        <v>59692.893797550583</v>
      </c>
      <c r="R233" s="218">
        <f t="shared" si="158"/>
        <v>60981.601943612113</v>
      </c>
      <c r="S233" s="218">
        <f t="shared" si="158"/>
        <v>62226.458414152352</v>
      </c>
      <c r="T233" s="218">
        <f t="shared" si="158"/>
        <v>63428.575762296961</v>
      </c>
      <c r="U233" s="218">
        <f t="shared" si="158"/>
        <v>64589.036980891156</v>
      </c>
      <c r="V233" s="218">
        <f t="shared" si="158"/>
        <v>65708.896378768928</v>
      </c>
      <c r="W233" s="218">
        <f t="shared" si="158"/>
        <v>66789.180427775835</v>
      </c>
      <c r="X233" s="218">
        <f t="shared" si="158"/>
        <v>67830.888581640102</v>
      </c>
      <c r="Y233" s="218">
        <f t="shared" si="158"/>
        <v>68834.99406773907</v>
      </c>
      <c r="Z233" s="218">
        <f t="shared" si="158"/>
        <v>69438.101695082907</v>
      </c>
      <c r="AA233" s="218">
        <f t="shared" si="158"/>
        <v>69994.603182243416</v>
      </c>
      <c r="AB233" s="218">
        <f t="shared" si="158"/>
        <v>70505.834898250672</v>
      </c>
      <c r="AC233" s="218">
        <f t="shared" si="158"/>
        <v>70973.096795918143</v>
      </c>
      <c r="AD233" s="218">
        <f t="shared" si="158"/>
        <v>71397.653484944298</v>
      </c>
      <c r="AE233" s="218">
        <f t="shared" si="158"/>
        <v>71780.735269871948</v>
      </c>
      <c r="AF233" s="218">
        <f t="shared" si="158"/>
        <v>72123.539154186161</v>
      </c>
      <c r="AG233" s="218">
        <f t="shared" si="158"/>
        <v>72427.229811780664</v>
      </c>
      <c r="AI233" s="616"/>
      <c r="AJ233" s="272"/>
    </row>
    <row r="234" spans="1:36" s="160" customFormat="1">
      <c r="A234" s="160" t="s">
        <v>1362</v>
      </c>
      <c r="B234" s="298" t="s">
        <v>127</v>
      </c>
      <c r="C234" s="218">
        <f>IF(C213&gt;C233,C233,C213)</f>
        <v>35204.159277944804</v>
      </c>
      <c r="D234" s="218">
        <f t="shared" ref="D234:AG234" si="159">IF(D213&gt;D233,D233,D213)</f>
        <v>37283.024158329419</v>
      </c>
      <c r="E234" s="218">
        <f t="shared" si="159"/>
        <v>39309.955793173474</v>
      </c>
      <c r="F234" s="218">
        <f t="shared" si="159"/>
        <v>41286.190446312714</v>
      </c>
      <c r="G234" s="218">
        <f t="shared" si="159"/>
        <v>43212.931300010292</v>
      </c>
      <c r="H234" s="218">
        <f t="shared" si="159"/>
        <v>45091.349470711575</v>
      </c>
      <c r="I234" s="218">
        <f t="shared" si="159"/>
        <v>46922.584989225332</v>
      </c>
      <c r="J234" s="218">
        <f t="shared" si="159"/>
        <v>48707.747746737557</v>
      </c>
      <c r="K234" s="218">
        <f t="shared" si="159"/>
        <v>50447.918408000587</v>
      </c>
      <c r="L234" s="218">
        <f t="shared" si="159"/>
        <v>52144.149292982889</v>
      </c>
      <c r="M234" s="218">
        <f t="shared" si="159"/>
        <v>53797.465228207184</v>
      </c>
      <c r="N234" s="218">
        <f t="shared" si="159"/>
        <v>55408.864368952585</v>
      </c>
      <c r="O234" s="218">
        <f t="shared" si="159"/>
        <v>56979.31899344478</v>
      </c>
      <c r="P234" s="218">
        <f t="shared" si="159"/>
        <v>58359.190955905804</v>
      </c>
      <c r="Q234" s="218">
        <f t="shared" si="159"/>
        <v>59692.893797550583</v>
      </c>
      <c r="R234" s="218">
        <f t="shared" si="159"/>
        <v>60981.601943612113</v>
      </c>
      <c r="S234" s="218">
        <f t="shared" si="159"/>
        <v>62226.458414152352</v>
      </c>
      <c r="T234" s="218">
        <f t="shared" si="159"/>
        <v>63428.575762296961</v>
      </c>
      <c r="U234" s="218">
        <f t="shared" si="159"/>
        <v>64589.036980891156</v>
      </c>
      <c r="V234" s="218">
        <f t="shared" si="159"/>
        <v>65708.896378768928</v>
      </c>
      <c r="W234" s="218">
        <f t="shared" si="159"/>
        <v>66789.180427775835</v>
      </c>
      <c r="X234" s="218">
        <f t="shared" si="159"/>
        <v>67830.888581640102</v>
      </c>
      <c r="Y234" s="218">
        <f t="shared" si="159"/>
        <v>68834.99406773907</v>
      </c>
      <c r="Z234" s="218">
        <f t="shared" si="159"/>
        <v>69438.101695082907</v>
      </c>
      <c r="AA234" s="218">
        <f t="shared" si="159"/>
        <v>69994.603182243416</v>
      </c>
      <c r="AB234" s="218">
        <f t="shared" si="159"/>
        <v>70505.834898250672</v>
      </c>
      <c r="AC234" s="218">
        <f t="shared" si="159"/>
        <v>70973.096795918143</v>
      </c>
      <c r="AD234" s="218">
        <f t="shared" si="159"/>
        <v>71397.653484944298</v>
      </c>
      <c r="AE234" s="218">
        <f t="shared" si="159"/>
        <v>71780.735269871948</v>
      </c>
      <c r="AF234" s="218">
        <f t="shared" si="159"/>
        <v>72123.539154186161</v>
      </c>
      <c r="AG234" s="218">
        <f t="shared" si="159"/>
        <v>72427.229811780664</v>
      </c>
      <c r="AI234" s="616"/>
      <c r="AJ234" s="272"/>
    </row>
    <row r="235" spans="1:36" s="160" customFormat="1">
      <c r="A235" s="160" t="s">
        <v>1363</v>
      </c>
      <c r="B235" s="298" t="s">
        <v>127</v>
      </c>
      <c r="C235" s="218">
        <f>IF(C233-C234&lt;0,0,C233-C234)</f>
        <v>0</v>
      </c>
      <c r="D235" s="218">
        <f t="shared" ref="D235:AG235" si="160">IF(D233-D234&lt;0,0,D233-D234)</f>
        <v>0</v>
      </c>
      <c r="E235" s="218">
        <f t="shared" si="160"/>
        <v>0</v>
      </c>
      <c r="F235" s="218">
        <f t="shared" si="160"/>
        <v>0</v>
      </c>
      <c r="G235" s="218">
        <f t="shared" si="160"/>
        <v>0</v>
      </c>
      <c r="H235" s="218">
        <f t="shared" si="160"/>
        <v>0</v>
      </c>
      <c r="I235" s="218">
        <f t="shared" si="160"/>
        <v>0</v>
      </c>
      <c r="J235" s="218">
        <f t="shared" si="160"/>
        <v>0</v>
      </c>
      <c r="K235" s="218">
        <f t="shared" si="160"/>
        <v>0</v>
      </c>
      <c r="L235" s="218">
        <f t="shared" si="160"/>
        <v>0</v>
      </c>
      <c r="M235" s="218">
        <f t="shared" si="160"/>
        <v>0</v>
      </c>
      <c r="N235" s="218">
        <f t="shared" si="160"/>
        <v>0</v>
      </c>
      <c r="O235" s="218">
        <f t="shared" si="160"/>
        <v>0</v>
      </c>
      <c r="P235" s="218">
        <f t="shared" si="160"/>
        <v>0</v>
      </c>
      <c r="Q235" s="218">
        <f t="shared" si="160"/>
        <v>0</v>
      </c>
      <c r="R235" s="218">
        <f t="shared" si="160"/>
        <v>0</v>
      </c>
      <c r="S235" s="218">
        <f t="shared" si="160"/>
        <v>0</v>
      </c>
      <c r="T235" s="218">
        <f t="shared" si="160"/>
        <v>0</v>
      </c>
      <c r="U235" s="218">
        <f t="shared" si="160"/>
        <v>0</v>
      </c>
      <c r="V235" s="218">
        <f t="shared" si="160"/>
        <v>0</v>
      </c>
      <c r="W235" s="218">
        <f t="shared" si="160"/>
        <v>0</v>
      </c>
      <c r="X235" s="218">
        <f t="shared" si="160"/>
        <v>0</v>
      </c>
      <c r="Y235" s="218">
        <f t="shared" si="160"/>
        <v>0</v>
      </c>
      <c r="Z235" s="218">
        <f t="shared" si="160"/>
        <v>0</v>
      </c>
      <c r="AA235" s="218">
        <f t="shared" si="160"/>
        <v>0</v>
      </c>
      <c r="AB235" s="218">
        <f t="shared" si="160"/>
        <v>0</v>
      </c>
      <c r="AC235" s="218">
        <f t="shared" si="160"/>
        <v>0</v>
      </c>
      <c r="AD235" s="218">
        <f t="shared" si="160"/>
        <v>0</v>
      </c>
      <c r="AE235" s="218">
        <f t="shared" si="160"/>
        <v>0</v>
      </c>
      <c r="AF235" s="218">
        <f t="shared" si="160"/>
        <v>0</v>
      </c>
      <c r="AG235" s="218">
        <f t="shared" si="160"/>
        <v>0</v>
      </c>
      <c r="AI235" s="616"/>
      <c r="AJ235" s="272"/>
    </row>
    <row r="236" spans="1:36" s="160" customFormat="1">
      <c r="A236" s="160" t="s">
        <v>1364</v>
      </c>
      <c r="B236" s="298" t="s">
        <v>127</v>
      </c>
      <c r="C236" s="218">
        <f>C230*C187+C184*C233+C220+IF(C213&gt;C233,C213-C233,0)</f>
        <v>48450.117506673632</v>
      </c>
      <c r="D236" s="218">
        <f t="shared" ref="D236:AG236" si="161">D230*D187+D184*D233+D220+IF(D213&gt;D233,D213-D233,0)</f>
        <v>49729.981539804692</v>
      </c>
      <c r="E236" s="218">
        <f t="shared" si="161"/>
        <v>50999.822598405255</v>
      </c>
      <c r="F236" s="218">
        <f t="shared" si="161"/>
        <v>52259.681664389289</v>
      </c>
      <c r="G236" s="218">
        <f t="shared" si="161"/>
        <v>53509.599594635547</v>
      </c>
      <c r="H236" s="218">
        <f t="shared" si="161"/>
        <v>54749.617121294235</v>
      </c>
      <c r="I236" s="218">
        <f t="shared" si="161"/>
        <v>55799.791497248145</v>
      </c>
      <c r="J236" s="218">
        <f t="shared" si="161"/>
        <v>56828.715420804459</v>
      </c>
      <c r="K236" s="218">
        <f t="shared" si="161"/>
        <v>57836.495294083747</v>
      </c>
      <c r="L236" s="218">
        <f t="shared" si="161"/>
        <v>58823.237154520939</v>
      </c>
      <c r="M236" s="218">
        <f t="shared" si="161"/>
        <v>59789.046675864127</v>
      </c>
      <c r="N236" s="218">
        <f t="shared" si="161"/>
        <v>60687.42959056815</v>
      </c>
      <c r="O236" s="218">
        <f t="shared" si="161"/>
        <v>61589.522011132118</v>
      </c>
      <c r="P236" s="218">
        <f t="shared" si="161"/>
        <v>62473.439139150083</v>
      </c>
      <c r="Q236" s="218">
        <f t="shared" si="161"/>
        <v>63337.434789306484</v>
      </c>
      <c r="R236" s="218">
        <f t="shared" si="161"/>
        <v>64181.602736795605</v>
      </c>
      <c r="S236" s="218">
        <f t="shared" si="161"/>
        <v>65006.036753574197</v>
      </c>
      <c r="T236" s="218">
        <f t="shared" si="161"/>
        <v>65810.829776647617</v>
      </c>
      <c r="U236" s="218">
        <f t="shared" si="161"/>
        <v>66596.074727806772</v>
      </c>
      <c r="V236" s="218">
        <f t="shared" si="161"/>
        <v>67361.864245621691</v>
      </c>
      <c r="W236" s="218">
        <f t="shared" si="161"/>
        <v>68108.290686051187</v>
      </c>
      <c r="X236" s="218">
        <f t="shared" si="161"/>
        <v>68883.581963017699</v>
      </c>
      <c r="Y236" s="218">
        <f t="shared" si="161"/>
        <v>69644.127648494105</v>
      </c>
      <c r="Z236" s="218">
        <f t="shared" si="161"/>
        <v>70468.941051570291</v>
      </c>
      <c r="AA236" s="218">
        <f t="shared" si="161"/>
        <v>71282.196542380814</v>
      </c>
      <c r="AB236" s="218">
        <f t="shared" si="161"/>
        <v>72083.928265846989</v>
      </c>
      <c r="AC236" s="218">
        <f t="shared" si="161"/>
        <v>72865.376892922257</v>
      </c>
      <c r="AD236" s="218">
        <f t="shared" si="161"/>
        <v>73635.049635735675</v>
      </c>
      <c r="AE236" s="218">
        <f t="shared" si="161"/>
        <v>74392.982529621382</v>
      </c>
      <c r="AF236" s="218">
        <f t="shared" si="161"/>
        <v>75139.211600700903</v>
      </c>
      <c r="AG236" s="218">
        <f t="shared" si="161"/>
        <v>75873.772865399253</v>
      </c>
      <c r="AI236" s="616"/>
      <c r="AJ236" s="272"/>
    </row>
    <row r="237" spans="1:36" s="160" customFormat="1">
      <c r="A237" s="160" t="s">
        <v>1365</v>
      </c>
      <c r="B237" s="298" t="s">
        <v>127</v>
      </c>
      <c r="C237" s="218">
        <f>C216-C235</f>
        <v>391052.96364162921</v>
      </c>
      <c r="D237" s="218">
        <f t="shared" ref="D237:AF237" si="162">D216-D235</f>
        <v>387009.82667641714</v>
      </c>
      <c r="E237" s="218">
        <f t="shared" si="162"/>
        <v>382986.44591960573</v>
      </c>
      <c r="F237" s="218">
        <f t="shared" si="162"/>
        <v>378982.75159991201</v>
      </c>
      <c r="G237" s="218">
        <f t="shared" si="162"/>
        <v>374998.6741491789</v>
      </c>
      <c r="H237" s="218">
        <f t="shared" si="162"/>
        <v>371034.14420186792</v>
      </c>
      <c r="I237" s="218">
        <f t="shared" si="162"/>
        <v>366311.71767894557</v>
      </c>
      <c r="J237" s="218">
        <f t="shared" si="162"/>
        <v>361623.7100514163</v>
      </c>
      <c r="K237" s="218">
        <f t="shared" si="162"/>
        <v>356969.976814366</v>
      </c>
      <c r="L237" s="218">
        <f t="shared" si="162"/>
        <v>352350.37392689288</v>
      </c>
      <c r="M237" s="218">
        <f t="shared" si="162"/>
        <v>347764.75781086646</v>
      </c>
      <c r="N237" s="218">
        <f t="shared" si="162"/>
        <v>343047.44724117842</v>
      </c>
      <c r="O237" s="218">
        <f t="shared" si="162"/>
        <v>338459.40016473288</v>
      </c>
      <c r="P237" s="218">
        <f t="shared" si="162"/>
        <v>333589.87199714658</v>
      </c>
      <c r="Q237" s="218">
        <f t="shared" si="162"/>
        <v>328761.58134839666</v>
      </c>
      <c r="R237" s="218">
        <f t="shared" si="162"/>
        <v>323974.34723942069</v>
      </c>
      <c r="S237" s="218">
        <f t="shared" si="162"/>
        <v>319227.99012443883</v>
      </c>
      <c r="T237" s="218">
        <f t="shared" si="162"/>
        <v>314522.3293536253</v>
      </c>
      <c r="U237" s="218">
        <f t="shared" si="162"/>
        <v>309857.18572462344</v>
      </c>
      <c r="V237" s="218">
        <f t="shared" si="162"/>
        <v>305232.38062407065</v>
      </c>
      <c r="W237" s="218">
        <f t="shared" si="162"/>
        <v>300647.73602599907</v>
      </c>
      <c r="X237" s="218">
        <f t="shared" si="162"/>
        <v>296225.02995757433</v>
      </c>
      <c r="Y237" s="218">
        <f t="shared" si="162"/>
        <v>291845.57365175901</v>
      </c>
      <c r="Z237" s="218">
        <f t="shared" si="162"/>
        <v>287071.24116832711</v>
      </c>
      <c r="AA237" s="218">
        <f t="shared" si="162"/>
        <v>282343.01935442386</v>
      </c>
      <c r="AB237" s="218">
        <f t="shared" si="162"/>
        <v>277660.69908529922</v>
      </c>
      <c r="AC237" s="218">
        <f t="shared" si="162"/>
        <v>273004.92004638084</v>
      </c>
      <c r="AD237" s="218">
        <f t="shared" si="162"/>
        <v>268395.05137631902</v>
      </c>
      <c r="AE237" s="218">
        <f t="shared" si="162"/>
        <v>263830.883857143</v>
      </c>
      <c r="AF237" s="218">
        <f t="shared" si="162"/>
        <v>259312.20896966505</v>
      </c>
      <c r="AG237" s="218">
        <f>AG216-AG235</f>
        <v>254838.81889156337</v>
      </c>
      <c r="AI237" s="616"/>
      <c r="AJ237" s="272"/>
    </row>
    <row r="238" spans="1:36" s="160" customFormat="1">
      <c r="B238" s="299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  <c r="AE238" s="276"/>
      <c r="AF238" s="276"/>
      <c r="AG238" s="276"/>
      <c r="AJ238" s="272"/>
    </row>
    <row r="239" spans="1:36" s="160" customFormat="1">
      <c r="A239" s="160" t="s">
        <v>677</v>
      </c>
      <c r="B239" s="299" t="s">
        <v>126</v>
      </c>
      <c r="C239" s="246">
        <v>0.8</v>
      </c>
      <c r="D239" s="267">
        <f>C239</f>
        <v>0.8</v>
      </c>
      <c r="E239" s="267">
        <f t="shared" ref="E239:AG239" si="163">D239</f>
        <v>0.8</v>
      </c>
      <c r="F239" s="267">
        <f t="shared" si="163"/>
        <v>0.8</v>
      </c>
      <c r="G239" s="267">
        <f t="shared" si="163"/>
        <v>0.8</v>
      </c>
      <c r="H239" s="267">
        <f t="shared" si="163"/>
        <v>0.8</v>
      </c>
      <c r="I239" s="267">
        <f t="shared" si="163"/>
        <v>0.8</v>
      </c>
      <c r="J239" s="267">
        <f t="shared" si="163"/>
        <v>0.8</v>
      </c>
      <c r="K239" s="267">
        <f t="shared" si="163"/>
        <v>0.8</v>
      </c>
      <c r="L239" s="267">
        <f t="shared" si="163"/>
        <v>0.8</v>
      </c>
      <c r="M239" s="267">
        <f>L239</f>
        <v>0.8</v>
      </c>
      <c r="N239" s="267">
        <f t="shared" si="163"/>
        <v>0.8</v>
      </c>
      <c r="O239" s="267">
        <f t="shared" si="163"/>
        <v>0.8</v>
      </c>
      <c r="P239" s="267">
        <f t="shared" si="163"/>
        <v>0.8</v>
      </c>
      <c r="Q239" s="267">
        <f t="shared" si="163"/>
        <v>0.8</v>
      </c>
      <c r="R239" s="267">
        <f t="shared" si="163"/>
        <v>0.8</v>
      </c>
      <c r="S239" s="267">
        <f t="shared" si="163"/>
        <v>0.8</v>
      </c>
      <c r="T239" s="267">
        <f t="shared" si="163"/>
        <v>0.8</v>
      </c>
      <c r="U239" s="267">
        <f t="shared" si="163"/>
        <v>0.8</v>
      </c>
      <c r="V239" s="267">
        <f t="shared" si="163"/>
        <v>0.8</v>
      </c>
      <c r="W239" s="267">
        <f t="shared" si="163"/>
        <v>0.8</v>
      </c>
      <c r="X239" s="267">
        <f t="shared" si="163"/>
        <v>0.8</v>
      </c>
      <c r="Y239" s="267">
        <f t="shared" si="163"/>
        <v>0.8</v>
      </c>
      <c r="Z239" s="267">
        <f t="shared" si="163"/>
        <v>0.8</v>
      </c>
      <c r="AA239" s="267">
        <f t="shared" si="163"/>
        <v>0.8</v>
      </c>
      <c r="AB239" s="267">
        <f t="shared" si="163"/>
        <v>0.8</v>
      </c>
      <c r="AC239" s="267">
        <f t="shared" si="163"/>
        <v>0.8</v>
      </c>
      <c r="AD239" s="267">
        <f t="shared" si="163"/>
        <v>0.8</v>
      </c>
      <c r="AE239" s="267">
        <f t="shared" si="163"/>
        <v>0.8</v>
      </c>
      <c r="AF239" s="267">
        <f t="shared" si="163"/>
        <v>0.8</v>
      </c>
      <c r="AG239" s="267">
        <f t="shared" si="163"/>
        <v>0.8</v>
      </c>
      <c r="AJ239" s="272"/>
    </row>
    <row r="240" spans="1:36" s="160" customFormat="1">
      <c r="B240" s="299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  <c r="AE240" s="276"/>
      <c r="AF240" s="276"/>
      <c r="AG240" s="276"/>
      <c r="AJ240" s="272"/>
    </row>
    <row r="241" spans="1:37" s="160" customFormat="1">
      <c r="A241" s="160" t="s">
        <v>634</v>
      </c>
      <c r="B241" s="299" t="s">
        <v>127</v>
      </c>
      <c r="C241" s="276">
        <f>C175*C236*C239</f>
        <v>38760.094005338906</v>
      </c>
      <c r="D241" s="276">
        <f t="shared" ref="D241:AG241" si="164">D175*D236*D239</f>
        <v>39783.985231843755</v>
      </c>
      <c r="E241" s="276">
        <f t="shared" si="164"/>
        <v>40799.85807872421</v>
      </c>
      <c r="F241" s="276">
        <f t="shared" si="164"/>
        <v>41807.745331511433</v>
      </c>
      <c r="G241" s="276">
        <f t="shared" si="164"/>
        <v>42807.679675708438</v>
      </c>
      <c r="H241" s="276">
        <f t="shared" si="164"/>
        <v>43799.693697035393</v>
      </c>
      <c r="I241" s="276">
        <f t="shared" si="164"/>
        <v>44639.833197798522</v>
      </c>
      <c r="J241" s="276">
        <f t="shared" si="164"/>
        <v>45462.972336643572</v>
      </c>
      <c r="K241" s="276">
        <f t="shared" si="164"/>
        <v>46269.196235267002</v>
      </c>
      <c r="L241" s="276">
        <f t="shared" si="164"/>
        <v>47058.589723616751</v>
      </c>
      <c r="M241" s="276">
        <f t="shared" si="164"/>
        <v>47831.237340691303</v>
      </c>
      <c r="N241" s="276">
        <f t="shared" si="164"/>
        <v>48549.943672454523</v>
      </c>
      <c r="O241" s="276">
        <f t="shared" si="164"/>
        <v>49271.617608905697</v>
      </c>
      <c r="P241" s="276">
        <f t="shared" si="164"/>
        <v>49978.751311320069</v>
      </c>
      <c r="Q241" s="276">
        <f t="shared" si="164"/>
        <v>50669.947831445192</v>
      </c>
      <c r="R241" s="276">
        <f t="shared" si="164"/>
        <v>51345.28218943649</v>
      </c>
      <c r="S241" s="276">
        <f t="shared" si="164"/>
        <v>52004.829402859359</v>
      </c>
      <c r="T241" s="276">
        <f t="shared" si="164"/>
        <v>52648.6638213181</v>
      </c>
      <c r="U241" s="276">
        <f t="shared" si="164"/>
        <v>53276.859782245418</v>
      </c>
      <c r="V241" s="276">
        <f t="shared" si="164"/>
        <v>53889.491396497353</v>
      </c>
      <c r="W241" s="276">
        <f t="shared" si="164"/>
        <v>54486.632548840949</v>
      </c>
      <c r="X241" s="276">
        <f t="shared" si="164"/>
        <v>55106.865570414164</v>
      </c>
      <c r="Y241" s="276">
        <f t="shared" si="164"/>
        <v>55715.302118795284</v>
      </c>
      <c r="Z241" s="276">
        <f t="shared" si="164"/>
        <v>56375.152841256233</v>
      </c>
      <c r="AA241" s="276">
        <f t="shared" si="164"/>
        <v>57025.757233904653</v>
      </c>
      <c r="AB241" s="276">
        <f t="shared" si="164"/>
        <v>57667.142612677591</v>
      </c>
      <c r="AC241" s="276">
        <f t="shared" si="164"/>
        <v>58292.301514337807</v>
      </c>
      <c r="AD241" s="276">
        <f t="shared" si="164"/>
        <v>58908.039708588542</v>
      </c>
      <c r="AE241" s="276">
        <f t="shared" si="164"/>
        <v>59514.386023697109</v>
      </c>
      <c r="AF241" s="276">
        <f t="shared" si="164"/>
        <v>60111.369280560728</v>
      </c>
      <c r="AG241" s="276">
        <f t="shared" si="164"/>
        <v>60699.018292319408</v>
      </c>
      <c r="AJ241" s="272"/>
    </row>
    <row r="242" spans="1:37" s="160" customFormat="1">
      <c r="A242" s="160" t="s">
        <v>639</v>
      </c>
      <c r="B242" s="299" t="s">
        <v>127</v>
      </c>
      <c r="C242" s="276">
        <f>C236*C239-C241</f>
        <v>0</v>
      </c>
      <c r="D242" s="276">
        <f t="shared" ref="D242:AG242" si="165">D236*D239-D241</f>
        <v>0</v>
      </c>
      <c r="E242" s="276">
        <f t="shared" si="165"/>
        <v>0</v>
      </c>
      <c r="F242" s="276">
        <f t="shared" si="165"/>
        <v>0</v>
      </c>
      <c r="G242" s="276">
        <f t="shared" si="165"/>
        <v>0</v>
      </c>
      <c r="H242" s="276">
        <f t="shared" si="165"/>
        <v>0</v>
      </c>
      <c r="I242" s="276">
        <f t="shared" si="165"/>
        <v>0</v>
      </c>
      <c r="J242" s="276">
        <f t="shared" si="165"/>
        <v>0</v>
      </c>
      <c r="K242" s="276">
        <f t="shared" si="165"/>
        <v>0</v>
      </c>
      <c r="L242" s="276">
        <f t="shared" si="165"/>
        <v>0</v>
      </c>
      <c r="M242" s="276">
        <f t="shared" si="165"/>
        <v>0</v>
      </c>
      <c r="N242" s="276">
        <f t="shared" si="165"/>
        <v>0</v>
      </c>
      <c r="O242" s="276">
        <f t="shared" si="165"/>
        <v>0</v>
      </c>
      <c r="P242" s="276">
        <f t="shared" si="165"/>
        <v>0</v>
      </c>
      <c r="Q242" s="276">
        <f t="shared" si="165"/>
        <v>0</v>
      </c>
      <c r="R242" s="276">
        <f t="shared" si="165"/>
        <v>0</v>
      </c>
      <c r="S242" s="276">
        <f t="shared" si="165"/>
        <v>0</v>
      </c>
      <c r="T242" s="276">
        <f t="shared" si="165"/>
        <v>0</v>
      </c>
      <c r="U242" s="276">
        <f t="shared" si="165"/>
        <v>0</v>
      </c>
      <c r="V242" s="276">
        <f t="shared" si="165"/>
        <v>0</v>
      </c>
      <c r="W242" s="276">
        <f t="shared" si="165"/>
        <v>0</v>
      </c>
      <c r="X242" s="276">
        <f t="shared" si="165"/>
        <v>0</v>
      </c>
      <c r="Y242" s="276">
        <f t="shared" si="165"/>
        <v>0</v>
      </c>
      <c r="Z242" s="276">
        <f t="shared" si="165"/>
        <v>0</v>
      </c>
      <c r="AA242" s="276">
        <f t="shared" si="165"/>
        <v>0</v>
      </c>
      <c r="AB242" s="276">
        <f t="shared" si="165"/>
        <v>0</v>
      </c>
      <c r="AC242" s="276">
        <f t="shared" si="165"/>
        <v>0</v>
      </c>
      <c r="AD242" s="276">
        <f t="shared" si="165"/>
        <v>0</v>
      </c>
      <c r="AE242" s="276">
        <f t="shared" si="165"/>
        <v>0</v>
      </c>
      <c r="AF242" s="276">
        <f t="shared" si="165"/>
        <v>0</v>
      </c>
      <c r="AG242" s="276">
        <f t="shared" si="165"/>
        <v>0</v>
      </c>
      <c r="AJ242" s="272"/>
    </row>
    <row r="243" spans="1:37" s="160" customFormat="1">
      <c r="B243" s="15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  <c r="AB243" s="276"/>
      <c r="AC243" s="276"/>
      <c r="AD243" s="276"/>
      <c r="AE243" s="276"/>
      <c r="AF243" s="276"/>
      <c r="AG243" s="276"/>
      <c r="AJ243" s="272"/>
    </row>
    <row r="244" spans="1:37" s="160" customFormat="1">
      <c r="B244" s="184" t="s">
        <v>633</v>
      </c>
      <c r="C244" s="280">
        <v>0</v>
      </c>
      <c r="D244" s="280">
        <f>C244+1</f>
        <v>1</v>
      </c>
      <c r="E244" s="280">
        <f t="shared" ref="E244:AG244" si="166">D244+1</f>
        <v>2</v>
      </c>
      <c r="F244" s="280">
        <f t="shared" si="166"/>
        <v>3</v>
      </c>
      <c r="G244" s="280">
        <f t="shared" si="166"/>
        <v>4</v>
      </c>
      <c r="H244" s="280">
        <f t="shared" si="166"/>
        <v>5</v>
      </c>
      <c r="I244" s="280">
        <f t="shared" si="166"/>
        <v>6</v>
      </c>
      <c r="J244" s="280">
        <f t="shared" si="166"/>
        <v>7</v>
      </c>
      <c r="K244" s="280">
        <f t="shared" si="166"/>
        <v>8</v>
      </c>
      <c r="L244" s="280">
        <f t="shared" si="166"/>
        <v>9</v>
      </c>
      <c r="M244" s="280">
        <f t="shared" si="166"/>
        <v>10</v>
      </c>
      <c r="N244" s="280">
        <f t="shared" si="166"/>
        <v>11</v>
      </c>
      <c r="O244" s="280">
        <f t="shared" si="166"/>
        <v>12</v>
      </c>
      <c r="P244" s="280">
        <f t="shared" si="166"/>
        <v>13</v>
      </c>
      <c r="Q244" s="280">
        <f t="shared" si="166"/>
        <v>14</v>
      </c>
      <c r="R244" s="280">
        <f t="shared" si="166"/>
        <v>15</v>
      </c>
      <c r="S244" s="280">
        <f t="shared" si="166"/>
        <v>16</v>
      </c>
      <c r="T244" s="280">
        <f t="shared" si="166"/>
        <v>17</v>
      </c>
      <c r="U244" s="280">
        <f t="shared" si="166"/>
        <v>18</v>
      </c>
      <c r="V244" s="280">
        <f t="shared" si="166"/>
        <v>19</v>
      </c>
      <c r="W244" s="280">
        <f t="shared" si="166"/>
        <v>20</v>
      </c>
      <c r="X244" s="280">
        <f t="shared" si="166"/>
        <v>21</v>
      </c>
      <c r="Y244" s="280">
        <f t="shared" si="166"/>
        <v>22</v>
      </c>
      <c r="Z244" s="280">
        <f t="shared" si="166"/>
        <v>23</v>
      </c>
      <c r="AA244" s="280">
        <f t="shared" si="166"/>
        <v>24</v>
      </c>
      <c r="AB244" s="280">
        <f t="shared" si="166"/>
        <v>25</v>
      </c>
      <c r="AC244" s="280">
        <f t="shared" si="166"/>
        <v>26</v>
      </c>
      <c r="AD244" s="280">
        <f t="shared" si="166"/>
        <v>27</v>
      </c>
      <c r="AE244" s="280">
        <f t="shared" si="166"/>
        <v>28</v>
      </c>
      <c r="AF244" s="280">
        <f t="shared" si="166"/>
        <v>29</v>
      </c>
      <c r="AG244" s="280">
        <f t="shared" si="166"/>
        <v>30</v>
      </c>
      <c r="AJ244" s="272" t="s">
        <v>641</v>
      </c>
      <c r="AK244" s="160">
        <f>'Propylene Recycling HC'!AK196</f>
        <v>1.9</v>
      </c>
    </row>
    <row r="245" spans="1:37" s="160" customFormat="1">
      <c r="A245" s="160" t="s">
        <v>686</v>
      </c>
      <c r="B245" s="156"/>
      <c r="C245" s="282">
        <f>$AK$246/((1+EXP(-$AK$245*(C244-$AK$247)))^$AK$244)</f>
        <v>4.6088632748610021E-5</v>
      </c>
      <c r="D245" s="282">
        <f t="shared" ref="D245:AG245" si="167">$AK$246/((1+EXP(-$AK$245*(D244-$AK$247)))^$AK$244)</f>
        <v>8.924759460408035E-5</v>
      </c>
      <c r="E245" s="282">
        <f t="shared" si="167"/>
        <v>1.7252431976790472E-4</v>
      </c>
      <c r="F245" s="282">
        <f t="shared" si="167"/>
        <v>3.3269643715580369E-4</v>
      </c>
      <c r="G245" s="282">
        <f t="shared" si="167"/>
        <v>6.393827369910735E-4</v>
      </c>
      <c r="H245" s="282">
        <f t="shared" si="167"/>
        <v>1.2229053771654547E-3</v>
      </c>
      <c r="I245" s="282">
        <f t="shared" si="167"/>
        <v>2.3234018804222717E-3</v>
      </c>
      <c r="J245" s="282">
        <f t="shared" si="167"/>
        <v>4.3736281679830789E-3</v>
      </c>
      <c r="K245" s="282">
        <f t="shared" si="167"/>
        <v>8.1294184230466908E-3</v>
      </c>
      <c r="L245" s="282">
        <f t="shared" si="167"/>
        <v>1.4853985082038716E-2</v>
      </c>
      <c r="M245" s="282">
        <f t="shared" si="167"/>
        <v>2.6531412096832362E-2</v>
      </c>
      <c r="N245" s="282">
        <f t="shared" si="167"/>
        <v>4.6014759335105015E-2</v>
      </c>
      <c r="O245" s="282">
        <f t="shared" si="167"/>
        <v>7.6910635328419796E-2</v>
      </c>
      <c r="P245" s="282">
        <f t="shared" si="167"/>
        <v>0.12294065829885638</v>
      </c>
      <c r="Q245" s="282">
        <f t="shared" si="167"/>
        <v>0.18666754187878853</v>
      </c>
      <c r="R245" s="282">
        <f t="shared" si="167"/>
        <v>0.26794336563407328</v>
      </c>
      <c r="S245" s="282">
        <f t="shared" si="167"/>
        <v>0.36297326582455031</v>
      </c>
      <c r="T245" s="282">
        <f t="shared" si="167"/>
        <v>0.46484396312424381</v>
      </c>
      <c r="U245" s="282">
        <f t="shared" si="167"/>
        <v>0.56546260593861253</v>
      </c>
      <c r="V245" s="282">
        <f t="shared" si="167"/>
        <v>0.6578403022607352</v>
      </c>
      <c r="W245" s="282">
        <f t="shared" si="167"/>
        <v>0.73754668886795227</v>
      </c>
      <c r="X245" s="282">
        <f t="shared" si="167"/>
        <v>0.80293052021410605</v>
      </c>
      <c r="Y245" s="282">
        <f t="shared" si="167"/>
        <v>0.85447682949112158</v>
      </c>
      <c r="Z245" s="282">
        <f t="shared" si="167"/>
        <v>0.89389910336617451</v>
      </c>
      <c r="AA245" s="282">
        <f t="shared" si="167"/>
        <v>0.92337223319290385</v>
      </c>
      <c r="AB245" s="282">
        <f t="shared" si="167"/>
        <v>0.94504210708611314</v>
      </c>
      <c r="AC245" s="282">
        <f t="shared" si="167"/>
        <v>0.96078240575184182</v>
      </c>
      <c r="AD245" s="282">
        <f t="shared" si="167"/>
        <v>0.97211605463477313</v>
      </c>
      <c r="AE245" s="282">
        <f t="shared" si="167"/>
        <v>0.98022577885232642</v>
      </c>
      <c r="AF245" s="282">
        <f t="shared" si="167"/>
        <v>0.98600279580400285</v>
      </c>
      <c r="AG245" s="282">
        <f t="shared" si="167"/>
        <v>0.9901050637460882</v>
      </c>
      <c r="AI245" s="156" t="s">
        <v>640</v>
      </c>
      <c r="AJ245" s="272" t="s">
        <v>642</v>
      </c>
      <c r="AK245" s="160">
        <f>'Propylene Recycling HC'!AK197</f>
        <v>0.35</v>
      </c>
    </row>
    <row r="246" spans="1:37" s="160" customFormat="1">
      <c r="B246" s="156"/>
      <c r="C246" s="278">
        <v>0</v>
      </c>
      <c r="D246" s="278">
        <v>0</v>
      </c>
      <c r="E246" s="278">
        <v>0</v>
      </c>
      <c r="F246" s="278">
        <v>0</v>
      </c>
      <c r="G246" s="278">
        <v>0</v>
      </c>
      <c r="H246" s="278">
        <v>0</v>
      </c>
      <c r="I246" s="278">
        <v>0</v>
      </c>
      <c r="J246" s="278">
        <v>0</v>
      </c>
      <c r="K246" s="278">
        <v>0</v>
      </c>
      <c r="L246" s="278">
        <v>0</v>
      </c>
      <c r="M246" s="278">
        <f>C245</f>
        <v>4.6088632748610021E-5</v>
      </c>
      <c r="N246" s="278">
        <v>0</v>
      </c>
      <c r="O246" s="278">
        <v>0</v>
      </c>
      <c r="P246" s="278">
        <v>0</v>
      </c>
      <c r="Q246" s="278">
        <v>0</v>
      </c>
      <c r="R246" s="278">
        <f t="shared" ref="R246:AG246" si="168">C245</f>
        <v>4.6088632748610021E-5</v>
      </c>
      <c r="S246" s="278">
        <f t="shared" si="168"/>
        <v>8.924759460408035E-5</v>
      </c>
      <c r="T246" s="278">
        <f t="shared" si="168"/>
        <v>1.7252431976790472E-4</v>
      </c>
      <c r="U246" s="278">
        <f t="shared" si="168"/>
        <v>3.3269643715580369E-4</v>
      </c>
      <c r="V246" s="278">
        <f t="shared" si="168"/>
        <v>6.393827369910735E-4</v>
      </c>
      <c r="W246" s="278">
        <f t="shared" si="168"/>
        <v>1.2229053771654547E-3</v>
      </c>
      <c r="X246" s="278">
        <f t="shared" si="168"/>
        <v>2.3234018804222717E-3</v>
      </c>
      <c r="Y246" s="278">
        <f t="shared" si="168"/>
        <v>4.3736281679830789E-3</v>
      </c>
      <c r="Z246" s="278">
        <f t="shared" si="168"/>
        <v>8.1294184230466908E-3</v>
      </c>
      <c r="AA246" s="278">
        <f t="shared" si="168"/>
        <v>1.4853985082038716E-2</v>
      </c>
      <c r="AB246" s="278">
        <f t="shared" si="168"/>
        <v>2.6531412096832362E-2</v>
      </c>
      <c r="AC246" s="278">
        <f t="shared" si="168"/>
        <v>4.6014759335105015E-2</v>
      </c>
      <c r="AD246" s="278">
        <f t="shared" si="168"/>
        <v>7.6910635328419796E-2</v>
      </c>
      <c r="AE246" s="278">
        <f t="shared" si="168"/>
        <v>0.12294065829885638</v>
      </c>
      <c r="AF246" s="278">
        <f t="shared" si="168"/>
        <v>0.18666754187878853</v>
      </c>
      <c r="AG246" s="278">
        <f t="shared" si="168"/>
        <v>0.26794336563407328</v>
      </c>
      <c r="AI246" s="156" t="s">
        <v>687</v>
      </c>
      <c r="AJ246" s="272" t="s">
        <v>643</v>
      </c>
      <c r="AK246" s="160">
        <f>'Propylene Recycling HC'!AK198</f>
        <v>1</v>
      </c>
    </row>
    <row r="247" spans="1:37" s="160" customFormat="1">
      <c r="B247" s="15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  <c r="AB247" s="276"/>
      <c r="AC247" s="276"/>
      <c r="AD247" s="276"/>
      <c r="AE247" s="276"/>
      <c r="AF247" s="276"/>
      <c r="AG247" s="276"/>
      <c r="AJ247" s="272" t="s">
        <v>644</v>
      </c>
      <c r="AK247" s="160">
        <f>'Propylene Recycling HC'!AK199</f>
        <v>15</v>
      </c>
    </row>
    <row r="248" spans="1:37" s="160" customFormat="1">
      <c r="A248" s="160" t="s">
        <v>762</v>
      </c>
      <c r="B248" s="156" t="s">
        <v>126</v>
      </c>
      <c r="C248" s="277">
        <v>0</v>
      </c>
      <c r="D248" s="277">
        <f>C248</f>
        <v>0</v>
      </c>
      <c r="E248" s="277">
        <f t="shared" ref="E248:AG248" si="169">D248</f>
        <v>0</v>
      </c>
      <c r="F248" s="277">
        <f t="shared" si="169"/>
        <v>0</v>
      </c>
      <c r="G248" s="277">
        <f t="shared" si="169"/>
        <v>0</v>
      </c>
      <c r="H248" s="277">
        <f t="shared" si="169"/>
        <v>0</v>
      </c>
      <c r="I248" s="277">
        <f t="shared" si="169"/>
        <v>0</v>
      </c>
      <c r="J248" s="277">
        <f t="shared" si="169"/>
        <v>0</v>
      </c>
      <c r="K248" s="277">
        <f t="shared" si="169"/>
        <v>0</v>
      </c>
      <c r="L248" s="277">
        <f t="shared" si="169"/>
        <v>0</v>
      </c>
      <c r="M248" s="277">
        <v>0</v>
      </c>
      <c r="N248" s="277">
        <f t="shared" si="169"/>
        <v>0</v>
      </c>
      <c r="O248" s="277">
        <f t="shared" si="169"/>
        <v>0</v>
      </c>
      <c r="P248" s="277">
        <f t="shared" si="169"/>
        <v>0</v>
      </c>
      <c r="Q248" s="277">
        <f t="shared" si="169"/>
        <v>0</v>
      </c>
      <c r="R248" s="277">
        <f t="shared" si="169"/>
        <v>0</v>
      </c>
      <c r="S248" s="277">
        <f t="shared" si="169"/>
        <v>0</v>
      </c>
      <c r="T248" s="277">
        <f t="shared" si="169"/>
        <v>0</v>
      </c>
      <c r="U248" s="277">
        <f t="shared" si="169"/>
        <v>0</v>
      </c>
      <c r="V248" s="277">
        <f t="shared" si="169"/>
        <v>0</v>
      </c>
      <c r="W248" s="277">
        <f t="shared" si="169"/>
        <v>0</v>
      </c>
      <c r="X248" s="277">
        <f t="shared" si="169"/>
        <v>0</v>
      </c>
      <c r="Y248" s="277">
        <f t="shared" si="169"/>
        <v>0</v>
      </c>
      <c r="Z248" s="277">
        <f t="shared" si="169"/>
        <v>0</v>
      </c>
      <c r="AA248" s="277">
        <f t="shared" si="169"/>
        <v>0</v>
      </c>
      <c r="AB248" s="277">
        <f t="shared" si="169"/>
        <v>0</v>
      </c>
      <c r="AC248" s="277">
        <f t="shared" si="169"/>
        <v>0</v>
      </c>
      <c r="AD248" s="277">
        <f t="shared" si="169"/>
        <v>0</v>
      </c>
      <c r="AE248" s="277">
        <f t="shared" si="169"/>
        <v>0</v>
      </c>
      <c r="AF248" s="277">
        <f t="shared" si="169"/>
        <v>0</v>
      </c>
      <c r="AG248" s="277">
        <f t="shared" si="169"/>
        <v>0</v>
      </c>
      <c r="AI248" s="156" t="s">
        <v>766</v>
      </c>
      <c r="AJ248" s="272"/>
    </row>
    <row r="249" spans="1:37" s="250" customFormat="1" ht="15.5" thickBot="1">
      <c r="A249" s="283" t="s">
        <v>631</v>
      </c>
      <c r="B249" s="284" t="s">
        <v>127</v>
      </c>
      <c r="C249" s="285">
        <f>C248*(C241*C245+C242*C246)</f>
        <v>0</v>
      </c>
      <c r="D249" s="285">
        <f t="shared" ref="D249:AG249" si="170">D248*(D241*D245+D242*D246)</f>
        <v>0</v>
      </c>
      <c r="E249" s="285">
        <f t="shared" si="170"/>
        <v>0</v>
      </c>
      <c r="F249" s="285">
        <f t="shared" si="170"/>
        <v>0</v>
      </c>
      <c r="G249" s="285">
        <f t="shared" si="170"/>
        <v>0</v>
      </c>
      <c r="H249" s="285">
        <f t="shared" si="170"/>
        <v>0</v>
      </c>
      <c r="I249" s="285">
        <f t="shared" si="170"/>
        <v>0</v>
      </c>
      <c r="J249" s="285">
        <f t="shared" si="170"/>
        <v>0</v>
      </c>
      <c r="K249" s="285">
        <f t="shared" si="170"/>
        <v>0</v>
      </c>
      <c r="L249" s="285">
        <f t="shared" si="170"/>
        <v>0</v>
      </c>
      <c r="M249" s="285">
        <f>M248*(M241*M245+M242*M246)</f>
        <v>0</v>
      </c>
      <c r="N249" s="285">
        <f t="shared" si="170"/>
        <v>0</v>
      </c>
      <c r="O249" s="285">
        <f t="shared" si="170"/>
        <v>0</v>
      </c>
      <c r="P249" s="285">
        <f t="shared" si="170"/>
        <v>0</v>
      </c>
      <c r="Q249" s="285">
        <f t="shared" si="170"/>
        <v>0</v>
      </c>
      <c r="R249" s="285">
        <f t="shared" si="170"/>
        <v>0</v>
      </c>
      <c r="S249" s="285">
        <f t="shared" si="170"/>
        <v>0</v>
      </c>
      <c r="T249" s="285">
        <f t="shared" si="170"/>
        <v>0</v>
      </c>
      <c r="U249" s="285">
        <f t="shared" si="170"/>
        <v>0</v>
      </c>
      <c r="V249" s="285">
        <f t="shared" si="170"/>
        <v>0</v>
      </c>
      <c r="W249" s="285">
        <f t="shared" si="170"/>
        <v>0</v>
      </c>
      <c r="X249" s="285">
        <f t="shared" si="170"/>
        <v>0</v>
      </c>
      <c r="Y249" s="285">
        <f t="shared" si="170"/>
        <v>0</v>
      </c>
      <c r="Z249" s="285">
        <f t="shared" si="170"/>
        <v>0</v>
      </c>
      <c r="AA249" s="285">
        <f t="shared" si="170"/>
        <v>0</v>
      </c>
      <c r="AB249" s="285">
        <f t="shared" si="170"/>
        <v>0</v>
      </c>
      <c r="AC249" s="285">
        <f t="shared" si="170"/>
        <v>0</v>
      </c>
      <c r="AD249" s="285">
        <f t="shared" si="170"/>
        <v>0</v>
      </c>
      <c r="AE249" s="285">
        <f t="shared" si="170"/>
        <v>0</v>
      </c>
      <c r="AF249" s="285">
        <f t="shared" si="170"/>
        <v>0</v>
      </c>
      <c r="AG249" s="285">
        <f t="shared" si="170"/>
        <v>0</v>
      </c>
      <c r="AJ249" s="275"/>
    </row>
    <row r="250" spans="1:37" s="203" customFormat="1">
      <c r="A250" s="274" t="s">
        <v>637</v>
      </c>
      <c r="B250" s="273" t="s">
        <v>126</v>
      </c>
      <c r="C250" s="279">
        <v>0</v>
      </c>
      <c r="D250" s="279">
        <v>0.5</v>
      </c>
      <c r="E250" s="279">
        <v>0.5</v>
      </c>
      <c r="F250" s="279">
        <v>0.5</v>
      </c>
      <c r="G250" s="279">
        <v>0.5</v>
      </c>
      <c r="H250" s="279">
        <v>0.5</v>
      </c>
      <c r="I250" s="279">
        <v>0.5</v>
      </c>
      <c r="J250" s="279">
        <v>0.5</v>
      </c>
      <c r="K250" s="279">
        <v>0.5</v>
      </c>
      <c r="L250" s="279">
        <v>0.5</v>
      </c>
      <c r="M250" s="279">
        <v>0</v>
      </c>
      <c r="N250" s="279">
        <v>0.5</v>
      </c>
      <c r="O250" s="279">
        <v>0.5</v>
      </c>
      <c r="P250" s="279">
        <v>0.5</v>
      </c>
      <c r="Q250" s="279">
        <v>0.5</v>
      </c>
      <c r="R250" s="279">
        <v>0.5</v>
      </c>
      <c r="S250" s="279">
        <v>0.5</v>
      </c>
      <c r="T250" s="279">
        <v>0.5</v>
      </c>
      <c r="U250" s="279">
        <v>0.5</v>
      </c>
      <c r="V250" s="279">
        <v>0.5</v>
      </c>
      <c r="W250" s="279">
        <v>0</v>
      </c>
      <c r="X250" s="279">
        <v>0.5</v>
      </c>
      <c r="Y250" s="279">
        <v>0.5</v>
      </c>
      <c r="Z250" s="279">
        <v>0.5</v>
      </c>
      <c r="AA250" s="279">
        <v>0.5</v>
      </c>
      <c r="AB250" s="279">
        <v>0.5</v>
      </c>
      <c r="AC250" s="279">
        <v>0.5</v>
      </c>
      <c r="AD250" s="279">
        <v>0.5</v>
      </c>
      <c r="AE250" s="279">
        <v>0.5</v>
      </c>
      <c r="AF250" s="279">
        <v>0.5</v>
      </c>
      <c r="AG250" s="279">
        <v>0</v>
      </c>
    </row>
    <row r="251" spans="1:37" s="203" customFormat="1" ht="15.5" thickBot="1">
      <c r="A251" s="251" t="s">
        <v>632</v>
      </c>
      <c r="B251" s="284" t="s">
        <v>127</v>
      </c>
      <c r="C251" s="285">
        <f>C250*(C241*C245+C242*C246)</f>
        <v>0</v>
      </c>
      <c r="D251" s="285">
        <f t="shared" ref="D251:AG251" si="171">D250*(D241*D245+D242*D246)</f>
        <v>1.7753124928531556</v>
      </c>
      <c r="E251" s="285">
        <f t="shared" si="171"/>
        <v>3.5194838808294731</v>
      </c>
      <c r="F251" s="285">
        <f t="shared" si="171"/>
        <v>6.9546439586555193</v>
      </c>
      <c r="G251" s="285">
        <f t="shared" si="171"/>
        <v>13.685245697645806</v>
      </c>
      <c r="H251" s="285">
        <f t="shared" si="171"/>
        <v>26.78144047015223</v>
      </c>
      <c r="I251" s="285">
        <f t="shared" si="171"/>
        <v>51.85813619675082</v>
      </c>
      <c r="J251" s="285">
        <f t="shared" si="171"/>
        <v>99.419068205889914</v>
      </c>
      <c r="K251" s="285">
        <f t="shared" si="171"/>
        <v>188.07082814727107</v>
      </c>
      <c r="L251" s="285">
        <f t="shared" si="171"/>
        <v>349.50379486819185</v>
      </c>
      <c r="M251" s="285">
        <f t="shared" si="171"/>
        <v>0</v>
      </c>
      <c r="N251" s="285">
        <f t="shared" si="171"/>
        <v>1117.0069869104498</v>
      </c>
      <c r="O251" s="285">
        <f t="shared" si="171"/>
        <v>1894.7557069799468</v>
      </c>
      <c r="P251" s="285">
        <f t="shared" si="171"/>
        <v>3072.2102935842604</v>
      </c>
      <c r="Q251" s="285">
        <f t="shared" si="171"/>
        <v>4729.2173044111632</v>
      </c>
      <c r="R251" s="285">
        <f t="shared" si="171"/>
        <v>6878.8138596344261</v>
      </c>
      <c r="S251" s="285">
        <f t="shared" si="171"/>
        <v>9438.1813835022294</v>
      </c>
      <c r="T251" s="285">
        <f t="shared" si="171"/>
        <v>12236.70677194875</v>
      </c>
      <c r="U251" s="285">
        <f t="shared" si="171"/>
        <v>15063.035984347278</v>
      </c>
      <c r="V251" s="285">
        <f t="shared" si="171"/>
        <v>17725.339654474556</v>
      </c>
      <c r="W251" s="285">
        <f t="shared" si="171"/>
        <v>0</v>
      </c>
      <c r="X251" s="285">
        <f t="shared" si="171"/>
        <v>22123.492119910727</v>
      </c>
      <c r="Y251" s="285">
        <f t="shared" si="171"/>
        <v>23803.717354304081</v>
      </c>
      <c r="Z251" s="285">
        <f t="shared" si="171"/>
        <v>25196.849288464997</v>
      </c>
      <c r="AA251" s="285">
        <f t="shared" si="171"/>
        <v>26328.000403293467</v>
      </c>
      <c r="AB251" s="285">
        <f t="shared" si="171"/>
        <v>27248.938982160107</v>
      </c>
      <c r="AC251" s="285">
        <f t="shared" si="171"/>
        <v>28003.108842878606</v>
      </c>
      <c r="AD251" s="285">
        <f t="shared" si="171"/>
        <v>28632.725573890821</v>
      </c>
      <c r="AE251" s="285">
        <f t="shared" si="171"/>
        <v>29168.767696498253</v>
      </c>
      <c r="AF251" s="285">
        <f t="shared" si="171"/>
        <v>29634.989085119865</v>
      </c>
      <c r="AG251" s="285">
        <f t="shared" si="171"/>
        <v>0</v>
      </c>
      <c r="AJ251" s="274"/>
    </row>
    <row r="252" spans="1:37" s="203" customFormat="1">
      <c r="A252" s="275"/>
      <c r="B252" s="273"/>
      <c r="AJ252" s="274"/>
    </row>
    <row r="253" spans="1:37" s="203" customFormat="1">
      <c r="A253" s="275" t="s">
        <v>635</v>
      </c>
      <c r="B253" s="273" t="s">
        <v>127</v>
      </c>
      <c r="C253" s="203">
        <f>SUM(C222:C223)-SUM(C249,C251)</f>
        <v>439914.26572866924</v>
      </c>
      <c r="D253" s="203">
        <f t="shared" ref="D253:AG253" si="172">SUM(D222:D223)-SUM(D249,D251)</f>
        <v>437170.38118512044</v>
      </c>
      <c r="E253" s="203">
        <f t="shared" si="172"/>
        <v>434435.18775653077</v>
      </c>
      <c r="F253" s="203">
        <f t="shared" si="172"/>
        <v>431706.94131780142</v>
      </c>
      <c r="G253" s="203">
        <f t="shared" si="172"/>
        <v>428984.01546921604</v>
      </c>
      <c r="H253" s="203">
        <f t="shared" si="172"/>
        <v>426263.31816112349</v>
      </c>
      <c r="I253" s="203">
        <f t="shared" si="172"/>
        <v>422581.85436524544</v>
      </c>
      <c r="J253" s="203">
        <f t="shared" si="172"/>
        <v>418890.03519214853</v>
      </c>
      <c r="K253" s="203">
        <f t="shared" si="172"/>
        <v>415169.22259487089</v>
      </c>
      <c r="L253" s="203">
        <f t="shared" si="172"/>
        <v>411387.69480958284</v>
      </c>
      <c r="M253" s="203">
        <f t="shared" si="172"/>
        <v>408129.13848986547</v>
      </c>
      <c r="N253" s="203">
        <f t="shared" si="172"/>
        <v>403203.93716050743</v>
      </c>
      <c r="O253" s="203">
        <f t="shared" si="172"/>
        <v>398749.9604616625</v>
      </c>
      <c r="P253" s="203">
        <f t="shared" si="172"/>
        <v>393594.06553961395</v>
      </c>
      <c r="Q253" s="203">
        <f t="shared" si="172"/>
        <v>387978.90671341255</v>
      </c>
      <c r="R253" s="203">
        <f t="shared" si="172"/>
        <v>381891.37330215872</v>
      </c>
      <c r="S253" s="203">
        <f t="shared" si="172"/>
        <v>375414.21166017302</v>
      </c>
      <c r="T253" s="203">
        <f t="shared" si="172"/>
        <v>368717.96064078825</v>
      </c>
      <c r="U253" s="203">
        <f t="shared" si="172"/>
        <v>362013.90137629316</v>
      </c>
      <c r="V253" s="203">
        <f t="shared" si="172"/>
        <v>355493.79054092953</v>
      </c>
      <c r="W253" s="203">
        <f t="shared" si="172"/>
        <v>369381.17344085401</v>
      </c>
      <c r="X253" s="203">
        <f t="shared" si="172"/>
        <v>343609.5940234657</v>
      </c>
      <c r="Y253" s="203">
        <f t="shared" si="172"/>
        <v>338308.86477080156</v>
      </c>
      <c r="Z253" s="203">
        <f t="shared" si="172"/>
        <v>332960.47424450208</v>
      </c>
      <c r="AA253" s="203">
        <f t="shared" si="172"/>
        <v>327907.74761944421</v>
      </c>
      <c r="AB253" s="203">
        <f t="shared" si="172"/>
        <v>323098.76786176953</v>
      </c>
      <c r="AC253" s="203">
        <f t="shared" si="172"/>
        <v>318461.99753343553</v>
      </c>
      <c r="AD253" s="203">
        <f t="shared" si="172"/>
        <v>313983.12321530707</v>
      </c>
      <c r="AE253" s="203">
        <f t="shared" si="172"/>
        <v>309631.01881819672</v>
      </c>
      <c r="AF253" s="203">
        <f t="shared" si="172"/>
        <v>305381.78338667209</v>
      </c>
      <c r="AG253" s="203">
        <f t="shared" si="172"/>
        <v>331266.66006502276</v>
      </c>
      <c r="AJ253" s="274"/>
    </row>
    <row r="254" spans="1:37" s="203" customFormat="1">
      <c r="A254" s="275"/>
      <c r="B254" s="273"/>
      <c r="AJ254" s="274"/>
    </row>
    <row r="255" spans="1:37" s="203" customFormat="1">
      <c r="A255" s="274" t="s">
        <v>646</v>
      </c>
      <c r="B255" s="273" t="s">
        <v>127</v>
      </c>
      <c r="C255" s="276">
        <f t="shared" ref="C255:AG255" si="173">C175*C174*C125</f>
        <v>0</v>
      </c>
      <c r="D255" s="276">
        <f t="shared" si="173"/>
        <v>0</v>
      </c>
      <c r="E255" s="276">
        <f t="shared" si="173"/>
        <v>0</v>
      </c>
      <c r="F255" s="276">
        <f t="shared" si="173"/>
        <v>0</v>
      </c>
      <c r="G255" s="276">
        <f t="shared" si="173"/>
        <v>0</v>
      </c>
      <c r="H255" s="276">
        <f t="shared" si="173"/>
        <v>0</v>
      </c>
      <c r="I255" s="276">
        <f t="shared" si="173"/>
        <v>0</v>
      </c>
      <c r="J255" s="276">
        <f t="shared" si="173"/>
        <v>0</v>
      </c>
      <c r="K255" s="276">
        <f t="shared" si="173"/>
        <v>0</v>
      </c>
      <c r="L255" s="276">
        <f t="shared" si="173"/>
        <v>0</v>
      </c>
      <c r="M255" s="276">
        <f t="shared" si="173"/>
        <v>0</v>
      </c>
      <c r="N255" s="276">
        <f t="shared" si="173"/>
        <v>0</v>
      </c>
      <c r="O255" s="276">
        <f t="shared" si="173"/>
        <v>0</v>
      </c>
      <c r="P255" s="276">
        <f t="shared" si="173"/>
        <v>0</v>
      </c>
      <c r="Q255" s="276">
        <f t="shared" si="173"/>
        <v>0</v>
      </c>
      <c r="R255" s="276">
        <f t="shared" si="173"/>
        <v>0</v>
      </c>
      <c r="S255" s="276">
        <f t="shared" si="173"/>
        <v>0</v>
      </c>
      <c r="T255" s="276">
        <f t="shared" si="173"/>
        <v>0</v>
      </c>
      <c r="U255" s="276">
        <f t="shared" si="173"/>
        <v>0</v>
      </c>
      <c r="V255" s="276">
        <f t="shared" si="173"/>
        <v>0</v>
      </c>
      <c r="W255" s="276">
        <f t="shared" si="173"/>
        <v>0</v>
      </c>
      <c r="X255" s="276">
        <f t="shared" si="173"/>
        <v>0</v>
      </c>
      <c r="Y255" s="276">
        <f t="shared" si="173"/>
        <v>0</v>
      </c>
      <c r="Z255" s="276">
        <f t="shared" si="173"/>
        <v>0</v>
      </c>
      <c r="AA255" s="276">
        <f t="shared" si="173"/>
        <v>0</v>
      </c>
      <c r="AB255" s="276">
        <f t="shared" si="173"/>
        <v>0</v>
      </c>
      <c r="AC255" s="276">
        <f t="shared" si="173"/>
        <v>0</v>
      </c>
      <c r="AD255" s="276">
        <f t="shared" si="173"/>
        <v>0</v>
      </c>
      <c r="AE255" s="276">
        <f t="shared" si="173"/>
        <v>0</v>
      </c>
      <c r="AF255" s="276">
        <f t="shared" si="173"/>
        <v>0</v>
      </c>
      <c r="AG255" s="276">
        <f t="shared" si="173"/>
        <v>0</v>
      </c>
      <c r="AJ255" s="274"/>
    </row>
    <row r="256" spans="1:37" s="203" customFormat="1">
      <c r="A256" s="203" t="s">
        <v>645</v>
      </c>
      <c r="B256" s="273" t="s">
        <v>127</v>
      </c>
      <c r="C256" s="276">
        <f t="shared" ref="C256:AG256" si="174">C176*C174*C125</f>
        <v>0</v>
      </c>
      <c r="D256" s="276">
        <f t="shared" si="174"/>
        <v>0</v>
      </c>
      <c r="E256" s="276">
        <f t="shared" si="174"/>
        <v>0</v>
      </c>
      <c r="F256" s="276">
        <f t="shared" si="174"/>
        <v>0</v>
      </c>
      <c r="G256" s="276">
        <f t="shared" si="174"/>
        <v>0</v>
      </c>
      <c r="H256" s="276">
        <f t="shared" si="174"/>
        <v>0</v>
      </c>
      <c r="I256" s="276">
        <f t="shared" si="174"/>
        <v>0</v>
      </c>
      <c r="J256" s="276">
        <f t="shared" si="174"/>
        <v>0</v>
      </c>
      <c r="K256" s="276">
        <f t="shared" si="174"/>
        <v>0</v>
      </c>
      <c r="L256" s="276">
        <f t="shared" si="174"/>
        <v>0</v>
      </c>
      <c r="M256" s="276">
        <f t="shared" si="174"/>
        <v>0</v>
      </c>
      <c r="N256" s="276">
        <f t="shared" si="174"/>
        <v>0</v>
      </c>
      <c r="O256" s="276">
        <f t="shared" si="174"/>
        <v>0</v>
      </c>
      <c r="P256" s="276">
        <f t="shared" si="174"/>
        <v>0</v>
      </c>
      <c r="Q256" s="276">
        <f t="shared" si="174"/>
        <v>0</v>
      </c>
      <c r="R256" s="276">
        <f t="shared" si="174"/>
        <v>0</v>
      </c>
      <c r="S256" s="276">
        <f t="shared" si="174"/>
        <v>0</v>
      </c>
      <c r="T256" s="276">
        <f t="shared" si="174"/>
        <v>0</v>
      </c>
      <c r="U256" s="276">
        <f t="shared" si="174"/>
        <v>0</v>
      </c>
      <c r="V256" s="276">
        <f t="shared" si="174"/>
        <v>0</v>
      </c>
      <c r="W256" s="276">
        <f t="shared" si="174"/>
        <v>0</v>
      </c>
      <c r="X256" s="276">
        <f t="shared" si="174"/>
        <v>0</v>
      </c>
      <c r="Y256" s="276">
        <f t="shared" si="174"/>
        <v>0</v>
      </c>
      <c r="Z256" s="276">
        <f t="shared" si="174"/>
        <v>0</v>
      </c>
      <c r="AA256" s="276">
        <f t="shared" si="174"/>
        <v>0</v>
      </c>
      <c r="AB256" s="276">
        <f t="shared" si="174"/>
        <v>0</v>
      </c>
      <c r="AC256" s="276">
        <f t="shared" si="174"/>
        <v>0</v>
      </c>
      <c r="AD256" s="276">
        <f t="shared" si="174"/>
        <v>0</v>
      </c>
      <c r="AE256" s="276">
        <f t="shared" si="174"/>
        <v>0</v>
      </c>
      <c r="AF256" s="276">
        <f t="shared" si="174"/>
        <v>0</v>
      </c>
      <c r="AG256" s="276">
        <f t="shared" si="174"/>
        <v>0</v>
      </c>
      <c r="AJ256" s="274"/>
    </row>
    <row r="257" spans="1:36" s="203" customFormat="1">
      <c r="B257" s="273"/>
      <c r="C257" s="267"/>
      <c r="D257" s="267"/>
      <c r="E257" s="267"/>
      <c r="F257" s="267"/>
      <c r="G257" s="267"/>
      <c r="H257" s="267"/>
      <c r="I257" s="267"/>
      <c r="J257" s="267"/>
      <c r="K257" s="267"/>
      <c r="L257" s="267"/>
      <c r="M257" s="267"/>
      <c r="N257" s="267"/>
      <c r="O257" s="267"/>
      <c r="P257" s="267"/>
      <c r="Q257" s="267"/>
      <c r="R257" s="267"/>
      <c r="S257" s="267"/>
      <c r="T257" s="267"/>
      <c r="U257" s="267"/>
      <c r="V257" s="267"/>
      <c r="W257" s="267"/>
      <c r="X257" s="267"/>
      <c r="Y257" s="267"/>
      <c r="Z257" s="267"/>
      <c r="AA257" s="267"/>
      <c r="AB257" s="267"/>
      <c r="AC257" s="267"/>
      <c r="AD257" s="267"/>
      <c r="AE257" s="267"/>
      <c r="AF257" s="267"/>
      <c r="AG257" s="267"/>
      <c r="AJ257" s="274"/>
    </row>
    <row r="258" spans="1:36" s="203" customFormat="1">
      <c r="A258" s="300" t="s">
        <v>647</v>
      </c>
      <c r="B258" s="301" t="s">
        <v>127</v>
      </c>
      <c r="C258" s="254">
        <f>C236+C237</f>
        <v>439503.08114830282</v>
      </c>
      <c r="D258" s="254">
        <f t="shared" ref="D258:AG258" si="175">D236+D237</f>
        <v>436739.80821622186</v>
      </c>
      <c r="E258" s="254">
        <f t="shared" si="175"/>
        <v>433986.26851801097</v>
      </c>
      <c r="F258" s="254">
        <f t="shared" si="175"/>
        <v>431242.43326430127</v>
      </c>
      <c r="G258" s="254">
        <f t="shared" si="175"/>
        <v>428508.27374381444</v>
      </c>
      <c r="H258" s="254">
        <f t="shared" si="175"/>
        <v>425783.76132316218</v>
      </c>
      <c r="I258" s="254">
        <f t="shared" si="175"/>
        <v>422111.50917619374</v>
      </c>
      <c r="J258" s="254">
        <f t="shared" si="175"/>
        <v>418452.42547222076</v>
      </c>
      <c r="K258" s="254">
        <f t="shared" si="175"/>
        <v>414806.47210844973</v>
      </c>
      <c r="L258" s="254">
        <f t="shared" si="175"/>
        <v>411173.61108141381</v>
      </c>
      <c r="M258" s="254">
        <f t="shared" si="175"/>
        <v>407553.8044867306</v>
      </c>
      <c r="N258" s="254">
        <f t="shared" si="175"/>
        <v>403734.87683174654</v>
      </c>
      <c r="O258" s="254">
        <f t="shared" si="175"/>
        <v>400048.92217586498</v>
      </c>
      <c r="P258" s="254">
        <f t="shared" si="175"/>
        <v>396063.31113629666</v>
      </c>
      <c r="Q258" s="254">
        <f t="shared" si="175"/>
        <v>392099.01613770315</v>
      </c>
      <c r="R258" s="254">
        <f t="shared" si="175"/>
        <v>388155.9499762163</v>
      </c>
      <c r="S258" s="254">
        <f t="shared" si="175"/>
        <v>384234.02687801304</v>
      </c>
      <c r="T258" s="254">
        <f t="shared" si="175"/>
        <v>380333.15913027292</v>
      </c>
      <c r="U258" s="254">
        <f t="shared" si="175"/>
        <v>376453.26045243023</v>
      </c>
      <c r="V258" s="254">
        <f t="shared" si="175"/>
        <v>372594.24486969237</v>
      </c>
      <c r="W258" s="254">
        <f t="shared" si="175"/>
        <v>368756.02671205025</v>
      </c>
      <c r="X258" s="254">
        <f t="shared" si="175"/>
        <v>365108.61192059203</v>
      </c>
      <c r="Y258" s="254">
        <f t="shared" si="175"/>
        <v>361489.7013002531</v>
      </c>
      <c r="Z258" s="254">
        <f t="shared" si="175"/>
        <v>357540.1822198974</v>
      </c>
      <c r="AA258" s="254">
        <f t="shared" si="175"/>
        <v>353625.2158968047</v>
      </c>
      <c r="AB258" s="254">
        <f t="shared" si="175"/>
        <v>349744.62735114619</v>
      </c>
      <c r="AC258" s="254">
        <f t="shared" si="175"/>
        <v>345870.29693930311</v>
      </c>
      <c r="AD258" s="254">
        <f t="shared" si="175"/>
        <v>342030.10101205471</v>
      </c>
      <c r="AE258" s="254">
        <f t="shared" si="175"/>
        <v>338223.86638676439</v>
      </c>
      <c r="AF258" s="254">
        <f t="shared" si="175"/>
        <v>334451.42057036597</v>
      </c>
      <c r="AG258" s="254">
        <f t="shared" si="175"/>
        <v>330712.59175696259</v>
      </c>
      <c r="AI258" s="203" t="s">
        <v>679</v>
      </c>
      <c r="AJ258" s="274"/>
    </row>
    <row r="259" spans="1:36" s="203" customFormat="1">
      <c r="A259" s="304" t="s">
        <v>648</v>
      </c>
      <c r="B259" s="305" t="s">
        <v>127</v>
      </c>
      <c r="C259" s="306">
        <f>C258</f>
        <v>439503.08114830282</v>
      </c>
      <c r="D259" s="306">
        <f t="shared" ref="D259:AG259" si="176">D258</f>
        <v>436739.80821622186</v>
      </c>
      <c r="E259" s="306">
        <f t="shared" si="176"/>
        <v>433986.26851801097</v>
      </c>
      <c r="F259" s="306">
        <f t="shared" si="176"/>
        <v>431242.43326430127</v>
      </c>
      <c r="G259" s="306">
        <f t="shared" si="176"/>
        <v>428508.27374381444</v>
      </c>
      <c r="H259" s="306">
        <f t="shared" si="176"/>
        <v>425783.76132316218</v>
      </c>
      <c r="I259" s="306">
        <f t="shared" si="176"/>
        <v>422111.50917619374</v>
      </c>
      <c r="J259" s="306">
        <f t="shared" si="176"/>
        <v>418452.42547222076</v>
      </c>
      <c r="K259" s="306">
        <f t="shared" si="176"/>
        <v>414806.47210844973</v>
      </c>
      <c r="L259" s="306">
        <f t="shared" si="176"/>
        <v>411173.61108141381</v>
      </c>
      <c r="M259" s="306">
        <f t="shared" si="176"/>
        <v>407553.8044867306</v>
      </c>
      <c r="N259" s="306">
        <f t="shared" si="176"/>
        <v>403734.87683174654</v>
      </c>
      <c r="O259" s="306">
        <f t="shared" si="176"/>
        <v>400048.92217586498</v>
      </c>
      <c r="P259" s="306">
        <f t="shared" si="176"/>
        <v>396063.31113629666</v>
      </c>
      <c r="Q259" s="306">
        <f t="shared" si="176"/>
        <v>392099.01613770315</v>
      </c>
      <c r="R259" s="306">
        <f t="shared" si="176"/>
        <v>388155.9499762163</v>
      </c>
      <c r="S259" s="306">
        <f t="shared" si="176"/>
        <v>384234.02687801304</v>
      </c>
      <c r="T259" s="306">
        <f t="shared" si="176"/>
        <v>380333.15913027292</v>
      </c>
      <c r="U259" s="306">
        <f t="shared" si="176"/>
        <v>376453.26045243023</v>
      </c>
      <c r="V259" s="306">
        <f t="shared" si="176"/>
        <v>372594.24486969237</v>
      </c>
      <c r="W259" s="306">
        <f t="shared" si="176"/>
        <v>368756.02671205025</v>
      </c>
      <c r="X259" s="306">
        <f t="shared" si="176"/>
        <v>365108.61192059203</v>
      </c>
      <c r="Y259" s="306">
        <f t="shared" si="176"/>
        <v>361489.7013002531</v>
      </c>
      <c r="Z259" s="306">
        <f t="shared" si="176"/>
        <v>357540.1822198974</v>
      </c>
      <c r="AA259" s="306">
        <f t="shared" si="176"/>
        <v>353625.2158968047</v>
      </c>
      <c r="AB259" s="306">
        <f t="shared" si="176"/>
        <v>349744.62735114619</v>
      </c>
      <c r="AC259" s="306">
        <f t="shared" si="176"/>
        <v>345870.29693930311</v>
      </c>
      <c r="AD259" s="306">
        <f t="shared" si="176"/>
        <v>342030.10101205471</v>
      </c>
      <c r="AE259" s="306">
        <f t="shared" si="176"/>
        <v>338223.86638676439</v>
      </c>
      <c r="AF259" s="306">
        <f t="shared" si="176"/>
        <v>334451.42057036597</v>
      </c>
      <c r="AG259" s="306">
        <f t="shared" si="176"/>
        <v>330712.59175696259</v>
      </c>
      <c r="AI259" s="203" t="s">
        <v>680</v>
      </c>
      <c r="AJ259" s="274"/>
    </row>
    <row r="260" spans="1:36" s="203" customFormat="1">
      <c r="A260" s="378"/>
      <c r="B260" s="379"/>
      <c r="C260" s="378"/>
      <c r="D260" s="378"/>
      <c r="E260" s="378"/>
      <c r="F260" s="378"/>
      <c r="G260" s="378"/>
      <c r="H260" s="378"/>
      <c r="I260" s="378"/>
      <c r="J260" s="378"/>
      <c r="K260" s="378"/>
      <c r="L260" s="378"/>
      <c r="M260" s="378"/>
      <c r="N260" s="378"/>
      <c r="O260" s="378"/>
      <c r="P260" s="378"/>
      <c r="Q260" s="378"/>
      <c r="R260" s="378"/>
      <c r="S260" s="378"/>
      <c r="T260" s="378"/>
      <c r="U260" s="378"/>
      <c r="V260" s="378"/>
      <c r="W260" s="378"/>
      <c r="X260" s="378"/>
      <c r="Y260" s="378"/>
      <c r="Z260" s="378"/>
      <c r="AA260" s="378"/>
      <c r="AB260" s="378"/>
      <c r="AC260" s="378"/>
      <c r="AD260" s="378"/>
      <c r="AE260" s="378"/>
      <c r="AF260" s="378"/>
      <c r="AG260" s="378"/>
      <c r="AJ260" s="274"/>
    </row>
    <row r="261" spans="1:36">
      <c r="B261" s="121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I261" s="22"/>
    </row>
    <row r="262" spans="1:36">
      <c r="B262" s="121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I262" s="188"/>
    </row>
  </sheetData>
  <mergeCells count="5">
    <mergeCell ref="BD83:BE83"/>
    <mergeCell ref="BD88:BE88"/>
    <mergeCell ref="BD93:BE93"/>
    <mergeCell ref="BD101:BE101"/>
    <mergeCell ref="AI229:AI237"/>
  </mergeCells>
  <hyperlinks>
    <hyperlink ref="AJ87" r:id="rId1" xr:uid="{E6898401-9604-4F2C-BEE2-DBBE22AB5F8B}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8004-F306-4FF8-9166-EDF7F35CE901}">
  <sheetPr>
    <tabColor theme="4"/>
  </sheetPr>
  <dimension ref="B1:AB116"/>
  <sheetViews>
    <sheetView topLeftCell="A12" zoomScale="50" zoomScaleNormal="50" workbookViewId="0">
      <selection activeCell="N20" sqref="N20:N22"/>
    </sheetView>
  </sheetViews>
  <sheetFormatPr defaultRowHeight="14.75"/>
  <cols>
    <col min="2" max="2" width="27.54296875" customWidth="1"/>
    <col min="3" max="3" width="12.81640625" customWidth="1"/>
    <col min="4" max="5" width="10.81640625" customWidth="1"/>
    <col min="9" max="9" width="13.1796875" customWidth="1"/>
    <col min="10" max="10" width="15" customWidth="1"/>
    <col min="11" max="11" width="12.1796875" customWidth="1"/>
    <col min="15" max="15" width="23.54296875" customWidth="1"/>
    <col min="16" max="16" width="16.453125" customWidth="1"/>
    <col min="17" max="17" width="14.453125" customWidth="1"/>
    <col min="18" max="18" width="19.1796875" customWidth="1"/>
    <col min="19" max="19" width="23.1796875" customWidth="1"/>
    <col min="21" max="22" width="20" bestFit="1" customWidth="1"/>
    <col min="27" max="27" width="20" bestFit="1" customWidth="1"/>
  </cols>
  <sheetData>
    <row r="1" spans="2:28">
      <c r="B1" s="1">
        <v>2015</v>
      </c>
    </row>
    <row r="2" spans="2:28">
      <c r="B2" s="313" t="s">
        <v>688</v>
      </c>
      <c r="C2" s="312" t="s">
        <v>141</v>
      </c>
      <c r="D2" s="310" t="s">
        <v>140</v>
      </c>
      <c r="E2" s="311" t="s">
        <v>74</v>
      </c>
      <c r="F2" s="310" t="s">
        <v>34</v>
      </c>
      <c r="G2" s="310" t="s">
        <v>35</v>
      </c>
      <c r="H2" s="310" t="s">
        <v>160</v>
      </c>
      <c r="I2" s="316" t="s">
        <v>27</v>
      </c>
      <c r="J2" s="317" t="s">
        <v>78</v>
      </c>
      <c r="O2" t="s">
        <v>705</v>
      </c>
    </row>
    <row r="3" spans="2:28">
      <c r="B3" s="314" t="s">
        <v>689</v>
      </c>
      <c r="C3" s="222">
        <f>'Waste gen. - Industry shares'!$B28*('Production - Industry shares'!B46/'Production - Industry shares'!$I46)</f>
        <v>2.0458372238623412</v>
      </c>
      <c r="D3" s="222">
        <f>'Waste gen. - Industry shares'!$B28*('Production - Industry shares'!C46/'Production - Industry shares'!$I46)</f>
        <v>1.4970489480941813</v>
      </c>
      <c r="E3" s="222">
        <f>'Waste gen. - Industry shares'!$B28*('Production - Industry shares'!D46/'Production - Industry shares'!$I46)</f>
        <v>0.46207054306308548</v>
      </c>
      <c r="F3" s="222">
        <f>'Waste gen. - Industry shares'!$B28*('Production - Industry shares'!E46/'Production - Industry shares'!$I46)</f>
        <v>0.23767179320557932</v>
      </c>
      <c r="G3" s="222">
        <f>'Waste gen. - Industry shares'!$B28*('Production - Industry shares'!F46/'Production - Industry shares'!$I46)</f>
        <v>0.43412708556411506</v>
      </c>
      <c r="H3" s="222">
        <f>'Waste gen. - Industry shares'!$B28*('Production - Industry shares'!G46/'Production - Industry shares'!$I46)</f>
        <v>3.1847160717058634E-2</v>
      </c>
      <c r="I3" s="222">
        <f>'Waste gen. - Industry shares'!$B28*('Production - Industry shares'!H46/'Production - Industry shares'!$I46)</f>
        <v>0.19139724549363862</v>
      </c>
      <c r="J3" s="320">
        <f>SUM(C3:I3)</f>
        <v>4.8999999999999995</v>
      </c>
      <c r="O3" t="s">
        <v>702</v>
      </c>
      <c r="P3" t="s">
        <v>706</v>
      </c>
      <c r="Q3" t="s">
        <v>707</v>
      </c>
      <c r="R3" t="s">
        <v>708</v>
      </c>
      <c r="S3" t="s">
        <v>709</v>
      </c>
      <c r="T3" t="s">
        <v>21</v>
      </c>
      <c r="U3" t="s">
        <v>710</v>
      </c>
      <c r="V3" t="s">
        <v>711</v>
      </c>
      <c r="W3" t="s">
        <v>712</v>
      </c>
      <c r="X3" t="s">
        <v>27</v>
      </c>
      <c r="Y3" t="s">
        <v>713</v>
      </c>
    </row>
    <row r="4" spans="2:28">
      <c r="B4" s="314" t="s">
        <v>19</v>
      </c>
      <c r="C4" s="222">
        <f>'Waste gen. - Industry shares'!$B29*('Production - Industry shares'!B47/'Production - Industry shares'!$I47)</f>
        <v>8.0826393365323004E-2</v>
      </c>
      <c r="D4" s="222">
        <f>'Waste gen. - Industry shares'!$B29*('Production - Industry shares'!C47/'Production - Industry shares'!$I47)</f>
        <v>5.826672510113938E-2</v>
      </c>
      <c r="E4" s="222">
        <f>'Waste gen. - Industry shares'!$B29*('Production - Industry shares'!D47/'Production - Industry shares'!$I47)</f>
        <v>6.0999618301084926E-2</v>
      </c>
      <c r="F4" s="222">
        <f>'Waste gen. - Industry shares'!$B29*('Production - Industry shares'!E47/'Production - Industry shares'!$I47)</f>
        <v>0.31575585539969597</v>
      </c>
      <c r="G4" s="222">
        <f>'Waste gen. - Industry shares'!$B29*('Production - Industry shares'!F47/'Production - Industry shares'!$I47)</f>
        <v>0</v>
      </c>
      <c r="H4" s="222">
        <f>'Waste gen. - Industry shares'!$B29*('Production - Industry shares'!G47/'Production - Industry shares'!$I47)</f>
        <v>1.5670423203480992E-2</v>
      </c>
      <c r="I4" s="222">
        <f>'Waste gen. - Industry shares'!$B29*('Production - Industry shares'!H47/'Production - Industry shares'!$I47)</f>
        <v>7.8480984629275705E-2</v>
      </c>
      <c r="J4" s="320">
        <f t="shared" ref="J4:J7" si="0">SUM(C4:I4)</f>
        <v>0.61</v>
      </c>
      <c r="N4" t="s">
        <v>35</v>
      </c>
      <c r="O4" s="23">
        <v>3.0599999999999999E-2</v>
      </c>
      <c r="P4" s="23">
        <v>1.21E-2</v>
      </c>
      <c r="Q4" s="23">
        <v>5.4000000000000003E-3</v>
      </c>
      <c r="R4" s="23">
        <v>1.3899999999999999E-2</v>
      </c>
      <c r="S4" s="23">
        <v>2.8999999999999998E-3</v>
      </c>
      <c r="T4" s="23">
        <v>0</v>
      </c>
      <c r="U4" s="23">
        <v>0</v>
      </c>
      <c r="V4" s="23">
        <v>0</v>
      </c>
      <c r="W4" s="23">
        <v>0</v>
      </c>
      <c r="X4" s="23">
        <v>8.0000000000000004E-4</v>
      </c>
      <c r="Y4" s="23">
        <v>5.1999999999999998E-3</v>
      </c>
      <c r="Z4" s="331">
        <f>SUM(O4:Y4)</f>
        <v>7.0899999999999991E-2</v>
      </c>
      <c r="AA4" s="331">
        <f>Z4/$Z$9</f>
        <v>0.38016085790884713</v>
      </c>
      <c r="AB4" s="6">
        <v>0.38</v>
      </c>
    </row>
    <row r="5" spans="2:28">
      <c r="B5" s="314" t="s">
        <v>330</v>
      </c>
      <c r="C5" s="222">
        <f>'Waste gen. - Industry shares'!$B30*('Production - Industry shares'!B48/'Production - Industry shares'!$I48)</f>
        <v>1.4275475638338617E-2</v>
      </c>
      <c r="D5" s="222">
        <f>'Waste gen. - Industry shares'!$B30*('Production - Industry shares'!C48/'Production - Industry shares'!$I48)</f>
        <v>8.6861031338347341E-2</v>
      </c>
      <c r="E5" s="222">
        <f>'Waste gen. - Industry shares'!$B30*('Production - Industry shares'!D48/'Production - Industry shares'!$I48)</f>
        <v>0</v>
      </c>
      <c r="F5" s="222">
        <f>'Waste gen. - Industry shares'!$B30*('Production - Industry shares'!E48/'Production - Industry shares'!$I48)</f>
        <v>1.0097996198385232E-2</v>
      </c>
      <c r="G5" s="222">
        <f>'Waste gen. - Industry shares'!$B30*('Production - Industry shares'!F48/'Production - Industry shares'!$I48)</f>
        <v>0</v>
      </c>
      <c r="H5" s="222">
        <f>'Waste gen. - Industry shares'!$B30*('Production - Industry shares'!G48/'Production - Industry shares'!$I48)</f>
        <v>9.0206331320114002E-3</v>
      </c>
      <c r="I5" s="222">
        <f>'Waste gen. - Industry shares'!$B30*('Production - Industry shares'!H48/'Production - Industry shares'!$I48)</f>
        <v>0.18974486369291746</v>
      </c>
      <c r="J5" s="320">
        <f t="shared" si="0"/>
        <v>0.31000000000000005</v>
      </c>
      <c r="N5" t="s">
        <v>9</v>
      </c>
      <c r="O5" s="23">
        <v>0</v>
      </c>
      <c r="P5" s="23">
        <v>1.6000000000000001E-3</v>
      </c>
      <c r="Q5" s="23">
        <v>0</v>
      </c>
      <c r="R5" s="23">
        <v>0</v>
      </c>
      <c r="S5" s="23">
        <v>1.8200000000000001E-2</v>
      </c>
      <c r="T5" s="23">
        <v>3.3999999999999998E-3</v>
      </c>
      <c r="U5" s="23">
        <v>0.02</v>
      </c>
      <c r="V5" s="23">
        <v>1.9900000000000001E-2</v>
      </c>
      <c r="W5" s="23">
        <v>0</v>
      </c>
      <c r="X5" s="23">
        <v>1.6000000000000001E-3</v>
      </c>
      <c r="Y5" s="23">
        <v>7.6E-3</v>
      </c>
      <c r="Z5" s="331">
        <f t="shared" ref="Z5:Z8" si="1">SUM(O5:Y5)</f>
        <v>7.2300000000000003E-2</v>
      </c>
      <c r="AA5" s="331">
        <f t="shared" ref="AA5:AA8" si="2">Z5/$Z$9</f>
        <v>0.38766756032171584</v>
      </c>
      <c r="AB5" s="331">
        <v>0.51900000000000002</v>
      </c>
    </row>
    <row r="6" spans="2:28">
      <c r="B6" s="314" t="s">
        <v>362</v>
      </c>
      <c r="C6" s="222">
        <f>'Waste gen. - Industry shares'!$B31*('Production - Industry shares'!B49/'Production - Industry shares'!$I49)</f>
        <v>0</v>
      </c>
      <c r="D6" s="222">
        <f>'Waste gen. - Industry shares'!$B31*('Production - Industry shares'!C49/'Production - Industry shares'!$I49)</f>
        <v>0</v>
      </c>
      <c r="E6" s="222">
        <f>'Waste gen. - Industry shares'!$B31*('Production - Industry shares'!D49/'Production - Industry shares'!$I49)</f>
        <v>0</v>
      </c>
      <c r="F6" s="222">
        <f>'Waste gen. - Industry shares'!$B31*('Production - Industry shares'!E49/'Production - Industry shares'!$I49)</f>
        <v>0</v>
      </c>
      <c r="G6" s="222">
        <f>'Waste gen. - Industry shares'!$B31*('Production - Industry shares'!F49/'Production - Industry shares'!$I49)</f>
        <v>0.49998577154711038</v>
      </c>
      <c r="H6" s="222">
        <f>'Waste gen. - Industry shares'!$B31*('Production - Industry shares'!G49/'Production - Industry shares'!$I49)</f>
        <v>0</v>
      </c>
      <c r="I6" s="222">
        <f>'Waste gen. - Industry shares'!$B31*('Production - Industry shares'!H49/'Production - Industry shares'!$I49)</f>
        <v>1.4228452889649648E-5</v>
      </c>
      <c r="J6" s="320">
        <f t="shared" si="0"/>
        <v>0.5</v>
      </c>
      <c r="N6" t="s">
        <v>140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1.5800000000000002E-2</v>
      </c>
      <c r="W6" s="23">
        <v>0</v>
      </c>
      <c r="X6" s="23">
        <v>0</v>
      </c>
      <c r="Y6" s="23">
        <v>2.3999999999999998E-3</v>
      </c>
      <c r="Z6" s="331">
        <f t="shared" si="1"/>
        <v>1.8200000000000001E-2</v>
      </c>
      <c r="AA6" s="331">
        <f t="shared" si="2"/>
        <v>9.7587131367292232E-2</v>
      </c>
      <c r="AB6" s="6">
        <v>0.1</v>
      </c>
    </row>
    <row r="7" spans="2:28">
      <c r="B7" s="314" t="s">
        <v>27</v>
      </c>
      <c r="C7" s="222">
        <f>'Waste gen. - Industry shares'!$B32*('Production - Industry shares'!B50/'Production - Industry shares'!$I50)</f>
        <v>0.2663921958668381</v>
      </c>
      <c r="D7" s="222">
        <f>'Waste gen. - Industry shares'!$B32*('Production - Industry shares'!C50/'Production - Industry shares'!$I50)</f>
        <v>0.66764509966769536</v>
      </c>
      <c r="E7" s="222">
        <f>'Waste gen. - Industry shares'!$B32*('Production - Industry shares'!D50/'Production - Industry shares'!$I50)</f>
        <v>0.14519988161309119</v>
      </c>
      <c r="F7" s="222">
        <f>'Waste gen. - Industry shares'!$B32*('Production - Industry shares'!E50/'Production - Industry shares'!$I50)</f>
        <v>0.28265545568776829</v>
      </c>
      <c r="G7" s="222">
        <f>'Waste gen. - Industry shares'!$B32*('Production - Industry shares'!F50/'Production - Industry shares'!$I50)</f>
        <v>0</v>
      </c>
      <c r="H7" s="222">
        <f>'Waste gen. - Industry shares'!$B32*('Production - Industry shares'!G50/'Production - Industry shares'!$I50)</f>
        <v>8.4166241778033474E-2</v>
      </c>
      <c r="I7" s="222">
        <f>'Waste gen. - Industry shares'!$B32*('Production - Industry shares'!H50/'Production - Industry shares'!$I50)</f>
        <v>1.6439411253865737</v>
      </c>
      <c r="J7" s="320">
        <f t="shared" si="0"/>
        <v>3.0900000000000003</v>
      </c>
      <c r="N7" t="s">
        <v>29</v>
      </c>
      <c r="O7" s="23">
        <v>0</v>
      </c>
      <c r="P7" s="23">
        <v>8.9999999999999993E-3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3.0999999999999999E-3</v>
      </c>
      <c r="X7" s="23">
        <v>1.5E-3</v>
      </c>
      <c r="Y7" s="23">
        <v>1.1299999999999999E-2</v>
      </c>
      <c r="Z7" s="331">
        <f t="shared" si="1"/>
        <v>2.4899999999999999E-2</v>
      </c>
      <c r="AA7" s="331">
        <f t="shared" si="2"/>
        <v>0.13351206434316354</v>
      </c>
    </row>
    <row r="8" spans="2:28">
      <c r="B8" s="313" t="s">
        <v>78</v>
      </c>
      <c r="C8" s="318">
        <f>SUM(C3:C7)</f>
        <v>2.4073312887328409</v>
      </c>
      <c r="D8" s="318">
        <f t="shared" ref="D8:I8" si="3">SUM(D3:D7)</f>
        <v>2.3098218042013632</v>
      </c>
      <c r="E8" s="318">
        <f t="shared" si="3"/>
        <v>0.66827004297726156</v>
      </c>
      <c r="F8" s="318">
        <f t="shared" si="3"/>
        <v>0.84618110049142881</v>
      </c>
      <c r="G8" s="318">
        <f t="shared" si="3"/>
        <v>0.93411285711122538</v>
      </c>
      <c r="H8" s="318">
        <f t="shared" si="3"/>
        <v>0.14070445883058449</v>
      </c>
      <c r="I8" s="318">
        <f t="shared" si="3"/>
        <v>2.1035784476552952</v>
      </c>
      <c r="J8" s="319">
        <f>SUM(J3:J7)</f>
        <v>9.41</v>
      </c>
      <c r="N8" t="s">
        <v>33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2.0000000000000001E-4</v>
      </c>
      <c r="Z8" s="331">
        <f t="shared" si="1"/>
        <v>2.0000000000000001E-4</v>
      </c>
      <c r="AA8" s="331">
        <f t="shared" si="2"/>
        <v>1.0723860589812334E-3</v>
      </c>
      <c r="AB8" s="331">
        <v>0.1</v>
      </c>
    </row>
    <row r="9" spans="2:28">
      <c r="Z9" s="331">
        <f>SUM(Z4:Z8)</f>
        <v>0.1865</v>
      </c>
      <c r="AA9" s="331">
        <f>SUM(AA4:AA8)</f>
        <v>1</v>
      </c>
    </row>
    <row r="10" spans="2:28">
      <c r="B10" s="1">
        <v>2020</v>
      </c>
      <c r="O10" s="224"/>
    </row>
    <row r="11" spans="2:28">
      <c r="B11" s="313" t="s">
        <v>688</v>
      </c>
      <c r="C11" s="312" t="s">
        <v>141</v>
      </c>
      <c r="D11" s="310" t="s">
        <v>140</v>
      </c>
      <c r="E11" s="311" t="s">
        <v>74</v>
      </c>
      <c r="F11" s="310" t="s">
        <v>34</v>
      </c>
      <c r="G11" s="310" t="s">
        <v>35</v>
      </c>
      <c r="H11" s="310" t="s">
        <v>160</v>
      </c>
      <c r="I11" s="316" t="s">
        <v>27</v>
      </c>
      <c r="J11" s="317" t="s">
        <v>78</v>
      </c>
      <c r="N11" t="s">
        <v>739</v>
      </c>
      <c r="O11" t="s">
        <v>531</v>
      </c>
      <c r="P11" t="s">
        <v>740</v>
      </c>
      <c r="Q11" t="s">
        <v>21</v>
      </c>
      <c r="R11" t="s">
        <v>295</v>
      </c>
      <c r="S11" t="s">
        <v>27</v>
      </c>
      <c r="T11" t="s">
        <v>713</v>
      </c>
    </row>
    <row r="12" spans="2:28">
      <c r="B12" s="314" t="s">
        <v>689</v>
      </c>
      <c r="C12" s="222">
        <f>'Waste gen. - Industry shares'!$B36*('Production - Industry shares'!B46/'Production - Industry shares'!$I46)</f>
        <v>2.3716860538614974</v>
      </c>
      <c r="D12" s="222">
        <f>'Waste gen. - Industry shares'!$B36*('Production - Industry shares'!C46/'Production - Industry shares'!$I46)</f>
        <v>1.7354900334836707</v>
      </c>
      <c r="E12" s="222">
        <f>'Waste gen. - Industry shares'!$B36*('Production - Industry shares'!D46/'Production - Industry shares'!$I46)</f>
        <v>0.53566640107075669</v>
      </c>
      <c r="F12" s="222">
        <f>'Waste gen. - Industry shares'!$B36*('Production - Industry shares'!E46/'Production - Industry shares'!$I46)</f>
        <v>0.275526748055619</v>
      </c>
      <c r="G12" s="222">
        <f>'Waste gen. - Industry shares'!$B36*('Production - Industry shares'!F46/'Production - Industry shares'!$I46)</f>
        <v>0.50327227524589635</v>
      </c>
      <c r="H12" s="222">
        <f>'Waste gen. - Industry shares'!$B36*('Production - Industry shares'!G46/'Production - Industry shares'!$I46)</f>
        <v>3.6919587759351474E-2</v>
      </c>
      <c r="I12" s="222">
        <f>'Waste gen. - Industry shares'!$B36*('Production - Industry shares'!H46/'Production - Industry shares'!$I46)</f>
        <v>0.22188186459320774</v>
      </c>
      <c r="J12" s="320">
        <f>SUM(C12:I12)</f>
        <v>5.68044296407</v>
      </c>
      <c r="N12" t="s">
        <v>141</v>
      </c>
      <c r="O12" s="331">
        <f>SUM(P5,Q5,R5,S5,V5,W5,P7,Q7,R7,S7,V7,W7)</f>
        <v>5.1799999999999999E-2</v>
      </c>
      <c r="P12" s="331">
        <f>O5+O7</f>
        <v>0</v>
      </c>
      <c r="Q12" s="331">
        <f>T5+T7</f>
        <v>3.3999999999999998E-3</v>
      </c>
      <c r="R12" s="331">
        <f>U5+U7</f>
        <v>0.02</v>
      </c>
      <c r="S12" s="331">
        <f>X5+X7</f>
        <v>3.1000000000000003E-3</v>
      </c>
      <c r="T12" s="331">
        <f>Y5+Y7</f>
        <v>1.89E-2</v>
      </c>
    </row>
    <row r="13" spans="2:28">
      <c r="B13" s="314" t="s">
        <v>19</v>
      </c>
      <c r="C13" s="222">
        <f>'Waste gen. - Industry shares'!$B37*('Production - Industry shares'!B47/'Production - Industry shares'!$I47)</f>
        <v>9.3699942347592463E-2</v>
      </c>
      <c r="D13" s="222">
        <f>'Waste gen. - Industry shares'!$B37*('Production - Industry shares'!C47/'Production - Industry shares'!$I47)</f>
        <v>6.7547103804115924E-2</v>
      </c>
      <c r="E13" s="222">
        <f>'Waste gen. - Industry shares'!$B37*('Production - Industry shares'!D47/'Production - Industry shares'!$I47)</f>
        <v>7.0715276038643554E-2</v>
      </c>
      <c r="F13" s="222">
        <f>'Waste gen. - Industry shares'!$B37*('Production - Industry shares'!E47/'Production - Industry shares'!$I47)</f>
        <v>0.36604757697328716</v>
      </c>
      <c r="G13" s="222">
        <f>'Waste gen. - Industry shares'!$B37*('Production - Industry shares'!F47/'Production - Industry shares'!$I47)</f>
        <v>0</v>
      </c>
      <c r="H13" s="222">
        <f>'Waste gen. - Industry shares'!$B37*('Production - Industry shares'!G47/'Production - Industry shares'!$I47)</f>
        <v>1.8166315353104662E-2</v>
      </c>
      <c r="I13" s="222">
        <f>'Waste gen. - Industry shares'!$B37*('Production - Industry shares'!H47/'Production - Industry shares'!$I47)</f>
        <v>9.0980970806256098E-2</v>
      </c>
      <c r="J13" s="320">
        <f t="shared" ref="J13:J16" si="4">SUM(C13:I13)</f>
        <v>0.70715718532299987</v>
      </c>
      <c r="N13" t="s">
        <v>140</v>
      </c>
      <c r="O13" s="331">
        <f>SUM(P6,Q6,R6,S6,V6,W6)</f>
        <v>1.5800000000000002E-2</v>
      </c>
      <c r="P13" s="331">
        <f>O6</f>
        <v>0</v>
      </c>
      <c r="Q13" s="331">
        <f>T6</f>
        <v>0</v>
      </c>
      <c r="R13" s="331">
        <f>U6</f>
        <v>0</v>
      </c>
      <c r="S13" s="331">
        <f>X6</f>
        <v>0</v>
      </c>
      <c r="T13" s="331">
        <f>Y6</f>
        <v>2.3999999999999998E-3</v>
      </c>
    </row>
    <row r="14" spans="2:28">
      <c r="B14" s="314" t="s">
        <v>330</v>
      </c>
      <c r="C14" s="222">
        <f>'Waste gen. - Industry shares'!$B38*('Production - Industry shares'!B48/'Production - Industry shares'!$I48)</f>
        <v>1.65491888058272E-2</v>
      </c>
      <c r="D14" s="222">
        <f>'Waste gen. - Industry shares'!$B38*('Production - Industry shares'!C48/'Production - Industry shares'!$I48)</f>
        <v>0.10069574169750589</v>
      </c>
      <c r="E14" s="222">
        <f>'Waste gen. - Industry shares'!$B38*('Production - Industry shares'!D48/'Production - Industry shares'!$I48)</f>
        <v>0</v>
      </c>
      <c r="F14" s="222">
        <f>'Waste gen. - Industry shares'!$B38*('Production - Industry shares'!E48/'Production - Industry shares'!$I48)</f>
        <v>1.1706345195167956E-2</v>
      </c>
      <c r="G14" s="222">
        <f>'Waste gen. - Industry shares'!$B38*('Production - Industry shares'!F48/'Production - Industry shares'!$I48)</f>
        <v>0</v>
      </c>
      <c r="H14" s="222">
        <f>'Waste gen. - Industry shares'!$B38*('Production - Industry shares'!G48/'Production - Industry shares'!$I48)</f>
        <v>1.0457386123712423E-2</v>
      </c>
      <c r="I14" s="222">
        <f>'Waste gen. - Industry shares'!$B38*('Production - Industry shares'!H48/'Production - Industry shares'!$I48)</f>
        <v>0.2199663012107865</v>
      </c>
      <c r="J14" s="320">
        <f t="shared" si="4"/>
        <v>0.35937496303299998</v>
      </c>
      <c r="N14" t="s">
        <v>74</v>
      </c>
      <c r="O14" s="331">
        <f>SUM(P8,Q8,R8,S8,V8,W8)</f>
        <v>0</v>
      </c>
      <c r="P14" s="331">
        <f>O8</f>
        <v>0</v>
      </c>
      <c r="Q14" s="331">
        <f>T8</f>
        <v>0</v>
      </c>
      <c r="R14" s="331">
        <f>U8</f>
        <v>0</v>
      </c>
      <c r="S14" s="331">
        <f>X8</f>
        <v>0</v>
      </c>
      <c r="T14" s="331">
        <f>Y4</f>
        <v>5.1999999999999998E-3</v>
      </c>
    </row>
    <row r="15" spans="2:28">
      <c r="B15" s="314" t="s">
        <v>362</v>
      </c>
      <c r="C15" s="222">
        <f>'Waste gen. - Industry shares'!$B39*('Production - Industry shares'!B49/'Production - Industry shares'!$I49)</f>
        <v>0</v>
      </c>
      <c r="D15" s="222">
        <f>'Waste gen. - Industry shares'!$B39*('Production - Industry shares'!C49/'Production - Industry shares'!$I49)</f>
        <v>0</v>
      </c>
      <c r="E15" s="222">
        <f>'Waste gen. - Industry shares'!$B39*('Production - Industry shares'!D49/'Production - Industry shares'!$I49)</f>
        <v>0</v>
      </c>
      <c r="F15" s="222">
        <f>'Waste gen. - Industry shares'!$B39*('Production - Industry shares'!E49/'Production - Industry shares'!$I49)</f>
        <v>0</v>
      </c>
      <c r="G15" s="222">
        <f>'Waste gen. - Industry shares'!$B39*('Production - Industry shares'!F49/'Production - Industry shares'!$I49)</f>
        <v>0.57962054247344763</v>
      </c>
      <c r="H15" s="222">
        <f>'Waste gen. - Industry shares'!$B39*('Production - Industry shares'!G49/'Production - Industry shares'!$I49)</f>
        <v>0</v>
      </c>
      <c r="I15" s="222">
        <f>'Waste gen. - Industry shares'!$B39*('Production - Industry shares'!H49/'Production - Industry shares'!$I49)</f>
        <v>1.6494676552369752E-5</v>
      </c>
      <c r="J15" s="320">
        <f t="shared" si="4"/>
        <v>0.57963703715000003</v>
      </c>
      <c r="N15" t="s">
        <v>35</v>
      </c>
      <c r="O15" s="331">
        <f>SUM(P4,Q4,R4,S4,V4,W4)</f>
        <v>3.4299999999999997E-2</v>
      </c>
      <c r="P15" s="331">
        <f>O4</f>
        <v>3.0599999999999999E-2</v>
      </c>
      <c r="Q15" s="331">
        <f>T4</f>
        <v>0</v>
      </c>
      <c r="R15" s="331">
        <f>U4</f>
        <v>0</v>
      </c>
      <c r="S15" s="331">
        <f>X4</f>
        <v>8.0000000000000004E-4</v>
      </c>
      <c r="T15" s="331">
        <f>Y8</f>
        <v>2.0000000000000001E-4</v>
      </c>
    </row>
    <row r="16" spans="2:28">
      <c r="B16" s="314" t="s">
        <v>27</v>
      </c>
      <c r="C16" s="222">
        <f>'Waste gen. - Industry shares'!$B40*('Production - Industry shares'!B50/'Production - Industry shares'!$I50)</f>
        <v>0.30882156626427298</v>
      </c>
      <c r="D16" s="222">
        <f>'Waste gen. - Industry shares'!$B40*('Production - Industry shares'!C50/'Production - Industry shares'!$I50)</f>
        <v>0.77398365487819876</v>
      </c>
      <c r="E16" s="222">
        <f>'Waste gen. - Industry shares'!$B40*('Production - Industry shares'!D50/'Production - Industry shares'!$I50)</f>
        <v>0.16832645834548585</v>
      </c>
      <c r="F16" s="222">
        <f>'Waste gen. - Industry shares'!$B40*('Production - Industry shares'!E50/'Production - Industry shares'!$I50)</f>
        <v>0.32767514173828222</v>
      </c>
      <c r="G16" s="222">
        <f>'Waste gen. - Industry shares'!$B40*('Production - Industry shares'!F50/'Production - Industry shares'!$I50)</f>
        <v>0</v>
      </c>
      <c r="H16" s="222">
        <f>'Waste gen. - Industry shares'!$B40*('Production - Industry shares'!G50/'Production - Industry shares'!$I50)</f>
        <v>9.7571742024539734E-2</v>
      </c>
      <c r="I16" s="222">
        <f>'Waste gen. - Industry shares'!$B40*('Production - Industry shares'!H50/'Production - Industry shares'!$I50)</f>
        <v>1.9057783263362202</v>
      </c>
      <c r="J16" s="320">
        <f t="shared" si="4"/>
        <v>3.5821568895869995</v>
      </c>
    </row>
    <row r="17" spans="2:14">
      <c r="B17" s="313" t="s">
        <v>78</v>
      </c>
      <c r="C17" s="318">
        <f>SUM(C12:C16)</f>
        <v>2.79075675127919</v>
      </c>
      <c r="D17" s="318">
        <f t="shared" ref="D17" si="5">SUM(D12:D16)</f>
        <v>2.6777165338634914</v>
      </c>
      <c r="E17" s="318">
        <f t="shared" ref="E17" si="6">SUM(E12:E16)</f>
        <v>0.77470813545488615</v>
      </c>
      <c r="F17" s="318">
        <f t="shared" ref="F17" si="7">SUM(F12:F16)</f>
        <v>0.98095581196235626</v>
      </c>
      <c r="G17" s="318">
        <f t="shared" ref="G17" si="8">SUM(G12:G16)</f>
        <v>1.082892817719344</v>
      </c>
      <c r="H17" s="318">
        <f t="shared" ref="H17" si="9">SUM(H12:H16)</f>
        <v>0.16311503126070831</v>
      </c>
      <c r="I17" s="318">
        <f t="shared" ref="I17" si="10">SUM(I12:I16)</f>
        <v>2.4386239576230229</v>
      </c>
      <c r="J17" s="319">
        <f>SUM(J12:J16)</f>
        <v>10.908769039162999</v>
      </c>
    </row>
    <row r="19" spans="2:14">
      <c r="B19" s="1">
        <v>2020</v>
      </c>
    </row>
    <row r="20" spans="2:14">
      <c r="B20" s="313" t="s">
        <v>701</v>
      </c>
      <c r="C20" s="312" t="s">
        <v>141</v>
      </c>
      <c r="D20" s="310" t="s">
        <v>140</v>
      </c>
      <c r="E20" s="311" t="s">
        <v>74</v>
      </c>
      <c r="F20" s="310" t="s">
        <v>34</v>
      </c>
      <c r="G20" s="310" t="s">
        <v>35</v>
      </c>
      <c r="H20" s="310" t="s">
        <v>160</v>
      </c>
      <c r="I20" s="316" t="s">
        <v>27</v>
      </c>
      <c r="J20" s="317" t="s">
        <v>78</v>
      </c>
    </row>
    <row r="21" spans="2:14">
      <c r="B21" s="314" t="s">
        <v>689</v>
      </c>
      <c r="C21" s="558">
        <v>0.28000000000000003</v>
      </c>
      <c r="D21" s="558">
        <v>0.06</v>
      </c>
      <c r="E21" s="558">
        <v>0.08</v>
      </c>
      <c r="F21" s="558">
        <v>0</v>
      </c>
      <c r="G21" s="558">
        <v>0.57999999999999996</v>
      </c>
      <c r="H21" s="558">
        <v>0</v>
      </c>
      <c r="I21" s="558">
        <v>0</v>
      </c>
      <c r="J21" s="330">
        <f>SUM(C21:I21)</f>
        <v>1</v>
      </c>
      <c r="L21" s="558">
        <v>0.24</v>
      </c>
      <c r="N21" t="s">
        <v>1467</v>
      </c>
    </row>
    <row r="22" spans="2:14">
      <c r="B22" s="314" t="s">
        <v>19</v>
      </c>
      <c r="C22" s="558">
        <v>0</v>
      </c>
      <c r="D22" s="558">
        <v>0</v>
      </c>
      <c r="E22" s="558">
        <v>0</v>
      </c>
      <c r="F22" s="558">
        <v>1</v>
      </c>
      <c r="G22" s="558">
        <v>0</v>
      </c>
      <c r="H22" s="558">
        <v>0</v>
      </c>
      <c r="I22" s="558">
        <v>0</v>
      </c>
      <c r="J22" s="330">
        <f>SUM(C22:I22)</f>
        <v>1</v>
      </c>
      <c r="L22" s="558">
        <v>0.04</v>
      </c>
      <c r="N22" t="s">
        <v>1468</v>
      </c>
    </row>
    <row r="23" spans="2:14">
      <c r="B23" s="314" t="s">
        <v>330</v>
      </c>
      <c r="C23" s="558">
        <v>0.13</v>
      </c>
      <c r="D23" s="558">
        <v>0.66</v>
      </c>
      <c r="E23" s="558">
        <v>0.06</v>
      </c>
      <c r="F23" s="558">
        <v>0</v>
      </c>
      <c r="G23" s="558">
        <v>0</v>
      </c>
      <c r="H23" s="558">
        <v>0</v>
      </c>
      <c r="I23" s="558">
        <v>0.15</v>
      </c>
      <c r="J23" s="330">
        <f t="shared" ref="J23:J25" si="11">SUM(C23:I23)</f>
        <v>1</v>
      </c>
      <c r="L23" s="558">
        <v>0.15</v>
      </c>
    </row>
    <row r="24" spans="2:14">
      <c r="B24" s="314" t="s">
        <v>362</v>
      </c>
      <c r="C24" s="558">
        <f>C15/SUM($C15:$I15)</f>
        <v>0</v>
      </c>
      <c r="D24" s="558">
        <f t="shared" ref="D24:I25" si="12">D15/SUM($C15:$I15)</f>
        <v>0</v>
      </c>
      <c r="E24" s="558">
        <f t="shared" si="12"/>
        <v>0</v>
      </c>
      <c r="F24" s="558">
        <f t="shared" si="12"/>
        <v>0</v>
      </c>
      <c r="G24" s="558">
        <f t="shared" si="12"/>
        <v>0.99997154309422065</v>
      </c>
      <c r="H24" s="558">
        <f t="shared" si="12"/>
        <v>0</v>
      </c>
      <c r="I24" s="558">
        <f t="shared" si="12"/>
        <v>2.8456905779299289E-5</v>
      </c>
      <c r="J24" s="330">
        <f t="shared" si="11"/>
        <v>1</v>
      </c>
      <c r="L24" s="558">
        <v>0</v>
      </c>
    </row>
    <row r="25" spans="2:14">
      <c r="B25" s="314" t="s">
        <v>27</v>
      </c>
      <c r="C25" s="558">
        <f>C16/SUM($C16:$I16)</f>
        <v>8.6211066623572197E-2</v>
      </c>
      <c r="D25" s="558">
        <f t="shared" si="12"/>
        <v>0.21606637529698883</v>
      </c>
      <c r="E25" s="558">
        <f t="shared" si="12"/>
        <v>4.6990252949220448E-2</v>
      </c>
      <c r="F25" s="558">
        <f t="shared" si="12"/>
        <v>9.1474257504132128E-2</v>
      </c>
      <c r="G25" s="558">
        <f t="shared" si="12"/>
        <v>0</v>
      </c>
      <c r="H25" s="558">
        <f t="shared" si="12"/>
        <v>2.7238265947583652E-2</v>
      </c>
      <c r="I25" s="558">
        <f t="shared" si="12"/>
        <v>0.53201978167850283</v>
      </c>
      <c r="J25" s="330">
        <f t="shared" si="11"/>
        <v>1</v>
      </c>
      <c r="L25" s="558">
        <v>0.14000000000000001</v>
      </c>
    </row>
    <row r="26" spans="2:14">
      <c r="B26" s="313" t="s">
        <v>78</v>
      </c>
      <c r="C26" s="326"/>
      <c r="D26" s="326"/>
      <c r="E26" s="326"/>
      <c r="F26" s="326"/>
      <c r="G26" s="326"/>
      <c r="H26" s="326"/>
      <c r="I26" s="326"/>
      <c r="J26" s="325">
        <f>J44/J17</f>
        <v>0.17848034006376196</v>
      </c>
      <c r="L26" s="323">
        <f>'Ethylene Recycling HC'!C219</f>
        <v>0.18370882040382572</v>
      </c>
    </row>
    <row r="28" spans="2:14">
      <c r="B28" s="1">
        <v>2020</v>
      </c>
    </row>
    <row r="29" spans="2:14">
      <c r="B29" s="313" t="s">
        <v>700</v>
      </c>
      <c r="C29" s="312" t="s">
        <v>141</v>
      </c>
      <c r="D29" s="310" t="s">
        <v>140</v>
      </c>
      <c r="E29" s="311" t="s">
        <v>74</v>
      </c>
      <c r="F29" s="310" t="s">
        <v>34</v>
      </c>
      <c r="G29" s="310" t="s">
        <v>35</v>
      </c>
      <c r="H29" s="310" t="s">
        <v>160</v>
      </c>
      <c r="I29" s="316" t="s">
        <v>27</v>
      </c>
      <c r="J29" s="317" t="s">
        <v>78</v>
      </c>
    </row>
    <row r="30" spans="2:14">
      <c r="B30" s="314" t="s">
        <v>689</v>
      </c>
      <c r="C30" s="102">
        <f>IFERROR(C39/C12,0)</f>
        <v>0.16095122141650717</v>
      </c>
      <c r="D30" s="102">
        <f t="shared" ref="D30:I31" si="13">IFERROR(D39/D12,0)</f>
        <v>4.7132727416713018E-2</v>
      </c>
      <c r="E30" s="102">
        <f t="shared" si="13"/>
        <v>0.20360527502216361</v>
      </c>
      <c r="F30" s="102">
        <f t="shared" si="13"/>
        <v>0</v>
      </c>
      <c r="G30" s="102">
        <f t="shared" si="13"/>
        <v>1.5711528321567152</v>
      </c>
      <c r="H30" s="102">
        <f t="shared" si="13"/>
        <v>0</v>
      </c>
      <c r="I30" s="102">
        <f t="shared" si="13"/>
        <v>0</v>
      </c>
      <c r="J30" s="324">
        <f>L21</f>
        <v>0.24</v>
      </c>
      <c r="L30" s="22"/>
    </row>
    <row r="31" spans="2:14">
      <c r="B31" s="314" t="s">
        <v>19</v>
      </c>
      <c r="C31" s="102">
        <f>IFERROR(C40/C13,0)</f>
        <v>0</v>
      </c>
      <c r="D31" s="102">
        <f t="shared" si="13"/>
        <v>0</v>
      </c>
      <c r="E31" s="102">
        <f t="shared" si="13"/>
        <v>0</v>
      </c>
      <c r="F31" s="102">
        <f t="shared" si="13"/>
        <v>7.7274893189592755E-2</v>
      </c>
      <c r="G31" s="102">
        <f t="shared" si="13"/>
        <v>0</v>
      </c>
      <c r="H31" s="102">
        <f t="shared" si="13"/>
        <v>0</v>
      </c>
      <c r="I31" s="102">
        <f t="shared" si="13"/>
        <v>0</v>
      </c>
      <c r="J31" s="324">
        <f>L22</f>
        <v>0.04</v>
      </c>
      <c r="L31" s="188"/>
    </row>
    <row r="32" spans="2:14">
      <c r="B32" s="314" t="s">
        <v>330</v>
      </c>
      <c r="C32" s="102">
        <f t="shared" ref="C32:I32" si="14">IFERROR(C41/C14,0)</f>
        <v>0.42345349136846827</v>
      </c>
      <c r="D32" s="102">
        <f t="shared" si="14"/>
        <v>0.35332299797885319</v>
      </c>
      <c r="E32" s="102">
        <f t="shared" si="14"/>
        <v>0</v>
      </c>
      <c r="F32" s="102">
        <f t="shared" si="14"/>
        <v>0</v>
      </c>
      <c r="G32" s="102">
        <f t="shared" si="14"/>
        <v>0</v>
      </c>
      <c r="H32" s="102">
        <f t="shared" si="14"/>
        <v>0</v>
      </c>
      <c r="I32" s="102">
        <f t="shared" si="14"/>
        <v>3.6759888327139757E-2</v>
      </c>
      <c r="J32" s="324">
        <f t="shared" ref="J32:J34" si="15">L23</f>
        <v>0.15</v>
      </c>
      <c r="L32" s="22"/>
    </row>
    <row r="33" spans="2:12">
      <c r="B33" s="314" t="s">
        <v>362</v>
      </c>
      <c r="C33" s="102">
        <f t="shared" ref="C33:I33" si="16">IFERROR(C42/C15,0)</f>
        <v>0</v>
      </c>
      <c r="D33" s="102">
        <f t="shared" si="16"/>
        <v>0</v>
      </c>
      <c r="E33" s="102">
        <f t="shared" si="16"/>
        <v>0</v>
      </c>
      <c r="F33" s="102">
        <f t="shared" si="16"/>
        <v>0</v>
      </c>
      <c r="G33" s="102">
        <f t="shared" si="16"/>
        <v>0</v>
      </c>
      <c r="H33" s="102">
        <f t="shared" si="16"/>
        <v>0</v>
      </c>
      <c r="I33" s="102">
        <f t="shared" si="16"/>
        <v>0</v>
      </c>
      <c r="J33" s="324">
        <f t="shared" si="15"/>
        <v>0</v>
      </c>
      <c r="L33" s="22"/>
    </row>
    <row r="34" spans="2:12">
      <c r="B34" s="314" t="s">
        <v>27</v>
      </c>
      <c r="C34" s="102">
        <f t="shared" ref="C34:I34" si="17">IFERROR(C43/C16,0)</f>
        <v>0.14000000000000001</v>
      </c>
      <c r="D34" s="102">
        <f t="shared" si="17"/>
        <v>0.14000000000000001</v>
      </c>
      <c r="E34" s="102">
        <f t="shared" si="17"/>
        <v>0.14000000000000001</v>
      </c>
      <c r="F34" s="102">
        <f t="shared" si="17"/>
        <v>0.13999999999999999</v>
      </c>
      <c r="G34" s="102">
        <f t="shared" si="17"/>
        <v>0</v>
      </c>
      <c r="H34" s="102">
        <f t="shared" si="17"/>
        <v>0.14000000000000001</v>
      </c>
      <c r="I34" s="102">
        <f t="shared" si="17"/>
        <v>0.14000000000000001</v>
      </c>
      <c r="J34" s="324">
        <f t="shared" si="15"/>
        <v>0.14000000000000001</v>
      </c>
      <c r="L34" s="22"/>
    </row>
    <row r="35" spans="2:12">
      <c r="B35" s="313" t="s">
        <v>78</v>
      </c>
      <c r="C35" s="326">
        <f>C44/C17</f>
        <v>0.15478547101736681</v>
      </c>
      <c r="D35" s="326">
        <f t="shared" ref="D35:I35" si="18">D44/D17</f>
        <v>8.430101127251384E-2</v>
      </c>
      <c r="E35" s="326">
        <f t="shared" si="18"/>
        <v>0.17537518650947595</v>
      </c>
      <c r="F35" s="326">
        <f t="shared" si="18"/>
        <v>7.5600558508261737E-2</v>
      </c>
      <c r="G35" s="326">
        <f t="shared" si="18"/>
        <v>0.73019014223758227</v>
      </c>
      <c r="H35" s="326">
        <f t="shared" si="18"/>
        <v>8.3744850354119646E-2</v>
      </c>
      <c r="I35" s="326">
        <f t="shared" si="18"/>
        <v>0.11272541692867606</v>
      </c>
      <c r="J35" s="325">
        <f>J53/J26</f>
        <v>0</v>
      </c>
      <c r="L35" s="323"/>
    </row>
    <row r="36" spans="2:12">
      <c r="B36" s="1"/>
      <c r="C36" s="247"/>
      <c r="D36" s="247"/>
      <c r="E36" s="247"/>
      <c r="F36" s="247"/>
      <c r="G36" s="247"/>
      <c r="H36" s="247"/>
      <c r="I36" s="247"/>
      <c r="J36" s="247"/>
      <c r="L36" s="323"/>
    </row>
    <row r="37" spans="2:12">
      <c r="B37" s="1">
        <v>2020</v>
      </c>
    </row>
    <row r="38" spans="2:12">
      <c r="B38" s="313" t="s">
        <v>699</v>
      </c>
      <c r="C38" s="312" t="s">
        <v>141</v>
      </c>
      <c r="D38" s="310" t="s">
        <v>140</v>
      </c>
      <c r="E38" s="311" t="s">
        <v>74</v>
      </c>
      <c r="F38" s="310" t="s">
        <v>34</v>
      </c>
      <c r="G38" s="310" t="s">
        <v>35</v>
      </c>
      <c r="H38" s="310" t="s">
        <v>160</v>
      </c>
      <c r="I38" s="316" t="s">
        <v>27</v>
      </c>
      <c r="J38" s="317" t="s">
        <v>78</v>
      </c>
    </row>
    <row r="39" spans="2:12">
      <c r="B39" s="314" t="s">
        <v>689</v>
      </c>
      <c r="C39" s="222">
        <f>$J39*C21</f>
        <v>0.38172576718550405</v>
      </c>
      <c r="D39" s="222">
        <f t="shared" ref="D39:I40" si="19">$J39*D21</f>
        <v>8.1798378682608003E-2</v>
      </c>
      <c r="E39" s="222">
        <f t="shared" si="19"/>
        <v>0.10906450491014401</v>
      </c>
      <c r="F39" s="222">
        <f t="shared" si="19"/>
        <v>0</v>
      </c>
      <c r="G39" s="222">
        <f t="shared" si="19"/>
        <v>0.79071766059854398</v>
      </c>
      <c r="H39" s="222">
        <f t="shared" si="19"/>
        <v>0</v>
      </c>
      <c r="I39" s="222">
        <f t="shared" si="19"/>
        <v>0</v>
      </c>
      <c r="J39" s="320">
        <f>J12*J30</f>
        <v>1.3633063113768</v>
      </c>
    </row>
    <row r="40" spans="2:12">
      <c r="B40" s="314" t="s">
        <v>19</v>
      </c>
      <c r="C40" s="222">
        <f>$J40*C22</f>
        <v>0</v>
      </c>
      <c r="D40" s="222">
        <f t="shared" si="19"/>
        <v>0</v>
      </c>
      <c r="E40" s="222">
        <f t="shared" si="19"/>
        <v>0</v>
      </c>
      <c r="F40" s="222">
        <f t="shared" si="19"/>
        <v>2.8286287412919997E-2</v>
      </c>
      <c r="G40" s="222">
        <f t="shared" si="19"/>
        <v>0</v>
      </c>
      <c r="H40" s="222">
        <f t="shared" si="19"/>
        <v>0</v>
      </c>
      <c r="I40" s="222">
        <f t="shared" si="19"/>
        <v>0</v>
      </c>
      <c r="J40" s="320">
        <f t="shared" ref="J40:J43" si="20">J13*J31</f>
        <v>2.8286287412919997E-2</v>
      </c>
    </row>
    <row r="41" spans="2:12">
      <c r="B41" s="314" t="s">
        <v>330</v>
      </c>
      <c r="C41" s="222">
        <f t="shared" ref="C41:I41" si="21">$J41*C23</f>
        <v>7.0078117791434998E-3</v>
      </c>
      <c r="D41" s="222">
        <f t="shared" si="21"/>
        <v>3.5578121340266999E-2</v>
      </c>
      <c r="E41" s="222">
        <f t="shared" si="21"/>
        <v>3.2343746672969993E-3</v>
      </c>
      <c r="F41" s="222">
        <f t="shared" si="21"/>
        <v>0</v>
      </c>
      <c r="G41" s="222">
        <f t="shared" si="21"/>
        <v>0</v>
      </c>
      <c r="H41" s="222">
        <f t="shared" si="21"/>
        <v>0</v>
      </c>
      <c r="I41" s="222">
        <f t="shared" si="21"/>
        <v>8.085936668242498E-3</v>
      </c>
      <c r="J41" s="320">
        <f t="shared" si="20"/>
        <v>5.3906244454949993E-2</v>
      </c>
    </row>
    <row r="42" spans="2:12">
      <c r="B42" s="314" t="s">
        <v>362</v>
      </c>
      <c r="C42" s="222">
        <f t="shared" ref="C42:I42" si="22">$J42*C24</f>
        <v>0</v>
      </c>
      <c r="D42" s="222">
        <f t="shared" si="22"/>
        <v>0</v>
      </c>
      <c r="E42" s="222">
        <f t="shared" si="22"/>
        <v>0</v>
      </c>
      <c r="F42" s="222">
        <f t="shared" si="22"/>
        <v>0</v>
      </c>
      <c r="G42" s="222">
        <f t="shared" si="22"/>
        <v>0</v>
      </c>
      <c r="H42" s="222">
        <f t="shared" si="22"/>
        <v>0</v>
      </c>
      <c r="I42" s="222">
        <f t="shared" si="22"/>
        <v>0</v>
      </c>
      <c r="J42" s="320">
        <f t="shared" si="20"/>
        <v>0</v>
      </c>
    </row>
    <row r="43" spans="2:12">
      <c r="B43" s="314" t="s">
        <v>27</v>
      </c>
      <c r="C43" s="222">
        <f t="shared" ref="C43:I43" si="23">$J43*C25</f>
        <v>4.3235019276998223E-2</v>
      </c>
      <c r="D43" s="222">
        <f t="shared" si="23"/>
        <v>0.10835771168294785</v>
      </c>
      <c r="E43" s="222">
        <f t="shared" si="23"/>
        <v>2.3565704168368021E-2</v>
      </c>
      <c r="F43" s="222">
        <f t="shared" si="23"/>
        <v>4.587451984335951E-2</v>
      </c>
      <c r="G43" s="222">
        <f t="shared" si="23"/>
        <v>0</v>
      </c>
      <c r="H43" s="222">
        <f t="shared" si="23"/>
        <v>1.3660043883435564E-2</v>
      </c>
      <c r="I43" s="222">
        <f t="shared" si="23"/>
        <v>0.26680896568707085</v>
      </c>
      <c r="J43" s="320">
        <f t="shared" si="20"/>
        <v>0.50150196454217999</v>
      </c>
    </row>
    <row r="44" spans="2:12">
      <c r="B44" s="313" t="s">
        <v>78</v>
      </c>
      <c r="C44" s="318">
        <f>SUM(C39:C43)</f>
        <v>0.4319685982416458</v>
      </c>
      <c r="D44" s="318">
        <f t="shared" ref="D44" si="24">SUM(D39:D43)</f>
        <v>0.22573421170582286</v>
      </c>
      <c r="E44" s="318">
        <f t="shared" ref="E44" si="25">SUM(E39:E43)</f>
        <v>0.13586458374580901</v>
      </c>
      <c r="F44" s="318">
        <f t="shared" ref="F44" si="26">SUM(F39:F43)</f>
        <v>7.4160807256279507E-2</v>
      </c>
      <c r="G44" s="318">
        <f t="shared" ref="G44" si="27">SUM(G39:G43)</f>
        <v>0.79071766059854398</v>
      </c>
      <c r="H44" s="318">
        <f t="shared" ref="H44" si="28">SUM(H39:H43)</f>
        <v>1.3660043883435564E-2</v>
      </c>
      <c r="I44" s="318">
        <f t="shared" ref="I44" si="29">SUM(I39:I43)</f>
        <v>0.27489490235531333</v>
      </c>
      <c r="J44" s="319">
        <f>SUM(J39:J43)</f>
        <v>1.9470008077868499</v>
      </c>
    </row>
    <row r="46" spans="2:12">
      <c r="B46" s="1" t="s">
        <v>714</v>
      </c>
    </row>
    <row r="47" spans="2:12">
      <c r="B47" s="313" t="s">
        <v>699</v>
      </c>
      <c r="C47" s="312" t="s">
        <v>141</v>
      </c>
      <c r="D47" s="310" t="s">
        <v>140</v>
      </c>
      <c r="E47" s="311" t="s">
        <v>74</v>
      </c>
      <c r="F47" s="310" t="s">
        <v>34</v>
      </c>
      <c r="G47" s="310" t="s">
        <v>35</v>
      </c>
      <c r="H47" s="310" t="s">
        <v>160</v>
      </c>
      <c r="I47" s="316" t="s">
        <v>27</v>
      </c>
      <c r="J47" s="317"/>
    </row>
    <row r="48" spans="2:12">
      <c r="B48" s="314" t="s">
        <v>689</v>
      </c>
      <c r="C48" s="222">
        <f>C30/$J30</f>
        <v>0.67063008923544654</v>
      </c>
      <c r="D48" s="222">
        <f t="shared" ref="D48:I48" si="30">D30/$J30</f>
        <v>0.19638636423630423</v>
      </c>
      <c r="E48" s="222">
        <f t="shared" si="30"/>
        <v>0.84835531259234842</v>
      </c>
      <c r="F48" s="222">
        <f t="shared" si="30"/>
        <v>0</v>
      </c>
      <c r="G48" s="222">
        <f t="shared" si="30"/>
        <v>6.5464701339863138</v>
      </c>
      <c r="H48" s="222">
        <f t="shared" si="30"/>
        <v>0</v>
      </c>
      <c r="I48" s="222">
        <f t="shared" si="30"/>
        <v>0</v>
      </c>
      <c r="J48" s="320"/>
    </row>
    <row r="49" spans="2:22">
      <c r="B49" s="314" t="s">
        <v>19</v>
      </c>
      <c r="C49" s="222">
        <f t="shared" ref="C49:I49" si="31">C31/$J31</f>
        <v>0</v>
      </c>
      <c r="D49" s="222">
        <f t="shared" si="31"/>
        <v>0</v>
      </c>
      <c r="E49" s="222">
        <f t="shared" si="31"/>
        <v>0</v>
      </c>
      <c r="F49" s="222">
        <f t="shared" si="31"/>
        <v>1.9318723297398188</v>
      </c>
      <c r="G49" s="222">
        <f t="shared" si="31"/>
        <v>0</v>
      </c>
      <c r="H49" s="222">
        <f t="shared" si="31"/>
        <v>0</v>
      </c>
      <c r="I49" s="222">
        <f t="shared" si="31"/>
        <v>0</v>
      </c>
      <c r="J49" s="320"/>
    </row>
    <row r="50" spans="2:22">
      <c r="B50" s="314" t="s">
        <v>330</v>
      </c>
      <c r="C50" s="222">
        <f t="shared" ref="C50:I50" si="32">C32/$J32</f>
        <v>2.8230232757897884</v>
      </c>
      <c r="D50" s="222">
        <f t="shared" si="32"/>
        <v>2.3554866531923548</v>
      </c>
      <c r="E50" s="222">
        <f t="shared" si="32"/>
        <v>0</v>
      </c>
      <c r="F50" s="222">
        <f t="shared" si="32"/>
        <v>0</v>
      </c>
      <c r="G50" s="222">
        <f t="shared" si="32"/>
        <v>0</v>
      </c>
      <c r="H50" s="222">
        <f t="shared" si="32"/>
        <v>0</v>
      </c>
      <c r="I50" s="222">
        <f t="shared" si="32"/>
        <v>0.24506592218093173</v>
      </c>
      <c r="J50" s="320"/>
    </row>
    <row r="51" spans="2:22">
      <c r="B51" s="314" t="s">
        <v>362</v>
      </c>
      <c r="C51" s="222">
        <f>IFERROR(C33/$J33,1)</f>
        <v>1</v>
      </c>
      <c r="D51" s="222">
        <f t="shared" ref="D51:I51" si="33">IFERROR(D33/$J33,1)</f>
        <v>1</v>
      </c>
      <c r="E51" s="222">
        <f t="shared" si="33"/>
        <v>1</v>
      </c>
      <c r="F51" s="222">
        <f t="shared" si="33"/>
        <v>1</v>
      </c>
      <c r="G51" s="222">
        <f t="shared" si="33"/>
        <v>1</v>
      </c>
      <c r="H51" s="222">
        <f t="shared" si="33"/>
        <v>1</v>
      </c>
      <c r="I51" s="222">
        <f t="shared" si="33"/>
        <v>1</v>
      </c>
      <c r="J51" s="320"/>
    </row>
    <row r="52" spans="2:22">
      <c r="B52" s="314" t="s">
        <v>27</v>
      </c>
      <c r="C52" s="222">
        <f t="shared" ref="C52:I52" si="34">C34/$J34</f>
        <v>1</v>
      </c>
      <c r="D52" s="222">
        <f t="shared" si="34"/>
        <v>1</v>
      </c>
      <c r="E52" s="222">
        <f t="shared" si="34"/>
        <v>1</v>
      </c>
      <c r="F52" s="222">
        <f t="shared" si="34"/>
        <v>0.99999999999999978</v>
      </c>
      <c r="G52" s="222">
        <f t="shared" si="34"/>
        <v>0</v>
      </c>
      <c r="H52" s="222">
        <f t="shared" si="34"/>
        <v>1</v>
      </c>
      <c r="I52" s="222">
        <f t="shared" si="34"/>
        <v>1</v>
      </c>
      <c r="J52" s="320"/>
    </row>
    <row r="53" spans="2:22">
      <c r="B53" s="313"/>
      <c r="C53" s="318"/>
      <c r="D53" s="318"/>
      <c r="E53" s="318"/>
      <c r="F53" s="318"/>
      <c r="G53" s="318"/>
      <c r="H53" s="318"/>
      <c r="I53" s="318"/>
      <c r="J53" s="319"/>
    </row>
    <row r="55" spans="2:22">
      <c r="B55" s="1" t="s">
        <v>732</v>
      </c>
    </row>
    <row r="56" spans="2:22" ht="29.5">
      <c r="B56" s="313"/>
      <c r="C56" s="312" t="s">
        <v>141</v>
      </c>
      <c r="D56" s="310" t="s">
        <v>140</v>
      </c>
      <c r="E56" s="311" t="s">
        <v>74</v>
      </c>
      <c r="F56" s="310" t="s">
        <v>34</v>
      </c>
      <c r="G56" s="310" t="s">
        <v>35</v>
      </c>
      <c r="H56" s="310" t="s">
        <v>160</v>
      </c>
      <c r="I56" s="316" t="s">
        <v>27</v>
      </c>
      <c r="J56" s="317" t="s">
        <v>1369</v>
      </c>
      <c r="K56" s="317" t="s">
        <v>1371</v>
      </c>
    </row>
    <row r="57" spans="2:22">
      <c r="B57" s="336" t="s">
        <v>3</v>
      </c>
      <c r="C57" s="339">
        <f>1</f>
        <v>1</v>
      </c>
      <c r="D57" s="292">
        <v>0</v>
      </c>
      <c r="E57" s="292">
        <f>'Demand - Ethylene'!E39</f>
        <v>0.2687140115163148</v>
      </c>
      <c r="F57" s="292">
        <f>'Demand - Ethylene'!E38</f>
        <v>0.44800000000000001</v>
      </c>
      <c r="G57" s="292">
        <f>'Demand - Ethylene'!E36</f>
        <v>0.14568158168574402</v>
      </c>
      <c r="H57" s="292">
        <f t="shared" ref="H57" si="35">H39/$J39</f>
        <v>0</v>
      </c>
      <c r="I57" s="340">
        <f>'Demand - Ethylene'!E41</f>
        <v>0.1</v>
      </c>
      <c r="J57" s="340">
        <v>0.05</v>
      </c>
      <c r="K57" s="340">
        <v>0.1</v>
      </c>
    </row>
    <row r="58" spans="2:22">
      <c r="B58" s="337" t="s">
        <v>4</v>
      </c>
      <c r="C58" s="341">
        <v>0</v>
      </c>
      <c r="D58" s="281">
        <v>1</v>
      </c>
      <c r="E58" s="281">
        <v>0</v>
      </c>
      <c r="F58" s="281">
        <v>0</v>
      </c>
      <c r="G58" s="281">
        <v>0</v>
      </c>
      <c r="H58" s="281">
        <v>0</v>
      </c>
      <c r="I58" s="342">
        <v>0.1</v>
      </c>
      <c r="J58" s="342">
        <v>0.05</v>
      </c>
      <c r="K58" s="342">
        <v>0.1</v>
      </c>
    </row>
    <row r="59" spans="2:22">
      <c r="B59" s="337" t="s">
        <v>716</v>
      </c>
      <c r="C59" s="341">
        <f>'Production - Industry shares'!C81</f>
        <v>0</v>
      </c>
      <c r="D59" s="281">
        <f>'Production - Industry shares'!D81</f>
        <v>0</v>
      </c>
      <c r="E59" s="281">
        <f>'Production - Industry shares'!E81</f>
        <v>0</v>
      </c>
      <c r="F59" s="281">
        <f>'Production - Industry shares'!F81</f>
        <v>0</v>
      </c>
      <c r="G59" s="281">
        <f>'Production - Industry shares'!G81</f>
        <v>4.5633813190281036E-6</v>
      </c>
      <c r="H59" s="281">
        <f>'Production - Industry shares'!I81</f>
        <v>0.10886110356075018</v>
      </c>
      <c r="I59" s="281">
        <f>30%</f>
        <v>0.3</v>
      </c>
      <c r="J59" s="281">
        <v>0.1</v>
      </c>
      <c r="K59" s="281">
        <v>0.3</v>
      </c>
      <c r="N59" t="s">
        <v>78</v>
      </c>
      <c r="O59" t="s">
        <v>720</v>
      </c>
      <c r="P59" t="s">
        <v>721</v>
      </c>
      <c r="Q59" t="s">
        <v>700</v>
      </c>
      <c r="R59" t="s">
        <v>724</v>
      </c>
      <c r="S59" t="s">
        <v>722</v>
      </c>
      <c r="T59" t="s">
        <v>723</v>
      </c>
    </row>
    <row r="60" spans="2:22">
      <c r="B60" s="337" t="s">
        <v>88</v>
      </c>
      <c r="C60" s="341">
        <v>0</v>
      </c>
      <c r="D60" s="281">
        <v>0</v>
      </c>
      <c r="E60" s="281">
        <f>'Production - Industry shares'!E96</f>
        <v>0.68407717325015771</v>
      </c>
      <c r="F60" s="281">
        <v>0</v>
      </c>
      <c r="G60" s="281">
        <v>0</v>
      </c>
      <c r="H60" s="281">
        <f>'Production - Industry shares'!I96</f>
        <v>0.4173229492258147</v>
      </c>
      <c r="I60" s="281">
        <f>'Production - Industry shares'!J96</f>
        <v>0.1</v>
      </c>
      <c r="J60" s="281">
        <v>0.1</v>
      </c>
      <c r="K60" s="281">
        <v>0.1</v>
      </c>
      <c r="M60" t="s">
        <v>141</v>
      </c>
      <c r="N60">
        <v>80</v>
      </c>
      <c r="O60" s="6">
        <v>1</v>
      </c>
      <c r="P60">
        <f>N60*O60</f>
        <v>80</v>
      </c>
      <c r="Q60" s="6">
        <v>0.15</v>
      </c>
      <c r="R60">
        <f>N60*Q60</f>
        <v>12</v>
      </c>
      <c r="S60">
        <f>N60*Q60*O60</f>
        <v>12</v>
      </c>
      <c r="T60" s="2">
        <f>S60/P60</f>
        <v>0.15</v>
      </c>
      <c r="U60" s="219">
        <f>Q60/R62</f>
        <v>0.83333333333333337</v>
      </c>
    </row>
    <row r="61" spans="2:22">
      <c r="B61" s="337" t="s">
        <v>717</v>
      </c>
      <c r="C61" s="341">
        <v>0</v>
      </c>
      <c r="D61" s="281">
        <v>0</v>
      </c>
      <c r="E61" s="281">
        <f>'Production - Industry shares'!E110</f>
        <v>5.1771883353615836E-2</v>
      </c>
      <c r="F61" s="281">
        <v>0</v>
      </c>
      <c r="G61" s="281">
        <f>'Production - Industry shares'!G110</f>
        <v>5.1795834427410814E-2</v>
      </c>
      <c r="H61" s="281">
        <f>'Production - Industry shares'!I110</f>
        <v>0.16254187836039208</v>
      </c>
      <c r="I61" s="281">
        <f>'Production - Industry shares'!J110</f>
        <v>0.05</v>
      </c>
      <c r="J61" s="281">
        <v>2.5000000000000001E-2</v>
      </c>
      <c r="K61" s="281">
        <v>0</v>
      </c>
      <c r="M61" t="s">
        <v>35</v>
      </c>
      <c r="N61">
        <v>20</v>
      </c>
      <c r="O61" s="6">
        <v>0.15</v>
      </c>
      <c r="P61">
        <f>N61*O61</f>
        <v>3</v>
      </c>
      <c r="Q61" s="6">
        <v>0.3</v>
      </c>
      <c r="R61">
        <f>N61*Q61</f>
        <v>6</v>
      </c>
      <c r="S61">
        <f>N61*Q61*O61</f>
        <v>0.89999999999999991</v>
      </c>
      <c r="T61" s="2">
        <f>S61/P61</f>
        <v>0.3</v>
      </c>
      <c r="U61" s="219">
        <f>Q61/R62</f>
        <v>1.6666666666666667</v>
      </c>
    </row>
    <row r="62" spans="2:22">
      <c r="B62" s="337" t="s">
        <v>718</v>
      </c>
      <c r="C62" s="341">
        <v>0</v>
      </c>
      <c r="D62" s="281">
        <v>0</v>
      </c>
      <c r="E62" s="281">
        <v>0</v>
      </c>
      <c r="F62" s="281">
        <v>0</v>
      </c>
      <c r="G62" s="281">
        <f>'Production - Industry shares'!G124</f>
        <v>0.5002874989059225</v>
      </c>
      <c r="H62" s="281">
        <v>0</v>
      </c>
      <c r="I62" s="281">
        <f>'Production - Industry shares'!J124</f>
        <v>0.05</v>
      </c>
      <c r="J62" s="281">
        <v>2.5000000000000001E-2</v>
      </c>
      <c r="K62" s="281">
        <v>0</v>
      </c>
      <c r="N62">
        <f>SUM(N60:N61)</f>
        <v>100</v>
      </c>
      <c r="P62">
        <f>SUM(P60:P61)</f>
        <v>83</v>
      </c>
      <c r="R62" s="2">
        <f>SUM(R60:R61)/N62</f>
        <v>0.18</v>
      </c>
      <c r="S62">
        <f>SUM(S60:S61)</f>
        <v>12.9</v>
      </c>
      <c r="T62" s="2">
        <f>S62/P62</f>
        <v>0.15542168674698795</v>
      </c>
      <c r="U62" s="217">
        <f>(U60*O60*N60+U61*O61*N61)/N62</f>
        <v>0.71666666666666667</v>
      </c>
      <c r="V62" s="219">
        <f>T62/R62</f>
        <v>0.86345381526104414</v>
      </c>
    </row>
    <row r="63" spans="2:22">
      <c r="B63" s="335" t="s">
        <v>719</v>
      </c>
      <c r="C63" s="792">
        <v>0</v>
      </c>
      <c r="D63" s="793">
        <v>0</v>
      </c>
      <c r="E63" s="793">
        <v>0</v>
      </c>
      <c r="F63" s="793">
        <v>0</v>
      </c>
      <c r="G63" s="793">
        <v>0</v>
      </c>
      <c r="H63" s="793">
        <v>0</v>
      </c>
      <c r="I63" s="793">
        <v>0.2</v>
      </c>
      <c r="J63" s="793">
        <v>0.7</v>
      </c>
      <c r="K63" s="793">
        <v>0.02</v>
      </c>
    </row>
    <row r="64" spans="2:22">
      <c r="B64" s="343" t="s">
        <v>27</v>
      </c>
      <c r="C64" s="476">
        <f>1-SUM(C57:C63)</f>
        <v>0</v>
      </c>
      <c r="D64" s="278">
        <f t="shared" ref="D64:H64" si="36">1-SUM(D57:D63)</f>
        <v>0</v>
      </c>
      <c r="E64" s="278">
        <f t="shared" si="36"/>
        <v>-4.5630681200883316E-3</v>
      </c>
      <c r="F64" s="278">
        <f t="shared" si="36"/>
        <v>0.55200000000000005</v>
      </c>
      <c r="G64" s="278">
        <f t="shared" si="36"/>
        <v>0.30223052159960362</v>
      </c>
      <c r="H64" s="278">
        <f t="shared" si="36"/>
        <v>0.3112740688530431</v>
      </c>
      <c r="I64" s="278">
        <f>1.2-SUM(I57:I63)</f>
        <v>0.29999999999999982</v>
      </c>
      <c r="J64" s="278">
        <f>1.2-SUM(J57:J63)</f>
        <v>0.14999999999999991</v>
      </c>
      <c r="K64" s="278">
        <f>1.2-SUM(K57:K63)</f>
        <v>0.57999999999999996</v>
      </c>
      <c r="L64" t="s">
        <v>1370</v>
      </c>
    </row>
    <row r="66" spans="2:21">
      <c r="B66" s="1" t="s">
        <v>733</v>
      </c>
    </row>
    <row r="67" spans="2:21">
      <c r="B67" s="313"/>
      <c r="C67" s="312" t="s">
        <v>3</v>
      </c>
      <c r="D67" s="310" t="s">
        <v>4</v>
      </c>
      <c r="E67" s="332" t="s">
        <v>716</v>
      </c>
      <c r="F67" s="310" t="s">
        <v>88</v>
      </c>
      <c r="G67" s="310" t="s">
        <v>717</v>
      </c>
      <c r="H67" s="310" t="s">
        <v>718</v>
      </c>
      <c r="I67" s="333" t="s">
        <v>719</v>
      </c>
      <c r="J67" s="317" t="s">
        <v>27</v>
      </c>
    </row>
    <row r="68" spans="2:21">
      <c r="B68" s="346" t="s">
        <v>689</v>
      </c>
      <c r="C68" s="347">
        <f>SUMPRODUCT($C$57:$I$57,$C12:$I12)</f>
        <v>2.7345687919923707</v>
      </c>
      <c r="D68" s="348">
        <f>SUMPRODUCT($C$58:$I$58,$C12:$I12)</f>
        <v>1.7576782199429914</v>
      </c>
      <c r="E68" s="348">
        <f>SUMPRODUCT($C$59:$I$59,$C12:$I12)</f>
        <v>7.0585963067752527E-2</v>
      </c>
      <c r="F68" s="348">
        <f>SUMPRODUCT($C$60:$I$60,$C12:$I12)</f>
        <v>0.40403273515682314</v>
      </c>
      <c r="G68" s="348">
        <f>SUMPRODUCT($C$61:$I$61,$C12:$I12)</f>
        <v>7.0894938245585903E-2</v>
      </c>
      <c r="H68" s="348">
        <f>SUMPRODUCT($C$62:$I$62,$C12:$I12)</f>
        <v>0.26287492108112287</v>
      </c>
      <c r="I68" s="349">
        <f>SUMPRODUCT($C$63:$I$63,$C12:$I12)</f>
        <v>4.4376372918641549E-2</v>
      </c>
      <c r="J68" s="349">
        <f>SUMPRODUCT($C$64:$I$64,$C12:$I12)</f>
        <v>0.37980739458335244</v>
      </c>
    </row>
    <row r="69" spans="2:21">
      <c r="B69" s="314" t="s">
        <v>19</v>
      </c>
      <c r="C69" s="350">
        <f>SUMPRODUCT($C$57:$I$57,$C13:$I13)</f>
        <v>0.28578953941207813</v>
      </c>
      <c r="D69" s="351">
        <f>SUMPRODUCT($C$58:$I$58,$C13:$I13)</f>
        <v>7.6645200884741527E-2</v>
      </c>
      <c r="E69" s="351">
        <f>SUMPRODUCT($C$59:$I$59,$C13:$I13)</f>
        <v>2.9271896378848403E-2</v>
      </c>
      <c r="F69" s="351">
        <f>SUMPRODUCT($C$60:$I$60,$C13:$I13)</f>
        <v>6.5054023518469339E-2</v>
      </c>
      <c r="G69" s="351">
        <f>SUMPRODUCT($C$61:$I$61,$C13:$I13)</f>
        <v>1.1162898583085066E-2</v>
      </c>
      <c r="H69" s="351">
        <f>SUMPRODUCT($C$62:$I$62,$C13:$I13)</f>
        <v>4.5490485403128049E-3</v>
      </c>
      <c r="I69" s="352">
        <f>SUMPRODUCT($C$63:$I$63,$C13:$I13)</f>
        <v>1.819619416125122E-2</v>
      </c>
      <c r="J69" s="352">
        <f>SUMPRODUCT($C$64:$I$64,$C13:$I13)</f>
        <v>0.23468457800546458</v>
      </c>
    </row>
    <row r="70" spans="2:21">
      <c r="B70" s="314" t="s">
        <v>330</v>
      </c>
      <c r="C70" s="486">
        <f>SUMPRODUCT($C$57:$H$57,$C14:$H14)+J57*I14</f>
        <v>3.2791946513801767E-2</v>
      </c>
      <c r="D70" s="351">
        <f>SUMPRODUCT($C$58:$H$58,$C14:$H14)+J58*I14</f>
        <v>0.11169405675804522</v>
      </c>
      <c r="E70" s="351">
        <f>SUMPRODUCT($C$59:$H$59,$C14:$H14)+J59*I14</f>
        <v>2.313503271486686E-2</v>
      </c>
      <c r="F70" s="351">
        <f>SUMPRODUCT($C$60:$H$60,$C14:$H14)+J60*I14</f>
        <v>2.6360737339419429E-2</v>
      </c>
      <c r="G70" s="351">
        <f>SUMPRODUCT($C$61:$H$61,$C14:$H14)+J61*I14</f>
        <v>7.198920713557779E-3</v>
      </c>
      <c r="H70" s="351">
        <f>SUMPRODUCT($C$62:$H$62,$C14:$H14)+J62*I14</f>
        <v>5.4991575302696626E-3</v>
      </c>
      <c r="I70" s="351">
        <f>SUMPRODUCT($C$63:$H$63,$C14:$H14)+J63*I14</f>
        <v>0.15397641084755054</v>
      </c>
      <c r="J70" s="352">
        <f>SUMPRODUCT($C$64:$H$64,$C14:$H14)+J64*I14</f>
        <v>4.2711960857645989E-2</v>
      </c>
    </row>
    <row r="71" spans="2:21">
      <c r="B71" s="314" t="s">
        <v>362</v>
      </c>
      <c r="C71" s="350">
        <f>SUMPRODUCT($C$57:$H$57,$C15:$H15)+K57*I14</f>
        <v>0.10643666752615948</v>
      </c>
      <c r="D71" s="351">
        <f>SUMPRODUCT($C$58:$H$58,$C15:$H15)+K58*I15</f>
        <v>1.6494676552369754E-6</v>
      </c>
      <c r="E71" s="351">
        <f>SUMPRODUCT($C$59:$H$59,$C15:$H15)+K59*I15</f>
        <v>7.5934325213591917E-6</v>
      </c>
      <c r="F71" s="351">
        <f>SUMPRODUCT($C$60:$H$60,$C15:$H15)+K60*I15</f>
        <v>1.6494676552369754E-6</v>
      </c>
      <c r="G71" s="351">
        <f>SUMPRODUCT($C$61:$H$61,$C15:$H15)+K61*I15</f>
        <v>3.002192964868073E-2</v>
      </c>
      <c r="H71" s="351">
        <f>SUMPRODUCT($C$62:$H$62,$C15:$H15)+K62*I15</f>
        <v>0.28997691150853516</v>
      </c>
      <c r="I71" s="351">
        <f>SUMPRODUCT($C$63:$H$63,$C15:$H15)+K63*I15</f>
        <v>3.2989353104739504E-7</v>
      </c>
      <c r="J71" s="352">
        <f>SUMPRODUCT($C$64:$H$64,$C15:$H15)+K64*I15</f>
        <v>0.17518858579399565</v>
      </c>
      <c r="K71" t="s">
        <v>566</v>
      </c>
      <c r="O71" s="6"/>
      <c r="Q71" s="6"/>
      <c r="T71" s="2"/>
      <c r="U71" s="219"/>
    </row>
    <row r="72" spans="2:21">
      <c r="B72" s="315" t="s">
        <v>27</v>
      </c>
      <c r="C72" s="353">
        <f>SUMPRODUCT($C$57:$I$57,$C16:$I16)</f>
        <v>0.69142954026299486</v>
      </c>
      <c r="D72" s="354">
        <f>SUMPRODUCT($C$58:$I$58,$C16:$I16)</f>
        <v>0.9645614875118208</v>
      </c>
      <c r="E72" s="354">
        <f>SUMPRODUCT($C$59:$I$59,$C16:$I16)</f>
        <v>0.58235526541400229</v>
      </c>
      <c r="F72" s="354">
        <f>SUMPRODUCT($C$60:$I$60,$C16:$I16)</f>
        <v>0.34644504758459371</v>
      </c>
      <c r="G72" s="354">
        <f>SUMPRODUCT($C$61:$I$61,$C16:$I16)</f>
        <v>0.11986298830716509</v>
      </c>
      <c r="H72" s="354">
        <f>SUMPRODUCT($C$62:$I$62,$C16:$I16)</f>
        <v>9.5288916316811023E-2</v>
      </c>
      <c r="I72" s="354">
        <f>SUMPRODUCT($C$63:$I$63,$C16:$I16)</f>
        <v>0.38115566526724409</v>
      </c>
      <c r="J72" s="363">
        <f>SUMPRODUCT($C$64:$I$64,$C16:$I16)</f>
        <v>0.7822136441896117</v>
      </c>
      <c r="K72" s="355">
        <f>SUM(C68:J72)-J17</f>
        <v>0.50971977217802511</v>
      </c>
      <c r="O72" s="6"/>
      <c r="Q72" s="6"/>
      <c r="T72" s="2"/>
      <c r="U72" s="219"/>
    </row>
    <row r="74" spans="2:21">
      <c r="B74" s="1" t="s">
        <v>733</v>
      </c>
    </row>
    <row r="75" spans="2:21">
      <c r="B75" s="313"/>
      <c r="C75" s="312" t="s">
        <v>3</v>
      </c>
      <c r="D75" s="310" t="s">
        <v>4</v>
      </c>
      <c r="E75" s="332" t="s">
        <v>716</v>
      </c>
      <c r="F75" s="310" t="s">
        <v>88</v>
      </c>
      <c r="G75" s="310" t="s">
        <v>717</v>
      </c>
      <c r="H75" s="310" t="s">
        <v>718</v>
      </c>
      <c r="I75" s="333" t="s">
        <v>719</v>
      </c>
      <c r="J75" s="317" t="s">
        <v>27</v>
      </c>
    </row>
    <row r="76" spans="2:21">
      <c r="B76" s="346" t="s">
        <v>689</v>
      </c>
      <c r="C76" s="356">
        <f t="shared" ref="C76:J80" si="37">C68/$J12</f>
        <v>0.48140062479090012</v>
      </c>
      <c r="D76" s="357">
        <f t="shared" si="37"/>
        <v>0.30942625972317245</v>
      </c>
      <c r="E76" s="357">
        <f t="shared" si="37"/>
        <v>1.2426137101318265E-2</v>
      </c>
      <c r="F76" s="357">
        <f t="shared" si="37"/>
        <v>7.1126976841844103E-2</v>
      </c>
      <c r="G76" s="357">
        <f t="shared" si="37"/>
        <v>1.248052989775821E-2</v>
      </c>
      <c r="H76" s="357">
        <f t="shared" si="37"/>
        <v>4.6277186963034782E-2</v>
      </c>
      <c r="I76" s="358">
        <f t="shared" si="37"/>
        <v>7.8121324691281064E-3</v>
      </c>
      <c r="J76" s="358">
        <f t="shared" si="37"/>
        <v>6.6862284681971862E-2</v>
      </c>
    </row>
    <row r="77" spans="2:21">
      <c r="B77" s="314" t="s">
        <v>19</v>
      </c>
      <c r="C77" s="359">
        <f t="shared" si="37"/>
        <v>0.40413863472452932</v>
      </c>
      <c r="D77" s="282">
        <f t="shared" si="37"/>
        <v>0.10838495666240483</v>
      </c>
      <c r="E77" s="282">
        <f t="shared" si="37"/>
        <v>4.139376221635678E-2</v>
      </c>
      <c r="F77" s="282">
        <f t="shared" si="37"/>
        <v>9.1993724830435511E-2</v>
      </c>
      <c r="G77" s="282">
        <f t="shared" si="37"/>
        <v>1.5785597339276584E-2</v>
      </c>
      <c r="H77" s="282">
        <f t="shared" si="37"/>
        <v>6.4328675925635816E-3</v>
      </c>
      <c r="I77" s="360">
        <f t="shared" si="37"/>
        <v>2.5731470370254327E-2</v>
      </c>
      <c r="J77" s="360">
        <f t="shared" si="37"/>
        <v>0.33187045663443338</v>
      </c>
    </row>
    <row r="78" spans="2:21">
      <c r="B78" s="314" t="s">
        <v>330</v>
      </c>
      <c r="C78" s="359">
        <f t="shared" si="37"/>
        <v>9.1247164902777636E-2</v>
      </c>
      <c r="D78" s="282">
        <f t="shared" si="37"/>
        <v>0.31080088555804264</v>
      </c>
      <c r="E78" s="282">
        <f t="shared" si="37"/>
        <v>6.4375749828577966E-2</v>
      </c>
      <c r="F78" s="282">
        <f t="shared" si="37"/>
        <v>7.3351624489763984E-2</v>
      </c>
      <c r="G78" s="282">
        <f t="shared" si="37"/>
        <v>2.003178143741953E-2</v>
      </c>
      <c r="H78" s="282">
        <f t="shared" si="37"/>
        <v>1.5302005136525599E-2</v>
      </c>
      <c r="I78" s="282">
        <f t="shared" si="37"/>
        <v>0.42845614382271668</v>
      </c>
      <c r="J78" s="360">
        <f t="shared" si="37"/>
        <v>0.11885068591638065</v>
      </c>
    </row>
    <row r="79" spans="2:21">
      <c r="B79" s="314" t="s">
        <v>362</v>
      </c>
      <c r="C79" s="359">
        <f t="shared" si="37"/>
        <v>0.18362640877728367</v>
      </c>
      <c r="D79" s="282">
        <f t="shared" si="37"/>
        <v>2.8456905779299292E-6</v>
      </c>
      <c r="E79" s="282">
        <f t="shared" si="37"/>
        <v>1.3100323193105658E-5</v>
      </c>
      <c r="F79" s="282">
        <f t="shared" si="37"/>
        <v>2.8456905779299292E-6</v>
      </c>
      <c r="G79" s="282">
        <f t="shared" si="37"/>
        <v>5.1794360478230751E-2</v>
      </c>
      <c r="H79" s="282">
        <f t="shared" si="37"/>
        <v>0.50027326227170354</v>
      </c>
      <c r="I79" s="282">
        <f t="shared" si="37"/>
        <v>5.6913811558598572E-7</v>
      </c>
      <c r="J79" s="360">
        <f t="shared" si="37"/>
        <v>0.30223842605947882</v>
      </c>
      <c r="K79" t="s">
        <v>566</v>
      </c>
      <c r="O79" s="6"/>
      <c r="Q79" s="6"/>
      <c r="T79" s="2"/>
      <c r="U79" s="219"/>
    </row>
    <row r="80" spans="2:21">
      <c r="B80" s="315" t="s">
        <v>27</v>
      </c>
      <c r="C80" s="361">
        <f t="shared" si="37"/>
        <v>0.19302045152542507</v>
      </c>
      <c r="D80" s="362">
        <f t="shared" si="37"/>
        <v>0.26926835346483913</v>
      </c>
      <c r="E80" s="362">
        <f t="shared" si="37"/>
        <v>0.162571122193686</v>
      </c>
      <c r="F80" s="362">
        <f t="shared" si="37"/>
        <v>9.6714091052705592E-2</v>
      </c>
      <c r="G80" s="362">
        <f t="shared" si="37"/>
        <v>3.3461121888769242E-2</v>
      </c>
      <c r="H80" s="362">
        <f t="shared" si="37"/>
        <v>2.6600989083925143E-2</v>
      </c>
      <c r="I80" s="362">
        <f t="shared" si="37"/>
        <v>0.10640395633570057</v>
      </c>
      <c r="J80" s="364">
        <f t="shared" si="37"/>
        <v>0.21836387079064984</v>
      </c>
      <c r="K80" s="355">
        <f>SUM(C76:J80)-5</f>
        <v>0.30031541869644762</v>
      </c>
      <c r="O80" s="6"/>
      <c r="Q80" s="6"/>
      <c r="T80" s="2"/>
      <c r="U80" s="219"/>
    </row>
    <row r="81" spans="2:14">
      <c r="B81" s="334"/>
      <c r="C81" s="338"/>
    </row>
    <row r="82" spans="2:14">
      <c r="B82" s="1" t="s">
        <v>715</v>
      </c>
    </row>
    <row r="83" spans="2:14" ht="29.5">
      <c r="B83" s="313" t="s">
        <v>699</v>
      </c>
      <c r="C83" s="312" t="s">
        <v>3</v>
      </c>
      <c r="D83" s="310" t="s">
        <v>4</v>
      </c>
      <c r="E83" s="332" t="s">
        <v>716</v>
      </c>
      <c r="F83" s="310" t="s">
        <v>88</v>
      </c>
      <c r="G83" s="310" t="s">
        <v>717</v>
      </c>
      <c r="H83" s="310" t="s">
        <v>718</v>
      </c>
      <c r="I83" s="333" t="s">
        <v>719</v>
      </c>
      <c r="J83" s="317" t="s">
        <v>27</v>
      </c>
      <c r="K83" s="317" t="s">
        <v>700</v>
      </c>
      <c r="L83" s="240" t="s">
        <v>566</v>
      </c>
    </row>
    <row r="84" spans="2:14">
      <c r="B84" s="314" t="s">
        <v>689</v>
      </c>
      <c r="C84" s="222">
        <f>(SUMPRODUCT($C$57:$I$57,$C39:$I39)/SUMPRODUCT($C$57:$I$57,$C12:$I12))/(SUM($C39:$I39)/SUM($C12:$I12))</f>
        <v>0.80181125329177827</v>
      </c>
      <c r="D84" s="222">
        <f>(SUMPRODUCT($C$58:$I$58,$C39:$I39)/SUMPRODUCT($C$58:$I$58,$C12:$I12))/(SUM($C39:$I39)/SUM($C12:$I12))</f>
        <v>0.19390726583347798</v>
      </c>
      <c r="E84" s="222">
        <f>IFERROR((SUMPRODUCT($C$59:$I$59,$C39:$I39)/SUMPRODUCT($C$59:$I$59,$C12:$I12))/(SUM($C39:$I39)/SUM($C12:$I12)),0)</f>
        <v>2.1299951412539223E-4</v>
      </c>
      <c r="F84" s="222">
        <f>IFERROR((SUMPRODUCT($C$60:$I$60,$C39:$I39)/SUMPRODUCT($C$60:$I$60,$C12:$I12))/(SUM($C39:$I39)/SUM($C12:$I12)),0)</f>
        <v>0.76941515427683893</v>
      </c>
      <c r="G84" s="222">
        <f>IFERROR((SUMPRODUCT($C$61:$I$61,$C39:$I39)/SUMPRODUCT($C$61:$I$61,$C12:$I12))/(SUM($C39:$I39)/SUM($C12:$I12)),0)</f>
        <v>2.738932955268802</v>
      </c>
      <c r="H84" s="222">
        <f>IFERROR((SUMPRODUCT($C$62:$I$62,$C39:$I39)/SUMPRODUCT($C$62:$I$62,$C12:$I12))/(SUM($C39:$I39)/SUM($C12:$I12)),0)</f>
        <v>6.2701898798907978</v>
      </c>
      <c r="I84" s="222">
        <f>IFERROR((SUMPRODUCT($C$63:$I$63,$C39:$I39)/SUMPRODUCT($C$63:$I$63,$C12:$I12))/(SUM($C39:$I39)/SUM($C12:$I12)),0)</f>
        <v>0</v>
      </c>
      <c r="J84" s="222">
        <f>IFERROR((SUMPRODUCT($C$64:$I$64,$C39:$I39)/SUMPRODUCT($C$64:$I$64,$C12:$I12))/(SUM($C39:$I39)/SUM($C12:$I12)),0)</f>
        <v>2.6162530626975293</v>
      </c>
      <c r="K84" s="324">
        <f>J30*(SUMPRODUCT($C$57:$I$57,C12:I12)*C84+SUMPRODUCT($C$58:$I$58,C12:I12)*D84+SUMPRODUCT($C$59:$I$59,C12:I12)*E84+SUMPRODUCT($C$60:$I$60,C12:I12)*F84+SUMPRODUCT($C$64:$I$64,C12:I12)*J84)/J12</f>
        <v>0.16215597983961055</v>
      </c>
      <c r="L84" s="219">
        <f>K84-J30</f>
        <v>-7.7844020160389438E-2</v>
      </c>
    </row>
    <row r="85" spans="2:14">
      <c r="B85" s="314" t="s">
        <v>19</v>
      </c>
      <c r="C85" s="222">
        <f>(SUMPRODUCT($C$57:$I$57,$C40:$I40)/SUMPRODUCT($C$57:$I$57,$C13:$I13))/(SUM($C40:$I40)/SUM($C13:$I13))</f>
        <v>1.1085304930209596</v>
      </c>
      <c r="D85" s="222">
        <f>(SUMPRODUCT($C$58:$I$58,$C40:$I40)/SUMPRODUCT($C$58:$I$58,$C13:$I13))/(SUM($C40:$I40)/SUM($C13:$I13))</f>
        <v>0</v>
      </c>
      <c r="E85" s="222">
        <f>IFERROR((SUMPRODUCT($C$59:$I$59,$C40:$I40)/SUMPRODUCT($C$59:$I$59,$C13:$I13))/(SUM($C40:$I40)/SUM($C13:$I13)),0)</f>
        <v>0</v>
      </c>
      <c r="F85" s="222">
        <f>IFERROR((SUMPRODUCT($C$60:$I$60,$C40:$I40)/SUMPRODUCT($C$60:$I$60,$C13:$I13))/(SUM($C40:$I40)/SUM($C13:$I13)),0)</f>
        <v>0</v>
      </c>
      <c r="G85" s="222">
        <f>IFERROR((SUMPRODUCT($C$61:$I$61,$C40:$I40)/SUMPRODUCT($C$61:$I$61,$C13:$I13))/(SUM($C40:$I40)/SUM($C13:$I13)),0)</f>
        <v>0</v>
      </c>
      <c r="H85" s="222">
        <f>IFERROR((SUMPRODUCT($C$62:$I$62,$C40:$I40)/SUMPRODUCT($C$62:$I$62,$C13:$I13))/(SUM($C40:$I40)/SUM($C13:$I13)),0)</f>
        <v>0</v>
      </c>
      <c r="I85" s="222">
        <f>IFERROR((SUMPRODUCT($C$63:$I$63,$C40:$I40)/SUMPRODUCT($C$63:$I$63,$C13:$I13))/(SUM($C40:$I40)/SUM($C13:$I13)),0)</f>
        <v>0</v>
      </c>
      <c r="J85" s="222">
        <f>IFERROR((SUMPRODUCT($C$64:$I$64,$C40:$I40)/SUMPRODUCT($C$64:$I$64,$C13:$I13))/(SUM($C40:$I40)/SUM($C13:$I13)),0)</f>
        <v>1.6632996067138539</v>
      </c>
      <c r="K85" s="324">
        <f>J31*(SUMPRODUCT($C$57:$I$57,C13:I13)*C85+SUMPRODUCT($C$58:$I$58,C13:I13)*D85+SUMPRODUCT($C$59:$I$59,C13:I13)*E85+SUMPRODUCT($C$60:$I$60,C13:I13)*F85+SUMPRODUCT($C$64:$I$64,C13:I13)*J85)/J13</f>
        <v>4.0000000000000008E-2</v>
      </c>
      <c r="L85" s="219">
        <f>K85-J31</f>
        <v>0</v>
      </c>
    </row>
    <row r="86" spans="2:14">
      <c r="B86" s="314" t="s">
        <v>330</v>
      </c>
      <c r="C86" s="222">
        <f>(SUMPRODUCT($C$57:$I$57,$C41:$I41)/SUMPRODUCT($C$57:$I$57,$C14:$I14))/(SUM($C41:$I41)/SUM($C14:$I14))</f>
        <v>1.3222920538803327</v>
      </c>
      <c r="D86" s="222">
        <f>(SUMPRODUCT($C$58:$I$58,$C41:$I41)/SUMPRODUCT($C$58:$I$58,$C14:$I14))/(SUM($C41:$I41)/SUM($C14:$I14))</f>
        <v>1.9771245469600667</v>
      </c>
      <c r="E86" s="222">
        <f>IFERROR((SUMPRODUCT($C$59:$I$59,$C41:$I41)/SUMPRODUCT($C$59:$I$59,$C14:$I14))/(SUM($C41:$I41)/SUM($C14:$I14)),0)</f>
        <v>0.24090994458682721</v>
      </c>
      <c r="F86" s="222">
        <f>IFERROR((SUMPRODUCT($C$60:$I$60,$C41:$I41)/SUMPRODUCT($C$60:$I$60,$C14:$I14))/(SUM($C41:$I41)/SUM($C14:$I14)),0)</f>
        <v>0.76405438577342377</v>
      </c>
      <c r="G86" s="222">
        <f>IFERROR((SUMPRODUCT($C$61:$I$61,$C41:$I41)/SUMPRODUCT($C$61:$I$61,$C14:$I14))/(SUM($C41:$I41)/SUM($C14:$I14)),0)</f>
        <v>0.30017481933391094</v>
      </c>
      <c r="H86" s="222">
        <f>IFERROR((SUMPRODUCT($C$62:$I$62,$C41:$I41)/SUMPRODUCT($C$62:$I$62,$C14:$I14))/(SUM($C41:$I41)/SUM($C14:$I14)),0)</f>
        <v>0.24506592218093173</v>
      </c>
      <c r="I86" s="222">
        <f>IFERROR((SUMPRODUCT($C$63:$I$63,$C41:$I41)/SUMPRODUCT($C$63:$I$63,$C14:$I14))/(SUM($C41:$I41)/SUM($C14:$I14)),0)</f>
        <v>0.24506592218093173</v>
      </c>
      <c r="J86" s="222">
        <f>IFERROR((SUMPRODUCT($C$64:$I$64,$C41:$I41)/SUMPRODUCT($C$64:$I$64,$C14:$I14))/(SUM($C41:$I41)/SUM($C14:$I14)),0)</f>
        <v>0.21231196770781194</v>
      </c>
      <c r="K86" s="324">
        <f>J32*(SUMPRODUCT($C$57:$I$57,C14:I14)*C86+SUMPRODUCT($C$58:$I$58,C14:I14)*D86+SUMPRODUCT($C$59:$I$59,C14:I14)*E86+SUMPRODUCT($C$60:$I$60,C14:I14)*F86+SUMPRODUCT($C$64:$I$64,C14:I14)*J86)/J14</f>
        <v>0.14728405304981745</v>
      </c>
      <c r="L86" s="219">
        <f>K86-J32</f>
        <v>-2.7159469501825406E-3</v>
      </c>
    </row>
    <row r="87" spans="2:14">
      <c r="B87" s="314" t="s">
        <v>362</v>
      </c>
      <c r="C87" s="222">
        <f>IFERROR(SUMPRODUCT(($C$57:$I$57,$C42:$I42)/SUMPRODUCT($C$57:$I$57,$C15:$I15))/(SUM($C42:$I42)/SUM($C15:$I15)),1)</f>
        <v>1</v>
      </c>
      <c r="D87" s="222">
        <f>IFERROR(SUMPRODUCT(($C$57:$I$57,$C42:$I42)/SUMPRODUCT($C$57:$I$57,$C15:$I15))/(SUM($C42:$I42)/SUM($C15:$I15)),1)</f>
        <v>1</v>
      </c>
      <c r="E87" s="222">
        <f>IFERROR(SUMPRODUCT(($C$57:$I$57,$C42:$I42)/SUMPRODUCT($C$57:$I$57,$C15:$I15))/(SUM($C42:$I42)/SUM($C15:$I15)),1)</f>
        <v>1</v>
      </c>
      <c r="F87" s="222">
        <f>IFERROR(SUMPRODUCT(($C$57:$I$57,$C42:$I42)/SUMPRODUCT($C$57:$I$57,$C15:$I15))/(SUM($C42:$I42)/SUM($C15:$I15)),1)</f>
        <v>1</v>
      </c>
      <c r="G87" s="222">
        <f>IFERROR(SUMPRODUCT(($C$57:$I$57,$C42:$I42)/SUMPRODUCT($C$57:$I$57,$C15:$I15))/(SUM($C42:$I42)/SUM($C15:$I15)),1)</f>
        <v>1</v>
      </c>
      <c r="H87" s="222">
        <f>IFERROR(SUMPRODUCT(($C$57:$I$57,$C42:$I42)/SUMPRODUCT($C$57:$I$57,$C15:$I15))/(SUM($C42:$I42)/SUM($C15:$I15)),1)</f>
        <v>1</v>
      </c>
      <c r="I87" s="222">
        <f>IFERROR(SUMPRODUCT(($C$57:$I$57,$C42:$I42)/SUMPRODUCT($C$57:$I$57,$C15:$I15))/(SUM($C42:$I42)/SUM($C15:$I15)),1)</f>
        <v>1</v>
      </c>
      <c r="J87" s="222">
        <f>IFERROR(SUMPRODUCT(($C$57:$I$57,$C42:$I42)/SUMPRODUCT($C$57:$I$57,$C15:$I15))/(SUM($C42:$I42)/SUM($C15:$I15)),1)</f>
        <v>1</v>
      </c>
      <c r="K87" s="324">
        <f>J33*(SUMPRODUCT($C$57:$I$57,C15:I15)*C87+SUMPRODUCT($C$58:$I$58,C15:I15)*D87+SUMPRODUCT($C$59:$I$59,C15:I15)*E87+SUMPRODUCT($C$60:$I$60,C15:I15)*F87+SUMPRODUCT($C$64:$I$64,C15:I15)*J87)/J15</f>
        <v>0</v>
      </c>
      <c r="L87" s="219">
        <f>K87-J33</f>
        <v>0</v>
      </c>
    </row>
    <row r="88" spans="2:14">
      <c r="B88" s="314" t="s">
        <v>27</v>
      </c>
      <c r="C88" s="222">
        <f>(SUMPRODUCT($C$57:$I$57,$C43:$I43)/SUMPRODUCT($C$57:$I$57,$C16:$I16))/(SUM($C43:$I43)/SUM($C16:$I16))</f>
        <v>1</v>
      </c>
      <c r="D88" s="222">
        <f>(SUMPRODUCT($C$58:$I$58,$C43:$I43)/SUMPRODUCT($C$58:$I$58,$C16:$I16))/(SUM($C43:$I43)/SUM($C16:$I16))</f>
        <v>1</v>
      </c>
      <c r="E88" s="222">
        <f>IFERROR((SUMPRODUCT($C$59:$I$59,$C43:$I43)/SUMPRODUCT($C$59:$I$59,$C16:$I16))/(SUM($C43:$I43)/SUM($C16:$I16)),0)</f>
        <v>1</v>
      </c>
      <c r="F88" s="222">
        <f>IFERROR((SUMPRODUCT($C$60:$I$60,$C43:$I43)/SUMPRODUCT($C$60:$I$60,$C16:$I16))/(SUM($C43:$I43)/SUM($C16:$I16)),0)</f>
        <v>0.99999999999999978</v>
      </c>
      <c r="G88" s="222">
        <f>IFERROR((SUMPRODUCT($C$61:$I$61,$C43:$I43)/SUMPRODUCT($C$61:$I$61,$C16:$I16))/(SUM($C43:$I43)/SUM($C16:$I16)),0)</f>
        <v>1</v>
      </c>
      <c r="H88" s="222">
        <f>IFERROR((SUMPRODUCT($C$62:$I$62,$C43:$I43)/SUMPRODUCT($C$62:$I$62,$C16:$I16))/(SUM($C43:$I43)/SUM($C16:$I16)),0)</f>
        <v>1</v>
      </c>
      <c r="I88" s="222">
        <f>IFERROR((SUMPRODUCT($C$63:$I$63,$C43:$I43)/SUMPRODUCT($C$63:$I$63,$C16:$I16))/(SUM($C43:$I43)/SUM($C16:$I16)),0)</f>
        <v>1</v>
      </c>
      <c r="J88" s="222">
        <f>IFERROR((SUMPRODUCT($C$64:$I$64,$C43:$I43)/SUMPRODUCT($C$64:$I$64,$C16:$I16))/(SUM($C43:$I43)/SUM($C16:$I16)),0)</f>
        <v>1</v>
      </c>
      <c r="K88" s="324">
        <f>J34*(SUMPRODUCT($C$57:$I$57,C16:I16)*C88+SUMPRODUCT($C$58:$I$58,C16:I16)*D88+SUMPRODUCT($C$59:$I$59,C16:I16)*E88+SUMPRODUCT($C$60:$I$60,C16:I16)*F88+SUMPRODUCT($C$64:$I$64,C16:I16)*J88)/J16</f>
        <v>0.13159130446382281</v>
      </c>
      <c r="L88" s="219">
        <f>K88-J34</f>
        <v>-8.4086955361772076E-3</v>
      </c>
    </row>
    <row r="89" spans="2:14">
      <c r="B89" s="313"/>
      <c r="C89" s="344"/>
      <c r="D89" s="318"/>
      <c r="E89" s="318"/>
      <c r="F89" s="318"/>
      <c r="G89" s="318"/>
      <c r="H89" s="318"/>
      <c r="I89" s="318"/>
      <c r="J89" s="345"/>
      <c r="K89" s="319"/>
    </row>
    <row r="91" spans="2:14">
      <c r="B91" s="1" t="s">
        <v>725</v>
      </c>
    </row>
    <row r="92" spans="2:14">
      <c r="B92" s="313" t="s">
        <v>699</v>
      </c>
      <c r="C92" s="312" t="s">
        <v>3</v>
      </c>
      <c r="D92" s="310" t="s">
        <v>4</v>
      </c>
      <c r="E92" s="332" t="s">
        <v>716</v>
      </c>
      <c r="F92" s="310" t="s">
        <v>88</v>
      </c>
      <c r="G92" s="310" t="s">
        <v>717</v>
      </c>
      <c r="H92" s="310" t="s">
        <v>718</v>
      </c>
      <c r="I92" s="333" t="s">
        <v>719</v>
      </c>
      <c r="J92" s="317" t="s">
        <v>27</v>
      </c>
      <c r="K92" s="317"/>
      <c r="L92" s="240"/>
    </row>
    <row r="93" spans="2:14">
      <c r="B93" s="314" t="s">
        <v>689</v>
      </c>
      <c r="C93" s="222" cm="1">
        <f t="array" ref="C93">_xlfn.IFS(C84=0,$N$93,C84&lt;=0.5,$N$94,AND(C84&lt;=0.9,C84&gt;0.5),$N$95,AND(C84&lt;=1.1,C84&gt;0.9),$N$96,C84&gt;1.1,$N$97)</f>
        <v>0.9</v>
      </c>
      <c r="D93" s="222" cm="1">
        <f t="array" ref="D93">_xlfn.IFS(D84=0,$N$93,D84&lt;=0.5,$N$94,AND(D84&lt;=0.9,D84&gt;0.5),$N$95,AND(D84&lt;=1.1,D84&gt;0.9),$N$96,D84&gt;1.1,$N$97)</f>
        <v>0.8</v>
      </c>
      <c r="E93" s="222" cm="1">
        <f t="array" ref="E93">_xlfn.IFS(E84=0,$N$93,E84&lt;=0.5,$N$94,AND(E84&lt;=0.9,E84&gt;0.5),$N$95,AND(E84&lt;=1.1,E84&gt;0.9),$N$96,E84&gt;1.1,$N$97)</f>
        <v>0.8</v>
      </c>
      <c r="F93" s="222" cm="1">
        <f t="array" ref="F93">_xlfn.IFS(F84=0,$N$93,F84&lt;=0.5,$N$94,AND(F84&lt;=0.9,F84&gt;0.5),$N$95,AND(F84&lt;=1.1,F84&gt;0.9),$N$96,F84&gt;1.1,$N$97)</f>
        <v>0.9</v>
      </c>
      <c r="G93" s="222" cm="1">
        <f t="array" ref="G93">_xlfn.IFS(G84=0,$N$93,G84&lt;=0.5,$N$94,AND(G84&lt;=0.9,G84&gt;0.5),$N$95,AND(G84&lt;=1.1,G84&gt;0.9),$N$96,G84&gt;1.1,$N$97)</f>
        <v>1.1000000000000001</v>
      </c>
      <c r="H93" s="222" cm="1">
        <f t="array" ref="H93">_xlfn.IFS(H84=0,$N$93,H84&lt;=0.5,$N$94,AND(H84&lt;=0.9,H84&gt;0.5),$N$95,AND(H84&lt;=1.1,H84&gt;0.9),$N$96,H84&gt;1.1,$N$97)</f>
        <v>1.1000000000000001</v>
      </c>
      <c r="I93" s="222" cm="1">
        <f t="array" ref="I93">_xlfn.IFS(I84=0,$N$93,I84&lt;=0.5,$N$94,AND(I84&lt;=0.9,I84&gt;0.5),$N$95,AND(I84&lt;=1.1,I84&gt;0.9),$N$96,I84&gt;1.1,$N$97)</f>
        <v>0.8</v>
      </c>
      <c r="J93" s="222" cm="1">
        <f t="array" ref="J93">_xlfn.IFS(J84=0,$N$93,J84&lt;=0.5,$N$94,AND(J84&lt;=0.9,J84&gt;0.5),$N$95,AND(J84&lt;=1.1,J84&gt;0.9),$N$96,J84&gt;1.1,$N$97)</f>
        <v>1.1000000000000001</v>
      </c>
      <c r="K93" s="324"/>
      <c r="L93" s="219"/>
      <c r="M93" t="s">
        <v>726</v>
      </c>
      <c r="N93">
        <v>0.8</v>
      </c>
    </row>
    <row r="94" spans="2:14">
      <c r="B94" s="314" t="s">
        <v>19</v>
      </c>
      <c r="C94" s="222" cm="1">
        <f t="array" ref="C94">_xlfn.IFS(C85=0,$N$93,C85&lt;=0.5,$N$94,AND(C85&lt;=0.9,C85&gt;0.5),$N$95,AND(C85&lt;=1.1,C85&gt;0.9),$N$96,C85&gt;1.1,$N$97)</f>
        <v>1.1000000000000001</v>
      </c>
      <c r="D94" s="222" cm="1">
        <f t="array" ref="D94">_xlfn.IFS(D85=0,$N$93,D85&lt;=0.5,$N$94,AND(D85&lt;=0.9,D85&gt;0.5),$N$95,AND(D85&lt;=1.1,D85&gt;0.9),$N$96,D85&gt;1.1,$N$97)</f>
        <v>0.8</v>
      </c>
      <c r="E94" s="222" cm="1">
        <f t="array" ref="E94">_xlfn.IFS(E85=0,$N$93,E85&lt;=0.5,$N$94,AND(E85&lt;=0.9,E85&gt;0.5),$N$95,AND(E85&lt;=1.1,E85&gt;0.9),$N$96,E85&gt;1.1,$N$97)</f>
        <v>0.8</v>
      </c>
      <c r="F94" s="222" cm="1">
        <f t="array" ref="F94">_xlfn.IFS(F85=0,$N$93,F85&lt;=0.5,$N$94,AND(F85&lt;=0.9,F85&gt;0.5),$N$95,AND(F85&lt;=1.1,F85&gt;0.9),$N$96,F85&gt;1.1,$N$97)</f>
        <v>0.8</v>
      </c>
      <c r="G94" s="222" cm="1">
        <f t="array" ref="G94">_xlfn.IFS(G85=0,$N$93,G85&lt;=0.5,$N$94,AND(G85&lt;=0.9,G85&gt;0.5),$N$95,AND(G85&lt;=1.1,G85&gt;0.9),$N$96,G85&gt;1.1,$N$97)</f>
        <v>0.8</v>
      </c>
      <c r="H94" s="222" cm="1">
        <f t="array" ref="H94">_xlfn.IFS(H85=0,$N$93,H85&lt;=0.5,$N$94,AND(H85&lt;=0.9,H85&gt;0.5),$N$95,AND(H85&lt;=1.1,H85&gt;0.9),$N$96,H85&gt;1.1,$N$97)</f>
        <v>0.8</v>
      </c>
      <c r="I94" s="222" cm="1">
        <f t="array" ref="I94">_xlfn.IFS(I85=0,$N$93,I85&lt;=0.5,$N$94,AND(I85&lt;=0.9,I85&gt;0.5),$N$95,AND(I85&lt;=1.1,I85&gt;0.9),$N$96,I85&gt;1.1,$N$97)</f>
        <v>0.8</v>
      </c>
      <c r="J94" s="222" cm="1">
        <f t="array" ref="J94">_xlfn.IFS(J85=0,$N$93,J85&lt;=0.5,$N$94,AND(J85&lt;=0.9,J85&gt;0.5),$N$95,AND(J85&lt;=1.1,J85&gt;0.9),$N$96,J85&gt;1.1,$N$97)</f>
        <v>1.1000000000000001</v>
      </c>
      <c r="K94" s="324"/>
      <c r="L94" s="219"/>
      <c r="M94" t="s">
        <v>727</v>
      </c>
      <c r="N94">
        <v>0.8</v>
      </c>
    </row>
    <row r="95" spans="2:14">
      <c r="B95" s="314" t="s">
        <v>330</v>
      </c>
      <c r="C95" s="222" cm="1">
        <f t="array" ref="C95">_xlfn.IFS(C86=0,$N$93,C86&lt;=0.5,$N$94,AND(C86&lt;=0.9,C86&gt;0.5),$N$95,AND(C86&lt;=1.1,C86&gt;0.9),$N$96,C86&gt;1.1,$N$97)</f>
        <v>1.1000000000000001</v>
      </c>
      <c r="D95" s="222" cm="1">
        <f t="array" ref="D95">_xlfn.IFS(D86=0,$N$93,D86&lt;=0.5,$N$94,AND(D86&lt;=0.9,D86&gt;0.5),$N$95,AND(D86&lt;=1.1,D86&gt;0.9),$N$96,D86&gt;1.1,$N$97)</f>
        <v>1.1000000000000001</v>
      </c>
      <c r="E95" s="222" cm="1">
        <f t="array" ref="E95">_xlfn.IFS(E86=0,$N$93,E86&lt;=0.5,$N$94,AND(E86&lt;=0.9,E86&gt;0.5),$N$95,AND(E86&lt;=1.1,E86&gt;0.9),$N$96,E86&gt;1.1,$N$97)</f>
        <v>0.8</v>
      </c>
      <c r="F95" s="222" cm="1">
        <f t="array" ref="F95">_xlfn.IFS(F86=0,$N$93,F86&lt;=0.5,$N$94,AND(F86&lt;=0.9,F86&gt;0.5),$N$95,AND(F86&lt;=1.1,F86&gt;0.9),$N$96,F86&gt;1.1,$N$97)</f>
        <v>0.9</v>
      </c>
      <c r="G95" s="222" cm="1">
        <f t="array" ref="G95">_xlfn.IFS(G86=0,$N$93,G86&lt;=0.5,$N$94,AND(G86&lt;=0.9,G86&gt;0.5),$N$95,AND(G86&lt;=1.1,G86&gt;0.9),$N$96,G86&gt;1.1,$N$97)</f>
        <v>0.8</v>
      </c>
      <c r="H95" s="222" cm="1">
        <f t="array" ref="H95">_xlfn.IFS(H86=0,$N$93,H86&lt;=0.5,$N$94,AND(H86&lt;=0.9,H86&gt;0.5),$N$95,AND(H86&lt;=1.1,H86&gt;0.9),$N$96,H86&gt;1.1,$N$97)</f>
        <v>0.8</v>
      </c>
      <c r="I95" s="222" cm="1">
        <f t="array" ref="I95">_xlfn.IFS(I86=0,$N$93,I86&lt;=0.5,$N$94,AND(I86&lt;=0.9,I86&gt;0.5),$N$95,AND(I86&lt;=1.1,I86&gt;0.9),$N$96,I86&gt;1.1,$N$97)</f>
        <v>0.8</v>
      </c>
      <c r="J95" s="222" cm="1">
        <f t="array" ref="J95">_xlfn.IFS(J86=0,$N$93,J86&lt;=0.5,$N$94,AND(J86&lt;=0.9,J86&gt;0.5),$N$95,AND(J86&lt;=1.1,J86&gt;0.9),$N$96,J86&gt;1.1,$N$97)</f>
        <v>0.8</v>
      </c>
      <c r="K95" s="324"/>
      <c r="L95" s="219"/>
      <c r="M95" t="s">
        <v>728</v>
      </c>
      <c r="N95">
        <v>0.9</v>
      </c>
    </row>
    <row r="96" spans="2:14">
      <c r="B96" s="314" t="s">
        <v>362</v>
      </c>
      <c r="C96" s="222" cm="1">
        <f t="array" ref="C96">_xlfn.IFS(C87=0,$N$93,C87&lt;=0.5,$N$94,AND(C87&lt;=0.9,C87&gt;0.5),$N$95,AND(C87&lt;=1.1,C87&gt;0.9),$N$96,C87&gt;1.1,$N$97)</f>
        <v>1</v>
      </c>
      <c r="D96" s="222" cm="1">
        <f t="array" ref="D96">_xlfn.IFS(D87=0,$N$93,D87&lt;=0.5,$N$94,AND(D87&lt;=0.9,D87&gt;0.5),$N$95,AND(D87&lt;=1.1,D87&gt;0.9),$N$96,D87&gt;1.1,$N$97)</f>
        <v>1</v>
      </c>
      <c r="E96" s="222" cm="1">
        <f t="array" ref="E96">_xlfn.IFS(E87=0,$N$93,E87&lt;=0.5,$N$94,AND(E87&lt;=0.9,E87&gt;0.5),$N$95,AND(E87&lt;=1.1,E87&gt;0.9),$N$96,E87&gt;1.1,$N$97)</f>
        <v>1</v>
      </c>
      <c r="F96" s="222" cm="1">
        <f t="array" ref="F96">_xlfn.IFS(F87=0,$N$93,F87&lt;=0.5,$N$94,AND(F87&lt;=0.9,F87&gt;0.5),$N$95,AND(F87&lt;=1.1,F87&gt;0.9),$N$96,F87&gt;1.1,$N$97)</f>
        <v>1</v>
      </c>
      <c r="G96" s="222" cm="1">
        <f t="array" ref="G96">_xlfn.IFS(G87=0,$N$93,G87&lt;=0.5,$N$94,AND(G87&lt;=0.9,G87&gt;0.5),$N$95,AND(G87&lt;=1.1,G87&gt;0.9),$N$96,G87&gt;1.1,$N$97)</f>
        <v>1</v>
      </c>
      <c r="H96" s="222" cm="1">
        <f t="array" ref="H96">_xlfn.IFS(H87=0,$N$93,H87&lt;=0.5,$N$94,AND(H87&lt;=0.9,H87&gt;0.5),$N$95,AND(H87&lt;=1.1,H87&gt;0.9),$N$96,H87&gt;1.1,$N$97)</f>
        <v>1</v>
      </c>
      <c r="I96" s="222" cm="1">
        <f t="array" ref="I96">_xlfn.IFS(I87=0,$N$93,I87&lt;=0.5,$N$94,AND(I87&lt;=0.9,I87&gt;0.5),$N$95,AND(I87&lt;=1.1,I87&gt;0.9),$N$96,I87&gt;1.1,$N$97)</f>
        <v>1</v>
      </c>
      <c r="J96" s="222" cm="1">
        <f t="array" ref="J96">_xlfn.IFS(J87=0,$N$93,J87&lt;=0.5,$N$94,AND(J87&lt;=0.9,J87&gt;0.5),$N$95,AND(J87&lt;=1.1,J87&gt;0.9),$N$96,J87&gt;1.1,$N$97)</f>
        <v>1</v>
      </c>
      <c r="K96" s="324"/>
      <c r="L96" s="219"/>
      <c r="M96" t="s">
        <v>729</v>
      </c>
      <c r="N96">
        <v>1</v>
      </c>
    </row>
    <row r="97" spans="2:14">
      <c r="B97" s="314" t="s">
        <v>27</v>
      </c>
      <c r="C97" s="222" cm="1">
        <f t="array" ref="C97">_xlfn.IFS(C88=0,$N$93,C88&lt;=0.5,$N$94,AND(C88&lt;=0.9,C88&gt;0.5),$N$95,AND(C88&lt;=1.1,C88&gt;0.9),$N$96,C88&gt;1.1,$N$97)</f>
        <v>1</v>
      </c>
      <c r="D97" s="222" cm="1">
        <f t="array" ref="D97">_xlfn.IFS(D88=0,$N$93,D88&lt;=0.5,$N$94,AND(D88&lt;=0.9,D88&gt;0.5),$N$95,AND(D88&lt;=1.1,D88&gt;0.9),$N$96,D88&gt;1.1,$N$97)</f>
        <v>1</v>
      </c>
      <c r="E97" s="222" cm="1">
        <f t="array" ref="E97">_xlfn.IFS(E88=0,$N$93,E88&lt;=0.5,$N$94,AND(E88&lt;=0.9,E88&gt;0.5),$N$95,AND(E88&lt;=1.1,E88&gt;0.9),$N$96,E88&gt;1.1,$N$97)</f>
        <v>1</v>
      </c>
      <c r="F97" s="222" cm="1">
        <f t="array" ref="F97">_xlfn.IFS(F88=0,$N$93,F88&lt;=0.5,$N$94,AND(F88&lt;=0.9,F88&gt;0.5),$N$95,AND(F88&lt;=1.1,F88&gt;0.9),$N$96,F88&gt;1.1,$N$97)</f>
        <v>1</v>
      </c>
      <c r="G97" s="222" cm="1">
        <f t="array" ref="G97">_xlfn.IFS(G88=0,$N$93,G88&lt;=0.5,$N$94,AND(G88&lt;=0.9,G88&gt;0.5),$N$95,AND(G88&lt;=1.1,G88&gt;0.9),$N$96,G88&gt;1.1,$N$97)</f>
        <v>1</v>
      </c>
      <c r="H97" s="222" cm="1">
        <f t="array" ref="H97">_xlfn.IFS(H88=0,$N$93,H88&lt;=0.5,$N$94,AND(H88&lt;=0.9,H88&gt;0.5),$N$95,AND(H88&lt;=1.1,H88&gt;0.9),$N$96,H88&gt;1.1,$N$97)</f>
        <v>1</v>
      </c>
      <c r="I97" s="222" cm="1">
        <f t="array" ref="I97">_xlfn.IFS(I88=0,$N$93,I88&lt;=0.5,$N$94,AND(I88&lt;=0.9,I88&gt;0.5),$N$95,AND(I88&lt;=1.1,I88&gt;0.9),$N$96,I88&gt;1.1,$N$97)</f>
        <v>1</v>
      </c>
      <c r="J97" s="222" cm="1">
        <f t="array" ref="J97">_xlfn.IFS(J88=0,$N$93,J88&lt;=0.5,$N$94,AND(J88&lt;=0.9,J88&gt;0.5),$N$95,AND(J88&lt;=1.1,J88&gt;0.9),$N$96,J88&gt;1.1,$N$97)</f>
        <v>1</v>
      </c>
      <c r="K97" s="324"/>
      <c r="L97" s="219"/>
      <c r="M97" t="s">
        <v>730</v>
      </c>
      <c r="N97">
        <v>1.1000000000000001</v>
      </c>
    </row>
    <row r="98" spans="2:14">
      <c r="B98" s="313"/>
      <c r="C98" s="344"/>
      <c r="D98" s="318"/>
      <c r="E98" s="318"/>
      <c r="F98" s="318"/>
      <c r="G98" s="318"/>
      <c r="H98" s="318"/>
      <c r="I98" s="318"/>
      <c r="J98" s="345"/>
      <c r="K98" s="319"/>
    </row>
    <row r="100" spans="2:14">
      <c r="B100" s="1" t="s">
        <v>731</v>
      </c>
    </row>
    <row r="101" spans="2:14">
      <c r="B101" s="313" t="s">
        <v>700</v>
      </c>
      <c r="C101" s="312" t="s">
        <v>3</v>
      </c>
      <c r="D101" s="310" t="s">
        <v>4</v>
      </c>
      <c r="E101" s="332" t="s">
        <v>716</v>
      </c>
      <c r="F101" s="310" t="s">
        <v>88</v>
      </c>
      <c r="G101" s="310" t="s">
        <v>717</v>
      </c>
      <c r="H101" s="310" t="s">
        <v>718</v>
      </c>
      <c r="I101" s="333" t="s">
        <v>719</v>
      </c>
      <c r="J101" s="317" t="s">
        <v>27</v>
      </c>
      <c r="K101" s="317" t="s">
        <v>78</v>
      </c>
    </row>
    <row r="102" spans="2:14">
      <c r="B102" s="314" t="s">
        <v>689</v>
      </c>
      <c r="C102" s="102"/>
      <c r="D102" s="102"/>
      <c r="E102" s="102"/>
      <c r="F102" s="102"/>
      <c r="G102" s="102"/>
      <c r="H102" s="102"/>
      <c r="I102" s="102"/>
      <c r="J102" s="102"/>
      <c r="K102" s="327">
        <f>'Ethylene Recycling HC'!AG52</f>
        <v>0.65526331426056339</v>
      </c>
    </row>
    <row r="103" spans="2:14">
      <c r="B103" s="314" t="s">
        <v>19</v>
      </c>
      <c r="C103" s="102"/>
      <c r="D103" s="102"/>
      <c r="E103" s="102"/>
      <c r="F103" s="102"/>
      <c r="G103" s="102"/>
      <c r="H103" s="102"/>
      <c r="I103" s="102"/>
      <c r="J103" s="102"/>
      <c r="K103" s="327">
        <f>'Ethylene Recycling HC'!AG193</f>
        <v>0.6</v>
      </c>
    </row>
    <row r="104" spans="2:14">
      <c r="B104" s="314" t="s">
        <v>330</v>
      </c>
      <c r="C104" s="102"/>
      <c r="D104" s="102"/>
      <c r="E104" s="102"/>
      <c r="F104" s="102"/>
      <c r="G104" s="102"/>
      <c r="H104" s="102"/>
      <c r="I104" s="102"/>
      <c r="J104" s="102"/>
      <c r="K104" s="327">
        <f>'Ethylene Recycling HC'!AG104</f>
        <v>0.6</v>
      </c>
    </row>
    <row r="105" spans="2:14">
      <c r="B105" s="314" t="s">
        <v>362</v>
      </c>
      <c r="C105" s="102"/>
      <c r="D105" s="102"/>
      <c r="E105" s="102"/>
      <c r="F105" s="102"/>
      <c r="G105" s="102"/>
      <c r="H105" s="102"/>
      <c r="I105" s="102"/>
      <c r="J105" s="102"/>
      <c r="K105" s="327">
        <f>'Ethylene Recycling HC'!AG153</f>
        <v>0.6</v>
      </c>
    </row>
    <row r="106" spans="2:14">
      <c r="B106" s="314" t="s">
        <v>27</v>
      </c>
      <c r="C106" s="102"/>
      <c r="D106" s="102"/>
      <c r="E106" s="102"/>
      <c r="F106" s="102"/>
      <c r="G106" s="102"/>
      <c r="H106" s="102"/>
      <c r="I106" s="102"/>
      <c r="J106" s="102"/>
      <c r="K106" s="327">
        <f>'Ethylene Recycling HC'!AG206</f>
        <v>0.6</v>
      </c>
    </row>
    <row r="107" spans="2:14">
      <c r="B107" s="313" t="s">
        <v>78</v>
      </c>
      <c r="C107" s="326"/>
      <c r="D107" s="326"/>
      <c r="E107" s="326"/>
      <c r="F107" s="326"/>
      <c r="G107" s="326"/>
      <c r="H107" s="326"/>
      <c r="I107" s="326"/>
      <c r="J107" s="325"/>
    </row>
    <row r="109" spans="2:14">
      <c r="B109" s="1"/>
    </row>
    <row r="110" spans="2:14">
      <c r="B110" s="1"/>
      <c r="C110" s="239"/>
      <c r="D110" s="240"/>
      <c r="E110" s="241"/>
      <c r="F110" s="240"/>
      <c r="G110" s="240"/>
      <c r="H110" s="240"/>
      <c r="I110" s="242"/>
      <c r="J110" s="240"/>
      <c r="K110" s="240"/>
    </row>
    <row r="111" spans="2:14">
      <c r="B111" s="1"/>
      <c r="C111" s="267"/>
      <c r="D111" s="267"/>
      <c r="E111" s="267"/>
      <c r="F111" s="267"/>
      <c r="G111" s="267"/>
      <c r="H111" s="267"/>
      <c r="I111" s="267"/>
      <c r="J111" s="267"/>
      <c r="K111" s="266"/>
    </row>
    <row r="112" spans="2:14">
      <c r="B112" s="1"/>
      <c r="C112" s="267"/>
      <c r="D112" s="267"/>
      <c r="E112" s="267"/>
      <c r="F112" s="267"/>
      <c r="G112" s="267"/>
      <c r="H112" s="267"/>
      <c r="I112" s="267"/>
      <c r="J112" s="267"/>
      <c r="K112" s="266"/>
    </row>
    <row r="113" spans="2:11">
      <c r="B113" s="1"/>
      <c r="C113" s="267"/>
      <c r="D113" s="267"/>
      <c r="E113" s="267"/>
      <c r="F113" s="267"/>
      <c r="G113" s="267"/>
      <c r="H113" s="267"/>
      <c r="I113" s="267"/>
      <c r="J113" s="267"/>
      <c r="K113" s="266"/>
    </row>
    <row r="114" spans="2:11">
      <c r="B114" s="1"/>
      <c r="C114" s="267"/>
      <c r="D114" s="267"/>
      <c r="E114" s="267"/>
      <c r="F114" s="267"/>
      <c r="G114" s="267"/>
      <c r="H114" s="267"/>
      <c r="I114" s="267"/>
      <c r="J114" s="267"/>
      <c r="K114" s="266"/>
    </row>
    <row r="115" spans="2:11">
      <c r="B115" s="1"/>
      <c r="C115" s="267"/>
      <c r="D115" s="267"/>
      <c r="E115" s="267"/>
      <c r="F115" s="267"/>
      <c r="G115" s="267"/>
      <c r="H115" s="267"/>
      <c r="I115" s="267"/>
      <c r="J115" s="267"/>
      <c r="K115" s="266"/>
    </row>
    <row r="116" spans="2:11">
      <c r="B116" s="1"/>
      <c r="C116" s="247"/>
      <c r="D116" s="247"/>
      <c r="E116" s="247"/>
      <c r="F116" s="247"/>
      <c r="G116" s="247"/>
      <c r="H116" s="247"/>
      <c r="I116" s="247"/>
      <c r="J116" s="247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E95D-4B67-45B6-95FC-0B3A032F26FD}">
  <sheetPr>
    <tabColor theme="4"/>
  </sheetPr>
  <dimension ref="A1:AI93"/>
  <sheetViews>
    <sheetView zoomScale="70" zoomScaleNormal="70" workbookViewId="0">
      <selection activeCell="E90" sqref="E90"/>
    </sheetView>
  </sheetViews>
  <sheetFormatPr defaultRowHeight="14.75"/>
  <cols>
    <col min="2" max="2" width="11.1796875" customWidth="1"/>
    <col min="3" max="3" width="9.26953125" customWidth="1"/>
    <col min="4" max="4" width="12.1796875" bestFit="1" customWidth="1"/>
    <col min="5" max="5" width="15.54296875" bestFit="1" customWidth="1"/>
    <col min="6" max="6" width="20" bestFit="1" customWidth="1"/>
    <col min="9" max="9" width="14.81640625" customWidth="1"/>
    <col min="11" max="12" width="11.1796875" customWidth="1"/>
    <col min="13" max="13" width="9.26953125" customWidth="1"/>
    <col min="14" max="14" width="12.1796875" bestFit="1" customWidth="1"/>
    <col min="15" max="15" width="15.54296875" bestFit="1" customWidth="1"/>
    <col min="16" max="16" width="11.1796875" bestFit="1" customWidth="1"/>
    <col min="19" max="19" width="14.81640625" customWidth="1"/>
    <col min="20" max="20" width="8.7265625" customWidth="1"/>
    <col min="21" max="21" width="14.1796875" customWidth="1"/>
    <col min="22" max="34" width="8.7265625" customWidth="1"/>
  </cols>
  <sheetData>
    <row r="1" spans="2:35">
      <c r="B1">
        <v>2020</v>
      </c>
      <c r="L1">
        <v>2050</v>
      </c>
    </row>
    <row r="2" spans="2:35">
      <c r="B2" t="s">
        <v>17</v>
      </c>
      <c r="D2" t="s">
        <v>735</v>
      </c>
      <c r="E2" t="s">
        <v>736</v>
      </c>
      <c r="F2" t="s">
        <v>741</v>
      </c>
      <c r="G2" t="s">
        <v>737</v>
      </c>
      <c r="H2" t="s">
        <v>738</v>
      </c>
      <c r="L2" t="s">
        <v>17</v>
      </c>
      <c r="N2" t="s">
        <v>735</v>
      </c>
      <c r="O2" t="s">
        <v>736</v>
      </c>
      <c r="P2" t="s">
        <v>741</v>
      </c>
      <c r="Q2" t="s">
        <v>737</v>
      </c>
      <c r="R2" t="s">
        <v>738</v>
      </c>
    </row>
    <row r="3" spans="2:35" ht="14.5" customHeight="1">
      <c r="B3" t="s">
        <v>35</v>
      </c>
      <c r="C3" s="219">
        <f>'Overall recycling rates'!G39*SUM('Overall recycling rates'!G60:G62)</f>
        <v>0.43654204178877942</v>
      </c>
      <c r="D3" s="119">
        <f>$C3/$C$7</f>
        <v>0.84470690709997209</v>
      </c>
      <c r="E3" s="119">
        <f t="shared" ref="E3:H4" si="0">$C3/$C$7</f>
        <v>0.84470690709997209</v>
      </c>
      <c r="F3" s="119">
        <f t="shared" si="0"/>
        <v>0.84470690709997209</v>
      </c>
      <c r="G3" s="119">
        <f t="shared" si="0"/>
        <v>0.84470690709997209</v>
      </c>
      <c r="H3" s="119">
        <f t="shared" si="0"/>
        <v>0.84470690709997209</v>
      </c>
      <c r="J3" s="617" t="s">
        <v>746</v>
      </c>
      <c r="L3" t="s">
        <v>35</v>
      </c>
      <c r="M3" s="219">
        <f>'Overall recycling rates'!G12*SUM('Overall recycling rates'!G60:G62)</f>
        <v>0.27784823529200525</v>
      </c>
      <c r="N3" s="2">
        <f t="shared" ref="N3:O6" si="1">$M3/$M$7</f>
        <v>0.37658885638170114</v>
      </c>
      <c r="O3" s="2">
        <f t="shared" si="1"/>
        <v>0.37658885638170114</v>
      </c>
      <c r="P3" s="52">
        <v>0</v>
      </c>
      <c r="Q3" s="52">
        <v>0</v>
      </c>
      <c r="R3" s="2">
        <f>$M3/$M$7</f>
        <v>0.37658885638170114</v>
      </c>
      <c r="T3" s="25" t="s">
        <v>747</v>
      </c>
    </row>
    <row r="4" spans="2:35" ht="14.5" customHeight="1">
      <c r="B4" t="s">
        <v>74</v>
      </c>
      <c r="C4" s="219">
        <f>'Overall recycling rates'!E39*SUM('Overall recycling rates'!E60:E62)</f>
        <v>8.0255013047087098E-2</v>
      </c>
      <c r="D4" s="119">
        <f>$C4/$C$7</f>
        <v>0.15529309290002805</v>
      </c>
      <c r="E4" s="119">
        <f t="shared" si="0"/>
        <v>0.15529309290002805</v>
      </c>
      <c r="F4" s="119">
        <f t="shared" si="0"/>
        <v>0.15529309290002805</v>
      </c>
      <c r="G4" s="119">
        <f t="shared" si="0"/>
        <v>0.15529309290002805</v>
      </c>
      <c r="H4" s="119">
        <f t="shared" si="0"/>
        <v>0.15529309290002805</v>
      </c>
      <c r="J4" s="617"/>
      <c r="L4" t="s">
        <v>74</v>
      </c>
      <c r="M4" s="219">
        <f>'Overall recycling rates'!E12*SUM('Overall recycling rates'!E60:E62)</f>
        <v>0.39416961588225491</v>
      </c>
      <c r="N4" s="2">
        <f t="shared" si="1"/>
        <v>0.53424807506698602</v>
      </c>
      <c r="O4" s="2">
        <f t="shared" si="1"/>
        <v>0.53424807506698602</v>
      </c>
      <c r="P4" s="52">
        <v>0</v>
      </c>
      <c r="Q4" s="52">
        <v>0</v>
      </c>
      <c r="R4" s="2">
        <f>$M4/$M$7</f>
        <v>0.53424807506698602</v>
      </c>
      <c r="T4" s="25"/>
    </row>
    <row r="5" spans="2:35">
      <c r="B5" t="s">
        <v>160</v>
      </c>
      <c r="C5" s="219">
        <f>'Overall recycling rates'!H39*SUM('Overall recycling rates'!H60:H62)</f>
        <v>0</v>
      </c>
      <c r="D5" s="119">
        <f t="shared" ref="D5:H6" si="2">$C5/$C$7</f>
        <v>0</v>
      </c>
      <c r="E5" s="119">
        <f t="shared" si="2"/>
        <v>0</v>
      </c>
      <c r="F5" s="119">
        <f t="shared" si="2"/>
        <v>0</v>
      </c>
      <c r="G5" s="119">
        <f t="shared" si="2"/>
        <v>0</v>
      </c>
      <c r="H5" s="119">
        <f t="shared" si="2"/>
        <v>0</v>
      </c>
      <c r="J5" s="617"/>
      <c r="L5" t="s">
        <v>160</v>
      </c>
      <c r="M5" s="219">
        <f>'Overall recycling rates'!H12*SUM('Overall recycling rates'!H60:H62)</f>
        <v>2.1408370390630174E-2</v>
      </c>
      <c r="N5" s="2">
        <f t="shared" si="1"/>
        <v>2.9016393478009137E-2</v>
      </c>
      <c r="O5" s="2">
        <f t="shared" si="1"/>
        <v>2.9016393478009137E-2</v>
      </c>
      <c r="P5" s="52">
        <v>0.5</v>
      </c>
      <c r="Q5" s="52">
        <v>0.5</v>
      </c>
      <c r="R5" s="2">
        <f>$M5/$M$7</f>
        <v>2.9016393478009137E-2</v>
      </c>
      <c r="T5" s="2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31"/>
      <c r="AH5" s="331"/>
      <c r="AI5" s="6"/>
    </row>
    <row r="6" spans="2:35">
      <c r="B6" t="s">
        <v>27</v>
      </c>
      <c r="C6" s="219">
        <f>'Overall recycling rates'!I39*SUM('Overall recycling rates'!I60:I62)</f>
        <v>0</v>
      </c>
      <c r="D6" s="119">
        <f t="shared" si="2"/>
        <v>0</v>
      </c>
      <c r="E6" s="119">
        <f t="shared" si="2"/>
        <v>0</v>
      </c>
      <c r="F6" s="119">
        <f t="shared" si="2"/>
        <v>0</v>
      </c>
      <c r="G6" s="119">
        <f t="shared" si="2"/>
        <v>0</v>
      </c>
      <c r="H6" s="119">
        <f t="shared" si="2"/>
        <v>0</v>
      </c>
      <c r="J6" s="617"/>
      <c r="L6" t="s">
        <v>27</v>
      </c>
      <c r="M6" s="219">
        <f>'Overall recycling rates'!I12*SUM('Overall recycling rates'!I60:I62)</f>
        <v>4.4376372918641549E-2</v>
      </c>
      <c r="N6" s="2">
        <f t="shared" si="1"/>
        <v>6.0146675073303846E-2</v>
      </c>
      <c r="O6" s="2">
        <f t="shared" si="1"/>
        <v>6.0146675073303846E-2</v>
      </c>
      <c r="P6" s="52">
        <v>0.5</v>
      </c>
      <c r="Q6" s="52">
        <v>0.5</v>
      </c>
      <c r="R6" s="2">
        <f>$M6/$M$7</f>
        <v>6.0146675073303846E-2</v>
      </c>
      <c r="T6" s="2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31"/>
      <c r="AH6" s="331"/>
      <c r="AI6" s="331"/>
    </row>
    <row r="7" spans="2:35">
      <c r="C7" s="219">
        <f t="shared" ref="C7:H7" si="3">SUM(C3:C6)</f>
        <v>0.51679705483586647</v>
      </c>
      <c r="D7" s="2">
        <f t="shared" si="3"/>
        <v>1.0000000000000002</v>
      </c>
      <c r="E7" s="2">
        <f t="shared" si="3"/>
        <v>1.0000000000000002</v>
      </c>
      <c r="F7" s="2">
        <f t="shared" si="3"/>
        <v>1.0000000000000002</v>
      </c>
      <c r="G7" s="2">
        <f t="shared" si="3"/>
        <v>1.0000000000000002</v>
      </c>
      <c r="H7" s="2">
        <f t="shared" si="3"/>
        <v>1.0000000000000002</v>
      </c>
      <c r="J7" s="436"/>
      <c r="M7" s="219">
        <f t="shared" ref="M7:R7" si="4">SUM(M3:M6)</f>
        <v>0.7378025944835318</v>
      </c>
      <c r="N7" s="2">
        <f t="shared" si="4"/>
        <v>1</v>
      </c>
      <c r="O7" s="2">
        <f t="shared" si="4"/>
        <v>1</v>
      </c>
      <c r="P7" s="2">
        <f t="shared" si="4"/>
        <v>1</v>
      </c>
      <c r="Q7" s="2">
        <f t="shared" si="4"/>
        <v>1</v>
      </c>
      <c r="R7" s="2">
        <f t="shared" si="4"/>
        <v>1</v>
      </c>
      <c r="T7" s="25"/>
      <c r="V7" s="365"/>
      <c r="W7" s="365"/>
      <c r="X7" s="365"/>
      <c r="Y7" s="365"/>
      <c r="Z7" s="365"/>
      <c r="AA7" s="365"/>
      <c r="AB7" s="365"/>
      <c r="AC7" s="365"/>
      <c r="AD7" s="365"/>
      <c r="AE7" s="365"/>
      <c r="AF7" s="365"/>
      <c r="AG7" s="331"/>
      <c r="AH7" s="331"/>
      <c r="AI7" s="331"/>
    </row>
    <row r="8" spans="2:35">
      <c r="AG8" s="331"/>
      <c r="AH8" s="331"/>
    </row>
    <row r="9" spans="2:35">
      <c r="B9" t="s">
        <v>21</v>
      </c>
      <c r="D9" t="s">
        <v>735</v>
      </c>
      <c r="E9" t="s">
        <v>743</v>
      </c>
      <c r="F9" t="s">
        <v>744</v>
      </c>
      <c r="G9" t="s">
        <v>738</v>
      </c>
      <c r="L9" t="s">
        <v>21</v>
      </c>
      <c r="N9" t="s">
        <v>735</v>
      </c>
      <c r="O9" t="s">
        <v>743</v>
      </c>
      <c r="P9" t="s">
        <v>744</v>
      </c>
      <c r="Q9" t="s">
        <v>738</v>
      </c>
      <c r="V9" s="224"/>
    </row>
    <row r="10" spans="2:35" ht="14.5" customHeight="1">
      <c r="B10" t="s">
        <v>35</v>
      </c>
      <c r="C10" s="219">
        <f>'Overall recycling rates'!G41*SUM('Overall recycling rates'!G60:G62)</f>
        <v>0</v>
      </c>
      <c r="D10" s="119">
        <f>$C10/$C$14</f>
        <v>0</v>
      </c>
      <c r="E10" s="119">
        <f t="shared" ref="D10:G13" si="5">$C10/$C$14</f>
        <v>0</v>
      </c>
      <c r="F10" s="119">
        <f t="shared" si="5"/>
        <v>0</v>
      </c>
      <c r="G10" s="119">
        <f t="shared" si="5"/>
        <v>0</v>
      </c>
      <c r="I10" s="617" t="s">
        <v>746</v>
      </c>
      <c r="L10" t="s">
        <v>35</v>
      </c>
      <c r="M10" s="219">
        <f>'Overall recycling rates'!G14*SUM('Overall recycling rates'!G60:G62)</f>
        <v>0</v>
      </c>
      <c r="N10" s="2">
        <f t="shared" ref="N10:Q13" si="6">$M10/$M$14</f>
        <v>0</v>
      </c>
      <c r="O10" s="2">
        <f t="shared" si="6"/>
        <v>0</v>
      </c>
      <c r="P10" s="2">
        <f t="shared" si="6"/>
        <v>0</v>
      </c>
      <c r="Q10" s="2">
        <f t="shared" si="6"/>
        <v>0</v>
      </c>
      <c r="T10" s="25" t="s">
        <v>747</v>
      </c>
    </row>
    <row r="11" spans="2:35" ht="14.5" customHeight="1">
      <c r="B11" t="s">
        <v>74</v>
      </c>
      <c r="C11" s="219">
        <f>'Overall recycling rates'!E41*SUM('Overall recycling rates'!E60:E62)</f>
        <v>2.3800115476336407E-3</v>
      </c>
      <c r="D11" s="119">
        <f>$C11/$C$14</f>
        <v>0.59541984732824427</v>
      </c>
      <c r="E11" s="119">
        <f t="shared" si="5"/>
        <v>0.59541984732824427</v>
      </c>
      <c r="F11" s="119">
        <f t="shared" si="5"/>
        <v>0.59541984732824427</v>
      </c>
      <c r="G11" s="119">
        <f t="shared" si="5"/>
        <v>0.59541984732824427</v>
      </c>
      <c r="I11" s="617"/>
      <c r="L11" t="s">
        <v>74</v>
      </c>
      <c r="M11" s="219">
        <f>'Overall recycling rates'!E14*SUM('Overall recycling rates'!E60:E62)</f>
        <v>0</v>
      </c>
      <c r="N11" s="2">
        <f t="shared" si="6"/>
        <v>0</v>
      </c>
      <c r="O11" s="2">
        <f t="shared" si="6"/>
        <v>0</v>
      </c>
      <c r="P11" s="2">
        <f t="shared" si="6"/>
        <v>0</v>
      </c>
      <c r="Q11" s="2">
        <f t="shared" si="6"/>
        <v>0</v>
      </c>
      <c r="T11" s="25"/>
    </row>
    <row r="12" spans="2:35">
      <c r="B12" t="s">
        <v>160</v>
      </c>
      <c r="C12" s="219">
        <f>'Overall recycling rates'!H41*SUM('Overall recycling rates'!H60:H62)</f>
        <v>0</v>
      </c>
      <c r="D12" s="119">
        <f t="shared" si="5"/>
        <v>0</v>
      </c>
      <c r="E12" s="119">
        <f t="shared" si="5"/>
        <v>0</v>
      </c>
      <c r="F12" s="119">
        <f t="shared" si="5"/>
        <v>0</v>
      </c>
      <c r="G12" s="119">
        <f t="shared" si="5"/>
        <v>0</v>
      </c>
      <c r="I12" s="617"/>
      <c r="L12" t="s">
        <v>160</v>
      </c>
      <c r="M12" s="219">
        <f>'Overall recycling rates'!H14*SUM('Overall recycling rates'!H60:H62)</f>
        <v>6.0638704016288958E-3</v>
      </c>
      <c r="N12" s="2">
        <f t="shared" si="6"/>
        <v>0.12113899305935606</v>
      </c>
      <c r="O12" s="2">
        <f t="shared" si="6"/>
        <v>0.12113899305935606</v>
      </c>
      <c r="P12" s="2">
        <f t="shared" si="6"/>
        <v>0.12113899305935606</v>
      </c>
      <c r="Q12" s="2">
        <f t="shared" si="6"/>
        <v>0.12113899305935606</v>
      </c>
      <c r="T12" s="25"/>
      <c r="V12" s="331"/>
      <c r="W12" s="331"/>
      <c r="X12" s="331"/>
      <c r="Y12" s="331"/>
      <c r="Z12" s="331"/>
      <c r="AA12" s="331"/>
    </row>
    <row r="13" spans="2:35">
      <c r="B13" t="s">
        <v>27</v>
      </c>
      <c r="C13" s="219">
        <f>'Overall recycling rates'!I41*SUM('Overall recycling rates'!I60:I62)</f>
        <v>1.6171873336484996E-3</v>
      </c>
      <c r="D13" s="119">
        <f>$C13/$C$14</f>
        <v>0.40458015267175573</v>
      </c>
      <c r="E13" s="119">
        <f t="shared" si="5"/>
        <v>0.40458015267175573</v>
      </c>
      <c r="F13" s="119">
        <f t="shared" si="5"/>
        <v>0.40458015267175573</v>
      </c>
      <c r="G13" s="119">
        <f t="shared" si="5"/>
        <v>0.40458015267175573</v>
      </c>
      <c r="I13" s="617"/>
      <c r="L13" t="s">
        <v>27</v>
      </c>
      <c r="M13" s="219">
        <f>'Overall recycling rates'!I14*SUM('Overall recycling rates'!I60:I62)</f>
        <v>4.39932602421573E-2</v>
      </c>
      <c r="N13" s="2">
        <f t="shared" si="6"/>
        <v>0.87886100694064395</v>
      </c>
      <c r="O13" s="2">
        <f t="shared" si="6"/>
        <v>0.87886100694064395</v>
      </c>
      <c r="P13" s="2">
        <f t="shared" si="6"/>
        <v>0.87886100694064395</v>
      </c>
      <c r="Q13" s="2">
        <f t="shared" si="6"/>
        <v>0.87886100694064395</v>
      </c>
      <c r="T13" s="25"/>
      <c r="V13" s="331"/>
      <c r="W13" s="331"/>
      <c r="X13" s="331"/>
      <c r="Y13" s="331"/>
      <c r="Z13" s="331"/>
      <c r="AA13" s="331"/>
    </row>
    <row r="14" spans="2:35">
      <c r="C14" s="219">
        <f>SUM(C10:C13)</f>
        <v>3.9971988812821406E-3</v>
      </c>
      <c r="D14" s="2">
        <f>SUM(D10:D13)</f>
        <v>1</v>
      </c>
      <c r="E14" s="2">
        <f>SUM(E10:E13)</f>
        <v>1</v>
      </c>
      <c r="F14" s="2">
        <f>SUM(F10:F13)</f>
        <v>1</v>
      </c>
      <c r="G14" s="2">
        <f>SUM(G10:G13)</f>
        <v>1</v>
      </c>
      <c r="M14" s="40">
        <f>SUM(M10:M13)</f>
        <v>5.0057130643786196E-2</v>
      </c>
      <c r="N14" s="2">
        <f>SUM(N10:N13)</f>
        <v>1</v>
      </c>
      <c r="O14" s="2">
        <f>SUM(O10:O13)</f>
        <v>1</v>
      </c>
      <c r="P14" s="2">
        <f>SUM(P10:P13)</f>
        <v>1</v>
      </c>
      <c r="Q14" s="2">
        <f>SUM(Q10:Q13)</f>
        <v>1</v>
      </c>
      <c r="V14" s="331"/>
      <c r="W14" s="331"/>
      <c r="X14" s="331"/>
      <c r="Y14" s="331"/>
      <c r="Z14" s="331"/>
      <c r="AA14" s="331"/>
    </row>
    <row r="16" spans="2:35">
      <c r="B16" t="s">
        <v>53</v>
      </c>
      <c r="D16" t="s">
        <v>735</v>
      </c>
      <c r="E16" t="s">
        <v>737</v>
      </c>
      <c r="F16" t="s">
        <v>738</v>
      </c>
      <c r="L16" t="s">
        <v>53</v>
      </c>
      <c r="N16" t="s">
        <v>735</v>
      </c>
      <c r="O16" t="s">
        <v>737</v>
      </c>
      <c r="P16" t="s">
        <v>738</v>
      </c>
    </row>
    <row r="17" spans="2:28" ht="14.5" customHeight="1">
      <c r="B17" t="s">
        <v>35</v>
      </c>
      <c r="C17" s="219">
        <f>'Overall recycling rates'!G42*SUM('Overall recycling rates'!G60:G62)</f>
        <v>0</v>
      </c>
      <c r="D17" s="119">
        <f>IFERROR($C17/$C$21,0)</f>
        <v>0</v>
      </c>
      <c r="E17" s="119">
        <f t="shared" ref="E17:F17" si="7">IFERROR($C17/$C$21,0)</f>
        <v>0</v>
      </c>
      <c r="F17" s="119">
        <f t="shared" si="7"/>
        <v>0</v>
      </c>
      <c r="I17" s="617" t="s">
        <v>746</v>
      </c>
      <c r="L17" t="s">
        <v>35</v>
      </c>
      <c r="M17" s="219">
        <f>'Overall recycling rates'!G15*SUM('Overall recycling rates'!G60:G62)</f>
        <v>0.31999884115721583</v>
      </c>
      <c r="N17" s="119">
        <f t="shared" ref="N17:P20" si="8">$M17/$M$21</f>
        <v>0.9999896908960999</v>
      </c>
      <c r="O17" s="119">
        <f t="shared" si="8"/>
        <v>0.9999896908960999</v>
      </c>
      <c r="P17" s="119">
        <f t="shared" si="8"/>
        <v>0.9999896908960999</v>
      </c>
      <c r="T17" s="25" t="s">
        <v>747</v>
      </c>
      <c r="V17" s="331"/>
      <c r="W17" s="331"/>
      <c r="X17" s="331"/>
      <c r="Y17" s="331"/>
      <c r="Z17" s="331"/>
      <c r="AA17" s="331"/>
      <c r="AB17" s="6"/>
    </row>
    <row r="18" spans="2:28" ht="14.5" customHeight="1">
      <c r="B18" t="s">
        <v>74</v>
      </c>
      <c r="C18" s="219">
        <f>'Overall recycling rates'!E42*SUM('Overall recycling rates'!E60:E62)</f>
        <v>0</v>
      </c>
      <c r="D18" s="119">
        <f t="shared" ref="D18:F20" si="9">IFERROR($C18/$C$21,0)</f>
        <v>0</v>
      </c>
      <c r="E18" s="119">
        <f t="shared" si="9"/>
        <v>0</v>
      </c>
      <c r="F18" s="119">
        <f t="shared" si="9"/>
        <v>0</v>
      </c>
      <c r="I18" s="617"/>
      <c r="L18" t="s">
        <v>74</v>
      </c>
      <c r="M18" s="219">
        <f>'Overall recycling rates'!E15*SUM('Overall recycling rates'!E60:E62)</f>
        <v>0</v>
      </c>
      <c r="N18" s="119">
        <f t="shared" si="8"/>
        <v>0</v>
      </c>
      <c r="O18" s="119">
        <f t="shared" si="8"/>
        <v>0</v>
      </c>
      <c r="P18" s="119">
        <f t="shared" si="8"/>
        <v>0</v>
      </c>
      <c r="T18" s="25"/>
      <c r="V18" s="331"/>
      <c r="W18" s="331"/>
      <c r="X18" s="331"/>
      <c r="Y18" s="331"/>
      <c r="Z18" s="331"/>
      <c r="AA18" s="331"/>
      <c r="AB18" s="6"/>
    </row>
    <row r="19" spans="2:28">
      <c r="B19" t="s">
        <v>160</v>
      </c>
      <c r="C19" s="219">
        <f>'Overall recycling rates'!H42*SUM('Overall recycling rates'!H60:H62)</f>
        <v>0</v>
      </c>
      <c r="D19" s="119">
        <f t="shared" si="9"/>
        <v>0</v>
      </c>
      <c r="E19" s="119">
        <f t="shared" si="9"/>
        <v>0</v>
      </c>
      <c r="F19" s="119">
        <f t="shared" si="9"/>
        <v>0</v>
      </c>
      <c r="I19" s="617"/>
      <c r="L19" t="s">
        <v>160</v>
      </c>
      <c r="M19" s="219">
        <f>'Overall recycling rates'!H15*SUM('Overall recycling rates'!H60:H62)</f>
        <v>0</v>
      </c>
      <c r="N19" s="119">
        <f t="shared" si="8"/>
        <v>0</v>
      </c>
      <c r="O19" s="119">
        <f t="shared" si="8"/>
        <v>0</v>
      </c>
      <c r="P19" s="119">
        <f t="shared" si="8"/>
        <v>0</v>
      </c>
      <c r="T19" s="25"/>
      <c r="V19" s="331"/>
      <c r="W19" s="331"/>
      <c r="X19" s="331"/>
      <c r="Y19" s="331"/>
      <c r="Z19" s="331"/>
      <c r="AA19" s="331"/>
    </row>
    <row r="20" spans="2:28">
      <c r="B20" t="s">
        <v>27</v>
      </c>
      <c r="C20" s="219">
        <f>'Overall recycling rates'!I42*SUM('Overall recycling rates'!I60:I62)</f>
        <v>0</v>
      </c>
      <c r="D20" s="119">
        <f t="shared" si="9"/>
        <v>0</v>
      </c>
      <c r="E20" s="119">
        <f t="shared" si="9"/>
        <v>0</v>
      </c>
      <c r="F20" s="119">
        <f t="shared" si="9"/>
        <v>0</v>
      </c>
      <c r="I20" s="617"/>
      <c r="L20" t="s">
        <v>27</v>
      </c>
      <c r="M20" s="219">
        <f>'Overall recycling rates'!I15*SUM('Overall recycling rates'!I60:I62)</f>
        <v>3.2989353104739508E-6</v>
      </c>
      <c r="N20" s="119">
        <f t="shared" si="8"/>
        <v>1.0309103900117941E-5</v>
      </c>
      <c r="O20" s="119">
        <f t="shared" si="8"/>
        <v>1.0309103900117941E-5</v>
      </c>
      <c r="P20" s="119">
        <f t="shared" si="8"/>
        <v>1.0309103900117941E-5</v>
      </c>
      <c r="T20" s="25"/>
      <c r="V20" s="331"/>
      <c r="W20" s="331"/>
      <c r="X20" s="331"/>
      <c r="Y20" s="331"/>
      <c r="Z20" s="331"/>
      <c r="AA20" s="331"/>
      <c r="AB20" s="6"/>
    </row>
    <row r="21" spans="2:28">
      <c r="C21" s="219">
        <f>SUM(C17:C20)</f>
        <v>0</v>
      </c>
      <c r="D21" s="2">
        <f>SUM(D17:D20)</f>
        <v>0</v>
      </c>
      <c r="E21" s="2">
        <f>SUM(E17:E20)</f>
        <v>0</v>
      </c>
      <c r="F21" s="2">
        <f>SUM(F17:F20)</f>
        <v>0</v>
      </c>
      <c r="M21" s="40">
        <f>SUM(M17:M20)</f>
        <v>0.32000214009252631</v>
      </c>
      <c r="N21" s="2">
        <f>SUM(N17:N20)</f>
        <v>1</v>
      </c>
      <c r="O21" s="2">
        <f>SUM(O17:O20)</f>
        <v>1</v>
      </c>
      <c r="P21" s="2">
        <f>SUM(P17:P20)</f>
        <v>1</v>
      </c>
      <c r="AA21" s="331"/>
    </row>
    <row r="22" spans="2:28">
      <c r="V22" s="331"/>
      <c r="W22" s="331"/>
      <c r="X22" s="331"/>
      <c r="Y22" s="331"/>
      <c r="Z22" s="331"/>
      <c r="AA22" s="331"/>
    </row>
    <row r="23" spans="2:28">
      <c r="B23" t="s">
        <v>295</v>
      </c>
      <c r="D23" t="s">
        <v>735</v>
      </c>
      <c r="L23" t="s">
        <v>295</v>
      </c>
      <c r="N23" t="s">
        <v>735</v>
      </c>
      <c r="V23" s="331"/>
      <c r="W23" s="331"/>
      <c r="X23" s="331"/>
      <c r="Y23" s="331"/>
      <c r="Z23" s="331"/>
      <c r="AA23" s="331"/>
    </row>
    <row r="24" spans="2:28" ht="14.5" customHeight="1">
      <c r="B24" t="s">
        <v>35</v>
      </c>
      <c r="C24" s="219">
        <f>'Overall recycling rates'!G40*SUM('Overall recycling rates'!G60:G62)</f>
        <v>0</v>
      </c>
      <c r="D24" s="119">
        <f>IFERROR($C24/$C$28,0)</f>
        <v>0</v>
      </c>
      <c r="E24" s="2"/>
      <c r="F24" s="2"/>
      <c r="G24" s="2"/>
      <c r="I24" s="617" t="s">
        <v>746</v>
      </c>
      <c r="L24" t="s">
        <v>35</v>
      </c>
      <c r="M24" s="219">
        <f>'Overall recycling rates'!G12*SUM('Overall recycling rates'!G60:G62)</f>
        <v>0.27784823529200525</v>
      </c>
      <c r="N24" s="119">
        <f>$M24/$M$28</f>
        <v>0.37658885638170114</v>
      </c>
      <c r="P24" s="2"/>
      <c r="Q24" s="2"/>
      <c r="R24" s="2"/>
      <c r="T24" s="25" t="s">
        <v>747</v>
      </c>
      <c r="V24" s="331"/>
      <c r="W24" s="331"/>
      <c r="X24" s="331"/>
      <c r="Y24" s="331"/>
      <c r="Z24" s="331"/>
    </row>
    <row r="25" spans="2:28" ht="14.5" customHeight="1">
      <c r="B25" t="s">
        <v>74</v>
      </c>
      <c r="C25" s="219">
        <f>'Overall recycling rates'!E40*SUM('Overall recycling rates'!E60:E62)</f>
        <v>0</v>
      </c>
      <c r="D25" s="119">
        <f t="shared" ref="D25:D27" si="10">IFERROR($C25/$C$28,0)</f>
        <v>0</v>
      </c>
      <c r="E25" s="2"/>
      <c r="F25" s="2"/>
      <c r="G25" s="2"/>
      <c r="I25" s="617"/>
      <c r="L25" t="s">
        <v>74</v>
      </c>
      <c r="M25" s="219">
        <f>'Overall recycling rates'!E12*SUM('Overall recycling rates'!E60:E62)</f>
        <v>0.39416961588225491</v>
      </c>
      <c r="N25" s="119">
        <f>$M25/$M$28</f>
        <v>0.53424807506698602</v>
      </c>
      <c r="P25" s="2"/>
      <c r="Q25" s="2"/>
      <c r="R25" s="2"/>
      <c r="T25" s="25"/>
      <c r="V25" s="331"/>
      <c r="W25" s="331"/>
      <c r="X25" s="331"/>
      <c r="Y25" s="331"/>
      <c r="Z25" s="331"/>
    </row>
    <row r="26" spans="2:28">
      <c r="B26" t="s">
        <v>160</v>
      </c>
      <c r="C26" s="219">
        <f>'Overall recycling rates'!H40*SUM('Overall recycling rates'!H60:H62)</f>
        <v>0</v>
      </c>
      <c r="D26" s="119">
        <f t="shared" si="10"/>
        <v>0</v>
      </c>
      <c r="E26" s="2"/>
      <c r="F26" s="2"/>
      <c r="G26" s="2"/>
      <c r="I26" s="617"/>
      <c r="L26" t="s">
        <v>160</v>
      </c>
      <c r="M26" s="219">
        <f>'Overall recycling rates'!H12*SUM('Overall recycling rates'!H60:H62)</f>
        <v>2.1408370390630174E-2</v>
      </c>
      <c r="N26" s="119">
        <f>$M26/$M$28</f>
        <v>2.9016393478009137E-2</v>
      </c>
      <c r="P26" s="2"/>
      <c r="Q26" s="2"/>
      <c r="R26" s="2"/>
      <c r="T26" s="25"/>
      <c r="W26" s="22"/>
      <c r="X26" s="22"/>
      <c r="Y26" s="22"/>
      <c r="Z26" s="22"/>
    </row>
    <row r="27" spans="2:28">
      <c r="B27" t="s">
        <v>27</v>
      </c>
      <c r="C27" s="219">
        <f>'Overall recycling rates'!I40*SUM('Overall recycling rates'!I60:I62)</f>
        <v>0</v>
      </c>
      <c r="D27" s="119">
        <f t="shared" si="10"/>
        <v>0</v>
      </c>
      <c r="E27" s="52"/>
      <c r="F27" s="52"/>
      <c r="G27" s="52"/>
      <c r="I27" s="617"/>
      <c r="L27" t="s">
        <v>27</v>
      </c>
      <c r="M27" s="219">
        <f>'Overall recycling rates'!I12*SUM('Overall recycling rates'!I60:I62)</f>
        <v>4.4376372918641549E-2</v>
      </c>
      <c r="N27" s="119">
        <f>$M27/$M$28</f>
        <v>6.0146675073303846E-2</v>
      </c>
      <c r="P27" s="52"/>
      <c r="Q27" s="52"/>
      <c r="R27" s="52"/>
      <c r="T27" s="25"/>
    </row>
    <row r="28" spans="2:28">
      <c r="C28" s="219">
        <f>SUM(C24:C27)</f>
        <v>0</v>
      </c>
      <c r="D28" s="2">
        <f>SUM(D24:D27)</f>
        <v>0</v>
      </c>
      <c r="E28" s="2"/>
      <c r="F28" s="2"/>
      <c r="G28" s="2"/>
      <c r="M28" s="40">
        <f>SUM(M24:M27)</f>
        <v>0.7378025944835318</v>
      </c>
      <c r="N28" s="2">
        <f>SUM(N24:N27)</f>
        <v>1</v>
      </c>
      <c r="P28" s="2"/>
      <c r="Q28" s="2"/>
      <c r="R28" s="2"/>
      <c r="V28" s="331"/>
      <c r="W28" s="331"/>
      <c r="X28" s="331"/>
      <c r="Y28" s="331"/>
      <c r="Z28" s="331"/>
    </row>
    <row r="29" spans="2:28">
      <c r="V29" s="331"/>
      <c r="W29" s="331"/>
      <c r="X29" s="331"/>
      <c r="Y29" s="331"/>
      <c r="Z29" s="331"/>
    </row>
    <row r="30" spans="2:28">
      <c r="B30" t="s">
        <v>27</v>
      </c>
      <c r="D30" t="s">
        <v>735</v>
      </c>
      <c r="L30" t="s">
        <v>27</v>
      </c>
      <c r="N30" t="s">
        <v>735</v>
      </c>
    </row>
    <row r="31" spans="2:28" ht="14.5" customHeight="1">
      <c r="B31" t="s">
        <v>35</v>
      </c>
      <c r="C31" s="219">
        <f>'Overall recycling rates'!G43*SUM('Overall recycling rates'!G60:G62)</f>
        <v>0</v>
      </c>
      <c r="D31" s="119">
        <f>$C31/$C$35</f>
        <v>0</v>
      </c>
      <c r="I31" s="617" t="s">
        <v>746</v>
      </c>
      <c r="L31" t="s">
        <v>35</v>
      </c>
      <c r="M31" s="219">
        <f>'Overall recycling rates'!G16*SUM('Overall recycling rates'!G60:G62)</f>
        <v>0</v>
      </c>
      <c r="N31" s="119">
        <f>$M31/$L$35</f>
        <v>0</v>
      </c>
      <c r="T31" s="25" t="s">
        <v>747</v>
      </c>
    </row>
    <row r="32" spans="2:28" ht="14.5" customHeight="1">
      <c r="B32" t="s">
        <v>74</v>
      </c>
      <c r="C32" s="219">
        <f>'Overall recycling rates'!E43*SUM('Overall recycling rates'!E60:E62)</f>
        <v>1.7340801180497221E-2</v>
      </c>
      <c r="D32" s="119">
        <f>$C32/$C$35</f>
        <v>0.22055473251389562</v>
      </c>
      <c r="I32" s="617"/>
      <c r="L32" t="s">
        <v>74</v>
      </c>
      <c r="M32" s="219">
        <f>'Overall recycling rates'!E16*SUM('Overall recycling rates'!E60:E62)</f>
        <v>0.12386286557498014</v>
      </c>
      <c r="N32" s="119">
        <f>$M32/$L$35</f>
        <v>0.22055473251389565</v>
      </c>
      <c r="T32" s="25"/>
    </row>
    <row r="33" spans="1:35">
      <c r="B33" t="s">
        <v>160</v>
      </c>
      <c r="C33" s="219">
        <f>'Overall recycling rates'!H43*SUM('Overall recycling rates'!H60:H62)</f>
        <v>7.9209789912883834E-3</v>
      </c>
      <c r="D33" s="119">
        <f t="shared" ref="D33:D34" si="11">$C33/$C$35</f>
        <v>0.10074559903475598</v>
      </c>
      <c r="I33" s="617"/>
      <c r="L33" t="s">
        <v>160</v>
      </c>
      <c r="M33" s="219">
        <f>'Overall recycling rates'!H16*SUM('Overall recycling rates'!H60:H62)</f>
        <v>5.6578421366345583E-2</v>
      </c>
      <c r="N33" s="119">
        <f>$M33/$L$35</f>
        <v>0.10074559903475598</v>
      </c>
      <c r="T33" s="25"/>
    </row>
    <row r="34" spans="1:35">
      <c r="B34" t="s">
        <v>27</v>
      </c>
      <c r="C34" s="219">
        <f>'Overall recycling rates'!I43*SUM('Overall recycling rates'!I60:I62)</f>
        <v>5.3361793137414175E-2</v>
      </c>
      <c r="D34" s="119">
        <f t="shared" si="11"/>
        <v>0.67869966845134844</v>
      </c>
      <c r="I34" s="617"/>
      <c r="L34" t="s">
        <v>27</v>
      </c>
      <c r="M34" s="219">
        <f>'Overall recycling rates'!I16*SUM('Overall recycling rates'!I60:I62)</f>
        <v>0.38115566526724409</v>
      </c>
      <c r="N34" s="119">
        <f>$M34/$L$35</f>
        <v>0.67869966845134844</v>
      </c>
      <c r="T34" s="25"/>
    </row>
    <row r="35" spans="1:35">
      <c r="C35" s="219">
        <f>SUM(C31:C34)</f>
        <v>7.8623573309199779E-2</v>
      </c>
      <c r="D35" s="2">
        <f>SUM(D31:D34)</f>
        <v>1</v>
      </c>
      <c r="L35" s="40">
        <f>SUM(M31:M34)</f>
        <v>0.56159695220856976</v>
      </c>
      <c r="M35" s="2">
        <f>SUM(N31:N34)</f>
        <v>1</v>
      </c>
    </row>
    <row r="37" spans="1:35" s="226" customFormat="1" ht="15.5" thickBot="1">
      <c r="E37" s="226">
        <v>2020</v>
      </c>
      <c r="F37" s="226">
        <f>E37+1</f>
        <v>2021</v>
      </c>
      <c r="G37" s="226">
        <f t="shared" ref="G37:AI37" si="12">F37+1</f>
        <v>2022</v>
      </c>
      <c r="H37" s="226">
        <f t="shared" si="12"/>
        <v>2023</v>
      </c>
      <c r="I37" s="226">
        <f t="shared" si="12"/>
        <v>2024</v>
      </c>
      <c r="J37" s="226">
        <f t="shared" si="12"/>
        <v>2025</v>
      </c>
      <c r="K37" s="226">
        <f t="shared" si="12"/>
        <v>2026</v>
      </c>
      <c r="L37" s="226">
        <f t="shared" si="12"/>
        <v>2027</v>
      </c>
      <c r="M37" s="226">
        <f t="shared" si="12"/>
        <v>2028</v>
      </c>
      <c r="N37" s="226">
        <f t="shared" si="12"/>
        <v>2029</v>
      </c>
      <c r="O37" s="226">
        <f t="shared" si="12"/>
        <v>2030</v>
      </c>
      <c r="P37" s="226">
        <f t="shared" si="12"/>
        <v>2031</v>
      </c>
      <c r="Q37" s="226">
        <f t="shared" si="12"/>
        <v>2032</v>
      </c>
      <c r="R37" s="226">
        <f t="shared" si="12"/>
        <v>2033</v>
      </c>
      <c r="S37" s="226">
        <f t="shared" si="12"/>
        <v>2034</v>
      </c>
      <c r="T37" s="226">
        <f t="shared" si="12"/>
        <v>2035</v>
      </c>
      <c r="U37" s="226">
        <f t="shared" si="12"/>
        <v>2036</v>
      </c>
      <c r="V37" s="226">
        <f t="shared" si="12"/>
        <v>2037</v>
      </c>
      <c r="W37" s="226">
        <f t="shared" si="12"/>
        <v>2038</v>
      </c>
      <c r="X37" s="226">
        <f t="shared" si="12"/>
        <v>2039</v>
      </c>
      <c r="Y37" s="226">
        <f t="shared" si="12"/>
        <v>2040</v>
      </c>
      <c r="Z37" s="226">
        <f t="shared" si="12"/>
        <v>2041</v>
      </c>
      <c r="AA37" s="226">
        <f t="shared" si="12"/>
        <v>2042</v>
      </c>
      <c r="AB37" s="226">
        <f>AA37+1</f>
        <v>2043</v>
      </c>
      <c r="AC37" s="226">
        <f t="shared" si="12"/>
        <v>2044</v>
      </c>
      <c r="AD37" s="226">
        <f t="shared" si="12"/>
        <v>2045</v>
      </c>
      <c r="AE37" s="226">
        <f t="shared" si="12"/>
        <v>2046</v>
      </c>
      <c r="AF37" s="226">
        <f t="shared" si="12"/>
        <v>2047</v>
      </c>
      <c r="AG37" s="226">
        <f t="shared" si="12"/>
        <v>2048</v>
      </c>
      <c r="AH37" s="226">
        <f t="shared" si="12"/>
        <v>2049</v>
      </c>
      <c r="AI37" s="226">
        <f t="shared" si="12"/>
        <v>2050</v>
      </c>
    </row>
    <row r="38" spans="1:35">
      <c r="A38" s="260"/>
      <c r="B38" t="s">
        <v>17</v>
      </c>
      <c r="C38" t="s">
        <v>735</v>
      </c>
      <c r="D38" t="s">
        <v>35</v>
      </c>
      <c r="E38" s="148">
        <f>D3</f>
        <v>0.84470690709997209</v>
      </c>
      <c r="F38" s="148">
        <f>-($E38-$AI38)/30+E38</f>
        <v>0.82910297207602968</v>
      </c>
      <c r="G38" s="148">
        <f t="shared" ref="G38:AH58" si="13">-($E38-$AI38)/30+F38</f>
        <v>0.81349903705208726</v>
      </c>
      <c r="H38" s="148">
        <f t="shared" si="13"/>
        <v>0.79789510202814484</v>
      </c>
      <c r="I38" s="148">
        <f t="shared" si="13"/>
        <v>0.78229116700420243</v>
      </c>
      <c r="J38" s="148">
        <f t="shared" si="13"/>
        <v>0.76668723198026001</v>
      </c>
      <c r="K38" s="148">
        <f t="shared" si="13"/>
        <v>0.75108329695631759</v>
      </c>
      <c r="L38" s="148">
        <f t="shared" si="13"/>
        <v>0.73547936193237518</v>
      </c>
      <c r="M38" s="148">
        <f t="shared" si="13"/>
        <v>0.71987542690843276</v>
      </c>
      <c r="N38" s="148">
        <f t="shared" si="13"/>
        <v>0.70427149188449034</v>
      </c>
      <c r="O38" s="148">
        <f t="shared" si="13"/>
        <v>0.68866755686054792</v>
      </c>
      <c r="P38" s="148">
        <f t="shared" si="13"/>
        <v>0.67306362183660551</v>
      </c>
      <c r="Q38" s="148">
        <f t="shared" si="13"/>
        <v>0.65745968681266309</v>
      </c>
      <c r="R38" s="148">
        <f t="shared" si="13"/>
        <v>0.64185575178872067</v>
      </c>
      <c r="S38" s="148">
        <f t="shared" si="13"/>
        <v>0.62625181676477826</v>
      </c>
      <c r="T38" s="148">
        <f t="shared" si="13"/>
        <v>0.61064788174083584</v>
      </c>
      <c r="U38" s="148">
        <f t="shared" si="13"/>
        <v>0.59504394671689342</v>
      </c>
      <c r="V38" s="148">
        <f t="shared" si="13"/>
        <v>0.57944001169295101</v>
      </c>
      <c r="W38" s="148">
        <f t="shared" si="13"/>
        <v>0.56383607666900859</v>
      </c>
      <c r="X38" s="148">
        <f t="shared" si="13"/>
        <v>0.54823214164506617</v>
      </c>
      <c r="Y38" s="148">
        <f t="shared" si="13"/>
        <v>0.53262820662112376</v>
      </c>
      <c r="Z38" s="148">
        <f t="shared" si="13"/>
        <v>0.51702427159718134</v>
      </c>
      <c r="AA38" s="148">
        <f t="shared" si="13"/>
        <v>0.50142033657323892</v>
      </c>
      <c r="AB38" s="148">
        <f t="shared" si="13"/>
        <v>0.48581640154929656</v>
      </c>
      <c r="AC38" s="148">
        <f t="shared" si="13"/>
        <v>0.4702124665253542</v>
      </c>
      <c r="AD38" s="148">
        <f t="shared" si="13"/>
        <v>0.45460853150141184</v>
      </c>
      <c r="AE38" s="148">
        <f t="shared" si="13"/>
        <v>0.43900459647746948</v>
      </c>
      <c r="AF38" s="148">
        <f t="shared" si="13"/>
        <v>0.42340066145352712</v>
      </c>
      <c r="AG38" s="148">
        <f t="shared" si="13"/>
        <v>0.40779672642958475</v>
      </c>
      <c r="AH38" s="148">
        <f t="shared" si="13"/>
        <v>0.39219279140564239</v>
      </c>
      <c r="AI38" s="148">
        <f>N3</f>
        <v>0.37658885638170114</v>
      </c>
    </row>
    <row r="39" spans="1:35">
      <c r="A39" s="260"/>
      <c r="B39" t="s">
        <v>17</v>
      </c>
      <c r="C39" t="s">
        <v>735</v>
      </c>
      <c r="D39" t="s">
        <v>74</v>
      </c>
      <c r="E39" s="148">
        <f>D4</f>
        <v>0.15529309290002805</v>
      </c>
      <c r="F39" s="148">
        <f>-($E39-$AI39)/30+E39</f>
        <v>0.16792492563892664</v>
      </c>
      <c r="G39" s="148">
        <f t="shared" ref="G39" si="14">-($E39-$AI39)/30+F39</f>
        <v>0.18055675837782523</v>
      </c>
      <c r="H39" s="148">
        <f t="shared" ref="H39" si="15">-($E39-$AI39)/30+G39</f>
        <v>0.19318859111672382</v>
      </c>
      <c r="I39" s="148">
        <f t="shared" ref="I39" si="16">-($E39-$AI39)/30+H39</f>
        <v>0.20582042385562241</v>
      </c>
      <c r="J39" s="148">
        <f t="shared" ref="J39" si="17">-($E39-$AI39)/30+I39</f>
        <v>0.218452256594521</v>
      </c>
      <c r="K39" s="148">
        <f t="shared" ref="K39" si="18">-($E39-$AI39)/30+J39</f>
        <v>0.23108408933341959</v>
      </c>
      <c r="L39" s="148">
        <f t="shared" ref="L39" si="19">-($E39-$AI39)/30+K39</f>
        <v>0.24371592207231818</v>
      </c>
      <c r="M39" s="148">
        <f t="shared" ref="M39" si="20">-($E39-$AI39)/30+L39</f>
        <v>0.2563477548112168</v>
      </c>
      <c r="N39" s="148">
        <f t="shared" ref="N39" si="21">-($E39-$AI39)/30+M39</f>
        <v>0.26897958755011542</v>
      </c>
      <c r="O39" s="148">
        <f t="shared" ref="O39" si="22">-($E39-$AI39)/30+N39</f>
        <v>0.28161142028901404</v>
      </c>
      <c r="P39" s="148">
        <f t="shared" ref="P39" si="23">-($E39-$AI39)/30+O39</f>
        <v>0.29424325302791265</v>
      </c>
      <c r="Q39" s="148">
        <f t="shared" ref="Q39" si="24">-($E39-$AI39)/30+P39</f>
        <v>0.30687508576681127</v>
      </c>
      <c r="R39" s="148">
        <f t="shared" ref="R39" si="25">-($E39-$AI39)/30+Q39</f>
        <v>0.31950691850570989</v>
      </c>
      <c r="S39" s="148">
        <f t="shared" ref="S39" si="26">-($E39-$AI39)/30+R39</f>
        <v>0.33213875124460851</v>
      </c>
      <c r="T39" s="148">
        <f t="shared" ref="T39" si="27">-($E39-$AI39)/30+S39</f>
        <v>0.34477058398350713</v>
      </c>
      <c r="U39" s="148">
        <f t="shared" ref="U39" si="28">-($E39-$AI39)/30+T39</f>
        <v>0.35740241672240575</v>
      </c>
      <c r="V39" s="148">
        <f t="shared" ref="V39" si="29">-($E39-$AI39)/30+U39</f>
        <v>0.37003424946130437</v>
      </c>
      <c r="W39" s="148">
        <f t="shared" ref="W39" si="30">-($E39-$AI39)/30+V39</f>
        <v>0.38266608220020298</v>
      </c>
      <c r="X39" s="148">
        <f t="shared" ref="X39" si="31">-($E39-$AI39)/30+W39</f>
        <v>0.3952979149391016</v>
      </c>
      <c r="Y39" s="148">
        <f t="shared" ref="Y39" si="32">-($E39-$AI39)/30+X39</f>
        <v>0.40792974767800022</v>
      </c>
      <c r="Z39" s="148">
        <f t="shared" ref="Z39" si="33">-($E39-$AI39)/30+Y39</f>
        <v>0.42056158041689884</v>
      </c>
      <c r="AA39" s="148">
        <f t="shared" ref="AA39" si="34">-($E39-$AI39)/30+Z39</f>
        <v>0.43319341315579746</v>
      </c>
      <c r="AB39" s="148">
        <f t="shared" ref="AB39" si="35">-($E39-$AI39)/30+AA39</f>
        <v>0.44582524589469608</v>
      </c>
      <c r="AC39" s="148">
        <f t="shared" ref="AC39" si="36">-($E39-$AI39)/30+AB39</f>
        <v>0.45845707863359469</v>
      </c>
      <c r="AD39" s="148">
        <f t="shared" ref="AD39" si="37">-($E39-$AI39)/30+AC39</f>
        <v>0.47108891137249331</v>
      </c>
      <c r="AE39" s="148">
        <f t="shared" ref="AE39" si="38">-($E39-$AI39)/30+AD39</f>
        <v>0.48372074411139193</v>
      </c>
      <c r="AF39" s="148">
        <f t="shared" ref="AF39" si="39">-($E39-$AI39)/30+AE39</f>
        <v>0.49635257685029055</v>
      </c>
      <c r="AG39" s="148">
        <f t="shared" ref="AG39" si="40">-($E39-$AI39)/30+AF39</f>
        <v>0.50898440958918911</v>
      </c>
      <c r="AH39" s="148">
        <f t="shared" ref="AH39" si="41">-($E39-$AI39)/30+AG39</f>
        <v>0.52161624232808768</v>
      </c>
      <c r="AI39" s="148">
        <f>N4</f>
        <v>0.53424807506698602</v>
      </c>
    </row>
    <row r="40" spans="1:35">
      <c r="A40" s="260"/>
      <c r="B40" t="s">
        <v>17</v>
      </c>
      <c r="C40" t="s">
        <v>735</v>
      </c>
      <c r="D40" t="s">
        <v>160</v>
      </c>
      <c r="E40" s="148">
        <f>D5</f>
        <v>0</v>
      </c>
      <c r="F40" s="148">
        <f t="shared" ref="F40:U60" si="42">-($E40-$AI40)/30+E40</f>
        <v>9.6721311593363788E-4</v>
      </c>
      <c r="G40" s="148">
        <f t="shared" si="42"/>
        <v>1.9344262318672758E-3</v>
      </c>
      <c r="H40" s="148">
        <f t="shared" si="42"/>
        <v>2.9016393478009136E-3</v>
      </c>
      <c r="I40" s="148">
        <f t="shared" si="42"/>
        <v>3.8688524637345515E-3</v>
      </c>
      <c r="J40" s="148">
        <f t="shared" si="42"/>
        <v>4.836065579668189E-3</v>
      </c>
      <c r="K40" s="148">
        <f t="shared" si="42"/>
        <v>5.8032786956018264E-3</v>
      </c>
      <c r="L40" s="148">
        <f t="shared" si="42"/>
        <v>6.7704918115354638E-3</v>
      </c>
      <c r="M40" s="148">
        <f t="shared" si="42"/>
        <v>7.7377049274691013E-3</v>
      </c>
      <c r="N40" s="148">
        <f t="shared" si="42"/>
        <v>8.7049180434027387E-3</v>
      </c>
      <c r="O40" s="148">
        <f t="shared" si="42"/>
        <v>9.6721311593363762E-3</v>
      </c>
      <c r="P40" s="148">
        <f t="shared" si="42"/>
        <v>1.0639344275270014E-2</v>
      </c>
      <c r="Q40" s="148">
        <f t="shared" si="42"/>
        <v>1.1606557391203651E-2</v>
      </c>
      <c r="R40" s="148">
        <f t="shared" si="42"/>
        <v>1.2573770507137288E-2</v>
      </c>
      <c r="S40" s="148">
        <f t="shared" si="42"/>
        <v>1.3540983623070926E-2</v>
      </c>
      <c r="T40" s="148">
        <f t="shared" si="42"/>
        <v>1.4508196739004563E-2</v>
      </c>
      <c r="U40" s="148">
        <f t="shared" si="42"/>
        <v>1.5475409854938201E-2</v>
      </c>
      <c r="V40" s="148">
        <f t="shared" si="13"/>
        <v>1.6442622970871838E-2</v>
      </c>
      <c r="W40" s="148">
        <f t="shared" si="13"/>
        <v>1.7409836086805477E-2</v>
      </c>
      <c r="X40" s="148">
        <f t="shared" si="13"/>
        <v>1.8377049202739117E-2</v>
      </c>
      <c r="Y40" s="148">
        <f t="shared" si="13"/>
        <v>1.9344262318672756E-2</v>
      </c>
      <c r="Z40" s="148">
        <f t="shared" si="13"/>
        <v>2.0311475434606395E-2</v>
      </c>
      <c r="AA40" s="148">
        <f t="shared" si="13"/>
        <v>2.1278688550540034E-2</v>
      </c>
      <c r="AB40" s="148">
        <f t="shared" si="13"/>
        <v>2.2245901666473673E-2</v>
      </c>
      <c r="AC40" s="148">
        <f t="shared" si="13"/>
        <v>2.3213114782407313E-2</v>
      </c>
      <c r="AD40" s="148">
        <f t="shared" si="13"/>
        <v>2.4180327898340952E-2</v>
      </c>
      <c r="AE40" s="148">
        <f t="shared" si="13"/>
        <v>2.5147541014274591E-2</v>
      </c>
      <c r="AF40" s="148">
        <f t="shared" si="13"/>
        <v>2.611475413020823E-2</v>
      </c>
      <c r="AG40" s="148">
        <f t="shared" si="13"/>
        <v>2.7081967246141869E-2</v>
      </c>
      <c r="AH40" s="148">
        <f t="shared" si="13"/>
        <v>2.8049180362075508E-2</v>
      </c>
      <c r="AI40" s="148">
        <f>N5</f>
        <v>2.9016393478009137E-2</v>
      </c>
    </row>
    <row r="41" spans="1:35">
      <c r="A41" s="260"/>
      <c r="B41" t="s">
        <v>17</v>
      </c>
      <c r="C41" t="s">
        <v>735</v>
      </c>
      <c r="D41" t="s">
        <v>27</v>
      </c>
      <c r="E41" s="148">
        <f>D6</f>
        <v>0</v>
      </c>
      <c r="F41" s="148">
        <f t="shared" si="42"/>
        <v>2.0048891691101284E-3</v>
      </c>
      <c r="G41" s="148">
        <f t="shared" si="42"/>
        <v>4.0097783382202568E-3</v>
      </c>
      <c r="H41" s="148">
        <f t="shared" si="42"/>
        <v>6.0146675073303856E-3</v>
      </c>
      <c r="I41" s="148">
        <f t="shared" si="42"/>
        <v>8.0195566764405136E-3</v>
      </c>
      <c r="J41" s="148">
        <f t="shared" si="42"/>
        <v>1.0024445845550642E-2</v>
      </c>
      <c r="K41" s="148">
        <f t="shared" si="42"/>
        <v>1.202933501466077E-2</v>
      </c>
      <c r="L41" s="148">
        <f t="shared" si="42"/>
        <v>1.4034224183770897E-2</v>
      </c>
      <c r="M41" s="148">
        <f t="shared" si="42"/>
        <v>1.6039113352881027E-2</v>
      </c>
      <c r="N41" s="148">
        <f t="shared" si="42"/>
        <v>1.8044002521991155E-2</v>
      </c>
      <c r="O41" s="148">
        <f t="shared" si="42"/>
        <v>2.0048891691101283E-2</v>
      </c>
      <c r="P41" s="148">
        <f t="shared" si="42"/>
        <v>2.2053780860211411E-2</v>
      </c>
      <c r="Q41" s="148">
        <f t="shared" si="42"/>
        <v>2.4058670029321539E-2</v>
      </c>
      <c r="R41" s="148">
        <f t="shared" si="42"/>
        <v>2.6063559198431667E-2</v>
      </c>
      <c r="S41" s="148">
        <f t="shared" si="42"/>
        <v>2.8068448367541795E-2</v>
      </c>
      <c r="T41" s="148">
        <f t="shared" si="42"/>
        <v>3.0073337536651923E-2</v>
      </c>
      <c r="U41" s="148">
        <f t="shared" si="42"/>
        <v>3.2078226705762054E-2</v>
      </c>
      <c r="V41" s="148">
        <f t="shared" si="13"/>
        <v>3.4083115874872186E-2</v>
      </c>
      <c r="W41" s="148">
        <f t="shared" si="13"/>
        <v>3.6088005043982317E-2</v>
      </c>
      <c r="X41" s="148">
        <f t="shared" si="13"/>
        <v>3.8092894213092449E-2</v>
      </c>
      <c r="Y41" s="148">
        <f t="shared" si="13"/>
        <v>4.009778338220258E-2</v>
      </c>
      <c r="Z41" s="148">
        <f t="shared" si="13"/>
        <v>4.2102672551312711E-2</v>
      </c>
      <c r="AA41" s="148">
        <f t="shared" si="13"/>
        <v>4.4107561720422843E-2</v>
      </c>
      <c r="AB41" s="148">
        <f t="shared" si="13"/>
        <v>4.6112450889532974E-2</v>
      </c>
      <c r="AC41" s="148">
        <f t="shared" si="13"/>
        <v>4.8117340058643106E-2</v>
      </c>
      <c r="AD41" s="148">
        <f t="shared" si="13"/>
        <v>5.0122229227753237E-2</v>
      </c>
      <c r="AE41" s="148">
        <f t="shared" si="13"/>
        <v>5.2127118396863369E-2</v>
      </c>
      <c r="AF41" s="148">
        <f t="shared" si="13"/>
        <v>5.41320075659735E-2</v>
      </c>
      <c r="AG41" s="148">
        <f t="shared" si="13"/>
        <v>5.6136896735083631E-2</v>
      </c>
      <c r="AH41" s="148">
        <f t="shared" si="13"/>
        <v>5.8141785904193763E-2</v>
      </c>
      <c r="AI41" s="148">
        <f>N6</f>
        <v>6.0146675073303846E-2</v>
      </c>
    </row>
    <row r="42" spans="1:35" s="61" customFormat="1">
      <c r="A42" s="257"/>
      <c r="B42" s="61" t="s">
        <v>17</v>
      </c>
      <c r="C42" s="61" t="s">
        <v>736</v>
      </c>
      <c r="D42" t="s">
        <v>35</v>
      </c>
      <c r="E42" s="175">
        <f>E3</f>
        <v>0.84470690709997209</v>
      </c>
      <c r="F42" s="175">
        <f t="shared" si="42"/>
        <v>0.82910297207602968</v>
      </c>
      <c r="G42" s="175">
        <f t="shared" si="42"/>
        <v>0.81349903705208726</v>
      </c>
      <c r="H42" s="175">
        <f t="shared" si="42"/>
        <v>0.79789510202814484</v>
      </c>
      <c r="I42" s="175">
        <f t="shared" si="42"/>
        <v>0.78229116700420243</v>
      </c>
      <c r="J42" s="175">
        <f t="shared" si="42"/>
        <v>0.76668723198026001</v>
      </c>
      <c r="K42" s="175">
        <f t="shared" si="42"/>
        <v>0.75108329695631759</v>
      </c>
      <c r="L42" s="175">
        <f t="shared" si="42"/>
        <v>0.73547936193237518</v>
      </c>
      <c r="M42" s="175">
        <f t="shared" si="42"/>
        <v>0.71987542690843276</v>
      </c>
      <c r="N42" s="175">
        <f t="shared" si="42"/>
        <v>0.70427149188449034</v>
      </c>
      <c r="O42" s="175">
        <f t="shared" si="42"/>
        <v>0.68866755686054792</v>
      </c>
      <c r="P42" s="175">
        <f t="shared" si="42"/>
        <v>0.67306362183660551</v>
      </c>
      <c r="Q42" s="175">
        <f t="shared" si="42"/>
        <v>0.65745968681266309</v>
      </c>
      <c r="R42" s="175">
        <f t="shared" si="42"/>
        <v>0.64185575178872067</v>
      </c>
      <c r="S42" s="175">
        <f t="shared" si="42"/>
        <v>0.62625181676477826</v>
      </c>
      <c r="T42" s="175">
        <f t="shared" si="42"/>
        <v>0.61064788174083584</v>
      </c>
      <c r="U42" s="175">
        <f t="shared" si="42"/>
        <v>0.59504394671689342</v>
      </c>
      <c r="V42" s="175">
        <f t="shared" si="13"/>
        <v>0.57944001169295101</v>
      </c>
      <c r="W42" s="175">
        <f t="shared" si="13"/>
        <v>0.56383607666900859</v>
      </c>
      <c r="X42" s="175">
        <f t="shared" si="13"/>
        <v>0.54823214164506617</v>
      </c>
      <c r="Y42" s="175">
        <f t="shared" si="13"/>
        <v>0.53262820662112376</v>
      </c>
      <c r="Z42" s="175">
        <f t="shared" si="13"/>
        <v>0.51702427159718134</v>
      </c>
      <c r="AA42" s="175">
        <f t="shared" si="13"/>
        <v>0.50142033657323892</v>
      </c>
      <c r="AB42" s="175">
        <f t="shared" si="13"/>
        <v>0.48581640154929656</v>
      </c>
      <c r="AC42" s="175">
        <f t="shared" si="13"/>
        <v>0.4702124665253542</v>
      </c>
      <c r="AD42" s="175">
        <f t="shared" si="13"/>
        <v>0.45460853150141184</v>
      </c>
      <c r="AE42" s="175">
        <f t="shared" si="13"/>
        <v>0.43900459647746948</v>
      </c>
      <c r="AF42" s="175">
        <f t="shared" si="13"/>
        <v>0.42340066145352712</v>
      </c>
      <c r="AG42" s="175">
        <f t="shared" si="13"/>
        <v>0.40779672642958475</v>
      </c>
      <c r="AH42" s="175">
        <f t="shared" si="13"/>
        <v>0.39219279140564239</v>
      </c>
      <c r="AI42" s="175">
        <f>O3</f>
        <v>0.37658885638170114</v>
      </c>
    </row>
    <row r="43" spans="1:35">
      <c r="A43" s="260"/>
      <c r="B43" s="61" t="s">
        <v>17</v>
      </c>
      <c r="C43" s="61" t="s">
        <v>736</v>
      </c>
      <c r="D43" t="s">
        <v>74</v>
      </c>
      <c r="E43" s="175">
        <f>E4</f>
        <v>0.15529309290002805</v>
      </c>
      <c r="F43" s="175">
        <f t="shared" ref="F43:U43" si="43">-($E43-$AI43)/30+E43</f>
        <v>0.16792492563892664</v>
      </c>
      <c r="G43" s="175">
        <f t="shared" si="43"/>
        <v>0.18055675837782523</v>
      </c>
      <c r="H43" s="175">
        <f t="shared" si="43"/>
        <v>0.19318859111672382</v>
      </c>
      <c r="I43" s="175">
        <f t="shared" si="43"/>
        <v>0.20582042385562241</v>
      </c>
      <c r="J43" s="175">
        <f t="shared" si="43"/>
        <v>0.218452256594521</v>
      </c>
      <c r="K43" s="175">
        <f t="shared" si="43"/>
        <v>0.23108408933341959</v>
      </c>
      <c r="L43" s="175">
        <f t="shared" si="43"/>
        <v>0.24371592207231818</v>
      </c>
      <c r="M43" s="175">
        <f t="shared" si="43"/>
        <v>0.2563477548112168</v>
      </c>
      <c r="N43" s="175">
        <f t="shared" si="43"/>
        <v>0.26897958755011542</v>
      </c>
      <c r="O43" s="175">
        <f t="shared" si="43"/>
        <v>0.28161142028901404</v>
      </c>
      <c r="P43" s="175">
        <f t="shared" si="43"/>
        <v>0.29424325302791265</v>
      </c>
      <c r="Q43" s="175">
        <f t="shared" si="43"/>
        <v>0.30687508576681127</v>
      </c>
      <c r="R43" s="175">
        <f t="shared" si="43"/>
        <v>0.31950691850570989</v>
      </c>
      <c r="S43" s="175">
        <f t="shared" si="43"/>
        <v>0.33213875124460851</v>
      </c>
      <c r="T43" s="175">
        <f t="shared" si="43"/>
        <v>0.34477058398350713</v>
      </c>
      <c r="U43" s="175">
        <f t="shared" si="43"/>
        <v>0.35740241672240575</v>
      </c>
      <c r="V43" s="175">
        <f t="shared" ref="V43" si="44">-($E43-$AI43)/30+U43</f>
        <v>0.37003424946130437</v>
      </c>
      <c r="W43" s="175">
        <f t="shared" ref="W43" si="45">-($E43-$AI43)/30+V43</f>
        <v>0.38266608220020298</v>
      </c>
      <c r="X43" s="175">
        <f t="shared" ref="X43" si="46">-($E43-$AI43)/30+W43</f>
        <v>0.3952979149391016</v>
      </c>
      <c r="Y43" s="175">
        <f t="shared" ref="Y43" si="47">-($E43-$AI43)/30+X43</f>
        <v>0.40792974767800022</v>
      </c>
      <c r="Z43" s="175">
        <f t="shared" ref="Z43" si="48">-($E43-$AI43)/30+Y43</f>
        <v>0.42056158041689884</v>
      </c>
      <c r="AA43" s="175">
        <f t="shared" ref="AA43" si="49">-($E43-$AI43)/30+Z43</f>
        <v>0.43319341315579746</v>
      </c>
      <c r="AB43" s="175">
        <f t="shared" ref="AB43" si="50">-($E43-$AI43)/30+AA43</f>
        <v>0.44582524589469608</v>
      </c>
      <c r="AC43" s="175">
        <f t="shared" ref="AC43" si="51">-($E43-$AI43)/30+AB43</f>
        <v>0.45845707863359469</v>
      </c>
      <c r="AD43" s="175">
        <f t="shared" ref="AD43" si="52">-($E43-$AI43)/30+AC43</f>
        <v>0.47108891137249331</v>
      </c>
      <c r="AE43" s="175">
        <f t="shared" ref="AE43" si="53">-($E43-$AI43)/30+AD43</f>
        <v>0.48372074411139193</v>
      </c>
      <c r="AF43" s="175">
        <f t="shared" ref="AF43" si="54">-($E43-$AI43)/30+AE43</f>
        <v>0.49635257685029055</v>
      </c>
      <c r="AG43" s="175">
        <f t="shared" ref="AG43" si="55">-($E43-$AI43)/30+AF43</f>
        <v>0.50898440958918911</v>
      </c>
      <c r="AH43" s="175">
        <f t="shared" ref="AH43" si="56">-($E43-$AI43)/30+AG43</f>
        <v>0.52161624232808768</v>
      </c>
      <c r="AI43" s="175">
        <f>O4</f>
        <v>0.53424807506698602</v>
      </c>
    </row>
    <row r="44" spans="1:35">
      <c r="A44" s="260"/>
      <c r="B44" t="s">
        <v>17</v>
      </c>
      <c r="C44" t="s">
        <v>736</v>
      </c>
      <c r="D44" t="s">
        <v>160</v>
      </c>
      <c r="E44" s="148">
        <f>E5</f>
        <v>0</v>
      </c>
      <c r="F44" s="148">
        <f t="shared" si="42"/>
        <v>9.6721311593363788E-4</v>
      </c>
      <c r="G44" s="148">
        <f t="shared" si="42"/>
        <v>1.9344262318672758E-3</v>
      </c>
      <c r="H44" s="148">
        <f t="shared" si="42"/>
        <v>2.9016393478009136E-3</v>
      </c>
      <c r="I44" s="148">
        <f t="shared" si="42"/>
        <v>3.8688524637345515E-3</v>
      </c>
      <c r="J44" s="148">
        <f t="shared" si="42"/>
        <v>4.836065579668189E-3</v>
      </c>
      <c r="K44" s="148">
        <f t="shared" si="42"/>
        <v>5.8032786956018264E-3</v>
      </c>
      <c r="L44" s="148">
        <f t="shared" si="42"/>
        <v>6.7704918115354638E-3</v>
      </c>
      <c r="M44" s="148">
        <f t="shared" si="42"/>
        <v>7.7377049274691013E-3</v>
      </c>
      <c r="N44" s="148">
        <f t="shared" si="42"/>
        <v>8.7049180434027387E-3</v>
      </c>
      <c r="O44" s="148">
        <f t="shared" si="42"/>
        <v>9.6721311593363762E-3</v>
      </c>
      <c r="P44" s="148">
        <f t="shared" si="42"/>
        <v>1.0639344275270014E-2</v>
      </c>
      <c r="Q44" s="148">
        <f t="shared" si="42"/>
        <v>1.1606557391203651E-2</v>
      </c>
      <c r="R44" s="148">
        <f t="shared" si="42"/>
        <v>1.2573770507137288E-2</v>
      </c>
      <c r="S44" s="148">
        <f t="shared" si="42"/>
        <v>1.3540983623070926E-2</v>
      </c>
      <c r="T44" s="148">
        <f t="shared" si="42"/>
        <v>1.4508196739004563E-2</v>
      </c>
      <c r="U44" s="148">
        <f t="shared" si="42"/>
        <v>1.5475409854938201E-2</v>
      </c>
      <c r="V44" s="148">
        <f t="shared" si="13"/>
        <v>1.6442622970871838E-2</v>
      </c>
      <c r="W44" s="148">
        <f t="shared" si="13"/>
        <v>1.7409836086805477E-2</v>
      </c>
      <c r="X44" s="148">
        <f t="shared" si="13"/>
        <v>1.8377049202739117E-2</v>
      </c>
      <c r="Y44" s="148">
        <f t="shared" si="13"/>
        <v>1.9344262318672756E-2</v>
      </c>
      <c r="Z44" s="148">
        <f t="shared" si="13"/>
        <v>2.0311475434606395E-2</v>
      </c>
      <c r="AA44" s="148">
        <f t="shared" si="13"/>
        <v>2.1278688550540034E-2</v>
      </c>
      <c r="AB44" s="148">
        <f t="shared" si="13"/>
        <v>2.2245901666473673E-2</v>
      </c>
      <c r="AC44" s="148">
        <f t="shared" si="13"/>
        <v>2.3213114782407313E-2</v>
      </c>
      <c r="AD44" s="148">
        <f t="shared" si="13"/>
        <v>2.4180327898340952E-2</v>
      </c>
      <c r="AE44" s="148">
        <f t="shared" si="13"/>
        <v>2.5147541014274591E-2</v>
      </c>
      <c r="AF44" s="148">
        <f t="shared" si="13"/>
        <v>2.611475413020823E-2</v>
      </c>
      <c r="AG44" s="148">
        <f t="shared" si="13"/>
        <v>2.7081967246141869E-2</v>
      </c>
      <c r="AH44" s="148">
        <f t="shared" si="13"/>
        <v>2.8049180362075508E-2</v>
      </c>
      <c r="AI44" s="148">
        <f>O5</f>
        <v>2.9016393478009137E-2</v>
      </c>
    </row>
    <row r="45" spans="1:35">
      <c r="A45" s="260"/>
      <c r="B45" t="s">
        <v>17</v>
      </c>
      <c r="C45" t="s">
        <v>736</v>
      </c>
      <c r="D45" t="s">
        <v>27</v>
      </c>
      <c r="E45" s="148">
        <f>E6</f>
        <v>0</v>
      </c>
      <c r="F45" s="148">
        <f t="shared" si="42"/>
        <v>2.0048891691101284E-3</v>
      </c>
      <c r="G45" s="148">
        <f t="shared" si="42"/>
        <v>4.0097783382202568E-3</v>
      </c>
      <c r="H45" s="148">
        <f t="shared" si="42"/>
        <v>6.0146675073303856E-3</v>
      </c>
      <c r="I45" s="148">
        <f t="shared" si="42"/>
        <v>8.0195566764405136E-3</v>
      </c>
      <c r="J45" s="148">
        <f t="shared" si="42"/>
        <v>1.0024445845550642E-2</v>
      </c>
      <c r="K45" s="148">
        <f t="shared" si="42"/>
        <v>1.202933501466077E-2</v>
      </c>
      <c r="L45" s="148">
        <f t="shared" si="42"/>
        <v>1.4034224183770897E-2</v>
      </c>
      <c r="M45" s="148">
        <f t="shared" si="42"/>
        <v>1.6039113352881027E-2</v>
      </c>
      <c r="N45" s="148">
        <f t="shared" si="42"/>
        <v>1.8044002521991155E-2</v>
      </c>
      <c r="O45" s="148">
        <f t="shared" si="42"/>
        <v>2.0048891691101283E-2</v>
      </c>
      <c r="P45" s="148">
        <f t="shared" si="42"/>
        <v>2.2053780860211411E-2</v>
      </c>
      <c r="Q45" s="148">
        <f t="shared" si="42"/>
        <v>2.4058670029321539E-2</v>
      </c>
      <c r="R45" s="148">
        <f t="shared" si="42"/>
        <v>2.6063559198431667E-2</v>
      </c>
      <c r="S45" s="148">
        <f t="shared" si="42"/>
        <v>2.8068448367541795E-2</v>
      </c>
      <c r="T45" s="148">
        <f t="shared" si="42"/>
        <v>3.0073337536651923E-2</v>
      </c>
      <c r="U45" s="148">
        <f t="shared" si="42"/>
        <v>3.2078226705762054E-2</v>
      </c>
      <c r="V45" s="148">
        <f t="shared" si="13"/>
        <v>3.4083115874872186E-2</v>
      </c>
      <c r="W45" s="148">
        <f t="shared" si="13"/>
        <v>3.6088005043982317E-2</v>
      </c>
      <c r="X45" s="148">
        <f t="shared" si="13"/>
        <v>3.8092894213092449E-2</v>
      </c>
      <c r="Y45" s="148">
        <f t="shared" si="13"/>
        <v>4.009778338220258E-2</v>
      </c>
      <c r="Z45" s="148">
        <f t="shared" si="13"/>
        <v>4.2102672551312711E-2</v>
      </c>
      <c r="AA45" s="148">
        <f t="shared" si="13"/>
        <v>4.4107561720422843E-2</v>
      </c>
      <c r="AB45" s="148">
        <f t="shared" si="13"/>
        <v>4.6112450889532974E-2</v>
      </c>
      <c r="AC45" s="148">
        <f t="shared" si="13"/>
        <v>4.8117340058643106E-2</v>
      </c>
      <c r="AD45" s="148">
        <f t="shared" si="13"/>
        <v>5.0122229227753237E-2</v>
      </c>
      <c r="AE45" s="148">
        <f t="shared" si="13"/>
        <v>5.2127118396863369E-2</v>
      </c>
      <c r="AF45" s="148">
        <f t="shared" si="13"/>
        <v>5.41320075659735E-2</v>
      </c>
      <c r="AG45" s="148">
        <f t="shared" si="13"/>
        <v>5.6136896735083631E-2</v>
      </c>
      <c r="AH45" s="148">
        <f t="shared" si="13"/>
        <v>5.8141785904193763E-2</v>
      </c>
      <c r="AI45" s="148">
        <f>O6</f>
        <v>6.0146675073303846E-2</v>
      </c>
    </row>
    <row r="46" spans="1:35" s="61" customFormat="1">
      <c r="A46" s="257"/>
      <c r="B46" s="61" t="s">
        <v>17</v>
      </c>
      <c r="C46" s="61" t="s">
        <v>741</v>
      </c>
      <c r="D46" t="s">
        <v>35</v>
      </c>
      <c r="E46" s="175">
        <f>F3</f>
        <v>0.84470690709997209</v>
      </c>
      <c r="F46" s="175">
        <f t="shared" si="42"/>
        <v>0.81655001019663964</v>
      </c>
      <c r="G46" s="175">
        <f t="shared" si="42"/>
        <v>0.78839311329330719</v>
      </c>
      <c r="H46" s="175">
        <f t="shared" si="42"/>
        <v>0.76023621638997474</v>
      </c>
      <c r="I46" s="175">
        <f t="shared" si="42"/>
        <v>0.73207931948664229</v>
      </c>
      <c r="J46" s="175">
        <f t="shared" si="42"/>
        <v>0.70392242258330984</v>
      </c>
      <c r="K46" s="175">
        <f t="shared" si="42"/>
        <v>0.67576552567997739</v>
      </c>
      <c r="L46" s="175">
        <f t="shared" si="42"/>
        <v>0.64760862877664493</v>
      </c>
      <c r="M46" s="175">
        <f t="shared" si="42"/>
        <v>0.61945173187331248</v>
      </c>
      <c r="N46" s="175">
        <f t="shared" si="42"/>
        <v>0.59129483496998003</v>
      </c>
      <c r="O46" s="175">
        <f t="shared" si="42"/>
        <v>0.56313793806664758</v>
      </c>
      <c r="P46" s="175">
        <f t="shared" si="42"/>
        <v>0.53498104116331513</v>
      </c>
      <c r="Q46" s="175">
        <f t="shared" si="42"/>
        <v>0.50682414425998268</v>
      </c>
      <c r="R46" s="175">
        <f t="shared" si="42"/>
        <v>0.47866724735665028</v>
      </c>
      <c r="S46" s="175">
        <f t="shared" si="42"/>
        <v>0.45051035045331789</v>
      </c>
      <c r="T46" s="175">
        <f t="shared" si="42"/>
        <v>0.42235345354998549</v>
      </c>
      <c r="U46" s="175">
        <f t="shared" si="42"/>
        <v>0.3941965566466531</v>
      </c>
      <c r="V46" s="175">
        <f t="shared" si="13"/>
        <v>0.3660396597433207</v>
      </c>
      <c r="W46" s="175">
        <f t="shared" si="13"/>
        <v>0.3378827628399883</v>
      </c>
      <c r="X46" s="175">
        <f t="shared" si="13"/>
        <v>0.30972586593665591</v>
      </c>
      <c r="Y46" s="175">
        <f t="shared" si="13"/>
        <v>0.28156896903332351</v>
      </c>
      <c r="Z46" s="175">
        <f t="shared" si="13"/>
        <v>0.25341207212999112</v>
      </c>
      <c r="AA46" s="175">
        <f t="shared" si="13"/>
        <v>0.22525517522665872</v>
      </c>
      <c r="AB46" s="175">
        <f t="shared" si="13"/>
        <v>0.19709827832332633</v>
      </c>
      <c r="AC46" s="175">
        <f t="shared" si="13"/>
        <v>0.16894138141999393</v>
      </c>
      <c r="AD46" s="175">
        <f t="shared" si="13"/>
        <v>0.14078448451666153</v>
      </c>
      <c r="AE46" s="175">
        <f t="shared" si="13"/>
        <v>0.11262758761332914</v>
      </c>
      <c r="AF46" s="175">
        <f t="shared" si="13"/>
        <v>8.4470690709996743E-2</v>
      </c>
      <c r="AG46" s="175">
        <f t="shared" si="13"/>
        <v>5.631379380666434E-2</v>
      </c>
      <c r="AH46" s="175">
        <f t="shared" si="13"/>
        <v>2.8156896903331938E-2</v>
      </c>
      <c r="AI46" s="175">
        <f>P3</f>
        <v>0</v>
      </c>
    </row>
    <row r="47" spans="1:35">
      <c r="A47" s="260"/>
      <c r="B47" s="61" t="s">
        <v>17</v>
      </c>
      <c r="C47" s="61" t="s">
        <v>741</v>
      </c>
      <c r="D47" t="s">
        <v>74</v>
      </c>
      <c r="E47" s="175">
        <f>F4</f>
        <v>0.15529309290002805</v>
      </c>
      <c r="F47" s="175">
        <f t="shared" ref="F47:U47" si="57">-($E47-$AI47)/30+E47</f>
        <v>0.15011665647002712</v>
      </c>
      <c r="G47" s="175">
        <f t="shared" si="57"/>
        <v>0.14494022004002619</v>
      </c>
      <c r="H47" s="175">
        <f t="shared" si="57"/>
        <v>0.13976378361002526</v>
      </c>
      <c r="I47" s="175">
        <f t="shared" si="57"/>
        <v>0.13458734718002432</v>
      </c>
      <c r="J47" s="175">
        <f t="shared" si="57"/>
        <v>0.12941091075002339</v>
      </c>
      <c r="K47" s="175">
        <f t="shared" si="57"/>
        <v>0.12423447432002246</v>
      </c>
      <c r="L47" s="175">
        <f t="shared" si="57"/>
        <v>0.11905803789002153</v>
      </c>
      <c r="M47" s="175">
        <f t="shared" si="57"/>
        <v>0.1138816014600206</v>
      </c>
      <c r="N47" s="175">
        <f t="shared" si="57"/>
        <v>0.10870516503001967</v>
      </c>
      <c r="O47" s="175">
        <f t="shared" si="57"/>
        <v>0.10352872860001874</v>
      </c>
      <c r="P47" s="175">
        <f t="shared" si="57"/>
        <v>9.8352292170017813E-2</v>
      </c>
      <c r="Q47" s="175">
        <f t="shared" si="57"/>
        <v>9.3175855740016883E-2</v>
      </c>
      <c r="R47" s="175">
        <f t="shared" si="57"/>
        <v>8.7999419310015953E-2</v>
      </c>
      <c r="S47" s="175">
        <f t="shared" si="57"/>
        <v>8.2822982880015023E-2</v>
      </c>
      <c r="T47" s="175">
        <f t="shared" si="57"/>
        <v>7.7646546450014092E-2</v>
      </c>
      <c r="U47" s="175">
        <f t="shared" si="57"/>
        <v>7.2470110020013162E-2</v>
      </c>
      <c r="V47" s="175">
        <f t="shared" ref="V47" si="58">-($E47-$AI47)/30+U47</f>
        <v>6.7293673590012232E-2</v>
      </c>
      <c r="W47" s="175">
        <f t="shared" ref="W47" si="59">-($E47-$AI47)/30+V47</f>
        <v>6.2117237160011295E-2</v>
      </c>
      <c r="X47" s="175">
        <f t="shared" ref="X47" si="60">-($E47-$AI47)/30+W47</f>
        <v>5.6940800730010357E-2</v>
      </c>
      <c r="Y47" s="175">
        <f t="shared" ref="Y47" si="61">-($E47-$AI47)/30+X47</f>
        <v>5.176436430000942E-2</v>
      </c>
      <c r="Z47" s="175">
        <f t="shared" ref="Z47" si="62">-($E47-$AI47)/30+Y47</f>
        <v>4.6587927870008483E-2</v>
      </c>
      <c r="AA47" s="175">
        <f t="shared" ref="AA47" si="63">-($E47-$AI47)/30+Z47</f>
        <v>4.1411491440007546E-2</v>
      </c>
      <c r="AB47" s="175">
        <f t="shared" ref="AB47" si="64">-($E47-$AI47)/30+AA47</f>
        <v>3.6235055010006609E-2</v>
      </c>
      <c r="AC47" s="175">
        <f t="shared" ref="AC47" si="65">-($E47-$AI47)/30+AB47</f>
        <v>3.1058618580005675E-2</v>
      </c>
      <c r="AD47" s="175">
        <f t="shared" ref="AD47" si="66">-($E47-$AI47)/30+AC47</f>
        <v>2.5882182150004741E-2</v>
      </c>
      <c r="AE47" s="175">
        <f t="shared" ref="AE47" si="67">-($E47-$AI47)/30+AD47</f>
        <v>2.0705745720003808E-2</v>
      </c>
      <c r="AF47" s="175">
        <f t="shared" ref="AF47" si="68">-($E47-$AI47)/30+AE47</f>
        <v>1.5529309290002874E-2</v>
      </c>
      <c r="AG47" s="175">
        <f t="shared" ref="AG47" si="69">-($E47-$AI47)/30+AF47</f>
        <v>1.035287286000194E-2</v>
      </c>
      <c r="AH47" s="175">
        <f t="shared" ref="AH47" si="70">-($E47-$AI47)/30+AG47</f>
        <v>5.1764364300010057E-3</v>
      </c>
      <c r="AI47" s="175">
        <f>P4</f>
        <v>0</v>
      </c>
    </row>
    <row r="48" spans="1:35">
      <c r="A48" s="260"/>
      <c r="B48" t="s">
        <v>17</v>
      </c>
      <c r="C48" t="s">
        <v>741</v>
      </c>
      <c r="D48" t="s">
        <v>160</v>
      </c>
      <c r="E48" s="148">
        <f>F5</f>
        <v>0</v>
      </c>
      <c r="F48" s="148">
        <f t="shared" si="42"/>
        <v>1.6666666666666666E-2</v>
      </c>
      <c r="G48" s="148">
        <f t="shared" si="42"/>
        <v>3.3333333333333333E-2</v>
      </c>
      <c r="H48" s="148">
        <f t="shared" si="42"/>
        <v>0.05</v>
      </c>
      <c r="I48" s="148">
        <f t="shared" si="42"/>
        <v>6.6666666666666666E-2</v>
      </c>
      <c r="J48" s="148">
        <f t="shared" si="42"/>
        <v>8.3333333333333329E-2</v>
      </c>
      <c r="K48" s="148">
        <f t="shared" si="42"/>
        <v>9.9999999999999992E-2</v>
      </c>
      <c r="L48" s="148">
        <f t="shared" si="42"/>
        <v>0.11666666666666665</v>
      </c>
      <c r="M48" s="148">
        <f t="shared" si="42"/>
        <v>0.13333333333333333</v>
      </c>
      <c r="N48" s="148">
        <f t="shared" si="42"/>
        <v>0.15</v>
      </c>
      <c r="O48" s="148">
        <f t="shared" si="42"/>
        <v>0.16666666666666666</v>
      </c>
      <c r="P48" s="148">
        <f t="shared" si="42"/>
        <v>0.18333333333333332</v>
      </c>
      <c r="Q48" s="148">
        <f t="shared" si="42"/>
        <v>0.19999999999999998</v>
      </c>
      <c r="R48" s="148">
        <f t="shared" si="42"/>
        <v>0.21666666666666665</v>
      </c>
      <c r="S48" s="148">
        <f t="shared" si="42"/>
        <v>0.23333333333333331</v>
      </c>
      <c r="T48" s="148">
        <f t="shared" si="42"/>
        <v>0.24999999999999997</v>
      </c>
      <c r="U48" s="148">
        <f t="shared" si="42"/>
        <v>0.26666666666666666</v>
      </c>
      <c r="V48" s="148">
        <f t="shared" si="13"/>
        <v>0.28333333333333333</v>
      </c>
      <c r="W48" s="148">
        <f t="shared" si="13"/>
        <v>0.3</v>
      </c>
      <c r="X48" s="148">
        <f t="shared" si="13"/>
        <v>0.31666666666666665</v>
      </c>
      <c r="Y48" s="148">
        <f t="shared" si="13"/>
        <v>0.33333333333333331</v>
      </c>
      <c r="Z48" s="148">
        <f t="shared" si="13"/>
        <v>0.35</v>
      </c>
      <c r="AA48" s="148">
        <f t="shared" si="13"/>
        <v>0.36666666666666664</v>
      </c>
      <c r="AB48" s="148">
        <f t="shared" si="13"/>
        <v>0.3833333333333333</v>
      </c>
      <c r="AC48" s="148">
        <f t="shared" si="13"/>
        <v>0.39999999999999997</v>
      </c>
      <c r="AD48" s="148">
        <f t="shared" si="13"/>
        <v>0.41666666666666663</v>
      </c>
      <c r="AE48" s="148">
        <f t="shared" si="13"/>
        <v>0.43333333333333329</v>
      </c>
      <c r="AF48" s="148">
        <f t="shared" si="13"/>
        <v>0.44999999999999996</v>
      </c>
      <c r="AG48" s="148">
        <f t="shared" si="13"/>
        <v>0.46666666666666662</v>
      </c>
      <c r="AH48" s="148">
        <f t="shared" si="13"/>
        <v>0.48333333333333328</v>
      </c>
      <c r="AI48" s="148">
        <f>P5</f>
        <v>0.5</v>
      </c>
    </row>
    <row r="49" spans="1:35">
      <c r="A49" s="260"/>
      <c r="B49" t="s">
        <v>17</v>
      </c>
      <c r="C49" t="s">
        <v>741</v>
      </c>
      <c r="D49" t="s">
        <v>27</v>
      </c>
      <c r="E49" s="148">
        <f>F6</f>
        <v>0</v>
      </c>
      <c r="F49" s="148">
        <f t="shared" si="42"/>
        <v>1.6666666666666666E-2</v>
      </c>
      <c r="G49" s="148">
        <f t="shared" si="42"/>
        <v>3.3333333333333333E-2</v>
      </c>
      <c r="H49" s="148">
        <f t="shared" si="42"/>
        <v>0.05</v>
      </c>
      <c r="I49" s="148">
        <f t="shared" si="42"/>
        <v>6.6666666666666666E-2</v>
      </c>
      <c r="J49" s="148">
        <f t="shared" si="42"/>
        <v>8.3333333333333329E-2</v>
      </c>
      <c r="K49" s="148">
        <f t="shared" si="42"/>
        <v>9.9999999999999992E-2</v>
      </c>
      <c r="L49" s="148">
        <f t="shared" si="42"/>
        <v>0.11666666666666665</v>
      </c>
      <c r="M49" s="148">
        <f t="shared" si="42"/>
        <v>0.13333333333333333</v>
      </c>
      <c r="N49" s="148">
        <f t="shared" si="42"/>
        <v>0.15</v>
      </c>
      <c r="O49" s="148">
        <f t="shared" si="42"/>
        <v>0.16666666666666666</v>
      </c>
      <c r="P49" s="148">
        <f t="shared" si="42"/>
        <v>0.18333333333333332</v>
      </c>
      <c r="Q49" s="148">
        <f t="shared" si="42"/>
        <v>0.19999999999999998</v>
      </c>
      <c r="R49" s="148">
        <f t="shared" si="42"/>
        <v>0.21666666666666665</v>
      </c>
      <c r="S49" s="148">
        <f t="shared" si="42"/>
        <v>0.23333333333333331</v>
      </c>
      <c r="T49" s="148">
        <f t="shared" si="42"/>
        <v>0.24999999999999997</v>
      </c>
      <c r="U49" s="148">
        <f t="shared" si="42"/>
        <v>0.26666666666666666</v>
      </c>
      <c r="V49" s="148">
        <f t="shared" si="13"/>
        <v>0.28333333333333333</v>
      </c>
      <c r="W49" s="148">
        <f t="shared" si="13"/>
        <v>0.3</v>
      </c>
      <c r="X49" s="148">
        <f t="shared" si="13"/>
        <v>0.31666666666666665</v>
      </c>
      <c r="Y49" s="148">
        <f t="shared" si="13"/>
        <v>0.33333333333333331</v>
      </c>
      <c r="Z49" s="148">
        <f t="shared" si="13"/>
        <v>0.35</v>
      </c>
      <c r="AA49" s="148">
        <f t="shared" si="13"/>
        <v>0.36666666666666664</v>
      </c>
      <c r="AB49" s="148">
        <f t="shared" si="13"/>
        <v>0.3833333333333333</v>
      </c>
      <c r="AC49" s="148">
        <f t="shared" si="13"/>
        <v>0.39999999999999997</v>
      </c>
      <c r="AD49" s="148">
        <f t="shared" si="13"/>
        <v>0.41666666666666663</v>
      </c>
      <c r="AE49" s="148">
        <f t="shared" si="13"/>
        <v>0.43333333333333329</v>
      </c>
      <c r="AF49" s="148">
        <f t="shared" si="13"/>
        <v>0.44999999999999996</v>
      </c>
      <c r="AG49" s="148">
        <f t="shared" si="13"/>
        <v>0.46666666666666662</v>
      </c>
      <c r="AH49" s="148">
        <f t="shared" si="13"/>
        <v>0.48333333333333328</v>
      </c>
      <c r="AI49" s="148">
        <f>P6</f>
        <v>0.5</v>
      </c>
    </row>
    <row r="50" spans="1:35" s="61" customFormat="1">
      <c r="A50" s="257"/>
      <c r="B50" s="61" t="s">
        <v>17</v>
      </c>
      <c r="C50" s="61" t="s">
        <v>737</v>
      </c>
      <c r="D50" t="s">
        <v>35</v>
      </c>
      <c r="E50" s="175">
        <f>G3</f>
        <v>0.84470690709997209</v>
      </c>
      <c r="F50" s="175">
        <f t="shared" si="42"/>
        <v>0.81655001019663964</v>
      </c>
      <c r="G50" s="175">
        <f t="shared" si="42"/>
        <v>0.78839311329330719</v>
      </c>
      <c r="H50" s="175">
        <f t="shared" si="42"/>
        <v>0.76023621638997474</v>
      </c>
      <c r="I50" s="175">
        <f t="shared" si="42"/>
        <v>0.73207931948664229</v>
      </c>
      <c r="J50" s="175">
        <f t="shared" si="42"/>
        <v>0.70392242258330984</v>
      </c>
      <c r="K50" s="175">
        <f t="shared" si="42"/>
        <v>0.67576552567997739</v>
      </c>
      <c r="L50" s="175">
        <f t="shared" si="42"/>
        <v>0.64760862877664493</v>
      </c>
      <c r="M50" s="175">
        <f t="shared" si="42"/>
        <v>0.61945173187331248</v>
      </c>
      <c r="N50" s="175">
        <f t="shared" si="42"/>
        <v>0.59129483496998003</v>
      </c>
      <c r="O50" s="175">
        <f t="shared" si="42"/>
        <v>0.56313793806664758</v>
      </c>
      <c r="P50" s="175">
        <f t="shared" si="42"/>
        <v>0.53498104116331513</v>
      </c>
      <c r="Q50" s="175">
        <f t="shared" si="42"/>
        <v>0.50682414425998268</v>
      </c>
      <c r="R50" s="175">
        <f t="shared" si="42"/>
        <v>0.47866724735665028</v>
      </c>
      <c r="S50" s="175">
        <f t="shared" si="42"/>
        <v>0.45051035045331789</v>
      </c>
      <c r="T50" s="175">
        <f t="shared" si="42"/>
        <v>0.42235345354998549</v>
      </c>
      <c r="U50" s="175">
        <f t="shared" si="42"/>
        <v>0.3941965566466531</v>
      </c>
      <c r="V50" s="175">
        <f t="shared" si="13"/>
        <v>0.3660396597433207</v>
      </c>
      <c r="W50" s="175">
        <f t="shared" si="13"/>
        <v>0.3378827628399883</v>
      </c>
      <c r="X50" s="175">
        <f t="shared" si="13"/>
        <v>0.30972586593665591</v>
      </c>
      <c r="Y50" s="175">
        <f t="shared" si="13"/>
        <v>0.28156896903332351</v>
      </c>
      <c r="Z50" s="175">
        <f t="shared" si="13"/>
        <v>0.25341207212999112</v>
      </c>
      <c r="AA50" s="175">
        <f t="shared" si="13"/>
        <v>0.22525517522665872</v>
      </c>
      <c r="AB50" s="175">
        <f t="shared" si="13"/>
        <v>0.19709827832332633</v>
      </c>
      <c r="AC50" s="175">
        <f t="shared" si="13"/>
        <v>0.16894138141999393</v>
      </c>
      <c r="AD50" s="175">
        <f t="shared" si="13"/>
        <v>0.14078448451666153</v>
      </c>
      <c r="AE50" s="175">
        <f t="shared" si="13"/>
        <v>0.11262758761332914</v>
      </c>
      <c r="AF50" s="175">
        <f t="shared" si="13"/>
        <v>8.4470690709996743E-2</v>
      </c>
      <c r="AG50" s="175">
        <f t="shared" si="13"/>
        <v>5.631379380666434E-2</v>
      </c>
      <c r="AH50" s="175">
        <f t="shared" si="13"/>
        <v>2.8156896903331938E-2</v>
      </c>
      <c r="AI50" s="175">
        <f>Q3</f>
        <v>0</v>
      </c>
    </row>
    <row r="51" spans="1:35">
      <c r="A51" s="260"/>
      <c r="B51" s="61" t="s">
        <v>17</v>
      </c>
      <c r="C51" s="61" t="s">
        <v>737</v>
      </c>
      <c r="D51" t="s">
        <v>74</v>
      </c>
      <c r="E51" s="175">
        <f>G4</f>
        <v>0.15529309290002805</v>
      </c>
      <c r="F51" s="175">
        <f t="shared" ref="F51:U51" si="71">-($E51-$AI51)/30+E51</f>
        <v>0.15011665647002712</v>
      </c>
      <c r="G51" s="175">
        <f t="shared" si="71"/>
        <v>0.14494022004002619</v>
      </c>
      <c r="H51" s="175">
        <f t="shared" si="71"/>
        <v>0.13976378361002526</v>
      </c>
      <c r="I51" s="175">
        <f t="shared" si="71"/>
        <v>0.13458734718002432</v>
      </c>
      <c r="J51" s="175">
        <f t="shared" si="71"/>
        <v>0.12941091075002339</v>
      </c>
      <c r="K51" s="175">
        <f t="shared" si="71"/>
        <v>0.12423447432002246</v>
      </c>
      <c r="L51" s="175">
        <f t="shared" si="71"/>
        <v>0.11905803789002153</v>
      </c>
      <c r="M51" s="175">
        <f t="shared" si="71"/>
        <v>0.1138816014600206</v>
      </c>
      <c r="N51" s="175">
        <f t="shared" si="71"/>
        <v>0.10870516503001967</v>
      </c>
      <c r="O51" s="175">
        <f t="shared" si="71"/>
        <v>0.10352872860001874</v>
      </c>
      <c r="P51" s="175">
        <f t="shared" si="71"/>
        <v>9.8352292170017813E-2</v>
      </c>
      <c r="Q51" s="175">
        <f t="shared" si="71"/>
        <v>9.3175855740016883E-2</v>
      </c>
      <c r="R51" s="175">
        <f t="shared" si="71"/>
        <v>8.7999419310015953E-2</v>
      </c>
      <c r="S51" s="175">
        <f t="shared" si="71"/>
        <v>8.2822982880015023E-2</v>
      </c>
      <c r="T51" s="175">
        <f t="shared" si="71"/>
        <v>7.7646546450014092E-2</v>
      </c>
      <c r="U51" s="175">
        <f t="shared" si="71"/>
        <v>7.2470110020013162E-2</v>
      </c>
      <c r="V51" s="175">
        <f t="shared" ref="V51" si="72">-($E51-$AI51)/30+U51</f>
        <v>6.7293673590012232E-2</v>
      </c>
      <c r="W51" s="175">
        <f t="shared" ref="W51" si="73">-($E51-$AI51)/30+V51</f>
        <v>6.2117237160011295E-2</v>
      </c>
      <c r="X51" s="175">
        <f t="shared" ref="X51" si="74">-($E51-$AI51)/30+W51</f>
        <v>5.6940800730010357E-2</v>
      </c>
      <c r="Y51" s="175">
        <f t="shared" ref="Y51" si="75">-($E51-$AI51)/30+X51</f>
        <v>5.176436430000942E-2</v>
      </c>
      <c r="Z51" s="175">
        <f t="shared" ref="Z51" si="76">-($E51-$AI51)/30+Y51</f>
        <v>4.6587927870008483E-2</v>
      </c>
      <c r="AA51" s="175">
        <f t="shared" ref="AA51" si="77">-($E51-$AI51)/30+Z51</f>
        <v>4.1411491440007546E-2</v>
      </c>
      <c r="AB51" s="175">
        <f t="shared" ref="AB51" si="78">-($E51-$AI51)/30+AA51</f>
        <v>3.6235055010006609E-2</v>
      </c>
      <c r="AC51" s="175">
        <f t="shared" ref="AC51" si="79">-($E51-$AI51)/30+AB51</f>
        <v>3.1058618580005675E-2</v>
      </c>
      <c r="AD51" s="175">
        <f t="shared" ref="AD51" si="80">-($E51-$AI51)/30+AC51</f>
        <v>2.5882182150004741E-2</v>
      </c>
      <c r="AE51" s="175">
        <f t="shared" ref="AE51" si="81">-($E51-$AI51)/30+AD51</f>
        <v>2.0705745720003808E-2</v>
      </c>
      <c r="AF51" s="175">
        <f t="shared" ref="AF51" si="82">-($E51-$AI51)/30+AE51</f>
        <v>1.5529309290002874E-2</v>
      </c>
      <c r="AG51" s="175">
        <f t="shared" ref="AG51" si="83">-($E51-$AI51)/30+AF51</f>
        <v>1.035287286000194E-2</v>
      </c>
      <c r="AH51" s="175">
        <f t="shared" ref="AH51" si="84">-($E51-$AI51)/30+AG51</f>
        <v>5.1764364300010057E-3</v>
      </c>
      <c r="AI51" s="175">
        <f>Q4</f>
        <v>0</v>
      </c>
    </row>
    <row r="52" spans="1:35">
      <c r="A52" s="260"/>
      <c r="B52" t="s">
        <v>17</v>
      </c>
      <c r="C52" t="s">
        <v>737</v>
      </c>
      <c r="D52" t="s">
        <v>160</v>
      </c>
      <c r="E52" s="148">
        <f>G5</f>
        <v>0</v>
      </c>
      <c r="F52" s="148">
        <f t="shared" si="42"/>
        <v>1.6666666666666666E-2</v>
      </c>
      <c r="G52" s="148">
        <f t="shared" si="42"/>
        <v>3.3333333333333333E-2</v>
      </c>
      <c r="H52" s="148">
        <f t="shared" si="42"/>
        <v>0.05</v>
      </c>
      <c r="I52" s="148">
        <f t="shared" si="42"/>
        <v>6.6666666666666666E-2</v>
      </c>
      <c r="J52" s="148">
        <f t="shared" si="42"/>
        <v>8.3333333333333329E-2</v>
      </c>
      <c r="K52" s="148">
        <f t="shared" si="42"/>
        <v>9.9999999999999992E-2</v>
      </c>
      <c r="L52" s="148">
        <f t="shared" si="42"/>
        <v>0.11666666666666665</v>
      </c>
      <c r="M52" s="148">
        <f t="shared" si="42"/>
        <v>0.13333333333333333</v>
      </c>
      <c r="N52" s="148">
        <f t="shared" si="42"/>
        <v>0.15</v>
      </c>
      <c r="O52" s="148">
        <f t="shared" si="42"/>
        <v>0.16666666666666666</v>
      </c>
      <c r="P52" s="148">
        <f t="shared" si="42"/>
        <v>0.18333333333333332</v>
      </c>
      <c r="Q52" s="148">
        <f t="shared" si="42"/>
        <v>0.19999999999999998</v>
      </c>
      <c r="R52" s="148">
        <f t="shared" si="42"/>
        <v>0.21666666666666665</v>
      </c>
      <c r="S52" s="148">
        <f t="shared" si="42"/>
        <v>0.23333333333333331</v>
      </c>
      <c r="T52" s="148">
        <f t="shared" si="42"/>
        <v>0.24999999999999997</v>
      </c>
      <c r="U52" s="148">
        <f t="shared" si="42"/>
        <v>0.26666666666666666</v>
      </c>
      <c r="V52" s="148">
        <f t="shared" si="13"/>
        <v>0.28333333333333333</v>
      </c>
      <c r="W52" s="148">
        <f t="shared" si="13"/>
        <v>0.3</v>
      </c>
      <c r="X52" s="148">
        <f t="shared" si="13"/>
        <v>0.31666666666666665</v>
      </c>
      <c r="Y52" s="148">
        <f t="shared" si="13"/>
        <v>0.33333333333333331</v>
      </c>
      <c r="Z52" s="148">
        <f t="shared" si="13"/>
        <v>0.35</v>
      </c>
      <c r="AA52" s="148">
        <f t="shared" si="13"/>
        <v>0.36666666666666664</v>
      </c>
      <c r="AB52" s="148">
        <f t="shared" si="13"/>
        <v>0.3833333333333333</v>
      </c>
      <c r="AC52" s="148">
        <f t="shared" si="13"/>
        <v>0.39999999999999997</v>
      </c>
      <c r="AD52" s="148">
        <f t="shared" si="13"/>
        <v>0.41666666666666663</v>
      </c>
      <c r="AE52" s="148">
        <f t="shared" si="13"/>
        <v>0.43333333333333329</v>
      </c>
      <c r="AF52" s="148">
        <f t="shared" si="13"/>
        <v>0.44999999999999996</v>
      </c>
      <c r="AG52" s="148">
        <f t="shared" si="13"/>
        <v>0.46666666666666662</v>
      </c>
      <c r="AH52" s="148">
        <f t="shared" si="13"/>
        <v>0.48333333333333328</v>
      </c>
      <c r="AI52" s="148">
        <f>Q5</f>
        <v>0.5</v>
      </c>
    </row>
    <row r="53" spans="1:35">
      <c r="A53" s="260"/>
      <c r="B53" t="s">
        <v>17</v>
      </c>
      <c r="C53" t="s">
        <v>737</v>
      </c>
      <c r="D53" t="s">
        <v>27</v>
      </c>
      <c r="E53" s="148">
        <f>G6</f>
        <v>0</v>
      </c>
      <c r="F53" s="148">
        <f t="shared" si="42"/>
        <v>1.6666666666666666E-2</v>
      </c>
      <c r="G53" s="148">
        <f t="shared" si="42"/>
        <v>3.3333333333333333E-2</v>
      </c>
      <c r="H53" s="148">
        <f t="shared" si="42"/>
        <v>0.05</v>
      </c>
      <c r="I53" s="148">
        <f t="shared" si="42"/>
        <v>6.6666666666666666E-2</v>
      </c>
      <c r="J53" s="148">
        <f t="shared" si="42"/>
        <v>8.3333333333333329E-2</v>
      </c>
      <c r="K53" s="148">
        <f t="shared" si="42"/>
        <v>9.9999999999999992E-2</v>
      </c>
      <c r="L53" s="148">
        <f t="shared" si="42"/>
        <v>0.11666666666666665</v>
      </c>
      <c r="M53" s="148">
        <f t="shared" si="42"/>
        <v>0.13333333333333333</v>
      </c>
      <c r="N53" s="148">
        <f t="shared" si="42"/>
        <v>0.15</v>
      </c>
      <c r="O53" s="148">
        <f t="shared" si="42"/>
        <v>0.16666666666666666</v>
      </c>
      <c r="P53" s="148">
        <f t="shared" si="42"/>
        <v>0.18333333333333332</v>
      </c>
      <c r="Q53" s="148">
        <f t="shared" si="42"/>
        <v>0.19999999999999998</v>
      </c>
      <c r="R53" s="148">
        <f t="shared" si="42"/>
        <v>0.21666666666666665</v>
      </c>
      <c r="S53" s="148">
        <f t="shared" si="42"/>
        <v>0.23333333333333331</v>
      </c>
      <c r="T53" s="148">
        <f t="shared" si="42"/>
        <v>0.24999999999999997</v>
      </c>
      <c r="U53" s="148">
        <f t="shared" si="42"/>
        <v>0.26666666666666666</v>
      </c>
      <c r="V53" s="148">
        <f t="shared" si="13"/>
        <v>0.28333333333333333</v>
      </c>
      <c r="W53" s="148">
        <f t="shared" si="13"/>
        <v>0.3</v>
      </c>
      <c r="X53" s="148">
        <f t="shared" si="13"/>
        <v>0.31666666666666665</v>
      </c>
      <c r="Y53" s="148">
        <f t="shared" si="13"/>
        <v>0.33333333333333331</v>
      </c>
      <c r="Z53" s="148">
        <f t="shared" si="13"/>
        <v>0.35</v>
      </c>
      <c r="AA53" s="148">
        <f t="shared" si="13"/>
        <v>0.36666666666666664</v>
      </c>
      <c r="AB53" s="148">
        <f t="shared" si="13"/>
        <v>0.3833333333333333</v>
      </c>
      <c r="AC53" s="148">
        <f t="shared" si="13"/>
        <v>0.39999999999999997</v>
      </c>
      <c r="AD53" s="148">
        <f t="shared" si="13"/>
        <v>0.41666666666666663</v>
      </c>
      <c r="AE53" s="148">
        <f t="shared" si="13"/>
        <v>0.43333333333333329</v>
      </c>
      <c r="AF53" s="148">
        <f t="shared" si="13"/>
        <v>0.44999999999999996</v>
      </c>
      <c r="AG53" s="148">
        <f t="shared" si="13"/>
        <v>0.46666666666666662</v>
      </c>
      <c r="AH53" s="148">
        <f t="shared" si="13"/>
        <v>0.48333333333333328</v>
      </c>
      <c r="AI53" s="148">
        <f>Q6</f>
        <v>0.5</v>
      </c>
    </row>
    <row r="54" spans="1:35" s="61" customFormat="1">
      <c r="A54" s="257"/>
      <c r="B54" s="61" t="s">
        <v>17</v>
      </c>
      <c r="C54" s="61" t="s">
        <v>738</v>
      </c>
      <c r="D54" t="s">
        <v>35</v>
      </c>
      <c r="E54" s="175">
        <f>H3</f>
        <v>0.84470690709997209</v>
      </c>
      <c r="F54" s="175">
        <f t="shared" si="42"/>
        <v>0.82910297207602968</v>
      </c>
      <c r="G54" s="175">
        <f t="shared" si="42"/>
        <v>0.81349903705208726</v>
      </c>
      <c r="H54" s="175">
        <f t="shared" si="42"/>
        <v>0.79789510202814484</v>
      </c>
      <c r="I54" s="175">
        <f t="shared" si="42"/>
        <v>0.78229116700420243</v>
      </c>
      <c r="J54" s="175">
        <f t="shared" si="42"/>
        <v>0.76668723198026001</v>
      </c>
      <c r="K54" s="175">
        <f t="shared" si="42"/>
        <v>0.75108329695631759</v>
      </c>
      <c r="L54" s="175">
        <f t="shared" si="42"/>
        <v>0.73547936193237518</v>
      </c>
      <c r="M54" s="175">
        <f t="shared" si="42"/>
        <v>0.71987542690843276</v>
      </c>
      <c r="N54" s="175">
        <f t="shared" si="42"/>
        <v>0.70427149188449034</v>
      </c>
      <c r="O54" s="175">
        <f t="shared" si="42"/>
        <v>0.68866755686054792</v>
      </c>
      <c r="P54" s="175">
        <f t="shared" si="42"/>
        <v>0.67306362183660551</v>
      </c>
      <c r="Q54" s="175">
        <f t="shared" si="42"/>
        <v>0.65745968681266309</v>
      </c>
      <c r="R54" s="175">
        <f t="shared" si="42"/>
        <v>0.64185575178872067</v>
      </c>
      <c r="S54" s="175">
        <f t="shared" si="42"/>
        <v>0.62625181676477826</v>
      </c>
      <c r="T54" s="175">
        <f t="shared" si="42"/>
        <v>0.61064788174083584</v>
      </c>
      <c r="U54" s="175">
        <f t="shared" si="42"/>
        <v>0.59504394671689342</v>
      </c>
      <c r="V54" s="175">
        <f t="shared" si="13"/>
        <v>0.57944001169295101</v>
      </c>
      <c r="W54" s="175">
        <f t="shared" si="13"/>
        <v>0.56383607666900859</v>
      </c>
      <c r="X54" s="175">
        <f t="shared" si="13"/>
        <v>0.54823214164506617</v>
      </c>
      <c r="Y54" s="175">
        <f t="shared" si="13"/>
        <v>0.53262820662112376</v>
      </c>
      <c r="Z54" s="175">
        <f t="shared" si="13"/>
        <v>0.51702427159718134</v>
      </c>
      <c r="AA54" s="175">
        <f t="shared" si="13"/>
        <v>0.50142033657323892</v>
      </c>
      <c r="AB54" s="175">
        <f t="shared" si="13"/>
        <v>0.48581640154929656</v>
      </c>
      <c r="AC54" s="175">
        <f t="shared" si="13"/>
        <v>0.4702124665253542</v>
      </c>
      <c r="AD54" s="175">
        <f t="shared" si="13"/>
        <v>0.45460853150141184</v>
      </c>
      <c r="AE54" s="175">
        <f t="shared" si="13"/>
        <v>0.43900459647746948</v>
      </c>
      <c r="AF54" s="175">
        <f t="shared" si="13"/>
        <v>0.42340066145352712</v>
      </c>
      <c r="AG54" s="175">
        <f t="shared" si="13"/>
        <v>0.40779672642958475</v>
      </c>
      <c r="AH54" s="175">
        <f t="shared" si="13"/>
        <v>0.39219279140564239</v>
      </c>
      <c r="AI54" s="175">
        <f>R3</f>
        <v>0.37658885638170114</v>
      </c>
    </row>
    <row r="55" spans="1:35">
      <c r="A55" s="260"/>
      <c r="B55" s="61" t="s">
        <v>17</v>
      </c>
      <c r="C55" s="61" t="s">
        <v>738</v>
      </c>
      <c r="D55" t="s">
        <v>74</v>
      </c>
      <c r="E55" s="175">
        <f>H4</f>
        <v>0.15529309290002805</v>
      </c>
      <c r="F55" s="175">
        <f t="shared" ref="F55:U55" si="85">-($E55-$AI55)/30+E55</f>
        <v>0.16792492563892664</v>
      </c>
      <c r="G55" s="175">
        <f t="shared" si="85"/>
        <v>0.18055675837782523</v>
      </c>
      <c r="H55" s="175">
        <f t="shared" si="85"/>
        <v>0.19318859111672382</v>
      </c>
      <c r="I55" s="175">
        <f t="shared" si="85"/>
        <v>0.20582042385562241</v>
      </c>
      <c r="J55" s="175">
        <f t="shared" si="85"/>
        <v>0.218452256594521</v>
      </c>
      <c r="K55" s="175">
        <f t="shared" si="85"/>
        <v>0.23108408933341959</v>
      </c>
      <c r="L55" s="175">
        <f t="shared" si="85"/>
        <v>0.24371592207231818</v>
      </c>
      <c r="M55" s="175">
        <f t="shared" si="85"/>
        <v>0.2563477548112168</v>
      </c>
      <c r="N55" s="175">
        <f t="shared" si="85"/>
        <v>0.26897958755011542</v>
      </c>
      <c r="O55" s="175">
        <f t="shared" si="85"/>
        <v>0.28161142028901404</v>
      </c>
      <c r="P55" s="175">
        <f t="shared" si="85"/>
        <v>0.29424325302791265</v>
      </c>
      <c r="Q55" s="175">
        <f t="shared" si="85"/>
        <v>0.30687508576681127</v>
      </c>
      <c r="R55" s="175">
        <f t="shared" si="85"/>
        <v>0.31950691850570989</v>
      </c>
      <c r="S55" s="175">
        <f t="shared" si="85"/>
        <v>0.33213875124460851</v>
      </c>
      <c r="T55" s="175">
        <f t="shared" si="85"/>
        <v>0.34477058398350713</v>
      </c>
      <c r="U55" s="175">
        <f t="shared" si="85"/>
        <v>0.35740241672240575</v>
      </c>
      <c r="V55" s="175">
        <f t="shared" ref="V55" si="86">-($E55-$AI55)/30+U55</f>
        <v>0.37003424946130437</v>
      </c>
      <c r="W55" s="175">
        <f t="shared" ref="W55" si="87">-($E55-$AI55)/30+V55</f>
        <v>0.38266608220020298</v>
      </c>
      <c r="X55" s="175">
        <f t="shared" ref="X55" si="88">-($E55-$AI55)/30+W55</f>
        <v>0.3952979149391016</v>
      </c>
      <c r="Y55" s="175">
        <f t="shared" ref="Y55" si="89">-($E55-$AI55)/30+X55</f>
        <v>0.40792974767800022</v>
      </c>
      <c r="Z55" s="175">
        <f t="shared" ref="Z55" si="90">-($E55-$AI55)/30+Y55</f>
        <v>0.42056158041689884</v>
      </c>
      <c r="AA55" s="175">
        <f t="shared" ref="AA55" si="91">-($E55-$AI55)/30+Z55</f>
        <v>0.43319341315579746</v>
      </c>
      <c r="AB55" s="175">
        <f t="shared" ref="AB55" si="92">-($E55-$AI55)/30+AA55</f>
        <v>0.44582524589469608</v>
      </c>
      <c r="AC55" s="175">
        <f t="shared" ref="AC55" si="93">-($E55-$AI55)/30+AB55</f>
        <v>0.45845707863359469</v>
      </c>
      <c r="AD55" s="175">
        <f t="shared" ref="AD55" si="94">-($E55-$AI55)/30+AC55</f>
        <v>0.47108891137249331</v>
      </c>
      <c r="AE55" s="175">
        <f t="shared" ref="AE55" si="95">-($E55-$AI55)/30+AD55</f>
        <v>0.48372074411139193</v>
      </c>
      <c r="AF55" s="175">
        <f t="shared" ref="AF55" si="96">-($E55-$AI55)/30+AE55</f>
        <v>0.49635257685029055</v>
      </c>
      <c r="AG55" s="175">
        <f t="shared" ref="AG55" si="97">-($E55-$AI55)/30+AF55</f>
        <v>0.50898440958918911</v>
      </c>
      <c r="AH55" s="175">
        <f t="shared" ref="AH55" si="98">-($E55-$AI55)/30+AG55</f>
        <v>0.52161624232808768</v>
      </c>
      <c r="AI55" s="175">
        <f>R4</f>
        <v>0.53424807506698602</v>
      </c>
    </row>
    <row r="56" spans="1:35">
      <c r="A56" s="260"/>
      <c r="B56" t="s">
        <v>17</v>
      </c>
      <c r="C56" t="s">
        <v>738</v>
      </c>
      <c r="D56" t="s">
        <v>160</v>
      </c>
      <c r="E56" s="148">
        <f>H5</f>
        <v>0</v>
      </c>
      <c r="F56" s="148">
        <f t="shared" si="42"/>
        <v>9.6721311593363788E-4</v>
      </c>
      <c r="G56" s="148">
        <f t="shared" si="42"/>
        <v>1.9344262318672758E-3</v>
      </c>
      <c r="H56" s="148">
        <f t="shared" si="42"/>
        <v>2.9016393478009136E-3</v>
      </c>
      <c r="I56" s="148">
        <f t="shared" si="42"/>
        <v>3.8688524637345515E-3</v>
      </c>
      <c r="J56" s="148">
        <f t="shared" si="42"/>
        <v>4.836065579668189E-3</v>
      </c>
      <c r="K56" s="148">
        <f t="shared" si="42"/>
        <v>5.8032786956018264E-3</v>
      </c>
      <c r="L56" s="148">
        <f t="shared" si="42"/>
        <v>6.7704918115354638E-3</v>
      </c>
      <c r="M56" s="148">
        <f t="shared" si="42"/>
        <v>7.7377049274691013E-3</v>
      </c>
      <c r="N56" s="148">
        <f t="shared" si="42"/>
        <v>8.7049180434027387E-3</v>
      </c>
      <c r="O56" s="148">
        <f t="shared" si="42"/>
        <v>9.6721311593363762E-3</v>
      </c>
      <c r="P56" s="148">
        <f t="shared" si="42"/>
        <v>1.0639344275270014E-2</v>
      </c>
      <c r="Q56" s="148">
        <f t="shared" si="42"/>
        <v>1.1606557391203651E-2</v>
      </c>
      <c r="R56" s="148">
        <f t="shared" si="42"/>
        <v>1.2573770507137288E-2</v>
      </c>
      <c r="S56" s="148">
        <f t="shared" si="42"/>
        <v>1.3540983623070926E-2</v>
      </c>
      <c r="T56" s="148">
        <f t="shared" si="42"/>
        <v>1.4508196739004563E-2</v>
      </c>
      <c r="U56" s="148">
        <f t="shared" si="42"/>
        <v>1.5475409854938201E-2</v>
      </c>
      <c r="V56" s="148">
        <f t="shared" si="13"/>
        <v>1.6442622970871838E-2</v>
      </c>
      <c r="W56" s="148">
        <f t="shared" si="13"/>
        <v>1.7409836086805477E-2</v>
      </c>
      <c r="X56" s="148">
        <f t="shared" si="13"/>
        <v>1.8377049202739117E-2</v>
      </c>
      <c r="Y56" s="148">
        <f t="shared" si="13"/>
        <v>1.9344262318672756E-2</v>
      </c>
      <c r="Z56" s="148">
        <f t="shared" si="13"/>
        <v>2.0311475434606395E-2</v>
      </c>
      <c r="AA56" s="148">
        <f t="shared" si="13"/>
        <v>2.1278688550540034E-2</v>
      </c>
      <c r="AB56" s="148">
        <f t="shared" si="13"/>
        <v>2.2245901666473673E-2</v>
      </c>
      <c r="AC56" s="148">
        <f t="shared" si="13"/>
        <v>2.3213114782407313E-2</v>
      </c>
      <c r="AD56" s="148">
        <f t="shared" si="13"/>
        <v>2.4180327898340952E-2</v>
      </c>
      <c r="AE56" s="148">
        <f t="shared" si="13"/>
        <v>2.5147541014274591E-2</v>
      </c>
      <c r="AF56" s="148">
        <f t="shared" si="13"/>
        <v>2.611475413020823E-2</v>
      </c>
      <c r="AG56" s="148">
        <f t="shared" si="13"/>
        <v>2.7081967246141869E-2</v>
      </c>
      <c r="AH56" s="148">
        <f t="shared" si="13"/>
        <v>2.8049180362075508E-2</v>
      </c>
      <c r="AI56" s="148">
        <f>R5</f>
        <v>2.9016393478009137E-2</v>
      </c>
    </row>
    <row r="57" spans="1:35">
      <c r="A57" s="260"/>
      <c r="B57" t="s">
        <v>17</v>
      </c>
      <c r="C57" t="s">
        <v>738</v>
      </c>
      <c r="D57" t="s">
        <v>27</v>
      </c>
      <c r="E57" s="148">
        <f>H6</f>
        <v>0</v>
      </c>
      <c r="F57" s="148">
        <f t="shared" si="42"/>
        <v>2.0048891691101284E-3</v>
      </c>
      <c r="G57" s="148">
        <f t="shared" si="42"/>
        <v>4.0097783382202568E-3</v>
      </c>
      <c r="H57" s="148">
        <f t="shared" si="42"/>
        <v>6.0146675073303856E-3</v>
      </c>
      <c r="I57" s="148">
        <f t="shared" si="42"/>
        <v>8.0195566764405136E-3</v>
      </c>
      <c r="J57" s="148">
        <f t="shared" si="42"/>
        <v>1.0024445845550642E-2</v>
      </c>
      <c r="K57" s="148">
        <f t="shared" si="42"/>
        <v>1.202933501466077E-2</v>
      </c>
      <c r="L57" s="148">
        <f t="shared" si="42"/>
        <v>1.4034224183770897E-2</v>
      </c>
      <c r="M57" s="148">
        <f t="shared" si="42"/>
        <v>1.6039113352881027E-2</v>
      </c>
      <c r="N57" s="148">
        <f t="shared" si="42"/>
        <v>1.8044002521991155E-2</v>
      </c>
      <c r="O57" s="148">
        <f t="shared" si="42"/>
        <v>2.0048891691101283E-2</v>
      </c>
      <c r="P57" s="148">
        <f t="shared" si="42"/>
        <v>2.2053780860211411E-2</v>
      </c>
      <c r="Q57" s="148">
        <f t="shared" si="42"/>
        <v>2.4058670029321539E-2</v>
      </c>
      <c r="R57" s="148">
        <f t="shared" si="42"/>
        <v>2.6063559198431667E-2</v>
      </c>
      <c r="S57" s="148">
        <f t="shared" si="42"/>
        <v>2.8068448367541795E-2</v>
      </c>
      <c r="T57" s="148">
        <f t="shared" si="42"/>
        <v>3.0073337536651923E-2</v>
      </c>
      <c r="U57" s="148">
        <f t="shared" si="42"/>
        <v>3.2078226705762054E-2</v>
      </c>
      <c r="V57" s="148">
        <f t="shared" si="13"/>
        <v>3.4083115874872186E-2</v>
      </c>
      <c r="W57" s="148">
        <f t="shared" si="13"/>
        <v>3.6088005043982317E-2</v>
      </c>
      <c r="X57" s="148">
        <f t="shared" si="13"/>
        <v>3.8092894213092449E-2</v>
      </c>
      <c r="Y57" s="148">
        <f t="shared" si="13"/>
        <v>4.009778338220258E-2</v>
      </c>
      <c r="Z57" s="148">
        <f t="shared" si="13"/>
        <v>4.2102672551312711E-2</v>
      </c>
      <c r="AA57" s="148">
        <f t="shared" si="13"/>
        <v>4.4107561720422843E-2</v>
      </c>
      <c r="AB57" s="148">
        <f t="shared" si="13"/>
        <v>4.6112450889532974E-2</v>
      </c>
      <c r="AC57" s="148">
        <f t="shared" si="13"/>
        <v>4.8117340058643106E-2</v>
      </c>
      <c r="AD57" s="148">
        <f t="shared" si="13"/>
        <v>5.0122229227753237E-2</v>
      </c>
      <c r="AE57" s="148">
        <f t="shared" si="13"/>
        <v>5.2127118396863369E-2</v>
      </c>
      <c r="AF57" s="148">
        <f t="shared" si="13"/>
        <v>5.41320075659735E-2</v>
      </c>
      <c r="AG57" s="148">
        <f t="shared" si="13"/>
        <v>5.6136896735083631E-2</v>
      </c>
      <c r="AH57" s="148">
        <f t="shared" si="13"/>
        <v>5.8141785904193763E-2</v>
      </c>
      <c r="AI57" s="148">
        <f>R6</f>
        <v>6.0146675073303846E-2</v>
      </c>
    </row>
    <row r="58" spans="1:35" s="61" customFormat="1">
      <c r="A58" s="257"/>
      <c r="B58" s="61" t="s">
        <v>21</v>
      </c>
      <c r="C58" s="61" t="s">
        <v>735</v>
      </c>
      <c r="D58" s="61" t="s">
        <v>35</v>
      </c>
      <c r="E58" s="175">
        <f>D10</f>
        <v>0</v>
      </c>
      <c r="F58" s="175">
        <f t="shared" si="42"/>
        <v>0</v>
      </c>
      <c r="G58" s="175">
        <f t="shared" si="42"/>
        <v>0</v>
      </c>
      <c r="H58" s="175">
        <f t="shared" si="42"/>
        <v>0</v>
      </c>
      <c r="I58" s="175">
        <f t="shared" si="42"/>
        <v>0</v>
      </c>
      <c r="J58" s="175">
        <f t="shared" si="42"/>
        <v>0</v>
      </c>
      <c r="K58" s="175">
        <f t="shared" si="42"/>
        <v>0</v>
      </c>
      <c r="L58" s="175">
        <f t="shared" si="42"/>
        <v>0</v>
      </c>
      <c r="M58" s="175">
        <f t="shared" si="42"/>
        <v>0</v>
      </c>
      <c r="N58" s="175">
        <f t="shared" si="42"/>
        <v>0</v>
      </c>
      <c r="O58" s="175">
        <f t="shared" si="42"/>
        <v>0</v>
      </c>
      <c r="P58" s="175">
        <f t="shared" si="42"/>
        <v>0</v>
      </c>
      <c r="Q58" s="175">
        <f t="shared" si="42"/>
        <v>0</v>
      </c>
      <c r="R58" s="175">
        <f t="shared" si="42"/>
        <v>0</v>
      </c>
      <c r="S58" s="175">
        <f t="shared" si="42"/>
        <v>0</v>
      </c>
      <c r="T58" s="175">
        <f t="shared" si="42"/>
        <v>0</v>
      </c>
      <c r="U58" s="175">
        <f t="shared" si="42"/>
        <v>0</v>
      </c>
      <c r="V58" s="175">
        <f t="shared" si="13"/>
        <v>0</v>
      </c>
      <c r="W58" s="175">
        <f t="shared" si="13"/>
        <v>0</v>
      </c>
      <c r="X58" s="175">
        <f t="shared" si="13"/>
        <v>0</v>
      </c>
      <c r="Y58" s="175">
        <f t="shared" si="13"/>
        <v>0</v>
      </c>
      <c r="Z58" s="175">
        <f t="shared" si="13"/>
        <v>0</v>
      </c>
      <c r="AA58" s="175">
        <f t="shared" si="13"/>
        <v>0</v>
      </c>
      <c r="AB58" s="175">
        <f t="shared" si="13"/>
        <v>0</v>
      </c>
      <c r="AC58" s="175">
        <f t="shared" si="13"/>
        <v>0</v>
      </c>
      <c r="AD58" s="175">
        <f t="shared" si="13"/>
        <v>0</v>
      </c>
      <c r="AE58" s="175">
        <f t="shared" si="13"/>
        <v>0</v>
      </c>
      <c r="AF58" s="175">
        <f t="shared" si="13"/>
        <v>0</v>
      </c>
      <c r="AG58" s="175">
        <f t="shared" si="13"/>
        <v>0</v>
      </c>
      <c r="AH58" s="175">
        <f t="shared" si="13"/>
        <v>0</v>
      </c>
      <c r="AI58" s="175">
        <f>N10</f>
        <v>0</v>
      </c>
    </row>
    <row r="59" spans="1:35">
      <c r="A59" s="260"/>
      <c r="B59" s="61" t="s">
        <v>21</v>
      </c>
      <c r="C59" s="61" t="s">
        <v>735</v>
      </c>
      <c r="D59" t="s">
        <v>74</v>
      </c>
      <c r="E59" s="175">
        <f>D11</f>
        <v>0.59541984732824427</v>
      </c>
      <c r="F59" s="175">
        <f t="shared" ref="F59:U59" si="99">-($E59-$AI59)/30+E59</f>
        <v>0.57557251908396945</v>
      </c>
      <c r="G59" s="175">
        <f t="shared" si="99"/>
        <v>0.55572519083969463</v>
      </c>
      <c r="H59" s="175">
        <f t="shared" si="99"/>
        <v>0.53587786259541981</v>
      </c>
      <c r="I59" s="175">
        <f t="shared" si="99"/>
        <v>0.51603053435114499</v>
      </c>
      <c r="J59" s="175">
        <f t="shared" si="99"/>
        <v>0.49618320610687017</v>
      </c>
      <c r="K59" s="175">
        <f t="shared" si="99"/>
        <v>0.47633587786259535</v>
      </c>
      <c r="L59" s="175">
        <f t="shared" si="99"/>
        <v>0.45648854961832053</v>
      </c>
      <c r="M59" s="175">
        <f t="shared" si="99"/>
        <v>0.43664122137404571</v>
      </c>
      <c r="N59" s="175">
        <f t="shared" si="99"/>
        <v>0.41679389312977089</v>
      </c>
      <c r="O59" s="175">
        <f t="shared" si="99"/>
        <v>0.39694656488549607</v>
      </c>
      <c r="P59" s="175">
        <f t="shared" si="99"/>
        <v>0.37709923664122125</v>
      </c>
      <c r="Q59" s="175">
        <f t="shared" si="99"/>
        <v>0.35725190839694643</v>
      </c>
      <c r="R59" s="175">
        <f t="shared" si="99"/>
        <v>0.33740458015267161</v>
      </c>
      <c r="S59" s="175">
        <f t="shared" si="99"/>
        <v>0.31755725190839679</v>
      </c>
      <c r="T59" s="175">
        <f t="shared" si="99"/>
        <v>0.29770992366412197</v>
      </c>
      <c r="U59" s="175">
        <f t="shared" si="99"/>
        <v>0.27786259541984715</v>
      </c>
      <c r="V59" s="175">
        <f t="shared" ref="V59" si="100">-($E59-$AI59)/30+U59</f>
        <v>0.25801526717557233</v>
      </c>
      <c r="W59" s="175">
        <f t="shared" ref="W59" si="101">-($E59-$AI59)/30+V59</f>
        <v>0.23816793893129751</v>
      </c>
      <c r="X59" s="175">
        <f t="shared" ref="X59" si="102">-($E59-$AI59)/30+W59</f>
        <v>0.21832061068702269</v>
      </c>
      <c r="Y59" s="175">
        <f t="shared" ref="Y59" si="103">-($E59-$AI59)/30+X59</f>
        <v>0.19847328244274787</v>
      </c>
      <c r="Z59" s="175">
        <f t="shared" ref="Z59" si="104">-($E59-$AI59)/30+Y59</f>
        <v>0.17862595419847305</v>
      </c>
      <c r="AA59" s="175">
        <f t="shared" ref="AA59" si="105">-($E59-$AI59)/30+Z59</f>
        <v>0.15877862595419823</v>
      </c>
      <c r="AB59" s="175">
        <f t="shared" ref="AB59" si="106">-($E59-$AI59)/30+AA59</f>
        <v>0.13893129770992341</v>
      </c>
      <c r="AC59" s="175">
        <f t="shared" ref="AC59" si="107">-($E59-$AI59)/30+AB59</f>
        <v>0.1190839694656486</v>
      </c>
      <c r="AD59" s="175">
        <f t="shared" ref="AD59" si="108">-($E59-$AI59)/30+AC59</f>
        <v>9.9236641221373795E-2</v>
      </c>
      <c r="AE59" s="175">
        <f t="shared" ref="AE59" si="109">-($E59-$AI59)/30+AD59</f>
        <v>7.9389312977098989E-2</v>
      </c>
      <c r="AF59" s="175">
        <f t="shared" ref="AF59" si="110">-($E59-$AI59)/30+AE59</f>
        <v>5.9541984732824182E-2</v>
      </c>
      <c r="AG59" s="175">
        <f t="shared" ref="AG59" si="111">-($E59-$AI59)/30+AF59</f>
        <v>3.9694656488549376E-2</v>
      </c>
      <c r="AH59" s="175">
        <f t="shared" ref="AH59" si="112">-($E59-$AI59)/30+AG59</f>
        <v>1.9847328244274567E-2</v>
      </c>
      <c r="AI59" s="175">
        <f>N11</f>
        <v>0</v>
      </c>
    </row>
    <row r="60" spans="1:35">
      <c r="A60" s="260"/>
      <c r="B60" t="s">
        <v>21</v>
      </c>
      <c r="D60" t="s">
        <v>160</v>
      </c>
      <c r="E60" s="148">
        <f>D12</f>
        <v>0</v>
      </c>
      <c r="F60" s="148">
        <f t="shared" si="42"/>
        <v>4.0379664353118686E-3</v>
      </c>
      <c r="G60" s="148">
        <f t="shared" si="42"/>
        <v>8.0759328706237372E-3</v>
      </c>
      <c r="H60" s="148">
        <f t="shared" si="42"/>
        <v>1.2113899305935606E-2</v>
      </c>
      <c r="I60" s="148">
        <f t="shared" si="42"/>
        <v>1.6151865741247474E-2</v>
      </c>
      <c r="J60" s="148">
        <f t="shared" si="42"/>
        <v>2.0189832176559341E-2</v>
      </c>
      <c r="K60" s="148">
        <f t="shared" si="42"/>
        <v>2.4227798611871208E-2</v>
      </c>
      <c r="L60" s="148">
        <f t="shared" si="42"/>
        <v>2.8265765047183075E-2</v>
      </c>
      <c r="M60" s="148">
        <f t="shared" si="42"/>
        <v>3.2303731482494942E-2</v>
      </c>
      <c r="N60" s="148">
        <f t="shared" si="42"/>
        <v>3.6341697917806809E-2</v>
      </c>
      <c r="O60" s="148">
        <f t="shared" si="42"/>
        <v>4.0379664353118676E-2</v>
      </c>
      <c r="P60" s="148">
        <f t="shared" si="42"/>
        <v>4.4417630788430543E-2</v>
      </c>
      <c r="Q60" s="148">
        <f t="shared" si="42"/>
        <v>4.845559722374241E-2</v>
      </c>
      <c r="R60" s="148">
        <f t="shared" si="42"/>
        <v>5.2493563659054276E-2</v>
      </c>
      <c r="S60" s="148">
        <f t="shared" si="42"/>
        <v>5.6531530094366143E-2</v>
      </c>
      <c r="T60" s="148">
        <f t="shared" si="42"/>
        <v>6.056949652967801E-2</v>
      </c>
      <c r="U60" s="148">
        <f t="shared" ref="U60:AH80" si="113">-($E60-$AI60)/30+T60</f>
        <v>6.4607462964989884E-2</v>
      </c>
      <c r="V60" s="148">
        <f t="shared" si="113"/>
        <v>6.8645429400301758E-2</v>
      </c>
      <c r="W60" s="148">
        <f t="shared" si="113"/>
        <v>7.2683395835613632E-2</v>
      </c>
      <c r="X60" s="148">
        <f t="shared" si="113"/>
        <v>7.6721362270925506E-2</v>
      </c>
      <c r="Y60" s="148">
        <f t="shared" si="113"/>
        <v>8.0759328706237379E-2</v>
      </c>
      <c r="Z60" s="148">
        <f t="shared" si="113"/>
        <v>8.4797295141549253E-2</v>
      </c>
      <c r="AA60" s="148">
        <f t="shared" si="113"/>
        <v>8.8835261576861127E-2</v>
      </c>
      <c r="AB60" s="148">
        <f t="shared" si="113"/>
        <v>9.2873228012173001E-2</v>
      </c>
      <c r="AC60" s="148">
        <f t="shared" si="113"/>
        <v>9.6911194447484875E-2</v>
      </c>
      <c r="AD60" s="148">
        <f t="shared" si="113"/>
        <v>0.10094916088279675</v>
      </c>
      <c r="AE60" s="148">
        <f t="shared" si="113"/>
        <v>0.10498712731810862</v>
      </c>
      <c r="AF60" s="148">
        <f t="shared" si="113"/>
        <v>0.1090250937534205</v>
      </c>
      <c r="AG60" s="148">
        <f t="shared" si="113"/>
        <v>0.11306306018873237</v>
      </c>
      <c r="AH60" s="148">
        <f t="shared" si="113"/>
        <v>0.11710102662404424</v>
      </c>
      <c r="AI60" s="148">
        <f>N12</f>
        <v>0.12113899305935606</v>
      </c>
    </row>
    <row r="61" spans="1:35" s="62" customFormat="1">
      <c r="A61" s="261"/>
      <c r="B61" s="62" t="s">
        <v>21</v>
      </c>
      <c r="D61" s="62" t="s">
        <v>27</v>
      </c>
      <c r="E61" s="366">
        <f>D13</f>
        <v>0.40458015267175573</v>
      </c>
      <c r="F61" s="366">
        <f t="shared" ref="F61:U81" si="114">-($E61-$AI61)/30+E61</f>
        <v>0.42038951448071865</v>
      </c>
      <c r="G61" s="366">
        <f t="shared" si="114"/>
        <v>0.43619887628968157</v>
      </c>
      <c r="H61" s="366">
        <f t="shared" si="114"/>
        <v>0.45200823809864449</v>
      </c>
      <c r="I61" s="366">
        <f t="shared" si="114"/>
        <v>0.46781759990760741</v>
      </c>
      <c r="J61" s="366">
        <f t="shared" si="114"/>
        <v>0.48362696171657032</v>
      </c>
      <c r="K61" s="366">
        <f t="shared" si="114"/>
        <v>0.49943632352553324</v>
      </c>
      <c r="L61" s="366">
        <f t="shared" si="114"/>
        <v>0.51524568533449622</v>
      </c>
      <c r="M61" s="366">
        <f t="shared" si="114"/>
        <v>0.53105504714345919</v>
      </c>
      <c r="N61" s="366">
        <f t="shared" si="114"/>
        <v>0.54686440895242217</v>
      </c>
      <c r="O61" s="366">
        <f t="shared" si="114"/>
        <v>0.56267377076138514</v>
      </c>
      <c r="P61" s="366">
        <f t="shared" si="114"/>
        <v>0.57848313257034811</v>
      </c>
      <c r="Q61" s="366">
        <f t="shared" si="114"/>
        <v>0.59429249437931109</v>
      </c>
      <c r="R61" s="366">
        <f t="shared" si="114"/>
        <v>0.61010185618827406</v>
      </c>
      <c r="S61" s="366">
        <f t="shared" si="114"/>
        <v>0.62591121799723703</v>
      </c>
      <c r="T61" s="366">
        <f t="shared" si="114"/>
        <v>0.64172057980620001</v>
      </c>
      <c r="U61" s="366">
        <f t="shared" si="114"/>
        <v>0.65752994161516298</v>
      </c>
      <c r="V61" s="366">
        <f t="shared" si="113"/>
        <v>0.67333930342412596</v>
      </c>
      <c r="W61" s="366">
        <f t="shared" si="113"/>
        <v>0.68914866523308893</v>
      </c>
      <c r="X61" s="366">
        <f t="shared" si="113"/>
        <v>0.7049580270420519</v>
      </c>
      <c r="Y61" s="366">
        <f t="shared" si="113"/>
        <v>0.72076738885101488</v>
      </c>
      <c r="Z61" s="366">
        <f t="shared" si="113"/>
        <v>0.73657675065997785</v>
      </c>
      <c r="AA61" s="366">
        <f t="shared" si="113"/>
        <v>0.75238611246894083</v>
      </c>
      <c r="AB61" s="366">
        <f t="shared" si="113"/>
        <v>0.7681954742779038</v>
      </c>
      <c r="AC61" s="366">
        <f t="shared" si="113"/>
        <v>0.78400483608686677</v>
      </c>
      <c r="AD61" s="366">
        <f t="shared" si="113"/>
        <v>0.79981419789582975</v>
      </c>
      <c r="AE61" s="366">
        <f t="shared" si="113"/>
        <v>0.81562355970479272</v>
      </c>
      <c r="AF61" s="366">
        <f t="shared" si="113"/>
        <v>0.8314329215137557</v>
      </c>
      <c r="AG61" s="366">
        <f t="shared" si="113"/>
        <v>0.84724228332271867</v>
      </c>
      <c r="AH61" s="366">
        <f t="shared" si="113"/>
        <v>0.86305164513168164</v>
      </c>
      <c r="AI61" s="366">
        <f>N13</f>
        <v>0.87886100694064395</v>
      </c>
    </row>
    <row r="62" spans="1:35">
      <c r="A62" s="260"/>
      <c r="B62" t="s">
        <v>21</v>
      </c>
      <c r="C62" t="s">
        <v>743</v>
      </c>
      <c r="D62" t="s">
        <v>35</v>
      </c>
      <c r="E62" s="148">
        <f>E10</f>
        <v>0</v>
      </c>
      <c r="F62" s="148">
        <f t="shared" si="114"/>
        <v>0</v>
      </c>
      <c r="G62" s="148">
        <f t="shared" si="114"/>
        <v>0</v>
      </c>
      <c r="H62" s="148">
        <f t="shared" si="114"/>
        <v>0</v>
      </c>
      <c r="I62" s="148">
        <f t="shared" si="114"/>
        <v>0</v>
      </c>
      <c r="J62" s="148">
        <f t="shared" si="114"/>
        <v>0</v>
      </c>
      <c r="K62" s="148">
        <f t="shared" si="114"/>
        <v>0</v>
      </c>
      <c r="L62" s="148">
        <f t="shared" si="114"/>
        <v>0</v>
      </c>
      <c r="M62" s="148">
        <f t="shared" si="114"/>
        <v>0</v>
      </c>
      <c r="N62" s="148">
        <f t="shared" si="114"/>
        <v>0</v>
      </c>
      <c r="O62" s="148">
        <f t="shared" si="114"/>
        <v>0</v>
      </c>
      <c r="P62" s="148">
        <f t="shared" si="114"/>
        <v>0</v>
      </c>
      <c r="Q62" s="148">
        <f t="shared" si="114"/>
        <v>0</v>
      </c>
      <c r="R62" s="148">
        <f t="shared" si="114"/>
        <v>0</v>
      </c>
      <c r="S62" s="148">
        <f t="shared" si="114"/>
        <v>0</v>
      </c>
      <c r="T62" s="148">
        <f t="shared" si="114"/>
        <v>0</v>
      </c>
      <c r="U62" s="148">
        <f t="shared" si="114"/>
        <v>0</v>
      </c>
      <c r="V62" s="148">
        <f t="shared" si="113"/>
        <v>0</v>
      </c>
      <c r="W62" s="148">
        <f t="shared" si="113"/>
        <v>0</v>
      </c>
      <c r="X62" s="148">
        <f t="shared" si="113"/>
        <v>0</v>
      </c>
      <c r="Y62" s="148">
        <f t="shared" si="113"/>
        <v>0</v>
      </c>
      <c r="Z62" s="148">
        <f t="shared" si="113"/>
        <v>0</v>
      </c>
      <c r="AA62" s="148">
        <f t="shared" si="113"/>
        <v>0</v>
      </c>
      <c r="AB62" s="148">
        <f t="shared" si="113"/>
        <v>0</v>
      </c>
      <c r="AC62" s="148">
        <f t="shared" si="113"/>
        <v>0</v>
      </c>
      <c r="AD62" s="148">
        <f t="shared" si="113"/>
        <v>0</v>
      </c>
      <c r="AE62" s="148">
        <f t="shared" si="113"/>
        <v>0</v>
      </c>
      <c r="AF62" s="148">
        <f t="shared" si="113"/>
        <v>0</v>
      </c>
      <c r="AG62" s="148">
        <f t="shared" si="113"/>
        <v>0</v>
      </c>
      <c r="AH62" s="148">
        <f t="shared" si="113"/>
        <v>0</v>
      </c>
      <c r="AI62" s="148">
        <f>O10</f>
        <v>0</v>
      </c>
    </row>
    <row r="63" spans="1:35">
      <c r="A63" s="260"/>
      <c r="B63" t="s">
        <v>21</v>
      </c>
      <c r="C63" t="s">
        <v>743</v>
      </c>
      <c r="D63" t="s">
        <v>74</v>
      </c>
      <c r="E63" s="148">
        <f>E11</f>
        <v>0.59541984732824427</v>
      </c>
      <c r="F63" s="148">
        <f t="shared" ref="F63:U63" si="115">-($E63-$AI63)/30+E63</f>
        <v>0.57557251908396945</v>
      </c>
      <c r="G63" s="148">
        <f t="shared" si="115"/>
        <v>0.55572519083969463</v>
      </c>
      <c r="H63" s="148">
        <f t="shared" si="115"/>
        <v>0.53587786259541981</v>
      </c>
      <c r="I63" s="148">
        <f t="shared" si="115"/>
        <v>0.51603053435114499</v>
      </c>
      <c r="J63" s="148">
        <f t="shared" si="115"/>
        <v>0.49618320610687017</v>
      </c>
      <c r="K63" s="148">
        <f t="shared" si="115"/>
        <v>0.47633587786259535</v>
      </c>
      <c r="L63" s="148">
        <f t="shared" si="115"/>
        <v>0.45648854961832053</v>
      </c>
      <c r="M63" s="148">
        <f t="shared" si="115"/>
        <v>0.43664122137404571</v>
      </c>
      <c r="N63" s="148">
        <f t="shared" si="115"/>
        <v>0.41679389312977089</v>
      </c>
      <c r="O63" s="148">
        <f t="shared" si="115"/>
        <v>0.39694656488549607</v>
      </c>
      <c r="P63" s="148">
        <f t="shared" si="115"/>
        <v>0.37709923664122125</v>
      </c>
      <c r="Q63" s="148">
        <f t="shared" si="115"/>
        <v>0.35725190839694643</v>
      </c>
      <c r="R63" s="148">
        <f t="shared" si="115"/>
        <v>0.33740458015267161</v>
      </c>
      <c r="S63" s="148">
        <f t="shared" si="115"/>
        <v>0.31755725190839679</v>
      </c>
      <c r="T63" s="148">
        <f t="shared" si="115"/>
        <v>0.29770992366412197</v>
      </c>
      <c r="U63" s="148">
        <f t="shared" si="115"/>
        <v>0.27786259541984715</v>
      </c>
      <c r="V63" s="148">
        <f t="shared" ref="V63" si="116">-($E63-$AI63)/30+U63</f>
        <v>0.25801526717557233</v>
      </c>
      <c r="W63" s="148">
        <f t="shared" ref="W63" si="117">-($E63-$AI63)/30+V63</f>
        <v>0.23816793893129751</v>
      </c>
      <c r="X63" s="148">
        <f t="shared" ref="X63" si="118">-($E63-$AI63)/30+W63</f>
        <v>0.21832061068702269</v>
      </c>
      <c r="Y63" s="148">
        <f t="shared" ref="Y63" si="119">-($E63-$AI63)/30+X63</f>
        <v>0.19847328244274787</v>
      </c>
      <c r="Z63" s="148">
        <f t="shared" ref="Z63" si="120">-($E63-$AI63)/30+Y63</f>
        <v>0.17862595419847305</v>
      </c>
      <c r="AA63" s="148">
        <f t="shared" ref="AA63" si="121">-($E63-$AI63)/30+Z63</f>
        <v>0.15877862595419823</v>
      </c>
      <c r="AB63" s="148">
        <f t="shared" ref="AB63" si="122">-($E63-$AI63)/30+AA63</f>
        <v>0.13893129770992341</v>
      </c>
      <c r="AC63" s="148">
        <f t="shared" ref="AC63" si="123">-($E63-$AI63)/30+AB63</f>
        <v>0.1190839694656486</v>
      </c>
      <c r="AD63" s="148">
        <f t="shared" ref="AD63" si="124">-($E63-$AI63)/30+AC63</f>
        <v>9.9236641221373795E-2</v>
      </c>
      <c r="AE63" s="148">
        <f t="shared" ref="AE63" si="125">-($E63-$AI63)/30+AD63</f>
        <v>7.9389312977098989E-2</v>
      </c>
      <c r="AF63" s="148">
        <f t="shared" ref="AF63" si="126">-($E63-$AI63)/30+AE63</f>
        <v>5.9541984732824182E-2</v>
      </c>
      <c r="AG63" s="148">
        <f t="shared" ref="AG63" si="127">-($E63-$AI63)/30+AF63</f>
        <v>3.9694656488549376E-2</v>
      </c>
      <c r="AH63" s="148">
        <f t="shared" ref="AH63" si="128">-($E63-$AI63)/30+AG63</f>
        <v>1.9847328244274567E-2</v>
      </c>
      <c r="AI63" s="148">
        <f>O11</f>
        <v>0</v>
      </c>
    </row>
    <row r="64" spans="1:35">
      <c r="A64" s="260"/>
      <c r="B64" t="s">
        <v>21</v>
      </c>
      <c r="D64" t="s">
        <v>160</v>
      </c>
      <c r="E64" s="148">
        <f>E12</f>
        <v>0</v>
      </c>
      <c r="F64" s="148">
        <f t="shared" si="114"/>
        <v>4.0379664353118686E-3</v>
      </c>
      <c r="G64" s="148">
        <f t="shared" si="114"/>
        <v>8.0759328706237372E-3</v>
      </c>
      <c r="H64" s="148">
        <f t="shared" si="114"/>
        <v>1.2113899305935606E-2</v>
      </c>
      <c r="I64" s="148">
        <f t="shared" si="114"/>
        <v>1.6151865741247474E-2</v>
      </c>
      <c r="J64" s="148">
        <f t="shared" si="114"/>
        <v>2.0189832176559341E-2</v>
      </c>
      <c r="K64" s="148">
        <f t="shared" si="114"/>
        <v>2.4227798611871208E-2</v>
      </c>
      <c r="L64" s="148">
        <f t="shared" si="114"/>
        <v>2.8265765047183075E-2</v>
      </c>
      <c r="M64" s="148">
        <f t="shared" si="114"/>
        <v>3.2303731482494942E-2</v>
      </c>
      <c r="N64" s="148">
        <f t="shared" si="114"/>
        <v>3.6341697917806809E-2</v>
      </c>
      <c r="O64" s="148">
        <f t="shared" si="114"/>
        <v>4.0379664353118676E-2</v>
      </c>
      <c r="P64" s="148">
        <f t="shared" si="114"/>
        <v>4.4417630788430543E-2</v>
      </c>
      <c r="Q64" s="148">
        <f t="shared" si="114"/>
        <v>4.845559722374241E-2</v>
      </c>
      <c r="R64" s="148">
        <f t="shared" si="114"/>
        <v>5.2493563659054276E-2</v>
      </c>
      <c r="S64" s="148">
        <f t="shared" si="114"/>
        <v>5.6531530094366143E-2</v>
      </c>
      <c r="T64" s="148">
        <f t="shared" si="114"/>
        <v>6.056949652967801E-2</v>
      </c>
      <c r="U64" s="148">
        <f t="shared" si="114"/>
        <v>6.4607462964989884E-2</v>
      </c>
      <c r="V64" s="148">
        <f t="shared" si="113"/>
        <v>6.8645429400301758E-2</v>
      </c>
      <c r="W64" s="148">
        <f t="shared" si="113"/>
        <v>7.2683395835613632E-2</v>
      </c>
      <c r="X64" s="148">
        <f t="shared" si="113"/>
        <v>7.6721362270925506E-2</v>
      </c>
      <c r="Y64" s="148">
        <f t="shared" si="113"/>
        <v>8.0759328706237379E-2</v>
      </c>
      <c r="Z64" s="148">
        <f t="shared" si="113"/>
        <v>8.4797295141549253E-2</v>
      </c>
      <c r="AA64" s="148">
        <f t="shared" si="113"/>
        <v>8.8835261576861127E-2</v>
      </c>
      <c r="AB64" s="148">
        <f t="shared" si="113"/>
        <v>9.2873228012173001E-2</v>
      </c>
      <c r="AC64" s="148">
        <f t="shared" si="113"/>
        <v>9.6911194447484875E-2</v>
      </c>
      <c r="AD64" s="148">
        <f t="shared" si="113"/>
        <v>0.10094916088279675</v>
      </c>
      <c r="AE64" s="148">
        <f t="shared" si="113"/>
        <v>0.10498712731810862</v>
      </c>
      <c r="AF64" s="148">
        <f t="shared" si="113"/>
        <v>0.1090250937534205</v>
      </c>
      <c r="AG64" s="148">
        <f t="shared" si="113"/>
        <v>0.11306306018873237</v>
      </c>
      <c r="AH64" s="148">
        <f t="shared" si="113"/>
        <v>0.11710102662404424</v>
      </c>
      <c r="AI64" s="148">
        <f>O12</f>
        <v>0.12113899305935606</v>
      </c>
    </row>
    <row r="65" spans="1:35">
      <c r="A65" s="260"/>
      <c r="B65" t="s">
        <v>21</v>
      </c>
      <c r="D65" t="s">
        <v>27</v>
      </c>
      <c r="E65" s="148">
        <f>E13</f>
        <v>0.40458015267175573</v>
      </c>
      <c r="F65" s="148">
        <f t="shared" si="114"/>
        <v>0.42038951448071865</v>
      </c>
      <c r="G65" s="148">
        <f t="shared" si="114"/>
        <v>0.43619887628968157</v>
      </c>
      <c r="H65" s="148">
        <f t="shared" si="114"/>
        <v>0.45200823809864449</v>
      </c>
      <c r="I65" s="148">
        <f t="shared" si="114"/>
        <v>0.46781759990760741</v>
      </c>
      <c r="J65" s="148">
        <f t="shared" si="114"/>
        <v>0.48362696171657032</v>
      </c>
      <c r="K65" s="148">
        <f t="shared" si="114"/>
        <v>0.49943632352553324</v>
      </c>
      <c r="L65" s="148">
        <f t="shared" si="114"/>
        <v>0.51524568533449622</v>
      </c>
      <c r="M65" s="148">
        <f t="shared" si="114"/>
        <v>0.53105504714345919</v>
      </c>
      <c r="N65" s="148">
        <f t="shared" si="114"/>
        <v>0.54686440895242217</v>
      </c>
      <c r="O65" s="148">
        <f t="shared" si="114"/>
        <v>0.56267377076138514</v>
      </c>
      <c r="P65" s="148">
        <f t="shared" si="114"/>
        <v>0.57848313257034811</v>
      </c>
      <c r="Q65" s="148">
        <f t="shared" si="114"/>
        <v>0.59429249437931109</v>
      </c>
      <c r="R65" s="148">
        <f t="shared" si="114"/>
        <v>0.61010185618827406</v>
      </c>
      <c r="S65" s="148">
        <f t="shared" si="114"/>
        <v>0.62591121799723703</v>
      </c>
      <c r="T65" s="148">
        <f t="shared" si="114"/>
        <v>0.64172057980620001</v>
      </c>
      <c r="U65" s="148">
        <f t="shared" si="114"/>
        <v>0.65752994161516298</v>
      </c>
      <c r="V65" s="148">
        <f t="shared" si="113"/>
        <v>0.67333930342412596</v>
      </c>
      <c r="W65" s="148">
        <f t="shared" si="113"/>
        <v>0.68914866523308893</v>
      </c>
      <c r="X65" s="148">
        <f t="shared" si="113"/>
        <v>0.7049580270420519</v>
      </c>
      <c r="Y65" s="148">
        <f t="shared" si="113"/>
        <v>0.72076738885101488</v>
      </c>
      <c r="Z65" s="148">
        <f t="shared" si="113"/>
        <v>0.73657675065997785</v>
      </c>
      <c r="AA65" s="148">
        <f t="shared" si="113"/>
        <v>0.75238611246894083</v>
      </c>
      <c r="AB65" s="148">
        <f t="shared" si="113"/>
        <v>0.7681954742779038</v>
      </c>
      <c r="AC65" s="148">
        <f t="shared" si="113"/>
        <v>0.78400483608686677</v>
      </c>
      <c r="AD65" s="148">
        <f t="shared" si="113"/>
        <v>0.79981419789582975</v>
      </c>
      <c r="AE65" s="148">
        <f t="shared" si="113"/>
        <v>0.81562355970479272</v>
      </c>
      <c r="AF65" s="148">
        <f t="shared" si="113"/>
        <v>0.8314329215137557</v>
      </c>
      <c r="AG65" s="148">
        <f t="shared" si="113"/>
        <v>0.84724228332271867</v>
      </c>
      <c r="AH65" s="148">
        <f t="shared" si="113"/>
        <v>0.86305164513168164</v>
      </c>
      <c r="AI65" s="148">
        <f>O13</f>
        <v>0.87886100694064395</v>
      </c>
    </row>
    <row r="66" spans="1:35" s="61" customFormat="1">
      <c r="A66" s="257"/>
      <c r="B66" s="61" t="s">
        <v>21</v>
      </c>
      <c r="C66" s="61" t="s">
        <v>744</v>
      </c>
      <c r="D66" t="s">
        <v>35</v>
      </c>
      <c r="E66" s="175">
        <f>F10</f>
        <v>0</v>
      </c>
      <c r="F66" s="175">
        <f t="shared" si="114"/>
        <v>0</v>
      </c>
      <c r="G66" s="175">
        <f t="shared" si="114"/>
        <v>0</v>
      </c>
      <c r="H66" s="175">
        <f t="shared" si="114"/>
        <v>0</v>
      </c>
      <c r="I66" s="175">
        <f t="shared" si="114"/>
        <v>0</v>
      </c>
      <c r="J66" s="175">
        <f t="shared" si="114"/>
        <v>0</v>
      </c>
      <c r="K66" s="175">
        <f t="shared" si="114"/>
        <v>0</v>
      </c>
      <c r="L66" s="175">
        <f t="shared" si="114"/>
        <v>0</v>
      </c>
      <c r="M66" s="175">
        <f t="shared" si="114"/>
        <v>0</v>
      </c>
      <c r="N66" s="175">
        <f t="shared" si="114"/>
        <v>0</v>
      </c>
      <c r="O66" s="175">
        <f t="shared" si="114"/>
        <v>0</v>
      </c>
      <c r="P66" s="175">
        <f t="shared" si="114"/>
        <v>0</v>
      </c>
      <c r="Q66" s="175">
        <f t="shared" si="114"/>
        <v>0</v>
      </c>
      <c r="R66" s="175">
        <f t="shared" si="114"/>
        <v>0</v>
      </c>
      <c r="S66" s="175">
        <f t="shared" si="114"/>
        <v>0</v>
      </c>
      <c r="T66" s="175">
        <f t="shared" si="114"/>
        <v>0</v>
      </c>
      <c r="U66" s="175">
        <f t="shared" si="114"/>
        <v>0</v>
      </c>
      <c r="V66" s="175">
        <f t="shared" si="113"/>
        <v>0</v>
      </c>
      <c r="W66" s="175">
        <f t="shared" si="113"/>
        <v>0</v>
      </c>
      <c r="X66" s="175">
        <f t="shared" si="113"/>
        <v>0</v>
      </c>
      <c r="Y66" s="175">
        <f t="shared" si="113"/>
        <v>0</v>
      </c>
      <c r="Z66" s="175">
        <f t="shared" si="113"/>
        <v>0</v>
      </c>
      <c r="AA66" s="175">
        <f t="shared" si="113"/>
        <v>0</v>
      </c>
      <c r="AB66" s="175">
        <f t="shared" si="113"/>
        <v>0</v>
      </c>
      <c r="AC66" s="175">
        <f t="shared" si="113"/>
        <v>0</v>
      </c>
      <c r="AD66" s="175">
        <f t="shared" si="113"/>
        <v>0</v>
      </c>
      <c r="AE66" s="175">
        <f t="shared" si="113"/>
        <v>0</v>
      </c>
      <c r="AF66" s="175">
        <f t="shared" si="113"/>
        <v>0</v>
      </c>
      <c r="AG66" s="175">
        <f t="shared" si="113"/>
        <v>0</v>
      </c>
      <c r="AH66" s="175">
        <f t="shared" si="113"/>
        <v>0</v>
      </c>
      <c r="AI66" s="175">
        <f>P10</f>
        <v>0</v>
      </c>
    </row>
    <row r="67" spans="1:35">
      <c r="A67" s="260"/>
      <c r="B67" s="61" t="s">
        <v>21</v>
      </c>
      <c r="C67" s="61" t="s">
        <v>744</v>
      </c>
      <c r="D67" t="s">
        <v>74</v>
      </c>
      <c r="E67" s="175">
        <f>F11</f>
        <v>0.59541984732824427</v>
      </c>
      <c r="F67" s="175">
        <f t="shared" ref="F67:U67" si="129">-($E67-$AI67)/30+E67</f>
        <v>0.57557251908396945</v>
      </c>
      <c r="G67" s="175">
        <f t="shared" si="129"/>
        <v>0.55572519083969463</v>
      </c>
      <c r="H67" s="175">
        <f t="shared" si="129"/>
        <v>0.53587786259541981</v>
      </c>
      <c r="I67" s="175">
        <f t="shared" si="129"/>
        <v>0.51603053435114499</v>
      </c>
      <c r="J67" s="175">
        <f t="shared" si="129"/>
        <v>0.49618320610687017</v>
      </c>
      <c r="K67" s="175">
        <f t="shared" si="129"/>
        <v>0.47633587786259535</v>
      </c>
      <c r="L67" s="175">
        <f t="shared" si="129"/>
        <v>0.45648854961832053</v>
      </c>
      <c r="M67" s="175">
        <f t="shared" si="129"/>
        <v>0.43664122137404571</v>
      </c>
      <c r="N67" s="175">
        <f t="shared" si="129"/>
        <v>0.41679389312977089</v>
      </c>
      <c r="O67" s="175">
        <f t="shared" si="129"/>
        <v>0.39694656488549607</v>
      </c>
      <c r="P67" s="175">
        <f t="shared" si="129"/>
        <v>0.37709923664122125</v>
      </c>
      <c r="Q67" s="175">
        <f t="shared" si="129"/>
        <v>0.35725190839694643</v>
      </c>
      <c r="R67" s="175">
        <f t="shared" si="129"/>
        <v>0.33740458015267161</v>
      </c>
      <c r="S67" s="175">
        <f t="shared" si="129"/>
        <v>0.31755725190839679</v>
      </c>
      <c r="T67" s="175">
        <f t="shared" si="129"/>
        <v>0.29770992366412197</v>
      </c>
      <c r="U67" s="175">
        <f t="shared" si="129"/>
        <v>0.27786259541984715</v>
      </c>
      <c r="V67" s="175">
        <f t="shared" ref="V67" si="130">-($E67-$AI67)/30+U67</f>
        <v>0.25801526717557233</v>
      </c>
      <c r="W67" s="175">
        <f t="shared" ref="W67" si="131">-($E67-$AI67)/30+V67</f>
        <v>0.23816793893129751</v>
      </c>
      <c r="X67" s="175">
        <f t="shared" ref="X67" si="132">-($E67-$AI67)/30+W67</f>
        <v>0.21832061068702269</v>
      </c>
      <c r="Y67" s="175">
        <f t="shared" ref="Y67" si="133">-($E67-$AI67)/30+X67</f>
        <v>0.19847328244274787</v>
      </c>
      <c r="Z67" s="175">
        <f t="shared" ref="Z67" si="134">-($E67-$AI67)/30+Y67</f>
        <v>0.17862595419847305</v>
      </c>
      <c r="AA67" s="175">
        <f t="shared" ref="AA67" si="135">-($E67-$AI67)/30+Z67</f>
        <v>0.15877862595419823</v>
      </c>
      <c r="AB67" s="175">
        <f t="shared" ref="AB67" si="136">-($E67-$AI67)/30+AA67</f>
        <v>0.13893129770992341</v>
      </c>
      <c r="AC67" s="175">
        <f t="shared" ref="AC67" si="137">-($E67-$AI67)/30+AB67</f>
        <v>0.1190839694656486</v>
      </c>
      <c r="AD67" s="175">
        <f t="shared" ref="AD67" si="138">-($E67-$AI67)/30+AC67</f>
        <v>9.9236641221373795E-2</v>
      </c>
      <c r="AE67" s="175">
        <f t="shared" ref="AE67" si="139">-($E67-$AI67)/30+AD67</f>
        <v>7.9389312977098989E-2</v>
      </c>
      <c r="AF67" s="175">
        <f t="shared" ref="AF67" si="140">-($E67-$AI67)/30+AE67</f>
        <v>5.9541984732824182E-2</v>
      </c>
      <c r="AG67" s="175">
        <f t="shared" ref="AG67" si="141">-($E67-$AI67)/30+AF67</f>
        <v>3.9694656488549376E-2</v>
      </c>
      <c r="AH67" s="175">
        <f t="shared" ref="AH67" si="142">-($E67-$AI67)/30+AG67</f>
        <v>1.9847328244274567E-2</v>
      </c>
      <c r="AI67" s="175">
        <f>P11</f>
        <v>0</v>
      </c>
    </row>
    <row r="68" spans="1:35">
      <c r="A68" s="260"/>
      <c r="B68" t="s">
        <v>21</v>
      </c>
      <c r="D68" t="s">
        <v>160</v>
      </c>
      <c r="E68" s="148">
        <f>F12</f>
        <v>0</v>
      </c>
      <c r="F68" s="148">
        <f t="shared" si="114"/>
        <v>4.0379664353118686E-3</v>
      </c>
      <c r="G68" s="148">
        <f t="shared" si="114"/>
        <v>8.0759328706237372E-3</v>
      </c>
      <c r="H68" s="148">
        <f t="shared" si="114"/>
        <v>1.2113899305935606E-2</v>
      </c>
      <c r="I68" s="148">
        <f t="shared" si="114"/>
        <v>1.6151865741247474E-2</v>
      </c>
      <c r="J68" s="148">
        <f t="shared" si="114"/>
        <v>2.0189832176559341E-2</v>
      </c>
      <c r="K68" s="148">
        <f t="shared" si="114"/>
        <v>2.4227798611871208E-2</v>
      </c>
      <c r="L68" s="148">
        <f t="shared" si="114"/>
        <v>2.8265765047183075E-2</v>
      </c>
      <c r="M68" s="148">
        <f t="shared" si="114"/>
        <v>3.2303731482494942E-2</v>
      </c>
      <c r="N68" s="148">
        <f t="shared" si="114"/>
        <v>3.6341697917806809E-2</v>
      </c>
      <c r="O68" s="148">
        <f t="shared" si="114"/>
        <v>4.0379664353118676E-2</v>
      </c>
      <c r="P68" s="148">
        <f t="shared" si="114"/>
        <v>4.4417630788430543E-2</v>
      </c>
      <c r="Q68" s="148">
        <f t="shared" si="114"/>
        <v>4.845559722374241E-2</v>
      </c>
      <c r="R68" s="148">
        <f t="shared" si="114"/>
        <v>5.2493563659054276E-2</v>
      </c>
      <c r="S68" s="148">
        <f t="shared" si="114"/>
        <v>5.6531530094366143E-2</v>
      </c>
      <c r="T68" s="148">
        <f t="shared" si="114"/>
        <v>6.056949652967801E-2</v>
      </c>
      <c r="U68" s="148">
        <f t="shared" si="114"/>
        <v>6.4607462964989884E-2</v>
      </c>
      <c r="V68" s="148">
        <f t="shared" si="113"/>
        <v>6.8645429400301758E-2</v>
      </c>
      <c r="W68" s="148">
        <f t="shared" si="113"/>
        <v>7.2683395835613632E-2</v>
      </c>
      <c r="X68" s="148">
        <f t="shared" si="113"/>
        <v>7.6721362270925506E-2</v>
      </c>
      <c r="Y68" s="148">
        <f t="shared" si="113"/>
        <v>8.0759328706237379E-2</v>
      </c>
      <c r="Z68" s="148">
        <f t="shared" si="113"/>
        <v>8.4797295141549253E-2</v>
      </c>
      <c r="AA68" s="148">
        <f t="shared" si="113"/>
        <v>8.8835261576861127E-2</v>
      </c>
      <c r="AB68" s="148">
        <f t="shared" si="113"/>
        <v>9.2873228012173001E-2</v>
      </c>
      <c r="AC68" s="148">
        <f t="shared" si="113"/>
        <v>9.6911194447484875E-2</v>
      </c>
      <c r="AD68" s="148">
        <f t="shared" si="113"/>
        <v>0.10094916088279675</v>
      </c>
      <c r="AE68" s="148">
        <f t="shared" si="113"/>
        <v>0.10498712731810862</v>
      </c>
      <c r="AF68" s="148">
        <f t="shared" si="113"/>
        <v>0.1090250937534205</v>
      </c>
      <c r="AG68" s="148">
        <f t="shared" si="113"/>
        <v>0.11306306018873237</v>
      </c>
      <c r="AH68" s="148">
        <f t="shared" si="113"/>
        <v>0.11710102662404424</v>
      </c>
      <c r="AI68" s="148">
        <f>P12</f>
        <v>0.12113899305935606</v>
      </c>
    </row>
    <row r="69" spans="1:35">
      <c r="A69" s="260"/>
      <c r="B69" t="s">
        <v>21</v>
      </c>
      <c r="D69" t="s">
        <v>27</v>
      </c>
      <c r="E69" s="148">
        <f>F13</f>
        <v>0.40458015267175573</v>
      </c>
      <c r="F69" s="148">
        <f t="shared" si="114"/>
        <v>0.42038951448071865</v>
      </c>
      <c r="G69" s="148">
        <f t="shared" si="114"/>
        <v>0.43619887628968157</v>
      </c>
      <c r="H69" s="148">
        <f t="shared" si="114"/>
        <v>0.45200823809864449</v>
      </c>
      <c r="I69" s="148">
        <f t="shared" si="114"/>
        <v>0.46781759990760741</v>
      </c>
      <c r="J69" s="148">
        <f t="shared" si="114"/>
        <v>0.48362696171657032</v>
      </c>
      <c r="K69" s="148">
        <f t="shared" si="114"/>
        <v>0.49943632352553324</v>
      </c>
      <c r="L69" s="148">
        <f t="shared" si="114"/>
        <v>0.51524568533449622</v>
      </c>
      <c r="M69" s="148">
        <f t="shared" si="114"/>
        <v>0.53105504714345919</v>
      </c>
      <c r="N69" s="148">
        <f t="shared" si="114"/>
        <v>0.54686440895242217</v>
      </c>
      <c r="O69" s="148">
        <f t="shared" si="114"/>
        <v>0.56267377076138514</v>
      </c>
      <c r="P69" s="148">
        <f t="shared" si="114"/>
        <v>0.57848313257034811</v>
      </c>
      <c r="Q69" s="148">
        <f t="shared" si="114"/>
        <v>0.59429249437931109</v>
      </c>
      <c r="R69" s="148">
        <f t="shared" si="114"/>
        <v>0.61010185618827406</v>
      </c>
      <c r="S69" s="148">
        <f t="shared" si="114"/>
        <v>0.62591121799723703</v>
      </c>
      <c r="T69" s="148">
        <f t="shared" si="114"/>
        <v>0.64172057980620001</v>
      </c>
      <c r="U69" s="148">
        <f t="shared" si="114"/>
        <v>0.65752994161516298</v>
      </c>
      <c r="V69" s="148">
        <f t="shared" si="113"/>
        <v>0.67333930342412596</v>
      </c>
      <c r="W69" s="148">
        <f t="shared" si="113"/>
        <v>0.68914866523308893</v>
      </c>
      <c r="X69" s="148">
        <f t="shared" si="113"/>
        <v>0.7049580270420519</v>
      </c>
      <c r="Y69" s="148">
        <f t="shared" si="113"/>
        <v>0.72076738885101488</v>
      </c>
      <c r="Z69" s="148">
        <f t="shared" si="113"/>
        <v>0.73657675065997785</v>
      </c>
      <c r="AA69" s="148">
        <f t="shared" si="113"/>
        <v>0.75238611246894083</v>
      </c>
      <c r="AB69" s="148">
        <f t="shared" si="113"/>
        <v>0.7681954742779038</v>
      </c>
      <c r="AC69" s="148">
        <f t="shared" si="113"/>
        <v>0.78400483608686677</v>
      </c>
      <c r="AD69" s="148">
        <f t="shared" si="113"/>
        <v>0.79981419789582975</v>
      </c>
      <c r="AE69" s="148">
        <f t="shared" si="113"/>
        <v>0.81562355970479272</v>
      </c>
      <c r="AF69" s="148">
        <f t="shared" si="113"/>
        <v>0.8314329215137557</v>
      </c>
      <c r="AG69" s="148">
        <f t="shared" si="113"/>
        <v>0.84724228332271867</v>
      </c>
      <c r="AH69" s="148">
        <f t="shared" si="113"/>
        <v>0.86305164513168164</v>
      </c>
      <c r="AI69" s="148">
        <f>P13</f>
        <v>0.87886100694064395</v>
      </c>
    </row>
    <row r="70" spans="1:35" s="61" customFormat="1">
      <c r="A70" s="257"/>
      <c r="B70" s="61" t="s">
        <v>21</v>
      </c>
      <c r="C70" s="61" t="s">
        <v>738</v>
      </c>
      <c r="D70" t="s">
        <v>35</v>
      </c>
      <c r="E70" s="175">
        <f>G10</f>
        <v>0</v>
      </c>
      <c r="F70" s="175">
        <f t="shared" si="114"/>
        <v>0</v>
      </c>
      <c r="G70" s="175">
        <f t="shared" si="114"/>
        <v>0</v>
      </c>
      <c r="H70" s="175">
        <f t="shared" si="114"/>
        <v>0</v>
      </c>
      <c r="I70" s="175">
        <f t="shared" si="114"/>
        <v>0</v>
      </c>
      <c r="J70" s="175">
        <f t="shared" si="114"/>
        <v>0</v>
      </c>
      <c r="K70" s="175">
        <f t="shared" si="114"/>
        <v>0</v>
      </c>
      <c r="L70" s="175">
        <f t="shared" si="114"/>
        <v>0</v>
      </c>
      <c r="M70" s="175">
        <f t="shared" si="114"/>
        <v>0</v>
      </c>
      <c r="N70" s="175">
        <f t="shared" si="114"/>
        <v>0</v>
      </c>
      <c r="O70" s="175">
        <f t="shared" si="114"/>
        <v>0</v>
      </c>
      <c r="P70" s="175">
        <f t="shared" si="114"/>
        <v>0</v>
      </c>
      <c r="Q70" s="175">
        <f t="shared" si="114"/>
        <v>0</v>
      </c>
      <c r="R70" s="175">
        <f t="shared" si="114"/>
        <v>0</v>
      </c>
      <c r="S70" s="175">
        <f t="shared" si="114"/>
        <v>0</v>
      </c>
      <c r="T70" s="175">
        <f t="shared" si="114"/>
        <v>0</v>
      </c>
      <c r="U70" s="175">
        <f t="shared" si="114"/>
        <v>0</v>
      </c>
      <c r="V70" s="175">
        <f t="shared" si="113"/>
        <v>0</v>
      </c>
      <c r="W70" s="175">
        <f t="shared" si="113"/>
        <v>0</v>
      </c>
      <c r="X70" s="175">
        <f t="shared" si="113"/>
        <v>0</v>
      </c>
      <c r="Y70" s="175">
        <f t="shared" si="113"/>
        <v>0</v>
      </c>
      <c r="Z70" s="175">
        <f t="shared" si="113"/>
        <v>0</v>
      </c>
      <c r="AA70" s="175">
        <f t="shared" si="113"/>
        <v>0</v>
      </c>
      <c r="AB70" s="175">
        <f t="shared" si="113"/>
        <v>0</v>
      </c>
      <c r="AC70" s="175">
        <f t="shared" si="113"/>
        <v>0</v>
      </c>
      <c r="AD70" s="175">
        <f t="shared" si="113"/>
        <v>0</v>
      </c>
      <c r="AE70" s="175">
        <f t="shared" si="113"/>
        <v>0</v>
      </c>
      <c r="AF70" s="175">
        <f t="shared" si="113"/>
        <v>0</v>
      </c>
      <c r="AG70" s="175">
        <f t="shared" si="113"/>
        <v>0</v>
      </c>
      <c r="AH70" s="175">
        <f t="shared" si="113"/>
        <v>0</v>
      </c>
      <c r="AI70" s="175">
        <f>Q10</f>
        <v>0</v>
      </c>
    </row>
    <row r="71" spans="1:35">
      <c r="A71" s="260"/>
      <c r="B71" s="61" t="s">
        <v>21</v>
      </c>
      <c r="C71" s="61" t="s">
        <v>738</v>
      </c>
      <c r="D71" t="s">
        <v>74</v>
      </c>
      <c r="E71" s="175">
        <f>G11</f>
        <v>0.59541984732824427</v>
      </c>
      <c r="F71" s="175">
        <f t="shared" ref="F71:U71" si="143">-($E71-$AI71)/30+E71</f>
        <v>0.57557251908396945</v>
      </c>
      <c r="G71" s="175">
        <f t="shared" si="143"/>
        <v>0.55572519083969463</v>
      </c>
      <c r="H71" s="175">
        <f t="shared" si="143"/>
        <v>0.53587786259541981</v>
      </c>
      <c r="I71" s="175">
        <f t="shared" si="143"/>
        <v>0.51603053435114499</v>
      </c>
      <c r="J71" s="175">
        <f t="shared" si="143"/>
        <v>0.49618320610687017</v>
      </c>
      <c r="K71" s="175">
        <f t="shared" si="143"/>
        <v>0.47633587786259535</v>
      </c>
      <c r="L71" s="175">
        <f t="shared" si="143"/>
        <v>0.45648854961832053</v>
      </c>
      <c r="M71" s="175">
        <f t="shared" si="143"/>
        <v>0.43664122137404571</v>
      </c>
      <c r="N71" s="175">
        <f t="shared" si="143"/>
        <v>0.41679389312977089</v>
      </c>
      <c r="O71" s="175">
        <f t="shared" si="143"/>
        <v>0.39694656488549607</v>
      </c>
      <c r="P71" s="175">
        <f t="shared" si="143"/>
        <v>0.37709923664122125</v>
      </c>
      <c r="Q71" s="175">
        <f t="shared" si="143"/>
        <v>0.35725190839694643</v>
      </c>
      <c r="R71" s="175">
        <f t="shared" si="143"/>
        <v>0.33740458015267161</v>
      </c>
      <c r="S71" s="175">
        <f t="shared" si="143"/>
        <v>0.31755725190839679</v>
      </c>
      <c r="T71" s="175">
        <f t="shared" si="143"/>
        <v>0.29770992366412197</v>
      </c>
      <c r="U71" s="175">
        <f t="shared" si="143"/>
        <v>0.27786259541984715</v>
      </c>
      <c r="V71" s="175">
        <f t="shared" ref="V71" si="144">-($E71-$AI71)/30+U71</f>
        <v>0.25801526717557233</v>
      </c>
      <c r="W71" s="175">
        <f t="shared" ref="W71" si="145">-($E71-$AI71)/30+V71</f>
        <v>0.23816793893129751</v>
      </c>
      <c r="X71" s="175">
        <f t="shared" ref="X71" si="146">-($E71-$AI71)/30+W71</f>
        <v>0.21832061068702269</v>
      </c>
      <c r="Y71" s="175">
        <f t="shared" ref="Y71" si="147">-($E71-$AI71)/30+X71</f>
        <v>0.19847328244274787</v>
      </c>
      <c r="Z71" s="175">
        <f t="shared" ref="Z71" si="148">-($E71-$AI71)/30+Y71</f>
        <v>0.17862595419847305</v>
      </c>
      <c r="AA71" s="175">
        <f t="shared" ref="AA71" si="149">-($E71-$AI71)/30+Z71</f>
        <v>0.15877862595419823</v>
      </c>
      <c r="AB71" s="175">
        <f t="shared" ref="AB71" si="150">-($E71-$AI71)/30+AA71</f>
        <v>0.13893129770992341</v>
      </c>
      <c r="AC71" s="175">
        <f t="shared" ref="AC71" si="151">-($E71-$AI71)/30+AB71</f>
        <v>0.1190839694656486</v>
      </c>
      <c r="AD71" s="175">
        <f t="shared" ref="AD71" si="152">-($E71-$AI71)/30+AC71</f>
        <v>9.9236641221373795E-2</v>
      </c>
      <c r="AE71" s="175">
        <f t="shared" ref="AE71" si="153">-($E71-$AI71)/30+AD71</f>
        <v>7.9389312977098989E-2</v>
      </c>
      <c r="AF71" s="175">
        <f t="shared" ref="AF71" si="154">-($E71-$AI71)/30+AE71</f>
        <v>5.9541984732824182E-2</v>
      </c>
      <c r="AG71" s="175">
        <f t="shared" ref="AG71" si="155">-($E71-$AI71)/30+AF71</f>
        <v>3.9694656488549376E-2</v>
      </c>
      <c r="AH71" s="175">
        <f t="shared" ref="AH71" si="156">-($E71-$AI71)/30+AG71</f>
        <v>1.9847328244274567E-2</v>
      </c>
      <c r="AI71" s="175">
        <f>Q11</f>
        <v>0</v>
      </c>
    </row>
    <row r="72" spans="1:35">
      <c r="A72" s="260"/>
      <c r="B72" t="s">
        <v>21</v>
      </c>
      <c r="D72" t="s">
        <v>160</v>
      </c>
      <c r="E72" s="148">
        <f>G12</f>
        <v>0</v>
      </c>
      <c r="F72" s="148">
        <f t="shared" si="114"/>
        <v>4.0379664353118686E-3</v>
      </c>
      <c r="G72" s="148">
        <f t="shared" si="114"/>
        <v>8.0759328706237372E-3</v>
      </c>
      <c r="H72" s="148">
        <f t="shared" si="114"/>
        <v>1.2113899305935606E-2</v>
      </c>
      <c r="I72" s="148">
        <f t="shared" si="114"/>
        <v>1.6151865741247474E-2</v>
      </c>
      <c r="J72" s="148">
        <f t="shared" si="114"/>
        <v>2.0189832176559341E-2</v>
      </c>
      <c r="K72" s="148">
        <f t="shared" si="114"/>
        <v>2.4227798611871208E-2</v>
      </c>
      <c r="L72" s="148">
        <f t="shared" si="114"/>
        <v>2.8265765047183075E-2</v>
      </c>
      <c r="M72" s="148">
        <f t="shared" si="114"/>
        <v>3.2303731482494942E-2</v>
      </c>
      <c r="N72" s="148">
        <f t="shared" si="114"/>
        <v>3.6341697917806809E-2</v>
      </c>
      <c r="O72" s="148">
        <f t="shared" si="114"/>
        <v>4.0379664353118676E-2</v>
      </c>
      <c r="P72" s="148">
        <f t="shared" si="114"/>
        <v>4.4417630788430543E-2</v>
      </c>
      <c r="Q72" s="148">
        <f t="shared" si="114"/>
        <v>4.845559722374241E-2</v>
      </c>
      <c r="R72" s="148">
        <f t="shared" si="114"/>
        <v>5.2493563659054276E-2</v>
      </c>
      <c r="S72" s="148">
        <f t="shared" si="114"/>
        <v>5.6531530094366143E-2</v>
      </c>
      <c r="T72" s="148">
        <f t="shared" si="114"/>
        <v>6.056949652967801E-2</v>
      </c>
      <c r="U72" s="148">
        <f t="shared" si="114"/>
        <v>6.4607462964989884E-2</v>
      </c>
      <c r="V72" s="148">
        <f t="shared" si="113"/>
        <v>6.8645429400301758E-2</v>
      </c>
      <c r="W72" s="148">
        <f t="shared" si="113"/>
        <v>7.2683395835613632E-2</v>
      </c>
      <c r="X72" s="148">
        <f t="shared" si="113"/>
        <v>7.6721362270925506E-2</v>
      </c>
      <c r="Y72" s="148">
        <f t="shared" si="113"/>
        <v>8.0759328706237379E-2</v>
      </c>
      <c r="Z72" s="148">
        <f t="shared" si="113"/>
        <v>8.4797295141549253E-2</v>
      </c>
      <c r="AA72" s="148">
        <f t="shared" si="113"/>
        <v>8.8835261576861127E-2</v>
      </c>
      <c r="AB72" s="148">
        <f t="shared" si="113"/>
        <v>9.2873228012173001E-2</v>
      </c>
      <c r="AC72" s="148">
        <f t="shared" si="113"/>
        <v>9.6911194447484875E-2</v>
      </c>
      <c r="AD72" s="148">
        <f t="shared" si="113"/>
        <v>0.10094916088279675</v>
      </c>
      <c r="AE72" s="148">
        <f t="shared" si="113"/>
        <v>0.10498712731810862</v>
      </c>
      <c r="AF72" s="148">
        <f t="shared" si="113"/>
        <v>0.1090250937534205</v>
      </c>
      <c r="AG72" s="148">
        <f t="shared" si="113"/>
        <v>0.11306306018873237</v>
      </c>
      <c r="AH72" s="148">
        <f t="shared" si="113"/>
        <v>0.11710102662404424</v>
      </c>
      <c r="AI72" s="148">
        <f>Q12</f>
        <v>0.12113899305935606</v>
      </c>
    </row>
    <row r="73" spans="1:35">
      <c r="A73" s="260"/>
      <c r="B73" t="s">
        <v>21</v>
      </c>
      <c r="D73" t="s">
        <v>27</v>
      </c>
      <c r="E73" s="148">
        <f>G13</f>
        <v>0.40458015267175573</v>
      </c>
      <c r="F73" s="148">
        <f t="shared" si="114"/>
        <v>0.42038951448071865</v>
      </c>
      <c r="G73" s="148">
        <f t="shared" si="114"/>
        <v>0.43619887628968157</v>
      </c>
      <c r="H73" s="148">
        <f t="shared" si="114"/>
        <v>0.45200823809864449</v>
      </c>
      <c r="I73" s="148">
        <f t="shared" si="114"/>
        <v>0.46781759990760741</v>
      </c>
      <c r="J73" s="148">
        <f t="shared" si="114"/>
        <v>0.48362696171657032</v>
      </c>
      <c r="K73" s="148">
        <f t="shared" si="114"/>
        <v>0.49943632352553324</v>
      </c>
      <c r="L73" s="148">
        <f t="shared" si="114"/>
        <v>0.51524568533449622</v>
      </c>
      <c r="M73" s="148">
        <f t="shared" si="114"/>
        <v>0.53105504714345919</v>
      </c>
      <c r="N73" s="148">
        <f t="shared" si="114"/>
        <v>0.54686440895242217</v>
      </c>
      <c r="O73" s="148">
        <f t="shared" si="114"/>
        <v>0.56267377076138514</v>
      </c>
      <c r="P73" s="148">
        <f t="shared" si="114"/>
        <v>0.57848313257034811</v>
      </c>
      <c r="Q73" s="148">
        <f t="shared" si="114"/>
        <v>0.59429249437931109</v>
      </c>
      <c r="R73" s="148">
        <f t="shared" si="114"/>
        <v>0.61010185618827406</v>
      </c>
      <c r="S73" s="148">
        <f t="shared" si="114"/>
        <v>0.62591121799723703</v>
      </c>
      <c r="T73" s="148">
        <f t="shared" si="114"/>
        <v>0.64172057980620001</v>
      </c>
      <c r="U73" s="148">
        <f t="shared" si="114"/>
        <v>0.65752994161516298</v>
      </c>
      <c r="V73" s="148">
        <f t="shared" si="113"/>
        <v>0.67333930342412596</v>
      </c>
      <c r="W73" s="148">
        <f t="shared" si="113"/>
        <v>0.68914866523308893</v>
      </c>
      <c r="X73" s="148">
        <f t="shared" si="113"/>
        <v>0.7049580270420519</v>
      </c>
      <c r="Y73" s="148">
        <f t="shared" si="113"/>
        <v>0.72076738885101488</v>
      </c>
      <c r="Z73" s="148">
        <f t="shared" si="113"/>
        <v>0.73657675065997785</v>
      </c>
      <c r="AA73" s="148">
        <f t="shared" si="113"/>
        <v>0.75238611246894083</v>
      </c>
      <c r="AB73" s="148">
        <f t="shared" si="113"/>
        <v>0.7681954742779038</v>
      </c>
      <c r="AC73" s="148">
        <f t="shared" si="113"/>
        <v>0.78400483608686677</v>
      </c>
      <c r="AD73" s="148">
        <f t="shared" si="113"/>
        <v>0.79981419789582975</v>
      </c>
      <c r="AE73" s="148">
        <f t="shared" si="113"/>
        <v>0.81562355970479272</v>
      </c>
      <c r="AF73" s="148">
        <f t="shared" si="113"/>
        <v>0.8314329215137557</v>
      </c>
      <c r="AG73" s="148">
        <f t="shared" si="113"/>
        <v>0.84724228332271867</v>
      </c>
      <c r="AH73" s="148">
        <f t="shared" si="113"/>
        <v>0.86305164513168164</v>
      </c>
      <c r="AI73" s="148">
        <f>Q13</f>
        <v>0.87886100694064395</v>
      </c>
    </row>
    <row r="74" spans="1:35" s="61" customFormat="1">
      <c r="A74" s="257"/>
      <c r="B74" s="61" t="s">
        <v>53</v>
      </c>
      <c r="C74" s="61" t="s">
        <v>735</v>
      </c>
      <c r="D74" t="s">
        <v>35</v>
      </c>
      <c r="E74" s="175">
        <f>D17</f>
        <v>0</v>
      </c>
      <c r="F74" s="175">
        <f t="shared" si="114"/>
        <v>3.3332989696536662E-2</v>
      </c>
      <c r="G74" s="175">
        <f t="shared" si="114"/>
        <v>6.6665979393073324E-2</v>
      </c>
      <c r="H74" s="175">
        <f t="shared" si="114"/>
        <v>9.9998969089609979E-2</v>
      </c>
      <c r="I74" s="175">
        <f t="shared" si="114"/>
        <v>0.13333195878614665</v>
      </c>
      <c r="J74" s="175">
        <f t="shared" si="114"/>
        <v>0.16666494848268332</v>
      </c>
      <c r="K74" s="175">
        <f t="shared" si="114"/>
        <v>0.19999793817921999</v>
      </c>
      <c r="L74" s="175">
        <f t="shared" si="114"/>
        <v>0.23333092787575666</v>
      </c>
      <c r="M74" s="175">
        <f t="shared" si="114"/>
        <v>0.2666639175722933</v>
      </c>
      <c r="N74" s="175">
        <f t="shared" si="114"/>
        <v>0.29999690726882994</v>
      </c>
      <c r="O74" s="175">
        <f t="shared" si="114"/>
        <v>0.33332989696536658</v>
      </c>
      <c r="P74" s="175">
        <f t="shared" si="114"/>
        <v>0.36666288666190322</v>
      </c>
      <c r="Q74" s="175">
        <f t="shared" si="114"/>
        <v>0.39999587635843986</v>
      </c>
      <c r="R74" s="175">
        <f t="shared" si="114"/>
        <v>0.4333288660549765</v>
      </c>
      <c r="S74" s="175">
        <f t="shared" si="114"/>
        <v>0.46666185575151314</v>
      </c>
      <c r="T74" s="175">
        <f t="shared" si="114"/>
        <v>0.49999484544804979</v>
      </c>
      <c r="U74" s="175">
        <f t="shared" si="114"/>
        <v>0.53332783514458648</v>
      </c>
      <c r="V74" s="175">
        <f t="shared" si="113"/>
        <v>0.56666082484112312</v>
      </c>
      <c r="W74" s="175">
        <f t="shared" si="113"/>
        <v>0.59999381453765976</v>
      </c>
      <c r="X74" s="175">
        <f t="shared" si="113"/>
        <v>0.63332680423419641</v>
      </c>
      <c r="Y74" s="175">
        <f t="shared" si="113"/>
        <v>0.66665979393073305</v>
      </c>
      <c r="Z74" s="175">
        <f t="shared" si="113"/>
        <v>0.69999278362726969</v>
      </c>
      <c r="AA74" s="175">
        <f t="shared" si="113"/>
        <v>0.73332577332380633</v>
      </c>
      <c r="AB74" s="175">
        <f t="shared" si="113"/>
        <v>0.76665876302034297</v>
      </c>
      <c r="AC74" s="175">
        <f t="shared" si="113"/>
        <v>0.79999175271687961</v>
      </c>
      <c r="AD74" s="175">
        <f t="shared" si="113"/>
        <v>0.83332474241341625</v>
      </c>
      <c r="AE74" s="175">
        <f t="shared" si="113"/>
        <v>0.86665773210995289</v>
      </c>
      <c r="AF74" s="175">
        <f t="shared" si="113"/>
        <v>0.89999072180648954</v>
      </c>
      <c r="AG74" s="175">
        <f t="shared" si="113"/>
        <v>0.93332371150302618</v>
      </c>
      <c r="AH74" s="175">
        <f t="shared" si="113"/>
        <v>0.96665670119956282</v>
      </c>
      <c r="AI74" s="175">
        <f>N17</f>
        <v>0.9999896908960999</v>
      </c>
    </row>
    <row r="75" spans="1:35">
      <c r="A75" s="260"/>
      <c r="B75" s="61" t="s">
        <v>53</v>
      </c>
      <c r="C75" s="61" t="s">
        <v>735</v>
      </c>
      <c r="D75" t="s">
        <v>74</v>
      </c>
      <c r="E75" s="175">
        <f>D18</f>
        <v>0</v>
      </c>
      <c r="F75" s="175">
        <f t="shared" ref="F75:U75" si="157">-($E75-$AI75)/30+E75</f>
        <v>0</v>
      </c>
      <c r="G75" s="175">
        <f t="shared" si="157"/>
        <v>0</v>
      </c>
      <c r="H75" s="175">
        <f t="shared" si="157"/>
        <v>0</v>
      </c>
      <c r="I75" s="175">
        <f t="shared" si="157"/>
        <v>0</v>
      </c>
      <c r="J75" s="175">
        <f t="shared" si="157"/>
        <v>0</v>
      </c>
      <c r="K75" s="175">
        <f t="shared" si="157"/>
        <v>0</v>
      </c>
      <c r="L75" s="175">
        <f t="shared" si="157"/>
        <v>0</v>
      </c>
      <c r="M75" s="175">
        <f t="shared" si="157"/>
        <v>0</v>
      </c>
      <c r="N75" s="175">
        <f t="shared" si="157"/>
        <v>0</v>
      </c>
      <c r="O75" s="175">
        <f t="shared" si="157"/>
        <v>0</v>
      </c>
      <c r="P75" s="175">
        <f t="shared" si="157"/>
        <v>0</v>
      </c>
      <c r="Q75" s="175">
        <f t="shared" si="157"/>
        <v>0</v>
      </c>
      <c r="R75" s="175">
        <f t="shared" si="157"/>
        <v>0</v>
      </c>
      <c r="S75" s="175">
        <f t="shared" si="157"/>
        <v>0</v>
      </c>
      <c r="T75" s="175">
        <f t="shared" si="157"/>
        <v>0</v>
      </c>
      <c r="U75" s="175">
        <f t="shared" si="157"/>
        <v>0</v>
      </c>
      <c r="V75" s="175">
        <f t="shared" ref="V75" si="158">-($E75-$AI75)/30+U75</f>
        <v>0</v>
      </c>
      <c r="W75" s="175">
        <f t="shared" ref="W75" si="159">-($E75-$AI75)/30+V75</f>
        <v>0</v>
      </c>
      <c r="X75" s="175">
        <f t="shared" ref="X75" si="160">-($E75-$AI75)/30+W75</f>
        <v>0</v>
      </c>
      <c r="Y75" s="175">
        <f t="shared" ref="Y75" si="161">-($E75-$AI75)/30+X75</f>
        <v>0</v>
      </c>
      <c r="Z75" s="175">
        <f t="shared" ref="Z75" si="162">-($E75-$AI75)/30+Y75</f>
        <v>0</v>
      </c>
      <c r="AA75" s="175">
        <f t="shared" ref="AA75" si="163">-($E75-$AI75)/30+Z75</f>
        <v>0</v>
      </c>
      <c r="AB75" s="175">
        <f t="shared" ref="AB75" si="164">-($E75-$AI75)/30+AA75</f>
        <v>0</v>
      </c>
      <c r="AC75" s="175">
        <f t="shared" ref="AC75" si="165">-($E75-$AI75)/30+AB75</f>
        <v>0</v>
      </c>
      <c r="AD75" s="175">
        <f t="shared" ref="AD75" si="166">-($E75-$AI75)/30+AC75</f>
        <v>0</v>
      </c>
      <c r="AE75" s="175">
        <f t="shared" ref="AE75" si="167">-($E75-$AI75)/30+AD75</f>
        <v>0</v>
      </c>
      <c r="AF75" s="175">
        <f t="shared" ref="AF75" si="168">-($E75-$AI75)/30+AE75</f>
        <v>0</v>
      </c>
      <c r="AG75" s="175">
        <f t="shared" ref="AG75" si="169">-($E75-$AI75)/30+AF75</f>
        <v>0</v>
      </c>
      <c r="AH75" s="175">
        <f t="shared" ref="AH75" si="170">-($E75-$AI75)/30+AG75</f>
        <v>0</v>
      </c>
      <c r="AI75" s="175">
        <f>N18</f>
        <v>0</v>
      </c>
    </row>
    <row r="76" spans="1:35">
      <c r="A76" s="260"/>
      <c r="B76" t="s">
        <v>53</v>
      </c>
      <c r="D76" t="s">
        <v>160</v>
      </c>
      <c r="E76" s="148">
        <f>D19</f>
        <v>0</v>
      </c>
      <c r="F76" s="148">
        <f t="shared" si="114"/>
        <v>0</v>
      </c>
      <c r="G76" s="148">
        <f t="shared" si="114"/>
        <v>0</v>
      </c>
      <c r="H76" s="148">
        <f t="shared" si="114"/>
        <v>0</v>
      </c>
      <c r="I76" s="148">
        <f t="shared" si="114"/>
        <v>0</v>
      </c>
      <c r="J76" s="148">
        <f t="shared" si="114"/>
        <v>0</v>
      </c>
      <c r="K76" s="148">
        <f t="shared" si="114"/>
        <v>0</v>
      </c>
      <c r="L76" s="148">
        <f t="shared" si="114"/>
        <v>0</v>
      </c>
      <c r="M76" s="148">
        <f t="shared" si="114"/>
        <v>0</v>
      </c>
      <c r="N76" s="148">
        <f t="shared" si="114"/>
        <v>0</v>
      </c>
      <c r="O76" s="148">
        <f t="shared" si="114"/>
        <v>0</v>
      </c>
      <c r="P76" s="148">
        <f t="shared" si="114"/>
        <v>0</v>
      </c>
      <c r="Q76" s="148">
        <f t="shared" si="114"/>
        <v>0</v>
      </c>
      <c r="R76" s="148">
        <f t="shared" si="114"/>
        <v>0</v>
      </c>
      <c r="S76" s="148">
        <f t="shared" si="114"/>
        <v>0</v>
      </c>
      <c r="T76" s="148">
        <f t="shared" si="114"/>
        <v>0</v>
      </c>
      <c r="U76" s="148">
        <f t="shared" si="114"/>
        <v>0</v>
      </c>
      <c r="V76" s="148">
        <f t="shared" si="113"/>
        <v>0</v>
      </c>
      <c r="W76" s="148">
        <f t="shared" si="113"/>
        <v>0</v>
      </c>
      <c r="X76" s="148">
        <f t="shared" si="113"/>
        <v>0</v>
      </c>
      <c r="Y76" s="148">
        <f t="shared" si="113"/>
        <v>0</v>
      </c>
      <c r="Z76" s="148">
        <f t="shared" si="113"/>
        <v>0</v>
      </c>
      <c r="AA76" s="148">
        <f t="shared" si="113"/>
        <v>0</v>
      </c>
      <c r="AB76" s="148">
        <f t="shared" si="113"/>
        <v>0</v>
      </c>
      <c r="AC76" s="148">
        <f t="shared" si="113"/>
        <v>0</v>
      </c>
      <c r="AD76" s="148">
        <f t="shared" si="113"/>
        <v>0</v>
      </c>
      <c r="AE76" s="148">
        <f t="shared" si="113"/>
        <v>0</v>
      </c>
      <c r="AF76" s="148">
        <f t="shared" si="113"/>
        <v>0</v>
      </c>
      <c r="AG76" s="148">
        <f t="shared" si="113"/>
        <v>0</v>
      </c>
      <c r="AH76" s="148">
        <f t="shared" si="113"/>
        <v>0</v>
      </c>
      <c r="AI76" s="148">
        <f>N19</f>
        <v>0</v>
      </c>
    </row>
    <row r="77" spans="1:35">
      <c r="A77" s="260"/>
      <c r="B77" t="s">
        <v>53</v>
      </c>
      <c r="D77" t="s">
        <v>27</v>
      </c>
      <c r="E77" s="148">
        <f>D20</f>
        <v>0</v>
      </c>
      <c r="F77" s="148">
        <f t="shared" si="114"/>
        <v>3.4363679667059805E-7</v>
      </c>
      <c r="G77" s="148">
        <f t="shared" si="114"/>
        <v>6.8727359334119609E-7</v>
      </c>
      <c r="H77" s="148">
        <f t="shared" si="114"/>
        <v>1.030910390011794E-6</v>
      </c>
      <c r="I77" s="148">
        <f t="shared" si="114"/>
        <v>1.3745471866823922E-6</v>
      </c>
      <c r="J77" s="148">
        <f t="shared" si="114"/>
        <v>1.7181839833529903E-6</v>
      </c>
      <c r="K77" s="148">
        <f t="shared" si="114"/>
        <v>2.0618207800235885E-6</v>
      </c>
      <c r="L77" s="148">
        <f t="shared" si="114"/>
        <v>2.4054575766941866E-6</v>
      </c>
      <c r="M77" s="148">
        <f t="shared" si="114"/>
        <v>2.7490943733647848E-6</v>
      </c>
      <c r="N77" s="148">
        <f t="shared" si="114"/>
        <v>3.0927311700353829E-6</v>
      </c>
      <c r="O77" s="148">
        <f t="shared" si="114"/>
        <v>3.4363679667059811E-6</v>
      </c>
      <c r="P77" s="148">
        <f t="shared" si="114"/>
        <v>3.7800047633765792E-6</v>
      </c>
      <c r="Q77" s="148">
        <f t="shared" si="114"/>
        <v>4.123641560047177E-6</v>
      </c>
      <c r="R77" s="148">
        <f t="shared" si="114"/>
        <v>4.4672783567177751E-6</v>
      </c>
      <c r="S77" s="148">
        <f t="shared" si="114"/>
        <v>4.8109151533883733E-6</v>
      </c>
      <c r="T77" s="148">
        <f t="shared" si="114"/>
        <v>5.1545519500589714E-6</v>
      </c>
      <c r="U77" s="148">
        <f t="shared" si="114"/>
        <v>5.4981887467295696E-6</v>
      </c>
      <c r="V77" s="148">
        <f t="shared" si="113"/>
        <v>5.8418255434001677E-6</v>
      </c>
      <c r="W77" s="148">
        <f t="shared" si="113"/>
        <v>6.1854623400707659E-6</v>
      </c>
      <c r="X77" s="148">
        <f t="shared" si="113"/>
        <v>6.529099136741364E-6</v>
      </c>
      <c r="Y77" s="148">
        <f t="shared" si="113"/>
        <v>6.8727359334119622E-6</v>
      </c>
      <c r="Z77" s="148">
        <f t="shared" si="113"/>
        <v>7.2163727300825603E-6</v>
      </c>
      <c r="AA77" s="148">
        <f t="shared" si="113"/>
        <v>7.5600095267531585E-6</v>
      </c>
      <c r="AB77" s="148">
        <f t="shared" si="113"/>
        <v>7.9036463234237566E-6</v>
      </c>
      <c r="AC77" s="148">
        <f t="shared" si="113"/>
        <v>8.2472831200943539E-6</v>
      </c>
      <c r="AD77" s="148">
        <f t="shared" si="113"/>
        <v>8.5909199167649512E-6</v>
      </c>
      <c r="AE77" s="148">
        <f t="shared" si="113"/>
        <v>8.9345567134355485E-6</v>
      </c>
      <c r="AF77" s="148">
        <f t="shared" si="113"/>
        <v>9.2781935101061458E-6</v>
      </c>
      <c r="AG77" s="148">
        <f t="shared" si="113"/>
        <v>9.6218303067767432E-6</v>
      </c>
      <c r="AH77" s="148">
        <f t="shared" si="113"/>
        <v>9.9654671034473405E-6</v>
      </c>
      <c r="AI77" s="148">
        <f>N20</f>
        <v>1.0309103900117941E-5</v>
      </c>
    </row>
    <row r="78" spans="1:35" s="61" customFormat="1">
      <c r="A78" s="257"/>
      <c r="B78" s="61" t="s">
        <v>53</v>
      </c>
      <c r="C78" s="61" t="s">
        <v>737</v>
      </c>
      <c r="D78" t="s">
        <v>35</v>
      </c>
      <c r="E78" s="175">
        <f>E17</f>
        <v>0</v>
      </c>
      <c r="F78" s="175">
        <f t="shared" si="114"/>
        <v>3.3332989696536662E-2</v>
      </c>
      <c r="G78" s="175">
        <f t="shared" si="114"/>
        <v>6.6665979393073324E-2</v>
      </c>
      <c r="H78" s="175">
        <f t="shared" si="114"/>
        <v>9.9998969089609979E-2</v>
      </c>
      <c r="I78" s="175">
        <f t="shared" si="114"/>
        <v>0.13333195878614665</v>
      </c>
      <c r="J78" s="175">
        <f t="shared" si="114"/>
        <v>0.16666494848268332</v>
      </c>
      <c r="K78" s="175">
        <f t="shared" si="114"/>
        <v>0.19999793817921999</v>
      </c>
      <c r="L78" s="175">
        <f t="shared" si="114"/>
        <v>0.23333092787575666</v>
      </c>
      <c r="M78" s="175">
        <f t="shared" si="114"/>
        <v>0.2666639175722933</v>
      </c>
      <c r="N78" s="175">
        <f t="shared" si="114"/>
        <v>0.29999690726882994</v>
      </c>
      <c r="O78" s="175">
        <f t="shared" si="114"/>
        <v>0.33332989696536658</v>
      </c>
      <c r="P78" s="175">
        <f t="shared" si="114"/>
        <v>0.36666288666190322</v>
      </c>
      <c r="Q78" s="175">
        <f t="shared" si="114"/>
        <v>0.39999587635843986</v>
      </c>
      <c r="R78" s="175">
        <f t="shared" si="114"/>
        <v>0.4333288660549765</v>
      </c>
      <c r="S78" s="175">
        <f t="shared" si="114"/>
        <v>0.46666185575151314</v>
      </c>
      <c r="T78" s="175">
        <f t="shared" si="114"/>
        <v>0.49999484544804979</v>
      </c>
      <c r="U78" s="175">
        <f t="shared" si="114"/>
        <v>0.53332783514458648</v>
      </c>
      <c r="V78" s="175">
        <f t="shared" si="113"/>
        <v>0.56666082484112312</v>
      </c>
      <c r="W78" s="175">
        <f t="shared" si="113"/>
        <v>0.59999381453765976</v>
      </c>
      <c r="X78" s="175">
        <f t="shared" si="113"/>
        <v>0.63332680423419641</v>
      </c>
      <c r="Y78" s="175">
        <f t="shared" si="113"/>
        <v>0.66665979393073305</v>
      </c>
      <c r="Z78" s="175">
        <f t="shared" si="113"/>
        <v>0.69999278362726969</v>
      </c>
      <c r="AA78" s="175">
        <f t="shared" si="113"/>
        <v>0.73332577332380633</v>
      </c>
      <c r="AB78" s="175">
        <f t="shared" si="113"/>
        <v>0.76665876302034297</v>
      </c>
      <c r="AC78" s="175">
        <f t="shared" si="113"/>
        <v>0.79999175271687961</v>
      </c>
      <c r="AD78" s="175">
        <f t="shared" si="113"/>
        <v>0.83332474241341625</v>
      </c>
      <c r="AE78" s="175">
        <f t="shared" si="113"/>
        <v>0.86665773210995289</v>
      </c>
      <c r="AF78" s="175">
        <f t="shared" si="113"/>
        <v>0.89999072180648954</v>
      </c>
      <c r="AG78" s="175">
        <f t="shared" si="113"/>
        <v>0.93332371150302618</v>
      </c>
      <c r="AH78" s="175">
        <f t="shared" si="113"/>
        <v>0.96665670119956282</v>
      </c>
      <c r="AI78" s="175">
        <f>O17</f>
        <v>0.9999896908960999</v>
      </c>
    </row>
    <row r="79" spans="1:35">
      <c r="A79" s="260"/>
      <c r="B79" s="61" t="s">
        <v>53</v>
      </c>
      <c r="C79" s="61" t="s">
        <v>737</v>
      </c>
      <c r="D79" t="s">
        <v>74</v>
      </c>
      <c r="E79" s="175">
        <f>E18</f>
        <v>0</v>
      </c>
      <c r="F79" s="175">
        <f t="shared" ref="F79:U79" si="171">-($E79-$AI79)/30+E79</f>
        <v>0</v>
      </c>
      <c r="G79" s="175">
        <f t="shared" si="171"/>
        <v>0</v>
      </c>
      <c r="H79" s="175">
        <f t="shared" si="171"/>
        <v>0</v>
      </c>
      <c r="I79" s="175">
        <f t="shared" si="171"/>
        <v>0</v>
      </c>
      <c r="J79" s="175">
        <f t="shared" si="171"/>
        <v>0</v>
      </c>
      <c r="K79" s="175">
        <f t="shared" si="171"/>
        <v>0</v>
      </c>
      <c r="L79" s="175">
        <f t="shared" si="171"/>
        <v>0</v>
      </c>
      <c r="M79" s="175">
        <f t="shared" si="171"/>
        <v>0</v>
      </c>
      <c r="N79" s="175">
        <f t="shared" si="171"/>
        <v>0</v>
      </c>
      <c r="O79" s="175">
        <f t="shared" si="171"/>
        <v>0</v>
      </c>
      <c r="P79" s="175">
        <f t="shared" si="171"/>
        <v>0</v>
      </c>
      <c r="Q79" s="175">
        <f t="shared" si="171"/>
        <v>0</v>
      </c>
      <c r="R79" s="175">
        <f t="shared" si="171"/>
        <v>0</v>
      </c>
      <c r="S79" s="175">
        <f t="shared" si="171"/>
        <v>0</v>
      </c>
      <c r="T79" s="175">
        <f t="shared" si="171"/>
        <v>0</v>
      </c>
      <c r="U79" s="175">
        <f t="shared" si="171"/>
        <v>0</v>
      </c>
      <c r="V79" s="175">
        <f t="shared" ref="V79" si="172">-($E79-$AI79)/30+U79</f>
        <v>0</v>
      </c>
      <c r="W79" s="175">
        <f t="shared" ref="W79" si="173">-($E79-$AI79)/30+V79</f>
        <v>0</v>
      </c>
      <c r="X79" s="175">
        <f t="shared" ref="X79" si="174">-($E79-$AI79)/30+W79</f>
        <v>0</v>
      </c>
      <c r="Y79" s="175">
        <f t="shared" ref="Y79" si="175">-($E79-$AI79)/30+X79</f>
        <v>0</v>
      </c>
      <c r="Z79" s="175">
        <f t="shared" ref="Z79" si="176">-($E79-$AI79)/30+Y79</f>
        <v>0</v>
      </c>
      <c r="AA79" s="175">
        <f t="shared" ref="AA79" si="177">-($E79-$AI79)/30+Z79</f>
        <v>0</v>
      </c>
      <c r="AB79" s="175">
        <f t="shared" ref="AB79" si="178">-($E79-$AI79)/30+AA79</f>
        <v>0</v>
      </c>
      <c r="AC79" s="175">
        <f t="shared" ref="AC79" si="179">-($E79-$AI79)/30+AB79</f>
        <v>0</v>
      </c>
      <c r="AD79" s="175">
        <f t="shared" ref="AD79" si="180">-($E79-$AI79)/30+AC79</f>
        <v>0</v>
      </c>
      <c r="AE79" s="175">
        <f t="shared" ref="AE79" si="181">-($E79-$AI79)/30+AD79</f>
        <v>0</v>
      </c>
      <c r="AF79" s="175">
        <f t="shared" ref="AF79" si="182">-($E79-$AI79)/30+AE79</f>
        <v>0</v>
      </c>
      <c r="AG79" s="175">
        <f t="shared" ref="AG79" si="183">-($E79-$AI79)/30+AF79</f>
        <v>0</v>
      </c>
      <c r="AH79" s="175">
        <f t="shared" ref="AH79" si="184">-($E79-$AI79)/30+AG79</f>
        <v>0</v>
      </c>
      <c r="AI79" s="175">
        <f>O18</f>
        <v>0</v>
      </c>
    </row>
    <row r="80" spans="1:35">
      <c r="A80" s="260"/>
      <c r="B80" t="s">
        <v>53</v>
      </c>
      <c r="D80" t="s">
        <v>160</v>
      </c>
      <c r="E80" s="148">
        <f>E19</f>
        <v>0</v>
      </c>
      <c r="F80" s="148">
        <f t="shared" si="114"/>
        <v>0</v>
      </c>
      <c r="G80" s="148">
        <f t="shared" si="114"/>
        <v>0</v>
      </c>
      <c r="H80" s="148">
        <f t="shared" si="114"/>
        <v>0</v>
      </c>
      <c r="I80" s="148">
        <f t="shared" si="114"/>
        <v>0</v>
      </c>
      <c r="J80" s="148">
        <f t="shared" si="114"/>
        <v>0</v>
      </c>
      <c r="K80" s="148">
        <f t="shared" si="114"/>
        <v>0</v>
      </c>
      <c r="L80" s="148">
        <f t="shared" si="114"/>
        <v>0</v>
      </c>
      <c r="M80" s="148">
        <f t="shared" si="114"/>
        <v>0</v>
      </c>
      <c r="N80" s="148">
        <f t="shared" si="114"/>
        <v>0</v>
      </c>
      <c r="O80" s="148">
        <f t="shared" si="114"/>
        <v>0</v>
      </c>
      <c r="P80" s="148">
        <f t="shared" si="114"/>
        <v>0</v>
      </c>
      <c r="Q80" s="148">
        <f t="shared" si="114"/>
        <v>0</v>
      </c>
      <c r="R80" s="148">
        <f t="shared" si="114"/>
        <v>0</v>
      </c>
      <c r="S80" s="148">
        <f t="shared" si="114"/>
        <v>0</v>
      </c>
      <c r="T80" s="148">
        <f t="shared" si="114"/>
        <v>0</v>
      </c>
      <c r="U80" s="148">
        <f t="shared" si="114"/>
        <v>0</v>
      </c>
      <c r="V80" s="148">
        <f t="shared" si="113"/>
        <v>0</v>
      </c>
      <c r="W80" s="148">
        <f t="shared" si="113"/>
        <v>0</v>
      </c>
      <c r="X80" s="148">
        <f t="shared" si="113"/>
        <v>0</v>
      </c>
      <c r="Y80" s="148">
        <f t="shared" si="113"/>
        <v>0</v>
      </c>
      <c r="Z80" s="148">
        <f t="shared" si="113"/>
        <v>0</v>
      </c>
      <c r="AA80" s="148">
        <f t="shared" si="113"/>
        <v>0</v>
      </c>
      <c r="AB80" s="148">
        <f t="shared" si="113"/>
        <v>0</v>
      </c>
      <c r="AC80" s="148">
        <f t="shared" si="113"/>
        <v>0</v>
      </c>
      <c r="AD80" s="148">
        <f t="shared" si="113"/>
        <v>0</v>
      </c>
      <c r="AE80" s="148">
        <f t="shared" si="113"/>
        <v>0</v>
      </c>
      <c r="AF80" s="148">
        <f t="shared" si="113"/>
        <v>0</v>
      </c>
      <c r="AG80" s="148">
        <f t="shared" si="113"/>
        <v>0</v>
      </c>
      <c r="AH80" s="148">
        <f t="shared" si="113"/>
        <v>0</v>
      </c>
      <c r="AI80" s="148">
        <f>O19</f>
        <v>0</v>
      </c>
    </row>
    <row r="81" spans="1:35">
      <c r="A81" s="260"/>
      <c r="B81" t="s">
        <v>53</v>
      </c>
      <c r="D81" t="s">
        <v>27</v>
      </c>
      <c r="E81" s="148">
        <f>E20</f>
        <v>0</v>
      </c>
      <c r="F81" s="148">
        <f t="shared" si="114"/>
        <v>3.4363679667059805E-7</v>
      </c>
      <c r="G81" s="148">
        <f t="shared" si="114"/>
        <v>6.8727359334119609E-7</v>
      </c>
      <c r="H81" s="148">
        <f t="shared" si="114"/>
        <v>1.030910390011794E-6</v>
      </c>
      <c r="I81" s="148">
        <f t="shared" si="114"/>
        <v>1.3745471866823922E-6</v>
      </c>
      <c r="J81" s="148">
        <f t="shared" si="114"/>
        <v>1.7181839833529903E-6</v>
      </c>
      <c r="K81" s="148">
        <f t="shared" si="114"/>
        <v>2.0618207800235885E-6</v>
      </c>
      <c r="L81" s="148">
        <f t="shared" si="114"/>
        <v>2.4054575766941866E-6</v>
      </c>
      <c r="M81" s="148">
        <f t="shared" si="114"/>
        <v>2.7490943733647848E-6</v>
      </c>
      <c r="N81" s="148">
        <f t="shared" si="114"/>
        <v>3.0927311700353829E-6</v>
      </c>
      <c r="O81" s="148">
        <f t="shared" si="114"/>
        <v>3.4363679667059811E-6</v>
      </c>
      <c r="P81" s="148">
        <f t="shared" si="114"/>
        <v>3.7800047633765792E-6</v>
      </c>
      <c r="Q81" s="148">
        <f t="shared" si="114"/>
        <v>4.123641560047177E-6</v>
      </c>
      <c r="R81" s="148">
        <f t="shared" si="114"/>
        <v>4.4672783567177751E-6</v>
      </c>
      <c r="S81" s="148">
        <f t="shared" si="114"/>
        <v>4.8109151533883733E-6</v>
      </c>
      <c r="T81" s="148">
        <f t="shared" si="114"/>
        <v>5.1545519500589714E-6</v>
      </c>
      <c r="U81" s="148">
        <f t="shared" ref="U81:AH93" si="185">-($E81-$AI81)/30+T81</f>
        <v>5.4981887467295696E-6</v>
      </c>
      <c r="V81" s="148">
        <f t="shared" si="185"/>
        <v>5.8418255434001677E-6</v>
      </c>
      <c r="W81" s="148">
        <f t="shared" si="185"/>
        <v>6.1854623400707659E-6</v>
      </c>
      <c r="X81" s="148">
        <f t="shared" si="185"/>
        <v>6.529099136741364E-6</v>
      </c>
      <c r="Y81" s="148">
        <f t="shared" si="185"/>
        <v>6.8727359334119622E-6</v>
      </c>
      <c r="Z81" s="148">
        <f t="shared" si="185"/>
        <v>7.2163727300825603E-6</v>
      </c>
      <c r="AA81" s="148">
        <f t="shared" si="185"/>
        <v>7.5600095267531585E-6</v>
      </c>
      <c r="AB81" s="148">
        <f t="shared" si="185"/>
        <v>7.9036463234237566E-6</v>
      </c>
      <c r="AC81" s="148">
        <f t="shared" si="185"/>
        <v>8.2472831200943539E-6</v>
      </c>
      <c r="AD81" s="148">
        <f t="shared" si="185"/>
        <v>8.5909199167649512E-6</v>
      </c>
      <c r="AE81" s="148">
        <f t="shared" si="185"/>
        <v>8.9345567134355485E-6</v>
      </c>
      <c r="AF81" s="148">
        <f t="shared" si="185"/>
        <v>9.2781935101061458E-6</v>
      </c>
      <c r="AG81" s="148">
        <f t="shared" si="185"/>
        <v>9.6218303067767432E-6</v>
      </c>
      <c r="AH81" s="148">
        <f t="shared" si="185"/>
        <v>9.9654671034473405E-6</v>
      </c>
      <c r="AI81" s="148">
        <f>O20</f>
        <v>1.0309103900117941E-5</v>
      </c>
    </row>
    <row r="82" spans="1:35" s="61" customFormat="1">
      <c r="A82" s="257"/>
      <c r="B82" s="61" t="s">
        <v>53</v>
      </c>
      <c r="C82" s="61" t="s">
        <v>738</v>
      </c>
      <c r="D82" t="s">
        <v>35</v>
      </c>
      <c r="E82" s="175">
        <f>F17</f>
        <v>0</v>
      </c>
      <c r="F82" s="175">
        <f t="shared" ref="F82:U93" si="186">-($E82-$AI82)/30+E82</f>
        <v>3.3332989696536662E-2</v>
      </c>
      <c r="G82" s="175">
        <f t="shared" si="186"/>
        <v>6.6665979393073324E-2</v>
      </c>
      <c r="H82" s="175">
        <f t="shared" si="186"/>
        <v>9.9998969089609979E-2</v>
      </c>
      <c r="I82" s="175">
        <f t="shared" si="186"/>
        <v>0.13333195878614665</v>
      </c>
      <c r="J82" s="175">
        <f t="shared" si="186"/>
        <v>0.16666494848268332</v>
      </c>
      <c r="K82" s="175">
        <f t="shared" si="186"/>
        <v>0.19999793817921999</v>
      </c>
      <c r="L82" s="175">
        <f t="shared" si="186"/>
        <v>0.23333092787575666</v>
      </c>
      <c r="M82" s="175">
        <f t="shared" si="186"/>
        <v>0.2666639175722933</v>
      </c>
      <c r="N82" s="175">
        <f t="shared" si="186"/>
        <v>0.29999690726882994</v>
      </c>
      <c r="O82" s="175">
        <f t="shared" si="186"/>
        <v>0.33332989696536658</v>
      </c>
      <c r="P82" s="175">
        <f t="shared" si="186"/>
        <v>0.36666288666190322</v>
      </c>
      <c r="Q82" s="175">
        <f t="shared" si="186"/>
        <v>0.39999587635843986</v>
      </c>
      <c r="R82" s="175">
        <f t="shared" si="186"/>
        <v>0.4333288660549765</v>
      </c>
      <c r="S82" s="175">
        <f t="shared" si="186"/>
        <v>0.46666185575151314</v>
      </c>
      <c r="T82" s="175">
        <f t="shared" si="186"/>
        <v>0.49999484544804979</v>
      </c>
      <c r="U82" s="175">
        <f t="shared" si="186"/>
        <v>0.53332783514458648</v>
      </c>
      <c r="V82" s="175">
        <f t="shared" si="185"/>
        <v>0.56666082484112312</v>
      </c>
      <c r="W82" s="175">
        <f t="shared" si="185"/>
        <v>0.59999381453765976</v>
      </c>
      <c r="X82" s="175">
        <f t="shared" si="185"/>
        <v>0.63332680423419641</v>
      </c>
      <c r="Y82" s="175">
        <f t="shared" si="185"/>
        <v>0.66665979393073305</v>
      </c>
      <c r="Z82" s="175">
        <f t="shared" si="185"/>
        <v>0.69999278362726969</v>
      </c>
      <c r="AA82" s="175">
        <f t="shared" si="185"/>
        <v>0.73332577332380633</v>
      </c>
      <c r="AB82" s="175">
        <f t="shared" si="185"/>
        <v>0.76665876302034297</v>
      </c>
      <c r="AC82" s="175">
        <f t="shared" si="185"/>
        <v>0.79999175271687961</v>
      </c>
      <c r="AD82" s="175">
        <f t="shared" si="185"/>
        <v>0.83332474241341625</v>
      </c>
      <c r="AE82" s="175">
        <f t="shared" si="185"/>
        <v>0.86665773210995289</v>
      </c>
      <c r="AF82" s="175">
        <f t="shared" si="185"/>
        <v>0.89999072180648954</v>
      </c>
      <c r="AG82" s="175">
        <f t="shared" si="185"/>
        <v>0.93332371150302618</v>
      </c>
      <c r="AH82" s="175">
        <f t="shared" si="185"/>
        <v>0.96665670119956282</v>
      </c>
      <c r="AI82" s="175">
        <f>P17</f>
        <v>0.9999896908960999</v>
      </c>
    </row>
    <row r="83" spans="1:35">
      <c r="A83" s="260"/>
      <c r="B83" s="61" t="s">
        <v>53</v>
      </c>
      <c r="C83" s="61" t="s">
        <v>738</v>
      </c>
      <c r="D83" t="s">
        <v>74</v>
      </c>
      <c r="E83" s="175">
        <f>F18</f>
        <v>0</v>
      </c>
      <c r="F83" s="175">
        <f t="shared" ref="F83" si="187">-($E83-$AI83)/30+E83</f>
        <v>0</v>
      </c>
      <c r="G83" s="175">
        <f t="shared" ref="G83" si="188">-($E83-$AI83)/30+F83</f>
        <v>0</v>
      </c>
      <c r="H83" s="175">
        <f t="shared" ref="H83" si="189">-($E83-$AI83)/30+G83</f>
        <v>0</v>
      </c>
      <c r="I83" s="175">
        <f t="shared" ref="I83" si="190">-($E83-$AI83)/30+H83</f>
        <v>0</v>
      </c>
      <c r="J83" s="175">
        <f t="shared" ref="J83" si="191">-($E83-$AI83)/30+I83</f>
        <v>0</v>
      </c>
      <c r="K83" s="175">
        <f t="shared" ref="K83" si="192">-($E83-$AI83)/30+J83</f>
        <v>0</v>
      </c>
      <c r="L83" s="175">
        <f t="shared" ref="L83" si="193">-($E83-$AI83)/30+K83</f>
        <v>0</v>
      </c>
      <c r="M83" s="175">
        <f t="shared" ref="M83" si="194">-($E83-$AI83)/30+L83</f>
        <v>0</v>
      </c>
      <c r="N83" s="175">
        <f t="shared" ref="N83" si="195">-($E83-$AI83)/30+M83</f>
        <v>0</v>
      </c>
      <c r="O83" s="175">
        <f t="shared" ref="O83" si="196">-($E83-$AI83)/30+N83</f>
        <v>0</v>
      </c>
      <c r="P83" s="175">
        <f t="shared" ref="P83" si="197">-($E83-$AI83)/30+O83</f>
        <v>0</v>
      </c>
      <c r="Q83" s="175">
        <f t="shared" ref="Q83" si="198">-($E83-$AI83)/30+P83</f>
        <v>0</v>
      </c>
      <c r="R83" s="175">
        <f t="shared" ref="R83" si="199">-($E83-$AI83)/30+Q83</f>
        <v>0</v>
      </c>
      <c r="S83" s="175">
        <f t="shared" ref="S83" si="200">-($E83-$AI83)/30+R83</f>
        <v>0</v>
      </c>
      <c r="T83" s="175">
        <f t="shared" ref="T83" si="201">-($E83-$AI83)/30+S83</f>
        <v>0</v>
      </c>
      <c r="U83" s="175">
        <f t="shared" ref="U83" si="202">-($E83-$AI83)/30+T83</f>
        <v>0</v>
      </c>
      <c r="V83" s="175">
        <f t="shared" ref="V83" si="203">-($E83-$AI83)/30+U83</f>
        <v>0</v>
      </c>
      <c r="W83" s="175">
        <f t="shared" ref="W83" si="204">-($E83-$AI83)/30+V83</f>
        <v>0</v>
      </c>
      <c r="X83" s="175">
        <f t="shared" ref="X83" si="205">-($E83-$AI83)/30+W83</f>
        <v>0</v>
      </c>
      <c r="Y83" s="175">
        <f t="shared" ref="Y83" si="206">-($E83-$AI83)/30+X83</f>
        <v>0</v>
      </c>
      <c r="Z83" s="175">
        <f t="shared" ref="Z83" si="207">-($E83-$AI83)/30+Y83</f>
        <v>0</v>
      </c>
      <c r="AA83" s="175">
        <f t="shared" ref="AA83" si="208">-($E83-$AI83)/30+Z83</f>
        <v>0</v>
      </c>
      <c r="AB83" s="175">
        <f t="shared" ref="AB83" si="209">-($E83-$AI83)/30+AA83</f>
        <v>0</v>
      </c>
      <c r="AC83" s="175">
        <f t="shared" ref="AC83" si="210">-($E83-$AI83)/30+AB83</f>
        <v>0</v>
      </c>
      <c r="AD83" s="175">
        <f t="shared" ref="AD83" si="211">-($E83-$AI83)/30+AC83</f>
        <v>0</v>
      </c>
      <c r="AE83" s="175">
        <f t="shared" ref="AE83" si="212">-($E83-$AI83)/30+AD83</f>
        <v>0</v>
      </c>
      <c r="AF83" s="175">
        <f t="shared" ref="AF83" si="213">-($E83-$AI83)/30+AE83</f>
        <v>0</v>
      </c>
      <c r="AG83" s="175">
        <f t="shared" ref="AG83" si="214">-($E83-$AI83)/30+AF83</f>
        <v>0</v>
      </c>
      <c r="AH83" s="175">
        <f t="shared" ref="AH83" si="215">-($E83-$AI83)/30+AG83</f>
        <v>0</v>
      </c>
      <c r="AI83" s="175">
        <f>P18</f>
        <v>0</v>
      </c>
    </row>
    <row r="84" spans="1:35">
      <c r="A84" s="260"/>
      <c r="B84" t="s">
        <v>53</v>
      </c>
      <c r="D84" t="s">
        <v>160</v>
      </c>
      <c r="E84" s="148">
        <f>F19</f>
        <v>0</v>
      </c>
      <c r="F84" s="148">
        <f t="shared" si="186"/>
        <v>0</v>
      </c>
      <c r="G84" s="148">
        <f t="shared" si="186"/>
        <v>0</v>
      </c>
      <c r="H84" s="148">
        <f t="shared" si="186"/>
        <v>0</v>
      </c>
      <c r="I84" s="148">
        <f t="shared" si="186"/>
        <v>0</v>
      </c>
      <c r="J84" s="148">
        <f t="shared" si="186"/>
        <v>0</v>
      </c>
      <c r="K84" s="148">
        <f t="shared" si="186"/>
        <v>0</v>
      </c>
      <c r="L84" s="148">
        <f t="shared" si="186"/>
        <v>0</v>
      </c>
      <c r="M84" s="148">
        <f t="shared" si="186"/>
        <v>0</v>
      </c>
      <c r="N84" s="148">
        <f t="shared" si="186"/>
        <v>0</v>
      </c>
      <c r="O84" s="148">
        <f t="shared" si="186"/>
        <v>0</v>
      </c>
      <c r="P84" s="148">
        <f t="shared" si="186"/>
        <v>0</v>
      </c>
      <c r="Q84" s="148">
        <f t="shared" si="186"/>
        <v>0</v>
      </c>
      <c r="R84" s="148">
        <f t="shared" si="186"/>
        <v>0</v>
      </c>
      <c r="S84" s="148">
        <f t="shared" si="186"/>
        <v>0</v>
      </c>
      <c r="T84" s="148">
        <f t="shared" si="186"/>
        <v>0</v>
      </c>
      <c r="U84" s="148">
        <f t="shared" si="186"/>
        <v>0</v>
      </c>
      <c r="V84" s="148">
        <f t="shared" si="185"/>
        <v>0</v>
      </c>
      <c r="W84" s="148">
        <f t="shared" si="185"/>
        <v>0</v>
      </c>
      <c r="X84" s="148">
        <f t="shared" si="185"/>
        <v>0</v>
      </c>
      <c r="Y84" s="148">
        <f t="shared" si="185"/>
        <v>0</v>
      </c>
      <c r="Z84" s="148">
        <f t="shared" si="185"/>
        <v>0</v>
      </c>
      <c r="AA84" s="148">
        <f t="shared" si="185"/>
        <v>0</v>
      </c>
      <c r="AB84" s="148">
        <f t="shared" si="185"/>
        <v>0</v>
      </c>
      <c r="AC84" s="148">
        <f t="shared" si="185"/>
        <v>0</v>
      </c>
      <c r="AD84" s="148">
        <f t="shared" si="185"/>
        <v>0</v>
      </c>
      <c r="AE84" s="148">
        <f t="shared" si="185"/>
        <v>0</v>
      </c>
      <c r="AF84" s="148">
        <f t="shared" si="185"/>
        <v>0</v>
      </c>
      <c r="AG84" s="148">
        <f t="shared" si="185"/>
        <v>0</v>
      </c>
      <c r="AH84" s="148">
        <f t="shared" si="185"/>
        <v>0</v>
      </c>
      <c r="AI84" s="148">
        <f>P19</f>
        <v>0</v>
      </c>
    </row>
    <row r="85" spans="1:35">
      <c r="A85" s="260"/>
      <c r="B85" t="s">
        <v>53</v>
      </c>
      <c r="D85" t="s">
        <v>27</v>
      </c>
      <c r="E85" s="148">
        <f>F20</f>
        <v>0</v>
      </c>
      <c r="F85" s="148">
        <f t="shared" si="186"/>
        <v>3.4363679667059805E-7</v>
      </c>
      <c r="G85" s="148">
        <f t="shared" si="186"/>
        <v>6.8727359334119609E-7</v>
      </c>
      <c r="H85" s="148">
        <f t="shared" si="186"/>
        <v>1.030910390011794E-6</v>
      </c>
      <c r="I85" s="148">
        <f t="shared" si="186"/>
        <v>1.3745471866823922E-6</v>
      </c>
      <c r="J85" s="148">
        <f t="shared" si="186"/>
        <v>1.7181839833529903E-6</v>
      </c>
      <c r="K85" s="148">
        <f t="shared" si="186"/>
        <v>2.0618207800235885E-6</v>
      </c>
      <c r="L85" s="148">
        <f t="shared" si="186"/>
        <v>2.4054575766941866E-6</v>
      </c>
      <c r="M85" s="148">
        <f t="shared" si="186"/>
        <v>2.7490943733647848E-6</v>
      </c>
      <c r="N85" s="148">
        <f t="shared" si="186"/>
        <v>3.0927311700353829E-6</v>
      </c>
      <c r="O85" s="148">
        <f t="shared" si="186"/>
        <v>3.4363679667059811E-6</v>
      </c>
      <c r="P85" s="148">
        <f t="shared" si="186"/>
        <v>3.7800047633765792E-6</v>
      </c>
      <c r="Q85" s="148">
        <f t="shared" si="186"/>
        <v>4.123641560047177E-6</v>
      </c>
      <c r="R85" s="148">
        <f t="shared" si="186"/>
        <v>4.4672783567177751E-6</v>
      </c>
      <c r="S85" s="148">
        <f t="shared" si="186"/>
        <v>4.8109151533883733E-6</v>
      </c>
      <c r="T85" s="148">
        <f t="shared" si="186"/>
        <v>5.1545519500589714E-6</v>
      </c>
      <c r="U85" s="148">
        <f t="shared" si="186"/>
        <v>5.4981887467295696E-6</v>
      </c>
      <c r="V85" s="148">
        <f t="shared" si="185"/>
        <v>5.8418255434001677E-6</v>
      </c>
      <c r="W85" s="148">
        <f t="shared" si="185"/>
        <v>6.1854623400707659E-6</v>
      </c>
      <c r="X85" s="148">
        <f t="shared" si="185"/>
        <v>6.529099136741364E-6</v>
      </c>
      <c r="Y85" s="148">
        <f t="shared" si="185"/>
        <v>6.8727359334119622E-6</v>
      </c>
      <c r="Z85" s="148">
        <f t="shared" si="185"/>
        <v>7.2163727300825603E-6</v>
      </c>
      <c r="AA85" s="148">
        <f t="shared" si="185"/>
        <v>7.5600095267531585E-6</v>
      </c>
      <c r="AB85" s="148">
        <f t="shared" si="185"/>
        <v>7.9036463234237566E-6</v>
      </c>
      <c r="AC85" s="148">
        <f t="shared" si="185"/>
        <v>8.2472831200943539E-6</v>
      </c>
      <c r="AD85" s="148">
        <f t="shared" si="185"/>
        <v>8.5909199167649512E-6</v>
      </c>
      <c r="AE85" s="148">
        <f t="shared" si="185"/>
        <v>8.9345567134355485E-6</v>
      </c>
      <c r="AF85" s="148">
        <f t="shared" si="185"/>
        <v>9.2781935101061458E-6</v>
      </c>
      <c r="AG85" s="148">
        <f t="shared" si="185"/>
        <v>9.6218303067767432E-6</v>
      </c>
      <c r="AH85" s="148">
        <f t="shared" si="185"/>
        <v>9.9654671034473405E-6</v>
      </c>
      <c r="AI85" s="148">
        <f>P20</f>
        <v>1.0309103900117941E-5</v>
      </c>
    </row>
    <row r="86" spans="1:35" s="61" customFormat="1">
      <c r="A86" s="257"/>
      <c r="B86" s="61" t="s">
        <v>295</v>
      </c>
      <c r="C86" s="61" t="s">
        <v>735</v>
      </c>
      <c r="D86" t="s">
        <v>35</v>
      </c>
      <c r="E86" s="175">
        <f>D24</f>
        <v>0</v>
      </c>
      <c r="F86" s="175">
        <f t="shared" si="186"/>
        <v>1.2552961879390038E-2</v>
      </c>
      <c r="G86" s="175">
        <f t="shared" si="186"/>
        <v>2.5105923758780076E-2</v>
      </c>
      <c r="H86" s="175">
        <f t="shared" si="186"/>
        <v>3.7658885638170117E-2</v>
      </c>
      <c r="I86" s="175">
        <f t="shared" si="186"/>
        <v>5.0211847517560151E-2</v>
      </c>
      <c r="J86" s="175">
        <f t="shared" si="186"/>
        <v>6.2764809396950186E-2</v>
      </c>
      <c r="K86" s="175">
        <f t="shared" si="186"/>
        <v>7.531777127634022E-2</v>
      </c>
      <c r="L86" s="175">
        <f t="shared" si="186"/>
        <v>8.7870733155730255E-2</v>
      </c>
      <c r="M86" s="175">
        <f t="shared" si="186"/>
        <v>0.10042369503512029</v>
      </c>
      <c r="N86" s="175">
        <f t="shared" si="186"/>
        <v>0.11297665691451032</v>
      </c>
      <c r="O86" s="175">
        <f t="shared" si="186"/>
        <v>0.12552961879390037</v>
      </c>
      <c r="P86" s="175">
        <f t="shared" si="186"/>
        <v>0.13808258067329041</v>
      </c>
      <c r="Q86" s="175">
        <f t="shared" si="186"/>
        <v>0.15063554255268044</v>
      </c>
      <c r="R86" s="175">
        <f t="shared" si="186"/>
        <v>0.16318850443207047</v>
      </c>
      <c r="S86" s="175">
        <f t="shared" si="186"/>
        <v>0.17574146631146051</v>
      </c>
      <c r="T86" s="175">
        <f t="shared" si="186"/>
        <v>0.18829442819085054</v>
      </c>
      <c r="U86" s="175">
        <f t="shared" si="186"/>
        <v>0.20084739007024058</v>
      </c>
      <c r="V86" s="175">
        <f t="shared" si="185"/>
        <v>0.21340035194963061</v>
      </c>
      <c r="W86" s="175">
        <f t="shared" si="185"/>
        <v>0.22595331382902065</v>
      </c>
      <c r="X86" s="175">
        <f t="shared" si="185"/>
        <v>0.23850627570841068</v>
      </c>
      <c r="Y86" s="175">
        <f t="shared" si="185"/>
        <v>0.25105923758780074</v>
      </c>
      <c r="Z86" s="175">
        <f t="shared" si="185"/>
        <v>0.26361219946719078</v>
      </c>
      <c r="AA86" s="175">
        <f t="shared" si="185"/>
        <v>0.27616516134658081</v>
      </c>
      <c r="AB86" s="175">
        <f t="shared" si="185"/>
        <v>0.28871812322597085</v>
      </c>
      <c r="AC86" s="175">
        <f t="shared" si="185"/>
        <v>0.30127108510536088</v>
      </c>
      <c r="AD86" s="175">
        <f t="shared" si="185"/>
        <v>0.31382404698475092</v>
      </c>
      <c r="AE86" s="175">
        <f t="shared" si="185"/>
        <v>0.32637700886414095</v>
      </c>
      <c r="AF86" s="175">
        <f t="shared" si="185"/>
        <v>0.33892997074353098</v>
      </c>
      <c r="AG86" s="175">
        <f t="shared" si="185"/>
        <v>0.35148293262292102</v>
      </c>
      <c r="AH86" s="175">
        <f t="shared" si="185"/>
        <v>0.36403589450231105</v>
      </c>
      <c r="AI86" s="175">
        <f>N24</f>
        <v>0.37658885638170114</v>
      </c>
    </row>
    <row r="87" spans="1:35">
      <c r="A87" s="260"/>
      <c r="B87" s="61" t="s">
        <v>295</v>
      </c>
      <c r="C87" s="61" t="s">
        <v>735</v>
      </c>
      <c r="D87" t="s">
        <v>74</v>
      </c>
      <c r="E87" s="175">
        <f>D25</f>
        <v>0</v>
      </c>
      <c r="F87" s="175">
        <f t="shared" ref="F87" si="216">-($E87-$AI87)/30+E87</f>
        <v>1.7808269168899535E-2</v>
      </c>
      <c r="G87" s="175">
        <f t="shared" ref="G87" si="217">-($E87-$AI87)/30+F87</f>
        <v>3.561653833779907E-2</v>
      </c>
      <c r="H87" s="175">
        <f t="shared" ref="H87" si="218">-($E87-$AI87)/30+G87</f>
        <v>5.3424807506698604E-2</v>
      </c>
      <c r="I87" s="175">
        <f t="shared" ref="I87" si="219">-($E87-$AI87)/30+H87</f>
        <v>7.1233076675598139E-2</v>
      </c>
      <c r="J87" s="175">
        <f t="shared" ref="J87" si="220">-($E87-$AI87)/30+I87</f>
        <v>8.9041345844497674E-2</v>
      </c>
      <c r="K87" s="175">
        <f t="shared" ref="K87" si="221">-($E87-$AI87)/30+J87</f>
        <v>0.10684961501339721</v>
      </c>
      <c r="L87" s="175">
        <f t="shared" ref="L87" si="222">-($E87-$AI87)/30+K87</f>
        <v>0.12465788418229674</v>
      </c>
      <c r="M87" s="175">
        <f t="shared" ref="M87" si="223">-($E87-$AI87)/30+L87</f>
        <v>0.14246615335119628</v>
      </c>
      <c r="N87" s="175">
        <f t="shared" ref="N87" si="224">-($E87-$AI87)/30+M87</f>
        <v>0.16027442252009583</v>
      </c>
      <c r="O87" s="175">
        <f t="shared" ref="O87" si="225">-($E87-$AI87)/30+N87</f>
        <v>0.17808269168899538</v>
      </c>
      <c r="P87" s="175">
        <f t="shared" ref="P87" si="226">-($E87-$AI87)/30+O87</f>
        <v>0.19589096085789492</v>
      </c>
      <c r="Q87" s="175">
        <f t="shared" ref="Q87" si="227">-($E87-$AI87)/30+P87</f>
        <v>0.21369923002679447</v>
      </c>
      <c r="R87" s="175">
        <f t="shared" ref="R87" si="228">-($E87-$AI87)/30+Q87</f>
        <v>0.23150749919569402</v>
      </c>
      <c r="S87" s="175">
        <f t="shared" ref="S87" si="229">-($E87-$AI87)/30+R87</f>
        <v>0.24931576836459357</v>
      </c>
      <c r="T87" s="175">
        <f t="shared" ref="T87" si="230">-($E87-$AI87)/30+S87</f>
        <v>0.26712403753349312</v>
      </c>
      <c r="U87" s="175">
        <f t="shared" ref="U87" si="231">-($E87-$AI87)/30+T87</f>
        <v>0.28493230670239267</v>
      </c>
      <c r="V87" s="175">
        <f t="shared" ref="V87" si="232">-($E87-$AI87)/30+U87</f>
        <v>0.30274057587129222</v>
      </c>
      <c r="W87" s="175">
        <f t="shared" ref="W87" si="233">-($E87-$AI87)/30+V87</f>
        <v>0.32054884504019177</v>
      </c>
      <c r="X87" s="175">
        <f t="shared" ref="X87" si="234">-($E87-$AI87)/30+W87</f>
        <v>0.33835711420909131</v>
      </c>
      <c r="Y87" s="175">
        <f t="shared" ref="Y87" si="235">-($E87-$AI87)/30+X87</f>
        <v>0.35616538337799086</v>
      </c>
      <c r="Z87" s="175">
        <f t="shared" ref="Z87" si="236">-($E87-$AI87)/30+Y87</f>
        <v>0.37397365254689041</v>
      </c>
      <c r="AA87" s="175">
        <f t="shared" ref="AA87" si="237">-($E87-$AI87)/30+Z87</f>
        <v>0.39178192171578996</v>
      </c>
      <c r="AB87" s="175">
        <f t="shared" ref="AB87" si="238">-($E87-$AI87)/30+AA87</f>
        <v>0.40959019088468951</v>
      </c>
      <c r="AC87" s="175">
        <f t="shared" ref="AC87" si="239">-($E87-$AI87)/30+AB87</f>
        <v>0.42739846005358906</v>
      </c>
      <c r="AD87" s="175">
        <f t="shared" ref="AD87" si="240">-($E87-$AI87)/30+AC87</f>
        <v>0.44520672922248861</v>
      </c>
      <c r="AE87" s="175">
        <f t="shared" ref="AE87" si="241">-($E87-$AI87)/30+AD87</f>
        <v>0.46301499839138816</v>
      </c>
      <c r="AF87" s="175">
        <f t="shared" ref="AF87" si="242">-($E87-$AI87)/30+AE87</f>
        <v>0.4808232675602877</v>
      </c>
      <c r="AG87" s="175">
        <f t="shared" ref="AG87" si="243">-($E87-$AI87)/30+AF87</f>
        <v>0.49863153672918725</v>
      </c>
      <c r="AH87" s="175">
        <f t="shared" ref="AH87" si="244">-($E87-$AI87)/30+AG87</f>
        <v>0.5164398058980868</v>
      </c>
      <c r="AI87" s="175">
        <f>N25</f>
        <v>0.53424807506698602</v>
      </c>
    </row>
    <row r="88" spans="1:35">
      <c r="A88" s="260"/>
      <c r="B88" t="s">
        <v>295</v>
      </c>
      <c r="C88" t="s">
        <v>735</v>
      </c>
      <c r="D88" t="s">
        <v>160</v>
      </c>
      <c r="E88" s="148">
        <f>D26</f>
        <v>0</v>
      </c>
      <c r="F88" s="148">
        <f t="shared" si="186"/>
        <v>9.6721311593363788E-4</v>
      </c>
      <c r="G88" s="148">
        <f t="shared" si="186"/>
        <v>1.9344262318672758E-3</v>
      </c>
      <c r="H88" s="148">
        <f t="shared" si="186"/>
        <v>2.9016393478009136E-3</v>
      </c>
      <c r="I88" s="148">
        <f t="shared" si="186"/>
        <v>3.8688524637345515E-3</v>
      </c>
      <c r="J88" s="148">
        <f t="shared" si="186"/>
        <v>4.836065579668189E-3</v>
      </c>
      <c r="K88" s="148">
        <f t="shared" si="186"/>
        <v>5.8032786956018264E-3</v>
      </c>
      <c r="L88" s="148">
        <f t="shared" si="186"/>
        <v>6.7704918115354638E-3</v>
      </c>
      <c r="M88" s="148">
        <f t="shared" si="186"/>
        <v>7.7377049274691013E-3</v>
      </c>
      <c r="N88" s="148">
        <f t="shared" si="186"/>
        <v>8.7049180434027387E-3</v>
      </c>
      <c r="O88" s="148">
        <f t="shared" si="186"/>
        <v>9.6721311593363762E-3</v>
      </c>
      <c r="P88" s="148">
        <f t="shared" si="186"/>
        <v>1.0639344275270014E-2</v>
      </c>
      <c r="Q88" s="148">
        <f t="shared" si="186"/>
        <v>1.1606557391203651E-2</v>
      </c>
      <c r="R88" s="148">
        <f t="shared" si="186"/>
        <v>1.2573770507137288E-2</v>
      </c>
      <c r="S88" s="148">
        <f t="shared" si="186"/>
        <v>1.3540983623070926E-2</v>
      </c>
      <c r="T88" s="148">
        <f t="shared" si="186"/>
        <v>1.4508196739004563E-2</v>
      </c>
      <c r="U88" s="148">
        <f t="shared" si="186"/>
        <v>1.5475409854938201E-2</v>
      </c>
      <c r="V88" s="148">
        <f t="shared" si="185"/>
        <v>1.6442622970871838E-2</v>
      </c>
      <c r="W88" s="148">
        <f t="shared" si="185"/>
        <v>1.7409836086805477E-2</v>
      </c>
      <c r="X88" s="148">
        <f t="shared" si="185"/>
        <v>1.8377049202739117E-2</v>
      </c>
      <c r="Y88" s="148">
        <f t="shared" si="185"/>
        <v>1.9344262318672756E-2</v>
      </c>
      <c r="Z88" s="148">
        <f t="shared" si="185"/>
        <v>2.0311475434606395E-2</v>
      </c>
      <c r="AA88" s="148">
        <f t="shared" si="185"/>
        <v>2.1278688550540034E-2</v>
      </c>
      <c r="AB88" s="148">
        <f t="shared" si="185"/>
        <v>2.2245901666473673E-2</v>
      </c>
      <c r="AC88" s="148">
        <f t="shared" si="185"/>
        <v>2.3213114782407313E-2</v>
      </c>
      <c r="AD88" s="148">
        <f t="shared" si="185"/>
        <v>2.4180327898340952E-2</v>
      </c>
      <c r="AE88" s="148">
        <f t="shared" si="185"/>
        <v>2.5147541014274591E-2</v>
      </c>
      <c r="AF88" s="148">
        <f t="shared" si="185"/>
        <v>2.611475413020823E-2</v>
      </c>
      <c r="AG88" s="148">
        <f t="shared" si="185"/>
        <v>2.7081967246141869E-2</v>
      </c>
      <c r="AH88" s="148">
        <f t="shared" si="185"/>
        <v>2.8049180362075508E-2</v>
      </c>
      <c r="AI88" s="148">
        <f>N26</f>
        <v>2.9016393478009137E-2</v>
      </c>
    </row>
    <row r="89" spans="1:35">
      <c r="A89" s="260"/>
      <c r="B89" t="s">
        <v>295</v>
      </c>
      <c r="C89" t="s">
        <v>735</v>
      </c>
      <c r="D89" t="s">
        <v>27</v>
      </c>
      <c r="E89" s="148">
        <f>D27</f>
        <v>0</v>
      </c>
      <c r="F89" s="148">
        <f t="shared" si="186"/>
        <v>2.0048891691101284E-3</v>
      </c>
      <c r="G89" s="148">
        <f t="shared" si="186"/>
        <v>4.0097783382202568E-3</v>
      </c>
      <c r="H89" s="148">
        <f t="shared" si="186"/>
        <v>6.0146675073303856E-3</v>
      </c>
      <c r="I89" s="148">
        <f t="shared" si="186"/>
        <v>8.0195566764405136E-3</v>
      </c>
      <c r="J89" s="148">
        <f t="shared" si="186"/>
        <v>1.0024445845550642E-2</v>
      </c>
      <c r="K89" s="148">
        <f t="shared" si="186"/>
        <v>1.202933501466077E-2</v>
      </c>
      <c r="L89" s="148">
        <f t="shared" si="186"/>
        <v>1.4034224183770897E-2</v>
      </c>
      <c r="M89" s="148">
        <f t="shared" si="186"/>
        <v>1.6039113352881027E-2</v>
      </c>
      <c r="N89" s="148">
        <f t="shared" si="186"/>
        <v>1.8044002521991155E-2</v>
      </c>
      <c r="O89" s="148">
        <f t="shared" si="186"/>
        <v>2.0048891691101283E-2</v>
      </c>
      <c r="P89" s="148">
        <f t="shared" si="186"/>
        <v>2.2053780860211411E-2</v>
      </c>
      <c r="Q89" s="148">
        <f t="shared" si="186"/>
        <v>2.4058670029321539E-2</v>
      </c>
      <c r="R89" s="148">
        <f t="shared" si="186"/>
        <v>2.6063559198431667E-2</v>
      </c>
      <c r="S89" s="148">
        <f t="shared" si="186"/>
        <v>2.8068448367541795E-2</v>
      </c>
      <c r="T89" s="148">
        <f t="shared" si="186"/>
        <v>3.0073337536651923E-2</v>
      </c>
      <c r="U89" s="148">
        <f t="shared" si="186"/>
        <v>3.2078226705762054E-2</v>
      </c>
      <c r="V89" s="148">
        <f t="shared" si="185"/>
        <v>3.4083115874872186E-2</v>
      </c>
      <c r="W89" s="148">
        <f t="shared" si="185"/>
        <v>3.6088005043982317E-2</v>
      </c>
      <c r="X89" s="148">
        <f t="shared" si="185"/>
        <v>3.8092894213092449E-2</v>
      </c>
      <c r="Y89" s="148">
        <f t="shared" si="185"/>
        <v>4.009778338220258E-2</v>
      </c>
      <c r="Z89" s="148">
        <f t="shared" si="185"/>
        <v>4.2102672551312711E-2</v>
      </c>
      <c r="AA89" s="148">
        <f t="shared" si="185"/>
        <v>4.4107561720422843E-2</v>
      </c>
      <c r="AB89" s="148">
        <f t="shared" si="185"/>
        <v>4.6112450889532974E-2</v>
      </c>
      <c r="AC89" s="148">
        <f t="shared" si="185"/>
        <v>4.8117340058643106E-2</v>
      </c>
      <c r="AD89" s="148">
        <f t="shared" si="185"/>
        <v>5.0122229227753237E-2</v>
      </c>
      <c r="AE89" s="148">
        <f t="shared" si="185"/>
        <v>5.2127118396863369E-2</v>
      </c>
      <c r="AF89" s="148">
        <f t="shared" si="185"/>
        <v>5.41320075659735E-2</v>
      </c>
      <c r="AG89" s="148">
        <f t="shared" si="185"/>
        <v>5.6136896735083631E-2</v>
      </c>
      <c r="AH89" s="148">
        <f t="shared" si="185"/>
        <v>5.8141785904193763E-2</v>
      </c>
      <c r="AI89" s="148">
        <f>N27</f>
        <v>6.0146675073303846E-2</v>
      </c>
    </row>
    <row r="90" spans="1:35" s="61" customFormat="1">
      <c r="A90" s="257"/>
      <c r="B90" s="61" t="s">
        <v>27</v>
      </c>
      <c r="C90" s="61" t="s">
        <v>735</v>
      </c>
      <c r="D90" t="s">
        <v>35</v>
      </c>
      <c r="E90" s="175">
        <f>D31</f>
        <v>0</v>
      </c>
      <c r="F90" s="175">
        <f t="shared" si="186"/>
        <v>0</v>
      </c>
      <c r="G90" s="175">
        <f t="shared" si="186"/>
        <v>0</v>
      </c>
      <c r="H90" s="175">
        <f t="shared" si="186"/>
        <v>0</v>
      </c>
      <c r="I90" s="175">
        <f t="shared" si="186"/>
        <v>0</v>
      </c>
      <c r="J90" s="175">
        <f t="shared" si="186"/>
        <v>0</v>
      </c>
      <c r="K90" s="175">
        <f t="shared" si="186"/>
        <v>0</v>
      </c>
      <c r="L90" s="175">
        <f t="shared" si="186"/>
        <v>0</v>
      </c>
      <c r="M90" s="175">
        <f t="shared" si="186"/>
        <v>0</v>
      </c>
      <c r="N90" s="175">
        <f t="shared" si="186"/>
        <v>0</v>
      </c>
      <c r="O90" s="175">
        <f t="shared" si="186"/>
        <v>0</v>
      </c>
      <c r="P90" s="175">
        <f t="shared" si="186"/>
        <v>0</v>
      </c>
      <c r="Q90" s="175">
        <f t="shared" si="186"/>
        <v>0</v>
      </c>
      <c r="R90" s="175">
        <f t="shared" si="186"/>
        <v>0</v>
      </c>
      <c r="S90" s="175">
        <f t="shared" si="186"/>
        <v>0</v>
      </c>
      <c r="T90" s="175">
        <f t="shared" si="186"/>
        <v>0</v>
      </c>
      <c r="U90" s="175">
        <f t="shared" si="186"/>
        <v>0</v>
      </c>
      <c r="V90" s="175">
        <f t="shared" si="185"/>
        <v>0</v>
      </c>
      <c r="W90" s="175">
        <f t="shared" si="185"/>
        <v>0</v>
      </c>
      <c r="X90" s="175">
        <f t="shared" si="185"/>
        <v>0</v>
      </c>
      <c r="Y90" s="175">
        <f t="shared" si="185"/>
        <v>0</v>
      </c>
      <c r="Z90" s="175">
        <f t="shared" si="185"/>
        <v>0</v>
      </c>
      <c r="AA90" s="175">
        <f t="shared" si="185"/>
        <v>0</v>
      </c>
      <c r="AB90" s="175">
        <f t="shared" si="185"/>
        <v>0</v>
      </c>
      <c r="AC90" s="175">
        <f t="shared" si="185"/>
        <v>0</v>
      </c>
      <c r="AD90" s="175">
        <f t="shared" si="185"/>
        <v>0</v>
      </c>
      <c r="AE90" s="175">
        <f t="shared" si="185"/>
        <v>0</v>
      </c>
      <c r="AF90" s="175">
        <f t="shared" si="185"/>
        <v>0</v>
      </c>
      <c r="AG90" s="175">
        <f t="shared" si="185"/>
        <v>0</v>
      </c>
      <c r="AH90" s="175">
        <f t="shared" si="185"/>
        <v>0</v>
      </c>
      <c r="AI90" s="175">
        <f>N31</f>
        <v>0</v>
      </c>
    </row>
    <row r="91" spans="1:35">
      <c r="A91" s="260"/>
      <c r="B91" s="61" t="s">
        <v>27</v>
      </c>
      <c r="C91" s="61" t="s">
        <v>735</v>
      </c>
      <c r="D91" t="s">
        <v>74</v>
      </c>
      <c r="E91" s="175">
        <f>D32</f>
        <v>0.22055473251389562</v>
      </c>
      <c r="F91" s="175">
        <f t="shared" ref="F91" si="245">-($E91-$AI91)/30+E91</f>
        <v>0.22055473251389562</v>
      </c>
      <c r="G91" s="175">
        <f t="shared" ref="G91" si="246">-($E91-$AI91)/30+F91</f>
        <v>0.22055473251389562</v>
      </c>
      <c r="H91" s="175">
        <f t="shared" ref="H91" si="247">-($E91-$AI91)/30+G91</f>
        <v>0.22055473251389562</v>
      </c>
      <c r="I91" s="175">
        <f t="shared" ref="I91" si="248">-($E91-$AI91)/30+H91</f>
        <v>0.22055473251389562</v>
      </c>
      <c r="J91" s="175">
        <f t="shared" ref="J91" si="249">-($E91-$AI91)/30+I91</f>
        <v>0.22055473251389562</v>
      </c>
      <c r="K91" s="175">
        <f t="shared" ref="K91" si="250">-($E91-$AI91)/30+J91</f>
        <v>0.22055473251389562</v>
      </c>
      <c r="L91" s="175">
        <f t="shared" ref="L91" si="251">-($E91-$AI91)/30+K91</f>
        <v>0.22055473251389562</v>
      </c>
      <c r="M91" s="175">
        <f t="shared" ref="M91" si="252">-($E91-$AI91)/30+L91</f>
        <v>0.22055473251389562</v>
      </c>
      <c r="N91" s="175">
        <f t="shared" ref="N91" si="253">-($E91-$AI91)/30+M91</f>
        <v>0.22055473251389562</v>
      </c>
      <c r="O91" s="175">
        <f t="shared" ref="O91" si="254">-($E91-$AI91)/30+N91</f>
        <v>0.22055473251389562</v>
      </c>
      <c r="P91" s="175">
        <f t="shared" ref="P91" si="255">-($E91-$AI91)/30+O91</f>
        <v>0.22055473251389562</v>
      </c>
      <c r="Q91" s="175">
        <f t="shared" ref="Q91" si="256">-($E91-$AI91)/30+P91</f>
        <v>0.22055473251389562</v>
      </c>
      <c r="R91" s="175">
        <f t="shared" ref="R91" si="257">-($E91-$AI91)/30+Q91</f>
        <v>0.22055473251389562</v>
      </c>
      <c r="S91" s="175">
        <f t="shared" ref="S91" si="258">-($E91-$AI91)/30+R91</f>
        <v>0.22055473251389562</v>
      </c>
      <c r="T91" s="175">
        <f t="shared" ref="T91" si="259">-($E91-$AI91)/30+S91</f>
        <v>0.22055473251389562</v>
      </c>
      <c r="U91" s="175">
        <f t="shared" ref="U91" si="260">-($E91-$AI91)/30+T91</f>
        <v>0.22055473251389562</v>
      </c>
      <c r="V91" s="175">
        <f t="shared" ref="V91" si="261">-($E91-$AI91)/30+U91</f>
        <v>0.22055473251389562</v>
      </c>
      <c r="W91" s="175">
        <f t="shared" ref="W91" si="262">-($E91-$AI91)/30+V91</f>
        <v>0.22055473251389562</v>
      </c>
      <c r="X91" s="175">
        <f t="shared" ref="X91" si="263">-($E91-$AI91)/30+W91</f>
        <v>0.22055473251389562</v>
      </c>
      <c r="Y91" s="175">
        <f t="shared" ref="Y91" si="264">-($E91-$AI91)/30+X91</f>
        <v>0.22055473251389562</v>
      </c>
      <c r="Z91" s="175">
        <f t="shared" ref="Z91" si="265">-($E91-$AI91)/30+Y91</f>
        <v>0.22055473251389562</v>
      </c>
      <c r="AA91" s="175">
        <f t="shared" ref="AA91" si="266">-($E91-$AI91)/30+Z91</f>
        <v>0.22055473251389562</v>
      </c>
      <c r="AB91" s="175">
        <f t="shared" ref="AB91" si="267">-($E91-$AI91)/30+AA91</f>
        <v>0.22055473251389562</v>
      </c>
      <c r="AC91" s="175">
        <f t="shared" ref="AC91" si="268">-($E91-$AI91)/30+AB91</f>
        <v>0.22055473251389562</v>
      </c>
      <c r="AD91" s="175">
        <f t="shared" ref="AD91" si="269">-($E91-$AI91)/30+AC91</f>
        <v>0.22055473251389562</v>
      </c>
      <c r="AE91" s="175">
        <f t="shared" ref="AE91" si="270">-($E91-$AI91)/30+AD91</f>
        <v>0.22055473251389562</v>
      </c>
      <c r="AF91" s="175">
        <f t="shared" ref="AF91" si="271">-($E91-$AI91)/30+AE91</f>
        <v>0.22055473251389562</v>
      </c>
      <c r="AG91" s="175">
        <f t="shared" ref="AG91" si="272">-($E91-$AI91)/30+AF91</f>
        <v>0.22055473251389562</v>
      </c>
      <c r="AH91" s="175">
        <f t="shared" ref="AH91" si="273">-($E91-$AI91)/30+AG91</f>
        <v>0.22055473251389562</v>
      </c>
      <c r="AI91" s="175">
        <f>N32</f>
        <v>0.22055473251389565</v>
      </c>
    </row>
    <row r="92" spans="1:35">
      <c r="A92" s="260"/>
      <c r="B92" t="s">
        <v>27</v>
      </c>
      <c r="C92" t="s">
        <v>735</v>
      </c>
      <c r="D92" t="s">
        <v>160</v>
      </c>
      <c r="E92" s="148">
        <f>D33</f>
        <v>0.10074559903475598</v>
      </c>
      <c r="F92" s="148">
        <f t="shared" si="186"/>
        <v>0.10074559903475598</v>
      </c>
      <c r="G92" s="148">
        <f t="shared" si="186"/>
        <v>0.10074559903475598</v>
      </c>
      <c r="H92" s="148">
        <f t="shared" si="186"/>
        <v>0.10074559903475598</v>
      </c>
      <c r="I92" s="148">
        <f t="shared" si="186"/>
        <v>0.10074559903475598</v>
      </c>
      <c r="J92" s="148">
        <f t="shared" si="186"/>
        <v>0.10074559903475598</v>
      </c>
      <c r="K92" s="148">
        <f t="shared" si="186"/>
        <v>0.10074559903475598</v>
      </c>
      <c r="L92" s="148">
        <f t="shared" si="186"/>
        <v>0.10074559903475598</v>
      </c>
      <c r="M92" s="148">
        <f t="shared" si="186"/>
        <v>0.10074559903475598</v>
      </c>
      <c r="N92" s="148">
        <f t="shared" si="186"/>
        <v>0.10074559903475598</v>
      </c>
      <c r="O92" s="148">
        <f t="shared" si="186"/>
        <v>0.10074559903475598</v>
      </c>
      <c r="P92" s="148">
        <f t="shared" si="186"/>
        <v>0.10074559903475598</v>
      </c>
      <c r="Q92" s="148">
        <f t="shared" si="186"/>
        <v>0.10074559903475598</v>
      </c>
      <c r="R92" s="148">
        <f t="shared" si="186"/>
        <v>0.10074559903475598</v>
      </c>
      <c r="S92" s="148">
        <f t="shared" si="186"/>
        <v>0.10074559903475598</v>
      </c>
      <c r="T92" s="148">
        <f t="shared" si="186"/>
        <v>0.10074559903475598</v>
      </c>
      <c r="U92" s="148">
        <f t="shared" si="186"/>
        <v>0.10074559903475598</v>
      </c>
      <c r="V92" s="148">
        <f t="shared" si="185"/>
        <v>0.10074559903475598</v>
      </c>
      <c r="W92" s="148">
        <f t="shared" si="185"/>
        <v>0.10074559903475598</v>
      </c>
      <c r="X92" s="148">
        <f t="shared" si="185"/>
        <v>0.10074559903475598</v>
      </c>
      <c r="Y92" s="148">
        <f t="shared" si="185"/>
        <v>0.10074559903475598</v>
      </c>
      <c r="Z92" s="148">
        <f t="shared" si="185"/>
        <v>0.10074559903475598</v>
      </c>
      <c r="AA92" s="148">
        <f t="shared" si="185"/>
        <v>0.10074559903475598</v>
      </c>
      <c r="AB92" s="148">
        <f t="shared" si="185"/>
        <v>0.10074559903475598</v>
      </c>
      <c r="AC92" s="148">
        <f t="shared" si="185"/>
        <v>0.10074559903475598</v>
      </c>
      <c r="AD92" s="148">
        <f t="shared" si="185"/>
        <v>0.10074559903475598</v>
      </c>
      <c r="AE92" s="148">
        <f t="shared" si="185"/>
        <v>0.10074559903475598</v>
      </c>
      <c r="AF92" s="148">
        <f t="shared" si="185"/>
        <v>0.10074559903475598</v>
      </c>
      <c r="AG92" s="148">
        <f t="shared" si="185"/>
        <v>0.10074559903475598</v>
      </c>
      <c r="AH92" s="148">
        <f t="shared" si="185"/>
        <v>0.10074559903475598</v>
      </c>
      <c r="AI92" s="148">
        <f>N33</f>
        <v>0.10074559903475598</v>
      </c>
    </row>
    <row r="93" spans="1:35">
      <c r="A93" s="260"/>
      <c r="B93" t="s">
        <v>27</v>
      </c>
      <c r="C93" t="s">
        <v>735</v>
      </c>
      <c r="D93" t="s">
        <v>27</v>
      </c>
      <c r="E93" s="148">
        <f>D34</f>
        <v>0.67869966845134844</v>
      </c>
      <c r="F93" s="148">
        <f t="shared" si="186"/>
        <v>0.67869966845134844</v>
      </c>
      <c r="G93" s="148">
        <f t="shared" si="186"/>
        <v>0.67869966845134844</v>
      </c>
      <c r="H93" s="148">
        <f t="shared" si="186"/>
        <v>0.67869966845134844</v>
      </c>
      <c r="I93" s="148">
        <f t="shared" si="186"/>
        <v>0.67869966845134844</v>
      </c>
      <c r="J93" s="148">
        <f t="shared" si="186"/>
        <v>0.67869966845134844</v>
      </c>
      <c r="K93" s="148">
        <f t="shared" si="186"/>
        <v>0.67869966845134844</v>
      </c>
      <c r="L93" s="148">
        <f t="shared" si="186"/>
        <v>0.67869966845134844</v>
      </c>
      <c r="M93" s="148">
        <f t="shared" si="186"/>
        <v>0.67869966845134844</v>
      </c>
      <c r="N93" s="148">
        <f t="shared" si="186"/>
        <v>0.67869966845134844</v>
      </c>
      <c r="O93" s="148">
        <f t="shared" si="186"/>
        <v>0.67869966845134844</v>
      </c>
      <c r="P93" s="148">
        <f t="shared" si="186"/>
        <v>0.67869966845134844</v>
      </c>
      <c r="Q93" s="148">
        <f t="shared" si="186"/>
        <v>0.67869966845134844</v>
      </c>
      <c r="R93" s="148">
        <f t="shared" si="186"/>
        <v>0.67869966845134844</v>
      </c>
      <c r="S93" s="148">
        <f t="shared" si="186"/>
        <v>0.67869966845134844</v>
      </c>
      <c r="T93" s="148">
        <f t="shared" si="186"/>
        <v>0.67869966845134844</v>
      </c>
      <c r="U93" s="148">
        <f t="shared" si="186"/>
        <v>0.67869966845134844</v>
      </c>
      <c r="V93" s="148">
        <f t="shared" si="185"/>
        <v>0.67869966845134844</v>
      </c>
      <c r="W93" s="148">
        <f t="shared" si="185"/>
        <v>0.67869966845134844</v>
      </c>
      <c r="X93" s="148">
        <f t="shared" si="185"/>
        <v>0.67869966845134844</v>
      </c>
      <c r="Y93" s="148">
        <f t="shared" si="185"/>
        <v>0.67869966845134844</v>
      </c>
      <c r="Z93" s="148">
        <f t="shared" si="185"/>
        <v>0.67869966845134844</v>
      </c>
      <c r="AA93" s="148">
        <f t="shared" si="185"/>
        <v>0.67869966845134844</v>
      </c>
      <c r="AB93" s="148">
        <f t="shared" si="185"/>
        <v>0.67869966845134844</v>
      </c>
      <c r="AC93" s="148">
        <f t="shared" si="185"/>
        <v>0.67869966845134844</v>
      </c>
      <c r="AD93" s="148">
        <f t="shared" si="185"/>
        <v>0.67869966845134844</v>
      </c>
      <c r="AE93" s="148">
        <f t="shared" si="185"/>
        <v>0.67869966845134844</v>
      </c>
      <c r="AF93" s="148">
        <f t="shared" si="185"/>
        <v>0.67869966845134844</v>
      </c>
      <c r="AG93" s="148">
        <f t="shared" si="185"/>
        <v>0.67869966845134844</v>
      </c>
      <c r="AH93" s="148">
        <f t="shared" si="185"/>
        <v>0.67869966845134844</v>
      </c>
      <c r="AI93" s="148">
        <f>N34</f>
        <v>0.67869966845134844</v>
      </c>
    </row>
  </sheetData>
  <mergeCells count="5">
    <mergeCell ref="J3:J6"/>
    <mergeCell ref="I10:I13"/>
    <mergeCell ref="I17:I20"/>
    <mergeCell ref="I24:I27"/>
    <mergeCell ref="I31:I34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CDA3-1203-49EC-9C47-2682FD299CE7}">
  <sheetPr>
    <tabColor theme="4"/>
  </sheetPr>
  <dimension ref="A1:AI74"/>
  <sheetViews>
    <sheetView zoomScale="70" zoomScaleNormal="70" workbookViewId="0">
      <selection activeCell="F22" sqref="F22"/>
    </sheetView>
  </sheetViews>
  <sheetFormatPr defaultRowHeight="14.75"/>
  <cols>
    <col min="2" max="2" width="11.1796875" customWidth="1"/>
    <col min="3" max="3" width="9.26953125" customWidth="1"/>
    <col min="4" max="4" width="12.1796875" bestFit="1" customWidth="1"/>
    <col min="5" max="5" width="15.54296875" bestFit="1" customWidth="1"/>
    <col min="6" max="6" width="20" bestFit="1" customWidth="1"/>
    <col min="9" max="9" width="14.81640625" customWidth="1"/>
    <col min="11" max="12" width="11.1796875" customWidth="1"/>
    <col min="13" max="13" width="9.26953125" customWidth="1"/>
    <col min="14" max="14" width="12.1796875" bestFit="1" customWidth="1"/>
    <col min="15" max="15" width="15.54296875" bestFit="1" customWidth="1"/>
    <col min="16" max="16" width="11.1796875" bestFit="1" customWidth="1"/>
    <col min="19" max="19" width="14.81640625" customWidth="1"/>
    <col min="20" max="20" width="8.7265625" customWidth="1"/>
    <col min="21" max="21" width="14.1796875" customWidth="1"/>
    <col min="22" max="34" width="8.7265625" customWidth="1"/>
  </cols>
  <sheetData>
    <row r="1" spans="2:35">
      <c r="B1">
        <v>2020</v>
      </c>
      <c r="L1">
        <v>2050</v>
      </c>
    </row>
    <row r="2" spans="2:35">
      <c r="B2" t="s">
        <v>17</v>
      </c>
      <c r="D2" t="s">
        <v>735</v>
      </c>
      <c r="E2" t="s">
        <v>736</v>
      </c>
      <c r="F2" t="s">
        <v>741</v>
      </c>
      <c r="G2" t="s">
        <v>737</v>
      </c>
      <c r="H2" t="s">
        <v>738</v>
      </c>
      <c r="L2" t="s">
        <v>17</v>
      </c>
      <c r="N2" t="s">
        <v>735</v>
      </c>
      <c r="O2" t="s">
        <v>736</v>
      </c>
      <c r="P2" t="s">
        <v>741</v>
      </c>
      <c r="Q2" t="s">
        <v>737</v>
      </c>
      <c r="R2" t="s">
        <v>738</v>
      </c>
    </row>
    <row r="3" spans="2:35" ht="14.5" customHeight="1">
      <c r="B3" t="s">
        <v>35</v>
      </c>
      <c r="C3" s="219">
        <f>'Overall recycling rates'!G39*'Overall recycling rates'!$G$59</f>
        <v>3.6083462010009999E-6</v>
      </c>
      <c r="D3" s="119">
        <f>$C3/$C$6</f>
        <v>1</v>
      </c>
      <c r="E3" s="119">
        <f t="shared" ref="E3:H3" si="0">$C3/$C$6</f>
        <v>1</v>
      </c>
      <c r="F3" s="119">
        <f t="shared" si="0"/>
        <v>1</v>
      </c>
      <c r="G3" s="119">
        <f t="shared" si="0"/>
        <v>1</v>
      </c>
      <c r="H3" s="119">
        <f t="shared" si="0"/>
        <v>1</v>
      </c>
      <c r="J3" s="617" t="s">
        <v>746</v>
      </c>
      <c r="L3" t="s">
        <v>35</v>
      </c>
      <c r="M3" s="219">
        <f>'Overall recycling rates'!G12*'Overall recycling rates'!$G$59</f>
        <v>2.2966232992418932E-6</v>
      </c>
      <c r="N3" s="2">
        <f>$M3/$M$6</f>
        <v>3.2536544086498615E-5</v>
      </c>
      <c r="O3" s="2">
        <f t="shared" ref="O3:O5" si="1">$M3/$M$6</f>
        <v>3.2536544086498615E-5</v>
      </c>
      <c r="P3" s="52">
        <v>0</v>
      </c>
      <c r="Q3" s="52">
        <v>0</v>
      </c>
      <c r="R3" s="2">
        <f>$M3/$M$6</f>
        <v>3.2536544086498615E-5</v>
      </c>
      <c r="T3" s="25" t="s">
        <v>747</v>
      </c>
    </row>
    <row r="4" spans="2:35">
      <c r="B4" t="s">
        <v>160</v>
      </c>
      <c r="C4" s="219">
        <f>'Overall recycling rates'!H39*'Overall recycling rates'!$H$59</f>
        <v>0</v>
      </c>
      <c r="D4" s="119">
        <f t="shared" ref="D4:H5" si="2">$C4/$C$6</f>
        <v>0</v>
      </c>
      <c r="E4" s="119">
        <f t="shared" si="2"/>
        <v>0</v>
      </c>
      <c r="F4" s="119">
        <f t="shared" si="2"/>
        <v>0</v>
      </c>
      <c r="G4" s="119">
        <f t="shared" si="2"/>
        <v>0</v>
      </c>
      <c r="H4" s="119">
        <f t="shared" si="2"/>
        <v>0</v>
      </c>
      <c r="J4" s="617"/>
      <c r="L4" t="s">
        <v>160</v>
      </c>
      <c r="M4" s="219">
        <f>'Overall recycling rates'!H12*'Overall recycling rates'!$H$59</f>
        <v>4.0191070664909656E-3</v>
      </c>
      <c r="N4" s="2">
        <f>$M4/$M$6</f>
        <v>5.6939182973719464E-2</v>
      </c>
      <c r="O4" s="2">
        <f t="shared" si="1"/>
        <v>5.6939182973719464E-2</v>
      </c>
      <c r="P4" s="52">
        <v>0.5</v>
      </c>
      <c r="Q4" s="52">
        <v>0.5</v>
      </c>
      <c r="R4" s="2">
        <f>$M4/$M$6</f>
        <v>5.6939182973719464E-2</v>
      </c>
      <c r="T4" s="2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31"/>
      <c r="AH4" s="331"/>
      <c r="AI4" s="6"/>
    </row>
    <row r="5" spans="2:35">
      <c r="B5" t="s">
        <v>27</v>
      </c>
      <c r="C5" s="219">
        <f>'Overall recycling rates'!I39*'Overall recycling rates'!$I$59</f>
        <v>0</v>
      </c>
      <c r="D5" s="119">
        <f t="shared" si="2"/>
        <v>0</v>
      </c>
      <c r="E5" s="119">
        <f t="shared" si="2"/>
        <v>0</v>
      </c>
      <c r="F5" s="119">
        <f t="shared" si="2"/>
        <v>0</v>
      </c>
      <c r="G5" s="119">
        <f t="shared" si="2"/>
        <v>0</v>
      </c>
      <c r="H5" s="119">
        <f t="shared" si="2"/>
        <v>0</v>
      </c>
      <c r="J5" s="617"/>
      <c r="L5" t="s">
        <v>27</v>
      </c>
      <c r="M5" s="219">
        <f>'Overall recycling rates'!I12*'Overall recycling rates'!$I$59</f>
        <v>6.6564559377962323E-2</v>
      </c>
      <c r="N5" s="2">
        <f>$M5/$M$6</f>
        <v>0.94302828048219411</v>
      </c>
      <c r="O5" s="2">
        <f t="shared" si="1"/>
        <v>0.94302828048219411</v>
      </c>
      <c r="P5" s="52">
        <v>0.5</v>
      </c>
      <c r="Q5" s="52">
        <v>0.5</v>
      </c>
      <c r="R5" s="2">
        <f>$M5/$M$6</f>
        <v>0.94302828048219411</v>
      </c>
      <c r="T5" s="2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31"/>
      <c r="AH5" s="331"/>
      <c r="AI5" s="331"/>
    </row>
    <row r="6" spans="2:35">
      <c r="C6" s="219">
        <f t="shared" ref="C6:H6" si="3">SUM(C3:C5)</f>
        <v>3.6083462010009999E-6</v>
      </c>
      <c r="D6" s="2">
        <f t="shared" si="3"/>
        <v>1</v>
      </c>
      <c r="E6" s="2">
        <f t="shared" si="3"/>
        <v>1</v>
      </c>
      <c r="F6" s="2">
        <f t="shared" si="3"/>
        <v>1</v>
      </c>
      <c r="G6" s="2">
        <f t="shared" si="3"/>
        <v>1</v>
      </c>
      <c r="H6" s="2">
        <f t="shared" si="3"/>
        <v>1</v>
      </c>
      <c r="J6" s="436"/>
      <c r="M6" s="219">
        <f t="shared" ref="M6:R6" si="4">SUM(M3:M5)</f>
        <v>7.0585963067752527E-2</v>
      </c>
      <c r="N6" s="2">
        <f t="shared" si="4"/>
        <v>1</v>
      </c>
      <c r="O6" s="2">
        <f t="shared" si="4"/>
        <v>1</v>
      </c>
      <c r="P6" s="2">
        <f t="shared" si="4"/>
        <v>1</v>
      </c>
      <c r="Q6" s="2">
        <f t="shared" si="4"/>
        <v>1</v>
      </c>
      <c r="R6" s="2">
        <f t="shared" si="4"/>
        <v>1</v>
      </c>
      <c r="T6" s="2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31"/>
      <c r="AH6" s="331"/>
      <c r="AI6" s="331"/>
    </row>
    <row r="7" spans="2:35">
      <c r="AG7" s="331"/>
      <c r="AH7" s="331"/>
    </row>
    <row r="8" spans="2:35">
      <c r="B8" t="s">
        <v>21</v>
      </c>
      <c r="D8" t="s">
        <v>735</v>
      </c>
      <c r="E8" t="s">
        <v>743</v>
      </c>
      <c r="F8" t="s">
        <v>744</v>
      </c>
      <c r="G8" t="s">
        <v>738</v>
      </c>
      <c r="L8" t="s">
        <v>21</v>
      </c>
      <c r="N8" t="s">
        <v>735</v>
      </c>
      <c r="O8" t="s">
        <v>743</v>
      </c>
      <c r="P8" t="s">
        <v>744</v>
      </c>
      <c r="Q8" t="s">
        <v>738</v>
      </c>
      <c r="V8" s="224"/>
    </row>
    <row r="9" spans="2:35" ht="14.5" customHeight="1">
      <c r="B9" t="s">
        <v>35</v>
      </c>
      <c r="C9" s="219">
        <f>'Overall recycling rates'!G41*'Overall recycling rates'!$G$59</f>
        <v>0</v>
      </c>
      <c r="D9" s="119">
        <f t="shared" ref="D9:G11" si="5">$C9/$C$12</f>
        <v>0</v>
      </c>
      <c r="E9" s="119">
        <f t="shared" si="5"/>
        <v>0</v>
      </c>
      <c r="F9" s="119">
        <f t="shared" si="5"/>
        <v>0</v>
      </c>
      <c r="G9" s="119">
        <f t="shared" si="5"/>
        <v>0</v>
      </c>
      <c r="I9" s="617" t="s">
        <v>746</v>
      </c>
      <c r="L9" t="s">
        <v>35</v>
      </c>
      <c r="M9" s="219">
        <f>'Overall recycling rates'!G14*'Overall recycling rates'!$G$59</f>
        <v>0</v>
      </c>
      <c r="N9" s="2">
        <f t="shared" ref="N9:Q11" si="6">$M9/$M$12</f>
        <v>0</v>
      </c>
      <c r="O9" s="2">
        <f t="shared" si="6"/>
        <v>0</v>
      </c>
      <c r="P9" s="2">
        <f t="shared" si="6"/>
        <v>0</v>
      </c>
      <c r="Q9" s="2">
        <f t="shared" si="6"/>
        <v>0</v>
      </c>
      <c r="T9" s="25" t="s">
        <v>747</v>
      </c>
    </row>
    <row r="10" spans="2:35">
      <c r="B10" t="s">
        <v>160</v>
      </c>
      <c r="C10" s="219">
        <f>'Overall recycling rates'!H41*'Overall recycling rates'!$H$59</f>
        <v>0</v>
      </c>
      <c r="D10" s="119">
        <f t="shared" si="5"/>
        <v>0</v>
      </c>
      <c r="E10" s="119">
        <f t="shared" si="5"/>
        <v>0</v>
      </c>
      <c r="F10" s="119">
        <f t="shared" si="5"/>
        <v>0</v>
      </c>
      <c r="G10" s="119">
        <f t="shared" si="5"/>
        <v>0</v>
      </c>
      <c r="I10" s="617"/>
      <c r="L10" t="s">
        <v>160</v>
      </c>
      <c r="M10" s="219">
        <f>'Overall recycling rates'!H14*'Overall recycling rates'!$H$59</f>
        <v>1.13840259378821E-3</v>
      </c>
      <c r="N10" s="2">
        <f t="shared" si="6"/>
        <v>1.6958610797939113E-2</v>
      </c>
      <c r="O10" s="2">
        <f t="shared" si="6"/>
        <v>1.6958610797939113E-2</v>
      </c>
      <c r="P10" s="2">
        <f t="shared" si="6"/>
        <v>1.6958610797939113E-2</v>
      </c>
      <c r="Q10" s="2">
        <f t="shared" si="6"/>
        <v>1.6958610797939113E-2</v>
      </c>
      <c r="T10" s="25"/>
      <c r="V10" s="331"/>
      <c r="W10" s="331"/>
      <c r="X10" s="331"/>
      <c r="Y10" s="331"/>
      <c r="Z10" s="331"/>
      <c r="AA10" s="331"/>
    </row>
    <row r="11" spans="2:35">
      <c r="B11" t="s">
        <v>27</v>
      </c>
      <c r="C11" s="219">
        <f>'Overall recycling rates'!I41*'Overall recycling rates'!$I$59</f>
        <v>2.4257810004727491E-3</v>
      </c>
      <c r="D11" s="119">
        <f>$C11/$C$12</f>
        <v>1</v>
      </c>
      <c r="E11" s="119">
        <f t="shared" si="5"/>
        <v>1</v>
      </c>
      <c r="F11" s="119">
        <f t="shared" si="5"/>
        <v>1</v>
      </c>
      <c r="G11" s="119">
        <f t="shared" si="5"/>
        <v>1</v>
      </c>
      <c r="I11" s="617"/>
      <c r="L11" t="s">
        <v>27</v>
      </c>
      <c r="M11" s="219">
        <f>'Overall recycling rates'!I14*'Overall recycling rates'!$I$59</f>
        <v>6.5989890363235951E-2</v>
      </c>
      <c r="N11" s="2">
        <f t="shared" si="6"/>
        <v>0.98304138920206086</v>
      </c>
      <c r="O11" s="2">
        <f t="shared" si="6"/>
        <v>0.98304138920206086</v>
      </c>
      <c r="P11" s="2">
        <f t="shared" si="6"/>
        <v>0.98304138920206086</v>
      </c>
      <c r="Q11" s="2">
        <f t="shared" si="6"/>
        <v>0.98304138920206086</v>
      </c>
      <c r="T11" s="25"/>
      <c r="V11" s="331"/>
      <c r="W11" s="331"/>
      <c r="X11" s="331"/>
      <c r="Y11" s="331"/>
      <c r="Z11" s="331"/>
      <c r="AA11" s="331"/>
    </row>
    <row r="12" spans="2:35">
      <c r="C12" s="219">
        <f>SUM(C9:C11)</f>
        <v>2.4257810004727491E-3</v>
      </c>
      <c r="D12" s="2">
        <f>SUM(D9:D11)</f>
        <v>1</v>
      </c>
      <c r="E12" s="2">
        <f>SUM(E9:E11)</f>
        <v>1</v>
      </c>
      <c r="F12" s="2">
        <f>SUM(F9:F11)</f>
        <v>1</v>
      </c>
      <c r="G12" s="2">
        <f>SUM(G9:G11)</f>
        <v>1</v>
      </c>
      <c r="M12" s="40">
        <f>SUM(M9:M11)</f>
        <v>6.712829295702416E-2</v>
      </c>
      <c r="N12" s="2">
        <f>SUM(N9:N11)</f>
        <v>1</v>
      </c>
      <c r="O12" s="2">
        <f>SUM(O9:O11)</f>
        <v>1</v>
      </c>
      <c r="P12" s="2">
        <f>SUM(P9:P11)</f>
        <v>1</v>
      </c>
      <c r="Q12" s="2">
        <f>SUM(Q9:Q11)</f>
        <v>1</v>
      </c>
      <c r="V12" s="331"/>
      <c r="W12" s="331"/>
      <c r="X12" s="331"/>
      <c r="Y12" s="331"/>
      <c r="Z12" s="331"/>
      <c r="AA12" s="331"/>
    </row>
    <row r="14" spans="2:35">
      <c r="B14" t="s">
        <v>53</v>
      </c>
      <c r="D14" t="s">
        <v>735</v>
      </c>
      <c r="E14" t="s">
        <v>737</v>
      </c>
      <c r="F14" t="s">
        <v>738</v>
      </c>
      <c r="L14" t="s">
        <v>53</v>
      </c>
      <c r="N14" t="s">
        <v>735</v>
      </c>
      <c r="O14" t="s">
        <v>737</v>
      </c>
      <c r="P14" t="s">
        <v>738</v>
      </c>
    </row>
    <row r="15" spans="2:35" ht="14.5" customHeight="1">
      <c r="B15" t="s">
        <v>35</v>
      </c>
      <c r="C15" s="219">
        <f>'Overall recycling rates'!G42*'Overall recycling rates'!$G$59</f>
        <v>0</v>
      </c>
      <c r="D15" s="119">
        <f>IFERROR($C15/$C$18,0)</f>
        <v>0</v>
      </c>
      <c r="E15" s="119">
        <f t="shared" ref="E15:F15" si="7">IFERROR($C15/$C$18,0)</f>
        <v>0</v>
      </c>
      <c r="F15" s="119">
        <f t="shared" si="7"/>
        <v>0</v>
      </c>
      <c r="I15" s="617" t="s">
        <v>746</v>
      </c>
      <c r="L15" t="s">
        <v>35</v>
      </c>
      <c r="M15" s="219">
        <f>'Overall recycling rates'!G15*'Overall recycling rates'!$G$59</f>
        <v>2.6450295556482663E-6</v>
      </c>
      <c r="N15" s="119">
        <f t="shared" ref="N15:P17" si="8">$M15/$M$18</f>
        <v>0.34833121229538727</v>
      </c>
      <c r="O15" s="119">
        <f t="shared" si="8"/>
        <v>0.34833121229538727</v>
      </c>
      <c r="P15" s="119">
        <f t="shared" si="8"/>
        <v>0.34833121229538727</v>
      </c>
      <c r="T15" s="25" t="s">
        <v>747</v>
      </c>
      <c r="V15" s="331"/>
      <c r="W15" s="331"/>
      <c r="X15" s="331"/>
      <c r="Y15" s="331"/>
      <c r="Z15" s="331"/>
      <c r="AA15" s="331"/>
      <c r="AB15" s="6"/>
    </row>
    <row r="16" spans="2:35">
      <c r="B16" t="s">
        <v>160</v>
      </c>
      <c r="C16" s="219">
        <f>'Overall recycling rates'!H42*'Overall recycling rates'!$H$59</f>
        <v>0</v>
      </c>
      <c r="D16" s="119">
        <f t="shared" ref="D16:F18" si="9">IFERROR($C16/$C$18,0)</f>
        <v>0</v>
      </c>
      <c r="E16" s="119">
        <f t="shared" si="9"/>
        <v>0</v>
      </c>
      <c r="F16" s="119">
        <f t="shared" si="9"/>
        <v>0</v>
      </c>
      <c r="I16" s="617"/>
      <c r="L16" t="s">
        <v>160</v>
      </c>
      <c r="M16" s="219">
        <f>'Overall recycling rates'!H15*'Overall recycling rates'!$H$59</f>
        <v>0</v>
      </c>
      <c r="N16" s="119">
        <f t="shared" si="8"/>
        <v>0</v>
      </c>
      <c r="O16" s="119">
        <f t="shared" si="8"/>
        <v>0</v>
      </c>
      <c r="P16" s="119">
        <f t="shared" si="8"/>
        <v>0</v>
      </c>
      <c r="T16" s="25"/>
      <c r="V16" s="331"/>
      <c r="W16" s="331"/>
      <c r="X16" s="331"/>
      <c r="Y16" s="331"/>
      <c r="Z16" s="331"/>
      <c r="AA16" s="331"/>
    </row>
    <row r="17" spans="2:35">
      <c r="B17" t="s">
        <v>27</v>
      </c>
      <c r="C17" s="219">
        <f>'Overall recycling rates'!I42*'Overall recycling rates'!$I$59</f>
        <v>0</v>
      </c>
      <c r="D17" s="119">
        <f t="shared" si="9"/>
        <v>0</v>
      </c>
      <c r="E17" s="119">
        <f t="shared" si="9"/>
        <v>0</v>
      </c>
      <c r="F17" s="119">
        <f t="shared" si="9"/>
        <v>0</v>
      </c>
      <c r="I17" s="617"/>
      <c r="L17" t="s">
        <v>27</v>
      </c>
      <c r="M17" s="219">
        <f>'Overall recycling rates'!I15*'Overall recycling rates'!$I$59</f>
        <v>4.9484029657109253E-6</v>
      </c>
      <c r="N17" s="119">
        <f t="shared" si="8"/>
        <v>0.65166878770461278</v>
      </c>
      <c r="O17" s="119">
        <f t="shared" si="8"/>
        <v>0.65166878770461278</v>
      </c>
      <c r="P17" s="119">
        <f t="shared" si="8"/>
        <v>0.65166878770461278</v>
      </c>
      <c r="T17" s="25"/>
      <c r="V17" s="331"/>
      <c r="W17" s="331"/>
      <c r="X17" s="331"/>
      <c r="Y17" s="331"/>
      <c r="Z17" s="331"/>
      <c r="AA17" s="331"/>
      <c r="AB17" s="6"/>
    </row>
    <row r="18" spans="2:35">
      <c r="C18" s="219">
        <f>SUM(C15:C17)</f>
        <v>0</v>
      </c>
      <c r="D18" s="119">
        <f t="shared" si="9"/>
        <v>0</v>
      </c>
      <c r="E18" s="119">
        <f t="shared" si="9"/>
        <v>0</v>
      </c>
      <c r="F18" s="119">
        <f t="shared" si="9"/>
        <v>0</v>
      </c>
      <c r="M18" s="40">
        <f>SUM(M15:M17)</f>
        <v>7.5934325213591917E-6</v>
      </c>
      <c r="N18" s="2">
        <f>SUM(N15:N17)</f>
        <v>1</v>
      </c>
      <c r="O18" s="2">
        <f>SUM(O15:O17)</f>
        <v>1</v>
      </c>
      <c r="P18" s="2">
        <f>SUM(P15:P17)</f>
        <v>1</v>
      </c>
      <c r="AA18" s="331"/>
    </row>
    <row r="19" spans="2:35">
      <c r="V19" s="331"/>
      <c r="W19" s="331"/>
      <c r="X19" s="331"/>
      <c r="Y19" s="331"/>
      <c r="Z19" s="331"/>
      <c r="AA19" s="331"/>
    </row>
    <row r="20" spans="2:35">
      <c r="B20" t="s">
        <v>295</v>
      </c>
      <c r="D20" t="s">
        <v>735</v>
      </c>
      <c r="L20" t="s">
        <v>295</v>
      </c>
      <c r="N20" t="s">
        <v>735</v>
      </c>
      <c r="V20" s="331"/>
      <c r="W20" s="331"/>
      <c r="X20" s="331"/>
      <c r="Y20" s="331"/>
      <c r="Z20" s="331"/>
      <c r="AA20" s="331"/>
    </row>
    <row r="21" spans="2:35" ht="14.5" customHeight="1">
      <c r="B21" t="s">
        <v>35</v>
      </c>
      <c r="C21" s="219">
        <f>'Overall recycling rates'!G40*'Overall recycling rates'!$G$59</f>
        <v>0</v>
      </c>
      <c r="D21" s="119">
        <f>IFERROR($C21/$C$24,0)</f>
        <v>0</v>
      </c>
      <c r="E21" s="2"/>
      <c r="F21" s="2"/>
      <c r="G21" s="2"/>
      <c r="I21" s="617" t="s">
        <v>746</v>
      </c>
      <c r="L21" t="s">
        <v>35</v>
      </c>
      <c r="M21" s="219">
        <f>'Overall recycling rates'!G12*'Overall recycling rates'!$G$59</f>
        <v>2.2966232992418932E-6</v>
      </c>
      <c r="N21" s="119">
        <f>$M21/$M$24</f>
        <v>3.2536544086498615E-5</v>
      </c>
      <c r="P21" s="2"/>
      <c r="Q21" s="2"/>
      <c r="R21" s="2"/>
      <c r="T21" s="25" t="s">
        <v>747</v>
      </c>
      <c r="V21" s="331"/>
      <c r="W21" s="331"/>
      <c r="X21" s="331"/>
      <c r="Y21" s="331"/>
      <c r="Z21" s="331"/>
    </row>
    <row r="22" spans="2:35">
      <c r="B22" t="s">
        <v>160</v>
      </c>
      <c r="C22" s="219">
        <f>'Overall recycling rates'!H40*'Overall recycling rates'!$H$59</f>
        <v>0</v>
      </c>
      <c r="D22" s="119">
        <f t="shared" ref="D22:D24" si="10">IFERROR($C22/$C$24,0)</f>
        <v>0</v>
      </c>
      <c r="E22" s="2"/>
      <c r="F22" s="2"/>
      <c r="G22" s="2"/>
      <c r="I22" s="617"/>
      <c r="L22" t="s">
        <v>160</v>
      </c>
      <c r="M22" s="219">
        <f>'Overall recycling rates'!H12*'Overall recycling rates'!$H$59</f>
        <v>4.0191070664909656E-3</v>
      </c>
      <c r="N22" s="119">
        <f>$M22/$M$24</f>
        <v>5.6939182973719464E-2</v>
      </c>
      <c r="P22" s="2"/>
      <c r="Q22" s="2"/>
      <c r="R22" s="2"/>
      <c r="T22" s="25"/>
      <c r="W22" s="22"/>
      <c r="X22" s="22"/>
      <c r="Y22" s="22"/>
      <c r="Z22" s="22"/>
    </row>
    <row r="23" spans="2:35">
      <c r="B23" t="s">
        <v>27</v>
      </c>
      <c r="C23" s="219">
        <f>'Overall recycling rates'!I40*'Overall recycling rates'!$I$59</f>
        <v>0</v>
      </c>
      <c r="D23" s="119">
        <f t="shared" si="10"/>
        <v>0</v>
      </c>
      <c r="E23" s="52"/>
      <c r="F23" s="52"/>
      <c r="G23" s="52"/>
      <c r="I23" s="617"/>
      <c r="L23" t="s">
        <v>27</v>
      </c>
      <c r="M23" s="219">
        <f>'Overall recycling rates'!I12*'Overall recycling rates'!$I$59</f>
        <v>6.6564559377962323E-2</v>
      </c>
      <c r="N23" s="119">
        <f>$M23/$M$24</f>
        <v>0.94302828048219411</v>
      </c>
      <c r="P23" s="52"/>
      <c r="Q23" s="52"/>
      <c r="R23" s="52"/>
      <c r="T23" s="25"/>
    </row>
    <row r="24" spans="2:35">
      <c r="C24" s="219">
        <f>SUM(C21:C23)</f>
        <v>0</v>
      </c>
      <c r="D24" s="119">
        <f t="shared" si="10"/>
        <v>0</v>
      </c>
      <c r="E24" s="2"/>
      <c r="F24" s="2"/>
      <c r="G24" s="2"/>
      <c r="M24" s="40">
        <f>SUM(M21:M23)</f>
        <v>7.0585963067752527E-2</v>
      </c>
      <c r="N24" s="2">
        <f>SUM(N21:N23)</f>
        <v>1</v>
      </c>
      <c r="P24" s="2"/>
      <c r="Q24" s="2"/>
      <c r="R24" s="2"/>
      <c r="V24" s="331"/>
      <c r="W24" s="331"/>
      <c r="X24" s="331"/>
      <c r="Y24" s="331"/>
      <c r="Z24" s="331"/>
    </row>
    <row r="25" spans="2:35">
      <c r="V25" s="331"/>
      <c r="W25" s="331"/>
      <c r="X25" s="331"/>
      <c r="Y25" s="331"/>
      <c r="Z25" s="331"/>
    </row>
    <row r="26" spans="2:35">
      <c r="B26" t="s">
        <v>27</v>
      </c>
      <c r="D26" t="s">
        <v>735</v>
      </c>
      <c r="L26" t="s">
        <v>27</v>
      </c>
      <c r="N26" t="s">
        <v>735</v>
      </c>
    </row>
    <row r="27" spans="2:35" ht="14.5" customHeight="1">
      <c r="B27" t="s">
        <v>35</v>
      </c>
      <c r="C27" s="219">
        <f>'Overall recycling rates'!G43*'Overall recycling rates'!$G$59</f>
        <v>0</v>
      </c>
      <c r="D27" s="119">
        <f>$C27/$C$30</f>
        <v>0</v>
      </c>
      <c r="I27" s="617" t="s">
        <v>746</v>
      </c>
      <c r="L27" t="s">
        <v>35</v>
      </c>
      <c r="M27" s="219">
        <f>'Overall recycling rates'!G16*'Overall recycling rates'!$G$59</f>
        <v>0</v>
      </c>
      <c r="N27" s="119">
        <f>$M27/$L$30</f>
        <v>0</v>
      </c>
      <c r="T27" s="25" t="s">
        <v>747</v>
      </c>
    </row>
    <row r="28" spans="2:35">
      <c r="B28" t="s">
        <v>160</v>
      </c>
      <c r="C28" s="219">
        <f>'Overall recycling rates'!H43*'Overall recycling rates'!$H$59</f>
        <v>1.4870474518390712E-3</v>
      </c>
      <c r="D28" s="119">
        <f t="shared" ref="D28:D29" si="11">$C28/$C$30</f>
        <v>1.8239325964684288E-2</v>
      </c>
      <c r="I28" s="617"/>
      <c r="L28" t="s">
        <v>160</v>
      </c>
      <c r="M28" s="219">
        <f>'Overall recycling rates'!H16*'Overall recycling rates'!$H$59</f>
        <v>1.062176751313622E-2</v>
      </c>
      <c r="N28" s="119">
        <f>$M28/$L$30</f>
        <v>1.8239325964684285E-2</v>
      </c>
      <c r="T28" s="25"/>
    </row>
    <row r="29" spans="2:35">
      <c r="B29" t="s">
        <v>27</v>
      </c>
      <c r="C29" s="219">
        <f>'Overall recycling rates'!I43*'Overall recycling rates'!$I$59</f>
        <v>8.0042689706121259E-2</v>
      </c>
      <c r="D29" s="119">
        <f t="shared" si="11"/>
        <v>0.98176067403531575</v>
      </c>
      <c r="I29" s="617"/>
      <c r="L29" t="s">
        <v>27</v>
      </c>
      <c r="M29" s="219">
        <f>'Overall recycling rates'!I16*'Overall recycling rates'!$I$59</f>
        <v>0.57173349790086603</v>
      </c>
      <c r="N29" s="119">
        <f>$M29/$L$30</f>
        <v>0.98176067403531564</v>
      </c>
      <c r="T29" s="25"/>
    </row>
    <row r="30" spans="2:35">
      <c r="C30" s="219">
        <f>SUM(C27:C29)</f>
        <v>8.152973715796033E-2</v>
      </c>
      <c r="D30" s="2">
        <f>SUM(D27:D29)</f>
        <v>1</v>
      </c>
      <c r="L30" s="40">
        <f>SUM(M27:M29)</f>
        <v>0.58235526541400229</v>
      </c>
      <c r="M30" s="2">
        <f>SUM(N27:N29)</f>
        <v>0.99999999999999989</v>
      </c>
    </row>
    <row r="32" spans="2:35" s="226" customFormat="1" ht="15.5" thickBot="1">
      <c r="E32" s="226">
        <v>2020</v>
      </c>
      <c r="F32" s="226">
        <f>E32+1</f>
        <v>2021</v>
      </c>
      <c r="G32" s="226">
        <f t="shared" ref="G32:AI32" si="12">F32+1</f>
        <v>2022</v>
      </c>
      <c r="H32" s="226">
        <f t="shared" si="12"/>
        <v>2023</v>
      </c>
      <c r="I32" s="226">
        <f t="shared" si="12"/>
        <v>2024</v>
      </c>
      <c r="J32" s="226">
        <f t="shared" si="12"/>
        <v>2025</v>
      </c>
      <c r="K32" s="226">
        <f t="shared" si="12"/>
        <v>2026</v>
      </c>
      <c r="L32" s="226">
        <f t="shared" si="12"/>
        <v>2027</v>
      </c>
      <c r="M32" s="226">
        <f t="shared" si="12"/>
        <v>2028</v>
      </c>
      <c r="N32" s="226">
        <f t="shared" si="12"/>
        <v>2029</v>
      </c>
      <c r="O32" s="226">
        <f t="shared" si="12"/>
        <v>2030</v>
      </c>
      <c r="P32" s="226">
        <f t="shared" si="12"/>
        <v>2031</v>
      </c>
      <c r="Q32" s="226">
        <f t="shared" si="12"/>
        <v>2032</v>
      </c>
      <c r="R32" s="226">
        <f t="shared" si="12"/>
        <v>2033</v>
      </c>
      <c r="S32" s="226">
        <f t="shared" si="12"/>
        <v>2034</v>
      </c>
      <c r="T32" s="226">
        <f t="shared" si="12"/>
        <v>2035</v>
      </c>
      <c r="U32" s="226">
        <f t="shared" si="12"/>
        <v>2036</v>
      </c>
      <c r="V32" s="226">
        <f t="shared" si="12"/>
        <v>2037</v>
      </c>
      <c r="W32" s="226">
        <f t="shared" si="12"/>
        <v>2038</v>
      </c>
      <c r="X32" s="226">
        <f t="shared" si="12"/>
        <v>2039</v>
      </c>
      <c r="Y32" s="226">
        <f t="shared" si="12"/>
        <v>2040</v>
      </c>
      <c r="Z32" s="226">
        <f t="shared" si="12"/>
        <v>2041</v>
      </c>
      <c r="AA32" s="226">
        <f t="shared" si="12"/>
        <v>2042</v>
      </c>
      <c r="AB32" s="226">
        <f>AA32+1</f>
        <v>2043</v>
      </c>
      <c r="AC32" s="226">
        <f t="shared" si="12"/>
        <v>2044</v>
      </c>
      <c r="AD32" s="226">
        <f t="shared" si="12"/>
        <v>2045</v>
      </c>
      <c r="AE32" s="226">
        <f t="shared" si="12"/>
        <v>2046</v>
      </c>
      <c r="AF32" s="226">
        <f t="shared" si="12"/>
        <v>2047</v>
      </c>
      <c r="AG32" s="226">
        <f t="shared" si="12"/>
        <v>2048</v>
      </c>
      <c r="AH32" s="226">
        <f t="shared" si="12"/>
        <v>2049</v>
      </c>
      <c r="AI32" s="226">
        <f t="shared" si="12"/>
        <v>2050</v>
      </c>
    </row>
    <row r="33" spans="1:35">
      <c r="A33" s="260"/>
      <c r="B33" t="s">
        <v>17</v>
      </c>
      <c r="C33" t="s">
        <v>735</v>
      </c>
      <c r="D33" t="s">
        <v>35</v>
      </c>
      <c r="E33" s="148">
        <f>D3</f>
        <v>1</v>
      </c>
      <c r="F33" s="148">
        <f>-($E33-$AI33)/30+E33</f>
        <v>0.9666677512181362</v>
      </c>
      <c r="G33" s="148">
        <f t="shared" ref="G33:AH33" si="13">-($E33-$AI33)/30+F33</f>
        <v>0.93333550243627239</v>
      </c>
      <c r="H33" s="148">
        <f t="shared" si="13"/>
        <v>0.90000325365440859</v>
      </c>
      <c r="I33" s="148">
        <f t="shared" si="13"/>
        <v>0.86667100487254478</v>
      </c>
      <c r="J33" s="148">
        <f t="shared" si="13"/>
        <v>0.83333875609068098</v>
      </c>
      <c r="K33" s="148">
        <f t="shared" si="13"/>
        <v>0.80000650730881717</v>
      </c>
      <c r="L33" s="148">
        <f t="shared" si="13"/>
        <v>0.76667425852695337</v>
      </c>
      <c r="M33" s="148">
        <f t="shared" si="13"/>
        <v>0.73334200974508956</v>
      </c>
      <c r="N33" s="148">
        <f t="shared" si="13"/>
        <v>0.70000976096322576</v>
      </c>
      <c r="O33" s="148">
        <f t="shared" si="13"/>
        <v>0.66667751218136195</v>
      </c>
      <c r="P33" s="148">
        <f t="shared" si="13"/>
        <v>0.63334526339949815</v>
      </c>
      <c r="Q33" s="148">
        <f t="shared" si="13"/>
        <v>0.60001301461763434</v>
      </c>
      <c r="R33" s="148">
        <f t="shared" si="13"/>
        <v>0.56668076583577054</v>
      </c>
      <c r="S33" s="148">
        <f t="shared" si="13"/>
        <v>0.53334851705390673</v>
      </c>
      <c r="T33" s="148">
        <f t="shared" si="13"/>
        <v>0.50001626827204293</v>
      </c>
      <c r="U33" s="148">
        <f t="shared" si="13"/>
        <v>0.46668401949017913</v>
      </c>
      <c r="V33" s="148">
        <f t="shared" si="13"/>
        <v>0.43335177070831532</v>
      </c>
      <c r="W33" s="148">
        <f t="shared" si="13"/>
        <v>0.40001952192645152</v>
      </c>
      <c r="X33" s="148">
        <f t="shared" si="13"/>
        <v>0.36668727314458771</v>
      </c>
      <c r="Y33" s="148">
        <f t="shared" si="13"/>
        <v>0.33335502436272391</v>
      </c>
      <c r="Z33" s="148">
        <f t="shared" si="13"/>
        <v>0.3000227755808601</v>
      </c>
      <c r="AA33" s="148">
        <f t="shared" si="13"/>
        <v>0.2666905267989963</v>
      </c>
      <c r="AB33" s="148">
        <f t="shared" si="13"/>
        <v>0.23335827801713252</v>
      </c>
      <c r="AC33" s="148">
        <f t="shared" si="13"/>
        <v>0.20002602923526874</v>
      </c>
      <c r="AD33" s="148">
        <f t="shared" si="13"/>
        <v>0.16669378045340497</v>
      </c>
      <c r="AE33" s="148">
        <f t="shared" si="13"/>
        <v>0.13336153167154119</v>
      </c>
      <c r="AF33" s="148">
        <f t="shared" si="13"/>
        <v>0.10002928288967741</v>
      </c>
      <c r="AG33" s="148">
        <f t="shared" si="13"/>
        <v>6.6697034107813635E-2</v>
      </c>
      <c r="AH33" s="148">
        <f t="shared" si="13"/>
        <v>3.3364785325949851E-2</v>
      </c>
      <c r="AI33" s="148">
        <f>N3</f>
        <v>3.2536544086498615E-5</v>
      </c>
    </row>
    <row r="34" spans="1:35">
      <c r="A34" s="260"/>
      <c r="B34" t="s">
        <v>17</v>
      </c>
      <c r="C34" t="s">
        <v>735</v>
      </c>
      <c r="D34" t="s">
        <v>160</v>
      </c>
      <c r="E34" s="148">
        <f>D4</f>
        <v>0</v>
      </c>
      <c r="F34" s="148">
        <f t="shared" ref="F34:AH38" si="14">-($E34-$AI34)/30+E34</f>
        <v>1.8979727657906487E-3</v>
      </c>
      <c r="G34" s="148">
        <f t="shared" si="14"/>
        <v>3.7959455315812974E-3</v>
      </c>
      <c r="H34" s="148">
        <f t="shared" si="14"/>
        <v>5.6939182973719457E-3</v>
      </c>
      <c r="I34" s="148">
        <f t="shared" si="14"/>
        <v>7.5918910631625949E-3</v>
      </c>
      <c r="J34" s="148">
        <f t="shared" si="14"/>
        <v>9.489863828953244E-3</v>
      </c>
      <c r="K34" s="148">
        <f t="shared" si="14"/>
        <v>1.1387836594743893E-2</v>
      </c>
      <c r="L34" s="148">
        <f t="shared" si="14"/>
        <v>1.3285809360534542E-2</v>
      </c>
      <c r="M34" s="148">
        <f t="shared" si="14"/>
        <v>1.5183782126325191E-2</v>
      </c>
      <c r="N34" s="148">
        <f t="shared" si="14"/>
        <v>1.7081754892115841E-2</v>
      </c>
      <c r="O34" s="148">
        <f t="shared" si="14"/>
        <v>1.8979727657906488E-2</v>
      </c>
      <c r="P34" s="148">
        <f t="shared" si="14"/>
        <v>2.0877700423697135E-2</v>
      </c>
      <c r="Q34" s="148">
        <f t="shared" si="14"/>
        <v>2.2775673189487783E-2</v>
      </c>
      <c r="R34" s="148">
        <f t="shared" si="14"/>
        <v>2.467364595527843E-2</v>
      </c>
      <c r="S34" s="148">
        <f t="shared" si="14"/>
        <v>2.6571618721069078E-2</v>
      </c>
      <c r="T34" s="148">
        <f t="shared" si="14"/>
        <v>2.8469591486859725E-2</v>
      </c>
      <c r="U34" s="148">
        <f t="shared" si="14"/>
        <v>3.0367564252650373E-2</v>
      </c>
      <c r="V34" s="148">
        <f t="shared" si="14"/>
        <v>3.2265537018441023E-2</v>
      </c>
      <c r="W34" s="148">
        <f t="shared" si="14"/>
        <v>3.4163509784231674E-2</v>
      </c>
      <c r="X34" s="148">
        <f t="shared" si="14"/>
        <v>3.6061482550022325E-2</v>
      </c>
      <c r="Y34" s="148">
        <f t="shared" si="14"/>
        <v>3.7959455315812976E-2</v>
      </c>
      <c r="Z34" s="148">
        <f t="shared" si="14"/>
        <v>3.9857428081603627E-2</v>
      </c>
      <c r="AA34" s="148">
        <f t="shared" si="14"/>
        <v>4.1755400847394278E-2</v>
      </c>
      <c r="AB34" s="148">
        <f t="shared" si="14"/>
        <v>4.3653373613184929E-2</v>
      </c>
      <c r="AC34" s="148">
        <f t="shared" si="14"/>
        <v>4.555134637897558E-2</v>
      </c>
      <c r="AD34" s="148">
        <f t="shared" si="14"/>
        <v>4.744931914476623E-2</v>
      </c>
      <c r="AE34" s="148">
        <f t="shared" si="14"/>
        <v>4.9347291910556881E-2</v>
      </c>
      <c r="AF34" s="148">
        <f t="shared" si="14"/>
        <v>5.1245264676347532E-2</v>
      </c>
      <c r="AG34" s="148">
        <f t="shared" si="14"/>
        <v>5.3143237442138183E-2</v>
      </c>
      <c r="AH34" s="148">
        <f t="shared" si="14"/>
        <v>5.5041210207928834E-2</v>
      </c>
      <c r="AI34" s="148">
        <f>N4</f>
        <v>5.6939182973719464E-2</v>
      </c>
    </row>
    <row r="35" spans="1:35">
      <c r="A35" s="260"/>
      <c r="B35" t="s">
        <v>17</v>
      </c>
      <c r="C35" t="s">
        <v>735</v>
      </c>
      <c r="D35" t="s">
        <v>27</v>
      </c>
      <c r="E35" s="148">
        <f>D5</f>
        <v>0</v>
      </c>
      <c r="F35" s="148">
        <f t="shared" si="14"/>
        <v>3.143427601607314E-2</v>
      </c>
      <c r="G35" s="148">
        <f t="shared" si="14"/>
        <v>6.286855203214628E-2</v>
      </c>
      <c r="H35" s="148">
        <f t="shared" si="14"/>
        <v>9.430282804821942E-2</v>
      </c>
      <c r="I35" s="148">
        <f t="shared" si="14"/>
        <v>0.12573710406429256</v>
      </c>
      <c r="J35" s="148">
        <f t="shared" si="14"/>
        <v>0.15717138008036569</v>
      </c>
      <c r="K35" s="148">
        <f t="shared" si="14"/>
        <v>0.18860565609643881</v>
      </c>
      <c r="L35" s="148">
        <f t="shared" si="14"/>
        <v>0.22003993211251194</v>
      </c>
      <c r="M35" s="148">
        <f t="shared" si="14"/>
        <v>0.25147420812858506</v>
      </c>
      <c r="N35" s="148">
        <f t="shared" si="14"/>
        <v>0.28290848414465819</v>
      </c>
      <c r="O35" s="148">
        <f t="shared" si="14"/>
        <v>0.31434276016073132</v>
      </c>
      <c r="P35" s="148">
        <f t="shared" si="14"/>
        <v>0.34577703617680444</v>
      </c>
      <c r="Q35" s="148">
        <f t="shared" si="14"/>
        <v>0.37721131219287757</v>
      </c>
      <c r="R35" s="148">
        <f t="shared" si="14"/>
        <v>0.40864558820895069</v>
      </c>
      <c r="S35" s="148">
        <f t="shared" si="14"/>
        <v>0.44007986422502382</v>
      </c>
      <c r="T35" s="148">
        <f t="shared" si="14"/>
        <v>0.47151414024109695</v>
      </c>
      <c r="U35" s="148">
        <f t="shared" si="14"/>
        <v>0.50294841625717013</v>
      </c>
      <c r="V35" s="148">
        <f t="shared" si="14"/>
        <v>0.53438269227324331</v>
      </c>
      <c r="W35" s="148">
        <f t="shared" si="14"/>
        <v>0.56581696828931649</v>
      </c>
      <c r="X35" s="148">
        <f t="shared" si="14"/>
        <v>0.59725124430538967</v>
      </c>
      <c r="Y35" s="148">
        <f t="shared" si="14"/>
        <v>0.62868552032146285</v>
      </c>
      <c r="Z35" s="148">
        <f t="shared" si="14"/>
        <v>0.66011979633753604</v>
      </c>
      <c r="AA35" s="148">
        <f t="shared" si="14"/>
        <v>0.69155407235360922</v>
      </c>
      <c r="AB35" s="148">
        <f t="shared" si="14"/>
        <v>0.7229883483696824</v>
      </c>
      <c r="AC35" s="148">
        <f t="shared" si="14"/>
        <v>0.75442262438575558</v>
      </c>
      <c r="AD35" s="148">
        <f t="shared" si="14"/>
        <v>0.78585690040182876</v>
      </c>
      <c r="AE35" s="148">
        <f t="shared" si="14"/>
        <v>0.81729117641790194</v>
      </c>
      <c r="AF35" s="148">
        <f t="shared" si="14"/>
        <v>0.84872545243397512</v>
      </c>
      <c r="AG35" s="148">
        <f t="shared" si="14"/>
        <v>0.88015972845004831</v>
      </c>
      <c r="AH35" s="148">
        <f t="shared" si="14"/>
        <v>0.91159400446612149</v>
      </c>
      <c r="AI35" s="148">
        <f>N5</f>
        <v>0.94302828048219411</v>
      </c>
    </row>
    <row r="36" spans="1:35" s="61" customFormat="1">
      <c r="A36" s="257"/>
      <c r="B36" s="61" t="s">
        <v>17</v>
      </c>
      <c r="C36" s="61" t="s">
        <v>736</v>
      </c>
      <c r="D36" t="s">
        <v>35</v>
      </c>
      <c r="E36" s="175">
        <f>E3</f>
        <v>1</v>
      </c>
      <c r="F36" s="175">
        <f t="shared" si="14"/>
        <v>0.9666677512181362</v>
      </c>
      <c r="G36" s="175">
        <f t="shared" si="14"/>
        <v>0.93333550243627239</v>
      </c>
      <c r="H36" s="175">
        <f t="shared" si="14"/>
        <v>0.90000325365440859</v>
      </c>
      <c r="I36" s="175">
        <f t="shared" si="14"/>
        <v>0.86667100487254478</v>
      </c>
      <c r="J36" s="175">
        <f t="shared" si="14"/>
        <v>0.83333875609068098</v>
      </c>
      <c r="K36" s="175">
        <f t="shared" si="14"/>
        <v>0.80000650730881717</v>
      </c>
      <c r="L36" s="175">
        <f t="shared" si="14"/>
        <v>0.76667425852695337</v>
      </c>
      <c r="M36" s="175">
        <f t="shared" si="14"/>
        <v>0.73334200974508956</v>
      </c>
      <c r="N36" s="175">
        <f t="shared" si="14"/>
        <v>0.70000976096322576</v>
      </c>
      <c r="O36" s="175">
        <f t="shared" si="14"/>
        <v>0.66667751218136195</v>
      </c>
      <c r="P36" s="175">
        <f t="shared" si="14"/>
        <v>0.63334526339949815</v>
      </c>
      <c r="Q36" s="175">
        <f t="shared" si="14"/>
        <v>0.60001301461763434</v>
      </c>
      <c r="R36" s="175">
        <f t="shared" si="14"/>
        <v>0.56668076583577054</v>
      </c>
      <c r="S36" s="175">
        <f t="shared" si="14"/>
        <v>0.53334851705390673</v>
      </c>
      <c r="T36" s="175">
        <f t="shared" si="14"/>
        <v>0.50001626827204293</v>
      </c>
      <c r="U36" s="175">
        <f t="shared" si="14"/>
        <v>0.46668401949017913</v>
      </c>
      <c r="V36" s="175">
        <f t="shared" si="14"/>
        <v>0.43335177070831532</v>
      </c>
      <c r="W36" s="175">
        <f t="shared" si="14"/>
        <v>0.40001952192645152</v>
      </c>
      <c r="X36" s="175">
        <f t="shared" si="14"/>
        <v>0.36668727314458771</v>
      </c>
      <c r="Y36" s="175">
        <f t="shared" si="14"/>
        <v>0.33335502436272391</v>
      </c>
      <c r="Z36" s="175">
        <f t="shared" si="14"/>
        <v>0.3000227755808601</v>
      </c>
      <c r="AA36" s="175">
        <f t="shared" si="14"/>
        <v>0.2666905267989963</v>
      </c>
      <c r="AB36" s="175">
        <f t="shared" si="14"/>
        <v>0.23335827801713252</v>
      </c>
      <c r="AC36" s="175">
        <f t="shared" si="14"/>
        <v>0.20002602923526874</v>
      </c>
      <c r="AD36" s="175">
        <f t="shared" si="14"/>
        <v>0.16669378045340497</v>
      </c>
      <c r="AE36" s="175">
        <f t="shared" si="14"/>
        <v>0.13336153167154119</v>
      </c>
      <c r="AF36" s="175">
        <f t="shared" si="14"/>
        <v>0.10002928288967741</v>
      </c>
      <c r="AG36" s="175">
        <f t="shared" si="14"/>
        <v>6.6697034107813635E-2</v>
      </c>
      <c r="AH36" s="175">
        <f t="shared" si="14"/>
        <v>3.3364785325949851E-2</v>
      </c>
      <c r="AI36" s="175">
        <f>O3</f>
        <v>3.2536544086498615E-5</v>
      </c>
    </row>
    <row r="37" spans="1:35">
      <c r="A37" s="260"/>
      <c r="B37" t="s">
        <v>17</v>
      </c>
      <c r="C37" t="s">
        <v>736</v>
      </c>
      <c r="D37" t="s">
        <v>160</v>
      </c>
      <c r="E37" s="148">
        <f>E4</f>
        <v>0</v>
      </c>
      <c r="F37" s="148">
        <f t="shared" si="14"/>
        <v>1.8979727657906487E-3</v>
      </c>
      <c r="G37" s="148">
        <f t="shared" si="14"/>
        <v>3.7959455315812974E-3</v>
      </c>
      <c r="H37" s="148">
        <f t="shared" si="14"/>
        <v>5.6939182973719457E-3</v>
      </c>
      <c r="I37" s="148">
        <f t="shared" si="14"/>
        <v>7.5918910631625949E-3</v>
      </c>
      <c r="J37" s="148">
        <f t="shared" si="14"/>
        <v>9.489863828953244E-3</v>
      </c>
      <c r="K37" s="148">
        <f t="shared" si="14"/>
        <v>1.1387836594743893E-2</v>
      </c>
      <c r="L37" s="148">
        <f t="shared" si="14"/>
        <v>1.3285809360534542E-2</v>
      </c>
      <c r="M37" s="148">
        <f t="shared" si="14"/>
        <v>1.5183782126325191E-2</v>
      </c>
      <c r="N37" s="148">
        <f t="shared" si="14"/>
        <v>1.7081754892115841E-2</v>
      </c>
      <c r="O37" s="148">
        <f t="shared" si="14"/>
        <v>1.8979727657906488E-2</v>
      </c>
      <c r="P37" s="148">
        <f t="shared" si="14"/>
        <v>2.0877700423697135E-2</v>
      </c>
      <c r="Q37" s="148">
        <f t="shared" si="14"/>
        <v>2.2775673189487783E-2</v>
      </c>
      <c r="R37" s="148">
        <f t="shared" si="14"/>
        <v>2.467364595527843E-2</v>
      </c>
      <c r="S37" s="148">
        <f t="shared" si="14"/>
        <v>2.6571618721069078E-2</v>
      </c>
      <c r="T37" s="148">
        <f t="shared" si="14"/>
        <v>2.8469591486859725E-2</v>
      </c>
      <c r="U37" s="148">
        <f t="shared" si="14"/>
        <v>3.0367564252650373E-2</v>
      </c>
      <c r="V37" s="148">
        <f t="shared" si="14"/>
        <v>3.2265537018441023E-2</v>
      </c>
      <c r="W37" s="148">
        <f t="shared" si="14"/>
        <v>3.4163509784231674E-2</v>
      </c>
      <c r="X37" s="148">
        <f t="shared" si="14"/>
        <v>3.6061482550022325E-2</v>
      </c>
      <c r="Y37" s="148">
        <f t="shared" si="14"/>
        <v>3.7959455315812976E-2</v>
      </c>
      <c r="Z37" s="148">
        <f t="shared" si="14"/>
        <v>3.9857428081603627E-2</v>
      </c>
      <c r="AA37" s="148">
        <f t="shared" si="14"/>
        <v>4.1755400847394278E-2</v>
      </c>
      <c r="AB37" s="148">
        <f t="shared" si="14"/>
        <v>4.3653373613184929E-2</v>
      </c>
      <c r="AC37" s="148">
        <f t="shared" si="14"/>
        <v>4.555134637897558E-2</v>
      </c>
      <c r="AD37" s="148">
        <f t="shared" si="14"/>
        <v>4.744931914476623E-2</v>
      </c>
      <c r="AE37" s="148">
        <f t="shared" si="14"/>
        <v>4.9347291910556881E-2</v>
      </c>
      <c r="AF37" s="148">
        <f t="shared" si="14"/>
        <v>5.1245264676347532E-2</v>
      </c>
      <c r="AG37" s="148">
        <f t="shared" si="14"/>
        <v>5.3143237442138183E-2</v>
      </c>
      <c r="AH37" s="148">
        <f t="shared" si="14"/>
        <v>5.5041210207928834E-2</v>
      </c>
      <c r="AI37" s="148">
        <f>O4</f>
        <v>5.6939182973719464E-2</v>
      </c>
    </row>
    <row r="38" spans="1:35">
      <c r="A38" s="260"/>
      <c r="B38" t="s">
        <v>17</v>
      </c>
      <c r="C38" t="s">
        <v>736</v>
      </c>
      <c r="D38" t="s">
        <v>27</v>
      </c>
      <c r="E38" s="148">
        <f>E5</f>
        <v>0</v>
      </c>
      <c r="F38" s="148">
        <f t="shared" si="14"/>
        <v>3.143427601607314E-2</v>
      </c>
      <c r="G38" s="148">
        <f t="shared" si="14"/>
        <v>6.286855203214628E-2</v>
      </c>
      <c r="H38" s="148">
        <f t="shared" si="14"/>
        <v>9.430282804821942E-2</v>
      </c>
      <c r="I38" s="148">
        <f t="shared" si="14"/>
        <v>0.12573710406429256</v>
      </c>
      <c r="J38" s="148">
        <f t="shared" si="14"/>
        <v>0.15717138008036569</v>
      </c>
      <c r="K38" s="148">
        <f t="shared" si="14"/>
        <v>0.18860565609643881</v>
      </c>
      <c r="L38" s="148">
        <f t="shared" si="14"/>
        <v>0.22003993211251194</v>
      </c>
      <c r="M38" s="148">
        <f t="shared" si="14"/>
        <v>0.25147420812858506</v>
      </c>
      <c r="N38" s="148">
        <f t="shared" si="14"/>
        <v>0.28290848414465819</v>
      </c>
      <c r="O38" s="148">
        <f t="shared" si="14"/>
        <v>0.31434276016073132</v>
      </c>
      <c r="P38" s="148">
        <f t="shared" si="14"/>
        <v>0.34577703617680444</v>
      </c>
      <c r="Q38" s="148">
        <f t="shared" si="14"/>
        <v>0.37721131219287757</v>
      </c>
      <c r="R38" s="148">
        <f t="shared" si="14"/>
        <v>0.40864558820895069</v>
      </c>
      <c r="S38" s="148">
        <f t="shared" si="14"/>
        <v>0.44007986422502382</v>
      </c>
      <c r="T38" s="148">
        <f t="shared" si="14"/>
        <v>0.47151414024109695</v>
      </c>
      <c r="U38" s="148">
        <f t="shared" si="14"/>
        <v>0.50294841625717013</v>
      </c>
      <c r="V38" s="148">
        <f t="shared" si="14"/>
        <v>0.53438269227324331</v>
      </c>
      <c r="W38" s="148">
        <f t="shared" si="14"/>
        <v>0.56581696828931649</v>
      </c>
      <c r="X38" s="148">
        <f t="shared" si="14"/>
        <v>0.59725124430538967</v>
      </c>
      <c r="Y38" s="148">
        <f t="shared" si="14"/>
        <v>0.62868552032146285</v>
      </c>
      <c r="Z38" s="148">
        <f t="shared" si="14"/>
        <v>0.66011979633753604</v>
      </c>
      <c r="AA38" s="148">
        <f t="shared" si="14"/>
        <v>0.69155407235360922</v>
      </c>
      <c r="AB38" s="148">
        <f t="shared" si="14"/>
        <v>0.7229883483696824</v>
      </c>
      <c r="AC38" s="148">
        <f t="shared" si="14"/>
        <v>0.75442262438575558</v>
      </c>
      <c r="AD38" s="148">
        <f t="shared" si="14"/>
        <v>0.78585690040182876</v>
      </c>
      <c r="AE38" s="148">
        <f t="shared" si="14"/>
        <v>0.81729117641790194</v>
      </c>
      <c r="AF38" s="148">
        <f t="shared" si="14"/>
        <v>0.84872545243397512</v>
      </c>
      <c r="AG38" s="148">
        <f t="shared" si="14"/>
        <v>0.88015972845004831</v>
      </c>
      <c r="AH38" s="148">
        <f t="shared" si="14"/>
        <v>0.91159400446612149</v>
      </c>
      <c r="AI38" s="148">
        <f>O5</f>
        <v>0.94302828048219411</v>
      </c>
    </row>
    <row r="39" spans="1:35" s="61" customFormat="1">
      <c r="A39" s="257"/>
      <c r="B39" s="61" t="s">
        <v>17</v>
      </c>
      <c r="C39" s="61" t="s">
        <v>741</v>
      </c>
      <c r="D39" t="s">
        <v>35</v>
      </c>
      <c r="E39" s="175">
        <f>F3</f>
        <v>1</v>
      </c>
      <c r="F39" s="175">
        <f t="shared" ref="F39:AH44" si="15">-($E39-$AI39)/30+E39</f>
        <v>0.96666666666666667</v>
      </c>
      <c r="G39" s="175">
        <f t="shared" si="15"/>
        <v>0.93333333333333335</v>
      </c>
      <c r="H39" s="175">
        <f t="shared" si="15"/>
        <v>0.9</v>
      </c>
      <c r="I39" s="175">
        <f t="shared" si="15"/>
        <v>0.8666666666666667</v>
      </c>
      <c r="J39" s="175">
        <f t="shared" si="15"/>
        <v>0.83333333333333337</v>
      </c>
      <c r="K39" s="175">
        <f t="shared" si="15"/>
        <v>0.8</v>
      </c>
      <c r="L39" s="175">
        <f t="shared" si="15"/>
        <v>0.76666666666666672</v>
      </c>
      <c r="M39" s="175">
        <f t="shared" si="15"/>
        <v>0.73333333333333339</v>
      </c>
      <c r="N39" s="175">
        <f t="shared" si="15"/>
        <v>0.70000000000000007</v>
      </c>
      <c r="O39" s="175">
        <f t="shared" si="15"/>
        <v>0.66666666666666674</v>
      </c>
      <c r="P39" s="175">
        <f t="shared" si="15"/>
        <v>0.63333333333333341</v>
      </c>
      <c r="Q39" s="175">
        <f t="shared" si="15"/>
        <v>0.60000000000000009</v>
      </c>
      <c r="R39" s="175">
        <f t="shared" si="15"/>
        <v>0.56666666666666676</v>
      </c>
      <c r="S39" s="175">
        <f t="shared" si="15"/>
        <v>0.53333333333333344</v>
      </c>
      <c r="T39" s="175">
        <f t="shared" si="15"/>
        <v>0.50000000000000011</v>
      </c>
      <c r="U39" s="175">
        <f t="shared" si="15"/>
        <v>0.46666666666666679</v>
      </c>
      <c r="V39" s="175">
        <f t="shared" si="15"/>
        <v>0.43333333333333346</v>
      </c>
      <c r="W39" s="175">
        <f t="shared" si="15"/>
        <v>0.40000000000000013</v>
      </c>
      <c r="X39" s="175">
        <f t="shared" si="15"/>
        <v>0.36666666666666681</v>
      </c>
      <c r="Y39" s="175">
        <f t="shared" si="15"/>
        <v>0.33333333333333348</v>
      </c>
      <c r="Z39" s="175">
        <f t="shared" si="15"/>
        <v>0.30000000000000016</v>
      </c>
      <c r="AA39" s="175">
        <f t="shared" si="15"/>
        <v>0.26666666666666683</v>
      </c>
      <c r="AB39" s="175">
        <f t="shared" si="15"/>
        <v>0.2333333333333335</v>
      </c>
      <c r="AC39" s="175">
        <f t="shared" si="15"/>
        <v>0.20000000000000018</v>
      </c>
      <c r="AD39" s="175">
        <f t="shared" si="15"/>
        <v>0.16666666666666685</v>
      </c>
      <c r="AE39" s="175">
        <f t="shared" si="15"/>
        <v>0.13333333333333353</v>
      </c>
      <c r="AF39" s="175">
        <f t="shared" si="15"/>
        <v>0.1000000000000002</v>
      </c>
      <c r="AG39" s="175">
        <f t="shared" si="15"/>
        <v>6.6666666666666874E-2</v>
      </c>
      <c r="AH39" s="175">
        <f t="shared" si="15"/>
        <v>3.3333333333333541E-2</v>
      </c>
      <c r="AI39" s="175">
        <f>P3</f>
        <v>0</v>
      </c>
    </row>
    <row r="40" spans="1:35">
      <c r="A40" s="260"/>
      <c r="B40" t="s">
        <v>17</v>
      </c>
      <c r="C40" t="s">
        <v>741</v>
      </c>
      <c r="D40" t="s">
        <v>160</v>
      </c>
      <c r="E40" s="148">
        <f>F4</f>
        <v>0</v>
      </c>
      <c r="F40" s="148">
        <f t="shared" si="15"/>
        <v>1.6666666666666666E-2</v>
      </c>
      <c r="G40" s="148">
        <f t="shared" si="15"/>
        <v>3.3333333333333333E-2</v>
      </c>
      <c r="H40" s="148">
        <f t="shared" si="15"/>
        <v>0.05</v>
      </c>
      <c r="I40" s="148">
        <f t="shared" si="15"/>
        <v>6.6666666666666666E-2</v>
      </c>
      <c r="J40" s="148">
        <f t="shared" si="15"/>
        <v>8.3333333333333329E-2</v>
      </c>
      <c r="K40" s="148">
        <f t="shared" si="15"/>
        <v>9.9999999999999992E-2</v>
      </c>
      <c r="L40" s="148">
        <f t="shared" si="15"/>
        <v>0.11666666666666665</v>
      </c>
      <c r="M40" s="148">
        <f t="shared" si="15"/>
        <v>0.13333333333333333</v>
      </c>
      <c r="N40" s="148">
        <f t="shared" si="15"/>
        <v>0.15</v>
      </c>
      <c r="O40" s="148">
        <f t="shared" si="15"/>
        <v>0.16666666666666666</v>
      </c>
      <c r="P40" s="148">
        <f t="shared" si="15"/>
        <v>0.18333333333333332</v>
      </c>
      <c r="Q40" s="148">
        <f t="shared" si="15"/>
        <v>0.19999999999999998</v>
      </c>
      <c r="R40" s="148">
        <f t="shared" si="15"/>
        <v>0.21666666666666665</v>
      </c>
      <c r="S40" s="148">
        <f t="shared" si="15"/>
        <v>0.23333333333333331</v>
      </c>
      <c r="T40" s="148">
        <f t="shared" si="15"/>
        <v>0.24999999999999997</v>
      </c>
      <c r="U40" s="148">
        <f t="shared" si="15"/>
        <v>0.26666666666666666</v>
      </c>
      <c r="V40" s="148">
        <f t="shared" si="15"/>
        <v>0.28333333333333333</v>
      </c>
      <c r="W40" s="148">
        <f t="shared" si="15"/>
        <v>0.3</v>
      </c>
      <c r="X40" s="148">
        <f t="shared" si="15"/>
        <v>0.31666666666666665</v>
      </c>
      <c r="Y40" s="148">
        <f t="shared" si="15"/>
        <v>0.33333333333333331</v>
      </c>
      <c r="Z40" s="148">
        <f t="shared" si="15"/>
        <v>0.35</v>
      </c>
      <c r="AA40" s="148">
        <f t="shared" si="15"/>
        <v>0.36666666666666664</v>
      </c>
      <c r="AB40" s="148">
        <f t="shared" si="15"/>
        <v>0.3833333333333333</v>
      </c>
      <c r="AC40" s="148">
        <f t="shared" si="15"/>
        <v>0.39999999999999997</v>
      </c>
      <c r="AD40" s="148">
        <f t="shared" si="15"/>
        <v>0.41666666666666663</v>
      </c>
      <c r="AE40" s="148">
        <f t="shared" si="15"/>
        <v>0.43333333333333329</v>
      </c>
      <c r="AF40" s="148">
        <f t="shared" si="15"/>
        <v>0.44999999999999996</v>
      </c>
      <c r="AG40" s="148">
        <f t="shared" si="15"/>
        <v>0.46666666666666662</v>
      </c>
      <c r="AH40" s="148">
        <f t="shared" si="15"/>
        <v>0.48333333333333328</v>
      </c>
      <c r="AI40" s="148">
        <f>P4</f>
        <v>0.5</v>
      </c>
    </row>
    <row r="41" spans="1:35">
      <c r="A41" s="260"/>
      <c r="B41" t="s">
        <v>17</v>
      </c>
      <c r="C41" t="s">
        <v>741</v>
      </c>
      <c r="D41" t="s">
        <v>27</v>
      </c>
      <c r="E41" s="148">
        <f>F5</f>
        <v>0</v>
      </c>
      <c r="F41" s="148">
        <f t="shared" si="15"/>
        <v>1.6666666666666666E-2</v>
      </c>
      <c r="G41" s="148">
        <f t="shared" si="15"/>
        <v>3.3333333333333333E-2</v>
      </c>
      <c r="H41" s="148">
        <f t="shared" si="15"/>
        <v>0.05</v>
      </c>
      <c r="I41" s="148">
        <f t="shared" si="15"/>
        <v>6.6666666666666666E-2</v>
      </c>
      <c r="J41" s="148">
        <f t="shared" si="15"/>
        <v>8.3333333333333329E-2</v>
      </c>
      <c r="K41" s="148">
        <f t="shared" si="15"/>
        <v>9.9999999999999992E-2</v>
      </c>
      <c r="L41" s="148">
        <f t="shared" si="15"/>
        <v>0.11666666666666665</v>
      </c>
      <c r="M41" s="148">
        <f t="shared" si="15"/>
        <v>0.13333333333333333</v>
      </c>
      <c r="N41" s="148">
        <f t="shared" si="15"/>
        <v>0.15</v>
      </c>
      <c r="O41" s="148">
        <f t="shared" si="15"/>
        <v>0.16666666666666666</v>
      </c>
      <c r="P41" s="148">
        <f t="shared" si="15"/>
        <v>0.18333333333333332</v>
      </c>
      <c r="Q41" s="148">
        <f t="shared" si="15"/>
        <v>0.19999999999999998</v>
      </c>
      <c r="R41" s="148">
        <f t="shared" si="15"/>
        <v>0.21666666666666665</v>
      </c>
      <c r="S41" s="148">
        <f t="shared" si="15"/>
        <v>0.23333333333333331</v>
      </c>
      <c r="T41" s="148">
        <f t="shared" si="15"/>
        <v>0.24999999999999997</v>
      </c>
      <c r="U41" s="148">
        <f t="shared" si="15"/>
        <v>0.26666666666666666</v>
      </c>
      <c r="V41" s="148">
        <f t="shared" si="15"/>
        <v>0.28333333333333333</v>
      </c>
      <c r="W41" s="148">
        <f t="shared" si="15"/>
        <v>0.3</v>
      </c>
      <c r="X41" s="148">
        <f t="shared" si="15"/>
        <v>0.31666666666666665</v>
      </c>
      <c r="Y41" s="148">
        <f t="shared" si="15"/>
        <v>0.33333333333333331</v>
      </c>
      <c r="Z41" s="148">
        <f t="shared" si="15"/>
        <v>0.35</v>
      </c>
      <c r="AA41" s="148">
        <f t="shared" si="15"/>
        <v>0.36666666666666664</v>
      </c>
      <c r="AB41" s="148">
        <f t="shared" si="15"/>
        <v>0.3833333333333333</v>
      </c>
      <c r="AC41" s="148">
        <f t="shared" si="15"/>
        <v>0.39999999999999997</v>
      </c>
      <c r="AD41" s="148">
        <f t="shared" si="15"/>
        <v>0.41666666666666663</v>
      </c>
      <c r="AE41" s="148">
        <f t="shared" si="15"/>
        <v>0.43333333333333329</v>
      </c>
      <c r="AF41" s="148">
        <f t="shared" si="15"/>
        <v>0.44999999999999996</v>
      </c>
      <c r="AG41" s="148">
        <f t="shared" si="15"/>
        <v>0.46666666666666662</v>
      </c>
      <c r="AH41" s="148">
        <f t="shared" si="15"/>
        <v>0.48333333333333328</v>
      </c>
      <c r="AI41" s="148">
        <f>P5</f>
        <v>0.5</v>
      </c>
    </row>
    <row r="42" spans="1:35" s="61" customFormat="1">
      <c r="A42" s="257"/>
      <c r="B42" s="61" t="s">
        <v>17</v>
      </c>
      <c r="C42" s="61" t="s">
        <v>737</v>
      </c>
      <c r="D42" t="s">
        <v>35</v>
      </c>
      <c r="E42" s="175">
        <f>G3</f>
        <v>1</v>
      </c>
      <c r="F42" s="175">
        <f t="shared" si="15"/>
        <v>0.96666666666666667</v>
      </c>
      <c r="G42" s="175">
        <f t="shared" si="15"/>
        <v>0.93333333333333335</v>
      </c>
      <c r="H42" s="175">
        <f t="shared" si="15"/>
        <v>0.9</v>
      </c>
      <c r="I42" s="175">
        <f t="shared" si="15"/>
        <v>0.8666666666666667</v>
      </c>
      <c r="J42" s="175">
        <f t="shared" si="15"/>
        <v>0.83333333333333337</v>
      </c>
      <c r="K42" s="175">
        <f t="shared" si="15"/>
        <v>0.8</v>
      </c>
      <c r="L42" s="175">
        <f t="shared" si="15"/>
        <v>0.76666666666666672</v>
      </c>
      <c r="M42" s="175">
        <f t="shared" si="15"/>
        <v>0.73333333333333339</v>
      </c>
      <c r="N42" s="175">
        <f t="shared" si="15"/>
        <v>0.70000000000000007</v>
      </c>
      <c r="O42" s="175">
        <f t="shared" si="15"/>
        <v>0.66666666666666674</v>
      </c>
      <c r="P42" s="175">
        <f t="shared" si="15"/>
        <v>0.63333333333333341</v>
      </c>
      <c r="Q42" s="175">
        <f t="shared" si="15"/>
        <v>0.60000000000000009</v>
      </c>
      <c r="R42" s="175">
        <f t="shared" si="15"/>
        <v>0.56666666666666676</v>
      </c>
      <c r="S42" s="175">
        <f t="shared" si="15"/>
        <v>0.53333333333333344</v>
      </c>
      <c r="T42" s="175">
        <f t="shared" si="15"/>
        <v>0.50000000000000011</v>
      </c>
      <c r="U42" s="175">
        <f t="shared" si="15"/>
        <v>0.46666666666666679</v>
      </c>
      <c r="V42" s="175">
        <f t="shared" si="15"/>
        <v>0.43333333333333346</v>
      </c>
      <c r="W42" s="175">
        <f t="shared" si="15"/>
        <v>0.40000000000000013</v>
      </c>
      <c r="X42" s="175">
        <f t="shared" si="15"/>
        <v>0.36666666666666681</v>
      </c>
      <c r="Y42" s="175">
        <f t="shared" si="15"/>
        <v>0.33333333333333348</v>
      </c>
      <c r="Z42" s="175">
        <f t="shared" si="15"/>
        <v>0.30000000000000016</v>
      </c>
      <c r="AA42" s="175">
        <f t="shared" si="15"/>
        <v>0.26666666666666683</v>
      </c>
      <c r="AB42" s="175">
        <f t="shared" si="15"/>
        <v>0.2333333333333335</v>
      </c>
      <c r="AC42" s="175">
        <f t="shared" si="15"/>
        <v>0.20000000000000018</v>
      </c>
      <c r="AD42" s="175">
        <f t="shared" si="15"/>
        <v>0.16666666666666685</v>
      </c>
      <c r="AE42" s="175">
        <f t="shared" si="15"/>
        <v>0.13333333333333353</v>
      </c>
      <c r="AF42" s="175">
        <f t="shared" si="15"/>
        <v>0.1000000000000002</v>
      </c>
      <c r="AG42" s="175">
        <f t="shared" si="15"/>
        <v>6.6666666666666874E-2</v>
      </c>
      <c r="AH42" s="175">
        <f t="shared" si="15"/>
        <v>3.3333333333333541E-2</v>
      </c>
      <c r="AI42" s="175">
        <f>Q3</f>
        <v>0</v>
      </c>
    </row>
    <row r="43" spans="1:35">
      <c r="A43" s="260"/>
      <c r="B43" t="s">
        <v>17</v>
      </c>
      <c r="C43" t="s">
        <v>737</v>
      </c>
      <c r="D43" t="s">
        <v>160</v>
      </c>
      <c r="E43" s="148">
        <f>G4</f>
        <v>0</v>
      </c>
      <c r="F43" s="148">
        <f t="shared" si="15"/>
        <v>1.6666666666666666E-2</v>
      </c>
      <c r="G43" s="148">
        <f t="shared" si="15"/>
        <v>3.3333333333333333E-2</v>
      </c>
      <c r="H43" s="148">
        <f t="shared" si="15"/>
        <v>0.05</v>
      </c>
      <c r="I43" s="148">
        <f t="shared" si="15"/>
        <v>6.6666666666666666E-2</v>
      </c>
      <c r="J43" s="148">
        <f t="shared" si="15"/>
        <v>8.3333333333333329E-2</v>
      </c>
      <c r="K43" s="148">
        <f t="shared" si="15"/>
        <v>9.9999999999999992E-2</v>
      </c>
      <c r="L43" s="148">
        <f t="shared" si="15"/>
        <v>0.11666666666666665</v>
      </c>
      <c r="M43" s="148">
        <f t="shared" si="15"/>
        <v>0.13333333333333333</v>
      </c>
      <c r="N43" s="148">
        <f t="shared" si="15"/>
        <v>0.15</v>
      </c>
      <c r="O43" s="148">
        <f t="shared" si="15"/>
        <v>0.16666666666666666</v>
      </c>
      <c r="P43" s="148">
        <f t="shared" si="15"/>
        <v>0.18333333333333332</v>
      </c>
      <c r="Q43" s="148">
        <f t="shared" si="15"/>
        <v>0.19999999999999998</v>
      </c>
      <c r="R43" s="148">
        <f t="shared" si="15"/>
        <v>0.21666666666666665</v>
      </c>
      <c r="S43" s="148">
        <f t="shared" si="15"/>
        <v>0.23333333333333331</v>
      </c>
      <c r="T43" s="148">
        <f t="shared" si="15"/>
        <v>0.24999999999999997</v>
      </c>
      <c r="U43" s="148">
        <f t="shared" si="15"/>
        <v>0.26666666666666666</v>
      </c>
      <c r="V43" s="148">
        <f t="shared" si="15"/>
        <v>0.28333333333333333</v>
      </c>
      <c r="W43" s="148">
        <f t="shared" si="15"/>
        <v>0.3</v>
      </c>
      <c r="X43" s="148">
        <f t="shared" si="15"/>
        <v>0.31666666666666665</v>
      </c>
      <c r="Y43" s="148">
        <f t="shared" si="15"/>
        <v>0.33333333333333331</v>
      </c>
      <c r="Z43" s="148">
        <f t="shared" si="15"/>
        <v>0.35</v>
      </c>
      <c r="AA43" s="148">
        <f t="shared" si="15"/>
        <v>0.36666666666666664</v>
      </c>
      <c r="AB43" s="148">
        <f t="shared" si="15"/>
        <v>0.3833333333333333</v>
      </c>
      <c r="AC43" s="148">
        <f t="shared" si="15"/>
        <v>0.39999999999999997</v>
      </c>
      <c r="AD43" s="148">
        <f t="shared" si="15"/>
        <v>0.41666666666666663</v>
      </c>
      <c r="AE43" s="148">
        <f t="shared" si="15"/>
        <v>0.43333333333333329</v>
      </c>
      <c r="AF43" s="148">
        <f t="shared" si="15"/>
        <v>0.44999999999999996</v>
      </c>
      <c r="AG43" s="148">
        <f t="shared" si="15"/>
        <v>0.46666666666666662</v>
      </c>
      <c r="AH43" s="148">
        <f t="shared" si="15"/>
        <v>0.48333333333333328</v>
      </c>
      <c r="AI43" s="148">
        <f>Q4</f>
        <v>0.5</v>
      </c>
    </row>
    <row r="44" spans="1:35">
      <c r="A44" s="260"/>
      <c r="B44" t="s">
        <v>17</v>
      </c>
      <c r="C44" t="s">
        <v>737</v>
      </c>
      <c r="D44" t="s">
        <v>27</v>
      </c>
      <c r="E44" s="148">
        <f>G5</f>
        <v>0</v>
      </c>
      <c r="F44" s="148">
        <f t="shared" si="15"/>
        <v>1.6666666666666666E-2</v>
      </c>
      <c r="G44" s="148">
        <f t="shared" si="15"/>
        <v>3.3333333333333333E-2</v>
      </c>
      <c r="H44" s="148">
        <f t="shared" si="15"/>
        <v>0.05</v>
      </c>
      <c r="I44" s="148">
        <f t="shared" si="15"/>
        <v>6.6666666666666666E-2</v>
      </c>
      <c r="J44" s="148">
        <f t="shared" si="15"/>
        <v>8.3333333333333329E-2</v>
      </c>
      <c r="K44" s="148">
        <f t="shared" si="15"/>
        <v>9.9999999999999992E-2</v>
      </c>
      <c r="L44" s="148">
        <f t="shared" si="15"/>
        <v>0.11666666666666665</v>
      </c>
      <c r="M44" s="148">
        <f t="shared" si="15"/>
        <v>0.13333333333333333</v>
      </c>
      <c r="N44" s="148">
        <f t="shared" si="15"/>
        <v>0.15</v>
      </c>
      <c r="O44" s="148">
        <f t="shared" si="15"/>
        <v>0.16666666666666666</v>
      </c>
      <c r="P44" s="148">
        <f t="shared" si="15"/>
        <v>0.18333333333333332</v>
      </c>
      <c r="Q44" s="148">
        <f t="shared" si="15"/>
        <v>0.19999999999999998</v>
      </c>
      <c r="R44" s="148">
        <f t="shared" si="15"/>
        <v>0.21666666666666665</v>
      </c>
      <c r="S44" s="148">
        <f t="shared" si="15"/>
        <v>0.23333333333333331</v>
      </c>
      <c r="T44" s="148">
        <f t="shared" si="15"/>
        <v>0.24999999999999997</v>
      </c>
      <c r="U44" s="148">
        <f t="shared" si="15"/>
        <v>0.26666666666666666</v>
      </c>
      <c r="V44" s="148">
        <f t="shared" si="15"/>
        <v>0.28333333333333333</v>
      </c>
      <c r="W44" s="148">
        <f t="shared" si="15"/>
        <v>0.3</v>
      </c>
      <c r="X44" s="148">
        <f t="shared" si="15"/>
        <v>0.31666666666666665</v>
      </c>
      <c r="Y44" s="148">
        <f t="shared" si="15"/>
        <v>0.33333333333333331</v>
      </c>
      <c r="Z44" s="148">
        <f t="shared" si="15"/>
        <v>0.35</v>
      </c>
      <c r="AA44" s="148">
        <f t="shared" si="15"/>
        <v>0.36666666666666664</v>
      </c>
      <c r="AB44" s="148">
        <f t="shared" si="15"/>
        <v>0.3833333333333333</v>
      </c>
      <c r="AC44" s="148">
        <f t="shared" si="15"/>
        <v>0.39999999999999997</v>
      </c>
      <c r="AD44" s="148">
        <f t="shared" si="15"/>
        <v>0.41666666666666663</v>
      </c>
      <c r="AE44" s="148">
        <f t="shared" si="15"/>
        <v>0.43333333333333329</v>
      </c>
      <c r="AF44" s="148">
        <f t="shared" si="15"/>
        <v>0.44999999999999996</v>
      </c>
      <c r="AG44" s="148">
        <f t="shared" si="15"/>
        <v>0.46666666666666662</v>
      </c>
      <c r="AH44" s="148">
        <f t="shared" si="15"/>
        <v>0.48333333333333328</v>
      </c>
      <c r="AI44" s="148">
        <f>Q5</f>
        <v>0.5</v>
      </c>
    </row>
    <row r="45" spans="1:35" s="61" customFormat="1">
      <c r="A45" s="257"/>
      <c r="B45" s="61" t="s">
        <v>17</v>
      </c>
      <c r="C45" s="61" t="s">
        <v>738</v>
      </c>
      <c r="D45" t="s">
        <v>35</v>
      </c>
      <c r="E45" s="175">
        <f>H3</f>
        <v>1</v>
      </c>
      <c r="F45" s="175">
        <f t="shared" ref="F45:AH50" si="16">-($E45-$AI45)/30+E45</f>
        <v>0.9666677512181362</v>
      </c>
      <c r="G45" s="175">
        <f t="shared" si="16"/>
        <v>0.93333550243627239</v>
      </c>
      <c r="H45" s="175">
        <f t="shared" si="16"/>
        <v>0.90000325365440859</v>
      </c>
      <c r="I45" s="175">
        <f t="shared" si="16"/>
        <v>0.86667100487254478</v>
      </c>
      <c r="J45" s="175">
        <f t="shared" si="16"/>
        <v>0.83333875609068098</v>
      </c>
      <c r="K45" s="175">
        <f t="shared" si="16"/>
        <v>0.80000650730881717</v>
      </c>
      <c r="L45" s="175">
        <f t="shared" si="16"/>
        <v>0.76667425852695337</v>
      </c>
      <c r="M45" s="175">
        <f t="shared" si="16"/>
        <v>0.73334200974508956</v>
      </c>
      <c r="N45" s="175">
        <f t="shared" si="16"/>
        <v>0.70000976096322576</v>
      </c>
      <c r="O45" s="175">
        <f t="shared" si="16"/>
        <v>0.66667751218136195</v>
      </c>
      <c r="P45" s="175">
        <f t="shared" si="16"/>
        <v>0.63334526339949815</v>
      </c>
      <c r="Q45" s="175">
        <f t="shared" si="16"/>
        <v>0.60001301461763434</v>
      </c>
      <c r="R45" s="175">
        <f t="shared" si="16"/>
        <v>0.56668076583577054</v>
      </c>
      <c r="S45" s="175">
        <f t="shared" si="16"/>
        <v>0.53334851705390673</v>
      </c>
      <c r="T45" s="175">
        <f t="shared" si="16"/>
        <v>0.50001626827204293</v>
      </c>
      <c r="U45" s="175">
        <f t="shared" si="16"/>
        <v>0.46668401949017913</v>
      </c>
      <c r="V45" s="175">
        <f t="shared" si="16"/>
        <v>0.43335177070831532</v>
      </c>
      <c r="W45" s="175">
        <f t="shared" si="16"/>
        <v>0.40001952192645152</v>
      </c>
      <c r="X45" s="175">
        <f t="shared" si="16"/>
        <v>0.36668727314458771</v>
      </c>
      <c r="Y45" s="175">
        <f t="shared" si="16"/>
        <v>0.33335502436272391</v>
      </c>
      <c r="Z45" s="175">
        <f t="shared" si="16"/>
        <v>0.3000227755808601</v>
      </c>
      <c r="AA45" s="175">
        <f t="shared" si="16"/>
        <v>0.2666905267989963</v>
      </c>
      <c r="AB45" s="175">
        <f t="shared" si="16"/>
        <v>0.23335827801713252</v>
      </c>
      <c r="AC45" s="175">
        <f t="shared" si="16"/>
        <v>0.20002602923526874</v>
      </c>
      <c r="AD45" s="175">
        <f t="shared" si="16"/>
        <v>0.16669378045340497</v>
      </c>
      <c r="AE45" s="175">
        <f t="shared" si="16"/>
        <v>0.13336153167154119</v>
      </c>
      <c r="AF45" s="175">
        <f t="shared" si="16"/>
        <v>0.10002928288967741</v>
      </c>
      <c r="AG45" s="175">
        <f t="shared" si="16"/>
        <v>6.6697034107813635E-2</v>
      </c>
      <c r="AH45" s="175">
        <f t="shared" si="16"/>
        <v>3.3364785325949851E-2</v>
      </c>
      <c r="AI45" s="175">
        <f>R3</f>
        <v>3.2536544086498615E-5</v>
      </c>
    </row>
    <row r="46" spans="1:35">
      <c r="A46" s="260"/>
      <c r="B46" t="s">
        <v>17</v>
      </c>
      <c r="C46" t="s">
        <v>738</v>
      </c>
      <c r="D46" t="s">
        <v>160</v>
      </c>
      <c r="E46" s="148">
        <f>H4</f>
        <v>0</v>
      </c>
      <c r="F46" s="148">
        <f t="shared" si="16"/>
        <v>1.8979727657906487E-3</v>
      </c>
      <c r="G46" s="148">
        <f t="shared" si="16"/>
        <v>3.7959455315812974E-3</v>
      </c>
      <c r="H46" s="148">
        <f t="shared" si="16"/>
        <v>5.6939182973719457E-3</v>
      </c>
      <c r="I46" s="148">
        <f t="shared" si="16"/>
        <v>7.5918910631625949E-3</v>
      </c>
      <c r="J46" s="148">
        <f t="shared" si="16"/>
        <v>9.489863828953244E-3</v>
      </c>
      <c r="K46" s="148">
        <f t="shared" si="16"/>
        <v>1.1387836594743893E-2</v>
      </c>
      <c r="L46" s="148">
        <f t="shared" si="16"/>
        <v>1.3285809360534542E-2</v>
      </c>
      <c r="M46" s="148">
        <f t="shared" si="16"/>
        <v>1.5183782126325191E-2</v>
      </c>
      <c r="N46" s="148">
        <f t="shared" si="16"/>
        <v>1.7081754892115841E-2</v>
      </c>
      <c r="O46" s="148">
        <f t="shared" si="16"/>
        <v>1.8979727657906488E-2</v>
      </c>
      <c r="P46" s="148">
        <f t="shared" si="16"/>
        <v>2.0877700423697135E-2</v>
      </c>
      <c r="Q46" s="148">
        <f t="shared" si="16"/>
        <v>2.2775673189487783E-2</v>
      </c>
      <c r="R46" s="148">
        <f t="shared" si="16"/>
        <v>2.467364595527843E-2</v>
      </c>
      <c r="S46" s="148">
        <f t="shared" si="16"/>
        <v>2.6571618721069078E-2</v>
      </c>
      <c r="T46" s="148">
        <f t="shared" si="16"/>
        <v>2.8469591486859725E-2</v>
      </c>
      <c r="U46" s="148">
        <f t="shared" si="16"/>
        <v>3.0367564252650373E-2</v>
      </c>
      <c r="V46" s="148">
        <f t="shared" si="16"/>
        <v>3.2265537018441023E-2</v>
      </c>
      <c r="W46" s="148">
        <f t="shared" si="16"/>
        <v>3.4163509784231674E-2</v>
      </c>
      <c r="X46" s="148">
        <f t="shared" si="16"/>
        <v>3.6061482550022325E-2</v>
      </c>
      <c r="Y46" s="148">
        <f t="shared" si="16"/>
        <v>3.7959455315812976E-2</v>
      </c>
      <c r="Z46" s="148">
        <f t="shared" si="16"/>
        <v>3.9857428081603627E-2</v>
      </c>
      <c r="AA46" s="148">
        <f t="shared" si="16"/>
        <v>4.1755400847394278E-2</v>
      </c>
      <c r="AB46" s="148">
        <f t="shared" si="16"/>
        <v>4.3653373613184929E-2</v>
      </c>
      <c r="AC46" s="148">
        <f t="shared" si="16"/>
        <v>4.555134637897558E-2</v>
      </c>
      <c r="AD46" s="148">
        <f t="shared" si="16"/>
        <v>4.744931914476623E-2</v>
      </c>
      <c r="AE46" s="148">
        <f t="shared" si="16"/>
        <v>4.9347291910556881E-2</v>
      </c>
      <c r="AF46" s="148">
        <f t="shared" si="16"/>
        <v>5.1245264676347532E-2</v>
      </c>
      <c r="AG46" s="148">
        <f t="shared" si="16"/>
        <v>5.3143237442138183E-2</v>
      </c>
      <c r="AH46" s="148">
        <f t="shared" si="16"/>
        <v>5.5041210207928834E-2</v>
      </c>
      <c r="AI46" s="148">
        <f>R4</f>
        <v>5.6939182973719464E-2</v>
      </c>
    </row>
    <row r="47" spans="1:35">
      <c r="A47" s="260"/>
      <c r="B47" t="s">
        <v>17</v>
      </c>
      <c r="C47" t="s">
        <v>738</v>
      </c>
      <c r="D47" t="s">
        <v>27</v>
      </c>
      <c r="E47" s="148">
        <f>H5</f>
        <v>0</v>
      </c>
      <c r="F47" s="148">
        <f t="shared" si="16"/>
        <v>3.143427601607314E-2</v>
      </c>
      <c r="G47" s="148">
        <f t="shared" si="16"/>
        <v>6.286855203214628E-2</v>
      </c>
      <c r="H47" s="148">
        <f t="shared" si="16"/>
        <v>9.430282804821942E-2</v>
      </c>
      <c r="I47" s="148">
        <f t="shared" si="16"/>
        <v>0.12573710406429256</v>
      </c>
      <c r="J47" s="148">
        <f t="shared" si="16"/>
        <v>0.15717138008036569</v>
      </c>
      <c r="K47" s="148">
        <f t="shared" si="16"/>
        <v>0.18860565609643881</v>
      </c>
      <c r="L47" s="148">
        <f t="shared" si="16"/>
        <v>0.22003993211251194</v>
      </c>
      <c r="M47" s="148">
        <f t="shared" si="16"/>
        <v>0.25147420812858506</v>
      </c>
      <c r="N47" s="148">
        <f t="shared" si="16"/>
        <v>0.28290848414465819</v>
      </c>
      <c r="O47" s="148">
        <f t="shared" si="16"/>
        <v>0.31434276016073132</v>
      </c>
      <c r="P47" s="148">
        <f t="shared" si="16"/>
        <v>0.34577703617680444</v>
      </c>
      <c r="Q47" s="148">
        <f t="shared" si="16"/>
        <v>0.37721131219287757</v>
      </c>
      <c r="R47" s="148">
        <f t="shared" si="16"/>
        <v>0.40864558820895069</v>
      </c>
      <c r="S47" s="148">
        <f t="shared" si="16"/>
        <v>0.44007986422502382</v>
      </c>
      <c r="T47" s="148">
        <f t="shared" si="16"/>
        <v>0.47151414024109695</v>
      </c>
      <c r="U47" s="148">
        <f t="shared" si="16"/>
        <v>0.50294841625717013</v>
      </c>
      <c r="V47" s="148">
        <f t="shared" si="16"/>
        <v>0.53438269227324331</v>
      </c>
      <c r="W47" s="148">
        <f t="shared" si="16"/>
        <v>0.56581696828931649</v>
      </c>
      <c r="X47" s="148">
        <f t="shared" si="16"/>
        <v>0.59725124430538967</v>
      </c>
      <c r="Y47" s="148">
        <f t="shared" si="16"/>
        <v>0.62868552032146285</v>
      </c>
      <c r="Z47" s="148">
        <f t="shared" si="16"/>
        <v>0.66011979633753604</v>
      </c>
      <c r="AA47" s="148">
        <f t="shared" si="16"/>
        <v>0.69155407235360922</v>
      </c>
      <c r="AB47" s="148">
        <f t="shared" si="16"/>
        <v>0.7229883483696824</v>
      </c>
      <c r="AC47" s="148">
        <f t="shared" si="16"/>
        <v>0.75442262438575558</v>
      </c>
      <c r="AD47" s="148">
        <f t="shared" si="16"/>
        <v>0.78585690040182876</v>
      </c>
      <c r="AE47" s="148">
        <f t="shared" si="16"/>
        <v>0.81729117641790194</v>
      </c>
      <c r="AF47" s="148">
        <f t="shared" si="16"/>
        <v>0.84872545243397512</v>
      </c>
      <c r="AG47" s="148">
        <f t="shared" si="16"/>
        <v>0.88015972845004831</v>
      </c>
      <c r="AH47" s="148">
        <f t="shared" si="16"/>
        <v>0.91159400446612149</v>
      </c>
      <c r="AI47" s="148">
        <f>R5</f>
        <v>0.94302828048219411</v>
      </c>
    </row>
    <row r="48" spans="1:35" s="61" customFormat="1">
      <c r="A48" s="257"/>
      <c r="B48" s="61" t="s">
        <v>21</v>
      </c>
      <c r="C48" s="61" t="s">
        <v>735</v>
      </c>
      <c r="D48" s="61" t="s">
        <v>35</v>
      </c>
      <c r="E48" s="175">
        <f>D9</f>
        <v>0</v>
      </c>
      <c r="F48" s="175">
        <f t="shared" si="16"/>
        <v>0</v>
      </c>
      <c r="G48" s="175">
        <f t="shared" si="16"/>
        <v>0</v>
      </c>
      <c r="H48" s="175">
        <f t="shared" si="16"/>
        <v>0</v>
      </c>
      <c r="I48" s="175">
        <f t="shared" si="16"/>
        <v>0</v>
      </c>
      <c r="J48" s="175">
        <f t="shared" si="16"/>
        <v>0</v>
      </c>
      <c r="K48" s="175">
        <f t="shared" si="16"/>
        <v>0</v>
      </c>
      <c r="L48" s="175">
        <f t="shared" si="16"/>
        <v>0</v>
      </c>
      <c r="M48" s="175">
        <f t="shared" si="16"/>
        <v>0</v>
      </c>
      <c r="N48" s="175">
        <f t="shared" si="16"/>
        <v>0</v>
      </c>
      <c r="O48" s="175">
        <f t="shared" si="16"/>
        <v>0</v>
      </c>
      <c r="P48" s="175">
        <f t="shared" si="16"/>
        <v>0</v>
      </c>
      <c r="Q48" s="175">
        <f t="shared" si="16"/>
        <v>0</v>
      </c>
      <c r="R48" s="175">
        <f t="shared" si="16"/>
        <v>0</v>
      </c>
      <c r="S48" s="175">
        <f t="shared" si="16"/>
        <v>0</v>
      </c>
      <c r="T48" s="175">
        <f t="shared" si="16"/>
        <v>0</v>
      </c>
      <c r="U48" s="175">
        <f t="shared" si="16"/>
        <v>0</v>
      </c>
      <c r="V48" s="175">
        <f t="shared" si="16"/>
        <v>0</v>
      </c>
      <c r="W48" s="175">
        <f t="shared" si="16"/>
        <v>0</v>
      </c>
      <c r="X48" s="175">
        <f t="shared" si="16"/>
        <v>0</v>
      </c>
      <c r="Y48" s="175">
        <f t="shared" si="16"/>
        <v>0</v>
      </c>
      <c r="Z48" s="175">
        <f t="shared" si="16"/>
        <v>0</v>
      </c>
      <c r="AA48" s="175">
        <f t="shared" si="16"/>
        <v>0</v>
      </c>
      <c r="AB48" s="175">
        <f t="shared" si="16"/>
        <v>0</v>
      </c>
      <c r="AC48" s="175">
        <f t="shared" si="16"/>
        <v>0</v>
      </c>
      <c r="AD48" s="175">
        <f t="shared" si="16"/>
        <v>0</v>
      </c>
      <c r="AE48" s="175">
        <f t="shared" si="16"/>
        <v>0</v>
      </c>
      <c r="AF48" s="175">
        <f t="shared" si="16"/>
        <v>0</v>
      </c>
      <c r="AG48" s="175">
        <f t="shared" si="16"/>
        <v>0</v>
      </c>
      <c r="AH48" s="175">
        <f t="shared" si="16"/>
        <v>0</v>
      </c>
      <c r="AI48" s="175">
        <f>N9</f>
        <v>0</v>
      </c>
    </row>
    <row r="49" spans="1:35">
      <c r="A49" s="260"/>
      <c r="B49" t="s">
        <v>21</v>
      </c>
      <c r="D49" t="s">
        <v>160</v>
      </c>
      <c r="E49" s="148">
        <f>D10</f>
        <v>0</v>
      </c>
      <c r="F49" s="148">
        <f t="shared" si="16"/>
        <v>5.6528702659797039E-4</v>
      </c>
      <c r="G49" s="148">
        <f t="shared" si="16"/>
        <v>1.1305740531959408E-3</v>
      </c>
      <c r="H49" s="148">
        <f t="shared" si="16"/>
        <v>1.6958610797939112E-3</v>
      </c>
      <c r="I49" s="148">
        <f t="shared" si="16"/>
        <v>2.2611481063918816E-3</v>
      </c>
      <c r="J49" s="148">
        <f t="shared" si="16"/>
        <v>2.8264351329898522E-3</v>
      </c>
      <c r="K49" s="148">
        <f t="shared" si="16"/>
        <v>3.3917221595878228E-3</v>
      </c>
      <c r="L49" s="148">
        <f t="shared" si="16"/>
        <v>3.9570091861857934E-3</v>
      </c>
      <c r="M49" s="148">
        <f t="shared" si="16"/>
        <v>4.522296212783764E-3</v>
      </c>
      <c r="N49" s="148">
        <f t="shared" si="16"/>
        <v>5.0875832393817346E-3</v>
      </c>
      <c r="O49" s="148">
        <f t="shared" si="16"/>
        <v>5.6528702659797052E-3</v>
      </c>
      <c r="P49" s="148">
        <f t="shared" si="16"/>
        <v>6.2181572925776758E-3</v>
      </c>
      <c r="Q49" s="148">
        <f t="shared" si="16"/>
        <v>6.7834443191756464E-3</v>
      </c>
      <c r="R49" s="148">
        <f t="shared" si="16"/>
        <v>7.348731345773617E-3</v>
      </c>
      <c r="S49" s="148">
        <f t="shared" si="16"/>
        <v>7.9140183723715868E-3</v>
      </c>
      <c r="T49" s="148">
        <f t="shared" si="16"/>
        <v>8.4793053989695565E-3</v>
      </c>
      <c r="U49" s="148">
        <f t="shared" si="16"/>
        <v>9.0445924255675263E-3</v>
      </c>
      <c r="V49" s="148">
        <f t="shared" si="16"/>
        <v>9.609879452165496E-3</v>
      </c>
      <c r="W49" s="148">
        <f t="shared" si="16"/>
        <v>1.0175166478763466E-2</v>
      </c>
      <c r="X49" s="148">
        <f t="shared" si="16"/>
        <v>1.0740453505361435E-2</v>
      </c>
      <c r="Y49" s="148">
        <f t="shared" si="16"/>
        <v>1.1305740531959405E-2</v>
      </c>
      <c r="Z49" s="148">
        <f t="shared" si="16"/>
        <v>1.1871027558557375E-2</v>
      </c>
      <c r="AA49" s="148">
        <f t="shared" si="16"/>
        <v>1.2436314585155345E-2</v>
      </c>
      <c r="AB49" s="148">
        <f t="shared" si="16"/>
        <v>1.3001601611753314E-2</v>
      </c>
      <c r="AC49" s="148">
        <f t="shared" si="16"/>
        <v>1.3566888638351284E-2</v>
      </c>
      <c r="AD49" s="148">
        <f t="shared" si="16"/>
        <v>1.4132175664949254E-2</v>
      </c>
      <c r="AE49" s="148">
        <f t="shared" si="16"/>
        <v>1.4697462691547224E-2</v>
      </c>
      <c r="AF49" s="148">
        <f t="shared" si="16"/>
        <v>1.5262749718145193E-2</v>
      </c>
      <c r="AG49" s="148">
        <f t="shared" si="16"/>
        <v>1.5828036744743163E-2</v>
      </c>
      <c r="AH49" s="148">
        <f t="shared" si="16"/>
        <v>1.6393323771341135E-2</v>
      </c>
      <c r="AI49" s="148">
        <f>N10</f>
        <v>1.6958610797939113E-2</v>
      </c>
    </row>
    <row r="50" spans="1:35" s="62" customFormat="1">
      <c r="A50" s="261"/>
      <c r="B50" s="62" t="s">
        <v>21</v>
      </c>
      <c r="D50" s="62" t="s">
        <v>27</v>
      </c>
      <c r="E50" s="366">
        <f>D11</f>
        <v>1</v>
      </c>
      <c r="F50" s="366">
        <f t="shared" si="16"/>
        <v>0.99943471297340203</v>
      </c>
      <c r="G50" s="366">
        <f t="shared" si="16"/>
        <v>0.99886942594680406</v>
      </c>
      <c r="H50" s="366">
        <f t="shared" si="16"/>
        <v>0.99830413892020609</v>
      </c>
      <c r="I50" s="366">
        <f t="shared" si="16"/>
        <v>0.99773885189360811</v>
      </c>
      <c r="J50" s="366">
        <f t="shared" si="16"/>
        <v>0.99717356486701014</v>
      </c>
      <c r="K50" s="366">
        <f t="shared" si="16"/>
        <v>0.99660827784041217</v>
      </c>
      <c r="L50" s="366">
        <f t="shared" si="16"/>
        <v>0.9960429908138142</v>
      </c>
      <c r="M50" s="366">
        <f t="shared" si="16"/>
        <v>0.99547770378721623</v>
      </c>
      <c r="N50" s="366">
        <f t="shared" si="16"/>
        <v>0.99491241676061826</v>
      </c>
      <c r="O50" s="366">
        <f t="shared" si="16"/>
        <v>0.99434712973402029</v>
      </c>
      <c r="P50" s="366">
        <f t="shared" si="16"/>
        <v>0.99378184270742231</v>
      </c>
      <c r="Q50" s="366">
        <f t="shared" si="16"/>
        <v>0.99321655568082434</v>
      </c>
      <c r="R50" s="366">
        <f t="shared" si="16"/>
        <v>0.99265126865422637</v>
      </c>
      <c r="S50" s="366">
        <f t="shared" si="16"/>
        <v>0.9920859816276284</v>
      </c>
      <c r="T50" s="366">
        <f t="shared" si="16"/>
        <v>0.99152069460103043</v>
      </c>
      <c r="U50" s="366">
        <f t="shared" si="16"/>
        <v>0.99095540757443246</v>
      </c>
      <c r="V50" s="366">
        <f t="shared" si="16"/>
        <v>0.99039012054783448</v>
      </c>
      <c r="W50" s="366">
        <f t="shared" si="16"/>
        <v>0.98982483352123651</v>
      </c>
      <c r="X50" s="366">
        <f t="shared" si="16"/>
        <v>0.98925954649463854</v>
      </c>
      <c r="Y50" s="366">
        <f t="shared" si="16"/>
        <v>0.98869425946804057</v>
      </c>
      <c r="Z50" s="366">
        <f t="shared" si="16"/>
        <v>0.9881289724414426</v>
      </c>
      <c r="AA50" s="366">
        <f t="shared" si="16"/>
        <v>0.98756368541484463</v>
      </c>
      <c r="AB50" s="366">
        <f t="shared" si="16"/>
        <v>0.98699839838824666</v>
      </c>
      <c r="AC50" s="366">
        <f t="shared" ref="AC50:AH50" si="17">-($E50-$AI50)/30+AB50</f>
        <v>0.98643311136164868</v>
      </c>
      <c r="AD50" s="366">
        <f t="shared" si="17"/>
        <v>0.98586782433505071</v>
      </c>
      <c r="AE50" s="366">
        <f t="shared" si="17"/>
        <v>0.98530253730845274</v>
      </c>
      <c r="AF50" s="366">
        <f t="shared" si="17"/>
        <v>0.98473725028185477</v>
      </c>
      <c r="AG50" s="366">
        <f t="shared" si="17"/>
        <v>0.9841719632552568</v>
      </c>
      <c r="AH50" s="366">
        <f t="shared" si="17"/>
        <v>0.98360667622865883</v>
      </c>
      <c r="AI50" s="366">
        <f>N11</f>
        <v>0.98304138920206086</v>
      </c>
    </row>
    <row r="51" spans="1:35">
      <c r="A51" s="260"/>
      <c r="B51" t="s">
        <v>21</v>
      </c>
      <c r="C51" t="s">
        <v>743</v>
      </c>
      <c r="D51" t="s">
        <v>35</v>
      </c>
      <c r="E51" s="148">
        <f>E9</f>
        <v>0</v>
      </c>
      <c r="F51" s="148">
        <f t="shared" ref="F51:AH55" si="18">-($E51-$AI51)/30+E51</f>
        <v>0</v>
      </c>
      <c r="G51" s="148">
        <f t="shared" si="18"/>
        <v>0</v>
      </c>
      <c r="H51" s="148">
        <f t="shared" si="18"/>
        <v>0</v>
      </c>
      <c r="I51" s="148">
        <f t="shared" si="18"/>
        <v>0</v>
      </c>
      <c r="J51" s="148">
        <f t="shared" si="18"/>
        <v>0</v>
      </c>
      <c r="K51" s="148">
        <f t="shared" si="18"/>
        <v>0</v>
      </c>
      <c r="L51" s="148">
        <f t="shared" si="18"/>
        <v>0</v>
      </c>
      <c r="M51" s="148">
        <f t="shared" si="18"/>
        <v>0</v>
      </c>
      <c r="N51" s="148">
        <f t="shared" si="18"/>
        <v>0</v>
      </c>
      <c r="O51" s="148">
        <f t="shared" si="18"/>
        <v>0</v>
      </c>
      <c r="P51" s="148">
        <f t="shared" si="18"/>
        <v>0</v>
      </c>
      <c r="Q51" s="148">
        <f t="shared" si="18"/>
        <v>0</v>
      </c>
      <c r="R51" s="148">
        <f t="shared" si="18"/>
        <v>0</v>
      </c>
      <c r="S51" s="148">
        <f t="shared" si="18"/>
        <v>0</v>
      </c>
      <c r="T51" s="148">
        <f t="shared" si="18"/>
        <v>0</v>
      </c>
      <c r="U51" s="148">
        <f t="shared" si="18"/>
        <v>0</v>
      </c>
      <c r="V51" s="148">
        <f t="shared" si="18"/>
        <v>0</v>
      </c>
      <c r="W51" s="148">
        <f t="shared" si="18"/>
        <v>0</v>
      </c>
      <c r="X51" s="148">
        <f t="shared" si="18"/>
        <v>0</v>
      </c>
      <c r="Y51" s="148">
        <f t="shared" si="18"/>
        <v>0</v>
      </c>
      <c r="Z51" s="148">
        <f t="shared" si="18"/>
        <v>0</v>
      </c>
      <c r="AA51" s="148">
        <f t="shared" si="18"/>
        <v>0</v>
      </c>
      <c r="AB51" s="148">
        <f t="shared" si="18"/>
        <v>0</v>
      </c>
      <c r="AC51" s="148">
        <f t="shared" si="18"/>
        <v>0</v>
      </c>
      <c r="AD51" s="148">
        <f t="shared" si="18"/>
        <v>0</v>
      </c>
      <c r="AE51" s="148">
        <f t="shared" si="18"/>
        <v>0</v>
      </c>
      <c r="AF51" s="148">
        <f t="shared" si="18"/>
        <v>0</v>
      </c>
      <c r="AG51" s="148">
        <f t="shared" si="18"/>
        <v>0</v>
      </c>
      <c r="AH51" s="148">
        <f t="shared" si="18"/>
        <v>0</v>
      </c>
      <c r="AI51" s="148">
        <f>O9</f>
        <v>0</v>
      </c>
    </row>
    <row r="52" spans="1:35">
      <c r="A52" s="260"/>
      <c r="B52" t="s">
        <v>21</v>
      </c>
      <c r="D52" t="s">
        <v>160</v>
      </c>
      <c r="E52" s="148">
        <f>E10</f>
        <v>0</v>
      </c>
      <c r="F52" s="148">
        <f t="shared" si="18"/>
        <v>5.6528702659797039E-4</v>
      </c>
      <c r="G52" s="148">
        <f t="shared" si="18"/>
        <v>1.1305740531959408E-3</v>
      </c>
      <c r="H52" s="148">
        <f t="shared" si="18"/>
        <v>1.6958610797939112E-3</v>
      </c>
      <c r="I52" s="148">
        <f t="shared" si="18"/>
        <v>2.2611481063918816E-3</v>
      </c>
      <c r="J52" s="148">
        <f t="shared" si="18"/>
        <v>2.8264351329898522E-3</v>
      </c>
      <c r="K52" s="148">
        <f t="shared" si="18"/>
        <v>3.3917221595878228E-3</v>
      </c>
      <c r="L52" s="148">
        <f t="shared" si="18"/>
        <v>3.9570091861857934E-3</v>
      </c>
      <c r="M52" s="148">
        <f t="shared" si="18"/>
        <v>4.522296212783764E-3</v>
      </c>
      <c r="N52" s="148">
        <f t="shared" si="18"/>
        <v>5.0875832393817346E-3</v>
      </c>
      <c r="O52" s="148">
        <f t="shared" si="18"/>
        <v>5.6528702659797052E-3</v>
      </c>
      <c r="P52" s="148">
        <f t="shared" si="18"/>
        <v>6.2181572925776758E-3</v>
      </c>
      <c r="Q52" s="148">
        <f t="shared" si="18"/>
        <v>6.7834443191756464E-3</v>
      </c>
      <c r="R52" s="148">
        <f t="shared" si="18"/>
        <v>7.348731345773617E-3</v>
      </c>
      <c r="S52" s="148">
        <f t="shared" si="18"/>
        <v>7.9140183723715868E-3</v>
      </c>
      <c r="T52" s="148">
        <f t="shared" si="18"/>
        <v>8.4793053989695565E-3</v>
      </c>
      <c r="U52" s="148">
        <f t="shared" si="18"/>
        <v>9.0445924255675263E-3</v>
      </c>
      <c r="V52" s="148">
        <f t="shared" si="18"/>
        <v>9.609879452165496E-3</v>
      </c>
      <c r="W52" s="148">
        <f t="shared" si="18"/>
        <v>1.0175166478763466E-2</v>
      </c>
      <c r="X52" s="148">
        <f t="shared" si="18"/>
        <v>1.0740453505361435E-2</v>
      </c>
      <c r="Y52" s="148">
        <f t="shared" si="18"/>
        <v>1.1305740531959405E-2</v>
      </c>
      <c r="Z52" s="148">
        <f t="shared" si="18"/>
        <v>1.1871027558557375E-2</v>
      </c>
      <c r="AA52" s="148">
        <f t="shared" si="18"/>
        <v>1.2436314585155345E-2</v>
      </c>
      <c r="AB52" s="148">
        <f t="shared" si="18"/>
        <v>1.3001601611753314E-2</v>
      </c>
      <c r="AC52" s="148">
        <f t="shared" si="18"/>
        <v>1.3566888638351284E-2</v>
      </c>
      <c r="AD52" s="148">
        <f t="shared" si="18"/>
        <v>1.4132175664949254E-2</v>
      </c>
      <c r="AE52" s="148">
        <f t="shared" si="18"/>
        <v>1.4697462691547224E-2</v>
      </c>
      <c r="AF52" s="148">
        <f t="shared" si="18"/>
        <v>1.5262749718145193E-2</v>
      </c>
      <c r="AG52" s="148">
        <f t="shared" si="18"/>
        <v>1.5828036744743163E-2</v>
      </c>
      <c r="AH52" s="148">
        <f t="shared" si="18"/>
        <v>1.6393323771341135E-2</v>
      </c>
      <c r="AI52" s="148">
        <f>O10</f>
        <v>1.6958610797939113E-2</v>
      </c>
    </row>
    <row r="53" spans="1:35">
      <c r="A53" s="260"/>
      <c r="B53" t="s">
        <v>21</v>
      </c>
      <c r="D53" t="s">
        <v>27</v>
      </c>
      <c r="E53" s="148">
        <f>E11</f>
        <v>1</v>
      </c>
      <c r="F53" s="148">
        <f t="shared" si="18"/>
        <v>0.99943471297340203</v>
      </c>
      <c r="G53" s="148">
        <f t="shared" si="18"/>
        <v>0.99886942594680406</v>
      </c>
      <c r="H53" s="148">
        <f t="shared" si="18"/>
        <v>0.99830413892020609</v>
      </c>
      <c r="I53" s="148">
        <f t="shared" si="18"/>
        <v>0.99773885189360811</v>
      </c>
      <c r="J53" s="148">
        <f t="shared" si="18"/>
        <v>0.99717356486701014</v>
      </c>
      <c r="K53" s="148">
        <f t="shared" si="18"/>
        <v>0.99660827784041217</v>
      </c>
      <c r="L53" s="148">
        <f t="shared" si="18"/>
        <v>0.9960429908138142</v>
      </c>
      <c r="M53" s="148">
        <f t="shared" si="18"/>
        <v>0.99547770378721623</v>
      </c>
      <c r="N53" s="148">
        <f t="shared" si="18"/>
        <v>0.99491241676061826</v>
      </c>
      <c r="O53" s="148">
        <f t="shared" si="18"/>
        <v>0.99434712973402029</v>
      </c>
      <c r="P53" s="148">
        <f t="shared" si="18"/>
        <v>0.99378184270742231</v>
      </c>
      <c r="Q53" s="148">
        <f t="shared" si="18"/>
        <v>0.99321655568082434</v>
      </c>
      <c r="R53" s="148">
        <f t="shared" si="18"/>
        <v>0.99265126865422637</v>
      </c>
      <c r="S53" s="148">
        <f t="shared" si="18"/>
        <v>0.9920859816276284</v>
      </c>
      <c r="T53" s="148">
        <f t="shared" si="18"/>
        <v>0.99152069460103043</v>
      </c>
      <c r="U53" s="148">
        <f t="shared" si="18"/>
        <v>0.99095540757443246</v>
      </c>
      <c r="V53" s="148">
        <f t="shared" si="18"/>
        <v>0.99039012054783448</v>
      </c>
      <c r="W53" s="148">
        <f t="shared" si="18"/>
        <v>0.98982483352123651</v>
      </c>
      <c r="X53" s="148">
        <f t="shared" si="18"/>
        <v>0.98925954649463854</v>
      </c>
      <c r="Y53" s="148">
        <f t="shared" si="18"/>
        <v>0.98869425946804057</v>
      </c>
      <c r="Z53" s="148">
        <f t="shared" si="18"/>
        <v>0.9881289724414426</v>
      </c>
      <c r="AA53" s="148">
        <f t="shared" si="18"/>
        <v>0.98756368541484463</v>
      </c>
      <c r="AB53" s="148">
        <f t="shared" si="18"/>
        <v>0.98699839838824666</v>
      </c>
      <c r="AC53" s="148">
        <f t="shared" si="18"/>
        <v>0.98643311136164868</v>
      </c>
      <c r="AD53" s="148">
        <f t="shared" si="18"/>
        <v>0.98586782433505071</v>
      </c>
      <c r="AE53" s="148">
        <f t="shared" si="18"/>
        <v>0.98530253730845274</v>
      </c>
      <c r="AF53" s="148">
        <f t="shared" si="18"/>
        <v>0.98473725028185477</v>
      </c>
      <c r="AG53" s="148">
        <f t="shared" si="18"/>
        <v>0.9841719632552568</v>
      </c>
      <c r="AH53" s="148">
        <f t="shared" si="18"/>
        <v>0.98360667622865883</v>
      </c>
      <c r="AI53" s="148">
        <f>O11</f>
        <v>0.98304138920206086</v>
      </c>
    </row>
    <row r="54" spans="1:35" s="61" customFormat="1">
      <c r="A54" s="257"/>
      <c r="B54" s="61" t="s">
        <v>21</v>
      </c>
      <c r="C54" s="61" t="s">
        <v>744</v>
      </c>
      <c r="D54" t="s">
        <v>35</v>
      </c>
      <c r="E54" s="175">
        <f>F9</f>
        <v>0</v>
      </c>
      <c r="F54" s="175">
        <f t="shared" si="18"/>
        <v>0</v>
      </c>
      <c r="G54" s="175">
        <f t="shared" si="18"/>
        <v>0</v>
      </c>
      <c r="H54" s="175">
        <f t="shared" si="18"/>
        <v>0</v>
      </c>
      <c r="I54" s="175">
        <f t="shared" si="18"/>
        <v>0</v>
      </c>
      <c r="J54" s="175">
        <f t="shared" si="18"/>
        <v>0</v>
      </c>
      <c r="K54" s="175">
        <f t="shared" si="18"/>
        <v>0</v>
      </c>
      <c r="L54" s="175">
        <f t="shared" si="18"/>
        <v>0</v>
      </c>
      <c r="M54" s="175">
        <f t="shared" si="18"/>
        <v>0</v>
      </c>
      <c r="N54" s="175">
        <f t="shared" si="18"/>
        <v>0</v>
      </c>
      <c r="O54" s="175">
        <f t="shared" si="18"/>
        <v>0</v>
      </c>
      <c r="P54" s="175">
        <f t="shared" si="18"/>
        <v>0</v>
      </c>
      <c r="Q54" s="175">
        <f t="shared" si="18"/>
        <v>0</v>
      </c>
      <c r="R54" s="175">
        <f t="shared" si="18"/>
        <v>0</v>
      </c>
      <c r="S54" s="175">
        <f t="shared" si="18"/>
        <v>0</v>
      </c>
      <c r="T54" s="175">
        <f t="shared" si="18"/>
        <v>0</v>
      </c>
      <c r="U54" s="175">
        <f t="shared" si="18"/>
        <v>0</v>
      </c>
      <c r="V54" s="175">
        <f t="shared" si="18"/>
        <v>0</v>
      </c>
      <c r="W54" s="175">
        <f t="shared" si="18"/>
        <v>0</v>
      </c>
      <c r="X54" s="175">
        <f t="shared" si="18"/>
        <v>0</v>
      </c>
      <c r="Y54" s="175">
        <f t="shared" si="18"/>
        <v>0</v>
      </c>
      <c r="Z54" s="175">
        <f t="shared" si="18"/>
        <v>0</v>
      </c>
      <c r="AA54" s="175">
        <f t="shared" si="18"/>
        <v>0</v>
      </c>
      <c r="AB54" s="175">
        <f t="shared" si="18"/>
        <v>0</v>
      </c>
      <c r="AC54" s="175">
        <f t="shared" si="18"/>
        <v>0</v>
      </c>
      <c r="AD54" s="175">
        <f t="shared" si="18"/>
        <v>0</v>
      </c>
      <c r="AE54" s="175">
        <f t="shared" si="18"/>
        <v>0</v>
      </c>
      <c r="AF54" s="175">
        <f t="shared" si="18"/>
        <v>0</v>
      </c>
      <c r="AG54" s="175">
        <f t="shared" si="18"/>
        <v>0</v>
      </c>
      <c r="AH54" s="175">
        <f t="shared" si="18"/>
        <v>0</v>
      </c>
      <c r="AI54" s="175">
        <f>P9</f>
        <v>0</v>
      </c>
    </row>
    <row r="55" spans="1:35">
      <c r="A55" s="260"/>
      <c r="B55" t="s">
        <v>21</v>
      </c>
      <c r="D55" t="s">
        <v>160</v>
      </c>
      <c r="E55" s="148">
        <f>F10</f>
        <v>0</v>
      </c>
      <c r="F55" s="148">
        <f t="shared" si="18"/>
        <v>5.6528702659797039E-4</v>
      </c>
      <c r="G55" s="148">
        <f t="shared" si="18"/>
        <v>1.1305740531959408E-3</v>
      </c>
      <c r="H55" s="148">
        <f t="shared" si="18"/>
        <v>1.6958610797939112E-3</v>
      </c>
      <c r="I55" s="148">
        <f t="shared" si="18"/>
        <v>2.2611481063918816E-3</v>
      </c>
      <c r="J55" s="148">
        <f t="shared" si="18"/>
        <v>2.8264351329898522E-3</v>
      </c>
      <c r="K55" s="148">
        <f t="shared" si="18"/>
        <v>3.3917221595878228E-3</v>
      </c>
      <c r="L55" s="148">
        <f t="shared" si="18"/>
        <v>3.9570091861857934E-3</v>
      </c>
      <c r="M55" s="148">
        <f t="shared" si="18"/>
        <v>4.522296212783764E-3</v>
      </c>
      <c r="N55" s="148">
        <f t="shared" si="18"/>
        <v>5.0875832393817346E-3</v>
      </c>
      <c r="O55" s="148">
        <f t="shared" si="18"/>
        <v>5.6528702659797052E-3</v>
      </c>
      <c r="P55" s="148">
        <f t="shared" si="18"/>
        <v>6.2181572925776758E-3</v>
      </c>
      <c r="Q55" s="148">
        <f t="shared" si="18"/>
        <v>6.7834443191756464E-3</v>
      </c>
      <c r="R55" s="148">
        <f t="shared" si="18"/>
        <v>7.348731345773617E-3</v>
      </c>
      <c r="S55" s="148">
        <f t="shared" si="18"/>
        <v>7.9140183723715868E-3</v>
      </c>
      <c r="T55" s="148">
        <f t="shared" si="18"/>
        <v>8.4793053989695565E-3</v>
      </c>
      <c r="U55" s="148">
        <f t="shared" si="18"/>
        <v>9.0445924255675263E-3</v>
      </c>
      <c r="V55" s="148">
        <f t="shared" si="18"/>
        <v>9.609879452165496E-3</v>
      </c>
      <c r="W55" s="148">
        <f t="shared" si="18"/>
        <v>1.0175166478763466E-2</v>
      </c>
      <c r="X55" s="148">
        <f t="shared" si="18"/>
        <v>1.0740453505361435E-2</v>
      </c>
      <c r="Y55" s="148">
        <f t="shared" si="18"/>
        <v>1.1305740531959405E-2</v>
      </c>
      <c r="Z55" s="148">
        <f t="shared" si="18"/>
        <v>1.1871027558557375E-2</v>
      </c>
      <c r="AA55" s="148">
        <f t="shared" si="18"/>
        <v>1.2436314585155345E-2</v>
      </c>
      <c r="AB55" s="148">
        <f t="shared" si="18"/>
        <v>1.3001601611753314E-2</v>
      </c>
      <c r="AC55" s="148">
        <f t="shared" ref="AC55:AH55" si="19">-($E55-$AI55)/30+AB55</f>
        <v>1.3566888638351284E-2</v>
      </c>
      <c r="AD55" s="148">
        <f t="shared" si="19"/>
        <v>1.4132175664949254E-2</v>
      </c>
      <c r="AE55" s="148">
        <f t="shared" si="19"/>
        <v>1.4697462691547224E-2</v>
      </c>
      <c r="AF55" s="148">
        <f t="shared" si="19"/>
        <v>1.5262749718145193E-2</v>
      </c>
      <c r="AG55" s="148">
        <f t="shared" si="19"/>
        <v>1.5828036744743163E-2</v>
      </c>
      <c r="AH55" s="148">
        <f t="shared" si="19"/>
        <v>1.6393323771341135E-2</v>
      </c>
      <c r="AI55" s="148">
        <f>P10</f>
        <v>1.6958610797939113E-2</v>
      </c>
    </row>
    <row r="56" spans="1:35">
      <c r="A56" s="260"/>
      <c r="B56" t="s">
        <v>21</v>
      </c>
      <c r="D56" t="s">
        <v>27</v>
      </c>
      <c r="E56" s="148">
        <f>F11</f>
        <v>1</v>
      </c>
      <c r="F56" s="148">
        <f t="shared" ref="F56:AH60" si="20">-($E56-$AI56)/30+E56</f>
        <v>0.99943471297340203</v>
      </c>
      <c r="G56" s="148">
        <f t="shared" si="20"/>
        <v>0.99886942594680406</v>
      </c>
      <c r="H56" s="148">
        <f t="shared" si="20"/>
        <v>0.99830413892020609</v>
      </c>
      <c r="I56" s="148">
        <f t="shared" si="20"/>
        <v>0.99773885189360811</v>
      </c>
      <c r="J56" s="148">
        <f t="shared" si="20"/>
        <v>0.99717356486701014</v>
      </c>
      <c r="K56" s="148">
        <f t="shared" si="20"/>
        <v>0.99660827784041217</v>
      </c>
      <c r="L56" s="148">
        <f t="shared" si="20"/>
        <v>0.9960429908138142</v>
      </c>
      <c r="M56" s="148">
        <f t="shared" si="20"/>
        <v>0.99547770378721623</v>
      </c>
      <c r="N56" s="148">
        <f t="shared" si="20"/>
        <v>0.99491241676061826</v>
      </c>
      <c r="O56" s="148">
        <f t="shared" si="20"/>
        <v>0.99434712973402029</v>
      </c>
      <c r="P56" s="148">
        <f t="shared" si="20"/>
        <v>0.99378184270742231</v>
      </c>
      <c r="Q56" s="148">
        <f t="shared" si="20"/>
        <v>0.99321655568082434</v>
      </c>
      <c r="R56" s="148">
        <f t="shared" si="20"/>
        <v>0.99265126865422637</v>
      </c>
      <c r="S56" s="148">
        <f t="shared" si="20"/>
        <v>0.9920859816276284</v>
      </c>
      <c r="T56" s="148">
        <f t="shared" si="20"/>
        <v>0.99152069460103043</v>
      </c>
      <c r="U56" s="148">
        <f t="shared" si="20"/>
        <v>0.99095540757443246</v>
      </c>
      <c r="V56" s="148">
        <f t="shared" si="20"/>
        <v>0.99039012054783448</v>
      </c>
      <c r="W56" s="148">
        <f t="shared" si="20"/>
        <v>0.98982483352123651</v>
      </c>
      <c r="X56" s="148">
        <f t="shared" si="20"/>
        <v>0.98925954649463854</v>
      </c>
      <c r="Y56" s="148">
        <f t="shared" si="20"/>
        <v>0.98869425946804057</v>
      </c>
      <c r="Z56" s="148">
        <f t="shared" si="20"/>
        <v>0.9881289724414426</v>
      </c>
      <c r="AA56" s="148">
        <f t="shared" si="20"/>
        <v>0.98756368541484463</v>
      </c>
      <c r="AB56" s="148">
        <f t="shared" si="20"/>
        <v>0.98699839838824666</v>
      </c>
      <c r="AC56" s="148">
        <f t="shared" si="20"/>
        <v>0.98643311136164868</v>
      </c>
      <c r="AD56" s="148">
        <f t="shared" si="20"/>
        <v>0.98586782433505071</v>
      </c>
      <c r="AE56" s="148">
        <f t="shared" si="20"/>
        <v>0.98530253730845274</v>
      </c>
      <c r="AF56" s="148">
        <f t="shared" si="20"/>
        <v>0.98473725028185477</v>
      </c>
      <c r="AG56" s="148">
        <f t="shared" si="20"/>
        <v>0.9841719632552568</v>
      </c>
      <c r="AH56" s="148">
        <f t="shared" si="20"/>
        <v>0.98360667622865883</v>
      </c>
      <c r="AI56" s="148">
        <f>P11</f>
        <v>0.98304138920206086</v>
      </c>
    </row>
    <row r="57" spans="1:35" s="61" customFormat="1">
      <c r="A57" s="257"/>
      <c r="B57" s="61" t="s">
        <v>21</v>
      </c>
      <c r="C57" s="61" t="s">
        <v>738</v>
      </c>
      <c r="D57" t="s">
        <v>35</v>
      </c>
      <c r="E57" s="175">
        <f>G9</f>
        <v>0</v>
      </c>
      <c r="F57" s="175">
        <f t="shared" si="20"/>
        <v>0</v>
      </c>
      <c r="G57" s="175">
        <f t="shared" si="20"/>
        <v>0</v>
      </c>
      <c r="H57" s="175">
        <f t="shared" si="20"/>
        <v>0</v>
      </c>
      <c r="I57" s="175">
        <f t="shared" si="20"/>
        <v>0</v>
      </c>
      <c r="J57" s="175">
        <f t="shared" si="20"/>
        <v>0</v>
      </c>
      <c r="K57" s="175">
        <f t="shared" si="20"/>
        <v>0</v>
      </c>
      <c r="L57" s="175">
        <f t="shared" si="20"/>
        <v>0</v>
      </c>
      <c r="M57" s="175">
        <f t="shared" si="20"/>
        <v>0</v>
      </c>
      <c r="N57" s="175">
        <f t="shared" si="20"/>
        <v>0</v>
      </c>
      <c r="O57" s="175">
        <f t="shared" si="20"/>
        <v>0</v>
      </c>
      <c r="P57" s="175">
        <f t="shared" si="20"/>
        <v>0</v>
      </c>
      <c r="Q57" s="175">
        <f t="shared" si="20"/>
        <v>0</v>
      </c>
      <c r="R57" s="175">
        <f t="shared" si="20"/>
        <v>0</v>
      </c>
      <c r="S57" s="175">
        <f t="shared" si="20"/>
        <v>0</v>
      </c>
      <c r="T57" s="175">
        <f t="shared" si="20"/>
        <v>0</v>
      </c>
      <c r="U57" s="175">
        <f t="shared" si="20"/>
        <v>0</v>
      </c>
      <c r="V57" s="175">
        <f t="shared" si="20"/>
        <v>0</v>
      </c>
      <c r="W57" s="175">
        <f t="shared" si="20"/>
        <v>0</v>
      </c>
      <c r="X57" s="175">
        <f t="shared" si="20"/>
        <v>0</v>
      </c>
      <c r="Y57" s="175">
        <f t="shared" si="20"/>
        <v>0</v>
      </c>
      <c r="Z57" s="175">
        <f t="shared" si="20"/>
        <v>0</v>
      </c>
      <c r="AA57" s="175">
        <f t="shared" si="20"/>
        <v>0</v>
      </c>
      <c r="AB57" s="175">
        <f t="shared" si="20"/>
        <v>0</v>
      </c>
      <c r="AC57" s="175">
        <f t="shared" si="20"/>
        <v>0</v>
      </c>
      <c r="AD57" s="175">
        <f t="shared" si="20"/>
        <v>0</v>
      </c>
      <c r="AE57" s="175">
        <f t="shared" si="20"/>
        <v>0</v>
      </c>
      <c r="AF57" s="175">
        <f t="shared" si="20"/>
        <v>0</v>
      </c>
      <c r="AG57" s="175">
        <f t="shared" si="20"/>
        <v>0</v>
      </c>
      <c r="AH57" s="175">
        <f t="shared" si="20"/>
        <v>0</v>
      </c>
      <c r="AI57" s="175">
        <f>Q9</f>
        <v>0</v>
      </c>
    </row>
    <row r="58" spans="1:35">
      <c r="A58" s="260"/>
      <c r="B58" t="s">
        <v>21</v>
      </c>
      <c r="D58" t="s">
        <v>160</v>
      </c>
      <c r="E58" s="148">
        <f>G10</f>
        <v>0</v>
      </c>
      <c r="F58" s="148">
        <f t="shared" si="20"/>
        <v>5.6528702659797039E-4</v>
      </c>
      <c r="G58" s="148">
        <f t="shared" si="20"/>
        <v>1.1305740531959408E-3</v>
      </c>
      <c r="H58" s="148">
        <f t="shared" si="20"/>
        <v>1.6958610797939112E-3</v>
      </c>
      <c r="I58" s="148">
        <f t="shared" si="20"/>
        <v>2.2611481063918816E-3</v>
      </c>
      <c r="J58" s="148">
        <f t="shared" si="20"/>
        <v>2.8264351329898522E-3</v>
      </c>
      <c r="K58" s="148">
        <f t="shared" si="20"/>
        <v>3.3917221595878228E-3</v>
      </c>
      <c r="L58" s="148">
        <f t="shared" si="20"/>
        <v>3.9570091861857934E-3</v>
      </c>
      <c r="M58" s="148">
        <f t="shared" si="20"/>
        <v>4.522296212783764E-3</v>
      </c>
      <c r="N58" s="148">
        <f t="shared" si="20"/>
        <v>5.0875832393817346E-3</v>
      </c>
      <c r="O58" s="148">
        <f t="shared" si="20"/>
        <v>5.6528702659797052E-3</v>
      </c>
      <c r="P58" s="148">
        <f t="shared" si="20"/>
        <v>6.2181572925776758E-3</v>
      </c>
      <c r="Q58" s="148">
        <f t="shared" si="20"/>
        <v>6.7834443191756464E-3</v>
      </c>
      <c r="R58" s="148">
        <f t="shared" si="20"/>
        <v>7.348731345773617E-3</v>
      </c>
      <c r="S58" s="148">
        <f t="shared" si="20"/>
        <v>7.9140183723715868E-3</v>
      </c>
      <c r="T58" s="148">
        <f t="shared" si="20"/>
        <v>8.4793053989695565E-3</v>
      </c>
      <c r="U58" s="148">
        <f t="shared" si="20"/>
        <v>9.0445924255675263E-3</v>
      </c>
      <c r="V58" s="148">
        <f t="shared" si="20"/>
        <v>9.609879452165496E-3</v>
      </c>
      <c r="W58" s="148">
        <f t="shared" si="20"/>
        <v>1.0175166478763466E-2</v>
      </c>
      <c r="X58" s="148">
        <f t="shared" si="20"/>
        <v>1.0740453505361435E-2</v>
      </c>
      <c r="Y58" s="148">
        <f t="shared" si="20"/>
        <v>1.1305740531959405E-2</v>
      </c>
      <c r="Z58" s="148">
        <f t="shared" si="20"/>
        <v>1.1871027558557375E-2</v>
      </c>
      <c r="AA58" s="148">
        <f t="shared" si="20"/>
        <v>1.2436314585155345E-2</v>
      </c>
      <c r="AB58" s="148">
        <f t="shared" si="20"/>
        <v>1.3001601611753314E-2</v>
      </c>
      <c r="AC58" s="148">
        <f t="shared" si="20"/>
        <v>1.3566888638351284E-2</v>
      </c>
      <c r="AD58" s="148">
        <f t="shared" si="20"/>
        <v>1.4132175664949254E-2</v>
      </c>
      <c r="AE58" s="148">
        <f t="shared" si="20"/>
        <v>1.4697462691547224E-2</v>
      </c>
      <c r="AF58" s="148">
        <f t="shared" si="20"/>
        <v>1.5262749718145193E-2</v>
      </c>
      <c r="AG58" s="148">
        <f t="shared" si="20"/>
        <v>1.5828036744743163E-2</v>
      </c>
      <c r="AH58" s="148">
        <f t="shared" si="20"/>
        <v>1.6393323771341135E-2</v>
      </c>
      <c r="AI58" s="148">
        <f>Q10</f>
        <v>1.6958610797939113E-2</v>
      </c>
    </row>
    <row r="59" spans="1:35">
      <c r="A59" s="260"/>
      <c r="B59" t="s">
        <v>21</v>
      </c>
      <c r="D59" t="s">
        <v>27</v>
      </c>
      <c r="E59" s="148">
        <f>G11</f>
        <v>1</v>
      </c>
      <c r="F59" s="148">
        <f t="shared" si="20"/>
        <v>0.99943471297340203</v>
      </c>
      <c r="G59" s="148">
        <f t="shared" si="20"/>
        <v>0.99886942594680406</v>
      </c>
      <c r="H59" s="148">
        <f t="shared" si="20"/>
        <v>0.99830413892020609</v>
      </c>
      <c r="I59" s="148">
        <f t="shared" si="20"/>
        <v>0.99773885189360811</v>
      </c>
      <c r="J59" s="148">
        <f t="shared" si="20"/>
        <v>0.99717356486701014</v>
      </c>
      <c r="K59" s="148">
        <f t="shared" si="20"/>
        <v>0.99660827784041217</v>
      </c>
      <c r="L59" s="148">
        <f t="shared" si="20"/>
        <v>0.9960429908138142</v>
      </c>
      <c r="M59" s="148">
        <f t="shared" si="20"/>
        <v>0.99547770378721623</v>
      </c>
      <c r="N59" s="148">
        <f t="shared" si="20"/>
        <v>0.99491241676061826</v>
      </c>
      <c r="O59" s="148">
        <f t="shared" si="20"/>
        <v>0.99434712973402029</v>
      </c>
      <c r="P59" s="148">
        <f t="shared" si="20"/>
        <v>0.99378184270742231</v>
      </c>
      <c r="Q59" s="148">
        <f t="shared" si="20"/>
        <v>0.99321655568082434</v>
      </c>
      <c r="R59" s="148">
        <f t="shared" si="20"/>
        <v>0.99265126865422637</v>
      </c>
      <c r="S59" s="148">
        <f t="shared" si="20"/>
        <v>0.9920859816276284</v>
      </c>
      <c r="T59" s="148">
        <f t="shared" si="20"/>
        <v>0.99152069460103043</v>
      </c>
      <c r="U59" s="148">
        <f t="shared" si="20"/>
        <v>0.99095540757443246</v>
      </c>
      <c r="V59" s="148">
        <f t="shared" si="20"/>
        <v>0.99039012054783448</v>
      </c>
      <c r="W59" s="148">
        <f t="shared" si="20"/>
        <v>0.98982483352123651</v>
      </c>
      <c r="X59" s="148">
        <f t="shared" si="20"/>
        <v>0.98925954649463854</v>
      </c>
      <c r="Y59" s="148">
        <f t="shared" si="20"/>
        <v>0.98869425946804057</v>
      </c>
      <c r="Z59" s="148">
        <f t="shared" si="20"/>
        <v>0.9881289724414426</v>
      </c>
      <c r="AA59" s="148">
        <f t="shared" si="20"/>
        <v>0.98756368541484463</v>
      </c>
      <c r="AB59" s="148">
        <f t="shared" si="20"/>
        <v>0.98699839838824666</v>
      </c>
      <c r="AC59" s="148">
        <f t="shared" si="20"/>
        <v>0.98643311136164868</v>
      </c>
      <c r="AD59" s="148">
        <f t="shared" si="20"/>
        <v>0.98586782433505071</v>
      </c>
      <c r="AE59" s="148">
        <f t="shared" si="20"/>
        <v>0.98530253730845274</v>
      </c>
      <c r="AF59" s="148">
        <f t="shared" si="20"/>
        <v>0.98473725028185477</v>
      </c>
      <c r="AG59" s="148">
        <f t="shared" si="20"/>
        <v>0.9841719632552568</v>
      </c>
      <c r="AH59" s="148">
        <f t="shared" si="20"/>
        <v>0.98360667622865883</v>
      </c>
      <c r="AI59" s="148">
        <f>Q11</f>
        <v>0.98304138920206086</v>
      </c>
    </row>
    <row r="60" spans="1:35" s="61" customFormat="1">
      <c r="A60" s="257"/>
      <c r="B60" s="61" t="s">
        <v>53</v>
      </c>
      <c r="C60" s="61" t="s">
        <v>735</v>
      </c>
      <c r="D60" t="s">
        <v>35</v>
      </c>
      <c r="E60" s="175">
        <f>D15</f>
        <v>0</v>
      </c>
      <c r="F60" s="175">
        <f t="shared" si="20"/>
        <v>1.1611040409846242E-2</v>
      </c>
      <c r="G60" s="175">
        <f t="shared" si="20"/>
        <v>2.3222080819692483E-2</v>
      </c>
      <c r="H60" s="175">
        <f t="shared" si="20"/>
        <v>3.4833121229538723E-2</v>
      </c>
      <c r="I60" s="175">
        <f t="shared" si="20"/>
        <v>4.6444161639384966E-2</v>
      </c>
      <c r="J60" s="175">
        <f t="shared" si="20"/>
        <v>5.805520204923121E-2</v>
      </c>
      <c r="K60" s="175">
        <f t="shared" si="20"/>
        <v>6.9666242459077446E-2</v>
      </c>
      <c r="L60" s="175">
        <f t="shared" si="20"/>
        <v>8.1277282868923689E-2</v>
      </c>
      <c r="M60" s="175">
        <f t="shared" si="20"/>
        <v>9.2888323278769933E-2</v>
      </c>
      <c r="N60" s="175">
        <f t="shared" si="20"/>
        <v>0.10449936368861618</v>
      </c>
      <c r="O60" s="175">
        <f t="shared" si="20"/>
        <v>0.11611040409846242</v>
      </c>
      <c r="P60" s="175">
        <f t="shared" si="20"/>
        <v>0.12772144450830866</v>
      </c>
      <c r="Q60" s="175">
        <f t="shared" si="20"/>
        <v>0.13933248491815489</v>
      </c>
      <c r="R60" s="175">
        <f t="shared" si="20"/>
        <v>0.15094352532800112</v>
      </c>
      <c r="S60" s="175">
        <f t="shared" si="20"/>
        <v>0.16255456573784735</v>
      </c>
      <c r="T60" s="175">
        <f t="shared" si="20"/>
        <v>0.17416560614769358</v>
      </c>
      <c r="U60" s="175">
        <f t="shared" si="20"/>
        <v>0.18577664655753981</v>
      </c>
      <c r="V60" s="175">
        <f t="shared" si="20"/>
        <v>0.19738768696738604</v>
      </c>
      <c r="W60" s="175">
        <f t="shared" si="20"/>
        <v>0.20899872737723227</v>
      </c>
      <c r="X60" s="175">
        <f t="shared" si="20"/>
        <v>0.2206097677870785</v>
      </c>
      <c r="Y60" s="175">
        <f t="shared" si="20"/>
        <v>0.23222080819692473</v>
      </c>
      <c r="Z60" s="175">
        <f t="shared" si="20"/>
        <v>0.24383184860677096</v>
      </c>
      <c r="AA60" s="175">
        <f t="shared" si="20"/>
        <v>0.25544288901661721</v>
      </c>
      <c r="AB60" s="175">
        <f t="shared" si="20"/>
        <v>0.26705392942646344</v>
      </c>
      <c r="AC60" s="175">
        <f t="shared" ref="AC60:AH60" si="21">-($E60-$AI60)/30+AB60</f>
        <v>0.27866496983630967</v>
      </c>
      <c r="AD60" s="175">
        <f t="shared" si="21"/>
        <v>0.2902760102461559</v>
      </c>
      <c r="AE60" s="175">
        <f t="shared" si="21"/>
        <v>0.30188705065600213</v>
      </c>
      <c r="AF60" s="175">
        <f t="shared" si="21"/>
        <v>0.31349809106584836</v>
      </c>
      <c r="AG60" s="175">
        <f t="shared" si="21"/>
        <v>0.32510913147569459</v>
      </c>
      <c r="AH60" s="175">
        <f t="shared" si="21"/>
        <v>0.33672017188554082</v>
      </c>
      <c r="AI60" s="175">
        <f>N15</f>
        <v>0.34833121229538727</v>
      </c>
    </row>
    <row r="61" spans="1:35">
      <c r="A61" s="260"/>
      <c r="B61" t="s">
        <v>53</v>
      </c>
      <c r="D61" t="s">
        <v>160</v>
      </c>
      <c r="E61" s="148">
        <f>D16</f>
        <v>0</v>
      </c>
      <c r="F61" s="148">
        <f t="shared" ref="F61:AH65" si="22">-($E61-$AI61)/30+E61</f>
        <v>0</v>
      </c>
      <c r="G61" s="148">
        <f t="shared" si="22"/>
        <v>0</v>
      </c>
      <c r="H61" s="148">
        <f t="shared" si="22"/>
        <v>0</v>
      </c>
      <c r="I61" s="148">
        <f t="shared" si="22"/>
        <v>0</v>
      </c>
      <c r="J61" s="148">
        <f t="shared" si="22"/>
        <v>0</v>
      </c>
      <c r="K61" s="148">
        <f t="shared" si="22"/>
        <v>0</v>
      </c>
      <c r="L61" s="148">
        <f t="shared" si="22"/>
        <v>0</v>
      </c>
      <c r="M61" s="148">
        <f t="shared" si="22"/>
        <v>0</v>
      </c>
      <c r="N61" s="148">
        <f t="shared" si="22"/>
        <v>0</v>
      </c>
      <c r="O61" s="148">
        <f t="shared" si="22"/>
        <v>0</v>
      </c>
      <c r="P61" s="148">
        <f t="shared" si="22"/>
        <v>0</v>
      </c>
      <c r="Q61" s="148">
        <f t="shared" si="22"/>
        <v>0</v>
      </c>
      <c r="R61" s="148">
        <f t="shared" si="22"/>
        <v>0</v>
      </c>
      <c r="S61" s="148">
        <f t="shared" si="22"/>
        <v>0</v>
      </c>
      <c r="T61" s="148">
        <f t="shared" si="22"/>
        <v>0</v>
      </c>
      <c r="U61" s="148">
        <f t="shared" si="22"/>
        <v>0</v>
      </c>
      <c r="V61" s="148">
        <f t="shared" si="22"/>
        <v>0</v>
      </c>
      <c r="W61" s="148">
        <f t="shared" si="22"/>
        <v>0</v>
      </c>
      <c r="X61" s="148">
        <f t="shared" si="22"/>
        <v>0</v>
      </c>
      <c r="Y61" s="148">
        <f t="shared" si="22"/>
        <v>0</v>
      </c>
      <c r="Z61" s="148">
        <f t="shared" si="22"/>
        <v>0</v>
      </c>
      <c r="AA61" s="148">
        <f t="shared" si="22"/>
        <v>0</v>
      </c>
      <c r="AB61" s="148">
        <f t="shared" si="22"/>
        <v>0</v>
      </c>
      <c r="AC61" s="148">
        <f t="shared" si="22"/>
        <v>0</v>
      </c>
      <c r="AD61" s="148">
        <f t="shared" si="22"/>
        <v>0</v>
      </c>
      <c r="AE61" s="148">
        <f t="shared" si="22"/>
        <v>0</v>
      </c>
      <c r="AF61" s="148">
        <f t="shared" si="22"/>
        <v>0</v>
      </c>
      <c r="AG61" s="148">
        <f t="shared" si="22"/>
        <v>0</v>
      </c>
      <c r="AH61" s="148">
        <f t="shared" si="22"/>
        <v>0</v>
      </c>
      <c r="AI61" s="148">
        <f>N16</f>
        <v>0</v>
      </c>
    </row>
    <row r="62" spans="1:35">
      <c r="A62" s="260"/>
      <c r="B62" t="s">
        <v>53</v>
      </c>
      <c r="D62" t="s">
        <v>27</v>
      </c>
      <c r="E62" s="148">
        <f>D17</f>
        <v>0</v>
      </c>
      <c r="F62" s="148">
        <f t="shared" si="22"/>
        <v>2.1722292923487093E-2</v>
      </c>
      <c r="G62" s="148">
        <f t="shared" si="22"/>
        <v>4.3444585846974186E-2</v>
      </c>
      <c r="H62" s="148">
        <f t="shared" si="22"/>
        <v>6.5166878770461276E-2</v>
      </c>
      <c r="I62" s="148">
        <f t="shared" si="22"/>
        <v>8.6889171693948372E-2</v>
      </c>
      <c r="J62" s="148">
        <f t="shared" si="22"/>
        <v>0.10861146461743547</v>
      </c>
      <c r="K62" s="148">
        <f t="shared" si="22"/>
        <v>0.13033375754092255</v>
      </c>
      <c r="L62" s="148">
        <f t="shared" si="22"/>
        <v>0.15205605046440965</v>
      </c>
      <c r="M62" s="148">
        <f t="shared" si="22"/>
        <v>0.17377834338789674</v>
      </c>
      <c r="N62" s="148">
        <f t="shared" si="22"/>
        <v>0.19550063631138384</v>
      </c>
      <c r="O62" s="148">
        <f t="shared" si="22"/>
        <v>0.21722292923487094</v>
      </c>
      <c r="P62" s="148">
        <f t="shared" si="22"/>
        <v>0.23894522215835803</v>
      </c>
      <c r="Q62" s="148">
        <f t="shared" si="22"/>
        <v>0.2606675150818451</v>
      </c>
      <c r="R62" s="148">
        <f t="shared" si="22"/>
        <v>0.2823898080053322</v>
      </c>
      <c r="S62" s="148">
        <f t="shared" si="22"/>
        <v>0.3041121009288193</v>
      </c>
      <c r="T62" s="148">
        <f t="shared" si="22"/>
        <v>0.32583439385230639</v>
      </c>
      <c r="U62" s="148">
        <f t="shared" si="22"/>
        <v>0.34755668677579349</v>
      </c>
      <c r="V62" s="148">
        <f t="shared" si="22"/>
        <v>0.36927897969928059</v>
      </c>
      <c r="W62" s="148">
        <f t="shared" si="22"/>
        <v>0.39100127262276768</v>
      </c>
      <c r="X62" s="148">
        <f t="shared" si="22"/>
        <v>0.41272356554625478</v>
      </c>
      <c r="Y62" s="148">
        <f t="shared" si="22"/>
        <v>0.43444585846974187</v>
      </c>
      <c r="Z62" s="148">
        <f t="shared" si="22"/>
        <v>0.45616815139322897</v>
      </c>
      <c r="AA62" s="148">
        <f t="shared" si="22"/>
        <v>0.47789044431671607</v>
      </c>
      <c r="AB62" s="148">
        <f t="shared" si="22"/>
        <v>0.49961273724020316</v>
      </c>
      <c r="AC62" s="148">
        <f t="shared" si="22"/>
        <v>0.52133503016369021</v>
      </c>
      <c r="AD62" s="148">
        <f t="shared" si="22"/>
        <v>0.54305732308717725</v>
      </c>
      <c r="AE62" s="148">
        <f t="shared" si="22"/>
        <v>0.56477961601066429</v>
      </c>
      <c r="AF62" s="148">
        <f t="shared" si="22"/>
        <v>0.58650190893415133</v>
      </c>
      <c r="AG62" s="148">
        <f t="shared" si="22"/>
        <v>0.60822420185763837</v>
      </c>
      <c r="AH62" s="148">
        <f t="shared" si="22"/>
        <v>0.62994649478112541</v>
      </c>
      <c r="AI62" s="148">
        <f>N17</f>
        <v>0.65166878770461278</v>
      </c>
    </row>
    <row r="63" spans="1:35" s="61" customFormat="1">
      <c r="A63" s="257"/>
      <c r="B63" s="61" t="s">
        <v>53</v>
      </c>
      <c r="C63" s="61" t="s">
        <v>737</v>
      </c>
      <c r="D63" t="s">
        <v>35</v>
      </c>
      <c r="E63" s="175">
        <f>E15</f>
        <v>0</v>
      </c>
      <c r="F63" s="175">
        <f t="shared" si="22"/>
        <v>1.1611040409846242E-2</v>
      </c>
      <c r="G63" s="175">
        <f t="shared" si="22"/>
        <v>2.3222080819692483E-2</v>
      </c>
      <c r="H63" s="175">
        <f t="shared" si="22"/>
        <v>3.4833121229538723E-2</v>
      </c>
      <c r="I63" s="175">
        <f t="shared" si="22"/>
        <v>4.6444161639384966E-2</v>
      </c>
      <c r="J63" s="175">
        <f t="shared" si="22"/>
        <v>5.805520204923121E-2</v>
      </c>
      <c r="K63" s="175">
        <f t="shared" si="22"/>
        <v>6.9666242459077446E-2</v>
      </c>
      <c r="L63" s="175">
        <f t="shared" si="22"/>
        <v>8.1277282868923689E-2</v>
      </c>
      <c r="M63" s="175">
        <f t="shared" si="22"/>
        <v>9.2888323278769933E-2</v>
      </c>
      <c r="N63" s="175">
        <f t="shared" si="22"/>
        <v>0.10449936368861618</v>
      </c>
      <c r="O63" s="175">
        <f t="shared" si="22"/>
        <v>0.11611040409846242</v>
      </c>
      <c r="P63" s="175">
        <f t="shared" si="22"/>
        <v>0.12772144450830866</v>
      </c>
      <c r="Q63" s="175">
        <f t="shared" si="22"/>
        <v>0.13933248491815489</v>
      </c>
      <c r="R63" s="175">
        <f t="shared" si="22"/>
        <v>0.15094352532800112</v>
      </c>
      <c r="S63" s="175">
        <f t="shared" si="22"/>
        <v>0.16255456573784735</v>
      </c>
      <c r="T63" s="175">
        <f t="shared" si="22"/>
        <v>0.17416560614769358</v>
      </c>
      <c r="U63" s="175">
        <f t="shared" si="22"/>
        <v>0.18577664655753981</v>
      </c>
      <c r="V63" s="175">
        <f t="shared" si="22"/>
        <v>0.19738768696738604</v>
      </c>
      <c r="W63" s="175">
        <f t="shared" si="22"/>
        <v>0.20899872737723227</v>
      </c>
      <c r="X63" s="175">
        <f t="shared" si="22"/>
        <v>0.2206097677870785</v>
      </c>
      <c r="Y63" s="175">
        <f t="shared" si="22"/>
        <v>0.23222080819692473</v>
      </c>
      <c r="Z63" s="175">
        <f t="shared" si="22"/>
        <v>0.24383184860677096</v>
      </c>
      <c r="AA63" s="175">
        <f t="shared" si="22"/>
        <v>0.25544288901661721</v>
      </c>
      <c r="AB63" s="175">
        <f t="shared" si="22"/>
        <v>0.26705392942646344</v>
      </c>
      <c r="AC63" s="175">
        <f t="shared" si="22"/>
        <v>0.27866496983630967</v>
      </c>
      <c r="AD63" s="175">
        <f t="shared" si="22"/>
        <v>0.2902760102461559</v>
      </c>
      <c r="AE63" s="175">
        <f t="shared" si="22"/>
        <v>0.30188705065600213</v>
      </c>
      <c r="AF63" s="175">
        <f t="shared" si="22"/>
        <v>0.31349809106584836</v>
      </c>
      <c r="AG63" s="175">
        <f t="shared" si="22"/>
        <v>0.32510913147569459</v>
      </c>
      <c r="AH63" s="175">
        <f t="shared" si="22"/>
        <v>0.33672017188554082</v>
      </c>
      <c r="AI63" s="175">
        <f>O15</f>
        <v>0.34833121229538727</v>
      </c>
    </row>
    <row r="64" spans="1:35">
      <c r="A64" s="260"/>
      <c r="B64" t="s">
        <v>53</v>
      </c>
      <c r="D64" t="s">
        <v>160</v>
      </c>
      <c r="E64" s="148">
        <f>E16</f>
        <v>0</v>
      </c>
      <c r="F64" s="148">
        <f t="shared" si="22"/>
        <v>0</v>
      </c>
      <c r="G64" s="148">
        <f t="shared" si="22"/>
        <v>0</v>
      </c>
      <c r="H64" s="148">
        <f t="shared" si="22"/>
        <v>0</v>
      </c>
      <c r="I64" s="148">
        <f t="shared" si="22"/>
        <v>0</v>
      </c>
      <c r="J64" s="148">
        <f t="shared" si="22"/>
        <v>0</v>
      </c>
      <c r="K64" s="148">
        <f t="shared" si="22"/>
        <v>0</v>
      </c>
      <c r="L64" s="148">
        <f t="shared" si="22"/>
        <v>0</v>
      </c>
      <c r="M64" s="148">
        <f t="shared" si="22"/>
        <v>0</v>
      </c>
      <c r="N64" s="148">
        <f t="shared" si="22"/>
        <v>0</v>
      </c>
      <c r="O64" s="148">
        <f t="shared" si="22"/>
        <v>0</v>
      </c>
      <c r="P64" s="148">
        <f t="shared" si="22"/>
        <v>0</v>
      </c>
      <c r="Q64" s="148">
        <f t="shared" si="22"/>
        <v>0</v>
      </c>
      <c r="R64" s="148">
        <f t="shared" si="22"/>
        <v>0</v>
      </c>
      <c r="S64" s="148">
        <f t="shared" si="22"/>
        <v>0</v>
      </c>
      <c r="T64" s="148">
        <f t="shared" si="22"/>
        <v>0</v>
      </c>
      <c r="U64" s="148">
        <f t="shared" si="22"/>
        <v>0</v>
      </c>
      <c r="V64" s="148">
        <f t="shared" si="22"/>
        <v>0</v>
      </c>
      <c r="W64" s="148">
        <f t="shared" si="22"/>
        <v>0</v>
      </c>
      <c r="X64" s="148">
        <f t="shared" si="22"/>
        <v>0</v>
      </c>
      <c r="Y64" s="148">
        <f t="shared" si="22"/>
        <v>0</v>
      </c>
      <c r="Z64" s="148">
        <f t="shared" si="22"/>
        <v>0</v>
      </c>
      <c r="AA64" s="148">
        <f t="shared" si="22"/>
        <v>0</v>
      </c>
      <c r="AB64" s="148">
        <f t="shared" si="22"/>
        <v>0</v>
      </c>
      <c r="AC64" s="148">
        <f t="shared" si="22"/>
        <v>0</v>
      </c>
      <c r="AD64" s="148">
        <f t="shared" si="22"/>
        <v>0</v>
      </c>
      <c r="AE64" s="148">
        <f t="shared" si="22"/>
        <v>0</v>
      </c>
      <c r="AF64" s="148">
        <f t="shared" si="22"/>
        <v>0</v>
      </c>
      <c r="AG64" s="148">
        <f t="shared" si="22"/>
        <v>0</v>
      </c>
      <c r="AH64" s="148">
        <f t="shared" si="22"/>
        <v>0</v>
      </c>
      <c r="AI64" s="148">
        <f>O16</f>
        <v>0</v>
      </c>
    </row>
    <row r="65" spans="1:35">
      <c r="A65" s="260"/>
      <c r="B65" t="s">
        <v>53</v>
      </c>
      <c r="D65" t="s">
        <v>27</v>
      </c>
      <c r="E65" s="148">
        <f>E17</f>
        <v>0</v>
      </c>
      <c r="F65" s="148">
        <f t="shared" si="22"/>
        <v>2.1722292923487093E-2</v>
      </c>
      <c r="G65" s="148">
        <f t="shared" si="22"/>
        <v>4.3444585846974186E-2</v>
      </c>
      <c r="H65" s="148">
        <f t="shared" si="22"/>
        <v>6.5166878770461276E-2</v>
      </c>
      <c r="I65" s="148">
        <f t="shared" si="22"/>
        <v>8.6889171693948372E-2</v>
      </c>
      <c r="J65" s="148">
        <f t="shared" si="22"/>
        <v>0.10861146461743547</v>
      </c>
      <c r="K65" s="148">
        <f t="shared" si="22"/>
        <v>0.13033375754092255</v>
      </c>
      <c r="L65" s="148">
        <f t="shared" si="22"/>
        <v>0.15205605046440965</v>
      </c>
      <c r="M65" s="148">
        <f t="shared" si="22"/>
        <v>0.17377834338789674</v>
      </c>
      <c r="N65" s="148">
        <f t="shared" si="22"/>
        <v>0.19550063631138384</v>
      </c>
      <c r="O65" s="148">
        <f t="shared" si="22"/>
        <v>0.21722292923487094</v>
      </c>
      <c r="P65" s="148">
        <f t="shared" si="22"/>
        <v>0.23894522215835803</v>
      </c>
      <c r="Q65" s="148">
        <f t="shared" si="22"/>
        <v>0.2606675150818451</v>
      </c>
      <c r="R65" s="148">
        <f t="shared" si="22"/>
        <v>0.2823898080053322</v>
      </c>
      <c r="S65" s="148">
        <f t="shared" si="22"/>
        <v>0.3041121009288193</v>
      </c>
      <c r="T65" s="148">
        <f t="shared" si="22"/>
        <v>0.32583439385230639</v>
      </c>
      <c r="U65" s="148">
        <f t="shared" si="22"/>
        <v>0.34755668677579349</v>
      </c>
      <c r="V65" s="148">
        <f t="shared" si="22"/>
        <v>0.36927897969928059</v>
      </c>
      <c r="W65" s="148">
        <f t="shared" si="22"/>
        <v>0.39100127262276768</v>
      </c>
      <c r="X65" s="148">
        <f t="shared" si="22"/>
        <v>0.41272356554625478</v>
      </c>
      <c r="Y65" s="148">
        <f t="shared" si="22"/>
        <v>0.43444585846974187</v>
      </c>
      <c r="Z65" s="148">
        <f t="shared" si="22"/>
        <v>0.45616815139322897</v>
      </c>
      <c r="AA65" s="148">
        <f t="shared" si="22"/>
        <v>0.47789044431671607</v>
      </c>
      <c r="AB65" s="148">
        <f t="shared" si="22"/>
        <v>0.49961273724020316</v>
      </c>
      <c r="AC65" s="148">
        <f t="shared" si="22"/>
        <v>0.52133503016369021</v>
      </c>
      <c r="AD65" s="148">
        <f t="shared" si="22"/>
        <v>0.54305732308717725</v>
      </c>
      <c r="AE65" s="148">
        <f t="shared" si="22"/>
        <v>0.56477961601066429</v>
      </c>
      <c r="AF65" s="148">
        <f t="shared" si="22"/>
        <v>0.58650190893415133</v>
      </c>
      <c r="AG65" s="148">
        <f t="shared" si="22"/>
        <v>0.60822420185763837</v>
      </c>
      <c r="AH65" s="148">
        <f t="shared" si="22"/>
        <v>0.62994649478112541</v>
      </c>
      <c r="AI65" s="148">
        <f>O17</f>
        <v>0.65166878770461278</v>
      </c>
    </row>
    <row r="66" spans="1:35" s="61" customFormat="1">
      <c r="A66" s="257"/>
      <c r="B66" s="61" t="s">
        <v>53</v>
      </c>
      <c r="C66" s="61" t="s">
        <v>738</v>
      </c>
      <c r="D66" t="s">
        <v>35</v>
      </c>
      <c r="E66" s="175">
        <f>F15</f>
        <v>0</v>
      </c>
      <c r="F66" s="175">
        <f t="shared" ref="F66:AH71" si="23">-($E66-$AI66)/30+E66</f>
        <v>1.1611040409846242E-2</v>
      </c>
      <c r="G66" s="175">
        <f t="shared" si="23"/>
        <v>2.3222080819692483E-2</v>
      </c>
      <c r="H66" s="175">
        <f t="shared" si="23"/>
        <v>3.4833121229538723E-2</v>
      </c>
      <c r="I66" s="175">
        <f t="shared" si="23"/>
        <v>4.6444161639384966E-2</v>
      </c>
      <c r="J66" s="175">
        <f t="shared" si="23"/>
        <v>5.805520204923121E-2</v>
      </c>
      <c r="K66" s="175">
        <f t="shared" si="23"/>
        <v>6.9666242459077446E-2</v>
      </c>
      <c r="L66" s="175">
        <f t="shared" si="23"/>
        <v>8.1277282868923689E-2</v>
      </c>
      <c r="M66" s="175">
        <f t="shared" si="23"/>
        <v>9.2888323278769933E-2</v>
      </c>
      <c r="N66" s="175">
        <f t="shared" si="23"/>
        <v>0.10449936368861618</v>
      </c>
      <c r="O66" s="175">
        <f t="shared" si="23"/>
        <v>0.11611040409846242</v>
      </c>
      <c r="P66" s="175">
        <f t="shared" si="23"/>
        <v>0.12772144450830866</v>
      </c>
      <c r="Q66" s="175">
        <f t="shared" si="23"/>
        <v>0.13933248491815489</v>
      </c>
      <c r="R66" s="175">
        <f t="shared" si="23"/>
        <v>0.15094352532800112</v>
      </c>
      <c r="S66" s="175">
        <f t="shared" si="23"/>
        <v>0.16255456573784735</v>
      </c>
      <c r="T66" s="175">
        <f t="shared" si="23"/>
        <v>0.17416560614769358</v>
      </c>
      <c r="U66" s="175">
        <f t="shared" si="23"/>
        <v>0.18577664655753981</v>
      </c>
      <c r="V66" s="175">
        <f t="shared" si="23"/>
        <v>0.19738768696738604</v>
      </c>
      <c r="W66" s="175">
        <f t="shared" si="23"/>
        <v>0.20899872737723227</v>
      </c>
      <c r="X66" s="175">
        <f t="shared" si="23"/>
        <v>0.2206097677870785</v>
      </c>
      <c r="Y66" s="175">
        <f t="shared" si="23"/>
        <v>0.23222080819692473</v>
      </c>
      <c r="Z66" s="175">
        <f t="shared" si="23"/>
        <v>0.24383184860677096</v>
      </c>
      <c r="AA66" s="175">
        <f t="shared" si="23"/>
        <v>0.25544288901661721</v>
      </c>
      <c r="AB66" s="175">
        <f t="shared" si="23"/>
        <v>0.26705392942646344</v>
      </c>
      <c r="AC66" s="175">
        <f t="shared" si="23"/>
        <v>0.27866496983630967</v>
      </c>
      <c r="AD66" s="175">
        <f t="shared" si="23"/>
        <v>0.2902760102461559</v>
      </c>
      <c r="AE66" s="175">
        <f t="shared" si="23"/>
        <v>0.30188705065600213</v>
      </c>
      <c r="AF66" s="175">
        <f t="shared" si="23"/>
        <v>0.31349809106584836</v>
      </c>
      <c r="AG66" s="175">
        <f t="shared" si="23"/>
        <v>0.32510913147569459</v>
      </c>
      <c r="AH66" s="175">
        <f t="shared" si="23"/>
        <v>0.33672017188554082</v>
      </c>
      <c r="AI66" s="175">
        <f>P15</f>
        <v>0.34833121229538727</v>
      </c>
    </row>
    <row r="67" spans="1:35">
      <c r="A67" s="260"/>
      <c r="B67" t="s">
        <v>53</v>
      </c>
      <c r="D67" t="s">
        <v>160</v>
      </c>
      <c r="E67" s="148">
        <f>F16</f>
        <v>0</v>
      </c>
      <c r="F67" s="148">
        <f t="shared" si="23"/>
        <v>0</v>
      </c>
      <c r="G67" s="148">
        <f t="shared" si="23"/>
        <v>0</v>
      </c>
      <c r="H67" s="148">
        <f t="shared" si="23"/>
        <v>0</v>
      </c>
      <c r="I67" s="148">
        <f t="shared" si="23"/>
        <v>0</v>
      </c>
      <c r="J67" s="148">
        <f t="shared" si="23"/>
        <v>0</v>
      </c>
      <c r="K67" s="148">
        <f t="shared" si="23"/>
        <v>0</v>
      </c>
      <c r="L67" s="148">
        <f t="shared" si="23"/>
        <v>0</v>
      </c>
      <c r="M67" s="148">
        <f t="shared" si="23"/>
        <v>0</v>
      </c>
      <c r="N67" s="148">
        <f t="shared" si="23"/>
        <v>0</v>
      </c>
      <c r="O67" s="148">
        <f t="shared" si="23"/>
        <v>0</v>
      </c>
      <c r="P67" s="148">
        <f t="shared" si="23"/>
        <v>0</v>
      </c>
      <c r="Q67" s="148">
        <f t="shared" si="23"/>
        <v>0</v>
      </c>
      <c r="R67" s="148">
        <f t="shared" si="23"/>
        <v>0</v>
      </c>
      <c r="S67" s="148">
        <f t="shared" si="23"/>
        <v>0</v>
      </c>
      <c r="T67" s="148">
        <f t="shared" si="23"/>
        <v>0</v>
      </c>
      <c r="U67" s="148">
        <f t="shared" si="23"/>
        <v>0</v>
      </c>
      <c r="V67" s="148">
        <f t="shared" si="23"/>
        <v>0</v>
      </c>
      <c r="W67" s="148">
        <f t="shared" si="23"/>
        <v>0</v>
      </c>
      <c r="X67" s="148">
        <f t="shared" si="23"/>
        <v>0</v>
      </c>
      <c r="Y67" s="148">
        <f t="shared" si="23"/>
        <v>0</v>
      </c>
      <c r="Z67" s="148">
        <f t="shared" si="23"/>
        <v>0</v>
      </c>
      <c r="AA67" s="148">
        <f t="shared" si="23"/>
        <v>0</v>
      </c>
      <c r="AB67" s="148">
        <f t="shared" si="23"/>
        <v>0</v>
      </c>
      <c r="AC67" s="148">
        <f t="shared" si="23"/>
        <v>0</v>
      </c>
      <c r="AD67" s="148">
        <f t="shared" si="23"/>
        <v>0</v>
      </c>
      <c r="AE67" s="148">
        <f t="shared" si="23"/>
        <v>0</v>
      </c>
      <c r="AF67" s="148">
        <f t="shared" si="23"/>
        <v>0</v>
      </c>
      <c r="AG67" s="148">
        <f t="shared" si="23"/>
        <v>0</v>
      </c>
      <c r="AH67" s="148">
        <f t="shared" si="23"/>
        <v>0</v>
      </c>
      <c r="AI67" s="148">
        <f>P16</f>
        <v>0</v>
      </c>
    </row>
    <row r="68" spans="1:35">
      <c r="A68" s="260"/>
      <c r="B68" t="s">
        <v>53</v>
      </c>
      <c r="D68" t="s">
        <v>27</v>
      </c>
      <c r="E68" s="148">
        <f>F17</f>
        <v>0</v>
      </c>
      <c r="F68" s="148">
        <f t="shared" si="23"/>
        <v>2.1722292923487093E-2</v>
      </c>
      <c r="G68" s="148">
        <f t="shared" si="23"/>
        <v>4.3444585846974186E-2</v>
      </c>
      <c r="H68" s="148">
        <f t="shared" si="23"/>
        <v>6.5166878770461276E-2</v>
      </c>
      <c r="I68" s="148">
        <f t="shared" si="23"/>
        <v>8.6889171693948372E-2</v>
      </c>
      <c r="J68" s="148">
        <f t="shared" si="23"/>
        <v>0.10861146461743547</v>
      </c>
      <c r="K68" s="148">
        <f t="shared" si="23"/>
        <v>0.13033375754092255</v>
      </c>
      <c r="L68" s="148">
        <f t="shared" si="23"/>
        <v>0.15205605046440965</v>
      </c>
      <c r="M68" s="148">
        <f t="shared" si="23"/>
        <v>0.17377834338789674</v>
      </c>
      <c r="N68" s="148">
        <f t="shared" si="23"/>
        <v>0.19550063631138384</v>
      </c>
      <c r="O68" s="148">
        <f t="shared" si="23"/>
        <v>0.21722292923487094</v>
      </c>
      <c r="P68" s="148">
        <f t="shared" si="23"/>
        <v>0.23894522215835803</v>
      </c>
      <c r="Q68" s="148">
        <f t="shared" si="23"/>
        <v>0.2606675150818451</v>
      </c>
      <c r="R68" s="148">
        <f t="shared" si="23"/>
        <v>0.2823898080053322</v>
      </c>
      <c r="S68" s="148">
        <f t="shared" si="23"/>
        <v>0.3041121009288193</v>
      </c>
      <c r="T68" s="148">
        <f t="shared" si="23"/>
        <v>0.32583439385230639</v>
      </c>
      <c r="U68" s="148">
        <f t="shared" si="23"/>
        <v>0.34755668677579349</v>
      </c>
      <c r="V68" s="148">
        <f t="shared" si="23"/>
        <v>0.36927897969928059</v>
      </c>
      <c r="W68" s="148">
        <f t="shared" si="23"/>
        <v>0.39100127262276768</v>
      </c>
      <c r="X68" s="148">
        <f t="shared" si="23"/>
        <v>0.41272356554625478</v>
      </c>
      <c r="Y68" s="148">
        <f t="shared" si="23"/>
        <v>0.43444585846974187</v>
      </c>
      <c r="Z68" s="148">
        <f t="shared" si="23"/>
        <v>0.45616815139322897</v>
      </c>
      <c r="AA68" s="148">
        <f t="shared" si="23"/>
        <v>0.47789044431671607</v>
      </c>
      <c r="AB68" s="148">
        <f t="shared" si="23"/>
        <v>0.49961273724020316</v>
      </c>
      <c r="AC68" s="148">
        <f t="shared" si="23"/>
        <v>0.52133503016369021</v>
      </c>
      <c r="AD68" s="148">
        <f t="shared" si="23"/>
        <v>0.54305732308717725</v>
      </c>
      <c r="AE68" s="148">
        <f t="shared" si="23"/>
        <v>0.56477961601066429</v>
      </c>
      <c r="AF68" s="148">
        <f t="shared" si="23"/>
        <v>0.58650190893415133</v>
      </c>
      <c r="AG68" s="148">
        <f t="shared" si="23"/>
        <v>0.60822420185763837</v>
      </c>
      <c r="AH68" s="148">
        <f t="shared" si="23"/>
        <v>0.62994649478112541</v>
      </c>
      <c r="AI68" s="148">
        <f>P17</f>
        <v>0.65166878770461278</v>
      </c>
    </row>
    <row r="69" spans="1:35" s="61" customFormat="1">
      <c r="A69" s="257"/>
      <c r="B69" s="61" t="s">
        <v>295</v>
      </c>
      <c r="C69" s="61" t="s">
        <v>735</v>
      </c>
      <c r="D69" t="s">
        <v>35</v>
      </c>
      <c r="E69" s="175">
        <f>D21</f>
        <v>0</v>
      </c>
      <c r="F69" s="175">
        <f t="shared" si="23"/>
        <v>1.0845514695499539E-6</v>
      </c>
      <c r="G69" s="175">
        <f t="shared" si="23"/>
        <v>2.1691029390999078E-6</v>
      </c>
      <c r="H69" s="175">
        <f t="shared" si="23"/>
        <v>3.253654408649862E-6</v>
      </c>
      <c r="I69" s="175">
        <f t="shared" si="23"/>
        <v>4.3382058781998157E-6</v>
      </c>
      <c r="J69" s="175">
        <f t="shared" si="23"/>
        <v>5.4227573477497694E-6</v>
      </c>
      <c r="K69" s="175">
        <f t="shared" si="23"/>
        <v>6.5073088172997231E-6</v>
      </c>
      <c r="L69" s="175">
        <f t="shared" si="23"/>
        <v>7.5918602868496768E-6</v>
      </c>
      <c r="M69" s="175">
        <f t="shared" si="23"/>
        <v>8.6764117563996313E-6</v>
      </c>
      <c r="N69" s="175">
        <f t="shared" si="23"/>
        <v>9.760963225949585E-6</v>
      </c>
      <c r="O69" s="175">
        <f t="shared" si="23"/>
        <v>1.0845514695499539E-5</v>
      </c>
      <c r="P69" s="175">
        <f t="shared" si="23"/>
        <v>1.1930066165049492E-5</v>
      </c>
      <c r="Q69" s="175">
        <f t="shared" si="23"/>
        <v>1.3014617634599446E-5</v>
      </c>
      <c r="R69" s="175">
        <f t="shared" si="23"/>
        <v>1.40991691041494E-5</v>
      </c>
      <c r="S69" s="175">
        <f t="shared" si="23"/>
        <v>1.5183720573699354E-5</v>
      </c>
      <c r="T69" s="175">
        <f t="shared" si="23"/>
        <v>1.6268272043249307E-5</v>
      </c>
      <c r="U69" s="175">
        <f t="shared" si="23"/>
        <v>1.7352823512799263E-5</v>
      </c>
      <c r="V69" s="175">
        <f t="shared" si="23"/>
        <v>1.8437374982349218E-5</v>
      </c>
      <c r="W69" s="175">
        <f t="shared" si="23"/>
        <v>1.9521926451899173E-5</v>
      </c>
      <c r="X69" s="175">
        <f t="shared" si="23"/>
        <v>2.0606477921449129E-5</v>
      </c>
      <c r="Y69" s="175">
        <f t="shared" si="23"/>
        <v>2.1691029390999084E-5</v>
      </c>
      <c r="Z69" s="175">
        <f t="shared" si="23"/>
        <v>2.277558086054904E-5</v>
      </c>
      <c r="AA69" s="175">
        <f t="shared" si="23"/>
        <v>2.3860132330098995E-5</v>
      </c>
      <c r="AB69" s="175">
        <f t="shared" si="23"/>
        <v>2.494468379964895E-5</v>
      </c>
      <c r="AC69" s="175">
        <f t="shared" si="23"/>
        <v>2.6029235269198906E-5</v>
      </c>
      <c r="AD69" s="175">
        <f t="shared" si="23"/>
        <v>2.7113786738748861E-5</v>
      </c>
      <c r="AE69" s="175">
        <f t="shared" si="23"/>
        <v>2.8198338208298817E-5</v>
      </c>
      <c r="AF69" s="175">
        <f t="shared" si="23"/>
        <v>2.9282889677848772E-5</v>
      </c>
      <c r="AG69" s="175">
        <f t="shared" si="23"/>
        <v>3.0367441147398727E-5</v>
      </c>
      <c r="AH69" s="175">
        <f t="shared" si="23"/>
        <v>3.1451992616948679E-5</v>
      </c>
      <c r="AI69" s="175">
        <f>N21</f>
        <v>3.2536544086498615E-5</v>
      </c>
    </row>
    <row r="70" spans="1:35">
      <c r="A70" s="260"/>
      <c r="B70" t="s">
        <v>295</v>
      </c>
      <c r="C70" t="s">
        <v>735</v>
      </c>
      <c r="D70" t="s">
        <v>160</v>
      </c>
      <c r="E70" s="148">
        <f>D22</f>
        <v>0</v>
      </c>
      <c r="F70" s="148">
        <f t="shared" si="23"/>
        <v>1.8979727657906487E-3</v>
      </c>
      <c r="G70" s="148">
        <f t="shared" si="23"/>
        <v>3.7959455315812974E-3</v>
      </c>
      <c r="H70" s="148">
        <f t="shared" si="23"/>
        <v>5.6939182973719457E-3</v>
      </c>
      <c r="I70" s="148">
        <f t="shared" si="23"/>
        <v>7.5918910631625949E-3</v>
      </c>
      <c r="J70" s="148">
        <f t="shared" si="23"/>
        <v>9.489863828953244E-3</v>
      </c>
      <c r="K70" s="148">
        <f t="shared" si="23"/>
        <v>1.1387836594743893E-2</v>
      </c>
      <c r="L70" s="148">
        <f t="shared" si="23"/>
        <v>1.3285809360534542E-2</v>
      </c>
      <c r="M70" s="148">
        <f t="shared" si="23"/>
        <v>1.5183782126325191E-2</v>
      </c>
      <c r="N70" s="148">
        <f t="shared" si="23"/>
        <v>1.7081754892115841E-2</v>
      </c>
      <c r="O70" s="148">
        <f t="shared" si="23"/>
        <v>1.8979727657906488E-2</v>
      </c>
      <c r="P70" s="148">
        <f t="shared" si="23"/>
        <v>2.0877700423697135E-2</v>
      </c>
      <c r="Q70" s="148">
        <f t="shared" si="23"/>
        <v>2.2775673189487783E-2</v>
      </c>
      <c r="R70" s="148">
        <f t="shared" si="23"/>
        <v>2.467364595527843E-2</v>
      </c>
      <c r="S70" s="148">
        <f t="shared" si="23"/>
        <v>2.6571618721069078E-2</v>
      </c>
      <c r="T70" s="148">
        <f t="shared" si="23"/>
        <v>2.8469591486859725E-2</v>
      </c>
      <c r="U70" s="148">
        <f t="shared" si="23"/>
        <v>3.0367564252650373E-2</v>
      </c>
      <c r="V70" s="148">
        <f t="shared" si="23"/>
        <v>3.2265537018441023E-2</v>
      </c>
      <c r="W70" s="148">
        <f t="shared" si="23"/>
        <v>3.4163509784231674E-2</v>
      </c>
      <c r="X70" s="148">
        <f t="shared" si="23"/>
        <v>3.6061482550022325E-2</v>
      </c>
      <c r="Y70" s="148">
        <f t="shared" si="23"/>
        <v>3.7959455315812976E-2</v>
      </c>
      <c r="Z70" s="148">
        <f t="shared" si="23"/>
        <v>3.9857428081603627E-2</v>
      </c>
      <c r="AA70" s="148">
        <f t="shared" si="23"/>
        <v>4.1755400847394278E-2</v>
      </c>
      <c r="AB70" s="148">
        <f t="shared" si="23"/>
        <v>4.3653373613184929E-2</v>
      </c>
      <c r="AC70" s="148">
        <f t="shared" si="23"/>
        <v>4.555134637897558E-2</v>
      </c>
      <c r="AD70" s="148">
        <f t="shared" si="23"/>
        <v>4.744931914476623E-2</v>
      </c>
      <c r="AE70" s="148">
        <f t="shared" si="23"/>
        <v>4.9347291910556881E-2</v>
      </c>
      <c r="AF70" s="148">
        <f t="shared" si="23"/>
        <v>5.1245264676347532E-2</v>
      </c>
      <c r="AG70" s="148">
        <f t="shared" si="23"/>
        <v>5.3143237442138183E-2</v>
      </c>
      <c r="AH70" s="148">
        <f t="shared" si="23"/>
        <v>5.5041210207928834E-2</v>
      </c>
      <c r="AI70" s="148">
        <f>N22</f>
        <v>5.6939182973719464E-2</v>
      </c>
    </row>
    <row r="71" spans="1:35">
      <c r="A71" s="260"/>
      <c r="B71" t="s">
        <v>295</v>
      </c>
      <c r="C71" t="s">
        <v>735</v>
      </c>
      <c r="D71" t="s">
        <v>27</v>
      </c>
      <c r="E71" s="148">
        <f>D23</f>
        <v>0</v>
      </c>
      <c r="F71" s="148">
        <f t="shared" si="23"/>
        <v>3.143427601607314E-2</v>
      </c>
      <c r="G71" s="148">
        <f t="shared" si="23"/>
        <v>6.286855203214628E-2</v>
      </c>
      <c r="H71" s="148">
        <f t="shared" si="23"/>
        <v>9.430282804821942E-2</v>
      </c>
      <c r="I71" s="148">
        <f t="shared" si="23"/>
        <v>0.12573710406429256</v>
      </c>
      <c r="J71" s="148">
        <f t="shared" si="23"/>
        <v>0.15717138008036569</v>
      </c>
      <c r="K71" s="148">
        <f t="shared" si="23"/>
        <v>0.18860565609643881</v>
      </c>
      <c r="L71" s="148">
        <f t="shared" si="23"/>
        <v>0.22003993211251194</v>
      </c>
      <c r="M71" s="148">
        <f t="shared" si="23"/>
        <v>0.25147420812858506</v>
      </c>
      <c r="N71" s="148">
        <f t="shared" si="23"/>
        <v>0.28290848414465819</v>
      </c>
      <c r="O71" s="148">
        <f t="shared" si="23"/>
        <v>0.31434276016073132</v>
      </c>
      <c r="P71" s="148">
        <f t="shared" si="23"/>
        <v>0.34577703617680444</v>
      </c>
      <c r="Q71" s="148">
        <f t="shared" si="23"/>
        <v>0.37721131219287757</v>
      </c>
      <c r="R71" s="148">
        <f t="shared" si="23"/>
        <v>0.40864558820895069</v>
      </c>
      <c r="S71" s="148">
        <f t="shared" si="23"/>
        <v>0.44007986422502382</v>
      </c>
      <c r="T71" s="148">
        <f t="shared" si="23"/>
        <v>0.47151414024109695</v>
      </c>
      <c r="U71" s="148">
        <f t="shared" si="23"/>
        <v>0.50294841625717013</v>
      </c>
      <c r="V71" s="148">
        <f t="shared" si="23"/>
        <v>0.53438269227324331</v>
      </c>
      <c r="W71" s="148">
        <f t="shared" si="23"/>
        <v>0.56581696828931649</v>
      </c>
      <c r="X71" s="148">
        <f t="shared" si="23"/>
        <v>0.59725124430538967</v>
      </c>
      <c r="Y71" s="148">
        <f t="shared" si="23"/>
        <v>0.62868552032146285</v>
      </c>
      <c r="Z71" s="148">
        <f t="shared" si="23"/>
        <v>0.66011979633753604</v>
      </c>
      <c r="AA71" s="148">
        <f t="shared" si="23"/>
        <v>0.69155407235360922</v>
      </c>
      <c r="AB71" s="148">
        <f t="shared" si="23"/>
        <v>0.7229883483696824</v>
      </c>
      <c r="AC71" s="148">
        <f t="shared" si="23"/>
        <v>0.75442262438575558</v>
      </c>
      <c r="AD71" s="148">
        <f t="shared" si="23"/>
        <v>0.78585690040182876</v>
      </c>
      <c r="AE71" s="148">
        <f t="shared" si="23"/>
        <v>0.81729117641790194</v>
      </c>
      <c r="AF71" s="148">
        <f t="shared" si="23"/>
        <v>0.84872545243397512</v>
      </c>
      <c r="AG71" s="148">
        <f t="shared" si="23"/>
        <v>0.88015972845004831</v>
      </c>
      <c r="AH71" s="148">
        <f t="shared" si="23"/>
        <v>0.91159400446612149</v>
      </c>
      <c r="AI71" s="148">
        <f>N23</f>
        <v>0.94302828048219411</v>
      </c>
    </row>
    <row r="72" spans="1:35" s="61" customFormat="1">
      <c r="A72" s="257"/>
      <c r="B72" s="61" t="s">
        <v>27</v>
      </c>
      <c r="C72" s="61" t="s">
        <v>735</v>
      </c>
      <c r="D72" t="s">
        <v>35</v>
      </c>
      <c r="E72" s="175">
        <f>D27</f>
        <v>0</v>
      </c>
      <c r="F72" s="175">
        <f t="shared" ref="F72:AH74" si="24">-($E72-$AI72)/30+E72</f>
        <v>0</v>
      </c>
      <c r="G72" s="175">
        <f t="shared" si="24"/>
        <v>0</v>
      </c>
      <c r="H72" s="175">
        <f t="shared" si="24"/>
        <v>0</v>
      </c>
      <c r="I72" s="175">
        <f t="shared" si="24"/>
        <v>0</v>
      </c>
      <c r="J72" s="175">
        <f t="shared" si="24"/>
        <v>0</v>
      </c>
      <c r="K72" s="175">
        <f t="shared" si="24"/>
        <v>0</v>
      </c>
      <c r="L72" s="175">
        <f t="shared" si="24"/>
        <v>0</v>
      </c>
      <c r="M72" s="175">
        <f t="shared" si="24"/>
        <v>0</v>
      </c>
      <c r="N72" s="175">
        <f t="shared" si="24"/>
        <v>0</v>
      </c>
      <c r="O72" s="175">
        <f t="shared" si="24"/>
        <v>0</v>
      </c>
      <c r="P72" s="175">
        <f t="shared" si="24"/>
        <v>0</v>
      </c>
      <c r="Q72" s="175">
        <f t="shared" si="24"/>
        <v>0</v>
      </c>
      <c r="R72" s="175">
        <f t="shared" si="24"/>
        <v>0</v>
      </c>
      <c r="S72" s="175">
        <f t="shared" si="24"/>
        <v>0</v>
      </c>
      <c r="T72" s="175">
        <f t="shared" si="24"/>
        <v>0</v>
      </c>
      <c r="U72" s="175">
        <f t="shared" si="24"/>
        <v>0</v>
      </c>
      <c r="V72" s="175">
        <f t="shared" si="24"/>
        <v>0</v>
      </c>
      <c r="W72" s="175">
        <f t="shared" si="24"/>
        <v>0</v>
      </c>
      <c r="X72" s="175">
        <f t="shared" si="24"/>
        <v>0</v>
      </c>
      <c r="Y72" s="175">
        <f t="shared" si="24"/>
        <v>0</v>
      </c>
      <c r="Z72" s="175">
        <f t="shared" si="24"/>
        <v>0</v>
      </c>
      <c r="AA72" s="175">
        <f t="shared" si="24"/>
        <v>0</v>
      </c>
      <c r="AB72" s="175">
        <f t="shared" si="24"/>
        <v>0</v>
      </c>
      <c r="AC72" s="175">
        <f t="shared" si="24"/>
        <v>0</v>
      </c>
      <c r="AD72" s="175">
        <f t="shared" si="24"/>
        <v>0</v>
      </c>
      <c r="AE72" s="175">
        <f t="shared" si="24"/>
        <v>0</v>
      </c>
      <c r="AF72" s="175">
        <f t="shared" si="24"/>
        <v>0</v>
      </c>
      <c r="AG72" s="175">
        <f t="shared" si="24"/>
        <v>0</v>
      </c>
      <c r="AH72" s="175">
        <f t="shared" si="24"/>
        <v>0</v>
      </c>
      <c r="AI72" s="175">
        <f>N27</f>
        <v>0</v>
      </c>
    </row>
    <row r="73" spans="1:35">
      <c r="A73" s="260"/>
      <c r="B73" t="s">
        <v>27</v>
      </c>
      <c r="C73" t="s">
        <v>735</v>
      </c>
      <c r="D73" t="s">
        <v>160</v>
      </c>
      <c r="E73" s="148">
        <f>D28</f>
        <v>1.8239325964684288E-2</v>
      </c>
      <c r="F73" s="148">
        <f t="shared" si="24"/>
        <v>1.8239325964684288E-2</v>
      </c>
      <c r="G73" s="148">
        <f t="shared" si="24"/>
        <v>1.8239325964684288E-2</v>
      </c>
      <c r="H73" s="148">
        <f t="shared" si="24"/>
        <v>1.8239325964684288E-2</v>
      </c>
      <c r="I73" s="148">
        <f t="shared" si="24"/>
        <v>1.8239325964684288E-2</v>
      </c>
      <c r="J73" s="148">
        <f t="shared" si="24"/>
        <v>1.8239325964684288E-2</v>
      </c>
      <c r="K73" s="148">
        <f t="shared" si="24"/>
        <v>1.8239325964684288E-2</v>
      </c>
      <c r="L73" s="148">
        <f t="shared" si="24"/>
        <v>1.8239325964684288E-2</v>
      </c>
      <c r="M73" s="148">
        <f t="shared" si="24"/>
        <v>1.8239325964684288E-2</v>
      </c>
      <c r="N73" s="148">
        <f t="shared" si="24"/>
        <v>1.8239325964684288E-2</v>
      </c>
      <c r="O73" s="148">
        <f t="shared" si="24"/>
        <v>1.8239325964684288E-2</v>
      </c>
      <c r="P73" s="148">
        <f t="shared" si="24"/>
        <v>1.8239325964684288E-2</v>
      </c>
      <c r="Q73" s="148">
        <f t="shared" si="24"/>
        <v>1.8239325964684288E-2</v>
      </c>
      <c r="R73" s="148">
        <f t="shared" si="24"/>
        <v>1.8239325964684288E-2</v>
      </c>
      <c r="S73" s="148">
        <f t="shared" si="24"/>
        <v>1.8239325964684288E-2</v>
      </c>
      <c r="T73" s="148">
        <f t="shared" si="24"/>
        <v>1.8239325964684288E-2</v>
      </c>
      <c r="U73" s="148">
        <f t="shared" si="24"/>
        <v>1.8239325964684288E-2</v>
      </c>
      <c r="V73" s="148">
        <f t="shared" si="24"/>
        <v>1.8239325964684288E-2</v>
      </c>
      <c r="W73" s="148">
        <f t="shared" si="24"/>
        <v>1.8239325964684288E-2</v>
      </c>
      <c r="X73" s="148">
        <f t="shared" si="24"/>
        <v>1.8239325964684288E-2</v>
      </c>
      <c r="Y73" s="148">
        <f t="shared" si="24"/>
        <v>1.8239325964684288E-2</v>
      </c>
      <c r="Z73" s="148">
        <f t="shared" si="24"/>
        <v>1.8239325964684288E-2</v>
      </c>
      <c r="AA73" s="148">
        <f t="shared" si="24"/>
        <v>1.8239325964684288E-2</v>
      </c>
      <c r="AB73" s="148">
        <f t="shared" si="24"/>
        <v>1.8239325964684288E-2</v>
      </c>
      <c r="AC73" s="148">
        <f t="shared" si="24"/>
        <v>1.8239325964684288E-2</v>
      </c>
      <c r="AD73" s="148">
        <f t="shared" si="24"/>
        <v>1.8239325964684288E-2</v>
      </c>
      <c r="AE73" s="148">
        <f t="shared" si="24"/>
        <v>1.8239325964684288E-2</v>
      </c>
      <c r="AF73" s="148">
        <f t="shared" si="24"/>
        <v>1.8239325964684288E-2</v>
      </c>
      <c r="AG73" s="148">
        <f t="shared" si="24"/>
        <v>1.8239325964684288E-2</v>
      </c>
      <c r="AH73" s="148">
        <f t="shared" si="24"/>
        <v>1.8239325964684288E-2</v>
      </c>
      <c r="AI73" s="148">
        <f>N28</f>
        <v>1.8239325964684285E-2</v>
      </c>
    </row>
    <row r="74" spans="1:35">
      <c r="A74" s="260"/>
      <c r="B74" t="s">
        <v>27</v>
      </c>
      <c r="C74" t="s">
        <v>735</v>
      </c>
      <c r="D74" t="s">
        <v>27</v>
      </c>
      <c r="E74" s="148">
        <f>D29</f>
        <v>0.98176067403531575</v>
      </c>
      <c r="F74" s="148">
        <f t="shared" si="24"/>
        <v>0.98176067403531575</v>
      </c>
      <c r="G74" s="148">
        <f t="shared" si="24"/>
        <v>0.98176067403531575</v>
      </c>
      <c r="H74" s="148">
        <f t="shared" si="24"/>
        <v>0.98176067403531575</v>
      </c>
      <c r="I74" s="148">
        <f t="shared" si="24"/>
        <v>0.98176067403531575</v>
      </c>
      <c r="J74" s="148">
        <f t="shared" si="24"/>
        <v>0.98176067403531575</v>
      </c>
      <c r="K74" s="148">
        <f t="shared" si="24"/>
        <v>0.98176067403531575</v>
      </c>
      <c r="L74" s="148">
        <f t="shared" si="24"/>
        <v>0.98176067403531575</v>
      </c>
      <c r="M74" s="148">
        <f t="shared" si="24"/>
        <v>0.98176067403531575</v>
      </c>
      <c r="N74" s="148">
        <f t="shared" si="24"/>
        <v>0.98176067403531575</v>
      </c>
      <c r="O74" s="148">
        <f t="shared" si="24"/>
        <v>0.98176067403531575</v>
      </c>
      <c r="P74" s="148">
        <f t="shared" si="24"/>
        <v>0.98176067403531575</v>
      </c>
      <c r="Q74" s="148">
        <f t="shared" si="24"/>
        <v>0.98176067403531575</v>
      </c>
      <c r="R74" s="148">
        <f t="shared" si="24"/>
        <v>0.98176067403531575</v>
      </c>
      <c r="S74" s="148">
        <f t="shared" si="24"/>
        <v>0.98176067403531575</v>
      </c>
      <c r="T74" s="148">
        <f t="shared" si="24"/>
        <v>0.98176067403531575</v>
      </c>
      <c r="U74" s="148">
        <f t="shared" si="24"/>
        <v>0.98176067403531575</v>
      </c>
      <c r="V74" s="148">
        <f t="shared" si="24"/>
        <v>0.98176067403531575</v>
      </c>
      <c r="W74" s="148">
        <f t="shared" si="24"/>
        <v>0.98176067403531575</v>
      </c>
      <c r="X74" s="148">
        <f t="shared" si="24"/>
        <v>0.98176067403531575</v>
      </c>
      <c r="Y74" s="148">
        <f t="shared" si="24"/>
        <v>0.98176067403531575</v>
      </c>
      <c r="Z74" s="148">
        <f t="shared" si="24"/>
        <v>0.98176067403531575</v>
      </c>
      <c r="AA74" s="148">
        <f t="shared" si="24"/>
        <v>0.98176067403531575</v>
      </c>
      <c r="AB74" s="148">
        <f t="shared" si="24"/>
        <v>0.98176067403531575</v>
      </c>
      <c r="AC74" s="148">
        <f t="shared" si="24"/>
        <v>0.98176067403531575</v>
      </c>
      <c r="AD74" s="148">
        <f t="shared" si="24"/>
        <v>0.98176067403531575</v>
      </c>
      <c r="AE74" s="148">
        <f t="shared" si="24"/>
        <v>0.98176067403531575</v>
      </c>
      <c r="AF74" s="148">
        <f t="shared" si="24"/>
        <v>0.98176067403531575</v>
      </c>
      <c r="AG74" s="148">
        <f t="shared" si="24"/>
        <v>0.98176067403531575</v>
      </c>
      <c r="AH74" s="148">
        <f t="shared" si="24"/>
        <v>0.98176067403531575</v>
      </c>
      <c r="AI74" s="148">
        <f>N29</f>
        <v>0.98176067403531564</v>
      </c>
    </row>
  </sheetData>
  <mergeCells count="5">
    <mergeCell ref="I21:I23"/>
    <mergeCell ref="I27:I29"/>
    <mergeCell ref="J3:J5"/>
    <mergeCell ref="I9:I11"/>
    <mergeCell ref="I15:I17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83F3-D692-47A7-96D5-6EDE8331E4A5}">
  <sheetPr>
    <tabColor theme="4"/>
  </sheetPr>
  <dimension ref="A1:AI112"/>
  <sheetViews>
    <sheetView topLeftCell="B1" zoomScale="70" zoomScaleNormal="70" workbookViewId="0">
      <selection activeCell="AI91" sqref="A91:AI91"/>
    </sheetView>
  </sheetViews>
  <sheetFormatPr defaultRowHeight="14.75"/>
  <cols>
    <col min="2" max="2" width="11.1796875" customWidth="1"/>
    <col min="3" max="3" width="9.26953125" customWidth="1"/>
    <col min="4" max="4" width="12.1796875" bestFit="1" customWidth="1"/>
    <col min="5" max="5" width="15.54296875" bestFit="1" customWidth="1"/>
    <col min="6" max="6" width="20" bestFit="1" customWidth="1"/>
    <col min="9" max="9" width="14.81640625" customWidth="1"/>
    <col min="11" max="12" width="11.1796875" customWidth="1"/>
    <col min="13" max="13" width="9.26953125" customWidth="1"/>
    <col min="14" max="14" width="12.1796875" bestFit="1" customWidth="1"/>
    <col min="15" max="15" width="15.54296875" bestFit="1" customWidth="1"/>
    <col min="16" max="16" width="11.1796875" bestFit="1" customWidth="1"/>
    <col min="19" max="19" width="14.81640625" customWidth="1"/>
    <col min="20" max="20" width="8.7265625" customWidth="1"/>
    <col min="21" max="21" width="14.1796875" customWidth="1"/>
    <col min="22" max="34" width="8.7265625" customWidth="1"/>
  </cols>
  <sheetData>
    <row r="1" spans="2:35">
      <c r="B1">
        <v>2020</v>
      </c>
      <c r="K1">
        <v>2050</v>
      </c>
    </row>
    <row r="2" spans="2:35">
      <c r="B2" t="s">
        <v>17</v>
      </c>
      <c r="C2" t="s">
        <v>735</v>
      </c>
      <c r="D2" t="s">
        <v>736</v>
      </c>
      <c r="E2" t="s">
        <v>741</v>
      </c>
      <c r="F2" t="s">
        <v>737</v>
      </c>
      <c r="G2" t="s">
        <v>738</v>
      </c>
      <c r="K2" t="s">
        <v>17</v>
      </c>
      <c r="M2" t="s">
        <v>735</v>
      </c>
      <c r="N2" t="s">
        <v>736</v>
      </c>
      <c r="O2" t="s">
        <v>741</v>
      </c>
      <c r="P2" t="s">
        <v>737</v>
      </c>
      <c r="Q2" t="s">
        <v>738</v>
      </c>
      <c r="V2" t="s">
        <v>705</v>
      </c>
    </row>
    <row r="3" spans="2:35">
      <c r="B3" t="s">
        <v>141</v>
      </c>
      <c r="C3" s="2">
        <f t="shared" ref="C3:G4" si="0">V31</f>
        <v>0.92769168914429945</v>
      </c>
      <c r="D3" s="2">
        <f t="shared" si="0"/>
        <v>0</v>
      </c>
      <c r="E3" s="2">
        <f t="shared" si="0"/>
        <v>1</v>
      </c>
      <c r="F3" s="2">
        <f t="shared" si="0"/>
        <v>1</v>
      </c>
      <c r="G3" s="2">
        <f t="shared" si="0"/>
        <v>0.71762870357071562</v>
      </c>
      <c r="I3" s="613" t="s">
        <v>745</v>
      </c>
      <c r="K3" t="s">
        <v>141</v>
      </c>
      <c r="L3" s="40">
        <f>'Overall recycling rates'!C12*'Overall recycling rates'!C57</f>
        <v>2.3716860538614974</v>
      </c>
      <c r="M3" s="2">
        <f>$L3/$L$8</f>
        <v>0.89074123236753355</v>
      </c>
      <c r="N3" s="52">
        <v>0</v>
      </c>
      <c r="O3" s="52">
        <v>1</v>
      </c>
      <c r="P3" s="2">
        <v>0.65</v>
      </c>
      <c r="Q3" s="2">
        <f t="shared" ref="Q3" si="1">$L3/$L$8</f>
        <v>0.89074123236753355</v>
      </c>
      <c r="S3" s="612" t="s">
        <v>747</v>
      </c>
      <c r="V3" t="s">
        <v>702</v>
      </c>
      <c r="W3" t="s">
        <v>706</v>
      </c>
      <c r="X3" t="s">
        <v>707</v>
      </c>
      <c r="Y3" t="s">
        <v>708</v>
      </c>
      <c r="Z3" t="s">
        <v>709</v>
      </c>
      <c r="AA3" t="s">
        <v>21</v>
      </c>
      <c r="AB3" t="s">
        <v>710</v>
      </c>
      <c r="AC3" t="s">
        <v>711</v>
      </c>
      <c r="AD3" t="s">
        <v>712</v>
      </c>
      <c r="AE3" t="s">
        <v>27</v>
      </c>
      <c r="AF3" t="s">
        <v>713</v>
      </c>
    </row>
    <row r="4" spans="2:35">
      <c r="B4" t="s">
        <v>74</v>
      </c>
      <c r="C4" s="2">
        <f t="shared" si="0"/>
        <v>0</v>
      </c>
      <c r="D4" s="2">
        <f t="shared" si="0"/>
        <v>0</v>
      </c>
      <c r="E4" s="2">
        <f t="shared" si="0"/>
        <v>0</v>
      </c>
      <c r="F4" s="2">
        <f t="shared" si="0"/>
        <v>0</v>
      </c>
      <c r="G4" s="2">
        <f t="shared" si="0"/>
        <v>0.26057170849044342</v>
      </c>
      <c r="I4" s="613"/>
      <c r="K4" t="s">
        <v>74</v>
      </c>
      <c r="L4" s="40">
        <f>'Overall recycling rates'!E57*'Overall recycling rates'!E12/2</f>
        <v>7.1970533733115113E-2</v>
      </c>
      <c r="M4" s="2">
        <f t="shared" ref="M4:Q7" si="2">$L4/$L$8</f>
        <v>2.7030188842746321E-2</v>
      </c>
      <c r="N4" s="52">
        <v>0</v>
      </c>
      <c r="O4" s="52">
        <v>0</v>
      </c>
      <c r="P4" s="2">
        <v>0.1</v>
      </c>
      <c r="Q4" s="2">
        <f t="shared" si="2"/>
        <v>2.7030188842746321E-2</v>
      </c>
      <c r="S4" s="612"/>
      <c r="U4" t="s">
        <v>35</v>
      </c>
      <c r="V4" s="365">
        <v>3.0599999999999999E-2</v>
      </c>
      <c r="W4" s="365">
        <v>1.21E-2</v>
      </c>
      <c r="X4" s="365">
        <v>5.4000000000000003E-3</v>
      </c>
      <c r="Y4" s="365">
        <v>1.3899999999999999E-2</v>
      </c>
      <c r="Z4" s="365">
        <v>2.8999999999999998E-3</v>
      </c>
      <c r="AA4" s="365">
        <v>0</v>
      </c>
      <c r="AB4" s="365">
        <v>0</v>
      </c>
      <c r="AC4" s="365">
        <v>0</v>
      </c>
      <c r="AD4" s="365">
        <v>0</v>
      </c>
      <c r="AE4" s="365">
        <v>8.0000000000000004E-4</v>
      </c>
      <c r="AF4" s="365">
        <v>5.1999999999999998E-3</v>
      </c>
      <c r="AG4" s="331"/>
      <c r="AH4" s="331"/>
      <c r="AI4" s="6"/>
    </row>
    <row r="5" spans="2:35">
      <c r="B5" t="s">
        <v>34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I5" s="613"/>
      <c r="K5" t="s">
        <v>34</v>
      </c>
      <c r="L5" s="40">
        <f>'Overall recycling rates'!F12*'Overall recycling rates'!F57</f>
        <v>0.12343598312891731</v>
      </c>
      <c r="M5" s="2">
        <f t="shared" si="2"/>
        <v>4.635922176619197E-2</v>
      </c>
      <c r="N5" s="52">
        <v>0</v>
      </c>
      <c r="O5" s="52">
        <v>0</v>
      </c>
      <c r="P5" s="2">
        <v>0.15</v>
      </c>
      <c r="Q5" s="2">
        <f t="shared" si="2"/>
        <v>4.635922176619197E-2</v>
      </c>
      <c r="S5" s="612"/>
      <c r="U5" t="s">
        <v>9</v>
      </c>
      <c r="V5" s="365">
        <v>0</v>
      </c>
      <c r="W5" s="365">
        <v>1.6000000000000001E-3</v>
      </c>
      <c r="X5" s="365">
        <v>0</v>
      </c>
      <c r="Y5" s="365">
        <v>0</v>
      </c>
      <c r="Z5" s="365">
        <v>1.8200000000000001E-2</v>
      </c>
      <c r="AA5" s="365">
        <v>3.3999999999999998E-3</v>
      </c>
      <c r="AB5" s="365">
        <v>0.02</v>
      </c>
      <c r="AC5" s="365">
        <v>1.9900000000000001E-2</v>
      </c>
      <c r="AD5" s="365">
        <v>0</v>
      </c>
      <c r="AE5" s="365">
        <v>1.6000000000000001E-3</v>
      </c>
      <c r="AF5" s="365">
        <v>7.6E-3</v>
      </c>
      <c r="AG5" s="331"/>
      <c r="AH5" s="331"/>
      <c r="AI5" s="331"/>
    </row>
    <row r="6" spans="2:35">
      <c r="B6" t="s">
        <v>35</v>
      </c>
      <c r="C6" s="2">
        <f>V33</f>
        <v>7.2308310855700428E-2</v>
      </c>
      <c r="D6" s="2">
        <f>W33</f>
        <v>1</v>
      </c>
      <c r="E6" s="2">
        <f>X33</f>
        <v>0</v>
      </c>
      <c r="F6" s="2">
        <f>Y33</f>
        <v>0</v>
      </c>
      <c r="G6" s="2">
        <f>Z33</f>
        <v>2.1799587938840969E-2</v>
      </c>
      <c r="I6" s="613"/>
      <c r="K6" t="s">
        <v>35</v>
      </c>
      <c r="L6" s="40">
        <f>'Overall recycling rates'!G12*'Overall recycling rates'!G57</f>
        <v>7.3317501076405292E-2</v>
      </c>
      <c r="M6" s="2">
        <f t="shared" si="2"/>
        <v>2.7536073400851156E-2</v>
      </c>
      <c r="N6" s="52">
        <v>1</v>
      </c>
      <c r="O6" s="52">
        <v>0</v>
      </c>
      <c r="P6" s="2">
        <v>0.05</v>
      </c>
      <c r="Q6" s="2">
        <f t="shared" si="2"/>
        <v>2.7536073400851156E-2</v>
      </c>
      <c r="S6" s="612"/>
      <c r="U6" t="s">
        <v>140</v>
      </c>
      <c r="V6" s="365">
        <v>0</v>
      </c>
      <c r="W6" s="365">
        <v>0</v>
      </c>
      <c r="X6" s="365">
        <v>0</v>
      </c>
      <c r="Y6" s="365">
        <v>0</v>
      </c>
      <c r="Z6" s="365">
        <v>0</v>
      </c>
      <c r="AA6" s="365">
        <v>0</v>
      </c>
      <c r="AB6" s="365">
        <v>0</v>
      </c>
      <c r="AC6" s="365">
        <v>1.5800000000000002E-2</v>
      </c>
      <c r="AD6" s="365">
        <v>0</v>
      </c>
      <c r="AE6" s="365">
        <v>0</v>
      </c>
      <c r="AF6" s="365">
        <v>2.3999999999999998E-3</v>
      </c>
      <c r="AG6" s="331"/>
      <c r="AH6" s="331"/>
      <c r="AI6" s="6"/>
    </row>
    <row r="7" spans="2:35">
      <c r="B7" t="s">
        <v>27</v>
      </c>
      <c r="C7" s="52">
        <v>0</v>
      </c>
      <c r="D7" s="52">
        <v>0</v>
      </c>
      <c r="E7" s="52">
        <v>0</v>
      </c>
      <c r="F7" s="52">
        <v>0</v>
      </c>
      <c r="G7" s="52">
        <v>0</v>
      </c>
      <c r="I7" s="613"/>
      <c r="K7" t="s">
        <v>27</v>
      </c>
      <c r="L7" s="40">
        <f>'Overall recycling rates'!I12*'Overall recycling rates'!I57</f>
        <v>2.2188186459320774E-2</v>
      </c>
      <c r="M7" s="2">
        <f t="shared" si="2"/>
        <v>8.3332836226772313E-3</v>
      </c>
      <c r="N7" s="52">
        <f t="shared" si="2"/>
        <v>8.3332836226772313E-3</v>
      </c>
      <c r="O7" s="52">
        <v>0</v>
      </c>
      <c r="P7" s="2">
        <v>0.05</v>
      </c>
      <c r="Q7" s="2">
        <f t="shared" si="2"/>
        <v>8.3332836226772313E-3</v>
      </c>
      <c r="S7" s="612"/>
      <c r="U7" t="s">
        <v>29</v>
      </c>
      <c r="V7" s="365">
        <v>0</v>
      </c>
      <c r="W7" s="365">
        <v>8.9999999999999993E-3</v>
      </c>
      <c r="X7" s="365">
        <v>0</v>
      </c>
      <c r="Y7" s="365">
        <v>0</v>
      </c>
      <c r="Z7" s="365">
        <v>0</v>
      </c>
      <c r="AA7" s="365">
        <v>0</v>
      </c>
      <c r="AB7" s="365">
        <v>0</v>
      </c>
      <c r="AC7" s="365">
        <v>0</v>
      </c>
      <c r="AD7" s="365">
        <v>3.0999999999999999E-3</v>
      </c>
      <c r="AE7" s="365">
        <v>1.5E-3</v>
      </c>
      <c r="AF7" s="365">
        <v>1.1299999999999999E-2</v>
      </c>
      <c r="AG7" s="331"/>
      <c r="AH7" s="331"/>
    </row>
    <row r="8" spans="2:35">
      <c r="C8" s="2">
        <f>SUM(C3:C7)</f>
        <v>0.99999999999999989</v>
      </c>
      <c r="D8" s="2">
        <f t="shared" ref="D8:G8" si="3">SUM(D3:D7)</f>
        <v>1</v>
      </c>
      <c r="E8" s="2">
        <f t="shared" si="3"/>
        <v>1</v>
      </c>
      <c r="F8" s="2">
        <f t="shared" si="3"/>
        <v>1</v>
      </c>
      <c r="G8" s="2">
        <f t="shared" si="3"/>
        <v>1</v>
      </c>
      <c r="I8" s="613"/>
      <c r="L8" s="40">
        <f>SUM(L3:L7)</f>
        <v>2.6625982582592553</v>
      </c>
      <c r="M8" s="2">
        <f>SUM(M3:M7)</f>
        <v>1.0000000000000002</v>
      </c>
      <c r="N8" s="2">
        <f t="shared" ref="N8" si="4">SUM(N3:N7)</f>
        <v>1.0083332836226773</v>
      </c>
      <c r="O8" s="2">
        <f t="shared" ref="O8" si="5">SUM(O3:O7)</f>
        <v>1</v>
      </c>
      <c r="P8" s="2">
        <f t="shared" ref="P8" si="6">SUM(P3:P7)</f>
        <v>1</v>
      </c>
      <c r="Q8" s="2">
        <f t="shared" ref="Q8" si="7">SUM(Q3:Q7)</f>
        <v>1.0000000000000002</v>
      </c>
      <c r="S8" s="612"/>
      <c r="U8" t="s">
        <v>33</v>
      </c>
      <c r="V8" s="365">
        <v>0</v>
      </c>
      <c r="W8" s="365">
        <v>0</v>
      </c>
      <c r="X8" s="365">
        <v>0</v>
      </c>
      <c r="Y8" s="365">
        <v>0</v>
      </c>
      <c r="Z8" s="365">
        <v>0</v>
      </c>
      <c r="AA8" s="365">
        <v>0</v>
      </c>
      <c r="AB8" s="365">
        <v>0</v>
      </c>
      <c r="AC8" s="365">
        <v>0</v>
      </c>
      <c r="AD8" s="365">
        <v>0</v>
      </c>
      <c r="AE8" s="365">
        <v>0</v>
      </c>
      <c r="AF8" s="365">
        <v>2.0000000000000001E-4</v>
      </c>
      <c r="AG8" s="331"/>
      <c r="AH8" s="331"/>
      <c r="AI8" s="331"/>
    </row>
    <row r="9" spans="2:35">
      <c r="AG9" s="331"/>
      <c r="AH9" s="331"/>
    </row>
    <row r="10" spans="2:35">
      <c r="B10" t="s">
        <v>21</v>
      </c>
      <c r="D10" t="s">
        <v>735</v>
      </c>
      <c r="E10" t="s">
        <v>743</v>
      </c>
      <c r="F10" t="s">
        <v>744</v>
      </c>
      <c r="G10" t="s">
        <v>738</v>
      </c>
      <c r="K10" t="s">
        <v>21</v>
      </c>
      <c r="M10" t="s">
        <v>735</v>
      </c>
      <c r="N10" t="s">
        <v>743</v>
      </c>
      <c r="O10" t="s">
        <v>744</v>
      </c>
      <c r="P10" t="s">
        <v>738</v>
      </c>
      <c r="V10" s="224"/>
    </row>
    <row r="11" spans="2:35">
      <c r="B11" t="s">
        <v>141</v>
      </c>
      <c r="C11" s="219">
        <f>'Overall recycling rates'!C41*'Overall recycling rates'!C57</f>
        <v>7.0078117791434998E-3</v>
      </c>
      <c r="D11" s="2">
        <f>$C11/$C$16</f>
        <v>0.80683781047114178</v>
      </c>
      <c r="E11" s="2">
        <f t="shared" ref="E11:G15" si="8">$C11/$C$16</f>
        <v>0.80683781047114178</v>
      </c>
      <c r="F11" s="2">
        <f t="shared" si="8"/>
        <v>0.80683781047114178</v>
      </c>
      <c r="G11" s="2">
        <f t="shared" si="8"/>
        <v>0.80683781047114178</v>
      </c>
      <c r="I11" s="617" t="s">
        <v>746</v>
      </c>
      <c r="K11" t="s">
        <v>141</v>
      </c>
      <c r="L11" s="40">
        <f>'Overall recycling rates'!C14*'Overall recycling rates'!C57</f>
        <v>1.65491888058272E-2</v>
      </c>
      <c r="M11" s="2">
        <f>$L11/$L$16</f>
        <v>0.37791938688770471</v>
      </c>
      <c r="N11" s="2">
        <f t="shared" ref="N11:P11" si="9">$L11/$L$16</f>
        <v>0.37791938688770471</v>
      </c>
      <c r="O11" s="2">
        <f t="shared" si="9"/>
        <v>0.37791938688770471</v>
      </c>
      <c r="P11" s="2">
        <f t="shared" si="9"/>
        <v>0.37791938688770471</v>
      </c>
      <c r="S11" s="612" t="s">
        <v>747</v>
      </c>
      <c r="U11" t="s">
        <v>739</v>
      </c>
      <c r="V11" t="s">
        <v>531</v>
      </c>
      <c r="W11" t="s">
        <v>740</v>
      </c>
      <c r="X11" t="s">
        <v>21</v>
      </c>
      <c r="Y11" t="s">
        <v>295</v>
      </c>
      <c r="Z11" t="s">
        <v>27</v>
      </c>
      <c r="AA11" t="s">
        <v>713</v>
      </c>
    </row>
    <row r="12" spans="2:35">
      <c r="B12" t="s">
        <v>74</v>
      </c>
      <c r="C12" s="219">
        <f>'Overall recycling rates'!E41*'Overall recycling rates'!E57</f>
        <v>8.6912179159612268E-4</v>
      </c>
      <c r="D12" s="2">
        <f t="shared" ref="D12:D15" si="10">$C12/$C$16</f>
        <v>0.10006551908988026</v>
      </c>
      <c r="E12" s="2">
        <f t="shared" si="8"/>
        <v>0.10006551908988026</v>
      </c>
      <c r="F12" s="2">
        <f t="shared" si="8"/>
        <v>0.10006551908988026</v>
      </c>
      <c r="G12" s="2">
        <f t="shared" si="8"/>
        <v>0.10006551908988026</v>
      </c>
      <c r="I12" s="617"/>
      <c r="K12" t="s">
        <v>74</v>
      </c>
      <c r="L12" s="40">
        <f>'Overall recycling rates'!E14*'Overall recycling rates'!E57</f>
        <v>0</v>
      </c>
      <c r="M12" s="2">
        <f t="shared" ref="M12:P15" si="11">$L12/$L$16</f>
        <v>0</v>
      </c>
      <c r="N12" s="2">
        <f t="shared" si="11"/>
        <v>0</v>
      </c>
      <c r="O12" s="2">
        <f t="shared" si="11"/>
        <v>0</v>
      </c>
      <c r="P12" s="2">
        <f t="shared" si="11"/>
        <v>0</v>
      </c>
      <c r="S12" s="612"/>
      <c r="U12" t="s">
        <v>141</v>
      </c>
      <c r="V12" s="331">
        <f>SUM(W5,X5,Y5,Z5,AC5,AD5,W7,X7,Y7,Z7,AC7,AD7)</f>
        <v>5.1799999999999999E-2</v>
      </c>
      <c r="W12" s="331">
        <f>V5+V7</f>
        <v>0</v>
      </c>
      <c r="X12" s="331">
        <f>AA5+AA7</f>
        <v>3.3999999999999998E-3</v>
      </c>
      <c r="Y12" s="331">
        <f>AB5+AB7</f>
        <v>0.02</v>
      </c>
      <c r="Z12" s="331">
        <f>AE5+AE7</f>
        <v>3.1000000000000003E-3</v>
      </c>
      <c r="AA12" s="331">
        <f>AF5+AF7</f>
        <v>1.89E-2</v>
      </c>
    </row>
    <row r="13" spans="2:35">
      <c r="B13" t="s">
        <v>34</v>
      </c>
      <c r="C13" s="328">
        <f>'Overall recycling rates'!F41*'Overall recycling rates'!F57</f>
        <v>0</v>
      </c>
      <c r="D13" s="2">
        <f t="shared" si="10"/>
        <v>0</v>
      </c>
      <c r="E13" s="2">
        <f t="shared" si="8"/>
        <v>0</v>
      </c>
      <c r="F13" s="2">
        <f t="shared" si="8"/>
        <v>0</v>
      </c>
      <c r="G13" s="2">
        <f t="shared" si="8"/>
        <v>0</v>
      </c>
      <c r="I13" s="617"/>
      <c r="K13" t="s">
        <v>34</v>
      </c>
      <c r="L13" s="40">
        <f>'Overall recycling rates'!F14*'Overall recycling rates'!F57</f>
        <v>5.2444426474352445E-3</v>
      </c>
      <c r="M13" s="2">
        <f t="shared" si="11"/>
        <v>0.11976276137405459</v>
      </c>
      <c r="N13" s="2">
        <f t="shared" si="11"/>
        <v>0.11976276137405459</v>
      </c>
      <c r="O13" s="2">
        <f t="shared" si="11"/>
        <v>0.11976276137405459</v>
      </c>
      <c r="P13" s="2">
        <f t="shared" si="11"/>
        <v>0.11976276137405459</v>
      </c>
      <c r="S13" s="612"/>
      <c r="U13" t="s">
        <v>140</v>
      </c>
      <c r="V13" s="331">
        <f>SUM(W6,X6,Y6,Z6,AC6,AD6)</f>
        <v>1.5800000000000002E-2</v>
      </c>
      <c r="W13" s="331">
        <f>V6</f>
        <v>0</v>
      </c>
      <c r="X13" s="331">
        <f>AA6</f>
        <v>0</v>
      </c>
      <c r="Y13" s="331">
        <f>AB6</f>
        <v>0</v>
      </c>
      <c r="Z13" s="331">
        <f>AE6</f>
        <v>0</v>
      </c>
      <c r="AA13" s="331">
        <f>AF6</f>
        <v>2.3999999999999998E-3</v>
      </c>
    </row>
    <row r="14" spans="2:35">
      <c r="B14" t="s">
        <v>35</v>
      </c>
      <c r="C14" s="328">
        <f>'Overall recycling rates'!G41*'Overall recycling rates'!G57</f>
        <v>0</v>
      </c>
      <c r="D14" s="2">
        <f t="shared" si="10"/>
        <v>0</v>
      </c>
      <c r="E14" s="2">
        <f t="shared" si="8"/>
        <v>0</v>
      </c>
      <c r="F14" s="2">
        <f t="shared" si="8"/>
        <v>0</v>
      </c>
      <c r="G14" s="2">
        <f t="shared" si="8"/>
        <v>0</v>
      </c>
      <c r="I14" s="617"/>
      <c r="K14" t="s">
        <v>35</v>
      </c>
      <c r="L14" s="40">
        <f>'Overall recycling rates'!G14*'Overall recycling rates'!G57</f>
        <v>0</v>
      </c>
      <c r="M14" s="2">
        <f t="shared" si="11"/>
        <v>0</v>
      </c>
      <c r="N14" s="2">
        <f t="shared" si="11"/>
        <v>0</v>
      </c>
      <c r="O14" s="2">
        <f t="shared" si="11"/>
        <v>0</v>
      </c>
      <c r="P14" s="2">
        <f t="shared" si="11"/>
        <v>0</v>
      </c>
      <c r="S14" s="612"/>
      <c r="U14" t="s">
        <v>74</v>
      </c>
      <c r="V14" s="331">
        <f>SUM(W8,X8,Y8,Z8,AC8,AD8)</f>
        <v>0</v>
      </c>
      <c r="W14" s="331">
        <f>V8</f>
        <v>0</v>
      </c>
      <c r="X14" s="331">
        <f>AA8</f>
        <v>0</v>
      </c>
      <c r="Y14" s="331">
        <f>AB8</f>
        <v>0</v>
      </c>
      <c r="Z14" s="331">
        <f>AE8</f>
        <v>0</v>
      </c>
      <c r="AA14" s="331">
        <f>AF4</f>
        <v>5.1999999999999998E-3</v>
      </c>
    </row>
    <row r="15" spans="2:35">
      <c r="B15" t="s">
        <v>27</v>
      </c>
      <c r="C15" s="328">
        <f>'Overall recycling rates'!I41*'Overall recycling rates'!I57</f>
        <v>8.0859366682424982E-4</v>
      </c>
      <c r="D15" s="2">
        <f t="shared" si="10"/>
        <v>9.3096670438977874E-2</v>
      </c>
      <c r="E15" s="2">
        <f t="shared" si="8"/>
        <v>9.3096670438977874E-2</v>
      </c>
      <c r="F15" s="2">
        <f t="shared" si="8"/>
        <v>9.3096670438977874E-2</v>
      </c>
      <c r="G15" s="2">
        <f t="shared" si="8"/>
        <v>9.3096670438977874E-2</v>
      </c>
      <c r="I15" s="617"/>
      <c r="K15" t="s">
        <v>27</v>
      </c>
      <c r="L15" s="40">
        <f>'Overall recycling rates'!I14*'Overall recycling rates'!I57</f>
        <v>2.199663012107865E-2</v>
      </c>
      <c r="M15" s="2">
        <f t="shared" si="11"/>
        <v>0.50231785173824073</v>
      </c>
      <c r="N15" s="2">
        <f t="shared" si="11"/>
        <v>0.50231785173824073</v>
      </c>
      <c r="O15" s="2">
        <f t="shared" si="11"/>
        <v>0.50231785173824073</v>
      </c>
      <c r="P15" s="2">
        <f t="shared" si="11"/>
        <v>0.50231785173824073</v>
      </c>
      <c r="S15" s="612"/>
      <c r="U15" t="s">
        <v>35</v>
      </c>
      <c r="V15" s="331">
        <f>SUM(W4,X4,Y4,Z4,AC4,AD4)</f>
        <v>3.4299999999999997E-2</v>
      </c>
      <c r="W15" s="331">
        <f>V4</f>
        <v>3.0599999999999999E-2</v>
      </c>
      <c r="X15" s="331">
        <f>AA4</f>
        <v>0</v>
      </c>
      <c r="Y15" s="331">
        <f>AB4</f>
        <v>0</v>
      </c>
      <c r="Z15" s="331">
        <f>AE4</f>
        <v>8.0000000000000004E-4</v>
      </c>
      <c r="AA15" s="331">
        <f>AF8</f>
        <v>2.0000000000000001E-4</v>
      </c>
    </row>
    <row r="16" spans="2:35">
      <c r="C16" s="219">
        <f>SUM(C11:C15)</f>
        <v>8.6855272375638733E-3</v>
      </c>
      <c r="D16" s="2">
        <f t="shared" ref="D16" si="12">SUM(D11:D15)</f>
        <v>0.99999999999999989</v>
      </c>
      <c r="E16" s="2">
        <f t="shared" ref="E16" si="13">SUM(E11:E15)</f>
        <v>0.99999999999999989</v>
      </c>
      <c r="F16" s="2">
        <f t="shared" ref="F16:G16" si="14">SUM(F11:F15)</f>
        <v>0.99999999999999989</v>
      </c>
      <c r="G16" s="2">
        <f t="shared" si="14"/>
        <v>0.99999999999999989</v>
      </c>
      <c r="L16" s="40">
        <f>SUM(L11:L15)</f>
        <v>4.3790261574341093E-2</v>
      </c>
      <c r="M16" s="2">
        <f t="shared" ref="M16" si="15">SUM(M11:M15)</f>
        <v>1</v>
      </c>
      <c r="N16" s="2">
        <f t="shared" ref="N16" si="16">SUM(N11:N15)</f>
        <v>1</v>
      </c>
      <c r="O16" s="2">
        <f t="shared" ref="O16" si="17">SUM(O11:O15)</f>
        <v>1</v>
      </c>
      <c r="P16" s="2">
        <f t="shared" ref="P16" si="18">SUM(P11:P15)</f>
        <v>1</v>
      </c>
      <c r="V16" s="331"/>
      <c r="W16" s="331"/>
      <c r="X16" s="331"/>
      <c r="Y16" s="331"/>
      <c r="Z16" s="331"/>
      <c r="AA16" s="331"/>
    </row>
    <row r="18" spans="2:28">
      <c r="B18" t="s">
        <v>53</v>
      </c>
      <c r="D18" t="s">
        <v>735</v>
      </c>
      <c r="E18" t="s">
        <v>737</v>
      </c>
      <c r="F18" t="s">
        <v>738</v>
      </c>
      <c r="K18" t="s">
        <v>53</v>
      </c>
      <c r="M18" t="s">
        <v>735</v>
      </c>
      <c r="N18" t="s">
        <v>737</v>
      </c>
      <c r="O18" t="s">
        <v>738</v>
      </c>
      <c r="U18" t="s">
        <v>739</v>
      </c>
      <c r="V18" t="s">
        <v>531</v>
      </c>
      <c r="W18" t="s">
        <v>740</v>
      </c>
      <c r="X18" t="s">
        <v>21</v>
      </c>
      <c r="Y18" t="s">
        <v>295</v>
      </c>
      <c r="Z18" t="s">
        <v>27</v>
      </c>
      <c r="AB18" t="s">
        <v>742</v>
      </c>
    </row>
    <row r="19" spans="2:28" ht="14.5" customHeight="1">
      <c r="B19" t="s">
        <v>141</v>
      </c>
      <c r="C19" s="222">
        <v>0</v>
      </c>
      <c r="D19" s="52">
        <v>0</v>
      </c>
      <c r="E19" s="52">
        <v>0</v>
      </c>
      <c r="F19" s="52">
        <v>0</v>
      </c>
      <c r="I19" s="617" t="s">
        <v>746</v>
      </c>
      <c r="K19" t="s">
        <v>141</v>
      </c>
      <c r="L19" s="40">
        <f>'Overall recycling rates'!C15*'Overall recycling rates'!C57</f>
        <v>0</v>
      </c>
      <c r="M19" s="119">
        <f>$L19/$L$24</f>
        <v>0</v>
      </c>
      <c r="N19" s="119">
        <f t="shared" ref="N19:O19" si="19">$L19/$L$24</f>
        <v>0</v>
      </c>
      <c r="O19" s="119">
        <f t="shared" si="19"/>
        <v>0</v>
      </c>
      <c r="S19" s="612" t="s">
        <v>747</v>
      </c>
      <c r="U19" t="s">
        <v>141</v>
      </c>
      <c r="V19" s="331">
        <f>V12+$AA12*V12/SUM($V12:$Z12)</f>
        <v>6.4303448275862068E-2</v>
      </c>
      <c r="W19" s="331">
        <f t="shared" ref="W19:Z19" si="20">W12+$AA12*W12/SUM($V12:$Z12)</f>
        <v>0</v>
      </c>
      <c r="X19" s="331">
        <f t="shared" si="20"/>
        <v>4.2206896551724134E-3</v>
      </c>
      <c r="Y19" s="331">
        <f t="shared" si="20"/>
        <v>2.4827586206896551E-2</v>
      </c>
      <c r="Z19" s="331">
        <f t="shared" si="20"/>
        <v>3.8482758620689657E-3</v>
      </c>
      <c r="AA19" s="331"/>
      <c r="AB19" s="6">
        <f>'Demand - Ethylene'!E35</f>
        <v>1</v>
      </c>
    </row>
    <row r="20" spans="2:28">
      <c r="B20" t="s">
        <v>74</v>
      </c>
      <c r="C20" s="222">
        <v>0</v>
      </c>
      <c r="D20" s="52">
        <v>0</v>
      </c>
      <c r="E20" s="52">
        <v>0</v>
      </c>
      <c r="F20" s="52">
        <v>0</v>
      </c>
      <c r="I20" s="617"/>
      <c r="K20" t="s">
        <v>74</v>
      </c>
      <c r="L20" s="40">
        <f>'Overall recycling rates'!E15*'Overall recycling rates'!E57</f>
        <v>0</v>
      </c>
      <c r="M20" s="119">
        <f t="shared" ref="M20:O23" si="21">$L20/$L$24</f>
        <v>0</v>
      </c>
      <c r="N20" s="119">
        <f t="shared" si="21"/>
        <v>0</v>
      </c>
      <c r="O20" s="119">
        <f t="shared" si="21"/>
        <v>0</v>
      </c>
      <c r="S20" s="612"/>
      <c r="U20" t="s">
        <v>140</v>
      </c>
      <c r="V20" s="331">
        <f t="shared" ref="V20:Z20" si="22">V13+$AA13*V13/SUM($V13:$Z13)</f>
        <v>1.8200000000000001E-2</v>
      </c>
      <c r="W20" s="331">
        <f t="shared" si="22"/>
        <v>0</v>
      </c>
      <c r="X20" s="331">
        <f t="shared" si="22"/>
        <v>0</v>
      </c>
      <c r="Y20" s="331">
        <f t="shared" si="22"/>
        <v>0</v>
      </c>
      <c r="Z20" s="331">
        <f t="shared" si="22"/>
        <v>0</v>
      </c>
      <c r="AA20" s="331"/>
    </row>
    <row r="21" spans="2:28">
      <c r="B21" t="s">
        <v>34</v>
      </c>
      <c r="C21" s="222">
        <v>0</v>
      </c>
      <c r="D21" s="52">
        <v>0</v>
      </c>
      <c r="E21" s="52">
        <v>0</v>
      </c>
      <c r="F21" s="52">
        <v>0</v>
      </c>
      <c r="I21" s="617"/>
      <c r="K21" t="s">
        <v>34</v>
      </c>
      <c r="L21" s="40">
        <f>'Overall recycling rates'!F15*'Overall recycling rates'!F57</f>
        <v>0</v>
      </c>
      <c r="M21" s="119">
        <f t="shared" si="21"/>
        <v>0</v>
      </c>
      <c r="N21" s="119">
        <f t="shared" si="21"/>
        <v>0</v>
      </c>
      <c r="O21" s="119">
        <f t="shared" si="21"/>
        <v>0</v>
      </c>
      <c r="S21" s="612"/>
      <c r="U21" t="s">
        <v>74</v>
      </c>
      <c r="V21" s="331">
        <v>0</v>
      </c>
      <c r="W21" s="331">
        <v>0</v>
      </c>
      <c r="X21" s="331">
        <v>0</v>
      </c>
      <c r="Y21" s="331">
        <v>0</v>
      </c>
      <c r="Z21" s="331">
        <f>AA14</f>
        <v>5.1999999999999998E-3</v>
      </c>
      <c r="AA21" s="331"/>
      <c r="AB21" s="6">
        <f>'Demand - Ethylene'!E39</f>
        <v>0.2687140115163148</v>
      </c>
    </row>
    <row r="22" spans="2:28">
      <c r="B22" t="s">
        <v>35</v>
      </c>
      <c r="C22" s="222">
        <f>'Overall recycling rates'!G42*'Overall recycling rates'!G57</f>
        <v>0</v>
      </c>
      <c r="D22" s="2">
        <f>IFERROR($C22/$C$24,0)</f>
        <v>0</v>
      </c>
      <c r="E22" s="2">
        <f t="shared" ref="E22:F23" si="23">IFERROR($C22/$C$24,0)</f>
        <v>0</v>
      </c>
      <c r="F22" s="2">
        <f t="shared" si="23"/>
        <v>0</v>
      </c>
      <c r="I22" s="617"/>
      <c r="K22" t="s">
        <v>35</v>
      </c>
      <c r="L22" s="40">
        <f>'Overall recycling rates'!G15*'Overall recycling rates'!G57</f>
        <v>8.4440037405080826E-2</v>
      </c>
      <c r="M22" s="119">
        <f t="shared" si="21"/>
        <v>0.99998046619251313</v>
      </c>
      <c r="N22" s="119">
        <f t="shared" si="21"/>
        <v>0.99998046619251313</v>
      </c>
      <c r="O22" s="119">
        <f t="shared" si="21"/>
        <v>0.99998046619251313</v>
      </c>
      <c r="S22" s="612"/>
      <c r="U22" t="s">
        <v>35</v>
      </c>
      <c r="V22" s="331">
        <f t="shared" ref="V22:Z22" si="24">V15+$AA15*V15/SUM($V15:$Z15)</f>
        <v>3.4404414003044136E-2</v>
      </c>
      <c r="W22" s="331">
        <f t="shared" si="24"/>
        <v>3.0693150684931506E-2</v>
      </c>
      <c r="X22" s="331">
        <f t="shared" si="24"/>
        <v>0</v>
      </c>
      <c r="Y22" s="331">
        <f t="shared" si="24"/>
        <v>0</v>
      </c>
      <c r="Z22" s="331">
        <f t="shared" si="24"/>
        <v>8.0243531202435318E-4</v>
      </c>
      <c r="AA22" s="331"/>
      <c r="AB22" s="6">
        <f>'Demand - Ethylene'!E36</f>
        <v>0.14568158168574402</v>
      </c>
    </row>
    <row r="23" spans="2:28">
      <c r="B23" t="s">
        <v>27</v>
      </c>
      <c r="C23" s="222">
        <f>'Overall recycling rates'!I42*'Overall recycling rates'!I57</f>
        <v>0</v>
      </c>
      <c r="D23" s="2">
        <f>IFERROR($C23/$C$24,0)</f>
        <v>0</v>
      </c>
      <c r="E23" s="2">
        <f t="shared" si="23"/>
        <v>0</v>
      </c>
      <c r="F23" s="2">
        <f t="shared" si="23"/>
        <v>0</v>
      </c>
      <c r="I23" s="617"/>
      <c r="K23" t="s">
        <v>27</v>
      </c>
      <c r="L23" s="40">
        <f>'Overall recycling rates'!I15*'Overall recycling rates'!I57</f>
        <v>1.6494676552369754E-6</v>
      </c>
      <c r="M23" s="119">
        <f t="shared" si="21"/>
        <v>1.9533807486850952E-5</v>
      </c>
      <c r="N23" s="119">
        <f t="shared" si="21"/>
        <v>1.9533807486850952E-5</v>
      </c>
      <c r="O23" s="119">
        <f t="shared" si="21"/>
        <v>1.9533807486850952E-5</v>
      </c>
      <c r="S23" s="612"/>
    </row>
    <row r="24" spans="2:28">
      <c r="C24" s="219">
        <f>SUM(C19:C23)</f>
        <v>0</v>
      </c>
      <c r="D24" s="2">
        <f>SUM(D19:D23)</f>
        <v>0</v>
      </c>
      <c r="E24" s="2">
        <f t="shared" ref="E24" si="25">SUM(E19:E23)</f>
        <v>0</v>
      </c>
      <c r="F24" s="2">
        <f t="shared" ref="F24" si="26">SUM(F19:F23)</f>
        <v>0</v>
      </c>
      <c r="L24" s="40">
        <f>SUM(L19:L23)</f>
        <v>8.4441686872736066E-2</v>
      </c>
      <c r="M24" s="2">
        <f>SUM(M19:M23)</f>
        <v>1</v>
      </c>
      <c r="N24" s="2">
        <f t="shared" ref="N24" si="27">SUM(N19:N23)</f>
        <v>1</v>
      </c>
      <c r="O24" s="2">
        <f t="shared" ref="O24" si="28">SUM(O19:O23)</f>
        <v>1</v>
      </c>
      <c r="U24" t="s">
        <v>739</v>
      </c>
      <c r="V24" t="s">
        <v>531</v>
      </c>
      <c r="W24" t="s">
        <v>740</v>
      </c>
      <c r="X24" t="s">
        <v>21</v>
      </c>
      <c r="Y24" t="s">
        <v>295</v>
      </c>
      <c r="Z24" t="s">
        <v>27</v>
      </c>
      <c r="AA24" s="331"/>
    </row>
    <row r="25" spans="2:28">
      <c r="U25" t="s">
        <v>141</v>
      </c>
      <c r="V25" s="331">
        <f>V19*$AB19</f>
        <v>6.4303448275862068E-2</v>
      </c>
      <c r="W25" s="331">
        <f t="shared" ref="W25:Z25" si="29">W19*$AB19</f>
        <v>0</v>
      </c>
      <c r="X25" s="331">
        <f t="shared" si="29"/>
        <v>4.2206896551724134E-3</v>
      </c>
      <c r="Y25" s="331">
        <f t="shared" si="29"/>
        <v>2.4827586206896551E-2</v>
      </c>
      <c r="Z25" s="331">
        <f t="shared" si="29"/>
        <v>3.8482758620689657E-3</v>
      </c>
      <c r="AA25" s="331"/>
    </row>
    <row r="26" spans="2:28">
      <c r="B26" t="s">
        <v>295</v>
      </c>
      <c r="D26" t="s">
        <v>735</v>
      </c>
      <c r="K26" t="s">
        <v>295</v>
      </c>
      <c r="M26" t="s">
        <v>735</v>
      </c>
      <c r="U26" t="s">
        <v>74</v>
      </c>
      <c r="V26" s="331">
        <f>V21*$AB21</f>
        <v>0</v>
      </c>
      <c r="W26" s="331">
        <f t="shared" ref="W26:Z26" si="30">W21*$AB21</f>
        <v>0</v>
      </c>
      <c r="X26" s="331">
        <f t="shared" si="30"/>
        <v>0</v>
      </c>
      <c r="Y26" s="331">
        <f t="shared" si="30"/>
        <v>0</v>
      </c>
      <c r="Z26" s="331">
        <f t="shared" si="30"/>
        <v>1.3973128598848369E-3</v>
      </c>
      <c r="AA26" s="331"/>
    </row>
    <row r="27" spans="2:28" ht="14.5" customHeight="1">
      <c r="B27" t="s">
        <v>141</v>
      </c>
      <c r="C27" s="219">
        <f>'Overall recycling rates'!C40*'Overall recycling rates'!C57</f>
        <v>0</v>
      </c>
      <c r="D27" s="2">
        <f>C27/$C$32</f>
        <v>0</v>
      </c>
      <c r="E27" s="2"/>
      <c r="F27" s="2"/>
      <c r="G27" s="2"/>
      <c r="I27" s="617" t="s">
        <v>746</v>
      </c>
      <c r="K27" t="s">
        <v>141</v>
      </c>
      <c r="L27" s="40">
        <f>'Overall recycling rates'!C13*'Overall recycling rates'!C57</f>
        <v>9.3699942347592463E-2</v>
      </c>
      <c r="M27" s="119">
        <f>$L27/$L$32</f>
        <v>0.32786344293899122</v>
      </c>
      <c r="O27" s="2"/>
      <c r="P27" s="2"/>
      <c r="Q27" s="2"/>
      <c r="S27" s="612" t="s">
        <v>747</v>
      </c>
      <c r="U27" t="s">
        <v>35</v>
      </c>
      <c r="V27" s="331">
        <f>V22*$AB22</f>
        <v>5.0120894489346299E-3</v>
      </c>
      <c r="W27" s="331">
        <f t="shared" ref="W27:Z27" si="31">W22*$AB22</f>
        <v>4.4714267386996992E-3</v>
      </c>
      <c r="X27" s="331">
        <f t="shared" si="31"/>
        <v>0</v>
      </c>
      <c r="Y27" s="331">
        <f t="shared" si="31"/>
        <v>0</v>
      </c>
      <c r="Z27" s="331">
        <f t="shared" si="31"/>
        <v>1.169000454562013E-4</v>
      </c>
    </row>
    <row r="28" spans="2:28">
      <c r="B28" t="s">
        <v>74</v>
      </c>
      <c r="C28" s="219">
        <f>'Overall recycling rates'!E40*'Overall recycling rates'!E57</f>
        <v>0</v>
      </c>
      <c r="D28" s="2">
        <f t="shared" ref="D28:D31" si="32">C28/$C$32</f>
        <v>0</v>
      </c>
      <c r="E28" s="2"/>
      <c r="F28" s="2"/>
      <c r="G28" s="2"/>
      <c r="I28" s="617"/>
      <c r="K28" t="s">
        <v>74</v>
      </c>
      <c r="L28" s="40">
        <f>'Overall recycling rates'!E13*'Overall recycling rates'!E57</f>
        <v>1.9002185499827445E-2</v>
      </c>
      <c r="M28" s="119">
        <f t="shared" ref="M28:M31" si="33">$L28/$L$32</f>
        <v>6.6490136549148898E-2</v>
      </c>
      <c r="O28" s="2"/>
      <c r="P28" s="2"/>
      <c r="Q28" s="2"/>
      <c r="S28" s="612"/>
      <c r="W28" s="22">
        <f>SUM(W25:W27)/SUM($W$25:$Z$27)</f>
        <v>0.11499935012302656</v>
      </c>
      <c r="X28" s="22">
        <f t="shared" ref="X28:Z28" si="34">SUM(X25:X27)/SUM($W$25:$Z$27)</f>
        <v>0.10855071452136934</v>
      </c>
      <c r="Y28" s="22">
        <f t="shared" si="34"/>
        <v>0.63853361483158444</v>
      </c>
      <c r="Z28" s="22">
        <f t="shared" si="34"/>
        <v>0.13791632052401978</v>
      </c>
    </row>
    <row r="29" spans="2:28">
      <c r="B29" t="s">
        <v>34</v>
      </c>
      <c r="C29" s="219">
        <f>'Overall recycling rates'!F40*'Overall recycling rates'!F57</f>
        <v>1.2672256760988159E-2</v>
      </c>
      <c r="D29" s="2">
        <f t="shared" si="32"/>
        <v>1</v>
      </c>
      <c r="E29" s="52"/>
      <c r="F29" s="52"/>
      <c r="G29" s="52"/>
      <c r="I29" s="617"/>
      <c r="K29" t="s">
        <v>34</v>
      </c>
      <c r="L29" s="40">
        <f>'Overall recycling rates'!F13*'Overall recycling rates'!F57</f>
        <v>0.16398931448403264</v>
      </c>
      <c r="M29" s="119">
        <f t="shared" si="33"/>
        <v>0.57381146567291774</v>
      </c>
      <c r="O29" s="52"/>
      <c r="P29" s="52"/>
      <c r="Q29" s="52"/>
      <c r="S29" s="612"/>
    </row>
    <row r="30" spans="2:28">
      <c r="B30" t="s">
        <v>35</v>
      </c>
      <c r="C30" s="219">
        <f>'Overall recycling rates'!G40*'Overall recycling rates'!G57</f>
        <v>0</v>
      </c>
      <c r="D30" s="2">
        <f t="shared" si="32"/>
        <v>0</v>
      </c>
      <c r="E30" s="2"/>
      <c r="F30" s="2"/>
      <c r="G30" s="2"/>
      <c r="I30" s="617"/>
      <c r="K30" t="s">
        <v>35</v>
      </c>
      <c r="L30" s="40">
        <f>'Overall recycling rates'!G13*'Overall recycling rates'!G57</f>
        <v>0</v>
      </c>
      <c r="M30" s="119">
        <f t="shared" si="33"/>
        <v>0</v>
      </c>
      <c r="O30" s="2"/>
      <c r="P30" s="2"/>
      <c r="Q30" s="2"/>
      <c r="S30" s="612"/>
      <c r="U30" t="s">
        <v>739</v>
      </c>
      <c r="V30" t="s">
        <v>531</v>
      </c>
      <c r="W30" t="s">
        <v>740</v>
      </c>
      <c r="X30" t="s">
        <v>21</v>
      </c>
      <c r="Y30" t="s">
        <v>295</v>
      </c>
      <c r="Z30" t="s">
        <v>27</v>
      </c>
    </row>
    <row r="31" spans="2:28">
      <c r="B31" t="s">
        <v>27</v>
      </c>
      <c r="C31" s="219">
        <f>'Overall recycling rates'!I40*'Overall recycling rates'!I57</f>
        <v>0</v>
      </c>
      <c r="D31" s="2">
        <f t="shared" si="32"/>
        <v>0</v>
      </c>
      <c r="E31" s="52"/>
      <c r="F31" s="52"/>
      <c r="G31" s="52"/>
      <c r="I31" s="617"/>
      <c r="K31" t="s">
        <v>27</v>
      </c>
      <c r="L31" s="40">
        <f>'Overall recycling rates'!I13*'Overall recycling rates'!I57</f>
        <v>9.0980970806256098E-3</v>
      </c>
      <c r="M31" s="119">
        <f t="shared" si="33"/>
        <v>3.1834954838942234E-2</v>
      </c>
      <c r="O31" s="52"/>
      <c r="P31" s="52"/>
      <c r="Q31" s="52"/>
      <c r="S31" s="612"/>
      <c r="U31" t="s">
        <v>141</v>
      </c>
      <c r="V31" s="331">
        <f t="shared" ref="V31:Z33" si="35">V25/SUM(V$25:V$27)</f>
        <v>0.92769168914429945</v>
      </c>
      <c r="W31" s="331">
        <f t="shared" si="35"/>
        <v>0</v>
      </c>
      <c r="X31" s="331">
        <f t="shared" si="35"/>
        <v>1</v>
      </c>
      <c r="Y31" s="331">
        <f t="shared" si="35"/>
        <v>1</v>
      </c>
      <c r="Z31" s="331">
        <f t="shared" si="35"/>
        <v>0.71762870357071562</v>
      </c>
    </row>
    <row r="32" spans="2:28">
      <c r="C32" s="219">
        <f>SUM(C27:C31)</f>
        <v>1.2672256760988159E-2</v>
      </c>
      <c r="D32" s="2">
        <f>SUM(D27:D31)</f>
        <v>1</v>
      </c>
      <c r="E32" s="2"/>
      <c r="F32" s="2"/>
      <c r="G32" s="2"/>
      <c r="L32" s="40">
        <f>SUM(L27:L31)</f>
        <v>0.28578953941207813</v>
      </c>
      <c r="M32" s="2">
        <f>SUM(M27:M31)</f>
        <v>1</v>
      </c>
      <c r="O32" s="2"/>
      <c r="P32" s="2"/>
      <c r="Q32" s="2"/>
      <c r="U32" t="s">
        <v>74</v>
      </c>
      <c r="V32" s="331">
        <f t="shared" si="35"/>
        <v>0</v>
      </c>
      <c r="W32" s="331">
        <f t="shared" si="35"/>
        <v>0</v>
      </c>
      <c r="X32" s="331">
        <f t="shared" si="35"/>
        <v>0</v>
      </c>
      <c r="Y32" s="331">
        <f t="shared" si="35"/>
        <v>0</v>
      </c>
      <c r="Z32" s="331">
        <f t="shared" si="35"/>
        <v>0.26057170849044342</v>
      </c>
    </row>
    <row r="33" spans="1:35">
      <c r="U33" t="s">
        <v>35</v>
      </c>
      <c r="V33" s="331">
        <f t="shared" si="35"/>
        <v>7.2308310855700428E-2</v>
      </c>
      <c r="W33" s="331">
        <f t="shared" si="35"/>
        <v>1</v>
      </c>
      <c r="X33" s="331">
        <f t="shared" si="35"/>
        <v>0</v>
      </c>
      <c r="Y33" s="331">
        <f t="shared" si="35"/>
        <v>0</v>
      </c>
      <c r="Z33" s="331">
        <f t="shared" si="35"/>
        <v>2.1799587938840969E-2</v>
      </c>
    </row>
    <row r="34" spans="1:35">
      <c r="B34" t="s">
        <v>27</v>
      </c>
      <c r="D34" t="s">
        <v>735</v>
      </c>
      <c r="K34" t="s">
        <v>27</v>
      </c>
      <c r="M34" t="s">
        <v>735</v>
      </c>
    </row>
    <row r="35" spans="1:35" ht="14.5" customHeight="1">
      <c r="B35" t="s">
        <v>141</v>
      </c>
      <c r="C35" s="219">
        <f>'Overall recycling rates'!C43*'Overall recycling rates'!C57</f>
        <v>4.3235019276998223E-2</v>
      </c>
      <c r="D35" s="2">
        <f>C35/$C$40</f>
        <v>0.44664213528801272</v>
      </c>
      <c r="I35" s="617" t="s">
        <v>746</v>
      </c>
      <c r="K35" t="s">
        <v>141</v>
      </c>
      <c r="L35" s="40">
        <f>'Overall recycling rates'!C16*'Overall recycling rates'!C57</f>
        <v>0.30882156626427298</v>
      </c>
      <c r="M35" s="119">
        <f>$L35/$L$40</f>
        <v>0.44664213528801272</v>
      </c>
      <c r="S35" s="612" t="s">
        <v>747</v>
      </c>
    </row>
    <row r="36" spans="1:35">
      <c r="B36" t="s">
        <v>74</v>
      </c>
      <c r="C36" s="219">
        <f>'Overall recycling rates'!E43*'Overall recycling rates'!E57</f>
        <v>6.3324349012889121E-3</v>
      </c>
      <c r="D36" s="2">
        <f t="shared" ref="D36:D39" si="36">C36/$C$40</f>
        <v>6.5417624258785459E-2</v>
      </c>
      <c r="I36" s="617"/>
      <c r="K36" t="s">
        <v>74</v>
      </c>
      <c r="L36" s="40">
        <f>'Overall recycling rates'!E16*'Overall recycling rates'!E57</f>
        <v>4.5231677866349365E-2</v>
      </c>
      <c r="M36" s="119">
        <f t="shared" ref="M36:M39" si="37">$L36/$L$40</f>
        <v>6.5417624258785459E-2</v>
      </c>
      <c r="S36" s="612"/>
    </row>
    <row r="37" spans="1:35">
      <c r="B37" t="s">
        <v>34</v>
      </c>
      <c r="C37" s="219">
        <f>'Overall recycling rates'!F43*'Overall recycling rates'!F57</f>
        <v>2.0551784889825061E-2</v>
      </c>
      <c r="D37" s="2">
        <f t="shared" si="36"/>
        <v>0.21231152988186414</v>
      </c>
      <c r="I37" s="617"/>
      <c r="K37" t="s">
        <v>34</v>
      </c>
      <c r="L37" s="40">
        <f>'Overall recycling rates'!F16*'Overall recycling rates'!F57</f>
        <v>0.14679846349875045</v>
      </c>
      <c r="M37" s="119">
        <f t="shared" si="37"/>
        <v>0.21231152988186419</v>
      </c>
      <c r="S37" s="612"/>
    </row>
    <row r="38" spans="1:35">
      <c r="B38" t="s">
        <v>35</v>
      </c>
      <c r="C38" s="219">
        <f>'Overall recycling rates'!G43*'Overall recycling rates'!G57</f>
        <v>0</v>
      </c>
      <c r="D38" s="2">
        <f t="shared" si="36"/>
        <v>0</v>
      </c>
      <c r="I38" s="617"/>
      <c r="K38" t="s">
        <v>35</v>
      </c>
      <c r="L38" s="40">
        <f>'Overall recycling rates'!G16*'Overall recycling rates'!G57</f>
        <v>0</v>
      </c>
      <c r="M38" s="119">
        <f t="shared" si="37"/>
        <v>0</v>
      </c>
      <c r="S38" s="612"/>
    </row>
    <row r="39" spans="1:35">
      <c r="B39" t="s">
        <v>27</v>
      </c>
      <c r="C39" s="219">
        <f>'Overall recycling rates'!I43*'Overall recycling rates'!I57</f>
        <v>2.6680896568707087E-2</v>
      </c>
      <c r="D39" s="2">
        <f t="shared" si="36"/>
        <v>0.27562871057133764</v>
      </c>
      <c r="I39" s="617"/>
      <c r="K39" t="s">
        <v>27</v>
      </c>
      <c r="L39" s="40">
        <f>'Overall recycling rates'!I16*'Overall recycling rates'!I57</f>
        <v>0.19057783263362205</v>
      </c>
      <c r="M39" s="119">
        <f t="shared" si="37"/>
        <v>0.27562871057133764</v>
      </c>
      <c r="S39" s="612"/>
    </row>
    <row r="40" spans="1:35">
      <c r="C40" s="219">
        <f>SUM(C35:C39)</f>
        <v>9.6800135636819287E-2</v>
      </c>
      <c r="D40" s="2">
        <f>SUM(D35:D39)</f>
        <v>0.99999999999999989</v>
      </c>
      <c r="L40" s="40">
        <f>SUM(L35:L39)</f>
        <v>0.69142954026299486</v>
      </c>
      <c r="M40" s="2">
        <f>SUM(M35:M39)</f>
        <v>1</v>
      </c>
    </row>
    <row r="42" spans="1:35" s="226" customFormat="1" ht="15.5" thickBot="1">
      <c r="E42" s="226">
        <v>2020</v>
      </c>
      <c r="F42" s="226">
        <f>E42+1</f>
        <v>2021</v>
      </c>
      <c r="G42" s="226">
        <f t="shared" ref="G42:AI42" si="38">F42+1</f>
        <v>2022</v>
      </c>
      <c r="H42" s="226">
        <f t="shared" si="38"/>
        <v>2023</v>
      </c>
      <c r="I42" s="226">
        <f t="shared" si="38"/>
        <v>2024</v>
      </c>
      <c r="J42" s="226">
        <f t="shared" si="38"/>
        <v>2025</v>
      </c>
      <c r="K42" s="226">
        <f t="shared" si="38"/>
        <v>2026</v>
      </c>
      <c r="L42" s="226">
        <f t="shared" si="38"/>
        <v>2027</v>
      </c>
      <c r="M42" s="226">
        <f t="shared" si="38"/>
        <v>2028</v>
      </c>
      <c r="N42" s="226">
        <f t="shared" si="38"/>
        <v>2029</v>
      </c>
      <c r="O42" s="226">
        <f t="shared" si="38"/>
        <v>2030</v>
      </c>
      <c r="P42" s="226">
        <f t="shared" si="38"/>
        <v>2031</v>
      </c>
      <c r="Q42" s="226">
        <f t="shared" si="38"/>
        <v>2032</v>
      </c>
      <c r="R42" s="226">
        <f t="shared" si="38"/>
        <v>2033</v>
      </c>
      <c r="S42" s="226">
        <f t="shared" si="38"/>
        <v>2034</v>
      </c>
      <c r="T42" s="226">
        <f t="shared" si="38"/>
        <v>2035</v>
      </c>
      <c r="U42" s="226">
        <f t="shared" si="38"/>
        <v>2036</v>
      </c>
      <c r="V42" s="226">
        <f t="shared" si="38"/>
        <v>2037</v>
      </c>
      <c r="W42" s="226">
        <f t="shared" si="38"/>
        <v>2038</v>
      </c>
      <c r="X42" s="226">
        <f t="shared" si="38"/>
        <v>2039</v>
      </c>
      <c r="Y42" s="226">
        <f t="shared" si="38"/>
        <v>2040</v>
      </c>
      <c r="Z42" s="226">
        <f t="shared" si="38"/>
        <v>2041</v>
      </c>
      <c r="AA42" s="226">
        <f t="shared" si="38"/>
        <v>2042</v>
      </c>
      <c r="AB42" s="226">
        <f>AA42+1</f>
        <v>2043</v>
      </c>
      <c r="AC42" s="226">
        <f t="shared" si="38"/>
        <v>2044</v>
      </c>
      <c r="AD42" s="226">
        <f t="shared" si="38"/>
        <v>2045</v>
      </c>
      <c r="AE42" s="226">
        <f t="shared" si="38"/>
        <v>2046</v>
      </c>
      <c r="AF42" s="226">
        <f t="shared" si="38"/>
        <v>2047</v>
      </c>
      <c r="AG42" s="226">
        <f t="shared" si="38"/>
        <v>2048</v>
      </c>
      <c r="AH42" s="226">
        <f t="shared" si="38"/>
        <v>2049</v>
      </c>
      <c r="AI42" s="226">
        <f t="shared" si="38"/>
        <v>2050</v>
      </c>
    </row>
    <row r="43" spans="1:35">
      <c r="A43" s="260"/>
      <c r="B43" t="s">
        <v>17</v>
      </c>
      <c r="C43" t="s">
        <v>735</v>
      </c>
      <c r="D43" t="s">
        <v>141</v>
      </c>
      <c r="E43" s="148">
        <f>C3</f>
        <v>0.92769168914429945</v>
      </c>
      <c r="F43" s="148">
        <f>-($E43-$AI43)/30+E43</f>
        <v>0.9264600072517406</v>
      </c>
      <c r="G43" s="148">
        <f t="shared" ref="G43:AH43" si="39">-($E43-$AI43)/30+F43</f>
        <v>0.92522832535918176</v>
      </c>
      <c r="H43" s="148">
        <f t="shared" si="39"/>
        <v>0.92399664346662291</v>
      </c>
      <c r="I43" s="148">
        <f t="shared" si="39"/>
        <v>0.92276496157406407</v>
      </c>
      <c r="J43" s="148">
        <f t="shared" si="39"/>
        <v>0.92153327968150522</v>
      </c>
      <c r="K43" s="148">
        <f t="shared" si="39"/>
        <v>0.92030159778894638</v>
      </c>
      <c r="L43" s="148">
        <f t="shared" si="39"/>
        <v>0.91906991589638753</v>
      </c>
      <c r="M43" s="148">
        <f t="shared" si="39"/>
        <v>0.91783823400382869</v>
      </c>
      <c r="N43" s="148">
        <f t="shared" si="39"/>
        <v>0.91660655211126985</v>
      </c>
      <c r="O43" s="148">
        <f t="shared" si="39"/>
        <v>0.915374870218711</v>
      </c>
      <c r="P43" s="148">
        <f t="shared" si="39"/>
        <v>0.91414318832615216</v>
      </c>
      <c r="Q43" s="148">
        <f t="shared" si="39"/>
        <v>0.91291150643359331</v>
      </c>
      <c r="R43" s="148">
        <f t="shared" si="39"/>
        <v>0.91167982454103447</v>
      </c>
      <c r="S43" s="148">
        <f t="shared" si="39"/>
        <v>0.91044814264847562</v>
      </c>
      <c r="T43" s="148">
        <f t="shared" si="39"/>
        <v>0.90921646075591678</v>
      </c>
      <c r="U43" s="148">
        <f t="shared" si="39"/>
        <v>0.90798477886335793</v>
      </c>
      <c r="V43" s="148">
        <f t="shared" si="39"/>
        <v>0.90675309697079909</v>
      </c>
      <c r="W43" s="148">
        <f t="shared" si="39"/>
        <v>0.90552141507824024</v>
      </c>
      <c r="X43" s="148">
        <f t="shared" si="39"/>
        <v>0.9042897331856814</v>
      </c>
      <c r="Y43" s="148">
        <f t="shared" si="39"/>
        <v>0.90305805129312255</v>
      </c>
      <c r="Z43" s="148">
        <f t="shared" si="39"/>
        <v>0.90182636940056371</v>
      </c>
      <c r="AA43" s="148">
        <f t="shared" si="39"/>
        <v>0.90059468750800487</v>
      </c>
      <c r="AB43" s="148">
        <f t="shared" si="39"/>
        <v>0.89936300561544602</v>
      </c>
      <c r="AC43" s="148">
        <f t="shared" si="39"/>
        <v>0.89813132372288718</v>
      </c>
      <c r="AD43" s="148">
        <f t="shared" si="39"/>
        <v>0.89689964183032833</v>
      </c>
      <c r="AE43" s="148">
        <f t="shared" si="39"/>
        <v>0.89566795993776949</v>
      </c>
      <c r="AF43" s="148">
        <f t="shared" si="39"/>
        <v>0.89443627804521064</v>
      </c>
      <c r="AG43" s="148">
        <f t="shared" si="39"/>
        <v>0.8932045961526518</v>
      </c>
      <c r="AH43" s="148">
        <f t="shared" si="39"/>
        <v>0.89197291426009295</v>
      </c>
      <c r="AI43" s="148">
        <f>M3</f>
        <v>0.89074123236753355</v>
      </c>
    </row>
    <row r="44" spans="1:35">
      <c r="A44" s="260"/>
      <c r="B44" t="s">
        <v>17</v>
      </c>
      <c r="C44" t="s">
        <v>735</v>
      </c>
      <c r="D44" t="s">
        <v>74</v>
      </c>
      <c r="E44" s="148">
        <f t="shared" ref="E44:E47" si="40">C4</f>
        <v>0</v>
      </c>
      <c r="F44" s="148">
        <f t="shared" ref="F44:AH44" si="41">-($E44-$AI44)/30+E44</f>
        <v>9.0100629475821066E-4</v>
      </c>
      <c r="G44" s="148">
        <f t="shared" si="41"/>
        <v>1.8020125895164213E-3</v>
      </c>
      <c r="H44" s="148">
        <f t="shared" si="41"/>
        <v>2.703018884274632E-3</v>
      </c>
      <c r="I44" s="148">
        <f t="shared" si="41"/>
        <v>3.6040251790328427E-3</v>
      </c>
      <c r="J44" s="148">
        <f t="shared" si="41"/>
        <v>4.5050314737910529E-3</v>
      </c>
      <c r="K44" s="148">
        <f t="shared" si="41"/>
        <v>5.4060377685492631E-3</v>
      </c>
      <c r="L44" s="148">
        <f t="shared" si="41"/>
        <v>6.3070440633074733E-3</v>
      </c>
      <c r="M44" s="148">
        <f t="shared" si="41"/>
        <v>7.2080503580656836E-3</v>
      </c>
      <c r="N44" s="148">
        <f t="shared" si="41"/>
        <v>8.1090566528238938E-3</v>
      </c>
      <c r="O44" s="148">
        <f t="shared" si="41"/>
        <v>9.010062947582104E-3</v>
      </c>
      <c r="P44" s="148">
        <f t="shared" si="41"/>
        <v>9.9110692423403143E-3</v>
      </c>
      <c r="Q44" s="148">
        <f t="shared" si="41"/>
        <v>1.0812075537098524E-2</v>
      </c>
      <c r="R44" s="148">
        <f t="shared" si="41"/>
        <v>1.1713081831856735E-2</v>
      </c>
      <c r="S44" s="148">
        <f t="shared" si="41"/>
        <v>1.2614088126614945E-2</v>
      </c>
      <c r="T44" s="148">
        <f t="shared" si="41"/>
        <v>1.3515094421373155E-2</v>
      </c>
      <c r="U44" s="148">
        <f t="shared" si="41"/>
        <v>1.4416100716131365E-2</v>
      </c>
      <c r="V44" s="148">
        <f t="shared" si="41"/>
        <v>1.5317107010889576E-2</v>
      </c>
      <c r="W44" s="148">
        <f t="shared" si="41"/>
        <v>1.6218113305647788E-2</v>
      </c>
      <c r="X44" s="148">
        <f t="shared" si="41"/>
        <v>1.7119119600405998E-2</v>
      </c>
      <c r="Y44" s="148">
        <f t="shared" si="41"/>
        <v>1.8020125895164208E-2</v>
      </c>
      <c r="Z44" s="148">
        <f t="shared" si="41"/>
        <v>1.8921132189922418E-2</v>
      </c>
      <c r="AA44" s="148">
        <f t="shared" si="41"/>
        <v>1.9822138484680629E-2</v>
      </c>
      <c r="AB44" s="148">
        <f t="shared" si="41"/>
        <v>2.0723144779438839E-2</v>
      </c>
      <c r="AC44" s="148">
        <f t="shared" si="41"/>
        <v>2.1624151074197049E-2</v>
      </c>
      <c r="AD44" s="148">
        <f t="shared" si="41"/>
        <v>2.2525157368955259E-2</v>
      </c>
      <c r="AE44" s="148">
        <f t="shared" si="41"/>
        <v>2.3426163663713469E-2</v>
      </c>
      <c r="AF44" s="148">
        <f t="shared" si="41"/>
        <v>2.432716995847168E-2</v>
      </c>
      <c r="AG44" s="148">
        <f t="shared" si="41"/>
        <v>2.522817625322989E-2</v>
      </c>
      <c r="AH44" s="148">
        <f t="shared" si="41"/>
        <v>2.61291825479881E-2</v>
      </c>
      <c r="AI44" s="148">
        <f t="shared" ref="AI44:AI47" si="42">M4</f>
        <v>2.7030188842746321E-2</v>
      </c>
    </row>
    <row r="45" spans="1:35">
      <c r="A45" s="260"/>
      <c r="B45" t="s">
        <v>17</v>
      </c>
      <c r="C45" t="s">
        <v>735</v>
      </c>
      <c r="D45" t="s">
        <v>34</v>
      </c>
      <c r="E45" s="148">
        <f t="shared" si="40"/>
        <v>0</v>
      </c>
      <c r="F45" s="148">
        <f t="shared" ref="F45:AH45" si="43">-($E45-$AI45)/30+E45</f>
        <v>1.545307392206399E-3</v>
      </c>
      <c r="G45" s="148">
        <f t="shared" si="43"/>
        <v>3.0906147844127979E-3</v>
      </c>
      <c r="H45" s="148">
        <f t="shared" si="43"/>
        <v>4.6359221766191974E-3</v>
      </c>
      <c r="I45" s="148">
        <f t="shared" si="43"/>
        <v>6.1812295688255959E-3</v>
      </c>
      <c r="J45" s="148">
        <f t="shared" si="43"/>
        <v>7.7265369610319944E-3</v>
      </c>
      <c r="K45" s="148">
        <f t="shared" si="43"/>
        <v>9.271844353238393E-3</v>
      </c>
      <c r="L45" s="148">
        <f t="shared" si="43"/>
        <v>1.0817151745444792E-2</v>
      </c>
      <c r="M45" s="148">
        <f t="shared" si="43"/>
        <v>1.236245913765119E-2</v>
      </c>
      <c r="N45" s="148">
        <f t="shared" si="43"/>
        <v>1.3907766529857589E-2</v>
      </c>
      <c r="O45" s="148">
        <f t="shared" si="43"/>
        <v>1.5453073922063987E-2</v>
      </c>
      <c r="P45" s="148">
        <f t="shared" si="43"/>
        <v>1.6998381314270387E-2</v>
      </c>
      <c r="Q45" s="148">
        <f t="shared" si="43"/>
        <v>1.8543688706476786E-2</v>
      </c>
      <c r="R45" s="148">
        <f t="shared" si="43"/>
        <v>2.0088996098683184E-2</v>
      </c>
      <c r="S45" s="148">
        <f t="shared" si="43"/>
        <v>2.1634303490889583E-2</v>
      </c>
      <c r="T45" s="148">
        <f t="shared" si="43"/>
        <v>2.3179610883095982E-2</v>
      </c>
      <c r="U45" s="148">
        <f t="shared" si="43"/>
        <v>2.472491827530238E-2</v>
      </c>
      <c r="V45" s="148">
        <f t="shared" si="43"/>
        <v>2.6270225667508779E-2</v>
      </c>
      <c r="W45" s="148">
        <f t="shared" si="43"/>
        <v>2.7815533059715177E-2</v>
      </c>
      <c r="X45" s="148">
        <f t="shared" si="43"/>
        <v>2.9360840451921576E-2</v>
      </c>
      <c r="Y45" s="148">
        <f t="shared" si="43"/>
        <v>3.0906147844127974E-2</v>
      </c>
      <c r="Z45" s="148">
        <f t="shared" si="43"/>
        <v>3.2451455236334373E-2</v>
      </c>
      <c r="AA45" s="148">
        <f t="shared" si="43"/>
        <v>3.3996762628540775E-2</v>
      </c>
      <c r="AB45" s="148">
        <f t="shared" si="43"/>
        <v>3.5542070020747177E-2</v>
      </c>
      <c r="AC45" s="148">
        <f t="shared" si="43"/>
        <v>3.7087377412953579E-2</v>
      </c>
      <c r="AD45" s="148">
        <f t="shared" si="43"/>
        <v>3.8632684805159981E-2</v>
      </c>
      <c r="AE45" s="148">
        <f t="shared" si="43"/>
        <v>4.0177992197366383E-2</v>
      </c>
      <c r="AF45" s="148">
        <f t="shared" si="43"/>
        <v>4.1723299589572785E-2</v>
      </c>
      <c r="AG45" s="148">
        <f t="shared" si="43"/>
        <v>4.3268606981779187E-2</v>
      </c>
      <c r="AH45" s="148">
        <f t="shared" si="43"/>
        <v>4.4813914373985589E-2</v>
      </c>
      <c r="AI45" s="148">
        <f t="shared" si="42"/>
        <v>4.635922176619197E-2</v>
      </c>
    </row>
    <row r="46" spans="1:35">
      <c r="A46" s="260"/>
      <c r="B46" t="s">
        <v>17</v>
      </c>
      <c r="C46" t="s">
        <v>735</v>
      </c>
      <c r="D46" t="s">
        <v>35</v>
      </c>
      <c r="E46" s="148">
        <f t="shared" si="40"/>
        <v>7.2308310855700428E-2</v>
      </c>
      <c r="F46" s="148">
        <f t="shared" ref="F46:AH46" si="44">-($E46-$AI46)/30+E46</f>
        <v>7.0815902940538786E-2</v>
      </c>
      <c r="G46" s="148">
        <f t="shared" si="44"/>
        <v>6.9323495025377144E-2</v>
      </c>
      <c r="H46" s="148">
        <f t="shared" si="44"/>
        <v>6.7831087110215502E-2</v>
      </c>
      <c r="I46" s="148">
        <f t="shared" si="44"/>
        <v>6.633867919505386E-2</v>
      </c>
      <c r="J46" s="148">
        <f t="shared" si="44"/>
        <v>6.4846271279892218E-2</v>
      </c>
      <c r="K46" s="148">
        <f t="shared" si="44"/>
        <v>6.3353863364730575E-2</v>
      </c>
      <c r="L46" s="148">
        <f t="shared" si="44"/>
        <v>6.1861455449568933E-2</v>
      </c>
      <c r="M46" s="148">
        <f t="shared" si="44"/>
        <v>6.0369047534407291E-2</v>
      </c>
      <c r="N46" s="148">
        <f t="shared" si="44"/>
        <v>5.8876639619245649E-2</v>
      </c>
      <c r="O46" s="148">
        <f t="shared" si="44"/>
        <v>5.7384231704084007E-2</v>
      </c>
      <c r="P46" s="148">
        <f t="shared" si="44"/>
        <v>5.5891823788922365E-2</v>
      </c>
      <c r="Q46" s="148">
        <f t="shared" si="44"/>
        <v>5.4399415873760723E-2</v>
      </c>
      <c r="R46" s="148">
        <f t="shared" si="44"/>
        <v>5.2907007958599081E-2</v>
      </c>
      <c r="S46" s="148">
        <f t="shared" si="44"/>
        <v>5.1414600043437439E-2</v>
      </c>
      <c r="T46" s="148">
        <f t="shared" si="44"/>
        <v>4.9922192128275797E-2</v>
      </c>
      <c r="U46" s="148">
        <f t="shared" si="44"/>
        <v>4.8429784213114155E-2</v>
      </c>
      <c r="V46" s="148">
        <f t="shared" si="44"/>
        <v>4.6937376297952513E-2</v>
      </c>
      <c r="W46" s="148">
        <f t="shared" si="44"/>
        <v>4.5444968382790871E-2</v>
      </c>
      <c r="X46" s="148">
        <f t="shared" si="44"/>
        <v>4.3952560467629229E-2</v>
      </c>
      <c r="Y46" s="148">
        <f t="shared" si="44"/>
        <v>4.2460152552467587E-2</v>
      </c>
      <c r="Z46" s="148">
        <f t="shared" si="44"/>
        <v>4.0967744637305945E-2</v>
      </c>
      <c r="AA46" s="148">
        <f t="shared" si="44"/>
        <v>3.9475336722144302E-2</v>
      </c>
      <c r="AB46" s="148">
        <f t="shared" si="44"/>
        <v>3.798292880698266E-2</v>
      </c>
      <c r="AC46" s="148">
        <f t="shared" si="44"/>
        <v>3.6490520891821018E-2</v>
      </c>
      <c r="AD46" s="148">
        <f t="shared" si="44"/>
        <v>3.4998112976659376E-2</v>
      </c>
      <c r="AE46" s="148">
        <f t="shared" si="44"/>
        <v>3.3505705061497734E-2</v>
      </c>
      <c r="AF46" s="148">
        <f t="shared" si="44"/>
        <v>3.2013297146336092E-2</v>
      </c>
      <c r="AG46" s="148">
        <f t="shared" si="44"/>
        <v>3.052088923117445E-2</v>
      </c>
      <c r="AH46" s="148">
        <f t="shared" si="44"/>
        <v>2.9028481316012808E-2</v>
      </c>
      <c r="AI46" s="148">
        <f t="shared" si="42"/>
        <v>2.7536073400851156E-2</v>
      </c>
    </row>
    <row r="47" spans="1:35" s="62" customFormat="1">
      <c r="A47" s="261"/>
      <c r="B47" s="62" t="s">
        <v>17</v>
      </c>
      <c r="C47" s="62" t="s">
        <v>735</v>
      </c>
      <c r="D47" s="62" t="s">
        <v>27</v>
      </c>
      <c r="E47" s="366">
        <f t="shared" si="40"/>
        <v>0</v>
      </c>
      <c r="F47" s="366">
        <f t="shared" ref="F47:AH47" si="45">-($E47-$AI47)/30+E47</f>
        <v>2.7777612075590769E-4</v>
      </c>
      <c r="G47" s="366">
        <f t="shared" si="45"/>
        <v>5.5555224151181538E-4</v>
      </c>
      <c r="H47" s="366">
        <f t="shared" si="45"/>
        <v>8.3332836226772313E-4</v>
      </c>
      <c r="I47" s="366">
        <f t="shared" si="45"/>
        <v>1.1111044830236308E-3</v>
      </c>
      <c r="J47" s="366">
        <f t="shared" si="45"/>
        <v>1.3888806037795384E-3</v>
      </c>
      <c r="K47" s="366">
        <f t="shared" si="45"/>
        <v>1.666656724535446E-3</v>
      </c>
      <c r="L47" s="366">
        <f t="shared" si="45"/>
        <v>1.9444328452913537E-3</v>
      </c>
      <c r="M47" s="366">
        <f t="shared" si="45"/>
        <v>2.2222089660472615E-3</v>
      </c>
      <c r="N47" s="366">
        <f t="shared" si="45"/>
        <v>2.4999850868031694E-3</v>
      </c>
      <c r="O47" s="366">
        <f t="shared" si="45"/>
        <v>2.7777612075590772E-3</v>
      </c>
      <c r="P47" s="366">
        <f t="shared" si="45"/>
        <v>3.0555373283149851E-3</v>
      </c>
      <c r="Q47" s="366">
        <f t="shared" si="45"/>
        <v>3.333313449070893E-3</v>
      </c>
      <c r="R47" s="366">
        <f t="shared" si="45"/>
        <v>3.6110895698268008E-3</v>
      </c>
      <c r="S47" s="366">
        <f t="shared" si="45"/>
        <v>3.8888656905827087E-3</v>
      </c>
      <c r="T47" s="366">
        <f t="shared" si="45"/>
        <v>4.1666418113386165E-3</v>
      </c>
      <c r="U47" s="366">
        <f t="shared" si="45"/>
        <v>4.4444179320945239E-3</v>
      </c>
      <c r="V47" s="366">
        <f t="shared" si="45"/>
        <v>4.7221940528504314E-3</v>
      </c>
      <c r="W47" s="366">
        <f t="shared" si="45"/>
        <v>4.9999701736063388E-3</v>
      </c>
      <c r="X47" s="366">
        <f t="shared" si="45"/>
        <v>5.2777462943622462E-3</v>
      </c>
      <c r="Y47" s="366">
        <f t="shared" si="45"/>
        <v>5.5555224151181536E-3</v>
      </c>
      <c r="Z47" s="366">
        <f t="shared" si="45"/>
        <v>5.8332985358740611E-3</v>
      </c>
      <c r="AA47" s="366">
        <f t="shared" si="45"/>
        <v>6.1110746566299685E-3</v>
      </c>
      <c r="AB47" s="366">
        <f t="shared" si="45"/>
        <v>6.3888507773858759E-3</v>
      </c>
      <c r="AC47" s="366">
        <f t="shared" si="45"/>
        <v>6.6666268981417833E-3</v>
      </c>
      <c r="AD47" s="366">
        <f t="shared" si="45"/>
        <v>6.9444030188976907E-3</v>
      </c>
      <c r="AE47" s="366">
        <f t="shared" si="45"/>
        <v>7.2221791396535982E-3</v>
      </c>
      <c r="AF47" s="366">
        <f t="shared" si="45"/>
        <v>7.4999552604095056E-3</v>
      </c>
      <c r="AG47" s="366">
        <f t="shared" si="45"/>
        <v>7.777731381165413E-3</v>
      </c>
      <c r="AH47" s="366">
        <f t="shared" si="45"/>
        <v>8.0555075019213204E-3</v>
      </c>
      <c r="AI47" s="366">
        <f t="shared" si="42"/>
        <v>8.3332836226772313E-3</v>
      </c>
    </row>
    <row r="48" spans="1:35" s="61" customFormat="1">
      <c r="A48" s="257"/>
      <c r="B48" s="61" t="s">
        <v>17</v>
      </c>
      <c r="C48" s="61" t="s">
        <v>736</v>
      </c>
      <c r="D48" s="61" t="s">
        <v>141</v>
      </c>
      <c r="E48" s="175">
        <f>D3</f>
        <v>0</v>
      </c>
      <c r="F48" s="175">
        <f t="shared" ref="F48:AH48" si="46">-($E48-$AI48)/30+E48</f>
        <v>0</v>
      </c>
      <c r="G48" s="175">
        <f t="shared" si="46"/>
        <v>0</v>
      </c>
      <c r="H48" s="175">
        <f t="shared" si="46"/>
        <v>0</v>
      </c>
      <c r="I48" s="175">
        <f t="shared" si="46"/>
        <v>0</v>
      </c>
      <c r="J48" s="175">
        <f t="shared" si="46"/>
        <v>0</v>
      </c>
      <c r="K48" s="175">
        <f t="shared" si="46"/>
        <v>0</v>
      </c>
      <c r="L48" s="175">
        <f t="shared" si="46"/>
        <v>0</v>
      </c>
      <c r="M48" s="175">
        <f t="shared" si="46"/>
        <v>0</v>
      </c>
      <c r="N48" s="175">
        <f t="shared" si="46"/>
        <v>0</v>
      </c>
      <c r="O48" s="175">
        <f t="shared" si="46"/>
        <v>0</v>
      </c>
      <c r="P48" s="175">
        <f t="shared" si="46"/>
        <v>0</v>
      </c>
      <c r="Q48" s="175">
        <f t="shared" si="46"/>
        <v>0</v>
      </c>
      <c r="R48" s="175">
        <f t="shared" si="46"/>
        <v>0</v>
      </c>
      <c r="S48" s="175">
        <f t="shared" si="46"/>
        <v>0</v>
      </c>
      <c r="T48" s="175">
        <f t="shared" si="46"/>
        <v>0</v>
      </c>
      <c r="U48" s="175">
        <f t="shared" si="46"/>
        <v>0</v>
      </c>
      <c r="V48" s="175">
        <f t="shared" si="46"/>
        <v>0</v>
      </c>
      <c r="W48" s="175">
        <f t="shared" si="46"/>
        <v>0</v>
      </c>
      <c r="X48" s="175">
        <f t="shared" si="46"/>
        <v>0</v>
      </c>
      <c r="Y48" s="175">
        <f t="shared" si="46"/>
        <v>0</v>
      </c>
      <c r="Z48" s="175">
        <f t="shared" si="46"/>
        <v>0</v>
      </c>
      <c r="AA48" s="175">
        <f t="shared" si="46"/>
        <v>0</v>
      </c>
      <c r="AB48" s="175">
        <f t="shared" si="46"/>
        <v>0</v>
      </c>
      <c r="AC48" s="175">
        <f t="shared" si="46"/>
        <v>0</v>
      </c>
      <c r="AD48" s="175">
        <f t="shared" si="46"/>
        <v>0</v>
      </c>
      <c r="AE48" s="175">
        <f t="shared" si="46"/>
        <v>0</v>
      </c>
      <c r="AF48" s="175">
        <f t="shared" si="46"/>
        <v>0</v>
      </c>
      <c r="AG48" s="175">
        <f t="shared" si="46"/>
        <v>0</v>
      </c>
      <c r="AH48" s="175">
        <f t="shared" si="46"/>
        <v>0</v>
      </c>
      <c r="AI48" s="175">
        <f>N3</f>
        <v>0</v>
      </c>
    </row>
    <row r="49" spans="1:35">
      <c r="A49" s="260"/>
      <c r="B49" t="s">
        <v>17</v>
      </c>
      <c r="C49" t="s">
        <v>736</v>
      </c>
      <c r="D49" t="s">
        <v>74</v>
      </c>
      <c r="E49" s="148">
        <f t="shared" ref="E49:E52" si="47">D4</f>
        <v>0</v>
      </c>
      <c r="F49" s="148">
        <f t="shared" ref="F49:AH49" si="48">-($E49-$AI49)/30+E49</f>
        <v>0</v>
      </c>
      <c r="G49" s="148">
        <f t="shared" si="48"/>
        <v>0</v>
      </c>
      <c r="H49" s="148">
        <f t="shared" si="48"/>
        <v>0</v>
      </c>
      <c r="I49" s="148">
        <f t="shared" si="48"/>
        <v>0</v>
      </c>
      <c r="J49" s="148">
        <f t="shared" si="48"/>
        <v>0</v>
      </c>
      <c r="K49" s="148">
        <f t="shared" si="48"/>
        <v>0</v>
      </c>
      <c r="L49" s="148">
        <f t="shared" si="48"/>
        <v>0</v>
      </c>
      <c r="M49" s="148">
        <f t="shared" si="48"/>
        <v>0</v>
      </c>
      <c r="N49" s="148">
        <f t="shared" si="48"/>
        <v>0</v>
      </c>
      <c r="O49" s="148">
        <f t="shared" si="48"/>
        <v>0</v>
      </c>
      <c r="P49" s="148">
        <f t="shared" si="48"/>
        <v>0</v>
      </c>
      <c r="Q49" s="148">
        <f t="shared" si="48"/>
        <v>0</v>
      </c>
      <c r="R49" s="148">
        <f t="shared" si="48"/>
        <v>0</v>
      </c>
      <c r="S49" s="148">
        <f t="shared" si="48"/>
        <v>0</v>
      </c>
      <c r="T49" s="148">
        <f t="shared" si="48"/>
        <v>0</v>
      </c>
      <c r="U49" s="148">
        <f t="shared" si="48"/>
        <v>0</v>
      </c>
      <c r="V49" s="148">
        <f t="shared" si="48"/>
        <v>0</v>
      </c>
      <c r="W49" s="148">
        <f t="shared" si="48"/>
        <v>0</v>
      </c>
      <c r="X49" s="148">
        <f t="shared" si="48"/>
        <v>0</v>
      </c>
      <c r="Y49" s="148">
        <f t="shared" si="48"/>
        <v>0</v>
      </c>
      <c r="Z49" s="148">
        <f t="shared" si="48"/>
        <v>0</v>
      </c>
      <c r="AA49" s="148">
        <f t="shared" si="48"/>
        <v>0</v>
      </c>
      <c r="AB49" s="148">
        <f t="shared" si="48"/>
        <v>0</v>
      </c>
      <c r="AC49" s="148">
        <f t="shared" si="48"/>
        <v>0</v>
      </c>
      <c r="AD49" s="148">
        <f t="shared" si="48"/>
        <v>0</v>
      </c>
      <c r="AE49" s="148">
        <f t="shared" si="48"/>
        <v>0</v>
      </c>
      <c r="AF49" s="148">
        <f t="shared" si="48"/>
        <v>0</v>
      </c>
      <c r="AG49" s="148">
        <f t="shared" si="48"/>
        <v>0</v>
      </c>
      <c r="AH49" s="148">
        <f t="shared" si="48"/>
        <v>0</v>
      </c>
      <c r="AI49" s="148">
        <f t="shared" ref="AI49:AI52" si="49">N4</f>
        <v>0</v>
      </c>
    </row>
    <row r="50" spans="1:35">
      <c r="A50" s="260"/>
      <c r="B50" t="s">
        <v>17</v>
      </c>
      <c r="C50" t="s">
        <v>736</v>
      </c>
      <c r="D50" t="s">
        <v>34</v>
      </c>
      <c r="E50" s="148">
        <f t="shared" si="47"/>
        <v>0</v>
      </c>
      <c r="F50" s="148">
        <f t="shared" ref="F50:AH50" si="50">-($E50-$AI50)/30+E50</f>
        <v>0</v>
      </c>
      <c r="G50" s="148">
        <f t="shared" si="50"/>
        <v>0</v>
      </c>
      <c r="H50" s="148">
        <f t="shared" si="50"/>
        <v>0</v>
      </c>
      <c r="I50" s="148">
        <f t="shared" si="50"/>
        <v>0</v>
      </c>
      <c r="J50" s="148">
        <f t="shared" si="50"/>
        <v>0</v>
      </c>
      <c r="K50" s="148">
        <f t="shared" si="50"/>
        <v>0</v>
      </c>
      <c r="L50" s="148">
        <f t="shared" si="50"/>
        <v>0</v>
      </c>
      <c r="M50" s="148">
        <f t="shared" si="50"/>
        <v>0</v>
      </c>
      <c r="N50" s="148">
        <f t="shared" si="50"/>
        <v>0</v>
      </c>
      <c r="O50" s="148">
        <f t="shared" si="50"/>
        <v>0</v>
      </c>
      <c r="P50" s="148">
        <f t="shared" si="50"/>
        <v>0</v>
      </c>
      <c r="Q50" s="148">
        <f t="shared" si="50"/>
        <v>0</v>
      </c>
      <c r="R50" s="148">
        <f t="shared" si="50"/>
        <v>0</v>
      </c>
      <c r="S50" s="148">
        <f t="shared" si="50"/>
        <v>0</v>
      </c>
      <c r="T50" s="148">
        <f t="shared" si="50"/>
        <v>0</v>
      </c>
      <c r="U50" s="148">
        <f t="shared" si="50"/>
        <v>0</v>
      </c>
      <c r="V50" s="148">
        <f t="shared" si="50"/>
        <v>0</v>
      </c>
      <c r="W50" s="148">
        <f t="shared" si="50"/>
        <v>0</v>
      </c>
      <c r="X50" s="148">
        <f t="shared" si="50"/>
        <v>0</v>
      </c>
      <c r="Y50" s="148">
        <f t="shared" si="50"/>
        <v>0</v>
      </c>
      <c r="Z50" s="148">
        <f t="shared" si="50"/>
        <v>0</v>
      </c>
      <c r="AA50" s="148">
        <f t="shared" si="50"/>
        <v>0</v>
      </c>
      <c r="AB50" s="148">
        <f t="shared" si="50"/>
        <v>0</v>
      </c>
      <c r="AC50" s="148">
        <f t="shared" si="50"/>
        <v>0</v>
      </c>
      <c r="AD50" s="148">
        <f t="shared" si="50"/>
        <v>0</v>
      </c>
      <c r="AE50" s="148">
        <f t="shared" si="50"/>
        <v>0</v>
      </c>
      <c r="AF50" s="148">
        <f t="shared" si="50"/>
        <v>0</v>
      </c>
      <c r="AG50" s="148">
        <f t="shared" si="50"/>
        <v>0</v>
      </c>
      <c r="AH50" s="148">
        <f t="shared" si="50"/>
        <v>0</v>
      </c>
      <c r="AI50" s="148">
        <f t="shared" si="49"/>
        <v>0</v>
      </c>
    </row>
    <row r="51" spans="1:35">
      <c r="A51" s="260"/>
      <c r="B51" t="s">
        <v>17</v>
      </c>
      <c r="C51" t="s">
        <v>736</v>
      </c>
      <c r="D51" t="s">
        <v>35</v>
      </c>
      <c r="E51" s="148">
        <f t="shared" si="47"/>
        <v>1</v>
      </c>
      <c r="F51" s="148">
        <f t="shared" ref="F51:AH51" si="51">-($E51-$AI51)/30+E51</f>
        <v>1</v>
      </c>
      <c r="G51" s="148">
        <f t="shared" si="51"/>
        <v>1</v>
      </c>
      <c r="H51" s="148">
        <f t="shared" si="51"/>
        <v>1</v>
      </c>
      <c r="I51" s="148">
        <f t="shared" si="51"/>
        <v>1</v>
      </c>
      <c r="J51" s="148">
        <f t="shared" si="51"/>
        <v>1</v>
      </c>
      <c r="K51" s="148">
        <f t="shared" si="51"/>
        <v>1</v>
      </c>
      <c r="L51" s="148">
        <f t="shared" si="51"/>
        <v>1</v>
      </c>
      <c r="M51" s="148">
        <f t="shared" si="51"/>
        <v>1</v>
      </c>
      <c r="N51" s="148">
        <f t="shared" si="51"/>
        <v>1</v>
      </c>
      <c r="O51" s="148">
        <f t="shared" si="51"/>
        <v>1</v>
      </c>
      <c r="P51" s="148">
        <f t="shared" si="51"/>
        <v>1</v>
      </c>
      <c r="Q51" s="148">
        <f t="shared" si="51"/>
        <v>1</v>
      </c>
      <c r="R51" s="148">
        <f t="shared" si="51"/>
        <v>1</v>
      </c>
      <c r="S51" s="148">
        <f t="shared" si="51"/>
        <v>1</v>
      </c>
      <c r="T51" s="148">
        <f t="shared" si="51"/>
        <v>1</v>
      </c>
      <c r="U51" s="148">
        <f t="shared" si="51"/>
        <v>1</v>
      </c>
      <c r="V51" s="148">
        <f t="shared" si="51"/>
        <v>1</v>
      </c>
      <c r="W51" s="148">
        <f t="shared" si="51"/>
        <v>1</v>
      </c>
      <c r="X51" s="148">
        <f t="shared" si="51"/>
        <v>1</v>
      </c>
      <c r="Y51" s="148">
        <f t="shared" si="51"/>
        <v>1</v>
      </c>
      <c r="Z51" s="148">
        <f t="shared" si="51"/>
        <v>1</v>
      </c>
      <c r="AA51" s="148">
        <f t="shared" si="51"/>
        <v>1</v>
      </c>
      <c r="AB51" s="148">
        <f t="shared" si="51"/>
        <v>1</v>
      </c>
      <c r="AC51" s="148">
        <f t="shared" si="51"/>
        <v>1</v>
      </c>
      <c r="AD51" s="148">
        <f t="shared" si="51"/>
        <v>1</v>
      </c>
      <c r="AE51" s="148">
        <f t="shared" si="51"/>
        <v>1</v>
      </c>
      <c r="AF51" s="148">
        <f t="shared" si="51"/>
        <v>1</v>
      </c>
      <c r="AG51" s="148">
        <f t="shared" si="51"/>
        <v>1</v>
      </c>
      <c r="AH51" s="148">
        <f t="shared" si="51"/>
        <v>1</v>
      </c>
      <c r="AI51" s="148">
        <f t="shared" si="49"/>
        <v>1</v>
      </c>
    </row>
    <row r="52" spans="1:35" s="62" customFormat="1">
      <c r="A52" s="261"/>
      <c r="B52" s="62" t="s">
        <v>17</v>
      </c>
      <c r="C52" s="62" t="s">
        <v>736</v>
      </c>
      <c r="D52" s="62" t="s">
        <v>27</v>
      </c>
      <c r="E52" s="366">
        <f t="shared" si="47"/>
        <v>0</v>
      </c>
      <c r="F52" s="366">
        <f t="shared" ref="F52:AH52" si="52">-($E52-$AI52)/30+E52</f>
        <v>2.7777612075590769E-4</v>
      </c>
      <c r="G52" s="366">
        <f t="shared" si="52"/>
        <v>5.5555224151181538E-4</v>
      </c>
      <c r="H52" s="366">
        <f t="shared" si="52"/>
        <v>8.3332836226772313E-4</v>
      </c>
      <c r="I52" s="366">
        <f t="shared" si="52"/>
        <v>1.1111044830236308E-3</v>
      </c>
      <c r="J52" s="366">
        <f t="shared" si="52"/>
        <v>1.3888806037795384E-3</v>
      </c>
      <c r="K52" s="366">
        <f t="shared" si="52"/>
        <v>1.666656724535446E-3</v>
      </c>
      <c r="L52" s="366">
        <f t="shared" si="52"/>
        <v>1.9444328452913537E-3</v>
      </c>
      <c r="M52" s="366">
        <f t="shared" si="52"/>
        <v>2.2222089660472615E-3</v>
      </c>
      <c r="N52" s="366">
        <f t="shared" si="52"/>
        <v>2.4999850868031694E-3</v>
      </c>
      <c r="O52" s="366">
        <f t="shared" si="52"/>
        <v>2.7777612075590772E-3</v>
      </c>
      <c r="P52" s="366">
        <f t="shared" si="52"/>
        <v>3.0555373283149851E-3</v>
      </c>
      <c r="Q52" s="366">
        <f t="shared" si="52"/>
        <v>3.333313449070893E-3</v>
      </c>
      <c r="R52" s="366">
        <f t="shared" si="52"/>
        <v>3.6110895698268008E-3</v>
      </c>
      <c r="S52" s="366">
        <f t="shared" si="52"/>
        <v>3.8888656905827087E-3</v>
      </c>
      <c r="T52" s="366">
        <f t="shared" si="52"/>
        <v>4.1666418113386165E-3</v>
      </c>
      <c r="U52" s="366">
        <f t="shared" si="52"/>
        <v>4.4444179320945239E-3</v>
      </c>
      <c r="V52" s="366">
        <f t="shared" si="52"/>
        <v>4.7221940528504314E-3</v>
      </c>
      <c r="W52" s="366">
        <f t="shared" si="52"/>
        <v>4.9999701736063388E-3</v>
      </c>
      <c r="X52" s="366">
        <f t="shared" si="52"/>
        <v>5.2777462943622462E-3</v>
      </c>
      <c r="Y52" s="366">
        <f t="shared" si="52"/>
        <v>5.5555224151181536E-3</v>
      </c>
      <c r="Z52" s="366">
        <f t="shared" si="52"/>
        <v>5.8332985358740611E-3</v>
      </c>
      <c r="AA52" s="366">
        <f t="shared" si="52"/>
        <v>6.1110746566299685E-3</v>
      </c>
      <c r="AB52" s="366">
        <f t="shared" si="52"/>
        <v>6.3888507773858759E-3</v>
      </c>
      <c r="AC52" s="366">
        <f t="shared" si="52"/>
        <v>6.6666268981417833E-3</v>
      </c>
      <c r="AD52" s="366">
        <f t="shared" si="52"/>
        <v>6.9444030188976907E-3</v>
      </c>
      <c r="AE52" s="366">
        <f t="shared" si="52"/>
        <v>7.2221791396535982E-3</v>
      </c>
      <c r="AF52" s="366">
        <f t="shared" si="52"/>
        <v>7.4999552604095056E-3</v>
      </c>
      <c r="AG52" s="366">
        <f t="shared" si="52"/>
        <v>7.777731381165413E-3</v>
      </c>
      <c r="AH52" s="366">
        <f t="shared" si="52"/>
        <v>8.0555075019213204E-3</v>
      </c>
      <c r="AI52" s="366">
        <f t="shared" si="49"/>
        <v>8.3332836226772313E-3</v>
      </c>
    </row>
    <row r="53" spans="1:35" s="61" customFormat="1">
      <c r="A53" s="257"/>
      <c r="B53" s="61" t="s">
        <v>17</v>
      </c>
      <c r="C53" s="61" t="s">
        <v>741</v>
      </c>
      <c r="D53" s="61" t="s">
        <v>141</v>
      </c>
      <c r="E53" s="175">
        <f>E3</f>
        <v>1</v>
      </c>
      <c r="F53" s="175">
        <f t="shared" ref="F53:AH53" si="53">-($E53-$AI53)/30+E53</f>
        <v>1</v>
      </c>
      <c r="G53" s="175">
        <f t="shared" si="53"/>
        <v>1</v>
      </c>
      <c r="H53" s="175">
        <f t="shared" si="53"/>
        <v>1</v>
      </c>
      <c r="I53" s="175">
        <f t="shared" si="53"/>
        <v>1</v>
      </c>
      <c r="J53" s="175">
        <f t="shared" si="53"/>
        <v>1</v>
      </c>
      <c r="K53" s="175">
        <f t="shared" si="53"/>
        <v>1</v>
      </c>
      <c r="L53" s="175">
        <f t="shared" si="53"/>
        <v>1</v>
      </c>
      <c r="M53" s="175">
        <f t="shared" si="53"/>
        <v>1</v>
      </c>
      <c r="N53" s="175">
        <f t="shared" si="53"/>
        <v>1</v>
      </c>
      <c r="O53" s="175">
        <f t="shared" si="53"/>
        <v>1</v>
      </c>
      <c r="P53" s="175">
        <f t="shared" si="53"/>
        <v>1</v>
      </c>
      <c r="Q53" s="175">
        <f t="shared" si="53"/>
        <v>1</v>
      </c>
      <c r="R53" s="175">
        <f t="shared" si="53"/>
        <v>1</v>
      </c>
      <c r="S53" s="175">
        <f t="shared" si="53"/>
        <v>1</v>
      </c>
      <c r="T53" s="175">
        <f t="shared" si="53"/>
        <v>1</v>
      </c>
      <c r="U53" s="175">
        <f t="shared" si="53"/>
        <v>1</v>
      </c>
      <c r="V53" s="175">
        <f t="shared" si="53"/>
        <v>1</v>
      </c>
      <c r="W53" s="175">
        <f t="shared" si="53"/>
        <v>1</v>
      </c>
      <c r="X53" s="175">
        <f t="shared" si="53"/>
        <v>1</v>
      </c>
      <c r="Y53" s="175">
        <f t="shared" si="53"/>
        <v>1</v>
      </c>
      <c r="Z53" s="175">
        <f t="shared" si="53"/>
        <v>1</v>
      </c>
      <c r="AA53" s="175">
        <f t="shared" si="53"/>
        <v>1</v>
      </c>
      <c r="AB53" s="175">
        <f t="shared" si="53"/>
        <v>1</v>
      </c>
      <c r="AC53" s="175">
        <f t="shared" si="53"/>
        <v>1</v>
      </c>
      <c r="AD53" s="175">
        <f t="shared" si="53"/>
        <v>1</v>
      </c>
      <c r="AE53" s="175">
        <f t="shared" si="53"/>
        <v>1</v>
      </c>
      <c r="AF53" s="175">
        <f t="shared" si="53"/>
        <v>1</v>
      </c>
      <c r="AG53" s="175">
        <f t="shared" si="53"/>
        <v>1</v>
      </c>
      <c r="AH53" s="175">
        <f t="shared" si="53"/>
        <v>1</v>
      </c>
      <c r="AI53" s="175">
        <f>O3</f>
        <v>1</v>
      </c>
    </row>
    <row r="54" spans="1:35">
      <c r="A54" s="260"/>
      <c r="B54" t="s">
        <v>17</v>
      </c>
      <c r="C54" t="s">
        <v>741</v>
      </c>
      <c r="D54" t="s">
        <v>74</v>
      </c>
      <c r="E54" s="148">
        <f t="shared" ref="E54:E57" si="54">E4</f>
        <v>0</v>
      </c>
      <c r="F54" s="148">
        <f t="shared" ref="F54:AH54" si="55">-($E54-$AI54)/30+E54</f>
        <v>0</v>
      </c>
      <c r="G54" s="148">
        <f t="shared" si="55"/>
        <v>0</v>
      </c>
      <c r="H54" s="148">
        <f t="shared" si="55"/>
        <v>0</v>
      </c>
      <c r="I54" s="148">
        <f t="shared" si="55"/>
        <v>0</v>
      </c>
      <c r="J54" s="148">
        <f t="shared" si="55"/>
        <v>0</v>
      </c>
      <c r="K54" s="148">
        <f t="shared" si="55"/>
        <v>0</v>
      </c>
      <c r="L54" s="148">
        <f t="shared" si="55"/>
        <v>0</v>
      </c>
      <c r="M54" s="148">
        <f t="shared" si="55"/>
        <v>0</v>
      </c>
      <c r="N54" s="148">
        <f t="shared" si="55"/>
        <v>0</v>
      </c>
      <c r="O54" s="148">
        <f t="shared" si="55"/>
        <v>0</v>
      </c>
      <c r="P54" s="148">
        <f t="shared" si="55"/>
        <v>0</v>
      </c>
      <c r="Q54" s="148">
        <f t="shared" si="55"/>
        <v>0</v>
      </c>
      <c r="R54" s="148">
        <f t="shared" si="55"/>
        <v>0</v>
      </c>
      <c r="S54" s="148">
        <f t="shared" si="55"/>
        <v>0</v>
      </c>
      <c r="T54" s="148">
        <f t="shared" si="55"/>
        <v>0</v>
      </c>
      <c r="U54" s="148">
        <f t="shared" si="55"/>
        <v>0</v>
      </c>
      <c r="V54" s="148">
        <f t="shared" si="55"/>
        <v>0</v>
      </c>
      <c r="W54" s="148">
        <f t="shared" si="55"/>
        <v>0</v>
      </c>
      <c r="X54" s="148">
        <f t="shared" si="55"/>
        <v>0</v>
      </c>
      <c r="Y54" s="148">
        <f t="shared" si="55"/>
        <v>0</v>
      </c>
      <c r="Z54" s="148">
        <f t="shared" si="55"/>
        <v>0</v>
      </c>
      <c r="AA54" s="148">
        <f t="shared" si="55"/>
        <v>0</v>
      </c>
      <c r="AB54" s="148">
        <f t="shared" si="55"/>
        <v>0</v>
      </c>
      <c r="AC54" s="148">
        <f t="shared" si="55"/>
        <v>0</v>
      </c>
      <c r="AD54" s="148">
        <f t="shared" si="55"/>
        <v>0</v>
      </c>
      <c r="AE54" s="148">
        <f t="shared" si="55"/>
        <v>0</v>
      </c>
      <c r="AF54" s="148">
        <f t="shared" si="55"/>
        <v>0</v>
      </c>
      <c r="AG54" s="148">
        <f t="shared" si="55"/>
        <v>0</v>
      </c>
      <c r="AH54" s="148">
        <f t="shared" si="55"/>
        <v>0</v>
      </c>
      <c r="AI54" s="148">
        <f t="shared" ref="AI54:AI57" si="56">O4</f>
        <v>0</v>
      </c>
    </row>
    <row r="55" spans="1:35">
      <c r="A55" s="260"/>
      <c r="B55" t="s">
        <v>17</v>
      </c>
      <c r="C55" t="s">
        <v>741</v>
      </c>
      <c r="D55" t="s">
        <v>34</v>
      </c>
      <c r="E55" s="148">
        <f t="shared" si="54"/>
        <v>0</v>
      </c>
      <c r="F55" s="148">
        <f t="shared" ref="F55:AH55" si="57">-($E55-$AI55)/30+E55</f>
        <v>0</v>
      </c>
      <c r="G55" s="148">
        <f t="shared" si="57"/>
        <v>0</v>
      </c>
      <c r="H55" s="148">
        <f t="shared" si="57"/>
        <v>0</v>
      </c>
      <c r="I55" s="148">
        <f t="shared" si="57"/>
        <v>0</v>
      </c>
      <c r="J55" s="148">
        <f t="shared" si="57"/>
        <v>0</v>
      </c>
      <c r="K55" s="148">
        <f t="shared" si="57"/>
        <v>0</v>
      </c>
      <c r="L55" s="148">
        <f t="shared" si="57"/>
        <v>0</v>
      </c>
      <c r="M55" s="148">
        <f t="shared" si="57"/>
        <v>0</v>
      </c>
      <c r="N55" s="148">
        <f t="shared" si="57"/>
        <v>0</v>
      </c>
      <c r="O55" s="148">
        <f t="shared" si="57"/>
        <v>0</v>
      </c>
      <c r="P55" s="148">
        <f t="shared" si="57"/>
        <v>0</v>
      </c>
      <c r="Q55" s="148">
        <f t="shared" si="57"/>
        <v>0</v>
      </c>
      <c r="R55" s="148">
        <f t="shared" si="57"/>
        <v>0</v>
      </c>
      <c r="S55" s="148">
        <f t="shared" si="57"/>
        <v>0</v>
      </c>
      <c r="T55" s="148">
        <f t="shared" si="57"/>
        <v>0</v>
      </c>
      <c r="U55" s="148">
        <f t="shared" si="57"/>
        <v>0</v>
      </c>
      <c r="V55" s="148">
        <f t="shared" si="57"/>
        <v>0</v>
      </c>
      <c r="W55" s="148">
        <f t="shared" si="57"/>
        <v>0</v>
      </c>
      <c r="X55" s="148">
        <f t="shared" si="57"/>
        <v>0</v>
      </c>
      <c r="Y55" s="148">
        <f t="shared" si="57"/>
        <v>0</v>
      </c>
      <c r="Z55" s="148">
        <f t="shared" si="57"/>
        <v>0</v>
      </c>
      <c r="AA55" s="148">
        <f t="shared" si="57"/>
        <v>0</v>
      </c>
      <c r="AB55" s="148">
        <f t="shared" si="57"/>
        <v>0</v>
      </c>
      <c r="AC55" s="148">
        <f t="shared" si="57"/>
        <v>0</v>
      </c>
      <c r="AD55" s="148">
        <f t="shared" si="57"/>
        <v>0</v>
      </c>
      <c r="AE55" s="148">
        <f t="shared" si="57"/>
        <v>0</v>
      </c>
      <c r="AF55" s="148">
        <f t="shared" si="57"/>
        <v>0</v>
      </c>
      <c r="AG55" s="148">
        <f t="shared" si="57"/>
        <v>0</v>
      </c>
      <c r="AH55" s="148">
        <f t="shared" si="57"/>
        <v>0</v>
      </c>
      <c r="AI55" s="148">
        <f t="shared" si="56"/>
        <v>0</v>
      </c>
    </row>
    <row r="56" spans="1:35">
      <c r="A56" s="260"/>
      <c r="B56" t="s">
        <v>17</v>
      </c>
      <c r="C56" t="s">
        <v>741</v>
      </c>
      <c r="D56" t="s">
        <v>35</v>
      </c>
      <c r="E56" s="148">
        <f t="shared" si="54"/>
        <v>0</v>
      </c>
      <c r="F56" s="148">
        <f t="shared" ref="F56:AH56" si="58">-($E56-$AI56)/30+E56</f>
        <v>0</v>
      </c>
      <c r="G56" s="148">
        <f t="shared" si="58"/>
        <v>0</v>
      </c>
      <c r="H56" s="148">
        <f t="shared" si="58"/>
        <v>0</v>
      </c>
      <c r="I56" s="148">
        <f t="shared" si="58"/>
        <v>0</v>
      </c>
      <c r="J56" s="148">
        <f t="shared" si="58"/>
        <v>0</v>
      </c>
      <c r="K56" s="148">
        <f t="shared" si="58"/>
        <v>0</v>
      </c>
      <c r="L56" s="148">
        <f t="shared" si="58"/>
        <v>0</v>
      </c>
      <c r="M56" s="148">
        <f t="shared" si="58"/>
        <v>0</v>
      </c>
      <c r="N56" s="148">
        <f t="shared" si="58"/>
        <v>0</v>
      </c>
      <c r="O56" s="148">
        <f t="shared" si="58"/>
        <v>0</v>
      </c>
      <c r="P56" s="148">
        <f t="shared" si="58"/>
        <v>0</v>
      </c>
      <c r="Q56" s="148">
        <f t="shared" si="58"/>
        <v>0</v>
      </c>
      <c r="R56" s="148">
        <f t="shared" si="58"/>
        <v>0</v>
      </c>
      <c r="S56" s="148">
        <f t="shared" si="58"/>
        <v>0</v>
      </c>
      <c r="T56" s="148">
        <f t="shared" si="58"/>
        <v>0</v>
      </c>
      <c r="U56" s="148">
        <f t="shared" si="58"/>
        <v>0</v>
      </c>
      <c r="V56" s="148">
        <f t="shared" si="58"/>
        <v>0</v>
      </c>
      <c r="W56" s="148">
        <f t="shared" si="58"/>
        <v>0</v>
      </c>
      <c r="X56" s="148">
        <f t="shared" si="58"/>
        <v>0</v>
      </c>
      <c r="Y56" s="148">
        <f t="shared" si="58"/>
        <v>0</v>
      </c>
      <c r="Z56" s="148">
        <f t="shared" si="58"/>
        <v>0</v>
      </c>
      <c r="AA56" s="148">
        <f t="shared" si="58"/>
        <v>0</v>
      </c>
      <c r="AB56" s="148">
        <f t="shared" si="58"/>
        <v>0</v>
      </c>
      <c r="AC56" s="148">
        <f t="shared" si="58"/>
        <v>0</v>
      </c>
      <c r="AD56" s="148">
        <f t="shared" si="58"/>
        <v>0</v>
      </c>
      <c r="AE56" s="148">
        <f t="shared" si="58"/>
        <v>0</v>
      </c>
      <c r="AF56" s="148">
        <f t="shared" si="58"/>
        <v>0</v>
      </c>
      <c r="AG56" s="148">
        <f t="shared" si="58"/>
        <v>0</v>
      </c>
      <c r="AH56" s="148">
        <f t="shared" si="58"/>
        <v>0</v>
      </c>
      <c r="AI56" s="148">
        <f t="shared" si="56"/>
        <v>0</v>
      </c>
    </row>
    <row r="57" spans="1:35" s="62" customFormat="1">
      <c r="A57" s="261"/>
      <c r="B57" s="62" t="s">
        <v>17</v>
      </c>
      <c r="C57" s="62" t="s">
        <v>741</v>
      </c>
      <c r="D57" s="62" t="s">
        <v>27</v>
      </c>
      <c r="E57" s="366">
        <f t="shared" si="54"/>
        <v>0</v>
      </c>
      <c r="F57" s="366">
        <f t="shared" ref="F57:AH57" si="59">-($E57-$AI57)/30+E57</f>
        <v>0</v>
      </c>
      <c r="G57" s="366">
        <f t="shared" si="59"/>
        <v>0</v>
      </c>
      <c r="H57" s="366">
        <f t="shared" si="59"/>
        <v>0</v>
      </c>
      <c r="I57" s="366">
        <f t="shared" si="59"/>
        <v>0</v>
      </c>
      <c r="J57" s="366">
        <f t="shared" si="59"/>
        <v>0</v>
      </c>
      <c r="K57" s="366">
        <f t="shared" si="59"/>
        <v>0</v>
      </c>
      <c r="L57" s="366">
        <f t="shared" si="59"/>
        <v>0</v>
      </c>
      <c r="M57" s="366">
        <f t="shared" si="59"/>
        <v>0</v>
      </c>
      <c r="N57" s="366">
        <f t="shared" si="59"/>
        <v>0</v>
      </c>
      <c r="O57" s="366">
        <f t="shared" si="59"/>
        <v>0</v>
      </c>
      <c r="P57" s="366">
        <f t="shared" si="59"/>
        <v>0</v>
      </c>
      <c r="Q57" s="366">
        <f t="shared" si="59"/>
        <v>0</v>
      </c>
      <c r="R57" s="366">
        <f t="shared" si="59"/>
        <v>0</v>
      </c>
      <c r="S57" s="366">
        <f t="shared" si="59"/>
        <v>0</v>
      </c>
      <c r="T57" s="366">
        <f t="shared" si="59"/>
        <v>0</v>
      </c>
      <c r="U57" s="366">
        <f t="shared" si="59"/>
        <v>0</v>
      </c>
      <c r="V57" s="366">
        <f t="shared" si="59"/>
        <v>0</v>
      </c>
      <c r="W57" s="366">
        <f t="shared" si="59"/>
        <v>0</v>
      </c>
      <c r="X57" s="366">
        <f t="shared" si="59"/>
        <v>0</v>
      </c>
      <c r="Y57" s="366">
        <f t="shared" si="59"/>
        <v>0</v>
      </c>
      <c r="Z57" s="366">
        <f t="shared" si="59"/>
        <v>0</v>
      </c>
      <c r="AA57" s="366">
        <f t="shared" si="59"/>
        <v>0</v>
      </c>
      <c r="AB57" s="366">
        <f t="shared" si="59"/>
        <v>0</v>
      </c>
      <c r="AC57" s="366">
        <f t="shared" si="59"/>
        <v>0</v>
      </c>
      <c r="AD57" s="366">
        <f t="shared" si="59"/>
        <v>0</v>
      </c>
      <c r="AE57" s="366">
        <f t="shared" si="59"/>
        <v>0</v>
      </c>
      <c r="AF57" s="366">
        <f t="shared" si="59"/>
        <v>0</v>
      </c>
      <c r="AG57" s="366">
        <f t="shared" si="59"/>
        <v>0</v>
      </c>
      <c r="AH57" s="366">
        <f t="shared" si="59"/>
        <v>0</v>
      </c>
      <c r="AI57" s="366">
        <f t="shared" si="56"/>
        <v>0</v>
      </c>
    </row>
    <row r="58" spans="1:35" s="61" customFormat="1">
      <c r="A58" s="257"/>
      <c r="B58" s="61" t="s">
        <v>17</v>
      </c>
      <c r="C58" s="61" t="s">
        <v>737</v>
      </c>
      <c r="D58" s="61" t="s">
        <v>141</v>
      </c>
      <c r="E58" s="175">
        <f>F3</f>
        <v>1</v>
      </c>
      <c r="F58" s="175">
        <f t="shared" ref="F58:AH58" si="60">-($E58-$AI58)/30+E58</f>
        <v>0.98833333333333329</v>
      </c>
      <c r="G58" s="175">
        <f t="shared" si="60"/>
        <v>0.97666666666666657</v>
      </c>
      <c r="H58" s="175">
        <f t="shared" si="60"/>
        <v>0.96499999999999986</v>
      </c>
      <c r="I58" s="175">
        <f t="shared" si="60"/>
        <v>0.95333333333333314</v>
      </c>
      <c r="J58" s="175">
        <f t="shared" si="60"/>
        <v>0.94166666666666643</v>
      </c>
      <c r="K58" s="175">
        <f t="shared" si="60"/>
        <v>0.92999999999999972</v>
      </c>
      <c r="L58" s="175">
        <f t="shared" si="60"/>
        <v>0.918333333333333</v>
      </c>
      <c r="M58" s="175">
        <f t="shared" si="60"/>
        <v>0.90666666666666629</v>
      </c>
      <c r="N58" s="175">
        <f t="shared" si="60"/>
        <v>0.89499999999999957</v>
      </c>
      <c r="O58" s="175">
        <f t="shared" si="60"/>
        <v>0.88333333333333286</v>
      </c>
      <c r="P58" s="175">
        <f t="shared" si="60"/>
        <v>0.87166666666666615</v>
      </c>
      <c r="Q58" s="175">
        <f t="shared" si="60"/>
        <v>0.85999999999999943</v>
      </c>
      <c r="R58" s="175">
        <f t="shared" si="60"/>
        <v>0.84833333333333272</v>
      </c>
      <c r="S58" s="175">
        <f t="shared" si="60"/>
        <v>0.836666666666666</v>
      </c>
      <c r="T58" s="175">
        <f t="shared" si="60"/>
        <v>0.82499999999999929</v>
      </c>
      <c r="U58" s="175">
        <f t="shared" si="60"/>
        <v>0.81333333333333258</v>
      </c>
      <c r="V58" s="175">
        <f t="shared" si="60"/>
        <v>0.80166666666666586</v>
      </c>
      <c r="W58" s="175">
        <f t="shared" si="60"/>
        <v>0.78999999999999915</v>
      </c>
      <c r="X58" s="175">
        <f t="shared" si="60"/>
        <v>0.77833333333333243</v>
      </c>
      <c r="Y58" s="175">
        <f t="shared" si="60"/>
        <v>0.76666666666666572</v>
      </c>
      <c r="Z58" s="175">
        <f t="shared" si="60"/>
        <v>0.75499999999999901</v>
      </c>
      <c r="AA58" s="175">
        <f t="shared" si="60"/>
        <v>0.74333333333333229</v>
      </c>
      <c r="AB58" s="175">
        <f t="shared" si="60"/>
        <v>0.73166666666666558</v>
      </c>
      <c r="AC58" s="175">
        <f t="shared" si="60"/>
        <v>0.71999999999999886</v>
      </c>
      <c r="AD58" s="175">
        <f t="shared" si="60"/>
        <v>0.70833333333333215</v>
      </c>
      <c r="AE58" s="175">
        <f t="shared" si="60"/>
        <v>0.69666666666666544</v>
      </c>
      <c r="AF58" s="175">
        <f t="shared" si="60"/>
        <v>0.68499999999999872</v>
      </c>
      <c r="AG58" s="175">
        <f t="shared" si="60"/>
        <v>0.67333333333333201</v>
      </c>
      <c r="AH58" s="175">
        <f t="shared" si="60"/>
        <v>0.66166666666666529</v>
      </c>
      <c r="AI58" s="175">
        <f>P3</f>
        <v>0.65</v>
      </c>
    </row>
    <row r="59" spans="1:35">
      <c r="A59" s="260"/>
      <c r="B59" t="s">
        <v>17</v>
      </c>
      <c r="C59" t="s">
        <v>737</v>
      </c>
      <c r="D59" t="s">
        <v>74</v>
      </c>
      <c r="E59" s="148">
        <f t="shared" ref="E59:E62" si="61">F4</f>
        <v>0</v>
      </c>
      <c r="F59" s="148">
        <f t="shared" ref="F59:AH59" si="62">-($E59-$AI59)/30+E59</f>
        <v>3.3333333333333335E-3</v>
      </c>
      <c r="G59" s="148">
        <f t="shared" si="62"/>
        <v>6.6666666666666671E-3</v>
      </c>
      <c r="H59" s="148">
        <f t="shared" si="62"/>
        <v>0.01</v>
      </c>
      <c r="I59" s="148">
        <f t="shared" si="62"/>
        <v>1.3333333333333334E-2</v>
      </c>
      <c r="J59" s="148">
        <f t="shared" si="62"/>
        <v>1.6666666666666666E-2</v>
      </c>
      <c r="K59" s="148">
        <f t="shared" si="62"/>
        <v>0.02</v>
      </c>
      <c r="L59" s="148">
        <f t="shared" si="62"/>
        <v>2.3333333333333334E-2</v>
      </c>
      <c r="M59" s="148">
        <f t="shared" si="62"/>
        <v>2.6666666666666668E-2</v>
      </c>
      <c r="N59" s="148">
        <f t="shared" si="62"/>
        <v>3.0000000000000002E-2</v>
      </c>
      <c r="O59" s="148">
        <f t="shared" si="62"/>
        <v>3.3333333333333333E-2</v>
      </c>
      <c r="P59" s="148">
        <f t="shared" si="62"/>
        <v>3.6666666666666667E-2</v>
      </c>
      <c r="Q59" s="148">
        <f t="shared" si="62"/>
        <v>0.04</v>
      </c>
      <c r="R59" s="148">
        <f t="shared" si="62"/>
        <v>4.3333333333333335E-2</v>
      </c>
      <c r="S59" s="148">
        <f t="shared" si="62"/>
        <v>4.6666666666666669E-2</v>
      </c>
      <c r="T59" s="148">
        <f t="shared" si="62"/>
        <v>0.05</v>
      </c>
      <c r="U59" s="148">
        <f t="shared" si="62"/>
        <v>5.3333333333333337E-2</v>
      </c>
      <c r="V59" s="148">
        <f t="shared" si="62"/>
        <v>5.6666666666666671E-2</v>
      </c>
      <c r="W59" s="148">
        <f t="shared" si="62"/>
        <v>6.0000000000000005E-2</v>
      </c>
      <c r="X59" s="148">
        <f t="shared" si="62"/>
        <v>6.3333333333333339E-2</v>
      </c>
      <c r="Y59" s="148">
        <f t="shared" si="62"/>
        <v>6.6666666666666666E-2</v>
      </c>
      <c r="Z59" s="148">
        <f t="shared" si="62"/>
        <v>6.9999999999999993E-2</v>
      </c>
      <c r="AA59" s="148">
        <f t="shared" si="62"/>
        <v>7.333333333333332E-2</v>
      </c>
      <c r="AB59" s="148">
        <f t="shared" si="62"/>
        <v>7.6666666666666647E-2</v>
      </c>
      <c r="AC59" s="148">
        <f t="shared" si="62"/>
        <v>7.9999999999999974E-2</v>
      </c>
      <c r="AD59" s="148">
        <f t="shared" si="62"/>
        <v>8.3333333333333301E-2</v>
      </c>
      <c r="AE59" s="148">
        <f t="shared" si="62"/>
        <v>8.6666666666666628E-2</v>
      </c>
      <c r="AF59" s="148">
        <f t="shared" si="62"/>
        <v>8.9999999999999955E-2</v>
      </c>
      <c r="AG59" s="148">
        <f t="shared" si="62"/>
        <v>9.3333333333333282E-2</v>
      </c>
      <c r="AH59" s="148">
        <f t="shared" si="62"/>
        <v>9.6666666666666609E-2</v>
      </c>
      <c r="AI59" s="148">
        <f t="shared" ref="AI59:AI62" si="63">P4</f>
        <v>0.1</v>
      </c>
    </row>
    <row r="60" spans="1:35">
      <c r="A60" s="260"/>
      <c r="B60" t="s">
        <v>17</v>
      </c>
      <c r="C60" t="s">
        <v>737</v>
      </c>
      <c r="D60" t="s">
        <v>34</v>
      </c>
      <c r="E60" s="148">
        <f t="shared" si="61"/>
        <v>0</v>
      </c>
      <c r="F60" s="148">
        <f t="shared" ref="F60:AH60" si="64">-($E60-$AI60)/30+E60</f>
        <v>5.0000000000000001E-3</v>
      </c>
      <c r="G60" s="148">
        <f t="shared" si="64"/>
        <v>0.01</v>
      </c>
      <c r="H60" s="148">
        <f t="shared" si="64"/>
        <v>1.4999999999999999E-2</v>
      </c>
      <c r="I60" s="148">
        <f t="shared" si="64"/>
        <v>0.02</v>
      </c>
      <c r="J60" s="148">
        <f t="shared" si="64"/>
        <v>2.5000000000000001E-2</v>
      </c>
      <c r="K60" s="148">
        <f t="shared" si="64"/>
        <v>3.0000000000000002E-2</v>
      </c>
      <c r="L60" s="148">
        <f t="shared" si="64"/>
        <v>3.5000000000000003E-2</v>
      </c>
      <c r="M60" s="148">
        <f t="shared" si="64"/>
        <v>0.04</v>
      </c>
      <c r="N60" s="148">
        <f t="shared" si="64"/>
        <v>4.4999999999999998E-2</v>
      </c>
      <c r="O60" s="148">
        <f t="shared" si="64"/>
        <v>4.9999999999999996E-2</v>
      </c>
      <c r="P60" s="148">
        <f t="shared" si="64"/>
        <v>5.4999999999999993E-2</v>
      </c>
      <c r="Q60" s="148">
        <f t="shared" si="64"/>
        <v>5.9999999999999991E-2</v>
      </c>
      <c r="R60" s="148">
        <f t="shared" si="64"/>
        <v>6.4999999999999988E-2</v>
      </c>
      <c r="S60" s="148">
        <f t="shared" si="64"/>
        <v>6.9999999999999993E-2</v>
      </c>
      <c r="T60" s="148">
        <f t="shared" si="64"/>
        <v>7.4999999999999997E-2</v>
      </c>
      <c r="U60" s="148">
        <f t="shared" si="64"/>
        <v>0.08</v>
      </c>
      <c r="V60" s="148">
        <f t="shared" si="64"/>
        <v>8.5000000000000006E-2</v>
      </c>
      <c r="W60" s="148">
        <f t="shared" si="64"/>
        <v>9.0000000000000011E-2</v>
      </c>
      <c r="X60" s="148">
        <f t="shared" si="64"/>
        <v>9.5000000000000015E-2</v>
      </c>
      <c r="Y60" s="148">
        <f t="shared" si="64"/>
        <v>0.10000000000000002</v>
      </c>
      <c r="Z60" s="148">
        <f t="shared" si="64"/>
        <v>0.10500000000000002</v>
      </c>
      <c r="AA60" s="148">
        <f t="shared" si="64"/>
        <v>0.11000000000000003</v>
      </c>
      <c r="AB60" s="148">
        <f t="shared" si="64"/>
        <v>0.11500000000000003</v>
      </c>
      <c r="AC60" s="148">
        <f t="shared" si="64"/>
        <v>0.12000000000000004</v>
      </c>
      <c r="AD60" s="148">
        <f t="shared" si="64"/>
        <v>0.12500000000000003</v>
      </c>
      <c r="AE60" s="148">
        <f t="shared" si="64"/>
        <v>0.13000000000000003</v>
      </c>
      <c r="AF60" s="148">
        <f t="shared" si="64"/>
        <v>0.13500000000000004</v>
      </c>
      <c r="AG60" s="148">
        <f t="shared" si="64"/>
        <v>0.14000000000000004</v>
      </c>
      <c r="AH60" s="148">
        <f t="shared" si="64"/>
        <v>0.14500000000000005</v>
      </c>
      <c r="AI60" s="148">
        <f t="shared" si="63"/>
        <v>0.15</v>
      </c>
    </row>
    <row r="61" spans="1:35">
      <c r="A61" s="260"/>
      <c r="B61" t="s">
        <v>17</v>
      </c>
      <c r="C61" t="s">
        <v>737</v>
      </c>
      <c r="D61" t="s">
        <v>35</v>
      </c>
      <c r="E61" s="148">
        <f t="shared" si="61"/>
        <v>0</v>
      </c>
      <c r="F61" s="148">
        <f t="shared" ref="F61:AH61" si="65">-($E61-$AI61)/30+E61</f>
        <v>1.6666666666666668E-3</v>
      </c>
      <c r="G61" s="148">
        <f t="shared" si="65"/>
        <v>3.3333333333333335E-3</v>
      </c>
      <c r="H61" s="148">
        <f t="shared" si="65"/>
        <v>5.0000000000000001E-3</v>
      </c>
      <c r="I61" s="148">
        <f t="shared" si="65"/>
        <v>6.6666666666666671E-3</v>
      </c>
      <c r="J61" s="148">
        <f t="shared" si="65"/>
        <v>8.3333333333333332E-3</v>
      </c>
      <c r="K61" s="148">
        <f t="shared" si="65"/>
        <v>0.01</v>
      </c>
      <c r="L61" s="148">
        <f t="shared" si="65"/>
        <v>1.1666666666666667E-2</v>
      </c>
      <c r="M61" s="148">
        <f t="shared" si="65"/>
        <v>1.3333333333333334E-2</v>
      </c>
      <c r="N61" s="148">
        <f t="shared" si="65"/>
        <v>1.5000000000000001E-2</v>
      </c>
      <c r="O61" s="148">
        <f t="shared" si="65"/>
        <v>1.6666666666666666E-2</v>
      </c>
      <c r="P61" s="148">
        <f t="shared" si="65"/>
        <v>1.8333333333333333E-2</v>
      </c>
      <c r="Q61" s="148">
        <f t="shared" si="65"/>
        <v>0.02</v>
      </c>
      <c r="R61" s="148">
        <f t="shared" si="65"/>
        <v>2.1666666666666667E-2</v>
      </c>
      <c r="S61" s="148">
        <f t="shared" si="65"/>
        <v>2.3333333333333334E-2</v>
      </c>
      <c r="T61" s="148">
        <f t="shared" si="65"/>
        <v>2.5000000000000001E-2</v>
      </c>
      <c r="U61" s="148">
        <f t="shared" si="65"/>
        <v>2.6666666666666668E-2</v>
      </c>
      <c r="V61" s="148">
        <f t="shared" si="65"/>
        <v>2.8333333333333335E-2</v>
      </c>
      <c r="W61" s="148">
        <f t="shared" si="65"/>
        <v>3.0000000000000002E-2</v>
      </c>
      <c r="X61" s="148">
        <f t="shared" si="65"/>
        <v>3.1666666666666669E-2</v>
      </c>
      <c r="Y61" s="148">
        <f t="shared" si="65"/>
        <v>3.3333333333333333E-2</v>
      </c>
      <c r="Z61" s="148">
        <f t="shared" si="65"/>
        <v>3.4999999999999996E-2</v>
      </c>
      <c r="AA61" s="148">
        <f t="shared" si="65"/>
        <v>3.666666666666666E-2</v>
      </c>
      <c r="AB61" s="148">
        <f t="shared" si="65"/>
        <v>3.8333333333333323E-2</v>
      </c>
      <c r="AC61" s="148">
        <f t="shared" si="65"/>
        <v>3.9999999999999987E-2</v>
      </c>
      <c r="AD61" s="148">
        <f t="shared" si="65"/>
        <v>4.166666666666665E-2</v>
      </c>
      <c r="AE61" s="148">
        <f t="shared" si="65"/>
        <v>4.3333333333333314E-2</v>
      </c>
      <c r="AF61" s="148">
        <f t="shared" si="65"/>
        <v>4.4999999999999978E-2</v>
      </c>
      <c r="AG61" s="148">
        <f t="shared" si="65"/>
        <v>4.6666666666666641E-2</v>
      </c>
      <c r="AH61" s="148">
        <f t="shared" si="65"/>
        <v>4.8333333333333305E-2</v>
      </c>
      <c r="AI61" s="148">
        <f t="shared" si="63"/>
        <v>0.05</v>
      </c>
    </row>
    <row r="62" spans="1:35" s="62" customFormat="1">
      <c r="A62" s="261"/>
      <c r="B62" s="62" t="s">
        <v>17</v>
      </c>
      <c r="C62" s="62" t="s">
        <v>737</v>
      </c>
      <c r="D62" s="62" t="s">
        <v>27</v>
      </c>
      <c r="E62" s="366">
        <f t="shared" si="61"/>
        <v>0</v>
      </c>
      <c r="F62" s="366">
        <f t="shared" ref="F62:AH62" si="66">-($E62-$AI62)/30+E62</f>
        <v>1.6666666666666668E-3</v>
      </c>
      <c r="G62" s="366">
        <f t="shared" si="66"/>
        <v>3.3333333333333335E-3</v>
      </c>
      <c r="H62" s="366">
        <f t="shared" si="66"/>
        <v>5.0000000000000001E-3</v>
      </c>
      <c r="I62" s="366">
        <f t="shared" si="66"/>
        <v>6.6666666666666671E-3</v>
      </c>
      <c r="J62" s="366">
        <f t="shared" si="66"/>
        <v>8.3333333333333332E-3</v>
      </c>
      <c r="K62" s="366">
        <f t="shared" si="66"/>
        <v>0.01</v>
      </c>
      <c r="L62" s="366">
        <f t="shared" si="66"/>
        <v>1.1666666666666667E-2</v>
      </c>
      <c r="M62" s="366">
        <f t="shared" si="66"/>
        <v>1.3333333333333334E-2</v>
      </c>
      <c r="N62" s="366">
        <f t="shared" si="66"/>
        <v>1.5000000000000001E-2</v>
      </c>
      <c r="O62" s="366">
        <f t="shared" si="66"/>
        <v>1.6666666666666666E-2</v>
      </c>
      <c r="P62" s="366">
        <f t="shared" si="66"/>
        <v>1.8333333333333333E-2</v>
      </c>
      <c r="Q62" s="366">
        <f t="shared" si="66"/>
        <v>0.02</v>
      </c>
      <c r="R62" s="366">
        <f t="shared" si="66"/>
        <v>2.1666666666666667E-2</v>
      </c>
      <c r="S62" s="366">
        <f t="shared" si="66"/>
        <v>2.3333333333333334E-2</v>
      </c>
      <c r="T62" s="366">
        <f t="shared" si="66"/>
        <v>2.5000000000000001E-2</v>
      </c>
      <c r="U62" s="366">
        <f t="shared" si="66"/>
        <v>2.6666666666666668E-2</v>
      </c>
      <c r="V62" s="366">
        <f t="shared" si="66"/>
        <v>2.8333333333333335E-2</v>
      </c>
      <c r="W62" s="366">
        <f t="shared" si="66"/>
        <v>3.0000000000000002E-2</v>
      </c>
      <c r="X62" s="366">
        <f t="shared" si="66"/>
        <v>3.1666666666666669E-2</v>
      </c>
      <c r="Y62" s="366">
        <f t="shared" si="66"/>
        <v>3.3333333333333333E-2</v>
      </c>
      <c r="Z62" s="366">
        <f t="shared" si="66"/>
        <v>3.4999999999999996E-2</v>
      </c>
      <c r="AA62" s="366">
        <f t="shared" si="66"/>
        <v>3.666666666666666E-2</v>
      </c>
      <c r="AB62" s="366">
        <f t="shared" si="66"/>
        <v>3.8333333333333323E-2</v>
      </c>
      <c r="AC62" s="366">
        <f t="shared" si="66"/>
        <v>3.9999999999999987E-2</v>
      </c>
      <c r="AD62" s="366">
        <f t="shared" si="66"/>
        <v>4.166666666666665E-2</v>
      </c>
      <c r="AE62" s="366">
        <f t="shared" si="66"/>
        <v>4.3333333333333314E-2</v>
      </c>
      <c r="AF62" s="366">
        <f t="shared" si="66"/>
        <v>4.4999999999999978E-2</v>
      </c>
      <c r="AG62" s="366">
        <f t="shared" si="66"/>
        <v>4.6666666666666641E-2</v>
      </c>
      <c r="AH62" s="366">
        <f t="shared" si="66"/>
        <v>4.8333333333333305E-2</v>
      </c>
      <c r="AI62" s="366">
        <f t="shared" si="63"/>
        <v>0.05</v>
      </c>
    </row>
    <row r="63" spans="1:35" s="61" customFormat="1">
      <c r="A63" s="257"/>
      <c r="B63" s="61" t="s">
        <v>17</v>
      </c>
      <c r="C63" s="61" t="s">
        <v>738</v>
      </c>
      <c r="D63" s="61" t="s">
        <v>141</v>
      </c>
      <c r="E63" s="175">
        <f>G3</f>
        <v>0.71762870357071562</v>
      </c>
      <c r="F63" s="175">
        <f t="shared" ref="F63:AH63" si="67">-($E63-$AI63)/30+E63</f>
        <v>0.72339912119727623</v>
      </c>
      <c r="G63" s="175">
        <f t="shared" si="67"/>
        <v>0.72916953882383684</v>
      </c>
      <c r="H63" s="175">
        <f t="shared" si="67"/>
        <v>0.73493995645039745</v>
      </c>
      <c r="I63" s="175">
        <f t="shared" si="67"/>
        <v>0.74071037407695806</v>
      </c>
      <c r="J63" s="175">
        <f t="shared" si="67"/>
        <v>0.74648079170351866</v>
      </c>
      <c r="K63" s="175">
        <f t="shared" si="67"/>
        <v>0.75225120933007927</v>
      </c>
      <c r="L63" s="175">
        <f t="shared" si="67"/>
        <v>0.75802162695663988</v>
      </c>
      <c r="M63" s="175">
        <f t="shared" si="67"/>
        <v>0.76379204458320049</v>
      </c>
      <c r="N63" s="175">
        <f t="shared" si="67"/>
        <v>0.7695624622097611</v>
      </c>
      <c r="O63" s="175">
        <f t="shared" si="67"/>
        <v>0.77533287983632171</v>
      </c>
      <c r="P63" s="175">
        <f t="shared" si="67"/>
        <v>0.78110329746288232</v>
      </c>
      <c r="Q63" s="175">
        <f t="shared" si="67"/>
        <v>0.78687371508944293</v>
      </c>
      <c r="R63" s="175">
        <f t="shared" si="67"/>
        <v>0.79264413271600354</v>
      </c>
      <c r="S63" s="175">
        <f t="shared" si="67"/>
        <v>0.79841455034256414</v>
      </c>
      <c r="T63" s="175">
        <f t="shared" si="67"/>
        <v>0.80418496796912475</v>
      </c>
      <c r="U63" s="175">
        <f t="shared" si="67"/>
        <v>0.80995538559568536</v>
      </c>
      <c r="V63" s="175">
        <f t="shared" si="67"/>
        <v>0.81572580322224597</v>
      </c>
      <c r="W63" s="175">
        <f t="shared" si="67"/>
        <v>0.82149622084880658</v>
      </c>
      <c r="X63" s="175">
        <f t="shared" si="67"/>
        <v>0.82726663847536719</v>
      </c>
      <c r="Y63" s="175">
        <f t="shared" si="67"/>
        <v>0.8330370561019278</v>
      </c>
      <c r="Z63" s="175">
        <f t="shared" si="67"/>
        <v>0.83880747372848841</v>
      </c>
      <c r="AA63" s="175">
        <f t="shared" si="67"/>
        <v>0.84457789135504902</v>
      </c>
      <c r="AB63" s="175">
        <f t="shared" si="67"/>
        <v>0.85034830898160962</v>
      </c>
      <c r="AC63" s="175">
        <f t="shared" si="67"/>
        <v>0.85611872660817023</v>
      </c>
      <c r="AD63" s="175">
        <f t="shared" si="67"/>
        <v>0.86188914423473084</v>
      </c>
      <c r="AE63" s="175">
        <f t="shared" si="67"/>
        <v>0.86765956186129145</v>
      </c>
      <c r="AF63" s="175">
        <f t="shared" si="67"/>
        <v>0.87342997948785206</v>
      </c>
      <c r="AG63" s="175">
        <f t="shared" si="67"/>
        <v>0.87920039711441267</v>
      </c>
      <c r="AH63" s="175">
        <f t="shared" si="67"/>
        <v>0.88497081474097328</v>
      </c>
      <c r="AI63" s="175">
        <f>Q3</f>
        <v>0.89074123236753355</v>
      </c>
    </row>
    <row r="64" spans="1:35">
      <c r="A64" s="260"/>
      <c r="B64" t="s">
        <v>17</v>
      </c>
      <c r="C64" t="s">
        <v>738</v>
      </c>
      <c r="D64" t="s">
        <v>74</v>
      </c>
      <c r="E64" s="148">
        <f t="shared" ref="E64:E67" si="68">G4</f>
        <v>0.26057170849044342</v>
      </c>
      <c r="F64" s="148">
        <f t="shared" ref="F64:AH64" si="69">-($E64-$AI64)/30+E64</f>
        <v>0.2527869911688535</v>
      </c>
      <c r="G64" s="148">
        <f t="shared" si="69"/>
        <v>0.24500227384726361</v>
      </c>
      <c r="H64" s="148">
        <f t="shared" si="69"/>
        <v>0.23721755652567372</v>
      </c>
      <c r="I64" s="148">
        <f t="shared" si="69"/>
        <v>0.22943283920408383</v>
      </c>
      <c r="J64" s="148">
        <f t="shared" si="69"/>
        <v>0.22164812188249394</v>
      </c>
      <c r="K64" s="148">
        <f t="shared" si="69"/>
        <v>0.21386340456090405</v>
      </c>
      <c r="L64" s="148">
        <f t="shared" si="69"/>
        <v>0.20607868723931416</v>
      </c>
      <c r="M64" s="148">
        <f t="shared" si="69"/>
        <v>0.19829396991772427</v>
      </c>
      <c r="N64" s="148">
        <f t="shared" si="69"/>
        <v>0.19050925259613438</v>
      </c>
      <c r="O64" s="148">
        <f t="shared" si="69"/>
        <v>0.18272453527454449</v>
      </c>
      <c r="P64" s="148">
        <f t="shared" si="69"/>
        <v>0.1749398179529546</v>
      </c>
      <c r="Q64" s="148">
        <f t="shared" si="69"/>
        <v>0.16715510063136471</v>
      </c>
      <c r="R64" s="148">
        <f t="shared" si="69"/>
        <v>0.15937038330977482</v>
      </c>
      <c r="S64" s="148">
        <f t="shared" si="69"/>
        <v>0.15158566598818493</v>
      </c>
      <c r="T64" s="148">
        <f t="shared" si="69"/>
        <v>0.14380094866659504</v>
      </c>
      <c r="U64" s="148">
        <f t="shared" si="69"/>
        <v>0.13601623134500515</v>
      </c>
      <c r="V64" s="148">
        <f t="shared" si="69"/>
        <v>0.12823151402341526</v>
      </c>
      <c r="W64" s="148">
        <f t="shared" si="69"/>
        <v>0.12044679670182536</v>
      </c>
      <c r="X64" s="148">
        <f t="shared" si="69"/>
        <v>0.11266207938023545</v>
      </c>
      <c r="Y64" s="148">
        <f t="shared" si="69"/>
        <v>0.10487736205864555</v>
      </c>
      <c r="Z64" s="148">
        <f t="shared" si="69"/>
        <v>9.7092644737055644E-2</v>
      </c>
      <c r="AA64" s="148">
        <f t="shared" si="69"/>
        <v>8.930792741546574E-2</v>
      </c>
      <c r="AB64" s="148">
        <f t="shared" si="69"/>
        <v>8.1523210093875836E-2</v>
      </c>
      <c r="AC64" s="148">
        <f t="shared" si="69"/>
        <v>7.3738492772285932E-2</v>
      </c>
      <c r="AD64" s="148">
        <f t="shared" si="69"/>
        <v>6.5953775450696028E-2</v>
      </c>
      <c r="AE64" s="148">
        <f t="shared" si="69"/>
        <v>5.8169058129106124E-2</v>
      </c>
      <c r="AF64" s="148">
        <f t="shared" si="69"/>
        <v>5.038434080751622E-2</v>
      </c>
      <c r="AG64" s="148">
        <f t="shared" si="69"/>
        <v>4.2599623485926316E-2</v>
      </c>
      <c r="AH64" s="148">
        <f t="shared" si="69"/>
        <v>3.4814906164336412E-2</v>
      </c>
      <c r="AI64" s="148">
        <f t="shared" ref="AI64:AI67" si="70">Q4</f>
        <v>2.7030188842746321E-2</v>
      </c>
    </row>
    <row r="65" spans="1:35">
      <c r="A65" s="260"/>
      <c r="B65" t="s">
        <v>17</v>
      </c>
      <c r="C65" t="s">
        <v>738</v>
      </c>
      <c r="D65" t="s">
        <v>34</v>
      </c>
      <c r="E65" s="148">
        <f t="shared" si="68"/>
        <v>0</v>
      </c>
      <c r="F65" s="148">
        <f t="shared" ref="F65:AH65" si="71">-($E65-$AI65)/30+E65</f>
        <v>1.545307392206399E-3</v>
      </c>
      <c r="G65" s="148">
        <f t="shared" si="71"/>
        <v>3.0906147844127979E-3</v>
      </c>
      <c r="H65" s="148">
        <f t="shared" si="71"/>
        <v>4.6359221766191974E-3</v>
      </c>
      <c r="I65" s="148">
        <f t="shared" si="71"/>
        <v>6.1812295688255959E-3</v>
      </c>
      <c r="J65" s="148">
        <f t="shared" si="71"/>
        <v>7.7265369610319944E-3</v>
      </c>
      <c r="K65" s="148">
        <f t="shared" si="71"/>
        <v>9.271844353238393E-3</v>
      </c>
      <c r="L65" s="148">
        <f t="shared" si="71"/>
        <v>1.0817151745444792E-2</v>
      </c>
      <c r="M65" s="148">
        <f t="shared" si="71"/>
        <v>1.236245913765119E-2</v>
      </c>
      <c r="N65" s="148">
        <f t="shared" si="71"/>
        <v>1.3907766529857589E-2</v>
      </c>
      <c r="O65" s="148">
        <f t="shared" si="71"/>
        <v>1.5453073922063987E-2</v>
      </c>
      <c r="P65" s="148">
        <f t="shared" si="71"/>
        <v>1.6998381314270387E-2</v>
      </c>
      <c r="Q65" s="148">
        <f t="shared" si="71"/>
        <v>1.8543688706476786E-2</v>
      </c>
      <c r="R65" s="148">
        <f t="shared" si="71"/>
        <v>2.0088996098683184E-2</v>
      </c>
      <c r="S65" s="148">
        <f t="shared" si="71"/>
        <v>2.1634303490889583E-2</v>
      </c>
      <c r="T65" s="148">
        <f t="shared" si="71"/>
        <v>2.3179610883095982E-2</v>
      </c>
      <c r="U65" s="148">
        <f t="shared" si="71"/>
        <v>2.472491827530238E-2</v>
      </c>
      <c r="V65" s="148">
        <f t="shared" si="71"/>
        <v>2.6270225667508779E-2</v>
      </c>
      <c r="W65" s="148">
        <f t="shared" si="71"/>
        <v>2.7815533059715177E-2</v>
      </c>
      <c r="X65" s="148">
        <f t="shared" si="71"/>
        <v>2.9360840451921576E-2</v>
      </c>
      <c r="Y65" s="148">
        <f t="shared" si="71"/>
        <v>3.0906147844127974E-2</v>
      </c>
      <c r="Z65" s="148">
        <f t="shared" si="71"/>
        <v>3.2451455236334373E-2</v>
      </c>
      <c r="AA65" s="148">
        <f t="shared" si="71"/>
        <v>3.3996762628540775E-2</v>
      </c>
      <c r="AB65" s="148">
        <f t="shared" si="71"/>
        <v>3.5542070020747177E-2</v>
      </c>
      <c r="AC65" s="148">
        <f t="shared" si="71"/>
        <v>3.7087377412953579E-2</v>
      </c>
      <c r="AD65" s="148">
        <f t="shared" si="71"/>
        <v>3.8632684805159981E-2</v>
      </c>
      <c r="AE65" s="148">
        <f t="shared" si="71"/>
        <v>4.0177992197366383E-2</v>
      </c>
      <c r="AF65" s="148">
        <f t="shared" si="71"/>
        <v>4.1723299589572785E-2</v>
      </c>
      <c r="AG65" s="148">
        <f t="shared" si="71"/>
        <v>4.3268606981779187E-2</v>
      </c>
      <c r="AH65" s="148">
        <f t="shared" si="71"/>
        <v>4.4813914373985589E-2</v>
      </c>
      <c r="AI65" s="148">
        <f t="shared" si="70"/>
        <v>4.635922176619197E-2</v>
      </c>
    </row>
    <row r="66" spans="1:35">
      <c r="A66" s="260"/>
      <c r="B66" t="s">
        <v>17</v>
      </c>
      <c r="C66" t="s">
        <v>738</v>
      </c>
      <c r="D66" t="s">
        <v>35</v>
      </c>
      <c r="E66" s="148">
        <f t="shared" si="68"/>
        <v>2.1799587938840969E-2</v>
      </c>
      <c r="F66" s="148">
        <f t="shared" ref="F66:AH66" si="72">-($E66-$AI66)/30+E66</f>
        <v>2.1990804120907974E-2</v>
      </c>
      <c r="G66" s="148">
        <f t="shared" si="72"/>
        <v>2.2182020302974979E-2</v>
      </c>
      <c r="H66" s="148">
        <f t="shared" si="72"/>
        <v>2.2373236485041983E-2</v>
      </c>
      <c r="I66" s="148">
        <f t="shared" si="72"/>
        <v>2.2564452667108988E-2</v>
      </c>
      <c r="J66" s="148">
        <f t="shared" si="72"/>
        <v>2.2755668849175993E-2</v>
      </c>
      <c r="K66" s="148">
        <f t="shared" si="72"/>
        <v>2.2946885031242998E-2</v>
      </c>
      <c r="L66" s="148">
        <f t="shared" si="72"/>
        <v>2.3138101213310003E-2</v>
      </c>
      <c r="M66" s="148">
        <f t="shared" si="72"/>
        <v>2.3329317395377008E-2</v>
      </c>
      <c r="N66" s="148">
        <f t="shared" si="72"/>
        <v>2.3520533577444012E-2</v>
      </c>
      <c r="O66" s="148">
        <f t="shared" si="72"/>
        <v>2.3711749759511017E-2</v>
      </c>
      <c r="P66" s="148">
        <f t="shared" si="72"/>
        <v>2.3902965941578022E-2</v>
      </c>
      <c r="Q66" s="148">
        <f t="shared" si="72"/>
        <v>2.4094182123645027E-2</v>
      </c>
      <c r="R66" s="148">
        <f t="shared" si="72"/>
        <v>2.4285398305712032E-2</v>
      </c>
      <c r="S66" s="148">
        <f t="shared" si="72"/>
        <v>2.4476614487779037E-2</v>
      </c>
      <c r="T66" s="148">
        <f t="shared" si="72"/>
        <v>2.4667830669846041E-2</v>
      </c>
      <c r="U66" s="148">
        <f t="shared" si="72"/>
        <v>2.4859046851913046E-2</v>
      </c>
      <c r="V66" s="148">
        <f t="shared" si="72"/>
        <v>2.5050263033980051E-2</v>
      </c>
      <c r="W66" s="148">
        <f t="shared" si="72"/>
        <v>2.5241479216047056E-2</v>
      </c>
      <c r="X66" s="148">
        <f t="shared" si="72"/>
        <v>2.5432695398114061E-2</v>
      </c>
      <c r="Y66" s="148">
        <f t="shared" si="72"/>
        <v>2.5623911580181066E-2</v>
      </c>
      <c r="Z66" s="148">
        <f t="shared" si="72"/>
        <v>2.581512776224807E-2</v>
      </c>
      <c r="AA66" s="148">
        <f t="shared" si="72"/>
        <v>2.6006343944315075E-2</v>
      </c>
      <c r="AB66" s="148">
        <f t="shared" si="72"/>
        <v>2.619756012638208E-2</v>
      </c>
      <c r="AC66" s="148">
        <f t="shared" si="72"/>
        <v>2.6388776308449085E-2</v>
      </c>
      <c r="AD66" s="148">
        <f t="shared" si="72"/>
        <v>2.657999249051609E-2</v>
      </c>
      <c r="AE66" s="148">
        <f t="shared" si="72"/>
        <v>2.6771208672583095E-2</v>
      </c>
      <c r="AF66" s="148">
        <f t="shared" si="72"/>
        <v>2.6962424854650099E-2</v>
      </c>
      <c r="AG66" s="148">
        <f t="shared" si="72"/>
        <v>2.7153641036717104E-2</v>
      </c>
      <c r="AH66" s="148">
        <f t="shared" si="72"/>
        <v>2.7344857218784109E-2</v>
      </c>
      <c r="AI66" s="148">
        <f t="shared" si="70"/>
        <v>2.7536073400851156E-2</v>
      </c>
    </row>
    <row r="67" spans="1:35" s="62" customFormat="1">
      <c r="A67" s="261"/>
      <c r="B67" s="62" t="s">
        <v>17</v>
      </c>
      <c r="C67" s="62" t="s">
        <v>738</v>
      </c>
      <c r="D67" s="62" t="s">
        <v>27</v>
      </c>
      <c r="E67" s="366">
        <f t="shared" si="68"/>
        <v>0</v>
      </c>
      <c r="F67" s="366">
        <f t="shared" ref="F67:AH67" si="73">-($E67-$AI67)/30+E67</f>
        <v>2.7777612075590769E-4</v>
      </c>
      <c r="G67" s="366">
        <f t="shared" si="73"/>
        <v>5.5555224151181538E-4</v>
      </c>
      <c r="H67" s="366">
        <f t="shared" si="73"/>
        <v>8.3332836226772313E-4</v>
      </c>
      <c r="I67" s="366">
        <f t="shared" si="73"/>
        <v>1.1111044830236308E-3</v>
      </c>
      <c r="J67" s="366">
        <f t="shared" si="73"/>
        <v>1.3888806037795384E-3</v>
      </c>
      <c r="K67" s="366">
        <f t="shared" si="73"/>
        <v>1.666656724535446E-3</v>
      </c>
      <c r="L67" s="366">
        <f t="shared" si="73"/>
        <v>1.9444328452913537E-3</v>
      </c>
      <c r="M67" s="366">
        <f t="shared" si="73"/>
        <v>2.2222089660472615E-3</v>
      </c>
      <c r="N67" s="366">
        <f t="shared" si="73"/>
        <v>2.4999850868031694E-3</v>
      </c>
      <c r="O67" s="366">
        <f t="shared" si="73"/>
        <v>2.7777612075590772E-3</v>
      </c>
      <c r="P67" s="366">
        <f t="shared" si="73"/>
        <v>3.0555373283149851E-3</v>
      </c>
      <c r="Q67" s="366">
        <f t="shared" si="73"/>
        <v>3.333313449070893E-3</v>
      </c>
      <c r="R67" s="366">
        <f t="shared" si="73"/>
        <v>3.6110895698268008E-3</v>
      </c>
      <c r="S67" s="366">
        <f t="shared" si="73"/>
        <v>3.8888656905827087E-3</v>
      </c>
      <c r="T67" s="366">
        <f t="shared" si="73"/>
        <v>4.1666418113386165E-3</v>
      </c>
      <c r="U67" s="366">
        <f t="shared" si="73"/>
        <v>4.4444179320945239E-3</v>
      </c>
      <c r="V67" s="366">
        <f t="shared" si="73"/>
        <v>4.7221940528504314E-3</v>
      </c>
      <c r="W67" s="366">
        <f t="shared" si="73"/>
        <v>4.9999701736063388E-3</v>
      </c>
      <c r="X67" s="366">
        <f t="shared" si="73"/>
        <v>5.2777462943622462E-3</v>
      </c>
      <c r="Y67" s="366">
        <f t="shared" si="73"/>
        <v>5.5555224151181536E-3</v>
      </c>
      <c r="Z67" s="366">
        <f t="shared" si="73"/>
        <v>5.8332985358740611E-3</v>
      </c>
      <c r="AA67" s="366">
        <f t="shared" si="73"/>
        <v>6.1110746566299685E-3</v>
      </c>
      <c r="AB67" s="366">
        <f t="shared" si="73"/>
        <v>6.3888507773858759E-3</v>
      </c>
      <c r="AC67" s="366">
        <f t="shared" si="73"/>
        <v>6.6666268981417833E-3</v>
      </c>
      <c r="AD67" s="366">
        <f t="shared" si="73"/>
        <v>6.9444030188976907E-3</v>
      </c>
      <c r="AE67" s="366">
        <f t="shared" si="73"/>
        <v>7.2221791396535982E-3</v>
      </c>
      <c r="AF67" s="366">
        <f t="shared" si="73"/>
        <v>7.4999552604095056E-3</v>
      </c>
      <c r="AG67" s="366">
        <f t="shared" si="73"/>
        <v>7.777731381165413E-3</v>
      </c>
      <c r="AH67" s="366">
        <f t="shared" si="73"/>
        <v>8.0555075019213204E-3</v>
      </c>
      <c r="AI67" s="366">
        <f t="shared" si="70"/>
        <v>8.3332836226772313E-3</v>
      </c>
    </row>
    <row r="68" spans="1:35">
      <c r="B68" t="s">
        <v>21</v>
      </c>
      <c r="C68" t="s">
        <v>735</v>
      </c>
      <c r="D68" t="s">
        <v>141</v>
      </c>
      <c r="E68" s="22">
        <f>D11</f>
        <v>0.80683781047114178</v>
      </c>
      <c r="F68" s="22">
        <f t="shared" ref="F68:AH68" si="74">-($E68-$AI68)/30+E68</f>
        <v>0.7925405296850272</v>
      </c>
      <c r="G68" s="22">
        <f t="shared" si="74"/>
        <v>0.77824324889891261</v>
      </c>
      <c r="H68" s="22">
        <f t="shared" si="74"/>
        <v>0.76394596811279802</v>
      </c>
      <c r="I68" s="22">
        <f t="shared" si="74"/>
        <v>0.74964868732668344</v>
      </c>
      <c r="J68" s="22">
        <f t="shared" si="74"/>
        <v>0.73535140654056885</v>
      </c>
      <c r="K68" s="22">
        <f t="shared" si="74"/>
        <v>0.72105412575445427</v>
      </c>
      <c r="L68" s="22">
        <f t="shared" si="74"/>
        <v>0.70675684496833968</v>
      </c>
      <c r="M68" s="22">
        <f t="shared" si="74"/>
        <v>0.6924595641822251</v>
      </c>
      <c r="N68" s="22">
        <f t="shared" si="74"/>
        <v>0.67816228339611051</v>
      </c>
      <c r="O68" s="22">
        <f t="shared" si="74"/>
        <v>0.66386500260999592</v>
      </c>
      <c r="P68" s="22">
        <f t="shared" si="74"/>
        <v>0.64956772182388134</v>
      </c>
      <c r="Q68" s="22">
        <f t="shared" si="74"/>
        <v>0.63527044103776675</v>
      </c>
      <c r="R68" s="22">
        <f t="shared" si="74"/>
        <v>0.62097316025165217</v>
      </c>
      <c r="S68" s="22">
        <f t="shared" si="74"/>
        <v>0.60667587946553758</v>
      </c>
      <c r="T68" s="22">
        <f t="shared" si="74"/>
        <v>0.592378598679423</v>
      </c>
      <c r="U68" s="22">
        <f t="shared" si="74"/>
        <v>0.57808131789330841</v>
      </c>
      <c r="V68" s="22">
        <f t="shared" si="74"/>
        <v>0.56378403710719383</v>
      </c>
      <c r="W68" s="22">
        <f t="shared" si="74"/>
        <v>0.54948675632107924</v>
      </c>
      <c r="X68" s="22">
        <f t="shared" si="74"/>
        <v>0.53518947553496465</v>
      </c>
      <c r="Y68" s="22">
        <f t="shared" si="74"/>
        <v>0.52089219474885007</v>
      </c>
      <c r="Z68" s="22">
        <f t="shared" si="74"/>
        <v>0.50659491396273548</v>
      </c>
      <c r="AA68" s="22">
        <f t="shared" si="74"/>
        <v>0.4922976331766209</v>
      </c>
      <c r="AB68" s="22">
        <f t="shared" si="74"/>
        <v>0.47800035239050631</v>
      </c>
      <c r="AC68" s="22">
        <f t="shared" si="74"/>
        <v>0.46370307160439173</v>
      </c>
      <c r="AD68" s="22">
        <f t="shared" si="74"/>
        <v>0.44940579081827714</v>
      </c>
      <c r="AE68" s="22">
        <f t="shared" si="74"/>
        <v>0.43510851003216255</v>
      </c>
      <c r="AF68" s="22">
        <f t="shared" si="74"/>
        <v>0.42081122924604797</v>
      </c>
      <c r="AG68" s="22">
        <f t="shared" si="74"/>
        <v>0.40651394845993338</v>
      </c>
      <c r="AH68" s="22">
        <f t="shared" si="74"/>
        <v>0.3922166676738188</v>
      </c>
      <c r="AI68" s="22">
        <f>M11</f>
        <v>0.37791938688770471</v>
      </c>
    </row>
    <row r="69" spans="1:35">
      <c r="B69" t="s">
        <v>21</v>
      </c>
      <c r="D69" t="s">
        <v>74</v>
      </c>
      <c r="E69" s="22">
        <f t="shared" ref="E69:E72" si="75">D12</f>
        <v>0.10006551908988026</v>
      </c>
      <c r="F69" s="22">
        <f t="shared" ref="F69:AH69" si="76">-($E69-$AI69)/30+E69</f>
        <v>9.6730001786884248E-2</v>
      </c>
      <c r="G69" s="22">
        <f t="shared" si="76"/>
        <v>9.3394484483888235E-2</v>
      </c>
      <c r="H69" s="22">
        <f t="shared" si="76"/>
        <v>9.0058967180892222E-2</v>
      </c>
      <c r="I69" s="22">
        <f t="shared" si="76"/>
        <v>8.6723449877896208E-2</v>
      </c>
      <c r="J69" s="22">
        <f t="shared" si="76"/>
        <v>8.3387932574900195E-2</v>
      </c>
      <c r="K69" s="22">
        <f t="shared" si="76"/>
        <v>8.0052415271904181E-2</v>
      </c>
      <c r="L69" s="22">
        <f t="shared" si="76"/>
        <v>7.6716897968908168E-2</v>
      </c>
      <c r="M69" s="22">
        <f t="shared" si="76"/>
        <v>7.3381380665912155E-2</v>
      </c>
      <c r="N69" s="22">
        <f t="shared" si="76"/>
        <v>7.0045863362916141E-2</v>
      </c>
      <c r="O69" s="22">
        <f t="shared" si="76"/>
        <v>6.6710346059920128E-2</v>
      </c>
      <c r="P69" s="22">
        <f t="shared" si="76"/>
        <v>6.3374828756924115E-2</v>
      </c>
      <c r="Q69" s="22">
        <f t="shared" si="76"/>
        <v>6.0039311453928108E-2</v>
      </c>
      <c r="R69" s="22">
        <f t="shared" si="76"/>
        <v>5.6703794150932102E-2</v>
      </c>
      <c r="S69" s="22">
        <f t="shared" si="76"/>
        <v>5.3368276847936096E-2</v>
      </c>
      <c r="T69" s="22">
        <f t="shared" si="76"/>
        <v>5.0032759544940089E-2</v>
      </c>
      <c r="U69" s="22">
        <f t="shared" si="76"/>
        <v>4.6697242241944083E-2</v>
      </c>
      <c r="V69" s="22">
        <f t="shared" si="76"/>
        <v>4.3361724938948076E-2</v>
      </c>
      <c r="W69" s="22">
        <f t="shared" si="76"/>
        <v>4.002620763595207E-2</v>
      </c>
      <c r="X69" s="22">
        <f t="shared" si="76"/>
        <v>3.6690690332956064E-2</v>
      </c>
      <c r="Y69" s="22">
        <f t="shared" si="76"/>
        <v>3.3355173029960057E-2</v>
      </c>
      <c r="Z69" s="22">
        <f t="shared" si="76"/>
        <v>3.0019655726964047E-2</v>
      </c>
      <c r="AA69" s="22">
        <f t="shared" si="76"/>
        <v>2.6684138423968037E-2</v>
      </c>
      <c r="AB69" s="22">
        <f t="shared" si="76"/>
        <v>2.3348621120972027E-2</v>
      </c>
      <c r="AC69" s="22">
        <f t="shared" si="76"/>
        <v>2.0013103817976018E-2</v>
      </c>
      <c r="AD69" s="22">
        <f t="shared" si="76"/>
        <v>1.6677586514980008E-2</v>
      </c>
      <c r="AE69" s="22">
        <f t="shared" si="76"/>
        <v>1.3342069211984E-2</v>
      </c>
      <c r="AF69" s="22">
        <f t="shared" si="76"/>
        <v>1.0006551908987991E-2</v>
      </c>
      <c r="AG69" s="22">
        <f t="shared" si="76"/>
        <v>6.6710346059919833E-3</v>
      </c>
      <c r="AH69" s="22">
        <f t="shared" si="76"/>
        <v>3.3355173029959747E-3</v>
      </c>
      <c r="AI69" s="22">
        <f t="shared" ref="AI69:AI72" si="77">M12</f>
        <v>0</v>
      </c>
    </row>
    <row r="70" spans="1:35">
      <c r="B70" t="s">
        <v>21</v>
      </c>
      <c r="D70" t="s">
        <v>34</v>
      </c>
      <c r="E70" s="22">
        <f t="shared" si="75"/>
        <v>0</v>
      </c>
      <c r="F70" s="22">
        <f t="shared" ref="F70:AH70" si="78">-($E70-$AI70)/30+E70</f>
        <v>3.9920920458018198E-3</v>
      </c>
      <c r="G70" s="22">
        <f t="shared" si="78"/>
        <v>7.9841840916036397E-3</v>
      </c>
      <c r="H70" s="22">
        <f t="shared" si="78"/>
        <v>1.197627613740546E-2</v>
      </c>
      <c r="I70" s="22">
        <f t="shared" si="78"/>
        <v>1.5968368183207279E-2</v>
      </c>
      <c r="J70" s="22">
        <f t="shared" si="78"/>
        <v>1.9960460229009099E-2</v>
      </c>
      <c r="K70" s="22">
        <f t="shared" si="78"/>
        <v>2.3952552274810919E-2</v>
      </c>
      <c r="L70" s="22">
        <f t="shared" si="78"/>
        <v>2.7944644320612739E-2</v>
      </c>
      <c r="M70" s="22">
        <f t="shared" si="78"/>
        <v>3.1936736366414559E-2</v>
      </c>
      <c r="N70" s="22">
        <f t="shared" si="78"/>
        <v>3.5928828412216382E-2</v>
      </c>
      <c r="O70" s="22">
        <f t="shared" si="78"/>
        <v>3.9920920458018205E-2</v>
      </c>
      <c r="P70" s="22">
        <f t="shared" si="78"/>
        <v>4.3913012503820029E-2</v>
      </c>
      <c r="Q70" s="22">
        <f t="shared" si="78"/>
        <v>4.7905104549621852E-2</v>
      </c>
      <c r="R70" s="22">
        <f t="shared" si="78"/>
        <v>5.1897196595423675E-2</v>
      </c>
      <c r="S70" s="22">
        <f t="shared" si="78"/>
        <v>5.5889288641225499E-2</v>
      </c>
      <c r="T70" s="22">
        <f t="shared" si="78"/>
        <v>5.9881380687027322E-2</v>
      </c>
      <c r="U70" s="22">
        <f t="shared" si="78"/>
        <v>6.3873472732829145E-2</v>
      </c>
      <c r="V70" s="22">
        <f t="shared" si="78"/>
        <v>6.7865564778630968E-2</v>
      </c>
      <c r="W70" s="22">
        <f t="shared" si="78"/>
        <v>7.1857656824432792E-2</v>
      </c>
      <c r="X70" s="22">
        <f t="shared" si="78"/>
        <v>7.5849748870234615E-2</v>
      </c>
      <c r="Y70" s="22">
        <f t="shared" si="78"/>
        <v>7.9841840916036438E-2</v>
      </c>
      <c r="Z70" s="22">
        <f t="shared" si="78"/>
        <v>8.3833932961838262E-2</v>
      </c>
      <c r="AA70" s="22">
        <f t="shared" si="78"/>
        <v>8.7826025007640085E-2</v>
      </c>
      <c r="AB70" s="22">
        <f t="shared" si="78"/>
        <v>9.1818117053441908E-2</v>
      </c>
      <c r="AC70" s="22">
        <f t="shared" si="78"/>
        <v>9.5810209099243732E-2</v>
      </c>
      <c r="AD70" s="22">
        <f t="shared" si="78"/>
        <v>9.9802301145045555E-2</v>
      </c>
      <c r="AE70" s="22">
        <f t="shared" si="78"/>
        <v>0.10379439319084738</v>
      </c>
      <c r="AF70" s="22">
        <f t="shared" si="78"/>
        <v>0.1077864852366492</v>
      </c>
      <c r="AG70" s="22">
        <f t="shared" si="78"/>
        <v>0.11177857728245102</v>
      </c>
      <c r="AH70" s="22">
        <f t="shared" si="78"/>
        <v>0.11577066932825285</v>
      </c>
      <c r="AI70" s="22">
        <f t="shared" si="77"/>
        <v>0.11976276137405459</v>
      </c>
    </row>
    <row r="71" spans="1:35">
      <c r="B71" t="s">
        <v>21</v>
      </c>
      <c r="D71" t="s">
        <v>35</v>
      </c>
      <c r="E71" s="22">
        <f t="shared" si="75"/>
        <v>0</v>
      </c>
      <c r="F71" s="22">
        <f t="shared" ref="F71:AH71" si="79">-($E71-$AI71)/30+E71</f>
        <v>0</v>
      </c>
      <c r="G71" s="22">
        <f t="shared" si="79"/>
        <v>0</v>
      </c>
      <c r="H71" s="22">
        <f t="shared" si="79"/>
        <v>0</v>
      </c>
      <c r="I71" s="22">
        <f t="shared" si="79"/>
        <v>0</v>
      </c>
      <c r="J71" s="22">
        <f t="shared" si="79"/>
        <v>0</v>
      </c>
      <c r="K71" s="22">
        <f t="shared" si="79"/>
        <v>0</v>
      </c>
      <c r="L71" s="22">
        <f t="shared" si="79"/>
        <v>0</v>
      </c>
      <c r="M71" s="22">
        <f t="shared" si="79"/>
        <v>0</v>
      </c>
      <c r="N71" s="22">
        <f t="shared" si="79"/>
        <v>0</v>
      </c>
      <c r="O71" s="22">
        <f t="shared" si="79"/>
        <v>0</v>
      </c>
      <c r="P71" s="22">
        <f t="shared" si="79"/>
        <v>0</v>
      </c>
      <c r="Q71" s="22">
        <f t="shared" si="79"/>
        <v>0</v>
      </c>
      <c r="R71" s="22">
        <f t="shared" si="79"/>
        <v>0</v>
      </c>
      <c r="S71" s="22">
        <f t="shared" si="79"/>
        <v>0</v>
      </c>
      <c r="T71" s="22">
        <f t="shared" si="79"/>
        <v>0</v>
      </c>
      <c r="U71" s="22">
        <f t="shared" si="79"/>
        <v>0</v>
      </c>
      <c r="V71" s="22">
        <f t="shared" si="79"/>
        <v>0</v>
      </c>
      <c r="W71" s="22">
        <f t="shared" si="79"/>
        <v>0</v>
      </c>
      <c r="X71" s="22">
        <f t="shared" si="79"/>
        <v>0</v>
      </c>
      <c r="Y71" s="22">
        <f t="shared" si="79"/>
        <v>0</v>
      </c>
      <c r="Z71" s="22">
        <f t="shared" si="79"/>
        <v>0</v>
      </c>
      <c r="AA71" s="22">
        <f t="shared" si="79"/>
        <v>0</v>
      </c>
      <c r="AB71" s="22">
        <f t="shared" si="79"/>
        <v>0</v>
      </c>
      <c r="AC71" s="22">
        <f t="shared" si="79"/>
        <v>0</v>
      </c>
      <c r="AD71" s="22">
        <f t="shared" si="79"/>
        <v>0</v>
      </c>
      <c r="AE71" s="22">
        <f t="shared" si="79"/>
        <v>0</v>
      </c>
      <c r="AF71" s="22">
        <f t="shared" si="79"/>
        <v>0</v>
      </c>
      <c r="AG71" s="22">
        <f t="shared" si="79"/>
        <v>0</v>
      </c>
      <c r="AH71" s="22">
        <f t="shared" si="79"/>
        <v>0</v>
      </c>
      <c r="AI71" s="22">
        <f t="shared" si="77"/>
        <v>0</v>
      </c>
    </row>
    <row r="72" spans="1:35">
      <c r="B72" t="s">
        <v>21</v>
      </c>
      <c r="D72" t="s">
        <v>27</v>
      </c>
      <c r="E72" s="22">
        <f t="shared" si="75"/>
        <v>9.3096670438977874E-2</v>
      </c>
      <c r="F72" s="22">
        <f t="shared" ref="F72:AH72" si="80">-($E72-$AI72)/30+E72</f>
        <v>0.10673737648228664</v>
      </c>
      <c r="G72" s="22">
        <f t="shared" si="80"/>
        <v>0.1203780825255954</v>
      </c>
      <c r="H72" s="22">
        <f t="shared" si="80"/>
        <v>0.13401878856890417</v>
      </c>
      <c r="I72" s="22">
        <f t="shared" si="80"/>
        <v>0.14765949461221295</v>
      </c>
      <c r="J72" s="22">
        <f t="shared" si="80"/>
        <v>0.16130020065552172</v>
      </c>
      <c r="K72" s="22">
        <f t="shared" si="80"/>
        <v>0.1749409066988305</v>
      </c>
      <c r="L72" s="22">
        <f t="shared" si="80"/>
        <v>0.18858161274213928</v>
      </c>
      <c r="M72" s="22">
        <f t="shared" si="80"/>
        <v>0.20222231878544805</v>
      </c>
      <c r="N72" s="22">
        <f t="shared" si="80"/>
        <v>0.21586302482875683</v>
      </c>
      <c r="O72" s="22">
        <f t="shared" si="80"/>
        <v>0.2295037308720656</v>
      </c>
      <c r="P72" s="22">
        <f t="shared" si="80"/>
        <v>0.24314443691537438</v>
      </c>
      <c r="Q72" s="22">
        <f t="shared" si="80"/>
        <v>0.25678514295868315</v>
      </c>
      <c r="R72" s="22">
        <f t="shared" si="80"/>
        <v>0.2704258490019919</v>
      </c>
      <c r="S72" s="22">
        <f t="shared" si="80"/>
        <v>0.28406655504530065</v>
      </c>
      <c r="T72" s="22">
        <f t="shared" si="80"/>
        <v>0.2977072610886094</v>
      </c>
      <c r="U72" s="22">
        <f t="shared" si="80"/>
        <v>0.31134796713191815</v>
      </c>
      <c r="V72" s="22">
        <f t="shared" si="80"/>
        <v>0.32498867317522689</v>
      </c>
      <c r="W72" s="22">
        <f t="shared" si="80"/>
        <v>0.33862937921853564</v>
      </c>
      <c r="X72" s="22">
        <f t="shared" si="80"/>
        <v>0.35227008526184439</v>
      </c>
      <c r="Y72" s="22">
        <f t="shared" si="80"/>
        <v>0.36591079130515314</v>
      </c>
      <c r="Z72" s="22">
        <f t="shared" si="80"/>
        <v>0.37955149734846189</v>
      </c>
      <c r="AA72" s="22">
        <f t="shared" si="80"/>
        <v>0.39319220339177063</v>
      </c>
      <c r="AB72" s="22">
        <f t="shared" si="80"/>
        <v>0.40683290943507938</v>
      </c>
      <c r="AC72" s="22">
        <f t="shared" si="80"/>
        <v>0.42047361547838813</v>
      </c>
      <c r="AD72" s="22">
        <f t="shared" si="80"/>
        <v>0.43411432152169688</v>
      </c>
      <c r="AE72" s="22">
        <f t="shared" si="80"/>
        <v>0.44775502756500563</v>
      </c>
      <c r="AF72" s="22">
        <f t="shared" si="80"/>
        <v>0.46139573360831437</v>
      </c>
      <c r="AG72" s="22">
        <f t="shared" si="80"/>
        <v>0.47503643965162312</v>
      </c>
      <c r="AH72" s="22">
        <f t="shared" si="80"/>
        <v>0.48867714569493187</v>
      </c>
      <c r="AI72" s="22">
        <f t="shared" si="77"/>
        <v>0.50231785173824073</v>
      </c>
    </row>
    <row r="73" spans="1:35" s="61" customFormat="1">
      <c r="A73" s="257"/>
      <c r="B73" s="61" t="s">
        <v>21</v>
      </c>
      <c r="C73" s="61" t="s">
        <v>743</v>
      </c>
      <c r="D73" s="61" t="s">
        <v>141</v>
      </c>
      <c r="E73" s="175">
        <f>E11</f>
        <v>0.80683781047114178</v>
      </c>
      <c r="F73" s="175">
        <f t="shared" ref="F73:AH73" si="81">-($E73-$AI73)/30+E73</f>
        <v>0.7925405296850272</v>
      </c>
      <c r="G73" s="175">
        <f t="shared" si="81"/>
        <v>0.77824324889891261</v>
      </c>
      <c r="H73" s="175">
        <f t="shared" si="81"/>
        <v>0.76394596811279802</v>
      </c>
      <c r="I73" s="175">
        <f t="shared" si="81"/>
        <v>0.74964868732668344</v>
      </c>
      <c r="J73" s="175">
        <f t="shared" si="81"/>
        <v>0.73535140654056885</v>
      </c>
      <c r="K73" s="175">
        <f t="shared" si="81"/>
        <v>0.72105412575445427</v>
      </c>
      <c r="L73" s="175">
        <f t="shared" si="81"/>
        <v>0.70675684496833968</v>
      </c>
      <c r="M73" s="175">
        <f t="shared" si="81"/>
        <v>0.6924595641822251</v>
      </c>
      <c r="N73" s="175">
        <f t="shared" si="81"/>
        <v>0.67816228339611051</v>
      </c>
      <c r="O73" s="175">
        <f t="shared" si="81"/>
        <v>0.66386500260999592</v>
      </c>
      <c r="P73" s="175">
        <f t="shared" si="81"/>
        <v>0.64956772182388134</v>
      </c>
      <c r="Q73" s="175">
        <f t="shared" si="81"/>
        <v>0.63527044103776675</v>
      </c>
      <c r="R73" s="175">
        <f t="shared" si="81"/>
        <v>0.62097316025165217</v>
      </c>
      <c r="S73" s="175">
        <f t="shared" si="81"/>
        <v>0.60667587946553758</v>
      </c>
      <c r="T73" s="175">
        <f t="shared" si="81"/>
        <v>0.592378598679423</v>
      </c>
      <c r="U73" s="175">
        <f t="shared" si="81"/>
        <v>0.57808131789330841</v>
      </c>
      <c r="V73" s="175">
        <f t="shared" si="81"/>
        <v>0.56378403710719383</v>
      </c>
      <c r="W73" s="175">
        <f t="shared" si="81"/>
        <v>0.54948675632107924</v>
      </c>
      <c r="X73" s="175">
        <f t="shared" si="81"/>
        <v>0.53518947553496465</v>
      </c>
      <c r="Y73" s="175">
        <f t="shared" si="81"/>
        <v>0.52089219474885007</v>
      </c>
      <c r="Z73" s="175">
        <f t="shared" si="81"/>
        <v>0.50659491396273548</v>
      </c>
      <c r="AA73" s="175">
        <f t="shared" si="81"/>
        <v>0.4922976331766209</v>
      </c>
      <c r="AB73" s="175">
        <f t="shared" si="81"/>
        <v>0.47800035239050631</v>
      </c>
      <c r="AC73" s="175">
        <f t="shared" si="81"/>
        <v>0.46370307160439173</v>
      </c>
      <c r="AD73" s="175">
        <f t="shared" si="81"/>
        <v>0.44940579081827714</v>
      </c>
      <c r="AE73" s="175">
        <f t="shared" si="81"/>
        <v>0.43510851003216255</v>
      </c>
      <c r="AF73" s="175">
        <f t="shared" si="81"/>
        <v>0.42081122924604797</v>
      </c>
      <c r="AG73" s="175">
        <f t="shared" si="81"/>
        <v>0.40651394845993338</v>
      </c>
      <c r="AH73" s="175">
        <f t="shared" si="81"/>
        <v>0.3922166676738188</v>
      </c>
      <c r="AI73" s="175">
        <f>N11</f>
        <v>0.37791938688770471</v>
      </c>
    </row>
    <row r="74" spans="1:35">
      <c r="A74" s="260"/>
      <c r="B74" t="s">
        <v>21</v>
      </c>
      <c r="D74" t="s">
        <v>74</v>
      </c>
      <c r="E74" s="148">
        <f t="shared" ref="E74:E77" si="82">E12</f>
        <v>0.10006551908988026</v>
      </c>
      <c r="F74" s="148">
        <f t="shared" ref="F74:AH74" si="83">-($E74-$AI74)/30+E74</f>
        <v>9.6730001786884248E-2</v>
      </c>
      <c r="G74" s="148">
        <f t="shared" si="83"/>
        <v>9.3394484483888235E-2</v>
      </c>
      <c r="H74" s="148">
        <f t="shared" si="83"/>
        <v>9.0058967180892222E-2</v>
      </c>
      <c r="I74" s="148">
        <f t="shared" si="83"/>
        <v>8.6723449877896208E-2</v>
      </c>
      <c r="J74" s="148">
        <f t="shared" si="83"/>
        <v>8.3387932574900195E-2</v>
      </c>
      <c r="K74" s="148">
        <f t="shared" si="83"/>
        <v>8.0052415271904181E-2</v>
      </c>
      <c r="L74" s="148">
        <f t="shared" si="83"/>
        <v>7.6716897968908168E-2</v>
      </c>
      <c r="M74" s="148">
        <f t="shared" si="83"/>
        <v>7.3381380665912155E-2</v>
      </c>
      <c r="N74" s="148">
        <f t="shared" si="83"/>
        <v>7.0045863362916141E-2</v>
      </c>
      <c r="O74" s="148">
        <f t="shared" si="83"/>
        <v>6.6710346059920128E-2</v>
      </c>
      <c r="P74" s="148">
        <f t="shared" si="83"/>
        <v>6.3374828756924115E-2</v>
      </c>
      <c r="Q74" s="148">
        <f t="shared" si="83"/>
        <v>6.0039311453928108E-2</v>
      </c>
      <c r="R74" s="148">
        <f t="shared" si="83"/>
        <v>5.6703794150932102E-2</v>
      </c>
      <c r="S74" s="148">
        <f t="shared" si="83"/>
        <v>5.3368276847936096E-2</v>
      </c>
      <c r="T74" s="148">
        <f t="shared" si="83"/>
        <v>5.0032759544940089E-2</v>
      </c>
      <c r="U74" s="148">
        <f t="shared" si="83"/>
        <v>4.6697242241944083E-2</v>
      </c>
      <c r="V74" s="148">
        <f t="shared" si="83"/>
        <v>4.3361724938948076E-2</v>
      </c>
      <c r="W74" s="148">
        <f t="shared" si="83"/>
        <v>4.002620763595207E-2</v>
      </c>
      <c r="X74" s="148">
        <f t="shared" si="83"/>
        <v>3.6690690332956064E-2</v>
      </c>
      <c r="Y74" s="148">
        <f t="shared" si="83"/>
        <v>3.3355173029960057E-2</v>
      </c>
      <c r="Z74" s="148">
        <f t="shared" si="83"/>
        <v>3.0019655726964047E-2</v>
      </c>
      <c r="AA74" s="148">
        <f t="shared" si="83"/>
        <v>2.6684138423968037E-2</v>
      </c>
      <c r="AB74" s="148">
        <f t="shared" si="83"/>
        <v>2.3348621120972027E-2</v>
      </c>
      <c r="AC74" s="148">
        <f t="shared" si="83"/>
        <v>2.0013103817976018E-2</v>
      </c>
      <c r="AD74" s="148">
        <f t="shared" si="83"/>
        <v>1.6677586514980008E-2</v>
      </c>
      <c r="AE74" s="148">
        <f t="shared" si="83"/>
        <v>1.3342069211984E-2</v>
      </c>
      <c r="AF74" s="148">
        <f t="shared" si="83"/>
        <v>1.0006551908987991E-2</v>
      </c>
      <c r="AG74" s="148">
        <f t="shared" si="83"/>
        <v>6.6710346059919833E-3</v>
      </c>
      <c r="AH74" s="148">
        <f t="shared" si="83"/>
        <v>3.3355173029959747E-3</v>
      </c>
      <c r="AI74" s="148">
        <f t="shared" ref="AI74:AI77" si="84">N12</f>
        <v>0</v>
      </c>
    </row>
    <row r="75" spans="1:35">
      <c r="A75" s="260"/>
      <c r="B75" t="s">
        <v>21</v>
      </c>
      <c r="D75" t="s">
        <v>34</v>
      </c>
      <c r="E75" s="148">
        <f t="shared" si="82"/>
        <v>0</v>
      </c>
      <c r="F75" s="148">
        <f t="shared" ref="F75:AH75" si="85">-($E75-$AI75)/30+E75</f>
        <v>3.9920920458018198E-3</v>
      </c>
      <c r="G75" s="148">
        <f t="shared" si="85"/>
        <v>7.9841840916036397E-3</v>
      </c>
      <c r="H75" s="148">
        <f t="shared" si="85"/>
        <v>1.197627613740546E-2</v>
      </c>
      <c r="I75" s="148">
        <f t="shared" si="85"/>
        <v>1.5968368183207279E-2</v>
      </c>
      <c r="J75" s="148">
        <f t="shared" si="85"/>
        <v>1.9960460229009099E-2</v>
      </c>
      <c r="K75" s="148">
        <f t="shared" si="85"/>
        <v>2.3952552274810919E-2</v>
      </c>
      <c r="L75" s="148">
        <f t="shared" si="85"/>
        <v>2.7944644320612739E-2</v>
      </c>
      <c r="M75" s="148">
        <f t="shared" si="85"/>
        <v>3.1936736366414559E-2</v>
      </c>
      <c r="N75" s="148">
        <f t="shared" si="85"/>
        <v>3.5928828412216382E-2</v>
      </c>
      <c r="O75" s="148">
        <f t="shared" si="85"/>
        <v>3.9920920458018205E-2</v>
      </c>
      <c r="P75" s="148">
        <f t="shared" si="85"/>
        <v>4.3913012503820029E-2</v>
      </c>
      <c r="Q75" s="148">
        <f t="shared" si="85"/>
        <v>4.7905104549621852E-2</v>
      </c>
      <c r="R75" s="148">
        <f t="shared" si="85"/>
        <v>5.1897196595423675E-2</v>
      </c>
      <c r="S75" s="148">
        <f t="shared" si="85"/>
        <v>5.5889288641225499E-2</v>
      </c>
      <c r="T75" s="148">
        <f t="shared" si="85"/>
        <v>5.9881380687027322E-2</v>
      </c>
      <c r="U75" s="148">
        <f t="shared" si="85"/>
        <v>6.3873472732829145E-2</v>
      </c>
      <c r="V75" s="148">
        <f t="shared" si="85"/>
        <v>6.7865564778630968E-2</v>
      </c>
      <c r="W75" s="148">
        <f t="shared" si="85"/>
        <v>7.1857656824432792E-2</v>
      </c>
      <c r="X75" s="148">
        <f t="shared" si="85"/>
        <v>7.5849748870234615E-2</v>
      </c>
      <c r="Y75" s="148">
        <f t="shared" si="85"/>
        <v>7.9841840916036438E-2</v>
      </c>
      <c r="Z75" s="148">
        <f t="shared" si="85"/>
        <v>8.3833932961838262E-2</v>
      </c>
      <c r="AA75" s="148">
        <f t="shared" si="85"/>
        <v>8.7826025007640085E-2</v>
      </c>
      <c r="AB75" s="148">
        <f t="shared" si="85"/>
        <v>9.1818117053441908E-2</v>
      </c>
      <c r="AC75" s="148">
        <f t="shared" si="85"/>
        <v>9.5810209099243732E-2</v>
      </c>
      <c r="AD75" s="148">
        <f t="shared" si="85"/>
        <v>9.9802301145045555E-2</v>
      </c>
      <c r="AE75" s="148">
        <f t="shared" si="85"/>
        <v>0.10379439319084738</v>
      </c>
      <c r="AF75" s="148">
        <f t="shared" si="85"/>
        <v>0.1077864852366492</v>
      </c>
      <c r="AG75" s="148">
        <f t="shared" si="85"/>
        <v>0.11177857728245102</v>
      </c>
      <c r="AH75" s="148">
        <f t="shared" si="85"/>
        <v>0.11577066932825285</v>
      </c>
      <c r="AI75" s="148">
        <f t="shared" si="84"/>
        <v>0.11976276137405459</v>
      </c>
    </row>
    <row r="76" spans="1:35">
      <c r="A76" s="260"/>
      <c r="B76" t="s">
        <v>21</v>
      </c>
      <c r="D76" t="s">
        <v>35</v>
      </c>
      <c r="E76" s="148">
        <f t="shared" si="82"/>
        <v>0</v>
      </c>
      <c r="F76" s="148">
        <f t="shared" ref="F76:AH76" si="86">-($E76-$AI76)/30+E76</f>
        <v>0</v>
      </c>
      <c r="G76" s="148">
        <f t="shared" si="86"/>
        <v>0</v>
      </c>
      <c r="H76" s="148">
        <f t="shared" si="86"/>
        <v>0</v>
      </c>
      <c r="I76" s="148">
        <f t="shared" si="86"/>
        <v>0</v>
      </c>
      <c r="J76" s="148">
        <f t="shared" si="86"/>
        <v>0</v>
      </c>
      <c r="K76" s="148">
        <f t="shared" si="86"/>
        <v>0</v>
      </c>
      <c r="L76" s="148">
        <f t="shared" si="86"/>
        <v>0</v>
      </c>
      <c r="M76" s="148">
        <f t="shared" si="86"/>
        <v>0</v>
      </c>
      <c r="N76" s="148">
        <f t="shared" si="86"/>
        <v>0</v>
      </c>
      <c r="O76" s="148">
        <f t="shared" si="86"/>
        <v>0</v>
      </c>
      <c r="P76" s="148">
        <f t="shared" si="86"/>
        <v>0</v>
      </c>
      <c r="Q76" s="148">
        <f t="shared" si="86"/>
        <v>0</v>
      </c>
      <c r="R76" s="148">
        <f t="shared" si="86"/>
        <v>0</v>
      </c>
      <c r="S76" s="148">
        <f t="shared" si="86"/>
        <v>0</v>
      </c>
      <c r="T76" s="148">
        <f t="shared" si="86"/>
        <v>0</v>
      </c>
      <c r="U76" s="148">
        <f t="shared" si="86"/>
        <v>0</v>
      </c>
      <c r="V76" s="148">
        <f t="shared" si="86"/>
        <v>0</v>
      </c>
      <c r="W76" s="148">
        <f t="shared" si="86"/>
        <v>0</v>
      </c>
      <c r="X76" s="148">
        <f t="shared" si="86"/>
        <v>0</v>
      </c>
      <c r="Y76" s="148">
        <f t="shared" si="86"/>
        <v>0</v>
      </c>
      <c r="Z76" s="148">
        <f t="shared" si="86"/>
        <v>0</v>
      </c>
      <c r="AA76" s="148">
        <f t="shared" si="86"/>
        <v>0</v>
      </c>
      <c r="AB76" s="148">
        <f t="shared" si="86"/>
        <v>0</v>
      </c>
      <c r="AC76" s="148">
        <f t="shared" si="86"/>
        <v>0</v>
      </c>
      <c r="AD76" s="148">
        <f t="shared" si="86"/>
        <v>0</v>
      </c>
      <c r="AE76" s="148">
        <f t="shared" si="86"/>
        <v>0</v>
      </c>
      <c r="AF76" s="148">
        <f t="shared" si="86"/>
        <v>0</v>
      </c>
      <c r="AG76" s="148">
        <f t="shared" si="86"/>
        <v>0</v>
      </c>
      <c r="AH76" s="148">
        <f t="shared" si="86"/>
        <v>0</v>
      </c>
      <c r="AI76" s="148">
        <f t="shared" si="84"/>
        <v>0</v>
      </c>
    </row>
    <row r="77" spans="1:35" s="62" customFormat="1">
      <c r="A77" s="261"/>
      <c r="B77" s="62" t="s">
        <v>21</v>
      </c>
      <c r="D77" s="62" t="s">
        <v>27</v>
      </c>
      <c r="E77" s="366">
        <f t="shared" si="82"/>
        <v>9.3096670438977874E-2</v>
      </c>
      <c r="F77" s="366">
        <f t="shared" ref="F77:AH77" si="87">-($E77-$AI77)/30+E77</f>
        <v>0.10673737648228664</v>
      </c>
      <c r="G77" s="366">
        <f t="shared" si="87"/>
        <v>0.1203780825255954</v>
      </c>
      <c r="H77" s="366">
        <f t="shared" si="87"/>
        <v>0.13401878856890417</v>
      </c>
      <c r="I77" s="366">
        <f t="shared" si="87"/>
        <v>0.14765949461221295</v>
      </c>
      <c r="J77" s="366">
        <f t="shared" si="87"/>
        <v>0.16130020065552172</v>
      </c>
      <c r="K77" s="366">
        <f t="shared" si="87"/>
        <v>0.1749409066988305</v>
      </c>
      <c r="L77" s="366">
        <f t="shared" si="87"/>
        <v>0.18858161274213928</v>
      </c>
      <c r="M77" s="366">
        <f t="shared" si="87"/>
        <v>0.20222231878544805</v>
      </c>
      <c r="N77" s="366">
        <f t="shared" si="87"/>
        <v>0.21586302482875683</v>
      </c>
      <c r="O77" s="366">
        <f t="shared" si="87"/>
        <v>0.2295037308720656</v>
      </c>
      <c r="P77" s="366">
        <f t="shared" si="87"/>
        <v>0.24314443691537438</v>
      </c>
      <c r="Q77" s="366">
        <f t="shared" si="87"/>
        <v>0.25678514295868315</v>
      </c>
      <c r="R77" s="366">
        <f t="shared" si="87"/>
        <v>0.2704258490019919</v>
      </c>
      <c r="S77" s="366">
        <f t="shared" si="87"/>
        <v>0.28406655504530065</v>
      </c>
      <c r="T77" s="366">
        <f t="shared" si="87"/>
        <v>0.2977072610886094</v>
      </c>
      <c r="U77" s="366">
        <f t="shared" si="87"/>
        <v>0.31134796713191815</v>
      </c>
      <c r="V77" s="366">
        <f t="shared" si="87"/>
        <v>0.32498867317522689</v>
      </c>
      <c r="W77" s="366">
        <f t="shared" si="87"/>
        <v>0.33862937921853564</v>
      </c>
      <c r="X77" s="366">
        <f t="shared" si="87"/>
        <v>0.35227008526184439</v>
      </c>
      <c r="Y77" s="366">
        <f t="shared" si="87"/>
        <v>0.36591079130515314</v>
      </c>
      <c r="Z77" s="366">
        <f t="shared" si="87"/>
        <v>0.37955149734846189</v>
      </c>
      <c r="AA77" s="366">
        <f t="shared" si="87"/>
        <v>0.39319220339177063</v>
      </c>
      <c r="AB77" s="366">
        <f t="shared" si="87"/>
        <v>0.40683290943507938</v>
      </c>
      <c r="AC77" s="366">
        <f t="shared" si="87"/>
        <v>0.42047361547838813</v>
      </c>
      <c r="AD77" s="366">
        <f t="shared" si="87"/>
        <v>0.43411432152169688</v>
      </c>
      <c r="AE77" s="366">
        <f t="shared" si="87"/>
        <v>0.44775502756500563</v>
      </c>
      <c r="AF77" s="366">
        <f t="shared" si="87"/>
        <v>0.46139573360831437</v>
      </c>
      <c r="AG77" s="366">
        <f t="shared" si="87"/>
        <v>0.47503643965162312</v>
      </c>
      <c r="AH77" s="366">
        <f t="shared" si="87"/>
        <v>0.48867714569493187</v>
      </c>
      <c r="AI77" s="366">
        <f t="shared" si="84"/>
        <v>0.50231785173824073</v>
      </c>
    </row>
    <row r="78" spans="1:35" s="61" customFormat="1">
      <c r="A78" s="257"/>
      <c r="B78" s="61" t="s">
        <v>21</v>
      </c>
      <c r="C78" s="61" t="s">
        <v>744</v>
      </c>
      <c r="D78" s="61" t="s">
        <v>141</v>
      </c>
      <c r="E78" s="175">
        <f>F11</f>
        <v>0.80683781047114178</v>
      </c>
      <c r="F78" s="175">
        <f t="shared" ref="F78:AH78" si="88">-($E78-$AI78)/30+E78</f>
        <v>0.7925405296850272</v>
      </c>
      <c r="G78" s="175">
        <f t="shared" si="88"/>
        <v>0.77824324889891261</v>
      </c>
      <c r="H78" s="175">
        <f t="shared" si="88"/>
        <v>0.76394596811279802</v>
      </c>
      <c r="I78" s="175">
        <f t="shared" si="88"/>
        <v>0.74964868732668344</v>
      </c>
      <c r="J78" s="175">
        <f t="shared" si="88"/>
        <v>0.73535140654056885</v>
      </c>
      <c r="K78" s="175">
        <f t="shared" si="88"/>
        <v>0.72105412575445427</v>
      </c>
      <c r="L78" s="175">
        <f t="shared" si="88"/>
        <v>0.70675684496833968</v>
      </c>
      <c r="M78" s="175">
        <f t="shared" si="88"/>
        <v>0.6924595641822251</v>
      </c>
      <c r="N78" s="175">
        <f t="shared" si="88"/>
        <v>0.67816228339611051</v>
      </c>
      <c r="O78" s="175">
        <f t="shared" si="88"/>
        <v>0.66386500260999592</v>
      </c>
      <c r="P78" s="175">
        <f t="shared" si="88"/>
        <v>0.64956772182388134</v>
      </c>
      <c r="Q78" s="175">
        <f t="shared" si="88"/>
        <v>0.63527044103776675</v>
      </c>
      <c r="R78" s="175">
        <f t="shared" si="88"/>
        <v>0.62097316025165217</v>
      </c>
      <c r="S78" s="175">
        <f t="shared" si="88"/>
        <v>0.60667587946553758</v>
      </c>
      <c r="T78" s="175">
        <f t="shared" si="88"/>
        <v>0.592378598679423</v>
      </c>
      <c r="U78" s="175">
        <f t="shared" si="88"/>
        <v>0.57808131789330841</v>
      </c>
      <c r="V78" s="175">
        <f t="shared" si="88"/>
        <v>0.56378403710719383</v>
      </c>
      <c r="W78" s="175">
        <f t="shared" si="88"/>
        <v>0.54948675632107924</v>
      </c>
      <c r="X78" s="175">
        <f t="shared" si="88"/>
        <v>0.53518947553496465</v>
      </c>
      <c r="Y78" s="175">
        <f t="shared" si="88"/>
        <v>0.52089219474885007</v>
      </c>
      <c r="Z78" s="175">
        <f t="shared" si="88"/>
        <v>0.50659491396273548</v>
      </c>
      <c r="AA78" s="175">
        <f t="shared" si="88"/>
        <v>0.4922976331766209</v>
      </c>
      <c r="AB78" s="175">
        <f t="shared" si="88"/>
        <v>0.47800035239050631</v>
      </c>
      <c r="AC78" s="175">
        <f t="shared" si="88"/>
        <v>0.46370307160439173</v>
      </c>
      <c r="AD78" s="175">
        <f t="shared" si="88"/>
        <v>0.44940579081827714</v>
      </c>
      <c r="AE78" s="175">
        <f t="shared" si="88"/>
        <v>0.43510851003216255</v>
      </c>
      <c r="AF78" s="175">
        <f t="shared" si="88"/>
        <v>0.42081122924604797</v>
      </c>
      <c r="AG78" s="175">
        <f t="shared" si="88"/>
        <v>0.40651394845993338</v>
      </c>
      <c r="AH78" s="175">
        <f t="shared" si="88"/>
        <v>0.3922166676738188</v>
      </c>
      <c r="AI78" s="175">
        <f>O11</f>
        <v>0.37791938688770471</v>
      </c>
    </row>
    <row r="79" spans="1:35">
      <c r="A79" s="260"/>
      <c r="B79" t="s">
        <v>21</v>
      </c>
      <c r="D79" t="s">
        <v>74</v>
      </c>
      <c r="E79" s="148">
        <f t="shared" ref="E79:E82" si="89">F12</f>
        <v>0.10006551908988026</v>
      </c>
      <c r="F79" s="148">
        <f t="shared" ref="F79:AH79" si="90">-($E79-$AI79)/30+E79</f>
        <v>9.6730001786884248E-2</v>
      </c>
      <c r="G79" s="148">
        <f t="shared" si="90"/>
        <v>9.3394484483888235E-2</v>
      </c>
      <c r="H79" s="148">
        <f t="shared" si="90"/>
        <v>9.0058967180892222E-2</v>
      </c>
      <c r="I79" s="148">
        <f t="shared" si="90"/>
        <v>8.6723449877896208E-2</v>
      </c>
      <c r="J79" s="148">
        <f t="shared" si="90"/>
        <v>8.3387932574900195E-2</v>
      </c>
      <c r="K79" s="148">
        <f t="shared" si="90"/>
        <v>8.0052415271904181E-2</v>
      </c>
      <c r="L79" s="148">
        <f t="shared" si="90"/>
        <v>7.6716897968908168E-2</v>
      </c>
      <c r="M79" s="148">
        <f t="shared" si="90"/>
        <v>7.3381380665912155E-2</v>
      </c>
      <c r="N79" s="148">
        <f t="shared" si="90"/>
        <v>7.0045863362916141E-2</v>
      </c>
      <c r="O79" s="148">
        <f t="shared" si="90"/>
        <v>6.6710346059920128E-2</v>
      </c>
      <c r="P79" s="148">
        <f t="shared" si="90"/>
        <v>6.3374828756924115E-2</v>
      </c>
      <c r="Q79" s="148">
        <f t="shared" si="90"/>
        <v>6.0039311453928108E-2</v>
      </c>
      <c r="R79" s="148">
        <f t="shared" si="90"/>
        <v>5.6703794150932102E-2</v>
      </c>
      <c r="S79" s="148">
        <f t="shared" si="90"/>
        <v>5.3368276847936096E-2</v>
      </c>
      <c r="T79" s="148">
        <f t="shared" si="90"/>
        <v>5.0032759544940089E-2</v>
      </c>
      <c r="U79" s="148">
        <f t="shared" si="90"/>
        <v>4.6697242241944083E-2</v>
      </c>
      <c r="V79" s="148">
        <f t="shared" si="90"/>
        <v>4.3361724938948076E-2</v>
      </c>
      <c r="W79" s="148">
        <f t="shared" si="90"/>
        <v>4.002620763595207E-2</v>
      </c>
      <c r="X79" s="148">
        <f t="shared" si="90"/>
        <v>3.6690690332956064E-2</v>
      </c>
      <c r="Y79" s="148">
        <f t="shared" si="90"/>
        <v>3.3355173029960057E-2</v>
      </c>
      <c r="Z79" s="148">
        <f t="shared" si="90"/>
        <v>3.0019655726964047E-2</v>
      </c>
      <c r="AA79" s="148">
        <f t="shared" si="90"/>
        <v>2.6684138423968037E-2</v>
      </c>
      <c r="AB79" s="148">
        <f t="shared" si="90"/>
        <v>2.3348621120972027E-2</v>
      </c>
      <c r="AC79" s="148">
        <f t="shared" si="90"/>
        <v>2.0013103817976018E-2</v>
      </c>
      <c r="AD79" s="148">
        <f t="shared" si="90"/>
        <v>1.6677586514980008E-2</v>
      </c>
      <c r="AE79" s="148">
        <f t="shared" si="90"/>
        <v>1.3342069211984E-2</v>
      </c>
      <c r="AF79" s="148">
        <f t="shared" si="90"/>
        <v>1.0006551908987991E-2</v>
      </c>
      <c r="AG79" s="148">
        <f t="shared" si="90"/>
        <v>6.6710346059919833E-3</v>
      </c>
      <c r="AH79" s="148">
        <f t="shared" si="90"/>
        <v>3.3355173029959747E-3</v>
      </c>
      <c r="AI79" s="148">
        <f t="shared" ref="AI79:AI82" si="91">O12</f>
        <v>0</v>
      </c>
    </row>
    <row r="80" spans="1:35">
      <c r="A80" s="260"/>
      <c r="B80" t="s">
        <v>21</v>
      </c>
      <c r="D80" t="s">
        <v>34</v>
      </c>
      <c r="E80" s="148">
        <f t="shared" si="89"/>
        <v>0</v>
      </c>
      <c r="F80" s="148">
        <f t="shared" ref="F80:AH80" si="92">-($E80-$AI80)/30+E80</f>
        <v>3.9920920458018198E-3</v>
      </c>
      <c r="G80" s="148">
        <f t="shared" si="92"/>
        <v>7.9841840916036397E-3</v>
      </c>
      <c r="H80" s="148">
        <f t="shared" si="92"/>
        <v>1.197627613740546E-2</v>
      </c>
      <c r="I80" s="148">
        <f t="shared" si="92"/>
        <v>1.5968368183207279E-2</v>
      </c>
      <c r="J80" s="148">
        <f t="shared" si="92"/>
        <v>1.9960460229009099E-2</v>
      </c>
      <c r="K80" s="148">
        <f t="shared" si="92"/>
        <v>2.3952552274810919E-2</v>
      </c>
      <c r="L80" s="148">
        <f t="shared" si="92"/>
        <v>2.7944644320612739E-2</v>
      </c>
      <c r="M80" s="148">
        <f t="shared" si="92"/>
        <v>3.1936736366414559E-2</v>
      </c>
      <c r="N80" s="148">
        <f t="shared" si="92"/>
        <v>3.5928828412216382E-2</v>
      </c>
      <c r="O80" s="148">
        <f t="shared" si="92"/>
        <v>3.9920920458018205E-2</v>
      </c>
      <c r="P80" s="148">
        <f t="shared" si="92"/>
        <v>4.3913012503820029E-2</v>
      </c>
      <c r="Q80" s="148">
        <f t="shared" si="92"/>
        <v>4.7905104549621852E-2</v>
      </c>
      <c r="R80" s="148">
        <f t="shared" si="92"/>
        <v>5.1897196595423675E-2</v>
      </c>
      <c r="S80" s="148">
        <f t="shared" si="92"/>
        <v>5.5889288641225499E-2</v>
      </c>
      <c r="T80" s="148">
        <f t="shared" si="92"/>
        <v>5.9881380687027322E-2</v>
      </c>
      <c r="U80" s="148">
        <f t="shared" si="92"/>
        <v>6.3873472732829145E-2</v>
      </c>
      <c r="V80" s="148">
        <f t="shared" si="92"/>
        <v>6.7865564778630968E-2</v>
      </c>
      <c r="W80" s="148">
        <f t="shared" si="92"/>
        <v>7.1857656824432792E-2</v>
      </c>
      <c r="X80" s="148">
        <f t="shared" si="92"/>
        <v>7.5849748870234615E-2</v>
      </c>
      <c r="Y80" s="148">
        <f t="shared" si="92"/>
        <v>7.9841840916036438E-2</v>
      </c>
      <c r="Z80" s="148">
        <f t="shared" si="92"/>
        <v>8.3833932961838262E-2</v>
      </c>
      <c r="AA80" s="148">
        <f t="shared" si="92"/>
        <v>8.7826025007640085E-2</v>
      </c>
      <c r="AB80" s="148">
        <f t="shared" si="92"/>
        <v>9.1818117053441908E-2</v>
      </c>
      <c r="AC80" s="148">
        <f t="shared" si="92"/>
        <v>9.5810209099243732E-2</v>
      </c>
      <c r="AD80" s="148">
        <f t="shared" si="92"/>
        <v>9.9802301145045555E-2</v>
      </c>
      <c r="AE80" s="148">
        <f t="shared" si="92"/>
        <v>0.10379439319084738</v>
      </c>
      <c r="AF80" s="148">
        <f t="shared" si="92"/>
        <v>0.1077864852366492</v>
      </c>
      <c r="AG80" s="148">
        <f t="shared" si="92"/>
        <v>0.11177857728245102</v>
      </c>
      <c r="AH80" s="148">
        <f t="shared" si="92"/>
        <v>0.11577066932825285</v>
      </c>
      <c r="AI80" s="148">
        <f t="shared" si="91"/>
        <v>0.11976276137405459</v>
      </c>
    </row>
    <row r="81" spans="1:35">
      <c r="A81" s="260"/>
      <c r="B81" t="s">
        <v>21</v>
      </c>
      <c r="D81" t="s">
        <v>35</v>
      </c>
      <c r="E81" s="148">
        <f t="shared" si="89"/>
        <v>0</v>
      </c>
      <c r="F81" s="148">
        <f t="shared" ref="F81:AH81" si="93">-($E81-$AI81)/30+E81</f>
        <v>0</v>
      </c>
      <c r="G81" s="148">
        <f t="shared" si="93"/>
        <v>0</v>
      </c>
      <c r="H81" s="148">
        <f t="shared" si="93"/>
        <v>0</v>
      </c>
      <c r="I81" s="148">
        <f t="shared" si="93"/>
        <v>0</v>
      </c>
      <c r="J81" s="148">
        <f t="shared" si="93"/>
        <v>0</v>
      </c>
      <c r="K81" s="148">
        <f t="shared" si="93"/>
        <v>0</v>
      </c>
      <c r="L81" s="148">
        <f t="shared" si="93"/>
        <v>0</v>
      </c>
      <c r="M81" s="148">
        <f t="shared" si="93"/>
        <v>0</v>
      </c>
      <c r="N81" s="148">
        <f t="shared" si="93"/>
        <v>0</v>
      </c>
      <c r="O81" s="148">
        <f t="shared" si="93"/>
        <v>0</v>
      </c>
      <c r="P81" s="148">
        <f t="shared" si="93"/>
        <v>0</v>
      </c>
      <c r="Q81" s="148">
        <f t="shared" si="93"/>
        <v>0</v>
      </c>
      <c r="R81" s="148">
        <f t="shared" si="93"/>
        <v>0</v>
      </c>
      <c r="S81" s="148">
        <f t="shared" si="93"/>
        <v>0</v>
      </c>
      <c r="T81" s="148">
        <f t="shared" si="93"/>
        <v>0</v>
      </c>
      <c r="U81" s="148">
        <f t="shared" si="93"/>
        <v>0</v>
      </c>
      <c r="V81" s="148">
        <f t="shared" si="93"/>
        <v>0</v>
      </c>
      <c r="W81" s="148">
        <f t="shared" si="93"/>
        <v>0</v>
      </c>
      <c r="X81" s="148">
        <f t="shared" si="93"/>
        <v>0</v>
      </c>
      <c r="Y81" s="148">
        <f t="shared" si="93"/>
        <v>0</v>
      </c>
      <c r="Z81" s="148">
        <f t="shared" si="93"/>
        <v>0</v>
      </c>
      <c r="AA81" s="148">
        <f t="shared" si="93"/>
        <v>0</v>
      </c>
      <c r="AB81" s="148">
        <f t="shared" si="93"/>
        <v>0</v>
      </c>
      <c r="AC81" s="148">
        <f t="shared" si="93"/>
        <v>0</v>
      </c>
      <c r="AD81" s="148">
        <f t="shared" si="93"/>
        <v>0</v>
      </c>
      <c r="AE81" s="148">
        <f t="shared" si="93"/>
        <v>0</v>
      </c>
      <c r="AF81" s="148">
        <f t="shared" si="93"/>
        <v>0</v>
      </c>
      <c r="AG81" s="148">
        <f t="shared" si="93"/>
        <v>0</v>
      </c>
      <c r="AH81" s="148">
        <f t="shared" si="93"/>
        <v>0</v>
      </c>
      <c r="AI81" s="148">
        <f t="shared" si="91"/>
        <v>0</v>
      </c>
    </row>
    <row r="82" spans="1:35" s="62" customFormat="1">
      <c r="A82" s="261"/>
      <c r="B82" s="62" t="s">
        <v>21</v>
      </c>
      <c r="D82" s="62" t="s">
        <v>27</v>
      </c>
      <c r="E82" s="366">
        <f t="shared" si="89"/>
        <v>9.3096670438977874E-2</v>
      </c>
      <c r="F82" s="366">
        <f t="shared" ref="F82:AH82" si="94">-($E82-$AI82)/30+E82</f>
        <v>0.10673737648228664</v>
      </c>
      <c r="G82" s="366">
        <f t="shared" si="94"/>
        <v>0.1203780825255954</v>
      </c>
      <c r="H82" s="366">
        <f t="shared" si="94"/>
        <v>0.13401878856890417</v>
      </c>
      <c r="I82" s="366">
        <f t="shared" si="94"/>
        <v>0.14765949461221295</v>
      </c>
      <c r="J82" s="366">
        <f t="shared" si="94"/>
        <v>0.16130020065552172</v>
      </c>
      <c r="K82" s="366">
        <f t="shared" si="94"/>
        <v>0.1749409066988305</v>
      </c>
      <c r="L82" s="366">
        <f t="shared" si="94"/>
        <v>0.18858161274213928</v>
      </c>
      <c r="M82" s="366">
        <f t="shared" si="94"/>
        <v>0.20222231878544805</v>
      </c>
      <c r="N82" s="366">
        <f t="shared" si="94"/>
        <v>0.21586302482875683</v>
      </c>
      <c r="O82" s="366">
        <f t="shared" si="94"/>
        <v>0.2295037308720656</v>
      </c>
      <c r="P82" s="366">
        <f t="shared" si="94"/>
        <v>0.24314443691537438</v>
      </c>
      <c r="Q82" s="366">
        <f t="shared" si="94"/>
        <v>0.25678514295868315</v>
      </c>
      <c r="R82" s="366">
        <f t="shared" si="94"/>
        <v>0.2704258490019919</v>
      </c>
      <c r="S82" s="366">
        <f t="shared" si="94"/>
        <v>0.28406655504530065</v>
      </c>
      <c r="T82" s="366">
        <f t="shared" si="94"/>
        <v>0.2977072610886094</v>
      </c>
      <c r="U82" s="366">
        <f t="shared" si="94"/>
        <v>0.31134796713191815</v>
      </c>
      <c r="V82" s="366">
        <f t="shared" si="94"/>
        <v>0.32498867317522689</v>
      </c>
      <c r="W82" s="366">
        <f t="shared" si="94"/>
        <v>0.33862937921853564</v>
      </c>
      <c r="X82" s="366">
        <f t="shared" si="94"/>
        <v>0.35227008526184439</v>
      </c>
      <c r="Y82" s="366">
        <f t="shared" si="94"/>
        <v>0.36591079130515314</v>
      </c>
      <c r="Z82" s="366">
        <f t="shared" si="94"/>
        <v>0.37955149734846189</v>
      </c>
      <c r="AA82" s="366">
        <f t="shared" si="94"/>
        <v>0.39319220339177063</v>
      </c>
      <c r="AB82" s="366">
        <f t="shared" si="94"/>
        <v>0.40683290943507938</v>
      </c>
      <c r="AC82" s="366">
        <f t="shared" si="94"/>
        <v>0.42047361547838813</v>
      </c>
      <c r="AD82" s="366">
        <f t="shared" si="94"/>
        <v>0.43411432152169688</v>
      </c>
      <c r="AE82" s="366">
        <f t="shared" si="94"/>
        <v>0.44775502756500563</v>
      </c>
      <c r="AF82" s="366">
        <f t="shared" si="94"/>
        <v>0.46139573360831437</v>
      </c>
      <c r="AG82" s="366">
        <f t="shared" si="94"/>
        <v>0.47503643965162312</v>
      </c>
      <c r="AH82" s="366">
        <f t="shared" si="94"/>
        <v>0.48867714569493187</v>
      </c>
      <c r="AI82" s="366">
        <f t="shared" si="91"/>
        <v>0.50231785173824073</v>
      </c>
    </row>
    <row r="83" spans="1:35" s="61" customFormat="1">
      <c r="A83" s="257"/>
      <c r="B83" s="61" t="s">
        <v>21</v>
      </c>
      <c r="C83" s="61" t="s">
        <v>738</v>
      </c>
      <c r="D83" s="61" t="s">
        <v>141</v>
      </c>
      <c r="E83" s="175">
        <f>G11</f>
        <v>0.80683781047114178</v>
      </c>
      <c r="F83" s="175">
        <f t="shared" ref="F83:AH83" si="95">-($E83-$AI83)/30+E83</f>
        <v>0.7925405296850272</v>
      </c>
      <c r="G83" s="175">
        <f t="shared" si="95"/>
        <v>0.77824324889891261</v>
      </c>
      <c r="H83" s="175">
        <f t="shared" si="95"/>
        <v>0.76394596811279802</v>
      </c>
      <c r="I83" s="175">
        <f t="shared" si="95"/>
        <v>0.74964868732668344</v>
      </c>
      <c r="J83" s="175">
        <f t="shared" si="95"/>
        <v>0.73535140654056885</v>
      </c>
      <c r="K83" s="175">
        <f t="shared" si="95"/>
        <v>0.72105412575445427</v>
      </c>
      <c r="L83" s="175">
        <f t="shared" si="95"/>
        <v>0.70675684496833968</v>
      </c>
      <c r="M83" s="175">
        <f t="shared" si="95"/>
        <v>0.6924595641822251</v>
      </c>
      <c r="N83" s="175">
        <f t="shared" si="95"/>
        <v>0.67816228339611051</v>
      </c>
      <c r="O83" s="175">
        <f t="shared" si="95"/>
        <v>0.66386500260999592</v>
      </c>
      <c r="P83" s="175">
        <f t="shared" si="95"/>
        <v>0.64956772182388134</v>
      </c>
      <c r="Q83" s="175">
        <f t="shared" si="95"/>
        <v>0.63527044103776675</v>
      </c>
      <c r="R83" s="175">
        <f t="shared" si="95"/>
        <v>0.62097316025165217</v>
      </c>
      <c r="S83" s="175">
        <f t="shared" si="95"/>
        <v>0.60667587946553758</v>
      </c>
      <c r="T83" s="175">
        <f t="shared" si="95"/>
        <v>0.592378598679423</v>
      </c>
      <c r="U83" s="175">
        <f t="shared" si="95"/>
        <v>0.57808131789330841</v>
      </c>
      <c r="V83" s="175">
        <f t="shared" si="95"/>
        <v>0.56378403710719383</v>
      </c>
      <c r="W83" s="175">
        <f t="shared" si="95"/>
        <v>0.54948675632107924</v>
      </c>
      <c r="X83" s="175">
        <f t="shared" si="95"/>
        <v>0.53518947553496465</v>
      </c>
      <c r="Y83" s="175">
        <f t="shared" si="95"/>
        <v>0.52089219474885007</v>
      </c>
      <c r="Z83" s="175">
        <f t="shared" si="95"/>
        <v>0.50659491396273548</v>
      </c>
      <c r="AA83" s="175">
        <f t="shared" si="95"/>
        <v>0.4922976331766209</v>
      </c>
      <c r="AB83" s="175">
        <f t="shared" si="95"/>
        <v>0.47800035239050631</v>
      </c>
      <c r="AC83" s="175">
        <f t="shared" si="95"/>
        <v>0.46370307160439173</v>
      </c>
      <c r="AD83" s="175">
        <f t="shared" si="95"/>
        <v>0.44940579081827714</v>
      </c>
      <c r="AE83" s="175">
        <f t="shared" si="95"/>
        <v>0.43510851003216255</v>
      </c>
      <c r="AF83" s="175">
        <f t="shared" si="95"/>
        <v>0.42081122924604797</v>
      </c>
      <c r="AG83" s="175">
        <f t="shared" si="95"/>
        <v>0.40651394845993338</v>
      </c>
      <c r="AH83" s="175">
        <f t="shared" si="95"/>
        <v>0.3922166676738188</v>
      </c>
      <c r="AI83" s="175">
        <f>P11</f>
        <v>0.37791938688770471</v>
      </c>
    </row>
    <row r="84" spans="1:35">
      <c r="A84" s="260"/>
      <c r="B84" t="s">
        <v>21</v>
      </c>
      <c r="D84" t="s">
        <v>74</v>
      </c>
      <c r="E84" s="148">
        <f t="shared" ref="E84:E87" si="96">G12</f>
        <v>0.10006551908988026</v>
      </c>
      <c r="F84" s="148">
        <f t="shared" ref="F84:AH84" si="97">-($E84-$AI84)/30+E84</f>
        <v>9.6730001786884248E-2</v>
      </c>
      <c r="G84" s="148">
        <f t="shared" si="97"/>
        <v>9.3394484483888235E-2</v>
      </c>
      <c r="H84" s="148">
        <f t="shared" si="97"/>
        <v>9.0058967180892222E-2</v>
      </c>
      <c r="I84" s="148">
        <f t="shared" si="97"/>
        <v>8.6723449877896208E-2</v>
      </c>
      <c r="J84" s="148">
        <f t="shared" si="97"/>
        <v>8.3387932574900195E-2</v>
      </c>
      <c r="K84" s="148">
        <f t="shared" si="97"/>
        <v>8.0052415271904181E-2</v>
      </c>
      <c r="L84" s="148">
        <f t="shared" si="97"/>
        <v>7.6716897968908168E-2</v>
      </c>
      <c r="M84" s="148">
        <f t="shared" si="97"/>
        <v>7.3381380665912155E-2</v>
      </c>
      <c r="N84" s="148">
        <f t="shared" si="97"/>
        <v>7.0045863362916141E-2</v>
      </c>
      <c r="O84" s="148">
        <f t="shared" si="97"/>
        <v>6.6710346059920128E-2</v>
      </c>
      <c r="P84" s="148">
        <f t="shared" si="97"/>
        <v>6.3374828756924115E-2</v>
      </c>
      <c r="Q84" s="148">
        <f t="shared" si="97"/>
        <v>6.0039311453928108E-2</v>
      </c>
      <c r="R84" s="148">
        <f t="shared" si="97"/>
        <v>5.6703794150932102E-2</v>
      </c>
      <c r="S84" s="148">
        <f t="shared" si="97"/>
        <v>5.3368276847936096E-2</v>
      </c>
      <c r="T84" s="148">
        <f t="shared" si="97"/>
        <v>5.0032759544940089E-2</v>
      </c>
      <c r="U84" s="148">
        <f t="shared" si="97"/>
        <v>4.6697242241944083E-2</v>
      </c>
      <c r="V84" s="148">
        <f t="shared" si="97"/>
        <v>4.3361724938948076E-2</v>
      </c>
      <c r="W84" s="148">
        <f t="shared" si="97"/>
        <v>4.002620763595207E-2</v>
      </c>
      <c r="X84" s="148">
        <f t="shared" si="97"/>
        <v>3.6690690332956064E-2</v>
      </c>
      <c r="Y84" s="148">
        <f t="shared" si="97"/>
        <v>3.3355173029960057E-2</v>
      </c>
      <c r="Z84" s="148">
        <f t="shared" si="97"/>
        <v>3.0019655726964047E-2</v>
      </c>
      <c r="AA84" s="148">
        <f t="shared" si="97"/>
        <v>2.6684138423968037E-2</v>
      </c>
      <c r="AB84" s="148">
        <f t="shared" si="97"/>
        <v>2.3348621120972027E-2</v>
      </c>
      <c r="AC84" s="148">
        <f t="shared" si="97"/>
        <v>2.0013103817976018E-2</v>
      </c>
      <c r="AD84" s="148">
        <f t="shared" si="97"/>
        <v>1.6677586514980008E-2</v>
      </c>
      <c r="AE84" s="148">
        <f t="shared" si="97"/>
        <v>1.3342069211984E-2</v>
      </c>
      <c r="AF84" s="148">
        <f t="shared" si="97"/>
        <v>1.0006551908987991E-2</v>
      </c>
      <c r="AG84" s="148">
        <f t="shared" si="97"/>
        <v>6.6710346059919833E-3</v>
      </c>
      <c r="AH84" s="148">
        <f t="shared" si="97"/>
        <v>3.3355173029959747E-3</v>
      </c>
      <c r="AI84" s="148">
        <f t="shared" ref="AI84:AI87" si="98">P12</f>
        <v>0</v>
      </c>
    </row>
    <row r="85" spans="1:35">
      <c r="A85" s="260"/>
      <c r="B85" t="s">
        <v>21</v>
      </c>
      <c r="D85" t="s">
        <v>34</v>
      </c>
      <c r="E85" s="148">
        <f t="shared" si="96"/>
        <v>0</v>
      </c>
      <c r="F85" s="148">
        <f t="shared" ref="F85:AH85" si="99">-($E85-$AI85)/30+E85</f>
        <v>3.9920920458018198E-3</v>
      </c>
      <c r="G85" s="148">
        <f t="shared" si="99"/>
        <v>7.9841840916036397E-3</v>
      </c>
      <c r="H85" s="148">
        <f t="shared" si="99"/>
        <v>1.197627613740546E-2</v>
      </c>
      <c r="I85" s="148">
        <f t="shared" si="99"/>
        <v>1.5968368183207279E-2</v>
      </c>
      <c r="J85" s="148">
        <f t="shared" si="99"/>
        <v>1.9960460229009099E-2</v>
      </c>
      <c r="K85" s="148">
        <f t="shared" si="99"/>
        <v>2.3952552274810919E-2</v>
      </c>
      <c r="L85" s="148">
        <f t="shared" si="99"/>
        <v>2.7944644320612739E-2</v>
      </c>
      <c r="M85" s="148">
        <f t="shared" si="99"/>
        <v>3.1936736366414559E-2</v>
      </c>
      <c r="N85" s="148">
        <f t="shared" si="99"/>
        <v>3.5928828412216382E-2</v>
      </c>
      <c r="O85" s="148">
        <f t="shared" si="99"/>
        <v>3.9920920458018205E-2</v>
      </c>
      <c r="P85" s="148">
        <f t="shared" si="99"/>
        <v>4.3913012503820029E-2</v>
      </c>
      <c r="Q85" s="148">
        <f t="shared" si="99"/>
        <v>4.7905104549621852E-2</v>
      </c>
      <c r="R85" s="148">
        <f t="shared" si="99"/>
        <v>5.1897196595423675E-2</v>
      </c>
      <c r="S85" s="148">
        <f t="shared" si="99"/>
        <v>5.5889288641225499E-2</v>
      </c>
      <c r="T85" s="148">
        <f t="shared" si="99"/>
        <v>5.9881380687027322E-2</v>
      </c>
      <c r="U85" s="148">
        <f t="shared" si="99"/>
        <v>6.3873472732829145E-2</v>
      </c>
      <c r="V85" s="148">
        <f t="shared" si="99"/>
        <v>6.7865564778630968E-2</v>
      </c>
      <c r="W85" s="148">
        <f t="shared" si="99"/>
        <v>7.1857656824432792E-2</v>
      </c>
      <c r="X85" s="148">
        <f t="shared" si="99"/>
        <v>7.5849748870234615E-2</v>
      </c>
      <c r="Y85" s="148">
        <f t="shared" si="99"/>
        <v>7.9841840916036438E-2</v>
      </c>
      <c r="Z85" s="148">
        <f t="shared" si="99"/>
        <v>8.3833932961838262E-2</v>
      </c>
      <c r="AA85" s="148">
        <f t="shared" si="99"/>
        <v>8.7826025007640085E-2</v>
      </c>
      <c r="AB85" s="148">
        <f t="shared" si="99"/>
        <v>9.1818117053441908E-2</v>
      </c>
      <c r="AC85" s="148">
        <f t="shared" si="99"/>
        <v>9.5810209099243732E-2</v>
      </c>
      <c r="AD85" s="148">
        <f t="shared" si="99"/>
        <v>9.9802301145045555E-2</v>
      </c>
      <c r="AE85" s="148">
        <f t="shared" si="99"/>
        <v>0.10379439319084738</v>
      </c>
      <c r="AF85" s="148">
        <f t="shared" si="99"/>
        <v>0.1077864852366492</v>
      </c>
      <c r="AG85" s="148">
        <f t="shared" si="99"/>
        <v>0.11177857728245102</v>
      </c>
      <c r="AH85" s="148">
        <f t="shared" si="99"/>
        <v>0.11577066932825285</v>
      </c>
      <c r="AI85" s="148">
        <f t="shared" si="98"/>
        <v>0.11976276137405459</v>
      </c>
    </row>
    <row r="86" spans="1:35">
      <c r="A86" s="260"/>
      <c r="B86" t="s">
        <v>21</v>
      </c>
      <c r="D86" t="s">
        <v>35</v>
      </c>
      <c r="E86" s="148">
        <f t="shared" si="96"/>
        <v>0</v>
      </c>
      <c r="F86" s="148">
        <f t="shared" ref="F86:AH86" si="100">-($E86-$AI86)/30+E86</f>
        <v>0</v>
      </c>
      <c r="G86" s="148">
        <f t="shared" si="100"/>
        <v>0</v>
      </c>
      <c r="H86" s="148">
        <f t="shared" si="100"/>
        <v>0</v>
      </c>
      <c r="I86" s="148">
        <f t="shared" si="100"/>
        <v>0</v>
      </c>
      <c r="J86" s="148">
        <f t="shared" si="100"/>
        <v>0</v>
      </c>
      <c r="K86" s="148">
        <f t="shared" si="100"/>
        <v>0</v>
      </c>
      <c r="L86" s="148">
        <f t="shared" si="100"/>
        <v>0</v>
      </c>
      <c r="M86" s="148">
        <f t="shared" si="100"/>
        <v>0</v>
      </c>
      <c r="N86" s="148">
        <f t="shared" si="100"/>
        <v>0</v>
      </c>
      <c r="O86" s="148">
        <f t="shared" si="100"/>
        <v>0</v>
      </c>
      <c r="P86" s="148">
        <f t="shared" si="100"/>
        <v>0</v>
      </c>
      <c r="Q86" s="148">
        <f t="shared" si="100"/>
        <v>0</v>
      </c>
      <c r="R86" s="148">
        <f t="shared" si="100"/>
        <v>0</v>
      </c>
      <c r="S86" s="148">
        <f t="shared" si="100"/>
        <v>0</v>
      </c>
      <c r="T86" s="148">
        <f t="shared" si="100"/>
        <v>0</v>
      </c>
      <c r="U86" s="148">
        <f t="shared" si="100"/>
        <v>0</v>
      </c>
      <c r="V86" s="148">
        <f t="shared" si="100"/>
        <v>0</v>
      </c>
      <c r="W86" s="148">
        <f t="shared" si="100"/>
        <v>0</v>
      </c>
      <c r="X86" s="148">
        <f t="shared" si="100"/>
        <v>0</v>
      </c>
      <c r="Y86" s="148">
        <f t="shared" si="100"/>
        <v>0</v>
      </c>
      <c r="Z86" s="148">
        <f t="shared" si="100"/>
        <v>0</v>
      </c>
      <c r="AA86" s="148">
        <f t="shared" si="100"/>
        <v>0</v>
      </c>
      <c r="AB86" s="148">
        <f t="shared" si="100"/>
        <v>0</v>
      </c>
      <c r="AC86" s="148">
        <f t="shared" si="100"/>
        <v>0</v>
      </c>
      <c r="AD86" s="148">
        <f t="shared" si="100"/>
        <v>0</v>
      </c>
      <c r="AE86" s="148">
        <f t="shared" si="100"/>
        <v>0</v>
      </c>
      <c r="AF86" s="148">
        <f t="shared" si="100"/>
        <v>0</v>
      </c>
      <c r="AG86" s="148">
        <f t="shared" si="100"/>
        <v>0</v>
      </c>
      <c r="AH86" s="148">
        <f t="shared" si="100"/>
        <v>0</v>
      </c>
      <c r="AI86" s="148">
        <f t="shared" si="98"/>
        <v>0</v>
      </c>
    </row>
    <row r="87" spans="1:35" s="62" customFormat="1">
      <c r="A87" s="261"/>
      <c r="B87" s="62" t="s">
        <v>21</v>
      </c>
      <c r="D87" s="62" t="s">
        <v>27</v>
      </c>
      <c r="E87" s="366">
        <f t="shared" si="96"/>
        <v>9.3096670438977874E-2</v>
      </c>
      <c r="F87" s="366">
        <f t="shared" ref="F87:AH87" si="101">-($E87-$AI87)/30+E87</f>
        <v>0.10673737648228664</v>
      </c>
      <c r="G87" s="366">
        <f t="shared" si="101"/>
        <v>0.1203780825255954</v>
      </c>
      <c r="H87" s="366">
        <f t="shared" si="101"/>
        <v>0.13401878856890417</v>
      </c>
      <c r="I87" s="366">
        <f t="shared" si="101"/>
        <v>0.14765949461221295</v>
      </c>
      <c r="J87" s="366">
        <f t="shared" si="101"/>
        <v>0.16130020065552172</v>
      </c>
      <c r="K87" s="366">
        <f t="shared" si="101"/>
        <v>0.1749409066988305</v>
      </c>
      <c r="L87" s="366">
        <f t="shared" si="101"/>
        <v>0.18858161274213928</v>
      </c>
      <c r="M87" s="366">
        <f t="shared" si="101"/>
        <v>0.20222231878544805</v>
      </c>
      <c r="N87" s="366">
        <f t="shared" si="101"/>
        <v>0.21586302482875683</v>
      </c>
      <c r="O87" s="366">
        <f t="shared" si="101"/>
        <v>0.2295037308720656</v>
      </c>
      <c r="P87" s="366">
        <f t="shared" si="101"/>
        <v>0.24314443691537438</v>
      </c>
      <c r="Q87" s="366">
        <f t="shared" si="101"/>
        <v>0.25678514295868315</v>
      </c>
      <c r="R87" s="366">
        <f t="shared" si="101"/>
        <v>0.2704258490019919</v>
      </c>
      <c r="S87" s="366">
        <f t="shared" si="101"/>
        <v>0.28406655504530065</v>
      </c>
      <c r="T87" s="366">
        <f t="shared" si="101"/>
        <v>0.2977072610886094</v>
      </c>
      <c r="U87" s="366">
        <f t="shared" si="101"/>
        <v>0.31134796713191815</v>
      </c>
      <c r="V87" s="366">
        <f t="shared" si="101"/>
        <v>0.32498867317522689</v>
      </c>
      <c r="W87" s="366">
        <f t="shared" si="101"/>
        <v>0.33862937921853564</v>
      </c>
      <c r="X87" s="366">
        <f t="shared" si="101"/>
        <v>0.35227008526184439</v>
      </c>
      <c r="Y87" s="366">
        <f t="shared" si="101"/>
        <v>0.36591079130515314</v>
      </c>
      <c r="Z87" s="366">
        <f t="shared" si="101"/>
        <v>0.37955149734846189</v>
      </c>
      <c r="AA87" s="366">
        <f t="shared" si="101"/>
        <v>0.39319220339177063</v>
      </c>
      <c r="AB87" s="366">
        <f t="shared" si="101"/>
        <v>0.40683290943507938</v>
      </c>
      <c r="AC87" s="366">
        <f t="shared" si="101"/>
        <v>0.42047361547838813</v>
      </c>
      <c r="AD87" s="366">
        <f t="shared" si="101"/>
        <v>0.43411432152169688</v>
      </c>
      <c r="AE87" s="366">
        <f t="shared" si="101"/>
        <v>0.44775502756500563</v>
      </c>
      <c r="AF87" s="366">
        <f t="shared" si="101"/>
        <v>0.46139573360831437</v>
      </c>
      <c r="AG87" s="366">
        <f t="shared" si="101"/>
        <v>0.47503643965162312</v>
      </c>
      <c r="AH87" s="366">
        <f t="shared" si="101"/>
        <v>0.48867714569493187</v>
      </c>
      <c r="AI87" s="366">
        <f t="shared" si="98"/>
        <v>0.50231785173824073</v>
      </c>
    </row>
    <row r="88" spans="1:35" s="61" customFormat="1">
      <c r="A88" s="257"/>
      <c r="B88" s="61" t="s">
        <v>53</v>
      </c>
      <c r="C88" s="61" t="s">
        <v>735</v>
      </c>
      <c r="D88" s="61" t="s">
        <v>141</v>
      </c>
      <c r="E88" s="175">
        <f>D19</f>
        <v>0</v>
      </c>
      <c r="F88" s="175">
        <f t="shared" ref="F88:AH88" si="102">-($E88-$AI88)/30+E88</f>
        <v>0</v>
      </c>
      <c r="G88" s="175">
        <f t="shared" si="102"/>
        <v>0</v>
      </c>
      <c r="H88" s="175">
        <f t="shared" si="102"/>
        <v>0</v>
      </c>
      <c r="I88" s="175">
        <f t="shared" si="102"/>
        <v>0</v>
      </c>
      <c r="J88" s="175">
        <f t="shared" si="102"/>
        <v>0</v>
      </c>
      <c r="K88" s="175">
        <f t="shared" si="102"/>
        <v>0</v>
      </c>
      <c r="L88" s="175">
        <f t="shared" si="102"/>
        <v>0</v>
      </c>
      <c r="M88" s="175">
        <f t="shared" si="102"/>
        <v>0</v>
      </c>
      <c r="N88" s="175">
        <f t="shared" si="102"/>
        <v>0</v>
      </c>
      <c r="O88" s="175">
        <f t="shared" si="102"/>
        <v>0</v>
      </c>
      <c r="P88" s="175">
        <f t="shared" si="102"/>
        <v>0</v>
      </c>
      <c r="Q88" s="175">
        <f t="shared" si="102"/>
        <v>0</v>
      </c>
      <c r="R88" s="175">
        <f t="shared" si="102"/>
        <v>0</v>
      </c>
      <c r="S88" s="175">
        <f t="shared" si="102"/>
        <v>0</v>
      </c>
      <c r="T88" s="175">
        <f t="shared" si="102"/>
        <v>0</v>
      </c>
      <c r="U88" s="175">
        <f t="shared" si="102"/>
        <v>0</v>
      </c>
      <c r="V88" s="175">
        <f t="shared" si="102"/>
        <v>0</v>
      </c>
      <c r="W88" s="175">
        <f t="shared" si="102"/>
        <v>0</v>
      </c>
      <c r="X88" s="175">
        <f t="shared" si="102"/>
        <v>0</v>
      </c>
      <c r="Y88" s="175">
        <f t="shared" si="102"/>
        <v>0</v>
      </c>
      <c r="Z88" s="175">
        <f t="shared" si="102"/>
        <v>0</v>
      </c>
      <c r="AA88" s="175">
        <f t="shared" si="102"/>
        <v>0</v>
      </c>
      <c r="AB88" s="175">
        <f t="shared" si="102"/>
        <v>0</v>
      </c>
      <c r="AC88" s="175">
        <f t="shared" si="102"/>
        <v>0</v>
      </c>
      <c r="AD88" s="175">
        <f t="shared" si="102"/>
        <v>0</v>
      </c>
      <c r="AE88" s="175">
        <f t="shared" si="102"/>
        <v>0</v>
      </c>
      <c r="AF88" s="175">
        <f t="shared" si="102"/>
        <v>0</v>
      </c>
      <c r="AG88" s="175">
        <f t="shared" si="102"/>
        <v>0</v>
      </c>
      <c r="AH88" s="175">
        <f t="shared" si="102"/>
        <v>0</v>
      </c>
      <c r="AI88" s="175">
        <f>M19</f>
        <v>0</v>
      </c>
    </row>
    <row r="89" spans="1:35">
      <c r="A89" s="260"/>
      <c r="B89" t="s">
        <v>53</v>
      </c>
      <c r="D89" t="s">
        <v>74</v>
      </c>
      <c r="E89" s="148">
        <f t="shared" ref="E89:E92" si="103">D20</f>
        <v>0</v>
      </c>
      <c r="F89" s="148">
        <f t="shared" ref="F89:AH89" si="104">-($E89-$AI89)/30+E89</f>
        <v>0</v>
      </c>
      <c r="G89" s="148">
        <f t="shared" si="104"/>
        <v>0</v>
      </c>
      <c r="H89" s="148">
        <f t="shared" si="104"/>
        <v>0</v>
      </c>
      <c r="I89" s="148">
        <f t="shared" si="104"/>
        <v>0</v>
      </c>
      <c r="J89" s="148">
        <f t="shared" si="104"/>
        <v>0</v>
      </c>
      <c r="K89" s="148">
        <f t="shared" si="104"/>
        <v>0</v>
      </c>
      <c r="L89" s="148">
        <f t="shared" si="104"/>
        <v>0</v>
      </c>
      <c r="M89" s="148">
        <f t="shared" si="104"/>
        <v>0</v>
      </c>
      <c r="N89" s="148">
        <f t="shared" si="104"/>
        <v>0</v>
      </c>
      <c r="O89" s="148">
        <f t="shared" si="104"/>
        <v>0</v>
      </c>
      <c r="P89" s="148">
        <f t="shared" si="104"/>
        <v>0</v>
      </c>
      <c r="Q89" s="148">
        <f t="shared" si="104"/>
        <v>0</v>
      </c>
      <c r="R89" s="148">
        <f t="shared" si="104"/>
        <v>0</v>
      </c>
      <c r="S89" s="148">
        <f t="shared" si="104"/>
        <v>0</v>
      </c>
      <c r="T89" s="148">
        <f t="shared" si="104"/>
        <v>0</v>
      </c>
      <c r="U89" s="148">
        <f t="shared" si="104"/>
        <v>0</v>
      </c>
      <c r="V89" s="148">
        <f t="shared" si="104"/>
        <v>0</v>
      </c>
      <c r="W89" s="148">
        <f t="shared" si="104"/>
        <v>0</v>
      </c>
      <c r="X89" s="148">
        <f t="shared" si="104"/>
        <v>0</v>
      </c>
      <c r="Y89" s="148">
        <f t="shared" si="104"/>
        <v>0</v>
      </c>
      <c r="Z89" s="148">
        <f t="shared" si="104"/>
        <v>0</v>
      </c>
      <c r="AA89" s="148">
        <f t="shared" si="104"/>
        <v>0</v>
      </c>
      <c r="AB89" s="148">
        <f t="shared" si="104"/>
        <v>0</v>
      </c>
      <c r="AC89" s="148">
        <f t="shared" si="104"/>
        <v>0</v>
      </c>
      <c r="AD89" s="148">
        <f t="shared" si="104"/>
        <v>0</v>
      </c>
      <c r="AE89" s="148">
        <f t="shared" si="104"/>
        <v>0</v>
      </c>
      <c r="AF89" s="148">
        <f t="shared" si="104"/>
        <v>0</v>
      </c>
      <c r="AG89" s="148">
        <f t="shared" si="104"/>
        <v>0</v>
      </c>
      <c r="AH89" s="148">
        <f t="shared" si="104"/>
        <v>0</v>
      </c>
      <c r="AI89" s="148">
        <f t="shared" ref="AI89:AI92" si="105">M20</f>
        <v>0</v>
      </c>
    </row>
    <row r="90" spans="1:35">
      <c r="A90" s="260"/>
      <c r="B90" t="s">
        <v>53</v>
      </c>
      <c r="D90" t="s">
        <v>34</v>
      </c>
      <c r="E90" s="148">
        <f t="shared" si="103"/>
        <v>0</v>
      </c>
      <c r="F90" s="148">
        <f t="shared" ref="F90:AH90" si="106">-($E90-$AI90)/30+E90</f>
        <v>0</v>
      </c>
      <c r="G90" s="148">
        <f t="shared" si="106"/>
        <v>0</v>
      </c>
      <c r="H90" s="148">
        <f t="shared" si="106"/>
        <v>0</v>
      </c>
      <c r="I90" s="148">
        <f t="shared" si="106"/>
        <v>0</v>
      </c>
      <c r="J90" s="148">
        <f t="shared" si="106"/>
        <v>0</v>
      </c>
      <c r="K90" s="148">
        <f t="shared" si="106"/>
        <v>0</v>
      </c>
      <c r="L90" s="148">
        <f t="shared" si="106"/>
        <v>0</v>
      </c>
      <c r="M90" s="148">
        <f t="shared" si="106"/>
        <v>0</v>
      </c>
      <c r="N90" s="148">
        <f t="shared" si="106"/>
        <v>0</v>
      </c>
      <c r="O90" s="148">
        <f t="shared" si="106"/>
        <v>0</v>
      </c>
      <c r="P90" s="148">
        <f t="shared" si="106"/>
        <v>0</v>
      </c>
      <c r="Q90" s="148">
        <f t="shared" si="106"/>
        <v>0</v>
      </c>
      <c r="R90" s="148">
        <f t="shared" si="106"/>
        <v>0</v>
      </c>
      <c r="S90" s="148">
        <f t="shared" si="106"/>
        <v>0</v>
      </c>
      <c r="T90" s="148">
        <f t="shared" si="106"/>
        <v>0</v>
      </c>
      <c r="U90" s="148">
        <f t="shared" si="106"/>
        <v>0</v>
      </c>
      <c r="V90" s="148">
        <f t="shared" si="106"/>
        <v>0</v>
      </c>
      <c r="W90" s="148">
        <f t="shared" si="106"/>
        <v>0</v>
      </c>
      <c r="X90" s="148">
        <f t="shared" si="106"/>
        <v>0</v>
      </c>
      <c r="Y90" s="148">
        <f t="shared" si="106"/>
        <v>0</v>
      </c>
      <c r="Z90" s="148">
        <f t="shared" si="106"/>
        <v>0</v>
      </c>
      <c r="AA90" s="148">
        <f t="shared" si="106"/>
        <v>0</v>
      </c>
      <c r="AB90" s="148">
        <f t="shared" si="106"/>
        <v>0</v>
      </c>
      <c r="AC90" s="148">
        <f t="shared" si="106"/>
        <v>0</v>
      </c>
      <c r="AD90" s="148">
        <f t="shared" si="106"/>
        <v>0</v>
      </c>
      <c r="AE90" s="148">
        <f t="shared" si="106"/>
        <v>0</v>
      </c>
      <c r="AF90" s="148">
        <f t="shared" si="106"/>
        <v>0</v>
      </c>
      <c r="AG90" s="148">
        <f t="shared" si="106"/>
        <v>0</v>
      </c>
      <c r="AH90" s="148">
        <f t="shared" si="106"/>
        <v>0</v>
      </c>
      <c r="AI90" s="148">
        <f t="shared" si="105"/>
        <v>0</v>
      </c>
    </row>
    <row r="91" spans="1:35">
      <c r="A91" s="260"/>
      <c r="B91" t="s">
        <v>53</v>
      </c>
      <c r="D91" t="s">
        <v>35</v>
      </c>
      <c r="E91" s="148">
        <f>D22</f>
        <v>0</v>
      </c>
      <c r="F91" s="148">
        <f t="shared" ref="F91:AH91" si="107">-($E91-$AI91)/30+E91</f>
        <v>3.3332682206417101E-2</v>
      </c>
      <c r="G91" s="148">
        <f t="shared" si="107"/>
        <v>6.6665364412834202E-2</v>
      </c>
      <c r="H91" s="148">
        <f t="shared" si="107"/>
        <v>9.9998046619251296E-2</v>
      </c>
      <c r="I91" s="148">
        <f t="shared" si="107"/>
        <v>0.1333307288256684</v>
      </c>
      <c r="J91" s="148">
        <f t="shared" si="107"/>
        <v>0.16666341103208551</v>
      </c>
      <c r="K91" s="148">
        <f t="shared" si="107"/>
        <v>0.19999609323850262</v>
      </c>
      <c r="L91" s="148">
        <f t="shared" si="107"/>
        <v>0.23332877544491973</v>
      </c>
      <c r="M91" s="148">
        <f t="shared" si="107"/>
        <v>0.26666145765133681</v>
      </c>
      <c r="N91" s="148">
        <f t="shared" si="107"/>
        <v>0.29999413985775392</v>
      </c>
      <c r="O91" s="148">
        <f t="shared" si="107"/>
        <v>0.33332682206417102</v>
      </c>
      <c r="P91" s="148">
        <f t="shared" si="107"/>
        <v>0.36665950427058813</v>
      </c>
      <c r="Q91" s="148">
        <f t="shared" si="107"/>
        <v>0.39999218647700524</v>
      </c>
      <c r="R91" s="148">
        <f t="shared" si="107"/>
        <v>0.43332486868342235</v>
      </c>
      <c r="S91" s="148">
        <f t="shared" si="107"/>
        <v>0.46665755088983946</v>
      </c>
      <c r="T91" s="148">
        <f t="shared" si="107"/>
        <v>0.49999023309625656</v>
      </c>
      <c r="U91" s="148">
        <f t="shared" si="107"/>
        <v>0.53332291530267362</v>
      </c>
      <c r="V91" s="148">
        <f t="shared" si="107"/>
        <v>0.56665559750909067</v>
      </c>
      <c r="W91" s="148">
        <f t="shared" si="107"/>
        <v>0.59998827971550772</v>
      </c>
      <c r="X91" s="148">
        <f t="shared" si="107"/>
        <v>0.63332096192192477</v>
      </c>
      <c r="Y91" s="148">
        <f t="shared" si="107"/>
        <v>0.66665364412834183</v>
      </c>
      <c r="Z91" s="148">
        <f t="shared" si="107"/>
        <v>0.69998632633475888</v>
      </c>
      <c r="AA91" s="148">
        <f t="shared" si="107"/>
        <v>0.73331900854117593</v>
      </c>
      <c r="AB91" s="148">
        <f t="shared" si="107"/>
        <v>0.76665169074759298</v>
      </c>
      <c r="AC91" s="148">
        <f t="shared" si="107"/>
        <v>0.79998437295401004</v>
      </c>
      <c r="AD91" s="148">
        <f t="shared" si="107"/>
        <v>0.83331705516042709</v>
      </c>
      <c r="AE91" s="148">
        <f t="shared" si="107"/>
        <v>0.86664973736684414</v>
      </c>
      <c r="AF91" s="148">
        <f t="shared" si="107"/>
        <v>0.89998241957326119</v>
      </c>
      <c r="AG91" s="148">
        <f t="shared" si="107"/>
        <v>0.93331510177967825</v>
      </c>
      <c r="AH91" s="148">
        <f t="shared" si="107"/>
        <v>0.9666477839860953</v>
      </c>
      <c r="AI91" s="148">
        <f t="shared" si="105"/>
        <v>0.99998046619251313</v>
      </c>
    </row>
    <row r="92" spans="1:35" s="62" customFormat="1">
      <c r="A92" s="261"/>
      <c r="B92" s="62" t="s">
        <v>53</v>
      </c>
      <c r="D92" s="62" t="s">
        <v>27</v>
      </c>
      <c r="E92" s="366">
        <f t="shared" si="103"/>
        <v>0</v>
      </c>
      <c r="F92" s="366">
        <f t="shared" ref="F92:AH92" si="108">-($E92-$AI92)/30+E92</f>
        <v>6.5112691622836508E-7</v>
      </c>
      <c r="G92" s="366">
        <f t="shared" si="108"/>
        <v>1.3022538324567302E-6</v>
      </c>
      <c r="H92" s="366">
        <f t="shared" si="108"/>
        <v>1.9533807486850953E-6</v>
      </c>
      <c r="I92" s="366">
        <f t="shared" si="108"/>
        <v>2.6045076649134603E-6</v>
      </c>
      <c r="J92" s="366">
        <f t="shared" si="108"/>
        <v>3.2556345811418253E-6</v>
      </c>
      <c r="K92" s="366">
        <f t="shared" si="108"/>
        <v>3.9067614973701907E-6</v>
      </c>
      <c r="L92" s="366">
        <f t="shared" si="108"/>
        <v>4.5578884135985561E-6</v>
      </c>
      <c r="M92" s="366">
        <f t="shared" si="108"/>
        <v>5.2090153298269215E-6</v>
      </c>
      <c r="N92" s="366">
        <f t="shared" si="108"/>
        <v>5.8601422460552869E-6</v>
      </c>
      <c r="O92" s="366">
        <f t="shared" si="108"/>
        <v>6.5112691622836522E-6</v>
      </c>
      <c r="P92" s="366">
        <f t="shared" si="108"/>
        <v>7.1623960785120176E-6</v>
      </c>
      <c r="Q92" s="366">
        <f t="shared" si="108"/>
        <v>7.813522994740383E-6</v>
      </c>
      <c r="R92" s="366">
        <f t="shared" si="108"/>
        <v>8.4646499109687484E-6</v>
      </c>
      <c r="S92" s="366">
        <f t="shared" si="108"/>
        <v>9.1157768271971138E-6</v>
      </c>
      <c r="T92" s="366">
        <f t="shared" si="108"/>
        <v>9.7669037434254792E-6</v>
      </c>
      <c r="U92" s="366">
        <f t="shared" si="108"/>
        <v>1.0418030659653845E-5</v>
      </c>
      <c r="V92" s="366">
        <f t="shared" si="108"/>
        <v>1.106915757588221E-5</v>
      </c>
      <c r="W92" s="366">
        <f t="shared" si="108"/>
        <v>1.1720284492110575E-5</v>
      </c>
      <c r="X92" s="366">
        <f t="shared" si="108"/>
        <v>1.2371411408338941E-5</v>
      </c>
      <c r="Y92" s="366">
        <f t="shared" si="108"/>
        <v>1.3022538324567306E-5</v>
      </c>
      <c r="Z92" s="366">
        <f t="shared" si="108"/>
        <v>1.3673665240795672E-5</v>
      </c>
      <c r="AA92" s="366">
        <f t="shared" si="108"/>
        <v>1.4324792157024037E-5</v>
      </c>
      <c r="AB92" s="366">
        <f t="shared" si="108"/>
        <v>1.4975919073252402E-5</v>
      </c>
      <c r="AC92" s="366">
        <f t="shared" si="108"/>
        <v>1.5627045989480766E-5</v>
      </c>
      <c r="AD92" s="366">
        <f t="shared" si="108"/>
        <v>1.6278172905709131E-5</v>
      </c>
      <c r="AE92" s="366">
        <f t="shared" si="108"/>
        <v>1.6929299821937497E-5</v>
      </c>
      <c r="AF92" s="366">
        <f t="shared" si="108"/>
        <v>1.7580426738165862E-5</v>
      </c>
      <c r="AG92" s="366">
        <f t="shared" si="108"/>
        <v>1.8231553654394228E-5</v>
      </c>
      <c r="AH92" s="366">
        <f t="shared" si="108"/>
        <v>1.8882680570622593E-5</v>
      </c>
      <c r="AI92" s="366">
        <f t="shared" si="105"/>
        <v>1.9533807486850952E-5</v>
      </c>
    </row>
    <row r="93" spans="1:35" s="61" customFormat="1">
      <c r="A93" s="257"/>
      <c r="B93" s="61" t="s">
        <v>53</v>
      </c>
      <c r="C93" s="61" t="s">
        <v>737</v>
      </c>
      <c r="D93" s="61" t="s">
        <v>141</v>
      </c>
      <c r="E93" s="175">
        <f>E19</f>
        <v>0</v>
      </c>
      <c r="F93" s="175">
        <f t="shared" ref="F93:AH93" si="109">-($E93-$AI93)/30+E93</f>
        <v>0</v>
      </c>
      <c r="G93" s="175">
        <f t="shared" si="109"/>
        <v>0</v>
      </c>
      <c r="H93" s="175">
        <f t="shared" si="109"/>
        <v>0</v>
      </c>
      <c r="I93" s="175">
        <f t="shared" si="109"/>
        <v>0</v>
      </c>
      <c r="J93" s="175">
        <f t="shared" si="109"/>
        <v>0</v>
      </c>
      <c r="K93" s="175">
        <f t="shared" si="109"/>
        <v>0</v>
      </c>
      <c r="L93" s="175">
        <f t="shared" si="109"/>
        <v>0</v>
      </c>
      <c r="M93" s="175">
        <f t="shared" si="109"/>
        <v>0</v>
      </c>
      <c r="N93" s="175">
        <f t="shared" si="109"/>
        <v>0</v>
      </c>
      <c r="O93" s="175">
        <f t="shared" si="109"/>
        <v>0</v>
      </c>
      <c r="P93" s="175">
        <f t="shared" si="109"/>
        <v>0</v>
      </c>
      <c r="Q93" s="175">
        <f t="shared" si="109"/>
        <v>0</v>
      </c>
      <c r="R93" s="175">
        <f t="shared" si="109"/>
        <v>0</v>
      </c>
      <c r="S93" s="175">
        <f t="shared" si="109"/>
        <v>0</v>
      </c>
      <c r="T93" s="175">
        <f t="shared" si="109"/>
        <v>0</v>
      </c>
      <c r="U93" s="175">
        <f t="shared" si="109"/>
        <v>0</v>
      </c>
      <c r="V93" s="175">
        <f t="shared" si="109"/>
        <v>0</v>
      </c>
      <c r="W93" s="175">
        <f t="shared" si="109"/>
        <v>0</v>
      </c>
      <c r="X93" s="175">
        <f t="shared" si="109"/>
        <v>0</v>
      </c>
      <c r="Y93" s="175">
        <f t="shared" si="109"/>
        <v>0</v>
      </c>
      <c r="Z93" s="175">
        <f t="shared" si="109"/>
        <v>0</v>
      </c>
      <c r="AA93" s="175">
        <f t="shared" si="109"/>
        <v>0</v>
      </c>
      <c r="AB93" s="175">
        <f t="shared" si="109"/>
        <v>0</v>
      </c>
      <c r="AC93" s="175">
        <f t="shared" si="109"/>
        <v>0</v>
      </c>
      <c r="AD93" s="175">
        <f t="shared" si="109"/>
        <v>0</v>
      </c>
      <c r="AE93" s="175">
        <f t="shared" si="109"/>
        <v>0</v>
      </c>
      <c r="AF93" s="175">
        <f t="shared" si="109"/>
        <v>0</v>
      </c>
      <c r="AG93" s="175">
        <f t="shared" si="109"/>
        <v>0</v>
      </c>
      <c r="AH93" s="175">
        <f t="shared" si="109"/>
        <v>0</v>
      </c>
      <c r="AI93" s="175">
        <f>N19</f>
        <v>0</v>
      </c>
    </row>
    <row r="94" spans="1:35">
      <c r="A94" s="260"/>
      <c r="B94" t="s">
        <v>53</v>
      </c>
      <c r="D94" t="s">
        <v>74</v>
      </c>
      <c r="E94" s="148">
        <f t="shared" ref="E94:E97" si="110">E20</f>
        <v>0</v>
      </c>
      <c r="F94" s="148">
        <f t="shared" ref="F94:AH94" si="111">-($E94-$AI94)/30+E94</f>
        <v>0</v>
      </c>
      <c r="G94" s="148">
        <f t="shared" si="111"/>
        <v>0</v>
      </c>
      <c r="H94" s="148">
        <f t="shared" si="111"/>
        <v>0</v>
      </c>
      <c r="I94" s="148">
        <f t="shared" si="111"/>
        <v>0</v>
      </c>
      <c r="J94" s="148">
        <f t="shared" si="111"/>
        <v>0</v>
      </c>
      <c r="K94" s="148">
        <f t="shared" si="111"/>
        <v>0</v>
      </c>
      <c r="L94" s="148">
        <f t="shared" si="111"/>
        <v>0</v>
      </c>
      <c r="M94" s="148">
        <f t="shared" si="111"/>
        <v>0</v>
      </c>
      <c r="N94" s="148">
        <f t="shared" si="111"/>
        <v>0</v>
      </c>
      <c r="O94" s="148">
        <f t="shared" si="111"/>
        <v>0</v>
      </c>
      <c r="P94" s="148">
        <f t="shared" si="111"/>
        <v>0</v>
      </c>
      <c r="Q94" s="148">
        <f t="shared" si="111"/>
        <v>0</v>
      </c>
      <c r="R94" s="148">
        <f t="shared" si="111"/>
        <v>0</v>
      </c>
      <c r="S94" s="148">
        <f t="shared" si="111"/>
        <v>0</v>
      </c>
      <c r="T94" s="148">
        <f t="shared" si="111"/>
        <v>0</v>
      </c>
      <c r="U94" s="148">
        <f t="shared" si="111"/>
        <v>0</v>
      </c>
      <c r="V94" s="148">
        <f t="shared" si="111"/>
        <v>0</v>
      </c>
      <c r="W94" s="148">
        <f t="shared" si="111"/>
        <v>0</v>
      </c>
      <c r="X94" s="148">
        <f t="shared" si="111"/>
        <v>0</v>
      </c>
      <c r="Y94" s="148">
        <f t="shared" si="111"/>
        <v>0</v>
      </c>
      <c r="Z94" s="148">
        <f t="shared" si="111"/>
        <v>0</v>
      </c>
      <c r="AA94" s="148">
        <f t="shared" si="111"/>
        <v>0</v>
      </c>
      <c r="AB94" s="148">
        <f t="shared" si="111"/>
        <v>0</v>
      </c>
      <c r="AC94" s="148">
        <f t="shared" si="111"/>
        <v>0</v>
      </c>
      <c r="AD94" s="148">
        <f t="shared" si="111"/>
        <v>0</v>
      </c>
      <c r="AE94" s="148">
        <f t="shared" si="111"/>
        <v>0</v>
      </c>
      <c r="AF94" s="148">
        <f t="shared" si="111"/>
        <v>0</v>
      </c>
      <c r="AG94" s="148">
        <f t="shared" si="111"/>
        <v>0</v>
      </c>
      <c r="AH94" s="148">
        <f t="shared" si="111"/>
        <v>0</v>
      </c>
      <c r="AI94" s="148">
        <f t="shared" ref="AI94:AI97" si="112">N20</f>
        <v>0</v>
      </c>
    </row>
    <row r="95" spans="1:35">
      <c r="A95" s="260"/>
      <c r="B95" t="s">
        <v>53</v>
      </c>
      <c r="D95" t="s">
        <v>34</v>
      </c>
      <c r="E95" s="148">
        <f t="shared" si="110"/>
        <v>0</v>
      </c>
      <c r="F95" s="148">
        <f t="shared" ref="F95:AH95" si="113">-($E95-$AI95)/30+E95</f>
        <v>0</v>
      </c>
      <c r="G95" s="148">
        <f t="shared" si="113"/>
        <v>0</v>
      </c>
      <c r="H95" s="148">
        <f t="shared" si="113"/>
        <v>0</v>
      </c>
      <c r="I95" s="148">
        <f t="shared" si="113"/>
        <v>0</v>
      </c>
      <c r="J95" s="148">
        <f t="shared" si="113"/>
        <v>0</v>
      </c>
      <c r="K95" s="148">
        <f t="shared" si="113"/>
        <v>0</v>
      </c>
      <c r="L95" s="148">
        <f t="shared" si="113"/>
        <v>0</v>
      </c>
      <c r="M95" s="148">
        <f t="shared" si="113"/>
        <v>0</v>
      </c>
      <c r="N95" s="148">
        <f t="shared" si="113"/>
        <v>0</v>
      </c>
      <c r="O95" s="148">
        <f t="shared" si="113"/>
        <v>0</v>
      </c>
      <c r="P95" s="148">
        <f t="shared" si="113"/>
        <v>0</v>
      </c>
      <c r="Q95" s="148">
        <f t="shared" si="113"/>
        <v>0</v>
      </c>
      <c r="R95" s="148">
        <f t="shared" si="113"/>
        <v>0</v>
      </c>
      <c r="S95" s="148">
        <f t="shared" si="113"/>
        <v>0</v>
      </c>
      <c r="T95" s="148">
        <f t="shared" si="113"/>
        <v>0</v>
      </c>
      <c r="U95" s="148">
        <f t="shared" si="113"/>
        <v>0</v>
      </c>
      <c r="V95" s="148">
        <f t="shared" si="113"/>
        <v>0</v>
      </c>
      <c r="W95" s="148">
        <f t="shared" si="113"/>
        <v>0</v>
      </c>
      <c r="X95" s="148">
        <f t="shared" si="113"/>
        <v>0</v>
      </c>
      <c r="Y95" s="148">
        <f t="shared" si="113"/>
        <v>0</v>
      </c>
      <c r="Z95" s="148">
        <f t="shared" si="113"/>
        <v>0</v>
      </c>
      <c r="AA95" s="148">
        <f t="shared" si="113"/>
        <v>0</v>
      </c>
      <c r="AB95" s="148">
        <f t="shared" si="113"/>
        <v>0</v>
      </c>
      <c r="AC95" s="148">
        <f t="shared" si="113"/>
        <v>0</v>
      </c>
      <c r="AD95" s="148">
        <f t="shared" si="113"/>
        <v>0</v>
      </c>
      <c r="AE95" s="148">
        <f t="shared" si="113"/>
        <v>0</v>
      </c>
      <c r="AF95" s="148">
        <f t="shared" si="113"/>
        <v>0</v>
      </c>
      <c r="AG95" s="148">
        <f t="shared" si="113"/>
        <v>0</v>
      </c>
      <c r="AH95" s="148">
        <f t="shared" si="113"/>
        <v>0</v>
      </c>
      <c r="AI95" s="148">
        <f t="shared" si="112"/>
        <v>0</v>
      </c>
    </row>
    <row r="96" spans="1:35">
      <c r="A96" s="260"/>
      <c r="B96" t="s">
        <v>53</v>
      </c>
      <c r="D96" t="s">
        <v>35</v>
      </c>
      <c r="E96" s="148">
        <f t="shared" si="110"/>
        <v>0</v>
      </c>
      <c r="F96" s="148">
        <f t="shared" ref="F96:AH96" si="114">-($E96-$AI96)/30+E96</f>
        <v>3.3332682206417101E-2</v>
      </c>
      <c r="G96" s="148">
        <f t="shared" si="114"/>
        <v>6.6665364412834202E-2</v>
      </c>
      <c r="H96" s="148">
        <f t="shared" si="114"/>
        <v>9.9998046619251296E-2</v>
      </c>
      <c r="I96" s="148">
        <f t="shared" si="114"/>
        <v>0.1333307288256684</v>
      </c>
      <c r="J96" s="148">
        <f t="shared" si="114"/>
        <v>0.16666341103208551</v>
      </c>
      <c r="K96" s="148">
        <f t="shared" si="114"/>
        <v>0.19999609323850262</v>
      </c>
      <c r="L96" s="148">
        <f t="shared" si="114"/>
        <v>0.23332877544491973</v>
      </c>
      <c r="M96" s="148">
        <f t="shared" si="114"/>
        <v>0.26666145765133681</v>
      </c>
      <c r="N96" s="148">
        <f t="shared" si="114"/>
        <v>0.29999413985775392</v>
      </c>
      <c r="O96" s="148">
        <f t="shared" si="114"/>
        <v>0.33332682206417102</v>
      </c>
      <c r="P96" s="148">
        <f t="shared" si="114"/>
        <v>0.36665950427058813</v>
      </c>
      <c r="Q96" s="148">
        <f t="shared" si="114"/>
        <v>0.39999218647700524</v>
      </c>
      <c r="R96" s="148">
        <f t="shared" si="114"/>
        <v>0.43332486868342235</v>
      </c>
      <c r="S96" s="148">
        <f t="shared" si="114"/>
        <v>0.46665755088983946</v>
      </c>
      <c r="T96" s="148">
        <f t="shared" si="114"/>
        <v>0.49999023309625656</v>
      </c>
      <c r="U96" s="148">
        <f t="shared" si="114"/>
        <v>0.53332291530267362</v>
      </c>
      <c r="V96" s="148">
        <f t="shared" si="114"/>
        <v>0.56665559750909067</v>
      </c>
      <c r="W96" s="148">
        <f t="shared" si="114"/>
        <v>0.59998827971550772</v>
      </c>
      <c r="X96" s="148">
        <f t="shared" si="114"/>
        <v>0.63332096192192477</v>
      </c>
      <c r="Y96" s="148">
        <f t="shared" si="114"/>
        <v>0.66665364412834183</v>
      </c>
      <c r="Z96" s="148">
        <f t="shared" si="114"/>
        <v>0.69998632633475888</v>
      </c>
      <c r="AA96" s="148">
        <f t="shared" si="114"/>
        <v>0.73331900854117593</v>
      </c>
      <c r="AB96" s="148">
        <f t="shared" si="114"/>
        <v>0.76665169074759298</v>
      </c>
      <c r="AC96" s="148">
        <f t="shared" si="114"/>
        <v>0.79998437295401004</v>
      </c>
      <c r="AD96" s="148">
        <f t="shared" si="114"/>
        <v>0.83331705516042709</v>
      </c>
      <c r="AE96" s="148">
        <f t="shared" si="114"/>
        <v>0.86664973736684414</v>
      </c>
      <c r="AF96" s="148">
        <f t="shared" si="114"/>
        <v>0.89998241957326119</v>
      </c>
      <c r="AG96" s="148">
        <f t="shared" si="114"/>
        <v>0.93331510177967825</v>
      </c>
      <c r="AH96" s="148">
        <f t="shared" si="114"/>
        <v>0.9666477839860953</v>
      </c>
      <c r="AI96" s="148">
        <f t="shared" si="112"/>
        <v>0.99998046619251313</v>
      </c>
    </row>
    <row r="97" spans="1:35" s="62" customFormat="1">
      <c r="A97" s="261"/>
      <c r="B97" s="62" t="s">
        <v>53</v>
      </c>
      <c r="D97" s="62" t="s">
        <v>27</v>
      </c>
      <c r="E97" s="366">
        <f t="shared" si="110"/>
        <v>0</v>
      </c>
      <c r="F97" s="366">
        <f t="shared" ref="F97:AH97" si="115">-($E97-$AI97)/30+E97</f>
        <v>6.5112691622836508E-7</v>
      </c>
      <c r="G97" s="366">
        <f t="shared" si="115"/>
        <v>1.3022538324567302E-6</v>
      </c>
      <c r="H97" s="366">
        <f t="shared" si="115"/>
        <v>1.9533807486850953E-6</v>
      </c>
      <c r="I97" s="366">
        <f t="shared" si="115"/>
        <v>2.6045076649134603E-6</v>
      </c>
      <c r="J97" s="366">
        <f t="shared" si="115"/>
        <v>3.2556345811418253E-6</v>
      </c>
      <c r="K97" s="366">
        <f t="shared" si="115"/>
        <v>3.9067614973701907E-6</v>
      </c>
      <c r="L97" s="366">
        <f t="shared" si="115"/>
        <v>4.5578884135985561E-6</v>
      </c>
      <c r="M97" s="366">
        <f t="shared" si="115"/>
        <v>5.2090153298269215E-6</v>
      </c>
      <c r="N97" s="366">
        <f t="shared" si="115"/>
        <v>5.8601422460552869E-6</v>
      </c>
      <c r="O97" s="366">
        <f t="shared" si="115"/>
        <v>6.5112691622836522E-6</v>
      </c>
      <c r="P97" s="366">
        <f t="shared" si="115"/>
        <v>7.1623960785120176E-6</v>
      </c>
      <c r="Q97" s="366">
        <f t="shared" si="115"/>
        <v>7.813522994740383E-6</v>
      </c>
      <c r="R97" s="366">
        <f t="shared" si="115"/>
        <v>8.4646499109687484E-6</v>
      </c>
      <c r="S97" s="366">
        <f t="shared" si="115"/>
        <v>9.1157768271971138E-6</v>
      </c>
      <c r="T97" s="366">
        <f t="shared" si="115"/>
        <v>9.7669037434254792E-6</v>
      </c>
      <c r="U97" s="366">
        <f t="shared" si="115"/>
        <v>1.0418030659653845E-5</v>
      </c>
      <c r="V97" s="366">
        <f t="shared" si="115"/>
        <v>1.106915757588221E-5</v>
      </c>
      <c r="W97" s="366">
        <f t="shared" si="115"/>
        <v>1.1720284492110575E-5</v>
      </c>
      <c r="X97" s="366">
        <f t="shared" si="115"/>
        <v>1.2371411408338941E-5</v>
      </c>
      <c r="Y97" s="366">
        <f t="shared" si="115"/>
        <v>1.3022538324567306E-5</v>
      </c>
      <c r="Z97" s="366">
        <f t="shared" si="115"/>
        <v>1.3673665240795672E-5</v>
      </c>
      <c r="AA97" s="366">
        <f t="shared" si="115"/>
        <v>1.4324792157024037E-5</v>
      </c>
      <c r="AB97" s="366">
        <f t="shared" si="115"/>
        <v>1.4975919073252402E-5</v>
      </c>
      <c r="AC97" s="366">
        <f t="shared" si="115"/>
        <v>1.5627045989480766E-5</v>
      </c>
      <c r="AD97" s="366">
        <f t="shared" si="115"/>
        <v>1.6278172905709131E-5</v>
      </c>
      <c r="AE97" s="366">
        <f t="shared" si="115"/>
        <v>1.6929299821937497E-5</v>
      </c>
      <c r="AF97" s="366">
        <f t="shared" si="115"/>
        <v>1.7580426738165862E-5</v>
      </c>
      <c r="AG97" s="366">
        <f t="shared" si="115"/>
        <v>1.8231553654394228E-5</v>
      </c>
      <c r="AH97" s="366">
        <f t="shared" si="115"/>
        <v>1.8882680570622593E-5</v>
      </c>
      <c r="AI97" s="366">
        <f t="shared" si="112"/>
        <v>1.9533807486850952E-5</v>
      </c>
    </row>
    <row r="98" spans="1:35" s="61" customFormat="1">
      <c r="A98" s="257"/>
      <c r="B98" s="61" t="s">
        <v>53</v>
      </c>
      <c r="C98" s="61" t="s">
        <v>738</v>
      </c>
      <c r="D98" s="61" t="s">
        <v>141</v>
      </c>
      <c r="E98" s="175">
        <f>F19</f>
        <v>0</v>
      </c>
      <c r="F98" s="175">
        <f t="shared" ref="F98:AH98" si="116">-($E98-$AI98)/30+E98</f>
        <v>0</v>
      </c>
      <c r="G98" s="175">
        <f t="shared" si="116"/>
        <v>0</v>
      </c>
      <c r="H98" s="175">
        <f t="shared" si="116"/>
        <v>0</v>
      </c>
      <c r="I98" s="175">
        <f t="shared" si="116"/>
        <v>0</v>
      </c>
      <c r="J98" s="175">
        <f t="shared" si="116"/>
        <v>0</v>
      </c>
      <c r="K98" s="175">
        <f t="shared" si="116"/>
        <v>0</v>
      </c>
      <c r="L98" s="175">
        <f t="shared" si="116"/>
        <v>0</v>
      </c>
      <c r="M98" s="175">
        <f t="shared" si="116"/>
        <v>0</v>
      </c>
      <c r="N98" s="175">
        <f t="shared" si="116"/>
        <v>0</v>
      </c>
      <c r="O98" s="175">
        <f t="shared" si="116"/>
        <v>0</v>
      </c>
      <c r="P98" s="175">
        <f t="shared" si="116"/>
        <v>0</v>
      </c>
      <c r="Q98" s="175">
        <f t="shared" si="116"/>
        <v>0</v>
      </c>
      <c r="R98" s="175">
        <f t="shared" si="116"/>
        <v>0</v>
      </c>
      <c r="S98" s="175">
        <f t="shared" si="116"/>
        <v>0</v>
      </c>
      <c r="T98" s="175">
        <f t="shared" si="116"/>
        <v>0</v>
      </c>
      <c r="U98" s="175">
        <f t="shared" si="116"/>
        <v>0</v>
      </c>
      <c r="V98" s="175">
        <f t="shared" si="116"/>
        <v>0</v>
      </c>
      <c r="W98" s="175">
        <f t="shared" si="116"/>
        <v>0</v>
      </c>
      <c r="X98" s="175">
        <f t="shared" si="116"/>
        <v>0</v>
      </c>
      <c r="Y98" s="175">
        <f t="shared" si="116"/>
        <v>0</v>
      </c>
      <c r="Z98" s="175">
        <f t="shared" si="116"/>
        <v>0</v>
      </c>
      <c r="AA98" s="175">
        <f t="shared" si="116"/>
        <v>0</v>
      </c>
      <c r="AB98" s="175">
        <f t="shared" si="116"/>
        <v>0</v>
      </c>
      <c r="AC98" s="175">
        <f t="shared" si="116"/>
        <v>0</v>
      </c>
      <c r="AD98" s="175">
        <f t="shared" si="116"/>
        <v>0</v>
      </c>
      <c r="AE98" s="175">
        <f t="shared" si="116"/>
        <v>0</v>
      </c>
      <c r="AF98" s="175">
        <f t="shared" si="116"/>
        <v>0</v>
      </c>
      <c r="AG98" s="175">
        <f t="shared" si="116"/>
        <v>0</v>
      </c>
      <c r="AH98" s="175">
        <f t="shared" si="116"/>
        <v>0</v>
      </c>
      <c r="AI98" s="175">
        <f>O19</f>
        <v>0</v>
      </c>
    </row>
    <row r="99" spans="1:35">
      <c r="A99" s="260"/>
      <c r="B99" t="s">
        <v>53</v>
      </c>
      <c r="D99" t="s">
        <v>74</v>
      </c>
      <c r="E99" s="148">
        <f t="shared" ref="E99:E102" si="117">F20</f>
        <v>0</v>
      </c>
      <c r="F99" s="148">
        <f t="shared" ref="F99:AH99" si="118">-($E99-$AI99)/30+E99</f>
        <v>0</v>
      </c>
      <c r="G99" s="148">
        <f t="shared" si="118"/>
        <v>0</v>
      </c>
      <c r="H99" s="148">
        <f t="shared" si="118"/>
        <v>0</v>
      </c>
      <c r="I99" s="148">
        <f t="shared" si="118"/>
        <v>0</v>
      </c>
      <c r="J99" s="148">
        <f t="shared" si="118"/>
        <v>0</v>
      </c>
      <c r="K99" s="148">
        <f t="shared" si="118"/>
        <v>0</v>
      </c>
      <c r="L99" s="148">
        <f t="shared" si="118"/>
        <v>0</v>
      </c>
      <c r="M99" s="148">
        <f t="shared" si="118"/>
        <v>0</v>
      </c>
      <c r="N99" s="148">
        <f t="shared" si="118"/>
        <v>0</v>
      </c>
      <c r="O99" s="148">
        <f t="shared" si="118"/>
        <v>0</v>
      </c>
      <c r="P99" s="148">
        <f t="shared" si="118"/>
        <v>0</v>
      </c>
      <c r="Q99" s="148">
        <f t="shared" si="118"/>
        <v>0</v>
      </c>
      <c r="R99" s="148">
        <f t="shared" si="118"/>
        <v>0</v>
      </c>
      <c r="S99" s="148">
        <f t="shared" si="118"/>
        <v>0</v>
      </c>
      <c r="T99" s="148">
        <f t="shared" si="118"/>
        <v>0</v>
      </c>
      <c r="U99" s="148">
        <f t="shared" si="118"/>
        <v>0</v>
      </c>
      <c r="V99" s="148">
        <f t="shared" si="118"/>
        <v>0</v>
      </c>
      <c r="W99" s="148">
        <f t="shared" si="118"/>
        <v>0</v>
      </c>
      <c r="X99" s="148">
        <f t="shared" si="118"/>
        <v>0</v>
      </c>
      <c r="Y99" s="148">
        <f t="shared" si="118"/>
        <v>0</v>
      </c>
      <c r="Z99" s="148">
        <f t="shared" si="118"/>
        <v>0</v>
      </c>
      <c r="AA99" s="148">
        <f t="shared" si="118"/>
        <v>0</v>
      </c>
      <c r="AB99" s="148">
        <f t="shared" si="118"/>
        <v>0</v>
      </c>
      <c r="AC99" s="148">
        <f t="shared" si="118"/>
        <v>0</v>
      </c>
      <c r="AD99" s="148">
        <f t="shared" si="118"/>
        <v>0</v>
      </c>
      <c r="AE99" s="148">
        <f t="shared" si="118"/>
        <v>0</v>
      </c>
      <c r="AF99" s="148">
        <f t="shared" si="118"/>
        <v>0</v>
      </c>
      <c r="AG99" s="148">
        <f t="shared" si="118"/>
        <v>0</v>
      </c>
      <c r="AH99" s="148">
        <f t="shared" si="118"/>
        <v>0</v>
      </c>
      <c r="AI99" s="148">
        <f t="shared" ref="AI99:AI102" si="119">O20</f>
        <v>0</v>
      </c>
    </row>
    <row r="100" spans="1:35">
      <c r="A100" s="260"/>
      <c r="B100" t="s">
        <v>53</v>
      </c>
      <c r="D100" t="s">
        <v>34</v>
      </c>
      <c r="E100" s="148">
        <f t="shared" si="117"/>
        <v>0</v>
      </c>
      <c r="F100" s="148">
        <f t="shared" ref="F100:AH100" si="120">-($E100-$AI100)/30+E100</f>
        <v>0</v>
      </c>
      <c r="G100" s="148">
        <f t="shared" si="120"/>
        <v>0</v>
      </c>
      <c r="H100" s="148">
        <f t="shared" si="120"/>
        <v>0</v>
      </c>
      <c r="I100" s="148">
        <f t="shared" si="120"/>
        <v>0</v>
      </c>
      <c r="J100" s="148">
        <f t="shared" si="120"/>
        <v>0</v>
      </c>
      <c r="K100" s="148">
        <f t="shared" si="120"/>
        <v>0</v>
      </c>
      <c r="L100" s="148">
        <f t="shared" si="120"/>
        <v>0</v>
      </c>
      <c r="M100" s="148">
        <f t="shared" si="120"/>
        <v>0</v>
      </c>
      <c r="N100" s="148">
        <f t="shared" si="120"/>
        <v>0</v>
      </c>
      <c r="O100" s="148">
        <f t="shared" si="120"/>
        <v>0</v>
      </c>
      <c r="P100" s="148">
        <f t="shared" si="120"/>
        <v>0</v>
      </c>
      <c r="Q100" s="148">
        <f t="shared" si="120"/>
        <v>0</v>
      </c>
      <c r="R100" s="148">
        <f t="shared" si="120"/>
        <v>0</v>
      </c>
      <c r="S100" s="148">
        <f t="shared" si="120"/>
        <v>0</v>
      </c>
      <c r="T100" s="148">
        <f t="shared" si="120"/>
        <v>0</v>
      </c>
      <c r="U100" s="148">
        <f t="shared" si="120"/>
        <v>0</v>
      </c>
      <c r="V100" s="148">
        <f t="shared" si="120"/>
        <v>0</v>
      </c>
      <c r="W100" s="148">
        <f t="shared" si="120"/>
        <v>0</v>
      </c>
      <c r="X100" s="148">
        <f t="shared" si="120"/>
        <v>0</v>
      </c>
      <c r="Y100" s="148">
        <f t="shared" si="120"/>
        <v>0</v>
      </c>
      <c r="Z100" s="148">
        <f t="shared" si="120"/>
        <v>0</v>
      </c>
      <c r="AA100" s="148">
        <f t="shared" si="120"/>
        <v>0</v>
      </c>
      <c r="AB100" s="148">
        <f t="shared" si="120"/>
        <v>0</v>
      </c>
      <c r="AC100" s="148">
        <f t="shared" si="120"/>
        <v>0</v>
      </c>
      <c r="AD100" s="148">
        <f t="shared" si="120"/>
        <v>0</v>
      </c>
      <c r="AE100" s="148">
        <f t="shared" si="120"/>
        <v>0</v>
      </c>
      <c r="AF100" s="148">
        <f t="shared" si="120"/>
        <v>0</v>
      </c>
      <c r="AG100" s="148">
        <f t="shared" si="120"/>
        <v>0</v>
      </c>
      <c r="AH100" s="148">
        <f t="shared" si="120"/>
        <v>0</v>
      </c>
      <c r="AI100" s="148">
        <f t="shared" si="119"/>
        <v>0</v>
      </c>
    </row>
    <row r="101" spans="1:35">
      <c r="A101" s="260"/>
      <c r="B101" t="s">
        <v>53</v>
      </c>
      <c r="D101" t="s">
        <v>35</v>
      </c>
      <c r="E101" s="148">
        <f t="shared" si="117"/>
        <v>0</v>
      </c>
      <c r="F101" s="148">
        <f t="shared" ref="F101:AH101" si="121">-($E101-$AI101)/30+E101</f>
        <v>3.3332682206417101E-2</v>
      </c>
      <c r="G101" s="148">
        <f t="shared" si="121"/>
        <v>6.6665364412834202E-2</v>
      </c>
      <c r="H101" s="148">
        <f t="shared" si="121"/>
        <v>9.9998046619251296E-2</v>
      </c>
      <c r="I101" s="148">
        <f t="shared" si="121"/>
        <v>0.1333307288256684</v>
      </c>
      <c r="J101" s="148">
        <f t="shared" si="121"/>
        <v>0.16666341103208551</v>
      </c>
      <c r="K101" s="148">
        <f t="shared" si="121"/>
        <v>0.19999609323850262</v>
      </c>
      <c r="L101" s="148">
        <f t="shared" si="121"/>
        <v>0.23332877544491973</v>
      </c>
      <c r="M101" s="148">
        <f t="shared" si="121"/>
        <v>0.26666145765133681</v>
      </c>
      <c r="N101" s="148">
        <f t="shared" si="121"/>
        <v>0.29999413985775392</v>
      </c>
      <c r="O101" s="148">
        <f t="shared" si="121"/>
        <v>0.33332682206417102</v>
      </c>
      <c r="P101" s="148">
        <f t="shared" si="121"/>
        <v>0.36665950427058813</v>
      </c>
      <c r="Q101" s="148">
        <f t="shared" si="121"/>
        <v>0.39999218647700524</v>
      </c>
      <c r="R101" s="148">
        <f t="shared" si="121"/>
        <v>0.43332486868342235</v>
      </c>
      <c r="S101" s="148">
        <f t="shared" si="121"/>
        <v>0.46665755088983946</v>
      </c>
      <c r="T101" s="148">
        <f t="shared" si="121"/>
        <v>0.49999023309625656</v>
      </c>
      <c r="U101" s="148">
        <f t="shared" si="121"/>
        <v>0.53332291530267362</v>
      </c>
      <c r="V101" s="148">
        <f t="shared" si="121"/>
        <v>0.56665559750909067</v>
      </c>
      <c r="W101" s="148">
        <f t="shared" si="121"/>
        <v>0.59998827971550772</v>
      </c>
      <c r="X101" s="148">
        <f t="shared" si="121"/>
        <v>0.63332096192192477</v>
      </c>
      <c r="Y101" s="148">
        <f t="shared" si="121"/>
        <v>0.66665364412834183</v>
      </c>
      <c r="Z101" s="148">
        <f t="shared" si="121"/>
        <v>0.69998632633475888</v>
      </c>
      <c r="AA101" s="148">
        <f t="shared" si="121"/>
        <v>0.73331900854117593</v>
      </c>
      <c r="AB101" s="148">
        <f t="shared" si="121"/>
        <v>0.76665169074759298</v>
      </c>
      <c r="AC101" s="148">
        <f t="shared" si="121"/>
        <v>0.79998437295401004</v>
      </c>
      <c r="AD101" s="148">
        <f t="shared" si="121"/>
        <v>0.83331705516042709</v>
      </c>
      <c r="AE101" s="148">
        <f t="shared" si="121"/>
        <v>0.86664973736684414</v>
      </c>
      <c r="AF101" s="148">
        <f t="shared" si="121"/>
        <v>0.89998241957326119</v>
      </c>
      <c r="AG101" s="148">
        <f t="shared" si="121"/>
        <v>0.93331510177967825</v>
      </c>
      <c r="AH101" s="148">
        <f t="shared" si="121"/>
        <v>0.9666477839860953</v>
      </c>
      <c r="AI101" s="148">
        <f t="shared" si="119"/>
        <v>0.99998046619251313</v>
      </c>
    </row>
    <row r="102" spans="1:35" s="62" customFormat="1">
      <c r="A102" s="261"/>
      <c r="B102" s="62" t="s">
        <v>53</v>
      </c>
      <c r="D102" s="62" t="s">
        <v>27</v>
      </c>
      <c r="E102" s="366">
        <f t="shared" si="117"/>
        <v>0</v>
      </c>
      <c r="F102" s="366">
        <f t="shared" ref="F102:AH102" si="122">-($E102-$AI102)/30+E102</f>
        <v>6.5112691622836508E-7</v>
      </c>
      <c r="G102" s="366">
        <f t="shared" si="122"/>
        <v>1.3022538324567302E-6</v>
      </c>
      <c r="H102" s="366">
        <f t="shared" si="122"/>
        <v>1.9533807486850953E-6</v>
      </c>
      <c r="I102" s="366">
        <f t="shared" si="122"/>
        <v>2.6045076649134603E-6</v>
      </c>
      <c r="J102" s="366">
        <f t="shared" si="122"/>
        <v>3.2556345811418253E-6</v>
      </c>
      <c r="K102" s="366">
        <f t="shared" si="122"/>
        <v>3.9067614973701907E-6</v>
      </c>
      <c r="L102" s="366">
        <f t="shared" si="122"/>
        <v>4.5578884135985561E-6</v>
      </c>
      <c r="M102" s="366">
        <f t="shared" si="122"/>
        <v>5.2090153298269215E-6</v>
      </c>
      <c r="N102" s="366">
        <f t="shared" si="122"/>
        <v>5.8601422460552869E-6</v>
      </c>
      <c r="O102" s="366">
        <f t="shared" si="122"/>
        <v>6.5112691622836522E-6</v>
      </c>
      <c r="P102" s="366">
        <f t="shared" si="122"/>
        <v>7.1623960785120176E-6</v>
      </c>
      <c r="Q102" s="366">
        <f t="shared" si="122"/>
        <v>7.813522994740383E-6</v>
      </c>
      <c r="R102" s="366">
        <f t="shared" si="122"/>
        <v>8.4646499109687484E-6</v>
      </c>
      <c r="S102" s="366">
        <f t="shared" si="122"/>
        <v>9.1157768271971138E-6</v>
      </c>
      <c r="T102" s="366">
        <f t="shared" si="122"/>
        <v>9.7669037434254792E-6</v>
      </c>
      <c r="U102" s="366">
        <f t="shared" si="122"/>
        <v>1.0418030659653845E-5</v>
      </c>
      <c r="V102" s="366">
        <f t="shared" si="122"/>
        <v>1.106915757588221E-5</v>
      </c>
      <c r="W102" s="366">
        <f t="shared" si="122"/>
        <v>1.1720284492110575E-5</v>
      </c>
      <c r="X102" s="366">
        <f t="shared" si="122"/>
        <v>1.2371411408338941E-5</v>
      </c>
      <c r="Y102" s="366">
        <f t="shared" si="122"/>
        <v>1.3022538324567306E-5</v>
      </c>
      <c r="Z102" s="366">
        <f t="shared" si="122"/>
        <v>1.3673665240795672E-5</v>
      </c>
      <c r="AA102" s="366">
        <f t="shared" si="122"/>
        <v>1.4324792157024037E-5</v>
      </c>
      <c r="AB102" s="366">
        <f t="shared" si="122"/>
        <v>1.4975919073252402E-5</v>
      </c>
      <c r="AC102" s="366">
        <f t="shared" si="122"/>
        <v>1.5627045989480766E-5</v>
      </c>
      <c r="AD102" s="366">
        <f t="shared" si="122"/>
        <v>1.6278172905709131E-5</v>
      </c>
      <c r="AE102" s="366">
        <f t="shared" si="122"/>
        <v>1.6929299821937497E-5</v>
      </c>
      <c r="AF102" s="366">
        <f t="shared" si="122"/>
        <v>1.7580426738165862E-5</v>
      </c>
      <c r="AG102" s="366">
        <f t="shared" si="122"/>
        <v>1.8231553654394228E-5</v>
      </c>
      <c r="AH102" s="366">
        <f t="shared" si="122"/>
        <v>1.8882680570622593E-5</v>
      </c>
      <c r="AI102" s="366">
        <f t="shared" si="119"/>
        <v>1.9533807486850952E-5</v>
      </c>
    </row>
    <row r="103" spans="1:35" s="61" customFormat="1">
      <c r="A103" s="257"/>
      <c r="B103" s="61" t="s">
        <v>295</v>
      </c>
      <c r="C103" s="61" t="s">
        <v>735</v>
      </c>
      <c r="D103" s="61" t="s">
        <v>141</v>
      </c>
      <c r="E103" s="175">
        <f>D27</f>
        <v>0</v>
      </c>
      <c r="F103" s="175">
        <f t="shared" ref="F103:AH103" si="123">-($E103-$AI103)/30+E103</f>
        <v>1.0928781431299708E-2</v>
      </c>
      <c r="G103" s="175">
        <f t="shared" si="123"/>
        <v>2.1857562862599416E-2</v>
      </c>
      <c r="H103" s="175">
        <f t="shared" si="123"/>
        <v>3.2786344293899122E-2</v>
      </c>
      <c r="I103" s="175">
        <f t="shared" si="123"/>
        <v>4.3715125725198832E-2</v>
      </c>
      <c r="J103" s="175">
        <f t="shared" si="123"/>
        <v>5.4643907156498542E-2</v>
      </c>
      <c r="K103" s="175">
        <f t="shared" si="123"/>
        <v>6.5572688587798245E-2</v>
      </c>
      <c r="L103" s="175">
        <f t="shared" si="123"/>
        <v>7.6501470019097947E-2</v>
      </c>
      <c r="M103" s="175">
        <f t="shared" si="123"/>
        <v>8.743025145039765E-2</v>
      </c>
      <c r="N103" s="175">
        <f t="shared" si="123"/>
        <v>9.8359032881697353E-2</v>
      </c>
      <c r="O103" s="175">
        <f t="shared" si="123"/>
        <v>0.10928781431299706</v>
      </c>
      <c r="P103" s="175">
        <f t="shared" si="123"/>
        <v>0.12021659574429676</v>
      </c>
      <c r="Q103" s="175">
        <f t="shared" si="123"/>
        <v>0.13114537717559646</v>
      </c>
      <c r="R103" s="175">
        <f t="shared" si="123"/>
        <v>0.14207415860689618</v>
      </c>
      <c r="S103" s="175">
        <f t="shared" si="123"/>
        <v>0.15300294003819589</v>
      </c>
      <c r="T103" s="175">
        <f t="shared" si="123"/>
        <v>0.16393172146949561</v>
      </c>
      <c r="U103" s="175">
        <f t="shared" si="123"/>
        <v>0.17486050290079533</v>
      </c>
      <c r="V103" s="175">
        <f t="shared" si="123"/>
        <v>0.18578928433209504</v>
      </c>
      <c r="W103" s="175">
        <f t="shared" si="123"/>
        <v>0.19671806576339476</v>
      </c>
      <c r="X103" s="175">
        <f t="shared" si="123"/>
        <v>0.20764684719469448</v>
      </c>
      <c r="Y103" s="175">
        <f t="shared" si="123"/>
        <v>0.21857562862599419</v>
      </c>
      <c r="Z103" s="175">
        <f t="shared" si="123"/>
        <v>0.22950441005729391</v>
      </c>
      <c r="AA103" s="175">
        <f t="shared" si="123"/>
        <v>0.24043319148859363</v>
      </c>
      <c r="AB103" s="175">
        <f t="shared" si="123"/>
        <v>0.25136197291989332</v>
      </c>
      <c r="AC103" s="175">
        <f t="shared" si="123"/>
        <v>0.26229075435119303</v>
      </c>
      <c r="AD103" s="175">
        <f t="shared" si="123"/>
        <v>0.27321953578249275</v>
      </c>
      <c r="AE103" s="175">
        <f t="shared" si="123"/>
        <v>0.28414831721379247</v>
      </c>
      <c r="AF103" s="175">
        <f t="shared" si="123"/>
        <v>0.29507709864509218</v>
      </c>
      <c r="AG103" s="175">
        <f t="shared" si="123"/>
        <v>0.3060058800763919</v>
      </c>
      <c r="AH103" s="175">
        <f t="shared" si="123"/>
        <v>0.31693466150769162</v>
      </c>
      <c r="AI103" s="175">
        <f>M27</f>
        <v>0.32786344293899122</v>
      </c>
    </row>
    <row r="104" spans="1:35">
      <c r="A104" s="260"/>
      <c r="B104" t="s">
        <v>295</v>
      </c>
      <c r="C104" t="s">
        <v>735</v>
      </c>
      <c r="D104" t="s">
        <v>74</v>
      </c>
      <c r="E104" s="148">
        <f t="shared" ref="E104:E107" si="124">D28</f>
        <v>0</v>
      </c>
      <c r="F104" s="148">
        <f t="shared" ref="F104:AH104" si="125">-($E104-$AI104)/30+E104</f>
        <v>2.2163378849716299E-3</v>
      </c>
      <c r="G104" s="148">
        <f t="shared" si="125"/>
        <v>4.4326757699432598E-3</v>
      </c>
      <c r="H104" s="148">
        <f t="shared" si="125"/>
        <v>6.6490136549148902E-3</v>
      </c>
      <c r="I104" s="148">
        <f t="shared" si="125"/>
        <v>8.8653515398865197E-3</v>
      </c>
      <c r="J104" s="148">
        <f t="shared" si="125"/>
        <v>1.1081689424858149E-2</v>
      </c>
      <c r="K104" s="148">
        <f t="shared" si="125"/>
        <v>1.3298027309829779E-2</v>
      </c>
      <c r="L104" s="148">
        <f t="shared" si="125"/>
        <v>1.5514365194801408E-2</v>
      </c>
      <c r="M104" s="148">
        <f t="shared" si="125"/>
        <v>1.7730703079773039E-2</v>
      </c>
      <c r="N104" s="148">
        <f t="shared" si="125"/>
        <v>1.9947040964744669E-2</v>
      </c>
      <c r="O104" s="148">
        <f t="shared" si="125"/>
        <v>2.2163378849716298E-2</v>
      </c>
      <c r="P104" s="148">
        <f t="shared" si="125"/>
        <v>2.4379716734687928E-2</v>
      </c>
      <c r="Q104" s="148">
        <f t="shared" si="125"/>
        <v>2.6596054619659557E-2</v>
      </c>
      <c r="R104" s="148">
        <f t="shared" si="125"/>
        <v>2.8812392504631187E-2</v>
      </c>
      <c r="S104" s="148">
        <f t="shared" si="125"/>
        <v>3.1028730389602816E-2</v>
      </c>
      <c r="T104" s="148">
        <f t="shared" si="125"/>
        <v>3.3245068274574449E-2</v>
      </c>
      <c r="U104" s="148">
        <f t="shared" si="125"/>
        <v>3.5461406159546079E-2</v>
      </c>
      <c r="V104" s="148">
        <f t="shared" si="125"/>
        <v>3.7677744044517708E-2</v>
      </c>
      <c r="W104" s="148">
        <f t="shared" si="125"/>
        <v>3.9894081929489338E-2</v>
      </c>
      <c r="X104" s="148">
        <f t="shared" si="125"/>
        <v>4.2110419814460967E-2</v>
      </c>
      <c r="Y104" s="148">
        <f t="shared" si="125"/>
        <v>4.4326757699432597E-2</v>
      </c>
      <c r="Z104" s="148">
        <f t="shared" si="125"/>
        <v>4.6543095584404226E-2</v>
      </c>
      <c r="AA104" s="148">
        <f t="shared" si="125"/>
        <v>4.8759433469375855E-2</v>
      </c>
      <c r="AB104" s="148">
        <f t="shared" si="125"/>
        <v>5.0975771354347485E-2</v>
      </c>
      <c r="AC104" s="148">
        <f t="shared" si="125"/>
        <v>5.3192109239319114E-2</v>
      </c>
      <c r="AD104" s="148">
        <f t="shared" si="125"/>
        <v>5.5408447124290744E-2</v>
      </c>
      <c r="AE104" s="148">
        <f t="shared" si="125"/>
        <v>5.7624785009262373E-2</v>
      </c>
      <c r="AF104" s="148">
        <f t="shared" si="125"/>
        <v>5.9841122894234003E-2</v>
      </c>
      <c r="AG104" s="148">
        <f t="shared" si="125"/>
        <v>6.2057460779205632E-2</v>
      </c>
      <c r="AH104" s="148">
        <f t="shared" si="125"/>
        <v>6.4273798664177262E-2</v>
      </c>
      <c r="AI104" s="148">
        <f t="shared" ref="AI104:AI107" si="126">M28</f>
        <v>6.6490136549148898E-2</v>
      </c>
    </row>
    <row r="105" spans="1:35">
      <c r="A105" s="260"/>
      <c r="B105" t="s">
        <v>295</v>
      </c>
      <c r="C105" t="s">
        <v>735</v>
      </c>
      <c r="D105" t="s">
        <v>34</v>
      </c>
      <c r="E105" s="148">
        <f t="shared" si="124"/>
        <v>1</v>
      </c>
      <c r="F105" s="148">
        <f t="shared" ref="F105:AH105" si="127">-($E105-$AI105)/30+E105</f>
        <v>0.98579371552243056</v>
      </c>
      <c r="G105" s="148">
        <f t="shared" si="127"/>
        <v>0.97158743104486112</v>
      </c>
      <c r="H105" s="148">
        <f t="shared" si="127"/>
        <v>0.95738114656729167</v>
      </c>
      <c r="I105" s="148">
        <f t="shared" si="127"/>
        <v>0.94317486208972223</v>
      </c>
      <c r="J105" s="148">
        <f t="shared" si="127"/>
        <v>0.92896857761215279</v>
      </c>
      <c r="K105" s="148">
        <f t="shared" si="127"/>
        <v>0.91476229313458335</v>
      </c>
      <c r="L105" s="148">
        <f t="shared" si="127"/>
        <v>0.90055600865701391</v>
      </c>
      <c r="M105" s="148">
        <f t="shared" si="127"/>
        <v>0.88634972417944446</v>
      </c>
      <c r="N105" s="148">
        <f t="shared" si="127"/>
        <v>0.87214343970187502</v>
      </c>
      <c r="O105" s="148">
        <f t="shared" si="127"/>
        <v>0.85793715522430558</v>
      </c>
      <c r="P105" s="148">
        <f t="shared" si="127"/>
        <v>0.84373087074673614</v>
      </c>
      <c r="Q105" s="148">
        <f t="shared" si="127"/>
        <v>0.8295245862691667</v>
      </c>
      <c r="R105" s="148">
        <f t="shared" si="127"/>
        <v>0.81531830179159726</v>
      </c>
      <c r="S105" s="148">
        <f t="shared" si="127"/>
        <v>0.80111201731402781</v>
      </c>
      <c r="T105" s="148">
        <f t="shared" si="127"/>
        <v>0.78690573283645837</v>
      </c>
      <c r="U105" s="148">
        <f t="shared" si="127"/>
        <v>0.77269944835888893</v>
      </c>
      <c r="V105" s="148">
        <f t="shared" si="127"/>
        <v>0.75849316388131949</v>
      </c>
      <c r="W105" s="148">
        <f t="shared" si="127"/>
        <v>0.74428687940375005</v>
      </c>
      <c r="X105" s="148">
        <f t="shared" si="127"/>
        <v>0.7300805949261806</v>
      </c>
      <c r="Y105" s="148">
        <f t="shared" si="127"/>
        <v>0.71587431044861116</v>
      </c>
      <c r="Z105" s="148">
        <f t="shared" si="127"/>
        <v>0.70166802597104172</v>
      </c>
      <c r="AA105" s="148">
        <f t="shared" si="127"/>
        <v>0.68746174149347228</v>
      </c>
      <c r="AB105" s="148">
        <f t="shared" si="127"/>
        <v>0.67325545701590284</v>
      </c>
      <c r="AC105" s="148">
        <f t="shared" si="127"/>
        <v>0.65904917253833339</v>
      </c>
      <c r="AD105" s="148">
        <f t="shared" si="127"/>
        <v>0.64484288806076395</v>
      </c>
      <c r="AE105" s="148">
        <f t="shared" si="127"/>
        <v>0.63063660358319451</v>
      </c>
      <c r="AF105" s="148">
        <f t="shared" si="127"/>
        <v>0.61643031910562507</v>
      </c>
      <c r="AG105" s="148">
        <f t="shared" si="127"/>
        <v>0.60222403462805563</v>
      </c>
      <c r="AH105" s="148">
        <f t="shared" si="127"/>
        <v>0.58801775015048618</v>
      </c>
      <c r="AI105" s="148">
        <f t="shared" si="126"/>
        <v>0.57381146567291774</v>
      </c>
    </row>
    <row r="106" spans="1:35">
      <c r="A106" s="260"/>
      <c r="B106" t="s">
        <v>295</v>
      </c>
      <c r="C106" t="s">
        <v>735</v>
      </c>
      <c r="D106" t="s">
        <v>35</v>
      </c>
      <c r="E106" s="148">
        <f t="shared" si="124"/>
        <v>0</v>
      </c>
      <c r="F106" s="148">
        <f t="shared" ref="F106:AH106" si="128">-($E106-$AI106)/30+E106</f>
        <v>0</v>
      </c>
      <c r="G106" s="148">
        <f t="shared" si="128"/>
        <v>0</v>
      </c>
      <c r="H106" s="148">
        <f t="shared" si="128"/>
        <v>0</v>
      </c>
      <c r="I106" s="148">
        <f t="shared" si="128"/>
        <v>0</v>
      </c>
      <c r="J106" s="148">
        <f t="shared" si="128"/>
        <v>0</v>
      </c>
      <c r="K106" s="148">
        <f t="shared" si="128"/>
        <v>0</v>
      </c>
      <c r="L106" s="148">
        <f t="shared" si="128"/>
        <v>0</v>
      </c>
      <c r="M106" s="148">
        <f t="shared" si="128"/>
        <v>0</v>
      </c>
      <c r="N106" s="148">
        <f t="shared" si="128"/>
        <v>0</v>
      </c>
      <c r="O106" s="148">
        <f t="shared" si="128"/>
        <v>0</v>
      </c>
      <c r="P106" s="148">
        <f t="shared" si="128"/>
        <v>0</v>
      </c>
      <c r="Q106" s="148">
        <f t="shared" si="128"/>
        <v>0</v>
      </c>
      <c r="R106" s="148">
        <f t="shared" si="128"/>
        <v>0</v>
      </c>
      <c r="S106" s="148">
        <f t="shared" si="128"/>
        <v>0</v>
      </c>
      <c r="T106" s="148">
        <f t="shared" si="128"/>
        <v>0</v>
      </c>
      <c r="U106" s="148">
        <f t="shared" si="128"/>
        <v>0</v>
      </c>
      <c r="V106" s="148">
        <f t="shared" si="128"/>
        <v>0</v>
      </c>
      <c r="W106" s="148">
        <f t="shared" si="128"/>
        <v>0</v>
      </c>
      <c r="X106" s="148">
        <f t="shared" si="128"/>
        <v>0</v>
      </c>
      <c r="Y106" s="148">
        <f t="shared" si="128"/>
        <v>0</v>
      </c>
      <c r="Z106" s="148">
        <f t="shared" si="128"/>
        <v>0</v>
      </c>
      <c r="AA106" s="148">
        <f t="shared" si="128"/>
        <v>0</v>
      </c>
      <c r="AB106" s="148">
        <f t="shared" si="128"/>
        <v>0</v>
      </c>
      <c r="AC106" s="148">
        <f t="shared" si="128"/>
        <v>0</v>
      </c>
      <c r="AD106" s="148">
        <f t="shared" si="128"/>
        <v>0</v>
      </c>
      <c r="AE106" s="148">
        <f t="shared" si="128"/>
        <v>0</v>
      </c>
      <c r="AF106" s="148">
        <f t="shared" si="128"/>
        <v>0</v>
      </c>
      <c r="AG106" s="148">
        <f t="shared" si="128"/>
        <v>0</v>
      </c>
      <c r="AH106" s="148">
        <f t="shared" si="128"/>
        <v>0</v>
      </c>
      <c r="AI106" s="148">
        <f t="shared" si="126"/>
        <v>0</v>
      </c>
    </row>
    <row r="107" spans="1:35" s="62" customFormat="1">
      <c r="A107" s="261"/>
      <c r="B107" s="62" t="s">
        <v>295</v>
      </c>
      <c r="C107" s="62" t="s">
        <v>735</v>
      </c>
      <c r="D107" s="62" t="s">
        <v>27</v>
      </c>
      <c r="E107" s="366">
        <f t="shared" si="124"/>
        <v>0</v>
      </c>
      <c r="F107" s="366">
        <f t="shared" ref="F107:AH107" si="129">-($E107-$AI107)/30+E107</f>
        <v>1.0611651612980745E-3</v>
      </c>
      <c r="G107" s="366">
        <f t="shared" si="129"/>
        <v>2.122330322596149E-3</v>
      </c>
      <c r="H107" s="366">
        <f t="shared" si="129"/>
        <v>3.1834954838942235E-3</v>
      </c>
      <c r="I107" s="366">
        <f t="shared" si="129"/>
        <v>4.244660645192298E-3</v>
      </c>
      <c r="J107" s="366">
        <f t="shared" si="129"/>
        <v>5.3058258064903729E-3</v>
      </c>
      <c r="K107" s="366">
        <f t="shared" si="129"/>
        <v>6.3669909677884478E-3</v>
      </c>
      <c r="L107" s="366">
        <f t="shared" si="129"/>
        <v>7.4281561290865227E-3</v>
      </c>
      <c r="M107" s="366">
        <f t="shared" si="129"/>
        <v>8.4893212903845976E-3</v>
      </c>
      <c r="N107" s="366">
        <f t="shared" si="129"/>
        <v>9.5504864516826726E-3</v>
      </c>
      <c r="O107" s="366">
        <f t="shared" si="129"/>
        <v>1.0611651612980747E-2</v>
      </c>
      <c r="P107" s="366">
        <f t="shared" si="129"/>
        <v>1.1672816774278822E-2</v>
      </c>
      <c r="Q107" s="366">
        <f t="shared" si="129"/>
        <v>1.2733981935576897E-2</v>
      </c>
      <c r="R107" s="366">
        <f t="shared" si="129"/>
        <v>1.3795147096874972E-2</v>
      </c>
      <c r="S107" s="366">
        <f t="shared" si="129"/>
        <v>1.4856312258173047E-2</v>
      </c>
      <c r="T107" s="366">
        <f t="shared" si="129"/>
        <v>1.591747741947112E-2</v>
      </c>
      <c r="U107" s="366">
        <f t="shared" si="129"/>
        <v>1.6978642580769195E-2</v>
      </c>
      <c r="V107" s="366">
        <f t="shared" si="129"/>
        <v>1.803980774206727E-2</v>
      </c>
      <c r="W107" s="366">
        <f t="shared" si="129"/>
        <v>1.9100972903365345E-2</v>
      </c>
      <c r="X107" s="366">
        <f t="shared" si="129"/>
        <v>2.016213806466342E-2</v>
      </c>
      <c r="Y107" s="366">
        <f t="shared" si="129"/>
        <v>2.1223303225961495E-2</v>
      </c>
      <c r="Z107" s="366">
        <f t="shared" si="129"/>
        <v>2.228446838725957E-2</v>
      </c>
      <c r="AA107" s="366">
        <f t="shared" si="129"/>
        <v>2.3345633548557645E-2</v>
      </c>
      <c r="AB107" s="366">
        <f t="shared" si="129"/>
        <v>2.440679870985572E-2</v>
      </c>
      <c r="AC107" s="366">
        <f t="shared" si="129"/>
        <v>2.5467963871153795E-2</v>
      </c>
      <c r="AD107" s="366">
        <f t="shared" si="129"/>
        <v>2.652912903245187E-2</v>
      </c>
      <c r="AE107" s="366">
        <f t="shared" si="129"/>
        <v>2.7590294193749944E-2</v>
      </c>
      <c r="AF107" s="366">
        <f t="shared" si="129"/>
        <v>2.8651459355048019E-2</v>
      </c>
      <c r="AG107" s="366">
        <f t="shared" si="129"/>
        <v>2.9712624516346094E-2</v>
      </c>
      <c r="AH107" s="366">
        <f t="shared" si="129"/>
        <v>3.0773789677644169E-2</v>
      </c>
      <c r="AI107" s="366">
        <f t="shared" si="126"/>
        <v>3.1834954838942234E-2</v>
      </c>
    </row>
    <row r="108" spans="1:35" s="61" customFormat="1">
      <c r="A108" s="257"/>
      <c r="B108" s="61" t="s">
        <v>27</v>
      </c>
      <c r="C108" s="61" t="s">
        <v>735</v>
      </c>
      <c r="D108" s="61" t="s">
        <v>141</v>
      </c>
      <c r="E108" s="175">
        <f>D35</f>
        <v>0.44664213528801272</v>
      </c>
      <c r="F108" s="175">
        <f t="shared" ref="F108:AH108" si="130">-($E108-$AI108)/30+E108</f>
        <v>0.44664213528801272</v>
      </c>
      <c r="G108" s="175">
        <f t="shared" si="130"/>
        <v>0.44664213528801272</v>
      </c>
      <c r="H108" s="175">
        <f t="shared" si="130"/>
        <v>0.44664213528801272</v>
      </c>
      <c r="I108" s="175">
        <f t="shared" si="130"/>
        <v>0.44664213528801272</v>
      </c>
      <c r="J108" s="175">
        <f t="shared" si="130"/>
        <v>0.44664213528801272</v>
      </c>
      <c r="K108" s="175">
        <f t="shared" si="130"/>
        <v>0.44664213528801272</v>
      </c>
      <c r="L108" s="175">
        <f t="shared" si="130"/>
        <v>0.44664213528801272</v>
      </c>
      <c r="M108" s="175">
        <f t="shared" si="130"/>
        <v>0.44664213528801272</v>
      </c>
      <c r="N108" s="175">
        <f t="shared" si="130"/>
        <v>0.44664213528801272</v>
      </c>
      <c r="O108" s="175">
        <f t="shared" si="130"/>
        <v>0.44664213528801272</v>
      </c>
      <c r="P108" s="175">
        <f t="shared" si="130"/>
        <v>0.44664213528801272</v>
      </c>
      <c r="Q108" s="175">
        <f t="shared" si="130"/>
        <v>0.44664213528801272</v>
      </c>
      <c r="R108" s="175">
        <f t="shared" si="130"/>
        <v>0.44664213528801272</v>
      </c>
      <c r="S108" s="175">
        <f t="shared" si="130"/>
        <v>0.44664213528801272</v>
      </c>
      <c r="T108" s="175">
        <f t="shared" si="130"/>
        <v>0.44664213528801272</v>
      </c>
      <c r="U108" s="175">
        <f t="shared" si="130"/>
        <v>0.44664213528801272</v>
      </c>
      <c r="V108" s="175">
        <f t="shared" si="130"/>
        <v>0.44664213528801272</v>
      </c>
      <c r="W108" s="175">
        <f t="shared" si="130"/>
        <v>0.44664213528801272</v>
      </c>
      <c r="X108" s="175">
        <f t="shared" si="130"/>
        <v>0.44664213528801272</v>
      </c>
      <c r="Y108" s="175">
        <f t="shared" si="130"/>
        <v>0.44664213528801272</v>
      </c>
      <c r="Z108" s="175">
        <f t="shared" si="130"/>
        <v>0.44664213528801272</v>
      </c>
      <c r="AA108" s="175">
        <f t="shared" si="130"/>
        <v>0.44664213528801272</v>
      </c>
      <c r="AB108" s="175">
        <f t="shared" si="130"/>
        <v>0.44664213528801272</v>
      </c>
      <c r="AC108" s="175">
        <f t="shared" si="130"/>
        <v>0.44664213528801272</v>
      </c>
      <c r="AD108" s="175">
        <f t="shared" si="130"/>
        <v>0.44664213528801272</v>
      </c>
      <c r="AE108" s="175">
        <f t="shared" si="130"/>
        <v>0.44664213528801272</v>
      </c>
      <c r="AF108" s="175">
        <f t="shared" si="130"/>
        <v>0.44664213528801272</v>
      </c>
      <c r="AG108" s="175">
        <f t="shared" si="130"/>
        <v>0.44664213528801272</v>
      </c>
      <c r="AH108" s="175">
        <f t="shared" si="130"/>
        <v>0.44664213528801272</v>
      </c>
      <c r="AI108" s="175">
        <f>M35</f>
        <v>0.44664213528801272</v>
      </c>
    </row>
    <row r="109" spans="1:35">
      <c r="A109" s="260"/>
      <c r="B109" t="s">
        <v>27</v>
      </c>
      <c r="C109" t="s">
        <v>735</v>
      </c>
      <c r="D109" t="s">
        <v>74</v>
      </c>
      <c r="E109" s="148">
        <f t="shared" ref="E109:E112" si="131">D36</f>
        <v>6.5417624258785459E-2</v>
      </c>
      <c r="F109" s="148">
        <f t="shared" ref="F109:AH109" si="132">-($E109-$AI109)/30+E109</f>
        <v>6.5417624258785459E-2</v>
      </c>
      <c r="G109" s="148">
        <f t="shared" si="132"/>
        <v>6.5417624258785459E-2</v>
      </c>
      <c r="H109" s="148">
        <f t="shared" si="132"/>
        <v>6.5417624258785459E-2</v>
      </c>
      <c r="I109" s="148">
        <f t="shared" si="132"/>
        <v>6.5417624258785459E-2</v>
      </c>
      <c r="J109" s="148">
        <f t="shared" si="132"/>
        <v>6.5417624258785459E-2</v>
      </c>
      <c r="K109" s="148">
        <f t="shared" si="132"/>
        <v>6.5417624258785459E-2</v>
      </c>
      <c r="L109" s="148">
        <f t="shared" si="132"/>
        <v>6.5417624258785459E-2</v>
      </c>
      <c r="M109" s="148">
        <f t="shared" si="132"/>
        <v>6.5417624258785459E-2</v>
      </c>
      <c r="N109" s="148">
        <f t="shared" si="132"/>
        <v>6.5417624258785459E-2</v>
      </c>
      <c r="O109" s="148">
        <f t="shared" si="132"/>
        <v>6.5417624258785459E-2</v>
      </c>
      <c r="P109" s="148">
        <f t="shared" si="132"/>
        <v>6.5417624258785459E-2</v>
      </c>
      <c r="Q109" s="148">
        <f t="shared" si="132"/>
        <v>6.5417624258785459E-2</v>
      </c>
      <c r="R109" s="148">
        <f t="shared" si="132"/>
        <v>6.5417624258785459E-2</v>
      </c>
      <c r="S109" s="148">
        <f t="shared" si="132"/>
        <v>6.5417624258785459E-2</v>
      </c>
      <c r="T109" s="148">
        <f t="shared" si="132"/>
        <v>6.5417624258785459E-2</v>
      </c>
      <c r="U109" s="148">
        <f t="shared" si="132"/>
        <v>6.5417624258785459E-2</v>
      </c>
      <c r="V109" s="148">
        <f t="shared" si="132"/>
        <v>6.5417624258785459E-2</v>
      </c>
      <c r="W109" s="148">
        <f t="shared" si="132"/>
        <v>6.5417624258785459E-2</v>
      </c>
      <c r="X109" s="148">
        <f t="shared" si="132"/>
        <v>6.5417624258785459E-2</v>
      </c>
      <c r="Y109" s="148">
        <f t="shared" si="132"/>
        <v>6.5417624258785459E-2</v>
      </c>
      <c r="Z109" s="148">
        <f t="shared" si="132"/>
        <v>6.5417624258785459E-2</v>
      </c>
      <c r="AA109" s="148">
        <f t="shared" si="132"/>
        <v>6.5417624258785459E-2</v>
      </c>
      <c r="AB109" s="148">
        <f t="shared" si="132"/>
        <v>6.5417624258785459E-2</v>
      </c>
      <c r="AC109" s="148">
        <f t="shared" si="132"/>
        <v>6.5417624258785459E-2</v>
      </c>
      <c r="AD109" s="148">
        <f t="shared" si="132"/>
        <v>6.5417624258785459E-2</v>
      </c>
      <c r="AE109" s="148">
        <f t="shared" si="132"/>
        <v>6.5417624258785459E-2</v>
      </c>
      <c r="AF109" s="148">
        <f t="shared" si="132"/>
        <v>6.5417624258785459E-2</v>
      </c>
      <c r="AG109" s="148">
        <f t="shared" si="132"/>
        <v>6.5417624258785459E-2</v>
      </c>
      <c r="AH109" s="148">
        <f t="shared" si="132"/>
        <v>6.5417624258785459E-2</v>
      </c>
      <c r="AI109" s="148">
        <f t="shared" ref="AI109:AI112" si="133">M36</f>
        <v>6.5417624258785459E-2</v>
      </c>
    </row>
    <row r="110" spans="1:35">
      <c r="A110" s="260"/>
      <c r="B110" t="s">
        <v>27</v>
      </c>
      <c r="C110" t="s">
        <v>735</v>
      </c>
      <c r="D110" t="s">
        <v>34</v>
      </c>
      <c r="E110" s="148">
        <f t="shared" si="131"/>
        <v>0.21231152988186414</v>
      </c>
      <c r="F110" s="148">
        <f t="shared" ref="F110:AH110" si="134">-($E110-$AI110)/30+E110</f>
        <v>0.21231152988186414</v>
      </c>
      <c r="G110" s="148">
        <f t="shared" si="134"/>
        <v>0.21231152988186414</v>
      </c>
      <c r="H110" s="148">
        <f t="shared" si="134"/>
        <v>0.21231152988186414</v>
      </c>
      <c r="I110" s="148">
        <f t="shared" si="134"/>
        <v>0.21231152988186414</v>
      </c>
      <c r="J110" s="148">
        <f t="shared" si="134"/>
        <v>0.21231152988186414</v>
      </c>
      <c r="K110" s="148">
        <f t="shared" si="134"/>
        <v>0.21231152988186414</v>
      </c>
      <c r="L110" s="148">
        <f t="shared" si="134"/>
        <v>0.21231152988186414</v>
      </c>
      <c r="M110" s="148">
        <f t="shared" si="134"/>
        <v>0.21231152988186414</v>
      </c>
      <c r="N110" s="148">
        <f t="shared" si="134"/>
        <v>0.21231152988186414</v>
      </c>
      <c r="O110" s="148">
        <f t="shared" si="134"/>
        <v>0.21231152988186414</v>
      </c>
      <c r="P110" s="148">
        <f t="shared" si="134"/>
        <v>0.21231152988186414</v>
      </c>
      <c r="Q110" s="148">
        <f t="shared" si="134"/>
        <v>0.21231152988186414</v>
      </c>
      <c r="R110" s="148">
        <f t="shared" si="134"/>
        <v>0.21231152988186414</v>
      </c>
      <c r="S110" s="148">
        <f t="shared" si="134"/>
        <v>0.21231152988186414</v>
      </c>
      <c r="T110" s="148">
        <f t="shared" si="134"/>
        <v>0.21231152988186414</v>
      </c>
      <c r="U110" s="148">
        <f t="shared" si="134"/>
        <v>0.21231152988186414</v>
      </c>
      <c r="V110" s="148">
        <f t="shared" si="134"/>
        <v>0.21231152988186414</v>
      </c>
      <c r="W110" s="148">
        <f t="shared" si="134"/>
        <v>0.21231152988186414</v>
      </c>
      <c r="X110" s="148">
        <f t="shared" si="134"/>
        <v>0.21231152988186414</v>
      </c>
      <c r="Y110" s="148">
        <f t="shared" si="134"/>
        <v>0.21231152988186414</v>
      </c>
      <c r="Z110" s="148">
        <f t="shared" si="134"/>
        <v>0.21231152988186414</v>
      </c>
      <c r="AA110" s="148">
        <f t="shared" si="134"/>
        <v>0.21231152988186414</v>
      </c>
      <c r="AB110" s="148">
        <f t="shared" si="134"/>
        <v>0.21231152988186414</v>
      </c>
      <c r="AC110" s="148">
        <f t="shared" si="134"/>
        <v>0.21231152988186414</v>
      </c>
      <c r="AD110" s="148">
        <f t="shared" si="134"/>
        <v>0.21231152988186414</v>
      </c>
      <c r="AE110" s="148">
        <f t="shared" si="134"/>
        <v>0.21231152988186414</v>
      </c>
      <c r="AF110" s="148">
        <f t="shared" si="134"/>
        <v>0.21231152988186414</v>
      </c>
      <c r="AG110" s="148">
        <f t="shared" si="134"/>
        <v>0.21231152988186414</v>
      </c>
      <c r="AH110" s="148">
        <f t="shared" si="134"/>
        <v>0.21231152988186414</v>
      </c>
      <c r="AI110" s="148">
        <f t="shared" si="133"/>
        <v>0.21231152988186419</v>
      </c>
    </row>
    <row r="111" spans="1:35">
      <c r="A111" s="260"/>
      <c r="B111" t="s">
        <v>27</v>
      </c>
      <c r="C111" t="s">
        <v>735</v>
      </c>
      <c r="D111" t="s">
        <v>35</v>
      </c>
      <c r="E111" s="148">
        <f t="shared" si="131"/>
        <v>0</v>
      </c>
      <c r="F111" s="148">
        <f t="shared" ref="F111:AH111" si="135">-($E111-$AI111)/30+E111</f>
        <v>0</v>
      </c>
      <c r="G111" s="148">
        <f t="shared" si="135"/>
        <v>0</v>
      </c>
      <c r="H111" s="148">
        <f t="shared" si="135"/>
        <v>0</v>
      </c>
      <c r="I111" s="148">
        <f t="shared" si="135"/>
        <v>0</v>
      </c>
      <c r="J111" s="148">
        <f t="shared" si="135"/>
        <v>0</v>
      </c>
      <c r="K111" s="148">
        <f t="shared" si="135"/>
        <v>0</v>
      </c>
      <c r="L111" s="148">
        <f t="shared" si="135"/>
        <v>0</v>
      </c>
      <c r="M111" s="148">
        <f t="shared" si="135"/>
        <v>0</v>
      </c>
      <c r="N111" s="148">
        <f t="shared" si="135"/>
        <v>0</v>
      </c>
      <c r="O111" s="148">
        <f t="shared" si="135"/>
        <v>0</v>
      </c>
      <c r="P111" s="148">
        <f t="shared" si="135"/>
        <v>0</v>
      </c>
      <c r="Q111" s="148">
        <f t="shared" si="135"/>
        <v>0</v>
      </c>
      <c r="R111" s="148">
        <f t="shared" si="135"/>
        <v>0</v>
      </c>
      <c r="S111" s="148">
        <f t="shared" si="135"/>
        <v>0</v>
      </c>
      <c r="T111" s="148">
        <f t="shared" si="135"/>
        <v>0</v>
      </c>
      <c r="U111" s="148">
        <f t="shared" si="135"/>
        <v>0</v>
      </c>
      <c r="V111" s="148">
        <f t="shared" si="135"/>
        <v>0</v>
      </c>
      <c r="W111" s="148">
        <f t="shared" si="135"/>
        <v>0</v>
      </c>
      <c r="X111" s="148">
        <f t="shared" si="135"/>
        <v>0</v>
      </c>
      <c r="Y111" s="148">
        <f t="shared" si="135"/>
        <v>0</v>
      </c>
      <c r="Z111" s="148">
        <f t="shared" si="135"/>
        <v>0</v>
      </c>
      <c r="AA111" s="148">
        <f t="shared" si="135"/>
        <v>0</v>
      </c>
      <c r="AB111" s="148">
        <f t="shared" si="135"/>
        <v>0</v>
      </c>
      <c r="AC111" s="148">
        <f t="shared" si="135"/>
        <v>0</v>
      </c>
      <c r="AD111" s="148">
        <f t="shared" si="135"/>
        <v>0</v>
      </c>
      <c r="AE111" s="148">
        <f t="shared" si="135"/>
        <v>0</v>
      </c>
      <c r="AF111" s="148">
        <f t="shared" si="135"/>
        <v>0</v>
      </c>
      <c r="AG111" s="148">
        <f t="shared" si="135"/>
        <v>0</v>
      </c>
      <c r="AH111" s="148">
        <f t="shared" si="135"/>
        <v>0</v>
      </c>
      <c r="AI111" s="148">
        <f t="shared" si="133"/>
        <v>0</v>
      </c>
    </row>
    <row r="112" spans="1:35" s="62" customFormat="1">
      <c r="A112" s="261"/>
      <c r="B112" s="62" t="s">
        <v>27</v>
      </c>
      <c r="C112" s="62" t="s">
        <v>735</v>
      </c>
      <c r="D112" s="62" t="s">
        <v>27</v>
      </c>
      <c r="E112" s="366">
        <f t="shared" si="131"/>
        <v>0.27562871057133764</v>
      </c>
      <c r="F112" s="366">
        <f t="shared" ref="F112:AH112" si="136">-($E112-$AI112)/30+E112</f>
        <v>0.27562871057133764</v>
      </c>
      <c r="G112" s="366">
        <f t="shared" si="136"/>
        <v>0.27562871057133764</v>
      </c>
      <c r="H112" s="366">
        <f t="shared" si="136"/>
        <v>0.27562871057133764</v>
      </c>
      <c r="I112" s="366">
        <f t="shared" si="136"/>
        <v>0.27562871057133764</v>
      </c>
      <c r="J112" s="366">
        <f t="shared" si="136"/>
        <v>0.27562871057133764</v>
      </c>
      <c r="K112" s="366">
        <f t="shared" si="136"/>
        <v>0.27562871057133764</v>
      </c>
      <c r="L112" s="366">
        <f t="shared" si="136"/>
        <v>0.27562871057133764</v>
      </c>
      <c r="M112" s="366">
        <f t="shared" si="136"/>
        <v>0.27562871057133764</v>
      </c>
      <c r="N112" s="366">
        <f t="shared" si="136"/>
        <v>0.27562871057133764</v>
      </c>
      <c r="O112" s="366">
        <f t="shared" si="136"/>
        <v>0.27562871057133764</v>
      </c>
      <c r="P112" s="366">
        <f t="shared" si="136"/>
        <v>0.27562871057133764</v>
      </c>
      <c r="Q112" s="366">
        <f t="shared" si="136"/>
        <v>0.27562871057133764</v>
      </c>
      <c r="R112" s="366">
        <f t="shared" si="136"/>
        <v>0.27562871057133764</v>
      </c>
      <c r="S112" s="366">
        <f t="shared" si="136"/>
        <v>0.27562871057133764</v>
      </c>
      <c r="T112" s="366">
        <f t="shared" si="136"/>
        <v>0.27562871057133764</v>
      </c>
      <c r="U112" s="366">
        <f t="shared" si="136"/>
        <v>0.27562871057133764</v>
      </c>
      <c r="V112" s="366">
        <f t="shared" si="136"/>
        <v>0.27562871057133764</v>
      </c>
      <c r="W112" s="366">
        <f t="shared" si="136"/>
        <v>0.27562871057133764</v>
      </c>
      <c r="X112" s="366">
        <f t="shared" si="136"/>
        <v>0.27562871057133764</v>
      </c>
      <c r="Y112" s="366">
        <f t="shared" si="136"/>
        <v>0.27562871057133764</v>
      </c>
      <c r="Z112" s="366">
        <f t="shared" si="136"/>
        <v>0.27562871057133764</v>
      </c>
      <c r="AA112" s="366">
        <f t="shared" si="136"/>
        <v>0.27562871057133764</v>
      </c>
      <c r="AB112" s="366">
        <f t="shared" si="136"/>
        <v>0.27562871057133764</v>
      </c>
      <c r="AC112" s="366">
        <f t="shared" si="136"/>
        <v>0.27562871057133764</v>
      </c>
      <c r="AD112" s="366">
        <f t="shared" si="136"/>
        <v>0.27562871057133764</v>
      </c>
      <c r="AE112" s="366">
        <f t="shared" si="136"/>
        <v>0.27562871057133764</v>
      </c>
      <c r="AF112" s="366">
        <f t="shared" si="136"/>
        <v>0.27562871057133764</v>
      </c>
      <c r="AG112" s="366">
        <f t="shared" si="136"/>
        <v>0.27562871057133764</v>
      </c>
      <c r="AH112" s="366">
        <f t="shared" si="136"/>
        <v>0.27562871057133764</v>
      </c>
      <c r="AI112" s="366">
        <f t="shared" si="133"/>
        <v>0.27562871057133764</v>
      </c>
    </row>
  </sheetData>
  <mergeCells count="10">
    <mergeCell ref="I3:I8"/>
    <mergeCell ref="I11:I15"/>
    <mergeCell ref="I19:I23"/>
    <mergeCell ref="I27:I31"/>
    <mergeCell ref="I35:I39"/>
    <mergeCell ref="S3:S8"/>
    <mergeCell ref="S11:S15"/>
    <mergeCell ref="S19:S23"/>
    <mergeCell ref="S27:S31"/>
    <mergeCell ref="S35:S3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2F74-9BD1-4979-A141-1A72102C28AB}">
  <sheetPr>
    <tabColor theme="4"/>
  </sheetPr>
  <dimension ref="A1:E41"/>
  <sheetViews>
    <sheetView zoomScale="60" zoomScaleNormal="60" workbookViewId="0">
      <selection activeCell="B2" sqref="B2:B3"/>
    </sheetView>
  </sheetViews>
  <sheetFormatPr defaultRowHeight="14.75"/>
  <cols>
    <col min="1" max="1" width="15.1796875" customWidth="1"/>
  </cols>
  <sheetData>
    <row r="1" spans="1:3" s="75" customFormat="1" ht="15.5" thickBot="1">
      <c r="A1" s="75" t="s">
        <v>325</v>
      </c>
    </row>
    <row r="2" spans="1:3">
      <c r="A2" s="50" t="s">
        <v>1454</v>
      </c>
      <c r="B2" t="s">
        <v>1467</v>
      </c>
    </row>
    <row r="3" spans="1:3">
      <c r="A3" s="138"/>
      <c r="B3" t="s">
        <v>1468</v>
      </c>
    </row>
    <row r="4" spans="1:3">
      <c r="A4" s="157"/>
    </row>
    <row r="5" spans="1:3">
      <c r="A5" s="138"/>
    </row>
    <row r="6" spans="1:3">
      <c r="A6" s="1">
        <v>2015</v>
      </c>
      <c r="B6" t="s">
        <v>154</v>
      </c>
      <c r="C6" t="s">
        <v>126</v>
      </c>
    </row>
    <row r="7" spans="1:3">
      <c r="A7" t="s">
        <v>17</v>
      </c>
      <c r="B7" s="519">
        <v>4.2300000000000004</v>
      </c>
      <c r="C7" s="2">
        <f t="shared" ref="C7:C14" si="0">B7/SUM($B$7:$B$14)</f>
        <v>0.47474747474747481</v>
      </c>
    </row>
    <row r="8" spans="1:3">
      <c r="A8" t="s">
        <v>53</v>
      </c>
      <c r="B8" s="519">
        <v>0</v>
      </c>
      <c r="C8" s="2">
        <f t="shared" si="0"/>
        <v>0</v>
      </c>
    </row>
    <row r="9" spans="1:3">
      <c r="A9" t="s">
        <v>24</v>
      </c>
      <c r="B9" s="519">
        <f>8.91-B7-B8-B10-B11-B12-B13-B14</f>
        <v>1.3299999999999996</v>
      </c>
      <c r="C9" s="2">
        <f t="shared" si="0"/>
        <v>0.1492704826038159</v>
      </c>
    </row>
    <row r="10" spans="1:3">
      <c r="A10" t="s">
        <v>292</v>
      </c>
      <c r="B10" s="519">
        <v>0.67</v>
      </c>
      <c r="C10" s="2">
        <f t="shared" si="0"/>
        <v>7.5196408529741868E-2</v>
      </c>
    </row>
    <row r="11" spans="1:3">
      <c r="A11" t="s">
        <v>293</v>
      </c>
      <c r="B11" s="519">
        <v>0.31</v>
      </c>
      <c r="C11" s="2">
        <f t="shared" si="0"/>
        <v>3.479236812570146E-2</v>
      </c>
    </row>
    <row r="12" spans="1:3">
      <c r="A12" t="s">
        <v>294</v>
      </c>
      <c r="B12" s="519">
        <v>1.76</v>
      </c>
      <c r="C12" s="2">
        <f t="shared" si="0"/>
        <v>0.19753086419753085</v>
      </c>
    </row>
    <row r="13" spans="1:3">
      <c r="A13" t="s">
        <v>295</v>
      </c>
      <c r="B13" s="519">
        <v>0.61</v>
      </c>
      <c r="C13" s="2">
        <f t="shared" si="0"/>
        <v>6.8462401795735123E-2</v>
      </c>
    </row>
    <row r="14" spans="1:3">
      <c r="A14" t="s">
        <v>296</v>
      </c>
      <c r="B14" s="519">
        <v>0</v>
      </c>
      <c r="C14" s="2">
        <f t="shared" si="0"/>
        <v>0</v>
      </c>
    </row>
    <row r="15" spans="1:3">
      <c r="B15" s="24">
        <f>SUM(B7:B14)</f>
        <v>8.91</v>
      </c>
      <c r="C15" s="22">
        <f>SUM(C7:C14)</f>
        <v>1</v>
      </c>
    </row>
    <row r="17" spans="1:4">
      <c r="A17" s="1">
        <v>2015</v>
      </c>
      <c r="B17" t="s">
        <v>154</v>
      </c>
      <c r="C17" t="s">
        <v>126</v>
      </c>
    </row>
    <row r="18" spans="1:4">
      <c r="A18" t="s">
        <v>17</v>
      </c>
      <c r="B18" s="24">
        <f>B7</f>
        <v>4.2300000000000004</v>
      </c>
      <c r="C18" s="2">
        <f>B18/SUM($B$7:$B$14,$B$23)</f>
        <v>0.44952178533475029</v>
      </c>
    </row>
    <row r="19" spans="1:4">
      <c r="A19" t="s">
        <v>19</v>
      </c>
      <c r="B19" s="24">
        <f>B13</f>
        <v>0.61</v>
      </c>
      <c r="C19" s="2">
        <f t="shared" ref="C19:C24" si="1">B19/SUM($B$7:$B$14,$B$23)</f>
        <v>6.4824654622741756E-2</v>
      </c>
    </row>
    <row r="20" spans="1:4">
      <c r="A20" t="s">
        <v>330</v>
      </c>
      <c r="B20" s="24">
        <f>B11</f>
        <v>0.31</v>
      </c>
      <c r="C20" s="2">
        <f t="shared" si="1"/>
        <v>3.2943676939426139E-2</v>
      </c>
    </row>
    <row r="21" spans="1:4">
      <c r="A21" t="s">
        <v>23</v>
      </c>
      <c r="B21" s="24">
        <f>B12</f>
        <v>1.76</v>
      </c>
      <c r="C21" s="2">
        <f t="shared" si="1"/>
        <v>0.18703506907545164</v>
      </c>
    </row>
    <row r="22" spans="1:4">
      <c r="A22" t="s">
        <v>336</v>
      </c>
      <c r="B22" s="24">
        <f>B10</f>
        <v>0.67</v>
      </c>
      <c r="C22" s="2">
        <f t="shared" si="1"/>
        <v>7.1200850159404888E-2</v>
      </c>
    </row>
    <row r="23" spans="1:4">
      <c r="A23" t="s">
        <v>362</v>
      </c>
      <c r="B23" s="791">
        <v>0.5</v>
      </c>
      <c r="C23" s="2">
        <f t="shared" si="1"/>
        <v>5.3134962805526036E-2</v>
      </c>
      <c r="D23" s="50"/>
    </row>
    <row r="24" spans="1:4">
      <c r="A24" t="s">
        <v>27</v>
      </c>
      <c r="B24" s="24">
        <f>B9+B8+B14</f>
        <v>1.3299999999999996</v>
      </c>
      <c r="C24" s="2">
        <f t="shared" si="1"/>
        <v>0.14133900106269923</v>
      </c>
    </row>
    <row r="25" spans="1:4">
      <c r="A25" t="s">
        <v>43</v>
      </c>
      <c r="B25" s="24">
        <f>SUM(B18:B24)</f>
        <v>9.41</v>
      </c>
      <c r="C25" s="2">
        <f>SUM(C18:C24)</f>
        <v>1</v>
      </c>
    </row>
    <row r="26" spans="1:4">
      <c r="B26" s="24"/>
      <c r="C26" s="22"/>
    </row>
    <row r="27" spans="1:4">
      <c r="A27" s="1">
        <v>2015</v>
      </c>
      <c r="B27" t="s">
        <v>154</v>
      </c>
      <c r="C27" t="s">
        <v>126</v>
      </c>
    </row>
    <row r="28" spans="1:4">
      <c r="A28" t="s">
        <v>689</v>
      </c>
      <c r="B28" s="24">
        <f>B18+B22</f>
        <v>4.9000000000000004</v>
      </c>
      <c r="C28" s="2">
        <f>C18+C22</f>
        <v>0.52072263549415521</v>
      </c>
    </row>
    <row r="29" spans="1:4">
      <c r="A29" t="s">
        <v>19</v>
      </c>
      <c r="B29" s="24">
        <f>B19</f>
        <v>0.61</v>
      </c>
      <c r="C29" s="2">
        <f>C19</f>
        <v>6.4824654622741756E-2</v>
      </c>
    </row>
    <row r="30" spans="1:4">
      <c r="A30" t="s">
        <v>330</v>
      </c>
      <c r="B30" s="24">
        <f>B20</f>
        <v>0.31</v>
      </c>
      <c r="C30" s="2">
        <f>C20</f>
        <v>3.2943676939426139E-2</v>
      </c>
    </row>
    <row r="31" spans="1:4">
      <c r="A31" t="s">
        <v>362</v>
      </c>
      <c r="B31" s="24">
        <f>B23</f>
        <v>0.5</v>
      </c>
      <c r="C31" s="2">
        <f>C23</f>
        <v>5.3134962805526036E-2</v>
      </c>
    </row>
    <row r="32" spans="1:4">
      <c r="A32" t="s">
        <v>27</v>
      </c>
      <c r="B32" s="24">
        <f>B24+B21</f>
        <v>3.09</v>
      </c>
      <c r="C32" s="2">
        <f>C24+C21</f>
        <v>0.3283740701381509</v>
      </c>
    </row>
    <row r="33" spans="1:5">
      <c r="A33" t="s">
        <v>43</v>
      </c>
      <c r="B33" s="24">
        <f>SUM(B28:B32)</f>
        <v>9.41</v>
      </c>
      <c r="C33" s="2">
        <f>SUM(C28:C32)</f>
        <v>1</v>
      </c>
    </row>
    <row r="34" spans="1:5">
      <c r="B34" s="24"/>
      <c r="C34" s="2"/>
    </row>
    <row r="35" spans="1:5">
      <c r="A35" s="1">
        <v>2020</v>
      </c>
      <c r="B35" t="s">
        <v>154</v>
      </c>
      <c r="C35" t="s">
        <v>126</v>
      </c>
    </row>
    <row r="36" spans="1:5">
      <c r="A36" t="s">
        <v>689</v>
      </c>
      <c r="B36" s="24">
        <f>B28*(1+$E$37)^5</f>
        <v>5.68044296407</v>
      </c>
      <c r="C36" s="2">
        <f>B36/$B$41</f>
        <v>0.52072263549415521</v>
      </c>
      <c r="E36" t="s">
        <v>1368</v>
      </c>
    </row>
    <row r="37" spans="1:5">
      <c r="A37" t="s">
        <v>19</v>
      </c>
      <c r="B37" s="24">
        <f t="shared" ref="B37:B40" si="2">B29*(1+$E$37)^5</f>
        <v>0.70715718532299987</v>
      </c>
      <c r="C37" s="2">
        <f t="shared" ref="C37:C40" si="3">B37/$B$41</f>
        <v>6.4824654622741756E-2</v>
      </c>
      <c r="E37" s="51">
        <v>0.03</v>
      </c>
    </row>
    <row r="38" spans="1:5">
      <c r="A38" t="s">
        <v>330</v>
      </c>
      <c r="B38" s="24">
        <f t="shared" si="2"/>
        <v>0.35937496303299993</v>
      </c>
      <c r="C38" s="2">
        <f t="shared" si="3"/>
        <v>3.2943676939426139E-2</v>
      </c>
    </row>
    <row r="39" spans="1:5">
      <c r="A39" t="s">
        <v>362</v>
      </c>
      <c r="B39" s="24">
        <f t="shared" si="2"/>
        <v>0.57963703714999992</v>
      </c>
      <c r="C39" s="2">
        <f t="shared" si="3"/>
        <v>5.3134962805526029E-2</v>
      </c>
    </row>
    <row r="40" spans="1:5">
      <c r="A40" t="s">
        <v>27</v>
      </c>
      <c r="B40" s="24">
        <f t="shared" si="2"/>
        <v>3.5821568895869995</v>
      </c>
      <c r="C40" s="2">
        <f t="shared" si="3"/>
        <v>0.3283740701381509</v>
      </c>
    </row>
    <row r="41" spans="1:5">
      <c r="A41" t="s">
        <v>43</v>
      </c>
      <c r="B41" s="24">
        <f>SUM(B36:B40)</f>
        <v>10.908769039162999</v>
      </c>
      <c r="C41" s="2">
        <f>SUM(C36:C40)</f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92B0-FF37-42CD-ABA8-29FCBFB74983}">
  <sheetPr>
    <tabColor theme="9"/>
  </sheetPr>
  <dimension ref="B2:B19"/>
  <sheetViews>
    <sheetView workbookViewId="0">
      <selection activeCell="F16" sqref="F16"/>
    </sheetView>
  </sheetViews>
  <sheetFormatPr defaultRowHeight="14.75"/>
  <sheetData>
    <row r="2" spans="2:2">
      <c r="B2" t="s">
        <v>583</v>
      </c>
    </row>
    <row r="3" spans="2:2">
      <c r="B3" t="s">
        <v>584</v>
      </c>
    </row>
    <row r="4" spans="2:2">
      <c r="B4" t="s">
        <v>585</v>
      </c>
    </row>
    <row r="5" spans="2:2">
      <c r="B5" t="s">
        <v>586</v>
      </c>
    </row>
    <row r="6" spans="2:2">
      <c r="B6" t="s">
        <v>587</v>
      </c>
    </row>
    <row r="8" spans="2:2">
      <c r="B8" t="s">
        <v>588</v>
      </c>
    </row>
    <row r="9" spans="2:2">
      <c r="B9" t="s">
        <v>589</v>
      </c>
    </row>
    <row r="11" spans="2:2">
      <c r="B11" t="s">
        <v>590</v>
      </c>
    </row>
    <row r="12" spans="2:2">
      <c r="B12" t="s">
        <v>591</v>
      </c>
    </row>
    <row r="13" spans="2:2">
      <c r="B13" t="s">
        <v>592</v>
      </c>
    </row>
    <row r="15" spans="2:2">
      <c r="B15" t="s">
        <v>593</v>
      </c>
    </row>
    <row r="16" spans="2:2">
      <c r="B16" t="s">
        <v>594</v>
      </c>
    </row>
    <row r="18" spans="2:2">
      <c r="B18" t="s">
        <v>595</v>
      </c>
    </row>
    <row r="19" spans="2:2">
      <c r="B19" t="s">
        <v>596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4E56-4EF3-49A5-884E-2D16FFF574BD}">
  <sheetPr>
    <tabColor theme="9"/>
  </sheetPr>
  <dimension ref="A1:AH119"/>
  <sheetViews>
    <sheetView topLeftCell="B1" zoomScale="70" zoomScaleNormal="70" workbookViewId="0">
      <selection activeCell="G89" sqref="G89"/>
    </sheetView>
  </sheetViews>
  <sheetFormatPr defaultRowHeight="14.75"/>
  <cols>
    <col min="1" max="1" width="32.453125" customWidth="1"/>
    <col min="2" max="2" width="33" customWidth="1"/>
    <col min="3" max="3" width="28.453125" customWidth="1"/>
    <col min="4" max="4" width="19.81640625" customWidth="1"/>
    <col min="5" max="5" width="19.81640625" style="402" customWidth="1"/>
    <col min="6" max="6" width="19.81640625" customWidth="1"/>
    <col min="7" max="7" width="19" customWidth="1"/>
    <col min="8" max="8" width="25.54296875" bestFit="1" customWidth="1"/>
    <col min="9" max="10" width="25.54296875" customWidth="1"/>
    <col min="11" max="11" width="32.81640625" bestFit="1" customWidth="1"/>
    <col min="12" max="12" width="25.54296875" customWidth="1"/>
    <col min="13" max="13" width="10.81640625" customWidth="1"/>
    <col min="14" max="14" width="58.1796875" bestFit="1" customWidth="1"/>
    <col min="17" max="17" width="17.26953125" bestFit="1" customWidth="1"/>
    <col min="18" max="19" width="33.81640625" bestFit="1" customWidth="1"/>
    <col min="20" max="29" width="16.81640625" bestFit="1" customWidth="1"/>
    <col min="30" max="30" width="15.26953125" bestFit="1" customWidth="1"/>
    <col min="31" max="31" width="16.81640625" bestFit="1" customWidth="1"/>
    <col min="32" max="32" width="6.81640625" bestFit="1" customWidth="1"/>
    <col min="33" max="33" width="9.54296875" bestFit="1" customWidth="1"/>
    <col min="34" max="34" width="14.26953125" bestFit="1" customWidth="1"/>
  </cols>
  <sheetData>
    <row r="1" spans="1:19">
      <c r="A1" s="1" t="s">
        <v>897</v>
      </c>
      <c r="B1" s="230" t="b">
        <v>1</v>
      </c>
    </row>
    <row r="2" spans="1:19">
      <c r="C2" t="s">
        <v>1076</v>
      </c>
      <c r="D2" s="39">
        <f>SUMIF(F:F,C2,H:H)</f>
        <v>102.16223893794904</v>
      </c>
    </row>
    <row r="3" spans="1:19">
      <c r="D3" s="451">
        <f>'Yearly Demand - meth.'!G2</f>
        <v>1472760.9288230378</v>
      </c>
    </row>
    <row r="4" spans="1:19">
      <c r="A4" s="398" t="s">
        <v>898</v>
      </c>
      <c r="B4" s="398" t="s">
        <v>899</v>
      </c>
      <c r="C4" s="398" t="s">
        <v>900</v>
      </c>
      <c r="D4" s="398" t="s">
        <v>901</v>
      </c>
      <c r="E4" s="398" t="s">
        <v>1072</v>
      </c>
      <c r="F4" s="398" t="s">
        <v>1075</v>
      </c>
      <c r="G4" s="398" t="s">
        <v>902</v>
      </c>
      <c r="H4" s="398" t="s">
        <v>903</v>
      </c>
      <c r="I4" s="398" t="s">
        <v>904</v>
      </c>
      <c r="J4" s="398" t="s">
        <v>905</v>
      </c>
      <c r="K4" s="398" t="s">
        <v>906</v>
      </c>
      <c r="L4" s="398" t="s">
        <v>907</v>
      </c>
      <c r="M4" s="398" t="s">
        <v>908</v>
      </c>
      <c r="N4" s="398" t="s">
        <v>909</v>
      </c>
    </row>
    <row r="5" spans="1:19">
      <c r="A5" t="s">
        <v>716</v>
      </c>
      <c r="B5" s="399" t="s">
        <v>3</v>
      </c>
      <c r="C5" s="399"/>
      <c r="D5" s="399" t="s">
        <v>823</v>
      </c>
      <c r="E5" s="399"/>
      <c r="F5" s="399" t="s">
        <v>1077</v>
      </c>
      <c r="G5" s="179">
        <f>30.5145062488026%*0.4</f>
        <v>0.12205802499521042</v>
      </c>
      <c r="H5" s="400">
        <f>31.2019722359321*0.4</f>
        <v>12.480788894372841</v>
      </c>
      <c r="I5" s="401">
        <v>2</v>
      </c>
      <c r="J5" s="400">
        <f>H5</f>
        <v>12.480788894372841</v>
      </c>
      <c r="K5" s="400">
        <v>1.75093632958801</v>
      </c>
      <c r="L5" s="400">
        <f>J5*K5</f>
        <v>21.853066697075981</v>
      </c>
      <c r="M5" s="400" t="str">
        <f t="shared" ref="M5:M36" si="0">IF(AND(OR(B5="Other",C5="Other"),$B$1=TRUE),$S$9,_xlfn.XLOOKUP(D5,$Q$6:$Q$10,$S$6:$S$10,$S$8))</f>
        <v>#A9A9A9</v>
      </c>
      <c r="N5" t="str">
        <f t="shared" ref="N5:N36" si="1">CONCATENATE(A5," [",IF(H5&lt;1,ROUND(H5,2),ROUND(H5,1)),"] ",IF($B$1=TRUE,IF((ISBLANK(C5)),B5,C5),B5)," ",M5)</f>
        <v>Methanol [12.5] Ethylene #A9A9A9</v>
      </c>
      <c r="Q5" t="s">
        <v>910</v>
      </c>
    </row>
    <row r="6" spans="1:19">
      <c r="A6" t="s">
        <v>716</v>
      </c>
      <c r="B6" s="399" t="s">
        <v>4</v>
      </c>
      <c r="C6" s="399"/>
      <c r="D6" s="399" t="s">
        <v>823</v>
      </c>
      <c r="E6" s="399"/>
      <c r="F6" s="399" t="s">
        <v>1077</v>
      </c>
      <c r="G6" s="179">
        <f>30.5145062488026%*0.6</f>
        <v>0.1830870374928156</v>
      </c>
      <c r="H6" s="400">
        <f>31.2019722359321*0.6</f>
        <v>18.721183341559261</v>
      </c>
      <c r="I6" s="401">
        <v>3</v>
      </c>
      <c r="J6" s="400">
        <f t="shared" ref="J6:J69" si="2">H6</f>
        <v>18.721183341559261</v>
      </c>
      <c r="K6" s="400" t="e">
        <v>#N/A</v>
      </c>
      <c r="L6" s="400" t="e">
        <f t="shared" ref="L6:L69" si="3">J6*K6</f>
        <v>#N/A</v>
      </c>
      <c r="M6" s="400" t="str">
        <f t="shared" si="0"/>
        <v>#A9A9A9</v>
      </c>
      <c r="N6" t="str">
        <f t="shared" si="1"/>
        <v>Methanol [18.7] Propylene #A9A9A9</v>
      </c>
      <c r="Q6" t="s">
        <v>911</v>
      </c>
      <c r="R6" t="s">
        <v>133</v>
      </c>
      <c r="S6" s="400" t="s">
        <v>912</v>
      </c>
    </row>
    <row r="7" spans="1:19">
      <c r="A7" t="s">
        <v>716</v>
      </c>
      <c r="B7" s="399" t="s">
        <v>838</v>
      </c>
      <c r="C7" s="399"/>
      <c r="D7" s="399"/>
      <c r="E7" s="399"/>
      <c r="F7" s="399" t="s">
        <v>1077</v>
      </c>
      <c r="G7" s="179">
        <v>0.23263118840911975</v>
      </c>
      <c r="H7" s="400">
        <v>23.787217209972287</v>
      </c>
      <c r="I7" s="401">
        <v>1</v>
      </c>
      <c r="J7" s="400">
        <f>H7</f>
        <v>23.787217209972287</v>
      </c>
      <c r="K7" s="400">
        <v>0.93714107365792754</v>
      </c>
      <c r="L7" s="400">
        <f t="shared" si="3"/>
        <v>22.291978275487761</v>
      </c>
      <c r="M7" s="400" t="str">
        <f t="shared" si="0"/>
        <v>#A9A9A9</v>
      </c>
      <c r="N7" t="str">
        <f t="shared" si="1"/>
        <v>Methanol [23.8] Formaldehyde #A9A9A9</v>
      </c>
      <c r="Q7" t="s">
        <v>913</v>
      </c>
      <c r="R7" t="s">
        <v>914</v>
      </c>
      <c r="S7" t="s">
        <v>915</v>
      </c>
    </row>
    <row r="8" spans="1:19">
      <c r="A8" t="s">
        <v>716</v>
      </c>
      <c r="B8" s="399" t="s">
        <v>916</v>
      </c>
      <c r="C8" s="399"/>
      <c r="D8" s="399"/>
      <c r="E8" s="399"/>
      <c r="F8" s="399" t="s">
        <v>1077</v>
      </c>
      <c r="G8" s="179">
        <v>0.1021547725875792</v>
      </c>
      <c r="H8" s="400">
        <v>10.445623311275693</v>
      </c>
      <c r="I8" s="401">
        <v>1</v>
      </c>
      <c r="J8" s="400">
        <f t="shared" si="2"/>
        <v>10.445623311275693</v>
      </c>
      <c r="K8" s="400" t="e">
        <v>#N/A</v>
      </c>
      <c r="L8" s="400" t="e">
        <f t="shared" si="3"/>
        <v>#N/A</v>
      </c>
      <c r="M8" s="400" t="str">
        <f t="shared" si="0"/>
        <v>#A9A9A9</v>
      </c>
      <c r="N8" t="str">
        <f t="shared" si="1"/>
        <v>Methanol [10.4] Methyl tert-Butyl Ether (MTBE) #A9A9A9</v>
      </c>
      <c r="Q8" t="s">
        <v>917</v>
      </c>
      <c r="R8" t="s">
        <v>918</v>
      </c>
      <c r="S8" s="400" t="s">
        <v>919</v>
      </c>
    </row>
    <row r="9" spans="1:19">
      <c r="A9" t="s">
        <v>716</v>
      </c>
      <c r="B9" s="399" t="s">
        <v>804</v>
      </c>
      <c r="C9" s="399"/>
      <c r="D9" s="399"/>
      <c r="E9" s="399"/>
      <c r="F9" s="399" t="s">
        <v>1077</v>
      </c>
      <c r="G9" s="179">
        <v>7.0342979835361516E-2</v>
      </c>
      <c r="H9" s="400">
        <v>7.192774760698633</v>
      </c>
      <c r="I9" s="401">
        <v>1</v>
      </c>
      <c r="J9" s="400">
        <f t="shared" si="2"/>
        <v>7.192774760698633</v>
      </c>
      <c r="K9" s="400">
        <v>1.8742821473158551</v>
      </c>
      <c r="L9" s="400">
        <f t="shared" si="3"/>
        <v>13.481289323641519</v>
      </c>
      <c r="M9" s="400" t="str">
        <f t="shared" si="0"/>
        <v>#A9A9A9</v>
      </c>
      <c r="N9" t="str">
        <f t="shared" si="1"/>
        <v>Methanol [7.2] Acetic Acid #A9A9A9</v>
      </c>
      <c r="Q9" t="s">
        <v>24</v>
      </c>
      <c r="R9" t="s">
        <v>920</v>
      </c>
      <c r="S9" s="400" t="s">
        <v>921</v>
      </c>
    </row>
    <row r="10" spans="1:19">
      <c r="A10" t="s">
        <v>716</v>
      </c>
      <c r="B10" s="399" t="s">
        <v>922</v>
      </c>
      <c r="C10" s="399"/>
      <c r="D10" s="399"/>
      <c r="E10" s="399"/>
      <c r="F10" s="399" t="s">
        <v>1077</v>
      </c>
      <c r="G10" s="179">
        <v>1.733781708100687E-2</v>
      </c>
      <c r="H10" s="400">
        <v>1.772842341876246</v>
      </c>
      <c r="I10" s="401">
        <v>1</v>
      </c>
      <c r="J10" s="400">
        <f t="shared" si="2"/>
        <v>1.772842341876246</v>
      </c>
      <c r="K10" s="400" t="e">
        <v>#N/A</v>
      </c>
      <c r="L10" s="400" t="e">
        <f t="shared" si="3"/>
        <v>#N/A</v>
      </c>
      <c r="M10" s="400" t="str">
        <f t="shared" si="0"/>
        <v>#A9A9A9</v>
      </c>
      <c r="N10" t="str">
        <f t="shared" si="1"/>
        <v>Methanol [1.8] Methyl Methacrylate (MMA) #A9A9A9</v>
      </c>
      <c r="Q10" t="s">
        <v>826</v>
      </c>
      <c r="R10" t="s">
        <v>923</v>
      </c>
      <c r="S10" s="400" t="s">
        <v>924</v>
      </c>
    </row>
    <row r="11" spans="1:19">
      <c r="A11" t="s">
        <v>716</v>
      </c>
      <c r="B11" s="399" t="s">
        <v>925</v>
      </c>
      <c r="C11" s="399"/>
      <c r="D11" s="399" t="s">
        <v>826</v>
      </c>
      <c r="E11" s="399" t="s">
        <v>826</v>
      </c>
      <c r="F11" s="399" t="s">
        <v>1076</v>
      </c>
      <c r="G11" s="179">
        <v>2.9805719753632672E-2</v>
      </c>
      <c r="H11" s="400">
        <v>3.0477217381202508</v>
      </c>
      <c r="I11" s="401">
        <v>1</v>
      </c>
      <c r="J11" s="400">
        <f t="shared" si="2"/>
        <v>3.0477217381202508</v>
      </c>
      <c r="K11" s="400" t="e">
        <v>#N/A</v>
      </c>
      <c r="L11" s="400" t="e">
        <f t="shared" si="3"/>
        <v>#N/A</v>
      </c>
      <c r="M11" s="400" t="str">
        <f t="shared" si="0"/>
        <v>#CC66FF</v>
      </c>
      <c r="N11" t="str">
        <f t="shared" si="1"/>
        <v>Methanol [3] Biodiesel #CC66FF</v>
      </c>
    </row>
    <row r="12" spans="1:19">
      <c r="A12" t="s">
        <v>716</v>
      </c>
      <c r="B12" s="399" t="s">
        <v>926</v>
      </c>
      <c r="C12" s="399"/>
      <c r="D12" s="399"/>
      <c r="E12" s="399"/>
      <c r="F12" s="399" t="s">
        <v>1077</v>
      </c>
      <c r="G12" s="179">
        <v>2.8522886298573059E-2</v>
      </c>
      <c r="H12" s="400">
        <v>2.9165482774660565</v>
      </c>
      <c r="I12" s="401">
        <v>1</v>
      </c>
      <c r="J12" s="400">
        <f t="shared" si="2"/>
        <v>2.9165482774660565</v>
      </c>
      <c r="K12" s="400" t="e">
        <v>#N/A</v>
      </c>
      <c r="L12" s="400" t="e">
        <f t="shared" si="3"/>
        <v>#N/A</v>
      </c>
      <c r="M12" s="400" t="str">
        <f t="shared" si="0"/>
        <v>#A9A9A9</v>
      </c>
      <c r="N12" t="str">
        <f t="shared" si="1"/>
        <v>Methanol [2.9] Dimethylether (DME) #A9A9A9</v>
      </c>
    </row>
    <row r="13" spans="1:19">
      <c r="A13" t="s">
        <v>716</v>
      </c>
      <c r="B13" s="399" t="s">
        <v>927</v>
      </c>
      <c r="C13" s="399"/>
      <c r="D13" s="399" t="s">
        <v>826</v>
      </c>
      <c r="E13" s="399" t="s">
        <v>826</v>
      </c>
      <c r="F13" s="399" t="s">
        <v>1076</v>
      </c>
      <c r="G13" s="179">
        <v>0.12836023848013775</v>
      </c>
      <c r="H13" s="400">
        <v>13.125208596196902</v>
      </c>
      <c r="I13" s="401">
        <v>1</v>
      </c>
      <c r="J13" s="400">
        <f t="shared" si="2"/>
        <v>13.125208596196902</v>
      </c>
      <c r="K13" s="400" t="e">
        <v>#N/A</v>
      </c>
      <c r="L13" s="400" t="e">
        <f t="shared" si="3"/>
        <v>#N/A</v>
      </c>
      <c r="M13" s="400" t="str">
        <f t="shared" si="0"/>
        <v>#CC66FF</v>
      </c>
      <c r="N13" t="str">
        <f t="shared" si="1"/>
        <v>Methanol [13.1] Gasoline Blending &amp; Combustion #CC66FF</v>
      </c>
    </row>
    <row r="14" spans="1:19">
      <c r="A14" t="s">
        <v>716</v>
      </c>
      <c r="B14" s="399" t="s">
        <v>928</v>
      </c>
      <c r="C14" s="399" t="s">
        <v>24</v>
      </c>
      <c r="D14" s="399" t="s">
        <v>826</v>
      </c>
      <c r="E14" s="399" t="s">
        <v>826</v>
      </c>
      <c r="F14" s="399" t="s">
        <v>1076</v>
      </c>
      <c r="G14" s="179">
        <v>1.2248167496215287E-4</v>
      </c>
      <c r="H14" s="400">
        <v>1.2524108338569352E-2</v>
      </c>
      <c r="I14" s="401">
        <v>1</v>
      </c>
      <c r="J14" s="400">
        <f t="shared" si="2"/>
        <v>1.2524108338569352E-2</v>
      </c>
      <c r="K14" s="400" t="e">
        <v>#N/A</v>
      </c>
      <c r="L14" s="400" t="e">
        <f t="shared" si="3"/>
        <v>#N/A</v>
      </c>
      <c r="M14" s="400" t="str">
        <f t="shared" si="0"/>
        <v>#964B00</v>
      </c>
      <c r="N14" t="str">
        <f t="shared" si="1"/>
        <v>Methanol [0.01] Other #964B00</v>
      </c>
      <c r="Q14" t="s">
        <v>929</v>
      </c>
      <c r="R14" t="s">
        <v>930</v>
      </c>
    </row>
    <row r="15" spans="1:19">
      <c r="A15" t="s">
        <v>716</v>
      </c>
      <c r="B15" s="402" t="s">
        <v>24</v>
      </c>
      <c r="C15" s="402"/>
      <c r="D15" s="402"/>
      <c r="E15" s="402" t="s">
        <v>27</v>
      </c>
      <c r="F15" s="402" t="s">
        <v>1076</v>
      </c>
      <c r="G15" s="181">
        <v>3.7085809133041631E-2</v>
      </c>
      <c r="H15" s="400">
        <v>3.7921321009795088</v>
      </c>
      <c r="I15" s="401">
        <v>1</v>
      </c>
      <c r="J15" s="400">
        <f t="shared" si="2"/>
        <v>3.7921321009795088</v>
      </c>
      <c r="K15" s="400" t="e">
        <v>#N/A</v>
      </c>
      <c r="L15" s="400" t="e">
        <f t="shared" si="3"/>
        <v>#N/A</v>
      </c>
      <c r="M15" s="400" t="str">
        <f t="shared" si="0"/>
        <v>#964B00</v>
      </c>
      <c r="N15" t="str">
        <f t="shared" si="1"/>
        <v>Methanol [3.8] Other #964B00</v>
      </c>
      <c r="Q15" s="3" t="s">
        <v>826</v>
      </c>
      <c r="R15">
        <v>28.587862624213781</v>
      </c>
    </row>
    <row r="16" spans="1:19">
      <c r="A16" s="399" t="s">
        <v>916</v>
      </c>
      <c r="B16" t="s">
        <v>931</v>
      </c>
      <c r="D16" s="399" t="s">
        <v>826</v>
      </c>
      <c r="E16" s="399" t="s">
        <v>826</v>
      </c>
      <c r="F16" s="399" t="s">
        <v>1076</v>
      </c>
      <c r="G16" s="6">
        <v>0.95</v>
      </c>
      <c r="H16" s="40">
        <v>9.9233421457119082</v>
      </c>
      <c r="I16" s="401">
        <v>1</v>
      </c>
      <c r="J16" s="400">
        <f t="shared" si="2"/>
        <v>9.9233421457119082</v>
      </c>
      <c r="K16" s="400" t="e">
        <v>#N/A</v>
      </c>
      <c r="L16" s="400" t="e">
        <f t="shared" si="3"/>
        <v>#N/A</v>
      </c>
      <c r="M16" s="400" t="str">
        <f t="shared" si="0"/>
        <v>#CC66FF</v>
      </c>
      <c r="N16" t="str">
        <f t="shared" si="1"/>
        <v>Methyl tert-Butyl Ether (MTBE) [9.9] Fuel blend #CC66FF</v>
      </c>
      <c r="O16" s="6"/>
      <c r="P16" s="40"/>
      <c r="Q16" s="3" t="s">
        <v>911</v>
      </c>
      <c r="R16">
        <v>36.46485392651546</v>
      </c>
    </row>
    <row r="17" spans="1:19">
      <c r="A17" s="399" t="s">
        <v>916</v>
      </c>
      <c r="B17" t="s">
        <v>932</v>
      </c>
      <c r="C17" t="s">
        <v>24</v>
      </c>
      <c r="E17" s="402" t="s">
        <v>27</v>
      </c>
      <c r="F17" s="399" t="s">
        <v>1076</v>
      </c>
      <c r="G17" s="6">
        <v>0.05</v>
      </c>
      <c r="H17" s="40">
        <v>0.52228116556378501</v>
      </c>
      <c r="I17" s="401">
        <v>1</v>
      </c>
      <c r="J17" s="400">
        <f t="shared" si="2"/>
        <v>0.52228116556378501</v>
      </c>
      <c r="K17" s="400" t="e">
        <v>#N/A</v>
      </c>
      <c r="L17" s="400" t="e">
        <f t="shared" si="3"/>
        <v>#N/A</v>
      </c>
      <c r="M17" s="400" t="str">
        <f t="shared" si="0"/>
        <v>#964B00</v>
      </c>
      <c r="N17" t="str">
        <f t="shared" si="1"/>
        <v>Methyl tert-Butyl Ether (MTBE) [0.52] Other #964B00</v>
      </c>
      <c r="O17" s="6"/>
      <c r="P17" s="40"/>
      <c r="Q17" s="3" t="s">
        <v>913</v>
      </c>
      <c r="R17">
        <v>22.580763290736638</v>
      </c>
    </row>
    <row r="18" spans="1:19">
      <c r="A18" s="399" t="s">
        <v>926</v>
      </c>
      <c r="B18" t="s">
        <v>826</v>
      </c>
      <c r="D18" t="s">
        <v>826</v>
      </c>
      <c r="E18" t="s">
        <v>826</v>
      </c>
      <c r="F18" s="399" t="s">
        <v>1076</v>
      </c>
      <c r="G18" s="6">
        <v>0.85</v>
      </c>
      <c r="H18" s="40">
        <f>G18*$H$12</f>
        <v>2.4790660358461478</v>
      </c>
      <c r="I18" s="401">
        <v>1</v>
      </c>
      <c r="J18" s="400">
        <f t="shared" si="2"/>
        <v>2.4790660358461478</v>
      </c>
      <c r="K18" s="400" t="e">
        <v>#N/A</v>
      </c>
      <c r="L18" s="400" t="e">
        <f t="shared" si="3"/>
        <v>#N/A</v>
      </c>
      <c r="M18" s="400" t="str">
        <f t="shared" si="0"/>
        <v>#CC66FF</v>
      </c>
      <c r="N18" t="str">
        <f t="shared" si="1"/>
        <v>Dimethylether (DME) [2.5] Fuel #CC66FF</v>
      </c>
      <c r="Q18" s="3" t="s">
        <v>933</v>
      </c>
      <c r="R18">
        <v>118.96135776205246</v>
      </c>
    </row>
    <row r="19" spans="1:19">
      <c r="A19" s="399" t="s">
        <v>926</v>
      </c>
      <c r="B19" t="s">
        <v>24</v>
      </c>
      <c r="E19" s="402" t="s">
        <v>27</v>
      </c>
      <c r="F19" s="399" t="s">
        <v>1076</v>
      </c>
      <c r="G19" s="6">
        <v>0.15</v>
      </c>
      <c r="H19" s="40">
        <f>G19*$H$12</f>
        <v>0.43748224161990845</v>
      </c>
      <c r="I19" s="401">
        <v>1</v>
      </c>
      <c r="J19" s="400">
        <f t="shared" si="2"/>
        <v>0.43748224161990845</v>
      </c>
      <c r="K19" s="400" t="e">
        <v>#N/A</v>
      </c>
      <c r="L19" s="400" t="e">
        <f t="shared" si="3"/>
        <v>#N/A</v>
      </c>
      <c r="M19" s="400" t="str">
        <f t="shared" si="0"/>
        <v>#964B00</v>
      </c>
      <c r="N19" t="str">
        <f t="shared" si="1"/>
        <v>Dimethylether (DME) [0.44] Other #964B00</v>
      </c>
      <c r="Q19" s="3" t="s">
        <v>934</v>
      </c>
      <c r="R19">
        <v>206.59483760351833</v>
      </c>
    </row>
    <row r="20" spans="1:19">
      <c r="A20" t="s">
        <v>838</v>
      </c>
      <c r="B20" s="125" t="s">
        <v>935</v>
      </c>
      <c r="C20" s="125"/>
      <c r="D20" t="s">
        <v>913</v>
      </c>
      <c r="E20" t="s">
        <v>913</v>
      </c>
      <c r="F20" s="399" t="s">
        <v>1076</v>
      </c>
      <c r="G20" s="6">
        <v>0.38</v>
      </c>
      <c r="H20" s="40">
        <v>9.0391425397894682</v>
      </c>
      <c r="I20" s="401">
        <v>1</v>
      </c>
      <c r="J20" s="400">
        <f t="shared" si="2"/>
        <v>9.0391425397894682</v>
      </c>
      <c r="K20" s="400" t="e">
        <v>#N/A</v>
      </c>
      <c r="L20" s="400" t="e">
        <f t="shared" si="3"/>
        <v>#N/A</v>
      </c>
      <c r="M20" s="400" t="str">
        <f t="shared" si="0"/>
        <v>#FFFF00</v>
      </c>
      <c r="N20" t="str">
        <f t="shared" si="1"/>
        <v>Formaldehyde [9] Carbamide-methanal resins (UF) #FFFF00</v>
      </c>
    </row>
    <row r="21" spans="1:19">
      <c r="A21" t="s">
        <v>838</v>
      </c>
      <c r="B21" t="s">
        <v>936</v>
      </c>
      <c r="D21" t="s">
        <v>913</v>
      </c>
      <c r="E21" t="s">
        <v>913</v>
      </c>
      <c r="F21" s="399" t="s">
        <v>1076</v>
      </c>
      <c r="G21" s="6">
        <v>0.16</v>
      </c>
      <c r="H21" s="40">
        <v>3.8059547535955658</v>
      </c>
      <c r="I21" s="401">
        <v>1</v>
      </c>
      <c r="J21" s="400">
        <f t="shared" si="2"/>
        <v>3.8059547535955658</v>
      </c>
      <c r="K21" s="400" t="e">
        <v>#N/A</v>
      </c>
      <c r="L21" s="400" t="e">
        <f t="shared" si="3"/>
        <v>#N/A</v>
      </c>
      <c r="M21" s="400" t="str">
        <f t="shared" si="0"/>
        <v>#FFFF00</v>
      </c>
      <c r="N21" t="str">
        <f t="shared" si="1"/>
        <v>Formaldehyde [3.8] Phenolic Resins (PF) #FFFF00</v>
      </c>
      <c r="P21" t="s">
        <v>937</v>
      </c>
      <c r="Q21" s="3" t="s">
        <v>826</v>
      </c>
      <c r="R21">
        <f>GETPIVOTDATA("Amount (Mt Methanol)",$Q$14,"Classification","Fuel")</f>
        <v>28.587862624213781</v>
      </c>
      <c r="S21" s="2">
        <f>R21/$R$25</f>
        <v>0.27471012342412782</v>
      </c>
    </row>
    <row r="22" spans="1:19">
      <c r="A22" t="s">
        <v>838</v>
      </c>
      <c r="B22" t="s">
        <v>938</v>
      </c>
      <c r="D22" t="s">
        <v>913</v>
      </c>
      <c r="E22" t="s">
        <v>913</v>
      </c>
      <c r="F22" s="399" t="s">
        <v>1076</v>
      </c>
      <c r="G22" s="6">
        <v>0.21</v>
      </c>
      <c r="H22" s="40">
        <v>4.9953156140941797</v>
      </c>
      <c r="I22" s="401">
        <v>1</v>
      </c>
      <c r="J22" s="400">
        <f t="shared" si="2"/>
        <v>4.9953156140941797</v>
      </c>
      <c r="K22" s="400" t="e">
        <v>#N/A</v>
      </c>
      <c r="L22" s="400" t="e">
        <f t="shared" si="3"/>
        <v>#N/A</v>
      </c>
      <c r="M22" s="400" t="str">
        <f t="shared" si="0"/>
        <v>#FFFF00</v>
      </c>
      <c r="N22" t="str">
        <f t="shared" si="1"/>
        <v>Formaldehyde [5] Melamine Resins #FFFF00</v>
      </c>
      <c r="Q22" s="3" t="s">
        <v>939</v>
      </c>
      <c r="R22" s="40">
        <f>GETPIVOTDATA("Amount (Mt Methanol)",$Q$14,"Classification","Major polymers")-H27</f>
        <v>28.851572700948026</v>
      </c>
      <c r="S22" s="2">
        <f>R22/$R$25</f>
        <v>0.27724419981452192</v>
      </c>
    </row>
    <row r="23" spans="1:19">
      <c r="A23" t="s">
        <v>838</v>
      </c>
      <c r="B23" t="s">
        <v>940</v>
      </c>
      <c r="D23" t="s">
        <v>913</v>
      </c>
      <c r="E23" t="s">
        <v>913</v>
      </c>
      <c r="F23" s="399" t="s">
        <v>1076</v>
      </c>
      <c r="G23" s="6">
        <v>0.08</v>
      </c>
      <c r="H23" s="40">
        <v>1.9029773767977829</v>
      </c>
      <c r="I23" s="401">
        <v>1</v>
      </c>
      <c r="J23" s="400">
        <f t="shared" si="2"/>
        <v>1.9029773767977829</v>
      </c>
      <c r="K23" s="400" t="e">
        <v>#N/A</v>
      </c>
      <c r="L23" s="400" t="e">
        <f t="shared" si="3"/>
        <v>#N/A</v>
      </c>
      <c r="M23" s="400" t="str">
        <f t="shared" si="0"/>
        <v>#FFFF00</v>
      </c>
      <c r="N23" t="str">
        <f t="shared" si="1"/>
        <v>Formaldehyde [1.9] Polyacetal resins (polyoxymethylene) #FFFF00</v>
      </c>
      <c r="Q23" s="3" t="s">
        <v>941</v>
      </c>
      <c r="R23">
        <f>GETPIVOTDATA("Amount (Mt Methanol)",$Q$14,"Classification","Minor polymers")</f>
        <v>22.580763290736638</v>
      </c>
      <c r="S23" s="2">
        <f>R23/$R$25</f>
        <v>0.21698594092708512</v>
      </c>
    </row>
    <row r="24" spans="1:19">
      <c r="A24" t="s">
        <v>838</v>
      </c>
      <c r="B24" t="s">
        <v>942</v>
      </c>
      <c r="E24"/>
      <c r="F24" s="399" t="s">
        <v>1077</v>
      </c>
      <c r="G24" s="6">
        <v>0.05</v>
      </c>
      <c r="H24" s="40">
        <v>1.1893608604986143</v>
      </c>
      <c r="I24" s="401">
        <v>1</v>
      </c>
      <c r="J24" s="400">
        <f t="shared" si="2"/>
        <v>1.1893608604986143</v>
      </c>
      <c r="K24" s="400" t="e">
        <v>#N/A</v>
      </c>
      <c r="L24" s="400" t="e">
        <f t="shared" si="3"/>
        <v>#N/A</v>
      </c>
      <c r="M24" s="400" t="str">
        <f t="shared" si="0"/>
        <v>#A9A9A9</v>
      </c>
      <c r="N24" t="str">
        <f t="shared" si="1"/>
        <v>Formaldehyde [1.2] Methylene diphenyl diisocyanate #A9A9A9</v>
      </c>
      <c r="Q24" s="3" t="s">
        <v>24</v>
      </c>
      <c r="R24" s="40">
        <v>24.045360628442481</v>
      </c>
      <c r="S24" s="2">
        <f>R24/$R$25</f>
        <v>0.23105973583426512</v>
      </c>
    </row>
    <row r="25" spans="1:19">
      <c r="A25" t="s">
        <v>838</v>
      </c>
      <c r="B25" t="s">
        <v>943</v>
      </c>
      <c r="E25"/>
      <c r="F25" s="399" t="s">
        <v>1077</v>
      </c>
      <c r="G25" s="6">
        <v>0.05</v>
      </c>
      <c r="H25" s="40">
        <v>1.1893608604986143</v>
      </c>
      <c r="I25" s="401">
        <v>1</v>
      </c>
      <c r="J25" s="400">
        <f t="shared" si="2"/>
        <v>1.1893608604986143</v>
      </c>
      <c r="K25" s="400" t="e">
        <v>#N/A</v>
      </c>
      <c r="L25" s="400" t="e">
        <f t="shared" si="3"/>
        <v>#N/A</v>
      </c>
      <c r="M25" s="400" t="str">
        <f t="shared" si="0"/>
        <v>#A9A9A9</v>
      </c>
      <c r="N25" t="str">
        <f t="shared" si="1"/>
        <v>Formaldehyde [1.2] 1,4-butanediol #A9A9A9</v>
      </c>
      <c r="Q25" s="3" t="s">
        <v>78</v>
      </c>
      <c r="R25">
        <f>SUM(R21:R24)</f>
        <v>104.06555924434093</v>
      </c>
    </row>
    <row r="26" spans="1:19">
      <c r="A26" t="s">
        <v>838</v>
      </c>
      <c r="B26" s="403" t="s">
        <v>24</v>
      </c>
      <c r="C26" s="403"/>
      <c r="D26" s="403"/>
      <c r="E26" s="402" t="s">
        <v>27</v>
      </c>
      <c r="F26" s="403" t="s">
        <v>1076</v>
      </c>
      <c r="G26" s="221">
        <v>7.0000000000000007E-2</v>
      </c>
      <c r="H26" s="40">
        <v>1.6651052046980603</v>
      </c>
      <c r="I26" s="401">
        <v>1</v>
      </c>
      <c r="J26" s="400">
        <f t="shared" si="2"/>
        <v>1.6651052046980603</v>
      </c>
      <c r="K26" s="400" t="e">
        <v>#N/A</v>
      </c>
      <c r="L26" s="400" t="e">
        <f t="shared" si="3"/>
        <v>#N/A</v>
      </c>
      <c r="M26" s="400" t="str">
        <f t="shared" si="0"/>
        <v>#964B00</v>
      </c>
      <c r="N26" t="str">
        <f t="shared" si="1"/>
        <v>Formaldehyde [1.7] Other #964B00</v>
      </c>
    </row>
    <row r="27" spans="1:19">
      <c r="A27" t="s">
        <v>3</v>
      </c>
      <c r="B27" t="s">
        <v>944</v>
      </c>
      <c r="D27" t="s">
        <v>911</v>
      </c>
      <c r="E27"/>
      <c r="F27" t="s">
        <v>1077</v>
      </c>
      <c r="G27" s="119">
        <v>0.61</v>
      </c>
      <c r="H27" s="404">
        <f>G27*$H$5</f>
        <v>7.6132812255674329</v>
      </c>
      <c r="I27" s="401">
        <v>1</v>
      </c>
      <c r="J27" s="400">
        <f t="shared" si="2"/>
        <v>7.6132812255674329</v>
      </c>
      <c r="K27" s="400" t="e">
        <v>#N/A</v>
      </c>
      <c r="L27" s="400" t="e">
        <f t="shared" si="3"/>
        <v>#N/A</v>
      </c>
      <c r="M27" s="400" t="str">
        <f t="shared" si="0"/>
        <v>#0000FF</v>
      </c>
      <c r="N27" t="str">
        <f t="shared" si="1"/>
        <v>Ethylene [7.6] Polyethylene (PE) #0000FF</v>
      </c>
    </row>
    <row r="28" spans="1:19">
      <c r="A28" t="s">
        <v>3</v>
      </c>
      <c r="B28" t="s">
        <v>18</v>
      </c>
      <c r="E28"/>
      <c r="F28" t="s">
        <v>1077</v>
      </c>
      <c r="G28" s="119">
        <v>0.14000000000000001</v>
      </c>
      <c r="H28" s="404">
        <f t="shared" ref="H28:H31" si="4">G28*$H$5</f>
        <v>1.7473104452121979</v>
      </c>
      <c r="I28" s="401">
        <v>1</v>
      </c>
      <c r="J28" s="400">
        <f t="shared" si="2"/>
        <v>1.7473104452121979</v>
      </c>
      <c r="K28" s="400">
        <v>1.572192513368984</v>
      </c>
      <c r="L28" s="400">
        <f t="shared" si="3"/>
        <v>2.747108400494044</v>
      </c>
      <c r="M28" s="400" t="str">
        <f t="shared" si="0"/>
        <v>#A9A9A9</v>
      </c>
      <c r="N28" t="str">
        <f t="shared" si="1"/>
        <v>Ethylene [1.7] Ethylene Oxide #A9A9A9</v>
      </c>
    </row>
    <row r="29" spans="1:19">
      <c r="A29" t="s">
        <v>3</v>
      </c>
      <c r="B29" t="s">
        <v>20</v>
      </c>
      <c r="E29"/>
      <c r="F29" t="s">
        <v>1077</v>
      </c>
      <c r="G29" s="119">
        <v>0.12</v>
      </c>
      <c r="H29" s="404">
        <f t="shared" si="4"/>
        <v>1.4976946673247409</v>
      </c>
      <c r="I29" s="401">
        <v>1</v>
      </c>
      <c r="J29" s="400">
        <f t="shared" si="2"/>
        <v>1.4976946673247409</v>
      </c>
      <c r="K29" s="400" t="e">
        <v>#N/A</v>
      </c>
      <c r="L29" s="400" t="e">
        <f t="shared" si="3"/>
        <v>#N/A</v>
      </c>
      <c r="M29" s="400" t="str">
        <f t="shared" si="0"/>
        <v>#A9A9A9</v>
      </c>
      <c r="N29" t="str">
        <f t="shared" si="1"/>
        <v>Ethylene [1.5] Ethylene Dichloride #A9A9A9</v>
      </c>
    </row>
    <row r="30" spans="1:19">
      <c r="A30" t="s">
        <v>3</v>
      </c>
      <c r="B30" t="s">
        <v>532</v>
      </c>
      <c r="E30"/>
      <c r="F30" t="s">
        <v>1077</v>
      </c>
      <c r="G30" s="119">
        <v>0.06</v>
      </c>
      <c r="H30" s="404">
        <f t="shared" si="4"/>
        <v>0.74884733366237044</v>
      </c>
      <c r="I30" s="401">
        <v>1</v>
      </c>
      <c r="J30" s="400">
        <f t="shared" si="2"/>
        <v>0.74884733366237044</v>
      </c>
      <c r="K30" s="400" t="e">
        <v>#N/A</v>
      </c>
      <c r="L30" s="400" t="e">
        <f t="shared" si="3"/>
        <v>#N/A</v>
      </c>
      <c r="M30" s="400" t="str">
        <f t="shared" si="0"/>
        <v>#A9A9A9</v>
      </c>
      <c r="N30" t="str">
        <f t="shared" si="1"/>
        <v>Ethylene [0.75] Ethylbenzene #A9A9A9</v>
      </c>
    </row>
    <row r="31" spans="1:19">
      <c r="A31" t="s">
        <v>3</v>
      </c>
      <c r="B31" t="s">
        <v>24</v>
      </c>
      <c r="E31" s="402" t="s">
        <v>823</v>
      </c>
      <c r="F31" t="s">
        <v>1076</v>
      </c>
      <c r="G31" s="119">
        <f>1-G29-G28-G27-G30</f>
        <v>7.0000000000000007E-2</v>
      </c>
      <c r="H31" s="404">
        <f t="shared" si="4"/>
        <v>0.87365522260609896</v>
      </c>
      <c r="I31" s="401">
        <v>1</v>
      </c>
      <c r="J31" s="400">
        <f t="shared" si="2"/>
        <v>0.87365522260609896</v>
      </c>
      <c r="K31" s="400" t="e">
        <v>#N/A</v>
      </c>
      <c r="L31" s="400" t="e">
        <f t="shared" si="3"/>
        <v>#N/A</v>
      </c>
      <c r="M31" s="400" t="str">
        <f t="shared" si="0"/>
        <v>#964B00</v>
      </c>
      <c r="N31" t="str">
        <f t="shared" si="1"/>
        <v>Ethylene [0.87] Other #964B00</v>
      </c>
      <c r="Q31" t="s">
        <v>929</v>
      </c>
      <c r="R31" t="s">
        <v>930</v>
      </c>
    </row>
    <row r="32" spans="1:19">
      <c r="A32" t="s">
        <v>944</v>
      </c>
      <c r="B32" s="403" t="s">
        <v>945</v>
      </c>
      <c r="C32" s="403"/>
      <c r="D32" t="s">
        <v>911</v>
      </c>
      <c r="E32" s="402" t="s">
        <v>823</v>
      </c>
      <c r="F32" t="s">
        <v>1076</v>
      </c>
      <c r="G32" s="405">
        <v>0.44903581267217635</v>
      </c>
      <c r="H32" s="404">
        <f>G32*$H$27</f>
        <v>3.4186359222244951</v>
      </c>
      <c r="I32" s="401">
        <v>1</v>
      </c>
      <c r="J32" s="400">
        <f t="shared" si="2"/>
        <v>3.4186359222244951</v>
      </c>
      <c r="K32" s="400" t="e">
        <v>#N/A</v>
      </c>
      <c r="L32" s="400" t="e">
        <f t="shared" si="3"/>
        <v>#N/A</v>
      </c>
      <c r="M32" s="400" t="str">
        <f t="shared" si="0"/>
        <v>#0000FF</v>
      </c>
      <c r="N32" t="str">
        <f t="shared" si="1"/>
        <v>Polyethylene (PE) [3.4] High-density Polyethylene (HDPE) #0000FF</v>
      </c>
      <c r="Q32" s="3" t="s">
        <v>3</v>
      </c>
      <c r="R32">
        <v>15.60098611796605</v>
      </c>
    </row>
    <row r="33" spans="1:18">
      <c r="A33" t="s">
        <v>944</v>
      </c>
      <c r="B33" s="403" t="s">
        <v>946</v>
      </c>
      <c r="C33" s="403"/>
      <c r="D33" t="s">
        <v>911</v>
      </c>
      <c r="E33" s="402" t="s">
        <v>823</v>
      </c>
      <c r="F33" t="s">
        <v>1076</v>
      </c>
      <c r="G33" s="405">
        <v>0.55096418732782371</v>
      </c>
      <c r="H33" s="404">
        <f>G33*$H$27</f>
        <v>4.1946453033429387</v>
      </c>
      <c r="I33" s="401">
        <v>1</v>
      </c>
      <c r="J33" s="400">
        <f t="shared" si="2"/>
        <v>4.1946453033429387</v>
      </c>
      <c r="K33" s="400" t="e">
        <v>#N/A</v>
      </c>
      <c r="L33" s="400" t="e">
        <f t="shared" si="3"/>
        <v>#N/A</v>
      </c>
      <c r="M33" s="400" t="str">
        <f t="shared" si="0"/>
        <v>#0000FF</v>
      </c>
      <c r="N33" t="str">
        <f t="shared" si="1"/>
        <v>Polyethylene (PE) [4.2] Low-density Polyethylene (LDPE) #0000FF</v>
      </c>
      <c r="Q33" s="3" t="s">
        <v>838</v>
      </c>
      <c r="R33">
        <v>23.787217209972287</v>
      </c>
    </row>
    <row r="34" spans="1:18">
      <c r="A34" t="s">
        <v>18</v>
      </c>
      <c r="B34" t="s">
        <v>533</v>
      </c>
      <c r="E34"/>
      <c r="F34" t="s">
        <v>1077</v>
      </c>
      <c r="G34" s="405">
        <v>0.67</v>
      </c>
      <c r="H34" s="404">
        <f>G34*$H$28</f>
        <v>1.1706979982921726</v>
      </c>
      <c r="I34" s="401">
        <v>1</v>
      </c>
      <c r="J34" s="400">
        <f t="shared" si="2"/>
        <v>1.1706979982921726</v>
      </c>
      <c r="K34" s="400">
        <v>1.407482993197279</v>
      </c>
      <c r="L34" s="400">
        <f t="shared" si="3"/>
        <v>1.64773752276633</v>
      </c>
      <c r="M34" s="400" t="str">
        <f t="shared" si="0"/>
        <v>#A9A9A9</v>
      </c>
      <c r="N34" t="str">
        <f t="shared" si="1"/>
        <v>Ethylene Oxide [1.2] Ethylene glycol #A9A9A9</v>
      </c>
      <c r="Q34" s="3" t="s">
        <v>916</v>
      </c>
      <c r="R34">
        <v>10.445623311275693</v>
      </c>
    </row>
    <row r="35" spans="1:18">
      <c r="A35" t="s">
        <v>18</v>
      </c>
      <c r="B35" t="s">
        <v>534</v>
      </c>
      <c r="C35" s="403" t="s">
        <v>24</v>
      </c>
      <c r="E35" s="402" t="s">
        <v>823</v>
      </c>
      <c r="F35" t="s">
        <v>1076</v>
      </c>
      <c r="G35" s="405">
        <v>0.13</v>
      </c>
      <c r="H35" s="404">
        <f t="shared" ref="H35:H40" si="5">G35*$H$28</f>
        <v>0.22715035787758572</v>
      </c>
      <c r="I35" s="401">
        <v>1</v>
      </c>
      <c r="J35" s="400">
        <f t="shared" si="2"/>
        <v>0.22715035787758572</v>
      </c>
      <c r="K35" s="400" t="e">
        <v>#N/A</v>
      </c>
      <c r="L35" s="400" t="e">
        <f t="shared" si="3"/>
        <v>#N/A</v>
      </c>
      <c r="M35" s="400" t="str">
        <f t="shared" si="0"/>
        <v>#964B00</v>
      </c>
      <c r="N35" t="str">
        <f t="shared" si="1"/>
        <v>Ethylene Oxide [0.23] Other #964B00</v>
      </c>
      <c r="Q35" s="3" t="s">
        <v>4</v>
      </c>
      <c r="R35">
        <v>15.60098611796605</v>
      </c>
    </row>
    <row r="36" spans="1:18">
      <c r="A36" t="s">
        <v>18</v>
      </c>
      <c r="B36" t="s">
        <v>535</v>
      </c>
      <c r="C36" s="403" t="s">
        <v>24</v>
      </c>
      <c r="E36" s="402" t="s">
        <v>823</v>
      </c>
      <c r="F36" t="s">
        <v>1076</v>
      </c>
      <c r="G36" s="405">
        <v>0.06</v>
      </c>
      <c r="H36" s="404">
        <f t="shared" si="5"/>
        <v>0.10483862671273188</v>
      </c>
      <c r="I36" s="401">
        <v>1</v>
      </c>
      <c r="J36" s="400">
        <f t="shared" si="2"/>
        <v>0.10483862671273188</v>
      </c>
      <c r="K36" s="400" t="e">
        <v>#N/A</v>
      </c>
      <c r="L36" s="400" t="e">
        <f t="shared" si="3"/>
        <v>#N/A</v>
      </c>
      <c r="M36" s="400" t="str">
        <f t="shared" si="0"/>
        <v>#964B00</v>
      </c>
      <c r="N36" t="str">
        <f t="shared" si="1"/>
        <v>Ethylene Oxide [0.1] Other #964B00</v>
      </c>
      <c r="Q36" s="3" t="s">
        <v>804</v>
      </c>
      <c r="R36">
        <v>7.192774760698633</v>
      </c>
    </row>
    <row r="37" spans="1:18">
      <c r="A37" t="s">
        <v>18</v>
      </c>
      <c r="B37" t="s">
        <v>555</v>
      </c>
      <c r="C37" s="403" t="s">
        <v>24</v>
      </c>
      <c r="E37" s="402" t="s">
        <v>823</v>
      </c>
      <c r="F37" t="s">
        <v>1076</v>
      </c>
      <c r="G37" s="405">
        <v>0.03</v>
      </c>
      <c r="H37" s="404">
        <f t="shared" si="5"/>
        <v>5.2419313356365939E-2</v>
      </c>
      <c r="I37" s="401">
        <v>1</v>
      </c>
      <c r="J37" s="400">
        <f t="shared" si="2"/>
        <v>5.2419313356365939E-2</v>
      </c>
      <c r="K37" s="400" t="e">
        <v>#N/A</v>
      </c>
      <c r="L37" s="400" t="e">
        <f t="shared" si="3"/>
        <v>#N/A</v>
      </c>
      <c r="M37" s="400" t="str">
        <f t="shared" ref="M37:M68" si="6">IF(AND(OR(B37="Other",C37="Other"),$B$1=TRUE),$S$9,_xlfn.XLOOKUP(D37,$Q$6:$Q$10,$S$6:$S$10,$S$8))</f>
        <v>#964B00</v>
      </c>
      <c r="N37" t="str">
        <f t="shared" ref="N37:N68" si="7">CONCATENATE(A37," [",IF(H37&lt;1,ROUND(H37,2),ROUND(H37,1)),"] ",IF($B$1=TRUE,IF((ISBLANK(C37)),B37,C37),B37)," ",M37)</f>
        <v>Ethylene Oxide [0.05] Other #964B00</v>
      </c>
      <c r="Q37" s="3" t="s">
        <v>922</v>
      </c>
      <c r="R37">
        <v>1.772842341876246</v>
      </c>
    </row>
    <row r="38" spans="1:18">
      <c r="A38" t="s">
        <v>18</v>
      </c>
      <c r="B38" t="s">
        <v>536</v>
      </c>
      <c r="C38" s="403" t="s">
        <v>24</v>
      </c>
      <c r="E38" s="402" t="s">
        <v>823</v>
      </c>
      <c r="F38" t="s">
        <v>1076</v>
      </c>
      <c r="G38" s="405">
        <v>0.02</v>
      </c>
      <c r="H38" s="404">
        <f t="shared" si="5"/>
        <v>3.4946208904243957E-2</v>
      </c>
      <c r="I38" s="401">
        <v>1</v>
      </c>
      <c r="J38" s="400">
        <f t="shared" si="2"/>
        <v>3.4946208904243957E-2</v>
      </c>
      <c r="K38" s="400" t="e">
        <v>#N/A</v>
      </c>
      <c r="L38" s="400" t="e">
        <f t="shared" si="3"/>
        <v>#N/A</v>
      </c>
      <c r="M38" s="400" t="str">
        <f t="shared" si="6"/>
        <v>#964B00</v>
      </c>
      <c r="N38" t="str">
        <f t="shared" si="7"/>
        <v>Ethylene Oxide [0.03] Other #964B00</v>
      </c>
      <c r="Q38" s="3" t="s">
        <v>925</v>
      </c>
      <c r="R38">
        <v>3.0477217381202508</v>
      </c>
    </row>
    <row r="39" spans="1:18">
      <c r="A39" t="s">
        <v>18</v>
      </c>
      <c r="B39" t="s">
        <v>947</v>
      </c>
      <c r="D39" t="s">
        <v>911</v>
      </c>
      <c r="E39" s="402" t="s">
        <v>823</v>
      </c>
      <c r="F39" t="s">
        <v>1076</v>
      </c>
      <c r="G39" s="405">
        <v>0.03</v>
      </c>
      <c r="H39" s="404">
        <f t="shared" si="5"/>
        <v>5.2419313356365939E-2</v>
      </c>
      <c r="I39" s="401">
        <v>1</v>
      </c>
      <c r="J39" s="400">
        <f t="shared" si="2"/>
        <v>5.2419313356365939E-2</v>
      </c>
      <c r="K39" s="400" t="e">
        <v>#N/A</v>
      </c>
      <c r="L39" s="400" t="e">
        <f t="shared" si="3"/>
        <v>#N/A</v>
      </c>
      <c r="M39" s="400" t="str">
        <f t="shared" si="6"/>
        <v>#0000FF</v>
      </c>
      <c r="N39" t="str">
        <f t="shared" si="7"/>
        <v>Ethylene Oxide [0.05] Polyurethane (PU) #0000FF</v>
      </c>
      <c r="Q39" s="3" t="s">
        <v>926</v>
      </c>
      <c r="R39">
        <v>2.9165482774660565</v>
      </c>
    </row>
    <row r="40" spans="1:18">
      <c r="A40" t="s">
        <v>18</v>
      </c>
      <c r="B40" s="403" t="s">
        <v>24</v>
      </c>
      <c r="C40" s="403"/>
      <c r="D40" s="403"/>
      <c r="E40" s="402" t="s">
        <v>823</v>
      </c>
      <c r="F40" s="403" t="s">
        <v>1076</v>
      </c>
      <c r="G40" s="405">
        <v>0.06</v>
      </c>
      <c r="H40" s="404">
        <f t="shared" si="5"/>
        <v>0.10483862671273188</v>
      </c>
      <c r="I40" s="401">
        <v>1</v>
      </c>
      <c r="J40" s="400">
        <f t="shared" si="2"/>
        <v>0.10483862671273188</v>
      </c>
      <c r="K40" s="400" t="e">
        <v>#N/A</v>
      </c>
      <c r="L40" s="400" t="e">
        <f t="shared" si="3"/>
        <v>#N/A</v>
      </c>
      <c r="M40" s="400" t="str">
        <f t="shared" si="6"/>
        <v>#964B00</v>
      </c>
      <c r="N40" t="str">
        <f t="shared" si="7"/>
        <v>Ethylene Oxide [0.1] Other #964B00</v>
      </c>
      <c r="Q40" s="3" t="s">
        <v>927</v>
      </c>
      <c r="R40">
        <v>13.125208596196902</v>
      </c>
    </row>
    <row r="41" spans="1:18">
      <c r="A41" t="s">
        <v>20</v>
      </c>
      <c r="B41" t="s">
        <v>948</v>
      </c>
      <c r="D41" t="s">
        <v>911</v>
      </c>
      <c r="E41" s="402" t="s">
        <v>823</v>
      </c>
      <c r="F41" t="s">
        <v>1076</v>
      </c>
      <c r="G41" s="6">
        <v>0.96</v>
      </c>
      <c r="H41" s="404">
        <f>G41*$H$29</f>
        <v>1.4377868806317511</v>
      </c>
      <c r="I41" s="401">
        <v>1</v>
      </c>
      <c r="J41" s="400">
        <f t="shared" si="2"/>
        <v>1.4377868806317511</v>
      </c>
      <c r="K41" s="400" t="e">
        <v>#N/A</v>
      </c>
      <c r="L41" s="400" t="e">
        <f t="shared" si="3"/>
        <v>#N/A</v>
      </c>
      <c r="M41" s="400" t="str">
        <f t="shared" si="6"/>
        <v>#0000FF</v>
      </c>
      <c r="N41" t="str">
        <f t="shared" si="7"/>
        <v>Ethylene Dichloride [1.4] Polyvinylchloride (PVC) #0000FF</v>
      </c>
      <c r="Q41" s="3" t="s">
        <v>928</v>
      </c>
      <c r="R41">
        <v>1.2524108338569352E-2</v>
      </c>
    </row>
    <row r="42" spans="1:18">
      <c r="A42" t="s">
        <v>20</v>
      </c>
      <c r="B42" s="403" t="s">
        <v>24</v>
      </c>
      <c r="C42" s="403"/>
      <c r="D42" s="403"/>
      <c r="E42" s="402" t="s">
        <v>823</v>
      </c>
      <c r="F42" s="403" t="s">
        <v>1076</v>
      </c>
      <c r="G42" s="6">
        <v>0.04</v>
      </c>
      <c r="H42" s="404">
        <f>G42*$H$29</f>
        <v>5.9907786692989635E-2</v>
      </c>
      <c r="I42" s="401">
        <v>1</v>
      </c>
      <c r="J42" s="400">
        <f t="shared" si="2"/>
        <v>5.9907786692989635E-2</v>
      </c>
      <c r="K42" s="400" t="e">
        <v>#N/A</v>
      </c>
      <c r="L42" s="400" t="e">
        <f t="shared" si="3"/>
        <v>#N/A</v>
      </c>
      <c r="M42" s="400" t="str">
        <f t="shared" si="6"/>
        <v>#964B00</v>
      </c>
      <c r="N42" t="str">
        <f t="shared" si="7"/>
        <v>Ethylene Dichloride [0.06] Other #964B00</v>
      </c>
      <c r="Q42" s="3" t="s">
        <v>24</v>
      </c>
      <c r="R42">
        <v>14.117428251048938</v>
      </c>
    </row>
    <row r="43" spans="1:18">
      <c r="A43" t="s">
        <v>532</v>
      </c>
      <c r="B43" t="s">
        <v>949</v>
      </c>
      <c r="D43" t="s">
        <v>911</v>
      </c>
      <c r="E43" s="402" t="s">
        <v>823</v>
      </c>
      <c r="F43" t="s">
        <v>1076</v>
      </c>
      <c r="G43" s="221">
        <f>99%*47%</f>
        <v>0.46529999999999999</v>
      </c>
      <c r="H43" s="404">
        <f>G43*$H$30</f>
        <v>0.34843866435310095</v>
      </c>
      <c r="I43" s="401">
        <v>1</v>
      </c>
      <c r="J43" s="400">
        <f t="shared" si="2"/>
        <v>0.34843866435310095</v>
      </c>
      <c r="K43" s="400" t="e">
        <v>#N/A</v>
      </c>
      <c r="L43" s="400" t="e">
        <f t="shared" si="3"/>
        <v>#N/A</v>
      </c>
      <c r="M43" s="400" t="str">
        <f t="shared" si="6"/>
        <v>#0000FF</v>
      </c>
      <c r="N43" t="str">
        <f t="shared" si="7"/>
        <v>Ethylbenzene [0.35] Polystyrene (PS) #0000FF</v>
      </c>
      <c r="Q43" s="3" t="s">
        <v>931</v>
      </c>
      <c r="R43">
        <v>9.9233421457119082</v>
      </c>
    </row>
    <row r="44" spans="1:18">
      <c r="A44" t="s">
        <v>532</v>
      </c>
      <c r="B44" t="s">
        <v>24</v>
      </c>
      <c r="E44" s="402" t="s">
        <v>823</v>
      </c>
      <c r="F44" t="s">
        <v>1076</v>
      </c>
      <c r="G44" s="221">
        <f>1-G43</f>
        <v>0.53469999999999995</v>
      </c>
      <c r="H44" s="404">
        <f>G44*$H$30</f>
        <v>0.40040866930926944</v>
      </c>
      <c r="I44" s="401">
        <v>1</v>
      </c>
      <c r="J44" s="400">
        <f t="shared" si="2"/>
        <v>0.40040866930926944</v>
      </c>
      <c r="K44" s="400" t="e">
        <v>#N/A</v>
      </c>
      <c r="L44" s="400" t="e">
        <f t="shared" si="3"/>
        <v>#N/A</v>
      </c>
      <c r="M44" s="400" t="str">
        <f t="shared" si="6"/>
        <v>#964B00</v>
      </c>
      <c r="N44" t="str">
        <f t="shared" si="7"/>
        <v>Ethylbenzene [0.4] Other #964B00</v>
      </c>
      <c r="Q44" s="3" t="s">
        <v>932</v>
      </c>
      <c r="R44">
        <v>0.52228116556378501</v>
      </c>
    </row>
    <row r="45" spans="1:18">
      <c r="A45" t="s">
        <v>4</v>
      </c>
      <c r="B45" s="403" t="s">
        <v>950</v>
      </c>
      <c r="C45" s="403"/>
      <c r="D45" t="s">
        <v>911</v>
      </c>
      <c r="E45" s="402" t="s">
        <v>823</v>
      </c>
      <c r="F45" t="s">
        <v>1076</v>
      </c>
      <c r="G45" s="406">
        <v>0.67</v>
      </c>
      <c r="H45" s="404">
        <f>G45*$H$6</f>
        <v>12.543192838844705</v>
      </c>
      <c r="I45" s="401">
        <v>1</v>
      </c>
      <c r="J45" s="400">
        <f t="shared" si="2"/>
        <v>12.543192838844705</v>
      </c>
      <c r="K45" s="400" t="e">
        <v>#N/A</v>
      </c>
      <c r="L45" s="400" t="e">
        <f t="shared" si="3"/>
        <v>#N/A</v>
      </c>
      <c r="M45" s="400" t="str">
        <f t="shared" si="6"/>
        <v>#0000FF</v>
      </c>
      <c r="N45" t="str">
        <f t="shared" si="7"/>
        <v>Propylene [12.5] Polypropylene (PP) #0000FF</v>
      </c>
      <c r="Q45" s="3" t="s">
        <v>826</v>
      </c>
      <c r="R45">
        <v>2.4790660358461478</v>
      </c>
    </row>
    <row r="46" spans="1:18">
      <c r="A46" t="s">
        <v>4</v>
      </c>
      <c r="B46" s="403" t="s">
        <v>85</v>
      </c>
      <c r="C46" s="403"/>
      <c r="D46" s="403"/>
      <c r="F46" s="403" t="s">
        <v>1077</v>
      </c>
      <c r="G46" s="406">
        <v>0.05</v>
      </c>
      <c r="H46" s="404">
        <f t="shared" ref="H46:H51" si="8">G46*$H$6</f>
        <v>0.93605916707796311</v>
      </c>
      <c r="I46" s="401">
        <v>1</v>
      </c>
      <c r="J46" s="400">
        <f t="shared" si="2"/>
        <v>0.93605916707796311</v>
      </c>
      <c r="K46" s="400" t="e">
        <v>#N/A</v>
      </c>
      <c r="L46" s="400" t="e">
        <f t="shared" si="3"/>
        <v>#N/A</v>
      </c>
      <c r="M46" s="400" t="str">
        <f t="shared" si="6"/>
        <v>#A9A9A9</v>
      </c>
      <c r="N46" t="str">
        <f t="shared" si="7"/>
        <v>Propylene [0.94] Propenic Acid #A9A9A9</v>
      </c>
      <c r="Q46" s="3" t="s">
        <v>935</v>
      </c>
      <c r="R46">
        <v>9.0391425397894682</v>
      </c>
    </row>
    <row r="47" spans="1:18">
      <c r="A47" t="s">
        <v>4</v>
      </c>
      <c r="B47" s="403" t="s">
        <v>87</v>
      </c>
      <c r="C47" s="403"/>
      <c r="D47" s="403"/>
      <c r="E47" s="403"/>
      <c r="F47" s="403" t="s">
        <v>1077</v>
      </c>
      <c r="G47" s="406">
        <v>0.06</v>
      </c>
      <c r="H47" s="404">
        <f t="shared" si="8"/>
        <v>1.1232710004935555</v>
      </c>
      <c r="I47" s="401">
        <v>1</v>
      </c>
      <c r="J47" s="400">
        <f t="shared" si="2"/>
        <v>1.1232710004935555</v>
      </c>
      <c r="K47" s="400" t="e">
        <v>#N/A</v>
      </c>
      <c r="L47" s="400" t="e">
        <f t="shared" si="3"/>
        <v>#N/A</v>
      </c>
      <c r="M47" s="400" t="str">
        <f t="shared" si="6"/>
        <v>#A9A9A9</v>
      </c>
      <c r="N47" t="str">
        <f t="shared" si="7"/>
        <v>Propylene [1.1] Propenonitrile #A9A9A9</v>
      </c>
      <c r="Q47" s="3" t="s">
        <v>936</v>
      </c>
      <c r="R47">
        <v>3.8059547535955658</v>
      </c>
    </row>
    <row r="48" spans="1:18">
      <c r="A48" t="s">
        <v>4</v>
      </c>
      <c r="B48" s="403" t="s">
        <v>351</v>
      </c>
      <c r="C48" s="403"/>
      <c r="D48" s="403"/>
      <c r="E48" s="403"/>
      <c r="F48" s="403" t="s">
        <v>1077</v>
      </c>
      <c r="G48" s="406">
        <v>0.04</v>
      </c>
      <c r="H48" s="404">
        <f t="shared" si="8"/>
        <v>0.74884733366237044</v>
      </c>
      <c r="I48" s="401">
        <v>1</v>
      </c>
      <c r="J48" s="400">
        <f t="shared" si="2"/>
        <v>0.74884733366237044</v>
      </c>
      <c r="K48" s="400" t="e">
        <v>#N/A</v>
      </c>
      <c r="L48" s="400" t="e">
        <f t="shared" si="3"/>
        <v>#N/A</v>
      </c>
      <c r="M48" s="400" t="str">
        <f t="shared" si="6"/>
        <v>#A9A9A9</v>
      </c>
      <c r="N48" t="str">
        <f t="shared" si="7"/>
        <v>Propylene [0.75] Cumene #A9A9A9</v>
      </c>
      <c r="Q48" s="3" t="s">
        <v>938</v>
      </c>
      <c r="R48">
        <v>4.9953156140941797</v>
      </c>
    </row>
    <row r="49" spans="1:18">
      <c r="A49" t="s">
        <v>4</v>
      </c>
      <c r="B49" s="403" t="s">
        <v>357</v>
      </c>
      <c r="C49" s="403"/>
      <c r="D49" s="403"/>
      <c r="E49" s="403"/>
      <c r="F49" s="403" t="s">
        <v>1077</v>
      </c>
      <c r="G49" s="406">
        <v>7.0000000000000007E-2</v>
      </c>
      <c r="H49" s="404">
        <f t="shared" si="8"/>
        <v>1.3104828339091483</v>
      </c>
      <c r="I49" s="401">
        <v>1</v>
      </c>
      <c r="J49" s="400">
        <f t="shared" si="2"/>
        <v>1.3104828339091483</v>
      </c>
      <c r="K49" s="400" t="e">
        <v>#N/A</v>
      </c>
      <c r="L49" s="400" t="e">
        <f t="shared" si="3"/>
        <v>#N/A</v>
      </c>
      <c r="M49" s="400" t="str">
        <f t="shared" si="6"/>
        <v>#A9A9A9</v>
      </c>
      <c r="N49" t="str">
        <f t="shared" si="7"/>
        <v>Propylene [1.3] Propylene oxide #A9A9A9</v>
      </c>
      <c r="Q49" s="3" t="s">
        <v>940</v>
      </c>
      <c r="R49">
        <v>1.9029773767977829</v>
      </c>
    </row>
    <row r="50" spans="1:18">
      <c r="A50" t="s">
        <v>4</v>
      </c>
      <c r="B50" s="403" t="s">
        <v>94</v>
      </c>
      <c r="C50" s="403"/>
      <c r="D50" s="403"/>
      <c r="E50" s="403"/>
      <c r="F50" s="403" t="s">
        <v>1077</v>
      </c>
      <c r="G50" s="406">
        <v>0.03</v>
      </c>
      <c r="H50" s="404">
        <f t="shared" si="8"/>
        <v>0.56163550024677777</v>
      </c>
      <c r="I50" s="401">
        <v>1</v>
      </c>
      <c r="J50" s="400">
        <f t="shared" si="2"/>
        <v>0.56163550024677777</v>
      </c>
      <c r="K50" s="400" t="e">
        <v>#N/A</v>
      </c>
      <c r="L50" s="400" t="e">
        <f t="shared" si="3"/>
        <v>#N/A</v>
      </c>
      <c r="M50" s="400" t="str">
        <f t="shared" si="6"/>
        <v>#A9A9A9</v>
      </c>
      <c r="N50" t="str">
        <f t="shared" si="7"/>
        <v>Propylene [0.56] Butanol #A9A9A9</v>
      </c>
      <c r="Q50" s="3" t="s">
        <v>942</v>
      </c>
      <c r="R50">
        <v>1.1893608604986143</v>
      </c>
    </row>
    <row r="51" spans="1:18">
      <c r="A51" t="s">
        <v>4</v>
      </c>
      <c r="B51" s="403" t="s">
        <v>24</v>
      </c>
      <c r="C51" s="403"/>
      <c r="D51" s="403"/>
      <c r="E51" s="402" t="s">
        <v>823</v>
      </c>
      <c r="F51" s="403" t="s">
        <v>1076</v>
      </c>
      <c r="G51" s="406">
        <v>0.08</v>
      </c>
      <c r="H51" s="404">
        <f t="shared" si="8"/>
        <v>1.4976946673247409</v>
      </c>
      <c r="I51" s="401">
        <v>1</v>
      </c>
      <c r="J51" s="400">
        <f t="shared" si="2"/>
        <v>1.4976946673247409</v>
      </c>
      <c r="K51" s="400" t="e">
        <v>#N/A</v>
      </c>
      <c r="L51" s="400" t="e">
        <f t="shared" si="3"/>
        <v>#N/A</v>
      </c>
      <c r="M51" s="400" t="str">
        <f t="shared" si="6"/>
        <v>#964B00</v>
      </c>
      <c r="N51" t="str">
        <f t="shared" si="7"/>
        <v>Propylene [1.5] Other #964B00</v>
      </c>
      <c r="Q51" s="3" t="s">
        <v>943</v>
      </c>
      <c r="R51">
        <v>1.1893608604986143</v>
      </c>
    </row>
    <row r="52" spans="1:18">
      <c r="A52" s="403" t="s">
        <v>85</v>
      </c>
      <c r="B52" t="s">
        <v>100</v>
      </c>
      <c r="C52" s="403" t="s">
        <v>24</v>
      </c>
      <c r="E52" s="402" t="s">
        <v>823</v>
      </c>
      <c r="F52" t="s">
        <v>1076</v>
      </c>
      <c r="G52" s="6">
        <v>0.5</v>
      </c>
      <c r="H52" s="407">
        <f>G52*$H$46</f>
        <v>0.46802958353898155</v>
      </c>
      <c r="I52" s="401">
        <v>1</v>
      </c>
      <c r="J52" s="400">
        <f t="shared" si="2"/>
        <v>0.46802958353898155</v>
      </c>
      <c r="K52" s="400" t="e">
        <v>#N/A</v>
      </c>
      <c r="L52" s="400" t="e">
        <f t="shared" si="3"/>
        <v>#N/A</v>
      </c>
      <c r="M52" s="400" t="str">
        <f t="shared" si="6"/>
        <v>#964B00</v>
      </c>
      <c r="N52" t="str">
        <f t="shared" si="7"/>
        <v>Propenic Acid [0.47] Other #964B00</v>
      </c>
      <c r="Q52" s="3" t="s">
        <v>944</v>
      </c>
      <c r="R52">
        <v>9.5166015319592905</v>
      </c>
    </row>
    <row r="53" spans="1:18">
      <c r="A53" s="403" t="s">
        <v>85</v>
      </c>
      <c r="B53" t="s">
        <v>102</v>
      </c>
      <c r="C53" s="403" t="s">
        <v>24</v>
      </c>
      <c r="E53" s="402" t="s">
        <v>823</v>
      </c>
      <c r="F53" t="s">
        <v>1076</v>
      </c>
      <c r="G53" s="6">
        <v>0.35</v>
      </c>
      <c r="H53" s="407">
        <f t="shared" ref="H53:H55" si="9">G53*$H$46</f>
        <v>0.32762070847728708</v>
      </c>
      <c r="I53" s="401">
        <v>1</v>
      </c>
      <c r="J53" s="400">
        <f t="shared" si="2"/>
        <v>0.32762070847728708</v>
      </c>
      <c r="K53" s="400" t="e">
        <v>#N/A</v>
      </c>
      <c r="L53" s="400" t="e">
        <f t="shared" si="3"/>
        <v>#N/A</v>
      </c>
      <c r="M53" s="400" t="str">
        <f t="shared" si="6"/>
        <v>#964B00</v>
      </c>
      <c r="N53" t="str">
        <f t="shared" si="7"/>
        <v>Propenic Acid [0.33] Other #964B00</v>
      </c>
      <c r="Q53" s="3" t="s">
        <v>18</v>
      </c>
      <c r="R53">
        <v>2.1841380565152471</v>
      </c>
    </row>
    <row r="54" spans="1:18">
      <c r="A54" s="403" t="s">
        <v>85</v>
      </c>
      <c r="B54" t="s">
        <v>103</v>
      </c>
      <c r="C54" s="403" t="s">
        <v>24</v>
      </c>
      <c r="E54" s="402" t="s">
        <v>823</v>
      </c>
      <c r="F54" t="s">
        <v>1076</v>
      </c>
      <c r="G54" s="6">
        <v>0.1</v>
      </c>
      <c r="H54" s="407">
        <f t="shared" si="9"/>
        <v>9.3605916707796319E-2</v>
      </c>
      <c r="I54" s="401">
        <v>1</v>
      </c>
      <c r="J54" s="400">
        <f t="shared" si="2"/>
        <v>9.3605916707796319E-2</v>
      </c>
      <c r="K54" s="400" t="e">
        <v>#N/A</v>
      </c>
      <c r="L54" s="400" t="e">
        <f t="shared" si="3"/>
        <v>#N/A</v>
      </c>
      <c r="M54" s="400" t="str">
        <f t="shared" si="6"/>
        <v>#964B00</v>
      </c>
      <c r="N54" t="str">
        <f t="shared" si="7"/>
        <v>Propenic Acid [0.09] Other #964B00</v>
      </c>
      <c r="O54" s="403"/>
      <c r="P54" s="408"/>
      <c r="Q54" s="3" t="s">
        <v>20</v>
      </c>
      <c r="R54">
        <v>1.872118334155926</v>
      </c>
    </row>
    <row r="55" spans="1:18">
      <c r="A55" s="403" t="s">
        <v>85</v>
      </c>
      <c r="B55" t="s">
        <v>24</v>
      </c>
      <c r="E55" s="402" t="s">
        <v>823</v>
      </c>
      <c r="F55" t="s">
        <v>1076</v>
      </c>
      <c r="G55" s="6">
        <v>0.05</v>
      </c>
      <c r="H55" s="407">
        <f t="shared" si="9"/>
        <v>4.6802958353898159E-2</v>
      </c>
      <c r="I55" s="401">
        <v>1</v>
      </c>
      <c r="J55" s="400">
        <f t="shared" si="2"/>
        <v>4.6802958353898159E-2</v>
      </c>
      <c r="K55" s="400" t="e">
        <v>#N/A</v>
      </c>
      <c r="L55" s="400" t="e">
        <f t="shared" si="3"/>
        <v>#N/A</v>
      </c>
      <c r="M55" s="400" t="str">
        <f t="shared" si="6"/>
        <v>#964B00</v>
      </c>
      <c r="N55" t="str">
        <f t="shared" si="7"/>
        <v>Propenic Acid [0.05] Other #964B00</v>
      </c>
      <c r="O55" s="409"/>
      <c r="P55" s="407"/>
      <c r="Q55" s="3" t="s">
        <v>532</v>
      </c>
      <c r="R55">
        <v>0.93605916707796299</v>
      </c>
    </row>
    <row r="56" spans="1:18">
      <c r="A56" s="403" t="s">
        <v>87</v>
      </c>
      <c r="B56" t="s">
        <v>106</v>
      </c>
      <c r="C56" s="403" t="s">
        <v>24</v>
      </c>
      <c r="E56" s="402" t="s">
        <v>823</v>
      </c>
      <c r="F56" t="s">
        <v>1076</v>
      </c>
      <c r="G56" s="6">
        <v>0.3</v>
      </c>
      <c r="H56" s="407">
        <f>G56*$H$47</f>
        <v>0.33698130014806665</v>
      </c>
      <c r="I56" s="401">
        <v>1</v>
      </c>
      <c r="J56" s="400">
        <f t="shared" si="2"/>
        <v>0.33698130014806665</v>
      </c>
      <c r="K56" s="400" t="e">
        <v>#N/A</v>
      </c>
      <c r="L56" s="400" t="e">
        <f t="shared" si="3"/>
        <v>#N/A</v>
      </c>
      <c r="M56" s="400" t="str">
        <f t="shared" si="6"/>
        <v>#964B00</v>
      </c>
      <c r="N56" t="str">
        <f t="shared" si="7"/>
        <v>Propenonitrile [0.34] Other #964B00</v>
      </c>
      <c r="O56" s="409"/>
      <c r="P56" s="407"/>
      <c r="Q56" s="3" t="s">
        <v>945</v>
      </c>
      <c r="R56">
        <v>4.2732949027806182</v>
      </c>
    </row>
    <row r="57" spans="1:18">
      <c r="A57" s="403" t="s">
        <v>87</v>
      </c>
      <c r="B57" t="s">
        <v>108</v>
      </c>
      <c r="C57" s="403" t="s">
        <v>24</v>
      </c>
      <c r="E57" s="402" t="s">
        <v>823</v>
      </c>
      <c r="F57" t="s">
        <v>1076</v>
      </c>
      <c r="G57" s="6">
        <v>0.35</v>
      </c>
      <c r="H57" s="407">
        <f t="shared" ref="H57:H59" si="10">G57*$H$47</f>
        <v>0.39314485017274442</v>
      </c>
      <c r="I57" s="401">
        <v>1</v>
      </c>
      <c r="J57" s="400">
        <f t="shared" si="2"/>
        <v>0.39314485017274442</v>
      </c>
      <c r="K57" s="400" t="e">
        <v>#N/A</v>
      </c>
      <c r="L57" s="400" t="e">
        <f t="shared" si="3"/>
        <v>#N/A</v>
      </c>
      <c r="M57" s="400" t="str">
        <f t="shared" si="6"/>
        <v>#964B00</v>
      </c>
      <c r="N57" t="str">
        <f t="shared" si="7"/>
        <v>Propenonitrile [0.39] Other #964B00</v>
      </c>
      <c r="O57" s="409"/>
      <c r="P57" s="407"/>
      <c r="Q57" s="3" t="s">
        <v>946</v>
      </c>
      <c r="R57">
        <v>5.2433066291786723</v>
      </c>
    </row>
    <row r="58" spans="1:18">
      <c r="A58" s="403" t="s">
        <v>87</v>
      </c>
      <c r="B58" t="s">
        <v>110</v>
      </c>
      <c r="C58" s="403" t="s">
        <v>24</v>
      </c>
      <c r="E58" s="402" t="s">
        <v>823</v>
      </c>
      <c r="F58" t="s">
        <v>1076</v>
      </c>
      <c r="G58" s="6">
        <v>0.15</v>
      </c>
      <c r="H58" s="407">
        <f t="shared" si="10"/>
        <v>0.16849065007403333</v>
      </c>
      <c r="I58" s="401">
        <v>1</v>
      </c>
      <c r="J58" s="400">
        <f t="shared" si="2"/>
        <v>0.16849065007403333</v>
      </c>
      <c r="K58" s="400" t="e">
        <v>#N/A</v>
      </c>
      <c r="L58" s="400" t="e">
        <f t="shared" si="3"/>
        <v>#N/A</v>
      </c>
      <c r="M58" s="400" t="str">
        <f t="shared" si="6"/>
        <v>#964B00</v>
      </c>
      <c r="N58" t="str">
        <f t="shared" si="7"/>
        <v>Propenonitrile [0.17] Other #964B00</v>
      </c>
      <c r="O58" s="409"/>
      <c r="P58" s="407"/>
      <c r="Q58" s="3" t="s">
        <v>533</v>
      </c>
      <c r="R58">
        <v>1.4633724978652156</v>
      </c>
    </row>
    <row r="59" spans="1:18">
      <c r="A59" s="403" t="s">
        <v>87</v>
      </c>
      <c r="B59" t="s">
        <v>24</v>
      </c>
      <c r="E59" s="402" t="s">
        <v>823</v>
      </c>
      <c r="F59" t="s">
        <v>1076</v>
      </c>
      <c r="G59" s="6">
        <v>0.2</v>
      </c>
      <c r="H59" s="407">
        <f t="shared" si="10"/>
        <v>0.22465420009871112</v>
      </c>
      <c r="I59" s="401">
        <v>1</v>
      </c>
      <c r="J59" s="400">
        <f t="shared" si="2"/>
        <v>0.22465420009871112</v>
      </c>
      <c r="K59" s="400" t="e">
        <v>#N/A</v>
      </c>
      <c r="L59" s="400" t="e">
        <f t="shared" si="3"/>
        <v>#N/A</v>
      </c>
      <c r="M59" s="400" t="str">
        <f t="shared" si="6"/>
        <v>#964B00</v>
      </c>
      <c r="N59" t="str">
        <f t="shared" si="7"/>
        <v>Propenonitrile [0.22] Other #964B00</v>
      </c>
      <c r="O59" s="406"/>
      <c r="P59" s="407"/>
      <c r="Q59" s="3" t="s">
        <v>534</v>
      </c>
      <c r="R59">
        <v>0.28393794734698213</v>
      </c>
    </row>
    <row r="60" spans="1:18">
      <c r="A60" s="403" t="s">
        <v>351</v>
      </c>
      <c r="B60" t="s">
        <v>354</v>
      </c>
      <c r="C60" s="403" t="s">
        <v>24</v>
      </c>
      <c r="E60" s="402" t="s">
        <v>823</v>
      </c>
      <c r="F60" t="s">
        <v>1076</v>
      </c>
      <c r="G60" s="6">
        <v>0.98</v>
      </c>
      <c r="H60" s="407">
        <f>G60*$H$48</f>
        <v>0.73387038698912299</v>
      </c>
      <c r="I60" s="401">
        <v>1</v>
      </c>
      <c r="J60" s="400">
        <f t="shared" si="2"/>
        <v>0.73387038698912299</v>
      </c>
      <c r="K60" s="400" t="e">
        <v>#N/A</v>
      </c>
      <c r="L60" s="400" t="e">
        <f t="shared" si="3"/>
        <v>#N/A</v>
      </c>
      <c r="M60" s="400" t="str">
        <f t="shared" si="6"/>
        <v>#964B00</v>
      </c>
      <c r="N60" t="str">
        <f t="shared" si="7"/>
        <v>Cumene [0.73] Other #964B00</v>
      </c>
      <c r="Q60" s="3" t="s">
        <v>535</v>
      </c>
      <c r="R60">
        <v>0.13104828339091482</v>
      </c>
    </row>
    <row r="61" spans="1:18">
      <c r="A61" s="403" t="s">
        <v>351</v>
      </c>
      <c r="B61" s="403" t="s">
        <v>24</v>
      </c>
      <c r="C61" s="403"/>
      <c r="D61" s="403"/>
      <c r="E61" s="402" t="s">
        <v>823</v>
      </c>
      <c r="F61" s="403" t="s">
        <v>1076</v>
      </c>
      <c r="G61" s="6">
        <v>0.02</v>
      </c>
      <c r="H61" s="407">
        <f>G61*$H$48</f>
        <v>1.4976946673247409E-2</v>
      </c>
      <c r="I61" s="401">
        <v>1</v>
      </c>
      <c r="J61" s="400">
        <f t="shared" si="2"/>
        <v>1.4976946673247409E-2</v>
      </c>
      <c r="K61" s="400" t="e">
        <v>#N/A</v>
      </c>
      <c r="L61" s="400" t="e">
        <f t="shared" si="3"/>
        <v>#N/A</v>
      </c>
      <c r="M61" s="400" t="str">
        <f t="shared" si="6"/>
        <v>#964B00</v>
      </c>
      <c r="N61" t="str">
        <f t="shared" si="7"/>
        <v>Cumene [0.01] Other #964B00</v>
      </c>
      <c r="O61" s="6"/>
      <c r="P61" s="40"/>
      <c r="Q61" s="3" t="s">
        <v>555</v>
      </c>
      <c r="R61">
        <v>6.5524141695457408E-2</v>
      </c>
    </row>
    <row r="62" spans="1:18">
      <c r="A62" s="403" t="s">
        <v>357</v>
      </c>
      <c r="B62" s="403" t="s">
        <v>947</v>
      </c>
      <c r="C62" s="403"/>
      <c r="D62" t="s">
        <v>911</v>
      </c>
      <c r="E62" s="402" t="s">
        <v>823</v>
      </c>
      <c r="F62" t="s">
        <v>1076</v>
      </c>
      <c r="G62" s="406">
        <v>0.68</v>
      </c>
      <c r="H62" s="407">
        <f>G62*$H$49</f>
        <v>0.89112832705822087</v>
      </c>
      <c r="I62" s="401">
        <v>1</v>
      </c>
      <c r="J62" s="400">
        <f t="shared" si="2"/>
        <v>0.89112832705822087</v>
      </c>
      <c r="K62" s="400" t="e">
        <v>#N/A</v>
      </c>
      <c r="L62" s="400" t="e">
        <f t="shared" si="3"/>
        <v>#N/A</v>
      </c>
      <c r="M62" s="400" t="str">
        <f t="shared" si="6"/>
        <v>#0000FF</v>
      </c>
      <c r="N62" t="str">
        <f t="shared" si="7"/>
        <v>Propylene oxide [0.89] Polyurethane (PU) #0000FF</v>
      </c>
      <c r="O62" s="6"/>
      <c r="P62" s="40"/>
      <c r="Q62" s="3" t="s">
        <v>536</v>
      </c>
      <c r="R62">
        <v>4.3682761130304941E-2</v>
      </c>
    </row>
    <row r="63" spans="1:18">
      <c r="A63" s="403" t="s">
        <v>357</v>
      </c>
      <c r="B63" s="403" t="s">
        <v>358</v>
      </c>
      <c r="C63" s="403" t="s">
        <v>24</v>
      </c>
      <c r="D63" s="403"/>
      <c r="E63" s="402" t="s">
        <v>823</v>
      </c>
      <c r="F63" s="403" t="s">
        <v>1076</v>
      </c>
      <c r="G63" s="406">
        <v>0.22</v>
      </c>
      <c r="H63" s="407">
        <f t="shared" ref="H63:H65" si="11">G63*$H$49</f>
        <v>0.28830622346001261</v>
      </c>
      <c r="I63" s="401">
        <v>1</v>
      </c>
      <c r="J63" s="400">
        <f t="shared" si="2"/>
        <v>0.28830622346001261</v>
      </c>
      <c r="K63" s="400" t="e">
        <v>#N/A</v>
      </c>
      <c r="L63" s="400" t="e">
        <f t="shared" si="3"/>
        <v>#N/A</v>
      </c>
      <c r="M63" s="400" t="str">
        <f t="shared" si="6"/>
        <v>#964B00</v>
      </c>
      <c r="N63" t="str">
        <f t="shared" si="7"/>
        <v>Propylene oxide [0.29] Other #964B00</v>
      </c>
      <c r="O63" s="6"/>
      <c r="P63" s="40"/>
      <c r="Q63" s="3" t="s">
        <v>947</v>
      </c>
      <c r="R63">
        <v>1.938023898384325</v>
      </c>
    </row>
    <row r="64" spans="1:18">
      <c r="A64" s="403" t="s">
        <v>357</v>
      </c>
      <c r="B64" s="403" t="s">
        <v>359</v>
      </c>
      <c r="C64" s="403" t="s">
        <v>24</v>
      </c>
      <c r="D64" s="403"/>
      <c r="E64" s="402" t="s">
        <v>823</v>
      </c>
      <c r="F64" s="403" t="s">
        <v>1076</v>
      </c>
      <c r="G64" s="406">
        <v>0.04</v>
      </c>
      <c r="H64" s="407">
        <f t="shared" si="11"/>
        <v>5.2419313356365932E-2</v>
      </c>
      <c r="I64" s="401">
        <v>1</v>
      </c>
      <c r="J64" s="400">
        <f t="shared" si="2"/>
        <v>5.2419313356365932E-2</v>
      </c>
      <c r="K64" s="400" t="e">
        <v>#N/A</v>
      </c>
      <c r="L64" s="400" t="e">
        <f t="shared" si="3"/>
        <v>#N/A</v>
      </c>
      <c r="M64" s="400" t="str">
        <f t="shared" si="6"/>
        <v>#964B00</v>
      </c>
      <c r="N64" t="str">
        <f t="shared" si="7"/>
        <v>Propylene oxide [0.05] Other #964B00</v>
      </c>
      <c r="O64" s="6"/>
      <c r="P64" s="40"/>
      <c r="Q64" s="3" t="s">
        <v>948</v>
      </c>
      <c r="R64">
        <v>1.797233600789689</v>
      </c>
    </row>
    <row r="65" spans="1:18">
      <c r="A65" s="403" t="s">
        <v>357</v>
      </c>
      <c r="B65" s="403" t="s">
        <v>24</v>
      </c>
      <c r="C65" s="403"/>
      <c r="D65" s="403"/>
      <c r="E65" s="402" t="s">
        <v>823</v>
      </c>
      <c r="F65" s="403" t="s">
        <v>1076</v>
      </c>
      <c r="G65" s="406">
        <v>0.06</v>
      </c>
      <c r="H65" s="407">
        <f t="shared" si="11"/>
        <v>7.8628970034548898E-2</v>
      </c>
      <c r="I65" s="401">
        <v>1</v>
      </c>
      <c r="J65" s="400">
        <f t="shared" si="2"/>
        <v>7.8628970034548898E-2</v>
      </c>
      <c r="K65" s="400" t="e">
        <v>#N/A</v>
      </c>
      <c r="L65" s="400" t="e">
        <f t="shared" si="3"/>
        <v>#N/A</v>
      </c>
      <c r="M65" s="400" t="str">
        <f t="shared" si="6"/>
        <v>#964B00</v>
      </c>
      <c r="N65" t="str">
        <f t="shared" si="7"/>
        <v>Propylene oxide [0.08] Other #964B00</v>
      </c>
      <c r="Q65" s="3" t="s">
        <v>949</v>
      </c>
      <c r="R65">
        <v>0.4355483304413762</v>
      </c>
    </row>
    <row r="66" spans="1:18">
      <c r="A66" s="410" t="s">
        <v>94</v>
      </c>
      <c r="B66" s="403" t="s">
        <v>24</v>
      </c>
      <c r="C66" s="403"/>
      <c r="D66" s="403"/>
      <c r="E66" s="402" t="s">
        <v>823</v>
      </c>
      <c r="F66" s="403" t="s">
        <v>1076</v>
      </c>
      <c r="G66" s="406">
        <v>1</v>
      </c>
      <c r="H66" s="407">
        <f>G66*H50</f>
        <v>0.56163550024677777</v>
      </c>
      <c r="I66" s="401">
        <v>1</v>
      </c>
      <c r="J66" s="400">
        <f t="shared" si="2"/>
        <v>0.56163550024677777</v>
      </c>
      <c r="K66" s="400" t="e">
        <v>#N/A</v>
      </c>
      <c r="L66" s="400" t="e">
        <f t="shared" si="3"/>
        <v>#N/A</v>
      </c>
      <c r="M66" s="400" t="str">
        <f t="shared" si="6"/>
        <v>#964B00</v>
      </c>
      <c r="N66" t="str">
        <f t="shared" si="7"/>
        <v>Butanol [0.56] Other #964B00</v>
      </c>
      <c r="Q66" s="3" t="s">
        <v>950</v>
      </c>
      <c r="R66">
        <v>10.452660699037255</v>
      </c>
    </row>
    <row r="67" spans="1:18">
      <c r="A67" t="s">
        <v>804</v>
      </c>
      <c r="B67" t="s">
        <v>951</v>
      </c>
      <c r="E67"/>
      <c r="F67" t="s">
        <v>1077</v>
      </c>
      <c r="H67" s="40">
        <v>2.8771099042794535</v>
      </c>
      <c r="I67" s="401">
        <v>1</v>
      </c>
      <c r="J67" s="400">
        <f t="shared" si="2"/>
        <v>2.8771099042794535</v>
      </c>
      <c r="K67" s="400" t="e">
        <v>#N/A</v>
      </c>
      <c r="L67" s="400" t="e">
        <f t="shared" si="3"/>
        <v>#N/A</v>
      </c>
      <c r="M67" s="400" t="str">
        <f t="shared" si="6"/>
        <v>#A9A9A9</v>
      </c>
      <c r="N67" t="str">
        <f t="shared" si="7"/>
        <v>Acetic Acid [2.9] Vinyl acetate monomer (VAM) #A9A9A9</v>
      </c>
      <c r="Q67" s="3" t="s">
        <v>85</v>
      </c>
      <c r="R67">
        <v>0.78004930589830257</v>
      </c>
    </row>
    <row r="68" spans="1:18">
      <c r="A68" t="s">
        <v>804</v>
      </c>
      <c r="B68" t="s">
        <v>952</v>
      </c>
      <c r="F68" t="s">
        <v>1077</v>
      </c>
      <c r="H68" s="40">
        <v>1.5104826997467129</v>
      </c>
      <c r="I68" s="401">
        <v>1</v>
      </c>
      <c r="J68" s="400">
        <f t="shared" si="2"/>
        <v>1.5104826997467129</v>
      </c>
      <c r="K68" s="400">
        <v>2.7664690601478719</v>
      </c>
      <c r="L68" s="400">
        <f t="shared" si="3"/>
        <v>4.1787036547379088</v>
      </c>
      <c r="M68" s="400" t="str">
        <f t="shared" si="6"/>
        <v>#A9A9A9</v>
      </c>
      <c r="N68" t="str">
        <f t="shared" si="7"/>
        <v>Acetic Acid [1.5] Terephthalic acid #A9A9A9</v>
      </c>
      <c r="Q68" s="3" t="s">
        <v>87</v>
      </c>
      <c r="R68">
        <v>0.93605916707796299</v>
      </c>
    </row>
    <row r="69" spans="1:18">
      <c r="A69" t="s">
        <v>804</v>
      </c>
      <c r="B69" t="s">
        <v>953</v>
      </c>
      <c r="C69" t="s">
        <v>24</v>
      </c>
      <c r="E69" s="402" t="s">
        <v>27</v>
      </c>
      <c r="F69" t="s">
        <v>1076</v>
      </c>
      <c r="H69" s="40">
        <v>0.71927747606986336</v>
      </c>
      <c r="I69" s="401">
        <v>1</v>
      </c>
      <c r="J69" s="400">
        <f t="shared" si="2"/>
        <v>0.71927747606986336</v>
      </c>
      <c r="K69" s="400" t="e">
        <v>#N/A</v>
      </c>
      <c r="L69" s="400" t="e">
        <f t="shared" si="3"/>
        <v>#N/A</v>
      </c>
      <c r="M69" s="400" t="str">
        <f t="shared" ref="M69:M88" si="12">IF(AND(OR(B69="Other",C69="Other"),$B$1=TRUE),$S$9,_xlfn.XLOOKUP(D69,$Q$6:$Q$10,$S$6:$S$10,$S$8))</f>
        <v>#964B00</v>
      </c>
      <c r="N69" t="str">
        <f t="shared" ref="N69:N88" si="13">CONCATENATE(A69," [",IF(H69&lt;1,ROUND(H69,2),ROUND(H69,1)),"] ",IF($B$1=TRUE,IF((ISBLANK(C69)),B69,C69),B69)," ",M69)</f>
        <v>Acetic Acid [0.72] Other #964B00</v>
      </c>
      <c r="Q69" s="3" t="s">
        <v>351</v>
      </c>
      <c r="R69">
        <v>0.62403944471864203</v>
      </c>
    </row>
    <row r="70" spans="1:18">
      <c r="A70" t="s">
        <v>804</v>
      </c>
      <c r="B70" t="s">
        <v>954</v>
      </c>
      <c r="C70" t="s">
        <v>24</v>
      </c>
      <c r="E70" s="402" t="s">
        <v>27</v>
      </c>
      <c r="F70" t="s">
        <v>1076</v>
      </c>
      <c r="H70" s="40">
        <v>0.79120522367684964</v>
      </c>
      <c r="I70" s="401">
        <v>1</v>
      </c>
      <c r="J70" s="400">
        <f t="shared" ref="J70:J119" si="14">H70</f>
        <v>0.79120522367684964</v>
      </c>
      <c r="K70" s="400" t="e">
        <v>#N/A</v>
      </c>
      <c r="L70" s="400" t="e">
        <f t="shared" ref="L70:L119" si="15">J70*K70</f>
        <v>#N/A</v>
      </c>
      <c r="M70" s="400" t="str">
        <f t="shared" si="12"/>
        <v>#964B00</v>
      </c>
      <c r="N70" t="str">
        <f t="shared" si="13"/>
        <v>Acetic Acid [0.79] Other #964B00</v>
      </c>
      <c r="Q70" s="3" t="s">
        <v>357</v>
      </c>
      <c r="R70">
        <v>1.0920690282576235</v>
      </c>
    </row>
    <row r="71" spans="1:18">
      <c r="A71" t="s">
        <v>804</v>
      </c>
      <c r="B71" s="403" t="s">
        <v>24</v>
      </c>
      <c r="C71" s="403"/>
      <c r="D71" s="403"/>
      <c r="E71" s="402" t="s">
        <v>27</v>
      </c>
      <c r="F71" s="403" t="s">
        <v>1076</v>
      </c>
      <c r="H71" s="40">
        <v>1.2946994569257539</v>
      </c>
      <c r="I71" s="401">
        <v>1</v>
      </c>
      <c r="J71" s="400">
        <f t="shared" si="14"/>
        <v>1.2946994569257539</v>
      </c>
      <c r="K71" s="400" t="e">
        <v>#N/A</v>
      </c>
      <c r="L71" s="400" t="e">
        <f t="shared" si="15"/>
        <v>#N/A</v>
      </c>
      <c r="M71" s="400" t="str">
        <f t="shared" si="12"/>
        <v>#964B00</v>
      </c>
      <c r="N71" t="str">
        <f t="shared" si="13"/>
        <v>Acetic Acid [1.3] Other #964B00</v>
      </c>
      <c r="Q71" s="3" t="s">
        <v>94</v>
      </c>
      <c r="R71">
        <v>0.4680295835389815</v>
      </c>
    </row>
    <row r="72" spans="1:18">
      <c r="A72" t="s">
        <v>716</v>
      </c>
      <c r="B72" s="399" t="s">
        <v>955</v>
      </c>
      <c r="C72" s="399" t="s">
        <v>24</v>
      </c>
      <c r="D72" s="399"/>
      <c r="E72" s="402" t="s">
        <v>27</v>
      </c>
      <c r="F72" s="399" t="s">
        <v>1076</v>
      </c>
      <c r="G72" s="179">
        <v>2.2216780422383169E-2</v>
      </c>
      <c r="H72" s="400">
        <v>2.2717305672878156</v>
      </c>
      <c r="I72" s="401">
        <v>1</v>
      </c>
      <c r="J72" s="400">
        <f t="shared" si="14"/>
        <v>2.2717305672878156</v>
      </c>
      <c r="K72" s="400" t="e">
        <v>#N/A</v>
      </c>
      <c r="L72" s="400" t="e">
        <f t="shared" si="15"/>
        <v>#N/A</v>
      </c>
      <c r="M72" s="400" t="str">
        <f t="shared" si="12"/>
        <v>#964B00</v>
      </c>
      <c r="N72" t="str">
        <f t="shared" si="13"/>
        <v>Methanol [2.3] Other #964B00</v>
      </c>
      <c r="Q72" s="3" t="s">
        <v>100</v>
      </c>
      <c r="R72">
        <v>0.39002465294915128</v>
      </c>
    </row>
    <row r="73" spans="1:18">
      <c r="A73" t="s">
        <v>716</v>
      </c>
      <c r="B73" s="399" t="s">
        <v>956</v>
      </c>
      <c r="C73" s="399" t="s">
        <v>24</v>
      </c>
      <c r="D73" s="399"/>
      <c r="E73" s="402" t="s">
        <v>27</v>
      </c>
      <c r="F73" s="399" t="s">
        <v>1076</v>
      </c>
      <c r="G73" s="179">
        <v>1.5781321174464437E-2</v>
      </c>
      <c r="H73" s="400">
        <v>1.6136860977433933</v>
      </c>
      <c r="I73" s="401">
        <v>1</v>
      </c>
      <c r="J73" s="400">
        <f t="shared" si="14"/>
        <v>1.6136860977433933</v>
      </c>
      <c r="K73" s="400" t="e">
        <v>#N/A</v>
      </c>
      <c r="L73" s="400" t="e">
        <f t="shared" si="15"/>
        <v>#N/A</v>
      </c>
      <c r="M73" s="400" t="str">
        <f t="shared" si="12"/>
        <v>#964B00</v>
      </c>
      <c r="N73" t="str">
        <f t="shared" si="13"/>
        <v>Methanol [1.6] Other #964B00</v>
      </c>
      <c r="Q73" s="3" t="s">
        <v>102</v>
      </c>
      <c r="R73">
        <v>0.27301725706440588</v>
      </c>
    </row>
    <row r="74" spans="1:18">
      <c r="A74" t="s">
        <v>716</v>
      </c>
      <c r="B74" s="399" t="s">
        <v>957</v>
      </c>
      <c r="C74" s="399"/>
      <c r="D74" s="399"/>
      <c r="E74" s="399"/>
      <c r="F74" s="399" t="s">
        <v>1077</v>
      </c>
      <c r="G74" s="179">
        <v>4.662655189360548E-3</v>
      </c>
      <c r="H74" s="400">
        <v>0.47677008625974848</v>
      </c>
      <c r="I74" s="401">
        <v>1</v>
      </c>
      <c r="J74" s="400">
        <f t="shared" si="14"/>
        <v>0.47677008625974848</v>
      </c>
      <c r="K74" s="400">
        <v>6.0608614232209739</v>
      </c>
      <c r="L74" s="400">
        <f t="shared" si="15"/>
        <v>2.8896374235574456</v>
      </c>
      <c r="M74" s="400" t="str">
        <f t="shared" si="12"/>
        <v>#A9A9A9</v>
      </c>
      <c r="N74" t="str">
        <f t="shared" si="13"/>
        <v>Methanol [0.48] Dimethyl terephthalate (DMT) #A9A9A9</v>
      </c>
      <c r="Q74" s="3" t="s">
        <v>103</v>
      </c>
      <c r="R74">
        <v>7.8004930589830268E-2</v>
      </c>
    </row>
    <row r="75" spans="1:18">
      <c r="A75" t="s">
        <v>716</v>
      </c>
      <c r="B75" s="399" t="s">
        <v>958</v>
      </c>
      <c r="C75" s="399" t="s">
        <v>24</v>
      </c>
      <c r="D75" s="399"/>
      <c r="E75" s="402" t="s">
        <v>27</v>
      </c>
      <c r="F75" s="399" t="s">
        <v>1076</v>
      </c>
      <c r="G75" s="179">
        <v>4.9435021407774277E-3</v>
      </c>
      <c r="H75" s="400">
        <v>0.50548750580180479</v>
      </c>
      <c r="I75" s="401">
        <v>1</v>
      </c>
      <c r="J75" s="400">
        <f t="shared" si="14"/>
        <v>0.50548750580180479</v>
      </c>
      <c r="K75" s="400" t="e">
        <v>#N/A</v>
      </c>
      <c r="L75" s="400" t="e">
        <f t="shared" si="15"/>
        <v>#N/A</v>
      </c>
      <c r="M75" s="400" t="str">
        <f t="shared" si="12"/>
        <v>#964B00</v>
      </c>
      <c r="N75" t="str">
        <f t="shared" si="13"/>
        <v>Methanol [0.51] Other #964B00</v>
      </c>
      <c r="Q75" s="3" t="s">
        <v>106</v>
      </c>
      <c r="R75">
        <v>0.28081775012338889</v>
      </c>
    </row>
    <row r="76" spans="1:18">
      <c r="A76" s="399" t="s">
        <v>922</v>
      </c>
      <c r="B76" t="s">
        <v>959</v>
      </c>
      <c r="D76" t="s">
        <v>913</v>
      </c>
      <c r="E76" t="s">
        <v>913</v>
      </c>
      <c r="F76" t="s">
        <v>1076</v>
      </c>
      <c r="H76" s="40">
        <v>1.772842341876246</v>
      </c>
      <c r="I76" s="401">
        <v>1</v>
      </c>
      <c r="J76" s="400">
        <f t="shared" si="14"/>
        <v>1.772842341876246</v>
      </c>
      <c r="K76" s="400" t="e">
        <v>#N/A</v>
      </c>
      <c r="L76" s="400" t="e">
        <f t="shared" si="15"/>
        <v>#N/A</v>
      </c>
      <c r="M76" s="400" t="str">
        <f t="shared" si="12"/>
        <v>#FFFF00</v>
      </c>
      <c r="N76" t="str">
        <f t="shared" si="13"/>
        <v>Methyl Methacrylate (MMA) [1.8] Polymethyl methacrylate (PMMA) #FFFF00</v>
      </c>
      <c r="Q76" s="3" t="s">
        <v>108</v>
      </c>
      <c r="R76">
        <v>0.32762070847728703</v>
      </c>
    </row>
    <row r="77" spans="1:18">
      <c r="A77" t="s">
        <v>951</v>
      </c>
      <c r="B77" t="s">
        <v>960</v>
      </c>
      <c r="D77" t="s">
        <v>913</v>
      </c>
      <c r="E77" t="s">
        <v>913</v>
      </c>
      <c r="F77" t="s">
        <v>1076</v>
      </c>
      <c r="G77" s="6">
        <v>0.37</v>
      </c>
      <c r="H77" s="40">
        <f>G77*$H$67</f>
        <v>1.0645306645833978</v>
      </c>
      <c r="I77" s="401">
        <v>1</v>
      </c>
      <c r="J77" s="400">
        <f t="shared" si="14"/>
        <v>1.0645306645833978</v>
      </c>
      <c r="K77" s="400" t="e">
        <v>#N/A</v>
      </c>
      <c r="L77" s="400" t="e">
        <f t="shared" si="15"/>
        <v>#N/A</v>
      </c>
      <c r="M77" s="400" t="str">
        <f t="shared" si="12"/>
        <v>#FFFF00</v>
      </c>
      <c r="N77" t="str">
        <f t="shared" si="13"/>
        <v>Vinyl acetate monomer (VAM) [1.1] Polyvinyl acetate (PVA) #FFFF00</v>
      </c>
      <c r="Q77" s="3" t="s">
        <v>110</v>
      </c>
      <c r="R77">
        <v>0.14040887506169444</v>
      </c>
    </row>
    <row r="78" spans="1:18">
      <c r="A78" t="s">
        <v>951</v>
      </c>
      <c r="B78" t="s">
        <v>24</v>
      </c>
      <c r="E78" s="402" t="s">
        <v>27</v>
      </c>
      <c r="F78" t="s">
        <v>1076</v>
      </c>
      <c r="G78" s="6">
        <f>1-G77</f>
        <v>0.63</v>
      </c>
      <c r="H78" s="40">
        <f>G78*$H$67</f>
        <v>1.8125792396960556</v>
      </c>
      <c r="I78" s="401">
        <v>1</v>
      </c>
      <c r="J78" s="400">
        <f t="shared" si="14"/>
        <v>1.8125792396960556</v>
      </c>
      <c r="K78" s="400" t="e">
        <v>#N/A</v>
      </c>
      <c r="L78" s="400" t="e">
        <f t="shared" si="15"/>
        <v>#N/A</v>
      </c>
      <c r="M78" s="400" t="str">
        <f t="shared" si="12"/>
        <v>#964B00</v>
      </c>
      <c r="N78" t="str">
        <f t="shared" si="13"/>
        <v>Vinyl acetate monomer (VAM) [1.8] Other #964B00</v>
      </c>
      <c r="Q78" s="3" t="s">
        <v>354</v>
      </c>
      <c r="R78">
        <v>0.61155865582426916</v>
      </c>
    </row>
    <row r="79" spans="1:18">
      <c r="A79" t="s">
        <v>952</v>
      </c>
      <c r="B79" s="411" t="s">
        <v>961</v>
      </c>
      <c r="C79" s="411"/>
      <c r="E79" s="402" t="s">
        <v>911</v>
      </c>
      <c r="F79" t="s">
        <v>1076</v>
      </c>
      <c r="G79" s="6">
        <v>0.9</v>
      </c>
      <c r="H79" s="40">
        <f>G79*$H$68</f>
        <v>1.3594344297720415</v>
      </c>
      <c r="I79" s="401">
        <v>1</v>
      </c>
      <c r="J79" s="400">
        <f t="shared" si="14"/>
        <v>1.3594344297720415</v>
      </c>
      <c r="K79" s="400">
        <v>1.1569113716803505</v>
      </c>
      <c r="L79" s="400">
        <f t="shared" si="15"/>
        <v>1.5727451508570678</v>
      </c>
      <c r="M79" s="400" t="str">
        <f t="shared" si="12"/>
        <v>#A9A9A9</v>
      </c>
      <c r="N79" t="str">
        <f t="shared" si="13"/>
        <v>Terephthalic acid [1.4] Polyethylene terephthalate (PET) #A9A9A9</v>
      </c>
      <c r="Q79" s="3" t="s">
        <v>358</v>
      </c>
      <c r="R79">
        <v>0.24025518621667719</v>
      </c>
    </row>
    <row r="80" spans="1:18">
      <c r="A80" t="s">
        <v>952</v>
      </c>
      <c r="B80" t="s">
        <v>24</v>
      </c>
      <c r="E80" s="402" t="s">
        <v>27</v>
      </c>
      <c r="F80" t="s">
        <v>1076</v>
      </c>
      <c r="G80" s="6">
        <f>1-G79</f>
        <v>9.9999999999999978E-2</v>
      </c>
      <c r="H80" s="40">
        <f>G80*$H$68</f>
        <v>0.15104826997467125</v>
      </c>
      <c r="I80" s="401">
        <v>1</v>
      </c>
      <c r="J80" s="400">
        <f t="shared" si="14"/>
        <v>0.15104826997467125</v>
      </c>
      <c r="K80" s="400" t="e">
        <v>#N/A</v>
      </c>
      <c r="L80" s="400" t="e">
        <f t="shared" si="15"/>
        <v>#N/A</v>
      </c>
      <c r="M80" s="400" t="str">
        <f t="shared" si="12"/>
        <v>#964B00</v>
      </c>
      <c r="N80" t="str">
        <f t="shared" si="13"/>
        <v>Terephthalic acid [0.15] Other #964B00</v>
      </c>
      <c r="Q80" s="3" t="s">
        <v>359</v>
      </c>
      <c r="R80">
        <v>4.3682761130304941E-2</v>
      </c>
    </row>
    <row r="81" spans="1:34">
      <c r="A81" s="399" t="s">
        <v>957</v>
      </c>
      <c r="B81" s="411" t="s">
        <v>961</v>
      </c>
      <c r="E81" s="402" t="s">
        <v>911</v>
      </c>
      <c r="F81" t="s">
        <v>1076</v>
      </c>
      <c r="H81" s="40">
        <v>0.42438915566653618</v>
      </c>
      <c r="I81" s="401">
        <v>1</v>
      </c>
      <c r="J81" s="400">
        <f t="shared" si="14"/>
        <v>0.42438915566653618</v>
      </c>
      <c r="K81" s="400">
        <v>0.98975230444410101</v>
      </c>
      <c r="L81" s="400">
        <f t="shared" si="15"/>
        <v>0.42004014480204049</v>
      </c>
      <c r="M81" s="400" t="str">
        <f t="shared" si="12"/>
        <v>#A9A9A9</v>
      </c>
      <c r="N81" t="str">
        <f t="shared" si="13"/>
        <v>Dimethyl terephthalate (DMT) [0.42] Polyethylene terephthalate (PET) #A9A9A9</v>
      </c>
      <c r="Q81" s="3" t="s">
        <v>951</v>
      </c>
      <c r="R81">
        <v>2.8771099042794535</v>
      </c>
    </row>
    <row r="82" spans="1:34">
      <c r="A82" s="399" t="s">
        <v>957</v>
      </c>
      <c r="B82" t="s">
        <v>24</v>
      </c>
      <c r="E82" s="402" t="s">
        <v>27</v>
      </c>
      <c r="F82" t="s">
        <v>1076</v>
      </c>
      <c r="H82" s="40">
        <v>5.2380930593212353E-2</v>
      </c>
      <c r="I82" s="401">
        <v>1</v>
      </c>
      <c r="J82" s="400">
        <f t="shared" si="14"/>
        <v>5.2380930593212353E-2</v>
      </c>
      <c r="K82" s="400" t="e">
        <v>#N/A</v>
      </c>
      <c r="L82" s="400" t="e">
        <f t="shared" si="15"/>
        <v>#N/A</v>
      </c>
      <c r="M82" s="400" t="str">
        <f t="shared" si="12"/>
        <v>#964B00</v>
      </c>
      <c r="N82" t="str">
        <f t="shared" si="13"/>
        <v>Dimethyl terephthalate (DMT) [0.05] Other #964B00</v>
      </c>
      <c r="Q82" s="3" t="s">
        <v>952</v>
      </c>
      <c r="R82">
        <v>1.5104826997467129</v>
      </c>
    </row>
    <row r="83" spans="1:34">
      <c r="A83" t="s">
        <v>942</v>
      </c>
      <c r="B83" t="s">
        <v>947</v>
      </c>
      <c r="E83" s="402" t="s">
        <v>911</v>
      </c>
      <c r="F83" t="s">
        <v>1076</v>
      </c>
      <c r="G83" s="6">
        <v>0.95</v>
      </c>
      <c r="H83" s="40">
        <f>G83*$H$24</f>
        <v>1.1298928174736835</v>
      </c>
      <c r="I83" s="401">
        <v>1</v>
      </c>
      <c r="J83" s="400">
        <f t="shared" si="14"/>
        <v>1.1298928174736835</v>
      </c>
      <c r="K83" s="400" t="e">
        <v>#N/A</v>
      </c>
      <c r="L83" s="400" t="e">
        <f t="shared" si="15"/>
        <v>#N/A</v>
      </c>
      <c r="M83" s="400" t="str">
        <f t="shared" si="12"/>
        <v>#A9A9A9</v>
      </c>
      <c r="N83" t="str">
        <f t="shared" si="13"/>
        <v>Methylene diphenyl diisocyanate [1.1] Polyurethane (PU) #A9A9A9</v>
      </c>
      <c r="Q83" s="3" t="s">
        <v>953</v>
      </c>
      <c r="R83">
        <v>0.71927747606986336</v>
      </c>
    </row>
    <row r="84" spans="1:34">
      <c r="A84" t="s">
        <v>942</v>
      </c>
      <c r="B84" t="s">
        <v>24</v>
      </c>
      <c r="E84" s="402" t="s">
        <v>27</v>
      </c>
      <c r="F84" t="s">
        <v>1076</v>
      </c>
      <c r="G84" s="6">
        <v>0.05</v>
      </c>
      <c r="H84" s="40">
        <f>G84*$H$24</f>
        <v>5.9468043024930722E-2</v>
      </c>
      <c r="I84" s="401">
        <v>1</v>
      </c>
      <c r="J84" s="400">
        <f t="shared" si="14"/>
        <v>5.9468043024930722E-2</v>
      </c>
      <c r="K84" s="400" t="e">
        <v>#N/A</v>
      </c>
      <c r="L84" s="400" t="e">
        <f t="shared" si="15"/>
        <v>#N/A</v>
      </c>
      <c r="M84" s="400" t="str">
        <f t="shared" si="12"/>
        <v>#964B00</v>
      </c>
      <c r="N84" t="str">
        <f t="shared" si="13"/>
        <v>Methylene diphenyl diisocyanate [0.06] Other #964B00</v>
      </c>
      <c r="Q84" s="3" t="s">
        <v>954</v>
      </c>
      <c r="R84">
        <v>0.79120522367684964</v>
      </c>
    </row>
    <row r="85" spans="1:34">
      <c r="A85" t="s">
        <v>943</v>
      </c>
      <c r="B85" t="s">
        <v>962</v>
      </c>
      <c r="C85" t="s">
        <v>24</v>
      </c>
      <c r="E85" s="402" t="s">
        <v>27</v>
      </c>
      <c r="F85" t="s">
        <v>1076</v>
      </c>
      <c r="G85" s="6">
        <v>0.5</v>
      </c>
      <c r="H85" s="40">
        <f>G85*$H$25</f>
        <v>0.59468043024930717</v>
      </c>
      <c r="I85" s="401">
        <v>1</v>
      </c>
      <c r="J85" s="400">
        <f t="shared" si="14"/>
        <v>0.59468043024930717</v>
      </c>
      <c r="K85" s="400" t="e">
        <v>#N/A</v>
      </c>
      <c r="L85" s="400" t="e">
        <f t="shared" si="15"/>
        <v>#N/A</v>
      </c>
      <c r="M85" s="400" t="str">
        <f t="shared" si="12"/>
        <v>#964B00</v>
      </c>
      <c r="N85" t="str">
        <f t="shared" si="13"/>
        <v>1,4-butanediol [0.59] Other #964B00</v>
      </c>
      <c r="Q85" s="3" t="s">
        <v>955</v>
      </c>
      <c r="R85">
        <v>2.2717305672878156</v>
      </c>
    </row>
    <row r="86" spans="1:34">
      <c r="A86" t="s">
        <v>943</v>
      </c>
      <c r="B86" t="s">
        <v>24</v>
      </c>
      <c r="E86" s="402" t="s">
        <v>27</v>
      </c>
      <c r="F86" t="s">
        <v>1076</v>
      </c>
      <c r="G86" s="6">
        <v>0.5</v>
      </c>
      <c r="H86" s="40">
        <f>G86*$H$25</f>
        <v>0.59468043024930717</v>
      </c>
      <c r="I86" s="401">
        <v>1</v>
      </c>
      <c r="J86" s="400">
        <f t="shared" si="14"/>
        <v>0.59468043024930717</v>
      </c>
      <c r="K86" s="400" t="e">
        <v>#N/A</v>
      </c>
      <c r="L86" s="400" t="e">
        <f t="shared" si="15"/>
        <v>#N/A</v>
      </c>
      <c r="M86" s="400" t="str">
        <f t="shared" si="12"/>
        <v>#964B00</v>
      </c>
      <c r="N86" t="str">
        <f t="shared" si="13"/>
        <v>1,4-butanediol [0.59] Other #964B00</v>
      </c>
      <c r="Q86" s="3" t="s">
        <v>956</v>
      </c>
      <c r="R86">
        <v>1.6136860977433933</v>
      </c>
    </row>
    <row r="87" spans="1:34">
      <c r="A87" t="s">
        <v>533</v>
      </c>
      <c r="B87" s="411" t="s">
        <v>961</v>
      </c>
      <c r="E87" s="402" t="s">
        <v>823</v>
      </c>
      <c r="F87" t="s">
        <v>1076</v>
      </c>
      <c r="G87" s="6">
        <v>0.7</v>
      </c>
      <c r="H87" s="40">
        <f>G87*$H$34</f>
        <v>0.81948859880452074</v>
      </c>
      <c r="I87" s="401">
        <v>1</v>
      </c>
      <c r="J87" s="400">
        <f t="shared" si="14"/>
        <v>0.81948859880452074</v>
      </c>
      <c r="K87" s="400">
        <v>3.0965039471564362</v>
      </c>
      <c r="L87" s="400">
        <f t="shared" si="15"/>
        <v>2.5375496808478957</v>
      </c>
      <c r="M87" s="400" t="str">
        <f t="shared" si="12"/>
        <v>#A9A9A9</v>
      </c>
      <c r="N87" t="str">
        <f t="shared" si="13"/>
        <v>Ethylene glycol [0.82] Polyethylene terephthalate (PET) #A9A9A9</v>
      </c>
      <c r="Q87" s="3" t="s">
        <v>957</v>
      </c>
      <c r="R87">
        <v>0.47677008625974848</v>
      </c>
    </row>
    <row r="88" spans="1:34">
      <c r="A88" t="s">
        <v>533</v>
      </c>
      <c r="B88" t="s">
        <v>24</v>
      </c>
      <c r="E88" s="402" t="s">
        <v>823</v>
      </c>
      <c r="F88" t="s">
        <v>1076</v>
      </c>
      <c r="G88" s="6">
        <v>0.30000000000000004</v>
      </c>
      <c r="H88" s="40">
        <f>G88*$H$34</f>
        <v>0.35120939948765184</v>
      </c>
      <c r="I88" s="401">
        <v>1</v>
      </c>
      <c r="J88" s="400">
        <f t="shared" si="14"/>
        <v>0.35120939948765184</v>
      </c>
      <c r="K88" s="400" t="e">
        <v>#N/A</v>
      </c>
      <c r="L88" s="400" t="e">
        <f t="shared" si="15"/>
        <v>#N/A</v>
      </c>
      <c r="M88" s="400" t="str">
        <f t="shared" si="12"/>
        <v>#964B00</v>
      </c>
      <c r="N88" t="str">
        <f t="shared" si="13"/>
        <v>Ethylene glycol [0.35] Other #964B00</v>
      </c>
      <c r="Q88" s="3" t="s">
        <v>958</v>
      </c>
      <c r="R88">
        <v>0.50548750580180479</v>
      </c>
    </row>
    <row r="89" spans="1:34">
      <c r="E89"/>
      <c r="I89" s="401">
        <v>1</v>
      </c>
      <c r="J89" s="400">
        <f t="shared" si="14"/>
        <v>0</v>
      </c>
      <c r="K89" s="400" t="e">
        <v>#DIV/0!</v>
      </c>
      <c r="L89" s="400" t="e">
        <f t="shared" si="15"/>
        <v>#DIV/0!</v>
      </c>
      <c r="Q89" s="3" t="s">
        <v>959</v>
      </c>
      <c r="R89">
        <v>1.772842341876246</v>
      </c>
    </row>
    <row r="90" spans="1:34" s="412" customFormat="1">
      <c r="I90" s="401">
        <v>1</v>
      </c>
      <c r="J90" s="400">
        <f t="shared" si="14"/>
        <v>0</v>
      </c>
      <c r="K90" s="400" t="e">
        <v>#DIV/0!</v>
      </c>
      <c r="L90" s="400" t="e">
        <f t="shared" si="15"/>
        <v>#DIV/0!</v>
      </c>
      <c r="Q90" s="3" t="s">
        <v>960</v>
      </c>
      <c r="R90">
        <v>1.0645306645833978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s="412" customFormat="1">
      <c r="A91" s="399"/>
      <c r="B91"/>
      <c r="C91"/>
      <c r="D91"/>
      <c r="E91"/>
      <c r="F91"/>
      <c r="G91" s="6"/>
      <c r="H91" s="40"/>
      <c r="I91" s="401">
        <v>1</v>
      </c>
      <c r="J91" s="400">
        <f t="shared" si="14"/>
        <v>0</v>
      </c>
      <c r="K91" s="400" t="e">
        <v>#DIV/0!</v>
      </c>
      <c r="L91" s="400" t="e">
        <f t="shared" si="15"/>
        <v>#DIV/0!</v>
      </c>
      <c r="M91" s="400"/>
      <c r="N91"/>
      <c r="Q91" s="3" t="s">
        <v>961</v>
      </c>
      <c r="R91">
        <v>2.8081843339442285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>
      <c r="A92" s="413" t="s">
        <v>950</v>
      </c>
      <c r="B92" s="413" t="s">
        <v>963</v>
      </c>
      <c r="C92" s="413"/>
      <c r="D92" s="412" t="s">
        <v>911</v>
      </c>
      <c r="E92" s="412"/>
      <c r="F92" s="412"/>
      <c r="G92" s="414">
        <v>0.67</v>
      </c>
      <c r="H92" s="415">
        <f>G92*$H$45</f>
        <v>8.4039392020259527</v>
      </c>
      <c r="I92" s="401">
        <v>1</v>
      </c>
      <c r="J92" s="400">
        <f t="shared" si="14"/>
        <v>8.4039392020259527</v>
      </c>
      <c r="K92" s="400" t="e">
        <v>#N/A</v>
      </c>
      <c r="L92" s="400" t="e">
        <f t="shared" si="15"/>
        <v>#N/A</v>
      </c>
      <c r="M92" s="416" t="str">
        <f>IF(AND(OR(B92="Other",C92="Other"),$B$1=TRUE),$S$9,_xlfn.XLOOKUP(D92,$Q$6:$Q$10,$S$6:$S$10,$S$8))</f>
        <v>#0000FF</v>
      </c>
      <c r="N92" s="412" t="str">
        <f>CONCATENATE(A92," [",IF(H92&lt;1,ROUND(H92,2),ROUND(H92,1)),"] ",IF($B$1=TRUE,IF((ISBLANK(C92)),B92,C92),B92)," ",M92)</f>
        <v>Polypropylene (PP) [8.4] Polypropylene PP (ex-fibre) #0000FF</v>
      </c>
      <c r="Q92" s="3" t="s">
        <v>962</v>
      </c>
      <c r="R92">
        <v>0.59468043024930717</v>
      </c>
    </row>
    <row r="93" spans="1:34">
      <c r="A93" s="413" t="s">
        <v>950</v>
      </c>
      <c r="B93" s="413" t="s">
        <v>964</v>
      </c>
      <c r="C93" s="413"/>
      <c r="D93" s="412" t="s">
        <v>911</v>
      </c>
      <c r="E93" s="412"/>
      <c r="F93" s="412"/>
      <c r="G93" s="414">
        <v>0.33</v>
      </c>
      <c r="H93" s="415">
        <f>G93*$H$45</f>
        <v>4.1392536368187525</v>
      </c>
      <c r="I93" s="401">
        <v>1</v>
      </c>
      <c r="J93" s="400">
        <f t="shared" si="14"/>
        <v>4.1392536368187525</v>
      </c>
      <c r="K93" s="400" t="e">
        <v>#N/A</v>
      </c>
      <c r="L93" s="400" t="e">
        <f t="shared" si="15"/>
        <v>#N/A</v>
      </c>
      <c r="M93" s="416" t="str">
        <f>IF(AND(OR(B93="Other",C93="Other"),$B$1=TRUE),$S$9,_xlfn.XLOOKUP(D93,$Q$6:$Q$10,$S$6:$S$10,$S$8))</f>
        <v>#0000FF</v>
      </c>
      <c r="N93" s="412" t="str">
        <f>CONCATENATE(A93," [",IF(H93&lt;1,ROUND(H93,2),ROUND(H93,1)),"] ",IF($B$1=TRUE,IF((ISBLANK(C93)),B93,C93),B93)," ",M93)</f>
        <v>Polypropylene (PP) [4.1] Polypropylene fibres #0000FF</v>
      </c>
      <c r="Q93" s="3" t="s">
        <v>934</v>
      </c>
      <c r="R93">
        <v>206.59483760351833</v>
      </c>
    </row>
    <row r="94" spans="1:34">
      <c r="E94"/>
      <c r="I94" s="401">
        <v>1</v>
      </c>
      <c r="J94" s="400">
        <f t="shared" si="14"/>
        <v>0</v>
      </c>
      <c r="K94" s="400" t="e">
        <v>#DIV/0!</v>
      </c>
      <c r="L94" s="400" t="e">
        <f t="shared" si="15"/>
        <v>#DIV/0!</v>
      </c>
    </row>
    <row r="95" spans="1:34">
      <c r="A95" s="411" t="s">
        <v>961</v>
      </c>
      <c r="B95" s="411" t="s">
        <v>965</v>
      </c>
      <c r="E95"/>
      <c r="G95" s="2">
        <f>45/(25+45)</f>
        <v>0.6428571428571429</v>
      </c>
      <c r="H95" s="39">
        <f>SUM($H$79,$H$81,$H$87)*G95</f>
        <v>1.6735578327277063</v>
      </c>
      <c r="I95" s="401">
        <v>1</v>
      </c>
      <c r="J95" s="400">
        <f t="shared" si="14"/>
        <v>1.6735578327277063</v>
      </c>
      <c r="K95" s="400" t="e">
        <v>#N/A</v>
      </c>
      <c r="L95" s="400" t="e">
        <f t="shared" si="15"/>
        <v>#N/A</v>
      </c>
    </row>
    <row r="96" spans="1:34">
      <c r="A96" s="411" t="s">
        <v>961</v>
      </c>
      <c r="B96" s="411" t="s">
        <v>966</v>
      </c>
      <c r="E96"/>
      <c r="G96" s="2">
        <f>25/(25+45)</f>
        <v>0.35714285714285715</v>
      </c>
      <c r="H96" s="39">
        <f>SUM($H$79,$H$81,$H$87)*G96</f>
        <v>0.92975435151539232</v>
      </c>
      <c r="I96" s="401">
        <v>1</v>
      </c>
      <c r="J96" s="400">
        <f t="shared" si="14"/>
        <v>0.92975435151539232</v>
      </c>
      <c r="K96" s="400" t="e">
        <v>#N/A</v>
      </c>
      <c r="L96" s="400" t="e">
        <f t="shared" si="15"/>
        <v>#N/A</v>
      </c>
    </row>
    <row r="97" spans="1:12">
      <c r="E97"/>
      <c r="I97" s="401">
        <v>1</v>
      </c>
      <c r="J97" s="400">
        <f t="shared" si="14"/>
        <v>0</v>
      </c>
      <c r="K97" s="400" t="e">
        <v>#DIV/0!</v>
      </c>
      <c r="L97" s="400" t="e">
        <f t="shared" si="15"/>
        <v>#DIV/0!</v>
      </c>
    </row>
    <row r="98" spans="1:12">
      <c r="A98" t="s">
        <v>3</v>
      </c>
      <c r="B98" t="s">
        <v>16</v>
      </c>
      <c r="E98"/>
      <c r="H98">
        <v>99.2</v>
      </c>
      <c r="I98" s="401">
        <v>1</v>
      </c>
      <c r="J98" s="400">
        <f t="shared" si="14"/>
        <v>99.2</v>
      </c>
      <c r="K98" s="400" t="e">
        <v>#N/A</v>
      </c>
      <c r="L98" s="400" t="e">
        <f t="shared" si="15"/>
        <v>#N/A</v>
      </c>
    </row>
    <row r="99" spans="1:12">
      <c r="A99" t="s">
        <v>3</v>
      </c>
      <c r="B99" t="s">
        <v>18</v>
      </c>
      <c r="E99"/>
      <c r="H99">
        <v>22.8</v>
      </c>
      <c r="I99" s="401">
        <v>1</v>
      </c>
      <c r="J99" s="400">
        <f t="shared" si="14"/>
        <v>22.8</v>
      </c>
      <c r="K99" s="400">
        <v>1.572192513368984</v>
      </c>
      <c r="L99" s="400">
        <f t="shared" si="15"/>
        <v>35.845989304812839</v>
      </c>
    </row>
    <row r="100" spans="1:12">
      <c r="A100" t="s">
        <v>3</v>
      </c>
      <c r="B100" t="s">
        <v>20</v>
      </c>
      <c r="E100"/>
      <c r="H100">
        <v>19.5</v>
      </c>
      <c r="I100" s="401">
        <v>1</v>
      </c>
      <c r="J100" s="400">
        <f t="shared" si="14"/>
        <v>19.5</v>
      </c>
      <c r="K100" s="400" t="e">
        <v>#N/A</v>
      </c>
      <c r="L100" s="400" t="e">
        <f t="shared" si="15"/>
        <v>#N/A</v>
      </c>
    </row>
    <row r="101" spans="1:12">
      <c r="A101" t="s">
        <v>3</v>
      </c>
      <c r="B101" t="s">
        <v>532</v>
      </c>
      <c r="E101"/>
      <c r="H101">
        <v>9.8000000000000007</v>
      </c>
      <c r="I101" s="401">
        <v>1</v>
      </c>
      <c r="J101" s="400">
        <f t="shared" si="14"/>
        <v>9.8000000000000007</v>
      </c>
      <c r="K101" s="400" t="e">
        <v>#N/A</v>
      </c>
      <c r="L101" s="400" t="e">
        <f t="shared" si="15"/>
        <v>#N/A</v>
      </c>
    </row>
    <row r="102" spans="1:12">
      <c r="A102" t="s">
        <v>3</v>
      </c>
      <c r="B102" t="s">
        <v>27</v>
      </c>
      <c r="E102"/>
      <c r="H102">
        <v>11.4</v>
      </c>
      <c r="I102" s="401">
        <v>1</v>
      </c>
      <c r="J102" s="400">
        <f t="shared" si="14"/>
        <v>11.4</v>
      </c>
      <c r="K102" s="400" t="e">
        <v>#N/A</v>
      </c>
      <c r="L102" s="400" t="e">
        <f t="shared" si="15"/>
        <v>#N/A</v>
      </c>
    </row>
    <row r="103" spans="1:12">
      <c r="E103"/>
      <c r="I103" s="401">
        <v>1</v>
      </c>
      <c r="J103" s="400">
        <f t="shared" si="14"/>
        <v>0</v>
      </c>
      <c r="K103" s="400" t="e">
        <v>#DIV/0!</v>
      </c>
      <c r="L103" s="400" t="e">
        <f t="shared" si="15"/>
        <v>#DIV/0!</v>
      </c>
    </row>
    <row r="104" spans="1:12">
      <c r="A104" t="s">
        <v>16</v>
      </c>
      <c r="B104" s="403" t="s">
        <v>945</v>
      </c>
      <c r="E104"/>
      <c r="H104">
        <v>44.6</v>
      </c>
      <c r="I104" s="401">
        <v>1</v>
      </c>
      <c r="J104" s="400">
        <f t="shared" si="14"/>
        <v>44.6</v>
      </c>
      <c r="K104" s="400" t="e">
        <v>#N/A</v>
      </c>
      <c r="L104" s="400" t="e">
        <f t="shared" si="15"/>
        <v>#N/A</v>
      </c>
    </row>
    <row r="105" spans="1:12">
      <c r="A105" t="s">
        <v>16</v>
      </c>
      <c r="B105" s="403" t="s">
        <v>946</v>
      </c>
      <c r="E105"/>
      <c r="H105">
        <v>54.6</v>
      </c>
      <c r="I105" s="401">
        <v>1</v>
      </c>
      <c r="J105" s="400">
        <f t="shared" si="14"/>
        <v>54.6</v>
      </c>
      <c r="K105" s="400" t="e">
        <v>#N/A</v>
      </c>
      <c r="L105" s="400" t="e">
        <f t="shared" si="15"/>
        <v>#N/A</v>
      </c>
    </row>
    <row r="106" spans="1:12">
      <c r="E106"/>
      <c r="I106" s="401">
        <v>1</v>
      </c>
      <c r="J106" s="400">
        <f t="shared" si="14"/>
        <v>0</v>
      </c>
      <c r="K106" s="400" t="e">
        <v>#DIV/0!</v>
      </c>
      <c r="L106" s="400" t="e">
        <f t="shared" si="15"/>
        <v>#DIV/0!</v>
      </c>
    </row>
    <row r="107" spans="1:12">
      <c r="A107" t="s">
        <v>18</v>
      </c>
      <c r="B107" s="411" t="s">
        <v>961</v>
      </c>
      <c r="E107"/>
      <c r="H107">
        <v>3.8</v>
      </c>
      <c r="I107" s="401">
        <v>1</v>
      </c>
      <c r="J107" s="400">
        <f t="shared" si="14"/>
        <v>3.8</v>
      </c>
      <c r="K107" s="400">
        <v>4.3582766439909291</v>
      </c>
      <c r="L107" s="400">
        <f t="shared" si="15"/>
        <v>16.561451247165529</v>
      </c>
    </row>
    <row r="108" spans="1:12">
      <c r="A108" t="s">
        <v>18</v>
      </c>
      <c r="B108" s="411" t="s">
        <v>961</v>
      </c>
      <c r="E108"/>
      <c r="H108">
        <v>6.9</v>
      </c>
      <c r="I108" s="401">
        <v>1</v>
      </c>
      <c r="J108" s="400">
        <f t="shared" si="14"/>
        <v>6.9</v>
      </c>
      <c r="K108" s="400">
        <v>4.3582766439909291</v>
      </c>
      <c r="L108" s="400">
        <f t="shared" si="15"/>
        <v>30.072108843537411</v>
      </c>
    </row>
    <row r="109" spans="1:12">
      <c r="A109" t="s">
        <v>18</v>
      </c>
      <c r="B109" t="s">
        <v>27</v>
      </c>
      <c r="E109"/>
      <c r="H109">
        <v>12.1</v>
      </c>
      <c r="I109" s="401">
        <v>1</v>
      </c>
      <c r="J109" s="400">
        <f t="shared" si="14"/>
        <v>12.1</v>
      </c>
      <c r="K109" s="400" t="e">
        <v>#N/A</v>
      </c>
      <c r="L109" s="400" t="e">
        <f t="shared" si="15"/>
        <v>#N/A</v>
      </c>
    </row>
    <row r="110" spans="1:12">
      <c r="E110"/>
      <c r="I110" s="401">
        <v>1</v>
      </c>
      <c r="J110" s="400">
        <f t="shared" si="14"/>
        <v>0</v>
      </c>
      <c r="K110" s="400" t="e">
        <v>#DIV/0!</v>
      </c>
      <c r="L110" s="400" t="e">
        <f t="shared" si="15"/>
        <v>#DIV/0!</v>
      </c>
    </row>
    <row r="111" spans="1:12">
      <c r="A111" t="s">
        <v>20</v>
      </c>
      <c r="B111" t="s">
        <v>948</v>
      </c>
      <c r="E111"/>
      <c r="H111">
        <v>18.7</v>
      </c>
      <c r="I111" s="401">
        <v>1</v>
      </c>
      <c r="J111" s="400">
        <f t="shared" si="14"/>
        <v>18.7</v>
      </c>
      <c r="K111" s="400" t="e">
        <v>#N/A</v>
      </c>
      <c r="L111" s="400" t="e">
        <f t="shared" si="15"/>
        <v>#N/A</v>
      </c>
    </row>
    <row r="112" spans="1:12">
      <c r="A112" t="s">
        <v>20</v>
      </c>
      <c r="B112" t="s">
        <v>27</v>
      </c>
      <c r="E112"/>
      <c r="H112">
        <v>0.8</v>
      </c>
      <c r="I112" s="401">
        <v>1</v>
      </c>
      <c r="J112" s="400">
        <f t="shared" si="14"/>
        <v>0.8</v>
      </c>
      <c r="K112" s="400" t="e">
        <v>#N/A</v>
      </c>
      <c r="L112" s="400" t="e">
        <f t="shared" si="15"/>
        <v>#N/A</v>
      </c>
    </row>
    <row r="113" spans="1:12">
      <c r="E113"/>
      <c r="I113" s="401">
        <v>1</v>
      </c>
      <c r="J113" s="400">
        <f t="shared" si="14"/>
        <v>0</v>
      </c>
      <c r="K113" s="400" t="e">
        <v>#DIV/0!</v>
      </c>
      <c r="L113" s="400" t="e">
        <f t="shared" si="15"/>
        <v>#DIV/0!</v>
      </c>
    </row>
    <row r="114" spans="1:12">
      <c r="A114" t="s">
        <v>532</v>
      </c>
      <c r="B114" t="s">
        <v>949</v>
      </c>
      <c r="E114"/>
      <c r="H114">
        <v>4.5</v>
      </c>
      <c r="I114" s="401">
        <v>1</v>
      </c>
      <c r="J114" s="400">
        <f t="shared" si="14"/>
        <v>4.5</v>
      </c>
      <c r="K114" s="400" t="e">
        <v>#N/A</v>
      </c>
      <c r="L114" s="400" t="e">
        <f t="shared" si="15"/>
        <v>#N/A</v>
      </c>
    </row>
    <row r="115" spans="1:12">
      <c r="A115" t="s">
        <v>532</v>
      </c>
      <c r="B115" t="s">
        <v>27</v>
      </c>
      <c r="H115">
        <v>5.3</v>
      </c>
      <c r="I115" s="401">
        <v>1</v>
      </c>
      <c r="J115" s="400">
        <f t="shared" si="14"/>
        <v>5.3</v>
      </c>
      <c r="K115" s="400" t="e">
        <v>#N/A</v>
      </c>
      <c r="L115" s="400" t="e">
        <f t="shared" si="15"/>
        <v>#N/A</v>
      </c>
    </row>
    <row r="116" spans="1:12">
      <c r="I116" s="401">
        <v>1</v>
      </c>
      <c r="J116" s="400">
        <f t="shared" si="14"/>
        <v>0</v>
      </c>
      <c r="K116" s="400" t="e">
        <v>#DIV/0!</v>
      </c>
      <c r="L116" s="400" t="e">
        <f t="shared" si="15"/>
        <v>#DIV/0!</v>
      </c>
    </row>
    <row r="117" spans="1:12">
      <c r="A117" t="s">
        <v>718</v>
      </c>
      <c r="B117" t="s">
        <v>952</v>
      </c>
      <c r="H117" s="417">
        <f>37.4*0.98</f>
        <v>36.652000000000001</v>
      </c>
      <c r="I117" s="401">
        <v>1</v>
      </c>
      <c r="J117" s="400">
        <f t="shared" si="14"/>
        <v>36.652000000000001</v>
      </c>
      <c r="K117" s="400">
        <v>1.5643314500941619</v>
      </c>
      <c r="L117" s="400">
        <f t="shared" si="15"/>
        <v>57.335876308851219</v>
      </c>
    </row>
    <row r="118" spans="1:12">
      <c r="I118" s="401">
        <v>1</v>
      </c>
      <c r="J118" s="400">
        <f t="shared" si="14"/>
        <v>0</v>
      </c>
      <c r="K118" s="400" t="e">
        <v>#DIV/0!</v>
      </c>
      <c r="L118" s="400" t="e">
        <f t="shared" si="15"/>
        <v>#DIV/0!</v>
      </c>
    </row>
    <row r="119" spans="1:12">
      <c r="A119" t="s">
        <v>952</v>
      </c>
      <c r="B119" s="411" t="s">
        <v>961</v>
      </c>
      <c r="H119">
        <f>H117*95%</f>
        <v>34.819400000000002</v>
      </c>
      <c r="I119" s="401">
        <v>1</v>
      </c>
      <c r="J119" s="400">
        <f t="shared" si="14"/>
        <v>34.819400000000002</v>
      </c>
      <c r="K119" s="400">
        <v>1.1569113716803505</v>
      </c>
      <c r="L119" s="400">
        <f t="shared" si="15"/>
        <v>40.282959815086798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FAD42453072142B8ED04CA36838DF4" ma:contentTypeVersion="" ma:contentTypeDescription="Create a new document." ma:contentTypeScope="" ma:versionID="66ded517128d15965bf4810a51ae728a">
  <xsd:schema xmlns:xsd="http://www.w3.org/2001/XMLSchema" xmlns:xs="http://www.w3.org/2001/XMLSchema" xmlns:p="http://schemas.microsoft.com/office/2006/metadata/properties" xmlns:ns2="4ba20efe-f5fd-4091-9ff3-e4fb4b8c4e00" xmlns:ns3="f6f44a7d-d6f5-4042-8792-19cb5f90fb06" targetNamespace="http://schemas.microsoft.com/office/2006/metadata/properties" ma:root="true" ma:fieldsID="a895659a4ed1a5d6eda6357258287c2b" ns2:_="" ns3:_="">
    <xsd:import namespace="4ba20efe-f5fd-4091-9ff3-e4fb4b8c4e00"/>
    <xsd:import namespace="f6f44a7d-d6f5-4042-8792-19cb5f90fb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a20efe-f5fd-4091-9ff3-e4fb4b8c4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fd27762-0251-4a48-b483-e1f79c0a65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44a7d-d6f5-4042-8792-19cb5f90fb0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f1cb957-661d-4683-93b6-7eb55a432899}" ma:internalName="TaxCatchAll" ma:showField="CatchAllData" ma:web="f6f44a7d-d6f5-4042-8792-19cb5f90fb0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6f44a7d-d6f5-4042-8792-19cb5f90fb06">
      <UserInfo>
        <DisplayName>Kash Burchett</DisplayName>
        <AccountId>21974</AccountId>
        <AccountType/>
      </UserInfo>
      <UserInfo>
        <DisplayName>Andreas Wagner</DisplayName>
        <AccountId>19464</AccountId>
        <AccountType/>
      </UserInfo>
      <UserInfo>
        <DisplayName>Jane Leung</DisplayName>
        <AccountId>27396</AccountId>
        <AccountType/>
      </UserInfo>
    </SharedWithUsers>
    <lcf76f155ced4ddcb4097134ff3c332f xmlns="4ba20efe-f5fd-4091-9ff3-e4fb4b8c4e00">
      <Terms xmlns="http://schemas.microsoft.com/office/infopath/2007/PartnerControls"/>
    </lcf76f155ced4ddcb4097134ff3c332f>
    <TaxCatchAll xmlns="f6f44a7d-d6f5-4042-8792-19cb5f90fb06" xsi:nil="true"/>
  </documentManagement>
</p:properties>
</file>

<file path=customXml/itemProps1.xml><?xml version="1.0" encoding="utf-8"?>
<ds:datastoreItem xmlns:ds="http://schemas.openxmlformats.org/officeDocument/2006/customXml" ds:itemID="{C2DDF2DD-44BD-4E73-ACCD-30A05F9B4F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a20efe-f5fd-4091-9ff3-e4fb4b8c4e00"/>
    <ds:schemaRef ds:uri="f6f44a7d-d6f5-4042-8792-19cb5f90fb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5E6D6CB-A07B-439B-94F4-5C90E1571D1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9FECC7-D2ED-472E-B237-E3E1DE764B06}">
  <ds:schemaRefs>
    <ds:schemaRef ds:uri="http://schemas.microsoft.com/office/2006/documentManagement/types"/>
    <ds:schemaRef ds:uri="4ba20efe-f5fd-4091-9ff3-e4fb4b8c4e00"/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f6f44a7d-d6f5-4042-8792-19cb5f90fb0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COVER SHEET</vt:lpstr>
      <vt:lpstr>Waste Summary Yearly</vt:lpstr>
      <vt:lpstr>Yearly Butadiene</vt:lpstr>
      <vt:lpstr>Yearly Methanol</vt:lpstr>
      <vt:lpstr>Yearly BTX</vt:lpstr>
      <vt:lpstr>Yearly HC Ethylene</vt:lpstr>
      <vt:lpstr>Yearly LC Ethylene</vt:lpstr>
      <vt:lpstr>Yearly HC Propylene</vt:lpstr>
      <vt:lpstr>Yearly LC Propylene</vt:lpstr>
      <vt:lpstr>Yearly Demand Japan</vt:lpstr>
      <vt:lpstr>Yearly Demand - C4</vt:lpstr>
      <vt:lpstr>Yearly Demand - BTX</vt:lpstr>
      <vt:lpstr>Yearly Demand - meth.</vt:lpstr>
      <vt:lpstr>Yearly Demand - Eth-Prop</vt:lpstr>
      <vt:lpstr>Propylene</vt:lpstr>
      <vt:lpstr>Ethylene</vt:lpstr>
      <vt:lpstr>Demand - Ethylene</vt:lpstr>
      <vt:lpstr>Demand - Propylene</vt:lpstr>
      <vt:lpstr>Demand - Methanol</vt:lpstr>
      <vt:lpstr>Demand - C4</vt:lpstr>
      <vt:lpstr>Demand - BTX</vt:lpstr>
      <vt:lpstr>Demand - Solar</vt:lpstr>
      <vt:lpstr>Demand - Wind</vt:lpstr>
      <vt:lpstr>Production - Industry shares</vt:lpstr>
      <vt:lpstr>R&amp;S - Packaging and hh goods</vt:lpstr>
      <vt:lpstr>R&amp;S - Buildings</vt:lpstr>
      <vt:lpstr>R&amp;S - Transportation</vt:lpstr>
      <vt:lpstr>R&amp;S - Apparel</vt:lpstr>
      <vt:lpstr>R&amp;S - Others</vt:lpstr>
      <vt:lpstr>Ethylene Recycling LC</vt:lpstr>
      <vt:lpstr>Ethylene Recycling HC</vt:lpstr>
      <vt:lpstr>Propylene Recycling LC</vt:lpstr>
      <vt:lpstr>Propylene Recycling HC</vt:lpstr>
      <vt:lpstr>Methanol Recycling LC</vt:lpstr>
      <vt:lpstr>Methanol Recycling HC</vt:lpstr>
      <vt:lpstr>BTX Recycling HC</vt:lpstr>
      <vt:lpstr>BTX Recycling LC</vt:lpstr>
      <vt:lpstr>Butadiene Recycling HC</vt:lpstr>
      <vt:lpstr>Butadiene Recycling LC</vt:lpstr>
      <vt:lpstr>Overall recycling rates</vt:lpstr>
      <vt:lpstr>BTX recycling rates</vt:lpstr>
      <vt:lpstr>Methanol recycling rates</vt:lpstr>
      <vt:lpstr>Ethylene recycling rates</vt:lpstr>
      <vt:lpstr>Waste gen. - Industry shares</vt:lpstr>
      <vt:lpstr>Sankey Ethylene</vt:lpstr>
      <vt:lpstr>Sankey Methanol_detailed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Kash Burchett</dc:creator>
  <cp:keywords/>
  <dc:description/>
  <cp:lastModifiedBy>Alexandre Kremer</cp:lastModifiedBy>
  <cp:revision/>
  <dcterms:created xsi:type="dcterms:W3CDTF">2021-07-13T09:35:38Z</dcterms:created>
  <dcterms:modified xsi:type="dcterms:W3CDTF">2023-04-10T20:17:36Z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0x010100A1FAD42453072142B8ED04CA36838DF4</vt:lpwstr>
  </property>
  <property fmtid="{D5CDD505-2E9C-101B-9397-08002B2CF9AE}" pid="3" name="MediaServiceImageTags">
    <vt:lpwstr/>
  </property>
</Properties>
</file>